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ctrlProps/ctrlProps10.xml" ContentType="application/vnd.ms-excel.controlproperties+xml"/>
  <Override PartName="/xl/ctrlProps/ctrlProps9.xml" ContentType="application/vnd.ms-excel.controlproperties+xml"/>
  <Override PartName="/xl/ctrlProps/ctrlProps18.xml" ContentType="application/vnd.ms-excel.controlproperties+xml"/>
  <Override PartName="/xl/ctrlProps/ctrlProps20.xml" ContentType="application/vnd.ms-excel.controlproperties+xml"/>
  <Override PartName="/xl/ctrlProps/ctrlProps8.xml" ContentType="application/vnd.ms-excel.controlproperties+xml"/>
  <Override PartName="/xl/ctrlProps/ctrlProps17.xml" ContentType="application/vnd.ms-excel.controlproperties+xml"/>
  <Override PartName="/xl/ctrlProps/ctrlProps7.xml" ContentType="application/vnd.ms-excel.controlproperties+xml"/>
  <Override PartName="/xl/ctrlProps/ctrlProps16.xml" ContentType="application/vnd.ms-excel.controlproperties+xml"/>
  <Override PartName="/xl/ctrlProps/ctrlProps6.xml" ContentType="application/vnd.ms-excel.controlproperties+xml"/>
  <Override PartName="/xl/ctrlProps/ctrlProps15.xml" ContentType="application/vnd.ms-excel.controlproperties+xml"/>
  <Override PartName="/xl/ctrlProps/ctrlProps24.xml" ContentType="application/vnd.ms-excel.controlproperties+xml"/>
  <Override PartName="/xl/ctrlProps/ctrlProps3.xml" ContentType="application/vnd.ms-excel.controlproperties+xml"/>
  <Override PartName="/xl/ctrlProps/ctrlProps12.xml" ContentType="application/vnd.ms-excel.controlproperties+xml"/>
  <Override PartName="/xl/ctrlProps/ctrlProps23.xml" ContentType="application/vnd.ms-excel.controlproperties+xml"/>
  <Override PartName="/xl/ctrlProps/ctrlProps2.xml" ContentType="application/vnd.ms-excel.controlproperties+xml"/>
  <Override PartName="/xl/ctrlProps/ctrlProps11.xml" ContentType="application/vnd.ms-excel.controlproperties+xml"/>
  <Override PartName="/xl/ctrlProps/ctrlProps22.xml" ContentType="application/vnd.ms-excel.controlproperties+xml"/>
  <Override PartName="/xl/ctrlProps/ctrlProps21.xml" ContentType="application/vnd.ms-excel.controlproperties+xml"/>
  <Override PartName="/xl/ctrlProps/ctrlProps19.xml" ContentType="application/vnd.ms-excel.controlproperties+xml"/>
  <Override PartName="/xl/ctrlProps/ctrlProps4.xml" ContentType="application/vnd.ms-excel.controlproperties+xml"/>
  <Override PartName="/xl/ctrlProps/ctrlProps13.xml" ContentType="application/vnd.ms-excel.controlproperties+xml"/>
  <Override PartName="/xl/ctrlProps/ctrlProps5.xml" ContentType="application/vnd.ms-excel.controlproperties+xml"/>
  <Override PartName="/xl/ctrlProps/ctrlProps14.xml" ContentType="application/vnd.ms-excel.controlpropertie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MAIN" sheetId="1" state="visible" r:id="rId3"/>
    <sheet name="FTP" sheetId="2" state="visible" r:id="rId4"/>
    <sheet name="FetchingMacros" sheetId="3" state="hidden" r:id="rId5"/>
    <sheet name="PricingMacros" sheetId="4" state="hidden" r:id="rId6"/>
  </sheets>
  <definedNames>
    <definedName function="false" hidden="false" name="BigAreaToPaste" vbProcedure="false">MAIN!$AC$19:$AN$260</definedName>
    <definedName function="false" hidden="false" name="BrentPhyBrentSpread" vbProcedure="false">MAIN!$AH$6</definedName>
    <definedName function="false" hidden="false" name="BrentSeasonalityTable" vbProcedure="false">MAIN!$AG$3:$AG$6</definedName>
    <definedName function="false" hidden="false" name="BrentVolTable" vbProcedure="false">MAIN!$AF$10:$AH$14</definedName>
    <definedName function="false" hidden="false" name="CalcMode" vbProcedure="false">MAIN!$AY$3</definedName>
    <definedName function="false" hidden="false" name="CollartionCap" vbProcedure="false">MAIN!$C$44</definedName>
    <definedName function="false" hidden="false" name="CollartionFloor" vbProcedure="false">MAIN!$B$44</definedName>
    <definedName function="false" hidden="false" name="CostlessCollarFirstAdjustment" vbProcedure="false">MAIN!$BF$13</definedName>
    <definedName function="false" hidden="false" name="CostlessCollarValue" vbProcedure="false">MAIN!$BF$12</definedName>
    <definedName function="false" hidden="false" name="DateCurve" vbProcedure="false">MAIN!$G$32</definedName>
    <definedName function="false" hidden="false" name="DatedBrentSpread" vbProcedure="false">MAIN!$DQ$19:$DQ$260</definedName>
    <definedName function="false" hidden="false" name="DateEnd" vbProcedure="false">MAIN!$G$3</definedName>
    <definedName function="false" hidden="false" name="DateEnd2" vbProcedure="false">MAIN!$G$24</definedName>
    <definedName function="false" hidden="false" name="DateIR" vbProcedure="false">MAIN!$AT$13</definedName>
    <definedName function="false" hidden="false" name="DateStart" vbProcedure="false">MAIN!$F$3</definedName>
    <definedName function="false" hidden="false" name="DateStart2" vbProcedure="false">MAIN!$F$24</definedName>
    <definedName function="false" hidden="false" name="DateToday" vbProcedure="false">MAIN!$G$31</definedName>
    <definedName function="false" hidden="false" name="DaysForThetaCalculation" vbProcedure="false">MAIN!$AT$9</definedName>
    <definedName function="false" hidden="false" name="EuroOptionMonthPosition" vbProcedure="false">MAIN!$AY$6</definedName>
    <definedName function="false" hidden="false" name="ExtendableFirstAdjustment" vbProcedure="false">MAIN!$BF$4</definedName>
    <definedName function="false" hidden="false" name="ExtendableSwapValue" vbProcedure="false">MAIN!$BF$3</definedName>
    <definedName function="false" hidden="false" name="FileName" vbProcedure="false">FTP!$B$6</definedName>
    <definedName function="false" hidden="false" name="FileType" vbProcedure="false">FTP!$B$7</definedName>
    <definedName function="false" hidden="false" name="FirstMonthToSave" vbProcedure="false">MAIN!$DG$19</definedName>
    <definedName function="false" hidden="false" name="FirstPricingMonth" vbProcedure="false">MAIN!$I$19</definedName>
    <definedName function="false" hidden="false" name="FTPConfig" vbProcedure="false">FTP!$B$8</definedName>
    <definedName function="false" hidden="false" name="HolidaysBrent" vbProcedure="false">MAIN!$EO$19:$EO$97</definedName>
    <definedName function="false" hidden="false" name="HolidaysWTI" vbProcedure="false">MAIN!$EN$19:$EN$97</definedName>
    <definedName function="false" hidden="false" name="IntradayBrentPriceChanges" vbProcedure="false">MAIN!$Q$20:$Q$260</definedName>
    <definedName function="false" hidden="false" name="IntradayVolChanges" vbProcedure="false">MAIN!$N$20:$N$260</definedName>
    <definedName function="false" hidden="false" name="IntradayWTIPriceChanges" vbProcedure="false">MAIN!$K$20:$K$260</definedName>
    <definedName function="false" hidden="false" name="LocalPath" vbProcedure="false">FTP!$B$4</definedName>
    <definedName function="false" hidden="false" name="NextMonth" vbProcedure="false">MAIN!$I$20</definedName>
    <definedName function="false" hidden="false" name="NominalVolume" vbProcedure="false">MAIN!$D$32</definedName>
    <definedName function="false" hidden="false" name="OptControl" vbProcedure="false">MAIN!$AT$4</definedName>
    <definedName function="false" hidden="false" name="ParticipatingFirstAdjustment" vbProcedure="false">MAIN!$BF$7</definedName>
    <definedName function="false" hidden="false" name="ParticipatingSwapPrice" vbProcedure="false">MAIN!$E$47</definedName>
    <definedName function="false" hidden="false" name="ParticipatingSwapValue" vbProcedure="false">MAIN!$BF$6</definedName>
    <definedName function="false" hidden="false" name="ParticipationRate" vbProcedure="false">MAIN!$B$47</definedName>
    <definedName function="false" hidden="false" name="ParticipationType" vbProcedure="false">MAIN!$AT$6</definedName>
    <definedName function="false" hidden="false" name="PositionBrentPrice" vbProcedure="false">MAIN!$P$20</definedName>
    <definedName function="false" hidden="false" name="PositionIR" vbProcedure="false">MAIN!$AO$20</definedName>
    <definedName function="false" hidden="false" name="PositionWTIPrice" vbProcedure="false">MAIN!$J$20</definedName>
    <definedName function="false" hidden="false" name="PositionWTIVol" vbProcedure="false">MAIN!$M$20</definedName>
    <definedName function="false" hidden="false" name="PriceSpreadAsian" vbProcedure="false">MAIN!$B$6</definedName>
    <definedName function="false" hidden="false" name="PriceSpreadEuro" vbProcedure="false">#REF!</definedName>
    <definedName function="false" hidden="false" name="PriceSpreadTable" vbProcedure="false">MAIN!$AB$4:$AD$14</definedName>
    <definedName function="false" hidden="false" name="PricingArea" vbProcedure="false">MAIN!$I$19:$AV$260</definedName>
    <definedName function="false" hidden="false" name="PutGet" vbProcedure="false">FTP!$B$3</definedName>
    <definedName function="false" hidden="false" name="RangePriceBrent" vbProcedure="false">MAIN!$DJ$19:$DK$260</definedName>
    <definedName function="false" hidden="false" name="RangePriceBrentDated" vbProcedure="false">MAIN!$DO$19:$DP$260</definedName>
    <definedName function="false" hidden="false" name="RangePriceBrentPhy" vbProcedure="false">MAIN!$DM$19:$DN$260</definedName>
    <definedName function="false" hidden="false" name="RangePriceWTI" vbProcedure="false">MAIN!$DG$19:$DH$260</definedName>
    <definedName function="false" hidden="false" name="RangeVolBrent" vbProcedure="false">MAIN!$DU$19:$DV$260</definedName>
    <definedName function="false" hidden="false" name="RangeVolBRNTDT" vbProcedure="false">MAIN!$DZ$19:$EA$260</definedName>
    <definedName function="false" hidden="false" name="RangeVolExpPrompt" vbProcedure="false">MAIN!$DX$19:$DY$260</definedName>
    <definedName function="false" hidden="false" name="RangeVolWTI" vbProcedure="false">MAIN!$DR$19:$DS$260</definedName>
    <definedName function="false" hidden="false" name="RegressionParameters" vbProcedure="false">MAIN!$S$18:$U$260</definedName>
    <definedName function="false" hidden="false" name="RemotePath" vbProcedure="false">FTP!$B$5</definedName>
    <definedName function="false" hidden="false" name="Strike1" vbProcedure="false">MAIN!$G$9</definedName>
    <definedName function="false" hidden="false" name="Strike2" vbProcedure="false">MAIN!$G$10</definedName>
    <definedName function="false" hidden="false" name="StrikeSpec1" vbProcedure="false">MAIN!$F$9</definedName>
    <definedName function="false" hidden="false" name="StrikeSpec2" vbProcedure="false">MAIN!$F$10</definedName>
    <definedName function="false" hidden="false" name="SwapCurveBrent" vbProcedure="false">MAIN!$Z$19:$Z$260</definedName>
    <definedName function="false" hidden="false" name="SwapCurveWTI" vbProcedure="false">MAIN!$X$19:$X$260</definedName>
    <definedName function="false" hidden="false" name="SwapFirstMonthPosition" vbProcedure="false">MAIN!$AY$5</definedName>
    <definedName function="false" hidden="false" name="SwapNumOfMonths" vbProcedure="false">MAIN!$AY$4</definedName>
    <definedName function="false" hidden="false" name="SwapPriceCurve" vbProcedure="false">MAIN!$E$6</definedName>
    <definedName function="false" hidden="false" name="SwapPriceSettle" vbProcedure="false">MAIN!$D$6</definedName>
    <definedName function="false" hidden="false" name="SwaptionFirstMonthPosition" vbProcedure="false">MAIN!$AY$8</definedName>
    <definedName function="false" hidden="false" name="SwaptionMonthsToGo" vbProcedure="false">MAIN!$BN$11</definedName>
    <definedName function="false" hidden="false" name="SwaptionNumOfMonths" vbProcedure="false">MAIN!$AY$7</definedName>
    <definedName function="false" hidden="false" name="SwaptionPremium" vbProcedure="false">MAIN!$G$29</definedName>
    <definedName function="false" hidden="false" name="SwaptionShift" vbProcedure="false">MAIN!$BN$12</definedName>
    <definedName function="false" hidden="false" name="SwaptionStrike" vbProcedure="false">MAIN!$G$27</definedName>
    <definedName function="false" hidden="false" name="SwaptionType" vbProcedure="false">MAIN!$AT$5</definedName>
    <definedName function="false" hidden="false" name="SwaptionUnderlyingPrice" vbProcedure="false">MAIN!$D$29</definedName>
    <definedName function="false" hidden="false" name="SwaptionVol" vbProcedure="false">MAIN!$E$29</definedName>
    <definedName function="false" hidden="false" name="SwaptionVolTable" vbProcedure="false">MAIN!$ID$2:$IL$11</definedName>
    <definedName function="false" hidden="false" name="SwaptionYearsToExp" vbProcedure="false">MAIN!$BN$10</definedName>
    <definedName function="false" hidden="false" name="TradingStatusTable" vbProcedure="false">MAIN!$AG$19:$AH$200</definedName>
    <definedName function="false" hidden="false" name="Underlying" vbProcedure="false">MAIN!$AT$3</definedName>
    <definedName function="false" hidden="false" name="UnderlyingPriceAsian" vbProcedure="false">MAIN!$G$6</definedName>
    <definedName function="false" hidden="false" name="VolCurveBrent" vbProcedure="false">MAIN!$AT$20:$AT$260</definedName>
    <definedName function="false" hidden="false" name="VolCurveBrentOTC" vbProcedure="false">MAIN!$AU$19:$AU$260</definedName>
    <definedName function="false" hidden="false" name="VolCurveExpPrompt" vbProcedure="false">MAIN!$S$20:$S$260</definedName>
    <definedName function="false" hidden="false" name="VolCurveWTIOTC" vbProcedure="false">MAIN!$AS$19:$AS$260</definedName>
    <definedName function="false" hidden="false" name="VolSkewFlag" vbProcedure="false">MAIN!$AT$7</definedName>
    <definedName function="false" hidden="false" name="VolSkewTable" vbProcedure="false">MAIN!$T$5:$Z$8</definedName>
    <definedName function="false" hidden="false" name="Volume" vbProcedure="false">MAIN!$C$32</definedName>
    <definedName function="false" hidden="false" name="VolumeOverrideFlag" vbProcedure="false">MAIN!$AT$8</definedName>
    <definedName function="false" hidden="false" name="VolumeSwaption" vbProcedure="false">MAIN!$C$33</definedName>
    <definedName function="true" hidden="false" name="AMER" vbProcedure="true"/>
    <definedName function="true" hidden="false" name="xCrudeAPO" vbProcedure="true"/>
    <definedName function="true" hidden="false" name="xASN" vbProcedure="true"/>
    <definedName function="true" hidden="false" name="EURO" vbProcedure="true"/>
    <definedName function="true" hidden="false" name="xBASVOL" vbProcedure="true"/>
    <definedName function="true" hidden="false" name="xASTRIP" vbProcedure="true"/>
    <definedName function="true" hidden="false" name="xXCOL2" vbProcedure="true"/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<sst xmlns="http://schemas.openxmlformats.org/spreadsheetml/2006/main" count="1613" uniqueCount="502">
  <si>
    <t xml:space="preserve">Swap / Asian Option / Spread Option Term</t>
  </si>
  <si>
    <t xml:space="preserve">Vol Skew Table</t>
  </si>
  <si>
    <t xml:space="preserve">Price Spreads</t>
  </si>
  <si>
    <t xml:space="preserve">Brent Seas</t>
  </si>
  <si>
    <t xml:space="preserve">Brent-</t>
  </si>
  <si>
    <t xml:space="preserve">Euro Option Pricing</t>
  </si>
  <si>
    <t xml:space="preserve">Controls</t>
  </si>
  <si>
    <t xml:space="preserve">Extendable Swap</t>
  </si>
  <si>
    <t xml:space="preserve">Code Table</t>
  </si>
  <si>
    <t xml:space="preserve">Futures' Weights</t>
  </si>
  <si>
    <t xml:space="preserve"># of</t>
  </si>
  <si>
    <t xml:space="preserve">Out Of   </t>
  </si>
  <si>
    <t xml:space="preserve">Period:</t>
  </si>
  <si>
    <t xml:space="preserve">Days</t>
  </si>
  <si>
    <t xml:space="preserve">Put Skew, Strike Below</t>
  </si>
  <si>
    <t xml:space="preserve">Call Skew, Strike Above</t>
  </si>
  <si>
    <t xml:space="preserve">Year</t>
  </si>
  <si>
    <t xml:space="preserve">WTI Y-Y</t>
  </si>
  <si>
    <t xml:space="preserve">WTI-Brent</t>
  </si>
  <si>
    <t xml:space="preserve">Phys-</t>
  </si>
  <si>
    <t xml:space="preserve">Contract Month</t>
  </si>
  <si>
    <t xml:space="preserve">WTI/Brent</t>
  </si>
  <si>
    <t xml:space="preserve">Calc Mode (1-Auto, 2-Man)</t>
  </si>
  <si>
    <t xml:space="preserve">Value</t>
  </si>
  <si>
    <t xml:space="preserve">Jan</t>
  </si>
  <si>
    <t xml:space="preserve">F</t>
  </si>
  <si>
    <t xml:space="preserve">Priced</t>
  </si>
  <si>
    <t xml:space="preserve">Expiry\Tenor</t>
  </si>
  <si>
    <t xml:space="preserve">1 m</t>
  </si>
  <si>
    <t xml:space="preserve">2 m</t>
  </si>
  <si>
    <t xml:space="preserve">4 m</t>
  </si>
  <si>
    <t xml:space="preserve">6 m</t>
  </si>
  <si>
    <t xml:space="preserve">1 y</t>
  </si>
  <si>
    <t xml:space="preserve">3 y</t>
  </si>
  <si>
    <t xml:space="preserve">5 y</t>
  </si>
  <si>
    <t xml:space="preserve">Sprds</t>
  </si>
  <si>
    <t xml:space="preserve">Price Spread</t>
  </si>
  <si>
    <t xml:space="preserve">Swap Price</t>
  </si>
  <si>
    <t xml:space="preserve">Out</t>
  </si>
  <si>
    <t xml:space="preserve">Brent</t>
  </si>
  <si>
    <t xml:space="preserve">Underlying Price</t>
  </si>
  <si>
    <t xml:space="preserve">Option Control</t>
  </si>
  <si>
    <t xml:space="preserve">Swap / APO Num Of Months</t>
  </si>
  <si>
    <t xml:space="preserve">First Adjustment</t>
  </si>
  <si>
    <t xml:space="preserve">Feb</t>
  </si>
  <si>
    <t xml:space="preserve">G</t>
  </si>
  <si>
    <t xml:space="preserve">WTI</t>
  </si>
  <si>
    <t xml:space="preserve">Vs.Curve</t>
  </si>
  <si>
    <t xml:space="preserve">Vs.Settle</t>
  </si>
  <si>
    <t xml:space="preserve">Settle</t>
  </si>
  <si>
    <t xml:space="preserve">Curve</t>
  </si>
  <si>
    <t xml:space="preserve">Override</t>
  </si>
  <si>
    <t xml:space="preserve">Used</t>
  </si>
  <si>
    <t xml:space="preserve">Spread</t>
  </si>
  <si>
    <t xml:space="preserve">Days to Expiration</t>
  </si>
  <si>
    <t xml:space="preserve">Swaption Type</t>
  </si>
  <si>
    <t xml:space="preserve">Swap/APO First Month Position</t>
  </si>
  <si>
    <t xml:space="preserve">Participating Swap</t>
  </si>
  <si>
    <t xml:space="preserve">Mar</t>
  </si>
  <si>
    <t xml:space="preserve">H</t>
  </si>
  <si>
    <t xml:space="preserve">3 m</t>
  </si>
  <si>
    <t xml:space="preserve">ATM Vol</t>
  </si>
  <si>
    <t xml:space="preserve">Participation Type</t>
  </si>
  <si>
    <t xml:space="preserve">Euro Option Month Position</t>
  </si>
  <si>
    <t xml:space="preserve">Apr</t>
  </si>
  <si>
    <t xml:space="preserve">J</t>
  </si>
  <si>
    <t xml:space="preserve">KOS</t>
  </si>
  <si>
    <t xml:space="preserve">Combination Type</t>
  </si>
  <si>
    <t xml:space="preserve">Strikes</t>
  </si>
  <si>
    <t xml:space="preserve">IR</t>
  </si>
  <si>
    <t xml:space="preserve">Vol Skew Flag</t>
  </si>
  <si>
    <t xml:space="preserve">Swaption Num Of Months</t>
  </si>
  <si>
    <t xml:space="preserve">May</t>
  </si>
  <si>
    <t xml:space="preserve">K</t>
  </si>
  <si>
    <t xml:space="preserve">Swaption Moneyness</t>
  </si>
  <si>
    <t xml:space="preserve">9 m</t>
  </si>
  <si>
    <t xml:space="preserve">Specify</t>
  </si>
  <si>
    <t xml:space="preserve">WTI-Brent Vol Adj</t>
  </si>
  <si>
    <t xml:space="preserve">Volume Override</t>
  </si>
  <si>
    <t xml:space="preserve">Swaption First Month Position</t>
  </si>
  <si>
    <t xml:space="preserve">Extendable Collar</t>
  </si>
  <si>
    <t xml:space="preserve">Jun</t>
  </si>
  <si>
    <t xml:space="preserve">M</t>
  </si>
  <si>
    <t xml:space="preserve">Skew</t>
  </si>
  <si>
    <t xml:space="preserve">Rel</t>
  </si>
  <si>
    <t xml:space="preserve">Abs</t>
  </si>
  <si>
    <t xml:space="preserve">Moneyness</t>
  </si>
  <si>
    <t xml:space="preserve">Days for Theta Calculation</t>
  </si>
  <si>
    <t xml:space="preserve">Swaps Involving Curr Mnth Toggle</t>
  </si>
  <si>
    <t xml:space="preserve">Jul</t>
  </si>
  <si>
    <t xml:space="preserve">N</t>
  </si>
  <si>
    <t xml:space="preserve">Marginal Skew/10%</t>
  </si>
  <si>
    <t xml:space="preserve">2 y</t>
  </si>
  <si>
    <t xml:space="preserve">Vol</t>
  </si>
  <si>
    <t xml:space="preserve">Aug</t>
  </si>
  <si>
    <t xml:space="preserve">Q</t>
  </si>
  <si>
    <t xml:space="preserve">Years to Exp</t>
  </si>
  <si>
    <t xml:space="preserve">Asian Option Pricing Results</t>
  </si>
  <si>
    <t xml:space="preserve">Marg Skew/10%</t>
  </si>
  <si>
    <t xml:space="preserve">Position of Next Dec</t>
  </si>
  <si>
    <t xml:space="preserve">Costless Collar</t>
  </si>
  <si>
    <t xml:space="preserve">Sep</t>
  </si>
  <si>
    <t xml:space="preserve">U</t>
  </si>
  <si>
    <t xml:space="preserve">Swaption Months to Go</t>
  </si>
  <si>
    <t xml:space="preserve">ASN</t>
  </si>
  <si>
    <t xml:space="preserve">Prem</t>
  </si>
  <si>
    <t xml:space="preserve">Delta</t>
  </si>
  <si>
    <t xml:space="preserve">Vega</t>
  </si>
  <si>
    <t xml:space="preserve">Costless</t>
  </si>
  <si>
    <t xml:space="preserve">Oct</t>
  </si>
  <si>
    <t xml:space="preserve">V</t>
  </si>
  <si>
    <t xml:space="preserve">0-before opt exp, 1-after</t>
  </si>
  <si>
    <t xml:space="preserve">Collar</t>
  </si>
  <si>
    <t xml:space="preserve">IR Curve Date</t>
  </si>
  <si>
    <t xml:space="preserve">Nov</t>
  </si>
  <si>
    <t xml:space="preserve">X</t>
  </si>
  <si>
    <t xml:space="preserve">Dec</t>
  </si>
  <si>
    <t xml:space="preserve">Z</t>
  </si>
  <si>
    <t xml:space="preserve">Time Line</t>
  </si>
  <si>
    <t xml:space="preserve">WTI Futures Price</t>
  </si>
  <si>
    <t xml:space="preserve">WTI Futures Vol</t>
  </si>
  <si>
    <t xml:space="preserve">Brent Futures Price</t>
  </si>
  <si>
    <t xml:space="preserve">Prompt</t>
  </si>
  <si>
    <t xml:space="preserve">Regression</t>
  </si>
  <si>
    <t xml:space="preserve">Swap Prices</t>
  </si>
  <si>
    <t xml:space="preserve">Expiration Dates</t>
  </si>
  <si>
    <t xml:space="preserve">Status:</t>
  </si>
  <si>
    <t xml:space="preserve">Number of Trading Days</t>
  </si>
  <si>
    <t xml:space="preserve">Discounting</t>
  </si>
  <si>
    <t xml:space="preserve">Volatility</t>
  </si>
  <si>
    <t xml:space="preserve">Nominal</t>
  </si>
  <si>
    <t xml:space="preserve">Cal</t>
  </si>
  <si>
    <t xml:space="preserve">Calendar APO Pricing</t>
  </si>
  <si>
    <t xml:space="preserve">European Option Strip Pricing</t>
  </si>
  <si>
    <t xml:space="preserve">Beta</t>
  </si>
  <si>
    <t xml:space="preserve">R2</t>
  </si>
  <si>
    <t xml:space="preserve">Volume</t>
  </si>
  <si>
    <t xml:space="preserve">A-Act, S-Set</t>
  </si>
  <si>
    <t xml:space="preserve">for Swap Calculation Purposes</t>
  </si>
  <si>
    <t xml:space="preserve">AA-LIBOR</t>
  </si>
  <si>
    <t xml:space="preserve">Treasury</t>
  </si>
  <si>
    <t xml:space="preserve">Information</t>
  </si>
  <si>
    <t xml:space="preserve">Volumes</t>
  </si>
  <si>
    <t xml:space="preserve">Y</t>
  </si>
  <si>
    <t xml:space="preserve">Years to Averaging Periods</t>
  </si>
  <si>
    <t xml:space="preserve">Number of</t>
  </si>
  <si>
    <t xml:space="preserve">Underlying</t>
  </si>
  <si>
    <t xml:space="preserve">ATM Vols</t>
  </si>
  <si>
    <t xml:space="preserve">MargSkew/10%</t>
  </si>
  <si>
    <t xml:space="preserve">Skew-Adjusted Vols</t>
  </si>
  <si>
    <t xml:space="preserve">Premiums and Greeks</t>
  </si>
  <si>
    <t xml:space="preserve">Under-</t>
  </si>
  <si>
    <t xml:space="preserve">Marginal</t>
  </si>
  <si>
    <t xml:space="preserve">ATM</t>
  </si>
  <si>
    <t xml:space="preserve">Skew-Adjusted</t>
  </si>
  <si>
    <t xml:space="preserve">Euro Option Pricing Results</t>
  </si>
  <si>
    <t xml:space="preserve">NYMEX WTI</t>
  </si>
  <si>
    <t xml:space="preserve">I-Int, E-Ext</t>
  </si>
  <si>
    <t xml:space="preserve">DF</t>
  </si>
  <si>
    <t xml:space="preserve">Row</t>
  </si>
  <si>
    <t xml:space="preserve">Swap</t>
  </si>
  <si>
    <t xml:space="preserve">Swaption</t>
  </si>
  <si>
    <t xml:space="preserve">to Euro</t>
  </si>
  <si>
    <t xml:space="preserve">Actual</t>
  </si>
  <si>
    <t xml:space="preserve">Adj-d for VTS</t>
  </si>
  <si>
    <t xml:space="preserve">Trading Days</t>
  </si>
  <si>
    <t xml:space="preserve">(for Vol Skew)</t>
  </si>
  <si>
    <t xml:space="preserve">Prices</t>
  </si>
  <si>
    <t xml:space="preserve">to Exp</t>
  </si>
  <si>
    <t xml:space="preserve">lying</t>
  </si>
  <si>
    <t xml:space="preserve">Brent-Phy</t>
  </si>
  <si>
    <t xml:space="preserve">Brent-Dated</t>
  </si>
  <si>
    <t xml:space="preserve">Exp. Prompt Vol</t>
  </si>
  <si>
    <t xml:space="preserve">BRNTDT</t>
  </si>
  <si>
    <t xml:space="preserve">Vols</t>
  </si>
  <si>
    <t xml:space="preserve">Premiums</t>
  </si>
  <si>
    <t xml:space="preserve">Holiday Schedules</t>
  </si>
  <si>
    <t xml:space="preserve">Yrs</t>
  </si>
  <si>
    <t xml:space="preserve">Act</t>
  </si>
  <si>
    <t xml:space="preserve">Result-</t>
  </si>
  <si>
    <t xml:space="preserve">Collartion</t>
  </si>
  <si>
    <t xml:space="preserve">Exp</t>
  </si>
  <si>
    <t xml:space="preserve">Month</t>
  </si>
  <si>
    <t xml:space="preserve">Change</t>
  </si>
  <si>
    <t xml:space="preserve">Now</t>
  </si>
  <si>
    <t xml:space="preserve">Futures</t>
  </si>
  <si>
    <t xml:space="preserve">Option</t>
  </si>
  <si>
    <t xml:space="preserve">Tot</t>
  </si>
  <si>
    <t xml:space="preserve">Fut1</t>
  </si>
  <si>
    <t xml:space="preserve">Fut2</t>
  </si>
  <si>
    <t xml:space="preserve">OTC</t>
  </si>
  <si>
    <t xml:space="preserve">IPE</t>
  </si>
  <si>
    <t xml:space="preserve">2nd Fut</t>
  </si>
  <si>
    <t xml:space="preserve">Match</t>
  </si>
  <si>
    <t xml:space="preserve">APO</t>
  </si>
  <si>
    <t xml:space="preserve">WTI Exp</t>
  </si>
  <si>
    <t xml:space="preserve">Start1</t>
  </si>
  <si>
    <t xml:space="preserve">End1</t>
  </si>
  <si>
    <t xml:space="preserve">Start2</t>
  </si>
  <si>
    <t xml:space="preserve">End2</t>
  </si>
  <si>
    <t xml:space="preserve">Price</t>
  </si>
  <si>
    <t xml:space="preserve">Price 1</t>
  </si>
  <si>
    <t xml:space="preserve">Price 2</t>
  </si>
  <si>
    <t xml:space="preserve">Vol 1</t>
  </si>
  <si>
    <t xml:space="preserve">Vol 2</t>
  </si>
  <si>
    <t xml:space="preserve">Corr</t>
  </si>
  <si>
    <t xml:space="preserve">Premium</t>
  </si>
  <si>
    <t xml:space="preserve">Theta</t>
  </si>
  <si>
    <t xml:space="preserve">Future</t>
  </si>
  <si>
    <t xml:space="preserve">to Eur</t>
  </si>
  <si>
    <t xml:space="preserve">Cum</t>
  </si>
  <si>
    <t xml:space="preserve">ing Vol</t>
  </si>
  <si>
    <t xml:space="preserve">Weight</t>
  </si>
  <si>
    <t xml:space="preserve">Vol at Expiry</t>
  </si>
  <si>
    <t xml:space="preserve">Vol Skew</t>
  </si>
  <si>
    <t xml:space="preserve">Variance (horizontal axis - time, vertical axis - months to expiry)</t>
  </si>
  <si>
    <t xml:space="preserve">Move</t>
  </si>
  <si>
    <t xml:space="preserve">A</t>
  </si>
  <si>
    <t xml:space="preserve">Reuters Feeds</t>
  </si>
  <si>
    <t xml:space="preserve">Var</t>
  </si>
  <si>
    <t xml:space="preserve">Fut</t>
  </si>
  <si>
    <t xml:space="preserve">Fut*</t>
  </si>
  <si>
    <t xml:space="preserve">Floor</t>
  </si>
  <si>
    <t xml:space="preserve">Cap</t>
  </si>
  <si>
    <t xml:space="preserve">S</t>
  </si>
  <si>
    <t xml:space="preserve">5 m</t>
  </si>
  <si>
    <t xml:space="preserve">x</t>
  </si>
  <si>
    <t xml:space="preserve">Swaption Term</t>
  </si>
  <si>
    <t xml:space="preserve">7 m</t>
  </si>
  <si>
    <t xml:space="preserve">8 m</t>
  </si>
  <si>
    <t xml:space="preserve">Expiry</t>
  </si>
  <si>
    <t xml:space="preserve">Regular</t>
  </si>
  <si>
    <t xml:space="preserve">10 m</t>
  </si>
  <si>
    <t xml:space="preserve">Strike</t>
  </si>
  <si>
    <t xml:space="preserve">11 m</t>
  </si>
  <si>
    <t xml:space="preserve">Vs Settle</t>
  </si>
  <si>
    <t xml:space="preserve">12 m</t>
  </si>
  <si>
    <t xml:space="preserve">13 m</t>
  </si>
  <si>
    <t xml:space="preserve">14 m</t>
  </si>
  <si>
    <t xml:space="preserve">ASTRIP</t>
  </si>
  <si>
    <t xml:space="preserve">Monthly</t>
  </si>
  <si>
    <t xml:space="preserve">Tot Nom</t>
  </si>
  <si>
    <t xml:space="preserve">Tot PV</t>
  </si>
  <si>
    <t xml:space="preserve">Today</t>
  </si>
  <si>
    <t xml:space="preserve">15 m</t>
  </si>
  <si>
    <t xml:space="preserve">Swap/Opt</t>
  </si>
  <si>
    <t xml:space="preserve">16 m</t>
  </si>
  <si>
    <t xml:space="preserve">I</t>
  </si>
  <si>
    <t xml:space="preserve">17 m</t>
  </si>
  <si>
    <t xml:space="preserve">Swap Involving Current Month</t>
  </si>
  <si>
    <t xml:space="preserve">inter</t>
  </si>
  <si>
    <t xml:space="preserve">18 m</t>
  </si>
  <si>
    <t xml:space="preserve">Out Of</t>
  </si>
  <si>
    <t xml:space="preserve">Ave Price So Far</t>
  </si>
  <si>
    <t xml:space="preserve">19 m</t>
  </si>
  <si>
    <t xml:space="preserve">Euro Strip Pricing Results</t>
  </si>
  <si>
    <t xml:space="preserve">20 m</t>
  </si>
  <si>
    <t xml:space="preserve">21 m</t>
  </si>
  <si>
    <t xml:space="preserve">22 m</t>
  </si>
  <si>
    <t xml:space="preserve">23 m</t>
  </si>
  <si>
    <t xml:space="preserve">24 m</t>
  </si>
  <si>
    <t xml:space="preserve">25 m</t>
  </si>
  <si>
    <t xml:space="preserve">26 m</t>
  </si>
  <si>
    <t xml:space="preserve">SkewExp</t>
  </si>
  <si>
    <t xml:space="preserve">SkewNow</t>
  </si>
  <si>
    <t xml:space="preserve">27 m</t>
  </si>
  <si>
    <t xml:space="preserve">28 m</t>
  </si>
  <si>
    <t xml:space="preserve">Participating Swap Pricing</t>
  </si>
  <si>
    <t xml:space="preserve">29 m</t>
  </si>
  <si>
    <t xml:space="preserve">Rate</t>
  </si>
  <si>
    <t xml:space="preserve">30 m</t>
  </si>
  <si>
    <t xml:space="preserve">31 m</t>
  </si>
  <si>
    <t xml:space="preserve">32 m</t>
  </si>
  <si>
    <t xml:space="preserve">33 m</t>
  </si>
  <si>
    <t xml:space="preserve">34 m</t>
  </si>
  <si>
    <t xml:space="preserve">35 m</t>
  </si>
  <si>
    <t xml:space="preserve">36 m</t>
  </si>
  <si>
    <t xml:space="preserve">37 m</t>
  </si>
  <si>
    <t xml:space="preserve">E</t>
  </si>
  <si>
    <t xml:space="preserve">38 m</t>
  </si>
  <si>
    <t xml:space="preserve">extra</t>
  </si>
  <si>
    <t xml:space="preserve">39 m</t>
  </si>
  <si>
    <t xml:space="preserve">40 m</t>
  </si>
  <si>
    <t xml:space="preserve">41 m</t>
  </si>
  <si>
    <t xml:space="preserve">42 m</t>
  </si>
  <si>
    <t xml:space="preserve">43 m</t>
  </si>
  <si>
    <t xml:space="preserve">44 m</t>
  </si>
  <si>
    <t xml:space="preserve">45 m</t>
  </si>
  <si>
    <t xml:space="preserve">46 m</t>
  </si>
  <si>
    <t xml:space="preserve">47 m</t>
  </si>
  <si>
    <t xml:space="preserve">48 m</t>
  </si>
  <si>
    <t xml:space="preserve">49 m</t>
  </si>
  <si>
    <t xml:space="preserve">50 m</t>
  </si>
  <si>
    <t xml:space="preserve">51 m</t>
  </si>
  <si>
    <t xml:space="preserve">52 m</t>
  </si>
  <si>
    <t xml:space="preserve">53 m</t>
  </si>
  <si>
    <t xml:space="preserve">54 m</t>
  </si>
  <si>
    <t xml:space="preserve">55 m</t>
  </si>
  <si>
    <t xml:space="preserve">56 m</t>
  </si>
  <si>
    <t xml:space="preserve">57 m</t>
  </si>
  <si>
    <t xml:space="preserve">58 m</t>
  </si>
  <si>
    <t xml:space="preserve">59 m</t>
  </si>
  <si>
    <t xml:space="preserve">60 m</t>
  </si>
  <si>
    <t xml:space="preserve">61 m</t>
  </si>
  <si>
    <t xml:space="preserve">62 m</t>
  </si>
  <si>
    <t xml:space="preserve">63 m</t>
  </si>
  <si>
    <t xml:space="preserve">64 m</t>
  </si>
  <si>
    <t xml:space="preserve">65 m</t>
  </si>
  <si>
    <t xml:space="preserve">66 m</t>
  </si>
  <si>
    <t xml:space="preserve">67 m</t>
  </si>
  <si>
    <t xml:space="preserve">68 m</t>
  </si>
  <si>
    <t xml:space="preserve">69 m</t>
  </si>
  <si>
    <t xml:space="preserve">70 m</t>
  </si>
  <si>
    <t xml:space="preserve">71 m</t>
  </si>
  <si>
    <t xml:space="preserve">72 m</t>
  </si>
  <si>
    <t xml:space="preserve">73 m</t>
  </si>
  <si>
    <t xml:space="preserve">74 m</t>
  </si>
  <si>
    <t xml:space="preserve">75 m</t>
  </si>
  <si>
    <t xml:space="preserve">76 m</t>
  </si>
  <si>
    <t xml:space="preserve">77 m</t>
  </si>
  <si>
    <t xml:space="preserve">Volatility (horizontal axis - time, vertical axis - months to expiry)</t>
  </si>
  <si>
    <t xml:space="preserve">78 m</t>
  </si>
  <si>
    <t xml:space="preserve">79 m</t>
  </si>
  <si>
    <t xml:space="preserve">80 m</t>
  </si>
  <si>
    <t xml:space="preserve">81 m</t>
  </si>
  <si>
    <t xml:space="preserve">82 m</t>
  </si>
  <si>
    <t xml:space="preserve">83 m</t>
  </si>
  <si>
    <t xml:space="preserve">84 m</t>
  </si>
  <si>
    <t xml:space="preserve">85 m</t>
  </si>
  <si>
    <t xml:space="preserve">86 m</t>
  </si>
  <si>
    <t xml:space="preserve">87 m</t>
  </si>
  <si>
    <t xml:space="preserve">88 m</t>
  </si>
  <si>
    <t xml:space="preserve">89 m</t>
  </si>
  <si>
    <t xml:space="preserve">90 m</t>
  </si>
  <si>
    <t xml:space="preserve">91 m</t>
  </si>
  <si>
    <t xml:space="preserve">92 m</t>
  </si>
  <si>
    <t xml:space="preserve">93 m</t>
  </si>
  <si>
    <t xml:space="preserve">94 m</t>
  </si>
  <si>
    <t xml:space="preserve">95 m</t>
  </si>
  <si>
    <t xml:space="preserve">96 m</t>
  </si>
  <si>
    <t xml:space="preserve">97 m</t>
  </si>
  <si>
    <t xml:space="preserve">98 m</t>
  </si>
  <si>
    <t xml:space="preserve">99 m</t>
  </si>
  <si>
    <t xml:space="preserve">100 m</t>
  </si>
  <si>
    <t xml:space="preserve">101 m</t>
  </si>
  <si>
    <t xml:space="preserve">102 m</t>
  </si>
  <si>
    <t xml:space="preserve">103 m</t>
  </si>
  <si>
    <t xml:space="preserve">104 m</t>
  </si>
  <si>
    <t xml:space="preserve">105 m</t>
  </si>
  <si>
    <t xml:space="preserve">106 m</t>
  </si>
  <si>
    <t xml:space="preserve">107 m</t>
  </si>
  <si>
    <t xml:space="preserve">108 m</t>
  </si>
  <si>
    <t xml:space="preserve">109 m</t>
  </si>
  <si>
    <t xml:space="preserve">110 m</t>
  </si>
  <si>
    <t xml:space="preserve">111 m</t>
  </si>
  <si>
    <t xml:space="preserve">112 m</t>
  </si>
  <si>
    <t xml:space="preserve">113 m</t>
  </si>
  <si>
    <t xml:space="preserve">114 m</t>
  </si>
  <si>
    <t xml:space="preserve">115 m</t>
  </si>
  <si>
    <t xml:space="preserve">116 m</t>
  </si>
  <si>
    <t xml:space="preserve">117 m</t>
  </si>
  <si>
    <t xml:space="preserve">118 m</t>
  </si>
  <si>
    <t xml:space="preserve">119 m</t>
  </si>
  <si>
    <t xml:space="preserve">120 m</t>
  </si>
  <si>
    <t xml:space="preserve">121 m</t>
  </si>
  <si>
    <t xml:space="preserve">122 m</t>
  </si>
  <si>
    <t xml:space="preserve">123 m</t>
  </si>
  <si>
    <t xml:space="preserve">124 m</t>
  </si>
  <si>
    <t xml:space="preserve">125 m</t>
  </si>
  <si>
    <t xml:space="preserve">126 m</t>
  </si>
  <si>
    <t xml:space="preserve">127 m</t>
  </si>
  <si>
    <t xml:space="preserve">128 m</t>
  </si>
  <si>
    <t xml:space="preserve">129 m</t>
  </si>
  <si>
    <t xml:space="preserve">130 m</t>
  </si>
  <si>
    <t xml:space="preserve">131 m</t>
  </si>
  <si>
    <t xml:space="preserve">132 m</t>
  </si>
  <si>
    <t xml:space="preserve">133 m</t>
  </si>
  <si>
    <t xml:space="preserve">134 m</t>
  </si>
  <si>
    <t xml:space="preserve">135 m</t>
  </si>
  <si>
    <t xml:space="preserve">136 m</t>
  </si>
  <si>
    <t xml:space="preserve">137 m</t>
  </si>
  <si>
    <t xml:space="preserve">138 m</t>
  </si>
  <si>
    <t xml:space="preserve">139 m</t>
  </si>
  <si>
    <t xml:space="preserve">140 m</t>
  </si>
  <si>
    <t xml:space="preserve">141 m</t>
  </si>
  <si>
    <t xml:space="preserve">142 m</t>
  </si>
  <si>
    <t xml:space="preserve">143 m</t>
  </si>
  <si>
    <t xml:space="preserve">144 m</t>
  </si>
  <si>
    <t xml:space="preserve">145 m</t>
  </si>
  <si>
    <t xml:space="preserve">146 m</t>
  </si>
  <si>
    <t xml:space="preserve">147 m</t>
  </si>
  <si>
    <t xml:space="preserve">148 m</t>
  </si>
  <si>
    <t xml:space="preserve">149 m</t>
  </si>
  <si>
    <t xml:space="preserve">150 m</t>
  </si>
  <si>
    <t xml:space="preserve">151 m</t>
  </si>
  <si>
    <t xml:space="preserve">152 m</t>
  </si>
  <si>
    <t xml:space="preserve">Swaption Correlation Matrix</t>
  </si>
  <si>
    <t xml:space="preserve">153 m</t>
  </si>
  <si>
    <t xml:space="preserve">154 m</t>
  </si>
  <si>
    <t xml:space="preserve">155 m</t>
  </si>
  <si>
    <t xml:space="preserve">156 m</t>
  </si>
  <si>
    <t xml:space="preserve">157 m</t>
  </si>
  <si>
    <t xml:space="preserve">158 m</t>
  </si>
  <si>
    <t xml:space="preserve">159 m</t>
  </si>
  <si>
    <t xml:space="preserve">160 m</t>
  </si>
  <si>
    <t xml:space="preserve">161 m</t>
  </si>
  <si>
    <t xml:space="preserve">162 m</t>
  </si>
  <si>
    <t xml:space="preserve">163 m</t>
  </si>
  <si>
    <t xml:space="preserve">164 m</t>
  </si>
  <si>
    <t xml:space="preserve">165 m</t>
  </si>
  <si>
    <t xml:space="preserve">166 m</t>
  </si>
  <si>
    <t xml:space="preserve">167 m</t>
  </si>
  <si>
    <t xml:space="preserve">168 m</t>
  </si>
  <si>
    <t xml:space="preserve">169 m</t>
  </si>
  <si>
    <t xml:space="preserve">170 m</t>
  </si>
  <si>
    <t xml:space="preserve">171 m</t>
  </si>
  <si>
    <t xml:space="preserve">172 m</t>
  </si>
  <si>
    <t xml:space="preserve">173 m</t>
  </si>
  <si>
    <t xml:space="preserve">174 m</t>
  </si>
  <si>
    <t xml:space="preserve">175 m</t>
  </si>
  <si>
    <t xml:space="preserve">176 m</t>
  </si>
  <si>
    <t xml:space="preserve">177 m</t>
  </si>
  <si>
    <t xml:space="preserve">178 m</t>
  </si>
  <si>
    <t xml:space="preserve">179 m</t>
  </si>
  <si>
    <t xml:space="preserve">180 m</t>
  </si>
  <si>
    <t xml:space="preserve">181 m</t>
  </si>
  <si>
    <t xml:space="preserve">182 m</t>
  </si>
  <si>
    <t xml:space="preserve">183 m</t>
  </si>
  <si>
    <t xml:space="preserve">184 m</t>
  </si>
  <si>
    <t xml:space="preserve">185 m</t>
  </si>
  <si>
    <t xml:space="preserve">186 m</t>
  </si>
  <si>
    <t xml:space="preserve">187 m</t>
  </si>
  <si>
    <t xml:space="preserve">188 m</t>
  </si>
  <si>
    <t xml:space="preserve">189 m</t>
  </si>
  <si>
    <t xml:space="preserve">190 m</t>
  </si>
  <si>
    <t xml:space="preserve">191 m</t>
  </si>
  <si>
    <t xml:space="preserve">192 m</t>
  </si>
  <si>
    <t xml:space="preserve">193 m</t>
  </si>
  <si>
    <t xml:space="preserve">194 m</t>
  </si>
  <si>
    <t xml:space="preserve">195 m</t>
  </si>
  <si>
    <t xml:space="preserve">196 m</t>
  </si>
  <si>
    <t xml:space="preserve">197 m</t>
  </si>
  <si>
    <t xml:space="preserve">198 m</t>
  </si>
  <si>
    <t xml:space="preserve">199 m</t>
  </si>
  <si>
    <t xml:space="preserve">200 m</t>
  </si>
  <si>
    <t xml:space="preserve">201 m</t>
  </si>
  <si>
    <t xml:space="preserve">202 m</t>
  </si>
  <si>
    <t xml:space="preserve">203 m</t>
  </si>
  <si>
    <t xml:space="preserve">204 m</t>
  </si>
  <si>
    <t xml:space="preserve">205 m</t>
  </si>
  <si>
    <t xml:space="preserve">206 m</t>
  </si>
  <si>
    <t xml:space="preserve">207 m</t>
  </si>
  <si>
    <t xml:space="preserve">208 m</t>
  </si>
  <si>
    <t xml:space="preserve">209 m</t>
  </si>
  <si>
    <t xml:space="preserve">210 m</t>
  </si>
  <si>
    <t xml:space="preserve">211 m</t>
  </si>
  <si>
    <t xml:space="preserve">212 m</t>
  </si>
  <si>
    <t xml:space="preserve">213 m</t>
  </si>
  <si>
    <t xml:space="preserve">214 m</t>
  </si>
  <si>
    <t xml:space="preserve">215 m</t>
  </si>
  <si>
    <t xml:space="preserve">216 m</t>
  </si>
  <si>
    <t xml:space="preserve">217 m</t>
  </si>
  <si>
    <t xml:space="preserve">218 m</t>
  </si>
  <si>
    <t xml:space="preserve">219 m</t>
  </si>
  <si>
    <t xml:space="preserve">220 m</t>
  </si>
  <si>
    <t xml:space="preserve">221 m</t>
  </si>
  <si>
    <t xml:space="preserve">222 m</t>
  </si>
  <si>
    <t xml:space="preserve">223 m</t>
  </si>
  <si>
    <t xml:space="preserve">224 m</t>
  </si>
  <si>
    <t xml:space="preserve">225 m</t>
  </si>
  <si>
    <t xml:space="preserve">226 m</t>
  </si>
  <si>
    <t xml:space="preserve">227 m</t>
  </si>
  <si>
    <t xml:space="preserve">Auxiliary Matrix</t>
  </si>
  <si>
    <t xml:space="preserve">228 m</t>
  </si>
  <si>
    <t xml:space="preserve">229 m</t>
  </si>
  <si>
    <t xml:space="preserve">230 m</t>
  </si>
  <si>
    <t xml:space="preserve">231 m</t>
  </si>
  <si>
    <t xml:space="preserve">232 m</t>
  </si>
  <si>
    <t xml:space="preserve">233 m</t>
  </si>
  <si>
    <t xml:space="preserve">234 m</t>
  </si>
  <si>
    <t xml:space="preserve">235 m</t>
  </si>
  <si>
    <t xml:space="preserve">236 m</t>
  </si>
  <si>
    <t xml:space="preserve">237 m</t>
  </si>
  <si>
    <t xml:space="preserve">238 m</t>
  </si>
  <si>
    <t xml:space="preserve">239 m</t>
  </si>
  <si>
    <t xml:space="preserve">240 m</t>
  </si>
  <si>
    <t xml:space="preserve">241 m</t>
  </si>
  <si>
    <t xml:space="preserve">242 m</t>
  </si>
  <si>
    <t xml:space="preserve">243 m</t>
  </si>
  <si>
    <t xml:space="preserve">244 m</t>
  </si>
  <si>
    <t xml:space="preserve">Swaption Timeline</t>
  </si>
  <si>
    <t xml:space="preserve">FTP DOWNLOAD INFORMATION</t>
  </si>
  <si>
    <t xml:space="preserve">Put or Get:</t>
  </si>
  <si>
    <t xml:space="preserve">Put</t>
  </si>
  <si>
    <t xml:space="preserve">LocalPath:</t>
  </si>
  <si>
    <t xml:space="preserve">o:\global_trading\wti\</t>
  </si>
  <si>
    <t xml:space="preserve">RemotePath:</t>
  </si>
  <si>
    <t xml:space="preserve">/oil/xfiles/</t>
  </si>
  <si>
    <t xml:space="preserve">FileName:</t>
  </si>
  <si>
    <t xml:space="preserve">FileType:</t>
  </si>
  <si>
    <t xml:space="preserve">FTPConfig:</t>
  </si>
  <si>
    <t xml:space="preserve">FTPBatch.ini</t>
  </si>
</sst>
</file>

<file path=xl/styles.xml><?xml version="1.0" encoding="utf-8"?>
<styleSheet xmlns="http://schemas.openxmlformats.org/spreadsheetml/2006/main">
  <numFmts count="21">
    <numFmt numFmtId="164" formatCode="General"/>
    <numFmt numFmtId="165" formatCode="_(\$* #,##0_);_(\$* \(#,##0\);_(\$* \-_);_(@_)"/>
    <numFmt numFmtId="166" formatCode="_(\£* #,##0_);_(\£* \(#,##0\);_(\£* \-_);_(@_)"/>
    <numFmt numFmtId="167" formatCode="_(\$* #,##0.00_);_(\$* \(#,##0.00\);_(\$* \-??_);_(@_)"/>
    <numFmt numFmtId="168" formatCode="_(\£* #,##0.00_);_(\£* \(#,##0.00\);_(\£* \-??_);_(@_)"/>
    <numFmt numFmtId="169" formatCode="0.000"/>
    <numFmt numFmtId="170" formatCode="[$-409]mmm\-yy"/>
    <numFmt numFmtId="171" formatCode="0%"/>
    <numFmt numFmtId="172" formatCode="0.00"/>
    <numFmt numFmtId="173" formatCode="0.0000"/>
    <numFmt numFmtId="174" formatCode="0"/>
    <numFmt numFmtId="175" formatCode="0.00%"/>
    <numFmt numFmtId="176" formatCode="0.00000"/>
    <numFmt numFmtId="177" formatCode="mm/dd/yy"/>
    <numFmt numFmtId="178" formatCode="[$-409]d\-mmm"/>
    <numFmt numFmtId="179" formatCode="dd\-mmm\-yy_)"/>
    <numFmt numFmtId="180" formatCode="dd\-mmm\-yy"/>
    <numFmt numFmtId="181" formatCode="#,##0"/>
    <numFmt numFmtId="182" formatCode="#,##0.00"/>
    <numFmt numFmtId="183" formatCode="_(* #,##0.000_);_(* \(#,##0.000\);_(* \-_);_(@_)"/>
    <numFmt numFmtId="184" formatCode="mmdd"/>
  </numFmts>
  <fonts count="41">
    <font>
      <sz val="10"/>
      <name val="Times New Roman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Courier New"/>
      <family val="0"/>
    </font>
    <font>
      <sz val="10"/>
      <name val="Univers"/>
      <family val="0"/>
    </font>
    <font>
      <b val="true"/>
      <sz val="10"/>
      <name val="Arial"/>
      <family val="2"/>
    </font>
    <font>
      <sz val="10"/>
      <name val="Arial"/>
      <family val="2"/>
    </font>
    <font>
      <b val="true"/>
      <sz val="10"/>
      <name val="Times New Roman"/>
      <family val="1"/>
    </font>
    <font>
      <b val="true"/>
      <sz val="11"/>
      <color rgb="FFE3E3E3"/>
      <name val="Times New Roman"/>
      <family val="1"/>
    </font>
    <font>
      <b val="true"/>
      <sz val="11"/>
      <name val="Times New Roman"/>
      <family val="1"/>
    </font>
    <font>
      <b val="true"/>
      <sz val="8"/>
      <name val="Times New Roman"/>
      <family val="1"/>
    </font>
    <font>
      <b val="true"/>
      <sz val="8"/>
      <name val="Arial"/>
      <family val="2"/>
    </font>
    <font>
      <sz val="10"/>
      <name val="Times New Roman"/>
      <family val="1"/>
    </font>
    <font>
      <b val="true"/>
      <sz val="10"/>
      <color rgb="FF0000FF"/>
      <name val="Times New Roman"/>
      <family val="1"/>
    </font>
    <font>
      <b val="true"/>
      <sz val="10"/>
      <name val="Times New Roman"/>
      <family val="0"/>
    </font>
    <font>
      <b val="true"/>
      <sz val="10"/>
      <color rgb="FF3333CC"/>
      <name val="Arial"/>
      <family val="2"/>
    </font>
    <font>
      <b val="true"/>
      <sz val="11"/>
      <name val="Arial"/>
      <family val="2"/>
    </font>
    <font>
      <b val="true"/>
      <sz val="10"/>
      <color rgb="FF000080"/>
      <name val="Arial"/>
      <family val="2"/>
    </font>
    <font>
      <b val="true"/>
      <sz val="12"/>
      <name val="Arial"/>
      <family val="2"/>
    </font>
    <font>
      <sz val="8"/>
      <name val="Times New Roman"/>
      <family val="1"/>
    </font>
    <font>
      <b val="true"/>
      <sz val="12"/>
      <name val="Times New Roman"/>
      <family val="1"/>
    </font>
    <font>
      <b val="true"/>
      <sz val="10"/>
      <color rgb="FF336666"/>
      <name val="Arial"/>
      <family val="2"/>
    </font>
    <font>
      <b val="true"/>
      <sz val="10"/>
      <color rgb="FF0000FF"/>
      <name val="Arial"/>
      <family val="2"/>
    </font>
    <font>
      <b val="true"/>
      <sz val="10"/>
      <color rgb="FFFFFFFF"/>
      <name val="Arial"/>
      <family val="2"/>
    </font>
    <font>
      <sz val="11"/>
      <name val="Times New Roman"/>
      <family val="1"/>
    </font>
    <font>
      <b val="true"/>
      <sz val="10"/>
      <color rgb="FFFF0000"/>
      <name val="Arial"/>
      <family val="2"/>
    </font>
    <font>
      <b val="true"/>
      <sz val="10"/>
      <color rgb="FF800080"/>
      <name val="Arial"/>
      <family val="2"/>
    </font>
    <font>
      <sz val="8"/>
      <color rgb="FF000000"/>
      <name val="Times New Roman"/>
      <family val="1"/>
    </font>
    <font>
      <sz val="10"/>
      <color rgb="FFFF0000"/>
      <name val="Times New Roman"/>
      <family val="0"/>
    </font>
    <font>
      <b val="true"/>
      <sz val="10"/>
      <color rgb="FF333399"/>
      <name val="Arial"/>
      <family val="2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b val="true"/>
      <sz val="10"/>
      <color rgb="FFE3E3E3"/>
      <name val="Arial"/>
      <family val="2"/>
    </font>
    <font>
      <sz val="8"/>
      <color rgb="FF0000FF"/>
      <name val="Times New Roman"/>
      <family val="1"/>
    </font>
    <font>
      <sz val="8"/>
      <name val="Arial"/>
      <family val="2"/>
    </font>
    <font>
      <sz val="8"/>
      <color rgb="FF000000"/>
      <name val="Arial"/>
      <family val="2"/>
    </font>
    <font>
      <sz val="5.75"/>
      <color rgb="FF000000"/>
      <name val="Arial"/>
      <family val="2"/>
    </font>
    <font>
      <b val="true"/>
      <sz val="10"/>
      <name val="Arial"/>
      <family val="0"/>
    </font>
    <font>
      <b val="true"/>
      <sz val="10"/>
      <name val="Book Antiqua"/>
      <family val="0"/>
    </font>
    <font>
      <b val="true"/>
      <sz val="10"/>
      <color rgb="FFFF0000"/>
      <name val="Book Antiqua"/>
      <family val="1"/>
    </font>
  </fonts>
  <fills count="12">
    <fill>
      <patternFill patternType="none"/>
    </fill>
    <fill>
      <patternFill patternType="gray125"/>
    </fill>
    <fill>
      <patternFill patternType="solid">
        <fgColor rgb="FF008000"/>
        <bgColor rgb="FF339933"/>
      </patternFill>
    </fill>
    <fill>
      <patternFill patternType="solid">
        <fgColor rgb="FFC0C0C0"/>
        <bgColor rgb="FFCC9CCC"/>
      </patternFill>
    </fill>
    <fill>
      <patternFill patternType="solid">
        <fgColor rgb="FFFFFF99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rgb="FFE3E3E3"/>
        <bgColor rgb="FFCCFFCC"/>
      </patternFill>
    </fill>
    <fill>
      <patternFill patternType="solid">
        <fgColor rgb="FFCC9CCC"/>
        <bgColor rgb="FFFF99CC"/>
      </patternFill>
    </fill>
    <fill>
      <patternFill patternType="solid">
        <fgColor rgb="FF808080"/>
        <bgColor rgb="FF969696"/>
      </patternFill>
    </fill>
    <fill>
      <patternFill patternType="solid">
        <fgColor rgb="FF969696"/>
        <bgColor rgb="FF808080"/>
      </patternFill>
    </fill>
    <fill>
      <patternFill patternType="solid">
        <fgColor rgb="FF339933"/>
        <bgColor rgb="FF008000"/>
      </patternFill>
    </fill>
    <fill>
      <patternFill patternType="solid">
        <fgColor rgb="FF00FFFF"/>
        <bgColor rgb="FF00FFFF"/>
      </patternFill>
    </fill>
  </fills>
  <borders count="78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medium"/>
      <bottom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/>
      <right style="thin"/>
      <top/>
      <bottom style="medium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medium"/>
      <right style="thin"/>
      <top style="medium"/>
      <bottom style="medium"/>
      <diagonal/>
    </border>
  </borders>
  <cellStyleXfs count="3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75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6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6" fillId="2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9" fillId="2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0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1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3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0" fillId="0" borderId="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0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6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6" fillId="3" borderId="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3" borderId="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3" borderId="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8" fillId="3" borderId="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8" fillId="4" borderId="1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8" fillId="4" borderId="1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8" fillId="3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3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3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3" borderId="1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2" fillId="3" borderId="1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2" fillId="3" borderId="1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5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3" borderId="2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1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7" fillId="0" borderId="2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2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2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3" fillId="0" borderId="2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3" fillId="0" borderId="2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2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2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8" fillId="0" borderId="13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8" fillId="0" borderId="2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8" fillId="0" borderId="2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0" borderId="2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3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6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1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1" fillId="3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1" fillId="3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1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2" fontId="15" fillId="0" borderId="3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2" fontId="15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2" fontId="7" fillId="0" borderId="2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3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3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3" fillId="0" borderId="33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3" fillId="0" borderId="2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3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3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8" fillId="0" borderId="36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8" fillId="0" borderId="37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8" fillId="0" borderId="1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0" borderId="2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1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2" fontId="7" fillId="0" borderId="3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2" fontId="7" fillId="0" borderId="3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3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6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8" fillId="3" borderId="2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3" borderId="2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3" borderId="2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3" borderId="3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0" borderId="3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3" fontId="8" fillId="0" borderId="2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2" fontId="6" fillId="0" borderId="3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1" fillId="3" borderId="4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4" fontId="7" fillId="0" borderId="2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0" fillId="0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4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2" fontId="7" fillId="0" borderId="4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4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16" fillId="0" borderId="4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16" fillId="3" borderId="3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9" fontId="16" fillId="3" borderId="3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9" fontId="17" fillId="3" borderId="3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9" fontId="16" fillId="0" borderId="4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18" fillId="3" borderId="3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5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4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3" fontId="7" fillId="0" borderId="2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3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3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8" fillId="0" borderId="33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8" fillId="0" borderId="2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" fillId="2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5" fontId="7" fillId="0" borderId="2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3" fillId="0" borderId="22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3" fillId="0" borderId="2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2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3" fontId="13" fillId="0" borderId="25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2" fontId="6" fillId="2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6" fillId="5" borderId="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5" borderId="4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5" borderId="4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9" fillId="3" borderId="2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0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8" fillId="0" borderId="4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3" fontId="8" fillId="0" borderId="37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7" fillId="0" borderId="4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3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2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0" fillId="0" borderId="2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31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3" fillId="0" borderId="3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3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3" fontId="13" fillId="0" borderId="2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2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5" borderId="4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5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5" borderId="4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3" borderId="2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16" fillId="0" borderId="3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16" fillId="3" borderId="25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5" fillId="3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3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3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7" fillId="0" borderId="3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6" fontId="7" fillId="0" borderId="2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3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3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3" fillId="0" borderId="36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3" fillId="0" borderId="3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5" borderId="5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5" borderId="5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5" borderId="5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3" borderId="4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16" fillId="0" borderId="4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16" fillId="3" borderId="37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5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5" fillId="0" borderId="5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8" fillId="0" borderId="1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7" fillId="0" borderId="3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13" fillId="0" borderId="2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5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5" fillId="0" borderId="3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8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4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3" fontId="7" fillId="0" borderId="4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3" fontId="7" fillId="0" borderId="3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8" fillId="5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8" fillId="5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6" fillId="5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1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3" fillId="0" borderId="55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3" fillId="0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5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4" fontId="13" fillId="0" borderId="17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2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8" fillId="3" borderId="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8" fillId="3" borderId="5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1" fillId="3" borderId="5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1" fillId="3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5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8" fillId="5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5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3" fillId="0" borderId="34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3" fillId="0" borderId="3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37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16" fillId="3" borderId="39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8" fillId="3" borderId="29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22" fillId="3" borderId="39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22" fillId="3" borderId="59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12" fillId="3" borderId="4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5" fillId="0" borderId="1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5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7" fontId="6" fillId="4" borderId="1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16" fillId="3" borderId="3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8" fillId="3" borderId="18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22" fillId="3" borderId="3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22" fillId="3" borderId="19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23" fillId="0" borderId="2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8" fillId="0" borderId="4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0" borderId="3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6" fillId="6" borderId="3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8" fillId="6" borderId="18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22" fillId="6" borderId="3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22" fillId="6" borderId="19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22" fillId="3" borderId="6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24" fillId="5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0" fillId="3" borderId="4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0" fillId="3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0" fillId="3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7" fillId="3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3" borderId="3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0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3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5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3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6" fillId="3" borderId="42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8" fillId="3" borderId="4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22" fillId="3" borderId="42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22" fillId="3" borderId="44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22" fillId="3" borderId="45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24" fillId="5" borderId="2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0" fillId="3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0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4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0" fillId="3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1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0" fillId="3" borderId="1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2" fillId="3" borderId="4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5" fillId="3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3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3" borderId="6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3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1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3" borderId="2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0" fillId="3" borderId="4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3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3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3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2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3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3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7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1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1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1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0" fillId="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5" borderId="2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8" fillId="3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1" fillId="3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3" borderId="4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3" borderId="4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3" borderId="1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3" borderId="1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3" borderId="1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1" fillId="3" borderId="4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5" fillId="3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3" borderId="6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3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4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3" borderId="6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1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3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6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3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3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6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6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6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6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6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6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1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5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6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6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2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2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6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6" fillId="2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11" fillId="3" borderId="2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3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4" fillId="5" borderId="4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8" fillId="3" borderId="3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1" fillId="3" borderId="4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3" borderId="4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3" borderId="4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3" borderId="3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26" fillId="0" borderId="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26" fillId="0" borderId="2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3" borderId="5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5" fillId="3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3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3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0" fillId="3" borderId="5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0" fillId="3" borderId="1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0" fillId="3" borderId="6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3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5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3" borderId="6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7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3" borderId="7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7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7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3" borderId="7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0" fillId="3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0" fillId="3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3" borderId="7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3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7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7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7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7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7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7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7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7" fillId="0" borderId="7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7" fillId="0" borderId="7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7" fillId="0" borderId="4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4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3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3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6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0" fillId="0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2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2" fillId="3" borderId="25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8" fillId="3" borderId="4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6" fillId="8" borderId="4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2" fontId="6" fillId="8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8" borderId="3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2" fontId="6" fillId="8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23" fillId="8" borderId="2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3" fontId="23" fillId="8" borderId="39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3" fontId="23" fillId="8" borderId="25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2" fontId="6" fillId="8" borderId="5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27" fillId="0" borderId="7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3" fontId="27" fillId="0" borderId="3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3" fontId="27" fillId="0" borderId="7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4" fontId="6" fillId="0" borderId="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7" fillId="9" borderId="6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9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9" borderId="5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7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7" fillId="0" borderId="4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20" fillId="0" borderId="46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0" fontId="20" fillId="0" borderId="46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0" fontId="28" fillId="0" borderId="46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29" fillId="0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7" fillId="0" borderId="4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4" fontId="7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4" fontId="7" fillId="0" borderId="5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4" fontId="7" fillId="0" borderId="49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5" fontId="0" fillId="8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8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9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" fillId="9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7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7" fillId="0" borderId="4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7" fillId="8" borderId="4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7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7" fillId="0" borderId="4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7" fillId="0" borderId="5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7" fillId="9" borderId="5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4" fontId="7" fillId="9" borderId="46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7" fillId="0" borderId="6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6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0" borderId="6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0" borderId="6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0" borderId="6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7" fillId="0" borderId="6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7" fillId="0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6" fillId="3" borderId="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3" borderId="4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3" borderId="4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13" fillId="3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3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13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13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15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15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1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5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7" fontId="0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0" fillId="0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7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4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0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13" fillId="0" borderId="7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5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7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3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3" fillId="0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" fillId="3" borderId="7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2" fontId="6" fillId="3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3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2" fontId="6" fillId="3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23" fillId="3" borderId="19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3" fontId="23" fillId="0" borderId="3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6" fillId="0" borderId="3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3" fontId="16" fillId="3" borderId="53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3" fontId="16" fillId="3" borderId="39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3" fontId="16" fillId="3" borderId="25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4" fontId="6" fillId="0" borderId="7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7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6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7" fillId="0" borderId="4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20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0" fontId="20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0" fontId="2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4" fontId="7" fillId="0" borderId="4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4" fontId="7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4" fontId="7" fillId="0" borderId="6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4" fontId="7" fillId="0" borderId="4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7" fillId="0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9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" fillId="0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7" fillId="0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7" fillId="0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7" fillId="0" borderId="48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2" fontId="7" fillId="0" borderId="48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2" fontId="7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2" fontId="7" fillId="0" borderId="65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4" fontId="7" fillId="0" borderId="4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7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3" fontId="7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13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15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15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1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5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0" fillId="0" borderId="5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5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4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7" fontId="0" fillId="0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0" fillId="0" borderId="6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3" fillId="0" borderId="1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7" fillId="0" borderId="2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3" fontId="0" fillId="3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3" borderId="5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13" fillId="3" borderId="1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3" fillId="3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3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7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13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13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3" fillId="0" borderId="6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0" borderId="6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2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3" fontId="27" fillId="0" borderId="1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3" fontId="16" fillId="3" borderId="3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3" fontId="16" fillId="3" borderId="2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7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6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0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3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7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3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0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3" fillId="0" borderId="1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13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13" fillId="0" borderId="1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13" fillId="0" borderId="3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3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6" fillId="3" borderId="75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3" fontId="7" fillId="0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3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16" fillId="3" borderId="1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8" fillId="3" borderId="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3" borderId="1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3" borderId="5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3" borderId="1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7" fontId="6" fillId="6" borderId="75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2" fillId="3" borderId="3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4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4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2" fillId="3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16" fillId="0" borderId="3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3" fontId="16" fillId="0" borderId="2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8" fillId="3" borderId="7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16" fillId="0" borderId="5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2" fillId="3" borderId="4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9" borderId="7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23" fillId="9" borderId="1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30" fillId="3" borderId="4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2" fillId="3" borderId="4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3" fontId="16" fillId="3" borderId="3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8" fillId="3" borderId="7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16" fillId="3" borderId="1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" fillId="1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1" fillId="3" borderId="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1" fillId="3" borderId="3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1" fillId="3" borderId="5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1" fillId="3" borderId="2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7" fontId="6" fillId="4" borderId="2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6" fillId="1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2" fillId="3" borderId="1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1" fontId="6" fillId="0" borderId="3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1" fontId="12" fillId="3" borderId="3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1" fontId="12" fillId="3" borderId="19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1" fillId="3" borderId="1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7" fontId="6" fillId="11" borderId="2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2" fillId="3" borderId="4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1" fontId="31" fillId="0" borderId="42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1" fontId="12" fillId="3" borderId="42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1" fontId="12" fillId="3" borderId="44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" fillId="3" borderId="5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3" borderId="5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3" fillId="2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6" fillId="1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12" fillId="5" borderId="6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5" borderId="7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5" borderId="8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3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6" fillId="5" borderId="11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8" fillId="3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0" fontId="34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16" fillId="3" borderId="75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3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5" fillId="3" borderId="3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3" borderId="2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6" fillId="0" borderId="41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6" fillId="0" borderId="42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3" fontId="6" fillId="3" borderId="42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3" fontId="6" fillId="0" borderId="42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6" fillId="3" borderId="42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6" fillId="3" borderId="37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8" fillId="5" borderId="46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8" fillId="5" borderId="4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5" borderId="3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5" borderId="47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1" fontId="6" fillId="0" borderId="4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26" fillId="3" borderId="3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5" borderId="5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5" borderId="52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3" fontId="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74" fontId="13" fillId="0" borderId="6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45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0" fillId="0" borderId="7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0" fillId="0" borderId="7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6" fillId="3" borderId="7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2" fontId="6" fillId="3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4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2" fontId="6" fillId="3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23" fillId="3" borderId="44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3" fontId="23" fillId="0" borderId="4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3" fontId="16" fillId="3" borderId="4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3" fontId="16" fillId="3" borderId="42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3" fontId="16" fillId="3" borderId="37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4" fontId="6" fillId="0" borderId="75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7" fillId="0" borderId="7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5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7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7" fillId="0" borderId="5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34" fillId="0" borderId="5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29" fillId="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9" fillId="0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7" fillId="0" borderId="5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4" fontId="7" fillId="0" borderId="5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4" fontId="7" fillId="0" borderId="6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4" fontId="7" fillId="0" borderId="5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5" fontId="0" fillId="0" borderId="5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5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0" borderId="5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7" fillId="0" borderId="5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" fillId="0" borderId="5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7" fillId="0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7" fillId="0" borderId="5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7" fillId="0" borderId="5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2" fontId="7" fillId="0" borderId="5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2" fontId="7" fillId="0" borderId="51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2" fontId="7" fillId="0" borderId="69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7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7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0" borderId="7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7" fillId="0" borderId="7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7" fillId="0" borderId="5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7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7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7" fillId="0" borderId="5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2" fontId="7" fillId="0" borderId="5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7" fillId="0" borderId="5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3" fontId="7" fillId="0" borderId="5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13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" fillId="3" borderId="4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5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3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3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" fillId="0" borderId="0" xfId="3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3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0" xfId="3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0" xfId="3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0" xfId="3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38" fillId="0" borderId="0" xfId="3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84" fontId="13" fillId="0" borderId="0" xfId="3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0" xfId="32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9" fillId="0" borderId="0" xfId="3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" fillId="0" borderId="0" xfId="3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0" xfId="3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" fillId="0" borderId="0" xfId="3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" fillId="0" borderId="0" xfId="3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1" fillId="0" borderId="0" xfId="3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3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0" xfId="3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32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22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urrency [0]_Front" xfId="20"/>
    <cellStyle name="Currency [0]_Marc_crv" xfId="21"/>
    <cellStyle name="Currency [0]_Opt" xfId="22"/>
    <cellStyle name="Currency [0]_Swaps" xfId="23"/>
    <cellStyle name="Currency [0]_Swp Md" xfId="24"/>
    <cellStyle name="Currency_Front" xfId="25"/>
    <cellStyle name="Currency_Marc_crv" xfId="26"/>
    <cellStyle name="Currency_Opt" xfId="27"/>
    <cellStyle name="Currency_Swaps" xfId="28"/>
    <cellStyle name="Currency_Swp Md" xfId="29"/>
    <cellStyle name="Normal_Data_1" xfId="30"/>
    <cellStyle name="Normal_Front" xfId="31"/>
    <cellStyle name="Normal_Marc_crv" xfId="32"/>
    <cellStyle name="Normal_Opt" xfId="33"/>
    <cellStyle name="Normal_Swaps" xfId="34"/>
    <cellStyle name="Normal_Swp Md" xfId="35"/>
  </cellStyles>
  <dxfs count="3">
    <dxf>
      <font>
        <name val="Times New Roman"/>
        <family val="0"/>
        <color rgb="00FFFFFF"/>
      </font>
      <fill>
        <patternFill>
          <bgColor rgb="FFC0C0C0"/>
        </patternFill>
      </fill>
    </dxf>
    <dxf>
      <font>
        <name val="Times New Roman"/>
        <family val="0"/>
        <color rgb="FF00FF00"/>
      </font>
      <fill>
        <patternFill>
          <bgColor rgb="FF00FF00"/>
        </patternFill>
      </fill>
    </dxf>
    <dxf>
      <font>
        <name val="Times New Roman"/>
        <family val="0"/>
        <color rgb="00FFFFFF"/>
      </font>
      <fill>
        <patternFill>
          <bgColor rgb="FFFF00FF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E3E3E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CCC"/>
      <rgbColor rgb="FFFFCC99"/>
      <rgbColor rgb="FF3366FF"/>
      <rgbColor rgb="FF33CCCC"/>
      <rgbColor rgb="FF99CC00"/>
      <rgbColor rgb="FFFFCC00"/>
      <rgbColor rgb="FFFF9900"/>
      <rgbColor rgb="FFFF6600"/>
      <rgbColor rgb="FF336666"/>
      <rgbColor rgb="FF969696"/>
      <rgbColor rgb="FF3333CC"/>
      <rgbColor rgb="FF339933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xMode val="edge"/>
          <c:yMode val="edge"/>
          <c:x val="0.0283832879200727"/>
          <c:y val="0.0353857041755131"/>
          <c:w val="0.964123524069028"/>
          <c:h val="0.964614295824487"/>
        </c:manualLayout>
      </c:layout>
      <c:lineChart>
        <c:grouping val="standard"/>
        <c:varyColors val="0"/>
        <c:ser>
          <c:idx val="0"/>
          <c:order val="0"/>
          <c:tx>
            <c:strRef>
              <c:f>"Resulting"</c:f>
              <c:strCache>
                <c:ptCount val="1"/>
                <c:pt idx="0">
                  <c:v>Resulting</c:v>
                </c:pt>
              </c:strCache>
            </c:strRef>
          </c:tx>
          <c:spPr>
            <a:solidFill>
              <a:srgbClr val="00ffff"/>
            </a:solidFill>
            <a:ln w="12600">
              <a:solidFill>
                <a:srgbClr val="00ffff"/>
              </a:solidFill>
              <a:round/>
            </a:ln>
          </c:spPr>
          <c:marker>
            <c:symbol val="triangle"/>
            <c:size val="3"/>
            <c:spPr>
              <a:solidFill>
                <a:srgbClr val="00ff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MAIN!$I$20:$I$90</c:f>
              <c:strCache>
                <c:ptCount val="71"/>
                <c:pt idx="0">
                  <c:v>Sep-00</c:v>
                </c:pt>
                <c:pt idx="1">
                  <c:v>Oct-00</c:v>
                </c:pt>
                <c:pt idx="2">
                  <c:v>Nov-00</c:v>
                </c:pt>
                <c:pt idx="3">
                  <c:v>Dec-00</c:v>
                </c:pt>
                <c:pt idx="4">
                  <c:v>Jan-01</c:v>
                </c:pt>
                <c:pt idx="5">
                  <c:v>Feb-01</c:v>
                </c:pt>
                <c:pt idx="6">
                  <c:v>Mar-01</c:v>
                </c:pt>
                <c:pt idx="7">
                  <c:v>Apr-01</c:v>
                </c:pt>
                <c:pt idx="8">
                  <c:v>May-01</c:v>
                </c:pt>
                <c:pt idx="9">
                  <c:v>Jun-01</c:v>
                </c:pt>
                <c:pt idx="10">
                  <c:v>Jul-01</c:v>
                </c:pt>
                <c:pt idx="11">
                  <c:v>Aug-01</c:v>
                </c:pt>
                <c:pt idx="12">
                  <c:v>Sep-01</c:v>
                </c:pt>
                <c:pt idx="13">
                  <c:v>Oct-01</c:v>
                </c:pt>
                <c:pt idx="14">
                  <c:v>Nov-01</c:v>
                </c:pt>
                <c:pt idx="15">
                  <c:v>Dec-01</c:v>
                </c:pt>
                <c:pt idx="16">
                  <c:v>Jan-02</c:v>
                </c:pt>
                <c:pt idx="17">
                  <c:v>Feb-02</c:v>
                </c:pt>
                <c:pt idx="18">
                  <c:v>Mar-02</c:v>
                </c:pt>
                <c:pt idx="19">
                  <c:v>Apr-02</c:v>
                </c:pt>
                <c:pt idx="20">
                  <c:v>May-02</c:v>
                </c:pt>
                <c:pt idx="21">
                  <c:v>Jun-02</c:v>
                </c:pt>
                <c:pt idx="22">
                  <c:v>Jul-02</c:v>
                </c:pt>
                <c:pt idx="23">
                  <c:v>Aug-02</c:v>
                </c:pt>
                <c:pt idx="24">
                  <c:v>Sep-02</c:v>
                </c:pt>
                <c:pt idx="25">
                  <c:v>Oct-02</c:v>
                </c:pt>
                <c:pt idx="26">
                  <c:v>Nov-02</c:v>
                </c:pt>
                <c:pt idx="27">
                  <c:v>Dec-02</c:v>
                </c:pt>
                <c:pt idx="28">
                  <c:v>Jan-03</c:v>
                </c:pt>
                <c:pt idx="29">
                  <c:v>Feb-03</c:v>
                </c:pt>
                <c:pt idx="30">
                  <c:v>Mar-03</c:v>
                </c:pt>
                <c:pt idx="31">
                  <c:v>Apr-03</c:v>
                </c:pt>
                <c:pt idx="32">
                  <c:v>May-03</c:v>
                </c:pt>
                <c:pt idx="33">
                  <c:v>Jun-03</c:v>
                </c:pt>
                <c:pt idx="34">
                  <c:v>Jul-03</c:v>
                </c:pt>
                <c:pt idx="35">
                  <c:v>Aug-03</c:v>
                </c:pt>
                <c:pt idx="36">
                  <c:v>Sep-03</c:v>
                </c:pt>
                <c:pt idx="37">
                  <c:v>Oct-03</c:v>
                </c:pt>
                <c:pt idx="38">
                  <c:v>Nov-03</c:v>
                </c:pt>
                <c:pt idx="39">
                  <c:v>Dec-03</c:v>
                </c:pt>
                <c:pt idx="40">
                  <c:v>Jan-04</c:v>
                </c:pt>
                <c:pt idx="41">
                  <c:v>Feb-04</c:v>
                </c:pt>
                <c:pt idx="42">
                  <c:v>Mar-04</c:v>
                </c:pt>
                <c:pt idx="43">
                  <c:v>Apr-04</c:v>
                </c:pt>
                <c:pt idx="44">
                  <c:v>May-04</c:v>
                </c:pt>
                <c:pt idx="45">
                  <c:v>Jun-04</c:v>
                </c:pt>
                <c:pt idx="46">
                  <c:v>Jul-04</c:v>
                </c:pt>
                <c:pt idx="47">
                  <c:v>Aug-04</c:v>
                </c:pt>
                <c:pt idx="48">
                  <c:v>Sep-04</c:v>
                </c:pt>
                <c:pt idx="49">
                  <c:v>Oct-04</c:v>
                </c:pt>
                <c:pt idx="50">
                  <c:v>Nov-04</c:v>
                </c:pt>
                <c:pt idx="51">
                  <c:v>Dec-04</c:v>
                </c:pt>
                <c:pt idx="52">
                  <c:v>Jan-05</c:v>
                </c:pt>
                <c:pt idx="53">
                  <c:v>Feb-05</c:v>
                </c:pt>
                <c:pt idx="54">
                  <c:v>Mar-05</c:v>
                </c:pt>
                <c:pt idx="55">
                  <c:v>Apr-05</c:v>
                </c:pt>
                <c:pt idx="56">
                  <c:v>May-05</c:v>
                </c:pt>
                <c:pt idx="57">
                  <c:v>Jun-05</c:v>
                </c:pt>
                <c:pt idx="58">
                  <c:v>Jul-05</c:v>
                </c:pt>
                <c:pt idx="59">
                  <c:v>Aug-05</c:v>
                </c:pt>
                <c:pt idx="60">
                  <c:v>Sep-05</c:v>
                </c:pt>
                <c:pt idx="61">
                  <c:v>Oct-05</c:v>
                </c:pt>
                <c:pt idx="62">
                  <c:v>Nov-05</c:v>
                </c:pt>
                <c:pt idx="63">
                  <c:v>Dec-05</c:v>
                </c:pt>
                <c:pt idx="64">
                  <c:v>Jan-06</c:v>
                </c:pt>
                <c:pt idx="65">
                  <c:v>Feb-06</c:v>
                </c:pt>
                <c:pt idx="66">
                  <c:v>Mar-06</c:v>
                </c:pt>
                <c:pt idx="67">
                  <c:v>Apr-06</c:v>
                </c:pt>
                <c:pt idx="68">
                  <c:v>May-06</c:v>
                </c:pt>
                <c:pt idx="69">
                  <c:v>Jun-06</c:v>
                </c:pt>
                <c:pt idx="70">
                  <c:v>Jul-06</c:v>
                </c:pt>
              </c:strCache>
            </c:strRef>
          </c:cat>
          <c:val>
            <c:numRef>
              <c:f>MAIN!$EV$20:$EV$90</c:f>
              <c:numCache>
                <c:formatCode>0.0000</c:formatCode>
                <c:ptCount val="71"/>
                <c:pt idx="0">
                  <c:v>0</c:v>
                </c:pt>
                <c:pt idx="1">
                  <c:v>-0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"Actual"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3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MAIN!$I$20:$I$90</c:f>
              <c:strCache>
                <c:ptCount val="71"/>
                <c:pt idx="0">
                  <c:v>Sep-00</c:v>
                </c:pt>
                <c:pt idx="1">
                  <c:v>Oct-00</c:v>
                </c:pt>
                <c:pt idx="2">
                  <c:v>Nov-00</c:v>
                </c:pt>
                <c:pt idx="3">
                  <c:v>Dec-00</c:v>
                </c:pt>
                <c:pt idx="4">
                  <c:v>Jan-01</c:v>
                </c:pt>
                <c:pt idx="5">
                  <c:v>Feb-01</c:v>
                </c:pt>
                <c:pt idx="6">
                  <c:v>Mar-01</c:v>
                </c:pt>
                <c:pt idx="7">
                  <c:v>Apr-01</c:v>
                </c:pt>
                <c:pt idx="8">
                  <c:v>May-01</c:v>
                </c:pt>
                <c:pt idx="9">
                  <c:v>Jun-01</c:v>
                </c:pt>
                <c:pt idx="10">
                  <c:v>Jul-01</c:v>
                </c:pt>
                <c:pt idx="11">
                  <c:v>Aug-01</c:v>
                </c:pt>
                <c:pt idx="12">
                  <c:v>Sep-01</c:v>
                </c:pt>
                <c:pt idx="13">
                  <c:v>Oct-01</c:v>
                </c:pt>
                <c:pt idx="14">
                  <c:v>Nov-01</c:v>
                </c:pt>
                <c:pt idx="15">
                  <c:v>Dec-01</c:v>
                </c:pt>
                <c:pt idx="16">
                  <c:v>Jan-02</c:v>
                </c:pt>
                <c:pt idx="17">
                  <c:v>Feb-02</c:v>
                </c:pt>
                <c:pt idx="18">
                  <c:v>Mar-02</c:v>
                </c:pt>
                <c:pt idx="19">
                  <c:v>Apr-02</c:v>
                </c:pt>
                <c:pt idx="20">
                  <c:v>May-02</c:v>
                </c:pt>
                <c:pt idx="21">
                  <c:v>Jun-02</c:v>
                </c:pt>
                <c:pt idx="22">
                  <c:v>Jul-02</c:v>
                </c:pt>
                <c:pt idx="23">
                  <c:v>Aug-02</c:v>
                </c:pt>
                <c:pt idx="24">
                  <c:v>Sep-02</c:v>
                </c:pt>
                <c:pt idx="25">
                  <c:v>Oct-02</c:v>
                </c:pt>
                <c:pt idx="26">
                  <c:v>Nov-02</c:v>
                </c:pt>
                <c:pt idx="27">
                  <c:v>Dec-02</c:v>
                </c:pt>
                <c:pt idx="28">
                  <c:v>Jan-03</c:v>
                </c:pt>
                <c:pt idx="29">
                  <c:v>Feb-03</c:v>
                </c:pt>
                <c:pt idx="30">
                  <c:v>Mar-03</c:v>
                </c:pt>
                <c:pt idx="31">
                  <c:v>Apr-03</c:v>
                </c:pt>
                <c:pt idx="32">
                  <c:v>May-03</c:v>
                </c:pt>
                <c:pt idx="33">
                  <c:v>Jun-03</c:v>
                </c:pt>
                <c:pt idx="34">
                  <c:v>Jul-03</c:v>
                </c:pt>
                <c:pt idx="35">
                  <c:v>Aug-03</c:v>
                </c:pt>
                <c:pt idx="36">
                  <c:v>Sep-03</c:v>
                </c:pt>
                <c:pt idx="37">
                  <c:v>Oct-03</c:v>
                </c:pt>
                <c:pt idx="38">
                  <c:v>Nov-03</c:v>
                </c:pt>
                <c:pt idx="39">
                  <c:v>Dec-03</c:v>
                </c:pt>
                <c:pt idx="40">
                  <c:v>Jan-04</c:v>
                </c:pt>
                <c:pt idx="41">
                  <c:v>Feb-04</c:v>
                </c:pt>
                <c:pt idx="42">
                  <c:v>Mar-04</c:v>
                </c:pt>
                <c:pt idx="43">
                  <c:v>Apr-04</c:v>
                </c:pt>
                <c:pt idx="44">
                  <c:v>May-04</c:v>
                </c:pt>
                <c:pt idx="45">
                  <c:v>Jun-04</c:v>
                </c:pt>
                <c:pt idx="46">
                  <c:v>Jul-04</c:v>
                </c:pt>
                <c:pt idx="47">
                  <c:v>Aug-04</c:v>
                </c:pt>
                <c:pt idx="48">
                  <c:v>Sep-04</c:v>
                </c:pt>
                <c:pt idx="49">
                  <c:v>Oct-04</c:v>
                </c:pt>
                <c:pt idx="50">
                  <c:v>Nov-04</c:v>
                </c:pt>
                <c:pt idx="51">
                  <c:v>Dec-04</c:v>
                </c:pt>
                <c:pt idx="52">
                  <c:v>Jan-05</c:v>
                </c:pt>
                <c:pt idx="53">
                  <c:v>Feb-05</c:v>
                </c:pt>
                <c:pt idx="54">
                  <c:v>Mar-05</c:v>
                </c:pt>
                <c:pt idx="55">
                  <c:v>Apr-05</c:v>
                </c:pt>
                <c:pt idx="56">
                  <c:v>May-05</c:v>
                </c:pt>
                <c:pt idx="57">
                  <c:v>Jun-05</c:v>
                </c:pt>
                <c:pt idx="58">
                  <c:v>Jul-05</c:v>
                </c:pt>
                <c:pt idx="59">
                  <c:v>Aug-05</c:v>
                </c:pt>
                <c:pt idx="60">
                  <c:v>Sep-05</c:v>
                </c:pt>
                <c:pt idx="61">
                  <c:v>Oct-05</c:v>
                </c:pt>
                <c:pt idx="62">
                  <c:v>Nov-05</c:v>
                </c:pt>
                <c:pt idx="63">
                  <c:v>Dec-05</c:v>
                </c:pt>
                <c:pt idx="64">
                  <c:v>Jan-06</c:v>
                </c:pt>
                <c:pt idx="65">
                  <c:v>Feb-06</c:v>
                </c:pt>
                <c:pt idx="66">
                  <c:v>Mar-06</c:v>
                </c:pt>
                <c:pt idx="67">
                  <c:v>Apr-06</c:v>
                </c:pt>
                <c:pt idx="68">
                  <c:v>May-06</c:v>
                </c:pt>
                <c:pt idx="69">
                  <c:v>Jun-06</c:v>
                </c:pt>
                <c:pt idx="70">
                  <c:v>Jul-06</c:v>
                </c:pt>
              </c:strCache>
            </c:strRef>
          </c:cat>
          <c:val>
            <c:numRef>
              <c:f>MAIN!$O$20:$O$90</c:f>
              <c:numCache>
                <c:formatCode>0.0000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"Expected"</c:f>
              <c:strCache>
                <c:ptCount val="1"/>
                <c:pt idx="0">
                  <c:v>Expected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3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MAIN!$I$20:$I$90</c:f>
              <c:strCache>
                <c:ptCount val="71"/>
                <c:pt idx="0">
                  <c:v>Sep-00</c:v>
                </c:pt>
                <c:pt idx="1">
                  <c:v>Oct-00</c:v>
                </c:pt>
                <c:pt idx="2">
                  <c:v>Nov-00</c:v>
                </c:pt>
                <c:pt idx="3">
                  <c:v>Dec-00</c:v>
                </c:pt>
                <c:pt idx="4">
                  <c:v>Jan-01</c:v>
                </c:pt>
                <c:pt idx="5">
                  <c:v>Feb-01</c:v>
                </c:pt>
                <c:pt idx="6">
                  <c:v>Mar-01</c:v>
                </c:pt>
                <c:pt idx="7">
                  <c:v>Apr-01</c:v>
                </c:pt>
                <c:pt idx="8">
                  <c:v>May-01</c:v>
                </c:pt>
                <c:pt idx="9">
                  <c:v>Jun-01</c:v>
                </c:pt>
                <c:pt idx="10">
                  <c:v>Jul-01</c:v>
                </c:pt>
                <c:pt idx="11">
                  <c:v>Aug-01</c:v>
                </c:pt>
                <c:pt idx="12">
                  <c:v>Sep-01</c:v>
                </c:pt>
                <c:pt idx="13">
                  <c:v>Oct-01</c:v>
                </c:pt>
                <c:pt idx="14">
                  <c:v>Nov-01</c:v>
                </c:pt>
                <c:pt idx="15">
                  <c:v>Dec-01</c:v>
                </c:pt>
                <c:pt idx="16">
                  <c:v>Jan-02</c:v>
                </c:pt>
                <c:pt idx="17">
                  <c:v>Feb-02</c:v>
                </c:pt>
                <c:pt idx="18">
                  <c:v>Mar-02</c:v>
                </c:pt>
                <c:pt idx="19">
                  <c:v>Apr-02</c:v>
                </c:pt>
                <c:pt idx="20">
                  <c:v>May-02</c:v>
                </c:pt>
                <c:pt idx="21">
                  <c:v>Jun-02</c:v>
                </c:pt>
                <c:pt idx="22">
                  <c:v>Jul-02</c:v>
                </c:pt>
                <c:pt idx="23">
                  <c:v>Aug-02</c:v>
                </c:pt>
                <c:pt idx="24">
                  <c:v>Sep-02</c:v>
                </c:pt>
                <c:pt idx="25">
                  <c:v>Oct-02</c:v>
                </c:pt>
                <c:pt idx="26">
                  <c:v>Nov-02</c:v>
                </c:pt>
                <c:pt idx="27">
                  <c:v>Dec-02</c:v>
                </c:pt>
                <c:pt idx="28">
                  <c:v>Jan-03</c:v>
                </c:pt>
                <c:pt idx="29">
                  <c:v>Feb-03</c:v>
                </c:pt>
                <c:pt idx="30">
                  <c:v>Mar-03</c:v>
                </c:pt>
                <c:pt idx="31">
                  <c:v>Apr-03</c:v>
                </c:pt>
                <c:pt idx="32">
                  <c:v>May-03</c:v>
                </c:pt>
                <c:pt idx="33">
                  <c:v>Jun-03</c:v>
                </c:pt>
                <c:pt idx="34">
                  <c:v>Jul-03</c:v>
                </c:pt>
                <c:pt idx="35">
                  <c:v>Aug-03</c:v>
                </c:pt>
                <c:pt idx="36">
                  <c:v>Sep-03</c:v>
                </c:pt>
                <c:pt idx="37">
                  <c:v>Oct-03</c:v>
                </c:pt>
                <c:pt idx="38">
                  <c:v>Nov-03</c:v>
                </c:pt>
                <c:pt idx="39">
                  <c:v>Dec-03</c:v>
                </c:pt>
                <c:pt idx="40">
                  <c:v>Jan-04</c:v>
                </c:pt>
                <c:pt idx="41">
                  <c:v>Feb-04</c:v>
                </c:pt>
                <c:pt idx="42">
                  <c:v>Mar-04</c:v>
                </c:pt>
                <c:pt idx="43">
                  <c:v>Apr-04</c:v>
                </c:pt>
                <c:pt idx="44">
                  <c:v>May-04</c:v>
                </c:pt>
                <c:pt idx="45">
                  <c:v>Jun-04</c:v>
                </c:pt>
                <c:pt idx="46">
                  <c:v>Jul-04</c:v>
                </c:pt>
                <c:pt idx="47">
                  <c:v>Aug-04</c:v>
                </c:pt>
                <c:pt idx="48">
                  <c:v>Sep-04</c:v>
                </c:pt>
                <c:pt idx="49">
                  <c:v>Oct-04</c:v>
                </c:pt>
                <c:pt idx="50">
                  <c:v>Nov-04</c:v>
                </c:pt>
                <c:pt idx="51">
                  <c:v>Dec-04</c:v>
                </c:pt>
                <c:pt idx="52">
                  <c:v>Jan-05</c:v>
                </c:pt>
                <c:pt idx="53">
                  <c:v>Feb-05</c:v>
                </c:pt>
                <c:pt idx="54">
                  <c:v>Mar-05</c:v>
                </c:pt>
                <c:pt idx="55">
                  <c:v>Apr-05</c:v>
                </c:pt>
                <c:pt idx="56">
                  <c:v>May-05</c:v>
                </c:pt>
                <c:pt idx="57">
                  <c:v>Jun-05</c:v>
                </c:pt>
                <c:pt idx="58">
                  <c:v>Jul-05</c:v>
                </c:pt>
                <c:pt idx="59">
                  <c:v>Aug-05</c:v>
                </c:pt>
                <c:pt idx="60">
                  <c:v>Sep-05</c:v>
                </c:pt>
                <c:pt idx="61">
                  <c:v>Oct-05</c:v>
                </c:pt>
                <c:pt idx="62">
                  <c:v>Nov-05</c:v>
                </c:pt>
                <c:pt idx="63">
                  <c:v>Dec-05</c:v>
                </c:pt>
                <c:pt idx="64">
                  <c:v>Jan-06</c:v>
                </c:pt>
                <c:pt idx="65">
                  <c:v>Feb-06</c:v>
                </c:pt>
                <c:pt idx="66">
                  <c:v>Mar-06</c:v>
                </c:pt>
                <c:pt idx="67">
                  <c:v>Apr-06</c:v>
                </c:pt>
                <c:pt idx="68">
                  <c:v>May-06</c:v>
                </c:pt>
                <c:pt idx="69">
                  <c:v>Jun-06</c:v>
                </c:pt>
                <c:pt idx="70">
                  <c:v>Jul-06</c:v>
                </c:pt>
              </c:strCache>
            </c:strRef>
          </c:cat>
          <c:val>
            <c:numRef>
              <c:f>MAIN!$S$20:$S$90</c:f>
              <c:numCache>
                <c:formatCode>0.0000</c:formatCode>
                <c:ptCount val="71"/>
                <c:pt idx="0">
                  <c:v>0</c:v>
                </c:pt>
                <c:pt idx="1">
                  <c:v>0.38</c:v>
                </c:pt>
                <c:pt idx="2">
                  <c:v>0.39</c:v>
                </c:pt>
                <c:pt idx="3">
                  <c:v>0.3825</c:v>
                </c:pt>
                <c:pt idx="4">
                  <c:v>0.376875</c:v>
                </c:pt>
                <c:pt idx="5">
                  <c:v>0.37265625</c:v>
                </c:pt>
                <c:pt idx="6">
                  <c:v>0.3694921875</c:v>
                </c:pt>
                <c:pt idx="7">
                  <c:v>0.367119140625</c:v>
                </c:pt>
                <c:pt idx="8">
                  <c:v>0.36533935546875</c:v>
                </c:pt>
                <c:pt idx="9">
                  <c:v>0.364004516601563</c:v>
                </c:pt>
                <c:pt idx="10">
                  <c:v>0.363003387451172</c:v>
                </c:pt>
                <c:pt idx="11">
                  <c:v>0.362252540588379</c:v>
                </c:pt>
                <c:pt idx="12">
                  <c:v>0.361689405441284</c:v>
                </c:pt>
                <c:pt idx="13">
                  <c:v>0.361267054080963</c:v>
                </c:pt>
                <c:pt idx="14">
                  <c:v>0.360950290560722</c:v>
                </c:pt>
                <c:pt idx="15">
                  <c:v>0.360712717920542</c:v>
                </c:pt>
                <c:pt idx="16">
                  <c:v>0.360534538440406</c:v>
                </c:pt>
                <c:pt idx="17">
                  <c:v>0.360400903830305</c:v>
                </c:pt>
                <c:pt idx="18">
                  <c:v>0.360300677872729</c:v>
                </c:pt>
                <c:pt idx="19">
                  <c:v>0.360225508404546</c:v>
                </c:pt>
                <c:pt idx="20">
                  <c:v>0.36016913130341</c:v>
                </c:pt>
                <c:pt idx="21">
                  <c:v>0.360126848477557</c:v>
                </c:pt>
                <c:pt idx="22">
                  <c:v>0.360095136358168</c:v>
                </c:pt>
                <c:pt idx="23">
                  <c:v>0.360071352268626</c:v>
                </c:pt>
                <c:pt idx="24">
                  <c:v>0.36005351420147</c:v>
                </c:pt>
                <c:pt idx="25">
                  <c:v>0.360040135651102</c:v>
                </c:pt>
                <c:pt idx="26">
                  <c:v>0.360030101738327</c:v>
                </c:pt>
                <c:pt idx="27">
                  <c:v>0.360022576303745</c:v>
                </c:pt>
                <c:pt idx="28">
                  <c:v>0.360016932227809</c:v>
                </c:pt>
                <c:pt idx="29">
                  <c:v>0.360012699170857</c:v>
                </c:pt>
                <c:pt idx="30">
                  <c:v>0.360009524378142</c:v>
                </c:pt>
                <c:pt idx="31">
                  <c:v>0.360007143283607</c:v>
                </c:pt>
                <c:pt idx="32">
                  <c:v>0.360005357462705</c:v>
                </c:pt>
                <c:pt idx="33">
                  <c:v>0.360004018097029</c:v>
                </c:pt>
                <c:pt idx="34">
                  <c:v>0.360003013572772</c:v>
                </c:pt>
                <c:pt idx="35">
                  <c:v>0.360002260179579</c:v>
                </c:pt>
                <c:pt idx="36">
                  <c:v>0.360001695134684</c:v>
                </c:pt>
                <c:pt idx="37">
                  <c:v>0.360001271351013</c:v>
                </c:pt>
                <c:pt idx="38">
                  <c:v>0.36000095351326</c:v>
                </c:pt>
                <c:pt idx="39">
                  <c:v>0.360000715134945</c:v>
                </c:pt>
                <c:pt idx="40">
                  <c:v>0.360000536351209</c:v>
                </c:pt>
                <c:pt idx="41">
                  <c:v>0.360000402263406</c:v>
                </c:pt>
                <c:pt idx="42">
                  <c:v>0.360000301697555</c:v>
                </c:pt>
                <c:pt idx="43">
                  <c:v>0.360000226273166</c:v>
                </c:pt>
                <c:pt idx="44">
                  <c:v>0.360000169704875</c:v>
                </c:pt>
                <c:pt idx="45">
                  <c:v>0.360000127278656</c:v>
                </c:pt>
                <c:pt idx="46">
                  <c:v>0.360000095458992</c:v>
                </c:pt>
                <c:pt idx="47">
                  <c:v>0.360000071594244</c:v>
                </c:pt>
                <c:pt idx="48">
                  <c:v>0.360000053695683</c:v>
                </c:pt>
                <c:pt idx="49">
                  <c:v>0.360000040271762</c:v>
                </c:pt>
                <c:pt idx="50">
                  <c:v>0.360000030203822</c:v>
                </c:pt>
                <c:pt idx="51">
                  <c:v>0.360000022652866</c:v>
                </c:pt>
                <c:pt idx="52">
                  <c:v>0.36000001698965</c:v>
                </c:pt>
                <c:pt idx="53">
                  <c:v>0.360000012742237</c:v>
                </c:pt>
                <c:pt idx="54">
                  <c:v>0.360000009556678</c:v>
                </c:pt>
                <c:pt idx="55">
                  <c:v>0.360000007167508</c:v>
                </c:pt>
                <c:pt idx="56">
                  <c:v>0.360000005375631</c:v>
                </c:pt>
                <c:pt idx="57">
                  <c:v>0.360000004031724</c:v>
                </c:pt>
                <c:pt idx="58">
                  <c:v>0.360000003023793</c:v>
                </c:pt>
                <c:pt idx="59">
                  <c:v>0.360000002267844</c:v>
                </c:pt>
                <c:pt idx="60">
                  <c:v>0.360000001700883</c:v>
                </c:pt>
                <c:pt idx="61">
                  <c:v>0.360000001275662</c:v>
                </c:pt>
                <c:pt idx="62">
                  <c:v>0.360000000956747</c:v>
                </c:pt>
                <c:pt idx="63">
                  <c:v>0.36000000071756</c:v>
                </c:pt>
                <c:pt idx="64">
                  <c:v>0.36000000053817</c:v>
                </c:pt>
                <c:pt idx="65">
                  <c:v>0.360000000403628</c:v>
                </c:pt>
                <c:pt idx="66">
                  <c:v>0.360000000302721</c:v>
                </c:pt>
                <c:pt idx="67">
                  <c:v>0.360000000227041</c:v>
                </c:pt>
                <c:pt idx="68">
                  <c:v>0.36000000017028</c:v>
                </c:pt>
                <c:pt idx="69">
                  <c:v>0.36000000012771</c:v>
                </c:pt>
                <c:pt idx="70">
                  <c:v>0.360000000095783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13229284"/>
        <c:axId val="81058619"/>
      </c:lineChart>
      <c:lineChart>
        <c:grouping val="standard"/>
        <c:varyColors val="0"/>
        <c:ser>
          <c:idx val="3"/>
          <c:order val="3"/>
          <c:tx>
            <c:strRef>
              <c:f>"Var"</c:f>
              <c:strCache>
                <c:ptCount val="1"/>
                <c:pt idx="0">
                  <c:v>Var</c:v>
                </c:pt>
              </c:strCache>
            </c:strRef>
          </c:tx>
          <c:spPr>
            <a:solidFill>
              <a:srgbClr val="e3e3e3"/>
            </a:solidFill>
            <a:ln w="12600">
              <a:solidFill>
                <a:srgbClr val="e3e3e3"/>
              </a:solidFill>
              <a:round/>
            </a:ln>
          </c:spPr>
          <c:marker>
            <c:symbol val="triangle"/>
            <c:size val="3"/>
            <c:spPr>
              <a:solidFill>
                <a:srgbClr val="e3e3e3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MAIN!$I$20:$I$90</c:f>
              <c:strCache>
                <c:ptCount val="71"/>
                <c:pt idx="0">
                  <c:v>Sep-00</c:v>
                </c:pt>
                <c:pt idx="1">
                  <c:v>Oct-00</c:v>
                </c:pt>
                <c:pt idx="2">
                  <c:v>Nov-00</c:v>
                </c:pt>
                <c:pt idx="3">
                  <c:v>Dec-00</c:v>
                </c:pt>
                <c:pt idx="4">
                  <c:v>Jan-01</c:v>
                </c:pt>
                <c:pt idx="5">
                  <c:v>Feb-01</c:v>
                </c:pt>
                <c:pt idx="6">
                  <c:v>Mar-01</c:v>
                </c:pt>
                <c:pt idx="7">
                  <c:v>Apr-01</c:v>
                </c:pt>
                <c:pt idx="8">
                  <c:v>May-01</c:v>
                </c:pt>
                <c:pt idx="9">
                  <c:v>Jun-01</c:v>
                </c:pt>
                <c:pt idx="10">
                  <c:v>Jul-01</c:v>
                </c:pt>
                <c:pt idx="11">
                  <c:v>Aug-01</c:v>
                </c:pt>
                <c:pt idx="12">
                  <c:v>Sep-01</c:v>
                </c:pt>
                <c:pt idx="13">
                  <c:v>Oct-01</c:v>
                </c:pt>
                <c:pt idx="14">
                  <c:v>Nov-01</c:v>
                </c:pt>
                <c:pt idx="15">
                  <c:v>Dec-01</c:v>
                </c:pt>
                <c:pt idx="16">
                  <c:v>Jan-02</c:v>
                </c:pt>
                <c:pt idx="17">
                  <c:v>Feb-02</c:v>
                </c:pt>
                <c:pt idx="18">
                  <c:v>Mar-02</c:v>
                </c:pt>
                <c:pt idx="19">
                  <c:v>Apr-02</c:v>
                </c:pt>
                <c:pt idx="20">
                  <c:v>May-02</c:v>
                </c:pt>
                <c:pt idx="21">
                  <c:v>Jun-02</c:v>
                </c:pt>
                <c:pt idx="22">
                  <c:v>Jul-02</c:v>
                </c:pt>
                <c:pt idx="23">
                  <c:v>Aug-02</c:v>
                </c:pt>
                <c:pt idx="24">
                  <c:v>Sep-02</c:v>
                </c:pt>
                <c:pt idx="25">
                  <c:v>Oct-02</c:v>
                </c:pt>
                <c:pt idx="26">
                  <c:v>Nov-02</c:v>
                </c:pt>
                <c:pt idx="27">
                  <c:v>Dec-02</c:v>
                </c:pt>
                <c:pt idx="28">
                  <c:v>Jan-03</c:v>
                </c:pt>
                <c:pt idx="29">
                  <c:v>Feb-03</c:v>
                </c:pt>
                <c:pt idx="30">
                  <c:v>Mar-03</c:v>
                </c:pt>
                <c:pt idx="31">
                  <c:v>Apr-03</c:v>
                </c:pt>
                <c:pt idx="32">
                  <c:v>May-03</c:v>
                </c:pt>
                <c:pt idx="33">
                  <c:v>Jun-03</c:v>
                </c:pt>
                <c:pt idx="34">
                  <c:v>Jul-03</c:v>
                </c:pt>
                <c:pt idx="35">
                  <c:v>Aug-03</c:v>
                </c:pt>
                <c:pt idx="36">
                  <c:v>Sep-03</c:v>
                </c:pt>
                <c:pt idx="37">
                  <c:v>Oct-03</c:v>
                </c:pt>
                <c:pt idx="38">
                  <c:v>Nov-03</c:v>
                </c:pt>
                <c:pt idx="39">
                  <c:v>Dec-03</c:v>
                </c:pt>
                <c:pt idx="40">
                  <c:v>Jan-04</c:v>
                </c:pt>
                <c:pt idx="41">
                  <c:v>Feb-04</c:v>
                </c:pt>
                <c:pt idx="42">
                  <c:v>Mar-04</c:v>
                </c:pt>
                <c:pt idx="43">
                  <c:v>Apr-04</c:v>
                </c:pt>
                <c:pt idx="44">
                  <c:v>May-04</c:v>
                </c:pt>
                <c:pt idx="45">
                  <c:v>Jun-04</c:v>
                </c:pt>
                <c:pt idx="46">
                  <c:v>Jul-04</c:v>
                </c:pt>
                <c:pt idx="47">
                  <c:v>Aug-04</c:v>
                </c:pt>
                <c:pt idx="48">
                  <c:v>Sep-04</c:v>
                </c:pt>
                <c:pt idx="49">
                  <c:v>Oct-04</c:v>
                </c:pt>
                <c:pt idx="50">
                  <c:v>Nov-04</c:v>
                </c:pt>
                <c:pt idx="51">
                  <c:v>Dec-04</c:v>
                </c:pt>
                <c:pt idx="52">
                  <c:v>Jan-05</c:v>
                </c:pt>
                <c:pt idx="53">
                  <c:v>Feb-05</c:v>
                </c:pt>
                <c:pt idx="54">
                  <c:v>Mar-05</c:v>
                </c:pt>
                <c:pt idx="55">
                  <c:v>Apr-05</c:v>
                </c:pt>
                <c:pt idx="56">
                  <c:v>May-05</c:v>
                </c:pt>
                <c:pt idx="57">
                  <c:v>Jun-05</c:v>
                </c:pt>
                <c:pt idx="58">
                  <c:v>Jul-05</c:v>
                </c:pt>
                <c:pt idx="59">
                  <c:v>Aug-05</c:v>
                </c:pt>
                <c:pt idx="60">
                  <c:v>Sep-05</c:v>
                </c:pt>
                <c:pt idx="61">
                  <c:v>Oct-05</c:v>
                </c:pt>
                <c:pt idx="62">
                  <c:v>Nov-05</c:v>
                </c:pt>
                <c:pt idx="63">
                  <c:v>Dec-05</c:v>
                </c:pt>
                <c:pt idx="64">
                  <c:v>Jan-06</c:v>
                </c:pt>
                <c:pt idx="65">
                  <c:v>Feb-06</c:v>
                </c:pt>
                <c:pt idx="66">
                  <c:v>Mar-06</c:v>
                </c:pt>
                <c:pt idx="67">
                  <c:v>Apr-06</c:v>
                </c:pt>
                <c:pt idx="68">
                  <c:v>May-06</c:v>
                </c:pt>
                <c:pt idx="69">
                  <c:v>Jun-06</c:v>
                </c:pt>
                <c:pt idx="70">
                  <c:v>Jul-06</c:v>
                </c:pt>
              </c:strCache>
            </c:strRef>
          </c:cat>
          <c:val>
            <c:numRef>
              <c:f>MAIN!$EU$20:$EU$90</c:f>
              <c:numCache>
                <c:formatCode>0.000</c:formatCode>
                <c:ptCount val="71"/>
                <c:pt idx="0">
                  <c:v>-0</c:v>
                </c:pt>
                <c:pt idx="1">
                  <c:v>-0</c:v>
                </c:pt>
                <c:pt idx="2">
                  <c:v>-0</c:v>
                </c:pt>
                <c:pt idx="3">
                  <c:v>-0</c:v>
                </c:pt>
                <c:pt idx="4">
                  <c:v>-0</c:v>
                </c:pt>
                <c:pt idx="5">
                  <c:v>-0</c:v>
                </c:pt>
                <c:pt idx="6">
                  <c:v>-0</c:v>
                </c:pt>
                <c:pt idx="7">
                  <c:v>-0</c:v>
                </c:pt>
                <c:pt idx="8">
                  <c:v>-0</c:v>
                </c:pt>
                <c:pt idx="9">
                  <c:v>-0</c:v>
                </c:pt>
                <c:pt idx="10">
                  <c:v>-0</c:v>
                </c:pt>
                <c:pt idx="11">
                  <c:v>-0</c:v>
                </c:pt>
                <c:pt idx="12">
                  <c:v>-0</c:v>
                </c:pt>
                <c:pt idx="13">
                  <c:v>-0</c:v>
                </c:pt>
                <c:pt idx="14">
                  <c:v>-0</c:v>
                </c:pt>
                <c:pt idx="15">
                  <c:v>-0</c:v>
                </c:pt>
                <c:pt idx="16">
                  <c:v>-0</c:v>
                </c:pt>
                <c:pt idx="17">
                  <c:v>-0</c:v>
                </c:pt>
                <c:pt idx="18">
                  <c:v>-0</c:v>
                </c:pt>
                <c:pt idx="19">
                  <c:v>-0</c:v>
                </c:pt>
                <c:pt idx="20">
                  <c:v>-0</c:v>
                </c:pt>
                <c:pt idx="21">
                  <c:v>-0</c:v>
                </c:pt>
                <c:pt idx="22">
                  <c:v>-0</c:v>
                </c:pt>
                <c:pt idx="23">
                  <c:v>-0</c:v>
                </c:pt>
                <c:pt idx="24">
                  <c:v>-0</c:v>
                </c:pt>
                <c:pt idx="25">
                  <c:v>-0</c:v>
                </c:pt>
                <c:pt idx="26">
                  <c:v>-0</c:v>
                </c:pt>
                <c:pt idx="27">
                  <c:v>-0</c:v>
                </c:pt>
                <c:pt idx="28">
                  <c:v>-0</c:v>
                </c:pt>
                <c:pt idx="29">
                  <c:v>-0</c:v>
                </c:pt>
                <c:pt idx="30">
                  <c:v>-0</c:v>
                </c:pt>
                <c:pt idx="31">
                  <c:v>-0</c:v>
                </c:pt>
                <c:pt idx="32">
                  <c:v>-0</c:v>
                </c:pt>
                <c:pt idx="33">
                  <c:v>-0</c:v>
                </c:pt>
                <c:pt idx="34">
                  <c:v>-0</c:v>
                </c:pt>
                <c:pt idx="35">
                  <c:v>-0</c:v>
                </c:pt>
                <c:pt idx="36">
                  <c:v>-0</c:v>
                </c:pt>
                <c:pt idx="37">
                  <c:v>-0</c:v>
                </c:pt>
                <c:pt idx="38">
                  <c:v>-0</c:v>
                </c:pt>
                <c:pt idx="39">
                  <c:v>-0</c:v>
                </c:pt>
                <c:pt idx="40">
                  <c:v>-0</c:v>
                </c:pt>
                <c:pt idx="41">
                  <c:v>-0</c:v>
                </c:pt>
                <c:pt idx="42">
                  <c:v>-0</c:v>
                </c:pt>
                <c:pt idx="43">
                  <c:v>-0</c:v>
                </c:pt>
                <c:pt idx="44">
                  <c:v>-0</c:v>
                </c:pt>
                <c:pt idx="45">
                  <c:v>-0</c:v>
                </c:pt>
                <c:pt idx="46">
                  <c:v>-0</c:v>
                </c:pt>
                <c:pt idx="47">
                  <c:v>-0</c:v>
                </c:pt>
                <c:pt idx="48">
                  <c:v>-0</c:v>
                </c:pt>
                <c:pt idx="49">
                  <c:v>-0</c:v>
                </c:pt>
                <c:pt idx="50">
                  <c:v>-0</c:v>
                </c:pt>
                <c:pt idx="51">
                  <c:v>-0</c:v>
                </c:pt>
                <c:pt idx="52">
                  <c:v>-0</c:v>
                </c:pt>
                <c:pt idx="53">
                  <c:v>-0</c:v>
                </c:pt>
                <c:pt idx="54">
                  <c:v>-0</c:v>
                </c:pt>
                <c:pt idx="55">
                  <c:v>-0</c:v>
                </c:pt>
                <c:pt idx="56">
                  <c:v>-0</c:v>
                </c:pt>
                <c:pt idx="57">
                  <c:v>-0</c:v>
                </c:pt>
                <c:pt idx="58">
                  <c:v>-0</c:v>
                </c:pt>
                <c:pt idx="59">
                  <c:v>-0</c:v>
                </c:pt>
                <c:pt idx="60">
                  <c:v>-0</c:v>
                </c:pt>
                <c:pt idx="61">
                  <c:v>-0</c:v>
                </c:pt>
                <c:pt idx="62">
                  <c:v>-0</c:v>
                </c:pt>
                <c:pt idx="63">
                  <c:v>-0</c:v>
                </c:pt>
                <c:pt idx="64">
                  <c:v>-0</c:v>
                </c:pt>
                <c:pt idx="65">
                  <c:v>-0</c:v>
                </c:pt>
                <c:pt idx="66">
                  <c:v>-0</c:v>
                </c:pt>
                <c:pt idx="67">
                  <c:v>-0</c:v>
                </c:pt>
                <c:pt idx="68">
                  <c:v>-0</c:v>
                </c:pt>
                <c:pt idx="69">
                  <c:v>-0</c:v>
                </c:pt>
                <c:pt idx="70">
                  <c:v>-0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42731413"/>
        <c:axId val="98406551"/>
      </c:lineChart>
      <c:catAx>
        <c:axId val="132292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1058619"/>
        <c:auto val="1"/>
        <c:lblAlgn val="ctr"/>
        <c:lblOffset val="100"/>
        <c:noMultiLvlLbl val="0"/>
      </c:catAx>
      <c:valAx>
        <c:axId val="81058619"/>
        <c:scaling>
          <c:orientation val="minMax"/>
          <c:max val="0.45"/>
          <c:min val="0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00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3229284"/>
        <c:crossesAt val="1"/>
        <c:crossBetween val="midCat"/>
      </c:valAx>
      <c:catAx>
        <c:axId val="42731413"/>
        <c:scaling>
          <c:orientation val="minMax"/>
        </c:scaling>
        <c:delete val="1"/>
        <c:axPos val="t"/>
        <c:numFmt formatCode="[$-409]mmm\-yy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8406551"/>
        <c:auto val="1"/>
        <c:lblAlgn val="ctr"/>
        <c:lblOffset val="100"/>
        <c:noMultiLvlLbl val="0"/>
      </c:catAx>
      <c:valAx>
        <c:axId val="98406551"/>
        <c:scaling>
          <c:orientation val="minMax"/>
        </c:scaling>
        <c:delete val="0"/>
        <c:axPos val="r"/>
        <c:numFmt formatCode="0.000" sourceLinked="1"/>
        <c:majorTickMark val="cross"/>
        <c:minorTickMark val="none"/>
        <c:tickLblPos val="none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uFillTx/>
                <a:latin typeface="Arial"/>
              </a:defRPr>
            </a:pPr>
          </a:p>
        </c:txPr>
        <c:crossAx val="42731413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xMode val="edge"/>
          <c:yMode val="edge"/>
          <c:x val="0.0239808153477218"/>
          <c:y val="0.0814332247557003"/>
          <c:w val="0.976019184652278"/>
          <c:h val="0.9185667752443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MAIN!$U$5:$Z$5</c:f>
              <c:numCache>
                <c:formatCode>0.0000</c:formatCode>
                <c:ptCount val="6"/>
                <c:pt idx="0">
                  <c:v>0.02</c:v>
                </c:pt>
                <c:pt idx="1">
                  <c:v>0.016</c:v>
                </c:pt>
                <c:pt idx="2">
                  <c:v>0.012</c:v>
                </c:pt>
                <c:pt idx="3">
                  <c:v>0.0025</c:v>
                </c:pt>
                <c:pt idx="4">
                  <c:v>0.0035</c:v>
                </c:pt>
                <c:pt idx="5">
                  <c:v>0.0045</c:v>
                </c:pt>
              </c:numCache>
            </c:numRef>
          </c:val>
          <c:smooth val="0"/>
        </c:ser>
        <c:ser>
          <c:idx val="1"/>
          <c:order val="1"/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MAIN!$U$6:$Z$6</c:f>
              <c:numCache>
                <c:formatCode>0.0000</c:formatCode>
                <c:ptCount val="6"/>
                <c:pt idx="0">
                  <c:v>0.018</c:v>
                </c:pt>
                <c:pt idx="1">
                  <c:v>0.013</c:v>
                </c:pt>
                <c:pt idx="2">
                  <c:v>0.008</c:v>
                </c:pt>
                <c:pt idx="3">
                  <c:v>0.0015</c:v>
                </c:pt>
                <c:pt idx="4">
                  <c:v>0.002</c:v>
                </c:pt>
                <c:pt idx="5">
                  <c:v>0.0025</c:v>
                </c:pt>
              </c:numCache>
            </c:numRef>
          </c:val>
          <c:smooth val="0"/>
        </c:ser>
        <c:ser>
          <c:idx val="2"/>
          <c:order val="2"/>
          <c:spPr>
            <a:solidFill>
              <a:srgbClr val="ffff00"/>
            </a:solidFill>
            <a:ln w="12600">
              <a:solidFill>
                <a:srgbClr val="ffff00"/>
              </a:solidFill>
              <a:round/>
            </a:ln>
          </c:spPr>
          <c:marker>
            <c:symbol val="triangle"/>
            <c:size val="5"/>
            <c:spPr>
              <a:solidFill>
                <a:srgbClr val="ffff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MAIN!$U$7:$Z$7</c:f>
              <c:numCache>
                <c:formatCode>0.0000</c:formatCode>
                <c:ptCount val="6"/>
                <c:pt idx="0">
                  <c:v>0.018</c:v>
                </c:pt>
                <c:pt idx="1">
                  <c:v>0.013</c:v>
                </c:pt>
                <c:pt idx="2">
                  <c:v>0.008</c:v>
                </c:pt>
                <c:pt idx="3">
                  <c:v>0.001</c:v>
                </c:pt>
                <c:pt idx="4">
                  <c:v>0.0015</c:v>
                </c:pt>
                <c:pt idx="5">
                  <c:v>0.002</c:v>
                </c:pt>
              </c:numCache>
            </c:numRef>
          </c:val>
          <c:smooth val="0"/>
        </c:ser>
        <c:ser>
          <c:idx val="3"/>
          <c:order val="3"/>
          <c:spPr>
            <a:solidFill>
              <a:srgbClr val="00ffff"/>
            </a:solidFill>
            <a:ln w="12600">
              <a:solidFill>
                <a:srgbClr val="00ffff"/>
              </a:solidFill>
              <a:round/>
            </a:ln>
          </c:spPr>
          <c:marker>
            <c:symbol val="x"/>
            <c:size val="5"/>
            <c:spPr>
              <a:solidFill>
                <a:srgbClr val="00ff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MAIN!$U$8:$Z$8</c:f>
              <c:numCache>
                <c:formatCode>0.0000</c:formatCode>
                <c:ptCount val="6"/>
                <c:pt idx="0">
                  <c:v>0.012</c:v>
                </c:pt>
                <c:pt idx="1">
                  <c:v>0.008</c:v>
                </c:pt>
                <c:pt idx="2">
                  <c:v>0.004</c:v>
                </c:pt>
                <c:pt idx="3">
                  <c:v>0.0005</c:v>
                </c:pt>
                <c:pt idx="4">
                  <c:v>0.0005</c:v>
                </c:pt>
                <c:pt idx="5">
                  <c:v>0.0005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44046104"/>
        <c:axId val="82822864"/>
      </c:lineChart>
      <c:catAx>
        <c:axId val="44046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one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uFillTx/>
                <a:latin typeface="Arial"/>
              </a:defRPr>
            </a:pPr>
          </a:p>
        </c:txPr>
        <c:crossAx val="82822864"/>
        <c:crossesAt val="0"/>
        <c:auto val="1"/>
        <c:lblAlgn val="ctr"/>
        <c:lblOffset val="100"/>
        <c:noMultiLvlLbl val="0"/>
      </c:catAx>
      <c:valAx>
        <c:axId val="82822864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00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5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404610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xMode val="edge"/>
          <c:yMode val="edge"/>
          <c:x val="0.0403681575972873"/>
          <c:y val="0.0393368923855015"/>
          <c:w val="0.959631842402713"/>
          <c:h val="0.914442259061534"/>
        </c:manualLayout>
      </c:layout>
      <c:lineChart>
        <c:grouping val="standard"/>
        <c:varyColors val="0"/>
        <c:ser>
          <c:idx val="0"/>
          <c:order val="0"/>
          <c:tx>
            <c:strRef>
              <c:f>"WTI-Settle"</c:f>
              <c:strCache>
                <c:ptCount val="1"/>
                <c:pt idx="0">
                  <c:v>WTI-Settle</c:v>
                </c:pt>
              </c:strCache>
            </c:strRef>
          </c:tx>
          <c:spPr>
            <a:solidFill>
              <a:srgbClr val="3366ff"/>
            </a:solidFill>
            <a:ln w="12600">
              <a:solidFill>
                <a:srgbClr val="3366ff"/>
              </a:solidFill>
              <a:round/>
            </a:ln>
          </c:spPr>
          <c:marker>
            <c:symbol val="diamond"/>
            <c:size val="5"/>
            <c:spPr>
              <a:solidFill>
                <a:srgbClr val="3366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MAIN!$I$20:$I$38</c:f>
              <c:strCache>
                <c:ptCount val="19"/>
                <c:pt idx="0">
                  <c:v>Sep-00</c:v>
                </c:pt>
                <c:pt idx="1">
                  <c:v>Oct-00</c:v>
                </c:pt>
                <c:pt idx="2">
                  <c:v>Nov-00</c:v>
                </c:pt>
                <c:pt idx="3">
                  <c:v>Dec-00</c:v>
                </c:pt>
                <c:pt idx="4">
                  <c:v>Jan-01</c:v>
                </c:pt>
                <c:pt idx="5">
                  <c:v>Feb-01</c:v>
                </c:pt>
                <c:pt idx="6">
                  <c:v>Mar-01</c:v>
                </c:pt>
                <c:pt idx="7">
                  <c:v>Apr-01</c:v>
                </c:pt>
                <c:pt idx="8">
                  <c:v>May-01</c:v>
                </c:pt>
                <c:pt idx="9">
                  <c:v>Jun-01</c:v>
                </c:pt>
                <c:pt idx="10">
                  <c:v>Jul-01</c:v>
                </c:pt>
                <c:pt idx="11">
                  <c:v>Aug-01</c:v>
                </c:pt>
                <c:pt idx="12">
                  <c:v>Sep-01</c:v>
                </c:pt>
                <c:pt idx="13">
                  <c:v>Oct-01</c:v>
                </c:pt>
                <c:pt idx="14">
                  <c:v>Nov-01</c:v>
                </c:pt>
                <c:pt idx="15">
                  <c:v>Dec-01</c:v>
                </c:pt>
                <c:pt idx="16">
                  <c:v>Jan-02</c:v>
                </c:pt>
                <c:pt idx="17">
                  <c:v>Feb-02</c:v>
                </c:pt>
                <c:pt idx="18">
                  <c:v>Mar-02</c:v>
                </c:pt>
              </c:strCache>
            </c:strRef>
          </c:cat>
          <c:val>
            <c:numRef>
              <c:f>MAIN!$J$20:$J$38</c:f>
              <c:numCache>
                <c:formatCode>General</c:formatCode>
                <c:ptCount val="19"/>
              </c:numCache>
            </c:numRef>
          </c:val>
          <c:smooth val="0"/>
        </c:ser>
        <c:ser>
          <c:idx val="1"/>
          <c:order val="1"/>
          <c:tx>
            <c:strRef>
              <c:f>"WTI-Curve"</c:f>
              <c:strCache>
                <c:ptCount val="1"/>
                <c:pt idx="0">
                  <c:v>WTI-Curve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3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MAIN!$I$20:$I$38</c:f>
              <c:strCache>
                <c:ptCount val="19"/>
                <c:pt idx="0">
                  <c:v>Sep-00</c:v>
                </c:pt>
                <c:pt idx="1">
                  <c:v>Oct-00</c:v>
                </c:pt>
                <c:pt idx="2">
                  <c:v>Nov-00</c:v>
                </c:pt>
                <c:pt idx="3">
                  <c:v>Dec-00</c:v>
                </c:pt>
                <c:pt idx="4">
                  <c:v>Jan-01</c:v>
                </c:pt>
                <c:pt idx="5">
                  <c:v>Feb-01</c:v>
                </c:pt>
                <c:pt idx="6">
                  <c:v>Mar-01</c:v>
                </c:pt>
                <c:pt idx="7">
                  <c:v>Apr-01</c:v>
                </c:pt>
                <c:pt idx="8">
                  <c:v>May-01</c:v>
                </c:pt>
                <c:pt idx="9">
                  <c:v>Jun-01</c:v>
                </c:pt>
                <c:pt idx="10">
                  <c:v>Jul-01</c:v>
                </c:pt>
                <c:pt idx="11">
                  <c:v>Aug-01</c:v>
                </c:pt>
                <c:pt idx="12">
                  <c:v>Sep-01</c:v>
                </c:pt>
                <c:pt idx="13">
                  <c:v>Oct-01</c:v>
                </c:pt>
                <c:pt idx="14">
                  <c:v>Nov-01</c:v>
                </c:pt>
                <c:pt idx="15">
                  <c:v>Dec-01</c:v>
                </c:pt>
                <c:pt idx="16">
                  <c:v>Jan-02</c:v>
                </c:pt>
                <c:pt idx="17">
                  <c:v>Feb-02</c:v>
                </c:pt>
                <c:pt idx="18">
                  <c:v>Mar-02</c:v>
                </c:pt>
              </c:strCache>
            </c:strRef>
          </c:cat>
          <c:val>
            <c:numRef>
              <c:f>MAIN!$L$20:$L$38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4">
                  <c:v>0</c:v>
                </c:pt>
                <c:pt idx="1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"Brent-Settle"</c:f>
              <c:strCache>
                <c:ptCount val="1"/>
                <c:pt idx="0">
                  <c:v>Brent-Settle</c:v>
                </c:pt>
              </c:strCache>
            </c:strRef>
          </c:tx>
          <c:spPr>
            <a:solidFill>
              <a:srgbClr val="339933"/>
            </a:solidFill>
            <a:ln w="12600">
              <a:solidFill>
                <a:srgbClr val="339933"/>
              </a:solidFill>
              <a:round/>
            </a:ln>
          </c:spPr>
          <c:marker>
            <c:symbol val="triangle"/>
            <c:size val="3"/>
            <c:spPr>
              <a:solidFill>
                <a:srgbClr val="339933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MAIN!$I$20:$I$38</c:f>
              <c:strCache>
                <c:ptCount val="19"/>
                <c:pt idx="0">
                  <c:v>Sep-00</c:v>
                </c:pt>
                <c:pt idx="1">
                  <c:v>Oct-00</c:v>
                </c:pt>
                <c:pt idx="2">
                  <c:v>Nov-00</c:v>
                </c:pt>
                <c:pt idx="3">
                  <c:v>Dec-00</c:v>
                </c:pt>
                <c:pt idx="4">
                  <c:v>Jan-01</c:v>
                </c:pt>
                <c:pt idx="5">
                  <c:v>Feb-01</c:v>
                </c:pt>
                <c:pt idx="6">
                  <c:v>Mar-01</c:v>
                </c:pt>
                <c:pt idx="7">
                  <c:v>Apr-01</c:v>
                </c:pt>
                <c:pt idx="8">
                  <c:v>May-01</c:v>
                </c:pt>
                <c:pt idx="9">
                  <c:v>Jun-01</c:v>
                </c:pt>
                <c:pt idx="10">
                  <c:v>Jul-01</c:v>
                </c:pt>
                <c:pt idx="11">
                  <c:v>Aug-01</c:v>
                </c:pt>
                <c:pt idx="12">
                  <c:v>Sep-01</c:v>
                </c:pt>
                <c:pt idx="13">
                  <c:v>Oct-01</c:v>
                </c:pt>
                <c:pt idx="14">
                  <c:v>Nov-01</c:v>
                </c:pt>
                <c:pt idx="15">
                  <c:v>Dec-01</c:v>
                </c:pt>
                <c:pt idx="16">
                  <c:v>Jan-02</c:v>
                </c:pt>
                <c:pt idx="17">
                  <c:v>Feb-02</c:v>
                </c:pt>
                <c:pt idx="18">
                  <c:v>Mar-02</c:v>
                </c:pt>
              </c:strCache>
            </c:strRef>
          </c:cat>
          <c:val>
            <c:numRef>
              <c:f>MAIN!$P$20:$P$38</c:f>
              <c:numCache>
                <c:formatCode>General</c:formatCode>
                <c:ptCount val="19"/>
              </c:numCache>
            </c:numRef>
          </c:val>
          <c:smooth val="0"/>
        </c:ser>
        <c:ser>
          <c:idx val="3"/>
          <c:order val="3"/>
          <c:tx>
            <c:strRef>
              <c:f>"Brent-Curve"</c:f>
              <c:strCache>
                <c:ptCount val="1"/>
                <c:pt idx="0">
                  <c:v>Brent-Curve</c:v>
                </c:pt>
              </c:strCache>
            </c:strRef>
          </c:tx>
          <c:spPr>
            <a:solidFill>
              <a:srgbClr val="336666"/>
            </a:solidFill>
            <a:ln w="12600">
              <a:solidFill>
                <a:srgbClr val="336666"/>
              </a:solidFill>
              <a:round/>
            </a:ln>
          </c:spPr>
          <c:marker>
            <c:symbol val="triangle"/>
            <c:size val="3"/>
            <c:spPr>
              <a:solidFill>
                <a:srgbClr val="336666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MAIN!$I$20:$I$38</c:f>
              <c:strCache>
                <c:ptCount val="19"/>
                <c:pt idx="0">
                  <c:v>Sep-00</c:v>
                </c:pt>
                <c:pt idx="1">
                  <c:v>Oct-00</c:v>
                </c:pt>
                <c:pt idx="2">
                  <c:v>Nov-00</c:v>
                </c:pt>
                <c:pt idx="3">
                  <c:v>Dec-00</c:v>
                </c:pt>
                <c:pt idx="4">
                  <c:v>Jan-01</c:v>
                </c:pt>
                <c:pt idx="5">
                  <c:v>Feb-01</c:v>
                </c:pt>
                <c:pt idx="6">
                  <c:v>Mar-01</c:v>
                </c:pt>
                <c:pt idx="7">
                  <c:v>Apr-01</c:v>
                </c:pt>
                <c:pt idx="8">
                  <c:v>May-01</c:v>
                </c:pt>
                <c:pt idx="9">
                  <c:v>Jun-01</c:v>
                </c:pt>
                <c:pt idx="10">
                  <c:v>Jul-01</c:v>
                </c:pt>
                <c:pt idx="11">
                  <c:v>Aug-01</c:v>
                </c:pt>
                <c:pt idx="12">
                  <c:v>Sep-01</c:v>
                </c:pt>
                <c:pt idx="13">
                  <c:v>Oct-01</c:v>
                </c:pt>
                <c:pt idx="14">
                  <c:v>Nov-01</c:v>
                </c:pt>
                <c:pt idx="15">
                  <c:v>Dec-01</c:v>
                </c:pt>
                <c:pt idx="16">
                  <c:v>Jan-02</c:v>
                </c:pt>
                <c:pt idx="17">
                  <c:v>Feb-02</c:v>
                </c:pt>
                <c:pt idx="18">
                  <c:v>Mar-02</c:v>
                </c:pt>
              </c:strCache>
            </c:strRef>
          </c:cat>
          <c:val>
            <c:numRef>
              <c:f>MAIN!$R$20:$R$38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4">
                  <c:v>0</c:v>
                </c:pt>
                <c:pt idx="16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68773655"/>
        <c:axId val="32975123"/>
      </c:lineChart>
      <c:catAx>
        <c:axId val="68773655"/>
        <c:scaling>
          <c:orientation val="minMax"/>
        </c:scaling>
        <c:delete val="1"/>
        <c:axPos val="b"/>
        <c:numFmt formatCode="mmmmm\-yy" sourceLinked="0"/>
        <c:majorTickMark val="out"/>
        <c:minorTickMark val="none"/>
        <c:tickLblPos val="nextTo"/>
        <c:spPr>
          <a:ln w="0">
            <a:noFill/>
          </a:ln>
        </c:spPr>
        <c:txPr>
          <a:bodyPr rot="-2700000"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2975123"/>
        <c:auto val="1"/>
        <c:lblAlgn val="ctr"/>
        <c:lblOffset val="100"/>
        <c:noMultiLvlLbl val="0"/>
      </c:catAx>
      <c:valAx>
        <c:axId val="32975123"/>
        <c:scaling>
          <c:orientation val="minMax"/>
          <c:min val="20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877365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MAIN!$O$21:$O$260</c:f>
              <c:numCache>
                <c:formatCode>0.0000</c:formatCode>
                <c:ptCount val="2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46252120"/>
        <c:axId val="26002590"/>
      </c:lineChart>
      <c:catAx>
        <c:axId val="46252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6002590"/>
        <c:crossesAt val="0"/>
        <c:auto val="1"/>
        <c:lblAlgn val="ctr"/>
        <c:lblOffset val="100"/>
        <c:noMultiLvlLbl val="0"/>
      </c:catAx>
      <c:valAx>
        <c:axId val="26002590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00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6252120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MAIN!$L$21:$L$260</c:f>
              <c:numCache>
                <c:formatCode>0.00</c:formatCode>
                <c:ptCount val="240"/>
                <c:pt idx="0">
                  <c:v>0</c:v>
                </c:pt>
                <c:pt idx="3">
                  <c:v>0</c:v>
                </c:pt>
                <c:pt idx="15">
                  <c:v>0</c:v>
                </c:pt>
                <c:pt idx="27">
                  <c:v>0</c:v>
                </c:pt>
                <c:pt idx="39">
                  <c:v>0</c:v>
                </c:pt>
                <c:pt idx="51">
                  <c:v>0</c:v>
                </c:pt>
                <c:pt idx="63">
                  <c:v>0</c:v>
                </c:pt>
                <c:pt idx="75">
                  <c:v>0</c:v>
                </c:pt>
                <c:pt idx="76">
                  <c:v>0.0375</c:v>
                </c:pt>
                <c:pt idx="77">
                  <c:v>0.075</c:v>
                </c:pt>
                <c:pt idx="78">
                  <c:v>0.1125</c:v>
                </c:pt>
                <c:pt idx="79">
                  <c:v>0.15</c:v>
                </c:pt>
                <c:pt idx="80">
                  <c:v>0.1875</c:v>
                </c:pt>
                <c:pt idx="81">
                  <c:v>0.225</c:v>
                </c:pt>
                <c:pt idx="82">
                  <c:v>0.2625</c:v>
                </c:pt>
                <c:pt idx="83">
                  <c:v>0.3</c:v>
                </c:pt>
                <c:pt idx="84">
                  <c:v>0.3375</c:v>
                </c:pt>
                <c:pt idx="85">
                  <c:v>0.375</c:v>
                </c:pt>
                <c:pt idx="86">
                  <c:v>0.4125</c:v>
                </c:pt>
                <c:pt idx="87">
                  <c:v>0.45</c:v>
                </c:pt>
                <c:pt idx="88">
                  <c:v>0.4875</c:v>
                </c:pt>
                <c:pt idx="89">
                  <c:v>0.525</c:v>
                </c:pt>
                <c:pt idx="90">
                  <c:v>0.5625</c:v>
                </c:pt>
                <c:pt idx="91">
                  <c:v>0.6</c:v>
                </c:pt>
                <c:pt idx="92">
                  <c:v>0.6375</c:v>
                </c:pt>
                <c:pt idx="93">
                  <c:v>0.675</c:v>
                </c:pt>
                <c:pt idx="94">
                  <c:v>0.7125</c:v>
                </c:pt>
                <c:pt idx="95">
                  <c:v>0.75</c:v>
                </c:pt>
                <c:pt idx="96">
                  <c:v>0.7875</c:v>
                </c:pt>
                <c:pt idx="97">
                  <c:v>0.825</c:v>
                </c:pt>
                <c:pt idx="98">
                  <c:v>0.8625</c:v>
                </c:pt>
                <c:pt idx="99">
                  <c:v>0.9</c:v>
                </c:pt>
                <c:pt idx="100">
                  <c:v>0.9375</c:v>
                </c:pt>
                <c:pt idx="101">
                  <c:v>0.975</c:v>
                </c:pt>
                <c:pt idx="102">
                  <c:v>1.0125</c:v>
                </c:pt>
                <c:pt idx="103">
                  <c:v>1.05</c:v>
                </c:pt>
                <c:pt idx="104">
                  <c:v>1.0875</c:v>
                </c:pt>
                <c:pt idx="105">
                  <c:v>1.125</c:v>
                </c:pt>
                <c:pt idx="106">
                  <c:v>1.1625</c:v>
                </c:pt>
                <c:pt idx="107">
                  <c:v>1.2</c:v>
                </c:pt>
                <c:pt idx="108">
                  <c:v>1.2375</c:v>
                </c:pt>
                <c:pt idx="109">
                  <c:v>1.275</c:v>
                </c:pt>
                <c:pt idx="110">
                  <c:v>1.3125</c:v>
                </c:pt>
                <c:pt idx="111">
                  <c:v>1.35</c:v>
                </c:pt>
                <c:pt idx="112">
                  <c:v>1.3875</c:v>
                </c:pt>
                <c:pt idx="113">
                  <c:v>1.425</c:v>
                </c:pt>
                <c:pt idx="114">
                  <c:v>1.4625</c:v>
                </c:pt>
                <c:pt idx="115">
                  <c:v>1.5</c:v>
                </c:pt>
                <c:pt idx="116">
                  <c:v>1.5375</c:v>
                </c:pt>
                <c:pt idx="117">
                  <c:v>1.575</c:v>
                </c:pt>
                <c:pt idx="118">
                  <c:v>1.6125</c:v>
                </c:pt>
                <c:pt idx="119">
                  <c:v>1.65</c:v>
                </c:pt>
                <c:pt idx="120">
                  <c:v>1.6875</c:v>
                </c:pt>
                <c:pt idx="121">
                  <c:v>1.725</c:v>
                </c:pt>
                <c:pt idx="122">
                  <c:v>1.7625</c:v>
                </c:pt>
                <c:pt idx="123">
                  <c:v>1.8</c:v>
                </c:pt>
                <c:pt idx="124">
                  <c:v>1.8375</c:v>
                </c:pt>
                <c:pt idx="125">
                  <c:v>1.875</c:v>
                </c:pt>
                <c:pt idx="126">
                  <c:v>1.9125</c:v>
                </c:pt>
                <c:pt idx="127">
                  <c:v>1.95</c:v>
                </c:pt>
                <c:pt idx="128">
                  <c:v>1.9875</c:v>
                </c:pt>
                <c:pt idx="129">
                  <c:v>2.025</c:v>
                </c:pt>
                <c:pt idx="130">
                  <c:v>2.0625</c:v>
                </c:pt>
                <c:pt idx="131">
                  <c:v>2.1</c:v>
                </c:pt>
                <c:pt idx="132">
                  <c:v>2.1375</c:v>
                </c:pt>
                <c:pt idx="133">
                  <c:v>2.175</c:v>
                </c:pt>
                <c:pt idx="134">
                  <c:v>2.2125</c:v>
                </c:pt>
                <c:pt idx="135">
                  <c:v>2.25</c:v>
                </c:pt>
                <c:pt idx="136">
                  <c:v>2.2875</c:v>
                </c:pt>
                <c:pt idx="137">
                  <c:v>2.325</c:v>
                </c:pt>
                <c:pt idx="138">
                  <c:v>2.3625</c:v>
                </c:pt>
                <c:pt idx="139">
                  <c:v>2.4</c:v>
                </c:pt>
                <c:pt idx="140">
                  <c:v>2.4375</c:v>
                </c:pt>
                <c:pt idx="141">
                  <c:v>2.475</c:v>
                </c:pt>
                <c:pt idx="142">
                  <c:v>2.5125</c:v>
                </c:pt>
                <c:pt idx="143">
                  <c:v>2.55</c:v>
                </c:pt>
                <c:pt idx="144">
                  <c:v>2.5875</c:v>
                </c:pt>
                <c:pt idx="145">
                  <c:v>2.625</c:v>
                </c:pt>
                <c:pt idx="146">
                  <c:v>2.6625</c:v>
                </c:pt>
                <c:pt idx="147">
                  <c:v>2.7</c:v>
                </c:pt>
                <c:pt idx="148">
                  <c:v>2.7375</c:v>
                </c:pt>
                <c:pt idx="149">
                  <c:v>2.775</c:v>
                </c:pt>
                <c:pt idx="150">
                  <c:v>2.8125</c:v>
                </c:pt>
                <c:pt idx="151">
                  <c:v>2.85</c:v>
                </c:pt>
                <c:pt idx="152">
                  <c:v>2.8875</c:v>
                </c:pt>
                <c:pt idx="153">
                  <c:v>2.925</c:v>
                </c:pt>
                <c:pt idx="154">
                  <c:v>2.9625</c:v>
                </c:pt>
                <c:pt idx="155">
                  <c:v>3</c:v>
                </c:pt>
                <c:pt idx="156">
                  <c:v>3.0375</c:v>
                </c:pt>
                <c:pt idx="157">
                  <c:v>3.075</c:v>
                </c:pt>
                <c:pt idx="158">
                  <c:v>3.1125</c:v>
                </c:pt>
                <c:pt idx="159">
                  <c:v>3.15000000000001</c:v>
                </c:pt>
                <c:pt idx="160">
                  <c:v>3.18750000000001</c:v>
                </c:pt>
                <c:pt idx="161">
                  <c:v>3.22500000000001</c:v>
                </c:pt>
                <c:pt idx="162">
                  <c:v>3.26250000000001</c:v>
                </c:pt>
                <c:pt idx="163">
                  <c:v>3.30000000000001</c:v>
                </c:pt>
                <c:pt idx="164">
                  <c:v>3.33750000000001</c:v>
                </c:pt>
                <c:pt idx="165">
                  <c:v>3.37500000000001</c:v>
                </c:pt>
                <c:pt idx="166">
                  <c:v>3.41250000000001</c:v>
                </c:pt>
                <c:pt idx="167">
                  <c:v>3.45000000000001</c:v>
                </c:pt>
                <c:pt idx="168">
                  <c:v>3.48750000000001</c:v>
                </c:pt>
                <c:pt idx="169">
                  <c:v>3.52500000000001</c:v>
                </c:pt>
                <c:pt idx="170">
                  <c:v>3.56250000000001</c:v>
                </c:pt>
                <c:pt idx="171">
                  <c:v>3.60000000000001</c:v>
                </c:pt>
                <c:pt idx="172">
                  <c:v>3.63750000000001</c:v>
                </c:pt>
                <c:pt idx="173">
                  <c:v>3.67500000000001</c:v>
                </c:pt>
                <c:pt idx="174">
                  <c:v>3.71250000000001</c:v>
                </c:pt>
                <c:pt idx="175">
                  <c:v>3.75000000000001</c:v>
                </c:pt>
                <c:pt idx="176">
                  <c:v>3.78750000000001</c:v>
                </c:pt>
                <c:pt idx="177">
                  <c:v>3.82500000000001</c:v>
                </c:pt>
                <c:pt idx="178">
                  <c:v>3.86250000000001</c:v>
                </c:pt>
                <c:pt idx="179">
                  <c:v>3.90000000000001</c:v>
                </c:pt>
                <c:pt idx="180">
                  <c:v>3.93750000000001</c:v>
                </c:pt>
                <c:pt idx="181">
                  <c:v>3.97500000000001</c:v>
                </c:pt>
                <c:pt idx="182">
                  <c:v>4.01250000000001</c:v>
                </c:pt>
                <c:pt idx="183">
                  <c:v>4.05000000000001</c:v>
                </c:pt>
                <c:pt idx="184">
                  <c:v>4.08750000000001</c:v>
                </c:pt>
                <c:pt idx="185">
                  <c:v>4.12500000000001</c:v>
                </c:pt>
                <c:pt idx="186">
                  <c:v>4.16250000000001</c:v>
                </c:pt>
                <c:pt idx="187">
                  <c:v>4.20000000000001</c:v>
                </c:pt>
                <c:pt idx="188">
                  <c:v>4.2375</c:v>
                </c:pt>
                <c:pt idx="189">
                  <c:v>4.275</c:v>
                </c:pt>
                <c:pt idx="190">
                  <c:v>4.3125</c:v>
                </c:pt>
                <c:pt idx="191">
                  <c:v>4.35</c:v>
                </c:pt>
                <c:pt idx="192">
                  <c:v>4.3875</c:v>
                </c:pt>
                <c:pt idx="193">
                  <c:v>4.425</c:v>
                </c:pt>
                <c:pt idx="194">
                  <c:v>4.4625</c:v>
                </c:pt>
                <c:pt idx="195">
                  <c:v>4.5</c:v>
                </c:pt>
                <c:pt idx="196">
                  <c:v>4.5375</c:v>
                </c:pt>
                <c:pt idx="197">
                  <c:v>4.575</c:v>
                </c:pt>
                <c:pt idx="198">
                  <c:v>4.6125</c:v>
                </c:pt>
                <c:pt idx="199">
                  <c:v>4.65</c:v>
                </c:pt>
                <c:pt idx="200">
                  <c:v>4.6875</c:v>
                </c:pt>
                <c:pt idx="201">
                  <c:v>4.725</c:v>
                </c:pt>
                <c:pt idx="202">
                  <c:v>4.7625</c:v>
                </c:pt>
                <c:pt idx="203">
                  <c:v>4.8</c:v>
                </c:pt>
                <c:pt idx="204">
                  <c:v>4.8375</c:v>
                </c:pt>
                <c:pt idx="205">
                  <c:v>4.875</c:v>
                </c:pt>
                <c:pt idx="206">
                  <c:v>4.9125</c:v>
                </c:pt>
                <c:pt idx="207">
                  <c:v>4.95</c:v>
                </c:pt>
                <c:pt idx="208">
                  <c:v>4.9875</c:v>
                </c:pt>
                <c:pt idx="209">
                  <c:v>5.025</c:v>
                </c:pt>
                <c:pt idx="210">
                  <c:v>5.0625</c:v>
                </c:pt>
                <c:pt idx="211">
                  <c:v>5.1</c:v>
                </c:pt>
                <c:pt idx="212">
                  <c:v>5.1375</c:v>
                </c:pt>
                <c:pt idx="213">
                  <c:v>5.175</c:v>
                </c:pt>
                <c:pt idx="214">
                  <c:v>5.2125</c:v>
                </c:pt>
                <c:pt idx="215">
                  <c:v>5.25</c:v>
                </c:pt>
                <c:pt idx="216">
                  <c:v>5.28749999999999</c:v>
                </c:pt>
                <c:pt idx="217">
                  <c:v>5.32499999999999</c:v>
                </c:pt>
                <c:pt idx="218">
                  <c:v>5.36249999999999</c:v>
                </c:pt>
                <c:pt idx="219">
                  <c:v>5.39999999999999</c:v>
                </c:pt>
                <c:pt idx="220">
                  <c:v>5.43749999999999</c:v>
                </c:pt>
                <c:pt idx="221">
                  <c:v>5.47499999999999</c:v>
                </c:pt>
                <c:pt idx="222">
                  <c:v>5.51249999999999</c:v>
                </c:pt>
                <c:pt idx="223">
                  <c:v>5.54999999999999</c:v>
                </c:pt>
                <c:pt idx="224">
                  <c:v>5.58749999999999</c:v>
                </c:pt>
                <c:pt idx="225">
                  <c:v>5.62499999999999</c:v>
                </c:pt>
                <c:pt idx="226">
                  <c:v>5.66249999999999</c:v>
                </c:pt>
                <c:pt idx="227">
                  <c:v>5.69999999999999</c:v>
                </c:pt>
                <c:pt idx="228">
                  <c:v>5.73749999999999</c:v>
                </c:pt>
                <c:pt idx="229">
                  <c:v>5.77499999999999</c:v>
                </c:pt>
                <c:pt idx="230">
                  <c:v>5.81249999999999</c:v>
                </c:pt>
                <c:pt idx="231">
                  <c:v>5.84999999999999</c:v>
                </c:pt>
                <c:pt idx="232">
                  <c:v>5.88749999999999</c:v>
                </c:pt>
                <c:pt idx="233">
                  <c:v>5.92499999999999</c:v>
                </c:pt>
                <c:pt idx="234">
                  <c:v>5.96249999999999</c:v>
                </c:pt>
                <c:pt idx="235">
                  <c:v>5.99999999999999</c:v>
                </c:pt>
                <c:pt idx="236">
                  <c:v>6.03749999999999</c:v>
                </c:pt>
                <c:pt idx="237">
                  <c:v>6.07499999999999</c:v>
                </c:pt>
                <c:pt idx="238">
                  <c:v>6.11249999999999</c:v>
                </c:pt>
                <c:pt idx="239">
                  <c:v>6.14999999999999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35533458"/>
        <c:axId val="84582267"/>
      </c:lineChart>
      <c:catAx>
        <c:axId val="3553345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5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4582267"/>
        <c:crossesAt val="0"/>
        <c:auto val="1"/>
        <c:lblAlgn val="ctr"/>
        <c:lblOffset val="100"/>
        <c:noMultiLvlLbl val="0"/>
      </c:catAx>
      <c:valAx>
        <c:axId val="84582267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5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5533458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trlProps/ctrlProps10.xml><?xml version="1.0" encoding="utf-8"?>
<formControlPr xmlns="http://schemas.microsoft.com/office/spreadsheetml/2009/9/main" objectType="Button" lockText="1"/>
</file>

<file path=xl/ctrlProps/ctrlProps11.xml><?xml version="1.0" encoding="utf-8"?>
<formControlPr xmlns="http://schemas.microsoft.com/office/spreadsheetml/2009/9/main" objectType="Button" lockText="1"/>
</file>

<file path=xl/ctrlProps/ctrlProps12.xml><?xml version="1.0" encoding="utf-8"?>
<formControlPr xmlns="http://schemas.microsoft.com/office/spreadsheetml/2009/9/main" objectType="Button" lockText="1"/>
</file>

<file path=xl/ctrlProps/ctrlProps13.xml><?xml version="1.0" encoding="utf-8"?>
<formControlPr xmlns="http://schemas.microsoft.com/office/spreadsheetml/2009/9/main" objectType="Button" lockText="1"/>
</file>

<file path=xl/ctrlProps/ctrlProps14.xml><?xml version="1.0" encoding="utf-8"?>
<formControlPr xmlns="http://schemas.microsoft.com/office/spreadsheetml/2009/9/main" objectType="Button" lockText="1"/>
</file>

<file path=xl/ctrlProps/ctrlProps15.xml><?xml version="1.0" encoding="utf-8"?>
<formControlPr xmlns="http://schemas.microsoft.com/office/spreadsheetml/2009/9/main" objectType="Button" lockText="1"/>
</file>

<file path=xl/ctrlProps/ctrlProps16.xml><?xml version="1.0" encoding="utf-8"?>
<formControlPr xmlns="http://schemas.microsoft.com/office/spreadsheetml/2009/9/main" objectType="Button" lockText="1"/>
</file>

<file path=xl/ctrlProps/ctrlProps17.xml><?xml version="1.0" encoding="utf-8"?>
<formControlPr xmlns="http://schemas.microsoft.com/office/spreadsheetml/2009/9/main" objectType="Button" lockText="1"/>
</file>

<file path=xl/ctrlProps/ctrlProps18.xml><?xml version="1.0" encoding="utf-8"?>
<formControlPr xmlns="http://schemas.microsoft.com/office/spreadsheetml/2009/9/main" objectType="Button" lockText="1"/>
</file>

<file path=xl/ctrlProps/ctrlProps19.xml><?xml version="1.0" encoding="utf-8"?>
<formControlPr xmlns="http://schemas.microsoft.com/office/spreadsheetml/2009/9/main" objectType="Button" lockText="1"/>
</file>

<file path=xl/ctrlProps/ctrlProps2.xml><?xml version="1.0" encoding="utf-8"?>
<formControlPr xmlns="http://schemas.microsoft.com/office/spreadsheetml/2009/9/main" objectType="Button" lockText="1"/>
</file>

<file path=xl/ctrlProps/ctrlProps20.xml><?xml version="1.0" encoding="utf-8"?>
<formControlPr xmlns="http://schemas.microsoft.com/office/spreadsheetml/2009/9/main" objectType="Button" lockText="1"/>
</file>

<file path=xl/ctrlProps/ctrlProps21.xml><?xml version="1.0" encoding="utf-8"?>
<formControlPr xmlns="http://schemas.microsoft.com/office/spreadsheetml/2009/9/main" objectType="Button" lockText="1"/>
</file>

<file path=xl/ctrlProps/ctrlProps22.xml><?xml version="1.0" encoding="utf-8"?>
<formControlPr xmlns="http://schemas.microsoft.com/office/spreadsheetml/2009/9/main" objectType="Button" lockText="1"/>
</file>

<file path=xl/ctrlProps/ctrlProps23.xml><?xml version="1.0" encoding="utf-8"?>
<formControlPr xmlns="http://schemas.microsoft.com/office/spreadsheetml/2009/9/main" objectType="Button" lockText="1"/>
</file>

<file path=xl/ctrlProps/ctrlProps24.xml><?xml version="1.0" encoding="utf-8"?>
<formControlPr xmlns="http://schemas.microsoft.com/office/spreadsheetml/2009/9/main" objectType="Button" lockText="1"/>
</file>

<file path=xl/ctrlProps/ctrlProps3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CheckBox" autoLine="false" print="true" fmlaLink="MAIN!$AT$8" lockText="1" noThreeD="1"/>
</file>

<file path=xl/ctrlProps/ctrlProps6.xml><?xml version="1.0" encoding="utf-8"?>
<formControlPr xmlns="http://schemas.microsoft.com/office/spreadsheetml/2009/9/main" objectType="Button" lockText="1"/>
</file>

<file path=xl/ctrlProps/ctrlProps7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21240</xdr:colOff>
          <xdr:row>25</xdr:row>
          <xdr:rowOff>9360</xdr:rowOff>
        </xdr:from>
        <xdr:to>
          <xdr:col>6</xdr:col>
          <xdr:colOff>645480</xdr:colOff>
          <xdr:row>26</xdr:row>
          <xdr:rowOff>-9360</xdr:rowOff>
        </xdr:to>
        <xdr:sp>
          <xdr:nvSpPr>
            <xdr:cNvPr id="1001" name="Button 2" descr="Extendable Swap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Extendable Swap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10800</xdr:colOff>
          <xdr:row>45</xdr:row>
          <xdr:rowOff>0</xdr:rowOff>
        </xdr:from>
        <xdr:to>
          <xdr:col>6</xdr:col>
          <xdr:colOff>666360</xdr:colOff>
          <xdr:row>46</xdr:row>
          <xdr:rowOff>181080</xdr:rowOff>
        </xdr:to>
        <xdr:sp>
          <xdr:nvSpPr>
            <xdr:cNvPr id="1002" name="Button 3" descr="Participating&#10;Swap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Participating
Swap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10440</xdr:colOff>
          <xdr:row>14</xdr:row>
          <xdr:rowOff>152280</xdr:rowOff>
        </xdr:from>
        <xdr:to>
          <xdr:col>9</xdr:col>
          <xdr:colOff>-52560</xdr:colOff>
          <xdr:row>15</xdr:row>
          <xdr:rowOff>152640</xdr:rowOff>
        </xdr:to>
        <xdr:sp>
          <xdr:nvSpPr>
            <xdr:cNvPr id="0" name="Option Button 5" descr="WTI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WTI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10440</xdr:colOff>
          <xdr:row>16</xdr:row>
          <xdr:rowOff>38160</xdr:rowOff>
        </xdr:from>
        <xdr:to>
          <xdr:col>9</xdr:col>
          <xdr:colOff>-20880</xdr:colOff>
          <xdr:row>17</xdr:row>
          <xdr:rowOff>66600</xdr:rowOff>
        </xdr:to>
        <xdr:sp>
          <xdr:nvSpPr>
            <xdr:cNvPr id="0" name="Option Button 6" descr="Bren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Brent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14</xdr:row>
          <xdr:rowOff>0</xdr:rowOff>
        </xdr:from>
        <xdr:to>
          <xdr:col>9</xdr:col>
          <xdr:colOff>360</xdr:colOff>
          <xdr:row>17</xdr:row>
          <xdr:rowOff>199800</xdr:rowOff>
        </xdr:to>
        <xdr:sp>
          <xdr:nvSpPr>
            <xdr:cNvPr id="0" name="Group Box 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73800</xdr:colOff>
          <xdr:row>7</xdr:row>
          <xdr:rowOff>9720</xdr:rowOff>
        </xdr:from>
        <xdr:to>
          <xdr:col>3</xdr:col>
          <xdr:colOff>370440</xdr:colOff>
          <xdr:row>8</xdr:row>
          <xdr:rowOff>19440</xdr:rowOff>
        </xdr:to>
        <xdr:sp>
          <xdr:nvSpPr>
            <xdr:cNvPr id="0" name="Option Button 15" descr="Call+Put, Specified Strik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Call+Put, Specified Strikes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42840</xdr:colOff>
          <xdr:row>7</xdr:row>
          <xdr:rowOff>181080</xdr:rowOff>
        </xdr:from>
        <xdr:to>
          <xdr:col>3</xdr:col>
          <xdr:colOff>465840</xdr:colOff>
          <xdr:row>8</xdr:row>
          <xdr:rowOff>171000</xdr:rowOff>
        </xdr:to>
        <xdr:sp>
          <xdr:nvSpPr>
            <xdr:cNvPr id="0" name="Option Button 16" descr="Call+Put, At-the-Money Strik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Call+Put, At-the-Money Strike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42840</xdr:colOff>
          <xdr:row>8</xdr:row>
          <xdr:rowOff>133200</xdr:rowOff>
        </xdr:from>
        <xdr:to>
          <xdr:col>2</xdr:col>
          <xdr:colOff>254520</xdr:colOff>
          <xdr:row>9</xdr:row>
          <xdr:rowOff>152640</xdr:rowOff>
        </xdr:to>
        <xdr:sp>
          <xdr:nvSpPr>
            <xdr:cNvPr id="0" name="Option Button 17" descr="Call Spread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Call Spread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221760</xdr:colOff>
          <xdr:row>8</xdr:row>
          <xdr:rowOff>133200</xdr:rowOff>
        </xdr:from>
        <xdr:to>
          <xdr:col>3</xdr:col>
          <xdr:colOff>412560</xdr:colOff>
          <xdr:row>9</xdr:row>
          <xdr:rowOff>152640</xdr:rowOff>
        </xdr:to>
        <xdr:sp>
          <xdr:nvSpPr>
            <xdr:cNvPr id="0" name="Option Button 18" descr="Put Spread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Put Spread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63720</xdr:colOff>
          <xdr:row>24</xdr:row>
          <xdr:rowOff>9720</xdr:rowOff>
        </xdr:from>
        <xdr:to>
          <xdr:col>6</xdr:col>
          <xdr:colOff>-20160</xdr:colOff>
          <xdr:row>25</xdr:row>
          <xdr:rowOff>-19440</xdr:rowOff>
        </xdr:to>
        <xdr:sp>
          <xdr:nvSpPr>
            <xdr:cNvPr id="0" name="Option Button 21" descr="Cal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Call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52920</xdr:colOff>
          <xdr:row>24</xdr:row>
          <xdr:rowOff>9720</xdr:rowOff>
        </xdr:from>
        <xdr:to>
          <xdr:col>7</xdr:col>
          <xdr:colOff>-179640</xdr:colOff>
          <xdr:row>25</xdr:row>
          <xdr:rowOff>-19440</xdr:rowOff>
        </xdr:to>
        <xdr:sp>
          <xdr:nvSpPr>
            <xdr:cNvPr id="0" name="Option Button 22" descr="Pu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Put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24</xdr:row>
          <xdr:rowOff>0</xdr:rowOff>
        </xdr:from>
        <xdr:to>
          <xdr:col>6</xdr:col>
          <xdr:colOff>645480</xdr:colOff>
          <xdr:row>25</xdr:row>
          <xdr:rowOff>0</xdr:rowOff>
        </xdr:to>
        <xdr:sp>
          <xdr:nvSpPr>
            <xdr:cNvPr id="0" name="Group Box 2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0</xdr:rowOff>
        </xdr:from>
        <xdr:to>
          <xdr:col>3</xdr:col>
          <xdr:colOff>582120</xdr:colOff>
          <xdr:row>10</xdr:row>
          <xdr:rowOff>9720</xdr:rowOff>
        </xdr:to>
        <xdr:sp>
          <xdr:nvSpPr>
            <xdr:cNvPr id="0" name="Group Box 2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4</xdr:col>
          <xdr:colOff>720</xdr:colOff>
          <xdr:row>47</xdr:row>
          <xdr:rowOff>38160</xdr:rowOff>
        </xdr:to>
        <xdr:sp>
          <xdr:nvSpPr>
            <xdr:cNvPr id="0" name="Group Box 2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232560</xdr:colOff>
          <xdr:row>45</xdr:row>
          <xdr:rowOff>9360</xdr:rowOff>
        </xdr:from>
        <xdr:to>
          <xdr:col>3</xdr:col>
          <xdr:colOff>476280</xdr:colOff>
          <xdr:row>46</xdr:row>
          <xdr:rowOff>57240</xdr:rowOff>
        </xdr:to>
        <xdr:sp>
          <xdr:nvSpPr>
            <xdr:cNvPr id="0" name="Option Button 28" descr="Upsid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Upside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221760</xdr:colOff>
          <xdr:row>45</xdr:row>
          <xdr:rowOff>162000</xdr:rowOff>
        </xdr:from>
        <xdr:to>
          <xdr:col>3</xdr:col>
          <xdr:colOff>465840</xdr:colOff>
          <xdr:row>47</xdr:row>
          <xdr:rowOff>19080</xdr:rowOff>
        </xdr:to>
        <xdr:sp>
          <xdr:nvSpPr>
            <xdr:cNvPr id="0" name="Option Button 29" descr="Downsid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Downside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10800</xdr:colOff>
          <xdr:row>32</xdr:row>
          <xdr:rowOff>9720</xdr:rowOff>
        </xdr:from>
        <xdr:to>
          <xdr:col>6</xdr:col>
          <xdr:colOff>645480</xdr:colOff>
          <xdr:row>33</xdr:row>
          <xdr:rowOff>0</xdr:rowOff>
        </xdr:to>
        <xdr:sp>
          <xdr:nvSpPr>
            <xdr:cNvPr id="1003" name="Button 32" descr="Fetch Curv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Fetch Curves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42120</xdr:colOff>
          <xdr:row>10</xdr:row>
          <xdr:rowOff>38160</xdr:rowOff>
        </xdr:from>
        <xdr:to>
          <xdr:col>43</xdr:col>
          <xdr:colOff>11160</xdr:colOff>
          <xdr:row>11</xdr:row>
          <xdr:rowOff>123840</xdr:rowOff>
        </xdr:to>
        <xdr:sp>
          <xdr:nvSpPr>
            <xdr:cNvPr id="0" name="Option Button 33" descr="Automatic Calc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Automatic Calc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222120</xdr:colOff>
          <xdr:row>10</xdr:row>
          <xdr:rowOff>38160</xdr:rowOff>
        </xdr:from>
        <xdr:to>
          <xdr:col>45</xdr:col>
          <xdr:colOff>465480</xdr:colOff>
          <xdr:row>11</xdr:row>
          <xdr:rowOff>133560</xdr:rowOff>
        </xdr:to>
        <xdr:sp>
          <xdr:nvSpPr>
            <xdr:cNvPr id="0" name="Option Button 34" descr="Manual Calc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Manual Calc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20880</xdr:colOff>
          <xdr:row>10</xdr:row>
          <xdr:rowOff>19440</xdr:rowOff>
        </xdr:from>
        <xdr:to>
          <xdr:col>45</xdr:col>
          <xdr:colOff>560880</xdr:colOff>
          <xdr:row>11</xdr:row>
          <xdr:rowOff>133560</xdr:rowOff>
        </xdr:to>
        <xdr:sp>
          <xdr:nvSpPr>
            <xdr:cNvPr id="0" name="Group Box 3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52560</xdr:colOff>
          <xdr:row>12</xdr:row>
          <xdr:rowOff>9360</xdr:rowOff>
        </xdr:from>
        <xdr:to>
          <xdr:col>38</xdr:col>
          <xdr:colOff>11160</xdr:colOff>
          <xdr:row>13</xdr:row>
          <xdr:rowOff>47520</xdr:rowOff>
        </xdr:to>
        <xdr:sp>
          <xdr:nvSpPr>
            <xdr:cNvPr id="0" name="Option Button 118" descr="Vol Smile O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Vol Smile On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411840</xdr:colOff>
          <xdr:row>12</xdr:row>
          <xdr:rowOff>9360</xdr:rowOff>
        </xdr:from>
        <xdr:to>
          <xdr:col>39</xdr:col>
          <xdr:colOff>359640</xdr:colOff>
          <xdr:row>13</xdr:row>
          <xdr:rowOff>38520</xdr:rowOff>
        </xdr:to>
        <xdr:sp>
          <xdr:nvSpPr>
            <xdr:cNvPr id="0" name="Option Button 119" descr="Vol Smile Off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Vol Smile Off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0</xdr:colOff>
          <xdr:row>12</xdr:row>
          <xdr:rowOff>0</xdr:rowOff>
        </xdr:from>
        <xdr:to>
          <xdr:col>39</xdr:col>
          <xdr:colOff>380880</xdr:colOff>
          <xdr:row>13</xdr:row>
          <xdr:rowOff>47520</xdr:rowOff>
        </xdr:to>
        <xdr:sp>
          <xdr:nvSpPr>
            <xdr:cNvPr id="0" name="Group Box 12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42480</xdr:colOff>
          <xdr:row>16</xdr:row>
          <xdr:rowOff>38160</xdr:rowOff>
        </xdr:from>
        <xdr:to>
          <xdr:col>22</xdr:col>
          <xdr:colOff>-30960</xdr:colOff>
          <xdr:row>17</xdr:row>
          <xdr:rowOff>66600</xdr:rowOff>
        </xdr:to>
        <xdr:sp>
          <xdr:nvSpPr>
            <xdr:cNvPr id="1004" name="Check Box 150" descr="Ove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Over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</xdr:col>
          <xdr:colOff>42480</xdr:colOff>
          <xdr:row>14</xdr:row>
          <xdr:rowOff>19080</xdr:rowOff>
        </xdr:from>
        <xdr:to>
          <xdr:col>117</xdr:col>
          <xdr:colOff>475920</xdr:colOff>
          <xdr:row>15</xdr:row>
          <xdr:rowOff>161640</xdr:rowOff>
        </xdr:to>
        <xdr:sp>
          <xdr:nvSpPr>
            <xdr:cNvPr id="1005" name="Button 172" descr="Save Price Curv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Price Curves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121</xdr:col>
          <xdr:colOff>52560</xdr:colOff>
          <xdr:row>14</xdr:row>
          <xdr:rowOff>19080</xdr:rowOff>
        </xdr:from>
        <xdr:to>
          <xdr:col>130</xdr:col>
          <xdr:colOff>465480</xdr:colOff>
          <xdr:row>15</xdr:row>
          <xdr:rowOff>152640</xdr:rowOff>
        </xdr:to>
        <xdr:sp>
          <xdr:nvSpPr>
            <xdr:cNvPr id="1006" name="Button 174" descr="Save Vol Curv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Vol Curves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199800</xdr:rowOff>
        </xdr:from>
        <xdr:to>
          <xdr:col>7</xdr:col>
          <xdr:colOff>-10080</xdr:colOff>
          <xdr:row>18</xdr:row>
          <xdr:rowOff>209880</xdr:rowOff>
        </xdr:to>
        <xdr:sp>
          <xdr:nvSpPr>
            <xdr:cNvPr id="0" name="Drop Down 122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560160</xdr:colOff>
          <xdr:row>2</xdr:row>
          <xdr:rowOff>9000</xdr:rowOff>
        </xdr:from>
        <xdr:to>
          <xdr:col>4</xdr:col>
          <xdr:colOff>42840</xdr:colOff>
          <xdr:row>3</xdr:row>
          <xdr:rowOff>-19080</xdr:rowOff>
        </xdr:to>
        <xdr:sp>
          <xdr:nvSpPr>
            <xdr:cNvPr id="0" name="Drop Down 122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20880</xdr:colOff>
          <xdr:row>2</xdr:row>
          <xdr:rowOff>9000</xdr:rowOff>
        </xdr:from>
        <xdr:to>
          <xdr:col>2</xdr:col>
          <xdr:colOff>-30960</xdr:colOff>
          <xdr:row>3</xdr:row>
          <xdr:rowOff>-10080</xdr:rowOff>
        </xdr:to>
        <xdr:sp>
          <xdr:nvSpPr>
            <xdr:cNvPr id="0" name="Drop Down 122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560160</xdr:colOff>
          <xdr:row>23</xdr:row>
          <xdr:rowOff>9360</xdr:rowOff>
        </xdr:from>
        <xdr:to>
          <xdr:col>4</xdr:col>
          <xdr:colOff>11160</xdr:colOff>
          <xdr:row>24</xdr:row>
          <xdr:rowOff>-19080</xdr:rowOff>
        </xdr:to>
        <xdr:sp>
          <xdr:nvSpPr>
            <xdr:cNvPr id="0" name="Drop Down 122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20880</xdr:colOff>
          <xdr:row>23</xdr:row>
          <xdr:rowOff>9360</xdr:rowOff>
        </xdr:from>
        <xdr:to>
          <xdr:col>2</xdr:col>
          <xdr:colOff>-30960</xdr:colOff>
          <xdr:row>24</xdr:row>
          <xdr:rowOff>-10080</xdr:rowOff>
        </xdr:to>
        <xdr:sp>
          <xdr:nvSpPr>
            <xdr:cNvPr id="0" name="Drop Down 122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xdr:twoCellAnchor editAs="oneCell">
    <xdr:from>
      <xdr:col>12</xdr:col>
      <xdr:colOff>264600</xdr:colOff>
      <xdr:row>1</xdr:row>
      <xdr:rowOff>38160</xdr:rowOff>
    </xdr:from>
    <xdr:to>
      <xdr:col>18</xdr:col>
      <xdr:colOff>507600</xdr:colOff>
      <xdr:row>13</xdr:row>
      <xdr:rowOff>181080</xdr:rowOff>
    </xdr:to>
    <xdr:graphicFrame>
      <xdr:nvGraphicFramePr>
        <xdr:cNvPr id="0" name="Chart 1225"/>
        <xdr:cNvGraphicFramePr/>
      </xdr:nvGraphicFramePr>
      <xdr:xfrm>
        <a:off x="6572520" y="76320"/>
        <a:ext cx="3170520" cy="2543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10440</xdr:colOff>
          <xdr:row>15</xdr:row>
          <xdr:rowOff>171720</xdr:rowOff>
        </xdr:from>
        <xdr:to>
          <xdr:col>19</xdr:col>
          <xdr:colOff>232560</xdr:colOff>
          <xdr:row>16</xdr:row>
          <xdr:rowOff>181080</xdr:rowOff>
        </xdr:to>
        <xdr:sp>
          <xdr:nvSpPr>
            <xdr:cNvPr id="1007" name="Button 1228" descr="Save Reg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Regr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263880</xdr:colOff>
          <xdr:row>15</xdr:row>
          <xdr:rowOff>171720</xdr:rowOff>
        </xdr:from>
        <xdr:to>
          <xdr:col>20</xdr:col>
          <xdr:colOff>507960</xdr:colOff>
          <xdr:row>16</xdr:row>
          <xdr:rowOff>181080</xdr:rowOff>
        </xdr:to>
        <xdr:sp>
          <xdr:nvSpPr>
            <xdr:cNvPr id="1008" name="Button 1229" descr="Load Reg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Load Regr</a:t>
              </a:r>
            </a:p>
          </xdr:txBody>
        </xdr:sp>
        <xdr:clientData/>
      </xdr:twoCellAnchor>
    </mc:Choice>
  </mc:AlternateContent>
  <xdr:twoCellAnchor editAs="oneCell">
    <xdr:from>
      <xdr:col>19</xdr:col>
      <xdr:colOff>0</xdr:colOff>
      <xdr:row>8</xdr:row>
      <xdr:rowOff>9720</xdr:rowOff>
    </xdr:from>
    <xdr:to>
      <xdr:col>26</xdr:col>
      <xdr:colOff>720</xdr:colOff>
      <xdr:row>13</xdr:row>
      <xdr:rowOff>190800</xdr:rowOff>
    </xdr:to>
    <xdr:graphicFrame>
      <xdr:nvGraphicFramePr>
        <xdr:cNvPr id="1" name="Chart 1230"/>
        <xdr:cNvGraphicFramePr/>
      </xdr:nvGraphicFramePr>
      <xdr:xfrm>
        <a:off x="9763920" y="1524240"/>
        <a:ext cx="3752640" cy="1104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10800</xdr:colOff>
          <xdr:row>1</xdr:row>
          <xdr:rowOff>9000</xdr:rowOff>
        </xdr:from>
        <xdr:to>
          <xdr:col>27</xdr:col>
          <xdr:colOff>-10080</xdr:colOff>
          <xdr:row>6</xdr:row>
          <xdr:rowOff>104760</xdr:rowOff>
        </xdr:to>
        <xdr:sp>
          <xdr:nvSpPr>
            <xdr:cNvPr id="1009" name="Button 1231" descr="Save&#10;All&#10;Chang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
All
Changes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10800</xdr:colOff>
          <xdr:row>15</xdr:row>
          <xdr:rowOff>9000</xdr:rowOff>
        </xdr:from>
        <xdr:to>
          <xdr:col>10</xdr:col>
          <xdr:colOff>243360</xdr:colOff>
          <xdr:row>16</xdr:row>
          <xdr:rowOff>181080</xdr:rowOff>
        </xdr:to>
        <xdr:sp>
          <xdr:nvSpPr>
            <xdr:cNvPr id="1010" name="Button 2075" descr="Save&#10;Pric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
Price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264240</xdr:colOff>
          <xdr:row>15</xdr:row>
          <xdr:rowOff>9000</xdr:rowOff>
        </xdr:from>
        <xdr:to>
          <xdr:col>11</xdr:col>
          <xdr:colOff>432720</xdr:colOff>
          <xdr:row>16</xdr:row>
          <xdr:rowOff>181080</xdr:rowOff>
        </xdr:to>
        <xdr:sp>
          <xdr:nvSpPr>
            <xdr:cNvPr id="1011" name="Button 2078" descr="Load&#10;Pric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Load
Price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21600</xdr:colOff>
          <xdr:row>15</xdr:row>
          <xdr:rowOff>9000</xdr:rowOff>
        </xdr:from>
        <xdr:to>
          <xdr:col>13</xdr:col>
          <xdr:colOff>275400</xdr:colOff>
          <xdr:row>16</xdr:row>
          <xdr:rowOff>181080</xdr:rowOff>
        </xdr:to>
        <xdr:sp>
          <xdr:nvSpPr>
            <xdr:cNvPr id="1012" name="Button 2079" descr="Save&#10;Vo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
Vol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285120</xdr:colOff>
          <xdr:row>15</xdr:row>
          <xdr:rowOff>9000</xdr:rowOff>
        </xdr:from>
        <xdr:to>
          <xdr:col>14</xdr:col>
          <xdr:colOff>486360</xdr:colOff>
          <xdr:row>16</xdr:row>
          <xdr:rowOff>181080</xdr:rowOff>
        </xdr:to>
        <xdr:sp>
          <xdr:nvSpPr>
            <xdr:cNvPr id="1013" name="Button 2080" descr="Load&#10;Vo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Load
Vol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538920</xdr:colOff>
          <xdr:row>34</xdr:row>
          <xdr:rowOff>0</xdr:rowOff>
        </xdr:from>
        <xdr:to>
          <xdr:col>4</xdr:col>
          <xdr:colOff>720</xdr:colOff>
          <xdr:row>35</xdr:row>
          <xdr:rowOff>-9000</xdr:rowOff>
        </xdr:to>
        <xdr:sp>
          <xdr:nvSpPr>
            <xdr:cNvPr id="0" name="Group Box 226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570600</xdr:colOff>
          <xdr:row>34</xdr:row>
          <xdr:rowOff>9000</xdr:rowOff>
        </xdr:from>
        <xdr:to>
          <xdr:col>2</xdr:col>
          <xdr:colOff>402480</xdr:colOff>
          <xdr:row>35</xdr:row>
          <xdr:rowOff>-28080</xdr:rowOff>
        </xdr:to>
        <xdr:sp>
          <xdr:nvSpPr>
            <xdr:cNvPr id="0" name="Option Button 2267" descr="To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Today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412200</xdr:colOff>
          <xdr:row>34</xdr:row>
          <xdr:rowOff>9000</xdr:rowOff>
        </xdr:from>
        <xdr:to>
          <xdr:col>3</xdr:col>
          <xdr:colOff>550440</xdr:colOff>
          <xdr:row>35</xdr:row>
          <xdr:rowOff>-28080</xdr:rowOff>
        </xdr:to>
        <xdr:sp>
          <xdr:nvSpPr>
            <xdr:cNvPr id="0" name="Option Button 2268" descr="Beginning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Beginning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21240</xdr:colOff>
          <xdr:row>15</xdr:row>
          <xdr:rowOff>9000</xdr:rowOff>
        </xdr:from>
        <xdr:to>
          <xdr:col>16</xdr:col>
          <xdr:colOff>254160</xdr:colOff>
          <xdr:row>16</xdr:row>
          <xdr:rowOff>181080</xdr:rowOff>
        </xdr:to>
        <xdr:sp>
          <xdr:nvSpPr>
            <xdr:cNvPr id="1014" name="Button 2403" descr="Save&#10;Pric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
Price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275040</xdr:colOff>
          <xdr:row>15</xdr:row>
          <xdr:rowOff>9000</xdr:rowOff>
        </xdr:from>
        <xdr:to>
          <xdr:col>17</xdr:col>
          <xdr:colOff>443880</xdr:colOff>
          <xdr:row>16</xdr:row>
          <xdr:rowOff>181080</xdr:rowOff>
        </xdr:to>
        <xdr:sp>
          <xdr:nvSpPr>
            <xdr:cNvPr id="1015" name="Button 2404" descr="Load&#10;Pric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Load
Price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10800</xdr:colOff>
          <xdr:row>6</xdr:row>
          <xdr:rowOff>114120</xdr:rowOff>
        </xdr:from>
        <xdr:to>
          <xdr:col>27</xdr:col>
          <xdr:colOff>-10080</xdr:colOff>
          <xdr:row>13</xdr:row>
          <xdr:rowOff>209520</xdr:rowOff>
        </xdr:to>
        <xdr:sp>
          <xdr:nvSpPr>
            <xdr:cNvPr id="1016" name="Button 2405" descr="Retrieve&#10;All&#10;Chang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Retrieve
All
Changes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10440</xdr:colOff>
          <xdr:row>7</xdr:row>
          <xdr:rowOff>9720</xdr:rowOff>
        </xdr:from>
        <xdr:to>
          <xdr:col>5</xdr:col>
          <xdr:colOff>720</xdr:colOff>
          <xdr:row>8</xdr:row>
          <xdr:rowOff>-18720</xdr:rowOff>
        </xdr:to>
        <xdr:sp>
          <xdr:nvSpPr>
            <xdr:cNvPr id="1017" name="Button 2538" descr="Straddl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Straddle</a:t>
              </a:r>
            </a:p>
          </xdr:txBody>
        </xdr:sp>
        <xdr:clientData/>
      </xdr:twoCellAnchor>
    </mc:Choice>
  </mc:AlternateContent>
  <xdr:twoCellAnchor editAs="oneCell">
    <xdr:from>
      <xdr:col>7</xdr:col>
      <xdr:colOff>20520</xdr:colOff>
      <xdr:row>1</xdr:row>
      <xdr:rowOff>19080</xdr:rowOff>
    </xdr:from>
    <xdr:to>
      <xdr:col>12</xdr:col>
      <xdr:colOff>254160</xdr:colOff>
      <xdr:row>13</xdr:row>
      <xdr:rowOff>181080</xdr:rowOff>
    </xdr:to>
    <xdr:graphicFrame>
      <xdr:nvGraphicFramePr>
        <xdr:cNvPr id="2" name="Chart 2539"/>
        <xdr:cNvGraphicFramePr/>
      </xdr:nvGraphicFramePr>
      <xdr:xfrm>
        <a:off x="4332960" y="57240"/>
        <a:ext cx="2229120" cy="25621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21600</xdr:colOff>
          <xdr:row>14</xdr:row>
          <xdr:rowOff>19080</xdr:rowOff>
        </xdr:from>
        <xdr:to>
          <xdr:col>7</xdr:col>
          <xdr:colOff>-20880</xdr:colOff>
          <xdr:row>15</xdr:row>
          <xdr:rowOff>152640</xdr:rowOff>
        </xdr:to>
        <xdr:sp>
          <xdr:nvSpPr>
            <xdr:cNvPr id="1018" name="Button 8213" descr="Calc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Calc</a:t>
              </a:r>
            </a:p>
          </xdr:txBody>
        </xdr:sp>
        <xdr:clientData/>
      </xdr:twoCellAnchor>
    </mc:Choice>
  </mc:AlternateContent>
  <xdr:twoCellAnchor editAs="oneCell">
    <xdr:from>
      <xdr:col>0</xdr:col>
      <xdr:colOff>42120</xdr:colOff>
      <xdr:row>59</xdr:row>
      <xdr:rowOff>133200</xdr:rowOff>
    </xdr:from>
    <xdr:to>
      <xdr:col>6</xdr:col>
      <xdr:colOff>614160</xdr:colOff>
      <xdr:row>74</xdr:row>
      <xdr:rowOff>104760</xdr:rowOff>
    </xdr:to>
    <xdr:graphicFrame>
      <xdr:nvGraphicFramePr>
        <xdr:cNvPr id="3" name="Chart 9596"/>
        <xdr:cNvGraphicFramePr/>
      </xdr:nvGraphicFramePr>
      <xdr:xfrm>
        <a:off x="42120" y="11515680"/>
        <a:ext cx="4218120" cy="2400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42120</xdr:colOff>
      <xdr:row>47</xdr:row>
      <xdr:rowOff>38160</xdr:rowOff>
    </xdr:from>
    <xdr:to>
      <xdr:col>6</xdr:col>
      <xdr:colOff>624600</xdr:colOff>
      <xdr:row>59</xdr:row>
      <xdr:rowOff>123840</xdr:rowOff>
    </xdr:to>
    <xdr:graphicFrame>
      <xdr:nvGraphicFramePr>
        <xdr:cNvPr id="4" name="Chart 9633"/>
        <xdr:cNvGraphicFramePr/>
      </xdr:nvGraphicFramePr>
      <xdr:xfrm>
        <a:off x="42120" y="9382320"/>
        <a:ext cx="4228560" cy="212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118</xdr:col>
          <xdr:colOff>0</xdr:colOff>
          <xdr:row>14</xdr:row>
          <xdr:rowOff>19080</xdr:rowOff>
        </xdr:from>
        <xdr:to>
          <xdr:col>120</xdr:col>
          <xdr:colOff>423000</xdr:colOff>
          <xdr:row>15</xdr:row>
          <xdr:rowOff>142560</xdr:rowOff>
        </xdr:to>
        <xdr:sp>
          <xdr:nvSpPr>
            <xdr:cNvPr id="1019" name="Button 10860" descr="Save Dated Chang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Dated Changes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10440</xdr:colOff>
          <xdr:row>16</xdr:row>
          <xdr:rowOff>9720</xdr:rowOff>
        </xdr:from>
        <xdr:to>
          <xdr:col>46</xdr:col>
          <xdr:colOff>10800</xdr:colOff>
          <xdr:row>17</xdr:row>
          <xdr:rowOff>199800</xdr:rowOff>
        </xdr:to>
        <xdr:sp>
          <xdr:nvSpPr>
            <xdr:cNvPr id="1020" name="Button 21324" descr="Brent&#10;IP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Brent
IPE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237</xdr:col>
          <xdr:colOff>42120</xdr:colOff>
          <xdr:row>11</xdr:row>
          <xdr:rowOff>9720</xdr:rowOff>
        </xdr:from>
        <xdr:to>
          <xdr:col>239</xdr:col>
          <xdr:colOff>720</xdr:colOff>
          <xdr:row>12</xdr:row>
          <xdr:rowOff>199800</xdr:rowOff>
        </xdr:to>
        <xdr:sp>
          <xdr:nvSpPr>
            <xdr:cNvPr id="1021" name="Button 26729" descr="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239</xdr:col>
          <xdr:colOff>42120</xdr:colOff>
          <xdr:row>11</xdr:row>
          <xdr:rowOff>9720</xdr:rowOff>
        </xdr:from>
        <xdr:to>
          <xdr:col>242</xdr:col>
          <xdr:colOff>222480</xdr:colOff>
          <xdr:row>12</xdr:row>
          <xdr:rowOff>199800</xdr:rowOff>
        </xdr:to>
        <xdr:sp>
          <xdr:nvSpPr>
            <xdr:cNvPr id="1022" name="Button 26730" descr="Sav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242</xdr:col>
          <xdr:colOff>253440</xdr:colOff>
          <xdr:row>11</xdr:row>
          <xdr:rowOff>9720</xdr:rowOff>
        </xdr:from>
        <xdr:to>
          <xdr:col>245</xdr:col>
          <xdr:colOff>453960</xdr:colOff>
          <xdr:row>12</xdr:row>
          <xdr:rowOff>190440</xdr:rowOff>
        </xdr:to>
        <xdr:sp>
          <xdr:nvSpPr>
            <xdr:cNvPr id="1023" name="Button 26731" descr="Retriev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Retrieve</a:t>
              </a:r>
            </a:p>
          </xdr:txBody>
        </xdr:sp>
        <xdr:clientData/>
      </xdr:twoCellAnchor>
    </mc:Choice>
  </mc:AlternateContent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<Relationship Id="rId4" Type="http://schemas.openxmlformats.org/officeDocument/2006/relationships/ctrlProp" Target="../ctrlProps/ctrlProps3.xml"/><Relationship Id="rId5" Type="http://schemas.openxmlformats.org/officeDocument/2006/relationships/ctrlProp" Target="../ctrlProps/ctrlProps4.xml"/><Relationship Id="rId6" Type="http://schemas.openxmlformats.org/officeDocument/2006/relationships/ctrlProp" Target="../ctrlProps/ctrlProps5.xml"/><Relationship Id="rId7" Type="http://schemas.openxmlformats.org/officeDocument/2006/relationships/ctrlProp" Target="../ctrlProps/ctrlProps6.xml"/><Relationship Id="rId8" Type="http://schemas.openxmlformats.org/officeDocument/2006/relationships/ctrlProp" Target="../ctrlProps/ctrlProps7.xml"/><Relationship Id="rId9" Type="http://schemas.openxmlformats.org/officeDocument/2006/relationships/ctrlProp" Target="../ctrlProps/ctrlProps8.xml"/><Relationship Id="rId10" Type="http://schemas.openxmlformats.org/officeDocument/2006/relationships/ctrlProp" Target="../ctrlProps/ctrlProps9.xml"/><Relationship Id="rId11" Type="http://schemas.openxmlformats.org/officeDocument/2006/relationships/ctrlProp" Target="../ctrlProps/ctrlProps10.xml"/><Relationship Id="rId12" Type="http://schemas.openxmlformats.org/officeDocument/2006/relationships/ctrlProp" Target="../ctrlProps/ctrlProps11.xml"/><Relationship Id="rId13" Type="http://schemas.openxmlformats.org/officeDocument/2006/relationships/ctrlProp" Target="../ctrlProps/ctrlProps12.xml"/><Relationship Id="rId14" Type="http://schemas.openxmlformats.org/officeDocument/2006/relationships/ctrlProp" Target="../ctrlProps/ctrlProps13.xml"/><Relationship Id="rId15" Type="http://schemas.openxmlformats.org/officeDocument/2006/relationships/ctrlProp" Target="../ctrlProps/ctrlProps14.xml"/><Relationship Id="rId16" Type="http://schemas.openxmlformats.org/officeDocument/2006/relationships/ctrlProp" Target="../ctrlProps/ctrlProps15.xml"/><Relationship Id="rId17" Type="http://schemas.openxmlformats.org/officeDocument/2006/relationships/ctrlProp" Target="../ctrlProps/ctrlProps16.xml"/><Relationship Id="rId18" Type="http://schemas.openxmlformats.org/officeDocument/2006/relationships/ctrlProp" Target="../ctrlProps/ctrlProps17.xml"/><Relationship Id="rId19" Type="http://schemas.openxmlformats.org/officeDocument/2006/relationships/ctrlProp" Target="../ctrlProps/ctrlProps18.xml"/><Relationship Id="rId20" Type="http://schemas.openxmlformats.org/officeDocument/2006/relationships/ctrlProp" Target="../ctrlProps/ctrlProps19.xml"/><Relationship Id="rId21" Type="http://schemas.openxmlformats.org/officeDocument/2006/relationships/ctrlProp" Target="../ctrlProps/ctrlProps20.xml"/><Relationship Id="rId22" Type="http://schemas.openxmlformats.org/officeDocument/2006/relationships/ctrlProp" Target="../ctrlProps/ctrlProps21.xml"/><Relationship Id="rId23" Type="http://schemas.openxmlformats.org/officeDocument/2006/relationships/ctrlProp" Target="../ctrlProps/ctrlProps22.xml"/><Relationship Id="rId24" Type="http://schemas.openxmlformats.org/officeDocument/2006/relationships/ctrlProp" Target="../ctrlProps/ctrlProps23.xml"/><Relationship Id="rId25" Type="http://schemas.openxmlformats.org/officeDocument/2006/relationships/ctrlProp" Target="../ctrlProps/ctrlProps24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39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32421875" defaultRowHeight="12.75" customHeight="true" zeroHeight="false" outlineLevelRow="0" outlineLevelCol="0"/>
  <cols>
    <col collapsed="false" customWidth="true" hidden="false" outlineLevel="0" max="1" min="1" style="1" width="7.49"/>
    <col collapsed="false" customWidth="true" hidden="false" outlineLevel="0" max="2" min="2" style="1" width="11.65"/>
    <col collapsed="false" customWidth="true" hidden="false" outlineLevel="0" max="3" min="3" style="1" width="9.82"/>
    <col collapsed="false" customWidth="false" hidden="false" outlineLevel="0" max="4" min="4" style="1" width="9.32"/>
    <col collapsed="false" customWidth="true" hidden="false" outlineLevel="0" max="5" min="5" style="1" width="9.99"/>
    <col collapsed="false" customWidth="true" hidden="false" outlineLevel="0" max="6" min="6" style="1" width="9.15"/>
    <col collapsed="false" customWidth="true" hidden="false" outlineLevel="0" max="7" min="7" style="1" width="10.49"/>
    <col collapsed="false" customWidth="true" hidden="false" outlineLevel="0" max="8" min="8" style="1" width="0.65"/>
    <col collapsed="false" customWidth="true" hidden="false" outlineLevel="0" max="9" min="9" style="1" width="8.82"/>
    <col collapsed="false" customWidth="true" hidden="false" outlineLevel="0" max="10" min="10" style="1" width="7.49"/>
    <col collapsed="false" customWidth="true" hidden="false" outlineLevel="0" max="11" min="11" style="1" width="7.65"/>
    <col collapsed="false" customWidth="true" hidden="false" outlineLevel="0" max="12" min="12" style="1" width="6.82"/>
    <col collapsed="false" customWidth="true" hidden="false" outlineLevel="0" max="13" min="13" style="1" width="7.82"/>
    <col collapsed="false" customWidth="true" hidden="false" outlineLevel="0" max="14" min="14" style="1" width="8.49"/>
    <col collapsed="false" customWidth="true" hidden="false" outlineLevel="0" max="15" min="15" style="1" width="7.82"/>
    <col collapsed="false" customWidth="true" hidden="false" outlineLevel="0" max="17" min="16" style="1" width="7.49"/>
    <col collapsed="false" customWidth="true" hidden="false" outlineLevel="0" max="18" min="18" style="1" width="6.99"/>
    <col collapsed="false" customWidth="true" hidden="false" outlineLevel="0" max="19" min="19" style="2" width="8.32"/>
    <col collapsed="false" customWidth="true" hidden="false" outlineLevel="0" max="20" min="20" style="1" width="7.99"/>
    <col collapsed="false" customWidth="true" hidden="false" outlineLevel="0" max="21" min="21" style="1" width="8.49"/>
    <col collapsed="false" customWidth="true" hidden="false" outlineLevel="0" max="22" min="22" style="1" width="8.65"/>
    <col collapsed="false" customWidth="true" hidden="false" outlineLevel="0" max="26" min="23" style="1" width="8.49"/>
    <col collapsed="false" customWidth="true" hidden="false" outlineLevel="0" max="27" min="27" style="1" width="9.99"/>
    <col collapsed="false" customWidth="true" hidden="false" outlineLevel="0" max="28" min="28" style="1" width="8.32"/>
    <col collapsed="false" customWidth="true" hidden="false" outlineLevel="0" max="29" min="29" style="1" width="9.82"/>
    <col collapsed="false" customWidth="true" hidden="false" outlineLevel="0" max="30" min="30" style="1" width="10.32"/>
    <col collapsed="false" customWidth="true" hidden="false" outlineLevel="0" max="32" min="31" style="1" width="9.99"/>
    <col collapsed="false" customWidth="true" hidden="false" outlineLevel="0" max="33" min="33" style="1" width="6.82"/>
    <col collapsed="false" customWidth="true" hidden="false" outlineLevel="0" max="34" min="34" style="1" width="8.32"/>
    <col collapsed="false" customWidth="true" hidden="false" outlineLevel="0" max="35" min="35" style="1" width="6.15"/>
    <col collapsed="false" customWidth="true" hidden="false" outlineLevel="0" max="37" min="36" style="1" width="5.82"/>
    <col collapsed="false" customWidth="true" hidden="false" outlineLevel="0" max="38" min="38" style="1" width="7.15"/>
    <col collapsed="false" customWidth="true" hidden="false" outlineLevel="0" max="40" min="39" style="2" width="9.82"/>
    <col collapsed="false" customWidth="true" hidden="false" outlineLevel="0" max="41" min="41" style="2" width="7.15"/>
    <col collapsed="false" customWidth="true" hidden="false" outlineLevel="0" max="43" min="42" style="2" width="8.49"/>
    <col collapsed="false" customWidth="true" hidden="false" outlineLevel="0" max="44" min="44" style="2" width="7.82"/>
    <col collapsed="false" customWidth="true" hidden="false" outlineLevel="0" max="45" min="45" style="2" width="7.99"/>
    <col collapsed="false" customWidth="true" hidden="false" outlineLevel="0" max="46" min="46" style="1" width="9.49"/>
    <col collapsed="false" customWidth="true" hidden="false" outlineLevel="0" max="47" min="47" style="1" width="8.82"/>
    <col collapsed="false" customWidth="true" hidden="false" outlineLevel="0" max="48" min="48" style="2" width="8.82"/>
    <col collapsed="false" customWidth="true" hidden="false" outlineLevel="0" max="50" min="49" style="2" width="7.99"/>
    <col collapsed="false" customWidth="true" hidden="false" outlineLevel="0" max="51" min="51" style="2" width="9.49"/>
    <col collapsed="false" customWidth="true" hidden="false" outlineLevel="0" max="52" min="52" style="2" width="8.82"/>
    <col collapsed="false" customWidth="true" hidden="false" outlineLevel="0" max="54" min="53" style="2" width="7.82"/>
    <col collapsed="false" customWidth="false" hidden="false" outlineLevel="0" max="55" min="55" style="2" width="9.32"/>
    <col collapsed="false" customWidth="true" hidden="false" outlineLevel="0" max="56" min="56" style="2" width="6.32"/>
    <col collapsed="false" customWidth="true" hidden="false" outlineLevel="0" max="57" min="57" style="2" width="8.65"/>
    <col collapsed="false" customWidth="true" hidden="false" outlineLevel="0" max="58" min="58" style="2" width="10.49"/>
    <col collapsed="false" customWidth="true" hidden="false" outlineLevel="0" max="59" min="59" style="2" width="6.82"/>
    <col collapsed="false" customWidth="true" hidden="false" outlineLevel="0" max="60" min="60" style="2" width="7.65"/>
    <col collapsed="false" customWidth="true" hidden="false" outlineLevel="0" max="61" min="61" style="2" width="6.82"/>
    <col collapsed="false" customWidth="true" hidden="false" outlineLevel="0" max="62" min="62" style="2" width="6.65"/>
    <col collapsed="false" customWidth="true" hidden="false" outlineLevel="0" max="63" min="63" style="2" width="7.49"/>
    <col collapsed="false" customWidth="true" hidden="false" outlineLevel="0" max="64" min="64" style="2" width="8.15"/>
    <col collapsed="false" customWidth="true" hidden="false" outlineLevel="0" max="65" min="65" style="2" width="5.65"/>
    <col collapsed="false" customWidth="true" hidden="false" outlineLevel="0" max="66" min="66" style="2" width="8.15"/>
    <col collapsed="false" customWidth="true" hidden="false" outlineLevel="0" max="67" min="67" style="2" width="4.82"/>
    <col collapsed="false" customWidth="true" hidden="false" outlineLevel="0" max="69" min="68" style="2" width="5.49"/>
    <col collapsed="false" customWidth="true" hidden="false" outlineLevel="0" max="70" min="70" style="2" width="7.82"/>
    <col collapsed="false" customWidth="true" hidden="false" outlineLevel="0" max="72" min="71" style="2" width="6.82"/>
    <col collapsed="false" customWidth="true" hidden="false" outlineLevel="0" max="83" min="73" style="2" width="7.82"/>
    <col collapsed="false" customWidth="true" hidden="false" outlineLevel="0" max="84" min="84" style="2" width="8.82"/>
    <col collapsed="false" customWidth="true" hidden="false" outlineLevel="0" max="86" min="85" style="2" width="8.15"/>
    <col collapsed="false" customWidth="true" hidden="false" outlineLevel="0" max="87" min="87" style="2" width="8.99"/>
    <col collapsed="false" customWidth="true" hidden="false" outlineLevel="0" max="88" min="88" style="1" width="8.15"/>
    <col collapsed="false" customWidth="true" hidden="false" outlineLevel="0" max="89" min="89" style="1" width="8.99"/>
    <col collapsed="false" customWidth="true" hidden="false" outlineLevel="0" max="90" min="90" style="1" width="8.15"/>
    <col collapsed="false" customWidth="true" hidden="false" outlineLevel="0" max="91" min="91" style="1" width="8.99"/>
    <col collapsed="false" customWidth="true" hidden="false" outlineLevel="0" max="92" min="92" style="1" width="7.82"/>
    <col collapsed="false" customWidth="true" hidden="false" outlineLevel="0" max="94" min="93" style="1" width="7.49"/>
    <col collapsed="false" customWidth="true" hidden="false" outlineLevel="0" max="96" min="95" style="1" width="6.65"/>
    <col collapsed="false" customWidth="true" hidden="false" outlineLevel="0" max="97" min="97" style="1" width="7.82"/>
    <col collapsed="false" customWidth="true" hidden="false" outlineLevel="0" max="99" min="98" style="1" width="8.15"/>
    <col collapsed="false" customWidth="true" hidden="false" outlineLevel="0" max="107" min="100" style="1" width="8.82"/>
    <col collapsed="false" customWidth="true" hidden="false" outlineLevel="0" max="108" min="108" style="1" width="10.15"/>
    <col collapsed="false" customWidth="true" hidden="false" outlineLevel="0" max="109" min="109" style="1" width="8.65"/>
    <col collapsed="false" customWidth="true" hidden="false" outlineLevel="0" max="110" min="110" style="3" width="5.15"/>
    <col collapsed="false" customWidth="true" hidden="false" outlineLevel="0" max="111" min="111" style="4" width="8.65"/>
    <col collapsed="false" customWidth="true" hidden="false" outlineLevel="0" max="113" min="112" style="4" width="7.82"/>
    <col collapsed="false" customWidth="true" hidden="false" outlineLevel="0" max="114" min="114" style="4" width="8.65"/>
    <col collapsed="false" customWidth="true" hidden="false" outlineLevel="0" max="115" min="115" style="4" width="7.82"/>
    <col collapsed="false" customWidth="true" hidden="false" outlineLevel="0" max="116" min="116" style="1" width="7.82"/>
    <col collapsed="false" customWidth="true" hidden="false" outlineLevel="0" max="117" min="117" style="1" width="8.65"/>
    <col collapsed="false" customWidth="true" hidden="false" outlineLevel="0" max="118" min="118" style="1" width="7.82"/>
    <col collapsed="false" customWidth="true" hidden="false" outlineLevel="0" max="119" min="119" style="1" width="8.65"/>
    <col collapsed="false" customWidth="true" hidden="false" outlineLevel="0" max="120" min="120" style="1" width="7.82"/>
    <col collapsed="false" customWidth="true" hidden="false" outlineLevel="0" max="121" min="121" style="1" width="7.49"/>
    <col collapsed="false" customWidth="true" hidden="false" outlineLevel="0" max="122" min="122" style="1" width="8.65"/>
    <col collapsed="false" customWidth="true" hidden="false" outlineLevel="0" max="124" min="123" style="1" width="7.82"/>
    <col collapsed="false" customWidth="true" hidden="false" outlineLevel="0" max="125" min="125" style="1" width="8.65"/>
    <col collapsed="false" customWidth="true" hidden="false" outlineLevel="0" max="127" min="126" style="1" width="7.82"/>
    <col collapsed="false" customWidth="true" hidden="false" outlineLevel="0" max="128" min="128" style="1" width="8.65"/>
    <col collapsed="false" customWidth="true" hidden="false" outlineLevel="0" max="129" min="129" style="1" width="7.82"/>
    <col collapsed="false" customWidth="true" hidden="false" outlineLevel="0" max="130" min="130" style="1" width="8.65"/>
    <col collapsed="false" customWidth="true" hidden="false" outlineLevel="0" max="131" min="131" style="1" width="7.82"/>
    <col collapsed="false" customWidth="true" hidden="false" outlineLevel="0" max="132" min="132" style="1" width="9.99"/>
    <col collapsed="false" customWidth="true" hidden="false" outlineLevel="0" max="133" min="133" style="1" width="7.82"/>
    <col collapsed="false" customWidth="true" hidden="false" outlineLevel="0" max="137" min="134" style="1" width="9.99"/>
    <col collapsed="false" customWidth="true" hidden="false" outlineLevel="0" max="138" min="138" style="1" width="8.49"/>
    <col collapsed="false" customWidth="true" hidden="false" outlineLevel="0" max="139" min="139" style="1" width="7.65"/>
    <col collapsed="false" customWidth="true" hidden="false" outlineLevel="0" max="140" min="140" style="1" width="10.49"/>
    <col collapsed="false" customWidth="true" hidden="false" outlineLevel="0" max="141" min="141" style="1" width="7.49"/>
    <col collapsed="false" customWidth="true" hidden="false" outlineLevel="0" max="142" min="142" style="2" width="4.49"/>
    <col collapsed="false" customWidth="true" hidden="false" outlineLevel="0" max="143" min="143" style="2" width="9.49"/>
    <col collapsed="false" customWidth="true" hidden="false" outlineLevel="0" max="144" min="144" style="1" width="9.49"/>
    <col collapsed="false" customWidth="true" hidden="false" outlineLevel="0" max="145" min="145" style="2" width="9.49"/>
    <col collapsed="false" customWidth="true" hidden="false" outlineLevel="0" max="146" min="146" style="1" width="3.65"/>
    <col collapsed="false" customWidth="true" hidden="false" outlineLevel="0" max="147" min="147" style="1" width="7.15"/>
    <col collapsed="false" customWidth="true" hidden="false" outlineLevel="0" max="148" min="148" style="1" width="7.49"/>
    <col collapsed="false" customWidth="true" hidden="false" outlineLevel="0" max="149" min="149" style="2" width="3.32"/>
    <col collapsed="false" customWidth="true" hidden="false" outlineLevel="0" max="150" min="150" style="1" width="7.49"/>
    <col collapsed="false" customWidth="true" hidden="false" outlineLevel="0" max="151" min="151" style="1" width="6.65"/>
    <col collapsed="false" customWidth="true" hidden="false" outlineLevel="0" max="152" min="152" style="1" width="8.99"/>
    <col collapsed="false" customWidth="true" hidden="false" outlineLevel="0" max="153" min="153" style="1" width="7.99"/>
    <col collapsed="false" customWidth="true" hidden="false" outlineLevel="0" max="154" min="154" style="1" width="7.82"/>
    <col collapsed="false" customWidth="true" hidden="false" outlineLevel="0" max="155" min="155" style="1" width="2.49"/>
    <col collapsed="false" customWidth="true" hidden="false" outlineLevel="0" max="157" min="156" style="1" width="7.82"/>
    <col collapsed="false" customWidth="true" hidden="false" outlineLevel="0" max="158" min="158" style="1" width="14.32"/>
    <col collapsed="false" customWidth="true" hidden="false" outlineLevel="0" max="159" min="159" style="1" width="7.65"/>
    <col collapsed="false" customWidth="true" hidden="false" outlineLevel="0" max="163" min="160" style="1" width="9.99"/>
    <col collapsed="false" customWidth="true" hidden="false" outlineLevel="0" max="164" min="164" style="1" width="11.65"/>
    <col collapsed="false" customWidth="true" hidden="false" outlineLevel="0" max="165" min="165" style="1" width="6.65"/>
    <col collapsed="false" customWidth="true" hidden="false" outlineLevel="0" max="166" min="166" style="1" width="68.15"/>
    <col collapsed="false" customWidth="true" hidden="false" outlineLevel="0" max="167" min="167" style="1" width="8.82"/>
    <col collapsed="false" customWidth="true" hidden="false" outlineLevel="0" max="238" min="168" style="1" width="6.65"/>
    <col collapsed="false" customWidth="true" hidden="false" outlineLevel="0" max="239" min="239" style="1" width="13.82"/>
    <col collapsed="false" customWidth="true" hidden="false" outlineLevel="0" max="243" min="240" style="1" width="6.65"/>
    <col collapsed="false" customWidth="true" hidden="false" outlineLevel="0" max="246" min="244" style="1" width="7.15"/>
    <col collapsed="false" customWidth="false" hidden="false" outlineLevel="0" max="257" min="247" style="1" width="9.32"/>
  </cols>
  <sheetData>
    <row r="1" customFormat="false" ht="3" hidden="false" customHeight="true" outlineLevel="0" collapsed="false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6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M1" s="1"/>
      <c r="AN1" s="1"/>
      <c r="AO1" s="1"/>
      <c r="AP1" s="4"/>
      <c r="AQ1" s="4"/>
      <c r="AR1" s="4" t="n">
        <v>5</v>
      </c>
      <c r="AT1" s="2"/>
      <c r="AU1" s="2"/>
      <c r="BG1" s="1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V1" s="3"/>
      <c r="DW1" s="4"/>
      <c r="DX1" s="4"/>
      <c r="DY1" s="4"/>
      <c r="DZ1" s="4"/>
      <c r="EA1" s="4"/>
      <c r="EB1" s="4"/>
      <c r="EC1" s="4"/>
    </row>
    <row r="2" customFormat="false" ht="14.25" hidden="false" customHeight="true" outlineLevel="0" collapsed="false">
      <c r="A2" s="5" t="str">
        <f aca="false">CONCATENATE("Cal 0",YEAR(NextMonth)-1999)</f>
        <v>Cal 01</v>
      </c>
      <c r="B2" s="7" t="s">
        <v>0</v>
      </c>
      <c r="C2" s="7"/>
      <c r="D2" s="7"/>
      <c r="E2" s="7"/>
      <c r="F2" s="7"/>
      <c r="G2" s="7"/>
      <c r="H2" s="5"/>
      <c r="I2" s="5"/>
      <c r="J2" s="5"/>
      <c r="K2" s="5"/>
      <c r="L2" s="5"/>
      <c r="M2" s="5"/>
      <c r="N2" s="6"/>
      <c r="O2" s="5"/>
      <c r="P2" s="5"/>
      <c r="Q2" s="5"/>
      <c r="R2" s="5"/>
      <c r="S2" s="5"/>
      <c r="T2" s="8" t="s">
        <v>1</v>
      </c>
      <c r="U2" s="8"/>
      <c r="V2" s="8"/>
      <c r="W2" s="8"/>
      <c r="X2" s="8"/>
      <c r="Y2" s="8"/>
      <c r="Z2" s="8"/>
      <c r="AA2" s="5"/>
      <c r="AB2" s="9" t="s">
        <v>2</v>
      </c>
      <c r="AC2" s="9"/>
      <c r="AD2" s="9"/>
      <c r="AE2" s="5"/>
      <c r="AF2" s="10" t="s">
        <v>3</v>
      </c>
      <c r="AG2" s="10"/>
      <c r="AH2" s="11" t="s">
        <v>4</v>
      </c>
      <c r="AI2" s="5"/>
      <c r="AJ2" s="12" t="s">
        <v>5</v>
      </c>
      <c r="AK2" s="12"/>
      <c r="AL2" s="12"/>
      <c r="AM2" s="12"/>
      <c r="AN2" s="12"/>
      <c r="AP2" s="12" t="s">
        <v>6</v>
      </c>
      <c r="AQ2" s="12"/>
      <c r="AR2" s="12"/>
      <c r="AS2" s="12"/>
      <c r="AT2" s="12"/>
      <c r="AU2" s="12"/>
      <c r="AV2" s="12"/>
      <c r="AW2" s="12"/>
      <c r="AX2" s="12"/>
      <c r="AY2" s="12"/>
      <c r="AZ2" s="13"/>
      <c r="BA2" s="14"/>
      <c r="BC2" s="15" t="s">
        <v>7</v>
      </c>
      <c r="BD2" s="15"/>
      <c r="BE2" s="15"/>
      <c r="BF2" s="15"/>
      <c r="BH2" s="16" t="s">
        <v>8</v>
      </c>
      <c r="BI2" s="16"/>
      <c r="BK2" s="17" t="s">
        <v>9</v>
      </c>
      <c r="BL2" s="17"/>
      <c r="BM2" s="17"/>
      <c r="BN2" s="18" t="s">
        <v>10</v>
      </c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V2" s="3"/>
      <c r="DW2" s="4"/>
      <c r="DX2" s="4"/>
      <c r="DY2" s="4"/>
      <c r="DZ2" s="4"/>
      <c r="EA2" s="4"/>
      <c r="EB2" s="4"/>
      <c r="EC2" s="4"/>
      <c r="ES2" s="4"/>
      <c r="ID2" s="19"/>
      <c r="IE2" s="19"/>
      <c r="IF2" s="19" t="n">
        <v>1</v>
      </c>
      <c r="IG2" s="19" t="n">
        <v>2</v>
      </c>
      <c r="IH2" s="19" t="n">
        <v>4</v>
      </c>
      <c r="II2" s="19" t="n">
        <v>6</v>
      </c>
      <c r="IJ2" s="19" t="n">
        <v>12</v>
      </c>
      <c r="IK2" s="19" t="n">
        <v>36</v>
      </c>
      <c r="IL2" s="19" t="n">
        <v>60</v>
      </c>
      <c r="IM2" s="0"/>
    </row>
    <row r="3" customFormat="false" ht="20.25" hidden="false" customHeight="true" outlineLevel="0" collapsed="false">
      <c r="A3" s="20" t="e">
        <f aca="false">SUMPRODUCT(INDEX(X20:X258,AY11):INDEX(X20:X258,AY11+11),INDEX(AP20:AP258,AY11):INDEX(AP20:AP258,AY11+11))/SUM(INDEX(AP20:AP258,AY11):INDEX(AP20:AP258,AY11+11))</f>
        <v>#VALUE!</v>
      </c>
      <c r="B3" s="21"/>
      <c r="C3" s="22" t="s">
        <v>11</v>
      </c>
      <c r="D3" s="23"/>
      <c r="E3" s="24" t="s">
        <v>12</v>
      </c>
      <c r="F3" s="25" t="n">
        <f aca="false">EOMONTH(FirstPricingMonth,SwapFirstMonthPosition-2)+1</f>
        <v>36892</v>
      </c>
      <c r="G3" s="26" t="n">
        <f aca="false">EOMONTH(DateStart,SwapNumOfMonths-2)+1</f>
        <v>37226</v>
      </c>
      <c r="H3" s="5"/>
      <c r="I3" s="5"/>
      <c r="J3" s="5"/>
      <c r="K3" s="5"/>
      <c r="L3" s="5"/>
      <c r="M3" s="5"/>
      <c r="N3" s="6"/>
      <c r="O3" s="5"/>
      <c r="P3" s="5"/>
      <c r="Q3" s="5"/>
      <c r="R3" s="5"/>
      <c r="S3" s="5"/>
      <c r="T3" s="27" t="s">
        <v>13</v>
      </c>
      <c r="U3" s="28" t="s">
        <v>14</v>
      </c>
      <c r="V3" s="28"/>
      <c r="W3" s="28"/>
      <c r="X3" s="29" t="s">
        <v>15</v>
      </c>
      <c r="Y3" s="29"/>
      <c r="Z3" s="29"/>
      <c r="AA3" s="5"/>
      <c r="AB3" s="30" t="s">
        <v>16</v>
      </c>
      <c r="AC3" s="31" t="s">
        <v>17</v>
      </c>
      <c r="AD3" s="32" t="s">
        <v>18</v>
      </c>
      <c r="AE3" s="5"/>
      <c r="AF3" s="33" t="n">
        <v>1</v>
      </c>
      <c r="AG3" s="34" t="n">
        <v>0.95</v>
      </c>
      <c r="AH3" s="35" t="s">
        <v>19</v>
      </c>
      <c r="AI3" s="5"/>
      <c r="AJ3" s="36" t="s">
        <v>20</v>
      </c>
      <c r="AK3" s="36"/>
      <c r="AL3" s="36"/>
      <c r="AM3" s="36"/>
      <c r="AN3" s="37" t="n">
        <f aca="false">EOMONTH(NextMonth,EuroOptionMonthPosition-2)+1</f>
        <v>36770</v>
      </c>
      <c r="AP3" s="38"/>
      <c r="AQ3" s="39"/>
      <c r="AR3" s="39"/>
      <c r="AS3" s="40" t="s">
        <v>21</v>
      </c>
      <c r="AT3" s="41" t="n">
        <v>1</v>
      </c>
      <c r="AU3" s="38"/>
      <c r="AV3" s="39"/>
      <c r="AW3" s="39"/>
      <c r="AX3" s="40" t="s">
        <v>22</v>
      </c>
      <c r="AY3" s="41" t="n">
        <v>1</v>
      </c>
      <c r="AZ3" s="13"/>
      <c r="BA3" s="13"/>
      <c r="BB3" s="1"/>
      <c r="BC3" s="42"/>
      <c r="BD3" s="43"/>
      <c r="BE3" s="44" t="s">
        <v>23</v>
      </c>
      <c r="BF3" s="45" t="e">
        <f aca="false">(IF(SwaptionType=1,-1,1)*(SwaptionStrike-UnderlyingPriceAsian)*E32+SwaptionPremium*D33)/(D32+D33)</f>
        <v>#VALUE!</v>
      </c>
      <c r="BH3" s="46" t="s">
        <v>24</v>
      </c>
      <c r="BI3" s="47" t="s">
        <v>25</v>
      </c>
      <c r="BK3" s="48"/>
      <c r="BL3" s="49" t="n">
        <v>1</v>
      </c>
      <c r="BM3" s="50" t="n">
        <v>2</v>
      </c>
      <c r="BN3" s="51" t="s">
        <v>26</v>
      </c>
      <c r="BP3" s="52"/>
      <c r="BQ3" s="52"/>
      <c r="BR3" s="5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V3" s="3"/>
      <c r="DW3" s="4"/>
      <c r="DX3" s="4"/>
      <c r="DY3" s="4"/>
      <c r="DZ3" s="4"/>
      <c r="EA3" s="4"/>
      <c r="EB3" s="4"/>
      <c r="EC3" s="4"/>
      <c r="ES3" s="4"/>
      <c r="ID3" s="19"/>
      <c r="IE3" s="19" t="s">
        <v>27</v>
      </c>
      <c r="IF3" s="53" t="s">
        <v>28</v>
      </c>
      <c r="IG3" s="53" t="s">
        <v>29</v>
      </c>
      <c r="IH3" s="53" t="s">
        <v>30</v>
      </c>
      <c r="II3" s="53" t="s">
        <v>31</v>
      </c>
      <c r="IJ3" s="53" t="s">
        <v>32</v>
      </c>
      <c r="IK3" s="53" t="s">
        <v>33</v>
      </c>
      <c r="IL3" s="53" t="s">
        <v>34</v>
      </c>
      <c r="IM3" s="54"/>
    </row>
    <row r="4" customFormat="false" ht="15.75" hidden="false" customHeight="true" outlineLevel="0" collapsed="false">
      <c r="A4" s="5" t="s">
        <v>35</v>
      </c>
      <c r="B4" s="7" t="s">
        <v>36</v>
      </c>
      <c r="C4" s="7"/>
      <c r="D4" s="7" t="s">
        <v>37</v>
      </c>
      <c r="E4" s="7"/>
      <c r="F4" s="7"/>
      <c r="G4" s="7"/>
      <c r="H4" s="5"/>
      <c r="I4" s="5"/>
      <c r="J4" s="5"/>
      <c r="K4" s="5"/>
      <c r="L4" s="5"/>
      <c r="M4" s="5"/>
      <c r="N4" s="6"/>
      <c r="O4" s="5"/>
      <c r="P4" s="5"/>
      <c r="Q4" s="5"/>
      <c r="R4" s="5"/>
      <c r="S4" s="5"/>
      <c r="T4" s="27" t="s">
        <v>38</v>
      </c>
      <c r="U4" s="55" t="n">
        <v>0.3</v>
      </c>
      <c r="V4" s="55" t="n">
        <v>0.2</v>
      </c>
      <c r="W4" s="55" t="n">
        <v>0.1</v>
      </c>
      <c r="X4" s="55" t="n">
        <v>0.1</v>
      </c>
      <c r="Y4" s="55" t="n">
        <v>0.2</v>
      </c>
      <c r="Z4" s="56" t="n">
        <v>0.3</v>
      </c>
      <c r="AA4" s="5"/>
      <c r="AB4" s="57" t="n">
        <v>2002</v>
      </c>
      <c r="AC4" s="58"/>
      <c r="AD4" s="59" t="n">
        <v>1.17</v>
      </c>
      <c r="AE4" s="5"/>
      <c r="AF4" s="33" t="n">
        <v>2</v>
      </c>
      <c r="AG4" s="34" t="n">
        <v>1.05</v>
      </c>
      <c r="AH4" s="35" t="s">
        <v>39</v>
      </c>
      <c r="AI4" s="5"/>
      <c r="AJ4" s="36" t="s">
        <v>40</v>
      </c>
      <c r="AK4" s="36"/>
      <c r="AL4" s="36"/>
      <c r="AM4" s="36"/>
      <c r="AN4" s="60" t="n">
        <f aca="false">VLOOKUP(AN3,PricingArea,CHOOSE(Underlying,4,10))</f>
        <v>0</v>
      </c>
      <c r="AP4" s="61"/>
      <c r="AQ4" s="62"/>
      <c r="AR4" s="62"/>
      <c r="AS4" s="63" t="s">
        <v>41</v>
      </c>
      <c r="AT4" s="64" t="n">
        <v>1</v>
      </c>
      <c r="AU4" s="61"/>
      <c r="AV4" s="62"/>
      <c r="AW4" s="62"/>
      <c r="AX4" s="63" t="s">
        <v>42</v>
      </c>
      <c r="AY4" s="64" t="n">
        <v>12</v>
      </c>
      <c r="AZ4" s="13"/>
      <c r="BA4" s="13"/>
      <c r="BB4" s="1"/>
      <c r="BC4" s="65"/>
      <c r="BD4" s="66"/>
      <c r="BE4" s="67" t="s">
        <v>43</v>
      </c>
      <c r="BF4" s="68" t="e">
        <f aca="false">SwaptionPremium*D33/E32</f>
        <v>#VALUE!</v>
      </c>
      <c r="BH4" s="69" t="s">
        <v>44</v>
      </c>
      <c r="BI4" s="70" t="s">
        <v>45</v>
      </c>
      <c r="BK4" s="71" t="s">
        <v>46</v>
      </c>
      <c r="BL4" s="72" t="n">
        <f aca="false">MAX(0,(AJ19-BN4)/(AI19-BN4))</f>
        <v>1.00107841626868</v>
      </c>
      <c r="BM4" s="73" t="n">
        <f aca="false">1-BL4</f>
        <v>-0.00107841626867966</v>
      </c>
      <c r="BN4" s="74" t="n">
        <f aca="false">NETWORKDAYS(FirstPricingMonth,DateToday,HolidaysWTI)-1</f>
        <v>6514</v>
      </c>
      <c r="BP4" s="52"/>
      <c r="BQ4" s="52"/>
      <c r="BR4" s="5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V4" s="3"/>
      <c r="DW4" s="4"/>
      <c r="DX4" s="4"/>
      <c r="DY4" s="4"/>
      <c r="DZ4" s="4"/>
      <c r="EA4" s="4"/>
      <c r="EB4" s="4"/>
      <c r="EC4" s="4"/>
      <c r="ES4" s="4"/>
      <c r="ID4" s="19" t="n">
        <v>1</v>
      </c>
      <c r="IE4" s="53" t="s">
        <v>28</v>
      </c>
      <c r="IF4" s="75" t="n">
        <v>0.339473965869206</v>
      </c>
      <c r="IG4" s="75" t="n">
        <v>0.321947088765513</v>
      </c>
      <c r="IH4" s="75" t="n">
        <v>0.294066772920536</v>
      </c>
      <c r="II4" s="75" t="n">
        <v>0.274680598302225</v>
      </c>
      <c r="IJ4" s="75" t="n">
        <v>0.239895436175105</v>
      </c>
      <c r="IK4" s="75" t="n">
        <v>0.200639731734519</v>
      </c>
      <c r="IL4" s="75" t="n">
        <v>0.191463237259878</v>
      </c>
      <c r="IM4" s="0"/>
    </row>
    <row r="5" customFormat="false" ht="15.75" hidden="false" customHeight="true" outlineLevel="0" collapsed="false">
      <c r="A5" s="76" t="e">
        <f aca="false">INDEX(L20:L260,AY11-1)-INDEX(L20:L260,AY11+11)</f>
        <v>#VALUE!</v>
      </c>
      <c r="B5" s="77" t="s">
        <v>47</v>
      </c>
      <c r="C5" s="78" t="s">
        <v>48</v>
      </c>
      <c r="D5" s="79" t="s">
        <v>49</v>
      </c>
      <c r="E5" s="79" t="s">
        <v>50</v>
      </c>
      <c r="F5" s="80" t="s">
        <v>51</v>
      </c>
      <c r="G5" s="78" t="s">
        <v>52</v>
      </c>
      <c r="H5" s="5"/>
      <c r="I5" s="5"/>
      <c r="J5" s="5"/>
      <c r="K5" s="5"/>
      <c r="L5" s="5"/>
      <c r="M5" s="5"/>
      <c r="N5" s="6"/>
      <c r="O5" s="5"/>
      <c r="P5" s="5"/>
      <c r="Q5" s="5"/>
      <c r="R5" s="5"/>
      <c r="S5" s="5"/>
      <c r="T5" s="81" t="n">
        <v>30</v>
      </c>
      <c r="U5" s="82" t="n">
        <v>0.02</v>
      </c>
      <c r="V5" s="82" t="n">
        <v>0.016</v>
      </c>
      <c r="W5" s="82" t="n">
        <v>0.012</v>
      </c>
      <c r="X5" s="82" t="n">
        <v>0.0025</v>
      </c>
      <c r="Y5" s="82" t="n">
        <v>0.0035</v>
      </c>
      <c r="Z5" s="83" t="n">
        <v>0.0045</v>
      </c>
      <c r="AA5" s="5"/>
      <c r="AB5" s="57" t="n">
        <v>2003</v>
      </c>
      <c r="AC5" s="84"/>
      <c r="AD5" s="59" t="n">
        <v>1.17</v>
      </c>
      <c r="AE5" s="5"/>
      <c r="AF5" s="33" t="n">
        <v>3</v>
      </c>
      <c r="AG5" s="34" t="n">
        <v>1.03</v>
      </c>
      <c r="AH5" s="85" t="s">
        <v>53</v>
      </c>
      <c r="AI5" s="5"/>
      <c r="AJ5" s="36" t="s">
        <v>54</v>
      </c>
      <c r="AK5" s="36"/>
      <c r="AL5" s="36"/>
      <c r="AM5" s="36"/>
      <c r="AN5" s="86" t="n">
        <f aca="false">VLOOKUP(AN3,PricingArea,CHOOSE(Underlying,22,24))-DateToday+1</f>
        <v>-9170</v>
      </c>
      <c r="AP5" s="61"/>
      <c r="AQ5" s="62"/>
      <c r="AR5" s="62"/>
      <c r="AS5" s="63" t="s">
        <v>55</v>
      </c>
      <c r="AT5" s="64" t="n">
        <v>1</v>
      </c>
      <c r="AU5" s="61"/>
      <c r="AV5" s="62"/>
      <c r="AW5" s="62"/>
      <c r="AX5" s="63" t="s">
        <v>56</v>
      </c>
      <c r="AY5" s="64" t="n">
        <v>6</v>
      </c>
      <c r="AZ5" s="13"/>
      <c r="BA5" s="13"/>
      <c r="BB5" s="1"/>
      <c r="BC5" s="87" t="s">
        <v>57</v>
      </c>
      <c r="BD5" s="87"/>
      <c r="BE5" s="87"/>
      <c r="BF5" s="87"/>
      <c r="BH5" s="69" t="s">
        <v>58</v>
      </c>
      <c r="BI5" s="70" t="s">
        <v>59</v>
      </c>
      <c r="BK5" s="88" t="s">
        <v>39</v>
      </c>
      <c r="BL5" s="89" t="n">
        <f aca="false">MAX(0,(AM19-BN5)/(AL19-BN5))</f>
        <v>1.00184501845018</v>
      </c>
      <c r="BM5" s="89" t="n">
        <f aca="false">1-BL5</f>
        <v>-0.00184501845018459</v>
      </c>
      <c r="BN5" s="90" t="n">
        <f aca="false">NETWORKDAYS(FirstPricingMonth,DateToday,HolidaysBrent)-1</f>
        <v>6527</v>
      </c>
      <c r="BP5" s="52"/>
      <c r="BQ5" s="52"/>
      <c r="BR5" s="5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V5" s="3"/>
      <c r="DW5" s="4"/>
      <c r="DX5" s="4"/>
      <c r="DY5" s="4"/>
      <c r="DZ5" s="4"/>
      <c r="EA5" s="4"/>
      <c r="EB5" s="4"/>
      <c r="EC5" s="4"/>
      <c r="ES5" s="4"/>
      <c r="ID5" s="19" t="n">
        <v>3</v>
      </c>
      <c r="IE5" s="53" t="s">
        <v>60</v>
      </c>
      <c r="IF5" s="75" t="n">
        <v>0.309785763897429</v>
      </c>
      <c r="IG5" s="75" t="n">
        <v>0.296529471280764</v>
      </c>
      <c r="IH5" s="75" t="n">
        <v>0.275103939286783</v>
      </c>
      <c r="II5" s="75" t="n">
        <v>0.259011590953783</v>
      </c>
      <c r="IJ5" s="75" t="n">
        <v>0.22995335496633</v>
      </c>
      <c r="IK5" s="75" t="n">
        <v>0.196694523245875</v>
      </c>
      <c r="IL5" s="75" t="n">
        <v>0.188896087757977</v>
      </c>
      <c r="IM5" s="0"/>
    </row>
    <row r="6" customFormat="false" ht="16.5" hidden="false" customHeight="true" outlineLevel="0" collapsed="false">
      <c r="A6" s="76" t="e">
        <f aca="false">INDEX(L20:L260,AY11+11)-INDEX(L20:L260,AY11+23)</f>
        <v>#VALUE!</v>
      </c>
      <c r="B6" s="91" t="n">
        <v>-0.05</v>
      </c>
      <c r="C6" s="92" t="e">
        <f aca="false">UnderlyingPriceAsian-SwapPriceSettle</f>
        <v>#VALUE!</v>
      </c>
      <c r="D6" s="93" t="n">
        <f aca="false">SUMPRODUCT(CHOOSE(Underlying,W19:W258,Y19:Y258),BD19:BD258,AP19:AP258)/E32</f>
        <v>0</v>
      </c>
      <c r="E6" s="94" t="e">
        <f aca="false">SUMPRODUCT(CHOOSE(Underlying,X19:X258,Z19:Z258),BD19:BD258,AP19:AP258)/E32</f>
        <v>#VALUE!</v>
      </c>
      <c r="F6" s="95" t="n">
        <v>0</v>
      </c>
      <c r="G6" s="96" t="e">
        <f aca="false">IF(F6,F6,SwapPriceCurve+PriceSpreadAsian)</f>
        <v>#VALUE!</v>
      </c>
      <c r="H6" s="5"/>
      <c r="I6" s="5"/>
      <c r="J6" s="5"/>
      <c r="K6" s="5"/>
      <c r="L6" s="5"/>
      <c r="M6" s="5"/>
      <c r="N6" s="6"/>
      <c r="O6" s="5"/>
      <c r="P6" s="5"/>
      <c r="Q6" s="5"/>
      <c r="R6" s="5"/>
      <c r="S6" s="5"/>
      <c r="T6" s="81" t="n">
        <v>180</v>
      </c>
      <c r="U6" s="82" t="n">
        <v>0.018</v>
      </c>
      <c r="V6" s="82" t="n">
        <v>0.013</v>
      </c>
      <c r="W6" s="82" t="n">
        <v>0.008</v>
      </c>
      <c r="X6" s="82" t="n">
        <v>0.0015</v>
      </c>
      <c r="Y6" s="82" t="n">
        <v>0.002</v>
      </c>
      <c r="Z6" s="83" t="n">
        <v>0.0025</v>
      </c>
      <c r="AA6" s="5"/>
      <c r="AB6" s="57" t="n">
        <v>2004</v>
      </c>
      <c r="AC6" s="84"/>
      <c r="AD6" s="59" t="n">
        <v>1.17</v>
      </c>
      <c r="AE6" s="5"/>
      <c r="AF6" s="97" t="n">
        <v>4</v>
      </c>
      <c r="AG6" s="98" t="n">
        <v>0.97</v>
      </c>
      <c r="AH6" s="99" t="n">
        <v>0.05</v>
      </c>
      <c r="AI6" s="5"/>
      <c r="AJ6" s="36" t="s">
        <v>61</v>
      </c>
      <c r="AK6" s="36"/>
      <c r="AL6" s="36"/>
      <c r="AM6" s="36"/>
      <c r="AN6" s="100" t="n">
        <f aca="false">VLOOKUP(AN3,PricingArea,CHOOSE(Underlying,7,36))</f>
        <v>0</v>
      </c>
      <c r="AP6" s="61"/>
      <c r="AQ6" s="62"/>
      <c r="AR6" s="62"/>
      <c r="AS6" s="63" t="s">
        <v>62</v>
      </c>
      <c r="AT6" s="64" t="n">
        <v>1</v>
      </c>
      <c r="AU6" s="61"/>
      <c r="AV6" s="62"/>
      <c r="AW6" s="62"/>
      <c r="AX6" s="63" t="s">
        <v>63</v>
      </c>
      <c r="AY6" s="64" t="n">
        <v>1</v>
      </c>
      <c r="AZ6" s="13"/>
      <c r="BA6" s="13"/>
      <c r="BB6" s="1"/>
      <c r="BC6" s="101"/>
      <c r="BD6" s="102"/>
      <c r="BE6" s="103" t="s">
        <v>23</v>
      </c>
      <c r="BF6" s="104" t="e">
        <f aca="false">IF(ParticipationType=1,1,-1)*(ParticipatingSwapPrice-UnderlyingPriceAsian)*E32/D32*(1-ParticipationRate)+IF(ParticipationType=1,C14,C13)*ParticipationRate</f>
        <v>#VALUE!</v>
      </c>
      <c r="BH6" s="69" t="s">
        <v>64</v>
      </c>
      <c r="BI6" s="70" t="s">
        <v>65</v>
      </c>
      <c r="BP6" s="52"/>
      <c r="BQ6" s="52"/>
      <c r="BR6" s="5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V6" s="3"/>
      <c r="DW6" s="4"/>
      <c r="DX6" s="4"/>
      <c r="DY6" s="4"/>
      <c r="DZ6" s="4"/>
      <c r="EA6" s="4"/>
      <c r="EB6" s="4"/>
      <c r="EC6" s="4"/>
      <c r="ES6" s="4"/>
      <c r="ID6" s="19" t="n">
        <v>6</v>
      </c>
      <c r="IE6" s="53" t="s">
        <v>31</v>
      </c>
      <c r="IF6" s="75" t="n">
        <v>0.277765213697517</v>
      </c>
      <c r="IG6" s="75" t="n">
        <v>0.266159633366439</v>
      </c>
      <c r="IH6" s="75" t="n">
        <v>0.24947943018778</v>
      </c>
      <c r="II6" s="75" t="n">
        <v>0.236950365248024</v>
      </c>
      <c r="IJ6" s="75" t="n">
        <v>0.214283057096115</v>
      </c>
      <c r="IK6" s="75" t="n">
        <v>0.188250365435943</v>
      </c>
      <c r="IL6" s="75" t="n">
        <v>0.182139447837434</v>
      </c>
      <c r="IM6" s="0"/>
    </row>
    <row r="7" customFormat="false" ht="15.75" hidden="false" customHeight="true" outlineLevel="0" collapsed="false">
      <c r="A7" s="105" t="s">
        <v>66</v>
      </c>
      <c r="B7" s="7" t="s">
        <v>67</v>
      </c>
      <c r="C7" s="7"/>
      <c r="D7" s="7"/>
      <c r="E7" s="7" t="s">
        <v>68</v>
      </c>
      <c r="F7" s="7"/>
      <c r="G7" s="7"/>
      <c r="H7" s="5"/>
      <c r="I7" s="5"/>
      <c r="J7" s="5"/>
      <c r="K7" s="5"/>
      <c r="L7" s="5"/>
      <c r="M7" s="5"/>
      <c r="N7" s="6"/>
      <c r="O7" s="5"/>
      <c r="P7" s="5"/>
      <c r="Q7" s="5"/>
      <c r="R7" s="5"/>
      <c r="S7" s="5"/>
      <c r="T7" s="81" t="n">
        <v>360</v>
      </c>
      <c r="U7" s="82" t="n">
        <v>0.018</v>
      </c>
      <c r="V7" s="82" t="n">
        <v>0.013</v>
      </c>
      <c r="W7" s="82" t="n">
        <v>0.008</v>
      </c>
      <c r="X7" s="82" t="n">
        <v>0.001</v>
      </c>
      <c r="Y7" s="82" t="n">
        <v>0.0015</v>
      </c>
      <c r="Z7" s="83" t="n">
        <v>0.002</v>
      </c>
      <c r="AA7" s="5"/>
      <c r="AB7" s="57" t="n">
        <v>2005</v>
      </c>
      <c r="AC7" s="84"/>
      <c r="AD7" s="59" t="n">
        <v>1.18</v>
      </c>
      <c r="AE7" s="5"/>
      <c r="AF7" s="5"/>
      <c r="AG7" s="5"/>
      <c r="AH7" s="5"/>
      <c r="AI7" s="5"/>
      <c r="AJ7" s="36" t="s">
        <v>69</v>
      </c>
      <c r="AK7" s="36"/>
      <c r="AL7" s="36"/>
      <c r="AM7" s="36"/>
      <c r="AN7" s="106" t="n">
        <f aca="false">VLOOKUP(AN3,PricingArea,35)</f>
        <v>0</v>
      </c>
      <c r="AP7" s="61"/>
      <c r="AQ7" s="62"/>
      <c r="AR7" s="62"/>
      <c r="AS7" s="63" t="s">
        <v>70</v>
      </c>
      <c r="AT7" s="64" t="n">
        <v>1</v>
      </c>
      <c r="AU7" s="61"/>
      <c r="AV7" s="62"/>
      <c r="AW7" s="62"/>
      <c r="AX7" s="63" t="s">
        <v>71</v>
      </c>
      <c r="AY7" s="64" t="n">
        <v>12</v>
      </c>
      <c r="AZ7" s="13"/>
      <c r="BA7" s="13"/>
      <c r="BB7" s="1"/>
      <c r="BC7" s="65"/>
      <c r="BD7" s="66"/>
      <c r="BE7" s="67" t="s">
        <v>43</v>
      </c>
      <c r="BF7" s="68" t="e">
        <f aca="false">IF(ParticipationType=1,C14,C13)*D32/E32*ParticipationRate/(1-ParticipationRate)</f>
        <v>#NAME?</v>
      </c>
      <c r="BH7" s="69" t="s">
        <v>72</v>
      </c>
      <c r="BI7" s="70" t="s">
        <v>73</v>
      </c>
      <c r="BK7" s="107" t="s">
        <v>74</v>
      </c>
      <c r="BL7" s="108"/>
      <c r="BM7" s="109"/>
      <c r="BN7" s="110" t="e">
        <f aca="false">SwaptionStrike/SwaptionUnderlyingPrice-1</f>
        <v>#VALUE!</v>
      </c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V7" s="3"/>
      <c r="DW7" s="4"/>
      <c r="DX7" s="4"/>
      <c r="DY7" s="4"/>
      <c r="DZ7" s="4"/>
      <c r="EA7" s="4"/>
      <c r="EB7" s="4"/>
      <c r="EC7" s="4"/>
      <c r="ES7" s="4"/>
      <c r="ID7" s="19" t="n">
        <v>9</v>
      </c>
      <c r="IE7" s="53" t="s">
        <v>75</v>
      </c>
      <c r="IF7" s="75" t="n">
        <v>0.252565767812884</v>
      </c>
      <c r="IG7" s="75" t="n">
        <v>0.243724172847072</v>
      </c>
      <c r="IH7" s="75" t="n">
        <v>0.230222514155449</v>
      </c>
      <c r="II7" s="75" t="n">
        <v>0.220438206736091</v>
      </c>
      <c r="IJ7" s="75" t="n">
        <v>0.202425425101499</v>
      </c>
      <c r="IK7" s="75" t="n">
        <v>0.181687697828563</v>
      </c>
      <c r="IL7" s="75" t="n">
        <v>0.176832760602197</v>
      </c>
      <c r="IM7" s="0"/>
    </row>
    <row r="8" customFormat="false" ht="18" hidden="false" customHeight="true" outlineLevel="0" collapsed="false">
      <c r="A8" s="111" t="n">
        <v>22</v>
      </c>
      <c r="B8" s="112"/>
      <c r="C8" s="113"/>
      <c r="D8" s="114"/>
      <c r="E8" s="115"/>
      <c r="F8" s="80" t="s">
        <v>76</v>
      </c>
      <c r="G8" s="78" t="s">
        <v>52</v>
      </c>
      <c r="H8" s="5"/>
      <c r="I8" s="5"/>
      <c r="J8" s="5"/>
      <c r="K8" s="5"/>
      <c r="L8" s="5"/>
      <c r="M8" s="5"/>
      <c r="N8" s="6"/>
      <c r="O8" s="5"/>
      <c r="P8" s="5"/>
      <c r="Q8" s="5"/>
      <c r="R8" s="5"/>
      <c r="S8" s="5"/>
      <c r="T8" s="116" t="n">
        <v>720</v>
      </c>
      <c r="U8" s="117" t="n">
        <v>0.012</v>
      </c>
      <c r="V8" s="117" t="n">
        <v>0.008</v>
      </c>
      <c r="W8" s="117" t="n">
        <v>0.004</v>
      </c>
      <c r="X8" s="117" t="n">
        <v>0.0005</v>
      </c>
      <c r="Y8" s="117" t="n">
        <v>0.0005</v>
      </c>
      <c r="Z8" s="118" t="n">
        <v>0.0005</v>
      </c>
      <c r="AA8" s="5"/>
      <c r="AB8" s="57" t="n">
        <v>2006</v>
      </c>
      <c r="AC8" s="58" t="n">
        <v>0.45</v>
      </c>
      <c r="AD8" s="59" t="n">
        <v>1.18</v>
      </c>
      <c r="AE8" s="5"/>
      <c r="AF8" s="9" t="s">
        <v>77</v>
      </c>
      <c r="AG8" s="9"/>
      <c r="AH8" s="9"/>
      <c r="AI8" s="5"/>
      <c r="AJ8" s="119"/>
      <c r="AK8" s="120"/>
      <c r="AL8" s="120"/>
      <c r="AM8" s="121" t="n">
        <v>1</v>
      </c>
      <c r="AN8" s="122" t="n">
        <v>2</v>
      </c>
      <c r="AP8" s="61"/>
      <c r="AQ8" s="62"/>
      <c r="AR8" s="62"/>
      <c r="AS8" s="63" t="s">
        <v>78</v>
      </c>
      <c r="AT8" s="123" t="b">
        <f aca="false">FALSE()</f>
        <v>0</v>
      </c>
      <c r="AU8" s="61"/>
      <c r="AV8" s="62"/>
      <c r="AW8" s="62"/>
      <c r="AX8" s="63" t="s">
        <v>79</v>
      </c>
      <c r="AY8" s="64" t="n">
        <v>5</v>
      </c>
      <c r="AZ8" s="124"/>
      <c r="BA8" s="124"/>
      <c r="BB8" s="1"/>
      <c r="BC8" s="87" t="s">
        <v>80</v>
      </c>
      <c r="BD8" s="87"/>
      <c r="BE8" s="87"/>
      <c r="BF8" s="87"/>
      <c r="BH8" s="69" t="s">
        <v>81</v>
      </c>
      <c r="BI8" s="70" t="s">
        <v>82</v>
      </c>
      <c r="BK8" s="125" t="s">
        <v>83</v>
      </c>
      <c r="BL8" s="126"/>
      <c r="BM8" s="127"/>
      <c r="BN8" s="128" t="e">
        <f aca="false">IF(VolSkewFlag=1,IF(BN7&gt;0,INDEX(BA19:BA200,SwaptionFirstMonthPosition+SwaptionNumOfMonths)*MIN(BN7/10%,1)+(INDEX(BB19:BB200,SwaptionFirstMonthPosition+SwaptionNumOfMonths)-INDEX(BA19:BA200,SwaptionFirstMonthPosition+SwaptionNumOfMonths))*MAX(0,MIN(BN7/10%-1,1))+(INDEX(BC19:BC200,SwaptionFirstMonthPosition+SwaptionNumOfMonths)-INDEX(BB19:BB200,SwaptionFirstMonthPosition+SwaptionNumOfMonths))*MAX(0,BN7/10%-2),INDEX(AZ19:AZ200,SwaptionFirstMonthPosition+SwaptionNumOfMonths)*MIN(-BN7/10%,1)+(INDEX(AY19:AY200,SwaptionFirstMonthPosition+SwaptionNumOfMonths)-INDEX(AZ19:AZ200,SwaptionFirstMonthPosition+SwaptionNumOfMonths))*MAX(0,MIN(-BN7/10%-1,1))+(INDEX(AX19:AX200,SwaptionFirstMonthPosition+SwaptionNumOfMonths)-INDEX(AY19:AY200,SwaptionFirstMonthPosition+SwaptionNumOfMonths))*MAX(0,-BN7/10%-2)),0)</f>
        <v>#VALUE!</v>
      </c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V8" s="3"/>
      <c r="DW8" s="4"/>
      <c r="DX8" s="4"/>
      <c r="DY8" s="4"/>
      <c r="DZ8" s="4"/>
      <c r="EA8" s="4"/>
      <c r="EB8" s="4"/>
      <c r="EC8" s="4"/>
      <c r="EQ8" s="129"/>
      <c r="ER8" s="129"/>
      <c r="ES8" s="4"/>
      <c r="ET8" s="129"/>
      <c r="EU8" s="130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GZ8" s="19"/>
      <c r="HA8" s="19"/>
      <c r="HB8" s="19"/>
      <c r="HC8" s="129"/>
      <c r="HD8" s="19"/>
      <c r="HE8" s="19"/>
      <c r="HF8" s="129"/>
      <c r="HG8" s="129"/>
      <c r="HH8" s="129"/>
      <c r="HI8" s="129"/>
      <c r="HJ8" s="129"/>
      <c r="HK8" s="129"/>
      <c r="HL8" s="129"/>
      <c r="HM8" s="129"/>
      <c r="HN8" s="131"/>
      <c r="HO8" s="131"/>
      <c r="HP8" s="131"/>
      <c r="HQ8" s="131"/>
      <c r="HR8" s="129"/>
      <c r="HS8" s="129"/>
      <c r="HT8" s="129"/>
      <c r="HU8" s="129"/>
      <c r="HV8" s="132"/>
      <c r="HW8" s="129"/>
      <c r="HX8" s="129"/>
      <c r="HY8" s="129"/>
      <c r="HZ8" s="129"/>
      <c r="IA8" s="129"/>
      <c r="IB8" s="129"/>
      <c r="IC8" s="129"/>
      <c r="ID8" s="19" t="n">
        <v>12</v>
      </c>
      <c r="IE8" s="53" t="s">
        <v>32</v>
      </c>
      <c r="IF8" s="75" t="n">
        <v>0.235469456462751</v>
      </c>
      <c r="IG8" s="75" t="n">
        <v>0.228704485039196</v>
      </c>
      <c r="IH8" s="75" t="n">
        <v>0.217429196630809</v>
      </c>
      <c r="II8" s="75" t="n">
        <v>0.209242310571282</v>
      </c>
      <c r="IJ8" s="75" t="n">
        <v>0.194341555658432</v>
      </c>
      <c r="IK8" s="75" t="n">
        <v>0.177107870578025</v>
      </c>
      <c r="IL8" s="75" t="e">
        <f aca="false"/>
        <v>#REF!</v>
      </c>
      <c r="IM8" s="0"/>
    </row>
    <row r="9" customFormat="false" ht="15" hidden="false" customHeight="true" outlineLevel="0" collapsed="false">
      <c r="A9" s="111" t="e">
        <f aca="false">(UnderlyingPriceAsian-A8)*E32/NominalVolume</f>
        <v>#VALUE!</v>
      </c>
      <c r="B9" s="133"/>
      <c r="C9" s="134"/>
      <c r="D9" s="135"/>
      <c r="E9" s="136" t="str">
        <f aca="false">CONCATENATE(IF(OptControl=4,"Put 1","Call"),IF(OptControl=3," 1",""))</f>
        <v>Call</v>
      </c>
      <c r="F9" s="137" t="n">
        <f aca="false">ROUND(2*INDEX(L20:L55,EuroOptionMonthPosition),0)/2</f>
        <v>0</v>
      </c>
      <c r="G9" s="138" t="n">
        <f aca="false">IF(OptControl=2,UnderlyingPriceAsian,StrikeSpec1)</f>
        <v>0</v>
      </c>
      <c r="H9" s="5"/>
      <c r="I9" s="5"/>
      <c r="J9" s="5"/>
      <c r="K9" s="5"/>
      <c r="L9" s="5"/>
      <c r="M9" s="5"/>
      <c r="N9" s="6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7" t="n">
        <v>2007</v>
      </c>
      <c r="AC9" s="58" t="n">
        <v>0.45</v>
      </c>
      <c r="AD9" s="59" t="n">
        <v>1.19</v>
      </c>
      <c r="AE9" s="5"/>
      <c r="AF9" s="139" t="s">
        <v>16</v>
      </c>
      <c r="AG9" s="140" t="s">
        <v>84</v>
      </c>
      <c r="AH9" s="141" t="s">
        <v>85</v>
      </c>
      <c r="AI9" s="5"/>
      <c r="AJ9" s="36" t="s">
        <v>86</v>
      </c>
      <c r="AK9" s="36"/>
      <c r="AL9" s="36"/>
      <c r="AM9" s="142" t="e">
        <f aca="false">Strike1/AN4-1</f>
        <v>#DIV/0!</v>
      </c>
      <c r="AN9" s="143" t="e">
        <f aca="false">Strike2/AN4-1</f>
        <v>#DIV/0!</v>
      </c>
      <c r="AP9" s="144"/>
      <c r="AQ9" s="145"/>
      <c r="AR9" s="145"/>
      <c r="AS9" s="146" t="s">
        <v>87</v>
      </c>
      <c r="AT9" s="147" t="n">
        <v>1</v>
      </c>
      <c r="AU9" s="144"/>
      <c r="AV9" s="145"/>
      <c r="AW9" s="145"/>
      <c r="AX9" s="146" t="s">
        <v>88</v>
      </c>
      <c r="AY9" s="147" t="n">
        <v>1</v>
      </c>
      <c r="AZ9" s="13"/>
      <c r="BA9" s="13"/>
      <c r="BB9" s="1"/>
      <c r="BC9" s="101"/>
      <c r="BD9" s="102"/>
      <c r="BE9" s="103" t="s">
        <v>23</v>
      </c>
      <c r="BF9" s="104" t="e">
        <f aca="false">IF(ParticipationType=1,1,-1)*(ParticipatingSwapPrice-UnderlyingPriceAsian)*E46/D46*(1-ParticipationRate)+IF(ParticipationType=1,C18,C17)*ParticipationRate</f>
        <v>#VALUE!</v>
      </c>
      <c r="BH9" s="69" t="s">
        <v>89</v>
      </c>
      <c r="BI9" s="70" t="s">
        <v>90</v>
      </c>
      <c r="BK9" s="125" t="s">
        <v>91</v>
      </c>
      <c r="BL9" s="126"/>
      <c r="BM9" s="127"/>
      <c r="BN9" s="128" t="e">
        <f aca="false">IF(BN7&gt;0,IF(BN7&gt;0.2,INDEX(BC19:BC200,SwaptionFirstMonthPosition+SwaptionNumOfMonths)-INDEX(BB19:BB200,SwaptionFirstMonthPosition+SwaptionNumOfMonths),IF(BN7&gt;0.1,INDEX(BB19:BB200,SwaptionFirstMonthPosition+SwaptionNumOfMonths)-INDEX(BA19:BA200,SwaptionFirstMonthPosition+SwaptionNumOfMonths),INDEX(BA19:BA200,SwaptionFirstMonthPosition+SwaptionNumOfMonths))),IF(BN7&lt;-0.2,INDEX(AX19:AX200,SwaptionFirstMonthPosition+SwaptionNumOfMonths)-INDEX(AY19:AY200,SwaptionFirstMonthPosition+SwaptionNumOfMonths),IF(BN7&lt;-0.1,INDEX(AY19:AY200,SwaptionFirstMonthPosition+SwaptionNumOfMonths)-INDEX(AZ19:AZ200,SwaptionFirstMonthPosition+SwaptionNumOfMonths),INDEX(AZ19:AZ200,SwaptionFirstMonthPosition+SwaptionNumOfMonths))))</f>
        <v>#VALUE!</v>
      </c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V9" s="3"/>
      <c r="DW9" s="4"/>
      <c r="DX9" s="4"/>
      <c r="DY9" s="4"/>
      <c r="DZ9" s="4"/>
      <c r="EA9" s="4"/>
      <c r="EB9" s="4"/>
      <c r="EC9" s="4"/>
      <c r="EQ9" s="129"/>
      <c r="ER9" s="129"/>
      <c r="ES9" s="4"/>
      <c r="EU9" s="131"/>
      <c r="EV9" s="131"/>
      <c r="EW9" s="131"/>
      <c r="EX9" s="131"/>
      <c r="EY9" s="131"/>
      <c r="EZ9" s="131"/>
      <c r="FA9" s="131"/>
      <c r="FB9" s="131"/>
      <c r="FC9" s="131"/>
      <c r="FD9" s="131"/>
      <c r="FE9" s="131"/>
      <c r="FF9" s="131"/>
      <c r="FG9" s="131"/>
      <c r="FH9" s="131"/>
      <c r="FI9" s="131"/>
      <c r="FJ9" s="129"/>
      <c r="GZ9" s="19"/>
      <c r="HA9" s="19"/>
      <c r="HB9" s="19"/>
      <c r="HC9" s="129"/>
      <c r="HD9" s="19"/>
      <c r="HE9" s="19"/>
      <c r="HF9" s="129"/>
      <c r="HG9" s="148"/>
      <c r="HH9" s="148"/>
      <c r="HI9" s="148"/>
      <c r="HJ9" s="148"/>
      <c r="HK9" s="148"/>
      <c r="HL9" s="148"/>
      <c r="HM9" s="148"/>
      <c r="HN9" s="149"/>
      <c r="HO9" s="149"/>
      <c r="HP9" s="149"/>
      <c r="HQ9" s="149"/>
      <c r="HR9" s="129"/>
      <c r="HS9" s="129"/>
      <c r="HT9" s="129"/>
      <c r="HU9" s="129"/>
      <c r="HV9" s="129"/>
      <c r="HW9" s="129"/>
      <c r="HX9" s="129"/>
      <c r="HY9" s="129"/>
      <c r="HZ9" s="129"/>
      <c r="IA9" s="150"/>
      <c r="IB9" s="129"/>
      <c r="IC9" s="129"/>
      <c r="ID9" s="19" t="n">
        <v>24</v>
      </c>
      <c r="IE9" s="53" t="s">
        <v>92</v>
      </c>
      <c r="IF9" s="75" t="n">
        <v>0.202661624088184</v>
      </c>
      <c r="IG9" s="75" t="n">
        <v>0.198710944862067</v>
      </c>
      <c r="IH9" s="75" t="n">
        <v>0.192019707632182</v>
      </c>
      <c r="II9" s="75" t="n">
        <v>0.187082645533722</v>
      </c>
      <c r="IJ9" s="75" t="n">
        <v>0.178206990554471</v>
      </c>
      <c r="IK9" s="75" t="n">
        <v>0.168116742026071</v>
      </c>
      <c r="IL9" s="75" t="e">
        <f aca="false"/>
        <v>#REF!</v>
      </c>
      <c r="IM9" s="0"/>
    </row>
    <row r="10" customFormat="false" ht="15" hidden="false" customHeight="true" outlineLevel="0" collapsed="false">
      <c r="A10" s="111" t="e">
        <f aca="false">C15*100*(A8-StrikeSpec1)</f>
        <v>#NAME?</v>
      </c>
      <c r="B10" s="151"/>
      <c r="C10" s="152"/>
      <c r="D10" s="153"/>
      <c r="E10" s="154" t="str">
        <f aca="false">CONCATENATE(IF(OptControl=3,"Call 2","Put"),IF(OptControl=4," 2",""))</f>
        <v>Put</v>
      </c>
      <c r="F10" s="155" t="n">
        <f aca="false">StrikeSpec1</f>
        <v>0</v>
      </c>
      <c r="G10" s="156" t="n">
        <f aca="false">IF(OptControl=2,UnderlyingPriceAsian,StrikeSpec2)</f>
        <v>0</v>
      </c>
      <c r="H10" s="5"/>
      <c r="I10" s="5"/>
      <c r="J10" s="5"/>
      <c r="K10" s="5"/>
      <c r="L10" s="5"/>
      <c r="M10" s="5"/>
      <c r="N10" s="6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7" t="n">
        <v>2008</v>
      </c>
      <c r="AC10" s="58" t="n">
        <v>0.45</v>
      </c>
      <c r="AD10" s="59" t="n">
        <v>1.22</v>
      </c>
      <c r="AE10" s="5"/>
      <c r="AF10" s="157" t="n">
        <v>1998</v>
      </c>
      <c r="AG10" s="158" t="n">
        <v>1</v>
      </c>
      <c r="AH10" s="159" t="n">
        <v>0</v>
      </c>
      <c r="AI10" s="5"/>
      <c r="AJ10" s="36" t="s">
        <v>93</v>
      </c>
      <c r="AK10" s="36"/>
      <c r="AL10" s="36"/>
      <c r="AM10" s="160" t="e">
        <f aca="false">AN6+IF(VolSkewFlag=1,IF(AM9&gt;0,INDEX(BA19:BA200,EuroOptionMonthPosition)*MIN(AM9/10%,1)+(INDEX(BB19:BB200,EuroOptionMonthPosition)-INDEX(BA19:BA200,EuroOptionMonthPosition))*MAX(0,MIN(AM9/10%-1,1))+(INDEX(BC19:BC200,EuroOptionMonthPosition)-INDEX(BB19:BB200,EuroOptionMonthPosition))*MAX(0,AM9/10%-2),INDEX(AZ19:AZ200,EuroOptionMonthPosition)*MIN(-AM9/10%,1)+(INDEX(AY19:AY200,EuroOptionMonthPosition)-INDEX(AZ19:AZ200,EuroOptionMonthPosition))*MAX(0,MIN(-AM9/10%-1,1))+(INDEX(AX19:AX200,EuroOptionMonthPosition)-INDEX(AY19:AY200,EuroOptionMonthPosition))*MAX(0,-AM9/10%-2)),0)</f>
        <v>#DIV/0!</v>
      </c>
      <c r="AN10" s="100" t="e">
        <f aca="false">AN6+IF(VolSkewFlag=1,IF(AN9&gt;0,INDEX(BA19:BA200,EuroOptionMonthPosition)*MIN(AN9/10%,1)+(INDEX(BB19:BB200,EuroOptionMonthPosition)-INDEX(BA19:BA200,EuroOptionMonthPosition))*MAX(0,MIN(AN9/10%-1,1))+(INDEX(BC19:BC200,EuroOptionMonthPosition)-INDEX(BB19:BB200,EuroOptionMonthPosition))*MAX(0,AN9/10%-2),INDEX(AZ19:AZ200,EuroOptionMonthPosition)*MIN(-AN9/10%,1)+(INDEX(AY19:AY200,EuroOptionMonthPosition)-INDEX(AZ19:AZ200,EuroOptionMonthPosition))*MAX(0,MIN(-AN9/10%-1,1))+(INDEX(AX19:AX200,EuroOptionMonthPosition)-INDEX(AY19:AY200,EuroOptionMonthPosition))*MAX(0,-AN9/10%-2)),0)</f>
        <v>#DIV/0!</v>
      </c>
      <c r="AU10" s="13"/>
      <c r="AZ10" s="13"/>
      <c r="BA10" s="13"/>
      <c r="BB10" s="1"/>
      <c r="BC10" s="65"/>
      <c r="BD10" s="66"/>
      <c r="BE10" s="67" t="s">
        <v>43</v>
      </c>
      <c r="BF10" s="68" t="e">
        <f aca="false">IF(ParticipationType=1,C18,C17)*D46/E46*ParticipationRate/(1-ParticipationRate)</f>
        <v>#VALUE!</v>
      </c>
      <c r="BH10" s="69" t="s">
        <v>94</v>
      </c>
      <c r="BI10" s="70" t="s">
        <v>95</v>
      </c>
      <c r="BK10" s="125" t="s">
        <v>96</v>
      </c>
      <c r="BL10" s="126"/>
      <c r="BM10" s="127"/>
      <c r="BN10" s="161" t="n">
        <f aca="false">(B26-DateToday+1)/365.25</f>
        <v>-24.7337440109514</v>
      </c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V10" s="3"/>
      <c r="DW10" s="4"/>
      <c r="DX10" s="4"/>
      <c r="DY10" s="4"/>
      <c r="DZ10" s="4"/>
      <c r="EA10" s="4"/>
      <c r="EB10" s="4"/>
      <c r="EC10" s="4"/>
      <c r="EQ10" s="129"/>
      <c r="ER10" s="129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29"/>
      <c r="GZ10" s="19"/>
      <c r="HA10" s="19"/>
      <c r="HB10" s="19"/>
      <c r="HC10" s="129"/>
      <c r="HD10" s="19"/>
      <c r="HE10" s="19"/>
      <c r="HF10" s="129"/>
      <c r="HG10" s="129"/>
      <c r="HH10" s="129"/>
      <c r="HI10" s="129"/>
      <c r="HJ10" s="129"/>
      <c r="HK10" s="129"/>
      <c r="HL10" s="129"/>
      <c r="HM10" s="129"/>
      <c r="HN10" s="131"/>
      <c r="HO10" s="131"/>
      <c r="HP10" s="131"/>
      <c r="HQ10" s="131"/>
      <c r="HR10" s="129"/>
      <c r="HS10" s="129"/>
      <c r="HT10" s="129"/>
      <c r="HU10" s="129"/>
      <c r="HV10" s="129"/>
      <c r="HW10" s="129"/>
      <c r="HX10" s="129"/>
      <c r="HY10" s="129"/>
      <c r="HZ10" s="129"/>
      <c r="IA10" s="150"/>
      <c r="IB10" s="129"/>
      <c r="IC10" s="129"/>
      <c r="ID10" s="19" t="n">
        <v>36</v>
      </c>
      <c r="IE10" s="53" t="s">
        <v>33</v>
      </c>
      <c r="IF10" s="75" t="n">
        <v>0.189507279614606</v>
      </c>
      <c r="IG10" s="75" t="n">
        <v>0.186425561674379</v>
      </c>
      <c r="IH10" s="75" t="n">
        <v>0.181539873198159</v>
      </c>
      <c r="II10" s="75" t="n">
        <v>0.178009777199253</v>
      </c>
      <c r="IJ10" s="75" t="n">
        <v>0.171690684203107</v>
      </c>
      <c r="IK10" s="75" t="e">
        <f aca="false"/>
        <v>#REF!</v>
      </c>
      <c r="IL10" s="75" t="e">
        <f aca="false"/>
        <v>#REF!</v>
      </c>
      <c r="IM10" s="0"/>
    </row>
    <row r="11" customFormat="false" ht="15" hidden="false" customHeight="true" outlineLevel="0" collapsed="false">
      <c r="A11" s="76" t="e">
        <f aca="false">A10+C13</f>
        <v>#NAME?</v>
      </c>
      <c r="B11" s="7" t="s">
        <v>97</v>
      </c>
      <c r="C11" s="7"/>
      <c r="D11" s="7"/>
      <c r="E11" s="7"/>
      <c r="F11" s="7"/>
      <c r="G11" s="7"/>
      <c r="H11" s="5"/>
      <c r="I11" s="5"/>
      <c r="J11" s="5"/>
      <c r="K11" s="5"/>
      <c r="L11" s="5"/>
      <c r="M11" s="5"/>
      <c r="N11" s="6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7" t="n">
        <v>2009</v>
      </c>
      <c r="AC11" s="58" t="n">
        <v>0.45</v>
      </c>
      <c r="AD11" s="59" t="n">
        <v>1.23</v>
      </c>
      <c r="AE11" s="5"/>
      <c r="AF11" s="162" t="n">
        <v>1999</v>
      </c>
      <c r="AG11" s="163" t="n">
        <v>1</v>
      </c>
      <c r="AH11" s="164" t="n">
        <v>0</v>
      </c>
      <c r="AI11" s="5"/>
      <c r="AJ11" s="165" t="s">
        <v>98</v>
      </c>
      <c r="AK11" s="165"/>
      <c r="AL11" s="165"/>
      <c r="AM11" s="166" t="e">
        <f aca="false">IF(AM9&gt;0,IF(AM9&gt;0.2,INDEX(BC19:BC200,EuroOptionMonthPosition)-INDEX(BB19:BB200,EuroOptionMonthPosition),IF(AM9&gt;0.1,INDEX(BB19:BB200,EuroOptionMonthPosition)-INDEX(BA19:BA200,EuroOptionMonthPosition),INDEX(BA19:BA200,EuroOptionMonthPosition))),IF(AM9&lt;-0.2,INDEX(AX19:AX200,EuroOptionMonthPosition)-INDEX(AY19:AY200,EuroOptionMonthPosition),IF(AM9&lt;-0.1,INDEX(AY19:AY200,EuroOptionMonthPosition)-INDEX(AZ19:AZ200,EuroOptionMonthPosition),INDEX(AZ19:AZ200,EuroOptionMonthPosition))))</f>
        <v>#DIV/0!</v>
      </c>
      <c r="AN11" s="167" t="e">
        <f aca="false">IF(AN9&gt;0,IF(AN9&gt;0.2,INDEX(BC19:BC200,EuroOptionMonthPosition)-INDEX(BB19:BB200,EuroOptionMonthPosition),IF(AN9&gt;0.1,INDEX(BB19:BB200,EuroOptionMonthPosition)-INDEX(BA19:BA200,EuroOptionMonthPosition),INDEX(BA19:BA200,EuroOptionMonthPosition))),IF(AN9&lt;-0.2,INDEX(AX19:AX200,EuroOptionMonthPosition)-INDEX(AY19:AY200,EuroOptionMonthPosition),IF(AN9&lt;-0.1,INDEX(AY19:AY200,EuroOptionMonthPosition)-INDEX(AZ19:AZ200,EuroOptionMonthPosition),INDEX(AZ19:AZ200,EuroOptionMonthPosition))))</f>
        <v>#DIV/0!</v>
      </c>
      <c r="AP11" s="168"/>
      <c r="AQ11" s="168"/>
      <c r="AR11" s="169"/>
      <c r="AS11" s="169"/>
      <c r="AT11" s="170"/>
      <c r="AU11" s="171"/>
      <c r="AV11" s="172" t="s">
        <v>99</v>
      </c>
      <c r="AW11" s="173"/>
      <c r="AX11" s="173"/>
      <c r="AY11" s="174" t="n">
        <f aca="false">MATCH(DATE(YEAR(NextMonth),12,1),I19:I260)</f>
        <v>5</v>
      </c>
      <c r="AZ11" s="13"/>
      <c r="BA11" s="13"/>
      <c r="BB11" s="1"/>
      <c r="BC11" s="87" t="s">
        <v>100</v>
      </c>
      <c r="BD11" s="87"/>
      <c r="BE11" s="87"/>
      <c r="BF11" s="87"/>
      <c r="BH11" s="69" t="s">
        <v>101</v>
      </c>
      <c r="BI11" s="70" t="s">
        <v>102</v>
      </c>
      <c r="BK11" s="175" t="s">
        <v>103</v>
      </c>
      <c r="BL11" s="176"/>
      <c r="BM11" s="177"/>
      <c r="BN11" s="178" t="n">
        <f aca="false">MAX(1,MATCH(B26-1,AD19:AD260)-MATCH(DateToday-1,AD19:AD260)+1)</f>
        <v>1</v>
      </c>
      <c r="BP11" s="5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V11" s="3"/>
      <c r="DW11" s="4"/>
      <c r="DX11" s="4"/>
      <c r="DY11" s="4"/>
      <c r="DZ11" s="4"/>
      <c r="EA11" s="4"/>
      <c r="EB11" s="4"/>
      <c r="EC11" s="4"/>
      <c r="EQ11" s="129"/>
      <c r="ER11" s="129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29"/>
      <c r="GZ11" s="19"/>
      <c r="HA11" s="19"/>
      <c r="HB11" s="19"/>
      <c r="HC11" s="129"/>
      <c r="HD11" s="19"/>
      <c r="HE11" s="19"/>
      <c r="HF11" s="129"/>
      <c r="HG11" s="179"/>
      <c r="HH11" s="179"/>
      <c r="HI11" s="179"/>
      <c r="HJ11" s="179"/>
      <c r="HK11" s="179"/>
      <c r="HL11" s="179"/>
      <c r="HM11" s="179"/>
      <c r="HN11" s="180"/>
      <c r="HO11" s="180"/>
      <c r="HP11" s="180"/>
      <c r="HQ11" s="180"/>
      <c r="HR11" s="129"/>
      <c r="HS11" s="129"/>
      <c r="HT11" s="129"/>
      <c r="HU11" s="129"/>
      <c r="HV11" s="129"/>
      <c r="HW11" s="129"/>
      <c r="HX11" s="129"/>
      <c r="HY11" s="129"/>
      <c r="HZ11" s="129"/>
      <c r="IA11" s="150"/>
      <c r="IB11" s="129"/>
      <c r="IC11" s="129"/>
      <c r="ID11" s="19" t="n">
        <v>60</v>
      </c>
      <c r="IE11" s="53" t="s">
        <v>34</v>
      </c>
      <c r="IF11" s="75" t="n">
        <v>0.177471420457416</v>
      </c>
      <c r="IG11" s="75" t="n">
        <v>0.175435806965324</v>
      </c>
      <c r="IH11" s="75" t="n">
        <v>0.172362893264454</v>
      </c>
      <c r="II11" s="75" t="n">
        <v>0.170133594433757</v>
      </c>
      <c r="IJ11" s="75" t="e">
        <f aca="false"/>
        <v>#REF!</v>
      </c>
      <c r="IK11" s="75" t="e">
        <f aca="false"/>
        <v>#REF!</v>
      </c>
      <c r="IL11" s="75" t="e">
        <f aca="false"/>
        <v>#REF!</v>
      </c>
      <c r="IM11" s="0"/>
    </row>
    <row r="12" customFormat="false" ht="12" hidden="false" customHeight="true" outlineLevel="0" collapsed="false">
      <c r="A12" s="181" t="s">
        <v>104</v>
      </c>
      <c r="B12" s="182"/>
      <c r="C12" s="183" t="s">
        <v>105</v>
      </c>
      <c r="D12" s="80" t="s">
        <v>106</v>
      </c>
      <c r="E12" s="80" t="s">
        <v>107</v>
      </c>
      <c r="F12" s="184" t="str">
        <f aca="false">CONCATENATE(DaysForThetaCalculation,"-d Theta")</f>
        <v>1-d Theta</v>
      </c>
      <c r="G12" s="185" t="s">
        <v>108</v>
      </c>
      <c r="H12" s="5"/>
      <c r="I12" s="5"/>
      <c r="J12" s="5"/>
      <c r="K12" s="5"/>
      <c r="L12" s="5"/>
      <c r="M12" s="5"/>
      <c r="N12" s="6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7" t="n">
        <v>2010</v>
      </c>
      <c r="AC12" s="58" t="n">
        <v>0.45</v>
      </c>
      <c r="AD12" s="59" t="n">
        <v>1.23</v>
      </c>
      <c r="AE12" s="5"/>
      <c r="AF12" s="157" t="n">
        <v>2000</v>
      </c>
      <c r="AG12" s="163" t="n">
        <v>1</v>
      </c>
      <c r="AH12" s="164" t="n">
        <v>0</v>
      </c>
      <c r="AI12" s="5"/>
      <c r="AN12" s="1"/>
      <c r="AP12" s="186"/>
      <c r="AQ12" s="187"/>
      <c r="AR12" s="169"/>
      <c r="AS12" s="169"/>
      <c r="AT12" s="188"/>
      <c r="AU12" s="2"/>
      <c r="AZ12" s="13"/>
      <c r="BA12" s="13"/>
      <c r="BB12" s="1"/>
      <c r="BC12" s="101"/>
      <c r="BD12" s="102"/>
      <c r="BE12" s="103" t="s">
        <v>23</v>
      </c>
      <c r="BF12" s="104" t="e">
        <f aca="false">C16-G14</f>
        <v>#NAME?</v>
      </c>
      <c r="BH12" s="69" t="s">
        <v>109</v>
      </c>
      <c r="BI12" s="70" t="s">
        <v>110</v>
      </c>
      <c r="BK12" s="189" t="s">
        <v>111</v>
      </c>
      <c r="BL12" s="190"/>
      <c r="BM12" s="190"/>
      <c r="BN12" s="191" t="n">
        <f aca="false">IF(DateToday&lt;=AD20,0,1)</f>
        <v>1</v>
      </c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V12" s="3"/>
      <c r="DW12" s="4"/>
      <c r="DX12" s="4"/>
      <c r="DY12" s="4"/>
      <c r="DZ12" s="4"/>
      <c r="EA12" s="4"/>
      <c r="EB12" s="4"/>
      <c r="EC12" s="4"/>
      <c r="EQ12" s="129"/>
      <c r="ER12" s="129"/>
      <c r="ET12" s="19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9"/>
      <c r="GG12" s="129"/>
      <c r="GH12" s="129"/>
      <c r="GI12" s="129"/>
      <c r="GJ12" s="129"/>
      <c r="GK12" s="129"/>
      <c r="GL12" s="129"/>
      <c r="GM12" s="129"/>
      <c r="GN12" s="129"/>
      <c r="GO12" s="129"/>
      <c r="GP12" s="129"/>
      <c r="GQ12" s="129"/>
      <c r="GR12" s="129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9"/>
      <c r="HE12" s="19"/>
      <c r="HF12" s="129"/>
      <c r="HG12" s="192"/>
      <c r="HH12" s="192"/>
      <c r="HI12" s="192"/>
      <c r="HJ12" s="192"/>
      <c r="HK12" s="192"/>
      <c r="HL12" s="192"/>
      <c r="HM12" s="192"/>
      <c r="HN12" s="193"/>
      <c r="HO12" s="193"/>
      <c r="HP12" s="193"/>
      <c r="HQ12" s="193"/>
      <c r="HR12" s="129"/>
      <c r="HS12" s="129"/>
      <c r="HT12" s="129"/>
      <c r="HU12" s="129"/>
      <c r="HV12" s="129"/>
      <c r="HW12" s="129"/>
      <c r="HX12" s="194"/>
      <c r="HY12" s="129"/>
      <c r="HZ12" s="129"/>
      <c r="IA12" s="150"/>
      <c r="IB12" s="129"/>
      <c r="IC12" s="129"/>
      <c r="ID12" s="195"/>
      <c r="IE12" s="196"/>
      <c r="IF12" s="195"/>
      <c r="IG12" s="195"/>
      <c r="IH12" s="195"/>
      <c r="II12" s="195"/>
      <c r="IJ12" s="195"/>
      <c r="IK12" s="195"/>
      <c r="IL12" s="195"/>
      <c r="IM12" s="0"/>
    </row>
    <row r="13" customFormat="false" ht="15.75" hidden="false" customHeight="true" outlineLevel="0" collapsed="false">
      <c r="A13" s="197" t="e">
        <f aca="false">SUMPRODUCT($BD19:$BD258,EF19:EF258)/$D$32</f>
        <v>#NAME?</v>
      </c>
      <c r="B13" s="198" t="str">
        <f aca="false">CONCATENATE("Asian ",IF(OptControl=4,"Put 1","Call"),IF(OptControl=3," 1",""))</f>
        <v>Asian Call</v>
      </c>
      <c r="C13" s="197" t="e">
        <f aca="false">SUMPRODUCT($BD19:$BD258,CF19:CF258)/NominalVolume</f>
        <v>#NAME?</v>
      </c>
      <c r="D13" s="199" t="e">
        <f aca="false">SUMPRODUCT($BD19:$BD258,CG19:CG258)/E32</f>
        <v>#NAME?</v>
      </c>
      <c r="E13" s="199" t="e">
        <f aca="false">SUMPRODUCT($BD19:$BD258,CH19:CH258)/NominalVolume</f>
        <v>#NAME?</v>
      </c>
      <c r="F13" s="200" t="e">
        <f aca="false">SUMPRODUCT($BD19:$BD258,CI19:CI258)/NominalVolume</f>
        <v>#NAME?</v>
      </c>
      <c r="G13" s="201" t="s">
        <v>112</v>
      </c>
      <c r="H13" s="5"/>
      <c r="I13" s="5"/>
      <c r="J13" s="5"/>
      <c r="K13" s="5"/>
      <c r="L13" s="5"/>
      <c r="M13" s="5"/>
      <c r="N13" s="6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202" t="n">
        <v>2011</v>
      </c>
      <c r="AC13" s="58" t="n">
        <v>0.45</v>
      </c>
      <c r="AD13" s="59" t="n">
        <v>1.23</v>
      </c>
      <c r="AE13" s="5"/>
      <c r="AF13" s="162" t="n">
        <v>2001</v>
      </c>
      <c r="AG13" s="163" t="n">
        <v>1</v>
      </c>
      <c r="AH13" s="164" t="n">
        <v>0</v>
      </c>
      <c r="AI13" s="5"/>
      <c r="AJ13" s="188"/>
      <c r="AK13" s="188"/>
      <c r="AL13" s="188"/>
      <c r="AM13" s="203"/>
      <c r="AN13" s="188"/>
      <c r="AO13" s="52"/>
      <c r="AP13" s="204" t="s">
        <v>113</v>
      </c>
      <c r="AQ13" s="173"/>
      <c r="AR13" s="173"/>
      <c r="AS13" s="173"/>
      <c r="AT13" s="205" t="n">
        <f aca="false">DateCurve</f>
        <v>45925</v>
      </c>
      <c r="AU13" s="13"/>
      <c r="AZ13" s="13"/>
      <c r="BA13" s="13"/>
      <c r="BB13" s="1"/>
      <c r="BC13" s="65"/>
      <c r="BD13" s="66"/>
      <c r="BE13" s="67" t="s">
        <v>43</v>
      </c>
      <c r="BF13" s="68" t="e">
        <f aca="false">CostlessCollarValue/D13</f>
        <v>#NAME?</v>
      </c>
      <c r="BH13" s="69" t="s">
        <v>114</v>
      </c>
      <c r="BI13" s="70" t="s">
        <v>115</v>
      </c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V13" s="3"/>
      <c r="DW13" s="4"/>
      <c r="DX13" s="4"/>
      <c r="DY13" s="4"/>
      <c r="DZ13" s="4"/>
      <c r="EA13" s="4"/>
      <c r="EB13" s="4"/>
      <c r="EC13" s="4"/>
      <c r="EQ13" s="129"/>
      <c r="ER13" s="129"/>
      <c r="ET13" s="129"/>
      <c r="EU13" s="131"/>
      <c r="EV13" s="131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  <c r="GB13" s="129"/>
      <c r="GC13" s="129"/>
      <c r="GD13" s="129"/>
      <c r="GE13" s="129"/>
      <c r="GF13" s="129"/>
      <c r="GG13" s="129"/>
      <c r="GH13" s="129"/>
      <c r="GI13" s="129"/>
      <c r="GJ13" s="129"/>
      <c r="GK13" s="129"/>
      <c r="GL13" s="129"/>
      <c r="GM13" s="129"/>
      <c r="GN13" s="129"/>
      <c r="GO13" s="129"/>
      <c r="GP13" s="129"/>
      <c r="GQ13" s="129"/>
      <c r="GR13" s="129"/>
      <c r="GS13" s="129"/>
      <c r="GT13" s="129"/>
      <c r="GU13" s="129"/>
      <c r="GV13" s="129"/>
      <c r="GW13" s="129"/>
      <c r="GX13" s="129"/>
      <c r="GY13" s="129"/>
      <c r="GZ13" s="129"/>
      <c r="HA13" s="129"/>
      <c r="HB13" s="129"/>
      <c r="HC13" s="129"/>
      <c r="HD13" s="19"/>
      <c r="HE13" s="19"/>
      <c r="HF13" s="19"/>
      <c r="HG13" s="192"/>
      <c r="HH13" s="192"/>
      <c r="HI13" s="192"/>
      <c r="HJ13" s="192"/>
      <c r="HK13" s="192"/>
      <c r="HL13" s="192"/>
      <c r="HM13" s="192"/>
      <c r="HN13" s="193"/>
      <c r="HO13" s="193"/>
      <c r="HP13" s="193"/>
      <c r="HQ13" s="193"/>
      <c r="HR13" s="129"/>
      <c r="HS13" s="129"/>
      <c r="HT13" s="129"/>
      <c r="HU13" s="129"/>
      <c r="HV13" s="129"/>
      <c r="HW13" s="129"/>
      <c r="HX13" s="194"/>
      <c r="HY13" s="129"/>
      <c r="HZ13" s="129"/>
      <c r="IA13" s="150"/>
      <c r="IB13" s="129"/>
      <c r="IC13" s="129"/>
      <c r="ID13" s="195"/>
      <c r="IE13" s="196"/>
      <c r="IF13" s="195"/>
      <c r="IG13" s="195"/>
      <c r="IH13" s="195"/>
      <c r="II13" s="195"/>
      <c r="IJ13" s="195"/>
      <c r="IK13" s="195"/>
      <c r="IL13" s="195"/>
      <c r="IM13" s="0"/>
    </row>
    <row r="14" customFormat="false" ht="16.5" hidden="false" customHeight="true" outlineLevel="0" collapsed="false">
      <c r="A14" s="206" t="e">
        <f aca="false">SUMPRODUCT($BD19:$BD258,EG19:EG258)/$D$32</f>
        <v>#NAME?</v>
      </c>
      <c r="B14" s="207" t="str">
        <f aca="false">CONCATENATE(IF(OptControl=3,"Call 2","Put"),IF(OptControl=4," 2",""))</f>
        <v>Put</v>
      </c>
      <c r="C14" s="206" t="e">
        <f aca="false">SUMPRODUCT($BD19:$BD258,CJ19:CJ258)/NominalVolume</f>
        <v>#NAME?</v>
      </c>
      <c r="D14" s="208" t="e">
        <f aca="false">SUMPRODUCT($BD19:$BD258,CK19:CK258)/E32</f>
        <v>#NAME?</v>
      </c>
      <c r="E14" s="208" t="e">
        <f aca="false">SUMPRODUCT($BD19:$BD258,CL19:CL258)/NominalVolume</f>
        <v>#NAME?</v>
      </c>
      <c r="F14" s="209" t="e">
        <f aca="false">SUMPRODUCT($BD19:$BD258,CM19:CM258)/NominalVolume</f>
        <v>#NAME?</v>
      </c>
      <c r="G14" s="210" t="n">
        <v>0.05</v>
      </c>
      <c r="H14" s="5"/>
      <c r="I14" s="5"/>
      <c r="J14" s="5"/>
      <c r="K14" s="5"/>
      <c r="L14" s="5"/>
      <c r="M14" s="5"/>
      <c r="N14" s="6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7" t="n">
        <v>2012</v>
      </c>
      <c r="AC14" s="58" t="n">
        <v>0.45</v>
      </c>
      <c r="AD14" s="59" t="n">
        <v>1.23</v>
      </c>
      <c r="AE14" s="5"/>
      <c r="AF14" s="157" t="n">
        <v>2002</v>
      </c>
      <c r="AG14" s="163" t="n">
        <v>1</v>
      </c>
      <c r="AH14" s="164" t="n">
        <v>0</v>
      </c>
      <c r="AI14" s="5"/>
      <c r="AJ14" s="188"/>
      <c r="AK14" s="188"/>
      <c r="AL14" s="188"/>
      <c r="AM14" s="203"/>
      <c r="AN14" s="188"/>
      <c r="AU14" s="13"/>
      <c r="AZ14" s="13"/>
      <c r="BA14" s="13"/>
      <c r="BB14" s="1"/>
      <c r="BC14" s="1"/>
      <c r="BE14" s="1"/>
      <c r="BF14" s="1"/>
      <c r="BH14" s="211" t="s">
        <v>116</v>
      </c>
      <c r="BI14" s="212" t="s">
        <v>117</v>
      </c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V14" s="3"/>
      <c r="DW14" s="4"/>
      <c r="DX14" s="4"/>
      <c r="DY14" s="4"/>
      <c r="DZ14" s="4"/>
      <c r="EA14" s="4"/>
      <c r="EB14" s="4"/>
      <c r="EC14" s="4"/>
      <c r="EQ14" s="129"/>
      <c r="ER14" s="129"/>
      <c r="ET14" s="129"/>
      <c r="EU14" s="131"/>
      <c r="EV14" s="131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213" t="s">
        <v>118</v>
      </c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95"/>
      <c r="IE14" s="195"/>
      <c r="IF14" s="195"/>
      <c r="IG14" s="195"/>
      <c r="IH14" s="195"/>
      <c r="II14" s="195"/>
      <c r="IJ14" s="195"/>
      <c r="IK14" s="195"/>
      <c r="IL14" s="195"/>
      <c r="IM14" s="0"/>
    </row>
    <row r="15" customFormat="false" ht="16.5" hidden="false" customHeight="true" outlineLevel="0" collapsed="false">
      <c r="A15" s="214" t="e">
        <f aca="false">A13+A14*IF(OptControl&gt;2,-1,1)</f>
        <v>#NAME?</v>
      </c>
      <c r="B15" s="215" t="str">
        <f aca="false">IF(OptControl=3,"Call Spread",IF(OptControl=4,"Put Spread","Straddle"))</f>
        <v>Straddle</v>
      </c>
      <c r="C15" s="214" t="e">
        <f aca="false">C13+C14*IF(OptControl&gt;2,-1,1)</f>
        <v>#NAME?</v>
      </c>
      <c r="D15" s="216" t="e">
        <f aca="false">D13+D14*IF(OptControl&gt;2,-1,1)</f>
        <v>#NAME?</v>
      </c>
      <c r="E15" s="216" t="e">
        <f aca="false">E13+E14*IF(OptControl&gt;2,-1,1)</f>
        <v>#NAME?</v>
      </c>
      <c r="F15" s="217" t="e">
        <f aca="false">F13+F14*IF(OptControl&gt;2,-1,1)</f>
        <v>#NAME?</v>
      </c>
      <c r="G15" s="218"/>
      <c r="H15" s="219"/>
      <c r="I15" s="220" t="n">
        <f aca="false">Underlying</f>
        <v>1</v>
      </c>
      <c r="J15" s="221" t="s">
        <v>119</v>
      </c>
      <c r="K15" s="221"/>
      <c r="L15" s="221"/>
      <c r="M15" s="222" t="s">
        <v>120</v>
      </c>
      <c r="N15" s="222"/>
      <c r="O15" s="222"/>
      <c r="P15" s="223" t="s">
        <v>121</v>
      </c>
      <c r="Q15" s="223"/>
      <c r="R15" s="223"/>
      <c r="S15" s="223" t="s">
        <v>122</v>
      </c>
      <c r="T15" s="224" t="s">
        <v>123</v>
      </c>
      <c r="U15" s="224"/>
      <c r="V15" s="225"/>
      <c r="W15" s="226" t="s">
        <v>124</v>
      </c>
      <c r="X15" s="226"/>
      <c r="Y15" s="226"/>
      <c r="Z15" s="226"/>
      <c r="AA15" s="226"/>
      <c r="AB15" s="226"/>
      <c r="AC15" s="227" t="s">
        <v>125</v>
      </c>
      <c r="AD15" s="227"/>
      <c r="AE15" s="227"/>
      <c r="AF15" s="227"/>
      <c r="AG15" s="228" t="s">
        <v>126</v>
      </c>
      <c r="AH15" s="228"/>
      <c r="AI15" s="229" t="s">
        <v>127</v>
      </c>
      <c r="AJ15" s="229"/>
      <c r="AK15" s="229"/>
      <c r="AL15" s="229"/>
      <c r="AM15" s="229"/>
      <c r="AN15" s="229"/>
      <c r="AO15" s="222" t="s">
        <v>128</v>
      </c>
      <c r="AP15" s="222"/>
      <c r="AQ15" s="222"/>
      <c r="AR15" s="222"/>
      <c r="AS15" s="222" t="s">
        <v>129</v>
      </c>
      <c r="AT15" s="222"/>
      <c r="AU15" s="222"/>
      <c r="AV15" s="222"/>
      <c r="AW15" s="230" t="s">
        <v>1</v>
      </c>
      <c r="AX15" s="230"/>
      <c r="AY15" s="230"/>
      <c r="AZ15" s="230"/>
      <c r="BA15" s="230"/>
      <c r="BB15" s="230"/>
      <c r="BC15" s="230"/>
      <c r="BD15" s="226" t="s">
        <v>130</v>
      </c>
      <c r="BE15" s="226"/>
      <c r="BF15" s="231"/>
      <c r="BG15" s="232"/>
      <c r="BH15" s="233" t="s">
        <v>131</v>
      </c>
      <c r="BI15" s="234" t="s">
        <v>132</v>
      </c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U15" s="234"/>
      <c r="BV15" s="234"/>
      <c r="BW15" s="234"/>
      <c r="BX15" s="234"/>
      <c r="BY15" s="234"/>
      <c r="BZ15" s="234"/>
      <c r="CA15" s="234"/>
      <c r="CB15" s="234"/>
      <c r="CC15" s="234"/>
      <c r="CD15" s="234"/>
      <c r="CE15" s="234"/>
      <c r="CF15" s="234"/>
      <c r="CG15" s="234"/>
      <c r="CH15" s="234"/>
      <c r="CI15" s="234"/>
      <c r="CJ15" s="234"/>
      <c r="CK15" s="234"/>
      <c r="CL15" s="234"/>
      <c r="CM15" s="234"/>
      <c r="CN15" s="3"/>
      <c r="CO15" s="235" t="s">
        <v>133</v>
      </c>
      <c r="CP15" s="235"/>
      <c r="CQ15" s="235"/>
      <c r="CR15" s="235"/>
      <c r="CS15" s="235"/>
      <c r="CT15" s="235"/>
      <c r="CU15" s="235"/>
      <c r="CV15" s="235"/>
      <c r="CW15" s="235"/>
      <c r="CX15" s="235"/>
      <c r="CY15" s="235"/>
      <c r="CZ15" s="235"/>
      <c r="DA15" s="235"/>
      <c r="DB15" s="235"/>
      <c r="DC15" s="235"/>
      <c r="DD15" s="235"/>
      <c r="DE15" s="235"/>
      <c r="DG15" s="236"/>
      <c r="DH15" s="237"/>
      <c r="DI15" s="237"/>
      <c r="DJ15" s="237"/>
      <c r="DK15" s="237"/>
      <c r="DL15" s="237"/>
      <c r="DM15" s="237"/>
      <c r="DN15" s="237"/>
      <c r="DO15" s="237"/>
      <c r="DP15" s="237"/>
      <c r="DQ15" s="238"/>
      <c r="DR15" s="237"/>
      <c r="DS15" s="237"/>
      <c r="DT15" s="237"/>
      <c r="DU15" s="237"/>
      <c r="DV15" s="237"/>
      <c r="DW15" s="237"/>
      <c r="DX15" s="237"/>
      <c r="DY15" s="237"/>
      <c r="DZ15" s="237"/>
      <c r="EA15" s="238"/>
      <c r="EB15" s="195"/>
      <c r="EC15" s="195"/>
      <c r="ED15" s="195"/>
      <c r="EE15" s="195"/>
      <c r="EF15" s="195"/>
      <c r="EG15" s="195"/>
      <c r="EI15" s="239"/>
      <c r="EL15" s="1"/>
      <c r="EM15" s="195"/>
      <c r="EN15" s="240"/>
      <c r="EO15" s="240"/>
      <c r="EP15" s="195"/>
      <c r="EQ15" s="240"/>
      <c r="ES15" s="129"/>
      <c r="ET15" s="129"/>
      <c r="EU15" s="171"/>
      <c r="EV15" s="129"/>
      <c r="EW15" s="131"/>
      <c r="EX15" s="131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241" t="n">
        <f aca="false">MAX(ET20,0)</f>
        <v>0</v>
      </c>
      <c r="FL15" s="241" t="n">
        <f aca="false">INDEX($ET$20:$ET$200,FL19)-FK15</f>
        <v>-25.0266940451745</v>
      </c>
      <c r="FM15" s="132" t="n">
        <f aca="false">INDEX($ET$20:$ET$92,FM19)-INDEX($ET$20:$ET$92,FM19-1)</f>
        <v>0.0876112251882262</v>
      </c>
      <c r="FN15" s="132" t="n">
        <f aca="false">INDEX($ET$20:$ET$92,FN19)-INDEX($ET$20:$ET$92,FN19-1)</f>
        <v>0.0766598220396979</v>
      </c>
      <c r="FO15" s="132" t="n">
        <f aca="false">INDEX($ET$20:$ET$92,FO19)-INDEX($ET$20:$ET$92,FO19-1)</f>
        <v>0.0821355236139638</v>
      </c>
      <c r="FP15" s="132" t="n">
        <f aca="false">INDEX($ET$20:$ET$92,FP19)-INDEX($ET$20:$ET$92,FP19-1)</f>
        <v>0.0930869267624921</v>
      </c>
      <c r="FQ15" s="132" t="n">
        <f aca="false">INDEX($ET$20:$ET$92,FQ19)-INDEX($ET$20:$ET$92,FQ19-1)</f>
        <v>0.0766598220396979</v>
      </c>
      <c r="FR15" s="132" t="n">
        <f aca="false">INDEX($ET$20:$ET$92,FR19)-INDEX($ET$20:$ET$92,FR19-1)</f>
        <v>0.0793976728268326</v>
      </c>
      <c r="FS15" s="132" t="n">
        <f aca="false">INDEX($ET$20:$ET$92,FS19)-INDEX($ET$20:$ET$92,FS19-1)</f>
        <v>0.0903490759753574</v>
      </c>
      <c r="FT15" s="132" t="n">
        <f aca="false">INDEX($ET$20:$ET$92,FT19)-INDEX($ET$20:$ET$92,FT19-1)</f>
        <v>0.0821355236139638</v>
      </c>
      <c r="FU15" s="132" t="n">
        <f aca="false">INDEX($ET$20:$ET$92,FU19)-INDEX($ET$20:$ET$92,FU19-1)</f>
        <v>0.0793976728268326</v>
      </c>
      <c r="FV15" s="132" t="n">
        <f aca="false">INDEX($ET$20:$ET$92,FV19)-INDEX($ET$20:$ET$92,FV19-1)</f>
        <v>0.0876112251882262</v>
      </c>
      <c r="FW15" s="132" t="n">
        <f aca="false">INDEX($ET$20:$ET$92,FW19)-INDEX($ET$20:$ET$92,FW19-1)</f>
        <v>0.0821355236139638</v>
      </c>
      <c r="FX15" s="132" t="n">
        <f aca="false">INDEX($ET$20:$ET$92,FX19)-INDEX($ET$20:$ET$92,FX19-1)</f>
        <v>0.0876112251882262</v>
      </c>
      <c r="FY15" s="132" t="n">
        <f aca="false">INDEX($ET$20:$ET$92,FY19)-INDEX($ET$20:$ET$92,FY19-1)</f>
        <v>0.0821355236139638</v>
      </c>
      <c r="FZ15" s="132" t="n">
        <f aca="false">INDEX($ET$20:$ET$92,FZ19)-INDEX($ET$20:$ET$92,FZ19-1)</f>
        <v>0.0766598220396979</v>
      </c>
      <c r="GA15" s="132" t="n">
        <f aca="false">INDEX($ET$20:$ET$92,GA19)-INDEX($ET$20:$ET$92,GA19-1)</f>
        <v>0.0821355236139638</v>
      </c>
      <c r="GB15" s="132" t="n">
        <f aca="false">INDEX($ET$20:$ET$92,GB19)-INDEX($ET$20:$ET$92,GB19-1)</f>
        <v>0.0903490759753574</v>
      </c>
      <c r="GC15" s="132" t="n">
        <f aca="false">INDEX($ET$20:$ET$92,GC19)-INDEX($ET$20:$ET$92,GC19-1)</f>
        <v>0.0793976728268326</v>
      </c>
      <c r="GD15" s="132" t="n">
        <f aca="false">INDEX($ET$20:$ET$92,GD19)-INDEX($ET$20:$ET$92,GD19-1)</f>
        <v>0.0793976728268291</v>
      </c>
      <c r="GE15" s="132" t="n">
        <f aca="false">INDEX($ET$20:$ET$92,GE19)-INDEX($ET$20:$ET$92,GE19-1)</f>
        <v>0.0903490759753609</v>
      </c>
      <c r="GF15" s="132" t="n">
        <f aca="false">INDEX($ET$20:$ET$92,GF19)-INDEX($ET$20:$ET$92,GF19-1)</f>
        <v>0.0793976728268291</v>
      </c>
      <c r="GG15" s="132" t="n">
        <f aca="false">INDEX($ET$20:$ET$92,GG19)-INDEX($ET$20:$ET$92,GG19-1)</f>
        <v>0.0876112251882297</v>
      </c>
      <c r="GH15" s="132" t="n">
        <f aca="false">INDEX($ET$20:$ET$92,GH19)-INDEX($ET$20:$ET$92,GH19-1)</f>
        <v>0.0821355236139638</v>
      </c>
      <c r="GI15" s="132" t="n">
        <f aca="false">INDEX($ET$20:$ET$92,GI19)-INDEX($ET$20:$ET$92,GI19-1)</f>
        <v>0.0793976728268291</v>
      </c>
      <c r="GJ15" s="132" t="n">
        <f aca="false">INDEX($ET$20:$ET$92,GJ19)-INDEX($ET$20:$ET$92,GJ19-1)</f>
        <v>0.0903490759753609</v>
      </c>
      <c r="GK15" s="132" t="n">
        <f aca="false">INDEX($ET$20:$ET$92,GK19)-INDEX($ET$20:$ET$92,GK19-1)</f>
        <v>0.0821355236139603</v>
      </c>
      <c r="GL15" s="132" t="n">
        <f aca="false">INDEX($ET$20:$ET$92,GL19)-INDEX($ET$20:$ET$92,GL19-1)</f>
        <v>0.0793976728268326</v>
      </c>
      <c r="GM15" s="132" t="n">
        <f aca="false">INDEX($ET$20:$ET$92,GM19)-INDEX($ET$20:$ET$92,GM19-1)</f>
        <v>0.084873374401095</v>
      </c>
      <c r="GN15" s="132" t="n">
        <f aca="false">INDEX($ET$20:$ET$92,GN19)-INDEX($ET$20:$ET$92,GN19-1)</f>
        <v>0.084873374401095</v>
      </c>
      <c r="GO15" s="132" t="n">
        <f aca="false">INDEX($ET$20:$ET$92,GO19)-INDEX($ET$20:$ET$92,GO19-1)</f>
        <v>0.084873374401095</v>
      </c>
      <c r="GP15" s="132" t="n">
        <f aca="false">INDEX($ET$20:$ET$92,GP19)-INDEX($ET$20:$ET$92,GP19-1)</f>
        <v>0.0766598220396979</v>
      </c>
      <c r="GQ15" s="132" t="n">
        <f aca="false">INDEX($ET$20:$ET$92,GQ19)-INDEX($ET$20:$ET$92,GQ19-1)</f>
        <v>0.084873374401095</v>
      </c>
      <c r="GR15" s="132" t="n">
        <f aca="false">INDEX($ET$20:$ET$92,GR19)-INDEX($ET$20:$ET$92,GR19-1)</f>
        <v>0.0821355236139638</v>
      </c>
      <c r="GS15" s="132" t="n">
        <f aca="false">INDEX($ET$20:$ET$92,GS19)-INDEX($ET$20:$ET$92,GS19-1)</f>
        <v>0.084873374401095</v>
      </c>
      <c r="GT15" s="132" t="n">
        <f aca="false">INDEX($ET$20:$ET$92,GT19)-INDEX($ET$20:$ET$92,GT19-1)</f>
        <v>0.0821355236139638</v>
      </c>
      <c r="GU15" s="132" t="n">
        <f aca="false">INDEX($ET$20:$ET$92,GU19)-INDEX($ET$20:$ET$92,GU19-1)</f>
        <v>0.084873374401095</v>
      </c>
      <c r="GV15" s="132" t="n">
        <f aca="false">INDEX($ET$20:$ET$92,GV19)-INDEX($ET$20:$ET$92,GV19-1)</f>
        <v>0.084873374401095</v>
      </c>
      <c r="GW15" s="132" t="n">
        <f aca="false">INDEX($ET$20:$ET$92,GW19)-INDEX($ET$20:$ET$92,GW19-1)</f>
        <v>0.0821355236139638</v>
      </c>
      <c r="GX15" s="132" t="n">
        <f aca="false">INDEX($ET$20:$ET$92,GX19)-INDEX($ET$20:$ET$92,GX19-1)</f>
        <v>0.084873374401095</v>
      </c>
      <c r="GY15" s="132" t="n">
        <f aca="false">INDEX($ET$20:$ET$92,GY19)-INDEX($ET$20:$ET$92,GY19-1)</f>
        <v>0.0821355236139638</v>
      </c>
      <c r="GZ15" s="132" t="n">
        <f aca="false">INDEX($ET$20:$ET$92,GZ19)-INDEX($ET$20:$ET$92,GZ19-1)</f>
        <v>0.084873374401095</v>
      </c>
      <c r="HA15" s="132" t="n">
        <f aca="false">INDEX($ET$20:$ET$92,HA19)-INDEX($ET$20:$ET$92,HA19-1)</f>
        <v>0.084873374401095</v>
      </c>
      <c r="HB15" s="132" t="n">
        <f aca="false">INDEX($ET$20:$ET$92,HB19)-INDEX($ET$20:$ET$92,HB19-1)</f>
        <v>0.0793976728268291</v>
      </c>
      <c r="HC15" s="132" t="n">
        <f aca="false">INDEX($ET$20:$ET$92,HC19)-INDEX($ET$20:$ET$92,HC19-1)</f>
        <v>0.084873374401095</v>
      </c>
      <c r="HD15" s="132" t="n">
        <f aca="false">INDEX($ET$20:$ET$92,HD19)-INDEX($ET$20:$ET$92,HD19-1)</f>
        <v>0.0821355236139638</v>
      </c>
      <c r="HE15" s="132" t="n">
        <f aca="false">INDEX($ET$20:$ET$92,HE19)-INDEX($ET$20:$ET$92,HE19-1)</f>
        <v>0.084873374401095</v>
      </c>
      <c r="HF15" s="132" t="n">
        <f aca="false">INDEX($ET$20:$ET$92,HF19)-INDEX($ET$20:$ET$92,HF19-1)</f>
        <v>0.0821355236139638</v>
      </c>
      <c r="HG15" s="132" t="n">
        <f aca="false">INDEX($ET$20:$ET$92,HG19)-INDEX($ET$20:$ET$92,HG19-1)</f>
        <v>0.084873374401095</v>
      </c>
      <c r="HH15" s="132" t="n">
        <f aca="false">INDEX($ET$20:$ET$92,HH19)-INDEX($ET$20:$ET$92,HH19-1)</f>
        <v>0.084873374401095</v>
      </c>
      <c r="HI15" s="132" t="n">
        <f aca="false">INDEX($ET$20:$ET$92,HI19)-INDEX($ET$20:$ET$92,HI19-1)</f>
        <v>0.0821355236139638</v>
      </c>
      <c r="HJ15" s="132" t="n">
        <f aca="false">INDEX($ET$20:$ET$92,HJ19)-INDEX($ET$20:$ET$92,HJ19-1)</f>
        <v>0.084873374401095</v>
      </c>
      <c r="HK15" s="132" t="n">
        <f aca="false">INDEX($ET$20:$ET$92,HK19)-INDEX($ET$20:$ET$92,HK19-1)</f>
        <v>0.0821355236139638</v>
      </c>
      <c r="HL15" s="132" t="n">
        <f aca="false">INDEX($ET$20:$ET$92,HL19)-INDEX($ET$20:$ET$92,HL19-1)</f>
        <v>0.084873374401095</v>
      </c>
      <c r="HM15" s="132" t="n">
        <f aca="false">INDEX($ET$20:$ET$92,HM19)-INDEX($ET$20:$ET$92,HM19-1)</f>
        <v>0.084873374401095</v>
      </c>
      <c r="HN15" s="132" t="n">
        <f aca="false">INDEX($ET$20:$ET$92,HN19)-INDEX($ET$20:$ET$92,HN19-1)</f>
        <v>0.0766598220396979</v>
      </c>
      <c r="HO15" s="132" t="n">
        <f aca="false">INDEX($ET$20:$ET$92,HO19)-INDEX($ET$20:$ET$92,HO19-1)</f>
        <v>0.084873374401095</v>
      </c>
      <c r="HP15" s="132" t="n">
        <f aca="false">INDEX($ET$20:$ET$92,HP19)-INDEX($ET$20:$ET$92,HP19-1)</f>
        <v>0.0821355236139638</v>
      </c>
      <c r="HQ15" s="132" t="n">
        <f aca="false">INDEX($ET$20:$ET$92,HQ19)-INDEX($ET$20:$ET$92,HQ19-1)</f>
        <v>0.084873374401095</v>
      </c>
      <c r="HR15" s="132" t="n">
        <f aca="false">INDEX($ET$20:$ET$92,HR19)-INDEX($ET$20:$ET$92,HR19-1)</f>
        <v>0.0821355236139638</v>
      </c>
      <c r="HS15" s="132" t="n">
        <f aca="false">INDEX($ET$20:$ET$92,HS19)-INDEX($ET$20:$ET$92,HS19-1)</f>
        <v>0.084873374401095</v>
      </c>
      <c r="HT15" s="132" t="n">
        <f aca="false">INDEX($ET$20:$ET$92,HT19)-INDEX($ET$20:$ET$92,HT19-1)</f>
        <v>0.084873374401095</v>
      </c>
      <c r="HU15" s="132" t="n">
        <f aca="false">INDEX($ET$20:$ET$92,HU19)-INDEX($ET$20:$ET$92,HU19-1)</f>
        <v>0.0821355236139603</v>
      </c>
      <c r="HV15" s="132" t="n">
        <f aca="false">INDEX($ET$20:$ET$92,HV19)-INDEX($ET$20:$ET$92,HV19-1)</f>
        <v>0.084873374401095</v>
      </c>
      <c r="HW15" s="132" t="n">
        <f aca="false">INDEX($ET$20:$ET$92,HW19)-INDEX($ET$20:$ET$92,HW19-1)</f>
        <v>0.0821355236139638</v>
      </c>
      <c r="HX15" s="132" t="n">
        <f aca="false">INDEX($ET$20:$ET$92,HX19)-INDEX($ET$20:$ET$92,HX19-1)</f>
        <v>0.084873374401095</v>
      </c>
      <c r="HY15" s="132" t="n">
        <f aca="false">INDEX($ET$20:$ET$92,HY19)-INDEX($ET$20:$ET$92,HY19-1)</f>
        <v>0.084873374401095</v>
      </c>
      <c r="HZ15" s="132" t="n">
        <f aca="false">INDEX($ET$20:$ET$92,HZ19)-INDEX($ET$20:$ET$92,HZ19-1)</f>
        <v>0.0766598220397015</v>
      </c>
      <c r="IA15" s="132" t="n">
        <f aca="false">INDEX($ET$20:$ET$92,IA19)-INDEX($ET$20:$ET$92,IA19-1)</f>
        <v>0.084873374401095</v>
      </c>
      <c r="IB15" s="132" t="n">
        <f aca="false">INDEX($ET$20:$ET$92,IB19)-INDEX($ET$20:$ET$92,IB19-1)</f>
        <v>0.0821355236139603</v>
      </c>
      <c r="IC15" s="132" t="n">
        <f aca="false">INDEX($ET$20:$ET$92,IC19)-INDEX($ET$20:$ET$92,IC19-1)</f>
        <v>0.084873374401095</v>
      </c>
      <c r="ID15" s="132" t="n">
        <f aca="false">INDEX($ET$20:$ET$92,ID19)-INDEX($ET$20:$ET$92,ID19-1)</f>
        <v>0.0821355236139638</v>
      </c>
      <c r="IE15" s="129"/>
      <c r="IF15" s="171"/>
      <c r="IG15" s="171"/>
      <c r="IH15" s="171"/>
      <c r="II15" s="171"/>
      <c r="IJ15" s="171"/>
      <c r="IK15" s="171"/>
      <c r="IL15" s="171"/>
      <c r="IM15" s="171"/>
      <c r="IN15" s="171"/>
      <c r="IO15" s="171"/>
      <c r="IP15" s="171"/>
      <c r="IQ15" s="171"/>
      <c r="IR15" s="171"/>
      <c r="IS15" s="171"/>
      <c r="IT15" s="171"/>
      <c r="IU15" s="171"/>
      <c r="IV15" s="171"/>
      <c r="IW15" s="171"/>
    </row>
    <row r="16" customFormat="false" ht="14.25" hidden="false" customHeight="true" outlineLevel="0" collapsed="false">
      <c r="A16" s="242" t="e">
        <f aca="false">IF(OptControl&gt;2,"",A13-A14)</f>
        <v>#NAME?</v>
      </c>
      <c r="B16" s="243" t="str">
        <f aca="false">IF(OptControl&gt;2,"","Fence")</f>
        <v>Fence</v>
      </c>
      <c r="C16" s="242" t="e">
        <f aca="false">IF(OptControl&gt;2,"",C13-C14)</f>
        <v>#NAME?</v>
      </c>
      <c r="D16" s="244" t="e">
        <f aca="false">IF(OptControl&gt;2,"",D13-D14)</f>
        <v>#NAME?</v>
      </c>
      <c r="E16" s="244" t="e">
        <f aca="false">IF(OptControl&gt;2,"",E13-E14)</f>
        <v>#NAME?</v>
      </c>
      <c r="F16" s="245" t="e">
        <f aca="false">IF(OptControl&gt;2,"",F13-F14)</f>
        <v>#NAME?</v>
      </c>
      <c r="G16" s="246"/>
      <c r="H16" s="219"/>
      <c r="I16" s="247" t="n">
        <f aca="false">Underlying</f>
        <v>1</v>
      </c>
      <c r="J16" s="248"/>
      <c r="K16" s="249"/>
      <c r="L16" s="249"/>
      <c r="M16" s="250"/>
      <c r="N16" s="249"/>
      <c r="O16" s="251"/>
      <c r="P16" s="250"/>
      <c r="Q16" s="249"/>
      <c r="R16" s="249"/>
      <c r="S16" s="250" t="s">
        <v>93</v>
      </c>
      <c r="T16" s="252" t="s">
        <v>134</v>
      </c>
      <c r="U16" s="253" t="s">
        <v>135</v>
      </c>
      <c r="V16" s="254" t="s">
        <v>136</v>
      </c>
      <c r="W16" s="255"/>
      <c r="X16" s="256"/>
      <c r="Y16" s="257"/>
      <c r="Z16" s="256"/>
      <c r="AA16" s="257"/>
      <c r="AB16" s="258"/>
      <c r="AC16" s="259"/>
      <c r="AD16" s="259"/>
      <c r="AE16" s="259"/>
      <c r="AF16" s="259"/>
      <c r="AG16" s="260" t="s">
        <v>137</v>
      </c>
      <c r="AH16" s="260"/>
      <c r="AI16" s="261" t="s">
        <v>138</v>
      </c>
      <c r="AJ16" s="261"/>
      <c r="AK16" s="261"/>
      <c r="AL16" s="261"/>
      <c r="AM16" s="261"/>
      <c r="AN16" s="261"/>
      <c r="AO16" s="262" t="s">
        <v>139</v>
      </c>
      <c r="AP16" s="262"/>
      <c r="AQ16" s="263" t="s">
        <v>140</v>
      </c>
      <c r="AR16" s="263"/>
      <c r="AS16" s="264" t="s">
        <v>141</v>
      </c>
      <c r="AT16" s="264"/>
      <c r="AU16" s="264"/>
      <c r="AV16" s="264"/>
      <c r="AW16" s="265"/>
      <c r="AX16" s="266"/>
      <c r="AY16" s="267"/>
      <c r="AZ16" s="267"/>
      <c r="BA16" s="267"/>
      <c r="BB16" s="267"/>
      <c r="BC16" s="268"/>
      <c r="BD16" s="269" t="s">
        <v>142</v>
      </c>
      <c r="BE16" s="269"/>
      <c r="BF16" s="270" t="s">
        <v>143</v>
      </c>
      <c r="BG16" s="271" t="s">
        <v>82</v>
      </c>
      <c r="BH16" s="272" t="s">
        <v>13</v>
      </c>
      <c r="BI16" s="273" t="s">
        <v>144</v>
      </c>
      <c r="BJ16" s="273"/>
      <c r="BK16" s="273"/>
      <c r="BL16" s="273"/>
      <c r="BM16" s="273"/>
      <c r="BN16" s="273"/>
      <c r="BO16" s="274" t="s">
        <v>145</v>
      </c>
      <c r="BP16" s="274"/>
      <c r="BQ16" s="274"/>
      <c r="BR16" s="274"/>
      <c r="BS16" s="275" t="s">
        <v>86</v>
      </c>
      <c r="BT16" s="275"/>
      <c r="BU16" s="275" t="s">
        <v>146</v>
      </c>
      <c r="BV16" s="275"/>
      <c r="BW16" s="276" t="s">
        <v>147</v>
      </c>
      <c r="BX16" s="276"/>
      <c r="BY16" s="276" t="s">
        <v>148</v>
      </c>
      <c r="BZ16" s="276"/>
      <c r="CA16" s="276" t="s">
        <v>149</v>
      </c>
      <c r="CB16" s="276"/>
      <c r="CC16" s="276"/>
      <c r="CD16" s="276"/>
      <c r="CE16" s="277"/>
      <c r="CF16" s="278" t="s">
        <v>150</v>
      </c>
      <c r="CG16" s="278"/>
      <c r="CH16" s="278"/>
      <c r="CI16" s="278"/>
      <c r="CJ16" s="278"/>
      <c r="CK16" s="278"/>
      <c r="CL16" s="278"/>
      <c r="CM16" s="278"/>
      <c r="CN16" s="3"/>
      <c r="CO16" s="279" t="s">
        <v>13</v>
      </c>
      <c r="CP16" s="280" t="s">
        <v>151</v>
      </c>
      <c r="CQ16" s="280" t="s">
        <v>86</v>
      </c>
      <c r="CR16" s="280"/>
      <c r="CS16" s="280" t="s">
        <v>152</v>
      </c>
      <c r="CT16" s="280"/>
      <c r="CU16" s="280" t="s">
        <v>153</v>
      </c>
      <c r="CV16" s="280" t="s">
        <v>154</v>
      </c>
      <c r="CW16" s="280"/>
      <c r="CX16" s="281" t="str">
        <f aca="false">CF17</f>
        <v>Call</v>
      </c>
      <c r="CY16" s="281"/>
      <c r="CZ16" s="281"/>
      <c r="DA16" s="281"/>
      <c r="DB16" s="282" t="str">
        <f aca="false">CJ17</f>
        <v>Put</v>
      </c>
      <c r="DC16" s="282"/>
      <c r="DD16" s="282"/>
      <c r="DE16" s="282"/>
      <c r="DG16" s="283"/>
      <c r="DH16" s="284"/>
      <c r="DI16" s="284"/>
      <c r="DJ16" s="284"/>
      <c r="DK16" s="284"/>
      <c r="DL16" s="284"/>
      <c r="DM16" s="284"/>
      <c r="DN16" s="284"/>
      <c r="DO16" s="284"/>
      <c r="DP16" s="284"/>
      <c r="DQ16" s="285"/>
      <c r="DR16" s="284"/>
      <c r="DS16" s="284"/>
      <c r="DT16" s="284"/>
      <c r="DU16" s="284"/>
      <c r="DV16" s="284"/>
      <c r="DW16" s="284"/>
      <c r="DX16" s="284"/>
      <c r="DY16" s="284"/>
      <c r="DZ16" s="284"/>
      <c r="EA16" s="286"/>
      <c r="EB16" s="195"/>
      <c r="EC16" s="287" t="s">
        <v>104</v>
      </c>
      <c r="ED16" s="287"/>
      <c r="EE16" s="287"/>
      <c r="EF16" s="287"/>
      <c r="EG16" s="287"/>
      <c r="EL16" s="1"/>
      <c r="EM16" s="195"/>
      <c r="EN16" s="240"/>
      <c r="EO16" s="240"/>
      <c r="EP16" s="195"/>
      <c r="EQ16" s="240"/>
      <c r="ES16" s="129"/>
      <c r="ET16" s="129"/>
      <c r="EU16" s="129"/>
      <c r="EV16" s="129"/>
      <c r="EW16" s="130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288"/>
      <c r="FK16" s="288"/>
      <c r="FL16" s="28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29"/>
      <c r="HF16" s="19"/>
      <c r="HG16" s="19"/>
      <c r="HH16" s="19"/>
      <c r="HI16" s="192"/>
      <c r="HJ16" s="192"/>
      <c r="HK16" s="192"/>
      <c r="HL16" s="192"/>
      <c r="HM16" s="192"/>
      <c r="HN16" s="192"/>
      <c r="HO16" s="192"/>
      <c r="HP16" s="193"/>
      <c r="HQ16" s="193"/>
      <c r="HR16" s="193"/>
      <c r="HS16" s="193"/>
      <c r="HT16" s="129"/>
      <c r="HU16" s="129"/>
      <c r="HV16" s="129"/>
      <c r="HW16" s="129"/>
      <c r="HX16" s="132"/>
      <c r="HY16" s="129"/>
      <c r="HZ16" s="129"/>
      <c r="IA16" s="129"/>
      <c r="IB16" s="129"/>
      <c r="IC16" s="129"/>
      <c r="ID16" s="129"/>
      <c r="IE16" s="129"/>
    </row>
    <row r="17" customFormat="false" ht="15" hidden="false" customHeight="true" outlineLevel="0" collapsed="false">
      <c r="A17" s="76"/>
      <c r="B17" s="7" t="s">
        <v>155</v>
      </c>
      <c r="C17" s="7"/>
      <c r="D17" s="7"/>
      <c r="E17" s="7"/>
      <c r="F17" s="7"/>
      <c r="G17" s="7"/>
      <c r="H17" s="219"/>
      <c r="I17" s="290" t="n">
        <f aca="false">Underlying</f>
        <v>1</v>
      </c>
      <c r="J17" s="291"/>
      <c r="K17" s="292"/>
      <c r="L17" s="291"/>
      <c r="M17" s="293"/>
      <c r="N17" s="292"/>
      <c r="O17" s="294"/>
      <c r="P17" s="293"/>
      <c r="Q17" s="292"/>
      <c r="R17" s="291"/>
      <c r="S17" s="295"/>
      <c r="T17" s="296"/>
      <c r="U17" s="297"/>
      <c r="V17" s="298"/>
      <c r="W17" s="299" t="s">
        <v>46</v>
      </c>
      <c r="X17" s="299"/>
      <c r="Y17" s="300" t="s">
        <v>39</v>
      </c>
      <c r="Z17" s="300"/>
      <c r="AA17" s="301" t="s">
        <v>18</v>
      </c>
      <c r="AB17" s="301"/>
      <c r="AC17" s="302" t="s">
        <v>156</v>
      </c>
      <c r="AD17" s="302"/>
      <c r="AE17" s="303" t="s">
        <v>39</v>
      </c>
      <c r="AF17" s="303"/>
      <c r="AG17" s="260" t="s">
        <v>157</v>
      </c>
      <c r="AH17" s="260"/>
      <c r="AI17" s="304" t="s">
        <v>46</v>
      </c>
      <c r="AJ17" s="304"/>
      <c r="AK17" s="304"/>
      <c r="AL17" s="305" t="s">
        <v>39</v>
      </c>
      <c r="AM17" s="305"/>
      <c r="AN17" s="305"/>
      <c r="AO17" s="306" t="s">
        <v>69</v>
      </c>
      <c r="AP17" s="307" t="s">
        <v>158</v>
      </c>
      <c r="AQ17" s="308" t="s">
        <v>69</v>
      </c>
      <c r="AR17" s="271" t="s">
        <v>158</v>
      </c>
      <c r="AS17" s="309" t="s">
        <v>46</v>
      </c>
      <c r="AT17" s="310" t="s">
        <v>39</v>
      </c>
      <c r="AU17" s="307" t="s">
        <v>39</v>
      </c>
      <c r="AV17" s="271" t="s">
        <v>46</v>
      </c>
      <c r="AW17" s="311" t="s">
        <v>159</v>
      </c>
      <c r="AX17" s="312" t="s">
        <v>14</v>
      </c>
      <c r="AY17" s="312"/>
      <c r="AZ17" s="312"/>
      <c r="BA17" s="313" t="s">
        <v>15</v>
      </c>
      <c r="BB17" s="313"/>
      <c r="BC17" s="313"/>
      <c r="BD17" s="311" t="s">
        <v>160</v>
      </c>
      <c r="BE17" s="314" t="s">
        <v>161</v>
      </c>
      <c r="BF17" s="270"/>
      <c r="BG17" s="271"/>
      <c r="BH17" s="272" t="s">
        <v>162</v>
      </c>
      <c r="BI17" s="302" t="s">
        <v>163</v>
      </c>
      <c r="BJ17" s="302"/>
      <c r="BK17" s="302"/>
      <c r="BL17" s="302"/>
      <c r="BM17" s="315" t="s">
        <v>164</v>
      </c>
      <c r="BN17" s="315"/>
      <c r="BO17" s="316" t="s">
        <v>165</v>
      </c>
      <c r="BP17" s="316"/>
      <c r="BQ17" s="316"/>
      <c r="BR17" s="317" t="s">
        <v>160</v>
      </c>
      <c r="BS17" s="312" t="s">
        <v>166</v>
      </c>
      <c r="BT17" s="312"/>
      <c r="BU17" s="312" t="s">
        <v>167</v>
      </c>
      <c r="BV17" s="312"/>
      <c r="BW17" s="318"/>
      <c r="BX17" s="319"/>
      <c r="BY17" s="277"/>
      <c r="BZ17" s="319"/>
      <c r="CA17" s="319" t="str">
        <f aca="false">CF17</f>
        <v>Call</v>
      </c>
      <c r="CB17" s="319" t="str">
        <f aca="false">CF17</f>
        <v>Call</v>
      </c>
      <c r="CC17" s="319" t="str">
        <f aca="false">CJ17</f>
        <v>Put</v>
      </c>
      <c r="CD17" s="319" t="str">
        <f aca="false">CJ17</f>
        <v>Put</v>
      </c>
      <c r="CE17" s="320" t="s">
        <v>52</v>
      </c>
      <c r="CF17" s="321" t="str">
        <f aca="false">CONCATENATE(IF(OptControl=4,"Put 1","Call"),IF(OptControl=3," 1",""))</f>
        <v>Call</v>
      </c>
      <c r="CG17" s="321"/>
      <c r="CH17" s="321"/>
      <c r="CI17" s="321"/>
      <c r="CJ17" s="322" t="str">
        <f aca="false">CONCATENATE(IF(OptControl=3,"Call 2","Put"),IF(OptControl=4," 2",""))</f>
        <v>Put</v>
      </c>
      <c r="CK17" s="322"/>
      <c r="CL17" s="322"/>
      <c r="CM17" s="322"/>
      <c r="CN17" s="3"/>
      <c r="CO17" s="323" t="s">
        <v>168</v>
      </c>
      <c r="CP17" s="324" t="s">
        <v>169</v>
      </c>
      <c r="CQ17" s="325"/>
      <c r="CR17" s="326"/>
      <c r="CS17" s="327" t="s">
        <v>83</v>
      </c>
      <c r="CT17" s="327"/>
      <c r="CU17" s="324" t="s">
        <v>93</v>
      </c>
      <c r="CV17" s="327" t="s">
        <v>93</v>
      </c>
      <c r="CW17" s="327"/>
      <c r="CX17" s="328"/>
      <c r="CY17" s="329"/>
      <c r="CZ17" s="329"/>
      <c r="DA17" s="330"/>
      <c r="DB17" s="325"/>
      <c r="DC17" s="331"/>
      <c r="DD17" s="331"/>
      <c r="DE17" s="332"/>
      <c r="DG17" s="333" t="s">
        <v>46</v>
      </c>
      <c r="DH17" s="333"/>
      <c r="DI17" s="333"/>
      <c r="DJ17" s="333" t="s">
        <v>39</v>
      </c>
      <c r="DK17" s="333"/>
      <c r="DL17" s="333"/>
      <c r="DM17" s="334" t="s">
        <v>170</v>
      </c>
      <c r="DN17" s="334"/>
      <c r="DO17" s="335" t="s">
        <v>171</v>
      </c>
      <c r="DP17" s="335"/>
      <c r="DQ17" s="335"/>
      <c r="DR17" s="333" t="s">
        <v>46</v>
      </c>
      <c r="DS17" s="333"/>
      <c r="DT17" s="333"/>
      <c r="DU17" s="333" t="s">
        <v>39</v>
      </c>
      <c r="DV17" s="333"/>
      <c r="DW17" s="333"/>
      <c r="DX17" s="333" t="s">
        <v>172</v>
      </c>
      <c r="DY17" s="333"/>
      <c r="DZ17" s="333" t="s">
        <v>173</v>
      </c>
      <c r="EA17" s="333"/>
      <c r="EB17" s="195"/>
      <c r="EC17" s="336" t="s">
        <v>153</v>
      </c>
      <c r="ED17" s="337" t="s">
        <v>174</v>
      </c>
      <c r="EE17" s="337"/>
      <c r="EF17" s="337" t="s">
        <v>175</v>
      </c>
      <c r="EG17" s="337"/>
      <c r="EL17" s="1"/>
      <c r="EM17" s="195"/>
      <c r="EN17" s="338" t="s">
        <v>176</v>
      </c>
      <c r="EO17" s="338"/>
      <c r="EP17" s="195"/>
      <c r="EQ17" s="339" t="s">
        <v>28</v>
      </c>
      <c r="ES17" s="340"/>
      <c r="ET17" s="341" t="s">
        <v>177</v>
      </c>
      <c r="EU17" s="235" t="s">
        <v>178</v>
      </c>
      <c r="EV17" s="342" t="s">
        <v>179</v>
      </c>
      <c r="EW17" s="287" t="s">
        <v>161</v>
      </c>
      <c r="EX17" s="287"/>
      <c r="EY17" s="343"/>
      <c r="EZ17" s="344" t="s">
        <v>180</v>
      </c>
      <c r="FA17" s="344"/>
      <c r="FB17" s="344"/>
      <c r="FC17" s="344"/>
      <c r="FD17" s="344"/>
      <c r="FE17" s="344"/>
      <c r="FF17" s="344"/>
      <c r="FG17" s="344"/>
      <c r="FH17" s="344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29"/>
      <c r="GF17" s="129"/>
      <c r="GG17" s="129"/>
      <c r="GH17" s="129"/>
      <c r="GI17" s="129"/>
      <c r="GJ17" s="129"/>
      <c r="GK17" s="129"/>
      <c r="GL17" s="129"/>
      <c r="GM17" s="129"/>
      <c r="GN17" s="129"/>
      <c r="GO17" s="129"/>
      <c r="GP17" s="129"/>
      <c r="GQ17" s="129"/>
      <c r="GR17" s="129"/>
      <c r="GS17" s="129"/>
      <c r="GT17" s="129"/>
      <c r="GU17" s="129"/>
      <c r="GV17" s="129"/>
      <c r="GW17" s="129"/>
      <c r="GX17" s="129"/>
      <c r="GY17" s="129"/>
      <c r="GZ17" s="129"/>
      <c r="HA17" s="129"/>
      <c r="HB17" s="129"/>
      <c r="HC17" s="129"/>
      <c r="HD17" s="129"/>
      <c r="HE17" s="129"/>
      <c r="HF17" s="129"/>
      <c r="HG17" s="129"/>
      <c r="HH17" s="129"/>
      <c r="HI17" s="129"/>
      <c r="HJ17" s="129"/>
      <c r="HK17" s="129"/>
      <c r="HL17" s="129"/>
      <c r="HM17" s="129"/>
      <c r="HN17" s="129"/>
      <c r="HO17" s="129"/>
      <c r="HP17" s="129"/>
      <c r="HQ17" s="129"/>
      <c r="HR17" s="129"/>
      <c r="HS17" s="129"/>
      <c r="HT17" s="129"/>
      <c r="HU17" s="129"/>
      <c r="HV17" s="129"/>
      <c r="HW17" s="129"/>
      <c r="HX17" s="129"/>
      <c r="HY17" s="129"/>
      <c r="HZ17" s="129"/>
      <c r="IA17" s="129"/>
      <c r="IB17" s="129"/>
      <c r="IC17" s="129"/>
      <c r="ID17" s="129"/>
      <c r="IE17" s="129"/>
    </row>
    <row r="18" customFormat="false" ht="16.5" hidden="false" customHeight="true" outlineLevel="0" collapsed="false">
      <c r="A18" s="345" t="s">
        <v>181</v>
      </c>
      <c r="B18" s="182"/>
      <c r="C18" s="183" t="s">
        <v>105</v>
      </c>
      <c r="D18" s="80" t="s">
        <v>106</v>
      </c>
      <c r="E18" s="80" t="s">
        <v>107</v>
      </c>
      <c r="F18" s="346" t="str">
        <f aca="false">CONCATENATE(DaysForThetaCalculation,"-d Theta")</f>
        <v>1-d Theta</v>
      </c>
      <c r="G18" s="347" t="s">
        <v>182</v>
      </c>
      <c r="H18" s="219"/>
      <c r="I18" s="348" t="n">
        <f aca="false">Underlying</f>
        <v>1</v>
      </c>
      <c r="J18" s="349" t="s">
        <v>49</v>
      </c>
      <c r="K18" s="350" t="s">
        <v>183</v>
      </c>
      <c r="L18" s="351" t="s">
        <v>184</v>
      </c>
      <c r="M18" s="352" t="s">
        <v>49</v>
      </c>
      <c r="N18" s="350" t="s">
        <v>183</v>
      </c>
      <c r="O18" s="353" t="s">
        <v>184</v>
      </c>
      <c r="P18" s="352" t="s">
        <v>49</v>
      </c>
      <c r="Q18" s="350" t="s">
        <v>183</v>
      </c>
      <c r="R18" s="351" t="s">
        <v>184</v>
      </c>
      <c r="S18" s="354" t="n">
        <v>0.75</v>
      </c>
      <c r="T18" s="355" t="n">
        <v>0.855</v>
      </c>
      <c r="U18" s="354" t="n">
        <v>0.75</v>
      </c>
      <c r="V18" s="356"/>
      <c r="W18" s="357" t="s">
        <v>49</v>
      </c>
      <c r="X18" s="358" t="s">
        <v>50</v>
      </c>
      <c r="Y18" s="358" t="s">
        <v>49</v>
      </c>
      <c r="Z18" s="358" t="s">
        <v>50</v>
      </c>
      <c r="AA18" s="358" t="s">
        <v>49</v>
      </c>
      <c r="AB18" s="359" t="s">
        <v>50</v>
      </c>
      <c r="AC18" s="360" t="s">
        <v>185</v>
      </c>
      <c r="AD18" s="361" t="s">
        <v>186</v>
      </c>
      <c r="AE18" s="361" t="s">
        <v>185</v>
      </c>
      <c r="AF18" s="362" t="s">
        <v>186</v>
      </c>
      <c r="AG18" s="363" t="s">
        <v>46</v>
      </c>
      <c r="AH18" s="364" t="s">
        <v>39</v>
      </c>
      <c r="AI18" s="365" t="s">
        <v>187</v>
      </c>
      <c r="AJ18" s="366" t="s">
        <v>188</v>
      </c>
      <c r="AK18" s="366" t="s">
        <v>189</v>
      </c>
      <c r="AL18" s="366" t="s">
        <v>187</v>
      </c>
      <c r="AM18" s="366" t="s">
        <v>188</v>
      </c>
      <c r="AN18" s="367" t="s">
        <v>189</v>
      </c>
      <c r="AO18" s="368"/>
      <c r="AP18" s="369"/>
      <c r="AQ18" s="370"/>
      <c r="AR18" s="371"/>
      <c r="AS18" s="372" t="s">
        <v>190</v>
      </c>
      <c r="AT18" s="373" t="s">
        <v>191</v>
      </c>
      <c r="AU18" s="369" t="s">
        <v>190</v>
      </c>
      <c r="AV18" s="371" t="s">
        <v>192</v>
      </c>
      <c r="AW18" s="374" t="s">
        <v>193</v>
      </c>
      <c r="AX18" s="375" t="n">
        <v>0.3</v>
      </c>
      <c r="AY18" s="375" t="n">
        <v>0.2</v>
      </c>
      <c r="AZ18" s="375" t="n">
        <v>0.1</v>
      </c>
      <c r="BA18" s="375" t="n">
        <v>0.1</v>
      </c>
      <c r="BB18" s="375" t="n">
        <v>0.2</v>
      </c>
      <c r="BC18" s="376" t="n">
        <v>0.3</v>
      </c>
      <c r="BD18" s="374" t="s">
        <v>194</v>
      </c>
      <c r="BE18" s="377" t="s">
        <v>180</v>
      </c>
      <c r="BF18" s="270"/>
      <c r="BG18" s="371"/>
      <c r="BH18" s="378" t="s">
        <v>195</v>
      </c>
      <c r="BI18" s="379" t="s">
        <v>196</v>
      </c>
      <c r="BJ18" s="373" t="s">
        <v>197</v>
      </c>
      <c r="BK18" s="373" t="s">
        <v>198</v>
      </c>
      <c r="BL18" s="369" t="s">
        <v>199</v>
      </c>
      <c r="BM18" s="364" t="s">
        <v>196</v>
      </c>
      <c r="BN18" s="369" t="s">
        <v>199</v>
      </c>
      <c r="BO18" s="366" t="s">
        <v>187</v>
      </c>
      <c r="BP18" s="366" t="s">
        <v>188</v>
      </c>
      <c r="BQ18" s="367" t="s">
        <v>189</v>
      </c>
      <c r="BR18" s="380" t="s">
        <v>200</v>
      </c>
      <c r="BS18" s="381" t="str">
        <f aca="false">CF17</f>
        <v>Call</v>
      </c>
      <c r="BT18" s="380" t="str">
        <f aca="false">CJ17</f>
        <v>Put</v>
      </c>
      <c r="BU18" s="380" t="s">
        <v>201</v>
      </c>
      <c r="BV18" s="380" t="s">
        <v>202</v>
      </c>
      <c r="BW18" s="382" t="s">
        <v>203</v>
      </c>
      <c r="BX18" s="382" t="s">
        <v>204</v>
      </c>
      <c r="BY18" s="382" t="str">
        <f aca="false">CF17</f>
        <v>Call</v>
      </c>
      <c r="BZ18" s="382" t="str">
        <f aca="false">CJ17</f>
        <v>Put</v>
      </c>
      <c r="CA18" s="382" t="s">
        <v>203</v>
      </c>
      <c r="CB18" s="382" t="s">
        <v>204</v>
      </c>
      <c r="CC18" s="382" t="s">
        <v>203</v>
      </c>
      <c r="CD18" s="382" t="s">
        <v>204</v>
      </c>
      <c r="CE18" s="382" t="s">
        <v>205</v>
      </c>
      <c r="CF18" s="383" t="s">
        <v>206</v>
      </c>
      <c r="CG18" s="384" t="s">
        <v>106</v>
      </c>
      <c r="CH18" s="384" t="s">
        <v>107</v>
      </c>
      <c r="CI18" s="384" t="s">
        <v>207</v>
      </c>
      <c r="CJ18" s="384" t="s">
        <v>206</v>
      </c>
      <c r="CK18" s="384" t="s">
        <v>106</v>
      </c>
      <c r="CL18" s="384" t="s">
        <v>107</v>
      </c>
      <c r="CM18" s="385" t="s">
        <v>207</v>
      </c>
      <c r="CN18" s="3"/>
      <c r="CO18" s="386"/>
      <c r="CP18" s="387" t="s">
        <v>200</v>
      </c>
      <c r="CQ18" s="388" t="str">
        <f aca="false">CF17</f>
        <v>Call</v>
      </c>
      <c r="CR18" s="388" t="str">
        <f aca="false">CJ17</f>
        <v>Put</v>
      </c>
      <c r="CS18" s="388" t="str">
        <f aca="false">CF17</f>
        <v>Call</v>
      </c>
      <c r="CT18" s="388" t="str">
        <f aca="false">CJ17</f>
        <v>Put</v>
      </c>
      <c r="CU18" s="387"/>
      <c r="CV18" s="388" t="str">
        <f aca="false">CF17</f>
        <v>Call</v>
      </c>
      <c r="CW18" s="388" t="str">
        <f aca="false">CJ17</f>
        <v>Put</v>
      </c>
      <c r="CX18" s="389" t="s">
        <v>105</v>
      </c>
      <c r="CY18" s="389" t="s">
        <v>106</v>
      </c>
      <c r="CZ18" s="389" t="s">
        <v>107</v>
      </c>
      <c r="DA18" s="389" t="s">
        <v>207</v>
      </c>
      <c r="DB18" s="390" t="s">
        <v>105</v>
      </c>
      <c r="DC18" s="389" t="s">
        <v>106</v>
      </c>
      <c r="DD18" s="389" t="s">
        <v>107</v>
      </c>
      <c r="DE18" s="391" t="s">
        <v>207</v>
      </c>
      <c r="DG18" s="392" t="s">
        <v>182</v>
      </c>
      <c r="DH18" s="393" t="s">
        <v>208</v>
      </c>
      <c r="DI18" s="394" t="s">
        <v>160</v>
      </c>
      <c r="DJ18" s="392" t="s">
        <v>182</v>
      </c>
      <c r="DK18" s="393" t="s">
        <v>208</v>
      </c>
      <c r="DL18" s="394" t="s">
        <v>160</v>
      </c>
      <c r="DM18" s="392" t="s">
        <v>182</v>
      </c>
      <c r="DN18" s="395" t="s">
        <v>160</v>
      </c>
      <c r="DO18" s="396" t="s">
        <v>182</v>
      </c>
      <c r="DP18" s="397" t="s">
        <v>160</v>
      </c>
      <c r="DQ18" s="398" t="s">
        <v>53</v>
      </c>
      <c r="DR18" s="399" t="s">
        <v>182</v>
      </c>
      <c r="DS18" s="393" t="s">
        <v>208</v>
      </c>
      <c r="DT18" s="394" t="s">
        <v>190</v>
      </c>
      <c r="DU18" s="392" t="s">
        <v>182</v>
      </c>
      <c r="DV18" s="393" t="s">
        <v>208</v>
      </c>
      <c r="DW18" s="394" t="s">
        <v>190</v>
      </c>
      <c r="DX18" s="392" t="s">
        <v>182</v>
      </c>
      <c r="DY18" s="394" t="s">
        <v>93</v>
      </c>
      <c r="DZ18" s="392" t="s">
        <v>182</v>
      </c>
      <c r="EA18" s="394" t="s">
        <v>93</v>
      </c>
      <c r="EB18" s="195"/>
      <c r="EC18" s="400" t="s">
        <v>93</v>
      </c>
      <c r="ED18" s="401" t="str">
        <f aca="false">CF17</f>
        <v>Call</v>
      </c>
      <c r="EE18" s="402" t="str">
        <f aca="false">CJ17</f>
        <v>Put</v>
      </c>
      <c r="EF18" s="403" t="str">
        <f aca="false">CF17</f>
        <v>Call</v>
      </c>
      <c r="EG18" s="404" t="str">
        <f aca="false">CJ17</f>
        <v>Put</v>
      </c>
      <c r="EH18" s="171"/>
      <c r="EI18" s="171"/>
      <c r="EJ18" s="171"/>
      <c r="EK18" s="171"/>
      <c r="EL18" s="171"/>
      <c r="EM18" s="195"/>
      <c r="EN18" s="405" t="s">
        <v>46</v>
      </c>
      <c r="EO18" s="406" t="s">
        <v>39</v>
      </c>
      <c r="EP18" s="195"/>
      <c r="EQ18" s="407" t="s">
        <v>29</v>
      </c>
      <c r="ES18" s="408"/>
      <c r="ET18" s="409" t="s">
        <v>209</v>
      </c>
      <c r="EU18" s="410" t="s">
        <v>210</v>
      </c>
      <c r="EV18" s="289" t="s">
        <v>211</v>
      </c>
      <c r="EW18" s="411" t="s">
        <v>212</v>
      </c>
      <c r="EX18" s="412" t="s">
        <v>93</v>
      </c>
      <c r="EY18" s="129"/>
      <c r="EZ18" s="413" t="s">
        <v>213</v>
      </c>
      <c r="FA18" s="413"/>
      <c r="FB18" s="413"/>
      <c r="FC18" s="393" t="s">
        <v>13</v>
      </c>
      <c r="FD18" s="393" t="s">
        <v>200</v>
      </c>
      <c r="FE18" s="414" t="s">
        <v>86</v>
      </c>
      <c r="FF18" s="414"/>
      <c r="FG18" s="412" t="s">
        <v>214</v>
      </c>
      <c r="FH18" s="412"/>
      <c r="FI18" s="129"/>
      <c r="FJ18" s="415" t="s">
        <v>215</v>
      </c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  <c r="FW18" s="129"/>
      <c r="FX18" s="129"/>
      <c r="FY18" s="129"/>
      <c r="FZ18" s="129"/>
      <c r="GA18" s="129"/>
      <c r="GB18" s="129"/>
      <c r="GC18" s="129"/>
      <c r="GD18" s="129"/>
      <c r="GE18" s="129"/>
      <c r="GF18" s="129"/>
      <c r="GG18" s="129"/>
      <c r="GH18" s="129"/>
      <c r="GI18" s="129"/>
      <c r="GJ18" s="129"/>
      <c r="GK18" s="129"/>
      <c r="GL18" s="129"/>
      <c r="GM18" s="129"/>
      <c r="GN18" s="129"/>
      <c r="GO18" s="129"/>
      <c r="GP18" s="129"/>
      <c r="GQ18" s="129"/>
      <c r="GR18" s="129"/>
      <c r="GS18" s="129"/>
      <c r="GT18" s="129"/>
      <c r="GU18" s="129"/>
      <c r="GV18" s="129"/>
      <c r="GW18" s="129"/>
      <c r="GX18" s="129"/>
      <c r="GY18" s="129"/>
      <c r="GZ18" s="129"/>
      <c r="HA18" s="129"/>
      <c r="HB18" s="129"/>
      <c r="HC18" s="129"/>
      <c r="HD18" s="129"/>
      <c r="HE18" s="129"/>
      <c r="HF18" s="129"/>
      <c r="HG18" s="129"/>
      <c r="HH18" s="129"/>
      <c r="HI18" s="129"/>
      <c r="HJ18" s="129"/>
      <c r="HK18" s="129"/>
      <c r="HL18" s="129"/>
      <c r="HM18" s="129"/>
      <c r="HN18" s="129"/>
      <c r="HO18" s="129"/>
      <c r="HP18" s="129"/>
      <c r="HQ18" s="129"/>
      <c r="HR18" s="129"/>
      <c r="HS18" s="129"/>
      <c r="HT18" s="129"/>
      <c r="HU18" s="129"/>
      <c r="HV18" s="129"/>
      <c r="HW18" s="129"/>
      <c r="HX18" s="129"/>
      <c r="HY18" s="129"/>
      <c r="HZ18" s="129"/>
      <c r="IA18" s="129"/>
      <c r="IB18" s="129"/>
      <c r="IC18" s="129"/>
      <c r="ID18" s="129"/>
      <c r="IE18" s="129"/>
    </row>
    <row r="19" customFormat="false" ht="17.25" hidden="false" customHeight="true" outlineLevel="0" collapsed="false">
      <c r="A19" s="345" t="s">
        <v>216</v>
      </c>
      <c r="B19" s="198" t="str">
        <f aca="false">IF(OptControl=2,"",CONCATENATE("Euro ",IF(OptControl=4,"Put 1","Call"),IF(OptControl=3," 1","")))</f>
        <v>Euro Call</v>
      </c>
      <c r="C19" s="197" t="e">
        <f aca="false">AMER(AN4,Strike1,AN7,AN7,AM10,AN5,IF(OptControl=4,0,1),0)</f>
        <v>#NAME?</v>
      </c>
      <c r="D19" s="199" t="e">
        <f aca="false">AMER(AN4,Strike1,AN7,AN7,AM10,AN5,IF(OptControl=4,0,1),1)+IF(OR(VolSkewFlag=2,ABS(AM9)&lt;0.0001),0,IF(AM9&gt;0,-1,1)*E19*100*Strike1/AN4^2*AM11/10%)</f>
        <v>#NAME?</v>
      </c>
      <c r="E19" s="199" t="e">
        <f aca="false">AMER(AN4,Strike1,AN7,AN7,AM10,AN5,IF(OptControl=4,0,1),3)/100</f>
        <v>#NAME?</v>
      </c>
      <c r="F19" s="416" t="e">
        <f aca="false">AMER(AN4,Strike1,AN7,AN7,AM10,AN5-DaysForThetaCalculation,IF(OptControl=4,0,1),0)-AMER(AN4,Strike1,AN7,AN7,AM10,AN5,IF(OptControl=4,0,1),0)</f>
        <v>#NAME?</v>
      </c>
      <c r="G19" s="417"/>
      <c r="H19" s="219"/>
      <c r="I19" s="418" t="n">
        <v>36739</v>
      </c>
      <c r="J19" s="419"/>
      <c r="K19" s="420"/>
      <c r="L19" s="421"/>
      <c r="M19" s="422"/>
      <c r="N19" s="423"/>
      <c r="O19" s="424"/>
      <c r="P19" s="419"/>
      <c r="Q19" s="420"/>
      <c r="R19" s="425"/>
      <c r="S19" s="426" t="n">
        <v>0.36</v>
      </c>
      <c r="T19" s="427" t="n">
        <v>0.85</v>
      </c>
      <c r="U19" s="428" t="n">
        <v>0.98</v>
      </c>
      <c r="V19" s="429" t="n">
        <v>0</v>
      </c>
      <c r="W19" s="430" t="n">
        <f aca="false">CHOOSE(AY9,J20*BL4+J21*BM4,(G35*BN4+J20*MAX(0,AJ19-BN4)+J21*(AI19-BN4-MAX(0,AJ19-BN4)))/AI19)</f>
        <v>0</v>
      </c>
      <c r="X19" s="431" t="n">
        <f aca="false">CHOOSE(AY9,L20*BL4+L21*BM4,(G35*BN4+L20*MAX(0,AJ19-BN4)+L21*(AI19-BN4-MAX(0,AJ19-BN4)))/AI19)</f>
        <v>0</v>
      </c>
      <c r="Y19" s="432" t="n">
        <f aca="false">CHOOSE(AY9,P20*BL5+P21*BM5,(G35*BN5+P20*MAX(0,AM19-BN5)+P21*(AL19-BN5-MAX(0,AM19-BN5)))/AL19)</f>
        <v>0</v>
      </c>
      <c r="Z19" s="432" t="n">
        <f aca="false">CHOOSE(AY9,R20*BL5+R21*BM5,(G35*BN5+R20*MAX(0,AM19-BN5)+R21*(AL19-BN5-MAX(0,AM19-BN5)))/AL19)</f>
        <v>0</v>
      </c>
      <c r="AA19" s="433" t="n">
        <f aca="false">IF(Q21="extra",INDEX(BrentSeasonalityTable,INT((BG19-1)/3)+1)*VLOOKUP(MAX(BF19,$AB$4),PriceSpreadTable,3),W19-Y19)</f>
        <v>0</v>
      </c>
      <c r="AB19" s="434" t="n">
        <f aca="false">IF(Q21="extra",INDEX(BrentSeasonalityTable,INT((BG19-1)/3)+1)*VLOOKUP(MAX(BF19,$AB$4),PriceSpreadTable,3),X19-Z19)</f>
        <v>0</v>
      </c>
      <c r="AC19" s="435" t="n">
        <v>36727</v>
      </c>
      <c r="AD19" s="436" t="n">
        <v>36724</v>
      </c>
      <c r="AE19" s="436" t="n">
        <v>36721</v>
      </c>
      <c r="AF19" s="437" t="n">
        <v>36718</v>
      </c>
      <c r="AG19" s="438" t="s">
        <v>217</v>
      </c>
      <c r="AH19" s="439" t="s">
        <v>217</v>
      </c>
      <c r="AI19" s="440" t="n">
        <v>23</v>
      </c>
      <c r="AJ19" s="441" t="n">
        <v>16</v>
      </c>
      <c r="AK19" s="441" t="n">
        <v>7</v>
      </c>
      <c r="AL19" s="442" t="n">
        <v>23</v>
      </c>
      <c r="AM19" s="441" t="n">
        <v>11</v>
      </c>
      <c r="AN19" s="443" t="n">
        <v>12</v>
      </c>
      <c r="AO19" s="444" t="n">
        <v>0</v>
      </c>
      <c r="AP19" s="445" t="n">
        <v>1</v>
      </c>
      <c r="AQ19" s="446" t="n">
        <v>0</v>
      </c>
      <c r="AR19" s="445" t="n">
        <v>1</v>
      </c>
      <c r="AS19" s="447" t="n">
        <f aca="false">(O20*AJ19+O21*AK19)/AI19</f>
        <v>0</v>
      </c>
      <c r="AT19" s="448"/>
      <c r="AU19" s="449" t="n">
        <f aca="false">(AT20*AM19+AT21*AN19)/AL19</f>
        <v>0</v>
      </c>
      <c r="AV19" s="450"/>
      <c r="AW19" s="451" t="n">
        <f aca="false">IF($I19-DateToday+15&gt;=$T$8,"",IF($I19-DateToday+15&lt;$T$5,1,MATCH($I19-DateToday+15,$T$5:$T$8)))</f>
        <v>1</v>
      </c>
      <c r="AX19" s="452" t="n">
        <f aca="false">INDEX(U$5:U$8,$AW19)^((INDEX($T$5:$T$8,$AW19+1)-($I19-DateToday+15))/(INDEX($T$5:$T$8,$AW19+1)-INDEX($T$5:$T$8,$AW19)))/INDEX(U$5:U$8,$AW19+1)^((INDEX($T$5:$T$8,$AW19)-($I19-DateToday+15))/(INDEX($T$5:$T$8,$AW19+1)-INDEX($T$5:$T$8,$AW19)))</f>
        <v>12.8262445650876</v>
      </c>
      <c r="AY19" s="452" t="n">
        <f aca="false">INDEX(V$5:V$8,$AW19)^((INDEX($T$5:$T$8,$AW19+1)-($I19-DateToday+15))/(INDEX($T$5:$T$8,$AW19+1)-INDEX($T$5:$T$8,$AW19)))/INDEX(V$5:V$8,$AW19+1)^((INDEX($T$5:$T$8,$AW19)-($I19-DateToday+15))/(INDEX($T$5:$T$8,$AW19+1)-INDEX($T$5:$T$8,$AW19)))</f>
        <v>5446.97855957902</v>
      </c>
      <c r="AZ19" s="452" t="n">
        <f aca="false">INDEX(W$5:W$8,$AW19)^((INDEX($T$5:$T$8,$AW19+1)-($I19-DateToday+15))/(INDEX($T$5:$T$8,$AW19+1)-INDEX($T$5:$T$8,$AW19)))/INDEX(W$5:W$8,$AW19+1)^((INDEX($T$5:$T$8,$AW19)-($I19-DateToday+15))/(INDEX($T$5:$T$8,$AW19+1)-INDEX($T$5:$T$8,$AW19)))</f>
        <v>761715894.96982</v>
      </c>
      <c r="BA19" s="452" t="n">
        <f aca="false">INDEX(X$5:X$8,$AW19)^((INDEX($T$5:$T$8,$AW19+1)-($I19-DateToday+15))/(INDEX($T$5:$T$8,$AW19+1)-INDEX($T$5:$T$8,$AW19)))/INDEX(X$5:X$8,$AW19+1)^((INDEX($T$5:$T$8,$AW19)-($I19-DateToday+15))/(INDEX($T$5:$T$8,$AW19+1)-INDEX($T$5:$T$8,$AW19)))</f>
        <v>101770357895.806</v>
      </c>
      <c r="BB19" s="452" t="n">
        <f aca="false">INDEX(Y$5:Y$8,$AW19)^((INDEX($T$5:$T$8,$AW19+1)-($I19-DateToday+15))/(INDEX($T$5:$T$8,$AW19+1)-INDEX($T$5:$T$8,$AW19)))/INDEX(Y$5:Y$8,$AW19+1)^((INDEX($T$5:$T$8,$AW19)-($I19-DateToday+15))/(INDEX($T$5:$T$8,$AW19+1)-INDEX($T$5:$T$8,$AW19)))</f>
        <v>2842118649690.64</v>
      </c>
      <c r="BC19" s="452" t="n">
        <f aca="false">INDEX(Z$5:Z$8,$AW19)^((INDEX($T$5:$T$8,$AW19+1)-($I19-DateToday+15))/(INDEX($T$5:$T$8,$AW19+1)-INDEX($T$5:$T$8,$AW19)))/INDEX(Z$5:Z$8,$AW19+1)^((INDEX($T$5:$T$8,$AW19)-($I19-DateToday+15))/(INDEX($T$5:$T$8,$AW19+1)-INDEX($T$5:$T$8,$AW19)))</f>
        <v>20574523862242.8</v>
      </c>
      <c r="BD19" s="453" t="n">
        <f aca="false">IF(OR(DateStart&gt;=I20,DateEnd&lt;I19),0,IF(VolumeOverrideFlag,V19,Volume)*IF(AY9=1,(1-CHOOSE(Underlying,BN4/AI19,BN5/AL19)),1))</f>
        <v>0</v>
      </c>
      <c r="BE19" s="454" t="n">
        <f aca="false">IF(OR(DateStart2&gt;=I20,DateEnd2&lt;I19),0,IF(VolumeOverrideFlag,V19,VolumeSwaption)*IF(AY9=1,(1-CHOOSE(Underlying,BN4/AI19,BN5/AL19)),1))</f>
        <v>0</v>
      </c>
      <c r="BF19" s="455" t="n">
        <f aca="false">YEAR(I19)</f>
        <v>2000</v>
      </c>
      <c r="BG19" s="456" t="n">
        <f aca="false">MONTH(I19)</f>
        <v>8</v>
      </c>
      <c r="BH19" s="457"/>
      <c r="BI19" s="458" t="n">
        <f aca="false">(I19-DateToday+1)/365.25</f>
        <v>-25.1498973305955</v>
      </c>
      <c r="BJ19" s="459" t="n">
        <f aca="false">BI19+(BL19-BI19)*CHOOSE(Underlying,AJ19/AI19,AM19/AL19)</f>
        <v>-25.0927595750379</v>
      </c>
      <c r="BK19" s="459" t="n">
        <f aca="false">BJ19+1/365.25</f>
        <v>-25.0900217242508</v>
      </c>
      <c r="BL19" s="459" t="n">
        <f aca="false">(I20-DateToday)/365.25</f>
        <v>-25.0677618069815</v>
      </c>
      <c r="BM19" s="460" t="e">
        <f aca="false">MAX(BI19-(BJ19-BI19)*(S20^2/O20^2-1),0)</f>
        <v>#DIV/0!</v>
      </c>
      <c r="BN19" s="459" t="e">
        <f aca="false">MAX(BL19+(BL19-BK19)*(S21^2/O21^2-1),0)</f>
        <v>#DIV/0!</v>
      </c>
      <c r="BO19" s="461" t="n">
        <f aca="false">CHOOSE(Underlying,AI19-BN4,AL19-BN5)</f>
        <v>-6491</v>
      </c>
      <c r="BP19" s="462" t="n">
        <f aca="false">CHOOSE(Underlying,MAX(0,AJ19-BN4),MAX(0,AM19-BN5))</f>
        <v>0</v>
      </c>
      <c r="BQ19" s="462" t="n">
        <f aca="false">BO19-BP19</f>
        <v>-6491</v>
      </c>
      <c r="BR19" s="463" t="str">
        <f aca="false">IF(BD19,IF(Underlying=1,X19,Z19)+UnderlyingPriceAsian-SwapPriceCurve,"")</f>
        <v/>
      </c>
      <c r="BS19" s="463" t="str">
        <f aca="false">IF(BD19,Strike1/BR19-1,"")</f>
        <v/>
      </c>
      <c r="BT19" s="464" t="str">
        <f aca="false">IF(BD19,Strike2/BR19-1,"")</f>
        <v/>
      </c>
      <c r="BU19" s="465" t="str">
        <f aca="false">IF(BD19,IF(Underlying=1,L20,R20)+UnderlyingPriceAsian-SwapPriceCurve,"")</f>
        <v/>
      </c>
      <c r="BV19" s="465" t="str">
        <f aca="false">IF(BD19,IF(Underlying=1,L21,R21)+UnderlyingPriceAsian-SwapPriceCurve,"")</f>
        <v/>
      </c>
      <c r="BW19" s="466" t="str">
        <f aca="false">IF(BD19,IF(Underlying=1,O20,AT20),"")</f>
        <v/>
      </c>
      <c r="BX19" s="467" t="str">
        <f aca="false">IF(BD19,IF(Underlying=1,O21,AT21),"")</f>
        <v/>
      </c>
      <c r="BY19" s="466" t="str">
        <f aca="false">IF(BD19,IF(BS19&gt;0,IF(BS19&gt;0.2,BC19-BB19,IF(BS19&gt;0.1,BB19-BA19,BA19)),IF(BS19&lt;-0.2,AX19-AY19,IF(BS19&lt;-0.1,AY19-AZ19,AZ19))),"")</f>
        <v/>
      </c>
      <c r="BZ19" s="467" t="str">
        <f aca="false">IF(BD19,IF(BT19&gt;0,IF(BT19&gt;0.2,BC19-BB19,IF(BT19&gt;0.1,BB19-BA19,BA19)),IF(BT19&lt;-0.2,AX19-AY19,IF(BT19&lt;-0.1,AY19-AZ19,AZ19))),"")</f>
        <v/>
      </c>
      <c r="CA19" s="468" t="str">
        <f aca="false">IF($BD19,$BW19+IF(VolSkewFlag=1,IF(BS19&gt;0,$BA19*MIN(BS19/10%,1)+($BB19-$BA19)*MAX(0,MIN(BS19/10%-1,1))+($BC19-$BB19)*MAX(0,BS19/10%-2),$AZ19*MIN(-BS19/10%,1)+($AY19-$AZ19)*MAX(0,MIN(-BS19/10%-1,1))+($AX19-$AY19)*MAX(0,-BS19/10%-2)),0),"")</f>
        <v/>
      </c>
      <c r="CB19" s="468" t="str">
        <f aca="false">IF($BD19,$BX19+IF(VolSkewFlag=1,IF(BS19&gt;0,$BA19*MIN(BS19/10%,1)+($BB19-$BA19)*MAX(0,MIN(BS19/10%-1,1))+($BC19-$BB19)*MAX(0,BS19/10%-2),$AZ19*MIN(-BS19/10%,1)+($AY19-$AZ19)*MAX(0,MIN(-BS19/10%-1,1))+($AX19-$AY19)*MAX(0,-BS19/10%-2)),0),"")</f>
        <v/>
      </c>
      <c r="CC19" s="468" t="str">
        <f aca="false">IF($BD19,$BW19+IF(VolSkewFlag=1,IF(BT19&gt;0,$BA19*MIN(BT19/10%,1)+($BB19-$BA19)*MAX(0,MIN(BT19/10%-1,1))+($BC19-$BB19)*MAX(0,BT19/10%-2),$AZ19*MIN(-BT19/10%,1)+($AY19-$AZ19)*MAX(0,MIN(-BT19/10%-1,1))+($AX19-$AY19)*MAX(0,-BT19/10%-2)),0),"")</f>
        <v/>
      </c>
      <c r="CD19" s="468" t="str">
        <f aca="false">IF($BD19,$BX19+IF(VolSkewFlag=1,IF(BT19&gt;0,$BA19*MIN(BT19/10%,1)+($BB19-$BA19)*MAX(0,MIN(BT19/10%-1,1))+($BC19-$BB19)*MAX(0,BT19/10%-2),$AZ19*MIN(-BT19/10%,1)+($AY19-$AZ19)*MAX(0,MIN(-BT19/10%-1,1))+($AX19-$AY19)*MAX(0,-BT19/10%-2)),0),"")</f>
        <v/>
      </c>
      <c r="CE19" s="469" t="n">
        <v>1</v>
      </c>
      <c r="CF19" s="470" t="n">
        <f aca="false">IF(BD19,xCrudeAPO(BU19,BV19,CA19,CB19,S20,S21,BI19,BL19,BP19,BQ19,0,Strike1,AO19,CE19,0,BL19,IF(OptControl=4,0,1),0,1),0)</f>
        <v>0</v>
      </c>
      <c r="CG19" s="470" t="n">
        <f aca="false">IF(BD19,xCrudeAPO(BU19,BV19,CA19,CB19,S20,S21,BI19,BL19,BP19,BQ19,0,Strike1,AO19,CE19,0,BL19,IF(OptControl=4,0,1),1,1)+xCrudeAPO(BU19,BV19,CA19,CB19,S20,S21,BI19,BL19,BP19,BQ19,0,Strike1,AO19,CE19,0,BL19,IF(OptControl=4,0,1),1,2)+IF(OR(VolSkewFlag=2,ABS(BS19)&lt;0.0001),0,IF(BS19&gt;0,-1,1)*CH19*Strike1/BR19^2*BY19/10%),0)</f>
        <v>0</v>
      </c>
      <c r="CH19" s="470" t="n">
        <f aca="false">IF(BD19,(xCrudeAPO(BU19,BV19,CA19,CB19,S20,S21,BI19,BL19,BP19,BQ19,0,Strike1,AO19,CE19,0,BL19,IF(OptControl=4,0,1),3,1)+xCrudeAPO(BU19,BV19,CA19,CB19,S20,S21,BI19,BL19,BP19,BQ19,0,Strike1,AO19,CE19,0,BL19,IF(OptControl=4,0,1),3,2))/100,0)</f>
        <v>0</v>
      </c>
      <c r="CI19" s="470" t="n">
        <f aca="false">IF(BD19,xCrudeAPO(BU19,BV19,CA19,CB19,S20,S21,BI19-DaysForThetaCalculation/365.25,BL19-DaysForThetaCalculation/365.25,BP19,BQ19,0,Strike1,AO19,CE19,0,BL19,IF(OptControl=4,0,1),0,1)-xCrudeAPO(BU19,BV19,CA19,CB19,S20,S21,BI19,BL19,BP19,BQ19,0,Strike1,AO19,CE19,0,BL19,IF(OptControl=4,0,1),0,1),0)</f>
        <v>0</v>
      </c>
      <c r="CJ19" s="471" t="n">
        <f aca="false">IF(BD19,xCrudeAPO(BU19,BV19,CC19,CD19,S20,S21,BI19,BL19,BP19,BQ19,0,Strike2,AO19,CE19,0,BL19,IF(OptControl=3,1,0),0,1),0)</f>
        <v>0</v>
      </c>
      <c r="CK19" s="470" t="n">
        <f aca="false">IF(BD19,xCrudeAPO(BU19,BV19,CC19,CD19,S20,S21,BI19,BL19,BP19,BQ19,0,Strike2,AO19,CE19,0,BL19,IF(OptControl=3,1,0),1,1)+xCrudeAPO(BU19,BV19,CC19,CD19,S20,S21,BI19,BL19,BP19,BQ19,0,Strike2,AO19,CE19,0,BL19,IF(OptControl=3,1,0),1,2)+IF(OR(VolSkewFlag=2,ABS(BT19)&lt;0.0001),0,IF(BT19&gt;0,-1,1)*CL19*Strike2/BR19^2*BZ19/10%),0)</f>
        <v>0</v>
      </c>
      <c r="CL19" s="470" t="n">
        <f aca="false">IF(BD19,(xCrudeAPO(BU19,BV19,CC19,CD19,S20,S21,BI19,BL19,BP19,BQ19,0,Strike2,AO19,CE19,0,BL19,IF(OptControl=3,1,0),3,1)+xCrudeAPO(BU19,BV19,CC19,CD19,S20,S21,BI19,BL19,BP19,BQ19,0,Strike2,AO19,CE19,0,BL19,IF(OptControl=3,1,0),3,2))/100,0)</f>
        <v>0</v>
      </c>
      <c r="CM19" s="472" t="n">
        <f aca="false">IF(BD19,xCrudeAPO(BU19,BV19,CC19,CD19,S20,S21,BI19-DaysForThetaCalculation/365.25,BL19-DaysForThetaCalculation/365.25,BP19,BQ19,0,Strike2,AO19,CE19,0,BL19,IF(OptControl=3,1,0),0,1)-xCrudeAPO(BU19,BV19,CC19,CD19,S20,S21,BI19,BL19,BP19,BQ19,0,Strike2,AO19,CE19,0,BL19,IF(OptControl=3,1,0),0,1),0)</f>
        <v>0</v>
      </c>
      <c r="CN19" s="473"/>
      <c r="CO19" s="474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6"/>
      <c r="DF19" s="473"/>
      <c r="DG19" s="477" t="n">
        <f aca="false">DATE(YEAR(DateToday),1,1)</f>
        <v>45658</v>
      </c>
      <c r="DH19" s="478" t="n">
        <v>26.54</v>
      </c>
      <c r="DI19" s="479" t="n">
        <v>28.28</v>
      </c>
      <c r="DJ19" s="480" t="n">
        <f aca="false">DG19</f>
        <v>45658</v>
      </c>
      <c r="DK19" s="478" t="n">
        <v>26.09</v>
      </c>
      <c r="DL19" s="479" t="n">
        <v>26.54</v>
      </c>
      <c r="DM19" s="481" t="n">
        <f aca="false">DG19</f>
        <v>45658</v>
      </c>
      <c r="DN19" s="482" t="n">
        <f aca="false">DK19+BrentPhyBrentSpread</f>
        <v>26.14</v>
      </c>
      <c r="DO19" s="481" t="n">
        <f aca="false">DG19</f>
        <v>45658</v>
      </c>
      <c r="DP19" s="483" t="n">
        <f aca="false">DL19+DQ19</f>
        <v>27.14</v>
      </c>
      <c r="DQ19" s="484" t="n">
        <v>0.6</v>
      </c>
      <c r="DR19" s="480" t="n">
        <f aca="false">DG19</f>
        <v>45658</v>
      </c>
      <c r="DS19" s="485" t="n">
        <v>0.0001</v>
      </c>
      <c r="DT19" s="486" t="n">
        <v>0.391618421052632</v>
      </c>
      <c r="DU19" s="480" t="n">
        <f aca="false">DG19</f>
        <v>45658</v>
      </c>
      <c r="DV19" s="485" t="n">
        <v>0.0001</v>
      </c>
      <c r="DW19" s="486" t="n">
        <v>0.391618421052632</v>
      </c>
      <c r="DX19" s="481" t="n">
        <f aca="false">DG19</f>
        <v>45658</v>
      </c>
      <c r="DY19" s="486" t="n">
        <v>0.0001</v>
      </c>
      <c r="DZ19" s="481" t="n">
        <f aca="false">DR19</f>
        <v>45658</v>
      </c>
      <c r="EA19" s="486" t="n">
        <f aca="false">DT19</f>
        <v>0.391618421052632</v>
      </c>
      <c r="EB19" s="195"/>
      <c r="EC19" s="487" t="str">
        <f aca="false">IF(BD19,IF(Underlying=1,AS19,AU19),"")</f>
        <v/>
      </c>
      <c r="ED19" s="488" t="str">
        <f aca="false">IF($BD19,$EC19+IF(VolSkewFlag=1,IF(BS19&gt;0,$BA19*MIN(BS19/10%,1)+($BB19-$BA19)*MAX(0,MIN(BS19/10%-1,1))+($BC19-$BB19)*MAX(0,BS19/10%-2),$AZ19*MIN(-BS19/10%,1)+($AY19-$AZ19)*MAX(0,MIN(-BS19/10%-1,1))+($AX19-$AY19)*MAX(0,-BS19/10%-2)),0),"")</f>
        <v/>
      </c>
      <c r="EE19" s="489" t="str">
        <f aca="false">IF($BD19,$EC19+IF(VolSkewFlag=1,IF(BT19&gt;0,$BA19*MIN(BT19/10%,1)+($BB19-$BA19)*MAX(0,MIN(BT19/10%-1,1))+($BC19-$BB19)*MAX(0,BT19/10%-2),$AZ19*MIN(-BT19/10%,1)+($AY19-$AZ19)*MAX(0,MIN(-BT19/10%-1,1))+($AX19-$AY19)*MAX(0,-BT19/10%-2)),0),"")</f>
        <v/>
      </c>
      <c r="EF19" s="490" t="n">
        <f aca="false">IF(BD19,xASN(BR19,Strike1,AO19,ED19,0,BO19,0,BI19,BL19,IF(OptControl=4,0,1),0),0)</f>
        <v>0</v>
      </c>
      <c r="EG19" s="491" t="n">
        <f aca="false">IF(BD19,xASN(BR19,Strike2,AO19,EE19,0,BO19,0,BI19,BL19,IF(OptControl=3,1,0),0),0)</f>
        <v>0</v>
      </c>
      <c r="EI19" s="492" t="s">
        <v>218</v>
      </c>
      <c r="EJ19" s="492"/>
      <c r="EK19" s="492"/>
      <c r="EL19" s="492"/>
      <c r="EM19" s="195"/>
      <c r="EN19" s="493" t="n">
        <v>36345</v>
      </c>
      <c r="EO19" s="494" t="n">
        <v>36519</v>
      </c>
      <c r="EP19" s="195"/>
      <c r="EQ19" s="407" t="s">
        <v>60</v>
      </c>
      <c r="ES19" s="495"/>
      <c r="ET19" s="496" t="s">
        <v>181</v>
      </c>
      <c r="EU19" s="497" t="s">
        <v>219</v>
      </c>
      <c r="EV19" s="498" t="s">
        <v>50</v>
      </c>
      <c r="EW19" s="499" t="n">
        <f aca="false">SUM(EW21:EW55)</f>
        <v>12</v>
      </c>
      <c r="EX19" s="500"/>
      <c r="EY19" s="501"/>
      <c r="EZ19" s="502" t="s">
        <v>220</v>
      </c>
      <c r="FA19" s="503" t="s">
        <v>221</v>
      </c>
      <c r="FB19" s="504" t="s">
        <v>160</v>
      </c>
      <c r="FC19" s="505" t="s">
        <v>168</v>
      </c>
      <c r="FD19" s="505" t="s">
        <v>50</v>
      </c>
      <c r="FE19" s="506" t="s">
        <v>222</v>
      </c>
      <c r="FF19" s="503" t="s">
        <v>223</v>
      </c>
      <c r="FG19" s="503" t="s">
        <v>222</v>
      </c>
      <c r="FH19" s="507" t="s">
        <v>223</v>
      </c>
      <c r="FI19" s="129"/>
      <c r="FJ19" s="508"/>
      <c r="FK19" s="509" t="n">
        <v>1</v>
      </c>
      <c r="FL19" s="509" t="n">
        <v>2</v>
      </c>
      <c r="FM19" s="509" t="n">
        <v>3</v>
      </c>
      <c r="FN19" s="509" t="n">
        <v>4</v>
      </c>
      <c r="FO19" s="509" t="n">
        <v>5</v>
      </c>
      <c r="FP19" s="509" t="n">
        <v>6</v>
      </c>
      <c r="FQ19" s="509" t="n">
        <v>7</v>
      </c>
      <c r="FR19" s="509" t="n">
        <v>8</v>
      </c>
      <c r="FS19" s="509" t="n">
        <v>9</v>
      </c>
      <c r="FT19" s="509" t="n">
        <v>10</v>
      </c>
      <c r="FU19" s="509" t="n">
        <v>11</v>
      </c>
      <c r="FV19" s="509" t="n">
        <v>12</v>
      </c>
      <c r="FW19" s="509" t="n">
        <v>13</v>
      </c>
      <c r="FX19" s="509" t="n">
        <v>14</v>
      </c>
      <c r="FY19" s="509" t="n">
        <v>15</v>
      </c>
      <c r="FZ19" s="509" t="n">
        <v>16</v>
      </c>
      <c r="GA19" s="509" t="n">
        <v>17</v>
      </c>
      <c r="GB19" s="509" t="n">
        <v>18</v>
      </c>
      <c r="GC19" s="509" t="n">
        <v>19</v>
      </c>
      <c r="GD19" s="509" t="n">
        <v>20</v>
      </c>
      <c r="GE19" s="509" t="n">
        <v>21</v>
      </c>
      <c r="GF19" s="509" t="n">
        <v>22</v>
      </c>
      <c r="GG19" s="509" t="n">
        <v>23</v>
      </c>
      <c r="GH19" s="509" t="n">
        <v>24</v>
      </c>
      <c r="GI19" s="509" t="n">
        <v>25</v>
      </c>
      <c r="GJ19" s="509" t="n">
        <v>26</v>
      </c>
      <c r="GK19" s="509" t="n">
        <v>27</v>
      </c>
      <c r="GL19" s="509" t="n">
        <v>28</v>
      </c>
      <c r="GM19" s="509" t="n">
        <v>29</v>
      </c>
      <c r="GN19" s="509" t="n">
        <v>30</v>
      </c>
      <c r="GO19" s="509" t="n">
        <v>31</v>
      </c>
      <c r="GP19" s="509" t="n">
        <v>32</v>
      </c>
      <c r="GQ19" s="509" t="n">
        <v>33</v>
      </c>
      <c r="GR19" s="509" t="n">
        <v>34</v>
      </c>
      <c r="GS19" s="509" t="n">
        <v>35</v>
      </c>
      <c r="GT19" s="509" t="n">
        <v>36</v>
      </c>
      <c r="GU19" s="509" t="n">
        <v>37</v>
      </c>
      <c r="GV19" s="509" t="n">
        <v>38</v>
      </c>
      <c r="GW19" s="509" t="n">
        <v>39</v>
      </c>
      <c r="GX19" s="509" t="n">
        <v>40</v>
      </c>
      <c r="GY19" s="509" t="n">
        <v>41</v>
      </c>
      <c r="GZ19" s="509" t="n">
        <v>42</v>
      </c>
      <c r="HA19" s="509" t="n">
        <v>43</v>
      </c>
      <c r="HB19" s="509" t="n">
        <v>44</v>
      </c>
      <c r="HC19" s="509" t="n">
        <v>45</v>
      </c>
      <c r="HD19" s="509" t="n">
        <v>46</v>
      </c>
      <c r="HE19" s="509" t="n">
        <v>47</v>
      </c>
      <c r="HF19" s="509" t="n">
        <v>48</v>
      </c>
      <c r="HG19" s="509" t="n">
        <v>49</v>
      </c>
      <c r="HH19" s="509" t="n">
        <v>50</v>
      </c>
      <c r="HI19" s="509" t="n">
        <v>51</v>
      </c>
      <c r="HJ19" s="509" t="n">
        <v>52</v>
      </c>
      <c r="HK19" s="509" t="n">
        <v>53</v>
      </c>
      <c r="HL19" s="509" t="n">
        <v>54</v>
      </c>
      <c r="HM19" s="509" t="n">
        <v>55</v>
      </c>
      <c r="HN19" s="509" t="n">
        <v>56</v>
      </c>
      <c r="HO19" s="509" t="n">
        <v>57</v>
      </c>
      <c r="HP19" s="509" t="n">
        <v>58</v>
      </c>
      <c r="HQ19" s="509" t="n">
        <v>59</v>
      </c>
      <c r="HR19" s="509" t="n">
        <v>60</v>
      </c>
      <c r="HS19" s="509" t="n">
        <v>61</v>
      </c>
      <c r="HT19" s="509" t="n">
        <v>62</v>
      </c>
      <c r="HU19" s="509" t="n">
        <v>63</v>
      </c>
      <c r="HV19" s="509" t="n">
        <v>64</v>
      </c>
      <c r="HW19" s="509" t="n">
        <v>65</v>
      </c>
      <c r="HX19" s="509" t="n">
        <v>66</v>
      </c>
      <c r="HY19" s="509" t="n">
        <v>67</v>
      </c>
      <c r="HZ19" s="509" t="n">
        <v>68</v>
      </c>
      <c r="IA19" s="509" t="n">
        <v>69</v>
      </c>
      <c r="IB19" s="509" t="n">
        <v>70</v>
      </c>
      <c r="IC19" s="509" t="n">
        <v>71</v>
      </c>
      <c r="ID19" s="510" t="n">
        <v>72</v>
      </c>
      <c r="IE19" s="129"/>
    </row>
    <row r="20" customFormat="false" ht="16.5" hidden="false" customHeight="true" outlineLevel="0" collapsed="false">
      <c r="A20" s="76" t="n">
        <f aca="false">L20*O20*SQRT(2/260/3.14)</f>
        <v>0</v>
      </c>
      <c r="B20" s="207" t="str">
        <f aca="false">IF(OptControl=2,"",CONCATENATE(IF(OptControl=3,"Call 2","Put"),IF(OptControl=4," 2","")))</f>
        <v>Put</v>
      </c>
      <c r="C20" s="206" t="e">
        <f aca="false">AMER(AN4,Strike2,AN7,AN7,AN10,AN5,IF(OptControl=3,1,0),0)</f>
        <v>#NAME?</v>
      </c>
      <c r="D20" s="208" t="e">
        <f aca="false">AMER(AN4,Strike2,AN7,AN7,AN10,AN5,IF(OptControl=3,1,0),1)+IF(OR(VolSkewFlag=2,ABS(AN9)&lt;0.0001),0,IF(AN9&gt;0,-1,1)*E20*100*Strike2/AN4^2*AN11/10%)</f>
        <v>#NAME?</v>
      </c>
      <c r="E20" s="208" t="e">
        <f aca="false">AMER(AN4,Strike2,AN7,AN7,AN10,AN5,IF(OptControl=3,1,0),3)/100</f>
        <v>#NAME?</v>
      </c>
      <c r="F20" s="209" t="e">
        <f aca="false">AMER(AN4,Strike2,AN7,AN7,AN10,AN5-DaysForThetaCalculation,IF(OptControl=3,1,0),0)-AMER(AN4,Strike2,AN7,AN7,AN10,AN5,IF(OptControl=3,1,0),0)</f>
        <v>#NAME?</v>
      </c>
      <c r="G20" s="347" t="s">
        <v>185</v>
      </c>
      <c r="H20" s="219" t="n">
        <f aca="false">VLOOKUP(I20,$EJ$20:$EL$54,3)</f>
        <v>27</v>
      </c>
      <c r="I20" s="511" t="n">
        <f aca="false">EOMONTH(I19,0)+1</f>
        <v>36770</v>
      </c>
      <c r="J20" s="512"/>
      <c r="K20" s="513" t="n">
        <v>0</v>
      </c>
      <c r="L20" s="514" t="n">
        <f aca="false">IF(ISNUMBER(K20),J20+K20/100,IF(K20="extra",L19+VLOOKUP(BF20,PriceSpreadTable,2)/12,IF(K20="inter",interpolateprices($K$19:$L$200,ROW(K20)-ROW(FirstPricingMonth)+1),interpolatechanges($J$19:$K$200,ROW(K20)-ROW(FirstPricingMonth)+1))))</f>
        <v>0</v>
      </c>
      <c r="M20" s="515"/>
      <c r="N20" s="516" t="n">
        <v>0</v>
      </c>
      <c r="O20" s="515" t="n">
        <f aca="false">M20+N20</f>
        <v>0</v>
      </c>
      <c r="P20" s="512"/>
      <c r="Q20" s="517" t="n">
        <v>0</v>
      </c>
      <c r="R20" s="512" t="n">
        <f aca="false">IF(ISNUMBER(Q20),P20+Q20/100,IF(Q20="extra",(Z18*AL18-R19*AM18)/AN18,IF(Q20="inter",interpolateprices($Q$19:$R$260,ROW(Q20)-ROW(FirstPricingMonth)+1),interpolatechanges($P$19:$Q$260,ROW(Q20)-ROW(FirstPricingMonth)+1))))</f>
        <v>0</v>
      </c>
      <c r="S20" s="518" t="n">
        <f aca="false">O20</f>
        <v>0</v>
      </c>
      <c r="T20" s="519" t="n">
        <f aca="false">SQRT((1-(1-T19^2/U19)*T$18)*U20)</f>
        <v>0.873907444720993</v>
      </c>
      <c r="U20" s="520" t="n">
        <f aca="false">1-(1-U19)*U$18</f>
        <v>0.985</v>
      </c>
      <c r="V20" s="521" t="n">
        <v>0</v>
      </c>
      <c r="W20" s="522" t="n">
        <f aca="false">(J21*AJ20+J22*AK20)/AI20</f>
        <v>0</v>
      </c>
      <c r="X20" s="465" t="e">
        <f aca="false">(L21*AJ20+L22*AK20)/AI20</f>
        <v>#VALUE!</v>
      </c>
      <c r="Y20" s="463" t="n">
        <f aca="false">IF(Q22="extra",W20-AA20,(P21*AM20+P22*AN20)/AL20)</f>
        <v>0</v>
      </c>
      <c r="Z20" s="463" t="e">
        <f aca="false">IF(Q22="extra",X20-AB20,(R21*AM20+R22*AN20)/AL20)</f>
        <v>#VALUE!</v>
      </c>
      <c r="AA20" s="523" t="n">
        <f aca="false">IF(Q22="extra",INDEX(BrentSeasonalityTable,INT((BG20-1)/3)+1)*VLOOKUP(MAX(BF20,$AB$4),PriceSpreadTable,3),W20-Y20)</f>
        <v>0</v>
      </c>
      <c r="AB20" s="524" t="e">
        <f aca="false">IF(Q22="extra",INDEX(BrentSeasonalityTable,INT((BG20-1)/3)+1)*VLOOKUP(MAX(BF20,$AB$4),PriceSpreadTable,3),X20-Z20)</f>
        <v>#VALUE!</v>
      </c>
      <c r="AC20" s="525" t="n">
        <v>36760</v>
      </c>
      <c r="AD20" s="526" t="n">
        <v>36755</v>
      </c>
      <c r="AE20" s="526" t="n">
        <v>36754</v>
      </c>
      <c r="AF20" s="527" t="n">
        <v>36749</v>
      </c>
      <c r="AG20" s="438" t="s">
        <v>217</v>
      </c>
      <c r="AH20" s="439" t="s">
        <v>217</v>
      </c>
      <c r="AI20" s="528" t="n">
        <v>21</v>
      </c>
      <c r="AJ20" s="529" t="n">
        <v>14</v>
      </c>
      <c r="AK20" s="529" t="n">
        <v>7</v>
      </c>
      <c r="AL20" s="530" t="n">
        <v>21</v>
      </c>
      <c r="AM20" s="529" t="n">
        <v>9</v>
      </c>
      <c r="AN20" s="531" t="n">
        <v>12</v>
      </c>
      <c r="AO20" s="532"/>
      <c r="AP20" s="465" t="n">
        <f aca="false">(1+AO20/2)^(-2*BL20)</f>
        <v>1</v>
      </c>
      <c r="AQ20" s="532"/>
      <c r="AR20" s="465" t="n">
        <f aca="false">(1+AQ20/2)^(-2*BH20/365.25)</f>
        <v>1</v>
      </c>
      <c r="AS20" s="533" t="n">
        <f aca="false">(O21*AJ20+O22*AK20)/AI20</f>
        <v>0</v>
      </c>
      <c r="AT20" s="468" t="n">
        <f aca="false">O20*VLOOKUP(BF20,BrentVolTable,2)+VLOOKUP(BF20,BrentVolTable,3)</f>
        <v>0</v>
      </c>
      <c r="AU20" s="468" t="n">
        <f aca="false">(AT21*AM20+AT22*AN20)/AL20</f>
        <v>0</v>
      </c>
      <c r="AV20" s="534"/>
      <c r="AW20" s="451" t="n">
        <f aca="false">IF($I20-DateToday+15&gt;=$T$8,"",IF($I20-DateToday+15&lt;$T$5,1,MATCH($I20-DateToday+15,$T$5:$T$8)))</f>
        <v>1</v>
      </c>
      <c r="AX20" s="452" t="n">
        <f aca="false">INDEX(U$5:U$8,$AW20)^((INDEX($T$5:$T$8,$AW20+1)-($I20-DateToday+15))/(INDEX($T$5:$T$8,$AW20+1)-INDEX($T$5:$T$8,$AW20)))/INDEX(U$5:U$8,$AW20+1)^((INDEX($T$5:$T$8,$AW20)-($I20-DateToday+15))/(INDEX($T$5:$T$8,$AW20+1)-INDEX($T$5:$T$8,$AW20)))</f>
        <v>12.5499781167543</v>
      </c>
      <c r="AY20" s="452" t="n">
        <f aca="false">INDEX(V$5:V$8,$AW20)^((INDEX($T$5:$T$8,$AW20+1)-($I20-DateToday+15))/(INDEX($T$5:$T$8,$AW20+1)-INDEX($T$5:$T$8,$AW20)))/INDEX(V$5:V$8,$AW20+1)^((INDEX($T$5:$T$8,$AW20)-($I20-DateToday+15))/(INDEX($T$5:$T$8,$AW20+1)-INDEX($T$5:$T$8,$AW20)))</f>
        <v>5218.18127700541</v>
      </c>
      <c r="AZ20" s="452" t="n">
        <f aca="false">INDEX(W$5:W$8,$AW20)^((INDEX($T$5:$T$8,$AW20+1)-($I20-DateToday+15))/(INDEX($T$5:$T$8,$AW20+1)-INDEX($T$5:$T$8,$AW20)))/INDEX(W$5:W$8,$AW20+1)^((INDEX($T$5:$T$8,$AW20)-($I20-DateToday+15))/(INDEX($T$5:$T$8,$AW20+1)-INDEX($T$5:$T$8,$AW20)))</f>
        <v>700488201.43615</v>
      </c>
      <c r="BA20" s="452" t="n">
        <f aca="false">INDEX(X$5:X$8,$AW20)^((INDEX($T$5:$T$8,$AW20+1)-($I20-DateToday+15))/(INDEX($T$5:$T$8,$AW20+1)-INDEX($T$5:$T$8,$AW20)))/INDEX(X$5:X$8,$AW20+1)^((INDEX($T$5:$T$8,$AW20)-($I20-DateToday+15))/(INDEX($T$5:$T$8,$AW20+1)-INDEX($T$5:$T$8,$AW20)))</f>
        <v>91574079156.9609</v>
      </c>
      <c r="BB20" s="452" t="n">
        <f aca="false">INDEX(Y$5:Y$8,$AW20)^((INDEX($T$5:$T$8,$AW20+1)-($I20-DateToday+15))/(INDEX($T$5:$T$8,$AW20+1)-INDEX($T$5:$T$8,$AW20)))/INDEX(Y$5:Y$8,$AW20+1)^((INDEX($T$5:$T$8,$AW20)-($I20-DateToday+15))/(INDEX($T$5:$T$8,$AW20+1)-INDEX($T$5:$T$8,$AW20)))</f>
        <v>2531712238537.09</v>
      </c>
      <c r="BC20" s="452" t="n">
        <f aca="false">INDEX(Z$5:Z$8,$AW20)^((INDEX($T$5:$T$8,$AW20+1)-($I20-DateToday+15))/(INDEX($T$5:$T$8,$AW20+1)-INDEX($T$5:$T$8,$AW20)))/INDEX(Z$5:Z$8,$AW20+1)^((INDEX($T$5:$T$8,$AW20)-($I20-DateToday+15))/(INDEX($T$5:$T$8,$AW20+1)-INDEX($T$5:$T$8,$AW20)))</f>
        <v>18221053185598.6</v>
      </c>
      <c r="BD20" s="535" t="n">
        <f aca="false">IF(OR(DateStart&gt;=I21,DateEnd&lt;I20),0,IF(VolumeOverrideFlag,V20,Volume))</f>
        <v>0</v>
      </c>
      <c r="BE20" s="536" t="n">
        <f aca="false">IF(OR(DateStart2&gt;=I21,DateEnd2&lt;I20),0,IF(VolumeOverrideFlag,V20,VolumeSwaption))</f>
        <v>0</v>
      </c>
      <c r="BF20" s="537" t="n">
        <f aca="false">YEAR(I20)</f>
        <v>2000</v>
      </c>
      <c r="BG20" s="538" t="n">
        <f aca="false">MONTH(I20)</f>
        <v>9</v>
      </c>
      <c r="BH20" s="539" t="n">
        <f aca="false">AD20-DateToday+1</f>
        <v>-9170</v>
      </c>
      <c r="BI20" s="540" t="n">
        <f aca="false">(I20-DateToday+1)/365.25</f>
        <v>-25.0650239561944</v>
      </c>
      <c r="BJ20" s="541" t="n">
        <f aca="false">BI20+(BL20-BI20)*CHOOSE(Underlying,AJ20/AI20,AM20/AL20)</f>
        <v>-25.0120921743098</v>
      </c>
      <c r="BK20" s="541" t="n">
        <f aca="false">BJ20+1/365.25</f>
        <v>-25.0093543235227</v>
      </c>
      <c r="BL20" s="541" t="n">
        <f aca="false">(I21-DateToday)/365.25</f>
        <v>-24.9856262833676</v>
      </c>
      <c r="BM20" s="542" t="e">
        <f aca="false">MAX(BI20-(BJ20-BI20)*(S21^2/O21^2-1),0)</f>
        <v>#DIV/0!</v>
      </c>
      <c r="BN20" s="541" t="e">
        <f aca="false">MAX(BL20+(BL20-BK20)*(S22^2/O22^2-1),0)</f>
        <v>#DIV/0!</v>
      </c>
      <c r="BO20" s="530" t="n">
        <f aca="false">CHOOSE(Underlying,AI20,AL20)</f>
        <v>21</v>
      </c>
      <c r="BP20" s="529" t="n">
        <f aca="false">CHOOSE(Underlying,AJ20,AM20)</f>
        <v>14</v>
      </c>
      <c r="BQ20" s="529" t="n">
        <f aca="false">CHOOSE(Underlying,AK20,AN20)</f>
        <v>7</v>
      </c>
      <c r="BR20" s="463" t="str">
        <f aca="false">IF(BD20,IF(Underlying=1,X20,Z20)+UnderlyingPriceAsian-SwapPriceCurve,"")</f>
        <v/>
      </c>
      <c r="BS20" s="463" t="str">
        <f aca="false">IF(BD20,Strike1/BR20-1,"")</f>
        <v/>
      </c>
      <c r="BT20" s="464" t="str">
        <f aca="false">IF(BD20,Strike2/BR20-1,"")</f>
        <v/>
      </c>
      <c r="BU20" s="465" t="str">
        <f aca="false">IF(BD20,IF(Underlying=1,L21,R21)+UnderlyingPriceAsian-SwapPriceCurve,"")</f>
        <v/>
      </c>
      <c r="BV20" s="465" t="str">
        <f aca="false">IF(BD20,IF(Underlying=1,L22,R22)+UnderlyingPriceAsian-SwapPriceCurve,"")</f>
        <v/>
      </c>
      <c r="BW20" s="466" t="str">
        <f aca="false">IF(BD20,IF(Underlying=1,O21,AT21),"")</f>
        <v/>
      </c>
      <c r="BX20" s="467" t="str">
        <f aca="false">IF(BD20,IF(Underlying=1,O22,AT22),"")</f>
        <v/>
      </c>
      <c r="BY20" s="466" t="str">
        <f aca="false">IF(BD20,IF(BS20&gt;0,IF(BS20&gt;0.2,BC20-BB20,IF(BS20&gt;0.1,BB20-BA20,BA20)),IF(BS20&lt;-0.2,AX20-AY20,IF(BS20&lt;-0.1,AY20-AZ20,AZ20))),"")</f>
        <v/>
      </c>
      <c r="BZ20" s="467" t="str">
        <f aca="false">IF(BD20,IF(BT20&gt;0,IF(BT20&gt;0.2,BC20-BB20,IF(BT20&gt;0.1,BB20-BA20,BA20)),IF(BT20&lt;-0.2,AX20-AY20,IF(BT20&lt;-0.1,AY20-AZ20,AZ20))),"")</f>
        <v/>
      </c>
      <c r="CA20" s="468" t="str">
        <f aca="false">IF($BD20,$BW20+IF(VolSkewFlag=1,IF(BS20&gt;0,$BA20*MIN(BS20/10%,1)+($BB20-$BA20)*MAX(0,MIN(BS20/10%-1,1))+($BC20-$BB20)*MAX(0,BS20/10%-2),$AZ20*MIN(-BS20/10%,1)+($AY20-$AZ20)*MAX(0,MIN(-BS20/10%-1,1))+($AX20-$AY20)*MAX(0,-BS20/10%-2)),0),"")</f>
        <v/>
      </c>
      <c r="CB20" s="468" t="str">
        <f aca="false">IF($BD20,$BX20+IF(VolSkewFlag=1,IF(BS20&gt;0,$BA20*MIN(BS20/10%,1)+($BB20-$BA20)*MAX(0,MIN(BS20/10%-1,1))+($BC20-$BB20)*MAX(0,BS20/10%-2),$AZ20*MIN(-BS20/10%,1)+($AY20-$AZ20)*MAX(0,MIN(-BS20/10%-1,1))+($AX20-$AY20)*MAX(0,-BS20/10%-2)),0),"")</f>
        <v/>
      </c>
      <c r="CC20" s="468" t="str">
        <f aca="false">IF($BD20,$BW20+IF(VolSkewFlag=1,IF(BT20&gt;0,$BA20*MIN(BT20/10%,1)+($BB20-$BA20)*MAX(0,MIN(BT20/10%-1,1))+($BC20-$BB20)*MAX(0,BT20/10%-2),$AZ20*MIN(-BT20/10%,1)+($AY20-$AZ20)*MAX(0,MIN(-BT20/10%-1,1))+($AX20-$AY20)*MAX(0,-BT20/10%-2)),0),"")</f>
        <v/>
      </c>
      <c r="CD20" s="468" t="str">
        <f aca="false">IF($BD20,$BX20+IF(VolSkewFlag=1,IF(BT20&gt;0,$BA20*MIN(BT20/10%,1)+($BB20-$BA20)*MAX(0,MIN(BT20/10%-1,1))+($BC20-$BB20)*MAX(0,BT20/10%-2),$AZ20*MIN(-BT20/10%,1)+($AY20-$AZ20)*MAX(0,MIN(-BT20/10%-1,1))+($AX20-$AY20)*MAX(0,-BT20/10%-2)),0),"")</f>
        <v/>
      </c>
      <c r="CE20" s="469" t="n">
        <v>1</v>
      </c>
      <c r="CF20" s="470" t="n">
        <f aca="false">IF(BD20,xCrudeAPO(BU20,BV20,CA20,CB20,S21,S22,BI20,BL20,BP20,BQ20,0,Strike1,AO20,CE20,0,BL20,IF(OptControl=4,0,1),0,1),0)</f>
        <v>0</v>
      </c>
      <c r="CG20" s="470" t="n">
        <f aca="false">IF(BD20,xCrudeAPO(BU20,BV20,CA20,CB20,S21,S22,BI20,BL20,BP20,BQ20,0,Strike1,AO20,CE20,0,BL20,IF(OptControl=4,0,1),1,1)+xCrudeAPO(BU20,BV20,CA20,CB20,S21,S22,BI20,BL20,BP20,BQ20,0,Strike1,AO20,CE20,0,BL20,IF(OptControl=4,0,1),1,2)+IF(OR(VolSkewFlag=2,ABS(BS20)&lt;0.0001),0,IF(BS20&gt;0,-1,1)*CH20*Strike1/BR20^2*BY20/10%),0)</f>
        <v>0</v>
      </c>
      <c r="CH20" s="470" t="n">
        <f aca="false">IF(BD20,(xCrudeAPO(BU20,BV20,CA20,CB20,S21,S22,BI20,BL20,BP20,BQ20,0,Strike1,AO20,CE20,0,BL20,IF(OptControl=4,0,1),3,1)+xCrudeAPO(BU20,BV20,CA20,CB20,S21,S22,BI20,BL20,BP20,BQ20,0,Strike1,AO20,CE20,0,BL20,IF(OptControl=4,0,1),3,2))/100,0)</f>
        <v>0</v>
      </c>
      <c r="CI20" s="470" t="n">
        <f aca="false">IF(BD20,xCrudeAPO(BU20,BV20,CA20,CB20,S21,S22,BI20-DaysForThetaCalculation/365.25,BL20-DaysForThetaCalculation/365.25,BP20,BQ20,0,Strike1,AO20,CE20,0,BL20,IF(OptControl=4,0,1),0,1)-xCrudeAPO(BU20,BV20,CA20,CB20,S21,S22,BI20,BL20,BP20,BQ20,0,Strike1,AO20,CE20,0,BL20,IF(OptControl=4,0,1),0,1),0)</f>
        <v>0</v>
      </c>
      <c r="CJ20" s="471" t="n">
        <f aca="false">IF(BD20,xCrudeAPO(BU20,BV20,CC20,CD20,S21,S22,BI20,BL20,BP20,BQ20,0,Strike2,AO20,CE20,0,BL20,IF(OptControl=3,1,0),0,1),0)</f>
        <v>0</v>
      </c>
      <c r="CK20" s="470" t="n">
        <f aca="false">IF(BD20,xCrudeAPO(BU20,BV20,CC20,CD20,S21,S22,BI20,BL20,BP20,BQ20,0,Strike2,AO20,CE20,0,BL20,IF(OptControl=3,1,0),1,1)+xCrudeAPO(BU20,BV20,CC20,CD20,S21,S22,BI20,BL20,BP20,BQ20,0,Strike2,AO20,CE20,0,BL20,IF(OptControl=3,1,0),1,2)+IF(OR(VolSkewFlag=2,ABS(BT20)&lt;0.0001),0,IF(BT20&gt;0,-1,1)*CL20*Strike2/BR20^2*BZ20/10%),0)</f>
        <v>0</v>
      </c>
      <c r="CL20" s="470" t="n">
        <f aca="false">IF(BD20,(xCrudeAPO(BU20,BV20,CC20,CD20,S21,S22,BI20,BL20,BP20,BQ20,0,Strike2,AO20,CE20,0,BL20,IF(OptControl=3,1,0),3,1)+xCrudeAPO(BU20,BV20,CC20,CD20,S21,S22,BI20,BL20,BP20,BQ20,0,Strike2,AO20,CE20,0,BL20,IF(OptControl=3,1,0),3,2))/100,0)</f>
        <v>0</v>
      </c>
      <c r="CM20" s="472" t="n">
        <f aca="false">IF(BD20,xCrudeAPO(BU20,BV20,CC20,CD20,S21,S22,BI20-DaysForThetaCalculation/365.25,BL20-DaysForThetaCalculation/365.25,BP20,BQ20,0,Strike2,AO20,CE20,0,BL20,IF(OptControl=3,1,0),0,1)-xCrudeAPO(BU20,BV20,CC20,CD20,S21,S22,BI20,BL20,BP20,BQ20,0,Strike2,AO20,CE20,0,BL20,IF(OptControl=3,1,0),0,1),0)</f>
        <v>0</v>
      </c>
      <c r="CN20" s="473"/>
      <c r="CO20" s="543" t="str">
        <f aca="false">IF(BD20,CHOOSE(Underlying,AD20,AF20)-DateToday+1,"")</f>
        <v/>
      </c>
      <c r="CP20" s="544" t="str">
        <f aca="false">IF(BD20,CHOOSE(Underlying,L20,R20),"")</f>
        <v/>
      </c>
      <c r="CQ20" s="544" t="str">
        <f aca="false">IF(BD20,Strike1/CP20-1,"")</f>
        <v/>
      </c>
      <c r="CR20" s="544" t="str">
        <f aca="false">IF(BD20,Strike2/CP20-1,"")</f>
        <v/>
      </c>
      <c r="CS20" s="544" t="str">
        <f aca="false">IF(BD20,IF(CQ20&gt;0,IF(CQ20&gt;0.2,BC19-BB19,IF(CQ20&gt;0.1,BB19-BA19,BA19)),IF(CQ20&lt;-0.2,AX19-AY19,IF(CQ20&lt;-0.1,AY19-AZ19,AZ19))),"")</f>
        <v/>
      </c>
      <c r="CT20" s="544" t="str">
        <f aca="false">IF(BD20,IF(CR20&gt;0,IF(CR20&gt;0.2,BC19-BB19,IF(CR20&gt;0.1,BB19-BA19,BA19)),IF(CR20&lt;-0.2,AX19-AY19,IF(CR20&lt;-0.1,AY19-AZ19,AZ19))),"")</f>
        <v/>
      </c>
      <c r="CU20" s="545" t="str">
        <f aca="false">IF(BD20,CHOOSE(Underlying,O20,AT20),"")</f>
        <v/>
      </c>
      <c r="CV20" s="545" t="str">
        <f aca="false">IF(BD20,CU20+IF(VolSkewFlag=1,IF(CQ20&gt;0,BA19*MIN(CQ20/10%,1)+(BB19-BA19)*MAX(0,MIN(CQ20/10%-1,1))+(BC19-BB19)*MAX(0,CQ20/10%-2),AZ19*MIN(-CQ20/10%,1)+(AY19-AZ19)*MAX(0,MIN(-CQ20/10%-1,1))+(AX19-AY19)*MAX(0,-CQ20/10%-2)),0),"")</f>
        <v/>
      </c>
      <c r="CW20" s="545" t="str">
        <f aca="false">IF(BD20,CU20+IF(VolSkewFlag=1,IF(CR20&gt;0,BA19*MIN(CR20/10%,1)+(BB19-BA19)*MAX(0,MIN(CR20/10%-1,1))+(BC19-BB19)*MAX(0,CR20/10%-2),AZ19*MIN(-CR20/10%,1)+(AY19-AZ19)*MAX(0,MIN(-CR20/10%-1,1))+(AX19-AY19)*MAX(0,-CR20/10%-2)),0),"")</f>
        <v/>
      </c>
      <c r="CX20" s="470" t="n">
        <f aca="false">IF(BD20,EURO(CP20,Strike1,AO20,AO20,CV20,CO20,IF(OptControl=4,0,1),0),0)</f>
        <v>0</v>
      </c>
      <c r="CY20" s="470" t="n">
        <f aca="false">IF(BD20,EURO(CP20,Strike1,AO20,AO20,CV20,CO20,IF(OptControl=4,0,1),1)+IF(OR(VolSkewFlag=2,ABS(CQ20)&lt;0.0001),0,IF(CQ20&gt;0,-1,1)*CZ20*100*Strike1/CP20^2*CS20/10%),0)</f>
        <v>0</v>
      </c>
      <c r="CZ20" s="470" t="n">
        <f aca="false">IF(BD20,EURO(CP20,Strike1,AO20,AO20,CV20,CO20,IF(OptControl=4,0,1),3)/100,0)</f>
        <v>0</v>
      </c>
      <c r="DA20" s="470" t="n">
        <f aca="false">IF(BD20,EURO(CP20,Strike1,AO20,AO20,CV20,CO20,IF(OptControl=4,0,1),0)-EURO(CP20,Strike1,AO20,AO20,CV20,CO20-1,IF(OptControl=4,0,1),0),0)</f>
        <v>0</v>
      </c>
      <c r="DB20" s="470" t="n">
        <f aca="false">IF(BD20,EURO(CP20,Strike2,AO20,AO20,CW20,CO20,IF(OptControl=3,1,0),0),0)</f>
        <v>0</v>
      </c>
      <c r="DC20" s="470" t="n">
        <f aca="false">IF(BD20,EURO(CP20,Strike2,AO20,AO20,CW20,CO20,IF(OptControl=3,1,0),1)+IF(OR(VolSkewFlag=2,ABS(CR20)&lt;0.0001),0,IF(CR20&gt;0,-1,1)*DD20*100*Strike2/CP20^2*CT20/10%),0)</f>
        <v>0</v>
      </c>
      <c r="DD20" s="470" t="n">
        <f aca="false">IF(BD20,EURO(CP20,Strike2,AO20,AO20,CW20,CO20,IF(OptControl=3,1,0),3)/100,0)</f>
        <v>0</v>
      </c>
      <c r="DE20" s="472" t="n">
        <f aca="false">IF(BD20,EURO(CP20,Strike2,AO20,AO20,CW20,CO20,IF(OptControl=3,1,0),0)-EURO(CP20,Strike2,AO20,AO20,CW20,CO20-1,IF(OptControl=3,1,0),0),0)</f>
        <v>0</v>
      </c>
      <c r="DF20" s="473"/>
      <c r="DG20" s="481" t="n">
        <f aca="false">EOMONTH(DG19,0)+1</f>
        <v>45689</v>
      </c>
      <c r="DH20" s="478" t="n">
        <v>29.66</v>
      </c>
      <c r="DI20" s="479" t="n">
        <v>29.65</v>
      </c>
      <c r="DJ20" s="480" t="n">
        <f aca="false">DG20</f>
        <v>45689</v>
      </c>
      <c r="DK20" s="478" t="n">
        <v>25.47</v>
      </c>
      <c r="DL20" s="479" t="n">
        <v>27.37</v>
      </c>
      <c r="DM20" s="481" t="n">
        <f aca="false">DG20</f>
        <v>45689</v>
      </c>
      <c r="DN20" s="482" t="n">
        <f aca="false">DK20+BrentPhyBrentSpread</f>
        <v>25.52</v>
      </c>
      <c r="DO20" s="481" t="n">
        <f aca="false">DG20</f>
        <v>45689</v>
      </c>
      <c r="DP20" s="483" t="n">
        <f aca="false">DL20+DQ20</f>
        <v>27.97</v>
      </c>
      <c r="DQ20" s="546" t="n">
        <v>0.6</v>
      </c>
      <c r="DR20" s="480" t="n">
        <f aca="false">DG20</f>
        <v>45689</v>
      </c>
      <c r="DS20" s="485" t="n">
        <v>0.379</v>
      </c>
      <c r="DT20" s="486" t="n">
        <v>0.42755</v>
      </c>
      <c r="DU20" s="480" t="n">
        <f aca="false">DG20</f>
        <v>45689</v>
      </c>
      <c r="DV20" s="485" t="n">
        <v>0.379</v>
      </c>
      <c r="DW20" s="486" t="n">
        <v>0.42755</v>
      </c>
      <c r="DX20" s="481" t="n">
        <f aca="false">DG20</f>
        <v>45689</v>
      </c>
      <c r="DY20" s="486" t="n">
        <v>0.379</v>
      </c>
      <c r="DZ20" s="481" t="n">
        <f aca="false">DR20</f>
        <v>45689</v>
      </c>
      <c r="EA20" s="486" t="n">
        <f aca="false">DT20</f>
        <v>0.42755</v>
      </c>
      <c r="EB20" s="195"/>
      <c r="EC20" s="547" t="str">
        <f aca="false">IF(BD20,IF(Underlying=1,AS20,AU20),"")</f>
        <v/>
      </c>
      <c r="ED20" s="548" t="str">
        <f aca="false">IF($BD20,$EC20+IF(VolSkewFlag=1,IF(BS20&gt;0,$BA20*MIN(BS20/10%,1)+($BB20-$BA20)*MAX(0,MIN(BS20/10%-1,1))+($BC20-$BB20)*MAX(0,BS20/10%-2),$AZ20*MIN(-BS20/10%,1)+($AY20-$AZ20)*MAX(0,MIN(-BS20/10%-1,1))+($AX20-$AY20)*MAX(0,-BS20/10%-2)),0),"")</f>
        <v/>
      </c>
      <c r="EE20" s="549" t="str">
        <f aca="false">IF($BD20,$EC20+IF(VolSkewFlag=1,IF(BT20&gt;0,$BA20*MIN(BT20/10%,1)+($BB20-$BA20)*MAX(0,MIN(BT20/10%-1,1))+($BC20-$BB20)*MAX(0,BT20/10%-2),$AZ20*MIN(-BT20/10%,1)+($AY20-$AZ20)*MAX(0,MIN(-BT20/10%-1,1))+($AX20-$AY20)*MAX(0,-BT20/10%-2)),0),"")</f>
        <v/>
      </c>
      <c r="EF20" s="550" t="n">
        <f aca="false">IF(BD20,xASN(BR20,Strike1,AO20,ED20,0,BO20,0,BI20,BL20,IF(OptControl=4,0,1),0),0)</f>
        <v>0</v>
      </c>
      <c r="EG20" s="551" t="n">
        <f aca="false">IF(BD20,xASN(BR20,Strike2,AO20,EE20,0,BO20,0,BI20,BL20,IF(OptControl=3,1,0),0),0)</f>
        <v>0</v>
      </c>
      <c r="EI20" s="552" t="str">
        <f aca="false">DDE("TWINDDE","RSFRecord","CLc1 MTH")</f>
        <v>SEP0</v>
      </c>
      <c r="EJ20" s="553" t="n">
        <f aca="false">DATEVALUE(CONCATENATE(LEFT(EI20,3),"-",IF(VALUE(RIGHT(EI20,1))=9,"1999",CONCATENATE("200",RIGHT(EI20,1)))))</f>
        <v>36770</v>
      </c>
      <c r="EK20" s="554" t="n">
        <f aca="false">DDE("TWINDDE","RSFRecord","CLc1 NET.CHNG")</f>
        <v>0.27</v>
      </c>
      <c r="EL20" s="555" t="n">
        <f aca="false">IF(ISNUMBER(VALUE(EK20)),VALUE(EK20)*100,0)</f>
        <v>27</v>
      </c>
      <c r="EM20" s="195"/>
      <c r="EN20" s="556" t="n">
        <v>36519</v>
      </c>
      <c r="EO20" s="557" t="n">
        <v>36526</v>
      </c>
      <c r="EP20" s="195"/>
      <c r="EQ20" s="407" t="s">
        <v>30</v>
      </c>
      <c r="ES20" s="558" t="n">
        <v>1</v>
      </c>
      <c r="ET20" s="559" t="n">
        <f aca="false">BH20/365.25</f>
        <v>-25.1060917180014</v>
      </c>
      <c r="EU20" s="560" t="n">
        <f aca="false">O20^2*ET20</f>
        <v>-0</v>
      </c>
      <c r="EV20" s="561" t="n">
        <f aca="false">S20</f>
        <v>0</v>
      </c>
      <c r="EW20" s="562"/>
      <c r="EX20" s="563"/>
      <c r="EY20" s="129" t="n">
        <v>0</v>
      </c>
      <c r="EZ20" s="564"/>
      <c r="FA20" s="565"/>
      <c r="FB20" s="566" t="str">
        <f aca="false">IF(BE20,2/3*EZ21+1/3*FA22,"")</f>
        <v/>
      </c>
      <c r="FC20" s="567" t="str">
        <f aca="false">IF(BE20,(I21+I20-1)/2-DateToday,"")</f>
        <v/>
      </c>
      <c r="FD20" s="568" t="str">
        <f aca="false">IF(BE20,CHOOSE(Underlying,X20,Z20)+SwaptionUnderlyingPrice-$D$26,"")</f>
        <v/>
      </c>
      <c r="FE20" s="568" t="str">
        <f aca="false">IF(BE20,CollartionFloor/FD20-1,"")</f>
        <v/>
      </c>
      <c r="FF20" s="568" t="str">
        <f aca="false">IF(BE20,CollartionCap/FD20-1,"")</f>
        <v/>
      </c>
      <c r="FG20" s="569" t="str">
        <f aca="false">IF(BE20,IF(VolSkewFlag=1,IF(FE20&gt;0,$BA20*MIN(FE20/10%,1)+($BB20-$BA20)*MAX(0,MIN(FE20/10%-1,1))+($BC20-$BB20)*MAX(0,FE20/10%-2),$AZ20*MIN(-FE20/10%,1)+($AY20-$AZ20)*MAX(0,MIN(-FE20/10%-1,1))+($AX20-$AY20)*MAX(0,-FE20/10%-2)),0),"")</f>
        <v/>
      </c>
      <c r="FH20" s="570" t="str">
        <f aca="false">IF(BE20,IF(VolSkewFlag=1,IF(FF20&gt;0,$BA20*MIN(FF20/10%,1)+($BB20-$BA20)*MAX(0,MIN(FF20/10%-1,1))+($BC20-$BB20)*MAX(0,FF20/10%-2),$AZ20*MIN(-FF20/10%,1)+($AY20-$AZ20)*MAX(0,MIN(-FF20/10%-1,1))+($AX20-$AY20)*MAX(0,-FF20/10%-2)),0),"")</f>
        <v/>
      </c>
      <c r="FI20" s="129"/>
      <c r="FJ20" s="571" t="n">
        <v>1</v>
      </c>
      <c r="FK20" s="150" t="n">
        <f aca="false">IF(FK$19&gt;$FJ20,"",MAX(0,IF(FK$19=$FJ20,$S20^2*FK$15,FK19*INDEX($T$20:$T$91,$FJ20-FK$19)^2/INDEX($U$20:$U$91,$FJ20-FK$19))))</f>
        <v>0</v>
      </c>
      <c r="FL20" s="150" t="str">
        <f aca="false">IF(FL$19&gt;$FJ20,"",MAX(0,IF(FL$19=$FJ20,$S20^2*FL$15,FL19*INDEX($T$20:$T$91,$FJ20-FL$19)^2/INDEX($U$20:$U$91,$FJ20-FL$19))))</f>
        <v/>
      </c>
      <c r="FM20" s="150" t="str">
        <f aca="false">IF(FM$19&gt;$FJ20,"",MAX(0,IF(FM$19=$FJ20,$S20^2*FM$15,FM19*INDEX($T$20:$T$91,$FJ20-FM$19)^2/INDEX($U$20:$U$91,$FJ20-FM$19))))</f>
        <v/>
      </c>
      <c r="FN20" s="150" t="str">
        <f aca="false">IF(FN$19&gt;$FJ20,"",MAX(0,IF(FN$19=$FJ20,$S20^2*FN$15,FN19*INDEX($T$20:$T$91,$FJ20-FN$19)^2/INDEX($U$20:$U$91,$FJ20-FN$19))))</f>
        <v/>
      </c>
      <c r="FO20" s="150" t="str">
        <f aca="false">IF(FO$19&gt;$FJ20,"",MAX(0,IF(FO$19=$FJ20,$S20^2*FO$15,FO19*INDEX($T$20:$T$91,$FJ20-FO$19)^2/INDEX($U$20:$U$91,$FJ20-FO$19))))</f>
        <v/>
      </c>
      <c r="FP20" s="150" t="str">
        <f aca="false">IF(FP$19&gt;$FJ20,"",MAX(0,IF(FP$19=$FJ20,$S20^2*FP$15,FP19*INDEX($T$20:$T$91,$FJ20-FP$19)^2/INDEX($U$20:$U$91,$FJ20-FP$19))))</f>
        <v/>
      </c>
      <c r="FQ20" s="150" t="str">
        <f aca="false">IF(FQ$19&gt;$FJ20,"",MAX(0,IF(FQ$19=$FJ20,$S20^2*FQ$15,FQ19*INDEX($T$20:$T$91,$FJ20-FQ$19)^2/INDEX($U$20:$U$91,$FJ20-FQ$19))))</f>
        <v/>
      </c>
      <c r="FR20" s="150" t="str">
        <f aca="false">IF(FR$19&gt;$FJ20,"",MAX(0,IF(FR$19=$FJ20,$S20^2*FR$15,FR19*INDEX($T$20:$T$91,$FJ20-FR$19)^2/INDEX($U$20:$U$91,$FJ20-FR$19))))</f>
        <v/>
      </c>
      <c r="FS20" s="150" t="str">
        <f aca="false">IF(FS$19&gt;$FJ20,"",MAX(0,IF(FS$19=$FJ20,$S20^2*FS$15,FS19*INDEX($T$20:$T$91,$FJ20-FS$19)^2/INDEX($U$20:$U$91,$FJ20-FS$19))))</f>
        <v/>
      </c>
      <c r="FT20" s="150" t="str">
        <f aca="false">IF(FT$19&gt;$FJ20,"",MAX(0,IF(FT$19=$FJ20,$S20^2*FT$15,FT19*INDEX($T$20:$T$91,$FJ20-FT$19)^2/INDEX($U$20:$U$91,$FJ20-FT$19))))</f>
        <v/>
      </c>
      <c r="FU20" s="150" t="str">
        <f aca="false">IF(FU$19&gt;$FJ20,"",MAX(0,IF(FU$19=$FJ20,$S20^2*FU$15,FU19*INDEX($T$20:$T$91,$FJ20-FU$19)^2/INDEX($U$20:$U$91,$FJ20-FU$19))))</f>
        <v/>
      </c>
      <c r="FV20" s="150" t="str">
        <f aca="false">IF(FV$19&gt;$FJ20,"",MAX(0,IF(FV$19=$FJ20,$S20^2*FV$15,FV19*INDEX($T$20:$T$91,$FJ20-FV$19)^2/INDEX($U$20:$U$91,$FJ20-FV$19))))</f>
        <v/>
      </c>
      <c r="FW20" s="150" t="str">
        <f aca="false">IF(FW$19&gt;$FJ20,"",MAX(0,IF(FW$19=$FJ20,$S20^2*FW$15,FW19*INDEX($T$20:$T$91,$FJ20-FW$19)^2/INDEX($U$20:$U$91,$FJ20-FW$19))))</f>
        <v/>
      </c>
      <c r="FX20" s="150" t="str">
        <f aca="false">IF(FX$19&gt;$FJ20,"",MAX(0,IF(FX$19=$FJ20,$S20^2*FX$15,FX19*INDEX($T$20:$T$91,$FJ20-FX$19)^2/INDEX($U$20:$U$91,$FJ20-FX$19))))</f>
        <v/>
      </c>
      <c r="FY20" s="150" t="str">
        <f aca="false">IF(FY$19&gt;$FJ20,"",MAX(0,IF(FY$19=$FJ20,$S20^2*FY$15,FY19*INDEX($T$20:$T$91,$FJ20-FY$19)^2/INDEX($U$20:$U$91,$FJ20-FY$19))))</f>
        <v/>
      </c>
      <c r="FZ20" s="150" t="str">
        <f aca="false">IF(FZ$19&gt;$FJ20,"",MAX(0,IF(FZ$19=$FJ20,$S20^2*FZ$15,FZ19*INDEX($T$20:$T$91,$FJ20-FZ$19)^2/INDEX($U$20:$U$91,$FJ20-FZ$19))))</f>
        <v/>
      </c>
      <c r="GA20" s="150" t="str">
        <f aca="false">IF(GA$19&gt;$FJ20,"",MAX(0,IF(GA$19=$FJ20,$S20^2*GA$15,GA19*INDEX($T$20:$T$91,$FJ20-GA$19)^2/INDEX($U$20:$U$91,$FJ20-GA$19))))</f>
        <v/>
      </c>
      <c r="GB20" s="150" t="str">
        <f aca="false">IF(GB$19&gt;$FJ20,"",MAX(0,IF(GB$19=$FJ20,$S20^2*GB$15,GB19*INDEX($T$20:$T$91,$FJ20-GB$19)^2/INDEX($U$20:$U$91,$FJ20-GB$19))))</f>
        <v/>
      </c>
      <c r="GC20" s="150" t="str">
        <f aca="false">IF(GC$19&gt;$FJ20,"",MAX(0,IF(GC$19=$FJ20,$S20^2*GC$15,GC19*INDEX($T$20:$T$91,$FJ20-GC$19)^2/INDEX($U$20:$U$91,$FJ20-GC$19))))</f>
        <v/>
      </c>
      <c r="GD20" s="150" t="str">
        <f aca="false">IF(GD$19&gt;$FJ20,"",MAX(0,IF(GD$19=$FJ20,$S20^2*GD$15,GD19*INDEX($T$20:$T$91,$FJ20-GD$19)^2/INDEX($U$20:$U$91,$FJ20-GD$19))))</f>
        <v/>
      </c>
      <c r="GE20" s="150" t="str">
        <f aca="false">IF(GE$19&gt;$FJ20,"",MAX(0,IF(GE$19=$FJ20,$S20^2*GE$15,GE19*INDEX($T$20:$T$91,$FJ20-GE$19)^2/INDEX($U$20:$U$91,$FJ20-GE$19))))</f>
        <v/>
      </c>
      <c r="GF20" s="150" t="str">
        <f aca="false">IF(GF$19&gt;$FJ20,"",MAX(0,IF(GF$19=$FJ20,$S20^2*GF$15,GF19*INDEX($T$20:$T$91,$FJ20-GF$19)^2/INDEX($U$20:$U$91,$FJ20-GF$19))))</f>
        <v/>
      </c>
      <c r="GG20" s="150" t="str">
        <f aca="false">IF(GG$19&gt;$FJ20,"",MAX(0,IF(GG$19=$FJ20,$S20^2*GG$15,GG19*INDEX($T$20:$T$91,$FJ20-GG$19)^2/INDEX($U$20:$U$91,$FJ20-GG$19))))</f>
        <v/>
      </c>
      <c r="GH20" s="150" t="str">
        <f aca="false">IF(GH$19&gt;$FJ20,"",MAX(0,IF(GH$19=$FJ20,$S20^2*GH$15,GH19*INDEX($T$20:$T$91,$FJ20-GH$19)^2/INDEX($U$20:$U$91,$FJ20-GH$19))))</f>
        <v/>
      </c>
      <c r="GI20" s="150" t="str">
        <f aca="false">IF(GI$19&gt;$FJ20,"",MAX(0,IF(GI$19=$FJ20,$S20^2*GI$15,GI19*INDEX($T$20:$T$91,$FJ20-GI$19)^2/INDEX($U$20:$U$91,$FJ20-GI$19))))</f>
        <v/>
      </c>
      <c r="GJ20" s="150" t="str">
        <f aca="false">IF(GJ$19&gt;$FJ20,"",MAX(0,IF(GJ$19=$FJ20,$S20^2*GJ$15,GJ19*INDEX($T$20:$T$91,$FJ20-GJ$19)^2/INDEX($U$20:$U$91,$FJ20-GJ$19))))</f>
        <v/>
      </c>
      <c r="GK20" s="150" t="str">
        <f aca="false">IF(GK$19&gt;$FJ20,"",MAX(0,IF(GK$19=$FJ20,$S20^2*GK$15,GK19*INDEX($T$20:$T$91,$FJ20-GK$19)^2/INDEX($U$20:$U$91,$FJ20-GK$19))))</f>
        <v/>
      </c>
      <c r="GL20" s="150" t="str">
        <f aca="false">IF(GL$19&gt;$FJ20,"",MAX(0,IF(GL$19=$FJ20,$S20^2*GL$15,GL19*INDEX($T$20:$T$91,$FJ20-GL$19)^2/INDEX($U$20:$U$91,$FJ20-GL$19))))</f>
        <v/>
      </c>
      <c r="GM20" s="150" t="str">
        <f aca="false">IF(GM$19&gt;$FJ20,"",MAX(0,IF(GM$19=$FJ20,$S20^2*GM$15,GM19*INDEX($T$20:$T$91,$FJ20-GM$19)^2/INDEX($U$20:$U$91,$FJ20-GM$19))))</f>
        <v/>
      </c>
      <c r="GN20" s="150" t="str">
        <f aca="false">IF(GN$19&gt;$FJ20,"",MAX(0,IF(GN$19=$FJ20,$S20^2*GN$15,GN19*INDEX($T$20:$T$91,$FJ20-GN$19)^2/INDEX($U$20:$U$91,$FJ20-GN$19))))</f>
        <v/>
      </c>
      <c r="GO20" s="150" t="str">
        <f aca="false">IF(GO$19&gt;$FJ20,"",MAX(0,IF(GO$19=$FJ20,$S20^2*GO$15,GO19*INDEX($T$20:$T$91,$FJ20-GO$19)^2/INDEX($U$20:$U$91,$FJ20-GO$19))))</f>
        <v/>
      </c>
      <c r="GP20" s="150" t="str">
        <f aca="false">IF(GP$19&gt;$FJ20,"",MAX(0,IF(GP$19=$FJ20,$S20^2*GP$15,GP19*INDEX($T$20:$T$91,$FJ20-GP$19)^2/INDEX($U$20:$U$91,$FJ20-GP$19))))</f>
        <v/>
      </c>
      <c r="GQ20" s="150" t="str">
        <f aca="false">IF(GQ$19&gt;$FJ20,"",MAX(0,IF(GQ$19=$FJ20,$S20^2*GQ$15,GQ19*INDEX($T$20:$T$91,$FJ20-GQ$19)^2/INDEX($U$20:$U$91,$FJ20-GQ$19))))</f>
        <v/>
      </c>
      <c r="GR20" s="150" t="str">
        <f aca="false">IF(GR$19&gt;$FJ20,"",MAX(0,IF(GR$19=$FJ20,$S20^2*GR$15,GR19*INDEX($T$20:$T$91,$FJ20-GR$19)^2/INDEX($U$20:$U$91,$FJ20-GR$19))))</f>
        <v/>
      </c>
      <c r="GS20" s="150" t="str">
        <f aca="false">IF(GS$19&gt;$FJ20,"",MAX(0,IF(GS$19=$FJ20,$S20^2*GS$15,GS19*INDEX($T$20:$T$91,$FJ20-GS$19)^2/INDEX($U$20:$U$91,$FJ20-GS$19))))</f>
        <v/>
      </c>
      <c r="GT20" s="150" t="str">
        <f aca="false">IF(GT$19&gt;$FJ20,"",MAX(0,IF(GT$19=$FJ20,$S20^2*GT$15,GT19*INDEX($T$20:$T$91,$FJ20-GT$19)^2/INDEX($U$20:$U$91,$FJ20-GT$19))))</f>
        <v/>
      </c>
      <c r="GU20" s="150" t="str">
        <f aca="false">IF(GU$19&gt;$FJ20,"",MAX(0,IF(GU$19=$FJ20,$S20^2*GU$15,GU19*INDEX($T$20:$T$91,$FJ20-GU$19)^2/INDEX($U$20:$U$91,$FJ20-GU$19))))</f>
        <v/>
      </c>
      <c r="GV20" s="150" t="str">
        <f aca="false">IF(GV$19&gt;$FJ20,"",MAX(0,IF(GV$19=$FJ20,$S20^2*GV$15,GV19*INDEX($T$20:$T$91,$FJ20-GV$19)^2/INDEX($U$20:$U$91,$FJ20-GV$19))))</f>
        <v/>
      </c>
      <c r="GW20" s="150" t="str">
        <f aca="false">IF(GW$19&gt;$FJ20,"",MAX(0,IF(GW$19=$FJ20,$S20^2*GW$15,GW19*INDEX($T$20:$T$91,$FJ20-GW$19)^2/INDEX($U$20:$U$91,$FJ20-GW$19))))</f>
        <v/>
      </c>
      <c r="GX20" s="150" t="str">
        <f aca="false">IF(GX$19&gt;$FJ20,"",MAX(0,IF(GX$19=$FJ20,$S20^2*GX$15,GX19*INDEX($T$20:$T$91,$FJ20-GX$19)^2/INDEX($U$20:$U$91,$FJ20-GX$19))))</f>
        <v/>
      </c>
      <c r="GY20" s="150" t="str">
        <f aca="false">IF(GY$19&gt;$FJ20,"",MAX(0,IF(GY$19=$FJ20,$S20^2*GY$15,GY19*INDEX($T$20:$T$91,$FJ20-GY$19)^2/INDEX($U$20:$U$91,$FJ20-GY$19))))</f>
        <v/>
      </c>
      <c r="GZ20" s="150" t="str">
        <f aca="false">IF(GZ$19&gt;$FJ20,"",MAX(0,IF(GZ$19=$FJ20,$S20^2*GZ$15,GZ19*INDEX($T$20:$T$91,$FJ20-GZ$19)^2/INDEX($U$20:$U$91,$FJ20-GZ$19))))</f>
        <v/>
      </c>
      <c r="HA20" s="150" t="str">
        <f aca="false">IF(HA$19&gt;$FJ20,"",MAX(0,IF(HA$19=$FJ20,$S20^2*HA$15,HA19*INDEX($T$20:$T$91,$FJ20-HA$19)^2/INDEX($U$20:$U$91,$FJ20-HA$19))))</f>
        <v/>
      </c>
      <c r="HB20" s="150" t="str">
        <f aca="false">IF(HB$19&gt;$FJ20,"",MAX(0,IF(HB$19=$FJ20,$S20^2*HB$15,HB19*INDEX($T$20:$T$91,$FJ20-HB$19)^2/INDEX($U$20:$U$91,$FJ20-HB$19))))</f>
        <v/>
      </c>
      <c r="HC20" s="150" t="str">
        <f aca="false">IF(HC$19&gt;$FJ20,"",MAX(0,IF(HC$19=$FJ20,$S20^2*HC$15,HC19*INDEX($T$20:$T$91,$FJ20-HC$19)^2/INDEX($U$20:$U$91,$FJ20-HC$19))))</f>
        <v/>
      </c>
      <c r="HD20" s="150" t="str">
        <f aca="false">IF(HD$19&gt;$FJ20,"",MAX(0,IF(HD$19=$FJ20,$S20^2*HD$15,HD19*INDEX($T$20:$T$91,$FJ20-HD$19)^2/INDEX($U$20:$U$91,$FJ20-HD$19))))</f>
        <v/>
      </c>
      <c r="HE20" s="150" t="str">
        <f aca="false">IF(HE$19&gt;$FJ20,"",MAX(0,IF(HE$19=$FJ20,$S20^2*HE$15,HE19*INDEX($T$20:$T$91,$FJ20-HE$19)^2/INDEX($U$20:$U$91,$FJ20-HE$19))))</f>
        <v/>
      </c>
      <c r="HF20" s="150" t="str">
        <f aca="false">IF(HF$19&gt;$FJ20,"",MAX(0,IF(HF$19=$FJ20,$S20^2*HF$15,HF19*INDEX($T$20:$T$91,$FJ20-HF$19)^2/INDEX($U$20:$U$91,$FJ20-HF$19))))</f>
        <v/>
      </c>
      <c r="HG20" s="150" t="str">
        <f aca="false">IF(HG$19&gt;$FJ20,"",MAX(0,IF(HG$19=$FJ20,$S20^2*HG$15,HG19*INDEX($T$20:$T$91,$FJ20-HG$19)^2/INDEX($U$20:$U$91,$FJ20-HG$19))))</f>
        <v/>
      </c>
      <c r="HH20" s="150" t="str">
        <f aca="false">IF(HH$19&gt;$FJ20,"",MAX(0,IF(HH$19=$FJ20,$S20^2*HH$15,HH19*INDEX($T$20:$T$91,$FJ20-HH$19)^2/INDEX($U$20:$U$91,$FJ20-HH$19))))</f>
        <v/>
      </c>
      <c r="HI20" s="150" t="str">
        <f aca="false">IF(HI$19&gt;$FJ20,"",MAX(0,IF(HI$19=$FJ20,$S20^2*HI$15,HI19*INDEX($T$20:$T$91,$FJ20-HI$19)^2/INDEX($U$20:$U$91,$FJ20-HI$19))))</f>
        <v/>
      </c>
      <c r="HJ20" s="150" t="str">
        <f aca="false">IF(HJ$19&gt;$FJ20,"",MAX(0,IF(HJ$19=$FJ20,$S20^2*HJ$15,HJ19*INDEX($T$20:$T$91,$FJ20-HJ$19)^2/INDEX($U$20:$U$91,$FJ20-HJ$19))))</f>
        <v/>
      </c>
      <c r="HK20" s="150" t="str">
        <f aca="false">IF(HK$19&gt;$FJ20,"",MAX(0,IF(HK$19=$FJ20,$S20^2*HK$15,HK19*INDEX($T$20:$T$91,$FJ20-HK$19)^2/INDEX($U$20:$U$91,$FJ20-HK$19))))</f>
        <v/>
      </c>
      <c r="HL20" s="150" t="str">
        <f aca="false">IF(HL$19&gt;$FJ20,"",MAX(0,IF(HL$19=$FJ20,$S20^2*HL$15,HL19*INDEX($T$20:$T$91,$FJ20-HL$19)^2/INDEX($U$20:$U$91,$FJ20-HL$19))))</f>
        <v/>
      </c>
      <c r="HM20" s="150" t="str">
        <f aca="false">IF(HM$19&gt;$FJ20,"",MAX(0,IF(HM$19=$FJ20,$S20^2*HM$15,HM19*INDEX($T$20:$T$91,$FJ20-HM$19)^2/INDEX($U$20:$U$91,$FJ20-HM$19))))</f>
        <v/>
      </c>
      <c r="HN20" s="150" t="str">
        <f aca="false">IF(HN$19&gt;$FJ20,"",MAX(0,IF(HN$19=$FJ20,$S20^2*HN$15,HN19*INDEX($T$20:$T$91,$FJ20-HN$19)^2/INDEX($U$20:$U$91,$FJ20-HN$19))))</f>
        <v/>
      </c>
      <c r="HO20" s="150" t="str">
        <f aca="false">IF(HO$19&gt;$FJ20,"",MAX(0,IF(HO$19=$FJ20,$S20^2*HO$15,HO19*INDEX($T$20:$T$91,$FJ20-HO$19)^2/INDEX($U$20:$U$91,$FJ20-HO$19))))</f>
        <v/>
      </c>
      <c r="HP20" s="150" t="str">
        <f aca="false">IF(HP$19&gt;$FJ20,"",MAX(0,IF(HP$19=$FJ20,$S20^2*HP$15,HP19*INDEX($T$20:$T$91,$FJ20-HP$19)^2/INDEX($U$20:$U$91,$FJ20-HP$19))))</f>
        <v/>
      </c>
      <c r="HQ20" s="150" t="str">
        <f aca="false">IF(HQ$19&gt;$FJ20,"",MAX(0,IF(HQ$19=$FJ20,$S20^2*HQ$15,HQ19*INDEX($T$20:$T$91,$FJ20-HQ$19)^2/INDEX($U$20:$U$91,$FJ20-HQ$19))))</f>
        <v/>
      </c>
      <c r="HR20" s="150" t="str">
        <f aca="false">IF(HR$19&gt;$FJ20,"",MAX(0,IF(HR$19=$FJ20,$S20^2*HR$15,HR19*INDEX($T$20:$T$91,$FJ20-HR$19)^2/INDEX($U$20:$U$91,$FJ20-HR$19))))</f>
        <v/>
      </c>
      <c r="HS20" s="150" t="str">
        <f aca="false">IF(HS$19&gt;$FJ20,"",MAX(0,IF(HS$19=$FJ20,$S20^2*HS$15,HS19*INDEX($T$20:$T$91,$FJ20-HS$19)^2/INDEX($U$20:$U$91,$FJ20-HS$19))))</f>
        <v/>
      </c>
      <c r="HT20" s="150" t="str">
        <f aca="false">IF(HT$19&gt;$FJ20,"",MAX(0,IF(HT$19=$FJ20,$S20^2*HT$15,HT19*INDEX($T$20:$T$91,$FJ20-HT$19)^2/INDEX($U$20:$U$91,$FJ20-HT$19))))</f>
        <v/>
      </c>
      <c r="HU20" s="150" t="str">
        <f aca="false">IF(HU$19&gt;$FJ20,"",MAX(0,IF(HU$19=$FJ20,$S20^2*HU$15,HU19*INDEX($T$20:$T$91,$FJ20-HU$19)^2/INDEX($U$20:$U$91,$FJ20-HU$19))))</f>
        <v/>
      </c>
      <c r="HV20" s="150" t="str">
        <f aca="false">IF(HV$19&gt;$FJ20,"",MAX(0,IF(HV$19=$FJ20,$S20^2*HV$15,HV19*INDEX($T$20:$T$91,$FJ20-HV$19)^2/INDEX($U$20:$U$91,$FJ20-HV$19))))</f>
        <v/>
      </c>
      <c r="HW20" s="150" t="str">
        <f aca="false">IF(HW$19&gt;$FJ20,"",MAX(0,IF(HW$19=$FJ20,$S20^2*HW$15,HW19*INDEX($T$20:$T$91,$FJ20-HW$19)^2/INDEX($U$20:$U$91,$FJ20-HW$19))))</f>
        <v/>
      </c>
      <c r="HX20" s="150" t="str">
        <f aca="false">IF(HX$19&gt;$FJ20,"",MAX(0,IF(HX$19=$FJ20,$S20^2*HX$15,HX19*INDEX($T$20:$T$91,$FJ20-HX$19)^2/INDEX($U$20:$U$91,$FJ20-HX$19))))</f>
        <v/>
      </c>
      <c r="HY20" s="150" t="str">
        <f aca="false">IF(HY$19&gt;$FJ20,"",MAX(0,IF(HY$19=$FJ20,$S20^2*HY$15,HY19*INDEX($T$20:$T$91,$FJ20-HY$19)^2/INDEX($U$20:$U$91,$FJ20-HY$19))))</f>
        <v/>
      </c>
      <c r="HZ20" s="150" t="str">
        <f aca="false">IF(HZ$19&gt;$FJ20,"",MAX(0,IF(HZ$19=$FJ20,$S20^2*HZ$15,HZ19*INDEX($T$20:$T$91,$FJ20-HZ$19)^2/INDEX($U$20:$U$91,$FJ20-HZ$19))))</f>
        <v/>
      </c>
      <c r="IA20" s="150" t="str">
        <f aca="false">IF(IA$19&gt;$FJ20,"",MAX(0,IF(IA$19=$FJ20,$S20^2*IA$15,IA19*INDEX($T$20:$T$91,$FJ20-IA$19)^2/INDEX($U$20:$U$91,$FJ20-IA$19))))</f>
        <v/>
      </c>
      <c r="IB20" s="150" t="str">
        <f aca="false">IF(IB$19&gt;$FJ20,"",MAX(0,IF(IB$19=$FJ20,$S20^2*IB$15,IB19*INDEX($T$20:$T$91,$FJ20-IB$19)^2/INDEX($U$20:$U$91,$FJ20-IB$19))))</f>
        <v/>
      </c>
      <c r="IC20" s="150" t="str">
        <f aca="false">IF(IC$19&gt;$FJ20,"",MAX(0,IF(IC$19=$FJ20,$S20^2*IC$15,IC19*INDEX($T$20:$T$91,$FJ20-IC$19)^2/INDEX($U$20:$U$91,$FJ20-IC$19))))</f>
        <v/>
      </c>
      <c r="ID20" s="572" t="str">
        <f aca="false">IF(ID$19&gt;$FJ20,"",MAX(0,IF(ID$19=$FJ20,$S20^2*ID$15,ID19*INDEX($T$20:$T$91,$FJ20-ID$19)^2/INDEX($U$20:$U$91,$FJ20-ID$19))))</f>
        <v/>
      </c>
      <c r="IE20" s="129"/>
    </row>
    <row r="21" customFormat="false" ht="16.5" hidden="false" customHeight="true" outlineLevel="0" collapsed="false">
      <c r="A21" s="76" t="n">
        <f aca="false">L21*O21*SQRT(2/260/3.14)</f>
        <v>0</v>
      </c>
      <c r="B21" s="215" t="str">
        <f aca="false">IF(OptControl=2,"",IF(OptControl=3,"Call Spread",IF(OptControl=4,"Put Spread","Straddle")))</f>
        <v>Straddle</v>
      </c>
      <c r="C21" s="214" t="e">
        <f aca="false">C19+C20*IF(OptControl&gt;2,-1,1)</f>
        <v>#NAME?</v>
      </c>
      <c r="D21" s="216" t="e">
        <f aca="false">D19+D20*IF(OptControl&gt;2,-1,1)</f>
        <v>#NAME?</v>
      </c>
      <c r="E21" s="216" t="e">
        <f aca="false">E19+E20*IF(OptControl&gt;2,-1,1)</f>
        <v>#NAME?</v>
      </c>
      <c r="F21" s="217" t="e">
        <f aca="false">F19+F20*IF(OptControl&gt;2,-1,1)</f>
        <v>#NAME?</v>
      </c>
      <c r="G21" s="573" t="s">
        <v>200</v>
      </c>
      <c r="H21" s="219" t="n">
        <f aca="false">VLOOKUP(I21,$EJ$20:$EL$54,3)</f>
        <v>26</v>
      </c>
      <c r="I21" s="511" t="n">
        <f aca="false">EOMONTH(I20,0)+1</f>
        <v>36800</v>
      </c>
      <c r="J21" s="512"/>
      <c r="K21" s="513" t="n">
        <v>0</v>
      </c>
      <c r="L21" s="514" t="n">
        <f aca="false">IF(ISNUMBER(K21),J21+K21/100,IF(K21="extra",L20+VLOOKUP(BF21,PriceSpreadTable,2)/12,IF(K21="inter",interpolateprices($K$19:$L$200,ROW(K21)-ROW(FirstPricingMonth)+1),interpolatechanges($J$19:$K$200,ROW(K21)-ROW(FirstPricingMonth)+1))))</f>
        <v>0</v>
      </c>
      <c r="M21" s="515"/>
      <c r="N21" s="516" t="n">
        <v>0</v>
      </c>
      <c r="O21" s="515" t="n">
        <f aca="false">M21+N21</f>
        <v>0</v>
      </c>
      <c r="P21" s="512"/>
      <c r="Q21" s="517" t="n">
        <v>0</v>
      </c>
      <c r="R21" s="512" t="n">
        <f aca="false">IF(ISNUMBER(Q21),P21+Q21/100,IF(Q21="extra",(Z19*AL19-R20*AM19)/AN19,IF(Q21="inter",interpolateprices($Q$19:$R$260,ROW(Q21)-ROW(FirstPricingMonth)+1),interpolatechanges($P$19:$Q$260,ROW(Q21)-ROW(FirstPricingMonth)+1))))</f>
        <v>0</v>
      </c>
      <c r="S21" s="574" t="n">
        <v>0.38</v>
      </c>
      <c r="T21" s="575" t="n">
        <f aca="false">SQRT((1-(1-T20^2/U20)*T$18)*U21)</f>
        <v>0.893773101911717</v>
      </c>
      <c r="U21" s="576" t="n">
        <f aca="false">1-(1-U20)*U$18</f>
        <v>0.98875</v>
      </c>
      <c r="V21" s="521" t="n">
        <v>0</v>
      </c>
      <c r="W21" s="577" t="n">
        <f aca="false">(J22*AJ21+J23*AK21)/AI21</f>
        <v>0</v>
      </c>
      <c r="X21" s="578" t="e">
        <f aca="false">(L22*AJ21+L23*AK21)/AI21</f>
        <v>#VALUE!</v>
      </c>
      <c r="Y21" s="579" t="n">
        <f aca="false">IF(Q23="extra",W21-AA21,(P22*AM21+P23*AN21)/AL21)</f>
        <v>0</v>
      </c>
      <c r="Z21" s="579" t="e">
        <f aca="false">IF(Q23="extra",X21-AB21,(R22*AM21+R23*AN21)/AL21)</f>
        <v>#VALUE!</v>
      </c>
      <c r="AA21" s="523" t="n">
        <f aca="false">IF(Q23="extra",INDEX(BrentSeasonalityTable,INT((BG21-1)/3)+1)*VLOOKUP(MAX(BF21,$AB$4),PriceSpreadTable,3),W21-Y21)</f>
        <v>0</v>
      </c>
      <c r="AB21" s="524" t="e">
        <f aca="false">IF(Q23="extra",INDEX(BrentSeasonalityTable,INT((BG21-1)/3)+1)*VLOOKUP(MAX(BF21,$AB$4),PriceSpreadTable,3),X21-Z21)</f>
        <v>#VALUE!</v>
      </c>
      <c r="AC21" s="525" t="n">
        <v>36789</v>
      </c>
      <c r="AD21" s="526" t="n">
        <v>36784</v>
      </c>
      <c r="AE21" s="526" t="n">
        <v>36783</v>
      </c>
      <c r="AF21" s="527" t="n">
        <v>36780</v>
      </c>
      <c r="AG21" s="438" t="s">
        <v>224</v>
      </c>
      <c r="AH21" s="439" t="s">
        <v>224</v>
      </c>
      <c r="AI21" s="528" t="n">
        <v>22</v>
      </c>
      <c r="AJ21" s="529" t="n">
        <v>15</v>
      </c>
      <c r="AK21" s="529" t="n">
        <v>7</v>
      </c>
      <c r="AL21" s="530" t="n">
        <v>22</v>
      </c>
      <c r="AM21" s="529" t="n">
        <v>10</v>
      </c>
      <c r="AN21" s="531" t="n">
        <v>12</v>
      </c>
      <c r="AO21" s="532"/>
      <c r="AP21" s="465" t="n">
        <f aca="false">(1+AO21/2)^(-2*BL21)</f>
        <v>1</v>
      </c>
      <c r="AQ21" s="532"/>
      <c r="AR21" s="465" t="n">
        <f aca="false">(1+AQ21/2)^(-2*BH21/365.25)</f>
        <v>1</v>
      </c>
      <c r="AS21" s="580" t="n">
        <f aca="false">(O22*AJ21+O23*AK21)/AI21</f>
        <v>0</v>
      </c>
      <c r="AT21" s="468" t="n">
        <f aca="false">O21*VLOOKUP(BF21,BrentVolTable,2)+VLOOKUP(BF21,BrentVolTable,3)</f>
        <v>0</v>
      </c>
      <c r="AU21" s="468" t="n">
        <f aca="false">(AT22*AM21+AT23*AN21)/AL21</f>
        <v>0</v>
      </c>
      <c r="AV21" s="581" t="n">
        <f aca="false">IF(BH20&gt;0,SQRT(MAX(0.000000000001,(O21^2*BH21-S21^2*(BH21-BH20))/BH20)),O21)</f>
        <v>0</v>
      </c>
      <c r="AW21" s="451" t="n">
        <f aca="false">IF($I21-DateToday+15&gt;=$T$8,"",IF($I21-DateToday+15&lt;$T$5,1,MATCH($I21-DateToday+15,$T$5:$T$8)))</f>
        <v>1</v>
      </c>
      <c r="AX21" s="468" t="n">
        <f aca="false">IF($AW21="",AX20^2/AX19,INDEX(U$5:U$8,$AW21)^((INDEX($T$5:$T$8,$AW21+1)-($I21-DateToday+15))/(INDEX($T$5:$T$8,$AW21+1)-INDEX($T$5:$T$8,$AW21)))/INDEX(U$5:U$8,$AW21+1)^((INDEX($T$5:$T$8,$AW21)-($I21-DateToday+15))/(INDEX($T$5:$T$8,$AW21+1)-INDEX($T$5:$T$8,$AW21))))</f>
        <v>12.2882905206861</v>
      </c>
      <c r="AY21" s="468" t="n">
        <f aca="false">IF($AW21="",AY20^2/AY19,INDEX(V$5:V$8,$AW21)^((INDEX($T$5:$T$8,$AW21+1)-($I21-DateToday+15))/(INDEX($T$5:$T$8,$AW21+1)-INDEX($T$5:$T$8,$AW21)))/INDEX(V$5:V$8,$AW21+1)^((INDEX($T$5:$T$8,$AW21)-($I21-DateToday+15))/(INDEX($T$5:$T$8,$AW21+1)-INDEX($T$5:$T$8,$AW21))))</f>
        <v>5005.91920807781</v>
      </c>
      <c r="AZ21" s="468" t="n">
        <f aca="false">IF($AW21="",AZ20^2/AZ19,INDEX(W$5:W$8,$AW21)^((INDEX($T$5:$T$8,$AW21+1)-($I21-DateToday+15))/(INDEX($T$5:$T$8,$AW21+1)-INDEX($T$5:$T$8,$AW21)))/INDEX(W$5:W$8,$AW21+1)^((INDEX($T$5:$T$8,$AW21)-($I21-DateToday+15))/(INDEX($T$5:$T$8,$AW21+1)-INDEX($T$5:$T$8,$AW21))))</f>
        <v>645925712.44388</v>
      </c>
      <c r="BA21" s="468" t="n">
        <f aca="false">IF($AW21="",BA20^2/BA19,INDEX(X$5:X$8,$AW21)^((INDEX($T$5:$T$8,$AW21+1)-($I21-DateToday+15))/(INDEX($T$5:$T$8,$AW21+1)-INDEX($T$5:$T$8,$AW21)))/INDEX(X$5:X$8,$AW21+1)^((INDEX($T$5:$T$8,$AW21)-($I21-DateToday+15))/(INDEX($T$5:$T$8,$AW21+1)-INDEX($T$5:$T$8,$AW21))))</f>
        <v>82680445930.1198</v>
      </c>
      <c r="BB21" s="468" t="n">
        <f aca="false">IF($AW21="",BB20^2/BB19,INDEX(Y$5:Y$8,$AW21)^((INDEX($T$5:$T$8,$AW21+1)-($I21-DateToday+15))/(INDEX($T$5:$T$8,$AW21+1)-INDEX($T$5:$T$8,$AW21)))/INDEX(Y$5:Y$8,$AW21+1)^((INDEX($T$5:$T$8,$AW21)-($I21-DateToday+15))/(INDEX($T$5:$T$8,$AW21+1)-INDEX($T$5:$T$8,$AW21))))</f>
        <v>2263636725132.44</v>
      </c>
      <c r="BC21" s="468" t="n">
        <f aca="false">IF($AW21="",BC20^2/BC19,INDEX(Z$5:Z$8,$AW21)^((INDEX($T$5:$T$8,$AW21+1)-($I21-DateToday+15))/(INDEX($T$5:$T$8,$AW21+1)-INDEX($T$5:$T$8,$AW21)))/INDEX(Z$5:Z$8,$AW21+1)^((INDEX($T$5:$T$8,$AW21)-($I21-DateToday+15))/(INDEX($T$5:$T$8,$AW21+1)-INDEX($T$5:$T$8,$AW21))))</f>
        <v>16200147724624</v>
      </c>
      <c r="BD21" s="535" t="n">
        <f aca="false">IF(OR(DateStart&gt;=I22,DateEnd&lt;I21),0,IF(VolumeOverrideFlag,V21,Volume))</f>
        <v>0</v>
      </c>
      <c r="BE21" s="536" t="n">
        <f aca="false">IF(OR(DateStart2&gt;=I22,DateEnd2&lt;I21),0,IF(VolumeOverrideFlag,V21,VolumeSwaption))</f>
        <v>0</v>
      </c>
      <c r="BF21" s="537" t="n">
        <f aca="false">YEAR(I21)</f>
        <v>2000</v>
      </c>
      <c r="BG21" s="538" t="n">
        <f aca="false">MONTH(I21)</f>
        <v>10</v>
      </c>
      <c r="BH21" s="539" t="n">
        <f aca="false">AD21-DateToday+1</f>
        <v>-9141</v>
      </c>
      <c r="BI21" s="540" t="n">
        <f aca="false">(I21-DateToday+1)/365.25</f>
        <v>-24.9828884325804</v>
      </c>
      <c r="BJ21" s="541" t="n">
        <f aca="false">BI21+(BL21-BI21)*CHOOSE(Underlying,AJ21/AI21,AM21/AL21)</f>
        <v>-24.9268869392073</v>
      </c>
      <c r="BK21" s="541" t="n">
        <f aca="false">BJ21+1/365.25</f>
        <v>-24.9241490884201</v>
      </c>
      <c r="BL21" s="541" t="n">
        <f aca="false">(I22-DateToday)/365.25</f>
        <v>-24.9007529089665</v>
      </c>
      <c r="BM21" s="542" t="e">
        <f aca="false">MAX(BI21-(BJ21-BI21)*(S22^2/O22^2-1),0)</f>
        <v>#DIV/0!</v>
      </c>
      <c r="BN21" s="541" t="e">
        <f aca="false">MAX(BL21+(BL21-BK21)*(S23^2/O23^2-1),0)</f>
        <v>#DIV/0!</v>
      </c>
      <c r="BO21" s="530" t="n">
        <f aca="false">CHOOSE(Underlying,AI21,AL21)</f>
        <v>22</v>
      </c>
      <c r="BP21" s="529" t="n">
        <f aca="false">CHOOSE(Underlying,AJ21,AM21)</f>
        <v>15</v>
      </c>
      <c r="BQ21" s="529" t="n">
        <f aca="false">CHOOSE(Underlying,AK21,AN21)</f>
        <v>7</v>
      </c>
      <c r="BR21" s="463" t="str">
        <f aca="false">IF(BD21,IF(Underlying=1,X21,Z21)+UnderlyingPriceAsian-SwapPriceCurve,"")</f>
        <v/>
      </c>
      <c r="BS21" s="463" t="str">
        <f aca="false">IF(BD21,Strike1/BR21-1,"")</f>
        <v/>
      </c>
      <c r="BT21" s="464" t="str">
        <f aca="false">IF(BD21,Strike2/BR21-1,"")</f>
        <v/>
      </c>
      <c r="BU21" s="465" t="str">
        <f aca="false">IF(BD21,IF(Underlying=1,L22,R22)+UnderlyingPriceAsian-SwapPriceCurve,"")</f>
        <v/>
      </c>
      <c r="BV21" s="465" t="str">
        <f aca="false">IF(BD21,IF(Underlying=1,L23,R23)+UnderlyingPriceAsian-SwapPriceCurve,"")</f>
        <v/>
      </c>
      <c r="BW21" s="466" t="str">
        <f aca="false">IF(BD21,IF(Underlying=1,O22,AT22),"")</f>
        <v/>
      </c>
      <c r="BX21" s="467" t="str">
        <f aca="false">IF(BD21,IF(Underlying=1,O23,AT23),"")</f>
        <v/>
      </c>
      <c r="BY21" s="466" t="str">
        <f aca="false">IF(BD21,IF(BS21&gt;0,IF(BS21&gt;0.2,BC21-BB21,IF(BS21&gt;0.1,BB21-BA21,BA21)),IF(BS21&lt;-0.2,AX21-AY21,IF(BS21&lt;-0.1,AY21-AZ21,AZ21))),"")</f>
        <v/>
      </c>
      <c r="BZ21" s="467" t="str">
        <f aca="false">IF(BD21,IF(BT21&gt;0,IF(BT21&gt;0.2,BC21-BB21,IF(BT21&gt;0.1,BB21-BA21,BA21)),IF(BT21&lt;-0.2,AX21-AY21,IF(BT21&lt;-0.1,AY21-AZ21,AZ21))),"")</f>
        <v/>
      </c>
      <c r="CA21" s="468" t="str">
        <f aca="false">IF($BD21,$BW21+IF(VolSkewFlag=1,IF(BS21&gt;0,$BA21*MIN(BS21/10%,1)+($BB21-$BA21)*MAX(0,MIN(BS21/10%-1,1))+($BC21-$BB21)*MAX(0,BS21/10%-2),$AZ21*MIN(-BS21/10%,1)+($AY21-$AZ21)*MAX(0,MIN(-BS21/10%-1,1))+($AX21-$AY21)*MAX(0,-BS21/10%-2)),0),"")</f>
        <v/>
      </c>
      <c r="CB21" s="468" t="str">
        <f aca="false">IF($BD21,$BX21+IF(VolSkewFlag=1,IF(BS21&gt;0,$BA21*MIN(BS21/10%,1)+($BB21-$BA21)*MAX(0,MIN(BS21/10%-1,1))+($BC21-$BB21)*MAX(0,BS21/10%-2),$AZ21*MIN(-BS21/10%,1)+($AY21-$AZ21)*MAX(0,MIN(-BS21/10%-1,1))+($AX21-$AY21)*MAX(0,-BS21/10%-2)),0),"")</f>
        <v/>
      </c>
      <c r="CC21" s="468" t="str">
        <f aca="false">IF($BD21,$BW21+IF(VolSkewFlag=1,IF(BT21&gt;0,$BA21*MIN(BT21/10%,1)+($BB21-$BA21)*MAX(0,MIN(BT21/10%-1,1))+($BC21-$BB21)*MAX(0,BT21/10%-2),$AZ21*MIN(-BT21/10%,1)+($AY21-$AZ21)*MAX(0,MIN(-BT21/10%-1,1))+($AX21-$AY21)*MAX(0,-BT21/10%-2)),0),"")</f>
        <v/>
      </c>
      <c r="CD21" s="468" t="str">
        <f aca="false">IF($BD21,$BX21+IF(VolSkewFlag=1,IF(BT21&gt;0,$BA21*MIN(BT21/10%,1)+($BB21-$BA21)*MAX(0,MIN(BT21/10%-1,1))+($BC21-$BB21)*MAX(0,BT21/10%-2),$AZ21*MIN(-BT21/10%,1)+($AY21-$AZ21)*MAX(0,MIN(-BT21/10%-1,1))+($AX21-$AY21)*MAX(0,-BT21/10%-2)),0),"")</f>
        <v/>
      </c>
      <c r="CE21" s="469" t="n">
        <v>1</v>
      </c>
      <c r="CF21" s="470" t="n">
        <f aca="false">IF(BD21,xCrudeAPO(BU21,BV21,CA21,CB21,S22,S23,BI21,BL21,BP21,BQ21,0,Strike1,AO21,CE21,0,BL21,IF(OptControl=4,0,1),0,1),0)</f>
        <v>0</v>
      </c>
      <c r="CG21" s="470" t="n">
        <f aca="false">IF(BD21,xCrudeAPO(BU21,BV21,CA21,CB21,S22,S23,BI21,BL21,BP21,BQ21,0,Strike1,AO21,CE21,0,BL21,IF(OptControl=4,0,1),1,1)+xCrudeAPO(BU21,BV21,CA21,CB21,S22,S23,BI21,BL21,BP21,BQ21,0,Strike1,AO21,CE21,0,BL21,IF(OptControl=4,0,1),1,2)+IF(OR(VolSkewFlag=2,ABS(BS21)&lt;0.0001),0,IF(BS21&gt;0,-1,1)*CH21*Strike1/BR21^2*BY21/10%),0)</f>
        <v>0</v>
      </c>
      <c r="CH21" s="470" t="n">
        <f aca="false">IF(BD21,(xCrudeAPO(BU21,BV21,CA21,CB21,S22,S23,BI21,BL21,BP21,BQ21,0,Strike1,AO21,CE21,0,BL21,IF(OptControl=4,0,1),3,1)+xCrudeAPO(BU21,BV21,CA21,CB21,S22,S23,BI21,BL21,BP21,BQ21,0,Strike1,AO21,CE21,0,BL21,IF(OptControl=4,0,1),3,2))/100,0)</f>
        <v>0</v>
      </c>
      <c r="CI21" s="470" t="n">
        <f aca="false">IF(BD21,xCrudeAPO(BU21,BV21,CA21,CB21,S22,S23,BI21-DaysForThetaCalculation/365.25,BL21-DaysForThetaCalculation/365.25,BP21,BQ21,0,Strike1,AO21,CE21,0,BL21,IF(OptControl=4,0,1),0,1)-xCrudeAPO(BU21,BV21,CA21,CB21,S22,S23,BI21,BL21,BP21,BQ21,0,Strike1,AO21,CE21,0,BL21,IF(OptControl=4,0,1),0,1),0)</f>
        <v>0</v>
      </c>
      <c r="CJ21" s="471" t="n">
        <f aca="false">IF(BD21,xCrudeAPO(BU21,BV21,CC21,CD21,S22,S23,BI21,BL21,BP21,BQ21,0,Strike2,AO21,CE21,0,BL21,IF(OptControl=3,1,0),0,1),0)</f>
        <v>0</v>
      </c>
      <c r="CK21" s="470" t="n">
        <f aca="false">IF(BD21,xCrudeAPO(BU21,BV21,CC21,CD21,S22,S23,BI21,BL21,BP21,BQ21,0,Strike2,AO21,CE21,0,BL21,IF(OptControl=3,1,0),1,1)+xCrudeAPO(BU21,BV21,CC21,CD21,S22,S23,BI21,BL21,BP21,BQ21,0,Strike2,AO21,CE21,0,BL21,IF(OptControl=3,1,0),1,2)+IF(OR(VolSkewFlag=2,ABS(BT21)&lt;0.0001),0,IF(BT21&gt;0,-1,1)*CL21*Strike2/BR21^2*BZ21/10%),0)</f>
        <v>0</v>
      </c>
      <c r="CL21" s="470" t="n">
        <f aca="false">IF(BD21,(xCrudeAPO(BU21,BV21,CC21,CD21,S22,S23,BI21,BL21,BP21,BQ21,0,Strike2,AO21,CE21,0,BL21,IF(OptControl=3,1,0),3,1)+xCrudeAPO(BU21,BV21,CC21,CD21,S22,S23,BI21,BL21,BP21,BQ21,0,Strike2,AO21,CE21,0,BL21,IF(OptControl=3,1,0),3,2))/100,0)</f>
        <v>0</v>
      </c>
      <c r="CM21" s="472" t="n">
        <f aca="false">IF(BD21,xCrudeAPO(BU21,BV21,CC21,CD21,S22,S23,BI21-DaysForThetaCalculation/365.25,BL21-DaysForThetaCalculation/365.25,BP21,BQ21,0,Strike2,AO21,CE21,0,BL21,IF(OptControl=3,1,0),0,1)-xCrudeAPO(BU21,BV21,CC21,CD21,S22,S23,BI21,BL21,BP21,BQ21,0,Strike2,AO21,CE21,0,BL21,IF(OptControl=3,1,0),0,1),0)</f>
        <v>0</v>
      </c>
      <c r="CN21" s="473"/>
      <c r="CO21" s="543" t="str">
        <f aca="false">IF(BD21,CHOOSE(Underlying,AD21,AF21)-DateToday+1,"")</f>
        <v/>
      </c>
      <c r="CP21" s="582" t="str">
        <f aca="false">IF(BD21,CHOOSE(Underlying,L21,R21),"")</f>
        <v/>
      </c>
      <c r="CQ21" s="544" t="str">
        <f aca="false">IF(BD21,Strike1/CP21-1,"")</f>
        <v/>
      </c>
      <c r="CR21" s="544" t="str">
        <f aca="false">IF(BD21,Strike2/CP21-1,"")</f>
        <v/>
      </c>
      <c r="CS21" s="544" t="str">
        <f aca="false">IF(BD21,IF(CQ21&gt;0,IF(CQ21&gt;0.2,BC20-BB20,IF(CQ21&gt;0.1,BB20-BA20,BA20)),IF(CQ21&lt;-0.2,AX20-AY20,IF(CQ21&lt;-0.1,AY20-AZ20,AZ20))),"")</f>
        <v/>
      </c>
      <c r="CT21" s="544" t="str">
        <f aca="false">IF(BD21,IF(CR21&gt;0,IF(CR21&gt;0.2,BC20-BB20,IF(CR21&gt;0.1,BB20-BA20,BA20)),IF(CR21&lt;-0.2,AX20-AY20,IF(CR21&lt;-0.1,AY20-AZ20,AZ20))),"")</f>
        <v/>
      </c>
      <c r="CU21" s="545" t="str">
        <f aca="false">IF(BD21,CHOOSE(Underlying,O21,AT21),"")</f>
        <v/>
      </c>
      <c r="CV21" s="545" t="str">
        <f aca="false">IF(BD21,CU21+IF(VolSkewFlag=1,IF(CQ21&gt;0,BA20*MIN(CQ21/10%,1)+(BB20-BA20)*MAX(0,MIN(CQ21/10%-1,1))+(BC20-BB20)*MAX(0,CQ21/10%-2),AZ20*MIN(-CQ21/10%,1)+(AY20-AZ20)*MAX(0,MIN(-CQ21/10%-1,1))+(AX20-AY20)*MAX(0,-CQ21/10%-2)),0),"")</f>
        <v/>
      </c>
      <c r="CW21" s="545" t="str">
        <f aca="false">IF(BD21,CU21+IF(VolSkewFlag=1,IF(CR21&gt;0,BA20*MIN(CR21/10%,1)+(BB20-BA20)*MAX(0,MIN(CR21/10%-1,1))+(BC20-BB20)*MAX(0,CR21/10%-2),AZ20*MIN(-CR21/10%,1)+(AY20-AZ20)*MAX(0,MIN(-CR21/10%-1,1))+(AX20-AY20)*MAX(0,-CR21/10%-2)),0),"")</f>
        <v/>
      </c>
      <c r="CX21" s="470" t="n">
        <f aca="false">IF(BD21,EURO(CP21,Strike1,AO21,AO21,CV21,CO21,IF(OptControl=4,0,1),0),0)</f>
        <v>0</v>
      </c>
      <c r="CY21" s="470" t="n">
        <f aca="false">IF(BD21,EURO(CP21,Strike1,AO21,AO21,CV21,CO21,IF(OptControl=4,0,1),1)+IF(OR(VolSkewFlag=2,ABS(CQ21)&lt;0.0001),0,IF(CQ21&gt;0,-1,1)*CZ21*100*Strike1/CP21^2*CS21/10%),0)</f>
        <v>0</v>
      </c>
      <c r="CZ21" s="470" t="n">
        <f aca="false">IF(BD21,EURO(CP21,Strike1,AO21,AO21,CV21,CO21,IF(OptControl=4,0,1),3)/100,0)</f>
        <v>0</v>
      </c>
      <c r="DA21" s="470" t="n">
        <f aca="false">IF(BD21,EURO(CP21,Strike1,AO21,AO21,CV21,CO21,IF(OptControl=4,0,1),0)-EURO(CP21,Strike1,AO21,AO21,CV21,CO21-1,IF(OptControl=4,0,1),0),0)</f>
        <v>0</v>
      </c>
      <c r="DB21" s="470" t="n">
        <f aca="false">IF(BD21,EURO(CP21,Strike2,AO21,AO21,CW21,CO21,IF(OptControl=3,1,0),0),0)</f>
        <v>0</v>
      </c>
      <c r="DC21" s="470" t="n">
        <f aca="false">IF(BD21,EURO(CP21,Strike2,AO21,AO21,CW21,CO21,IF(OptControl=3,1,0),1)+IF(OR(VolSkewFlag=2,ABS(CR21)&lt;0.0001),0,IF(CR21&gt;0,-1,1)*DD21*100*Strike2/CP21^2*CT21/10%),0)</f>
        <v>0</v>
      </c>
      <c r="DD21" s="470" t="n">
        <f aca="false">IF(BD21,EURO(CP21,Strike2,AO21,AO21,CW21,CO21,IF(OptControl=3,1,0),3)/100,0)</f>
        <v>0</v>
      </c>
      <c r="DE21" s="472" t="n">
        <f aca="false">IF(BD21,EURO(CP21,Strike2,AO21,AO21,CW21,CO21,IF(OptControl=3,1,0),0)-EURO(CP21,Strike2,AO21,AO21,CW21,CO21-1,IF(OptControl=3,1,0),0),0)</f>
        <v>0</v>
      </c>
      <c r="DF21" s="473"/>
      <c r="DG21" s="481" t="n">
        <f aca="false">EOMONTH(DG20,0)+1</f>
        <v>45717</v>
      </c>
      <c r="DH21" s="478" t="n">
        <v>30.05</v>
      </c>
      <c r="DI21" s="479" t="n">
        <v>28.9786956521739</v>
      </c>
      <c r="DJ21" s="480" t="n">
        <f aca="false">DG21</f>
        <v>45717</v>
      </c>
      <c r="DK21" s="478" t="n">
        <v>28.76</v>
      </c>
      <c r="DL21" s="479" t="n">
        <v>26.8169565217391</v>
      </c>
      <c r="DM21" s="481" t="n">
        <f aca="false">DG21</f>
        <v>45717</v>
      </c>
      <c r="DN21" s="482" t="n">
        <f aca="false">DK21+BrentPhyBrentSpread</f>
        <v>28.81</v>
      </c>
      <c r="DO21" s="481" t="n">
        <f aca="false">DG21</f>
        <v>45717</v>
      </c>
      <c r="DP21" s="483" t="n">
        <f aca="false">DL21+DQ21</f>
        <v>27.4169565217391</v>
      </c>
      <c r="DQ21" s="546" t="n">
        <v>0.6</v>
      </c>
      <c r="DR21" s="480" t="n">
        <f aca="false">DG21</f>
        <v>45717</v>
      </c>
      <c r="DS21" s="485" t="n">
        <v>0.44575</v>
      </c>
      <c r="DT21" s="486" t="n">
        <v>0.36575</v>
      </c>
      <c r="DU21" s="480" t="n">
        <f aca="false">DG21</f>
        <v>45717</v>
      </c>
      <c r="DV21" s="485" t="n">
        <v>0.44575</v>
      </c>
      <c r="DW21" s="486" t="n">
        <v>0.36575</v>
      </c>
      <c r="DX21" s="481" t="n">
        <f aca="false">DG21</f>
        <v>45717</v>
      </c>
      <c r="DY21" s="486" t="n">
        <v>0.44575</v>
      </c>
      <c r="DZ21" s="481" t="n">
        <f aca="false">DR21</f>
        <v>45717</v>
      </c>
      <c r="EA21" s="486" t="n">
        <f aca="false">DT21</f>
        <v>0.36575</v>
      </c>
      <c r="EB21" s="195"/>
      <c r="EC21" s="547" t="str">
        <f aca="false">IF(BD21,IF(Underlying=1,AS21,AU21),"")</f>
        <v/>
      </c>
      <c r="ED21" s="548" t="str">
        <f aca="false">IF($BD21,$EC21+IF(VolSkewFlag=1,IF(BS21&gt;0,$BA21*MIN(BS21/10%,1)+($BB21-$BA21)*MAX(0,MIN(BS21/10%-1,1))+($BC21-$BB21)*MAX(0,BS21/10%-2),$AZ21*MIN(-BS21/10%,1)+($AY21-$AZ21)*MAX(0,MIN(-BS21/10%-1,1))+($AX21-$AY21)*MAX(0,-BS21/10%-2)),0),"")</f>
        <v/>
      </c>
      <c r="EE21" s="549" t="str">
        <f aca="false">IF($BD21,$EC21+IF(VolSkewFlag=1,IF(BT21&gt;0,$BA21*MIN(BT21/10%,1)+($BB21-$BA21)*MAX(0,MIN(BT21/10%-1,1))+($BC21-$BB21)*MAX(0,BT21/10%-2),$AZ21*MIN(-BT21/10%,1)+($AY21-$AZ21)*MAX(0,MIN(-BT21/10%-1,1))+($AX21-$AY21)*MAX(0,-BT21/10%-2)),0),"")</f>
        <v/>
      </c>
      <c r="EF21" s="550" t="n">
        <f aca="false">IF(BD21,xASN(BR21,Strike1,AO21,ED21,0,BO21,0,BI21,BL21,IF(OptControl=4,0,1),0),0)</f>
        <v>0</v>
      </c>
      <c r="EG21" s="551" t="n">
        <f aca="false">IF(BD21,xASN(BR21,Strike2,AO21,EE21,0,BO21,0,BI21,BL21,IF(OptControl=3,1,0),0),0)</f>
        <v>0</v>
      </c>
      <c r="EI21" s="583" t="str">
        <f aca="false">DDE("TWINDDE","RSFRecord","CLc2 MTH")</f>
        <v>OCT0</v>
      </c>
      <c r="EJ21" s="584" t="n">
        <f aca="false">DATEVALUE(CONCATENATE(LEFT(EI21,3),"-",IF(VALUE(RIGHT(EI21,1))=9,"1999",CONCATENATE("200",RIGHT(EI21,1)))))</f>
        <v>36800</v>
      </c>
      <c r="EK21" s="585" t="n">
        <f aca="false">DDE("TWINDDE","RSFRecord","CLc2 NET.CHNG")</f>
        <v>0.26</v>
      </c>
      <c r="EL21" s="586" t="n">
        <f aca="false">IF(ISNUMBER(VALUE(EK21)),VALUE(EK21)*100,0)</f>
        <v>26</v>
      </c>
      <c r="EM21" s="195"/>
      <c r="EN21" s="556" t="n">
        <v>36526</v>
      </c>
      <c r="EO21" s="557" t="n">
        <v>36885</v>
      </c>
      <c r="EP21" s="195"/>
      <c r="EQ21" s="407" t="s">
        <v>225</v>
      </c>
      <c r="ES21" s="587" t="n">
        <v>2</v>
      </c>
      <c r="ET21" s="559" t="n">
        <f aca="false">BH21/365.25</f>
        <v>-25.0266940451745</v>
      </c>
      <c r="EU21" s="560" t="n">
        <f aca="false">O21^2*ET21</f>
        <v>-0</v>
      </c>
      <c r="EV21" s="588" t="n">
        <f aca="false">SQRT(SUM(FK21:ID21)/ET21)</f>
        <v>-0</v>
      </c>
      <c r="EW21" s="589" t="str">
        <f aca="false">IF(OR(DateStart2&gt;I20,DateEnd2&lt;I19),"",IF(DateStart2&lt;I20,AK19/AI19*AP19*BE19*SwaptionNumOfMonths/$D$33,0)+IF(DateEnd2&gt;I19,AJ20/AI20*AP20*BE20*SwaptionNumOfMonths/$D$33,0))</f>
        <v/>
      </c>
      <c r="EX21" s="590" t="str">
        <f aca="false">IF(EW21="","",SQRT(SUM(FK326:ID326)/SwaptionYearsToExp))</f>
        <v/>
      </c>
      <c r="EY21" s="129" t="n">
        <v>0</v>
      </c>
      <c r="EZ21" s="591" t="str">
        <f aca="false">IF(OR(EW21="",EW22=""),"",SQRT(SUM(INDEX(FK21:ID21,SwaptionFirstMonthPosition+1):INDEX(FK21:ID21,FJ21))/SUM(INDEX($FK$15:$ID$15,SwaptionFirstMonthPosition+1):INDEX($FK$15:$ID$15,FJ21))))</f>
        <v/>
      </c>
      <c r="FA21" s="592" t="str">
        <f aca="false">IF(OR(EW21="",EW20=""),"",SQRT(SUM(INDEX(FK21:ID21,SwaptionFirstMonthPosition+1):INDEX(FK21:ID21,FJ21-1))/SUM(INDEX($FK$15:$ID$15,SwaptionFirstMonthPosition+1):INDEX($FK$15:$ID$15,FJ21-1))))</f>
        <v/>
      </c>
      <c r="FB21" s="593" t="str">
        <f aca="false">IF(BE21,2/3*EZ22+1/3*FA23,"")</f>
        <v/>
      </c>
      <c r="FC21" s="593" t="str">
        <f aca="false">IF(BE21,(I22+I21-1)/2-DateToday,"")</f>
        <v/>
      </c>
      <c r="FD21" s="483" t="str">
        <f aca="false">IF(BE21,CHOOSE(Underlying,X21,Z21)+SwaptionUnderlyingPrice-$D$26,"")</f>
        <v/>
      </c>
      <c r="FE21" s="483" t="str">
        <f aca="false">IF(BE21,CollartionFloor/FD21-1,"")</f>
        <v/>
      </c>
      <c r="FF21" s="483" t="str">
        <f aca="false">IF(BE21,CollartionCap/FD21-1,"")</f>
        <v/>
      </c>
      <c r="FG21" s="485" t="str">
        <f aca="false">IF(BE21,IF(VolSkewFlag=1,IF(FE21&gt;0,$BA21*MIN(FE21/10%,1)+($BB21-$BA21)*MAX(0,MIN(FE21/10%-1,1))+($BC21-$BB21)*MAX(0,FE21/10%-2),$AZ21*MIN(-FE21/10%,1)+($AY21-$AZ21)*MAX(0,MIN(-FE21/10%-1,1))+($AX21-$AY21)*MAX(0,-FE21/10%-2)),0),"")</f>
        <v/>
      </c>
      <c r="FH21" s="486" t="str">
        <f aca="false">IF(BE21,IF(VolSkewFlag=1,IF(FF21&gt;0,$BA21*MIN(FF21/10%,1)+($BB21-$BA21)*MAX(0,MIN(FF21/10%-1,1))+($BC21-$BB21)*MAX(0,FF21/10%-2),$AZ21*MIN(-FF21/10%,1)+($AY21-$AZ21)*MAX(0,MIN(-FF21/10%-1,1))+($AX21-$AY21)*MAX(0,-FF21/10%-2)),0),"")</f>
        <v/>
      </c>
      <c r="FI21" s="129"/>
      <c r="FJ21" s="571" t="n">
        <v>2</v>
      </c>
      <c r="FK21" s="150" t="n">
        <f aca="false">IF(FK$19&gt;$FJ21,"",MAX(0,IF(FK$19=$FJ21,$S21^2*FK$15,FK20*INDEX($T$20:$T$91,$FJ21-FK$19)^2/INDEX($U$20:$U$91,$FJ21-FK$19))))</f>
        <v>0</v>
      </c>
      <c r="FL21" s="150" t="n">
        <f aca="false">IF(FL$19&gt;$FJ21,"",MAX(0,IF(FL$19=$FJ21,$S21^2*FL$15,FL20*INDEX($T$20:$T$91,$FJ21-FL$19)^2/INDEX($U$20:$U$91,$FJ21-FL$19))))</f>
        <v>0</v>
      </c>
      <c r="FM21" s="150" t="str">
        <f aca="false">IF(FM$19&gt;$FJ21,"",MAX(0,IF(FM$19=$FJ21,$S21^2*FM$15,FM20*INDEX($T$20:$T$91,$FJ21-FM$19)^2/INDEX($U$20:$U$91,$FJ21-FM$19))))</f>
        <v/>
      </c>
      <c r="FN21" s="150" t="str">
        <f aca="false">IF(FN$19&gt;$FJ21,"",MAX(0,IF(FN$19=$FJ21,$S21^2*FN$15,FN20*INDEX($T$20:$T$91,$FJ21-FN$19)^2/INDEX($U$20:$U$91,$FJ21-FN$19))))</f>
        <v/>
      </c>
      <c r="FO21" s="150" t="str">
        <f aca="false">IF(FO$19&gt;$FJ21,"",MAX(0,IF(FO$19=$FJ21,$S21^2*FO$15,FO20*INDEX($T$20:$T$91,$FJ21-FO$19)^2/INDEX($U$20:$U$91,$FJ21-FO$19))))</f>
        <v/>
      </c>
      <c r="FP21" s="150" t="str">
        <f aca="false">IF(FP$19&gt;$FJ21,"",MAX(0,IF(FP$19=$FJ21,$S21^2*FP$15,FP20*INDEX($T$20:$T$91,$FJ21-FP$19)^2/INDEX($U$20:$U$91,$FJ21-FP$19))))</f>
        <v/>
      </c>
      <c r="FQ21" s="150" t="str">
        <f aca="false">IF(FQ$19&gt;$FJ21,"",MAX(0,IF(FQ$19=$FJ21,$S21^2*FQ$15,FQ20*INDEX($T$20:$T$91,$FJ21-FQ$19)^2/INDEX($U$20:$U$91,$FJ21-FQ$19))))</f>
        <v/>
      </c>
      <c r="FR21" s="150" t="str">
        <f aca="false">IF(FR$19&gt;$FJ21,"",MAX(0,IF(FR$19=$FJ21,$S21^2*FR$15,FR20*INDEX($T$20:$T$91,$FJ21-FR$19)^2/INDEX($U$20:$U$91,$FJ21-FR$19))))</f>
        <v/>
      </c>
      <c r="FS21" s="150" t="str">
        <f aca="false">IF(FS$19&gt;$FJ21,"",MAX(0,IF(FS$19=$FJ21,$S21^2*FS$15,FS20*INDEX($T$20:$T$91,$FJ21-FS$19)^2/INDEX($U$20:$U$91,$FJ21-FS$19))))</f>
        <v/>
      </c>
      <c r="FT21" s="150" t="str">
        <f aca="false">IF(FT$19&gt;$FJ21,"",MAX(0,IF(FT$19=$FJ21,$S21^2*FT$15,FT20*INDEX($T$20:$T$91,$FJ21-FT$19)^2/INDEX($U$20:$U$91,$FJ21-FT$19))))</f>
        <v/>
      </c>
      <c r="FU21" s="150" t="str">
        <f aca="false">IF(FU$19&gt;$FJ21,"",MAX(0,IF(FU$19=$FJ21,$S21^2*FU$15,FU20*INDEX($T$20:$T$91,$FJ21-FU$19)^2/INDEX($U$20:$U$91,$FJ21-FU$19))))</f>
        <v/>
      </c>
      <c r="FV21" s="150" t="str">
        <f aca="false">IF(FV$19&gt;$FJ21,"",MAX(0,IF(FV$19=$FJ21,$S21^2*FV$15,FV20*INDEX($T$20:$T$91,$FJ21-FV$19)^2/INDEX($U$20:$U$91,$FJ21-FV$19))))</f>
        <v/>
      </c>
      <c r="FW21" s="150" t="str">
        <f aca="false">IF(FW$19&gt;$FJ21,"",MAX(0,IF(FW$19=$FJ21,$S21^2*FW$15,FW20*INDEX($T$20:$T$91,$FJ21-FW$19)^2/INDEX($U$20:$U$91,$FJ21-FW$19))))</f>
        <v/>
      </c>
      <c r="FX21" s="150" t="str">
        <f aca="false">IF(FX$19&gt;$FJ21,"",MAX(0,IF(FX$19=$FJ21,$S21^2*FX$15,FX20*INDEX($T$20:$T$91,$FJ21-FX$19)^2/INDEX($U$20:$U$91,$FJ21-FX$19))))</f>
        <v/>
      </c>
      <c r="FY21" s="150" t="str">
        <f aca="false">IF(FY$19&gt;$FJ21,"",MAX(0,IF(FY$19=$FJ21,$S21^2*FY$15,FY20*INDEX($T$20:$T$91,$FJ21-FY$19)^2/INDEX($U$20:$U$91,$FJ21-FY$19))))</f>
        <v/>
      </c>
      <c r="FZ21" s="150" t="str">
        <f aca="false">IF(FZ$19&gt;$FJ21,"",MAX(0,IF(FZ$19=$FJ21,$S21^2*FZ$15,FZ20*INDEX($T$20:$T$91,$FJ21-FZ$19)^2/INDEX($U$20:$U$91,$FJ21-FZ$19))))</f>
        <v/>
      </c>
      <c r="GA21" s="150" t="str">
        <f aca="false">IF(GA$19&gt;$FJ21,"",MAX(0,IF(GA$19=$FJ21,$S21^2*GA$15,GA20*INDEX($T$20:$T$91,$FJ21-GA$19)^2/INDEX($U$20:$U$91,$FJ21-GA$19))))</f>
        <v/>
      </c>
      <c r="GB21" s="150" t="str">
        <f aca="false">IF(GB$19&gt;$FJ21,"",MAX(0,IF(GB$19=$FJ21,$S21^2*GB$15,GB20*INDEX($T$20:$T$91,$FJ21-GB$19)^2/INDEX($U$20:$U$91,$FJ21-GB$19))))</f>
        <v/>
      </c>
      <c r="GC21" s="150" t="str">
        <f aca="false">IF(GC$19&gt;$FJ21,"",MAX(0,IF(GC$19=$FJ21,$S21^2*GC$15,GC20*INDEX($T$20:$T$91,$FJ21-GC$19)^2/INDEX($U$20:$U$91,$FJ21-GC$19))))</f>
        <v/>
      </c>
      <c r="GD21" s="150" t="str">
        <f aca="false">IF(GD$19&gt;$FJ21,"",MAX(0,IF(GD$19=$FJ21,$S21^2*GD$15,GD20*INDEX($T$20:$T$91,$FJ21-GD$19)^2/INDEX($U$20:$U$91,$FJ21-GD$19))))</f>
        <v/>
      </c>
      <c r="GE21" s="150" t="str">
        <f aca="false">IF(GE$19&gt;$FJ21,"",MAX(0,IF(GE$19=$FJ21,$S21^2*GE$15,GE20*INDEX($T$20:$T$91,$FJ21-GE$19)^2/INDEX($U$20:$U$91,$FJ21-GE$19))))</f>
        <v/>
      </c>
      <c r="GF21" s="150" t="str">
        <f aca="false">IF(GF$19&gt;$FJ21,"",MAX(0,IF(GF$19=$FJ21,$S21^2*GF$15,GF20*INDEX($T$20:$T$91,$FJ21-GF$19)^2/INDEX($U$20:$U$91,$FJ21-GF$19))))</f>
        <v/>
      </c>
      <c r="GG21" s="150" t="str">
        <f aca="false">IF(GG$19&gt;$FJ21,"",MAX(0,IF(GG$19=$FJ21,$S21^2*GG$15,GG20*INDEX($T$20:$T$91,$FJ21-GG$19)^2/INDEX($U$20:$U$91,$FJ21-GG$19))))</f>
        <v/>
      </c>
      <c r="GH21" s="150" t="str">
        <f aca="false">IF(GH$19&gt;$FJ21,"",MAX(0,IF(GH$19=$FJ21,$S21^2*GH$15,GH20*INDEX($T$20:$T$91,$FJ21-GH$19)^2/INDEX($U$20:$U$91,$FJ21-GH$19))))</f>
        <v/>
      </c>
      <c r="GI21" s="150" t="str">
        <f aca="false">IF(GI$19&gt;$FJ21,"",MAX(0,IF(GI$19=$FJ21,$S21^2*GI$15,GI20*INDEX($T$20:$T$91,$FJ21-GI$19)^2/INDEX($U$20:$U$91,$FJ21-GI$19))))</f>
        <v/>
      </c>
      <c r="GJ21" s="150" t="str">
        <f aca="false">IF(GJ$19&gt;$FJ21,"",MAX(0,IF(GJ$19=$FJ21,$S21^2*GJ$15,GJ20*INDEX($T$20:$T$91,$FJ21-GJ$19)^2/INDEX($U$20:$U$91,$FJ21-GJ$19))))</f>
        <v/>
      </c>
      <c r="GK21" s="150" t="str">
        <f aca="false">IF(GK$19&gt;$FJ21,"",MAX(0,IF(GK$19=$FJ21,$S21^2*GK$15,GK20*INDEX($T$20:$T$91,$FJ21-GK$19)^2/INDEX($U$20:$U$91,$FJ21-GK$19))))</f>
        <v/>
      </c>
      <c r="GL21" s="150" t="str">
        <f aca="false">IF(GL$19&gt;$FJ21,"",MAX(0,IF(GL$19=$FJ21,$S21^2*GL$15,GL20*INDEX($T$20:$T$91,$FJ21-GL$19)^2/INDEX($U$20:$U$91,$FJ21-GL$19))))</f>
        <v/>
      </c>
      <c r="GM21" s="150" t="str">
        <f aca="false">IF(GM$19&gt;$FJ21,"",MAX(0,IF(GM$19=$FJ21,$S21^2*GM$15,GM20*INDEX($T$20:$T$91,$FJ21-GM$19)^2/INDEX($U$20:$U$91,$FJ21-GM$19))))</f>
        <v/>
      </c>
      <c r="GN21" s="150" t="str">
        <f aca="false">IF(GN$19&gt;$FJ21,"",MAX(0,IF(GN$19=$FJ21,$S21^2*GN$15,GN20*INDEX($T$20:$T$91,$FJ21-GN$19)^2/INDEX($U$20:$U$91,$FJ21-GN$19))))</f>
        <v/>
      </c>
      <c r="GO21" s="150" t="str">
        <f aca="false">IF(GO$19&gt;$FJ21,"",MAX(0,IF(GO$19=$FJ21,$S21^2*GO$15,GO20*INDEX($T$20:$T$91,$FJ21-GO$19)^2/INDEX($U$20:$U$91,$FJ21-GO$19))))</f>
        <v/>
      </c>
      <c r="GP21" s="150" t="str">
        <f aca="false">IF(GP$19&gt;$FJ21,"",MAX(0,IF(GP$19=$FJ21,$S21^2*GP$15,GP20*INDEX($T$20:$T$91,$FJ21-GP$19)^2/INDEX($U$20:$U$91,$FJ21-GP$19))))</f>
        <v/>
      </c>
      <c r="GQ21" s="150" t="str">
        <f aca="false">IF(GQ$19&gt;$FJ21,"",MAX(0,IF(GQ$19=$FJ21,$S21^2*GQ$15,GQ20*INDEX($T$20:$T$91,$FJ21-GQ$19)^2/INDEX($U$20:$U$91,$FJ21-GQ$19))))</f>
        <v/>
      </c>
      <c r="GR21" s="150" t="str">
        <f aca="false">IF(GR$19&gt;$FJ21,"",MAX(0,IF(GR$19=$FJ21,$S21^2*GR$15,GR20*INDEX($T$20:$T$91,$FJ21-GR$19)^2/INDEX($U$20:$U$91,$FJ21-GR$19))))</f>
        <v/>
      </c>
      <c r="GS21" s="150" t="str">
        <f aca="false">IF(GS$19&gt;$FJ21,"",MAX(0,IF(GS$19=$FJ21,$S21^2*GS$15,GS20*INDEX($T$20:$T$91,$FJ21-GS$19)^2/INDEX($U$20:$U$91,$FJ21-GS$19))))</f>
        <v/>
      </c>
      <c r="GT21" s="150" t="str">
        <f aca="false">IF(GT$19&gt;$FJ21,"",MAX(0,IF(GT$19=$FJ21,$S21^2*GT$15,GT20*INDEX($T$20:$T$91,$FJ21-GT$19)^2/INDEX($U$20:$U$91,$FJ21-GT$19))))</f>
        <v/>
      </c>
      <c r="GU21" s="150" t="str">
        <f aca="false">IF(GU$19&gt;$FJ21,"",MAX(0,IF(GU$19=$FJ21,$S21^2*GU$15,GU20*INDEX($T$20:$T$91,$FJ21-GU$19)^2/INDEX($U$20:$U$91,$FJ21-GU$19))))</f>
        <v/>
      </c>
      <c r="GV21" s="150" t="str">
        <f aca="false">IF(GV$19&gt;$FJ21,"",MAX(0,IF(GV$19=$FJ21,$S21^2*GV$15,GV20*INDEX($T$20:$T$91,$FJ21-GV$19)^2/INDEX($U$20:$U$91,$FJ21-GV$19))))</f>
        <v/>
      </c>
      <c r="GW21" s="150" t="str">
        <f aca="false">IF(GW$19&gt;$FJ21,"",MAX(0,IF(GW$19=$FJ21,$S21^2*GW$15,GW20*INDEX($T$20:$T$91,$FJ21-GW$19)^2/INDEX($U$20:$U$91,$FJ21-GW$19))))</f>
        <v/>
      </c>
      <c r="GX21" s="150" t="str">
        <f aca="false">IF(GX$19&gt;$FJ21,"",MAX(0,IF(GX$19=$FJ21,$S21^2*GX$15,GX20*INDEX($T$20:$T$91,$FJ21-GX$19)^2/INDEX($U$20:$U$91,$FJ21-GX$19))))</f>
        <v/>
      </c>
      <c r="GY21" s="150" t="str">
        <f aca="false">IF(GY$19&gt;$FJ21,"",MAX(0,IF(GY$19=$FJ21,$S21^2*GY$15,GY20*INDEX($T$20:$T$91,$FJ21-GY$19)^2/INDEX($U$20:$U$91,$FJ21-GY$19))))</f>
        <v/>
      </c>
      <c r="GZ21" s="150" t="str">
        <f aca="false">IF(GZ$19&gt;$FJ21,"",MAX(0,IF(GZ$19=$FJ21,$S21^2*GZ$15,GZ20*INDEX($T$20:$T$91,$FJ21-GZ$19)^2/INDEX($U$20:$U$91,$FJ21-GZ$19))))</f>
        <v/>
      </c>
      <c r="HA21" s="150" t="str">
        <f aca="false">IF(HA$19&gt;$FJ21,"",MAX(0,IF(HA$19=$FJ21,$S21^2*HA$15,HA20*INDEX($T$20:$T$91,$FJ21-HA$19)^2/INDEX($U$20:$U$91,$FJ21-HA$19))))</f>
        <v/>
      </c>
      <c r="HB21" s="150" t="str">
        <f aca="false">IF(HB$19&gt;$FJ21,"",MAX(0,IF(HB$19=$FJ21,$S21^2*HB$15,HB20*INDEX($T$20:$T$91,$FJ21-HB$19)^2/INDEX($U$20:$U$91,$FJ21-HB$19))))</f>
        <v/>
      </c>
      <c r="HC21" s="150" t="str">
        <f aca="false">IF(HC$19&gt;$FJ21,"",MAX(0,IF(HC$19=$FJ21,$S21^2*HC$15,HC20*INDEX($T$20:$T$91,$FJ21-HC$19)^2/INDEX($U$20:$U$91,$FJ21-HC$19))))</f>
        <v/>
      </c>
      <c r="HD21" s="150" t="str">
        <f aca="false">IF(HD$19&gt;$FJ21,"",MAX(0,IF(HD$19=$FJ21,$S21^2*HD$15,HD20*INDEX($T$20:$T$91,$FJ21-HD$19)^2/INDEX($U$20:$U$91,$FJ21-HD$19))))</f>
        <v/>
      </c>
      <c r="HE21" s="150" t="str">
        <f aca="false">IF(HE$19&gt;$FJ21,"",MAX(0,IF(HE$19=$FJ21,$S21^2*HE$15,HE20*INDEX($T$20:$T$91,$FJ21-HE$19)^2/INDEX($U$20:$U$91,$FJ21-HE$19))))</f>
        <v/>
      </c>
      <c r="HF21" s="150" t="str">
        <f aca="false">IF(HF$19&gt;$FJ21,"",MAX(0,IF(HF$19=$FJ21,$S21^2*HF$15,HF20*INDEX($T$20:$T$91,$FJ21-HF$19)^2/INDEX($U$20:$U$91,$FJ21-HF$19))))</f>
        <v/>
      </c>
      <c r="HG21" s="150" t="str">
        <f aca="false">IF(HG$19&gt;$FJ21,"",MAX(0,IF(HG$19=$FJ21,$S21^2*HG$15,HG20*INDEX($T$20:$T$91,$FJ21-HG$19)^2/INDEX($U$20:$U$91,$FJ21-HG$19))))</f>
        <v/>
      </c>
      <c r="HH21" s="150" t="str">
        <f aca="false">IF(HH$19&gt;$FJ21,"",MAX(0,IF(HH$19=$FJ21,$S21^2*HH$15,HH20*INDEX($T$20:$T$91,$FJ21-HH$19)^2/INDEX($U$20:$U$91,$FJ21-HH$19))))</f>
        <v/>
      </c>
      <c r="HI21" s="150" t="str">
        <f aca="false">IF(HI$19&gt;$FJ21,"",MAX(0,IF(HI$19=$FJ21,$S21^2*HI$15,HI20*INDEX($T$20:$T$91,$FJ21-HI$19)^2/INDEX($U$20:$U$91,$FJ21-HI$19))))</f>
        <v/>
      </c>
      <c r="HJ21" s="150" t="str">
        <f aca="false">IF(HJ$19&gt;$FJ21,"",MAX(0,IF(HJ$19=$FJ21,$S21^2*HJ$15,HJ20*INDEX($T$20:$T$91,$FJ21-HJ$19)^2/INDEX($U$20:$U$91,$FJ21-HJ$19))))</f>
        <v/>
      </c>
      <c r="HK21" s="150" t="str">
        <f aca="false">IF(HK$19&gt;$FJ21,"",MAX(0,IF(HK$19=$FJ21,$S21^2*HK$15,HK20*INDEX($T$20:$T$91,$FJ21-HK$19)^2/INDEX($U$20:$U$91,$FJ21-HK$19))))</f>
        <v/>
      </c>
      <c r="HL21" s="150" t="str">
        <f aca="false">IF(HL$19&gt;$FJ21,"",MAX(0,IF(HL$19=$FJ21,$S21^2*HL$15,HL20*INDEX($T$20:$T$91,$FJ21-HL$19)^2/INDEX($U$20:$U$91,$FJ21-HL$19))))</f>
        <v/>
      </c>
      <c r="HM21" s="150" t="str">
        <f aca="false">IF(HM$19&gt;$FJ21,"",MAX(0,IF(HM$19=$FJ21,$S21^2*HM$15,HM20*INDEX($T$20:$T$91,$FJ21-HM$19)^2/INDEX($U$20:$U$91,$FJ21-HM$19))))</f>
        <v/>
      </c>
      <c r="HN21" s="150" t="str">
        <f aca="false">IF(HN$19&gt;$FJ21,"",MAX(0,IF(HN$19=$FJ21,$S21^2*HN$15,HN20*INDEX($T$20:$T$91,$FJ21-HN$19)^2/INDEX($U$20:$U$91,$FJ21-HN$19))))</f>
        <v/>
      </c>
      <c r="HO21" s="150" t="str">
        <f aca="false">IF(HO$19&gt;$FJ21,"",MAX(0,IF(HO$19=$FJ21,$S21^2*HO$15,HO20*INDEX($T$20:$T$91,$FJ21-HO$19)^2/INDEX($U$20:$U$91,$FJ21-HO$19))))</f>
        <v/>
      </c>
      <c r="HP21" s="150" t="str">
        <f aca="false">IF(HP$19&gt;$FJ21,"",MAX(0,IF(HP$19=$FJ21,$S21^2*HP$15,HP20*INDEX($T$20:$T$91,$FJ21-HP$19)^2/INDEX($U$20:$U$91,$FJ21-HP$19))))</f>
        <v/>
      </c>
      <c r="HQ21" s="150" t="str">
        <f aca="false">IF(HQ$19&gt;$FJ21,"",MAX(0,IF(HQ$19=$FJ21,$S21^2*HQ$15,HQ20*INDEX($T$20:$T$91,$FJ21-HQ$19)^2/INDEX($U$20:$U$91,$FJ21-HQ$19))))</f>
        <v/>
      </c>
      <c r="HR21" s="150" t="str">
        <f aca="false">IF(HR$19&gt;$FJ21,"",MAX(0,IF(HR$19=$FJ21,$S21^2*HR$15,HR20*INDEX($T$20:$T$91,$FJ21-HR$19)^2/INDEX($U$20:$U$91,$FJ21-HR$19))))</f>
        <v/>
      </c>
      <c r="HS21" s="150" t="str">
        <f aca="false">IF(HS$19&gt;$FJ21,"",MAX(0,IF(HS$19=$FJ21,$S21^2*HS$15,HS20*INDEX($T$20:$T$91,$FJ21-HS$19)^2/INDEX($U$20:$U$91,$FJ21-HS$19))))</f>
        <v/>
      </c>
      <c r="HT21" s="150" t="str">
        <f aca="false">IF(HT$19&gt;$FJ21,"",MAX(0,IF(HT$19=$FJ21,$S21^2*HT$15,HT20*INDEX($T$20:$T$91,$FJ21-HT$19)^2/INDEX($U$20:$U$91,$FJ21-HT$19))))</f>
        <v/>
      </c>
      <c r="HU21" s="150" t="str">
        <f aca="false">IF(HU$19&gt;$FJ21,"",MAX(0,IF(HU$19=$FJ21,$S21^2*HU$15,HU20*INDEX($T$20:$T$91,$FJ21-HU$19)^2/INDEX($U$20:$U$91,$FJ21-HU$19))))</f>
        <v/>
      </c>
      <c r="HV21" s="150" t="str">
        <f aca="false">IF(HV$19&gt;$FJ21,"",MAX(0,IF(HV$19=$FJ21,$S21^2*HV$15,HV20*INDEX($T$20:$T$91,$FJ21-HV$19)^2/INDEX($U$20:$U$91,$FJ21-HV$19))))</f>
        <v/>
      </c>
      <c r="HW21" s="150" t="str">
        <f aca="false">IF(HW$19&gt;$FJ21,"",MAX(0,IF(HW$19=$FJ21,$S21^2*HW$15,HW20*INDEX($T$20:$T$91,$FJ21-HW$19)^2/INDEX($U$20:$U$91,$FJ21-HW$19))))</f>
        <v/>
      </c>
      <c r="HX21" s="150" t="str">
        <f aca="false">IF(HX$19&gt;$FJ21,"",MAX(0,IF(HX$19=$FJ21,$S21^2*HX$15,HX20*INDEX($T$20:$T$91,$FJ21-HX$19)^2/INDEX($U$20:$U$91,$FJ21-HX$19))))</f>
        <v/>
      </c>
      <c r="HY21" s="150" t="str">
        <f aca="false">IF(HY$19&gt;$FJ21,"",MAX(0,IF(HY$19=$FJ21,$S21^2*HY$15,HY20*INDEX($T$20:$T$91,$FJ21-HY$19)^2/INDEX($U$20:$U$91,$FJ21-HY$19))))</f>
        <v/>
      </c>
      <c r="HZ21" s="150" t="str">
        <f aca="false">IF(HZ$19&gt;$FJ21,"",MAX(0,IF(HZ$19=$FJ21,$S21^2*HZ$15,HZ20*INDEX($T$20:$T$91,$FJ21-HZ$19)^2/INDEX($U$20:$U$91,$FJ21-HZ$19))))</f>
        <v/>
      </c>
      <c r="IA21" s="150" t="str">
        <f aca="false">IF(IA$19&gt;$FJ21,"",MAX(0,IF(IA$19=$FJ21,$S21^2*IA$15,IA20*INDEX($T$20:$T$91,$FJ21-IA$19)^2/INDEX($U$20:$U$91,$FJ21-IA$19))))</f>
        <v/>
      </c>
      <c r="IB21" s="150" t="str">
        <f aca="false">IF(IB$19&gt;$FJ21,"",MAX(0,IF(IB$19=$FJ21,$S21^2*IB$15,IB20*INDEX($T$20:$T$91,$FJ21-IB$19)^2/INDEX($U$20:$U$91,$FJ21-IB$19))))</f>
        <v/>
      </c>
      <c r="IC21" s="150" t="str">
        <f aca="false">IF(IC$19&gt;$FJ21,"",MAX(0,IF(IC$19=$FJ21,$S21^2*IC$15,IC20*INDEX($T$20:$T$91,$FJ21-IC$19)^2/INDEX($U$20:$U$91,$FJ21-IC$19))))</f>
        <v/>
      </c>
      <c r="ID21" s="572" t="str">
        <f aca="false">IF(ID$19&gt;$FJ21,"",MAX(0,IF(ID$19=$FJ21,$S21^2*ID$15,ID20*INDEX($T$20:$T$91,$FJ21-ID$19)^2/INDEX($U$20:$U$91,$FJ21-ID$19))))</f>
        <v/>
      </c>
      <c r="IE21" s="129"/>
    </row>
    <row r="22" customFormat="false" ht="16.5" hidden="false" customHeight="true" outlineLevel="0" collapsed="false">
      <c r="A22" s="76" t="e">
        <f aca="false">L22*O22*SQRT(2/260/3.14)</f>
        <v>#VALUE!</v>
      </c>
      <c r="B22" s="243" t="str">
        <f aca="false">IF(OptControl&gt;1,"","Fence")</f>
        <v>Fence</v>
      </c>
      <c r="C22" s="242" t="e">
        <f aca="false">IF(OptControl&gt;2,"",C19-C20)</f>
        <v>#NAME?</v>
      </c>
      <c r="D22" s="244" t="e">
        <f aca="false">IF(OptControl&gt;2,"",D19-D20)</f>
        <v>#NAME?</v>
      </c>
      <c r="E22" s="244" t="e">
        <f aca="false">IF(OptControl&gt;2,"",E19-E20)</f>
        <v>#NAME?</v>
      </c>
      <c r="F22" s="245" t="e">
        <f aca="false">IF(OptControl&gt;2,"",F19-F20)</f>
        <v>#NAME?</v>
      </c>
      <c r="G22" s="594" t="n">
        <f aca="false">AN4</f>
        <v>0</v>
      </c>
      <c r="H22" s="219" t="n">
        <f aca="false">VLOOKUP(I22,$EJ$20:$EL$54,3)</f>
        <v>25</v>
      </c>
      <c r="I22" s="511" t="n">
        <f aca="false">EOMONTH(I21,0)+1</f>
        <v>36831</v>
      </c>
      <c r="J22" s="512"/>
      <c r="K22" s="513" t="s">
        <v>226</v>
      </c>
      <c r="L22" s="514" t="e">
        <f aca="false">IF(ISNUMBER(K22),J22+K22/100,IF(K22="extra",L21+VLOOKUP(BF22,PriceSpreadTable,2)/12,IF(K22="inter",interpolateprices($K$19:$L$200,ROW(K22)-ROW(FirstPricingMonth)+1),interpolatechanges($J$19:$K$200,ROW(K22)-ROW(FirstPricingMonth)+1))))</f>
        <v>#VALUE!</v>
      </c>
      <c r="M22" s="515"/>
      <c r="N22" s="516" t="n">
        <v>0</v>
      </c>
      <c r="O22" s="515" t="n">
        <f aca="false">M22+N22</f>
        <v>0</v>
      </c>
      <c r="P22" s="512"/>
      <c r="Q22" s="517" t="s">
        <v>226</v>
      </c>
      <c r="R22" s="512" t="e">
        <f aca="false">IF(ISNUMBER(Q22),P22+Q22/100,IF(Q22="extra",(Z20*AL20-R21*AM20)/AN20,IF(Q22="inter",interpolateprices($Q$19:$R$260,ROW(Q22)-ROW(FirstPricingMonth)+1),interpolatechanges($P$19:$Q$260,ROW(Q22)-ROW(FirstPricingMonth)+1))))</f>
        <v>#VALUE!</v>
      </c>
      <c r="S22" s="574" t="n">
        <v>0.39</v>
      </c>
      <c r="T22" s="575" t="n">
        <f aca="false">SQRT((1-(1-T21^2/U21)*T$18)*U22)</f>
        <v>0.910340217797921</v>
      </c>
      <c r="U22" s="576" t="n">
        <f aca="false">1-(1-U21)*U$18</f>
        <v>0.9915625</v>
      </c>
      <c r="V22" s="521" t="n">
        <v>0</v>
      </c>
      <c r="W22" s="577" t="n">
        <f aca="false">(J23*AJ22+J24*AK22)/AI22</f>
        <v>0</v>
      </c>
      <c r="X22" s="578" t="e">
        <f aca="false">(L23*AJ22+L24*AK22)/AI22</f>
        <v>#VALUE!</v>
      </c>
      <c r="Y22" s="579" t="n">
        <f aca="false">IF(Q24="extra",W22-AA22,(P23*AM22+P24*AN22)/AL22)</f>
        <v>0</v>
      </c>
      <c r="Z22" s="579" t="e">
        <f aca="false">IF(Q24="extra",X22-AB22,(R23*AM22+R24*AN22)/AL22)</f>
        <v>#VALUE!</v>
      </c>
      <c r="AA22" s="523" t="n">
        <f aca="false">IF(Q24="extra",INDEX(BrentSeasonalityTable,INT((BG22-1)/3)+1)*VLOOKUP(MAX(BF22,$AB$4),PriceSpreadTable,3),W22-Y22)</f>
        <v>0</v>
      </c>
      <c r="AB22" s="524" t="e">
        <f aca="false">IF(Q24="extra",INDEX(BrentSeasonalityTable,INT((BG22-1)/3)+1)*VLOOKUP(MAX(BF22,$AB$4),PriceSpreadTable,3),X22-Z22)</f>
        <v>#VALUE!</v>
      </c>
      <c r="AC22" s="525" t="n">
        <v>36819</v>
      </c>
      <c r="AD22" s="526" t="n">
        <v>36816</v>
      </c>
      <c r="AE22" s="526" t="n">
        <v>36815</v>
      </c>
      <c r="AF22" s="527" t="n">
        <v>36810</v>
      </c>
      <c r="AG22" s="438" t="s">
        <v>224</v>
      </c>
      <c r="AH22" s="439" t="s">
        <v>224</v>
      </c>
      <c r="AI22" s="528" t="n">
        <v>22</v>
      </c>
      <c r="AJ22" s="529" t="n">
        <v>13</v>
      </c>
      <c r="AK22" s="529" t="n">
        <v>9</v>
      </c>
      <c r="AL22" s="530" t="n">
        <v>22</v>
      </c>
      <c r="AM22" s="529" t="n">
        <v>10</v>
      </c>
      <c r="AN22" s="531" t="n">
        <v>12</v>
      </c>
      <c r="AO22" s="532"/>
      <c r="AP22" s="465" t="n">
        <f aca="false">(1+AO22/2)^(-2*BL22)</f>
        <v>1</v>
      </c>
      <c r="AQ22" s="532"/>
      <c r="AR22" s="465" t="n">
        <f aca="false">(1+AQ22/2)^(-2*BH22/365.25)</f>
        <v>1</v>
      </c>
      <c r="AS22" s="580" t="n">
        <f aca="false">(O23*AJ22+O24*AK22)/AI22</f>
        <v>0</v>
      </c>
      <c r="AT22" s="468" t="n">
        <f aca="false">O22*VLOOKUP(BF22,BrentVolTable,2)+VLOOKUP(BF22,BrentVolTable,3)</f>
        <v>0</v>
      </c>
      <c r="AU22" s="468" t="n">
        <f aca="false">(AT23*AM22+AT24*AN22)/AL22</f>
        <v>0</v>
      </c>
      <c r="AV22" s="595" t="n">
        <f aca="false">SQRT(MAX(0.000000000001,(O22^2*BH22-S22^2*(BH22-BH21))/BH21))</f>
        <v>0.023075054833366</v>
      </c>
      <c r="AW22" s="451" t="n">
        <f aca="false">IF($I22-DateToday+15&gt;=$T$8,"",IF($I22-DateToday+15&lt;$T$5,1,MATCH($I22-DateToday+15,$T$5:$T$8)))</f>
        <v>1</v>
      </c>
      <c r="AX22" s="468" t="n">
        <f aca="false">IF($AW22="",AX21^2/AX20,INDEX(U$5:U$8,$AW22)^((INDEX($T$5:$T$8,$AW22+1)-($I22-DateToday+15))/(INDEX($T$5:$T$8,$AW22+1)-INDEX($T$5:$T$8,$AW22)))/INDEX(U$5:U$8,$AW22+1)^((INDEX($T$5:$T$8,$AW22)-($I22-DateToday+15))/(INDEX($T$5:$T$8,$AW22+1)-INDEX($T$5:$T$8,$AW22))))</f>
        <v>12.0236111469996</v>
      </c>
      <c r="AY22" s="468" t="n">
        <f aca="false">IF($AW22="",AY21^2/AY20,INDEX(V$5:V$8,$AW22)^((INDEX($T$5:$T$8,$AW22+1)-($I22-DateToday+15))/(INDEX($T$5:$T$8,$AW22+1)-INDEX($T$5:$T$8,$AW22)))/INDEX(V$5:V$8,$AW22+1)^((INDEX($T$5:$T$8,$AW22)-($I22-DateToday+15))/(INDEX($T$5:$T$8,$AW22+1)-INDEX($T$5:$T$8,$AW22))))</f>
        <v>4795.64837644822</v>
      </c>
      <c r="AZ22" s="468" t="n">
        <f aca="false">IF($AW22="",AZ21^2/AZ20,INDEX(W$5:W$8,$AW22)^((INDEX($T$5:$T$8,$AW22+1)-($I22-DateToday+15))/(INDEX($T$5:$T$8,$AW22+1)-INDEX($T$5:$T$8,$AW22)))/INDEX(W$5:W$8,$AW22+1)^((INDEX($T$5:$T$8,$AW22)-($I22-DateToday+15))/(INDEX($T$5:$T$8,$AW22+1)-INDEX($T$5:$T$8,$AW22))))</f>
        <v>594005381.217763</v>
      </c>
      <c r="BA22" s="468" t="n">
        <f aca="false">IF($AW22="",BA21^2/BA20,INDEX(X$5:X$8,$AW22)^((INDEX($T$5:$T$8,$AW22+1)-($I22-DateToday+15))/(INDEX($T$5:$T$8,$AW22+1)-INDEX($T$5:$T$8,$AW22)))/INDEX(X$5:X$8,$AW22+1)^((INDEX($T$5:$T$8,$AW22)-($I22-DateToday+15))/(INDEX($T$5:$T$8,$AW22+1)-INDEX($T$5:$T$8,$AW22))))</f>
        <v>74396767947.7878</v>
      </c>
      <c r="BB22" s="468" t="n">
        <f aca="false">IF($AW22="",BB21^2/BB20,INDEX(Y$5:Y$8,$AW22)^((INDEX($T$5:$T$8,$AW22+1)-($I22-DateToday+15))/(INDEX($T$5:$T$8,$AW22+1)-INDEX($T$5:$T$8,$AW22)))/INDEX(Y$5:Y$8,$AW22+1)^((INDEX($T$5:$T$8,$AW22)-($I22-DateToday+15))/(INDEX($T$5:$T$8,$AW22+1)-INDEX($T$5:$T$8,$AW22))))</f>
        <v>2016410117587.32</v>
      </c>
      <c r="BC22" s="468" t="n">
        <f aca="false">IF($AW22="",BC21^2/BC20,INDEX(Z$5:Z$8,$AW22)^((INDEX($T$5:$T$8,$AW22+1)-($I22-DateToday+15))/(INDEX($T$5:$T$8,$AW22+1)-INDEX($T$5:$T$8,$AW22)))/INDEX(Z$5:Z$8,$AW22+1)^((INDEX($T$5:$T$8,$AW22)-($I22-DateToday+15))/(INDEX($T$5:$T$8,$AW22+1)-INDEX($T$5:$T$8,$AW22))))</f>
        <v>14347051493455.7</v>
      </c>
      <c r="BD22" s="535" t="n">
        <f aca="false">IF(OR(DateStart&gt;=I23,DateEnd&lt;I22),0,IF(VolumeOverrideFlag,V22,Volume))</f>
        <v>0</v>
      </c>
      <c r="BE22" s="536" t="n">
        <f aca="false">IF(OR(DateStart2&gt;=I23,DateEnd2&lt;I22),0,IF(VolumeOverrideFlag,V22,VolumeSwaption))</f>
        <v>0</v>
      </c>
      <c r="BF22" s="537" t="n">
        <f aca="false">YEAR(I22)</f>
        <v>2000</v>
      </c>
      <c r="BG22" s="538" t="n">
        <f aca="false">MONTH(I22)</f>
        <v>11</v>
      </c>
      <c r="BH22" s="539" t="n">
        <f aca="false">AD22-DateToday+1</f>
        <v>-9109</v>
      </c>
      <c r="BI22" s="540" t="n">
        <f aca="false">(I22-DateToday+1)/365.25</f>
        <v>-24.8980150581793</v>
      </c>
      <c r="BJ22" s="541" t="n">
        <f aca="false">BI22+(BL22-BI22)*CHOOSE(Underlying,AJ22/AI22,AM22/AL22)</f>
        <v>-24.8510982515089</v>
      </c>
      <c r="BK22" s="541" t="n">
        <f aca="false">BJ22+1/365.25</f>
        <v>-24.8483604007218</v>
      </c>
      <c r="BL22" s="541" t="n">
        <f aca="false">(I23-DateToday)/365.25</f>
        <v>-24.8186173853525</v>
      </c>
      <c r="BM22" s="542" t="e">
        <f aca="false">MAX(BI22-(BJ22-BI22)*(S23^2/O23^2-1),0)</f>
        <v>#DIV/0!</v>
      </c>
      <c r="BN22" s="541" t="e">
        <f aca="false">MAX(BL22+(BL22-BK22)*(S24^2/O24^2-1),0)</f>
        <v>#DIV/0!</v>
      </c>
      <c r="BO22" s="530" t="n">
        <f aca="false">CHOOSE(Underlying,AI22,AL22)</f>
        <v>22</v>
      </c>
      <c r="BP22" s="529" t="n">
        <f aca="false">CHOOSE(Underlying,AJ22,AM22)</f>
        <v>13</v>
      </c>
      <c r="BQ22" s="529" t="n">
        <f aca="false">CHOOSE(Underlying,AK22,AN22)</f>
        <v>9</v>
      </c>
      <c r="BR22" s="463" t="str">
        <f aca="false">IF(BD22,IF(Underlying=1,X22,Z22)+UnderlyingPriceAsian-SwapPriceCurve,"")</f>
        <v/>
      </c>
      <c r="BS22" s="463" t="str">
        <f aca="false">IF(BD22,Strike1/BR22-1,"")</f>
        <v/>
      </c>
      <c r="BT22" s="464" t="str">
        <f aca="false">IF(BD22,Strike2/BR22-1,"")</f>
        <v/>
      </c>
      <c r="BU22" s="465" t="str">
        <f aca="false">IF(BD22,IF(Underlying=1,L23,R23)+UnderlyingPriceAsian-SwapPriceCurve,"")</f>
        <v/>
      </c>
      <c r="BV22" s="465" t="str">
        <f aca="false">IF(BD22,IF(Underlying=1,L24,R24)+UnderlyingPriceAsian-SwapPriceCurve,"")</f>
        <v/>
      </c>
      <c r="BW22" s="466" t="str">
        <f aca="false">IF(BD22,IF(Underlying=1,O23,AT23),"")</f>
        <v/>
      </c>
      <c r="BX22" s="467" t="str">
        <f aca="false">IF(BD22,IF(Underlying=1,O24,AT24),"")</f>
        <v/>
      </c>
      <c r="BY22" s="466" t="str">
        <f aca="false">IF(BD22,IF(BS22&gt;0,IF(BS22&gt;0.2,BC22-BB22,IF(BS22&gt;0.1,BB22-BA22,BA22)),IF(BS22&lt;-0.2,AX22-AY22,IF(BS22&lt;-0.1,AY22-AZ22,AZ22))),"")</f>
        <v/>
      </c>
      <c r="BZ22" s="467" t="str">
        <f aca="false">IF(BD22,IF(BT22&gt;0,IF(BT22&gt;0.2,BC22-BB22,IF(BT22&gt;0.1,BB22-BA22,BA22)),IF(BT22&lt;-0.2,AX22-AY22,IF(BT22&lt;-0.1,AY22-AZ22,AZ22))),"")</f>
        <v/>
      </c>
      <c r="CA22" s="468" t="str">
        <f aca="false">IF($BD22,$BW22+IF(VolSkewFlag=1,IF(BS22&gt;0,$BA22*MIN(BS22/10%,1)+($BB22-$BA22)*MAX(0,MIN(BS22/10%-1,1))+($BC22-$BB22)*MAX(0,BS22/10%-2),$AZ22*MIN(-BS22/10%,1)+($AY22-$AZ22)*MAX(0,MIN(-BS22/10%-1,1))+($AX22-$AY22)*MAX(0,-BS22/10%-2)),0),"")</f>
        <v/>
      </c>
      <c r="CB22" s="468" t="str">
        <f aca="false">IF($BD22,$BX22+IF(VolSkewFlag=1,IF(BS22&gt;0,$BA22*MIN(BS22/10%,1)+($BB22-$BA22)*MAX(0,MIN(BS22/10%-1,1))+($BC22-$BB22)*MAX(0,BS22/10%-2),$AZ22*MIN(-BS22/10%,1)+($AY22-$AZ22)*MAX(0,MIN(-BS22/10%-1,1))+($AX22-$AY22)*MAX(0,-BS22/10%-2)),0),"")</f>
        <v/>
      </c>
      <c r="CC22" s="468" t="str">
        <f aca="false">IF($BD22,$BW22+IF(VolSkewFlag=1,IF(BT22&gt;0,$BA22*MIN(BT22/10%,1)+($BB22-$BA22)*MAX(0,MIN(BT22/10%-1,1))+($BC22-$BB22)*MAX(0,BT22/10%-2),$AZ22*MIN(-BT22/10%,1)+($AY22-$AZ22)*MAX(0,MIN(-BT22/10%-1,1))+($AX22-$AY22)*MAX(0,-BT22/10%-2)),0),"")</f>
        <v/>
      </c>
      <c r="CD22" s="468" t="str">
        <f aca="false">IF($BD22,$BX22+IF(VolSkewFlag=1,IF(BT22&gt;0,$BA22*MIN(BT22/10%,1)+($BB22-$BA22)*MAX(0,MIN(BT22/10%-1,1))+($BC22-$BB22)*MAX(0,BT22/10%-2),$AZ22*MIN(-BT22/10%,1)+($AY22-$AZ22)*MAX(0,MIN(-BT22/10%-1,1))+($AX22-$AY22)*MAX(0,-BT22/10%-2)),0),"")</f>
        <v/>
      </c>
      <c r="CE22" s="469" t="n">
        <v>1</v>
      </c>
      <c r="CF22" s="470" t="n">
        <f aca="false">IF(BD22,xCrudeAPO(BU22,BV22,CA22,CB22,S23,S24,BI22,BL22,BP22,BQ22,0,Strike1,AO22,CE22,0,BL22,IF(OptControl=4,0,1),0,1),0)</f>
        <v>0</v>
      </c>
      <c r="CG22" s="470" t="n">
        <f aca="false">IF(BD22,xCrudeAPO(BU22,BV22,CA22,CB22,S23,S24,BI22,BL22,BP22,BQ22,0,Strike1,AO22,CE22,0,BL22,IF(OptControl=4,0,1),1,1)+xCrudeAPO(BU22,BV22,CA22,CB22,S23,S24,BI22,BL22,BP22,BQ22,0,Strike1,AO22,CE22,0,BL22,IF(OptControl=4,0,1),1,2)+IF(OR(VolSkewFlag=2,ABS(BS22)&lt;0.0001),0,IF(BS22&gt;0,-1,1)*CH22*Strike1/BR22^2*BY22/10%),0)</f>
        <v>0</v>
      </c>
      <c r="CH22" s="470" t="n">
        <f aca="false">IF(BD22,(xCrudeAPO(BU22,BV22,CA22,CB22,S23,S24,BI22,BL22,BP22,BQ22,0,Strike1,AO22,CE22,0,BL22,IF(OptControl=4,0,1),3,1)+xCrudeAPO(BU22,BV22,CA22,CB22,S23,S24,BI22,BL22,BP22,BQ22,0,Strike1,AO22,CE22,0,BL22,IF(OptControl=4,0,1),3,2))/100,0)</f>
        <v>0</v>
      </c>
      <c r="CI22" s="470" t="n">
        <f aca="false">IF(BD22,xCrudeAPO(BU22,BV22,CA22,CB22,S23,S24,BI22-DaysForThetaCalculation/365.25,BL22-DaysForThetaCalculation/365.25,BP22,BQ22,0,Strike1,AO22,CE22,0,BL22,IF(OptControl=4,0,1),0,1)-xCrudeAPO(BU22,BV22,CA22,CB22,S23,S24,BI22,BL22,BP22,BQ22,0,Strike1,AO22,CE22,0,BL22,IF(OptControl=4,0,1),0,1),0)</f>
        <v>0</v>
      </c>
      <c r="CJ22" s="471" t="n">
        <f aca="false">IF(BD22,xCrudeAPO(BU22,BV22,CC22,CD22,S23,S24,BI22,BL22,BP22,BQ22,0,Strike2,AO22,CE22,0,BL22,IF(OptControl=3,1,0),0,1),0)</f>
        <v>0</v>
      </c>
      <c r="CK22" s="470" t="n">
        <f aca="false">IF(BD22,xCrudeAPO(BU22,BV22,CC22,CD22,S23,S24,BI22,BL22,BP22,BQ22,0,Strike2,AO22,CE22,0,BL22,IF(OptControl=3,1,0),1,1)+xCrudeAPO(BU22,BV22,CC22,CD22,S23,S24,BI22,BL22,BP22,BQ22,0,Strike2,AO22,CE22,0,BL22,IF(OptControl=3,1,0),1,2)+IF(OR(VolSkewFlag=2,ABS(BT22)&lt;0.0001),0,IF(BT22&gt;0,-1,1)*CL22*Strike2/BR22^2*BZ22/10%),0)</f>
        <v>0</v>
      </c>
      <c r="CL22" s="470" t="n">
        <f aca="false">IF(BD22,(xCrudeAPO(BU22,BV22,CC22,CD22,S23,S24,BI22,BL22,BP22,BQ22,0,Strike2,AO22,CE22,0,BL22,IF(OptControl=3,1,0),3,1)+xCrudeAPO(BU22,BV22,CC22,CD22,S23,S24,BI22,BL22,BP22,BQ22,0,Strike2,AO22,CE22,0,BL22,IF(OptControl=3,1,0),3,2))/100,0)</f>
        <v>0</v>
      </c>
      <c r="CM22" s="472" t="n">
        <f aca="false">IF(BD22,xCrudeAPO(BU22,BV22,CC22,CD22,S23,S24,BI22-DaysForThetaCalculation/365.25,BL22-DaysForThetaCalculation/365.25,BP22,BQ22,0,Strike2,AO22,CE22,0,BL22,IF(OptControl=3,1,0),0,1)-xCrudeAPO(BU22,BV22,CC22,CD22,S23,S24,BI22,BL22,BP22,BQ22,0,Strike2,AO22,CE22,0,BL22,IF(OptControl=3,1,0),0,1),0)</f>
        <v>0</v>
      </c>
      <c r="CN22" s="473"/>
      <c r="CO22" s="543" t="str">
        <f aca="false">IF(BD22,CHOOSE(Underlying,AD22,AF22)-DateToday+1,"")</f>
        <v/>
      </c>
      <c r="CP22" s="582" t="str">
        <f aca="false">IF(BD22,CHOOSE(Underlying,L22,R22),"")</f>
        <v/>
      </c>
      <c r="CQ22" s="544" t="str">
        <f aca="false">IF(BD22,Strike1/CP22-1,"")</f>
        <v/>
      </c>
      <c r="CR22" s="544" t="str">
        <f aca="false">IF(BD22,Strike2/CP22-1,"")</f>
        <v/>
      </c>
      <c r="CS22" s="544" t="str">
        <f aca="false">IF(BD22,IF(CQ22&gt;0,IF(CQ22&gt;0.2,BC21-BB21,IF(CQ22&gt;0.1,BB21-BA21,BA21)),IF(CQ22&lt;-0.2,AX21-AY21,IF(CQ22&lt;-0.1,AY21-AZ21,AZ21))),"")</f>
        <v/>
      </c>
      <c r="CT22" s="544" t="str">
        <f aca="false">IF(BD22,IF(CR22&gt;0,IF(CR22&gt;0.2,BC21-BB21,IF(CR22&gt;0.1,BB21-BA21,BA21)),IF(CR22&lt;-0.2,AX21-AY21,IF(CR22&lt;-0.1,AY21-AZ21,AZ21))),"")</f>
        <v/>
      </c>
      <c r="CU22" s="545" t="str">
        <f aca="false">IF(BD22,CHOOSE(Underlying,O22,AT22),"")</f>
        <v/>
      </c>
      <c r="CV22" s="545" t="str">
        <f aca="false">IF(BD22,CU22+IF(VolSkewFlag=1,IF(CQ22&gt;0,BA21*MIN(CQ22/10%,1)+(BB21-BA21)*MAX(0,MIN(CQ22/10%-1,1))+(BC21-BB21)*MAX(0,CQ22/10%-2),AZ21*MIN(-CQ22/10%,1)+(AY21-AZ21)*MAX(0,MIN(-CQ22/10%-1,1))+(AX21-AY21)*MAX(0,-CQ22/10%-2)),0),"")</f>
        <v/>
      </c>
      <c r="CW22" s="545" t="str">
        <f aca="false">IF(BD22,CU22+IF(VolSkewFlag=1,IF(CR22&gt;0,BA21*MIN(CR22/10%,1)+(BB21-BA21)*MAX(0,MIN(CR22/10%-1,1))+(BC21-BB21)*MAX(0,CR22/10%-2),AZ21*MIN(-CR22/10%,1)+(AY21-AZ21)*MAX(0,MIN(-CR22/10%-1,1))+(AX21-AY21)*MAX(0,-CR22/10%-2)),0),"")</f>
        <v/>
      </c>
      <c r="CX22" s="470" t="n">
        <f aca="false">IF(BD22,EURO(CP22,Strike1,AO22,AO22,CV22,CO22,IF(OptControl=4,0,1),0),0)</f>
        <v>0</v>
      </c>
      <c r="CY22" s="470" t="n">
        <f aca="false">IF(BD22,EURO(CP22,Strike1,AO22,AO22,CV22,CO22,IF(OptControl=4,0,1),1)+IF(OR(VolSkewFlag=2,ABS(CQ22)&lt;0.0001),0,IF(CQ22&gt;0,-1,1)*CZ22*100*Strike1/CP22^2*CS22/10%),0)</f>
        <v>0</v>
      </c>
      <c r="CZ22" s="470" t="n">
        <f aca="false">IF(BD22,EURO(CP22,Strike1,AO22,AO22,CV22,CO22,IF(OptControl=4,0,1),3)/100,0)</f>
        <v>0</v>
      </c>
      <c r="DA22" s="470" t="n">
        <f aca="false">IF(BD22,EURO(CP22,Strike1,AO22,AO22,CV22,CO22,IF(OptControl=4,0,1),0)-EURO(CP22,Strike1,AO22,AO22,CV22,CO22-1,IF(OptControl=4,0,1),0),0)</f>
        <v>0</v>
      </c>
      <c r="DB22" s="470" t="n">
        <f aca="false">IF(BD22,EURO(CP22,Strike2,AO22,AO22,CW22,CO22,IF(OptControl=3,1,0),0),0)</f>
        <v>0</v>
      </c>
      <c r="DC22" s="470" t="n">
        <f aca="false">IF(BD22,EURO(CP22,Strike2,AO22,AO22,CW22,CO22,IF(OptControl=3,1,0),1)+IF(OR(VolSkewFlag=2,ABS(CR22)&lt;0.0001),0,IF(CR22&gt;0,-1,1)*DD22*100*Strike2/CP22^2*CT22/10%),0)</f>
        <v>0</v>
      </c>
      <c r="DD22" s="470" t="n">
        <f aca="false">IF(BD22,EURO(CP22,Strike2,AO22,AO22,CW22,CO22,IF(OptControl=3,1,0),3)/100,0)</f>
        <v>0</v>
      </c>
      <c r="DE22" s="472" t="n">
        <f aca="false">IF(BD22,EURO(CP22,Strike2,AO22,AO22,CW22,CO22,IF(OptControl=3,1,0),0)-EURO(CP22,Strike2,AO22,AO22,CW22,CO22-1,IF(OptControl=3,1,0),0),0)</f>
        <v>0</v>
      </c>
      <c r="DF22" s="473"/>
      <c r="DG22" s="481" t="n">
        <f aca="false">EOMONTH(DG21,0)+1</f>
        <v>45748</v>
      </c>
      <c r="DH22" s="478" t="n">
        <v>29.33</v>
      </c>
      <c r="DI22" s="479" t="n">
        <v>28.0452631578947</v>
      </c>
      <c r="DJ22" s="480" t="n">
        <f aca="false">DG22</f>
        <v>45748</v>
      </c>
      <c r="DK22" s="478" t="n">
        <v>27.37</v>
      </c>
      <c r="DL22" s="479" t="n">
        <v>25.782</v>
      </c>
      <c r="DM22" s="481" t="n">
        <f aca="false">DG22</f>
        <v>45748</v>
      </c>
      <c r="DN22" s="482" t="n">
        <f aca="false">DK22+BrentPhyBrentSpread</f>
        <v>27.42</v>
      </c>
      <c r="DO22" s="481" t="n">
        <f aca="false">DG22</f>
        <v>45748</v>
      </c>
      <c r="DP22" s="483" t="n">
        <f aca="false">DL22+DQ22</f>
        <v>25.457</v>
      </c>
      <c r="DQ22" s="546" t="n">
        <v>-0.325</v>
      </c>
      <c r="DR22" s="480" t="n">
        <f aca="false">DG22</f>
        <v>45748</v>
      </c>
      <c r="DS22" s="485" t="n">
        <v>0.37295</v>
      </c>
      <c r="DT22" s="486" t="n">
        <v>0.345018421052632</v>
      </c>
      <c r="DU22" s="480" t="n">
        <f aca="false">DG22</f>
        <v>45748</v>
      </c>
      <c r="DV22" s="485" t="n">
        <v>0.37295</v>
      </c>
      <c r="DW22" s="486" t="n">
        <v>0.345018421052632</v>
      </c>
      <c r="DX22" s="481" t="n">
        <f aca="false">DG22</f>
        <v>45748</v>
      </c>
      <c r="DY22" s="486" t="n">
        <v>0.38</v>
      </c>
      <c r="DZ22" s="481" t="n">
        <f aca="false">DR22</f>
        <v>45748</v>
      </c>
      <c r="EA22" s="486" t="n">
        <f aca="false">DT22</f>
        <v>0.345018421052632</v>
      </c>
      <c r="EB22" s="195"/>
      <c r="EC22" s="547" t="str">
        <f aca="false">IF(BD22,IF(Underlying=1,AS22,AU22),"")</f>
        <v/>
      </c>
      <c r="ED22" s="548" t="str">
        <f aca="false">IF($BD22,$EC22+IF(VolSkewFlag=1,IF(BS22&gt;0,$BA22*MIN(BS22/10%,1)+($BB22-$BA22)*MAX(0,MIN(BS22/10%-1,1))+($BC22-$BB22)*MAX(0,BS22/10%-2),$AZ22*MIN(-BS22/10%,1)+($AY22-$AZ22)*MAX(0,MIN(-BS22/10%-1,1))+($AX22-$AY22)*MAX(0,-BS22/10%-2)),0),"")</f>
        <v/>
      </c>
      <c r="EE22" s="549" t="str">
        <f aca="false">IF($BD22,$EC22+IF(VolSkewFlag=1,IF(BT22&gt;0,$BA22*MIN(BT22/10%,1)+($BB22-$BA22)*MAX(0,MIN(BT22/10%-1,1))+($BC22-$BB22)*MAX(0,BT22/10%-2),$AZ22*MIN(-BT22/10%,1)+($AY22-$AZ22)*MAX(0,MIN(-BT22/10%-1,1))+($AX22-$AY22)*MAX(0,-BT22/10%-2)),0),"")</f>
        <v/>
      </c>
      <c r="EF22" s="550" t="n">
        <f aca="false">IF(BD22,xASN(BR22,Strike1,AO22,ED22,0,BO22,0,BI22,BL22,IF(OptControl=4,0,1),0),0)</f>
        <v>0</v>
      </c>
      <c r="EG22" s="551" t="n">
        <f aca="false">IF(BD22,xASN(BR22,Strike2,AO22,EE22,0,BO22,0,BI22,BL22,IF(OptControl=3,1,0),0),0)</f>
        <v>0</v>
      </c>
      <c r="EI22" s="583" t="str">
        <f aca="false">DDE("TWINDDE","RSFRecord","CLc3 MTH")</f>
        <v>NOV0</v>
      </c>
      <c r="EJ22" s="584" t="n">
        <f aca="false">DATEVALUE(CONCATENATE(LEFT(EI22,3),"-",IF(VALUE(RIGHT(EI22,1))=9,"1999",CONCATENATE("200",RIGHT(EI22,1)))))</f>
        <v>36831</v>
      </c>
      <c r="EK22" s="585" t="n">
        <f aca="false">DDE("TWINDDE","RSFRecord","CLc3 NET.CHNG")</f>
        <v>0.25</v>
      </c>
      <c r="EL22" s="586" t="n">
        <f aca="false">IF(ISNUMBER(VALUE(EK22)),VALUE(EK22)*100,0)</f>
        <v>25</v>
      </c>
      <c r="EM22" s="195"/>
      <c r="EN22" s="556" t="n">
        <v>36528</v>
      </c>
      <c r="EO22" s="557" t="n">
        <v>36892</v>
      </c>
      <c r="EP22" s="195"/>
      <c r="EQ22" s="407" t="s">
        <v>31</v>
      </c>
      <c r="ES22" s="587" t="n">
        <v>3</v>
      </c>
      <c r="ET22" s="559" t="n">
        <f aca="false">BH22/365.25</f>
        <v>-24.9390828199863</v>
      </c>
      <c r="EU22" s="560" t="n">
        <f aca="false">O22^2*ET22</f>
        <v>-0</v>
      </c>
      <c r="EV22" s="588" t="e">
        <f aca="false">SQRT(SUM(FK22:ID22)/ET22)</f>
        <v>#VALUE!</v>
      </c>
      <c r="EW22" s="589" t="str">
        <f aca="false">IF(OR(DateStart2&gt;I21,DateEnd2&lt;I20),"",IF(DateStart2&lt;I21,AK20/AI20*AP20*BE20*SwaptionNumOfMonths/$D$33,0)+IF(DateEnd2&gt;I20,AJ21/AI21*AP21*BE21*SwaptionNumOfMonths/$D$33,0))</f>
        <v/>
      </c>
      <c r="EX22" s="590" t="str">
        <f aca="false">IF(EW22="","",SQRT(SUM(FK327:ID327)/SwaptionYearsToExp))</f>
        <v/>
      </c>
      <c r="EY22" s="129" t="n">
        <v>0</v>
      </c>
      <c r="EZ22" s="591" t="str">
        <f aca="false">IF(OR(EW22="",EW23=""),"",SQRT(SUM(INDEX(FK22:ID22,SwaptionFirstMonthPosition+1):INDEX(FK22:ID22,FJ22))/SUM(INDEX($FK$15:$ID$15,SwaptionFirstMonthPosition+1):INDEX($FK$15:$ID$15,FJ22))))</f>
        <v/>
      </c>
      <c r="FA22" s="592" t="str">
        <f aca="false">IF(OR(EW22="",EW21=""),"",SQRT(SUM(INDEX(FK22:ID22,SwaptionFirstMonthPosition+1):INDEX(FK22:ID22,FJ22-1))/SUM(INDEX($FK$15:$ID$15,SwaptionFirstMonthPosition+1):INDEX($FK$15:$ID$15,FJ22-1))))</f>
        <v/>
      </c>
      <c r="FB22" s="593" t="str">
        <f aca="false">IF(BE22,2/3*EZ23+1/3*FA24,"")</f>
        <v/>
      </c>
      <c r="FC22" s="596" t="str">
        <f aca="false">IF(BE22,(I23+I22-1)/2-DateToday,"")</f>
        <v/>
      </c>
      <c r="FD22" s="483" t="str">
        <f aca="false">IF(BE22,CHOOSE(Underlying,X22,Z22)+SwaptionUnderlyingPrice-$D$26,"")</f>
        <v/>
      </c>
      <c r="FE22" s="483" t="str">
        <f aca="false">IF(BE22,CollartionFloor/FD22-1,"")</f>
        <v/>
      </c>
      <c r="FF22" s="483" t="str">
        <f aca="false">IF(BE22,CollartionCap/FD22-1,"")</f>
        <v/>
      </c>
      <c r="FG22" s="485" t="str">
        <f aca="false">IF(BE22,IF(VolSkewFlag=1,IF(FE22&gt;0,$BA22*MIN(FE22/10%,1)+($BB22-$BA22)*MAX(0,MIN(FE22/10%-1,1))+($BC22-$BB22)*MAX(0,FE22/10%-2),$AZ22*MIN(-FE22/10%,1)+($AY22-$AZ22)*MAX(0,MIN(-FE22/10%-1,1))+($AX22-$AY22)*MAX(0,-FE22/10%-2)),0),"")</f>
        <v/>
      </c>
      <c r="FH22" s="486" t="str">
        <f aca="false">IF(BE22,IF(VolSkewFlag=1,IF(FF22&gt;0,$BA22*MIN(FF22/10%,1)+($BB22-$BA22)*MAX(0,MIN(FF22/10%-1,1))+($BC22-$BB22)*MAX(0,FF22/10%-2),$AZ22*MIN(-FF22/10%,1)+($AY22-$AZ22)*MAX(0,MIN(-FF22/10%-1,1))+($AX22-$AY22)*MAX(0,-FF22/10%-2)),0),"")</f>
        <v/>
      </c>
      <c r="FI22" s="129"/>
      <c r="FJ22" s="571" t="n">
        <v>3</v>
      </c>
      <c r="FK22" s="150" t="n">
        <f aca="false">IF(FK$19&gt;$FJ22,"",MAX(0,IF(FK$19=$FJ22,$S22^2*FK$15,FK21*INDEX($T$20:$T$91,$FJ22-FK$19)^2/INDEX($U$20:$U$91,$FJ22-FK$19))))</f>
        <v>0</v>
      </c>
      <c r="FL22" s="150" t="n">
        <f aca="false">IF(FL$19&gt;$FJ22,"",MAX(0,IF(FL$19=$FJ22,$S22^2*FL$15,FL21*INDEX($T$20:$T$91,$FJ22-FL$19)^2/INDEX($U$20:$U$91,$FJ22-FL$19))))</f>
        <v>0</v>
      </c>
      <c r="FM22" s="150" t="n">
        <f aca="false">IF(FM$19&gt;$FJ22,"",MAX(0,IF(FM$19=$FJ22,$S22^2*FM$15,FM21*INDEX($T$20:$T$91,$FJ22-FM$19)^2/INDEX($U$20:$U$91,$FJ22-FM$19))))</f>
        <v>0.0133256673511292</v>
      </c>
      <c r="FN22" s="150" t="str">
        <f aca="false">IF(FN$19&gt;$FJ22,"",MAX(0,IF(FN$19=$FJ22,$S22^2*FN$15,FN21*INDEX($T$20:$T$91,$FJ22-FN$19)^2/INDEX($U$20:$U$91,$FJ22-FN$19))))</f>
        <v/>
      </c>
      <c r="FO22" s="150" t="str">
        <f aca="false">IF(FO$19&gt;$FJ22,"",MAX(0,IF(FO$19=$FJ22,$S22^2*FO$15,FO21*INDEX($T$20:$T$91,$FJ22-FO$19)^2/INDEX($U$20:$U$91,$FJ22-FO$19))))</f>
        <v/>
      </c>
      <c r="FP22" s="150" t="str">
        <f aca="false">IF(FP$19&gt;$FJ22,"",MAX(0,IF(FP$19=$FJ22,$S22^2*FP$15,FP21*INDEX($T$20:$T$91,$FJ22-FP$19)^2/INDEX($U$20:$U$91,$FJ22-FP$19))))</f>
        <v/>
      </c>
      <c r="FQ22" s="150" t="str">
        <f aca="false">IF(FQ$19&gt;$FJ22,"",MAX(0,IF(FQ$19=$FJ22,$S22^2*FQ$15,FQ21*INDEX($T$20:$T$91,$FJ22-FQ$19)^2/INDEX($U$20:$U$91,$FJ22-FQ$19))))</f>
        <v/>
      </c>
      <c r="FR22" s="150" t="str">
        <f aca="false">IF(FR$19&gt;$FJ22,"",MAX(0,IF(FR$19=$FJ22,$S22^2*FR$15,FR21*INDEX($T$20:$T$91,$FJ22-FR$19)^2/INDEX($U$20:$U$91,$FJ22-FR$19))))</f>
        <v/>
      </c>
      <c r="FS22" s="150" t="str">
        <f aca="false">IF(FS$19&gt;$FJ22,"",MAX(0,IF(FS$19=$FJ22,$S22^2*FS$15,FS21*INDEX($T$20:$T$91,$FJ22-FS$19)^2/INDEX($U$20:$U$91,$FJ22-FS$19))))</f>
        <v/>
      </c>
      <c r="FT22" s="150" t="str">
        <f aca="false">IF(FT$19&gt;$FJ22,"",MAX(0,IF(FT$19=$FJ22,$S22^2*FT$15,FT21*INDEX($T$20:$T$91,$FJ22-FT$19)^2/INDEX($U$20:$U$91,$FJ22-FT$19))))</f>
        <v/>
      </c>
      <c r="FU22" s="150" t="str">
        <f aca="false">IF(FU$19&gt;$FJ22,"",MAX(0,IF(FU$19=$FJ22,$S22^2*FU$15,FU21*INDEX($T$20:$T$91,$FJ22-FU$19)^2/INDEX($U$20:$U$91,$FJ22-FU$19))))</f>
        <v/>
      </c>
      <c r="FV22" s="150" t="str">
        <f aca="false">IF(FV$19&gt;$FJ22,"",MAX(0,IF(FV$19=$FJ22,$S22^2*FV$15,FV21*INDEX($T$20:$T$91,$FJ22-FV$19)^2/INDEX($U$20:$U$91,$FJ22-FV$19))))</f>
        <v/>
      </c>
      <c r="FW22" s="150" t="str">
        <f aca="false">IF(FW$19&gt;$FJ22,"",MAX(0,IF(FW$19=$FJ22,$S22^2*FW$15,FW21*INDEX($T$20:$T$91,$FJ22-FW$19)^2/INDEX($U$20:$U$91,$FJ22-FW$19))))</f>
        <v/>
      </c>
      <c r="FX22" s="150" t="str">
        <f aca="false">IF(FX$19&gt;$FJ22,"",MAX(0,IF(FX$19=$FJ22,$S22^2*FX$15,FX21*INDEX($T$20:$T$91,$FJ22-FX$19)^2/INDEX($U$20:$U$91,$FJ22-FX$19))))</f>
        <v/>
      </c>
      <c r="FY22" s="150" t="str">
        <f aca="false">IF(FY$19&gt;$FJ22,"",MAX(0,IF(FY$19=$FJ22,$S22^2*FY$15,FY21*INDEX($T$20:$T$91,$FJ22-FY$19)^2/INDEX($U$20:$U$91,$FJ22-FY$19))))</f>
        <v/>
      </c>
      <c r="FZ22" s="150" t="str">
        <f aca="false">IF(FZ$19&gt;$FJ22,"",MAX(0,IF(FZ$19=$FJ22,$S22^2*FZ$15,FZ21*INDEX($T$20:$T$91,$FJ22-FZ$19)^2/INDEX($U$20:$U$91,$FJ22-FZ$19))))</f>
        <v/>
      </c>
      <c r="GA22" s="150" t="str">
        <f aca="false">IF(GA$19&gt;$FJ22,"",MAX(0,IF(GA$19=$FJ22,$S22^2*GA$15,GA21*INDEX($T$20:$T$91,$FJ22-GA$19)^2/INDEX($U$20:$U$91,$FJ22-GA$19))))</f>
        <v/>
      </c>
      <c r="GB22" s="150" t="str">
        <f aca="false">IF(GB$19&gt;$FJ22,"",MAX(0,IF(GB$19=$FJ22,$S22^2*GB$15,GB21*INDEX($T$20:$T$91,$FJ22-GB$19)^2/INDEX($U$20:$U$91,$FJ22-GB$19))))</f>
        <v/>
      </c>
      <c r="GC22" s="150" t="str">
        <f aca="false">IF(GC$19&gt;$FJ22,"",MAX(0,IF(GC$19=$FJ22,$S22^2*GC$15,GC21*INDEX($T$20:$T$91,$FJ22-GC$19)^2/INDEX($U$20:$U$91,$FJ22-GC$19))))</f>
        <v/>
      </c>
      <c r="GD22" s="150" t="str">
        <f aca="false">IF(GD$19&gt;$FJ22,"",MAX(0,IF(GD$19=$FJ22,$S22^2*GD$15,GD21*INDEX($T$20:$T$91,$FJ22-GD$19)^2/INDEX($U$20:$U$91,$FJ22-GD$19))))</f>
        <v/>
      </c>
      <c r="GE22" s="150" t="str">
        <f aca="false">IF(GE$19&gt;$FJ22,"",MAX(0,IF(GE$19=$FJ22,$S22^2*GE$15,GE21*INDEX($T$20:$T$91,$FJ22-GE$19)^2/INDEX($U$20:$U$91,$FJ22-GE$19))))</f>
        <v/>
      </c>
      <c r="GF22" s="150" t="str">
        <f aca="false">IF(GF$19&gt;$FJ22,"",MAX(0,IF(GF$19=$FJ22,$S22^2*GF$15,GF21*INDEX($T$20:$T$91,$FJ22-GF$19)^2/INDEX($U$20:$U$91,$FJ22-GF$19))))</f>
        <v/>
      </c>
      <c r="GG22" s="150" t="str">
        <f aca="false">IF(GG$19&gt;$FJ22,"",MAX(0,IF(GG$19=$FJ22,$S22^2*GG$15,GG21*INDEX($T$20:$T$91,$FJ22-GG$19)^2/INDEX($U$20:$U$91,$FJ22-GG$19))))</f>
        <v/>
      </c>
      <c r="GH22" s="150" t="str">
        <f aca="false">IF(GH$19&gt;$FJ22,"",MAX(0,IF(GH$19=$FJ22,$S22^2*GH$15,GH21*INDEX($T$20:$T$91,$FJ22-GH$19)^2/INDEX($U$20:$U$91,$FJ22-GH$19))))</f>
        <v/>
      </c>
      <c r="GI22" s="150" t="str">
        <f aca="false">IF(GI$19&gt;$FJ22,"",MAX(0,IF(GI$19=$FJ22,$S22^2*GI$15,GI21*INDEX($T$20:$T$91,$FJ22-GI$19)^2/INDEX($U$20:$U$91,$FJ22-GI$19))))</f>
        <v/>
      </c>
      <c r="GJ22" s="150" t="str">
        <f aca="false">IF(GJ$19&gt;$FJ22,"",MAX(0,IF(GJ$19=$FJ22,$S22^2*GJ$15,GJ21*INDEX($T$20:$T$91,$FJ22-GJ$19)^2/INDEX($U$20:$U$91,$FJ22-GJ$19))))</f>
        <v/>
      </c>
      <c r="GK22" s="150" t="str">
        <f aca="false">IF(GK$19&gt;$FJ22,"",MAX(0,IF(GK$19=$FJ22,$S22^2*GK$15,GK21*INDEX($T$20:$T$91,$FJ22-GK$19)^2/INDEX($U$20:$U$91,$FJ22-GK$19))))</f>
        <v/>
      </c>
      <c r="GL22" s="150" t="str">
        <f aca="false">IF(GL$19&gt;$FJ22,"",MAX(0,IF(GL$19=$FJ22,$S22^2*GL$15,GL21*INDEX($T$20:$T$91,$FJ22-GL$19)^2/INDEX($U$20:$U$91,$FJ22-GL$19))))</f>
        <v/>
      </c>
      <c r="GM22" s="150" t="str">
        <f aca="false">IF(GM$19&gt;$FJ22,"",MAX(0,IF(GM$19=$FJ22,$S22^2*GM$15,GM21*INDEX($T$20:$T$91,$FJ22-GM$19)^2/INDEX($U$20:$U$91,$FJ22-GM$19))))</f>
        <v/>
      </c>
      <c r="GN22" s="150" t="str">
        <f aca="false">IF(GN$19&gt;$FJ22,"",MAX(0,IF(GN$19=$FJ22,$S22^2*GN$15,GN21*INDEX($T$20:$T$91,$FJ22-GN$19)^2/INDEX($U$20:$U$91,$FJ22-GN$19))))</f>
        <v/>
      </c>
      <c r="GO22" s="150" t="str">
        <f aca="false">IF(GO$19&gt;$FJ22,"",MAX(0,IF(GO$19=$FJ22,$S22^2*GO$15,GO21*INDEX($T$20:$T$91,$FJ22-GO$19)^2/INDEX($U$20:$U$91,$FJ22-GO$19))))</f>
        <v/>
      </c>
      <c r="GP22" s="150" t="str">
        <f aca="false">IF(GP$19&gt;$FJ22,"",MAX(0,IF(GP$19=$FJ22,$S22^2*GP$15,GP21*INDEX($T$20:$T$91,$FJ22-GP$19)^2/INDEX($U$20:$U$91,$FJ22-GP$19))))</f>
        <v/>
      </c>
      <c r="GQ22" s="150" t="str">
        <f aca="false">IF(GQ$19&gt;$FJ22,"",MAX(0,IF(GQ$19=$FJ22,$S22^2*GQ$15,GQ21*INDEX($T$20:$T$91,$FJ22-GQ$19)^2/INDEX($U$20:$U$91,$FJ22-GQ$19))))</f>
        <v/>
      </c>
      <c r="GR22" s="150" t="str">
        <f aca="false">IF(GR$19&gt;$FJ22,"",MAX(0,IF(GR$19=$FJ22,$S22^2*GR$15,GR21*INDEX($T$20:$T$91,$FJ22-GR$19)^2/INDEX($U$20:$U$91,$FJ22-GR$19))))</f>
        <v/>
      </c>
      <c r="GS22" s="150" t="str">
        <f aca="false">IF(GS$19&gt;$FJ22,"",MAX(0,IF(GS$19=$FJ22,$S22^2*GS$15,GS21*INDEX($T$20:$T$91,$FJ22-GS$19)^2/INDEX($U$20:$U$91,$FJ22-GS$19))))</f>
        <v/>
      </c>
      <c r="GT22" s="150" t="str">
        <f aca="false">IF(GT$19&gt;$FJ22,"",MAX(0,IF(GT$19=$FJ22,$S22^2*GT$15,GT21*INDEX($T$20:$T$91,$FJ22-GT$19)^2/INDEX($U$20:$U$91,$FJ22-GT$19))))</f>
        <v/>
      </c>
      <c r="GU22" s="150" t="str">
        <f aca="false">IF(GU$19&gt;$FJ22,"",MAX(0,IF(GU$19=$FJ22,$S22^2*GU$15,GU21*INDEX($T$20:$T$91,$FJ22-GU$19)^2/INDEX($U$20:$U$91,$FJ22-GU$19))))</f>
        <v/>
      </c>
      <c r="GV22" s="150" t="str">
        <f aca="false">IF(GV$19&gt;$FJ22,"",MAX(0,IF(GV$19=$FJ22,$S22^2*GV$15,GV21*INDEX($T$20:$T$91,$FJ22-GV$19)^2/INDEX($U$20:$U$91,$FJ22-GV$19))))</f>
        <v/>
      </c>
      <c r="GW22" s="150" t="str">
        <f aca="false">IF(GW$19&gt;$FJ22,"",MAX(0,IF(GW$19=$FJ22,$S22^2*GW$15,GW21*INDEX($T$20:$T$91,$FJ22-GW$19)^2/INDEX($U$20:$U$91,$FJ22-GW$19))))</f>
        <v/>
      </c>
      <c r="GX22" s="150" t="str">
        <f aca="false">IF(GX$19&gt;$FJ22,"",MAX(0,IF(GX$19=$FJ22,$S22^2*GX$15,GX21*INDEX($T$20:$T$91,$FJ22-GX$19)^2/INDEX($U$20:$U$91,$FJ22-GX$19))))</f>
        <v/>
      </c>
      <c r="GY22" s="150" t="str">
        <f aca="false">IF(GY$19&gt;$FJ22,"",MAX(0,IF(GY$19=$FJ22,$S22^2*GY$15,GY21*INDEX($T$20:$T$91,$FJ22-GY$19)^2/INDEX($U$20:$U$91,$FJ22-GY$19))))</f>
        <v/>
      </c>
      <c r="GZ22" s="150" t="str">
        <f aca="false">IF(GZ$19&gt;$FJ22,"",MAX(0,IF(GZ$19=$FJ22,$S22^2*GZ$15,GZ21*INDEX($T$20:$T$91,$FJ22-GZ$19)^2/INDEX($U$20:$U$91,$FJ22-GZ$19))))</f>
        <v/>
      </c>
      <c r="HA22" s="150" t="str">
        <f aca="false">IF(HA$19&gt;$FJ22,"",MAX(0,IF(HA$19=$FJ22,$S22^2*HA$15,HA21*INDEX($T$20:$T$91,$FJ22-HA$19)^2/INDEX($U$20:$U$91,$FJ22-HA$19))))</f>
        <v/>
      </c>
      <c r="HB22" s="150" t="str">
        <f aca="false">IF(HB$19&gt;$FJ22,"",MAX(0,IF(HB$19=$FJ22,$S22^2*HB$15,HB21*INDEX($T$20:$T$91,$FJ22-HB$19)^2/INDEX($U$20:$U$91,$FJ22-HB$19))))</f>
        <v/>
      </c>
      <c r="HC22" s="150" t="str">
        <f aca="false">IF(HC$19&gt;$FJ22,"",MAX(0,IF(HC$19=$FJ22,$S22^2*HC$15,HC21*INDEX($T$20:$T$91,$FJ22-HC$19)^2/INDEX($U$20:$U$91,$FJ22-HC$19))))</f>
        <v/>
      </c>
      <c r="HD22" s="150" t="str">
        <f aca="false">IF(HD$19&gt;$FJ22,"",MAX(0,IF(HD$19=$FJ22,$S22^2*HD$15,HD21*INDEX($T$20:$T$91,$FJ22-HD$19)^2/INDEX($U$20:$U$91,$FJ22-HD$19))))</f>
        <v/>
      </c>
      <c r="HE22" s="150" t="str">
        <f aca="false">IF(HE$19&gt;$FJ22,"",MAX(0,IF(HE$19=$FJ22,$S22^2*HE$15,HE21*INDEX($T$20:$T$91,$FJ22-HE$19)^2/INDEX($U$20:$U$91,$FJ22-HE$19))))</f>
        <v/>
      </c>
      <c r="HF22" s="150" t="str">
        <f aca="false">IF(HF$19&gt;$FJ22,"",MAX(0,IF(HF$19=$FJ22,$S22^2*HF$15,HF21*INDEX($T$20:$T$91,$FJ22-HF$19)^2/INDEX($U$20:$U$91,$FJ22-HF$19))))</f>
        <v/>
      </c>
      <c r="HG22" s="150" t="str">
        <f aca="false">IF(HG$19&gt;$FJ22,"",MAX(0,IF(HG$19=$FJ22,$S22^2*HG$15,HG21*INDEX($T$20:$T$91,$FJ22-HG$19)^2/INDEX($U$20:$U$91,$FJ22-HG$19))))</f>
        <v/>
      </c>
      <c r="HH22" s="150" t="str">
        <f aca="false">IF(HH$19&gt;$FJ22,"",MAX(0,IF(HH$19=$FJ22,$S22^2*HH$15,HH21*INDEX($T$20:$T$91,$FJ22-HH$19)^2/INDEX($U$20:$U$91,$FJ22-HH$19))))</f>
        <v/>
      </c>
      <c r="HI22" s="150" t="str">
        <f aca="false">IF(HI$19&gt;$FJ22,"",MAX(0,IF(HI$19=$FJ22,$S22^2*HI$15,HI21*INDEX($T$20:$T$91,$FJ22-HI$19)^2/INDEX($U$20:$U$91,$FJ22-HI$19))))</f>
        <v/>
      </c>
      <c r="HJ22" s="150" t="str">
        <f aca="false">IF(HJ$19&gt;$FJ22,"",MAX(0,IF(HJ$19=$FJ22,$S22^2*HJ$15,HJ21*INDEX($T$20:$T$91,$FJ22-HJ$19)^2/INDEX($U$20:$U$91,$FJ22-HJ$19))))</f>
        <v/>
      </c>
      <c r="HK22" s="150" t="str">
        <f aca="false">IF(HK$19&gt;$FJ22,"",MAX(0,IF(HK$19=$FJ22,$S22^2*HK$15,HK21*INDEX($T$20:$T$91,$FJ22-HK$19)^2/INDEX($U$20:$U$91,$FJ22-HK$19))))</f>
        <v/>
      </c>
      <c r="HL22" s="150" t="str">
        <f aca="false">IF(HL$19&gt;$FJ22,"",MAX(0,IF(HL$19=$FJ22,$S22^2*HL$15,HL21*INDEX($T$20:$T$91,$FJ22-HL$19)^2/INDEX($U$20:$U$91,$FJ22-HL$19))))</f>
        <v/>
      </c>
      <c r="HM22" s="150" t="str">
        <f aca="false">IF(HM$19&gt;$FJ22,"",MAX(0,IF(HM$19=$FJ22,$S22^2*HM$15,HM21*INDEX($T$20:$T$91,$FJ22-HM$19)^2/INDEX($U$20:$U$91,$FJ22-HM$19))))</f>
        <v/>
      </c>
      <c r="HN22" s="150" t="str">
        <f aca="false">IF(HN$19&gt;$FJ22,"",MAX(0,IF(HN$19=$FJ22,$S22^2*HN$15,HN21*INDEX($T$20:$T$91,$FJ22-HN$19)^2/INDEX($U$20:$U$91,$FJ22-HN$19))))</f>
        <v/>
      </c>
      <c r="HO22" s="150" t="str">
        <f aca="false">IF(HO$19&gt;$FJ22,"",MAX(0,IF(HO$19=$FJ22,$S22^2*HO$15,HO21*INDEX($T$20:$T$91,$FJ22-HO$19)^2/INDEX($U$20:$U$91,$FJ22-HO$19))))</f>
        <v/>
      </c>
      <c r="HP22" s="150" t="str">
        <f aca="false">IF(HP$19&gt;$FJ22,"",MAX(0,IF(HP$19=$FJ22,$S22^2*HP$15,HP21*INDEX($T$20:$T$91,$FJ22-HP$19)^2/INDEX($U$20:$U$91,$FJ22-HP$19))))</f>
        <v/>
      </c>
      <c r="HQ22" s="150" t="str">
        <f aca="false">IF(HQ$19&gt;$FJ22,"",MAX(0,IF(HQ$19=$FJ22,$S22^2*HQ$15,HQ21*INDEX($T$20:$T$91,$FJ22-HQ$19)^2/INDEX($U$20:$U$91,$FJ22-HQ$19))))</f>
        <v/>
      </c>
      <c r="HR22" s="150" t="str">
        <f aca="false">IF(HR$19&gt;$FJ22,"",MAX(0,IF(HR$19=$FJ22,$S22^2*HR$15,HR21*INDEX($T$20:$T$91,$FJ22-HR$19)^2/INDEX($U$20:$U$91,$FJ22-HR$19))))</f>
        <v/>
      </c>
      <c r="HS22" s="150" t="str">
        <f aca="false">IF(HS$19&gt;$FJ22,"",MAX(0,IF(HS$19=$FJ22,$S22^2*HS$15,HS21*INDEX($T$20:$T$91,$FJ22-HS$19)^2/INDEX($U$20:$U$91,$FJ22-HS$19))))</f>
        <v/>
      </c>
      <c r="HT22" s="150" t="str">
        <f aca="false">IF(HT$19&gt;$FJ22,"",MAX(0,IF(HT$19=$FJ22,$S22^2*HT$15,HT21*INDEX($T$20:$T$91,$FJ22-HT$19)^2/INDEX($U$20:$U$91,$FJ22-HT$19))))</f>
        <v/>
      </c>
      <c r="HU22" s="150" t="str">
        <f aca="false">IF(HU$19&gt;$FJ22,"",MAX(0,IF(HU$19=$FJ22,$S22^2*HU$15,HU21*INDEX($T$20:$T$91,$FJ22-HU$19)^2/INDEX($U$20:$U$91,$FJ22-HU$19))))</f>
        <v/>
      </c>
      <c r="HV22" s="150" t="str">
        <f aca="false">IF(HV$19&gt;$FJ22,"",MAX(0,IF(HV$19=$FJ22,$S22^2*HV$15,HV21*INDEX($T$20:$T$91,$FJ22-HV$19)^2/INDEX($U$20:$U$91,$FJ22-HV$19))))</f>
        <v/>
      </c>
      <c r="HW22" s="150" t="str">
        <f aca="false">IF(HW$19&gt;$FJ22,"",MAX(0,IF(HW$19=$FJ22,$S22^2*HW$15,HW21*INDEX($T$20:$T$91,$FJ22-HW$19)^2/INDEX($U$20:$U$91,$FJ22-HW$19))))</f>
        <v/>
      </c>
      <c r="HX22" s="150" t="str">
        <f aca="false">IF(HX$19&gt;$FJ22,"",MAX(0,IF(HX$19=$FJ22,$S22^2*HX$15,HX21*INDEX($T$20:$T$91,$FJ22-HX$19)^2/INDEX($U$20:$U$91,$FJ22-HX$19))))</f>
        <v/>
      </c>
      <c r="HY22" s="150" t="str">
        <f aca="false">IF(HY$19&gt;$FJ22,"",MAX(0,IF(HY$19=$FJ22,$S22^2*HY$15,HY21*INDEX($T$20:$T$91,$FJ22-HY$19)^2/INDEX($U$20:$U$91,$FJ22-HY$19))))</f>
        <v/>
      </c>
      <c r="HZ22" s="150" t="str">
        <f aca="false">IF(HZ$19&gt;$FJ22,"",MAX(0,IF(HZ$19=$FJ22,$S22^2*HZ$15,HZ21*INDEX($T$20:$T$91,$FJ22-HZ$19)^2/INDEX($U$20:$U$91,$FJ22-HZ$19))))</f>
        <v/>
      </c>
      <c r="IA22" s="150" t="str">
        <f aca="false">IF(IA$19&gt;$FJ22,"",MAX(0,IF(IA$19=$FJ22,$S22^2*IA$15,IA21*INDEX($T$20:$T$91,$FJ22-IA$19)^2/INDEX($U$20:$U$91,$FJ22-IA$19))))</f>
        <v/>
      </c>
      <c r="IB22" s="150" t="str">
        <f aca="false">IF(IB$19&gt;$FJ22,"",MAX(0,IF(IB$19=$FJ22,$S22^2*IB$15,IB21*INDEX($T$20:$T$91,$FJ22-IB$19)^2/INDEX($U$20:$U$91,$FJ22-IB$19))))</f>
        <v/>
      </c>
      <c r="IC22" s="150" t="str">
        <f aca="false">IF(IC$19&gt;$FJ22,"",MAX(0,IF(IC$19=$FJ22,$S22^2*IC$15,IC21*INDEX($T$20:$T$91,$FJ22-IC$19)^2/INDEX($U$20:$U$91,$FJ22-IC$19))))</f>
        <v/>
      </c>
      <c r="ID22" s="572" t="str">
        <f aca="false">IF(ID$19&gt;$FJ22,"",MAX(0,IF(ID$19=$FJ22,$S22^2*ID$15,ID21*INDEX($T$20:$T$91,$FJ22-ID$19)^2/INDEX($U$20:$U$91,$FJ22-ID$19))))</f>
        <v/>
      </c>
      <c r="IE22" s="129"/>
    </row>
    <row r="23" customFormat="false" ht="15" hidden="false" customHeight="true" outlineLevel="0" collapsed="false">
      <c r="A23" s="76" t="e">
        <f aca="false">L23*O23*SQRT(2/260/3.14)</f>
        <v>#VALUE!</v>
      </c>
      <c r="B23" s="7" t="s">
        <v>227</v>
      </c>
      <c r="C23" s="7"/>
      <c r="D23" s="7"/>
      <c r="E23" s="7"/>
      <c r="F23" s="7"/>
      <c r="G23" s="7"/>
      <c r="H23" s="219" t="n">
        <f aca="false">VLOOKUP(I23,$EJ$20:$EL$54,3)</f>
        <v>26</v>
      </c>
      <c r="I23" s="511" t="n">
        <f aca="false">EOMONTH(I22,0)+1</f>
        <v>36861</v>
      </c>
      <c r="J23" s="512"/>
      <c r="K23" s="513" t="s">
        <v>226</v>
      </c>
      <c r="L23" s="514" t="e">
        <f aca="false">IF(ISNUMBER(K23),J23+K23/100,IF(K23="extra",L22+VLOOKUP(BF23,PriceSpreadTable,2)/12,IF(K23="inter",interpolateprices($K$19:$L$200,ROW(K23)-ROW(FirstPricingMonth)+1),interpolatechanges($J$19:$K$200,ROW(K23)-ROW(FirstPricingMonth)+1))))</f>
        <v>#VALUE!</v>
      </c>
      <c r="M23" s="515"/>
      <c r="N23" s="516" t="n">
        <v>0</v>
      </c>
      <c r="O23" s="515" t="n">
        <f aca="false">M23+N23</f>
        <v>0</v>
      </c>
      <c r="P23" s="512"/>
      <c r="Q23" s="517" t="s">
        <v>226</v>
      </c>
      <c r="R23" s="512" t="e">
        <f aca="false">IF(ISNUMBER(Q23),P23+Q23/100,IF(Q23="extra",(Z21*AL21-R22*AM21)/AN21,IF(Q23="inter",interpolateprices($Q$19:$R$260,ROW(Q23)-ROW(FirstPricingMonth)+1),interpolatechanges($P$19:$Q$260,ROW(Q23)-ROW(FirstPricingMonth)+1))))</f>
        <v>#VALUE!</v>
      </c>
      <c r="S23" s="597" t="n">
        <f aca="false">S$19+(S22-S$19)*S$18</f>
        <v>0.3825</v>
      </c>
      <c r="T23" s="575" t="n">
        <f aca="false">SQRT((1-(1-T22^2/U22)*T$18)*U23)</f>
        <v>0.924199523938852</v>
      </c>
      <c r="U23" s="576" t="n">
        <f aca="false">1-(1-U22)*U$18</f>
        <v>0.993671875</v>
      </c>
      <c r="V23" s="521" t="n">
        <v>0</v>
      </c>
      <c r="W23" s="577" t="n">
        <f aca="false">(J24*AJ23+J25*AK23)/AI23</f>
        <v>0</v>
      </c>
      <c r="X23" s="578" t="e">
        <f aca="false">(L24*AJ23+L25*AK23)/AI23</f>
        <v>#VALUE!</v>
      </c>
      <c r="Y23" s="579" t="n">
        <f aca="false">IF(Q25="extra",W23-AA23,(P24*AM23+P25*AN23)/AL23)</f>
        <v>0</v>
      </c>
      <c r="Z23" s="579" t="e">
        <f aca="false">IF(Q25="extra",X23-AB23,(R24*AM23+R25*AN23)/AL23)</f>
        <v>#VALUE!</v>
      </c>
      <c r="AA23" s="523" t="n">
        <f aca="false">IF(Q25="extra",INDEX(BrentSeasonalityTable,INT((BG23-1)/3)+1)*VLOOKUP(MAX(BF23,$AB$4),PriceSpreadTable,3),W23-Y23)</f>
        <v>0</v>
      </c>
      <c r="AB23" s="524" t="e">
        <f aca="false">IF(Q25="extra",INDEX(BrentSeasonalityTable,INT((BG23-1)/3)+1)*VLOOKUP(MAX(BF23,$AB$4),PriceSpreadTable,3),X23-Z23)</f>
        <v>#VALUE!</v>
      </c>
      <c r="AC23" s="525" t="n">
        <v>36847</v>
      </c>
      <c r="AD23" s="526" t="n">
        <v>36844</v>
      </c>
      <c r="AE23" s="526" t="n">
        <v>36845</v>
      </c>
      <c r="AF23" s="527" t="n">
        <v>36840</v>
      </c>
      <c r="AG23" s="438" t="s">
        <v>217</v>
      </c>
      <c r="AH23" s="439" t="s">
        <v>217</v>
      </c>
      <c r="AI23" s="528" t="n">
        <v>20</v>
      </c>
      <c r="AJ23" s="529" t="n">
        <v>13</v>
      </c>
      <c r="AK23" s="529" t="n">
        <v>7</v>
      </c>
      <c r="AL23" s="530" t="n">
        <v>20</v>
      </c>
      <c r="AM23" s="529" t="n">
        <v>9</v>
      </c>
      <c r="AN23" s="531" t="n">
        <v>11</v>
      </c>
      <c r="AO23" s="532"/>
      <c r="AP23" s="465" t="n">
        <f aca="false">(1+AO23/2)^(-2*BL23)</f>
        <v>1</v>
      </c>
      <c r="AQ23" s="532"/>
      <c r="AR23" s="465" t="n">
        <f aca="false">(1+AQ23/2)^(-2*BH23/365.25)</f>
        <v>1</v>
      </c>
      <c r="AS23" s="580" t="n">
        <f aca="false">(O24*AJ23+O25*AK23)/AI23</f>
        <v>0</v>
      </c>
      <c r="AT23" s="468" t="n">
        <f aca="false">O23*VLOOKUP(BF23,BrentVolTable,2)+VLOOKUP(BF23,BrentVolTable,3)</f>
        <v>0</v>
      </c>
      <c r="AU23" s="468" t="n">
        <f aca="false">(AT24*AM23+AT25*AN23)/AL23</f>
        <v>0</v>
      </c>
      <c r="AV23" s="595" t="n">
        <f aca="false">SQRT(MAX(0.000000000001,(O23^2*BH23-S23^2*(BH23-BH22))/BH22))</f>
        <v>0.0212067982190029</v>
      </c>
      <c r="AW23" s="451" t="n">
        <f aca="false">IF($I23-DateToday+15&gt;=$T$8,"",IF($I23-DateToday+15&lt;$T$5,1,MATCH($I23-DateToday+15,$T$5:$T$8)))</f>
        <v>1</v>
      </c>
      <c r="AX23" s="468" t="n">
        <f aca="false">IF($AW23="",AX22^2/AX21,INDEX(U$5:U$8,$AW23)^((INDEX($T$5:$T$8,$AW23+1)-($I23-DateToday+15))/(INDEX($T$5:$T$8,$AW23+1)-INDEX($T$5:$T$8,$AW23)))/INDEX(U$5:U$8,$AW23+1)^((INDEX($T$5:$T$8,$AW23)-($I23-DateToday+15))/(INDEX($T$5:$T$8,$AW23+1)-INDEX($T$5:$T$8,$AW23))))</f>
        <v>11.7728991642499</v>
      </c>
      <c r="AY23" s="468" t="n">
        <f aca="false">IF($AW23="",AY22^2/AY21,INDEX(V$5:V$8,$AW23)^((INDEX($T$5:$T$8,$AW23+1)-($I23-DateToday+15))/(INDEX($T$5:$T$8,$AW23+1)-INDEX($T$5:$T$8,$AW23)))/INDEX(V$5:V$8,$AW23+1)^((INDEX($T$5:$T$8,$AW23)-($I23-DateToday+15))/(INDEX($T$5:$T$8,$AW23+1)-INDEX($T$5:$T$8,$AW23))))</f>
        <v>4600.57384909904</v>
      </c>
      <c r="AZ23" s="468" t="n">
        <f aca="false">IF($AW23="",AZ22^2/AZ21,INDEX(W$5:W$8,$AW23)^((INDEX($T$5:$T$8,$AW23+1)-($I23-DateToday+15))/(INDEX($T$5:$T$8,$AW23+1)-INDEX($T$5:$T$8,$AW23)))/INDEX(W$5:W$8,$AW23+1)^((INDEX($T$5:$T$8,$AW23)-($I23-DateToday+15))/(INDEX($T$5:$T$8,$AW23+1)-INDEX($T$5:$T$8,$AW23))))</f>
        <v>547737061.483618</v>
      </c>
      <c r="BA23" s="468" t="n">
        <f aca="false">IF($AW23="",BA22^2/BA21,INDEX(X$5:X$8,$AW23)^((INDEX($T$5:$T$8,$AW23+1)-($I23-DateToday+15))/(INDEX($T$5:$T$8,$AW23+1)-INDEX($T$5:$T$8,$AW23)))/INDEX(X$5:X$8,$AW23+1)^((INDEX($T$5:$T$8,$AW23)-($I23-DateToday+15))/(INDEX($T$5:$T$8,$AW23+1)-INDEX($T$5:$T$8,$AW23))))</f>
        <v>67171387430.9285</v>
      </c>
      <c r="BB23" s="468" t="n">
        <f aca="false">IF($AW23="",BB22^2/BB21,INDEX(Y$5:Y$8,$AW23)^((INDEX($T$5:$T$8,$AW23+1)-($I23-DateToday+15))/(INDEX($T$5:$T$8,$AW23+1)-INDEX($T$5:$T$8,$AW23)))/INDEX(Y$5:Y$8,$AW23+1)^((INDEX($T$5:$T$8,$AW23)-($I23-DateToday+15))/(INDEX($T$5:$T$8,$AW23+1)-INDEX($T$5:$T$8,$AW23))))</f>
        <v>1802898420136.7</v>
      </c>
      <c r="BC23" s="468" t="n">
        <f aca="false">IF($AW23="",BC22^2/BC21,INDEX(Z$5:Z$8,$AW23)^((INDEX($T$5:$T$8,$AW23+1)-($I23-DateToday+15))/(INDEX($T$5:$T$8,$AW23+1)-INDEX($T$5:$T$8,$AW23)))/INDEX(Z$5:Z$8,$AW23+1)^((INDEX($T$5:$T$8,$AW23)-($I23-DateToday+15))/(INDEX($T$5:$T$8,$AW23+1)-INDEX($T$5:$T$8,$AW23))))</f>
        <v>12755813357181.3</v>
      </c>
      <c r="BD23" s="535" t="n">
        <f aca="false">IF(OR(DateStart&gt;=I24,DateEnd&lt;I23),0,IF(VolumeOverrideFlag,V23,Volume))</f>
        <v>0</v>
      </c>
      <c r="BE23" s="536" t="n">
        <f aca="false">IF(OR(DateStart2&gt;=I24,DateEnd2&lt;I23),0,IF(VolumeOverrideFlag,V23,VolumeSwaption))</f>
        <v>0</v>
      </c>
      <c r="BF23" s="537" t="n">
        <f aca="false">YEAR(I23)</f>
        <v>2000</v>
      </c>
      <c r="BG23" s="538" t="n">
        <f aca="false">MONTH(I23)</f>
        <v>12</v>
      </c>
      <c r="BH23" s="539" t="n">
        <f aca="false">AD23-DateToday+1</f>
        <v>-9081</v>
      </c>
      <c r="BI23" s="540" t="n">
        <f aca="false">(I23-DateToday+1)/365.25</f>
        <v>-24.8158795345654</v>
      </c>
      <c r="BJ23" s="541" t="n">
        <f aca="false">BI23+(BL23-BI23)*CHOOSE(Underlying,AJ23/AI23,AM23/AL23)</f>
        <v>-24.7624914442163</v>
      </c>
      <c r="BK23" s="541" t="n">
        <f aca="false">BJ23+1/365.25</f>
        <v>-24.7597535934292</v>
      </c>
      <c r="BL23" s="541" t="n">
        <f aca="false">(I24-DateToday)/365.25</f>
        <v>-24.7337440109514</v>
      </c>
      <c r="BM23" s="542" t="e">
        <f aca="false">MAX(BI23-(BJ23-BI23)*(S24^2/O24^2-1),0)</f>
        <v>#DIV/0!</v>
      </c>
      <c r="BN23" s="541" t="e">
        <f aca="false">MAX(BL23+(BL23-BK23)*(S25^2/O25^2-1),0)</f>
        <v>#DIV/0!</v>
      </c>
      <c r="BO23" s="530" t="n">
        <f aca="false">CHOOSE(Underlying,AI23,AL23)</f>
        <v>20</v>
      </c>
      <c r="BP23" s="529" t="n">
        <f aca="false">CHOOSE(Underlying,AJ23,AM23)</f>
        <v>13</v>
      </c>
      <c r="BQ23" s="529" t="n">
        <f aca="false">CHOOSE(Underlying,AK23,AN23)</f>
        <v>7</v>
      </c>
      <c r="BR23" s="463" t="str">
        <f aca="false">IF(BD23,IF(Underlying=1,X23,Z23)+UnderlyingPriceAsian-SwapPriceCurve,"")</f>
        <v/>
      </c>
      <c r="BS23" s="463" t="str">
        <f aca="false">IF(BD23,Strike1/BR23-1,"")</f>
        <v/>
      </c>
      <c r="BT23" s="464" t="str">
        <f aca="false">IF(BD23,Strike2/BR23-1,"")</f>
        <v/>
      </c>
      <c r="BU23" s="465" t="str">
        <f aca="false">IF(BD23,IF(Underlying=1,L24,R24)+UnderlyingPriceAsian-SwapPriceCurve,"")</f>
        <v/>
      </c>
      <c r="BV23" s="465" t="str">
        <f aca="false">IF(BD23,IF(Underlying=1,L25,R25)+UnderlyingPriceAsian-SwapPriceCurve,"")</f>
        <v/>
      </c>
      <c r="BW23" s="466" t="str">
        <f aca="false">IF(BD23,IF(Underlying=1,O24,AT24),"")</f>
        <v/>
      </c>
      <c r="BX23" s="467" t="str">
        <f aca="false">IF(BD23,IF(Underlying=1,O25,AT25),"")</f>
        <v/>
      </c>
      <c r="BY23" s="466" t="str">
        <f aca="false">IF(BD23,IF(BS23&gt;0,IF(BS23&gt;0.2,BC23-BB23,IF(BS23&gt;0.1,BB23-BA23,BA23)),IF(BS23&lt;-0.2,AX23-AY23,IF(BS23&lt;-0.1,AY23-AZ23,AZ23))),"")</f>
        <v/>
      </c>
      <c r="BZ23" s="467" t="str">
        <f aca="false">IF(BD23,IF(BT23&gt;0,IF(BT23&gt;0.2,BC23-BB23,IF(BT23&gt;0.1,BB23-BA23,BA23)),IF(BT23&lt;-0.2,AX23-AY23,IF(BT23&lt;-0.1,AY23-AZ23,AZ23))),"")</f>
        <v/>
      </c>
      <c r="CA23" s="468" t="str">
        <f aca="false">IF($BD23,$BW23+IF(VolSkewFlag=1,IF(BS23&gt;0,$BA23*MIN(BS23/10%,1)+($BB23-$BA23)*MAX(0,MIN(BS23/10%-1,1))+($BC23-$BB23)*MAX(0,BS23/10%-2),$AZ23*MIN(-BS23/10%,1)+($AY23-$AZ23)*MAX(0,MIN(-BS23/10%-1,1))+($AX23-$AY23)*MAX(0,-BS23/10%-2)),0),"")</f>
        <v/>
      </c>
      <c r="CB23" s="468" t="str">
        <f aca="false">IF($BD23,$BX23+IF(VolSkewFlag=1,IF(BS23&gt;0,$BA23*MIN(BS23/10%,1)+($BB23-$BA23)*MAX(0,MIN(BS23/10%-1,1))+($BC23-$BB23)*MAX(0,BS23/10%-2),$AZ23*MIN(-BS23/10%,1)+($AY23-$AZ23)*MAX(0,MIN(-BS23/10%-1,1))+($AX23-$AY23)*MAX(0,-BS23/10%-2)),0),"")</f>
        <v/>
      </c>
      <c r="CC23" s="468" t="str">
        <f aca="false">IF($BD23,$BW23+IF(VolSkewFlag=1,IF(BT23&gt;0,$BA23*MIN(BT23/10%,1)+($BB23-$BA23)*MAX(0,MIN(BT23/10%-1,1))+($BC23-$BB23)*MAX(0,BT23/10%-2),$AZ23*MIN(-BT23/10%,1)+($AY23-$AZ23)*MAX(0,MIN(-BT23/10%-1,1))+($AX23-$AY23)*MAX(0,-BT23/10%-2)),0),"")</f>
        <v/>
      </c>
      <c r="CD23" s="468" t="str">
        <f aca="false">IF($BD23,$BX23+IF(VolSkewFlag=1,IF(BT23&gt;0,$BA23*MIN(BT23/10%,1)+($BB23-$BA23)*MAX(0,MIN(BT23/10%-1,1))+($BC23-$BB23)*MAX(0,BT23/10%-2),$AZ23*MIN(-BT23/10%,1)+($AY23-$AZ23)*MAX(0,MIN(-BT23/10%-1,1))+($AX23-$AY23)*MAX(0,-BT23/10%-2)),0),"")</f>
        <v/>
      </c>
      <c r="CE23" s="469" t="n">
        <v>1</v>
      </c>
      <c r="CF23" s="470" t="n">
        <f aca="false">IF(BD23,xCrudeAPO(BU23,BV23,CA23,CB23,S24,S25,BI23,BL23,BP23,BQ23,0,Strike1,AO23,CE23,0,BL23,IF(OptControl=4,0,1),0,1),0)</f>
        <v>0</v>
      </c>
      <c r="CG23" s="470" t="n">
        <f aca="false">IF(BD23,xCrudeAPO(BU23,BV23,CA23,CB23,S24,S25,BI23,BL23,BP23,BQ23,0,Strike1,AO23,CE23,0,BL23,IF(OptControl=4,0,1),1,1)+xCrudeAPO(BU23,BV23,CA23,CB23,S24,S25,BI23,BL23,BP23,BQ23,0,Strike1,AO23,CE23,0,BL23,IF(OptControl=4,0,1),1,2)+IF(OR(VolSkewFlag=2,ABS(BS23)&lt;0.0001),0,IF(BS23&gt;0,-1,1)*CH23*Strike1/BR23^2*BY23/10%),0)</f>
        <v>0</v>
      </c>
      <c r="CH23" s="470" t="n">
        <f aca="false">IF(BD23,(xCrudeAPO(BU23,BV23,CA23,CB23,S24,S25,BI23,BL23,BP23,BQ23,0,Strike1,AO23,CE23,0,BL23,IF(OptControl=4,0,1),3,1)+xCrudeAPO(BU23,BV23,CA23,CB23,S24,S25,BI23,BL23,BP23,BQ23,0,Strike1,AO23,CE23,0,BL23,IF(OptControl=4,0,1),3,2))/100,0)</f>
        <v>0</v>
      </c>
      <c r="CI23" s="470" t="n">
        <f aca="false">IF(BD23,xCrudeAPO(BU23,BV23,CA23,CB23,S24,S25,BI23-DaysForThetaCalculation/365.25,BL23-DaysForThetaCalculation/365.25,BP23,BQ23,0,Strike1,AO23,CE23,0,BL23,IF(OptControl=4,0,1),0,1)-xCrudeAPO(BU23,BV23,CA23,CB23,S24,S25,BI23,BL23,BP23,BQ23,0,Strike1,AO23,CE23,0,BL23,IF(OptControl=4,0,1),0,1),0)</f>
        <v>0</v>
      </c>
      <c r="CJ23" s="471" t="n">
        <f aca="false">IF(BD23,xCrudeAPO(BU23,BV23,CC23,CD23,S24,S25,BI23,BL23,BP23,BQ23,0,Strike2,AO23,CE23,0,BL23,IF(OptControl=3,1,0),0,1),0)</f>
        <v>0</v>
      </c>
      <c r="CK23" s="470" t="n">
        <f aca="false">IF(BD23,xCrudeAPO(BU23,BV23,CC23,CD23,S24,S25,BI23,BL23,BP23,BQ23,0,Strike2,AO23,CE23,0,BL23,IF(OptControl=3,1,0),1,1)+xCrudeAPO(BU23,BV23,CC23,CD23,S24,S25,BI23,BL23,BP23,BQ23,0,Strike2,AO23,CE23,0,BL23,IF(OptControl=3,1,0),1,2)+IF(OR(VolSkewFlag=2,ABS(BT23)&lt;0.0001),0,IF(BT23&gt;0,-1,1)*CL23*Strike2/BR23^2*BZ23/10%),0)</f>
        <v>0</v>
      </c>
      <c r="CL23" s="470" t="n">
        <f aca="false">IF(BD23,(xCrudeAPO(BU23,BV23,CC23,CD23,S24,S25,BI23,BL23,BP23,BQ23,0,Strike2,AO23,CE23,0,BL23,IF(OptControl=3,1,0),3,1)+xCrudeAPO(BU23,BV23,CC23,CD23,S24,S25,BI23,BL23,BP23,BQ23,0,Strike2,AO23,CE23,0,BL23,IF(OptControl=3,1,0),3,2))/100,0)</f>
        <v>0</v>
      </c>
      <c r="CM23" s="472" t="n">
        <f aca="false">IF(BD23,xCrudeAPO(BU23,BV23,CC23,CD23,S24,S25,BI23-DaysForThetaCalculation/365.25,BL23-DaysForThetaCalculation/365.25,BP23,BQ23,0,Strike2,AO23,CE23,0,BL23,IF(OptControl=3,1,0),0,1)-xCrudeAPO(BU23,BV23,CC23,CD23,S24,S25,BI23,BL23,BP23,BQ23,0,Strike2,AO23,CE23,0,BL23,IF(OptControl=3,1,0),0,1),0)</f>
        <v>0</v>
      </c>
      <c r="CN23" s="473"/>
      <c r="CO23" s="543" t="str">
        <f aca="false">IF(BD23,CHOOSE(Underlying,AD23,AF23)-DateToday+1,"")</f>
        <v/>
      </c>
      <c r="CP23" s="582" t="str">
        <f aca="false">IF(BD23,CHOOSE(Underlying,L23,R23),"")</f>
        <v/>
      </c>
      <c r="CQ23" s="544" t="str">
        <f aca="false">IF(BD23,Strike1/CP23-1,"")</f>
        <v/>
      </c>
      <c r="CR23" s="544" t="str">
        <f aca="false">IF(BD23,Strike2/CP23-1,"")</f>
        <v/>
      </c>
      <c r="CS23" s="544" t="str">
        <f aca="false">IF(BD23,IF(CQ23&gt;0,IF(CQ23&gt;0.2,BC22-BB22,IF(CQ23&gt;0.1,BB22-BA22,BA22)),IF(CQ23&lt;-0.2,AX22-AY22,IF(CQ23&lt;-0.1,AY22-AZ22,AZ22))),"")</f>
        <v/>
      </c>
      <c r="CT23" s="544" t="str">
        <f aca="false">IF(BD23,IF(CR23&gt;0,IF(CR23&gt;0.2,BC22-BB22,IF(CR23&gt;0.1,BB22-BA22,BA22)),IF(CR23&lt;-0.2,AX22-AY22,IF(CR23&lt;-0.1,AY22-AZ22,AZ22))),"")</f>
        <v/>
      </c>
      <c r="CU23" s="545" t="str">
        <f aca="false">IF(BD23,CHOOSE(Underlying,O23,AT23),"")</f>
        <v/>
      </c>
      <c r="CV23" s="545" t="str">
        <f aca="false">IF(BD23,CU23+IF(VolSkewFlag=1,IF(CQ23&gt;0,BA22*MIN(CQ23/10%,1)+(BB22-BA22)*MAX(0,MIN(CQ23/10%-1,1))+(BC22-BB22)*MAX(0,CQ23/10%-2),AZ22*MIN(-CQ23/10%,1)+(AY22-AZ22)*MAX(0,MIN(-CQ23/10%-1,1))+(AX22-AY22)*MAX(0,-CQ23/10%-2)),0),"")</f>
        <v/>
      </c>
      <c r="CW23" s="545" t="str">
        <f aca="false">IF(BD23,CU23+IF(VolSkewFlag=1,IF(CR23&gt;0,BA22*MIN(CR23/10%,1)+(BB22-BA22)*MAX(0,MIN(CR23/10%-1,1))+(BC22-BB22)*MAX(0,CR23/10%-2),AZ22*MIN(-CR23/10%,1)+(AY22-AZ22)*MAX(0,MIN(-CR23/10%-1,1))+(AX22-AY22)*MAX(0,-CR23/10%-2)),0),"")</f>
        <v/>
      </c>
      <c r="CX23" s="470" t="n">
        <f aca="false">IF(BD23,EURO(CP23,Strike1,AO23,AO23,CV23,CO23,IF(OptControl=4,0,1),0),0)</f>
        <v>0</v>
      </c>
      <c r="CY23" s="470" t="n">
        <f aca="false">IF(BD23,EURO(CP23,Strike1,AO23,AO23,CV23,CO23,IF(OptControl=4,0,1),1)+IF(OR(VolSkewFlag=2,ABS(CQ23)&lt;0.0001),0,IF(CQ23&gt;0,-1,1)*CZ23*100*Strike1/CP23^2*CS23/10%),0)</f>
        <v>0</v>
      </c>
      <c r="CZ23" s="470" t="n">
        <f aca="false">IF(BD23,EURO(CP23,Strike1,AO23,AO23,CV23,CO23,IF(OptControl=4,0,1),3)/100,0)</f>
        <v>0</v>
      </c>
      <c r="DA23" s="470" t="n">
        <f aca="false">IF(BD23,EURO(CP23,Strike1,AO23,AO23,CV23,CO23,IF(OptControl=4,0,1),0)-EURO(CP23,Strike1,AO23,AO23,CV23,CO23-1,IF(OptControl=4,0,1),0),0)</f>
        <v>0</v>
      </c>
      <c r="DB23" s="470" t="n">
        <f aca="false">IF(BD23,EURO(CP23,Strike2,AO23,AO23,CW23,CO23,IF(OptControl=3,1,0),0),0)</f>
        <v>0</v>
      </c>
      <c r="DC23" s="470" t="n">
        <f aca="false">IF(BD23,EURO(CP23,Strike2,AO23,AO23,CW23,CO23,IF(OptControl=3,1,0),1)+IF(OR(VolSkewFlag=2,ABS(CR23)&lt;0.0001),0,IF(CR23&gt;0,-1,1)*DD23*100*Strike2/CP23^2*CT23/10%),0)</f>
        <v>0</v>
      </c>
      <c r="DD23" s="470" t="n">
        <f aca="false">IF(BD23,EURO(CP23,Strike2,AO23,AO23,CW23,CO23,IF(OptControl=3,1,0),3)/100,0)</f>
        <v>0</v>
      </c>
      <c r="DE23" s="472" t="n">
        <f aca="false">IF(BD23,EURO(CP23,Strike2,AO23,AO23,CW23,CO23,IF(OptControl=3,1,0),0)-EURO(CP23,Strike2,AO23,AO23,CW23,CO23-1,IF(OptControl=3,1,0),0),0)</f>
        <v>0</v>
      </c>
      <c r="DF23" s="473"/>
      <c r="DG23" s="481" t="n">
        <f aca="false">EOMONTH(DG22,0)+1</f>
        <v>45778</v>
      </c>
      <c r="DH23" s="478" t="n">
        <v>28.32</v>
      </c>
      <c r="DI23" s="479" t="n">
        <v>27.2454545454545</v>
      </c>
      <c r="DJ23" s="480" t="n">
        <f aca="false">DG23</f>
        <v>45778</v>
      </c>
      <c r="DK23" s="478" t="n">
        <v>26.31</v>
      </c>
      <c r="DL23" s="479" t="n">
        <v>25.1065217391304</v>
      </c>
      <c r="DM23" s="481" t="n">
        <f aca="false">DG23</f>
        <v>45778</v>
      </c>
      <c r="DN23" s="482" t="n">
        <f aca="false">DK23+BrentPhyBrentSpread</f>
        <v>26.36</v>
      </c>
      <c r="DO23" s="481" t="n">
        <f aca="false">DG23</f>
        <v>45778</v>
      </c>
      <c r="DP23" s="483" t="n">
        <f aca="false">DL23+DQ23</f>
        <v>24.7815217391304</v>
      </c>
      <c r="DQ23" s="546" t="n">
        <v>-0.325</v>
      </c>
      <c r="DR23" s="480" t="n">
        <f aca="false">DG23</f>
        <v>45778</v>
      </c>
      <c r="DS23" s="485" t="n">
        <v>0.35225</v>
      </c>
      <c r="DT23" s="486" t="n">
        <v>0.325231818181818</v>
      </c>
      <c r="DU23" s="480" t="n">
        <f aca="false">DG23</f>
        <v>45778</v>
      </c>
      <c r="DV23" s="485" t="n">
        <v>0.35225</v>
      </c>
      <c r="DW23" s="486" t="n">
        <v>0.325231818181818</v>
      </c>
      <c r="DX23" s="481" t="n">
        <f aca="false">DG23</f>
        <v>45778</v>
      </c>
      <c r="DY23" s="486" t="n">
        <v>0.37</v>
      </c>
      <c r="DZ23" s="481" t="n">
        <f aca="false">DR23</f>
        <v>45778</v>
      </c>
      <c r="EA23" s="486" t="n">
        <f aca="false">DT23</f>
        <v>0.325231818181818</v>
      </c>
      <c r="EB23" s="195"/>
      <c r="EC23" s="547" t="str">
        <f aca="false">IF(BD23,IF(Underlying=1,AS23,AU23),"")</f>
        <v/>
      </c>
      <c r="ED23" s="548" t="str">
        <f aca="false">IF($BD23,$EC23+IF(VolSkewFlag=1,IF(BS23&gt;0,$BA23*MIN(BS23/10%,1)+($BB23-$BA23)*MAX(0,MIN(BS23/10%-1,1))+($BC23-$BB23)*MAX(0,BS23/10%-2),$AZ23*MIN(-BS23/10%,1)+($AY23-$AZ23)*MAX(0,MIN(-BS23/10%-1,1))+($AX23-$AY23)*MAX(0,-BS23/10%-2)),0),"")</f>
        <v/>
      </c>
      <c r="EE23" s="549" t="str">
        <f aca="false">IF($BD23,$EC23+IF(VolSkewFlag=1,IF(BT23&gt;0,$BA23*MIN(BT23/10%,1)+($BB23-$BA23)*MAX(0,MIN(BT23/10%-1,1))+($BC23-$BB23)*MAX(0,BT23/10%-2),$AZ23*MIN(-BT23/10%,1)+($AY23-$AZ23)*MAX(0,MIN(-BT23/10%-1,1))+($AX23-$AY23)*MAX(0,-BT23/10%-2)),0),"")</f>
        <v/>
      </c>
      <c r="EF23" s="550" t="n">
        <f aca="false">IF(BD23,xASN(BR23,Strike1,AO23,ED23,0,BO23,0,BI23,BL23,IF(OptControl=4,0,1),0),0)</f>
        <v>0</v>
      </c>
      <c r="EG23" s="551" t="n">
        <f aca="false">IF(BD23,xASN(BR23,Strike2,AO23,EE23,0,BO23,0,BI23,BL23,IF(OptControl=3,1,0),0),0)</f>
        <v>0</v>
      </c>
      <c r="EI23" s="583" t="str">
        <f aca="false">DDE("TWINDDE","RSFRecord","CLc4 MTH")</f>
        <v>DEC0</v>
      </c>
      <c r="EJ23" s="584" t="n">
        <f aca="false">DATEVALUE(CONCATENATE(LEFT(EI23,3),"-",IF(VALUE(RIGHT(EI23,1))=9,"1999",CONCATENATE("200",RIGHT(EI23,1)))))</f>
        <v>36861</v>
      </c>
      <c r="EK23" s="585" t="n">
        <f aca="false">DDE("TWINDDE","RSFRecord","CLc4 NET.CHNG")</f>
        <v>0.26</v>
      </c>
      <c r="EL23" s="586" t="n">
        <f aca="false">IF(ISNUMBER(VALUE(EK23)),VALUE(EK23)*100,0)</f>
        <v>26</v>
      </c>
      <c r="EM23" s="195"/>
      <c r="EN23" s="556" t="n">
        <v>36542</v>
      </c>
      <c r="EO23" s="557" t="n">
        <v>37250</v>
      </c>
      <c r="EP23" s="195"/>
      <c r="EQ23" s="407" t="s">
        <v>228</v>
      </c>
      <c r="ES23" s="587" t="n">
        <v>4</v>
      </c>
      <c r="ET23" s="559" t="n">
        <f aca="false">BH23/365.25</f>
        <v>-24.8624229979466</v>
      </c>
      <c r="EU23" s="560" t="n">
        <f aca="false">O23^2*ET23</f>
        <v>-0</v>
      </c>
      <c r="EV23" s="588" t="e">
        <f aca="false">SQRT(SUM(FK23:ID23)/ET23)</f>
        <v>#VALUE!</v>
      </c>
      <c r="EW23" s="589" t="str">
        <f aca="false">IF(OR(DateStart2&gt;I22,DateEnd2&lt;I21),"",IF(DateStart2&lt;I22,AK21/AI21*AP21*BE21*SwaptionNumOfMonths/$D$33,0)+IF(DateEnd2&gt;I21,AJ22/AI22*AP22*BE22*SwaptionNumOfMonths/$D$33,0))</f>
        <v/>
      </c>
      <c r="EX23" s="590" t="str">
        <f aca="false">IF(EW23="","",SQRT(SUM(FK328:ID328)/SwaptionYearsToExp))</f>
        <v/>
      </c>
      <c r="EY23" s="129" t="n">
        <v>0</v>
      </c>
      <c r="EZ23" s="591" t="str">
        <f aca="false">IF(OR(EW23="",EW24=""),"",SQRT(SUM(INDEX(FK23:ID23,SwaptionFirstMonthPosition+1):INDEX(FK23:ID23,FJ23))/SUM(INDEX($FK$15:$ID$15,SwaptionFirstMonthPosition+1):INDEX($FK$15:$ID$15,FJ23))))</f>
        <v/>
      </c>
      <c r="FA23" s="592" t="str">
        <f aca="false">IF(OR(EW23="",EW22=""),"",SQRT(SUM(INDEX(FK23:ID23,SwaptionFirstMonthPosition+1):INDEX(FK23:ID23,FJ23-1))/SUM(INDEX($FK$15:$ID$15,SwaptionFirstMonthPosition+1):INDEX($FK$15:$ID$15,FJ23-1))))</f>
        <v/>
      </c>
      <c r="FB23" s="593" t="str">
        <f aca="false">IF(BE23,2/3*EZ24+1/3*FA25,"")</f>
        <v/>
      </c>
      <c r="FC23" s="596" t="str">
        <f aca="false">IF(BE23,(I24+I23-1)/2-DateToday,"")</f>
        <v/>
      </c>
      <c r="FD23" s="483" t="str">
        <f aca="false">IF(BE23,CHOOSE(Underlying,X23,Z23)+SwaptionUnderlyingPrice-$D$26,"")</f>
        <v/>
      </c>
      <c r="FE23" s="483" t="str">
        <f aca="false">IF(BE23,CollartionFloor/FD23-1,"")</f>
        <v/>
      </c>
      <c r="FF23" s="483" t="str">
        <f aca="false">IF(BE23,CollartionCap/FD23-1,"")</f>
        <v/>
      </c>
      <c r="FG23" s="485" t="str">
        <f aca="false">IF(BE23,IF(VolSkewFlag=1,IF(FE23&gt;0,$BA23*MIN(FE23/10%,1)+($BB23-$BA23)*MAX(0,MIN(FE23/10%-1,1))+($BC23-$BB23)*MAX(0,FE23/10%-2),$AZ23*MIN(-FE23/10%,1)+($AY23-$AZ23)*MAX(0,MIN(-FE23/10%-1,1))+($AX23-$AY23)*MAX(0,-FE23/10%-2)),0),"")</f>
        <v/>
      </c>
      <c r="FH23" s="486" t="str">
        <f aca="false">IF(BE23,IF(VolSkewFlag=1,IF(FF23&gt;0,$BA23*MIN(FF23/10%,1)+($BB23-$BA23)*MAX(0,MIN(FF23/10%-1,1))+($BC23-$BB23)*MAX(0,FF23/10%-2),$AZ23*MIN(-FF23/10%,1)+($AY23-$AZ23)*MAX(0,MIN(-FF23/10%-1,1))+($AX23-$AY23)*MAX(0,-FF23/10%-2)),0),"")</f>
        <v/>
      </c>
      <c r="FI23" s="129"/>
      <c r="FJ23" s="571" t="n">
        <v>4</v>
      </c>
      <c r="FK23" s="150" t="n">
        <f aca="false">IF(FK$19&gt;$FJ23,"",MAX(0,IF(FK$19=$FJ23,$S23^2*FK$15,FK22*INDEX($T$20:$T$91,$FJ23-FK$19)^2/INDEX($U$20:$U$91,$FJ23-FK$19))))</f>
        <v>0</v>
      </c>
      <c r="FL23" s="150" t="n">
        <f aca="false">IF(FL$19&gt;$FJ23,"",MAX(0,IF(FL$19=$FJ23,$S23^2*FL$15,FL22*INDEX($T$20:$T$91,$FJ23-FL$19)^2/INDEX($U$20:$U$91,$FJ23-FL$19))))</f>
        <v>0</v>
      </c>
      <c r="FM23" s="150" t="n">
        <f aca="false">IF(FM$19&gt;$FJ23,"",MAX(0,IF(FM$19=$FJ23,$S23^2*FM$15,FM22*INDEX($T$20:$T$91,$FJ23-FM$19)^2/INDEX($U$20:$U$91,$FJ23-FM$19))))</f>
        <v>0.0103319813937894</v>
      </c>
      <c r="FN23" s="150" t="n">
        <f aca="false">IF(FN$19&gt;$FJ23,"",MAX(0,IF(FN$19=$FJ23,$S23^2*FN$15,FN22*INDEX($T$20:$T$91,$FJ23-FN$19)^2/INDEX($U$20:$U$91,$FJ23-FN$19))))</f>
        <v>0.0112158110882956</v>
      </c>
      <c r="FO23" s="150" t="str">
        <f aca="false">IF(FO$19&gt;$FJ23,"",MAX(0,IF(FO$19=$FJ23,$S23^2*FO$15,FO22*INDEX($T$20:$T$91,$FJ23-FO$19)^2/INDEX($U$20:$U$91,$FJ23-FO$19))))</f>
        <v/>
      </c>
      <c r="FP23" s="150" t="str">
        <f aca="false">IF(FP$19&gt;$FJ23,"",MAX(0,IF(FP$19=$FJ23,$S23^2*FP$15,FP22*INDEX($T$20:$T$91,$FJ23-FP$19)^2/INDEX($U$20:$U$91,$FJ23-FP$19))))</f>
        <v/>
      </c>
      <c r="FQ23" s="150" t="str">
        <f aca="false">IF(FQ$19&gt;$FJ23,"",MAX(0,IF(FQ$19=$FJ23,$S23^2*FQ$15,FQ22*INDEX($T$20:$T$91,$FJ23-FQ$19)^2/INDEX($U$20:$U$91,$FJ23-FQ$19))))</f>
        <v/>
      </c>
      <c r="FR23" s="150" t="str">
        <f aca="false">IF(FR$19&gt;$FJ23,"",MAX(0,IF(FR$19=$FJ23,$S23^2*FR$15,FR22*INDEX($T$20:$T$91,$FJ23-FR$19)^2/INDEX($U$20:$U$91,$FJ23-FR$19))))</f>
        <v/>
      </c>
      <c r="FS23" s="150" t="str">
        <f aca="false">IF(FS$19&gt;$FJ23,"",MAX(0,IF(FS$19=$FJ23,$S23^2*FS$15,FS22*INDEX($T$20:$T$91,$FJ23-FS$19)^2/INDEX($U$20:$U$91,$FJ23-FS$19))))</f>
        <v/>
      </c>
      <c r="FT23" s="150" t="str">
        <f aca="false">IF(FT$19&gt;$FJ23,"",MAX(0,IF(FT$19=$FJ23,$S23^2*FT$15,FT22*INDEX($T$20:$T$91,$FJ23-FT$19)^2/INDEX($U$20:$U$91,$FJ23-FT$19))))</f>
        <v/>
      </c>
      <c r="FU23" s="150" t="str">
        <f aca="false">IF(FU$19&gt;$FJ23,"",MAX(0,IF(FU$19=$FJ23,$S23^2*FU$15,FU22*INDEX($T$20:$T$91,$FJ23-FU$19)^2/INDEX($U$20:$U$91,$FJ23-FU$19))))</f>
        <v/>
      </c>
      <c r="FV23" s="150" t="str">
        <f aca="false">IF(FV$19&gt;$FJ23,"",MAX(0,IF(FV$19=$FJ23,$S23^2*FV$15,FV22*INDEX($T$20:$T$91,$FJ23-FV$19)^2/INDEX($U$20:$U$91,$FJ23-FV$19))))</f>
        <v/>
      </c>
      <c r="FW23" s="150" t="str">
        <f aca="false">IF(FW$19&gt;$FJ23,"",MAX(0,IF(FW$19=$FJ23,$S23^2*FW$15,FW22*INDEX($T$20:$T$91,$FJ23-FW$19)^2/INDEX($U$20:$U$91,$FJ23-FW$19))))</f>
        <v/>
      </c>
      <c r="FX23" s="150" t="str">
        <f aca="false">IF(FX$19&gt;$FJ23,"",MAX(0,IF(FX$19=$FJ23,$S23^2*FX$15,FX22*INDEX($T$20:$T$91,$FJ23-FX$19)^2/INDEX($U$20:$U$91,$FJ23-FX$19))))</f>
        <v/>
      </c>
      <c r="FY23" s="150" t="str">
        <f aca="false">IF(FY$19&gt;$FJ23,"",MAX(0,IF(FY$19=$FJ23,$S23^2*FY$15,FY22*INDEX($T$20:$T$91,$FJ23-FY$19)^2/INDEX($U$20:$U$91,$FJ23-FY$19))))</f>
        <v/>
      </c>
      <c r="FZ23" s="150" t="str">
        <f aca="false">IF(FZ$19&gt;$FJ23,"",MAX(0,IF(FZ$19=$FJ23,$S23^2*FZ$15,FZ22*INDEX($T$20:$T$91,$FJ23-FZ$19)^2/INDEX($U$20:$U$91,$FJ23-FZ$19))))</f>
        <v/>
      </c>
      <c r="GA23" s="150" t="str">
        <f aca="false">IF(GA$19&gt;$FJ23,"",MAX(0,IF(GA$19=$FJ23,$S23^2*GA$15,GA22*INDEX($T$20:$T$91,$FJ23-GA$19)^2/INDEX($U$20:$U$91,$FJ23-GA$19))))</f>
        <v/>
      </c>
      <c r="GB23" s="150" t="str">
        <f aca="false">IF(GB$19&gt;$FJ23,"",MAX(0,IF(GB$19=$FJ23,$S23^2*GB$15,GB22*INDEX($T$20:$T$91,$FJ23-GB$19)^2/INDEX($U$20:$U$91,$FJ23-GB$19))))</f>
        <v/>
      </c>
      <c r="GC23" s="150" t="str">
        <f aca="false">IF(GC$19&gt;$FJ23,"",MAX(0,IF(GC$19=$FJ23,$S23^2*GC$15,GC22*INDEX($T$20:$T$91,$FJ23-GC$19)^2/INDEX($U$20:$U$91,$FJ23-GC$19))))</f>
        <v/>
      </c>
      <c r="GD23" s="150" t="str">
        <f aca="false">IF(GD$19&gt;$FJ23,"",MAX(0,IF(GD$19=$FJ23,$S23^2*GD$15,GD22*INDEX($T$20:$T$91,$FJ23-GD$19)^2/INDEX($U$20:$U$91,$FJ23-GD$19))))</f>
        <v/>
      </c>
      <c r="GE23" s="150" t="str">
        <f aca="false">IF(GE$19&gt;$FJ23,"",MAX(0,IF(GE$19=$FJ23,$S23^2*GE$15,GE22*INDEX($T$20:$T$91,$FJ23-GE$19)^2/INDEX($U$20:$U$91,$FJ23-GE$19))))</f>
        <v/>
      </c>
      <c r="GF23" s="150" t="str">
        <f aca="false">IF(GF$19&gt;$FJ23,"",MAX(0,IF(GF$19=$FJ23,$S23^2*GF$15,GF22*INDEX($T$20:$T$91,$FJ23-GF$19)^2/INDEX($U$20:$U$91,$FJ23-GF$19))))</f>
        <v/>
      </c>
      <c r="GG23" s="150" t="str">
        <f aca="false">IF(GG$19&gt;$FJ23,"",MAX(0,IF(GG$19=$FJ23,$S23^2*GG$15,GG22*INDEX($T$20:$T$91,$FJ23-GG$19)^2/INDEX($U$20:$U$91,$FJ23-GG$19))))</f>
        <v/>
      </c>
      <c r="GH23" s="150" t="str">
        <f aca="false">IF(GH$19&gt;$FJ23,"",MAX(0,IF(GH$19=$FJ23,$S23^2*GH$15,GH22*INDEX($T$20:$T$91,$FJ23-GH$19)^2/INDEX($U$20:$U$91,$FJ23-GH$19))))</f>
        <v/>
      </c>
      <c r="GI23" s="150" t="str">
        <f aca="false">IF(GI$19&gt;$FJ23,"",MAX(0,IF(GI$19=$FJ23,$S23^2*GI$15,GI22*INDEX($T$20:$T$91,$FJ23-GI$19)^2/INDEX($U$20:$U$91,$FJ23-GI$19))))</f>
        <v/>
      </c>
      <c r="GJ23" s="150" t="str">
        <f aca="false">IF(GJ$19&gt;$FJ23,"",MAX(0,IF(GJ$19=$FJ23,$S23^2*GJ$15,GJ22*INDEX($T$20:$T$91,$FJ23-GJ$19)^2/INDEX($U$20:$U$91,$FJ23-GJ$19))))</f>
        <v/>
      </c>
      <c r="GK23" s="150" t="str">
        <f aca="false">IF(GK$19&gt;$FJ23,"",MAX(0,IF(GK$19=$FJ23,$S23^2*GK$15,GK22*INDEX($T$20:$T$91,$FJ23-GK$19)^2/INDEX($U$20:$U$91,$FJ23-GK$19))))</f>
        <v/>
      </c>
      <c r="GL23" s="150" t="str">
        <f aca="false">IF(GL$19&gt;$FJ23,"",MAX(0,IF(GL$19=$FJ23,$S23^2*GL$15,GL22*INDEX($T$20:$T$91,$FJ23-GL$19)^2/INDEX($U$20:$U$91,$FJ23-GL$19))))</f>
        <v/>
      </c>
      <c r="GM23" s="150" t="str">
        <f aca="false">IF(GM$19&gt;$FJ23,"",MAX(0,IF(GM$19=$FJ23,$S23^2*GM$15,GM22*INDEX($T$20:$T$91,$FJ23-GM$19)^2/INDEX($U$20:$U$91,$FJ23-GM$19))))</f>
        <v/>
      </c>
      <c r="GN23" s="150" t="str">
        <f aca="false">IF(GN$19&gt;$FJ23,"",MAX(0,IF(GN$19=$FJ23,$S23^2*GN$15,GN22*INDEX($T$20:$T$91,$FJ23-GN$19)^2/INDEX($U$20:$U$91,$FJ23-GN$19))))</f>
        <v/>
      </c>
      <c r="GO23" s="150" t="str">
        <f aca="false">IF(GO$19&gt;$FJ23,"",MAX(0,IF(GO$19=$FJ23,$S23^2*GO$15,GO22*INDEX($T$20:$T$91,$FJ23-GO$19)^2/INDEX($U$20:$U$91,$FJ23-GO$19))))</f>
        <v/>
      </c>
      <c r="GP23" s="150" t="str">
        <f aca="false">IF(GP$19&gt;$FJ23,"",MAX(0,IF(GP$19=$FJ23,$S23^2*GP$15,GP22*INDEX($T$20:$T$91,$FJ23-GP$19)^2/INDEX($U$20:$U$91,$FJ23-GP$19))))</f>
        <v/>
      </c>
      <c r="GQ23" s="150" t="str">
        <f aca="false">IF(GQ$19&gt;$FJ23,"",MAX(0,IF(GQ$19=$FJ23,$S23^2*GQ$15,GQ22*INDEX($T$20:$T$91,$FJ23-GQ$19)^2/INDEX($U$20:$U$91,$FJ23-GQ$19))))</f>
        <v/>
      </c>
      <c r="GR23" s="150" t="str">
        <f aca="false">IF(GR$19&gt;$FJ23,"",MAX(0,IF(GR$19=$FJ23,$S23^2*GR$15,GR22*INDEX($T$20:$T$91,$FJ23-GR$19)^2/INDEX($U$20:$U$91,$FJ23-GR$19))))</f>
        <v/>
      </c>
      <c r="GS23" s="150" t="str">
        <f aca="false">IF(GS$19&gt;$FJ23,"",MAX(0,IF(GS$19=$FJ23,$S23^2*GS$15,GS22*INDEX($T$20:$T$91,$FJ23-GS$19)^2/INDEX($U$20:$U$91,$FJ23-GS$19))))</f>
        <v/>
      </c>
      <c r="GT23" s="150" t="str">
        <f aca="false">IF(GT$19&gt;$FJ23,"",MAX(0,IF(GT$19=$FJ23,$S23^2*GT$15,GT22*INDEX($T$20:$T$91,$FJ23-GT$19)^2/INDEX($U$20:$U$91,$FJ23-GT$19))))</f>
        <v/>
      </c>
      <c r="GU23" s="150" t="str">
        <f aca="false">IF(GU$19&gt;$FJ23,"",MAX(0,IF(GU$19=$FJ23,$S23^2*GU$15,GU22*INDEX($T$20:$T$91,$FJ23-GU$19)^2/INDEX($U$20:$U$91,$FJ23-GU$19))))</f>
        <v/>
      </c>
      <c r="GV23" s="150" t="str">
        <f aca="false">IF(GV$19&gt;$FJ23,"",MAX(0,IF(GV$19=$FJ23,$S23^2*GV$15,GV22*INDEX($T$20:$T$91,$FJ23-GV$19)^2/INDEX($U$20:$U$91,$FJ23-GV$19))))</f>
        <v/>
      </c>
      <c r="GW23" s="150" t="str">
        <f aca="false">IF(GW$19&gt;$FJ23,"",MAX(0,IF(GW$19=$FJ23,$S23^2*GW$15,GW22*INDEX($T$20:$T$91,$FJ23-GW$19)^2/INDEX($U$20:$U$91,$FJ23-GW$19))))</f>
        <v/>
      </c>
      <c r="GX23" s="150" t="str">
        <f aca="false">IF(GX$19&gt;$FJ23,"",MAX(0,IF(GX$19=$FJ23,$S23^2*GX$15,GX22*INDEX($T$20:$T$91,$FJ23-GX$19)^2/INDEX($U$20:$U$91,$FJ23-GX$19))))</f>
        <v/>
      </c>
      <c r="GY23" s="150" t="str">
        <f aca="false">IF(GY$19&gt;$FJ23,"",MAX(0,IF(GY$19=$FJ23,$S23^2*GY$15,GY22*INDEX($T$20:$T$91,$FJ23-GY$19)^2/INDEX($U$20:$U$91,$FJ23-GY$19))))</f>
        <v/>
      </c>
      <c r="GZ23" s="150" t="str">
        <f aca="false">IF(GZ$19&gt;$FJ23,"",MAX(0,IF(GZ$19=$FJ23,$S23^2*GZ$15,GZ22*INDEX($T$20:$T$91,$FJ23-GZ$19)^2/INDEX($U$20:$U$91,$FJ23-GZ$19))))</f>
        <v/>
      </c>
      <c r="HA23" s="150" t="str">
        <f aca="false">IF(HA$19&gt;$FJ23,"",MAX(0,IF(HA$19=$FJ23,$S23^2*HA$15,HA22*INDEX($T$20:$T$91,$FJ23-HA$19)^2/INDEX($U$20:$U$91,$FJ23-HA$19))))</f>
        <v/>
      </c>
      <c r="HB23" s="150" t="str">
        <f aca="false">IF(HB$19&gt;$FJ23,"",MAX(0,IF(HB$19=$FJ23,$S23^2*HB$15,HB22*INDEX($T$20:$T$91,$FJ23-HB$19)^2/INDEX($U$20:$U$91,$FJ23-HB$19))))</f>
        <v/>
      </c>
      <c r="HC23" s="150" t="str">
        <f aca="false">IF(HC$19&gt;$FJ23,"",MAX(0,IF(HC$19=$FJ23,$S23^2*HC$15,HC22*INDEX($T$20:$T$91,$FJ23-HC$19)^2/INDEX($U$20:$U$91,$FJ23-HC$19))))</f>
        <v/>
      </c>
      <c r="HD23" s="150" t="str">
        <f aca="false">IF(HD$19&gt;$FJ23,"",MAX(0,IF(HD$19=$FJ23,$S23^2*HD$15,HD22*INDEX($T$20:$T$91,$FJ23-HD$19)^2/INDEX($U$20:$U$91,$FJ23-HD$19))))</f>
        <v/>
      </c>
      <c r="HE23" s="150" t="str">
        <f aca="false">IF(HE$19&gt;$FJ23,"",MAX(0,IF(HE$19=$FJ23,$S23^2*HE$15,HE22*INDEX($T$20:$T$91,$FJ23-HE$19)^2/INDEX($U$20:$U$91,$FJ23-HE$19))))</f>
        <v/>
      </c>
      <c r="HF23" s="150" t="str">
        <f aca="false">IF(HF$19&gt;$FJ23,"",MAX(0,IF(HF$19=$FJ23,$S23^2*HF$15,HF22*INDEX($T$20:$T$91,$FJ23-HF$19)^2/INDEX($U$20:$U$91,$FJ23-HF$19))))</f>
        <v/>
      </c>
      <c r="HG23" s="150" t="str">
        <f aca="false">IF(HG$19&gt;$FJ23,"",MAX(0,IF(HG$19=$FJ23,$S23^2*HG$15,HG22*INDEX($T$20:$T$91,$FJ23-HG$19)^2/INDEX($U$20:$U$91,$FJ23-HG$19))))</f>
        <v/>
      </c>
      <c r="HH23" s="150" t="str">
        <f aca="false">IF(HH$19&gt;$FJ23,"",MAX(0,IF(HH$19=$FJ23,$S23^2*HH$15,HH22*INDEX($T$20:$T$91,$FJ23-HH$19)^2/INDEX($U$20:$U$91,$FJ23-HH$19))))</f>
        <v/>
      </c>
      <c r="HI23" s="150" t="str">
        <f aca="false">IF(HI$19&gt;$FJ23,"",MAX(0,IF(HI$19=$FJ23,$S23^2*HI$15,HI22*INDEX($T$20:$T$91,$FJ23-HI$19)^2/INDEX($U$20:$U$91,$FJ23-HI$19))))</f>
        <v/>
      </c>
      <c r="HJ23" s="150" t="str">
        <f aca="false">IF(HJ$19&gt;$FJ23,"",MAX(0,IF(HJ$19=$FJ23,$S23^2*HJ$15,HJ22*INDEX($T$20:$T$91,$FJ23-HJ$19)^2/INDEX($U$20:$U$91,$FJ23-HJ$19))))</f>
        <v/>
      </c>
      <c r="HK23" s="150" t="str">
        <f aca="false">IF(HK$19&gt;$FJ23,"",MAX(0,IF(HK$19=$FJ23,$S23^2*HK$15,HK22*INDEX($T$20:$T$91,$FJ23-HK$19)^2/INDEX($U$20:$U$91,$FJ23-HK$19))))</f>
        <v/>
      </c>
      <c r="HL23" s="150" t="str">
        <f aca="false">IF(HL$19&gt;$FJ23,"",MAX(0,IF(HL$19=$FJ23,$S23^2*HL$15,HL22*INDEX($T$20:$T$91,$FJ23-HL$19)^2/INDEX($U$20:$U$91,$FJ23-HL$19))))</f>
        <v/>
      </c>
      <c r="HM23" s="150" t="str">
        <f aca="false">IF(HM$19&gt;$FJ23,"",MAX(0,IF(HM$19=$FJ23,$S23^2*HM$15,HM22*INDEX($T$20:$T$91,$FJ23-HM$19)^2/INDEX($U$20:$U$91,$FJ23-HM$19))))</f>
        <v/>
      </c>
      <c r="HN23" s="150" t="str">
        <f aca="false">IF(HN$19&gt;$FJ23,"",MAX(0,IF(HN$19=$FJ23,$S23^2*HN$15,HN22*INDEX($T$20:$T$91,$FJ23-HN$19)^2/INDEX($U$20:$U$91,$FJ23-HN$19))))</f>
        <v/>
      </c>
      <c r="HO23" s="150" t="str">
        <f aca="false">IF(HO$19&gt;$FJ23,"",MAX(0,IF(HO$19=$FJ23,$S23^2*HO$15,HO22*INDEX($T$20:$T$91,$FJ23-HO$19)^2/INDEX($U$20:$U$91,$FJ23-HO$19))))</f>
        <v/>
      </c>
      <c r="HP23" s="150" t="str">
        <f aca="false">IF(HP$19&gt;$FJ23,"",MAX(0,IF(HP$19=$FJ23,$S23^2*HP$15,HP22*INDEX($T$20:$T$91,$FJ23-HP$19)^2/INDEX($U$20:$U$91,$FJ23-HP$19))))</f>
        <v/>
      </c>
      <c r="HQ23" s="150" t="str">
        <f aca="false">IF(HQ$19&gt;$FJ23,"",MAX(0,IF(HQ$19=$FJ23,$S23^2*HQ$15,HQ22*INDEX($T$20:$T$91,$FJ23-HQ$19)^2/INDEX($U$20:$U$91,$FJ23-HQ$19))))</f>
        <v/>
      </c>
      <c r="HR23" s="150" t="str">
        <f aca="false">IF(HR$19&gt;$FJ23,"",MAX(0,IF(HR$19=$FJ23,$S23^2*HR$15,HR22*INDEX($T$20:$T$91,$FJ23-HR$19)^2/INDEX($U$20:$U$91,$FJ23-HR$19))))</f>
        <v/>
      </c>
      <c r="HS23" s="150" t="str">
        <f aca="false">IF(HS$19&gt;$FJ23,"",MAX(0,IF(HS$19=$FJ23,$S23^2*HS$15,HS22*INDEX($T$20:$T$91,$FJ23-HS$19)^2/INDEX($U$20:$U$91,$FJ23-HS$19))))</f>
        <v/>
      </c>
      <c r="HT23" s="150" t="str">
        <f aca="false">IF(HT$19&gt;$FJ23,"",MAX(0,IF(HT$19=$FJ23,$S23^2*HT$15,HT22*INDEX($T$20:$T$91,$FJ23-HT$19)^2/INDEX($U$20:$U$91,$FJ23-HT$19))))</f>
        <v/>
      </c>
      <c r="HU23" s="150" t="str">
        <f aca="false">IF(HU$19&gt;$FJ23,"",MAX(0,IF(HU$19=$FJ23,$S23^2*HU$15,HU22*INDEX($T$20:$T$91,$FJ23-HU$19)^2/INDEX($U$20:$U$91,$FJ23-HU$19))))</f>
        <v/>
      </c>
      <c r="HV23" s="150" t="str">
        <f aca="false">IF(HV$19&gt;$FJ23,"",MAX(0,IF(HV$19=$FJ23,$S23^2*HV$15,HV22*INDEX($T$20:$T$91,$FJ23-HV$19)^2/INDEX($U$20:$U$91,$FJ23-HV$19))))</f>
        <v/>
      </c>
      <c r="HW23" s="150" t="str">
        <f aca="false">IF(HW$19&gt;$FJ23,"",MAX(0,IF(HW$19=$FJ23,$S23^2*HW$15,HW22*INDEX($T$20:$T$91,$FJ23-HW$19)^2/INDEX($U$20:$U$91,$FJ23-HW$19))))</f>
        <v/>
      </c>
      <c r="HX23" s="150" t="str">
        <f aca="false">IF(HX$19&gt;$FJ23,"",MAX(0,IF(HX$19=$FJ23,$S23^2*HX$15,HX22*INDEX($T$20:$T$91,$FJ23-HX$19)^2/INDEX($U$20:$U$91,$FJ23-HX$19))))</f>
        <v/>
      </c>
      <c r="HY23" s="150" t="str">
        <f aca="false">IF(HY$19&gt;$FJ23,"",MAX(0,IF(HY$19=$FJ23,$S23^2*HY$15,HY22*INDEX($T$20:$T$91,$FJ23-HY$19)^2/INDEX($U$20:$U$91,$FJ23-HY$19))))</f>
        <v/>
      </c>
      <c r="HZ23" s="150" t="str">
        <f aca="false">IF(HZ$19&gt;$FJ23,"",MAX(0,IF(HZ$19=$FJ23,$S23^2*HZ$15,HZ22*INDEX($T$20:$T$91,$FJ23-HZ$19)^2/INDEX($U$20:$U$91,$FJ23-HZ$19))))</f>
        <v/>
      </c>
      <c r="IA23" s="150" t="str">
        <f aca="false">IF(IA$19&gt;$FJ23,"",MAX(0,IF(IA$19=$FJ23,$S23^2*IA$15,IA22*INDEX($T$20:$T$91,$FJ23-IA$19)^2/INDEX($U$20:$U$91,$FJ23-IA$19))))</f>
        <v/>
      </c>
      <c r="IB23" s="150" t="str">
        <f aca="false">IF(IB$19&gt;$FJ23,"",MAX(0,IF(IB$19=$FJ23,$S23^2*IB$15,IB22*INDEX($T$20:$T$91,$FJ23-IB$19)^2/INDEX($U$20:$U$91,$FJ23-IB$19))))</f>
        <v/>
      </c>
      <c r="IC23" s="150" t="str">
        <f aca="false">IF(IC$19&gt;$FJ23,"",MAX(0,IF(IC$19=$FJ23,$S23^2*IC$15,IC22*INDEX($T$20:$T$91,$FJ23-IC$19)^2/INDEX($U$20:$U$91,$FJ23-IC$19))))</f>
        <v/>
      </c>
      <c r="ID23" s="572" t="str">
        <f aca="false">IF(ID$19&gt;$FJ23,"",MAX(0,IF(ID$19=$FJ23,$S23^2*ID$15,ID22*INDEX($T$20:$T$91,$FJ23-ID$19)^2/INDEX($U$20:$U$91,$FJ23-ID$19))))</f>
        <v/>
      </c>
      <c r="IE23" s="129"/>
    </row>
    <row r="24" customFormat="false" ht="20.25" hidden="false" customHeight="true" outlineLevel="0" collapsed="false">
      <c r="A24" s="76" t="n">
        <f aca="false">L24*O24*SQRT(2/260/3.14)</f>
        <v>0</v>
      </c>
      <c r="B24" s="474"/>
      <c r="C24" s="22" t="s">
        <v>11</v>
      </c>
      <c r="D24" s="23"/>
      <c r="E24" s="24" t="s">
        <v>12</v>
      </c>
      <c r="F24" s="25" t="n">
        <f aca="false">EOMONTH(NextMonth,SwaptionFirstMonthPosition-2)+1</f>
        <v>36892</v>
      </c>
      <c r="G24" s="26" t="n">
        <f aca="false">EOMONTH(DateStart2,SwaptionNumOfMonths-2)+1</f>
        <v>37226</v>
      </c>
      <c r="H24" s="219" t="n">
        <f aca="false">VLOOKUP(I24,$EJ$20:$EL$54,3)</f>
        <v>21</v>
      </c>
      <c r="I24" s="511" t="n">
        <f aca="false">EOMONTH(I23,0)+1</f>
        <v>36892</v>
      </c>
      <c r="J24" s="512"/>
      <c r="K24" s="513" t="n">
        <v>0</v>
      </c>
      <c r="L24" s="514" t="n">
        <f aca="false">IF(ISNUMBER(K24),J24+K24/100,IF(K24="extra",L23+VLOOKUP(BF24,PriceSpreadTable,2)/12,IF(K24="inter",interpolateprices($K$19:$L$200,ROW(K24)-ROW(FirstPricingMonth)+1),interpolatechanges($J$19:$K$200,ROW(K24)-ROW(FirstPricingMonth)+1))))</f>
        <v>0</v>
      </c>
      <c r="M24" s="515"/>
      <c r="N24" s="516" t="n">
        <v>0</v>
      </c>
      <c r="O24" s="515" t="n">
        <f aca="false">M24+N24</f>
        <v>0</v>
      </c>
      <c r="P24" s="512"/>
      <c r="Q24" s="517" t="n">
        <v>0</v>
      </c>
      <c r="R24" s="512" t="n">
        <f aca="false">IF(ISNUMBER(Q24),P24+Q24/100,IF(Q24="extra",(Z22*AL22-R23*AM22)/AN22,IF(Q24="inter",interpolateprices($Q$19:$R$260,ROW(Q24)-ROW(FirstPricingMonth)+1),interpolatechanges($P$19:$Q$260,ROW(Q24)-ROW(FirstPricingMonth)+1))))</f>
        <v>0</v>
      </c>
      <c r="S24" s="597" t="n">
        <f aca="false">S$19+(S23-S$19)*S$18</f>
        <v>0.376875</v>
      </c>
      <c r="T24" s="575" t="n">
        <f aca="false">SQRT((1-(1-T23^2/U23)*T$18)*U24)</f>
        <v>0.935824925698223</v>
      </c>
      <c r="U24" s="576" t="n">
        <f aca="false">1-(1-U23)*U$18</f>
        <v>0.99525390625</v>
      </c>
      <c r="V24" s="521" t="n">
        <v>0</v>
      </c>
      <c r="W24" s="577" t="n">
        <f aca="false">(J25*AJ24+J26*AK24)/AI24</f>
        <v>0</v>
      </c>
      <c r="X24" s="578" t="e">
        <f aca="false">(L25*AJ24+L26*AK24)/AI24</f>
        <v>#VALUE!</v>
      </c>
      <c r="Y24" s="579" t="n">
        <f aca="false">IF(Q26="extra",W24-AA24,(P25*AM24+P26*AN24)/AL24)</f>
        <v>0</v>
      </c>
      <c r="Z24" s="579" t="e">
        <f aca="false">IF(Q26="extra",X24-AB24,(R25*AM24+R26*AN24)/AL24)</f>
        <v>#VALUE!</v>
      </c>
      <c r="AA24" s="523" t="n">
        <f aca="false">IF(Q26="extra",INDEX(BrentSeasonalityTable,INT((BG24-1)/3)+1)*VLOOKUP(MAX(BF24,$AB$4),PriceSpreadTable,3),W24-Y24)</f>
        <v>0</v>
      </c>
      <c r="AB24" s="524" t="e">
        <f aca="false">IF(Q26="extra",INDEX(BrentSeasonalityTable,INT((BG24-1)/3)+1)*VLOOKUP(MAX(BF24,$AB$4),PriceSpreadTable,3),X24-Z24)</f>
        <v>#VALUE!</v>
      </c>
      <c r="AC24" s="525" t="n">
        <v>36879</v>
      </c>
      <c r="AD24" s="526" t="n">
        <v>36874</v>
      </c>
      <c r="AE24" s="526" t="n">
        <v>36874</v>
      </c>
      <c r="AF24" s="527" t="n">
        <v>36873</v>
      </c>
      <c r="AG24" s="438" t="s">
        <v>224</v>
      </c>
      <c r="AH24" s="439" t="s">
        <v>224</v>
      </c>
      <c r="AI24" s="528" t="n">
        <v>22</v>
      </c>
      <c r="AJ24" s="529" t="n">
        <v>15</v>
      </c>
      <c r="AK24" s="529" t="n">
        <v>7</v>
      </c>
      <c r="AL24" s="530" t="n">
        <v>22</v>
      </c>
      <c r="AM24" s="529" t="n">
        <v>10</v>
      </c>
      <c r="AN24" s="531" t="n">
        <v>12</v>
      </c>
      <c r="AO24" s="532"/>
      <c r="AP24" s="465" t="n">
        <f aca="false">(1+AO24/2)^(-2*BL24)</f>
        <v>1</v>
      </c>
      <c r="AQ24" s="532"/>
      <c r="AR24" s="465" t="n">
        <f aca="false">(1+AQ24/2)^(-2*BH24/365.25)</f>
        <v>1</v>
      </c>
      <c r="AS24" s="580" t="n">
        <f aca="false">(O25*AJ24+O26*AK24)/AI24</f>
        <v>0</v>
      </c>
      <c r="AT24" s="468" t="n">
        <f aca="false">O24*VLOOKUP(BF24,BrentVolTable,2)+VLOOKUP(BF24,BrentVolTable,3)</f>
        <v>0</v>
      </c>
      <c r="AU24" s="468" t="n">
        <f aca="false">(AT25*AM24+AT26*AN24)/AL24</f>
        <v>0</v>
      </c>
      <c r="AV24" s="595" t="n">
        <f aca="false">SQRT(MAX(0.000000000001,(O24^2*BH24-S24^2*(BH24-BH23))/BH23))</f>
        <v>0.0216616292808755</v>
      </c>
      <c r="AW24" s="451" t="n">
        <f aca="false">IF($I24-DateToday+15&gt;=$T$8,"",IF($I24-DateToday+15&lt;$T$5,1,MATCH($I24-DateToday+15,$T$5:$T$8)))</f>
        <v>1</v>
      </c>
      <c r="AX24" s="468" t="n">
        <f aca="false">IF($AW24="",AX23^2/AX22,INDEX(U$5:U$8,$AW24)^((INDEX($T$5:$T$8,$AW24+1)-($I24-DateToday+15))/(INDEX($T$5:$T$8,$AW24+1)-INDEX($T$5:$T$8,$AW24)))/INDEX(U$5:U$8,$AW24+1)^((INDEX($T$5:$T$8,$AW24)-($I24-DateToday+15))/(INDEX($T$5:$T$8,$AW24+1)-INDEX($T$5:$T$8,$AW24))))</f>
        <v>11.5193208840146</v>
      </c>
      <c r="AY24" s="468" t="n">
        <f aca="false">IF($AW24="",AY23^2/AY22,INDEX(V$5:V$8,$AW24)^((INDEX($T$5:$T$8,$AW24+1)-($I24-DateToday+15))/(INDEX($T$5:$T$8,$AW24+1)-INDEX($T$5:$T$8,$AW24)))/INDEX(V$5:V$8,$AW24+1)^((INDEX($T$5:$T$8,$AW24)-($I24-DateToday+15))/(INDEX($T$5:$T$8,$AW24+1)-INDEX($T$5:$T$8,$AW24))))</f>
        <v>4407.32932216732</v>
      </c>
      <c r="AZ24" s="468" t="n">
        <f aca="false">IF($AW24="",AZ23^2/AZ22,INDEX(W$5:W$8,$AW24)^((INDEX($T$5:$T$8,$AW24+1)-($I24-DateToday+15))/(INDEX($T$5:$T$8,$AW24+1)-INDEX($T$5:$T$8,$AW24)))/INDEX(W$5:W$8,$AW24+1)^((INDEX($T$5:$T$8,$AW24)-($I24-DateToday+15))/(INDEX($T$5:$T$8,$AW24+1)-INDEX($T$5:$T$8,$AW24))))</f>
        <v>503709259.045702</v>
      </c>
      <c r="BA24" s="468" t="n">
        <f aca="false">IF($AW24="",BA23^2/BA22,INDEX(X$5:X$8,$AW24)^((INDEX($T$5:$T$8,$AW24+1)-($I24-DateToday+15))/(INDEX($T$5:$T$8,$AW24+1)-INDEX($T$5:$T$8,$AW24)))/INDEX(X$5:X$8,$AW24+1)^((INDEX($T$5:$T$8,$AW24)-($I24-DateToday+15))/(INDEX($T$5:$T$8,$AW24+1)-INDEX($T$5:$T$8,$AW24))))</f>
        <v>60441547783.2981</v>
      </c>
      <c r="BB24" s="468" t="n">
        <f aca="false">IF($AW24="",BB23^2/BB22,INDEX(Y$5:Y$8,$AW24)^((INDEX($T$5:$T$8,$AW24+1)-($I24-DateToday+15))/(INDEX($T$5:$T$8,$AW24+1)-INDEX($T$5:$T$8,$AW24)))/INDEX(Y$5:Y$8,$AW24+1)^((INDEX($T$5:$T$8,$AW24)-($I24-DateToday+15))/(INDEX($T$5:$T$8,$AW24+1)-INDEX($T$5:$T$8,$AW24))))</f>
        <v>1605992063560.08</v>
      </c>
      <c r="BC24" s="468" t="n">
        <f aca="false">IF($AW24="",BC23^2/BC22,INDEX(Z$5:Z$8,$AW24)^((INDEX($T$5:$T$8,$AW24+1)-($I24-DateToday+15))/(INDEX($T$5:$T$8,$AW24+1)-INDEX($T$5:$T$8,$AW24)))/INDEX(Z$5:Z$8,$AW24+1)^((INDEX($T$5:$T$8,$AW24)-($I24-DateToday+15))/(INDEX($T$5:$T$8,$AW24+1)-INDEX($T$5:$T$8,$AW24))))</f>
        <v>11296706313252.8</v>
      </c>
      <c r="BD24" s="535" t="n">
        <f aca="false">IF(OR(DateStart&gt;=I25,DateEnd&lt;I24),0,IF(VolumeOverrideFlag,V24,Volume))</f>
        <v>30</v>
      </c>
      <c r="BE24" s="536" t="n">
        <f aca="false">IF(OR(DateStart2&gt;=I25,DateEnd2&lt;I24),0,IF(VolumeOverrideFlag,V24,VolumeSwaption))</f>
        <v>30</v>
      </c>
      <c r="BF24" s="537" t="n">
        <f aca="false">YEAR(I24)</f>
        <v>2001</v>
      </c>
      <c r="BG24" s="538" t="n">
        <f aca="false">MONTH(I24)</f>
        <v>1</v>
      </c>
      <c r="BH24" s="539" t="n">
        <f aca="false">AD24-DateToday+1</f>
        <v>-9051</v>
      </c>
      <c r="BI24" s="540" t="n">
        <f aca="false">(I24-DateToday+1)/365.25</f>
        <v>-24.7310061601643</v>
      </c>
      <c r="BJ24" s="541" t="n">
        <f aca="false">BI24+(BL24-BI24)*CHOOSE(Underlying,AJ24/AI24,AM24/AL24)</f>
        <v>-24.6750046667911</v>
      </c>
      <c r="BK24" s="541" t="n">
        <f aca="false">BJ24+1/365.25</f>
        <v>-24.672266816004</v>
      </c>
      <c r="BL24" s="541" t="n">
        <f aca="false">(I25-DateToday)/365.25</f>
        <v>-24.6488706365503</v>
      </c>
      <c r="BM24" s="542" t="e">
        <f aca="false">MAX(BI24-(BJ24-BI24)*(S25^2/O25^2-1),0)</f>
        <v>#DIV/0!</v>
      </c>
      <c r="BN24" s="541" t="e">
        <f aca="false">MAX(BL24+(BL24-BK24)*(S26^2/O26^2-1),0)</f>
        <v>#DIV/0!</v>
      </c>
      <c r="BO24" s="530" t="n">
        <f aca="false">CHOOSE(Underlying,AI24,AL24)</f>
        <v>22</v>
      </c>
      <c r="BP24" s="529" t="n">
        <f aca="false">CHOOSE(Underlying,AJ24,AM24)</f>
        <v>15</v>
      </c>
      <c r="BQ24" s="529" t="n">
        <f aca="false">CHOOSE(Underlying,AK24,AN24)</f>
        <v>7</v>
      </c>
      <c r="BR24" s="463" t="e">
        <f aca="false">IF(BD24,IF(Underlying=1,X24,Z24)+UnderlyingPriceAsian-SwapPriceCurve,"")</f>
        <v>#VALUE!</v>
      </c>
      <c r="BS24" s="463" t="e">
        <f aca="false">IF(BD24,Strike1/BR24-1,"")</f>
        <v>#VALUE!</v>
      </c>
      <c r="BT24" s="464" t="e">
        <f aca="false">IF(BD24,Strike2/BR24-1,"")</f>
        <v>#VALUE!</v>
      </c>
      <c r="BU24" s="465" t="e">
        <f aca="false">IF(BD24,IF(Underlying=1,L25,R25)+UnderlyingPriceAsian-SwapPriceCurve,"")</f>
        <v>#VALUE!</v>
      </c>
      <c r="BV24" s="465" t="e">
        <f aca="false">IF(BD24,IF(Underlying=1,L26,R26)+UnderlyingPriceAsian-SwapPriceCurve,"")</f>
        <v>#VALUE!</v>
      </c>
      <c r="BW24" s="466" t="n">
        <f aca="false">IF(BD24,IF(Underlying=1,O25,AT25),"")</f>
        <v>0</v>
      </c>
      <c r="BX24" s="467" t="n">
        <f aca="false">IF(BD24,IF(Underlying=1,O26,AT26),"")</f>
        <v>0</v>
      </c>
      <c r="BY24" s="466" t="e">
        <f aca="false">IF(BD24,IF(BS24&gt;0,IF(BS24&gt;0.2,BC24-BB24,IF(BS24&gt;0.1,BB24-BA24,BA24)),IF(BS24&lt;-0.2,AX24-AY24,IF(BS24&lt;-0.1,AY24-AZ24,AZ24))),"")</f>
        <v>#VALUE!</v>
      </c>
      <c r="BZ24" s="467" t="e">
        <f aca="false">IF(BD24,IF(BT24&gt;0,IF(BT24&gt;0.2,BC24-BB24,IF(BT24&gt;0.1,BB24-BA24,BA24)),IF(BT24&lt;-0.2,AX24-AY24,IF(BT24&lt;-0.1,AY24-AZ24,AZ24))),"")</f>
        <v>#VALUE!</v>
      </c>
      <c r="CA24" s="468" t="e">
        <f aca="false">IF($BD24,$BW24+IF(VolSkewFlag=1,IF(BS24&gt;0,$BA24*MIN(BS24/10%,1)+($BB24-$BA24)*MAX(0,MIN(BS24/10%-1,1))+($BC24-$BB24)*MAX(0,BS24/10%-2),$AZ24*MIN(-BS24/10%,1)+($AY24-$AZ24)*MAX(0,MIN(-BS24/10%-1,1))+($AX24-$AY24)*MAX(0,-BS24/10%-2)),0),"")</f>
        <v>#VALUE!</v>
      </c>
      <c r="CB24" s="468" t="e">
        <f aca="false">IF($BD24,$BX24+IF(VolSkewFlag=1,IF(BS24&gt;0,$BA24*MIN(BS24/10%,1)+($BB24-$BA24)*MAX(0,MIN(BS24/10%-1,1))+($BC24-$BB24)*MAX(0,BS24/10%-2),$AZ24*MIN(-BS24/10%,1)+($AY24-$AZ24)*MAX(0,MIN(-BS24/10%-1,1))+($AX24-$AY24)*MAX(0,-BS24/10%-2)),0),"")</f>
        <v>#VALUE!</v>
      </c>
      <c r="CC24" s="468" t="e">
        <f aca="false">IF($BD24,$BW24+IF(VolSkewFlag=1,IF(BT24&gt;0,$BA24*MIN(BT24/10%,1)+($BB24-$BA24)*MAX(0,MIN(BT24/10%-1,1))+($BC24-$BB24)*MAX(0,BT24/10%-2),$AZ24*MIN(-BT24/10%,1)+($AY24-$AZ24)*MAX(0,MIN(-BT24/10%-1,1))+($AX24-$AY24)*MAX(0,-BT24/10%-2)),0),"")</f>
        <v>#VALUE!</v>
      </c>
      <c r="CD24" s="468" t="e">
        <f aca="false">IF($BD24,$BX24+IF(VolSkewFlag=1,IF(BT24&gt;0,$BA24*MIN(BT24/10%,1)+($BB24-$BA24)*MAX(0,MIN(BT24/10%-1,1))+($BC24-$BB24)*MAX(0,BT24/10%-2),$AZ24*MIN(-BT24/10%,1)+($AY24-$AZ24)*MAX(0,MIN(-BT24/10%-1,1))+($AX24-$AY24)*MAX(0,-BT24/10%-2)),0),"")</f>
        <v>#VALUE!</v>
      </c>
      <c r="CE24" s="469" t="n">
        <v>1</v>
      </c>
      <c r="CF24" s="470" t="e">
        <f aca="false">IF(BD24,xCrudeAPO(BU24,BV24,CA24,CB24,S25,S26,BI24,BL24,BP24,BQ24,0,Strike1,AO24,CE24,0,BL24,IF(OptControl=4,0,1),0,1),0)</f>
        <v>#NAME?</v>
      </c>
      <c r="CG24" s="470" t="e">
        <f aca="false">IF(BD24,xCrudeAPO(BU24,BV24,CA24,CB24,S25,S26,BI24,BL24,BP24,BQ24,0,Strike1,AO24,CE24,0,BL24,IF(OptControl=4,0,1),1,1)+xCrudeAPO(BU24,BV24,CA24,CB24,S25,S26,BI24,BL24,BP24,BQ24,0,Strike1,AO24,CE24,0,BL24,IF(OptControl=4,0,1),1,2)+IF(OR(VolSkewFlag=2,ABS(BS24)&lt;0.0001),0,IF(BS24&gt;0,-1,1)*CH24*Strike1/BR24^2*BY24/10%),0)</f>
        <v>#NAME?</v>
      </c>
      <c r="CH24" s="470" t="e">
        <f aca="false">IF(BD24,(xCrudeAPO(BU24,BV24,CA24,CB24,S25,S26,BI24,BL24,BP24,BQ24,0,Strike1,AO24,CE24,0,BL24,IF(OptControl=4,0,1),3,1)+xCrudeAPO(BU24,BV24,CA24,CB24,S25,S26,BI24,BL24,BP24,BQ24,0,Strike1,AO24,CE24,0,BL24,IF(OptControl=4,0,1),3,2))/100,0)</f>
        <v>#NAME?</v>
      </c>
      <c r="CI24" s="470" t="e">
        <f aca="false">IF(BD24,xCrudeAPO(BU24,BV24,CA24,CB24,S25,S26,BI24-DaysForThetaCalculation/365.25,BL24-DaysForThetaCalculation/365.25,BP24,BQ24,0,Strike1,AO24,CE24,0,BL24,IF(OptControl=4,0,1),0,1)-xCrudeAPO(BU24,BV24,CA24,CB24,S25,S26,BI24,BL24,BP24,BQ24,0,Strike1,AO24,CE24,0,BL24,IF(OptControl=4,0,1),0,1),0)</f>
        <v>#NAME?</v>
      </c>
      <c r="CJ24" s="471" t="e">
        <f aca="false">IF(BD24,xCrudeAPO(BU24,BV24,CC24,CD24,S25,S26,BI24,BL24,BP24,BQ24,0,Strike2,AO24,CE24,0,BL24,IF(OptControl=3,1,0),0,1),0)</f>
        <v>#NAME?</v>
      </c>
      <c r="CK24" s="470" t="e">
        <f aca="false">IF(BD24,xCrudeAPO(BU24,BV24,CC24,CD24,S25,S26,BI24,BL24,BP24,BQ24,0,Strike2,AO24,CE24,0,BL24,IF(OptControl=3,1,0),1,1)+xCrudeAPO(BU24,BV24,CC24,CD24,S25,S26,BI24,BL24,BP24,BQ24,0,Strike2,AO24,CE24,0,BL24,IF(OptControl=3,1,0),1,2)+IF(OR(VolSkewFlag=2,ABS(BT24)&lt;0.0001),0,IF(BT24&gt;0,-1,1)*CL24*Strike2/BR24^2*BZ24/10%),0)</f>
        <v>#NAME?</v>
      </c>
      <c r="CL24" s="470" t="e">
        <f aca="false">IF(BD24,(xCrudeAPO(BU24,BV24,CC24,CD24,S25,S26,BI24,BL24,BP24,BQ24,0,Strike2,AO24,CE24,0,BL24,IF(OptControl=3,1,0),3,1)+xCrudeAPO(BU24,BV24,CC24,CD24,S25,S26,BI24,BL24,BP24,BQ24,0,Strike2,AO24,CE24,0,BL24,IF(OptControl=3,1,0),3,2))/100,0)</f>
        <v>#NAME?</v>
      </c>
      <c r="CM24" s="472" t="e">
        <f aca="false">IF(BD24,xCrudeAPO(BU24,BV24,CC24,CD24,S25,S26,BI24-DaysForThetaCalculation/365.25,BL24-DaysForThetaCalculation/365.25,BP24,BQ24,0,Strike2,AO24,CE24,0,BL24,IF(OptControl=3,1,0),0,1)-xCrudeAPO(BU24,BV24,CC24,CD24,S25,S26,BI24,BL24,BP24,BQ24,0,Strike2,AO24,CE24,0,BL24,IF(OptControl=3,1,0),0,1),0)</f>
        <v>#NAME?</v>
      </c>
      <c r="CN24" s="473"/>
      <c r="CO24" s="543" t="n">
        <f aca="false">IF(BD24,CHOOSE(Underlying,AD24,AF24)-DateToday+1,"")</f>
        <v>-9051</v>
      </c>
      <c r="CP24" s="582" t="n">
        <f aca="false">IF(BD24,CHOOSE(Underlying,L24,R24),"")</f>
        <v>0</v>
      </c>
      <c r="CQ24" s="544" t="e">
        <f aca="false">IF(BD24,Strike1/CP24-1,"")</f>
        <v>#DIV/0!</v>
      </c>
      <c r="CR24" s="544" t="e">
        <f aca="false">IF(BD24,Strike2/CP24-1,"")</f>
        <v>#DIV/0!</v>
      </c>
      <c r="CS24" s="544" t="e">
        <f aca="false">IF(BD24,IF(CQ24&gt;0,IF(CQ24&gt;0.2,BC23-BB23,IF(CQ24&gt;0.1,BB23-BA23,BA23)),IF(CQ24&lt;-0.2,AX23-AY23,IF(CQ24&lt;-0.1,AY23-AZ23,AZ23))),"")</f>
        <v>#DIV/0!</v>
      </c>
      <c r="CT24" s="544" t="e">
        <f aca="false">IF(BD24,IF(CR24&gt;0,IF(CR24&gt;0.2,BC23-BB23,IF(CR24&gt;0.1,BB23-BA23,BA23)),IF(CR24&lt;-0.2,AX23-AY23,IF(CR24&lt;-0.1,AY23-AZ23,AZ23))),"")</f>
        <v>#DIV/0!</v>
      </c>
      <c r="CU24" s="545" t="n">
        <f aca="false">IF(BD24,CHOOSE(Underlying,O24,AT24),"")</f>
        <v>0</v>
      </c>
      <c r="CV24" s="545" t="e">
        <f aca="false">IF(BD24,CU24+IF(VolSkewFlag=1,IF(CQ24&gt;0,BA23*MIN(CQ24/10%,1)+(BB23-BA23)*MAX(0,MIN(CQ24/10%-1,1))+(BC23-BB23)*MAX(0,CQ24/10%-2),AZ23*MIN(-CQ24/10%,1)+(AY23-AZ23)*MAX(0,MIN(-CQ24/10%-1,1))+(AX23-AY23)*MAX(0,-CQ24/10%-2)),0),"")</f>
        <v>#DIV/0!</v>
      </c>
      <c r="CW24" s="545" t="e">
        <f aca="false">IF(BD24,CU24+IF(VolSkewFlag=1,IF(CR24&gt;0,BA23*MIN(CR24/10%,1)+(BB23-BA23)*MAX(0,MIN(CR24/10%-1,1))+(BC23-BB23)*MAX(0,CR24/10%-2),AZ23*MIN(-CR24/10%,1)+(AY23-AZ23)*MAX(0,MIN(-CR24/10%-1,1))+(AX23-AY23)*MAX(0,-CR24/10%-2)),0),"")</f>
        <v>#DIV/0!</v>
      </c>
      <c r="CX24" s="470" t="e">
        <f aca="false">IF(BD24,EURO(CP24,Strike1,AO24,AO24,CV24,CO24,IF(OptControl=4,0,1),0),0)</f>
        <v>#NAME?</v>
      </c>
      <c r="CY24" s="470" t="e">
        <f aca="false">IF(BD24,EURO(CP24,Strike1,AO24,AO24,CV24,CO24,IF(OptControl=4,0,1),1)+IF(OR(VolSkewFlag=2,ABS(CQ24)&lt;0.0001),0,IF(CQ24&gt;0,-1,1)*CZ24*100*Strike1/CP24^2*CS24/10%),0)</f>
        <v>#NAME?</v>
      </c>
      <c r="CZ24" s="470" t="e">
        <f aca="false">IF(BD24,EURO(CP24,Strike1,AO24,AO24,CV24,CO24,IF(OptControl=4,0,1),3)/100,0)</f>
        <v>#NAME?</v>
      </c>
      <c r="DA24" s="470" t="e">
        <f aca="false">IF(BD24,EURO(CP24,Strike1,AO24,AO24,CV24,CO24,IF(OptControl=4,0,1),0)-EURO(CP24,Strike1,AO24,AO24,CV24,CO24-1,IF(OptControl=4,0,1),0),0)</f>
        <v>#NAME?</v>
      </c>
      <c r="DB24" s="470" t="e">
        <f aca="false">IF(BD24,EURO(CP24,Strike2,AO24,AO24,CW24,CO24,IF(OptControl=3,1,0),0),0)</f>
        <v>#NAME?</v>
      </c>
      <c r="DC24" s="470" t="e">
        <f aca="false">IF(BD24,EURO(CP24,Strike2,AO24,AO24,CW24,CO24,IF(OptControl=3,1,0),1)+IF(OR(VolSkewFlag=2,ABS(CR24)&lt;0.0001),0,IF(CR24&gt;0,-1,1)*DD24*100*Strike2/CP24^2*CT24/10%),0)</f>
        <v>#NAME?</v>
      </c>
      <c r="DD24" s="470" t="e">
        <f aca="false">IF(BD24,EURO(CP24,Strike2,AO24,AO24,CW24,CO24,IF(OptControl=3,1,0),3)/100,0)</f>
        <v>#NAME?</v>
      </c>
      <c r="DE24" s="472" t="e">
        <f aca="false">IF(BD24,EURO(CP24,Strike2,AO24,AO24,CW24,CO24,IF(OptControl=3,1,0),0)-EURO(CP24,Strike2,AO24,AO24,CW24,CO24-1,IF(OptControl=3,1,0),0),0)</f>
        <v>#NAME?</v>
      </c>
      <c r="DF24" s="473"/>
      <c r="DG24" s="481" t="n">
        <f aca="false">EOMONTH(DG23,0)+1</f>
        <v>45809</v>
      </c>
      <c r="DH24" s="478" t="n">
        <v>27.45</v>
      </c>
      <c r="DI24" s="479" t="n">
        <v>26.4636363636364</v>
      </c>
      <c r="DJ24" s="480" t="n">
        <f aca="false">DG24</f>
        <v>45809</v>
      </c>
      <c r="DK24" s="478" t="n">
        <v>25.43</v>
      </c>
      <c r="DL24" s="479" t="n">
        <v>24.5209090909091</v>
      </c>
      <c r="DM24" s="481" t="n">
        <f aca="false">DG24</f>
        <v>45809</v>
      </c>
      <c r="DN24" s="482" t="n">
        <f aca="false">DK24+BrentPhyBrentSpread</f>
        <v>25.48</v>
      </c>
      <c r="DO24" s="481" t="n">
        <f aca="false">DG24</f>
        <v>45809</v>
      </c>
      <c r="DP24" s="483" t="n">
        <f aca="false">DL24+DQ24</f>
        <v>24.6209090909091</v>
      </c>
      <c r="DQ24" s="546" t="n">
        <v>0.1</v>
      </c>
      <c r="DR24" s="480" t="n">
        <f aca="false">DG24</f>
        <v>45809</v>
      </c>
      <c r="DS24" s="485" t="n">
        <v>0.32935</v>
      </c>
      <c r="DT24" s="486" t="n">
        <v>0.309431818181818</v>
      </c>
      <c r="DU24" s="480" t="n">
        <f aca="false">DG24</f>
        <v>45809</v>
      </c>
      <c r="DV24" s="485" t="n">
        <v>0.32935</v>
      </c>
      <c r="DW24" s="486" t="n">
        <v>0.309431818181818</v>
      </c>
      <c r="DX24" s="481" t="n">
        <f aca="false">DG24</f>
        <v>45809</v>
      </c>
      <c r="DY24" s="486" t="n">
        <v>0.36</v>
      </c>
      <c r="DZ24" s="481" t="n">
        <f aca="false">DR24</f>
        <v>45809</v>
      </c>
      <c r="EA24" s="486" t="n">
        <f aca="false">DT24</f>
        <v>0.309431818181818</v>
      </c>
      <c r="EB24" s="195"/>
      <c r="EC24" s="547" t="n">
        <f aca="false">IF(BD24,IF(Underlying=1,AS24,AU24),"")</f>
        <v>0</v>
      </c>
      <c r="ED24" s="548" t="e">
        <f aca="false">IF($BD24,$EC24+IF(VolSkewFlag=1,IF(BS24&gt;0,$BA24*MIN(BS24/10%,1)+($BB24-$BA24)*MAX(0,MIN(BS24/10%-1,1))+($BC24-$BB24)*MAX(0,BS24/10%-2),$AZ24*MIN(-BS24/10%,1)+($AY24-$AZ24)*MAX(0,MIN(-BS24/10%-1,1))+($AX24-$AY24)*MAX(0,-BS24/10%-2)),0),"")</f>
        <v>#VALUE!</v>
      </c>
      <c r="EE24" s="549" t="e">
        <f aca="false">IF($BD24,$EC24+IF(VolSkewFlag=1,IF(BT24&gt;0,$BA24*MIN(BT24/10%,1)+($BB24-$BA24)*MAX(0,MIN(BT24/10%-1,1))+($BC24-$BB24)*MAX(0,BT24/10%-2),$AZ24*MIN(-BT24/10%,1)+($AY24-$AZ24)*MAX(0,MIN(-BT24/10%-1,1))+($AX24-$AY24)*MAX(0,-BT24/10%-2)),0),"")</f>
        <v>#VALUE!</v>
      </c>
      <c r="EF24" s="550" t="e">
        <f aca="false">IF(BD24,xASN(BR24,Strike1,AO24,ED24,0,BO24,0,BI24,BL24,IF(OptControl=4,0,1),0),0)</f>
        <v>#NAME?</v>
      </c>
      <c r="EG24" s="551" t="e">
        <f aca="false">IF(BD24,xASN(BR24,Strike2,AO24,EE24,0,BO24,0,BI24,BL24,IF(OptControl=3,1,0),0),0)</f>
        <v>#NAME?</v>
      </c>
      <c r="EI24" s="583" t="str">
        <f aca="false">DDE("TWINDDE","RSFRecord","CLc5 MTH")</f>
        <v>JAN1</v>
      </c>
      <c r="EJ24" s="584" t="n">
        <f aca="false">DATEVALUE(CONCATENATE(LEFT(EI24,3),"-",IF(VALUE(RIGHT(EI24,1))=9,"1999",CONCATENATE("200",RIGHT(EI24,1)))))</f>
        <v>36892</v>
      </c>
      <c r="EK24" s="585" t="n">
        <f aca="false">DDE("TWINDDE","RSFRecord","CLc5 NET.CHNG")</f>
        <v>0.21</v>
      </c>
      <c r="EL24" s="586" t="n">
        <f aca="false">IF(ISNUMBER(VALUE(EK24)),VALUE(EK24)*100,0)</f>
        <v>21</v>
      </c>
      <c r="EM24" s="195"/>
      <c r="EN24" s="556" t="n">
        <v>36577</v>
      </c>
      <c r="EO24" s="557" t="n">
        <v>37257</v>
      </c>
      <c r="EP24" s="195"/>
      <c r="EQ24" s="407" t="s">
        <v>229</v>
      </c>
      <c r="ES24" s="587" t="n">
        <v>5</v>
      </c>
      <c r="ET24" s="559" t="n">
        <f aca="false">BH24/365.25</f>
        <v>-24.7802874743327</v>
      </c>
      <c r="EU24" s="560" t="n">
        <f aca="false">O24^2*ET24</f>
        <v>-0</v>
      </c>
      <c r="EV24" s="588" t="e">
        <f aca="false">SQRT(SUM(FK24:ID24)/ET24)</f>
        <v>#VALUE!</v>
      </c>
      <c r="EW24" s="589" t="str">
        <f aca="false">IF(OR(DateStart2&gt;I23,DateEnd2&lt;I22),"",IF(DateStart2&lt;I23,AK22/AI22*AP22*BE22*SwaptionNumOfMonths/$D$33,0)+IF(DateEnd2&gt;I22,AJ23/AI23*AP23*BE23*SwaptionNumOfMonths/$D$33,0))</f>
        <v/>
      </c>
      <c r="EX24" s="590" t="str">
        <f aca="false">IF(EW24="","",SQRT(SUM(FK329:ID329)/SwaptionYearsToExp))</f>
        <v/>
      </c>
      <c r="EY24" s="129" t="n">
        <v>0</v>
      </c>
      <c r="EZ24" s="591" t="str">
        <f aca="false">IF(OR(EW24="",EW25=""),"",SQRT(SUM(INDEX(FK24:ID24,SwaptionFirstMonthPosition+1):INDEX(FK24:ID24,FJ24))/SUM(INDEX($FK$15:$ID$15,SwaptionFirstMonthPosition+1):INDEX($FK$15:$ID$15,FJ24))))</f>
        <v/>
      </c>
      <c r="FA24" s="592" t="str">
        <f aca="false">IF(OR(EW24="",EW23=""),"",SQRT(SUM(INDEX(FK24:ID24,SwaptionFirstMonthPosition+1):INDEX(FK24:ID24,FJ24-1))/SUM(INDEX($FK$15:$ID$15,SwaptionFirstMonthPosition+1):INDEX($FK$15:$ID$15,FJ24-1))))</f>
        <v/>
      </c>
      <c r="FB24" s="593" t="n">
        <f aca="false">IF(BE24,2/3*EZ25+1/3*FA26,"")</f>
        <v>0.357816633478916</v>
      </c>
      <c r="FC24" s="596" t="n">
        <f aca="false">IF(BE24,(I25+I24-1)/2-DateToday,"")</f>
        <v>-9019</v>
      </c>
      <c r="FD24" s="483" t="e">
        <f aca="false">IF(BE24,CHOOSE(Underlying,X24,Z24)+SwaptionUnderlyingPrice-$D$26,"")</f>
        <v>#VALUE!</v>
      </c>
      <c r="FE24" s="483" t="e">
        <f aca="false">IF(BE24,CollartionFloor/FD24-1,"")</f>
        <v>#VALUE!</v>
      </c>
      <c r="FF24" s="483" t="e">
        <f aca="false">IF(BE24,CollartionCap/FD24-1,"")</f>
        <v>#VALUE!</v>
      </c>
      <c r="FG24" s="485" t="e">
        <f aca="false">IF(BE24,IF(VolSkewFlag=1,IF(FE24&gt;0,$BA24*MIN(FE24/10%,1)+($BB24-$BA24)*MAX(0,MIN(FE24/10%-1,1))+($BC24-$BB24)*MAX(0,FE24/10%-2),$AZ24*MIN(-FE24/10%,1)+($AY24-$AZ24)*MAX(0,MIN(-FE24/10%-1,1))+($AX24-$AY24)*MAX(0,-FE24/10%-2)),0),"")</f>
        <v>#VALUE!</v>
      </c>
      <c r="FH24" s="486" t="e">
        <f aca="false">IF(BE24,IF(VolSkewFlag=1,IF(FF24&gt;0,$BA24*MIN(FF24/10%,1)+($BB24-$BA24)*MAX(0,MIN(FF24/10%-1,1))+($BC24-$BB24)*MAX(0,FF24/10%-2),$AZ24*MIN(-FF24/10%,1)+($AY24-$AZ24)*MAX(0,MIN(-FF24/10%-1,1))+($AX24-$AY24)*MAX(0,-FF24/10%-2)),0),"")</f>
        <v>#VALUE!</v>
      </c>
      <c r="FI24" s="129"/>
      <c r="FJ24" s="571" t="n">
        <v>5</v>
      </c>
      <c r="FK24" s="150" t="n">
        <f aca="false">IF(FK$19&gt;$FJ24,"",MAX(0,IF(FK$19=$FJ24,$S24^2*FK$15,FK23*INDEX($T$20:$T$91,$FJ24-FK$19)^2/INDEX($U$20:$U$91,$FJ24-FK$19))))</f>
        <v>0</v>
      </c>
      <c r="FL24" s="150" t="n">
        <f aca="false">IF(FL$19&gt;$FJ24,"",MAX(0,IF(FL$19=$FJ24,$S24^2*FL$15,FL23*INDEX($T$20:$T$91,$FJ24-FL$19)^2/INDEX($U$20:$U$91,$FJ24-FL$19))))</f>
        <v>0</v>
      </c>
      <c r="FM24" s="150" t="n">
        <f aca="false">IF(FM$19&gt;$FJ24,"",MAX(0,IF(FM$19=$FJ24,$S24^2*FM$15,FM23*INDEX($T$20:$T$91,$FJ24-FM$19)^2/INDEX($U$20:$U$91,$FJ24-FM$19))))</f>
        <v>0.00834740874089484</v>
      </c>
      <c r="FN24" s="150" t="n">
        <f aca="false">IF(FN$19&gt;$FJ24,"",MAX(0,IF(FN$19=$FJ24,$S24^2*FN$15,FN23*INDEX($T$20:$T$91,$FJ24-FN$19)^2/INDEX($U$20:$U$91,$FJ24-FN$19))))</f>
        <v>0.0086961161814314</v>
      </c>
      <c r="FO24" s="150" t="n">
        <f aca="false">IF(FO$19&gt;$FJ24,"",MAX(0,IF(FO$19=$FJ24,$S24^2*FO$15,FO23*INDEX($T$20:$T$91,$FJ24-FO$19)^2/INDEX($U$20:$U$91,$FJ24-FO$19))))</f>
        <v>0.011666099845996</v>
      </c>
      <c r="FP24" s="150" t="str">
        <f aca="false">IF(FP$19&gt;$FJ24,"",MAX(0,IF(FP$19=$FJ24,$S24^2*FP$15,FP23*INDEX($T$20:$T$91,$FJ24-FP$19)^2/INDEX($U$20:$U$91,$FJ24-FP$19))))</f>
        <v/>
      </c>
      <c r="FQ24" s="150" t="str">
        <f aca="false">IF(FQ$19&gt;$FJ24,"",MAX(0,IF(FQ$19=$FJ24,$S24^2*FQ$15,FQ23*INDEX($T$20:$T$91,$FJ24-FQ$19)^2/INDEX($U$20:$U$91,$FJ24-FQ$19))))</f>
        <v/>
      </c>
      <c r="FR24" s="150" t="str">
        <f aca="false">IF(FR$19&gt;$FJ24,"",MAX(0,IF(FR$19=$FJ24,$S24^2*FR$15,FR23*INDEX($T$20:$T$91,$FJ24-FR$19)^2/INDEX($U$20:$U$91,$FJ24-FR$19))))</f>
        <v/>
      </c>
      <c r="FS24" s="150" t="str">
        <f aca="false">IF(FS$19&gt;$FJ24,"",MAX(0,IF(FS$19=$FJ24,$S24^2*FS$15,FS23*INDEX($T$20:$T$91,$FJ24-FS$19)^2/INDEX($U$20:$U$91,$FJ24-FS$19))))</f>
        <v/>
      </c>
      <c r="FT24" s="150" t="str">
        <f aca="false">IF(FT$19&gt;$FJ24,"",MAX(0,IF(FT$19=$FJ24,$S24^2*FT$15,FT23*INDEX($T$20:$T$91,$FJ24-FT$19)^2/INDEX($U$20:$U$91,$FJ24-FT$19))))</f>
        <v/>
      </c>
      <c r="FU24" s="150" t="str">
        <f aca="false">IF(FU$19&gt;$FJ24,"",MAX(0,IF(FU$19=$FJ24,$S24^2*FU$15,FU23*INDEX($T$20:$T$91,$FJ24-FU$19)^2/INDEX($U$20:$U$91,$FJ24-FU$19))))</f>
        <v/>
      </c>
      <c r="FV24" s="150" t="str">
        <f aca="false">IF(FV$19&gt;$FJ24,"",MAX(0,IF(FV$19=$FJ24,$S24^2*FV$15,FV23*INDEX($T$20:$T$91,$FJ24-FV$19)^2/INDEX($U$20:$U$91,$FJ24-FV$19))))</f>
        <v/>
      </c>
      <c r="FW24" s="150" t="str">
        <f aca="false">IF(FW$19&gt;$FJ24,"",MAX(0,IF(FW$19=$FJ24,$S24^2*FW$15,FW23*INDEX($T$20:$T$91,$FJ24-FW$19)^2/INDEX($U$20:$U$91,$FJ24-FW$19))))</f>
        <v/>
      </c>
      <c r="FX24" s="150" t="str">
        <f aca="false">IF(FX$19&gt;$FJ24,"",MAX(0,IF(FX$19=$FJ24,$S24^2*FX$15,FX23*INDEX($T$20:$T$91,$FJ24-FX$19)^2/INDEX($U$20:$U$91,$FJ24-FX$19))))</f>
        <v/>
      </c>
      <c r="FY24" s="150" t="str">
        <f aca="false">IF(FY$19&gt;$FJ24,"",MAX(0,IF(FY$19=$FJ24,$S24^2*FY$15,FY23*INDEX($T$20:$T$91,$FJ24-FY$19)^2/INDEX($U$20:$U$91,$FJ24-FY$19))))</f>
        <v/>
      </c>
      <c r="FZ24" s="150" t="str">
        <f aca="false">IF(FZ$19&gt;$FJ24,"",MAX(0,IF(FZ$19=$FJ24,$S24^2*FZ$15,FZ23*INDEX($T$20:$T$91,$FJ24-FZ$19)^2/INDEX($U$20:$U$91,$FJ24-FZ$19))))</f>
        <v/>
      </c>
      <c r="GA24" s="150" t="str">
        <f aca="false">IF(GA$19&gt;$FJ24,"",MAX(0,IF(GA$19=$FJ24,$S24^2*GA$15,GA23*INDEX($T$20:$T$91,$FJ24-GA$19)^2/INDEX($U$20:$U$91,$FJ24-GA$19))))</f>
        <v/>
      </c>
      <c r="GB24" s="150" t="str">
        <f aca="false">IF(GB$19&gt;$FJ24,"",MAX(0,IF(GB$19=$FJ24,$S24^2*GB$15,GB23*INDEX($T$20:$T$91,$FJ24-GB$19)^2/INDEX($U$20:$U$91,$FJ24-GB$19))))</f>
        <v/>
      </c>
      <c r="GC24" s="150" t="str">
        <f aca="false">IF(GC$19&gt;$FJ24,"",MAX(0,IF(GC$19=$FJ24,$S24^2*GC$15,GC23*INDEX($T$20:$T$91,$FJ24-GC$19)^2/INDEX($U$20:$U$91,$FJ24-GC$19))))</f>
        <v/>
      </c>
      <c r="GD24" s="150" t="str">
        <f aca="false">IF(GD$19&gt;$FJ24,"",MAX(0,IF(GD$19=$FJ24,$S24^2*GD$15,GD23*INDEX($T$20:$T$91,$FJ24-GD$19)^2/INDEX($U$20:$U$91,$FJ24-GD$19))))</f>
        <v/>
      </c>
      <c r="GE24" s="150" t="str">
        <f aca="false">IF(GE$19&gt;$FJ24,"",MAX(0,IF(GE$19=$FJ24,$S24^2*GE$15,GE23*INDEX($T$20:$T$91,$FJ24-GE$19)^2/INDEX($U$20:$U$91,$FJ24-GE$19))))</f>
        <v/>
      </c>
      <c r="GF24" s="150" t="str">
        <f aca="false">IF(GF$19&gt;$FJ24,"",MAX(0,IF(GF$19=$FJ24,$S24^2*GF$15,GF23*INDEX($T$20:$T$91,$FJ24-GF$19)^2/INDEX($U$20:$U$91,$FJ24-GF$19))))</f>
        <v/>
      </c>
      <c r="GG24" s="150" t="str">
        <f aca="false">IF(GG$19&gt;$FJ24,"",MAX(0,IF(GG$19=$FJ24,$S24^2*GG$15,GG23*INDEX($T$20:$T$91,$FJ24-GG$19)^2/INDEX($U$20:$U$91,$FJ24-GG$19))))</f>
        <v/>
      </c>
      <c r="GH24" s="150" t="str">
        <f aca="false">IF(GH$19&gt;$FJ24,"",MAX(0,IF(GH$19=$FJ24,$S24^2*GH$15,GH23*INDEX($T$20:$T$91,$FJ24-GH$19)^2/INDEX($U$20:$U$91,$FJ24-GH$19))))</f>
        <v/>
      </c>
      <c r="GI24" s="150" t="str">
        <f aca="false">IF(GI$19&gt;$FJ24,"",MAX(0,IF(GI$19=$FJ24,$S24^2*GI$15,GI23*INDEX($T$20:$T$91,$FJ24-GI$19)^2/INDEX($U$20:$U$91,$FJ24-GI$19))))</f>
        <v/>
      </c>
      <c r="GJ24" s="150" t="str">
        <f aca="false">IF(GJ$19&gt;$FJ24,"",MAX(0,IF(GJ$19=$FJ24,$S24^2*GJ$15,GJ23*INDEX($T$20:$T$91,$FJ24-GJ$19)^2/INDEX($U$20:$U$91,$FJ24-GJ$19))))</f>
        <v/>
      </c>
      <c r="GK24" s="150" t="str">
        <f aca="false">IF(GK$19&gt;$FJ24,"",MAX(0,IF(GK$19=$FJ24,$S24^2*GK$15,GK23*INDEX($T$20:$T$91,$FJ24-GK$19)^2/INDEX($U$20:$U$91,$FJ24-GK$19))))</f>
        <v/>
      </c>
      <c r="GL24" s="150" t="str">
        <f aca="false">IF(GL$19&gt;$FJ24,"",MAX(0,IF(GL$19=$FJ24,$S24^2*GL$15,GL23*INDEX($T$20:$T$91,$FJ24-GL$19)^2/INDEX($U$20:$U$91,$FJ24-GL$19))))</f>
        <v/>
      </c>
      <c r="GM24" s="150" t="str">
        <f aca="false">IF(GM$19&gt;$FJ24,"",MAX(0,IF(GM$19=$FJ24,$S24^2*GM$15,GM23*INDEX($T$20:$T$91,$FJ24-GM$19)^2/INDEX($U$20:$U$91,$FJ24-GM$19))))</f>
        <v/>
      </c>
      <c r="GN24" s="150" t="str">
        <f aca="false">IF(GN$19&gt;$FJ24,"",MAX(0,IF(GN$19=$FJ24,$S24^2*GN$15,GN23*INDEX($T$20:$T$91,$FJ24-GN$19)^2/INDEX($U$20:$U$91,$FJ24-GN$19))))</f>
        <v/>
      </c>
      <c r="GO24" s="150" t="str">
        <f aca="false">IF(GO$19&gt;$FJ24,"",MAX(0,IF(GO$19=$FJ24,$S24^2*GO$15,GO23*INDEX($T$20:$T$91,$FJ24-GO$19)^2/INDEX($U$20:$U$91,$FJ24-GO$19))))</f>
        <v/>
      </c>
      <c r="GP24" s="150" t="str">
        <f aca="false">IF(GP$19&gt;$FJ24,"",MAX(0,IF(GP$19=$FJ24,$S24^2*GP$15,GP23*INDEX($T$20:$T$91,$FJ24-GP$19)^2/INDEX($U$20:$U$91,$FJ24-GP$19))))</f>
        <v/>
      </c>
      <c r="GQ24" s="150" t="str">
        <f aca="false">IF(GQ$19&gt;$FJ24,"",MAX(0,IF(GQ$19=$FJ24,$S24^2*GQ$15,GQ23*INDEX($T$20:$T$91,$FJ24-GQ$19)^2/INDEX($U$20:$U$91,$FJ24-GQ$19))))</f>
        <v/>
      </c>
      <c r="GR24" s="150" t="str">
        <f aca="false">IF(GR$19&gt;$FJ24,"",MAX(0,IF(GR$19=$FJ24,$S24^2*GR$15,GR23*INDEX($T$20:$T$91,$FJ24-GR$19)^2/INDEX($U$20:$U$91,$FJ24-GR$19))))</f>
        <v/>
      </c>
      <c r="GS24" s="150" t="str">
        <f aca="false">IF(GS$19&gt;$FJ24,"",MAX(0,IF(GS$19=$FJ24,$S24^2*GS$15,GS23*INDEX($T$20:$T$91,$FJ24-GS$19)^2/INDEX($U$20:$U$91,$FJ24-GS$19))))</f>
        <v/>
      </c>
      <c r="GT24" s="150" t="str">
        <f aca="false">IF(GT$19&gt;$FJ24,"",MAX(0,IF(GT$19=$FJ24,$S24^2*GT$15,GT23*INDEX($T$20:$T$91,$FJ24-GT$19)^2/INDEX($U$20:$U$91,$FJ24-GT$19))))</f>
        <v/>
      </c>
      <c r="GU24" s="150" t="str">
        <f aca="false">IF(GU$19&gt;$FJ24,"",MAX(0,IF(GU$19=$FJ24,$S24^2*GU$15,GU23*INDEX($T$20:$T$91,$FJ24-GU$19)^2/INDEX($U$20:$U$91,$FJ24-GU$19))))</f>
        <v/>
      </c>
      <c r="GV24" s="150" t="str">
        <f aca="false">IF(GV$19&gt;$FJ24,"",MAX(0,IF(GV$19=$FJ24,$S24^2*GV$15,GV23*INDEX($T$20:$T$91,$FJ24-GV$19)^2/INDEX($U$20:$U$91,$FJ24-GV$19))))</f>
        <v/>
      </c>
      <c r="GW24" s="150" t="str">
        <f aca="false">IF(GW$19&gt;$FJ24,"",MAX(0,IF(GW$19=$FJ24,$S24^2*GW$15,GW23*INDEX($T$20:$T$91,$FJ24-GW$19)^2/INDEX($U$20:$U$91,$FJ24-GW$19))))</f>
        <v/>
      </c>
      <c r="GX24" s="150" t="str">
        <f aca="false">IF(GX$19&gt;$FJ24,"",MAX(0,IF(GX$19=$FJ24,$S24^2*GX$15,GX23*INDEX($T$20:$T$91,$FJ24-GX$19)^2/INDEX($U$20:$U$91,$FJ24-GX$19))))</f>
        <v/>
      </c>
      <c r="GY24" s="150" t="str">
        <f aca="false">IF(GY$19&gt;$FJ24,"",MAX(0,IF(GY$19=$FJ24,$S24^2*GY$15,GY23*INDEX($T$20:$T$91,$FJ24-GY$19)^2/INDEX($U$20:$U$91,$FJ24-GY$19))))</f>
        <v/>
      </c>
      <c r="GZ24" s="150" t="str">
        <f aca="false">IF(GZ$19&gt;$FJ24,"",MAX(0,IF(GZ$19=$FJ24,$S24^2*GZ$15,GZ23*INDEX($T$20:$T$91,$FJ24-GZ$19)^2/INDEX($U$20:$U$91,$FJ24-GZ$19))))</f>
        <v/>
      </c>
      <c r="HA24" s="150" t="str">
        <f aca="false">IF(HA$19&gt;$FJ24,"",MAX(0,IF(HA$19=$FJ24,$S24^2*HA$15,HA23*INDEX($T$20:$T$91,$FJ24-HA$19)^2/INDEX($U$20:$U$91,$FJ24-HA$19))))</f>
        <v/>
      </c>
      <c r="HB24" s="150" t="str">
        <f aca="false">IF(HB$19&gt;$FJ24,"",MAX(0,IF(HB$19=$FJ24,$S24^2*HB$15,HB23*INDEX($T$20:$T$91,$FJ24-HB$19)^2/INDEX($U$20:$U$91,$FJ24-HB$19))))</f>
        <v/>
      </c>
      <c r="HC24" s="150" t="str">
        <f aca="false">IF(HC$19&gt;$FJ24,"",MAX(0,IF(HC$19=$FJ24,$S24^2*HC$15,HC23*INDEX($T$20:$T$91,$FJ24-HC$19)^2/INDEX($U$20:$U$91,$FJ24-HC$19))))</f>
        <v/>
      </c>
      <c r="HD24" s="150" t="str">
        <f aca="false">IF(HD$19&gt;$FJ24,"",MAX(0,IF(HD$19=$FJ24,$S24^2*HD$15,HD23*INDEX($T$20:$T$91,$FJ24-HD$19)^2/INDEX($U$20:$U$91,$FJ24-HD$19))))</f>
        <v/>
      </c>
      <c r="HE24" s="150" t="str">
        <f aca="false">IF(HE$19&gt;$FJ24,"",MAX(0,IF(HE$19=$FJ24,$S24^2*HE$15,HE23*INDEX($T$20:$T$91,$FJ24-HE$19)^2/INDEX($U$20:$U$91,$FJ24-HE$19))))</f>
        <v/>
      </c>
      <c r="HF24" s="150" t="str">
        <f aca="false">IF(HF$19&gt;$FJ24,"",MAX(0,IF(HF$19=$FJ24,$S24^2*HF$15,HF23*INDEX($T$20:$T$91,$FJ24-HF$19)^2/INDEX($U$20:$U$91,$FJ24-HF$19))))</f>
        <v/>
      </c>
      <c r="HG24" s="150" t="str">
        <f aca="false">IF(HG$19&gt;$FJ24,"",MAX(0,IF(HG$19=$FJ24,$S24^2*HG$15,HG23*INDEX($T$20:$T$91,$FJ24-HG$19)^2/INDEX($U$20:$U$91,$FJ24-HG$19))))</f>
        <v/>
      </c>
      <c r="HH24" s="150" t="str">
        <f aca="false">IF(HH$19&gt;$FJ24,"",MAX(0,IF(HH$19=$FJ24,$S24^2*HH$15,HH23*INDEX($T$20:$T$91,$FJ24-HH$19)^2/INDEX($U$20:$U$91,$FJ24-HH$19))))</f>
        <v/>
      </c>
      <c r="HI24" s="150" t="str">
        <f aca="false">IF(HI$19&gt;$FJ24,"",MAX(0,IF(HI$19=$FJ24,$S24^2*HI$15,HI23*INDEX($T$20:$T$91,$FJ24-HI$19)^2/INDEX($U$20:$U$91,$FJ24-HI$19))))</f>
        <v/>
      </c>
      <c r="HJ24" s="150" t="str">
        <f aca="false">IF(HJ$19&gt;$FJ24,"",MAX(0,IF(HJ$19=$FJ24,$S24^2*HJ$15,HJ23*INDEX($T$20:$T$91,$FJ24-HJ$19)^2/INDEX($U$20:$U$91,$FJ24-HJ$19))))</f>
        <v/>
      </c>
      <c r="HK24" s="150" t="str">
        <f aca="false">IF(HK$19&gt;$FJ24,"",MAX(0,IF(HK$19=$FJ24,$S24^2*HK$15,HK23*INDEX($T$20:$T$91,$FJ24-HK$19)^2/INDEX($U$20:$U$91,$FJ24-HK$19))))</f>
        <v/>
      </c>
      <c r="HL24" s="150" t="str">
        <f aca="false">IF(HL$19&gt;$FJ24,"",MAX(0,IF(HL$19=$FJ24,$S24^2*HL$15,HL23*INDEX($T$20:$T$91,$FJ24-HL$19)^2/INDEX($U$20:$U$91,$FJ24-HL$19))))</f>
        <v/>
      </c>
      <c r="HM24" s="150" t="str">
        <f aca="false">IF(HM$19&gt;$FJ24,"",MAX(0,IF(HM$19=$FJ24,$S24^2*HM$15,HM23*INDEX($T$20:$T$91,$FJ24-HM$19)^2/INDEX($U$20:$U$91,$FJ24-HM$19))))</f>
        <v/>
      </c>
      <c r="HN24" s="150" t="str">
        <f aca="false">IF(HN$19&gt;$FJ24,"",MAX(0,IF(HN$19=$FJ24,$S24^2*HN$15,HN23*INDEX($T$20:$T$91,$FJ24-HN$19)^2/INDEX($U$20:$U$91,$FJ24-HN$19))))</f>
        <v/>
      </c>
      <c r="HO24" s="150" t="str">
        <f aca="false">IF(HO$19&gt;$FJ24,"",MAX(0,IF(HO$19=$FJ24,$S24^2*HO$15,HO23*INDEX($T$20:$T$91,$FJ24-HO$19)^2/INDEX($U$20:$U$91,$FJ24-HO$19))))</f>
        <v/>
      </c>
      <c r="HP24" s="150" t="str">
        <f aca="false">IF(HP$19&gt;$FJ24,"",MAX(0,IF(HP$19=$FJ24,$S24^2*HP$15,HP23*INDEX($T$20:$T$91,$FJ24-HP$19)^2/INDEX($U$20:$U$91,$FJ24-HP$19))))</f>
        <v/>
      </c>
      <c r="HQ24" s="150" t="str">
        <f aca="false">IF(HQ$19&gt;$FJ24,"",MAX(0,IF(HQ$19=$FJ24,$S24^2*HQ$15,HQ23*INDEX($T$20:$T$91,$FJ24-HQ$19)^2/INDEX($U$20:$U$91,$FJ24-HQ$19))))</f>
        <v/>
      </c>
      <c r="HR24" s="150" t="str">
        <f aca="false">IF(HR$19&gt;$FJ24,"",MAX(0,IF(HR$19=$FJ24,$S24^2*HR$15,HR23*INDEX($T$20:$T$91,$FJ24-HR$19)^2/INDEX($U$20:$U$91,$FJ24-HR$19))))</f>
        <v/>
      </c>
      <c r="HS24" s="150" t="str">
        <f aca="false">IF(HS$19&gt;$FJ24,"",MAX(0,IF(HS$19=$FJ24,$S24^2*HS$15,HS23*INDEX($T$20:$T$91,$FJ24-HS$19)^2/INDEX($U$20:$U$91,$FJ24-HS$19))))</f>
        <v/>
      </c>
      <c r="HT24" s="150" t="str">
        <f aca="false">IF(HT$19&gt;$FJ24,"",MAX(0,IF(HT$19=$FJ24,$S24^2*HT$15,HT23*INDEX($T$20:$T$91,$FJ24-HT$19)^2/INDEX($U$20:$U$91,$FJ24-HT$19))))</f>
        <v/>
      </c>
      <c r="HU24" s="150" t="str">
        <f aca="false">IF(HU$19&gt;$FJ24,"",MAX(0,IF(HU$19=$FJ24,$S24^2*HU$15,HU23*INDEX($T$20:$T$91,$FJ24-HU$19)^2/INDEX($U$20:$U$91,$FJ24-HU$19))))</f>
        <v/>
      </c>
      <c r="HV24" s="150" t="str">
        <f aca="false">IF(HV$19&gt;$FJ24,"",MAX(0,IF(HV$19=$FJ24,$S24^2*HV$15,HV23*INDEX($T$20:$T$91,$FJ24-HV$19)^2/INDEX($U$20:$U$91,$FJ24-HV$19))))</f>
        <v/>
      </c>
      <c r="HW24" s="150" t="str">
        <f aca="false">IF(HW$19&gt;$FJ24,"",MAX(0,IF(HW$19=$FJ24,$S24^2*HW$15,HW23*INDEX($T$20:$T$91,$FJ24-HW$19)^2/INDEX($U$20:$U$91,$FJ24-HW$19))))</f>
        <v/>
      </c>
      <c r="HX24" s="150" t="str">
        <f aca="false">IF(HX$19&gt;$FJ24,"",MAX(0,IF(HX$19=$FJ24,$S24^2*HX$15,HX23*INDEX($T$20:$T$91,$FJ24-HX$19)^2/INDEX($U$20:$U$91,$FJ24-HX$19))))</f>
        <v/>
      </c>
      <c r="HY24" s="150" t="str">
        <f aca="false">IF(HY$19&gt;$FJ24,"",MAX(0,IF(HY$19=$FJ24,$S24^2*HY$15,HY23*INDEX($T$20:$T$91,$FJ24-HY$19)^2/INDEX($U$20:$U$91,$FJ24-HY$19))))</f>
        <v/>
      </c>
      <c r="HZ24" s="150" t="str">
        <f aca="false">IF(HZ$19&gt;$FJ24,"",MAX(0,IF(HZ$19=$FJ24,$S24^2*HZ$15,HZ23*INDEX($T$20:$T$91,$FJ24-HZ$19)^2/INDEX($U$20:$U$91,$FJ24-HZ$19))))</f>
        <v/>
      </c>
      <c r="IA24" s="150" t="str">
        <f aca="false">IF(IA$19&gt;$FJ24,"",MAX(0,IF(IA$19=$FJ24,$S24^2*IA$15,IA23*INDEX($T$20:$T$91,$FJ24-IA$19)^2/INDEX($U$20:$U$91,$FJ24-IA$19))))</f>
        <v/>
      </c>
      <c r="IB24" s="150" t="str">
        <f aca="false">IF(IB$19&gt;$FJ24,"",MAX(0,IF(IB$19=$FJ24,$S24^2*IB$15,IB23*INDEX($T$20:$T$91,$FJ24-IB$19)^2/INDEX($U$20:$U$91,$FJ24-IB$19))))</f>
        <v/>
      </c>
      <c r="IC24" s="150" t="str">
        <f aca="false">IF(IC$19&gt;$FJ24,"",MAX(0,IF(IC$19=$FJ24,$S24^2*IC$15,IC23*INDEX($T$20:$T$91,$FJ24-IC$19)^2/INDEX($U$20:$U$91,$FJ24-IC$19))))</f>
        <v/>
      </c>
      <c r="ID24" s="572" t="str">
        <f aca="false">IF(ID$19&gt;$FJ24,"",MAX(0,IF(ID$19=$FJ24,$S24^2*ID$15,ID23*INDEX($T$20:$T$91,$FJ24-ID$19)^2/INDEX($U$20:$U$91,$FJ24-ID$19))))</f>
        <v/>
      </c>
      <c r="IE24" s="129"/>
    </row>
    <row r="25" customFormat="false" ht="19.5" hidden="false" customHeight="true" outlineLevel="0" collapsed="false">
      <c r="A25" s="76" t="e">
        <f aca="false">L25*O25*SQRT(2/260/3.14)</f>
        <v>#VALUE!</v>
      </c>
      <c r="B25" s="598" t="s">
        <v>230</v>
      </c>
      <c r="C25" s="599" t="s">
        <v>160</v>
      </c>
      <c r="D25" s="600" t="s">
        <v>200</v>
      </c>
      <c r="E25" s="601" t="s">
        <v>93</v>
      </c>
      <c r="F25" s="112"/>
      <c r="G25" s="114"/>
      <c r="H25" s="219" t="n">
        <f aca="false">VLOOKUP(I25,$EJ$20:$EL$54,3)</f>
        <v>19</v>
      </c>
      <c r="I25" s="511" t="n">
        <f aca="false">EOMONTH(I24,0)+1</f>
        <v>36923</v>
      </c>
      <c r="J25" s="512"/>
      <c r="K25" s="513" t="s">
        <v>226</v>
      </c>
      <c r="L25" s="514" t="e">
        <f aca="false">IF(ISNUMBER(K25),J25+K25/100,IF(K25="extra",L24+VLOOKUP(BF25,PriceSpreadTable,2)/12,IF(K25="inter",interpolateprices($K$19:$L$200,ROW(K25)-ROW(FirstPricingMonth)+1),interpolatechanges($J$19:$K$200,ROW(K25)-ROW(FirstPricingMonth)+1))))</f>
        <v>#VALUE!</v>
      </c>
      <c r="M25" s="515"/>
      <c r="N25" s="516" t="n">
        <v>0</v>
      </c>
      <c r="O25" s="515" t="n">
        <f aca="false">M25+N25</f>
        <v>0</v>
      </c>
      <c r="P25" s="512"/>
      <c r="Q25" s="517" t="s">
        <v>226</v>
      </c>
      <c r="R25" s="512" t="e">
        <f aca="false">IF(ISNUMBER(Q25),P25+Q25/100,IF(Q25="extra",(Z23*AL23-R24*AM23)/AN23,IF(Q25="inter",interpolateprices($Q$19:$R$260,ROW(Q25)-ROW(FirstPricingMonth)+1),interpolatechanges($P$19:$Q$260,ROW(Q25)-ROW(FirstPricingMonth)+1))))</f>
        <v>#VALUE!</v>
      </c>
      <c r="S25" s="597" t="n">
        <f aca="false">S$19+(S24-S$19)*S$18</f>
        <v>0.37265625</v>
      </c>
      <c r="T25" s="575" t="n">
        <f aca="false">SQRT((1-(1-T24^2/U24)*T$18)*U25)</f>
        <v>0.94559951121504</v>
      </c>
      <c r="U25" s="576" t="n">
        <f aca="false">1-(1-U24)*U$18</f>
        <v>0.9964404296875</v>
      </c>
      <c r="V25" s="521" t="n">
        <v>0</v>
      </c>
      <c r="W25" s="577" t="n">
        <f aca="false">(J26*AJ25+J27*AK25)/AI25</f>
        <v>0</v>
      </c>
      <c r="X25" s="578" t="e">
        <f aca="false">(L26*AJ25+L27*AK25)/AI25</f>
        <v>#VALUE!</v>
      </c>
      <c r="Y25" s="579" t="n">
        <f aca="false">IF(Q27="extra",W25-AA25,(P26*AM25+P27*AN25)/AL25)</f>
        <v>0</v>
      </c>
      <c r="Z25" s="579" t="e">
        <f aca="false">IF(Q27="extra",X25-AB25,(R26*AM25+R27*AN25)/AL25)</f>
        <v>#VALUE!</v>
      </c>
      <c r="AA25" s="523" t="n">
        <f aca="false">IF(Q27="extra",INDEX(BrentSeasonalityTable,INT((BG25-1)/3)+1)*VLOOKUP(MAX(BF25,$AB$4),PriceSpreadTable,3),W25-Y25)</f>
        <v>0</v>
      </c>
      <c r="AB25" s="524" t="e">
        <f aca="false">IF(Q27="extra",INDEX(BrentSeasonalityTable,INT((BG25-1)/3)+1)*VLOOKUP(MAX(BF25,$AB$4),PriceSpreadTable,3),X25-Z25)</f>
        <v>#VALUE!</v>
      </c>
      <c r="AC25" s="525" t="n">
        <v>36913</v>
      </c>
      <c r="AD25" s="526" t="n">
        <v>36908</v>
      </c>
      <c r="AE25" s="526" t="n">
        <v>36907</v>
      </c>
      <c r="AF25" s="527" t="n">
        <v>36902</v>
      </c>
      <c r="AG25" s="438" t="s">
        <v>224</v>
      </c>
      <c r="AH25" s="439" t="s">
        <v>224</v>
      </c>
      <c r="AI25" s="528" t="n">
        <v>20</v>
      </c>
      <c r="AJ25" s="529" t="n">
        <v>14</v>
      </c>
      <c r="AK25" s="529" t="n">
        <v>6</v>
      </c>
      <c r="AL25" s="530" t="n">
        <v>20</v>
      </c>
      <c r="AM25" s="529" t="n">
        <v>8</v>
      </c>
      <c r="AN25" s="531" t="n">
        <v>12</v>
      </c>
      <c r="AO25" s="532"/>
      <c r="AP25" s="465" t="n">
        <f aca="false">(1+AO25/2)^(-2*BL25)</f>
        <v>1</v>
      </c>
      <c r="AQ25" s="532"/>
      <c r="AR25" s="465" t="n">
        <f aca="false">(1+AQ25/2)^(-2*BH25/365.25)</f>
        <v>1</v>
      </c>
      <c r="AS25" s="580" t="n">
        <f aca="false">(O26*AJ25+O27*AK25)/AI25</f>
        <v>0</v>
      </c>
      <c r="AT25" s="468" t="n">
        <f aca="false">O25*VLOOKUP(BF25,BrentVolTable,2)+VLOOKUP(BF25,BrentVolTable,3)</f>
        <v>0</v>
      </c>
      <c r="AU25" s="468" t="n">
        <f aca="false">(AT26*AM25+AT27*AN25)/AL25</f>
        <v>0</v>
      </c>
      <c r="AV25" s="595" t="n">
        <f aca="false">SQRT(MAX(0.000000000001,(O25^2*BH25-S25^2*(BH25-BH24))/BH24))</f>
        <v>0.0228401833274461</v>
      </c>
      <c r="AW25" s="451" t="n">
        <f aca="false">IF($I25-DateToday+15&gt;=$T$8,"",IF($I25-DateToday+15&lt;$T$5,1,MATCH($I25-DateToday+15,$T$5:$T$8)))</f>
        <v>1</v>
      </c>
      <c r="AX25" s="468" t="n">
        <f aca="false">IF($AW25="",AX24^2/AX23,INDEX(U$5:U$8,$AW25)^((INDEX($T$5:$T$8,$AW25+1)-($I25-DateToday+15))/(INDEX($T$5:$T$8,$AW25+1)-INDEX($T$5:$T$8,$AW25)))/INDEX(U$5:U$8,$AW25+1)^((INDEX($T$5:$T$8,$AW25)-($I25-DateToday+15))/(INDEX($T$5:$T$8,$AW25+1)-INDEX($T$5:$T$8,$AW25))))</f>
        <v>11.2712044652383</v>
      </c>
      <c r="AY25" s="468" t="n">
        <f aca="false">IF($AW25="",AY24^2/AY23,INDEX(V$5:V$8,$AW25)^((INDEX($T$5:$T$8,$AW25+1)-($I25-DateToday+15))/(INDEX($T$5:$T$8,$AW25+1)-INDEX($T$5:$T$8,$AW25)))/INDEX(V$5:V$8,$AW25+1)^((INDEX($T$5:$T$8,$AW25)-($I25-DateToday+15))/(INDEX($T$5:$T$8,$AW25+1)-INDEX($T$5:$T$8,$AW25))))</f>
        <v>4222.20192331872</v>
      </c>
      <c r="AZ25" s="468" t="n">
        <f aca="false">IF($AW25="",AZ24^2/AZ23,INDEX(W$5:W$8,$AW25)^((INDEX($T$5:$T$8,$AW25+1)-($I25-DateToday+15))/(INDEX($T$5:$T$8,$AW25+1)-INDEX($T$5:$T$8,$AW25)))/INDEX(W$5:W$8,$AW25+1)^((INDEX($T$5:$T$8,$AW25)-($I25-DateToday+15))/(INDEX($T$5:$T$8,$AW25+1)-INDEX($T$5:$T$8,$AW25))))</f>
        <v>463220467.428527</v>
      </c>
      <c r="BA25" s="468" t="n">
        <f aca="false">IF($AW25="",BA24^2/BA23,INDEX(X$5:X$8,$AW25)^((INDEX($T$5:$T$8,$AW25+1)-($I25-DateToday+15))/(INDEX($T$5:$T$8,$AW25+1)-INDEX($T$5:$T$8,$AW25)))/INDEX(X$5:X$8,$AW25+1)^((INDEX($T$5:$T$8,$AW25)-($I25-DateToday+15))/(INDEX($T$5:$T$8,$AW25+1)-INDEX($T$5:$T$8,$AW25))))</f>
        <v>54385964592.3976</v>
      </c>
      <c r="BB25" s="468" t="n">
        <f aca="false">IF($AW25="",BB24^2/BB23,INDEX(Y$5:Y$8,$AW25)^((INDEX($T$5:$T$8,$AW25+1)-($I25-DateToday+15))/(INDEX($T$5:$T$8,$AW25+1)-INDEX($T$5:$T$8,$AW25)))/INDEX(Y$5:Y$8,$AW25+1)^((INDEX($T$5:$T$8,$AW25)-($I25-DateToday+15))/(INDEX($T$5:$T$8,$AW25+1)-INDEX($T$5:$T$8,$AW25))))</f>
        <v>1430591141137.28</v>
      </c>
      <c r="BC25" s="468" t="n">
        <f aca="false">IF($AW25="",BC24^2/BC23,INDEX(Z$5:Z$8,$AW25)^((INDEX($T$5:$T$8,$AW25+1)-($I25-DateToday+15))/(INDEX($T$5:$T$8,$AW25+1)-INDEX($T$5:$T$8,$AW25)))/INDEX(Z$5:Z$8,$AW25+1)^((INDEX($T$5:$T$8,$AW25)-($I25-DateToday+15))/(INDEX($T$5:$T$8,$AW25+1)-INDEX($T$5:$T$8,$AW25))))</f>
        <v>10004503041434.2</v>
      </c>
      <c r="BD25" s="535" t="n">
        <f aca="false">IF(OR(DateStart&gt;=I26,DateEnd&lt;I25),0,IF(VolumeOverrideFlag,V25,Volume))</f>
        <v>30</v>
      </c>
      <c r="BE25" s="536" t="n">
        <f aca="false">IF(OR(DateStart2&gt;=I26,DateEnd2&lt;I25),0,IF(VolumeOverrideFlag,V25,VolumeSwaption))</f>
        <v>30</v>
      </c>
      <c r="BF25" s="537" t="n">
        <f aca="false">YEAR(I25)</f>
        <v>2001</v>
      </c>
      <c r="BG25" s="538" t="n">
        <f aca="false">MONTH(I25)</f>
        <v>2</v>
      </c>
      <c r="BH25" s="539" t="n">
        <f aca="false">AD25-DateToday+1</f>
        <v>-9017</v>
      </c>
      <c r="BI25" s="540" t="n">
        <f aca="false">(I25-DateToday+1)/365.25</f>
        <v>-24.6461327857632</v>
      </c>
      <c r="BJ25" s="541" t="n">
        <f aca="false">BI25+(BL25-BI25)*CHOOSE(Underlying,AJ25/AI25,AM25/AL25)</f>
        <v>-24.5943874058864</v>
      </c>
      <c r="BK25" s="541" t="n">
        <f aca="false">BJ25+1/365.25</f>
        <v>-24.5916495550993</v>
      </c>
      <c r="BL25" s="541" t="n">
        <f aca="false">(I26-DateToday)/365.25</f>
        <v>-24.5722108145106</v>
      </c>
      <c r="BM25" s="542" t="e">
        <f aca="false">MAX(BI25-(BJ25-BI25)*(S26^2/O26^2-1),0)</f>
        <v>#DIV/0!</v>
      </c>
      <c r="BN25" s="541" t="e">
        <f aca="false">MAX(BL25+(BL25-BK25)*(S27^2/O27^2-1),0)</f>
        <v>#DIV/0!</v>
      </c>
      <c r="BO25" s="530" t="n">
        <f aca="false">CHOOSE(Underlying,AI25,AL25)</f>
        <v>20</v>
      </c>
      <c r="BP25" s="529" t="n">
        <f aca="false">CHOOSE(Underlying,AJ25,AM25)</f>
        <v>14</v>
      </c>
      <c r="BQ25" s="529" t="n">
        <f aca="false">CHOOSE(Underlying,AK25,AN25)</f>
        <v>6</v>
      </c>
      <c r="BR25" s="463" t="e">
        <f aca="false">IF(BD25,IF(Underlying=1,X25,Z25)+UnderlyingPriceAsian-SwapPriceCurve,"")</f>
        <v>#VALUE!</v>
      </c>
      <c r="BS25" s="463" t="e">
        <f aca="false">IF(BD25,Strike1/BR25-1,"")</f>
        <v>#VALUE!</v>
      </c>
      <c r="BT25" s="464" t="e">
        <f aca="false">IF(BD25,Strike2/BR25-1,"")</f>
        <v>#VALUE!</v>
      </c>
      <c r="BU25" s="465" t="e">
        <f aca="false">IF(BD25,IF(Underlying=1,L26,R26)+UnderlyingPriceAsian-SwapPriceCurve,"")</f>
        <v>#VALUE!</v>
      </c>
      <c r="BV25" s="465" t="e">
        <f aca="false">IF(BD25,IF(Underlying=1,L27,R27)+UnderlyingPriceAsian-SwapPriceCurve,"")</f>
        <v>#VALUE!</v>
      </c>
      <c r="BW25" s="466" t="n">
        <f aca="false">IF(BD25,IF(Underlying=1,O26,AT26),"")</f>
        <v>0</v>
      </c>
      <c r="BX25" s="467" t="n">
        <f aca="false">IF(BD25,IF(Underlying=1,O27,AT27),"")</f>
        <v>0</v>
      </c>
      <c r="BY25" s="466" t="e">
        <f aca="false">IF(BD25,IF(BS25&gt;0,IF(BS25&gt;0.2,BC25-BB25,IF(BS25&gt;0.1,BB25-BA25,BA25)),IF(BS25&lt;-0.2,AX25-AY25,IF(BS25&lt;-0.1,AY25-AZ25,AZ25))),"")</f>
        <v>#VALUE!</v>
      </c>
      <c r="BZ25" s="467" t="e">
        <f aca="false">IF(BD25,IF(BT25&gt;0,IF(BT25&gt;0.2,BC25-BB25,IF(BT25&gt;0.1,BB25-BA25,BA25)),IF(BT25&lt;-0.2,AX25-AY25,IF(BT25&lt;-0.1,AY25-AZ25,AZ25))),"")</f>
        <v>#VALUE!</v>
      </c>
      <c r="CA25" s="468" t="e">
        <f aca="false">IF($BD25,$BW25+IF(VolSkewFlag=1,IF(BS25&gt;0,$BA25*MIN(BS25/10%,1)+($BB25-$BA25)*MAX(0,MIN(BS25/10%-1,1))+($BC25-$BB25)*MAX(0,BS25/10%-2),$AZ25*MIN(-BS25/10%,1)+($AY25-$AZ25)*MAX(0,MIN(-BS25/10%-1,1))+($AX25-$AY25)*MAX(0,-BS25/10%-2)),0),"")</f>
        <v>#VALUE!</v>
      </c>
      <c r="CB25" s="468" t="e">
        <f aca="false">IF($BD25,$BX25+IF(VolSkewFlag=1,IF(BS25&gt;0,$BA25*MIN(BS25/10%,1)+($BB25-$BA25)*MAX(0,MIN(BS25/10%-1,1))+($BC25-$BB25)*MAX(0,BS25/10%-2),$AZ25*MIN(-BS25/10%,1)+($AY25-$AZ25)*MAX(0,MIN(-BS25/10%-1,1))+($AX25-$AY25)*MAX(0,-BS25/10%-2)),0),"")</f>
        <v>#VALUE!</v>
      </c>
      <c r="CC25" s="468" t="e">
        <f aca="false">IF($BD25,$BW25+IF(VolSkewFlag=1,IF(BT25&gt;0,$BA25*MIN(BT25/10%,1)+($BB25-$BA25)*MAX(0,MIN(BT25/10%-1,1))+($BC25-$BB25)*MAX(0,BT25/10%-2),$AZ25*MIN(-BT25/10%,1)+($AY25-$AZ25)*MAX(0,MIN(-BT25/10%-1,1))+($AX25-$AY25)*MAX(0,-BT25/10%-2)),0),"")</f>
        <v>#VALUE!</v>
      </c>
      <c r="CD25" s="468" t="e">
        <f aca="false">IF($BD25,$BX25+IF(VolSkewFlag=1,IF(BT25&gt;0,$BA25*MIN(BT25/10%,1)+($BB25-$BA25)*MAX(0,MIN(BT25/10%-1,1))+($BC25-$BB25)*MAX(0,BT25/10%-2),$AZ25*MIN(-BT25/10%,1)+($AY25-$AZ25)*MAX(0,MIN(-BT25/10%-1,1))+($AX25-$AY25)*MAX(0,-BT25/10%-2)),0),"")</f>
        <v>#VALUE!</v>
      </c>
      <c r="CE25" s="469" t="n">
        <v>1</v>
      </c>
      <c r="CF25" s="470" t="e">
        <f aca="false">IF(BD25,xCrudeAPO(BU25,BV25,CA25,CB25,S26,S27,BI25,BL25,BP25,BQ25,0,Strike1,AO25,CE25,0,BL25,IF(OptControl=4,0,1),0,1),0)</f>
        <v>#NAME?</v>
      </c>
      <c r="CG25" s="470" t="e">
        <f aca="false">IF(BD25,xCrudeAPO(BU25,BV25,CA25,CB25,S26,S27,BI25,BL25,BP25,BQ25,0,Strike1,AO25,CE25,0,BL25,IF(OptControl=4,0,1),1,1)+xCrudeAPO(BU25,BV25,CA25,CB25,S26,S27,BI25,BL25,BP25,BQ25,0,Strike1,AO25,CE25,0,BL25,IF(OptControl=4,0,1),1,2)+IF(OR(VolSkewFlag=2,ABS(BS25)&lt;0.0001),0,IF(BS25&gt;0,-1,1)*CH25*Strike1/BR25^2*BY25/10%),0)</f>
        <v>#NAME?</v>
      </c>
      <c r="CH25" s="470" t="e">
        <f aca="false">IF(BD25,(xCrudeAPO(BU25,BV25,CA25,CB25,S26,S27,BI25,BL25,BP25,BQ25,0,Strike1,AO25,CE25,0,BL25,IF(OptControl=4,0,1),3,1)+xCrudeAPO(BU25,BV25,CA25,CB25,S26,S27,BI25,BL25,BP25,BQ25,0,Strike1,AO25,CE25,0,BL25,IF(OptControl=4,0,1),3,2))/100,0)</f>
        <v>#NAME?</v>
      </c>
      <c r="CI25" s="470" t="e">
        <f aca="false">IF(BD25,xCrudeAPO(BU25,BV25,CA25,CB25,S26,S27,BI25-DaysForThetaCalculation/365.25,BL25-DaysForThetaCalculation/365.25,BP25,BQ25,0,Strike1,AO25,CE25,0,BL25,IF(OptControl=4,0,1),0,1)-xCrudeAPO(BU25,BV25,CA25,CB25,S26,S27,BI25,BL25,BP25,BQ25,0,Strike1,AO25,CE25,0,BL25,IF(OptControl=4,0,1),0,1),0)</f>
        <v>#NAME?</v>
      </c>
      <c r="CJ25" s="471" t="e">
        <f aca="false">IF(BD25,xCrudeAPO(BU25,BV25,CC25,CD25,S26,S27,BI25,BL25,BP25,BQ25,0,Strike2,AO25,CE25,0,BL25,IF(OptControl=3,1,0),0,1),0)</f>
        <v>#NAME?</v>
      </c>
      <c r="CK25" s="470" t="e">
        <f aca="false">IF(BD25,xCrudeAPO(BU25,BV25,CC25,CD25,S26,S27,BI25,BL25,BP25,BQ25,0,Strike2,AO25,CE25,0,BL25,IF(OptControl=3,1,0),1,1)+xCrudeAPO(BU25,BV25,CC25,CD25,S26,S27,BI25,BL25,BP25,BQ25,0,Strike2,AO25,CE25,0,BL25,IF(OptControl=3,1,0),1,2)+IF(OR(VolSkewFlag=2,ABS(BT25)&lt;0.0001),0,IF(BT25&gt;0,-1,1)*CL25*Strike2/BR25^2*BZ25/10%),0)</f>
        <v>#NAME?</v>
      </c>
      <c r="CL25" s="470" t="e">
        <f aca="false">IF(BD25,(xCrudeAPO(BU25,BV25,CC25,CD25,S26,S27,BI25,BL25,BP25,BQ25,0,Strike2,AO25,CE25,0,BL25,IF(OptControl=3,1,0),3,1)+xCrudeAPO(BU25,BV25,CC25,CD25,S26,S27,BI25,BL25,BP25,BQ25,0,Strike2,AO25,CE25,0,BL25,IF(OptControl=3,1,0),3,2))/100,0)</f>
        <v>#NAME?</v>
      </c>
      <c r="CM25" s="472" t="e">
        <f aca="false">IF(BD25,xCrudeAPO(BU25,BV25,CC25,CD25,S26,S27,BI25-DaysForThetaCalculation/365.25,BL25-DaysForThetaCalculation/365.25,BP25,BQ25,0,Strike2,AO25,CE25,0,BL25,IF(OptControl=3,1,0),0,1)-xCrudeAPO(BU25,BV25,CC25,CD25,S26,S27,BI25,BL25,BP25,BQ25,0,Strike2,AO25,CE25,0,BL25,IF(OptControl=3,1,0),0,1),0)</f>
        <v>#NAME?</v>
      </c>
      <c r="CN25" s="473"/>
      <c r="CO25" s="543" t="n">
        <f aca="false">IF(BD25,CHOOSE(Underlying,AD25,AF25)-DateToday+1,"")</f>
        <v>-9017</v>
      </c>
      <c r="CP25" s="582" t="e">
        <f aca="false">IF(BD25,CHOOSE(Underlying,L25,R25),"")</f>
        <v>#VALUE!</v>
      </c>
      <c r="CQ25" s="544" t="e">
        <f aca="false">IF(BD25,Strike1/CP25-1,"")</f>
        <v>#VALUE!</v>
      </c>
      <c r="CR25" s="544" t="e">
        <f aca="false">IF(BD25,Strike2/CP25-1,"")</f>
        <v>#VALUE!</v>
      </c>
      <c r="CS25" s="544" t="e">
        <f aca="false">IF(BD25,IF(CQ25&gt;0,IF(CQ25&gt;0.2,BC24-BB24,IF(CQ25&gt;0.1,BB24-BA24,BA24)),IF(CQ25&lt;-0.2,AX24-AY24,IF(CQ25&lt;-0.1,AY24-AZ24,AZ24))),"")</f>
        <v>#VALUE!</v>
      </c>
      <c r="CT25" s="544" t="e">
        <f aca="false">IF(BD25,IF(CR25&gt;0,IF(CR25&gt;0.2,BC24-BB24,IF(CR25&gt;0.1,BB24-BA24,BA24)),IF(CR25&lt;-0.2,AX24-AY24,IF(CR25&lt;-0.1,AY24-AZ24,AZ24))),"")</f>
        <v>#VALUE!</v>
      </c>
      <c r="CU25" s="545" t="n">
        <f aca="false">IF(BD25,CHOOSE(Underlying,O25,AT25),"")</f>
        <v>0</v>
      </c>
      <c r="CV25" s="545" t="e">
        <f aca="false">IF(BD25,CU25+IF(VolSkewFlag=1,IF(CQ25&gt;0,BA24*MIN(CQ25/10%,1)+(BB24-BA24)*MAX(0,MIN(CQ25/10%-1,1))+(BC24-BB24)*MAX(0,CQ25/10%-2),AZ24*MIN(-CQ25/10%,1)+(AY24-AZ24)*MAX(0,MIN(-CQ25/10%-1,1))+(AX24-AY24)*MAX(0,-CQ25/10%-2)),0),"")</f>
        <v>#VALUE!</v>
      </c>
      <c r="CW25" s="545" t="e">
        <f aca="false">IF(BD25,CU25+IF(VolSkewFlag=1,IF(CR25&gt;0,BA24*MIN(CR25/10%,1)+(BB24-BA24)*MAX(0,MIN(CR25/10%-1,1))+(BC24-BB24)*MAX(0,CR25/10%-2),AZ24*MIN(-CR25/10%,1)+(AY24-AZ24)*MAX(0,MIN(-CR25/10%-1,1))+(AX24-AY24)*MAX(0,-CR25/10%-2)),0),"")</f>
        <v>#VALUE!</v>
      </c>
      <c r="CX25" s="470" t="e">
        <f aca="false">IF(BD25,EURO(CP25,Strike1,AO25,AO25,CV25,CO25,IF(OptControl=4,0,1),0),0)</f>
        <v>#NAME?</v>
      </c>
      <c r="CY25" s="470" t="e">
        <f aca="false">IF(BD25,EURO(CP25,Strike1,AO25,AO25,CV25,CO25,IF(OptControl=4,0,1),1)+IF(OR(VolSkewFlag=2,ABS(CQ25)&lt;0.0001),0,IF(CQ25&gt;0,-1,1)*CZ25*100*Strike1/CP25^2*CS25/10%),0)</f>
        <v>#NAME?</v>
      </c>
      <c r="CZ25" s="470" t="e">
        <f aca="false">IF(BD25,EURO(CP25,Strike1,AO25,AO25,CV25,CO25,IF(OptControl=4,0,1),3)/100,0)</f>
        <v>#NAME?</v>
      </c>
      <c r="DA25" s="470" t="e">
        <f aca="false">IF(BD25,EURO(CP25,Strike1,AO25,AO25,CV25,CO25,IF(OptControl=4,0,1),0)-EURO(CP25,Strike1,AO25,AO25,CV25,CO25-1,IF(OptControl=4,0,1),0),0)</f>
        <v>#NAME?</v>
      </c>
      <c r="DB25" s="470" t="e">
        <f aca="false">IF(BD25,EURO(CP25,Strike2,AO25,AO25,CW25,CO25,IF(OptControl=3,1,0),0),0)</f>
        <v>#NAME?</v>
      </c>
      <c r="DC25" s="470" t="e">
        <f aca="false">IF(BD25,EURO(CP25,Strike2,AO25,AO25,CW25,CO25,IF(OptControl=3,1,0),1)+IF(OR(VolSkewFlag=2,ABS(CR25)&lt;0.0001),0,IF(CR25&gt;0,-1,1)*DD25*100*Strike2/CP25^2*CT25/10%),0)</f>
        <v>#NAME?</v>
      </c>
      <c r="DD25" s="470" t="e">
        <f aca="false">IF(BD25,EURO(CP25,Strike2,AO25,AO25,CW25,CO25,IF(OptControl=3,1,0),3)/100,0)</f>
        <v>#NAME?</v>
      </c>
      <c r="DE25" s="472" t="e">
        <f aca="false">IF(BD25,EURO(CP25,Strike2,AO25,AO25,CW25,CO25,IF(OptControl=3,1,0),0)-EURO(CP25,Strike2,AO25,AO25,CW25,CO25-1,IF(OptControl=3,1,0),0),0)</f>
        <v>#NAME?</v>
      </c>
      <c r="DF25" s="473"/>
      <c r="DG25" s="481" t="n">
        <f aca="false">EOMONTH(DG24,0)+1</f>
        <v>45839</v>
      </c>
      <c r="DH25" s="478" t="n">
        <v>26.7</v>
      </c>
      <c r="DI25" s="479" t="n">
        <v>25.84</v>
      </c>
      <c r="DJ25" s="480" t="n">
        <f aca="false">DG25</f>
        <v>45839</v>
      </c>
      <c r="DK25" s="478" t="n">
        <v>24.81</v>
      </c>
      <c r="DL25" s="479" t="n">
        <v>24.04</v>
      </c>
      <c r="DM25" s="481" t="n">
        <f aca="false">DG25</f>
        <v>45839</v>
      </c>
      <c r="DN25" s="482" t="n">
        <f aca="false">DK25+BrentPhyBrentSpread</f>
        <v>24.86</v>
      </c>
      <c r="DO25" s="481" t="n">
        <f aca="false">DG25</f>
        <v>45839</v>
      </c>
      <c r="DP25" s="483" t="n">
        <f aca="false">DL25+DQ25</f>
        <v>24.64</v>
      </c>
      <c r="DQ25" s="546" t="n">
        <v>0.6</v>
      </c>
      <c r="DR25" s="480" t="n">
        <f aca="false">DG25</f>
        <v>45839</v>
      </c>
      <c r="DS25" s="485" t="n">
        <v>0.31425</v>
      </c>
      <c r="DT25" s="486" t="n">
        <v>0.29785</v>
      </c>
      <c r="DU25" s="480" t="n">
        <f aca="false">DG25</f>
        <v>45839</v>
      </c>
      <c r="DV25" s="485" t="n">
        <v>0.31425</v>
      </c>
      <c r="DW25" s="486" t="n">
        <v>0.29785</v>
      </c>
      <c r="DX25" s="481" t="n">
        <f aca="false">DG25</f>
        <v>45839</v>
      </c>
      <c r="DY25" s="486" t="n">
        <v>0.355</v>
      </c>
      <c r="DZ25" s="481" t="n">
        <f aca="false">DR25</f>
        <v>45839</v>
      </c>
      <c r="EA25" s="486" t="n">
        <f aca="false">DT25</f>
        <v>0.29785</v>
      </c>
      <c r="EB25" s="195"/>
      <c r="EC25" s="547" t="n">
        <f aca="false">IF(BD25,IF(Underlying=1,AS25,AU25),"")</f>
        <v>0</v>
      </c>
      <c r="ED25" s="548" t="e">
        <f aca="false">IF($BD25,$EC25+IF(VolSkewFlag=1,IF(BS25&gt;0,$BA25*MIN(BS25/10%,1)+($BB25-$BA25)*MAX(0,MIN(BS25/10%-1,1))+($BC25-$BB25)*MAX(0,BS25/10%-2),$AZ25*MIN(-BS25/10%,1)+($AY25-$AZ25)*MAX(0,MIN(-BS25/10%-1,1))+($AX25-$AY25)*MAX(0,-BS25/10%-2)),0),"")</f>
        <v>#VALUE!</v>
      </c>
      <c r="EE25" s="549" t="e">
        <f aca="false">IF($BD25,$EC25+IF(VolSkewFlag=1,IF(BT25&gt;0,$BA25*MIN(BT25/10%,1)+($BB25-$BA25)*MAX(0,MIN(BT25/10%-1,1))+($BC25-$BB25)*MAX(0,BT25/10%-2),$AZ25*MIN(-BT25/10%,1)+($AY25-$AZ25)*MAX(0,MIN(-BT25/10%-1,1))+($AX25-$AY25)*MAX(0,-BT25/10%-2)),0),"")</f>
        <v>#VALUE!</v>
      </c>
      <c r="EF25" s="550" t="e">
        <f aca="false">IF(BD25,xASN(BR25,Strike1,AO25,ED25,0,BO25,0,BI25,BL25,IF(OptControl=4,0,1),0),0)</f>
        <v>#NAME?</v>
      </c>
      <c r="EG25" s="551" t="e">
        <f aca="false">IF(BD25,xASN(BR25,Strike2,AO25,EE25,0,BO25,0,BI25,BL25,IF(OptControl=3,1,0),0),0)</f>
        <v>#NAME?</v>
      </c>
      <c r="EI25" s="583" t="str">
        <f aca="false">DDE("TWINDDE","RSFRecord","CLc6 MTH")</f>
        <v>FEB1</v>
      </c>
      <c r="EJ25" s="584" t="n">
        <f aca="false">DATEVALUE(CONCATENATE(LEFT(EI25,3),"-",IF(VALUE(RIGHT(EI25,1))=9,"1999",CONCATENATE("200",RIGHT(EI25,1)))))</f>
        <v>36923</v>
      </c>
      <c r="EK25" s="585" t="n">
        <f aca="false">DDE("TWINDDE","RSFRecord","CLc6 NET.CHNG")</f>
        <v>0.19</v>
      </c>
      <c r="EL25" s="586" t="n">
        <f aca="false">IF(ISNUMBER(VALUE(EK25)),VALUE(EK25)*100,0)</f>
        <v>19</v>
      </c>
      <c r="EM25" s="195"/>
      <c r="EN25" s="556" t="n">
        <v>36637</v>
      </c>
      <c r="EO25" s="557" t="n">
        <v>37615</v>
      </c>
      <c r="EP25" s="195"/>
      <c r="EQ25" s="407" t="s">
        <v>75</v>
      </c>
      <c r="ES25" s="587" t="n">
        <v>6</v>
      </c>
      <c r="ET25" s="559" t="n">
        <f aca="false">BH25/365.25</f>
        <v>-24.6872005475702</v>
      </c>
      <c r="EU25" s="560" t="n">
        <f aca="false">O25^2*ET25</f>
        <v>-0</v>
      </c>
      <c r="EV25" s="588" t="e">
        <f aca="false">SQRT(SUM(FK25:ID25)/ET25)</f>
        <v>#VALUE!</v>
      </c>
      <c r="EW25" s="589" t="n">
        <f aca="false">IF(OR(DateStart2&gt;I24,DateEnd2&lt;I23),"",IF(DateStart2&lt;I24,AK23/AI23*AP23*BE23*SwaptionNumOfMonths/$D$33,0)+IF(DateEnd2&gt;I23,AJ24/AI24*AP24*BE24*SwaptionNumOfMonths/$D$33,0))</f>
        <v>0.681818181818182</v>
      </c>
      <c r="EX25" s="590" t="e">
        <f aca="false">IF(EW25="","",SQRT(SUM(FK330:ID330)/SwaptionYearsToExp))</f>
        <v>#VALUE!</v>
      </c>
      <c r="EY25" s="129" t="n">
        <v>0</v>
      </c>
      <c r="EZ25" s="591" t="n">
        <f aca="false">IF(OR(EW25="",EW26=""),"",SQRT(SUM(INDEX(FK25:ID25,SwaptionFirstMonthPosition+1):INDEX(FK25:ID25,FJ25))/SUM(INDEX($FK$15:$ID$15,SwaptionFirstMonthPosition+1):INDEX($FK$15:$ID$15,FJ25))))</f>
        <v>0.37265625</v>
      </c>
      <c r="FA25" s="592" t="str">
        <f aca="false">IF(OR(EW25="",EW24=""),"",SQRT(SUM(INDEX(FK25:ID25,SwaptionFirstMonthPosition+1):INDEX(FK25:ID25,FJ25-1))/SUM(INDEX($FK$15:$ID$15,SwaptionFirstMonthPosition+1):INDEX($FK$15:$ID$15,FJ25-1))))</f>
        <v/>
      </c>
      <c r="FB25" s="593" t="n">
        <f aca="false">IF(BE25,2/3*EZ26+1/3*FA27,"")</f>
        <v>0.334631602537436</v>
      </c>
      <c r="FC25" s="596" t="n">
        <f aca="false">IF(BE25,(I26+I25-1)/2-DateToday,"")</f>
        <v>-8989.5</v>
      </c>
      <c r="FD25" s="483" t="e">
        <f aca="false">IF(BE25,CHOOSE(Underlying,X25,Z25)+SwaptionUnderlyingPrice-$D$26,"")</f>
        <v>#VALUE!</v>
      </c>
      <c r="FE25" s="483" t="e">
        <f aca="false">IF(BE25,CollartionFloor/FD25-1,"")</f>
        <v>#VALUE!</v>
      </c>
      <c r="FF25" s="483" t="e">
        <f aca="false">IF(BE25,CollartionCap/FD25-1,"")</f>
        <v>#VALUE!</v>
      </c>
      <c r="FG25" s="485" t="e">
        <f aca="false">IF(BE25,IF(VolSkewFlag=1,IF(FE25&gt;0,$BA25*MIN(FE25/10%,1)+($BB25-$BA25)*MAX(0,MIN(FE25/10%-1,1))+($BC25-$BB25)*MAX(0,FE25/10%-2),$AZ25*MIN(-FE25/10%,1)+($AY25-$AZ25)*MAX(0,MIN(-FE25/10%-1,1))+($AX25-$AY25)*MAX(0,-FE25/10%-2)),0),"")</f>
        <v>#VALUE!</v>
      </c>
      <c r="FH25" s="486" t="e">
        <f aca="false">IF(BE25,IF(VolSkewFlag=1,IF(FF25&gt;0,$BA25*MIN(FF25/10%,1)+($BB25-$BA25)*MAX(0,MIN(FF25/10%-1,1))+($BC25-$BB25)*MAX(0,FF25/10%-2),$AZ25*MIN(-FF25/10%,1)+($AY25-$AZ25)*MAX(0,MIN(-FF25/10%-1,1))+($AX25-$AY25)*MAX(0,-FF25/10%-2)),0),"")</f>
        <v>#VALUE!</v>
      </c>
      <c r="FI25" s="129"/>
      <c r="FJ25" s="571" t="n">
        <v>6</v>
      </c>
      <c r="FK25" s="150" t="n">
        <f aca="false">IF(FK$19&gt;$FJ25,"",MAX(0,IF(FK$19=$FJ25,$S25^2*FK$15,FK24*INDEX($T$20:$T$91,$FJ25-FK$19)^2/INDEX($U$20:$U$91,$FJ25-FK$19))))</f>
        <v>0</v>
      </c>
      <c r="FL25" s="150" t="n">
        <f aca="false">IF(FL$19&gt;$FJ25,"",MAX(0,IF(FL$19=$FJ25,$S25^2*FL$15,FL24*INDEX($T$20:$T$91,$FJ25-FL$19)^2/INDEX($U$20:$U$91,$FJ25-FL$19))))</f>
        <v>0</v>
      </c>
      <c r="FM25" s="150" t="n">
        <f aca="false">IF(FM$19&gt;$FJ25,"",MAX(0,IF(FM$19=$FJ25,$S25^2*FM$15,FM24*INDEX($T$20:$T$91,$FJ25-FM$19)^2/INDEX($U$20:$U$91,$FJ25-FM$19))))</f>
        <v>0.00697652324478673</v>
      </c>
      <c r="FN25" s="150" t="n">
        <f aca="false">IF(FN$19&gt;$FJ25,"",MAX(0,IF(FN$19=$FJ25,$S25^2*FN$15,FN24*INDEX($T$20:$T$91,$FJ25-FN$19)^2/INDEX($U$20:$U$91,$FJ25-FN$19))))</f>
        <v>0.00702576141574853</v>
      </c>
      <c r="FO25" s="150" t="n">
        <f aca="false">IF(FO$19&gt;$FJ25,"",MAX(0,IF(FO$19=$FJ25,$S25^2*FO$15,FO24*INDEX($T$20:$T$91,$FJ25-FO$19)^2/INDEX($U$20:$U$91,$FJ25-FO$19))))</f>
        <v>0.00904524504258366</v>
      </c>
      <c r="FP25" s="150" t="n">
        <f aca="false">IF(FP$19&gt;$FJ25,"",MAX(0,IF(FP$19=$FJ25,$S25^2*FP$15,FP24*INDEX($T$20:$T$91,$FJ25-FP$19)^2/INDEX($U$20:$U$91,$FJ25-FP$19))))</f>
        <v>0.0129272310542865</v>
      </c>
      <c r="FQ25" s="150" t="str">
        <f aca="false">IF(FQ$19&gt;$FJ25,"",MAX(0,IF(FQ$19=$FJ25,$S25^2*FQ$15,FQ24*INDEX($T$20:$T$91,$FJ25-FQ$19)^2/INDEX($U$20:$U$91,$FJ25-FQ$19))))</f>
        <v/>
      </c>
      <c r="FR25" s="150" t="str">
        <f aca="false">IF(FR$19&gt;$FJ25,"",MAX(0,IF(FR$19=$FJ25,$S25^2*FR$15,FR24*INDEX($T$20:$T$91,$FJ25-FR$19)^2/INDEX($U$20:$U$91,$FJ25-FR$19))))</f>
        <v/>
      </c>
      <c r="FS25" s="150" t="str">
        <f aca="false">IF(FS$19&gt;$FJ25,"",MAX(0,IF(FS$19=$FJ25,$S25^2*FS$15,FS24*INDEX($T$20:$T$91,$FJ25-FS$19)^2/INDEX($U$20:$U$91,$FJ25-FS$19))))</f>
        <v/>
      </c>
      <c r="FT25" s="150" t="str">
        <f aca="false">IF(FT$19&gt;$FJ25,"",MAX(0,IF(FT$19=$FJ25,$S25^2*FT$15,FT24*INDEX($T$20:$T$91,$FJ25-FT$19)^2/INDEX($U$20:$U$91,$FJ25-FT$19))))</f>
        <v/>
      </c>
      <c r="FU25" s="150" t="str">
        <f aca="false">IF(FU$19&gt;$FJ25,"",MAX(0,IF(FU$19=$FJ25,$S25^2*FU$15,FU24*INDEX($T$20:$T$91,$FJ25-FU$19)^2/INDEX($U$20:$U$91,$FJ25-FU$19))))</f>
        <v/>
      </c>
      <c r="FV25" s="150" t="str">
        <f aca="false">IF(FV$19&gt;$FJ25,"",MAX(0,IF(FV$19=$FJ25,$S25^2*FV$15,FV24*INDEX($T$20:$T$91,$FJ25-FV$19)^2/INDEX($U$20:$U$91,$FJ25-FV$19))))</f>
        <v/>
      </c>
      <c r="FW25" s="150" t="str">
        <f aca="false">IF(FW$19&gt;$FJ25,"",MAX(0,IF(FW$19=$FJ25,$S25^2*FW$15,FW24*INDEX($T$20:$T$91,$FJ25-FW$19)^2/INDEX($U$20:$U$91,$FJ25-FW$19))))</f>
        <v/>
      </c>
      <c r="FX25" s="150" t="str">
        <f aca="false">IF(FX$19&gt;$FJ25,"",MAX(0,IF(FX$19=$FJ25,$S25^2*FX$15,FX24*INDEX($T$20:$T$91,$FJ25-FX$19)^2/INDEX($U$20:$U$91,$FJ25-FX$19))))</f>
        <v/>
      </c>
      <c r="FY25" s="150" t="str">
        <f aca="false">IF(FY$19&gt;$FJ25,"",MAX(0,IF(FY$19=$FJ25,$S25^2*FY$15,FY24*INDEX($T$20:$T$91,$FJ25-FY$19)^2/INDEX($U$20:$U$91,$FJ25-FY$19))))</f>
        <v/>
      </c>
      <c r="FZ25" s="150" t="str">
        <f aca="false">IF(FZ$19&gt;$FJ25,"",MAX(0,IF(FZ$19=$FJ25,$S25^2*FZ$15,FZ24*INDEX($T$20:$T$91,$FJ25-FZ$19)^2/INDEX($U$20:$U$91,$FJ25-FZ$19))))</f>
        <v/>
      </c>
      <c r="GA25" s="150" t="str">
        <f aca="false">IF(GA$19&gt;$FJ25,"",MAX(0,IF(GA$19=$FJ25,$S25^2*GA$15,GA24*INDEX($T$20:$T$91,$FJ25-GA$19)^2/INDEX($U$20:$U$91,$FJ25-GA$19))))</f>
        <v/>
      </c>
      <c r="GB25" s="150" t="str">
        <f aca="false">IF(GB$19&gt;$FJ25,"",MAX(0,IF(GB$19=$FJ25,$S25^2*GB$15,GB24*INDEX($T$20:$T$91,$FJ25-GB$19)^2/INDEX($U$20:$U$91,$FJ25-GB$19))))</f>
        <v/>
      </c>
      <c r="GC25" s="150" t="str">
        <f aca="false">IF(GC$19&gt;$FJ25,"",MAX(0,IF(GC$19=$FJ25,$S25^2*GC$15,GC24*INDEX($T$20:$T$91,$FJ25-GC$19)^2/INDEX($U$20:$U$91,$FJ25-GC$19))))</f>
        <v/>
      </c>
      <c r="GD25" s="150" t="str">
        <f aca="false">IF(GD$19&gt;$FJ25,"",MAX(0,IF(GD$19=$FJ25,$S25^2*GD$15,GD24*INDEX($T$20:$T$91,$FJ25-GD$19)^2/INDEX($U$20:$U$91,$FJ25-GD$19))))</f>
        <v/>
      </c>
      <c r="GE25" s="150" t="str">
        <f aca="false">IF(GE$19&gt;$FJ25,"",MAX(0,IF(GE$19=$FJ25,$S25^2*GE$15,GE24*INDEX($T$20:$T$91,$FJ25-GE$19)^2/INDEX($U$20:$U$91,$FJ25-GE$19))))</f>
        <v/>
      </c>
      <c r="GF25" s="150" t="str">
        <f aca="false">IF(GF$19&gt;$FJ25,"",MAX(0,IF(GF$19=$FJ25,$S25^2*GF$15,GF24*INDEX($T$20:$T$91,$FJ25-GF$19)^2/INDEX($U$20:$U$91,$FJ25-GF$19))))</f>
        <v/>
      </c>
      <c r="GG25" s="150" t="str">
        <f aca="false">IF(GG$19&gt;$FJ25,"",MAX(0,IF(GG$19=$FJ25,$S25^2*GG$15,GG24*INDEX($T$20:$T$91,$FJ25-GG$19)^2/INDEX($U$20:$U$91,$FJ25-GG$19))))</f>
        <v/>
      </c>
      <c r="GH25" s="150" t="str">
        <f aca="false">IF(GH$19&gt;$FJ25,"",MAX(0,IF(GH$19=$FJ25,$S25^2*GH$15,GH24*INDEX($T$20:$T$91,$FJ25-GH$19)^2/INDEX($U$20:$U$91,$FJ25-GH$19))))</f>
        <v/>
      </c>
      <c r="GI25" s="150" t="str">
        <f aca="false">IF(GI$19&gt;$FJ25,"",MAX(0,IF(GI$19=$FJ25,$S25^2*GI$15,GI24*INDEX($T$20:$T$91,$FJ25-GI$19)^2/INDEX($U$20:$U$91,$FJ25-GI$19))))</f>
        <v/>
      </c>
      <c r="GJ25" s="150" t="str">
        <f aca="false">IF(GJ$19&gt;$FJ25,"",MAX(0,IF(GJ$19=$FJ25,$S25^2*GJ$15,GJ24*INDEX($T$20:$T$91,$FJ25-GJ$19)^2/INDEX($U$20:$U$91,$FJ25-GJ$19))))</f>
        <v/>
      </c>
      <c r="GK25" s="150" t="str">
        <f aca="false">IF(GK$19&gt;$FJ25,"",MAX(0,IF(GK$19=$FJ25,$S25^2*GK$15,GK24*INDEX($T$20:$T$91,$FJ25-GK$19)^2/INDEX($U$20:$U$91,$FJ25-GK$19))))</f>
        <v/>
      </c>
      <c r="GL25" s="150" t="str">
        <f aca="false">IF(GL$19&gt;$FJ25,"",MAX(0,IF(GL$19=$FJ25,$S25^2*GL$15,GL24*INDEX($T$20:$T$91,$FJ25-GL$19)^2/INDEX($U$20:$U$91,$FJ25-GL$19))))</f>
        <v/>
      </c>
      <c r="GM25" s="150" t="str">
        <f aca="false">IF(GM$19&gt;$FJ25,"",MAX(0,IF(GM$19=$FJ25,$S25^2*GM$15,GM24*INDEX($T$20:$T$91,$FJ25-GM$19)^2/INDEX($U$20:$U$91,$FJ25-GM$19))))</f>
        <v/>
      </c>
      <c r="GN25" s="150" t="str">
        <f aca="false">IF(GN$19&gt;$FJ25,"",MAX(0,IF(GN$19=$FJ25,$S25^2*GN$15,GN24*INDEX($T$20:$T$91,$FJ25-GN$19)^2/INDEX($U$20:$U$91,$FJ25-GN$19))))</f>
        <v/>
      </c>
      <c r="GO25" s="150" t="str">
        <f aca="false">IF(GO$19&gt;$FJ25,"",MAX(0,IF(GO$19=$FJ25,$S25^2*GO$15,GO24*INDEX($T$20:$T$91,$FJ25-GO$19)^2/INDEX($U$20:$U$91,$FJ25-GO$19))))</f>
        <v/>
      </c>
      <c r="GP25" s="150" t="str">
        <f aca="false">IF(GP$19&gt;$FJ25,"",MAX(0,IF(GP$19=$FJ25,$S25^2*GP$15,GP24*INDEX($T$20:$T$91,$FJ25-GP$19)^2/INDEX($U$20:$U$91,$FJ25-GP$19))))</f>
        <v/>
      </c>
      <c r="GQ25" s="150" t="str">
        <f aca="false">IF(GQ$19&gt;$FJ25,"",MAX(0,IF(GQ$19=$FJ25,$S25^2*GQ$15,GQ24*INDEX($T$20:$T$91,$FJ25-GQ$19)^2/INDEX($U$20:$U$91,$FJ25-GQ$19))))</f>
        <v/>
      </c>
      <c r="GR25" s="150" t="str">
        <f aca="false">IF(GR$19&gt;$FJ25,"",MAX(0,IF(GR$19=$FJ25,$S25^2*GR$15,GR24*INDEX($T$20:$T$91,$FJ25-GR$19)^2/INDEX($U$20:$U$91,$FJ25-GR$19))))</f>
        <v/>
      </c>
      <c r="GS25" s="150" t="str">
        <f aca="false">IF(GS$19&gt;$FJ25,"",MAX(0,IF(GS$19=$FJ25,$S25^2*GS$15,GS24*INDEX($T$20:$T$91,$FJ25-GS$19)^2/INDEX($U$20:$U$91,$FJ25-GS$19))))</f>
        <v/>
      </c>
      <c r="GT25" s="150" t="str">
        <f aca="false">IF(GT$19&gt;$FJ25,"",MAX(0,IF(GT$19=$FJ25,$S25^2*GT$15,GT24*INDEX($T$20:$T$91,$FJ25-GT$19)^2/INDEX($U$20:$U$91,$FJ25-GT$19))))</f>
        <v/>
      </c>
      <c r="GU25" s="150" t="str">
        <f aca="false">IF(GU$19&gt;$FJ25,"",MAX(0,IF(GU$19=$FJ25,$S25^2*GU$15,GU24*INDEX($T$20:$T$91,$FJ25-GU$19)^2/INDEX($U$20:$U$91,$FJ25-GU$19))))</f>
        <v/>
      </c>
      <c r="GV25" s="150" t="str">
        <f aca="false">IF(GV$19&gt;$FJ25,"",MAX(0,IF(GV$19=$FJ25,$S25^2*GV$15,GV24*INDEX($T$20:$T$91,$FJ25-GV$19)^2/INDEX($U$20:$U$91,$FJ25-GV$19))))</f>
        <v/>
      </c>
      <c r="GW25" s="150" t="str">
        <f aca="false">IF(GW$19&gt;$FJ25,"",MAX(0,IF(GW$19=$FJ25,$S25^2*GW$15,GW24*INDEX($T$20:$T$91,$FJ25-GW$19)^2/INDEX($U$20:$U$91,$FJ25-GW$19))))</f>
        <v/>
      </c>
      <c r="GX25" s="150" t="str">
        <f aca="false">IF(GX$19&gt;$FJ25,"",MAX(0,IF(GX$19=$FJ25,$S25^2*GX$15,GX24*INDEX($T$20:$T$91,$FJ25-GX$19)^2/INDEX($U$20:$U$91,$FJ25-GX$19))))</f>
        <v/>
      </c>
      <c r="GY25" s="150" t="str">
        <f aca="false">IF(GY$19&gt;$FJ25,"",MAX(0,IF(GY$19=$FJ25,$S25^2*GY$15,GY24*INDEX($T$20:$T$91,$FJ25-GY$19)^2/INDEX($U$20:$U$91,$FJ25-GY$19))))</f>
        <v/>
      </c>
      <c r="GZ25" s="150" t="str">
        <f aca="false">IF(GZ$19&gt;$FJ25,"",MAX(0,IF(GZ$19=$FJ25,$S25^2*GZ$15,GZ24*INDEX($T$20:$T$91,$FJ25-GZ$19)^2/INDEX($U$20:$U$91,$FJ25-GZ$19))))</f>
        <v/>
      </c>
      <c r="HA25" s="150" t="str">
        <f aca="false">IF(HA$19&gt;$FJ25,"",MAX(0,IF(HA$19=$FJ25,$S25^2*HA$15,HA24*INDEX($T$20:$T$91,$FJ25-HA$19)^2/INDEX($U$20:$U$91,$FJ25-HA$19))))</f>
        <v/>
      </c>
      <c r="HB25" s="150" t="str">
        <f aca="false">IF(HB$19&gt;$FJ25,"",MAX(0,IF(HB$19=$FJ25,$S25^2*HB$15,HB24*INDEX($T$20:$T$91,$FJ25-HB$19)^2/INDEX($U$20:$U$91,$FJ25-HB$19))))</f>
        <v/>
      </c>
      <c r="HC25" s="150" t="str">
        <f aca="false">IF(HC$19&gt;$FJ25,"",MAX(0,IF(HC$19=$FJ25,$S25^2*HC$15,HC24*INDEX($T$20:$T$91,$FJ25-HC$19)^2/INDEX($U$20:$U$91,$FJ25-HC$19))))</f>
        <v/>
      </c>
      <c r="HD25" s="150" t="str">
        <f aca="false">IF(HD$19&gt;$FJ25,"",MAX(0,IF(HD$19=$FJ25,$S25^2*HD$15,HD24*INDEX($T$20:$T$91,$FJ25-HD$19)^2/INDEX($U$20:$U$91,$FJ25-HD$19))))</f>
        <v/>
      </c>
      <c r="HE25" s="150" t="str">
        <f aca="false">IF(HE$19&gt;$FJ25,"",MAX(0,IF(HE$19=$FJ25,$S25^2*HE$15,HE24*INDEX($T$20:$T$91,$FJ25-HE$19)^2/INDEX($U$20:$U$91,$FJ25-HE$19))))</f>
        <v/>
      </c>
      <c r="HF25" s="150" t="str">
        <f aca="false">IF(HF$19&gt;$FJ25,"",MAX(0,IF(HF$19=$FJ25,$S25^2*HF$15,HF24*INDEX($T$20:$T$91,$FJ25-HF$19)^2/INDEX($U$20:$U$91,$FJ25-HF$19))))</f>
        <v/>
      </c>
      <c r="HG25" s="150" t="str">
        <f aca="false">IF(HG$19&gt;$FJ25,"",MAX(0,IF(HG$19=$FJ25,$S25^2*HG$15,HG24*INDEX($T$20:$T$91,$FJ25-HG$19)^2/INDEX($U$20:$U$91,$FJ25-HG$19))))</f>
        <v/>
      </c>
      <c r="HH25" s="150" t="str">
        <f aca="false">IF(HH$19&gt;$FJ25,"",MAX(0,IF(HH$19=$FJ25,$S25^2*HH$15,HH24*INDEX($T$20:$T$91,$FJ25-HH$19)^2/INDEX($U$20:$U$91,$FJ25-HH$19))))</f>
        <v/>
      </c>
      <c r="HI25" s="150" t="str">
        <f aca="false">IF(HI$19&gt;$FJ25,"",MAX(0,IF(HI$19=$FJ25,$S25^2*HI$15,HI24*INDEX($T$20:$T$91,$FJ25-HI$19)^2/INDEX($U$20:$U$91,$FJ25-HI$19))))</f>
        <v/>
      </c>
      <c r="HJ25" s="150" t="str">
        <f aca="false">IF(HJ$19&gt;$FJ25,"",MAX(0,IF(HJ$19=$FJ25,$S25^2*HJ$15,HJ24*INDEX($T$20:$T$91,$FJ25-HJ$19)^2/INDEX($U$20:$U$91,$FJ25-HJ$19))))</f>
        <v/>
      </c>
      <c r="HK25" s="150" t="str">
        <f aca="false">IF(HK$19&gt;$FJ25,"",MAX(0,IF(HK$19=$FJ25,$S25^2*HK$15,HK24*INDEX($T$20:$T$91,$FJ25-HK$19)^2/INDEX($U$20:$U$91,$FJ25-HK$19))))</f>
        <v/>
      </c>
      <c r="HL25" s="150" t="str">
        <f aca="false">IF(HL$19&gt;$FJ25,"",MAX(0,IF(HL$19=$FJ25,$S25^2*HL$15,HL24*INDEX($T$20:$T$91,$FJ25-HL$19)^2/INDEX($U$20:$U$91,$FJ25-HL$19))))</f>
        <v/>
      </c>
      <c r="HM25" s="150" t="str">
        <f aca="false">IF(HM$19&gt;$FJ25,"",MAX(0,IF(HM$19=$FJ25,$S25^2*HM$15,HM24*INDEX($T$20:$T$91,$FJ25-HM$19)^2/INDEX($U$20:$U$91,$FJ25-HM$19))))</f>
        <v/>
      </c>
      <c r="HN25" s="150" t="str">
        <f aca="false">IF(HN$19&gt;$FJ25,"",MAX(0,IF(HN$19=$FJ25,$S25^2*HN$15,HN24*INDEX($T$20:$T$91,$FJ25-HN$19)^2/INDEX($U$20:$U$91,$FJ25-HN$19))))</f>
        <v/>
      </c>
      <c r="HO25" s="150" t="str">
        <f aca="false">IF(HO$19&gt;$FJ25,"",MAX(0,IF(HO$19=$FJ25,$S25^2*HO$15,HO24*INDEX($T$20:$T$91,$FJ25-HO$19)^2/INDEX($U$20:$U$91,$FJ25-HO$19))))</f>
        <v/>
      </c>
      <c r="HP25" s="150" t="str">
        <f aca="false">IF(HP$19&gt;$FJ25,"",MAX(0,IF(HP$19=$FJ25,$S25^2*HP$15,HP24*INDEX($T$20:$T$91,$FJ25-HP$19)^2/INDEX($U$20:$U$91,$FJ25-HP$19))))</f>
        <v/>
      </c>
      <c r="HQ25" s="150" t="str">
        <f aca="false">IF(HQ$19&gt;$FJ25,"",MAX(0,IF(HQ$19=$FJ25,$S25^2*HQ$15,HQ24*INDEX($T$20:$T$91,$FJ25-HQ$19)^2/INDEX($U$20:$U$91,$FJ25-HQ$19))))</f>
        <v/>
      </c>
      <c r="HR25" s="150" t="str">
        <f aca="false">IF(HR$19&gt;$FJ25,"",MAX(0,IF(HR$19=$FJ25,$S25^2*HR$15,HR24*INDEX($T$20:$T$91,$FJ25-HR$19)^2/INDEX($U$20:$U$91,$FJ25-HR$19))))</f>
        <v/>
      </c>
      <c r="HS25" s="150" t="str">
        <f aca="false">IF(HS$19&gt;$FJ25,"",MAX(0,IF(HS$19=$FJ25,$S25^2*HS$15,HS24*INDEX($T$20:$T$91,$FJ25-HS$19)^2/INDEX($U$20:$U$91,$FJ25-HS$19))))</f>
        <v/>
      </c>
      <c r="HT25" s="150" t="str">
        <f aca="false">IF(HT$19&gt;$FJ25,"",MAX(0,IF(HT$19=$FJ25,$S25^2*HT$15,HT24*INDEX($T$20:$T$91,$FJ25-HT$19)^2/INDEX($U$20:$U$91,$FJ25-HT$19))))</f>
        <v/>
      </c>
      <c r="HU25" s="150" t="str">
        <f aca="false">IF(HU$19&gt;$FJ25,"",MAX(0,IF(HU$19=$FJ25,$S25^2*HU$15,HU24*INDEX($T$20:$T$91,$FJ25-HU$19)^2/INDEX($U$20:$U$91,$FJ25-HU$19))))</f>
        <v/>
      </c>
      <c r="HV25" s="150" t="str">
        <f aca="false">IF(HV$19&gt;$FJ25,"",MAX(0,IF(HV$19=$FJ25,$S25^2*HV$15,HV24*INDEX($T$20:$T$91,$FJ25-HV$19)^2/INDEX($U$20:$U$91,$FJ25-HV$19))))</f>
        <v/>
      </c>
      <c r="HW25" s="150" t="str">
        <f aca="false">IF(HW$19&gt;$FJ25,"",MAX(0,IF(HW$19=$FJ25,$S25^2*HW$15,HW24*INDEX($T$20:$T$91,$FJ25-HW$19)^2/INDEX($U$20:$U$91,$FJ25-HW$19))))</f>
        <v/>
      </c>
      <c r="HX25" s="150" t="str">
        <f aca="false">IF(HX$19&gt;$FJ25,"",MAX(0,IF(HX$19=$FJ25,$S25^2*HX$15,HX24*INDEX($T$20:$T$91,$FJ25-HX$19)^2/INDEX($U$20:$U$91,$FJ25-HX$19))))</f>
        <v/>
      </c>
      <c r="HY25" s="150" t="str">
        <f aca="false">IF(HY$19&gt;$FJ25,"",MAX(0,IF(HY$19=$FJ25,$S25^2*HY$15,HY24*INDEX($T$20:$T$91,$FJ25-HY$19)^2/INDEX($U$20:$U$91,$FJ25-HY$19))))</f>
        <v/>
      </c>
      <c r="HZ25" s="150" t="str">
        <f aca="false">IF(HZ$19&gt;$FJ25,"",MAX(0,IF(HZ$19=$FJ25,$S25^2*HZ$15,HZ24*INDEX($T$20:$T$91,$FJ25-HZ$19)^2/INDEX($U$20:$U$91,$FJ25-HZ$19))))</f>
        <v/>
      </c>
      <c r="IA25" s="150" t="str">
        <f aca="false">IF(IA$19&gt;$FJ25,"",MAX(0,IF(IA$19=$FJ25,$S25^2*IA$15,IA24*INDEX($T$20:$T$91,$FJ25-IA$19)^2/INDEX($U$20:$U$91,$FJ25-IA$19))))</f>
        <v/>
      </c>
      <c r="IB25" s="150" t="str">
        <f aca="false">IF(IB$19&gt;$FJ25,"",MAX(0,IF(IB$19=$FJ25,$S25^2*IB$15,IB24*INDEX($T$20:$T$91,$FJ25-IB$19)^2/INDEX($U$20:$U$91,$FJ25-IB$19))))</f>
        <v/>
      </c>
      <c r="IC25" s="150" t="str">
        <f aca="false">IF(IC$19&gt;$FJ25,"",MAX(0,IF(IC$19=$FJ25,$S25^2*IC$15,IC24*INDEX($T$20:$T$91,$FJ25-IC$19)^2/INDEX($U$20:$U$91,$FJ25-IC$19))))</f>
        <v/>
      </c>
      <c r="ID25" s="572" t="str">
        <f aca="false">IF(ID$19&gt;$FJ25,"",MAX(0,IF(ID$19=$FJ25,$S25^2*ID$15,ID24*INDEX($T$20:$T$91,$FJ25-ID$19)^2/INDEX($U$20:$U$91,$FJ25-ID$19))))</f>
        <v/>
      </c>
      <c r="IE25" s="129"/>
    </row>
    <row r="26" customFormat="false" ht="17.25" hidden="false" customHeight="true" outlineLevel="0" collapsed="false">
      <c r="A26" s="76" t="e">
        <f aca="false">L26*O26*SQRT(2/260/3.14)</f>
        <v>#VALUE!</v>
      </c>
      <c r="B26" s="602" t="n">
        <f aca="false">DateStart2-1</f>
        <v>36891</v>
      </c>
      <c r="C26" s="603" t="s">
        <v>231</v>
      </c>
      <c r="D26" s="206" t="e">
        <f aca="false">SUMPRODUCT(CHOOSE(Underlying,X19:X258,Z19:Z258),BE19:BE258,AP19:AP258)/E33</f>
        <v>#VALUE!</v>
      </c>
      <c r="E26" s="576" t="e">
        <f aca="false">xBASVOL(INDEX(L20:L91,SwaptionFirstMonthPosition+1):INDEX(L20:L91,SwaptionFirstMonthPosition+SwaptionNumOfMonths+1),INDEX(EX20:EX91,SwaptionFirstMonthPosition+1):INDEX(EX20:EX91,SwaptionFirstMonthPosition+SwaptionNumOfMonths+1),INDEX(EY20:EY91,SwaptionFirstMonthPosition+1):INDEX(EY20:EY91,SwaptionFirstMonthPosition+SwaptionNumOfMonths+1),INDEX(EW20:EW91,SwaptionFirstMonthPosition+1):INDEX(EW20:EW91,SwaptionFirstMonthPosition+SwaptionNumOfMonths+1),INDEX(FK170:ID241,SwaptionFirstMonthPosition+1,SwaptionFirstMonthPosition+1):INDEX(FK170:ID241,SwaptionFirstMonthPosition+SwaptionNumOfMonths+1,SwaptionFirstMonthPosition+SwaptionNumOfMonths+1),(DateStart2-DateToday)/365.25)</f>
        <v>#NAME?</v>
      </c>
      <c r="F26" s="604"/>
      <c r="G26" s="605"/>
      <c r="H26" s="219" t="n">
        <f aca="false">VLOOKUP(I26,$EJ$20:$EL$54,3)</f>
        <v>2</v>
      </c>
      <c r="I26" s="511" t="n">
        <f aca="false">EOMONTH(I25,0)+1</f>
        <v>36951</v>
      </c>
      <c r="J26" s="512"/>
      <c r="K26" s="513" t="s">
        <v>226</v>
      </c>
      <c r="L26" s="514" t="e">
        <f aca="false">IF(ISNUMBER(K26),J26+K26/100,IF(K26="extra",L25+VLOOKUP(BF26,PriceSpreadTable,2)/12,IF(K26="inter",interpolateprices($K$19:$L$200,ROW(K26)-ROW(FirstPricingMonth)+1),interpolatechanges($J$19:$K$200,ROW(K26)-ROW(FirstPricingMonth)+1))))</f>
        <v>#VALUE!</v>
      </c>
      <c r="M26" s="515"/>
      <c r="N26" s="516" t="n">
        <v>0</v>
      </c>
      <c r="O26" s="515" t="n">
        <f aca="false">M26+N26</f>
        <v>0</v>
      </c>
      <c r="P26" s="512"/>
      <c r="Q26" s="517" t="s">
        <v>226</v>
      </c>
      <c r="R26" s="512" t="e">
        <f aca="false">IF(ISNUMBER(Q26),P26+Q26/100,IF(Q26="extra",(Z24*AL24-R25*AM24)/AN24,IF(Q26="inter",interpolateprices($Q$19:$R$260,ROW(Q26)-ROW(FirstPricingMonth)+1),interpolatechanges($P$19:$Q$260,ROW(Q26)-ROW(FirstPricingMonth)+1))))</f>
        <v>#VALUE!</v>
      </c>
      <c r="S26" s="597" t="n">
        <f aca="false">S$19+(S25-S$19)*S$18</f>
        <v>0.3694921875</v>
      </c>
      <c r="T26" s="575" t="n">
        <f aca="false">SQRT((1-(1-T25^2/U25)*T$18)*U26)</f>
        <v>0.953834952828563</v>
      </c>
      <c r="U26" s="576" t="n">
        <f aca="false">1-(1-U25)*U$18</f>
        <v>0.997330322265625</v>
      </c>
      <c r="V26" s="521" t="n">
        <v>0</v>
      </c>
      <c r="W26" s="577" t="n">
        <f aca="false">(J27*AJ26+J28*AK26)/AI26</f>
        <v>0</v>
      </c>
      <c r="X26" s="578" t="e">
        <f aca="false">(L27*AJ26+L28*AK26)/AI26</f>
        <v>#VALUE!</v>
      </c>
      <c r="Y26" s="579" t="n">
        <f aca="false">IF(Q28="extra",W26-AA26,(P27*AM26+P28*AN26)/AL26)</f>
        <v>0</v>
      </c>
      <c r="Z26" s="579" t="e">
        <f aca="false">IF(Q28="extra",X26-AB26,(R27*AM26+R28*AN26)/AL26)</f>
        <v>#VALUE!</v>
      </c>
      <c r="AA26" s="523" t="n">
        <f aca="false">IF(Q28="extra",INDEX(BrentSeasonalityTable,INT((BG26-1)/3)+1)*VLOOKUP(MAX(BF26,$AB$4),PriceSpreadTable,3),W26-Y26)</f>
        <v>0</v>
      </c>
      <c r="AB26" s="524" t="e">
        <f aca="false">IF(Q28="extra",INDEX(BrentSeasonalityTable,INT((BG26-1)/3)+1)*VLOOKUP(MAX(BF26,$AB$4),PriceSpreadTable,3),X26-Z26)</f>
        <v>#VALUE!</v>
      </c>
      <c r="AC26" s="525" t="n">
        <v>36942</v>
      </c>
      <c r="AD26" s="526" t="n">
        <v>36936</v>
      </c>
      <c r="AE26" s="526" t="n">
        <v>36935</v>
      </c>
      <c r="AF26" s="527" t="n">
        <v>36931</v>
      </c>
      <c r="AG26" s="438" t="s">
        <v>224</v>
      </c>
      <c r="AH26" s="439" t="s">
        <v>224</v>
      </c>
      <c r="AI26" s="528" t="n">
        <v>22</v>
      </c>
      <c r="AJ26" s="529" t="n">
        <v>14</v>
      </c>
      <c r="AK26" s="529" t="n">
        <v>8</v>
      </c>
      <c r="AL26" s="530" t="n">
        <v>22</v>
      </c>
      <c r="AM26" s="529" t="n">
        <v>11</v>
      </c>
      <c r="AN26" s="531" t="n">
        <v>11</v>
      </c>
      <c r="AO26" s="532"/>
      <c r="AP26" s="465" t="n">
        <f aca="false">(1+AO26/2)^(-2*BL26)</f>
        <v>1</v>
      </c>
      <c r="AQ26" s="532"/>
      <c r="AR26" s="465" t="n">
        <f aca="false">(1+AQ26/2)^(-2*BH26/365.25)</f>
        <v>1</v>
      </c>
      <c r="AS26" s="580" t="n">
        <f aca="false">(O27*AJ26+O28*AK26)/AI26</f>
        <v>0</v>
      </c>
      <c r="AT26" s="468" t="n">
        <f aca="false">O26*VLOOKUP(BF26,BrentVolTable,2)+VLOOKUP(BF26,BrentVolTable,3)</f>
        <v>0</v>
      </c>
      <c r="AU26" s="468" t="n">
        <f aca="false">(AT27*AM26+AT28*AN26)/AL26</f>
        <v>0</v>
      </c>
      <c r="AV26" s="595" t="n">
        <f aca="false">SQRT(MAX(0.000000000001,(O26^2*BH26-S26^2*(BH26-BH25))/BH25))</f>
        <v>0.0205898527619636</v>
      </c>
      <c r="AW26" s="451" t="n">
        <f aca="false">IF($I26-DateToday+15&gt;=$T$8,"",IF($I26-DateToday+15&lt;$T$5,1,MATCH($I26-DateToday+15,$T$5:$T$8)))</f>
        <v>1</v>
      </c>
      <c r="AX26" s="468" t="n">
        <f aca="false">IF($AW26="",AX25^2/AX24,INDEX(U$5:U$8,$AW26)^((INDEX($T$5:$T$8,$AW26+1)-($I26-DateToday+15))/(INDEX($T$5:$T$8,$AW26+1)-INDEX($T$5:$T$8,$AW26)))/INDEX(U$5:U$8,$AW26+1)^((INDEX($T$5:$T$8,$AW26)-($I26-DateToday+15))/(INDEX($T$5:$T$8,$AW26+1)-INDEX($T$5:$T$8,$AW26))))</f>
        <v>11.0516959924305</v>
      </c>
      <c r="AY26" s="468" t="n">
        <f aca="false">IF($AW26="",AY25^2/AY24,INDEX(V$5:V$8,$AW26)^((INDEX($T$5:$T$8,$AW26+1)-($I26-DateToday+15))/(INDEX($T$5:$T$8,$AW26+1)-INDEX($T$5:$T$8,$AW26)))/INDEX(V$5:V$8,$AW26+1)^((INDEX($T$5:$T$8,$AW26)-($I26-DateToday+15))/(INDEX($T$5:$T$8,$AW26+1)-INDEX($T$5:$T$8,$AW26))))</f>
        <v>4061.6830280782</v>
      </c>
      <c r="AZ26" s="468" t="n">
        <f aca="false">IF($AW26="",AZ25^2/AZ24,INDEX(W$5:W$8,$AW26)^((INDEX($T$5:$T$8,$AW26+1)-($I26-DateToday+15))/(INDEX($T$5:$T$8,$AW26+1)-INDEX($T$5:$T$8,$AW26)))/INDEX(W$5:W$8,$AW26+1)^((INDEX($T$5:$T$8,$AW26)-($I26-DateToday+15))/(INDEX($T$5:$T$8,$AW26+1)-INDEX($T$5:$T$8,$AW26))))</f>
        <v>429454711.91346</v>
      </c>
      <c r="BA26" s="468" t="n">
        <f aca="false">IF($AW26="",BA25^2/BA24,INDEX(X$5:X$8,$AW26)^((INDEX($T$5:$T$8,$AW26+1)-($I26-DateToday+15))/(INDEX($T$5:$T$8,$AW26+1)-INDEX($T$5:$T$8,$AW26)))/INDEX(X$5:X$8,$AW26+1)^((INDEX($T$5:$T$8,$AW26)-($I26-DateToday+15))/(INDEX($T$5:$T$8,$AW26+1)-INDEX($T$5:$T$8,$AW26))))</f>
        <v>49439613735.2536</v>
      </c>
      <c r="BB26" s="468" t="n">
        <f aca="false">IF($AW26="",BB25^2/BB24,INDEX(Y$5:Y$8,$AW26)^((INDEX($T$5:$T$8,$AW26+1)-($I26-DateToday+15))/(INDEX($T$5:$T$8,$AW26+1)-INDEX($T$5:$T$8,$AW26)))/INDEX(Y$5:Y$8,$AW26+1)^((INDEX($T$5:$T$8,$AW26)-($I26-DateToday+15))/(INDEX($T$5:$T$8,$AW26+1)-INDEX($T$5:$T$8,$AW26))))</f>
        <v>1288689912356.38</v>
      </c>
      <c r="BC26" s="468" t="n">
        <f aca="false">IF($AW26="",BC25^2/BC24,INDEX(Z$5:Z$8,$AW26)^((INDEX($T$5:$T$8,$AW26+1)-($I26-DateToday+15))/(INDEX($T$5:$T$8,$AW26+1)-INDEX($T$5:$T$8,$AW26)))/INDEX(Z$5:Z$8,$AW26+1)^((INDEX($T$5:$T$8,$AW26)-($I26-DateToday+15))/(INDEX($T$5:$T$8,$AW26+1)-INDEX($T$5:$T$8,$AW26))))</f>
        <v>8964883556840.94</v>
      </c>
      <c r="BD26" s="535" t="n">
        <f aca="false">IF(OR(DateStart&gt;=I27,DateEnd&lt;I26),0,IF(VolumeOverrideFlag,V26,Volume))</f>
        <v>30</v>
      </c>
      <c r="BE26" s="536" t="n">
        <f aca="false">IF(OR(DateStart2&gt;=I27,DateEnd2&lt;I26),0,IF(VolumeOverrideFlag,V26,VolumeSwaption))</f>
        <v>30</v>
      </c>
      <c r="BF26" s="537" t="n">
        <f aca="false">YEAR(I26)</f>
        <v>2001</v>
      </c>
      <c r="BG26" s="538" t="n">
        <f aca="false">MONTH(I26)</f>
        <v>3</v>
      </c>
      <c r="BH26" s="539" t="n">
        <f aca="false">AD26-DateToday+1</f>
        <v>-8989</v>
      </c>
      <c r="BI26" s="540" t="n">
        <f aca="false">(I26-DateToday+1)/365.25</f>
        <v>-24.5694729637235</v>
      </c>
      <c r="BJ26" s="541" t="n">
        <f aca="false">BI26+(BL26-BI26)*CHOOSE(Underlying,AJ26/AI26,AM26/AL26)</f>
        <v>-24.5172049032419</v>
      </c>
      <c r="BK26" s="541" t="n">
        <f aca="false">BJ26+1/365.25</f>
        <v>-24.5144670524547</v>
      </c>
      <c r="BL26" s="541" t="n">
        <f aca="false">(I27-DateToday)/365.25</f>
        <v>-24.4873374401095</v>
      </c>
      <c r="BM26" s="542" t="e">
        <f aca="false">MAX(BI26-(BJ26-BI26)*(S27^2/O27^2-1),0)</f>
        <v>#DIV/0!</v>
      </c>
      <c r="BN26" s="541" t="e">
        <f aca="false">MAX(BL26+(BL26-BK26)*(S28^2/O28^2-1),0)</f>
        <v>#DIV/0!</v>
      </c>
      <c r="BO26" s="530" t="n">
        <f aca="false">CHOOSE(Underlying,AI26,AL26)</f>
        <v>22</v>
      </c>
      <c r="BP26" s="529" t="n">
        <f aca="false">CHOOSE(Underlying,AJ26,AM26)</f>
        <v>14</v>
      </c>
      <c r="BQ26" s="529" t="n">
        <f aca="false">CHOOSE(Underlying,AK26,AN26)</f>
        <v>8</v>
      </c>
      <c r="BR26" s="463" t="e">
        <f aca="false">IF(BD26,IF(Underlying=1,X26,Z26)+UnderlyingPriceAsian-SwapPriceCurve,"")</f>
        <v>#VALUE!</v>
      </c>
      <c r="BS26" s="463" t="e">
        <f aca="false">IF(BD26,Strike1/BR26-1,"")</f>
        <v>#VALUE!</v>
      </c>
      <c r="BT26" s="464" t="e">
        <f aca="false">IF(BD26,Strike2/BR26-1,"")</f>
        <v>#VALUE!</v>
      </c>
      <c r="BU26" s="465" t="e">
        <f aca="false">IF(BD26,IF(Underlying=1,L27,R27)+UnderlyingPriceAsian-SwapPriceCurve,"")</f>
        <v>#VALUE!</v>
      </c>
      <c r="BV26" s="465" t="e">
        <f aca="false">IF(BD26,IF(Underlying=1,L28,R28)+UnderlyingPriceAsian-SwapPriceCurve,"")</f>
        <v>#VALUE!</v>
      </c>
      <c r="BW26" s="466" t="n">
        <f aca="false">IF(BD26,IF(Underlying=1,O27,AT27),"")</f>
        <v>0</v>
      </c>
      <c r="BX26" s="467" t="n">
        <f aca="false">IF(BD26,IF(Underlying=1,O28,AT28),"")</f>
        <v>0</v>
      </c>
      <c r="BY26" s="466" t="e">
        <f aca="false">IF(BD26,IF(BS26&gt;0,IF(BS26&gt;0.2,BC26-BB26,IF(BS26&gt;0.1,BB26-BA26,BA26)),IF(BS26&lt;-0.2,AX26-AY26,IF(BS26&lt;-0.1,AY26-AZ26,AZ26))),"")</f>
        <v>#VALUE!</v>
      </c>
      <c r="BZ26" s="467" t="e">
        <f aca="false">IF(BD26,IF(BT26&gt;0,IF(BT26&gt;0.2,BC26-BB26,IF(BT26&gt;0.1,BB26-BA26,BA26)),IF(BT26&lt;-0.2,AX26-AY26,IF(BT26&lt;-0.1,AY26-AZ26,AZ26))),"")</f>
        <v>#VALUE!</v>
      </c>
      <c r="CA26" s="468" t="e">
        <f aca="false">IF($BD26,$BW26+IF(VolSkewFlag=1,IF(BS26&gt;0,$BA26*MIN(BS26/10%,1)+($BB26-$BA26)*MAX(0,MIN(BS26/10%-1,1))+($BC26-$BB26)*MAX(0,BS26/10%-2),$AZ26*MIN(-BS26/10%,1)+($AY26-$AZ26)*MAX(0,MIN(-BS26/10%-1,1))+($AX26-$AY26)*MAX(0,-BS26/10%-2)),0),"")</f>
        <v>#VALUE!</v>
      </c>
      <c r="CB26" s="468" t="e">
        <f aca="false">IF($BD26,$BX26+IF(VolSkewFlag=1,IF(BS26&gt;0,$BA26*MIN(BS26/10%,1)+($BB26-$BA26)*MAX(0,MIN(BS26/10%-1,1))+($BC26-$BB26)*MAX(0,BS26/10%-2),$AZ26*MIN(-BS26/10%,1)+($AY26-$AZ26)*MAX(0,MIN(-BS26/10%-1,1))+($AX26-$AY26)*MAX(0,-BS26/10%-2)),0),"")</f>
        <v>#VALUE!</v>
      </c>
      <c r="CC26" s="468" t="e">
        <f aca="false">IF($BD26,$BW26+IF(VolSkewFlag=1,IF(BT26&gt;0,$BA26*MIN(BT26/10%,1)+($BB26-$BA26)*MAX(0,MIN(BT26/10%-1,1))+($BC26-$BB26)*MAX(0,BT26/10%-2),$AZ26*MIN(-BT26/10%,1)+($AY26-$AZ26)*MAX(0,MIN(-BT26/10%-1,1))+($AX26-$AY26)*MAX(0,-BT26/10%-2)),0),"")</f>
        <v>#VALUE!</v>
      </c>
      <c r="CD26" s="468" t="e">
        <f aca="false">IF($BD26,$BX26+IF(VolSkewFlag=1,IF(BT26&gt;0,$BA26*MIN(BT26/10%,1)+($BB26-$BA26)*MAX(0,MIN(BT26/10%-1,1))+($BC26-$BB26)*MAX(0,BT26/10%-2),$AZ26*MIN(-BT26/10%,1)+($AY26-$AZ26)*MAX(0,MIN(-BT26/10%-1,1))+($AX26-$AY26)*MAX(0,-BT26/10%-2)),0),"")</f>
        <v>#VALUE!</v>
      </c>
      <c r="CE26" s="469" t="n">
        <v>1</v>
      </c>
      <c r="CF26" s="470" t="e">
        <f aca="false">IF(BD26,xCrudeAPO(BU26,BV26,CA26,CB26,S27,S28,BI26,BL26,BP26,BQ26,0,Strike1,AO26,CE26,0,BL26,IF(OptControl=4,0,1),0,1),0)</f>
        <v>#NAME?</v>
      </c>
      <c r="CG26" s="470" t="e">
        <f aca="false">IF(BD26,xCrudeAPO(BU26,BV26,CA26,CB26,S27,S28,BI26,BL26,BP26,BQ26,0,Strike1,AO26,CE26,0,BL26,IF(OptControl=4,0,1),1,1)+xCrudeAPO(BU26,BV26,CA26,CB26,S27,S28,BI26,BL26,BP26,BQ26,0,Strike1,AO26,CE26,0,BL26,IF(OptControl=4,0,1),1,2)+IF(OR(VolSkewFlag=2,ABS(BS26)&lt;0.0001),0,IF(BS26&gt;0,-1,1)*CH26*Strike1/BR26^2*BY26/10%),0)</f>
        <v>#NAME?</v>
      </c>
      <c r="CH26" s="470" t="e">
        <f aca="false">IF(BD26,(xCrudeAPO(BU26,BV26,CA26,CB26,S27,S28,BI26,BL26,BP26,BQ26,0,Strike1,AO26,CE26,0,BL26,IF(OptControl=4,0,1),3,1)+xCrudeAPO(BU26,BV26,CA26,CB26,S27,S28,BI26,BL26,BP26,BQ26,0,Strike1,AO26,CE26,0,BL26,IF(OptControl=4,0,1),3,2))/100,0)</f>
        <v>#NAME?</v>
      </c>
      <c r="CI26" s="470" t="e">
        <f aca="false">IF(BD26,xCrudeAPO(BU26,BV26,CA26,CB26,S27,S28,BI26-DaysForThetaCalculation/365.25,BL26-DaysForThetaCalculation/365.25,BP26,BQ26,0,Strike1,AO26,CE26,0,BL26,IF(OptControl=4,0,1),0,1)-xCrudeAPO(BU26,BV26,CA26,CB26,S27,S28,BI26,BL26,BP26,BQ26,0,Strike1,AO26,CE26,0,BL26,IF(OptControl=4,0,1),0,1),0)</f>
        <v>#NAME?</v>
      </c>
      <c r="CJ26" s="471" t="e">
        <f aca="false">IF(BD26,xCrudeAPO(BU26,BV26,CC26,CD26,S27,S28,BI26,BL26,BP26,BQ26,0,Strike2,AO26,CE26,0,BL26,IF(OptControl=3,1,0),0,1),0)</f>
        <v>#NAME?</v>
      </c>
      <c r="CK26" s="470" t="e">
        <f aca="false">IF(BD26,xCrudeAPO(BU26,BV26,CC26,CD26,S27,S28,BI26,BL26,BP26,BQ26,0,Strike2,AO26,CE26,0,BL26,IF(OptControl=3,1,0),1,1)+xCrudeAPO(BU26,BV26,CC26,CD26,S27,S28,BI26,BL26,BP26,BQ26,0,Strike2,AO26,CE26,0,BL26,IF(OptControl=3,1,0),1,2)+IF(OR(VolSkewFlag=2,ABS(BT26)&lt;0.0001),0,IF(BT26&gt;0,-1,1)*CL26*Strike2/BR26^2*BZ26/10%),0)</f>
        <v>#NAME?</v>
      </c>
      <c r="CL26" s="470" t="e">
        <f aca="false">IF(BD26,(xCrudeAPO(BU26,BV26,CC26,CD26,S27,S28,BI26,BL26,BP26,BQ26,0,Strike2,AO26,CE26,0,BL26,IF(OptControl=3,1,0),3,1)+xCrudeAPO(BU26,BV26,CC26,CD26,S27,S28,BI26,BL26,BP26,BQ26,0,Strike2,AO26,CE26,0,BL26,IF(OptControl=3,1,0),3,2))/100,0)</f>
        <v>#NAME?</v>
      </c>
      <c r="CM26" s="472" t="e">
        <f aca="false">IF(BD26,xCrudeAPO(BU26,BV26,CC26,CD26,S27,S28,BI26-DaysForThetaCalculation/365.25,BL26-DaysForThetaCalculation/365.25,BP26,BQ26,0,Strike2,AO26,CE26,0,BL26,IF(OptControl=3,1,0),0,1)-xCrudeAPO(BU26,BV26,CC26,CD26,S27,S28,BI26,BL26,BP26,BQ26,0,Strike2,AO26,CE26,0,BL26,IF(OptControl=3,1,0),0,1),0)</f>
        <v>#NAME?</v>
      </c>
      <c r="CN26" s="473"/>
      <c r="CO26" s="543" t="n">
        <f aca="false">IF(BD26,CHOOSE(Underlying,AD26,AF26)-DateToday+1,"")</f>
        <v>-8989</v>
      </c>
      <c r="CP26" s="582" t="e">
        <f aca="false">IF(BD26,CHOOSE(Underlying,L26,R26),"")</f>
        <v>#VALUE!</v>
      </c>
      <c r="CQ26" s="544" t="e">
        <f aca="false">IF(BD26,Strike1/CP26-1,"")</f>
        <v>#VALUE!</v>
      </c>
      <c r="CR26" s="544" t="e">
        <f aca="false">IF(BD26,Strike2/CP26-1,"")</f>
        <v>#VALUE!</v>
      </c>
      <c r="CS26" s="544" t="e">
        <f aca="false">IF(BD26,IF(CQ26&gt;0,IF(CQ26&gt;0.2,BC25-BB25,IF(CQ26&gt;0.1,BB25-BA25,BA25)),IF(CQ26&lt;-0.2,AX25-AY25,IF(CQ26&lt;-0.1,AY25-AZ25,AZ25))),"")</f>
        <v>#VALUE!</v>
      </c>
      <c r="CT26" s="544" t="e">
        <f aca="false">IF(BD26,IF(CR26&gt;0,IF(CR26&gt;0.2,BC25-BB25,IF(CR26&gt;0.1,BB25-BA25,BA25)),IF(CR26&lt;-0.2,AX25-AY25,IF(CR26&lt;-0.1,AY25-AZ25,AZ25))),"")</f>
        <v>#VALUE!</v>
      </c>
      <c r="CU26" s="545" t="n">
        <f aca="false">IF(BD26,CHOOSE(Underlying,O26,AT26),"")</f>
        <v>0</v>
      </c>
      <c r="CV26" s="545" t="e">
        <f aca="false">IF(BD26,CU26+IF(VolSkewFlag=1,IF(CQ26&gt;0,BA25*MIN(CQ26/10%,1)+(BB25-BA25)*MAX(0,MIN(CQ26/10%-1,1))+(BC25-BB25)*MAX(0,CQ26/10%-2),AZ25*MIN(-CQ26/10%,1)+(AY25-AZ25)*MAX(0,MIN(-CQ26/10%-1,1))+(AX25-AY25)*MAX(0,-CQ26/10%-2)),0),"")</f>
        <v>#VALUE!</v>
      </c>
      <c r="CW26" s="545" t="e">
        <f aca="false">IF(BD26,CU26+IF(VolSkewFlag=1,IF(CR26&gt;0,BA25*MIN(CR26/10%,1)+(BB25-BA25)*MAX(0,MIN(CR26/10%-1,1))+(BC25-BB25)*MAX(0,CR26/10%-2),AZ25*MIN(-CR26/10%,1)+(AY25-AZ25)*MAX(0,MIN(-CR26/10%-1,1))+(AX25-AY25)*MAX(0,-CR26/10%-2)),0),"")</f>
        <v>#VALUE!</v>
      </c>
      <c r="CX26" s="470" t="e">
        <f aca="false">IF(BD26,EURO(CP26,Strike1,AO26,AO26,CV26,CO26,IF(OptControl=4,0,1),0),0)</f>
        <v>#NAME?</v>
      </c>
      <c r="CY26" s="470" t="e">
        <f aca="false">IF(BD26,EURO(CP26,Strike1,AO26,AO26,CV26,CO26,IF(OptControl=4,0,1),1)+IF(OR(VolSkewFlag=2,ABS(CQ26)&lt;0.0001),0,IF(CQ26&gt;0,-1,1)*CZ26*100*Strike1/CP26^2*CS26/10%),0)</f>
        <v>#NAME?</v>
      </c>
      <c r="CZ26" s="470" t="e">
        <f aca="false">IF(BD26,EURO(CP26,Strike1,AO26,AO26,CV26,CO26,IF(OptControl=4,0,1),3)/100,0)</f>
        <v>#NAME?</v>
      </c>
      <c r="DA26" s="470" t="e">
        <f aca="false">IF(BD26,EURO(CP26,Strike1,AO26,AO26,CV26,CO26,IF(OptControl=4,0,1),0)-EURO(CP26,Strike1,AO26,AO26,CV26,CO26-1,IF(OptControl=4,0,1),0),0)</f>
        <v>#NAME?</v>
      </c>
      <c r="DB26" s="470" t="e">
        <f aca="false">IF(BD26,EURO(CP26,Strike2,AO26,AO26,CW26,CO26,IF(OptControl=3,1,0),0),0)</f>
        <v>#NAME?</v>
      </c>
      <c r="DC26" s="470" t="e">
        <f aca="false">IF(BD26,EURO(CP26,Strike2,AO26,AO26,CW26,CO26,IF(OptControl=3,1,0),1)+IF(OR(VolSkewFlag=2,ABS(CR26)&lt;0.0001),0,IF(CR26&gt;0,-1,1)*DD26*100*Strike2/CP26^2*CT26/10%),0)</f>
        <v>#NAME?</v>
      </c>
      <c r="DD26" s="470" t="e">
        <f aca="false">IF(BD26,EURO(CP26,Strike2,AO26,AO26,CW26,CO26,IF(OptControl=3,1,0),3)/100,0)</f>
        <v>#NAME?</v>
      </c>
      <c r="DE26" s="472" t="e">
        <f aca="false">IF(BD26,EURO(CP26,Strike2,AO26,AO26,CW26,CO26,IF(OptControl=3,1,0),0)-EURO(CP26,Strike2,AO26,AO26,CW26,CO26-1,IF(OptControl=3,1,0),0),0)</f>
        <v>#NAME?</v>
      </c>
      <c r="DF26" s="473"/>
      <c r="DG26" s="481" t="n">
        <f aca="false">EOMONTH(DG25,0)+1</f>
        <v>45870</v>
      </c>
      <c r="DH26" s="478" t="n">
        <v>26.05</v>
      </c>
      <c r="DI26" s="479" t="n">
        <v>25.315652173913</v>
      </c>
      <c r="DJ26" s="480" t="n">
        <f aca="false">DG26</f>
        <v>45870</v>
      </c>
      <c r="DK26" s="478" t="n">
        <v>24.28</v>
      </c>
      <c r="DL26" s="479" t="n">
        <v>23.6669565217391</v>
      </c>
      <c r="DM26" s="481" t="n">
        <f aca="false">DG26</f>
        <v>45870</v>
      </c>
      <c r="DN26" s="482" t="n">
        <f aca="false">DK26+BrentPhyBrentSpread</f>
        <v>24.33</v>
      </c>
      <c r="DO26" s="481" t="n">
        <f aca="false">DG26</f>
        <v>45870</v>
      </c>
      <c r="DP26" s="483" t="n">
        <f aca="false">DL26+DQ26</f>
        <v>24.2669565217391</v>
      </c>
      <c r="DQ26" s="546" t="n">
        <v>0.6</v>
      </c>
      <c r="DR26" s="480" t="n">
        <f aca="false">DG26</f>
        <v>45870</v>
      </c>
      <c r="DS26" s="485" t="n">
        <v>0.301</v>
      </c>
      <c r="DT26" s="486" t="n">
        <v>0.290289130434783</v>
      </c>
      <c r="DU26" s="480" t="n">
        <f aca="false">DG26</f>
        <v>45870</v>
      </c>
      <c r="DV26" s="485" t="n">
        <v>0.301</v>
      </c>
      <c r="DW26" s="486" t="n">
        <v>0.290289130434783</v>
      </c>
      <c r="DX26" s="481" t="n">
        <f aca="false">DG26</f>
        <v>45870</v>
      </c>
      <c r="DY26" s="486" t="n">
        <v>0.3525</v>
      </c>
      <c r="DZ26" s="481" t="n">
        <f aca="false">DR26</f>
        <v>45870</v>
      </c>
      <c r="EA26" s="486" t="n">
        <f aca="false">DT26</f>
        <v>0.290289130434783</v>
      </c>
      <c r="EB26" s="195"/>
      <c r="EC26" s="547" t="n">
        <f aca="false">IF(BD26,IF(Underlying=1,AS26,AU26),"")</f>
        <v>0</v>
      </c>
      <c r="ED26" s="548" t="e">
        <f aca="false">IF($BD26,$EC26+IF(VolSkewFlag=1,IF(BS26&gt;0,$BA26*MIN(BS26/10%,1)+($BB26-$BA26)*MAX(0,MIN(BS26/10%-1,1))+($BC26-$BB26)*MAX(0,BS26/10%-2),$AZ26*MIN(-BS26/10%,1)+($AY26-$AZ26)*MAX(0,MIN(-BS26/10%-1,1))+($AX26-$AY26)*MAX(0,-BS26/10%-2)),0),"")</f>
        <v>#VALUE!</v>
      </c>
      <c r="EE26" s="549" t="e">
        <f aca="false">IF($BD26,$EC26+IF(VolSkewFlag=1,IF(BT26&gt;0,$BA26*MIN(BT26/10%,1)+($BB26-$BA26)*MAX(0,MIN(BT26/10%-1,1))+($BC26-$BB26)*MAX(0,BT26/10%-2),$AZ26*MIN(-BT26/10%,1)+($AY26-$AZ26)*MAX(0,MIN(-BT26/10%-1,1))+($AX26-$AY26)*MAX(0,-BT26/10%-2)),0),"")</f>
        <v>#VALUE!</v>
      </c>
      <c r="EF26" s="550" t="e">
        <f aca="false">IF(BD26,xASN(BR26,Strike1,AO26,ED26,0,BO26,0,BI26,BL26,IF(OptControl=4,0,1),0),0)</f>
        <v>#NAME?</v>
      </c>
      <c r="EG26" s="551" t="e">
        <f aca="false">IF(BD26,xASN(BR26,Strike2,AO26,EE26,0,BO26,0,BI26,BL26,IF(OptControl=3,1,0),0),0)</f>
        <v>#NAME?</v>
      </c>
      <c r="EI26" s="583" t="str">
        <f aca="false">DDE("TWINDDE","RSFRecord","CLc7 MTH")</f>
        <v>MAR1</v>
      </c>
      <c r="EJ26" s="584" t="n">
        <f aca="false">DATEVALUE(CONCATENATE(LEFT(EI26,3),"-",IF(VALUE(RIGHT(EI26,1))=9,"1999",CONCATENATE("200",RIGHT(EI26,1)))))</f>
        <v>36951</v>
      </c>
      <c r="EK26" s="585" t="n">
        <f aca="false">DDE("TWINDDE","RSFRecord","CLc7 NET.CHNG")</f>
        <v>0.02</v>
      </c>
      <c r="EL26" s="586" t="n">
        <f aca="false">IF(ISNUMBER(VALUE(EK26)),VALUE(EK26)*100,0)</f>
        <v>2</v>
      </c>
      <c r="EM26" s="195"/>
      <c r="EN26" s="556" t="n">
        <v>36675</v>
      </c>
      <c r="EO26" s="557" t="n">
        <v>37622</v>
      </c>
      <c r="EP26" s="195"/>
      <c r="EQ26" s="407" t="s">
        <v>232</v>
      </c>
      <c r="ES26" s="587" t="n">
        <v>7</v>
      </c>
      <c r="ET26" s="559" t="n">
        <f aca="false">BH26/365.25</f>
        <v>-24.6105407255305</v>
      </c>
      <c r="EU26" s="560" t="n">
        <f aca="false">O26^2*ET26</f>
        <v>-0</v>
      </c>
      <c r="EV26" s="588" t="e">
        <f aca="false">SQRT(SUM(FK26:ID26)/ET26)</f>
        <v>#VALUE!</v>
      </c>
      <c r="EW26" s="589" t="n">
        <f aca="false">IF(OR(DateStart2&gt;I25,DateEnd2&lt;I24),"",IF(DateStart2&lt;I25,AK24/AI24*AP24*BE24*SwaptionNumOfMonths/$D$33,0)+IF(DateEnd2&gt;I24,AJ25/AI25*AP25*BE25*SwaptionNumOfMonths/$D$33,0))</f>
        <v>1.01818181818182</v>
      </c>
      <c r="EX26" s="590" t="e">
        <f aca="false">IF(EW26="","",SQRT(SUM(FK331:ID331)/SwaptionYearsToExp))</f>
        <v>#VALUE!</v>
      </c>
      <c r="EY26" s="129" t="n">
        <v>0</v>
      </c>
      <c r="EZ26" s="591" t="n">
        <f aca="false">IF(OR(EW26="",EW27=""),"",SQRT(SUM(INDEX(FK26:ID26,SwaptionFirstMonthPosition+1):INDEX(FK26:ID26,FJ26))/SUM(INDEX($FK$15:$ID$15,SwaptionFirstMonthPosition+1):INDEX($FK$15:$ID$15,FJ26))))</f>
        <v>0.347423850247331</v>
      </c>
      <c r="FA26" s="592" t="n">
        <f aca="false">IF(OR(EW26="",EW25=""),"",SQRT(SUM(INDEX(FK26:ID26,SwaptionFirstMonthPosition+1):INDEX(FK26:ID26,FJ26-1))/SUM(INDEX($FK$15:$ID$15,SwaptionFirstMonthPosition+1):INDEX($FK$15:$ID$15,FJ26-1))))</f>
        <v>0.328137400436749</v>
      </c>
      <c r="FB26" s="593" t="n">
        <f aca="false">IF(BE26,2/3*EZ27+1/3*FA28,"")</f>
        <v>0.317308006992355</v>
      </c>
      <c r="FC26" s="596" t="n">
        <f aca="false">IF(BE26,(I27+I26-1)/2-DateToday,"")</f>
        <v>-8960</v>
      </c>
      <c r="FD26" s="483" t="e">
        <f aca="false">IF(BE26,CHOOSE(Underlying,X26,Z26)+SwaptionUnderlyingPrice-$D$26,"")</f>
        <v>#VALUE!</v>
      </c>
      <c r="FE26" s="483" t="e">
        <f aca="false">IF(BE26,CollartionFloor/FD26-1,"")</f>
        <v>#VALUE!</v>
      </c>
      <c r="FF26" s="483" t="e">
        <f aca="false">IF(BE26,CollartionCap/FD26-1,"")</f>
        <v>#VALUE!</v>
      </c>
      <c r="FG26" s="485" t="e">
        <f aca="false">IF(BE26,IF(VolSkewFlag=1,IF(FE26&gt;0,$BA26*MIN(FE26/10%,1)+($BB26-$BA26)*MAX(0,MIN(FE26/10%-1,1))+($BC26-$BB26)*MAX(0,FE26/10%-2),$AZ26*MIN(-FE26/10%,1)+($AY26-$AZ26)*MAX(0,MIN(-FE26/10%-1,1))+($AX26-$AY26)*MAX(0,-FE26/10%-2)),0),"")</f>
        <v>#VALUE!</v>
      </c>
      <c r="FH26" s="486" t="e">
        <f aca="false">IF(BE26,IF(VolSkewFlag=1,IF(FF26&gt;0,$BA26*MIN(FF26/10%,1)+($BB26-$BA26)*MAX(0,MIN(FF26/10%-1,1))+($BC26-$BB26)*MAX(0,FF26/10%-2),$AZ26*MIN(-FF26/10%,1)+($AY26-$AZ26)*MAX(0,MIN(-FF26/10%-1,1))+($AX26-$AY26)*MAX(0,-FF26/10%-2)),0),"")</f>
        <v>#VALUE!</v>
      </c>
      <c r="FI26" s="129"/>
      <c r="FJ26" s="571" t="n">
        <v>7</v>
      </c>
      <c r="FK26" s="150" t="n">
        <f aca="false">IF(FK$19&gt;$FJ26,"",MAX(0,IF(FK$19=$FJ26,$S26^2*FK$15,FK25*INDEX($T$20:$T$91,$FJ26-FK$19)^2/INDEX($U$20:$U$91,$FJ26-FK$19))))</f>
        <v>0</v>
      </c>
      <c r="FL26" s="150" t="n">
        <f aca="false">IF(FL$19&gt;$FJ26,"",MAX(0,IF(FL$19=$FJ26,$S26^2*FL$15,FL25*INDEX($T$20:$T$91,$FJ26-FL$19)^2/INDEX($U$20:$U$91,$FJ26-FL$19))))</f>
        <v>0</v>
      </c>
      <c r="FM26" s="150" t="n">
        <f aca="false">IF(FM$19&gt;$FJ26,"",MAX(0,IF(FM$19=$FJ26,$S26^2*FM$15,FM25*INDEX($T$20:$T$91,$FJ26-FM$19)^2/INDEX($U$20:$U$91,$FJ26-FM$19))))</f>
        <v>0.00599690996878949</v>
      </c>
      <c r="FN26" s="150" t="n">
        <f aca="false">IF(FN$19&gt;$FJ26,"",MAX(0,IF(FN$19=$FJ26,$S26^2*FN$15,FN25*INDEX($T$20:$T$91,$FJ26-FN$19)^2/INDEX($U$20:$U$91,$FJ26-FN$19))))</f>
        <v>0.00587192856498854</v>
      </c>
      <c r="FO26" s="150" t="n">
        <f aca="false">IF(FO$19&gt;$FJ26,"",MAX(0,IF(FO$19=$FJ26,$S26^2*FO$15,FO25*INDEX($T$20:$T$91,$FJ26-FO$19)^2/INDEX($U$20:$U$91,$FJ26-FO$19))))</f>
        <v>0.00730782941376418</v>
      </c>
      <c r="FP26" s="150" t="n">
        <f aca="false">IF(FP$19&gt;$FJ26,"",MAX(0,IF(FP$19=$FJ26,$S26^2*FP$15,FP25*INDEX($T$20:$T$91,$FJ26-FP$19)^2/INDEX($U$20:$U$91,$FJ26-FP$19))))</f>
        <v>0.0100230560471545</v>
      </c>
      <c r="FQ26" s="150" t="n">
        <f aca="false">IF(FQ$19&gt;$FJ26,"",MAX(0,IF(FQ$19=$FJ26,$S26^2*FQ$15,FQ25*INDEX($T$20:$T$91,$FJ26-FQ$19)^2/INDEX($U$20:$U$91,$FJ26-FQ$19))))</f>
        <v>0.0104659420820231</v>
      </c>
      <c r="FR26" s="150" t="str">
        <f aca="false">IF(FR$19&gt;$FJ26,"",MAX(0,IF(FR$19=$FJ26,$S26^2*FR$15,FR25*INDEX($T$20:$T$91,$FJ26-FR$19)^2/INDEX($U$20:$U$91,$FJ26-FR$19))))</f>
        <v/>
      </c>
      <c r="FS26" s="150" t="str">
        <f aca="false">IF(FS$19&gt;$FJ26,"",MAX(0,IF(FS$19=$FJ26,$S26^2*FS$15,FS25*INDEX($T$20:$T$91,$FJ26-FS$19)^2/INDEX($U$20:$U$91,$FJ26-FS$19))))</f>
        <v/>
      </c>
      <c r="FT26" s="150" t="str">
        <f aca="false">IF(FT$19&gt;$FJ26,"",MAX(0,IF(FT$19=$FJ26,$S26^2*FT$15,FT25*INDEX($T$20:$T$91,$FJ26-FT$19)^2/INDEX($U$20:$U$91,$FJ26-FT$19))))</f>
        <v/>
      </c>
      <c r="FU26" s="150" t="str">
        <f aca="false">IF(FU$19&gt;$FJ26,"",MAX(0,IF(FU$19=$FJ26,$S26^2*FU$15,FU25*INDEX($T$20:$T$91,$FJ26-FU$19)^2/INDEX($U$20:$U$91,$FJ26-FU$19))))</f>
        <v/>
      </c>
      <c r="FV26" s="150" t="str">
        <f aca="false">IF(FV$19&gt;$FJ26,"",MAX(0,IF(FV$19=$FJ26,$S26^2*FV$15,FV25*INDEX($T$20:$T$91,$FJ26-FV$19)^2/INDEX($U$20:$U$91,$FJ26-FV$19))))</f>
        <v/>
      </c>
      <c r="FW26" s="150" t="str">
        <f aca="false">IF(FW$19&gt;$FJ26,"",MAX(0,IF(FW$19=$FJ26,$S26^2*FW$15,FW25*INDEX($T$20:$T$91,$FJ26-FW$19)^2/INDEX($U$20:$U$91,$FJ26-FW$19))))</f>
        <v/>
      </c>
      <c r="FX26" s="150" t="str">
        <f aca="false">IF(FX$19&gt;$FJ26,"",MAX(0,IF(FX$19=$FJ26,$S26^2*FX$15,FX25*INDEX($T$20:$T$91,$FJ26-FX$19)^2/INDEX($U$20:$U$91,$FJ26-FX$19))))</f>
        <v/>
      </c>
      <c r="FY26" s="150" t="str">
        <f aca="false">IF(FY$19&gt;$FJ26,"",MAX(0,IF(FY$19=$FJ26,$S26^2*FY$15,FY25*INDEX($T$20:$T$91,$FJ26-FY$19)^2/INDEX($U$20:$U$91,$FJ26-FY$19))))</f>
        <v/>
      </c>
      <c r="FZ26" s="150" t="str">
        <f aca="false">IF(FZ$19&gt;$FJ26,"",MAX(0,IF(FZ$19=$FJ26,$S26^2*FZ$15,FZ25*INDEX($T$20:$T$91,$FJ26-FZ$19)^2/INDEX($U$20:$U$91,$FJ26-FZ$19))))</f>
        <v/>
      </c>
      <c r="GA26" s="150" t="str">
        <f aca="false">IF(GA$19&gt;$FJ26,"",MAX(0,IF(GA$19=$FJ26,$S26^2*GA$15,GA25*INDEX($T$20:$T$91,$FJ26-GA$19)^2/INDEX($U$20:$U$91,$FJ26-GA$19))))</f>
        <v/>
      </c>
      <c r="GB26" s="150" t="str">
        <f aca="false">IF(GB$19&gt;$FJ26,"",MAX(0,IF(GB$19=$FJ26,$S26^2*GB$15,GB25*INDEX($T$20:$T$91,$FJ26-GB$19)^2/INDEX($U$20:$U$91,$FJ26-GB$19))))</f>
        <v/>
      </c>
      <c r="GC26" s="150" t="str">
        <f aca="false">IF(GC$19&gt;$FJ26,"",MAX(0,IF(GC$19=$FJ26,$S26^2*GC$15,GC25*INDEX($T$20:$T$91,$FJ26-GC$19)^2/INDEX($U$20:$U$91,$FJ26-GC$19))))</f>
        <v/>
      </c>
      <c r="GD26" s="150" t="str">
        <f aca="false">IF(GD$19&gt;$FJ26,"",MAX(0,IF(GD$19=$FJ26,$S26^2*GD$15,GD25*INDEX($T$20:$T$91,$FJ26-GD$19)^2/INDEX($U$20:$U$91,$FJ26-GD$19))))</f>
        <v/>
      </c>
      <c r="GE26" s="150" t="str">
        <f aca="false">IF(GE$19&gt;$FJ26,"",MAX(0,IF(GE$19=$FJ26,$S26^2*GE$15,GE25*INDEX($T$20:$T$91,$FJ26-GE$19)^2/INDEX($U$20:$U$91,$FJ26-GE$19))))</f>
        <v/>
      </c>
      <c r="GF26" s="150" t="str">
        <f aca="false">IF(GF$19&gt;$FJ26,"",MAX(0,IF(GF$19=$FJ26,$S26^2*GF$15,GF25*INDEX($T$20:$T$91,$FJ26-GF$19)^2/INDEX($U$20:$U$91,$FJ26-GF$19))))</f>
        <v/>
      </c>
      <c r="GG26" s="150" t="str">
        <f aca="false">IF(GG$19&gt;$FJ26,"",MAX(0,IF(GG$19=$FJ26,$S26^2*GG$15,GG25*INDEX($T$20:$T$91,$FJ26-GG$19)^2/INDEX($U$20:$U$91,$FJ26-GG$19))))</f>
        <v/>
      </c>
      <c r="GH26" s="150" t="str">
        <f aca="false">IF(GH$19&gt;$FJ26,"",MAX(0,IF(GH$19=$FJ26,$S26^2*GH$15,GH25*INDEX($T$20:$T$91,$FJ26-GH$19)^2/INDEX($U$20:$U$91,$FJ26-GH$19))))</f>
        <v/>
      </c>
      <c r="GI26" s="150" t="str">
        <f aca="false">IF(GI$19&gt;$FJ26,"",MAX(0,IF(GI$19=$FJ26,$S26^2*GI$15,GI25*INDEX($T$20:$T$91,$FJ26-GI$19)^2/INDEX($U$20:$U$91,$FJ26-GI$19))))</f>
        <v/>
      </c>
      <c r="GJ26" s="150" t="str">
        <f aca="false">IF(GJ$19&gt;$FJ26,"",MAX(0,IF(GJ$19=$FJ26,$S26^2*GJ$15,GJ25*INDEX($T$20:$T$91,$FJ26-GJ$19)^2/INDEX($U$20:$U$91,$FJ26-GJ$19))))</f>
        <v/>
      </c>
      <c r="GK26" s="150" t="str">
        <f aca="false">IF(GK$19&gt;$FJ26,"",MAX(0,IF(GK$19=$FJ26,$S26^2*GK$15,GK25*INDEX($T$20:$T$91,$FJ26-GK$19)^2/INDEX($U$20:$U$91,$FJ26-GK$19))))</f>
        <v/>
      </c>
      <c r="GL26" s="150" t="str">
        <f aca="false">IF(GL$19&gt;$FJ26,"",MAX(0,IF(GL$19=$FJ26,$S26^2*GL$15,GL25*INDEX($T$20:$T$91,$FJ26-GL$19)^2/INDEX($U$20:$U$91,$FJ26-GL$19))))</f>
        <v/>
      </c>
      <c r="GM26" s="150" t="str">
        <f aca="false">IF(GM$19&gt;$FJ26,"",MAX(0,IF(GM$19=$FJ26,$S26^2*GM$15,GM25*INDEX($T$20:$T$91,$FJ26-GM$19)^2/INDEX($U$20:$U$91,$FJ26-GM$19))))</f>
        <v/>
      </c>
      <c r="GN26" s="150" t="str">
        <f aca="false">IF(GN$19&gt;$FJ26,"",MAX(0,IF(GN$19=$FJ26,$S26^2*GN$15,GN25*INDEX($T$20:$T$91,$FJ26-GN$19)^2/INDEX($U$20:$U$91,$FJ26-GN$19))))</f>
        <v/>
      </c>
      <c r="GO26" s="150" t="str">
        <f aca="false">IF(GO$19&gt;$FJ26,"",MAX(0,IF(GO$19=$FJ26,$S26^2*GO$15,GO25*INDEX($T$20:$T$91,$FJ26-GO$19)^2/INDEX($U$20:$U$91,$FJ26-GO$19))))</f>
        <v/>
      </c>
      <c r="GP26" s="150" t="str">
        <f aca="false">IF(GP$19&gt;$FJ26,"",MAX(0,IF(GP$19=$FJ26,$S26^2*GP$15,GP25*INDEX($T$20:$T$91,$FJ26-GP$19)^2/INDEX($U$20:$U$91,$FJ26-GP$19))))</f>
        <v/>
      </c>
      <c r="GQ26" s="150" t="str">
        <f aca="false">IF(GQ$19&gt;$FJ26,"",MAX(0,IF(GQ$19=$FJ26,$S26^2*GQ$15,GQ25*INDEX($T$20:$T$91,$FJ26-GQ$19)^2/INDEX($U$20:$U$91,$FJ26-GQ$19))))</f>
        <v/>
      </c>
      <c r="GR26" s="150" t="str">
        <f aca="false">IF(GR$19&gt;$FJ26,"",MAX(0,IF(GR$19=$FJ26,$S26^2*GR$15,GR25*INDEX($T$20:$T$91,$FJ26-GR$19)^2/INDEX($U$20:$U$91,$FJ26-GR$19))))</f>
        <v/>
      </c>
      <c r="GS26" s="150" t="str">
        <f aca="false">IF(GS$19&gt;$FJ26,"",MAX(0,IF(GS$19=$FJ26,$S26^2*GS$15,GS25*INDEX($T$20:$T$91,$FJ26-GS$19)^2/INDEX($U$20:$U$91,$FJ26-GS$19))))</f>
        <v/>
      </c>
      <c r="GT26" s="150" t="str">
        <f aca="false">IF(GT$19&gt;$FJ26,"",MAX(0,IF(GT$19=$FJ26,$S26^2*GT$15,GT25*INDEX($T$20:$T$91,$FJ26-GT$19)^2/INDEX($U$20:$U$91,$FJ26-GT$19))))</f>
        <v/>
      </c>
      <c r="GU26" s="150" t="str">
        <f aca="false">IF(GU$19&gt;$FJ26,"",MAX(0,IF(GU$19=$FJ26,$S26^2*GU$15,GU25*INDEX($T$20:$T$91,$FJ26-GU$19)^2/INDEX($U$20:$U$91,$FJ26-GU$19))))</f>
        <v/>
      </c>
      <c r="GV26" s="150" t="str">
        <f aca="false">IF(GV$19&gt;$FJ26,"",MAX(0,IF(GV$19=$FJ26,$S26^2*GV$15,GV25*INDEX($T$20:$T$91,$FJ26-GV$19)^2/INDEX($U$20:$U$91,$FJ26-GV$19))))</f>
        <v/>
      </c>
      <c r="GW26" s="150" t="str">
        <f aca="false">IF(GW$19&gt;$FJ26,"",MAX(0,IF(GW$19=$FJ26,$S26^2*GW$15,GW25*INDEX($T$20:$T$91,$FJ26-GW$19)^2/INDEX($U$20:$U$91,$FJ26-GW$19))))</f>
        <v/>
      </c>
      <c r="GX26" s="150" t="str">
        <f aca="false">IF(GX$19&gt;$FJ26,"",MAX(0,IF(GX$19=$FJ26,$S26^2*GX$15,GX25*INDEX($T$20:$T$91,$FJ26-GX$19)^2/INDEX($U$20:$U$91,$FJ26-GX$19))))</f>
        <v/>
      </c>
      <c r="GY26" s="150" t="str">
        <f aca="false">IF(GY$19&gt;$FJ26,"",MAX(0,IF(GY$19=$FJ26,$S26^2*GY$15,GY25*INDEX($T$20:$T$91,$FJ26-GY$19)^2/INDEX($U$20:$U$91,$FJ26-GY$19))))</f>
        <v/>
      </c>
      <c r="GZ26" s="150" t="str">
        <f aca="false">IF(GZ$19&gt;$FJ26,"",MAX(0,IF(GZ$19=$FJ26,$S26^2*GZ$15,GZ25*INDEX($T$20:$T$91,$FJ26-GZ$19)^2/INDEX($U$20:$U$91,$FJ26-GZ$19))))</f>
        <v/>
      </c>
      <c r="HA26" s="150" t="str">
        <f aca="false">IF(HA$19&gt;$FJ26,"",MAX(0,IF(HA$19=$FJ26,$S26^2*HA$15,HA25*INDEX($T$20:$T$91,$FJ26-HA$19)^2/INDEX($U$20:$U$91,$FJ26-HA$19))))</f>
        <v/>
      </c>
      <c r="HB26" s="150" t="str">
        <f aca="false">IF(HB$19&gt;$FJ26,"",MAX(0,IF(HB$19=$FJ26,$S26^2*HB$15,HB25*INDEX($T$20:$T$91,$FJ26-HB$19)^2/INDEX($U$20:$U$91,$FJ26-HB$19))))</f>
        <v/>
      </c>
      <c r="HC26" s="150" t="str">
        <f aca="false">IF(HC$19&gt;$FJ26,"",MAX(0,IF(HC$19=$FJ26,$S26^2*HC$15,HC25*INDEX($T$20:$T$91,$FJ26-HC$19)^2/INDEX($U$20:$U$91,$FJ26-HC$19))))</f>
        <v/>
      </c>
      <c r="HD26" s="150" t="str">
        <f aca="false">IF(HD$19&gt;$FJ26,"",MAX(0,IF(HD$19=$FJ26,$S26^2*HD$15,HD25*INDEX($T$20:$T$91,$FJ26-HD$19)^2/INDEX($U$20:$U$91,$FJ26-HD$19))))</f>
        <v/>
      </c>
      <c r="HE26" s="150" t="str">
        <f aca="false">IF(HE$19&gt;$FJ26,"",MAX(0,IF(HE$19=$FJ26,$S26^2*HE$15,HE25*INDEX($T$20:$T$91,$FJ26-HE$19)^2/INDEX($U$20:$U$91,$FJ26-HE$19))))</f>
        <v/>
      </c>
      <c r="HF26" s="150" t="str">
        <f aca="false">IF(HF$19&gt;$FJ26,"",MAX(0,IF(HF$19=$FJ26,$S26^2*HF$15,HF25*INDEX($T$20:$T$91,$FJ26-HF$19)^2/INDEX($U$20:$U$91,$FJ26-HF$19))))</f>
        <v/>
      </c>
      <c r="HG26" s="150" t="str">
        <f aca="false">IF(HG$19&gt;$FJ26,"",MAX(0,IF(HG$19=$FJ26,$S26^2*HG$15,HG25*INDEX($T$20:$T$91,$FJ26-HG$19)^2/INDEX($U$20:$U$91,$FJ26-HG$19))))</f>
        <v/>
      </c>
      <c r="HH26" s="150" t="str">
        <f aca="false">IF(HH$19&gt;$FJ26,"",MAX(0,IF(HH$19=$FJ26,$S26^2*HH$15,HH25*INDEX($T$20:$T$91,$FJ26-HH$19)^2/INDEX($U$20:$U$91,$FJ26-HH$19))))</f>
        <v/>
      </c>
      <c r="HI26" s="150" t="str">
        <f aca="false">IF(HI$19&gt;$FJ26,"",MAX(0,IF(HI$19=$FJ26,$S26^2*HI$15,HI25*INDEX($T$20:$T$91,$FJ26-HI$19)^2/INDEX($U$20:$U$91,$FJ26-HI$19))))</f>
        <v/>
      </c>
      <c r="HJ26" s="150" t="str">
        <f aca="false">IF(HJ$19&gt;$FJ26,"",MAX(0,IF(HJ$19=$FJ26,$S26^2*HJ$15,HJ25*INDEX($T$20:$T$91,$FJ26-HJ$19)^2/INDEX($U$20:$U$91,$FJ26-HJ$19))))</f>
        <v/>
      </c>
      <c r="HK26" s="150" t="str">
        <f aca="false">IF(HK$19&gt;$FJ26,"",MAX(0,IF(HK$19=$FJ26,$S26^2*HK$15,HK25*INDEX($T$20:$T$91,$FJ26-HK$19)^2/INDEX($U$20:$U$91,$FJ26-HK$19))))</f>
        <v/>
      </c>
      <c r="HL26" s="150" t="str">
        <f aca="false">IF(HL$19&gt;$FJ26,"",MAX(0,IF(HL$19=$FJ26,$S26^2*HL$15,HL25*INDEX($T$20:$T$91,$FJ26-HL$19)^2/INDEX($U$20:$U$91,$FJ26-HL$19))))</f>
        <v/>
      </c>
      <c r="HM26" s="150" t="str">
        <f aca="false">IF(HM$19&gt;$FJ26,"",MAX(0,IF(HM$19=$FJ26,$S26^2*HM$15,HM25*INDEX($T$20:$T$91,$FJ26-HM$19)^2/INDEX($U$20:$U$91,$FJ26-HM$19))))</f>
        <v/>
      </c>
      <c r="HN26" s="150" t="str">
        <f aca="false">IF(HN$19&gt;$FJ26,"",MAX(0,IF(HN$19=$FJ26,$S26^2*HN$15,HN25*INDEX($T$20:$T$91,$FJ26-HN$19)^2/INDEX($U$20:$U$91,$FJ26-HN$19))))</f>
        <v/>
      </c>
      <c r="HO26" s="150" t="str">
        <f aca="false">IF(HO$19&gt;$FJ26,"",MAX(0,IF(HO$19=$FJ26,$S26^2*HO$15,HO25*INDEX($T$20:$T$91,$FJ26-HO$19)^2/INDEX($U$20:$U$91,$FJ26-HO$19))))</f>
        <v/>
      </c>
      <c r="HP26" s="150" t="str">
        <f aca="false">IF(HP$19&gt;$FJ26,"",MAX(0,IF(HP$19=$FJ26,$S26^2*HP$15,HP25*INDEX($T$20:$T$91,$FJ26-HP$19)^2/INDEX($U$20:$U$91,$FJ26-HP$19))))</f>
        <v/>
      </c>
      <c r="HQ26" s="150" t="str">
        <f aca="false">IF(HQ$19&gt;$FJ26,"",MAX(0,IF(HQ$19=$FJ26,$S26^2*HQ$15,HQ25*INDEX($T$20:$T$91,$FJ26-HQ$19)^2/INDEX($U$20:$U$91,$FJ26-HQ$19))))</f>
        <v/>
      </c>
      <c r="HR26" s="150" t="str">
        <f aca="false">IF(HR$19&gt;$FJ26,"",MAX(0,IF(HR$19=$FJ26,$S26^2*HR$15,HR25*INDEX($T$20:$T$91,$FJ26-HR$19)^2/INDEX($U$20:$U$91,$FJ26-HR$19))))</f>
        <v/>
      </c>
      <c r="HS26" s="150" t="str">
        <f aca="false">IF(HS$19&gt;$FJ26,"",MAX(0,IF(HS$19=$FJ26,$S26^2*HS$15,HS25*INDEX($T$20:$T$91,$FJ26-HS$19)^2/INDEX($U$20:$U$91,$FJ26-HS$19))))</f>
        <v/>
      </c>
      <c r="HT26" s="150" t="str">
        <f aca="false">IF(HT$19&gt;$FJ26,"",MAX(0,IF(HT$19=$FJ26,$S26^2*HT$15,HT25*INDEX($T$20:$T$91,$FJ26-HT$19)^2/INDEX($U$20:$U$91,$FJ26-HT$19))))</f>
        <v/>
      </c>
      <c r="HU26" s="150" t="str">
        <f aca="false">IF(HU$19&gt;$FJ26,"",MAX(0,IF(HU$19=$FJ26,$S26^2*HU$15,HU25*INDEX($T$20:$T$91,$FJ26-HU$19)^2/INDEX($U$20:$U$91,$FJ26-HU$19))))</f>
        <v/>
      </c>
      <c r="HV26" s="150" t="str">
        <f aca="false">IF(HV$19&gt;$FJ26,"",MAX(0,IF(HV$19=$FJ26,$S26^2*HV$15,HV25*INDEX($T$20:$T$91,$FJ26-HV$19)^2/INDEX($U$20:$U$91,$FJ26-HV$19))))</f>
        <v/>
      </c>
      <c r="HW26" s="150" t="str">
        <f aca="false">IF(HW$19&gt;$FJ26,"",MAX(0,IF(HW$19=$FJ26,$S26^2*HW$15,HW25*INDEX($T$20:$T$91,$FJ26-HW$19)^2/INDEX($U$20:$U$91,$FJ26-HW$19))))</f>
        <v/>
      </c>
      <c r="HX26" s="150" t="str">
        <f aca="false">IF(HX$19&gt;$FJ26,"",MAX(0,IF(HX$19=$FJ26,$S26^2*HX$15,HX25*INDEX($T$20:$T$91,$FJ26-HX$19)^2/INDEX($U$20:$U$91,$FJ26-HX$19))))</f>
        <v/>
      </c>
      <c r="HY26" s="150" t="str">
        <f aca="false">IF(HY$19&gt;$FJ26,"",MAX(0,IF(HY$19=$FJ26,$S26^2*HY$15,HY25*INDEX($T$20:$T$91,$FJ26-HY$19)^2/INDEX($U$20:$U$91,$FJ26-HY$19))))</f>
        <v/>
      </c>
      <c r="HZ26" s="150" t="str">
        <f aca="false">IF(HZ$19&gt;$FJ26,"",MAX(0,IF(HZ$19=$FJ26,$S26^2*HZ$15,HZ25*INDEX($T$20:$T$91,$FJ26-HZ$19)^2/INDEX($U$20:$U$91,$FJ26-HZ$19))))</f>
        <v/>
      </c>
      <c r="IA26" s="150" t="str">
        <f aca="false">IF(IA$19&gt;$FJ26,"",MAX(0,IF(IA$19=$FJ26,$S26^2*IA$15,IA25*INDEX($T$20:$T$91,$FJ26-IA$19)^2/INDEX($U$20:$U$91,$FJ26-IA$19))))</f>
        <v/>
      </c>
      <c r="IB26" s="150" t="str">
        <f aca="false">IF(IB$19&gt;$FJ26,"",MAX(0,IF(IB$19=$FJ26,$S26^2*IB$15,IB25*INDEX($T$20:$T$91,$FJ26-IB$19)^2/INDEX($U$20:$U$91,$FJ26-IB$19))))</f>
        <v/>
      </c>
      <c r="IC26" s="150" t="str">
        <f aca="false">IF(IC$19&gt;$FJ26,"",MAX(0,IF(IC$19=$FJ26,$S26^2*IC$15,IC25*INDEX($T$20:$T$91,$FJ26-IC$19)^2/INDEX($U$20:$U$91,$FJ26-IC$19))))</f>
        <v/>
      </c>
      <c r="ID26" s="572" t="str">
        <f aca="false">IF(ID$19&gt;$FJ26,"",MAX(0,IF(ID$19=$FJ26,$S26^2*ID$15,ID25*INDEX($T$20:$T$91,$FJ26-ID$19)^2/INDEX($U$20:$U$91,$FJ26-ID$19))))</f>
        <v/>
      </c>
      <c r="IE26" s="129"/>
    </row>
    <row r="27" customFormat="false" ht="16.5" hidden="false" customHeight="true" outlineLevel="0" collapsed="false">
      <c r="A27" s="76"/>
      <c r="B27" s="35" t="s">
        <v>146</v>
      </c>
      <c r="C27" s="606" t="s">
        <v>53</v>
      </c>
      <c r="D27" s="607" t="n">
        <v>-0.05</v>
      </c>
      <c r="E27" s="608" t="n">
        <v>0</v>
      </c>
      <c r="F27" s="609" t="s">
        <v>233</v>
      </c>
      <c r="G27" s="610" t="e">
        <f aca="false">SwaptionUnderlyingPrice</f>
        <v>#VALUE!</v>
      </c>
      <c r="H27" s="219" t="n">
        <f aca="false">VLOOKUP(I27,$EJ$20:$EL$54,3)</f>
        <v>0</v>
      </c>
      <c r="I27" s="511" t="n">
        <f aca="false">EOMONTH(I26,0)+1</f>
        <v>36982</v>
      </c>
      <c r="J27" s="512"/>
      <c r="K27" s="513" t="s">
        <v>226</v>
      </c>
      <c r="L27" s="514" t="e">
        <f aca="false">IF(ISNUMBER(K27),J27+K27/100,IF(K27="extra",L26+VLOOKUP(BF27,PriceSpreadTable,2)/12,IF(K27="inter",interpolateprices($K$19:$L$200,ROW(K27)-ROW(FirstPricingMonth)+1),interpolatechanges($J$19:$K$200,ROW(K27)-ROW(FirstPricingMonth)+1))))</f>
        <v>#VALUE!</v>
      </c>
      <c r="M27" s="515"/>
      <c r="N27" s="516" t="n">
        <v>0</v>
      </c>
      <c r="O27" s="515" t="n">
        <f aca="false">M27+N27</f>
        <v>0</v>
      </c>
      <c r="P27" s="512"/>
      <c r="Q27" s="517" t="s">
        <v>226</v>
      </c>
      <c r="R27" s="512" t="e">
        <f aca="false">IF(ISNUMBER(Q27),P27+Q27/100,IF(Q27="extra",(Z25*AL25-R26*AM25)/AN25,IF(Q27="inter",interpolateprices($Q$19:$R$260,ROW(Q27)-ROW(FirstPricingMonth)+1),interpolatechanges($P$19:$Q$260,ROW(Q27)-ROW(FirstPricingMonth)+1))))</f>
        <v>#VALUE!</v>
      </c>
      <c r="S27" s="597" t="n">
        <f aca="false">S$19+(S26-S$19)*S$18</f>
        <v>0.367119140625</v>
      </c>
      <c r="T27" s="575" t="n">
        <f aca="false">SQRT((1-(1-T26^2/U26)*T$18)*U27)</f>
        <v>0.960786235182493</v>
      </c>
      <c r="U27" s="576" t="n">
        <f aca="false">1-(1-U26)*U$18</f>
        <v>0.997997741699219</v>
      </c>
      <c r="V27" s="521" t="n">
        <v>0</v>
      </c>
      <c r="W27" s="577" t="n">
        <f aca="false">(J28*AJ27+J29*AK27)/AI27</f>
        <v>0</v>
      </c>
      <c r="X27" s="578" t="e">
        <f aca="false">(L28*AJ27+L29*AK27)/AI27</f>
        <v>#VALUE!</v>
      </c>
      <c r="Y27" s="579" t="n">
        <f aca="false">IF(Q29="extra",W27-AA27,(P28*AM27+P29*AN27)/AL27)</f>
        <v>0</v>
      </c>
      <c r="Z27" s="579" t="e">
        <f aca="false">IF(Q29="extra",X27-AB27,(R28*AM27+R29*AN27)/AL27)</f>
        <v>#VALUE!</v>
      </c>
      <c r="AA27" s="523" t="n">
        <f aca="false">IF(Q29="extra",INDEX(BrentSeasonalityTable,INT((BG27-1)/3)+1)*VLOOKUP(MAX(BF27,$AB$4),PriceSpreadTable,3),W27-Y27)</f>
        <v>0</v>
      </c>
      <c r="AB27" s="524" t="e">
        <f aca="false">IF(Q29="extra",INDEX(BrentSeasonalityTable,INT((BG27-1)/3)+1)*VLOOKUP(MAX(BF27,$AB$4),PriceSpreadTable,3),X27-Z27)</f>
        <v>#VALUE!</v>
      </c>
      <c r="AC27" s="525" t="n">
        <v>36970</v>
      </c>
      <c r="AD27" s="526" t="n">
        <v>36965</v>
      </c>
      <c r="AE27" s="526" t="n">
        <v>36966</v>
      </c>
      <c r="AF27" s="527" t="n">
        <v>36963</v>
      </c>
      <c r="AG27" s="438" t="s">
        <v>224</v>
      </c>
      <c r="AH27" s="439" t="s">
        <v>224</v>
      </c>
      <c r="AI27" s="528" t="n">
        <v>21</v>
      </c>
      <c r="AJ27" s="529" t="n">
        <v>15</v>
      </c>
      <c r="AK27" s="529" t="n">
        <v>6</v>
      </c>
      <c r="AL27" s="530" t="n">
        <v>21</v>
      </c>
      <c r="AM27" s="529" t="n">
        <v>8</v>
      </c>
      <c r="AN27" s="531" t="n">
        <v>13</v>
      </c>
      <c r="AO27" s="532"/>
      <c r="AP27" s="465" t="n">
        <f aca="false">(1+AO27/2)^(-2*BL27)</f>
        <v>1</v>
      </c>
      <c r="AQ27" s="532"/>
      <c r="AR27" s="465" t="n">
        <f aca="false">(1+AQ27/2)^(-2*BH27/365.25)</f>
        <v>1</v>
      </c>
      <c r="AS27" s="580" t="n">
        <f aca="false">(O28*AJ27+O29*AK27)/AI27</f>
        <v>0</v>
      </c>
      <c r="AT27" s="468" t="n">
        <f aca="false">O27*VLOOKUP(BF27,BrentVolTable,2)+VLOOKUP(BF27,BrentVolTable,3)</f>
        <v>0</v>
      </c>
      <c r="AU27" s="468" t="n">
        <f aca="false">(AT28*AM27+AT29*AN27)/AL27</f>
        <v>0</v>
      </c>
      <c r="AV27" s="595" t="n">
        <f aca="false">SQRT(MAX(0.000000000001,(O27^2*BH27-S27^2*(BH27-BH26))/BH26))</f>
        <v>0.0208521258219453</v>
      </c>
      <c r="AW27" s="451" t="n">
        <f aca="false">IF($I27-DateToday+15&gt;=$T$8,"",IF($I27-DateToday+15&lt;$T$5,1,MATCH($I27-DateToday+15,$T$5:$T$8)))</f>
        <v>1</v>
      </c>
      <c r="AX27" s="468" t="n">
        <f aca="false">IF($AW27="",AX26^2/AX25,INDEX(U$5:U$8,$AW27)^((INDEX($T$5:$T$8,$AW27+1)-($I27-DateToday+15))/(INDEX($T$5:$T$8,$AW27+1)-INDEX($T$5:$T$8,$AW27)))/INDEX(U$5:U$8,$AW27+1)^((INDEX($T$5:$T$8,$AW27)-($I27-DateToday+15))/(INDEX($T$5:$T$8,$AW27+1)-INDEX($T$5:$T$8,$AW27))))</f>
        <v>10.8136518178949</v>
      </c>
      <c r="AY27" s="468" t="n">
        <f aca="false">IF($AW27="",AY26^2/AY25,INDEX(V$5:V$8,$AW27)^((INDEX($T$5:$T$8,$AW27+1)-($I27-DateToday+15))/(INDEX($T$5:$T$8,$AW27+1)-INDEX($T$5:$T$8,$AW27)))/INDEX(V$5:V$8,$AW27+1)^((INDEX($T$5:$T$8,$AW27)-($I27-DateToday+15))/(INDEX($T$5:$T$8,$AW27+1)-INDEX($T$5:$T$8,$AW27))))</f>
        <v>3891.07430815486</v>
      </c>
      <c r="AZ27" s="468" t="n">
        <f aca="false">IF($AW27="",AZ26^2/AZ25,INDEX(W$5:W$8,$AW27)^((INDEX($T$5:$T$8,$AW27+1)-($I27-DateToday+15))/(INDEX($T$5:$T$8,$AW27+1)-INDEX($T$5:$T$8,$AW27)))/INDEX(W$5:W$8,$AW27+1)^((INDEX($T$5:$T$8,$AW27)-($I27-DateToday+15))/(INDEX($T$5:$T$8,$AW27+1)-INDEX($T$5:$T$8,$AW27))))</f>
        <v>394934595.343398</v>
      </c>
      <c r="BA27" s="468" t="n">
        <f aca="false">IF($AW27="",BA26^2/BA25,INDEX(X$5:X$8,$AW27)^((INDEX($T$5:$T$8,$AW27+1)-($I27-DateToday+15))/(INDEX($T$5:$T$8,$AW27+1)-INDEX($T$5:$T$8,$AW27)))/INDEX(X$5:X$8,$AW27+1)^((INDEX($T$5:$T$8,$AW27)-($I27-DateToday+15))/(INDEX($T$5:$T$8,$AW27+1)-INDEX($T$5:$T$8,$AW27))))</f>
        <v>44486304217.549</v>
      </c>
      <c r="BB27" s="468" t="n">
        <f aca="false">IF($AW27="",BB26^2/BB25,INDEX(Y$5:Y$8,$AW27)^((INDEX($T$5:$T$8,$AW27+1)-($I27-DateToday+15))/(INDEX($T$5:$T$8,$AW27+1)-INDEX($T$5:$T$8,$AW27)))/INDEX(Y$5:Y$8,$AW27+1)^((INDEX($T$5:$T$8,$AW27)-($I27-DateToday+15))/(INDEX($T$5:$T$8,$AW27+1)-INDEX($T$5:$T$8,$AW27))))</f>
        <v>1147943638154.26</v>
      </c>
      <c r="BC27" s="468" t="n">
        <f aca="false">IF($AW27="",BC26^2/BC25,INDEX(Z$5:Z$8,$AW27)^((INDEX($T$5:$T$8,$AW27+1)-($I27-DateToday+15))/(INDEX($T$5:$T$8,$AW27+1)-INDEX($T$5:$T$8,$AW27)))/INDEX(Z$5:Z$8,$AW27+1)^((INDEX($T$5:$T$8,$AW27)-($I27-DateToday+15))/(INDEX($T$5:$T$8,$AW27+1)-INDEX($T$5:$T$8,$AW27))))</f>
        <v>7939411924456.14</v>
      </c>
      <c r="BD27" s="535" t="n">
        <f aca="false">IF(OR(DateStart&gt;=I28,DateEnd&lt;I27),0,IF(VolumeOverrideFlag,V27,Volume))</f>
        <v>30</v>
      </c>
      <c r="BE27" s="536" t="n">
        <f aca="false">IF(OR(DateStart2&gt;=I28,DateEnd2&lt;I27),0,IF(VolumeOverrideFlag,V27,VolumeSwaption))</f>
        <v>30</v>
      </c>
      <c r="BF27" s="537" t="n">
        <f aca="false">YEAR(I27)</f>
        <v>2001</v>
      </c>
      <c r="BG27" s="538" t="n">
        <f aca="false">MONTH(I27)</f>
        <v>4</v>
      </c>
      <c r="BH27" s="539" t="n">
        <f aca="false">AD27-DateToday+1</f>
        <v>-8960</v>
      </c>
      <c r="BI27" s="540" t="n">
        <f aca="false">(I27-DateToday+1)/365.25</f>
        <v>-24.4845995893224</v>
      </c>
      <c r="BJ27" s="541" t="n">
        <f aca="false">BI27+(BL27-BI27)*CHOOSE(Underlying,AJ27/AI27,AM27/AL27)</f>
        <v>-24.4278869658746</v>
      </c>
      <c r="BK27" s="541" t="n">
        <f aca="false">BJ27+1/365.25</f>
        <v>-24.4251491150875</v>
      </c>
      <c r="BL27" s="541" t="n">
        <f aca="false">(I28-DateToday)/365.25</f>
        <v>-24.4052019164956</v>
      </c>
      <c r="BM27" s="542" t="e">
        <f aca="false">MAX(BI27-(BJ27-BI27)*(S28^2/O28^2-1),0)</f>
        <v>#DIV/0!</v>
      </c>
      <c r="BN27" s="541" t="e">
        <f aca="false">MAX(BL27+(BL27-BK27)*(S29^2/O29^2-1),0)</f>
        <v>#DIV/0!</v>
      </c>
      <c r="BO27" s="530" t="n">
        <f aca="false">CHOOSE(Underlying,AI27,AL27)</f>
        <v>21</v>
      </c>
      <c r="BP27" s="529" t="n">
        <f aca="false">CHOOSE(Underlying,AJ27,AM27)</f>
        <v>15</v>
      </c>
      <c r="BQ27" s="529" t="n">
        <f aca="false">CHOOSE(Underlying,AK27,AN27)</f>
        <v>6</v>
      </c>
      <c r="BR27" s="463" t="e">
        <f aca="false">IF(BD27,IF(Underlying=1,X27,Z27)+UnderlyingPriceAsian-SwapPriceCurve,"")</f>
        <v>#VALUE!</v>
      </c>
      <c r="BS27" s="463" t="e">
        <f aca="false">IF(BD27,Strike1/BR27-1,"")</f>
        <v>#VALUE!</v>
      </c>
      <c r="BT27" s="464" t="e">
        <f aca="false">IF(BD27,Strike2/BR27-1,"")</f>
        <v>#VALUE!</v>
      </c>
      <c r="BU27" s="465" t="e">
        <f aca="false">IF(BD27,IF(Underlying=1,L28,R28)+UnderlyingPriceAsian-SwapPriceCurve,"")</f>
        <v>#VALUE!</v>
      </c>
      <c r="BV27" s="465" t="e">
        <f aca="false">IF(BD27,IF(Underlying=1,L29,R29)+UnderlyingPriceAsian-SwapPriceCurve,"")</f>
        <v>#VALUE!</v>
      </c>
      <c r="BW27" s="466" t="n">
        <f aca="false">IF(BD27,IF(Underlying=1,O28,AT28),"")</f>
        <v>0</v>
      </c>
      <c r="BX27" s="467" t="n">
        <f aca="false">IF(BD27,IF(Underlying=1,O29,AT29),"")</f>
        <v>0</v>
      </c>
      <c r="BY27" s="466" t="e">
        <f aca="false">IF(BD27,IF(BS27&gt;0,IF(BS27&gt;0.2,BC27-BB27,IF(BS27&gt;0.1,BB27-BA27,BA27)),IF(BS27&lt;-0.2,AX27-AY27,IF(BS27&lt;-0.1,AY27-AZ27,AZ27))),"")</f>
        <v>#VALUE!</v>
      </c>
      <c r="BZ27" s="467" t="e">
        <f aca="false">IF(BD27,IF(BT27&gt;0,IF(BT27&gt;0.2,BC27-BB27,IF(BT27&gt;0.1,BB27-BA27,BA27)),IF(BT27&lt;-0.2,AX27-AY27,IF(BT27&lt;-0.1,AY27-AZ27,AZ27))),"")</f>
        <v>#VALUE!</v>
      </c>
      <c r="CA27" s="468" t="e">
        <f aca="false">IF($BD27,$BW27+IF(VolSkewFlag=1,IF(BS27&gt;0,$BA27*MIN(BS27/10%,1)+($BB27-$BA27)*MAX(0,MIN(BS27/10%-1,1))+($BC27-$BB27)*MAX(0,BS27/10%-2),$AZ27*MIN(-BS27/10%,1)+($AY27-$AZ27)*MAX(0,MIN(-BS27/10%-1,1))+($AX27-$AY27)*MAX(0,-BS27/10%-2)),0),"")</f>
        <v>#VALUE!</v>
      </c>
      <c r="CB27" s="468" t="e">
        <f aca="false">IF($BD27,$BX27+IF(VolSkewFlag=1,IF(BS27&gt;0,$BA27*MIN(BS27/10%,1)+($BB27-$BA27)*MAX(0,MIN(BS27/10%-1,1))+($BC27-$BB27)*MAX(0,BS27/10%-2),$AZ27*MIN(-BS27/10%,1)+($AY27-$AZ27)*MAX(0,MIN(-BS27/10%-1,1))+($AX27-$AY27)*MAX(0,-BS27/10%-2)),0),"")</f>
        <v>#VALUE!</v>
      </c>
      <c r="CC27" s="468" t="e">
        <f aca="false">IF($BD27,$BW27+IF(VolSkewFlag=1,IF(BT27&gt;0,$BA27*MIN(BT27/10%,1)+($BB27-$BA27)*MAX(0,MIN(BT27/10%-1,1))+($BC27-$BB27)*MAX(0,BT27/10%-2),$AZ27*MIN(-BT27/10%,1)+($AY27-$AZ27)*MAX(0,MIN(-BT27/10%-1,1))+($AX27-$AY27)*MAX(0,-BT27/10%-2)),0),"")</f>
        <v>#VALUE!</v>
      </c>
      <c r="CD27" s="468" t="e">
        <f aca="false">IF($BD27,$BX27+IF(VolSkewFlag=1,IF(BT27&gt;0,$BA27*MIN(BT27/10%,1)+($BB27-$BA27)*MAX(0,MIN(BT27/10%-1,1))+($BC27-$BB27)*MAX(0,BT27/10%-2),$AZ27*MIN(-BT27/10%,1)+($AY27-$AZ27)*MAX(0,MIN(-BT27/10%-1,1))+($AX27-$AY27)*MAX(0,-BT27/10%-2)),0),"")</f>
        <v>#VALUE!</v>
      </c>
      <c r="CE27" s="469" t="n">
        <v>1</v>
      </c>
      <c r="CF27" s="470" t="e">
        <f aca="false">IF(BD27,xCrudeAPO(BU27,BV27,CA27,CB27,S28,S29,BI27,BL27,BP27,BQ27,0,Strike1,AO27,CE27,0,BL27,IF(OptControl=4,0,1),0,1),0)</f>
        <v>#NAME?</v>
      </c>
      <c r="CG27" s="470" t="e">
        <f aca="false">IF(BD27,xCrudeAPO(BU27,BV27,CA27,CB27,S28,S29,BI27,BL27,BP27,BQ27,0,Strike1,AO27,CE27,0,BL27,IF(OptControl=4,0,1),1,1)+xCrudeAPO(BU27,BV27,CA27,CB27,S28,S29,BI27,BL27,BP27,BQ27,0,Strike1,AO27,CE27,0,BL27,IF(OptControl=4,0,1),1,2)+IF(OR(VolSkewFlag=2,ABS(BS27)&lt;0.0001),0,IF(BS27&gt;0,-1,1)*CH27*Strike1/BR27^2*BY27/10%),0)</f>
        <v>#NAME?</v>
      </c>
      <c r="CH27" s="470" t="e">
        <f aca="false">IF(BD27,(xCrudeAPO(BU27,BV27,CA27,CB27,S28,S29,BI27,BL27,BP27,BQ27,0,Strike1,AO27,CE27,0,BL27,IF(OptControl=4,0,1),3,1)+xCrudeAPO(BU27,BV27,CA27,CB27,S28,S29,BI27,BL27,BP27,BQ27,0,Strike1,AO27,CE27,0,BL27,IF(OptControl=4,0,1),3,2))/100,0)</f>
        <v>#NAME?</v>
      </c>
      <c r="CI27" s="470" t="e">
        <f aca="false">IF(BD27,xCrudeAPO(BU27,BV27,CA27,CB27,S28,S29,BI27-DaysForThetaCalculation/365.25,BL27-DaysForThetaCalculation/365.25,BP27,BQ27,0,Strike1,AO27,CE27,0,BL27,IF(OptControl=4,0,1),0,1)-xCrudeAPO(BU27,BV27,CA27,CB27,S28,S29,BI27,BL27,BP27,BQ27,0,Strike1,AO27,CE27,0,BL27,IF(OptControl=4,0,1),0,1),0)</f>
        <v>#NAME?</v>
      </c>
      <c r="CJ27" s="471" t="e">
        <f aca="false">IF(BD27,xCrudeAPO(BU27,BV27,CC27,CD27,S28,S29,BI27,BL27,BP27,BQ27,0,Strike2,AO27,CE27,0,BL27,IF(OptControl=3,1,0),0,1),0)</f>
        <v>#NAME?</v>
      </c>
      <c r="CK27" s="470" t="e">
        <f aca="false">IF(BD27,xCrudeAPO(BU27,BV27,CC27,CD27,S28,S29,BI27,BL27,BP27,BQ27,0,Strike2,AO27,CE27,0,BL27,IF(OptControl=3,1,0),1,1)+xCrudeAPO(BU27,BV27,CC27,CD27,S28,S29,BI27,BL27,BP27,BQ27,0,Strike2,AO27,CE27,0,BL27,IF(OptControl=3,1,0),1,2)+IF(OR(VolSkewFlag=2,ABS(BT27)&lt;0.0001),0,IF(BT27&gt;0,-1,1)*CL27*Strike2/BR27^2*BZ27/10%),0)</f>
        <v>#NAME?</v>
      </c>
      <c r="CL27" s="470" t="e">
        <f aca="false">IF(BD27,(xCrudeAPO(BU27,BV27,CC27,CD27,S28,S29,BI27,BL27,BP27,BQ27,0,Strike2,AO27,CE27,0,BL27,IF(OptControl=3,1,0),3,1)+xCrudeAPO(BU27,BV27,CC27,CD27,S28,S29,BI27,BL27,BP27,BQ27,0,Strike2,AO27,CE27,0,BL27,IF(OptControl=3,1,0),3,2))/100,0)</f>
        <v>#NAME?</v>
      </c>
      <c r="CM27" s="472" t="e">
        <f aca="false">IF(BD27,xCrudeAPO(BU27,BV27,CC27,CD27,S28,S29,BI27-DaysForThetaCalculation/365.25,BL27-DaysForThetaCalculation/365.25,BP27,BQ27,0,Strike2,AO27,CE27,0,BL27,IF(OptControl=3,1,0),0,1)-xCrudeAPO(BU27,BV27,CC27,CD27,S28,S29,BI27,BL27,BP27,BQ27,0,Strike2,AO27,CE27,0,BL27,IF(OptControl=3,1,0),0,1),0)</f>
        <v>#NAME?</v>
      </c>
      <c r="CN27" s="473"/>
      <c r="CO27" s="543" t="n">
        <f aca="false">IF(BD27,CHOOSE(Underlying,AD27,AF27)-DateToday+1,"")</f>
        <v>-8960</v>
      </c>
      <c r="CP27" s="582" t="e">
        <f aca="false">IF(BD27,CHOOSE(Underlying,L27,R27),"")</f>
        <v>#VALUE!</v>
      </c>
      <c r="CQ27" s="544" t="e">
        <f aca="false">IF(BD27,Strike1/CP27-1,"")</f>
        <v>#VALUE!</v>
      </c>
      <c r="CR27" s="544" t="e">
        <f aca="false">IF(BD27,Strike2/CP27-1,"")</f>
        <v>#VALUE!</v>
      </c>
      <c r="CS27" s="544" t="e">
        <f aca="false">IF(BD27,IF(CQ27&gt;0,IF(CQ27&gt;0.2,BC26-BB26,IF(CQ27&gt;0.1,BB26-BA26,BA26)),IF(CQ27&lt;-0.2,AX26-AY26,IF(CQ27&lt;-0.1,AY26-AZ26,AZ26))),"")</f>
        <v>#VALUE!</v>
      </c>
      <c r="CT27" s="544" t="e">
        <f aca="false">IF(BD27,IF(CR27&gt;0,IF(CR27&gt;0.2,BC26-BB26,IF(CR27&gt;0.1,BB26-BA26,BA26)),IF(CR27&lt;-0.2,AX26-AY26,IF(CR27&lt;-0.1,AY26-AZ26,AZ26))),"")</f>
        <v>#VALUE!</v>
      </c>
      <c r="CU27" s="545" t="n">
        <f aca="false">IF(BD27,CHOOSE(Underlying,O27,AT27),"")</f>
        <v>0</v>
      </c>
      <c r="CV27" s="545" t="e">
        <f aca="false">IF(BD27,CU27+IF(VolSkewFlag=1,IF(CQ27&gt;0,BA26*MIN(CQ27/10%,1)+(BB26-BA26)*MAX(0,MIN(CQ27/10%-1,1))+(BC26-BB26)*MAX(0,CQ27/10%-2),AZ26*MIN(-CQ27/10%,1)+(AY26-AZ26)*MAX(0,MIN(-CQ27/10%-1,1))+(AX26-AY26)*MAX(0,-CQ27/10%-2)),0),"")</f>
        <v>#VALUE!</v>
      </c>
      <c r="CW27" s="545" t="e">
        <f aca="false">IF(BD27,CU27+IF(VolSkewFlag=1,IF(CR27&gt;0,BA26*MIN(CR27/10%,1)+(BB26-BA26)*MAX(0,MIN(CR27/10%-1,1))+(BC26-BB26)*MAX(0,CR27/10%-2),AZ26*MIN(-CR27/10%,1)+(AY26-AZ26)*MAX(0,MIN(-CR27/10%-1,1))+(AX26-AY26)*MAX(0,-CR27/10%-2)),0),"")</f>
        <v>#VALUE!</v>
      </c>
      <c r="CX27" s="470" t="e">
        <f aca="false">IF(BD27,EURO(CP27,Strike1,AO27,AO27,CV27,CO27,IF(OptControl=4,0,1),0),0)</f>
        <v>#NAME?</v>
      </c>
      <c r="CY27" s="470" t="e">
        <f aca="false">IF(BD27,EURO(CP27,Strike1,AO27,AO27,CV27,CO27,IF(OptControl=4,0,1),1)+IF(OR(VolSkewFlag=2,ABS(CQ27)&lt;0.0001),0,IF(CQ27&gt;0,-1,1)*CZ27*100*Strike1/CP27^2*CS27/10%),0)</f>
        <v>#NAME?</v>
      </c>
      <c r="CZ27" s="470" t="e">
        <f aca="false">IF(BD27,EURO(CP27,Strike1,AO27,AO27,CV27,CO27,IF(OptControl=4,0,1),3)/100,0)</f>
        <v>#NAME?</v>
      </c>
      <c r="DA27" s="470" t="e">
        <f aca="false">IF(BD27,EURO(CP27,Strike1,AO27,AO27,CV27,CO27,IF(OptControl=4,0,1),0)-EURO(CP27,Strike1,AO27,AO27,CV27,CO27-1,IF(OptControl=4,0,1),0),0)</f>
        <v>#NAME?</v>
      </c>
      <c r="DB27" s="470" t="e">
        <f aca="false">IF(BD27,EURO(CP27,Strike2,AO27,AO27,CW27,CO27,IF(OptControl=3,1,0),0),0)</f>
        <v>#NAME?</v>
      </c>
      <c r="DC27" s="470" t="e">
        <f aca="false">IF(BD27,EURO(CP27,Strike2,AO27,AO27,CW27,CO27,IF(OptControl=3,1,0),1)+IF(OR(VolSkewFlag=2,ABS(CR27)&lt;0.0001),0,IF(CR27&gt;0,-1,1)*DD27*100*Strike2/CP27^2*CT27/10%),0)</f>
        <v>#NAME?</v>
      </c>
      <c r="DD27" s="470" t="e">
        <f aca="false">IF(BD27,EURO(CP27,Strike2,AO27,AO27,CW27,CO27,IF(OptControl=3,1,0),3)/100,0)</f>
        <v>#NAME?</v>
      </c>
      <c r="DE27" s="472" t="e">
        <f aca="false">IF(BD27,EURO(CP27,Strike2,AO27,AO27,CW27,CO27,IF(OptControl=3,1,0),0)-EURO(CP27,Strike2,AO27,AO27,CW27,CO27-1,IF(OptControl=3,1,0),0),0)</f>
        <v>#NAME?</v>
      </c>
      <c r="DF27" s="473"/>
      <c r="DG27" s="481" t="n">
        <f aca="false">EOMONTH(DG26,0)+1</f>
        <v>45901</v>
      </c>
      <c r="DH27" s="478" t="n">
        <v>25.48</v>
      </c>
      <c r="DI27" s="479" t="n">
        <v>24.7866666666667</v>
      </c>
      <c r="DJ27" s="480" t="n">
        <f aca="false">DG27</f>
        <v>45901</v>
      </c>
      <c r="DK27" s="478" t="n">
        <v>23.86</v>
      </c>
      <c r="DL27" s="479" t="n">
        <v>23.2785714285714</v>
      </c>
      <c r="DM27" s="481" t="n">
        <f aca="false">DG27</f>
        <v>45901</v>
      </c>
      <c r="DN27" s="482" t="n">
        <f aca="false">DK27+BrentPhyBrentSpread</f>
        <v>23.91</v>
      </c>
      <c r="DO27" s="481" t="n">
        <f aca="false">DG27</f>
        <v>45901</v>
      </c>
      <c r="DP27" s="483" t="n">
        <f aca="false">DL27+DQ27</f>
        <v>23.8785714285714</v>
      </c>
      <c r="DQ27" s="546" t="n">
        <v>0.6</v>
      </c>
      <c r="DR27" s="480" t="n">
        <f aca="false">DG27</f>
        <v>45901</v>
      </c>
      <c r="DS27" s="485" t="n">
        <v>0.29245</v>
      </c>
      <c r="DT27" s="486" t="n">
        <v>0.28265</v>
      </c>
      <c r="DU27" s="480" t="n">
        <f aca="false">DG27</f>
        <v>45901</v>
      </c>
      <c r="DV27" s="485" t="n">
        <v>0.29245</v>
      </c>
      <c r="DW27" s="486" t="n">
        <v>0.28265</v>
      </c>
      <c r="DX27" s="481" t="n">
        <f aca="false">DG27</f>
        <v>45901</v>
      </c>
      <c r="DY27" s="486" t="n">
        <v>0.35125</v>
      </c>
      <c r="DZ27" s="481" t="n">
        <f aca="false">DR27</f>
        <v>45901</v>
      </c>
      <c r="EA27" s="486" t="n">
        <f aca="false">DT27</f>
        <v>0.28265</v>
      </c>
      <c r="EB27" s="195"/>
      <c r="EC27" s="547" t="n">
        <f aca="false">IF(BD27,IF(Underlying=1,AS27,AU27),"")</f>
        <v>0</v>
      </c>
      <c r="ED27" s="548" t="e">
        <f aca="false">IF($BD27,$EC27+IF(VolSkewFlag=1,IF(BS27&gt;0,$BA27*MIN(BS27/10%,1)+($BB27-$BA27)*MAX(0,MIN(BS27/10%-1,1))+($BC27-$BB27)*MAX(0,BS27/10%-2),$AZ27*MIN(-BS27/10%,1)+($AY27-$AZ27)*MAX(0,MIN(-BS27/10%-1,1))+($AX27-$AY27)*MAX(0,-BS27/10%-2)),0),"")</f>
        <v>#VALUE!</v>
      </c>
      <c r="EE27" s="549" t="e">
        <f aca="false">IF($BD27,$EC27+IF(VolSkewFlag=1,IF(BT27&gt;0,$BA27*MIN(BT27/10%,1)+($BB27-$BA27)*MAX(0,MIN(BT27/10%-1,1))+($BC27-$BB27)*MAX(0,BT27/10%-2),$AZ27*MIN(-BT27/10%,1)+($AY27-$AZ27)*MAX(0,MIN(-BT27/10%-1,1))+($AX27-$AY27)*MAX(0,-BT27/10%-2)),0),"")</f>
        <v>#VALUE!</v>
      </c>
      <c r="EF27" s="550" t="e">
        <f aca="false">IF(BD27,xASN(BR27,Strike1,AO27,ED27,0,BO27,0,BI27,BL27,IF(OptControl=4,0,1),0),0)</f>
        <v>#NAME?</v>
      </c>
      <c r="EG27" s="551" t="e">
        <f aca="false">IF(BD27,xASN(BR27,Strike2,AO27,EE27,0,BO27,0,BI27,BL27,IF(OptControl=3,1,0),0),0)</f>
        <v>#NAME?</v>
      </c>
      <c r="EI27" s="583" t="str">
        <f aca="false">DDE("TWINDDE","RSFRecord","CLc8 MTH")</f>
        <v>APR1</v>
      </c>
      <c r="EJ27" s="584" t="n">
        <f aca="false">DATEVALUE(CONCATENATE(LEFT(EI27,3),"-",IF(VALUE(RIGHT(EI27,1))=9,"1999",CONCATENATE("200",RIGHT(EI27,1)))))</f>
        <v>36982</v>
      </c>
      <c r="EK27" s="585" t="n">
        <f aca="false">DDE("TWINDDE","RSFRecord","CLc8 NET.CHNG")</f>
        <v>0</v>
      </c>
      <c r="EL27" s="586" t="n">
        <f aca="false">IF(ISNUMBER(VALUE(EK27)),VALUE(EK27)*100,0)</f>
        <v>0</v>
      </c>
      <c r="EM27" s="195"/>
      <c r="EN27" s="556" t="n">
        <v>36710</v>
      </c>
      <c r="EO27" s="557" t="n">
        <v>37980</v>
      </c>
      <c r="EP27" s="195"/>
      <c r="EQ27" s="407" t="s">
        <v>234</v>
      </c>
      <c r="ES27" s="587" t="n">
        <v>8</v>
      </c>
      <c r="ET27" s="559" t="n">
        <f aca="false">BH27/365.25</f>
        <v>-24.5311430527036</v>
      </c>
      <c r="EU27" s="560" t="n">
        <f aca="false">O27^2*ET27</f>
        <v>-0</v>
      </c>
      <c r="EV27" s="588" t="e">
        <f aca="false">SQRT(SUM(FK27:ID27)/ET27)</f>
        <v>#VALUE!</v>
      </c>
      <c r="EW27" s="589" t="n">
        <f aca="false">IF(OR(DateStart2&gt;I26,DateEnd2&lt;I25),"",IF(DateStart2&lt;I26,AK25/AI25*AP25*BE25*SwaptionNumOfMonths/$D$33,0)+IF(DateEnd2&gt;I25,AJ26/AI26*AP26*BE26*SwaptionNumOfMonths/$D$33,0))</f>
        <v>0.936363636363636</v>
      </c>
      <c r="EX27" s="590" t="e">
        <f aca="false">IF(EW27="","",SQRT(SUM(FK332:ID332)/SwaptionYearsToExp))</f>
        <v>#VALUE!</v>
      </c>
      <c r="EY27" s="129" t="n">
        <v>0</v>
      </c>
      <c r="EZ27" s="591" t="n">
        <f aca="false">IF(OR(EW27="",EW28=""),"",SQRT(SUM(INDEX(FK27:ID27,SwaptionFirstMonthPosition+1):INDEX(FK27:ID27,FJ27))/SUM(INDEX($FK$15:$ID$15,SwaptionFirstMonthPosition+1):INDEX($FK$15:$ID$15,FJ27))))</f>
        <v>0.328669387524085</v>
      </c>
      <c r="FA27" s="592" t="n">
        <f aca="false">IF(OR(EW27="",EW26=""),"",SQRT(SUM(INDEX(FK27:ID27,SwaptionFirstMonthPosition+1):INDEX(FK27:ID27,FJ27-1))/SUM(INDEX($FK$15:$ID$15,SwaptionFirstMonthPosition+1):INDEX($FK$15:$ID$15,FJ27-1))))</f>
        <v>0.309047107117645</v>
      </c>
      <c r="FB27" s="593" t="n">
        <f aca="false">IF(BE27,2/3*EZ28+1/3*FA29,"")</f>
        <v>0.304591907951744</v>
      </c>
      <c r="FC27" s="596" t="n">
        <f aca="false">IF(BE27,(I28+I27-1)/2-DateToday,"")</f>
        <v>-8929.5</v>
      </c>
      <c r="FD27" s="483" t="e">
        <f aca="false">IF(BE27,CHOOSE(Underlying,X27,Z27)+SwaptionUnderlyingPrice-$D$26,"")</f>
        <v>#VALUE!</v>
      </c>
      <c r="FE27" s="483" t="e">
        <f aca="false">IF(BE27,CollartionFloor/FD27-1,"")</f>
        <v>#VALUE!</v>
      </c>
      <c r="FF27" s="483" t="e">
        <f aca="false">IF(BE27,CollartionCap/FD27-1,"")</f>
        <v>#VALUE!</v>
      </c>
      <c r="FG27" s="485" t="e">
        <f aca="false">IF(BE27,IF(VolSkewFlag=1,IF(FE27&gt;0,$BA27*MIN(FE27/10%,1)+($BB27-$BA27)*MAX(0,MIN(FE27/10%-1,1))+($BC27-$BB27)*MAX(0,FE27/10%-2),$AZ27*MIN(-FE27/10%,1)+($AY27-$AZ27)*MAX(0,MIN(-FE27/10%-1,1))+($AX27-$AY27)*MAX(0,-FE27/10%-2)),0),"")</f>
        <v>#VALUE!</v>
      </c>
      <c r="FH27" s="486" t="e">
        <f aca="false">IF(BE27,IF(VolSkewFlag=1,IF(FF27&gt;0,$BA27*MIN(FF27/10%,1)+($BB27-$BA27)*MAX(0,MIN(FF27/10%-1,1))+($BC27-$BB27)*MAX(0,FF27/10%-2),$AZ27*MIN(-FF27/10%,1)+($AY27-$AZ27)*MAX(0,MIN(-FF27/10%-1,1))+($AX27-$AY27)*MAX(0,-FF27/10%-2)),0),"")</f>
        <v>#VALUE!</v>
      </c>
      <c r="FI27" s="129"/>
      <c r="FJ27" s="571" t="n">
        <v>8</v>
      </c>
      <c r="FK27" s="150" t="n">
        <f aca="false">IF(FK$19&gt;$FJ27,"",MAX(0,IF(FK$19=$FJ27,$S27^2*FK$15,FK26*INDEX($T$20:$T$91,$FJ27-FK$19)^2/INDEX($U$20:$U$91,$FJ27-FK$19))))</f>
        <v>0</v>
      </c>
      <c r="FL27" s="150" t="n">
        <f aca="false">IF(FL$19&gt;$FJ27,"",MAX(0,IF(FL$19=$FJ27,$S27^2*FL$15,FL26*INDEX($T$20:$T$91,$FJ27-FL$19)^2/INDEX($U$20:$U$91,$FJ27-FL$19))))</f>
        <v>0</v>
      </c>
      <c r="FM27" s="150" t="n">
        <f aca="false">IF(FM$19&gt;$FJ27,"",MAX(0,IF(FM$19=$FJ27,$S27^2*FM$15,FM26*INDEX($T$20:$T$91,$FJ27-FM$19)^2/INDEX($U$20:$U$91,$FJ27-FM$19))))</f>
        <v>0.00527694849024304</v>
      </c>
      <c r="FN27" s="150" t="n">
        <f aca="false">IF(FN$19&gt;$FJ27,"",MAX(0,IF(FN$19=$FJ27,$S27^2*FN$15,FN26*INDEX($T$20:$T$91,$FJ27-FN$19)^2/INDEX($U$20:$U$91,$FJ27-FN$19))))</f>
        <v>0.00504741770533239</v>
      </c>
      <c r="FO27" s="150" t="n">
        <f aca="false">IF(FO$19&gt;$FJ27,"",MAX(0,IF(FO$19=$FJ27,$S27^2*FO$15,FO26*INDEX($T$20:$T$91,$FJ27-FO$19)^2/INDEX($U$20:$U$91,$FJ27-FO$19))))</f>
        <v>0.00610767285472553</v>
      </c>
      <c r="FP27" s="150" t="n">
        <f aca="false">IF(FP$19&gt;$FJ27,"",MAX(0,IF(FP$19=$FJ27,$S27^2*FP$15,FP26*INDEX($T$20:$T$91,$FJ27-FP$19)^2/INDEX($U$20:$U$91,$FJ27-FP$19))))</f>
        <v>0.00809782194427768</v>
      </c>
      <c r="FQ27" s="150" t="n">
        <f aca="false">IF(FQ$19&gt;$FJ27,"",MAX(0,IF(FQ$19=$FJ27,$S27^2*FQ$15,FQ26*INDEX($T$20:$T$91,$FJ27-FQ$19)^2/INDEX($U$20:$U$91,$FJ27-FQ$19))))</f>
        <v>0.00811470945586656</v>
      </c>
      <c r="FR27" s="150" t="n">
        <f aca="false">IF(FR$19&gt;$FJ27,"",MAX(0,IF(FR$19=$FJ27,$S27^2*FR$15,FR26*INDEX($T$20:$T$91,$FJ27-FR$19)^2/INDEX($U$20:$U$91,$FJ27-FR$19))))</f>
        <v>0.0107009375468419</v>
      </c>
      <c r="FS27" s="150" t="str">
        <f aca="false">IF(FS$19&gt;$FJ27,"",MAX(0,IF(FS$19=$FJ27,$S27^2*FS$15,FS26*INDEX($T$20:$T$91,$FJ27-FS$19)^2/INDEX($U$20:$U$91,$FJ27-FS$19))))</f>
        <v/>
      </c>
      <c r="FT27" s="150" t="str">
        <f aca="false">IF(FT$19&gt;$FJ27,"",MAX(0,IF(FT$19=$FJ27,$S27^2*FT$15,FT26*INDEX($T$20:$T$91,$FJ27-FT$19)^2/INDEX($U$20:$U$91,$FJ27-FT$19))))</f>
        <v/>
      </c>
      <c r="FU27" s="150" t="str">
        <f aca="false">IF(FU$19&gt;$FJ27,"",MAX(0,IF(FU$19=$FJ27,$S27^2*FU$15,FU26*INDEX($T$20:$T$91,$FJ27-FU$19)^2/INDEX($U$20:$U$91,$FJ27-FU$19))))</f>
        <v/>
      </c>
      <c r="FV27" s="150" t="str">
        <f aca="false">IF(FV$19&gt;$FJ27,"",MAX(0,IF(FV$19=$FJ27,$S27^2*FV$15,FV26*INDEX($T$20:$T$91,$FJ27-FV$19)^2/INDEX($U$20:$U$91,$FJ27-FV$19))))</f>
        <v/>
      </c>
      <c r="FW27" s="150" t="str">
        <f aca="false">IF(FW$19&gt;$FJ27,"",MAX(0,IF(FW$19=$FJ27,$S27^2*FW$15,FW26*INDEX($T$20:$T$91,$FJ27-FW$19)^2/INDEX($U$20:$U$91,$FJ27-FW$19))))</f>
        <v/>
      </c>
      <c r="FX27" s="150" t="str">
        <f aca="false">IF(FX$19&gt;$FJ27,"",MAX(0,IF(FX$19=$FJ27,$S27^2*FX$15,FX26*INDEX($T$20:$T$91,$FJ27-FX$19)^2/INDEX($U$20:$U$91,$FJ27-FX$19))))</f>
        <v/>
      </c>
      <c r="FY27" s="150" t="str">
        <f aca="false">IF(FY$19&gt;$FJ27,"",MAX(0,IF(FY$19=$FJ27,$S27^2*FY$15,FY26*INDEX($T$20:$T$91,$FJ27-FY$19)^2/INDEX($U$20:$U$91,$FJ27-FY$19))))</f>
        <v/>
      </c>
      <c r="FZ27" s="150" t="str">
        <f aca="false">IF(FZ$19&gt;$FJ27,"",MAX(0,IF(FZ$19=$FJ27,$S27^2*FZ$15,FZ26*INDEX($T$20:$T$91,$FJ27-FZ$19)^2/INDEX($U$20:$U$91,$FJ27-FZ$19))))</f>
        <v/>
      </c>
      <c r="GA27" s="150" t="str">
        <f aca="false">IF(GA$19&gt;$FJ27,"",MAX(0,IF(GA$19=$FJ27,$S27^2*GA$15,GA26*INDEX($T$20:$T$91,$FJ27-GA$19)^2/INDEX($U$20:$U$91,$FJ27-GA$19))))</f>
        <v/>
      </c>
      <c r="GB27" s="150" t="str">
        <f aca="false">IF(GB$19&gt;$FJ27,"",MAX(0,IF(GB$19=$FJ27,$S27^2*GB$15,GB26*INDEX($T$20:$T$91,$FJ27-GB$19)^2/INDEX($U$20:$U$91,$FJ27-GB$19))))</f>
        <v/>
      </c>
      <c r="GC27" s="150" t="str">
        <f aca="false">IF(GC$19&gt;$FJ27,"",MAX(0,IF(GC$19=$FJ27,$S27^2*GC$15,GC26*INDEX($T$20:$T$91,$FJ27-GC$19)^2/INDEX($U$20:$U$91,$FJ27-GC$19))))</f>
        <v/>
      </c>
      <c r="GD27" s="150" t="str">
        <f aca="false">IF(GD$19&gt;$FJ27,"",MAX(0,IF(GD$19=$FJ27,$S27^2*GD$15,GD26*INDEX($T$20:$T$91,$FJ27-GD$19)^2/INDEX($U$20:$U$91,$FJ27-GD$19))))</f>
        <v/>
      </c>
      <c r="GE27" s="150" t="str">
        <f aca="false">IF(GE$19&gt;$FJ27,"",MAX(0,IF(GE$19=$FJ27,$S27^2*GE$15,GE26*INDEX($T$20:$T$91,$FJ27-GE$19)^2/INDEX($U$20:$U$91,$FJ27-GE$19))))</f>
        <v/>
      </c>
      <c r="GF27" s="150" t="str">
        <f aca="false">IF(GF$19&gt;$FJ27,"",MAX(0,IF(GF$19=$FJ27,$S27^2*GF$15,GF26*INDEX($T$20:$T$91,$FJ27-GF$19)^2/INDEX($U$20:$U$91,$FJ27-GF$19))))</f>
        <v/>
      </c>
      <c r="GG27" s="150" t="str">
        <f aca="false">IF(GG$19&gt;$FJ27,"",MAX(0,IF(GG$19=$FJ27,$S27^2*GG$15,GG26*INDEX($T$20:$T$91,$FJ27-GG$19)^2/INDEX($U$20:$U$91,$FJ27-GG$19))))</f>
        <v/>
      </c>
      <c r="GH27" s="150" t="str">
        <f aca="false">IF(GH$19&gt;$FJ27,"",MAX(0,IF(GH$19=$FJ27,$S27^2*GH$15,GH26*INDEX($T$20:$T$91,$FJ27-GH$19)^2/INDEX($U$20:$U$91,$FJ27-GH$19))))</f>
        <v/>
      </c>
      <c r="GI27" s="150" t="str">
        <f aca="false">IF(GI$19&gt;$FJ27,"",MAX(0,IF(GI$19=$FJ27,$S27^2*GI$15,GI26*INDEX($T$20:$T$91,$FJ27-GI$19)^2/INDEX($U$20:$U$91,$FJ27-GI$19))))</f>
        <v/>
      </c>
      <c r="GJ27" s="150" t="str">
        <f aca="false">IF(GJ$19&gt;$FJ27,"",MAX(0,IF(GJ$19=$FJ27,$S27^2*GJ$15,GJ26*INDEX($T$20:$T$91,$FJ27-GJ$19)^2/INDEX($U$20:$U$91,$FJ27-GJ$19))))</f>
        <v/>
      </c>
      <c r="GK27" s="150" t="str">
        <f aca="false">IF(GK$19&gt;$FJ27,"",MAX(0,IF(GK$19=$FJ27,$S27^2*GK$15,GK26*INDEX($T$20:$T$91,$FJ27-GK$19)^2/INDEX($U$20:$U$91,$FJ27-GK$19))))</f>
        <v/>
      </c>
      <c r="GL27" s="150" t="str">
        <f aca="false">IF(GL$19&gt;$FJ27,"",MAX(0,IF(GL$19=$FJ27,$S27^2*GL$15,GL26*INDEX($T$20:$T$91,$FJ27-GL$19)^2/INDEX($U$20:$U$91,$FJ27-GL$19))))</f>
        <v/>
      </c>
      <c r="GM27" s="150" t="str">
        <f aca="false">IF(GM$19&gt;$FJ27,"",MAX(0,IF(GM$19=$FJ27,$S27^2*GM$15,GM26*INDEX($T$20:$T$91,$FJ27-GM$19)^2/INDEX($U$20:$U$91,$FJ27-GM$19))))</f>
        <v/>
      </c>
      <c r="GN27" s="150" t="str">
        <f aca="false">IF(GN$19&gt;$FJ27,"",MAX(0,IF(GN$19=$FJ27,$S27^2*GN$15,GN26*INDEX($T$20:$T$91,$FJ27-GN$19)^2/INDEX($U$20:$U$91,$FJ27-GN$19))))</f>
        <v/>
      </c>
      <c r="GO27" s="150" t="str">
        <f aca="false">IF(GO$19&gt;$FJ27,"",MAX(0,IF(GO$19=$FJ27,$S27^2*GO$15,GO26*INDEX($T$20:$T$91,$FJ27-GO$19)^2/INDEX($U$20:$U$91,$FJ27-GO$19))))</f>
        <v/>
      </c>
      <c r="GP27" s="150" t="str">
        <f aca="false">IF(GP$19&gt;$FJ27,"",MAX(0,IF(GP$19=$FJ27,$S27^2*GP$15,GP26*INDEX($T$20:$T$91,$FJ27-GP$19)^2/INDEX($U$20:$U$91,$FJ27-GP$19))))</f>
        <v/>
      </c>
      <c r="GQ27" s="150" t="str">
        <f aca="false">IF(GQ$19&gt;$FJ27,"",MAX(0,IF(GQ$19=$FJ27,$S27^2*GQ$15,GQ26*INDEX($T$20:$T$91,$FJ27-GQ$19)^2/INDEX($U$20:$U$91,$FJ27-GQ$19))))</f>
        <v/>
      </c>
      <c r="GR27" s="150" t="str">
        <f aca="false">IF(GR$19&gt;$FJ27,"",MAX(0,IF(GR$19=$FJ27,$S27^2*GR$15,GR26*INDEX($T$20:$T$91,$FJ27-GR$19)^2/INDEX($U$20:$U$91,$FJ27-GR$19))))</f>
        <v/>
      </c>
      <c r="GS27" s="150" t="str">
        <f aca="false">IF(GS$19&gt;$FJ27,"",MAX(0,IF(GS$19=$FJ27,$S27^2*GS$15,GS26*INDEX($T$20:$T$91,$FJ27-GS$19)^2/INDEX($U$20:$U$91,$FJ27-GS$19))))</f>
        <v/>
      </c>
      <c r="GT27" s="150" t="str">
        <f aca="false">IF(GT$19&gt;$FJ27,"",MAX(0,IF(GT$19=$FJ27,$S27^2*GT$15,GT26*INDEX($T$20:$T$91,$FJ27-GT$19)^2/INDEX($U$20:$U$91,$FJ27-GT$19))))</f>
        <v/>
      </c>
      <c r="GU27" s="150" t="str">
        <f aca="false">IF(GU$19&gt;$FJ27,"",MAX(0,IF(GU$19=$FJ27,$S27^2*GU$15,GU26*INDEX($T$20:$T$91,$FJ27-GU$19)^2/INDEX($U$20:$U$91,$FJ27-GU$19))))</f>
        <v/>
      </c>
      <c r="GV27" s="150" t="str">
        <f aca="false">IF(GV$19&gt;$FJ27,"",MAX(0,IF(GV$19=$FJ27,$S27^2*GV$15,GV26*INDEX($T$20:$T$91,$FJ27-GV$19)^2/INDEX($U$20:$U$91,$FJ27-GV$19))))</f>
        <v/>
      </c>
      <c r="GW27" s="150" t="str">
        <f aca="false">IF(GW$19&gt;$FJ27,"",MAX(0,IF(GW$19=$FJ27,$S27^2*GW$15,GW26*INDEX($T$20:$T$91,$FJ27-GW$19)^2/INDEX($U$20:$U$91,$FJ27-GW$19))))</f>
        <v/>
      </c>
      <c r="GX27" s="150" t="str">
        <f aca="false">IF(GX$19&gt;$FJ27,"",MAX(0,IF(GX$19=$FJ27,$S27^2*GX$15,GX26*INDEX($T$20:$T$91,$FJ27-GX$19)^2/INDEX($U$20:$U$91,$FJ27-GX$19))))</f>
        <v/>
      </c>
      <c r="GY27" s="150" t="str">
        <f aca="false">IF(GY$19&gt;$FJ27,"",MAX(0,IF(GY$19=$FJ27,$S27^2*GY$15,GY26*INDEX($T$20:$T$91,$FJ27-GY$19)^2/INDEX($U$20:$U$91,$FJ27-GY$19))))</f>
        <v/>
      </c>
      <c r="GZ27" s="150" t="str">
        <f aca="false">IF(GZ$19&gt;$FJ27,"",MAX(0,IF(GZ$19=$FJ27,$S27^2*GZ$15,GZ26*INDEX($T$20:$T$91,$FJ27-GZ$19)^2/INDEX($U$20:$U$91,$FJ27-GZ$19))))</f>
        <v/>
      </c>
      <c r="HA27" s="150" t="str">
        <f aca="false">IF(HA$19&gt;$FJ27,"",MAX(0,IF(HA$19=$FJ27,$S27^2*HA$15,HA26*INDEX($T$20:$T$91,$FJ27-HA$19)^2/INDEX($U$20:$U$91,$FJ27-HA$19))))</f>
        <v/>
      </c>
      <c r="HB27" s="150" t="str">
        <f aca="false">IF(HB$19&gt;$FJ27,"",MAX(0,IF(HB$19=$FJ27,$S27^2*HB$15,HB26*INDEX($T$20:$T$91,$FJ27-HB$19)^2/INDEX($U$20:$U$91,$FJ27-HB$19))))</f>
        <v/>
      </c>
      <c r="HC27" s="150" t="str">
        <f aca="false">IF(HC$19&gt;$FJ27,"",MAX(0,IF(HC$19=$FJ27,$S27^2*HC$15,HC26*INDEX($T$20:$T$91,$FJ27-HC$19)^2/INDEX($U$20:$U$91,$FJ27-HC$19))))</f>
        <v/>
      </c>
      <c r="HD27" s="150" t="str">
        <f aca="false">IF(HD$19&gt;$FJ27,"",MAX(0,IF(HD$19=$FJ27,$S27^2*HD$15,HD26*INDEX($T$20:$T$91,$FJ27-HD$19)^2/INDEX($U$20:$U$91,$FJ27-HD$19))))</f>
        <v/>
      </c>
      <c r="HE27" s="150" t="str">
        <f aca="false">IF(HE$19&gt;$FJ27,"",MAX(0,IF(HE$19=$FJ27,$S27^2*HE$15,HE26*INDEX($T$20:$T$91,$FJ27-HE$19)^2/INDEX($U$20:$U$91,$FJ27-HE$19))))</f>
        <v/>
      </c>
      <c r="HF27" s="150" t="str">
        <f aca="false">IF(HF$19&gt;$FJ27,"",MAX(0,IF(HF$19=$FJ27,$S27^2*HF$15,HF26*INDEX($T$20:$T$91,$FJ27-HF$19)^2/INDEX($U$20:$U$91,$FJ27-HF$19))))</f>
        <v/>
      </c>
      <c r="HG27" s="150" t="str">
        <f aca="false">IF(HG$19&gt;$FJ27,"",MAX(0,IF(HG$19=$FJ27,$S27^2*HG$15,HG26*INDEX($T$20:$T$91,$FJ27-HG$19)^2/INDEX($U$20:$U$91,$FJ27-HG$19))))</f>
        <v/>
      </c>
      <c r="HH27" s="150" t="str">
        <f aca="false">IF(HH$19&gt;$FJ27,"",MAX(0,IF(HH$19=$FJ27,$S27^2*HH$15,HH26*INDEX($T$20:$T$91,$FJ27-HH$19)^2/INDEX($U$20:$U$91,$FJ27-HH$19))))</f>
        <v/>
      </c>
      <c r="HI27" s="150" t="str">
        <f aca="false">IF(HI$19&gt;$FJ27,"",MAX(0,IF(HI$19=$FJ27,$S27^2*HI$15,HI26*INDEX($T$20:$T$91,$FJ27-HI$19)^2/INDEX($U$20:$U$91,$FJ27-HI$19))))</f>
        <v/>
      </c>
      <c r="HJ27" s="150" t="str">
        <f aca="false">IF(HJ$19&gt;$FJ27,"",MAX(0,IF(HJ$19=$FJ27,$S27^2*HJ$15,HJ26*INDEX($T$20:$T$91,$FJ27-HJ$19)^2/INDEX($U$20:$U$91,$FJ27-HJ$19))))</f>
        <v/>
      </c>
      <c r="HK27" s="150" t="str">
        <f aca="false">IF(HK$19&gt;$FJ27,"",MAX(0,IF(HK$19=$FJ27,$S27^2*HK$15,HK26*INDEX($T$20:$T$91,$FJ27-HK$19)^2/INDEX($U$20:$U$91,$FJ27-HK$19))))</f>
        <v/>
      </c>
      <c r="HL27" s="150" t="str">
        <f aca="false">IF(HL$19&gt;$FJ27,"",MAX(0,IF(HL$19=$FJ27,$S27^2*HL$15,HL26*INDEX($T$20:$T$91,$FJ27-HL$19)^2/INDEX($U$20:$U$91,$FJ27-HL$19))))</f>
        <v/>
      </c>
      <c r="HM27" s="150" t="str">
        <f aca="false">IF(HM$19&gt;$FJ27,"",MAX(0,IF(HM$19=$FJ27,$S27^2*HM$15,HM26*INDEX($T$20:$T$91,$FJ27-HM$19)^2/INDEX($U$20:$U$91,$FJ27-HM$19))))</f>
        <v/>
      </c>
      <c r="HN27" s="150" t="str">
        <f aca="false">IF(HN$19&gt;$FJ27,"",MAX(0,IF(HN$19=$FJ27,$S27^2*HN$15,HN26*INDEX($T$20:$T$91,$FJ27-HN$19)^2/INDEX($U$20:$U$91,$FJ27-HN$19))))</f>
        <v/>
      </c>
      <c r="HO27" s="150" t="str">
        <f aca="false">IF(HO$19&gt;$FJ27,"",MAX(0,IF(HO$19=$FJ27,$S27^2*HO$15,HO26*INDEX($T$20:$T$91,$FJ27-HO$19)^2/INDEX($U$20:$U$91,$FJ27-HO$19))))</f>
        <v/>
      </c>
      <c r="HP27" s="150" t="str">
        <f aca="false">IF(HP$19&gt;$FJ27,"",MAX(0,IF(HP$19=$FJ27,$S27^2*HP$15,HP26*INDEX($T$20:$T$91,$FJ27-HP$19)^2/INDEX($U$20:$U$91,$FJ27-HP$19))))</f>
        <v/>
      </c>
      <c r="HQ27" s="150" t="str">
        <f aca="false">IF(HQ$19&gt;$FJ27,"",MAX(0,IF(HQ$19=$FJ27,$S27^2*HQ$15,HQ26*INDEX($T$20:$T$91,$FJ27-HQ$19)^2/INDEX($U$20:$U$91,$FJ27-HQ$19))))</f>
        <v/>
      </c>
      <c r="HR27" s="150" t="str">
        <f aca="false">IF(HR$19&gt;$FJ27,"",MAX(0,IF(HR$19=$FJ27,$S27^2*HR$15,HR26*INDEX($T$20:$T$91,$FJ27-HR$19)^2/INDEX($U$20:$U$91,$FJ27-HR$19))))</f>
        <v/>
      </c>
      <c r="HS27" s="150" t="str">
        <f aca="false">IF(HS$19&gt;$FJ27,"",MAX(0,IF(HS$19=$FJ27,$S27^2*HS$15,HS26*INDEX($T$20:$T$91,$FJ27-HS$19)^2/INDEX($U$20:$U$91,$FJ27-HS$19))))</f>
        <v/>
      </c>
      <c r="HT27" s="150" t="str">
        <f aca="false">IF(HT$19&gt;$FJ27,"",MAX(0,IF(HT$19=$FJ27,$S27^2*HT$15,HT26*INDEX($T$20:$T$91,$FJ27-HT$19)^2/INDEX($U$20:$U$91,$FJ27-HT$19))))</f>
        <v/>
      </c>
      <c r="HU27" s="150" t="str">
        <f aca="false">IF(HU$19&gt;$FJ27,"",MAX(0,IF(HU$19=$FJ27,$S27^2*HU$15,HU26*INDEX($T$20:$T$91,$FJ27-HU$19)^2/INDEX($U$20:$U$91,$FJ27-HU$19))))</f>
        <v/>
      </c>
      <c r="HV27" s="150" t="str">
        <f aca="false">IF(HV$19&gt;$FJ27,"",MAX(0,IF(HV$19=$FJ27,$S27^2*HV$15,HV26*INDEX($T$20:$T$91,$FJ27-HV$19)^2/INDEX($U$20:$U$91,$FJ27-HV$19))))</f>
        <v/>
      </c>
      <c r="HW27" s="150" t="str">
        <f aca="false">IF(HW$19&gt;$FJ27,"",MAX(0,IF(HW$19=$FJ27,$S27^2*HW$15,HW26*INDEX($T$20:$T$91,$FJ27-HW$19)^2/INDEX($U$20:$U$91,$FJ27-HW$19))))</f>
        <v/>
      </c>
      <c r="HX27" s="150" t="str">
        <f aca="false">IF(HX$19&gt;$FJ27,"",MAX(0,IF(HX$19=$FJ27,$S27^2*HX$15,HX26*INDEX($T$20:$T$91,$FJ27-HX$19)^2/INDEX($U$20:$U$91,$FJ27-HX$19))))</f>
        <v/>
      </c>
      <c r="HY27" s="150" t="str">
        <f aca="false">IF(HY$19&gt;$FJ27,"",MAX(0,IF(HY$19=$FJ27,$S27^2*HY$15,HY26*INDEX($T$20:$T$91,$FJ27-HY$19)^2/INDEX($U$20:$U$91,$FJ27-HY$19))))</f>
        <v/>
      </c>
      <c r="HZ27" s="150" t="str">
        <f aca="false">IF(HZ$19&gt;$FJ27,"",MAX(0,IF(HZ$19=$FJ27,$S27^2*HZ$15,HZ26*INDEX($T$20:$T$91,$FJ27-HZ$19)^2/INDEX($U$20:$U$91,$FJ27-HZ$19))))</f>
        <v/>
      </c>
      <c r="IA27" s="150" t="str">
        <f aca="false">IF(IA$19&gt;$FJ27,"",MAX(0,IF(IA$19=$FJ27,$S27^2*IA$15,IA26*INDEX($T$20:$T$91,$FJ27-IA$19)^2/INDEX($U$20:$U$91,$FJ27-IA$19))))</f>
        <v/>
      </c>
      <c r="IB27" s="150" t="str">
        <f aca="false">IF(IB$19&gt;$FJ27,"",MAX(0,IF(IB$19=$FJ27,$S27^2*IB$15,IB26*INDEX($T$20:$T$91,$FJ27-IB$19)^2/INDEX($U$20:$U$91,$FJ27-IB$19))))</f>
        <v/>
      </c>
      <c r="IC27" s="150" t="str">
        <f aca="false">IF(IC$19&gt;$FJ27,"",MAX(0,IF(IC$19=$FJ27,$S27^2*IC$15,IC26*INDEX($T$20:$T$91,$FJ27-IC$19)^2/INDEX($U$20:$U$91,$FJ27-IC$19))))</f>
        <v/>
      </c>
      <c r="ID27" s="572" t="str">
        <f aca="false">IF(ID$19&gt;$FJ27,"",MAX(0,IF(ID$19=$FJ27,$S27^2*ID$15,ID26*INDEX($T$20:$T$91,$FJ27-ID$19)^2/INDEX($U$20:$U$91,$FJ27-ID$19))))</f>
        <v/>
      </c>
      <c r="IE27" s="129"/>
    </row>
    <row r="28" customFormat="false" ht="15" hidden="false" customHeight="true" outlineLevel="0" collapsed="false">
      <c r="A28" s="76"/>
      <c r="B28" s="611" t="s">
        <v>235</v>
      </c>
      <c r="C28" s="606" t="s">
        <v>51</v>
      </c>
      <c r="D28" s="607" t="n">
        <v>0</v>
      </c>
      <c r="E28" s="608" t="n">
        <v>0</v>
      </c>
      <c r="F28" s="612" t="s">
        <v>106</v>
      </c>
      <c r="G28" s="613" t="e">
        <f aca="false">EURO(SwaptionUnderlyingPrice,SwaptionStrike,0,0,E29+BN8,B26-DateToday+1,IF(SwaptionType=1,1,0),1)+IF(OR(VolSkewFlag=2,ABS(BN7)&lt;0.0001),0,IF(BN7&gt;0,-1,1)*EURO(SwaptionUnderlyingPrice,SwaptionStrike,0,0,E29+BN8,B26-DateToday+1,IF(SwaptionType=1,1,0),3)*E33/D33*SwaptionStrike/SwaptionUnderlyingPrice^2*BN9/10%)</f>
        <v>#VALUE!</v>
      </c>
      <c r="H28" s="219" t="n">
        <f aca="false">VLOOKUP(I28,$EJ$20:$EL$54,3)</f>
        <v>0</v>
      </c>
      <c r="I28" s="511" t="n">
        <f aca="false">EOMONTH(I27,0)+1</f>
        <v>37012</v>
      </c>
      <c r="J28" s="512"/>
      <c r="K28" s="513" t="s">
        <v>226</v>
      </c>
      <c r="L28" s="514" t="e">
        <f aca="false">IF(ISNUMBER(K28),J28+K28/100,IF(K28="extra",L27+VLOOKUP(BF28,PriceSpreadTable,2)/12,IF(K28="inter",interpolateprices($K$19:$L$200,ROW(K28)-ROW(FirstPricingMonth)+1),interpolatechanges($J$19:$K$200,ROW(K28)-ROW(FirstPricingMonth)+1))))</f>
        <v>#VALUE!</v>
      </c>
      <c r="M28" s="515"/>
      <c r="N28" s="516" t="n">
        <v>0</v>
      </c>
      <c r="O28" s="515" t="n">
        <f aca="false">M28+N28</f>
        <v>0</v>
      </c>
      <c r="P28" s="512"/>
      <c r="Q28" s="517" t="s">
        <v>226</v>
      </c>
      <c r="R28" s="512" t="e">
        <f aca="false">IF(ISNUMBER(Q28),P28+Q28/100,IF(Q28="extra",(Z26*AL26-R27*AM26)/AN26,IF(Q28="inter",interpolateprices($Q$19:$R$260,ROW(Q28)-ROW(FirstPricingMonth)+1),interpolatechanges($P$19:$Q$260,ROW(Q28)-ROW(FirstPricingMonth)+1))))</f>
        <v>#VALUE!</v>
      </c>
      <c r="S28" s="597" t="n">
        <f aca="false">S$19+(S27-S$19)*S$18</f>
        <v>0.36533935546875</v>
      </c>
      <c r="T28" s="575" t="n">
        <f aca="false">SQRT((1-(1-T27^2/U27)*T$18)*U28)</f>
        <v>0.966662989075835</v>
      </c>
      <c r="U28" s="576" t="n">
        <f aca="false">1-(1-U27)*U$18</f>
        <v>0.998498306274414</v>
      </c>
      <c r="V28" s="521" t="n">
        <v>0</v>
      </c>
      <c r="W28" s="577" t="n">
        <f aca="false">(J29*AJ28+J30*AK28)/AI28</f>
        <v>0</v>
      </c>
      <c r="X28" s="578" t="e">
        <f aca="false">(L29*AJ28+L30*AK28)/AI28</f>
        <v>#VALUE!</v>
      </c>
      <c r="Y28" s="579" t="n">
        <f aca="false">IF(Q30="extra",W28-AA28,(P29*AM28+P30*AN28)/AL28)</f>
        <v>0</v>
      </c>
      <c r="Z28" s="579" t="e">
        <f aca="false">IF(Q30="extra",X28-AB28,(R29*AM28+R30*AN28)/AL28)</f>
        <v>#VALUE!</v>
      </c>
      <c r="AA28" s="523" t="n">
        <f aca="false">IF(Q30="extra",INDEX(BrentSeasonalityTable,INT((BG28-1)/3)+1)*VLOOKUP(MAX(BF28,$AB$4),PriceSpreadTable,3),W28-Y28)</f>
        <v>0</v>
      </c>
      <c r="AB28" s="524" t="e">
        <f aca="false">IF(Q30="extra",INDEX(BrentSeasonalityTable,INT((BG28-1)/3)+1)*VLOOKUP(MAX(BF28,$AB$4),PriceSpreadTable,3),X28-Z28)</f>
        <v>#VALUE!</v>
      </c>
      <c r="AC28" s="525" t="n">
        <v>37001</v>
      </c>
      <c r="AD28" s="526" t="n">
        <v>36998</v>
      </c>
      <c r="AE28" s="526" t="n">
        <v>36993</v>
      </c>
      <c r="AF28" s="527" t="n">
        <v>36991</v>
      </c>
      <c r="AG28" s="438" t="s">
        <v>224</v>
      </c>
      <c r="AH28" s="439" t="s">
        <v>224</v>
      </c>
      <c r="AI28" s="528" t="n">
        <v>23</v>
      </c>
      <c r="AJ28" s="529" t="n">
        <v>16</v>
      </c>
      <c r="AK28" s="529" t="n">
        <v>7</v>
      </c>
      <c r="AL28" s="530" t="n">
        <v>23</v>
      </c>
      <c r="AM28" s="529" t="n">
        <v>11</v>
      </c>
      <c r="AN28" s="531" t="n">
        <v>12</v>
      </c>
      <c r="AO28" s="532"/>
      <c r="AP28" s="465" t="n">
        <f aca="false">(1+AO28/2)^(-2*BL28)</f>
        <v>1</v>
      </c>
      <c r="AQ28" s="532"/>
      <c r="AR28" s="465" t="n">
        <f aca="false">(1+AQ28/2)^(-2*BH28/365.25)</f>
        <v>1</v>
      </c>
      <c r="AS28" s="580" t="n">
        <f aca="false">(O29*AJ28+O30*AK28)/AI28</f>
        <v>0</v>
      </c>
      <c r="AT28" s="468" t="n">
        <f aca="false">O28*VLOOKUP(BF28,BrentVolTable,2)+VLOOKUP(BF28,BrentVolTable,3)</f>
        <v>0</v>
      </c>
      <c r="AU28" s="468" t="n">
        <f aca="false">(AT29*AM28+AT30*AN28)/AL28</f>
        <v>0</v>
      </c>
      <c r="AV28" s="595" t="n">
        <f aca="false">SQRT(MAX(0.000000000001,(O28^2*BH28-S28^2*(BH28-BH27))/BH27))</f>
        <v>0.0221717219391994</v>
      </c>
      <c r="AW28" s="451" t="n">
        <f aca="false">IF($I28-DateToday+15&gt;=$T$8,"",IF($I28-DateToday+15&lt;$T$5,1,MATCH($I28-DateToday+15,$T$5:$T$8)))</f>
        <v>1</v>
      </c>
      <c r="AX28" s="468" t="n">
        <f aca="false">IF($AW28="",AX27^2/AX26,INDEX(U$5:U$8,$AW28)^((INDEX($T$5:$T$8,$AW28+1)-($I28-DateToday+15))/(INDEX($T$5:$T$8,$AW28+1)-INDEX($T$5:$T$8,$AW28)))/INDEX(U$5:U$8,$AW28+1)^((INDEX($T$5:$T$8,$AW28)-($I28-DateToday+15))/(INDEX($T$5:$T$8,$AW28+1)-INDEX($T$5:$T$8,$AW28))))</f>
        <v>10.5881694686336</v>
      </c>
      <c r="AY28" s="468" t="n">
        <f aca="false">IF($AW28="",AY27^2/AY26,INDEX(V$5:V$8,$AW28)^((INDEX($T$5:$T$8,$AW28+1)-($I28-DateToday+15))/(INDEX($T$5:$T$8,$AW28+1)-INDEX($T$5:$T$8,$AW28)))/INDEX(V$5:V$8,$AW28+1)^((INDEX($T$5:$T$8,$AW28)-($I28-DateToday+15))/(INDEX($T$5:$T$8,$AW28+1)-INDEX($T$5:$T$8,$AW28))))</f>
        <v>3732.79550579904</v>
      </c>
      <c r="AZ28" s="468" t="n">
        <f aca="false">IF($AW28="",AZ27^2/AZ26,INDEX(W$5:W$8,$AW28)^((INDEX($T$5:$T$8,$AW28+1)-($I28-DateToday+15))/(INDEX($T$5:$T$8,$AW28+1)-INDEX($T$5:$T$8,$AW28)))/INDEX(W$5:W$8,$AW28+1)^((INDEX($T$5:$T$8,$AW28)-($I28-DateToday+15))/(INDEX($T$5:$T$8,$AW28+1)-INDEX($T$5:$T$8,$AW28))))</f>
        <v>364172314.883981</v>
      </c>
      <c r="BA28" s="468" t="n">
        <f aca="false">IF($AW28="",BA27^2/BA26,INDEX(X$5:X$8,$AW28)^((INDEX($T$5:$T$8,$AW28+1)-($I28-DateToday+15))/(INDEX($T$5:$T$8,$AW28+1)-INDEX($T$5:$T$8,$AW28)))/INDEX(X$5:X$8,$AW28+1)^((INDEX($T$5:$T$8,$AW28)-($I28-DateToday+15))/(INDEX($T$5:$T$8,$AW28+1)-INDEX($T$5:$T$8,$AW28))))</f>
        <v>40165814435.1685</v>
      </c>
      <c r="BB28" s="468" t="n">
        <f aca="false">IF($AW28="",BB27^2/BB26,INDEX(Y$5:Y$8,$AW28)^((INDEX($T$5:$T$8,$AW28+1)-($I28-DateToday+15))/(INDEX($T$5:$T$8,$AW28+1)-INDEX($T$5:$T$8,$AW28)))/INDEX(Y$5:Y$8,$AW28+1)^((INDEX($T$5:$T$8,$AW28)-($I28-DateToday+15))/(INDEX($T$5:$T$8,$AW28+1)-INDEX($T$5:$T$8,$AW28))))</f>
        <v>1026391284978.59</v>
      </c>
      <c r="BC28" s="468" t="n">
        <f aca="false">IF($AW28="",BC27^2/BC26,INDEX(Z$5:Z$8,$AW28)^((INDEX($T$5:$T$8,$AW28+1)-($I28-DateToday+15))/(INDEX($T$5:$T$8,$AW28+1)-INDEX($T$5:$T$8,$AW28)))/INDEX(Z$5:Z$8,$AW28+1)^((INDEX($T$5:$T$8,$AW28)-($I28-DateToday+15))/(INDEX($T$5:$T$8,$AW28+1)-INDEX($T$5:$T$8,$AW28))))</f>
        <v>7058848065077.15</v>
      </c>
      <c r="BD28" s="535" t="n">
        <f aca="false">IF(OR(DateStart&gt;=I29,DateEnd&lt;I28),0,IF(VolumeOverrideFlag,V28,Volume))</f>
        <v>30</v>
      </c>
      <c r="BE28" s="536" t="n">
        <f aca="false">IF(OR(DateStart2&gt;=I29,DateEnd2&lt;I28),0,IF(VolumeOverrideFlag,V28,VolumeSwaption))</f>
        <v>30</v>
      </c>
      <c r="BF28" s="537" t="n">
        <f aca="false">YEAR(I28)</f>
        <v>2001</v>
      </c>
      <c r="BG28" s="538" t="n">
        <f aca="false">MONTH(I28)</f>
        <v>5</v>
      </c>
      <c r="BH28" s="539" t="n">
        <f aca="false">AD28-DateToday+1</f>
        <v>-8927</v>
      </c>
      <c r="BI28" s="540" t="n">
        <f aca="false">(I28-DateToday+1)/365.25</f>
        <v>-24.4024640657084</v>
      </c>
      <c r="BJ28" s="541" t="n">
        <f aca="false">BI28+(BL28-BI28)*CHOOSE(Underlying,AJ28/AI28,AM28/AL28)</f>
        <v>-24.3453263101509</v>
      </c>
      <c r="BK28" s="541" t="n">
        <f aca="false">BJ28+1/365.25</f>
        <v>-24.3425884593637</v>
      </c>
      <c r="BL28" s="541" t="n">
        <f aca="false">(I29-DateToday)/365.25</f>
        <v>-24.3203285420945</v>
      </c>
      <c r="BM28" s="542" t="e">
        <f aca="false">MAX(BI28-(BJ28-BI28)*(S29^2/O29^2-1),0)</f>
        <v>#DIV/0!</v>
      </c>
      <c r="BN28" s="541" t="e">
        <f aca="false">MAX(BL28+(BL28-BK28)*(S30^2/O30^2-1),0)</f>
        <v>#DIV/0!</v>
      </c>
      <c r="BO28" s="530" t="n">
        <f aca="false">CHOOSE(Underlying,AI28,AL28)</f>
        <v>23</v>
      </c>
      <c r="BP28" s="529" t="n">
        <f aca="false">CHOOSE(Underlying,AJ28,AM28)</f>
        <v>16</v>
      </c>
      <c r="BQ28" s="529" t="n">
        <f aca="false">CHOOSE(Underlying,AK28,AN28)</f>
        <v>7</v>
      </c>
      <c r="BR28" s="463" t="e">
        <f aca="false">IF(BD28,IF(Underlying=1,X28,Z28)+UnderlyingPriceAsian-SwapPriceCurve,"")</f>
        <v>#VALUE!</v>
      </c>
      <c r="BS28" s="463" t="e">
        <f aca="false">IF(BD28,Strike1/BR28-1,"")</f>
        <v>#VALUE!</v>
      </c>
      <c r="BT28" s="464" t="e">
        <f aca="false">IF(BD28,Strike2/BR28-1,"")</f>
        <v>#VALUE!</v>
      </c>
      <c r="BU28" s="465" t="e">
        <f aca="false">IF(BD28,IF(Underlying=1,L29,R29)+UnderlyingPriceAsian-SwapPriceCurve,"")</f>
        <v>#VALUE!</v>
      </c>
      <c r="BV28" s="465" t="e">
        <f aca="false">IF(BD28,IF(Underlying=1,L30,R30)+UnderlyingPriceAsian-SwapPriceCurve,"")</f>
        <v>#VALUE!</v>
      </c>
      <c r="BW28" s="466" t="n">
        <f aca="false">IF(BD28,IF(Underlying=1,O29,AT29),"")</f>
        <v>0</v>
      </c>
      <c r="BX28" s="467" t="n">
        <f aca="false">IF(BD28,IF(Underlying=1,O30,AT30),"")</f>
        <v>0</v>
      </c>
      <c r="BY28" s="466" t="e">
        <f aca="false">IF(BD28,IF(BS28&gt;0,IF(BS28&gt;0.2,BC28-BB28,IF(BS28&gt;0.1,BB28-BA28,BA28)),IF(BS28&lt;-0.2,AX28-AY28,IF(BS28&lt;-0.1,AY28-AZ28,AZ28))),"")</f>
        <v>#VALUE!</v>
      </c>
      <c r="BZ28" s="467" t="e">
        <f aca="false">IF(BD28,IF(BT28&gt;0,IF(BT28&gt;0.2,BC28-BB28,IF(BT28&gt;0.1,BB28-BA28,BA28)),IF(BT28&lt;-0.2,AX28-AY28,IF(BT28&lt;-0.1,AY28-AZ28,AZ28))),"")</f>
        <v>#VALUE!</v>
      </c>
      <c r="CA28" s="468" t="e">
        <f aca="false">IF($BD28,$BW28+IF(VolSkewFlag=1,IF(BS28&gt;0,$BA28*MIN(BS28/10%,1)+($BB28-$BA28)*MAX(0,MIN(BS28/10%-1,1))+($BC28-$BB28)*MAX(0,BS28/10%-2),$AZ28*MIN(-BS28/10%,1)+($AY28-$AZ28)*MAX(0,MIN(-BS28/10%-1,1))+($AX28-$AY28)*MAX(0,-BS28/10%-2)),0),"")</f>
        <v>#VALUE!</v>
      </c>
      <c r="CB28" s="468" t="e">
        <f aca="false">IF($BD28,$BX28+IF(VolSkewFlag=1,IF(BS28&gt;0,$BA28*MIN(BS28/10%,1)+($BB28-$BA28)*MAX(0,MIN(BS28/10%-1,1))+($BC28-$BB28)*MAX(0,BS28/10%-2),$AZ28*MIN(-BS28/10%,1)+($AY28-$AZ28)*MAX(0,MIN(-BS28/10%-1,1))+($AX28-$AY28)*MAX(0,-BS28/10%-2)),0),"")</f>
        <v>#VALUE!</v>
      </c>
      <c r="CC28" s="468" t="e">
        <f aca="false">IF($BD28,$BW28+IF(VolSkewFlag=1,IF(BT28&gt;0,$BA28*MIN(BT28/10%,1)+($BB28-$BA28)*MAX(0,MIN(BT28/10%-1,1))+($BC28-$BB28)*MAX(0,BT28/10%-2),$AZ28*MIN(-BT28/10%,1)+($AY28-$AZ28)*MAX(0,MIN(-BT28/10%-1,1))+($AX28-$AY28)*MAX(0,-BT28/10%-2)),0),"")</f>
        <v>#VALUE!</v>
      </c>
      <c r="CD28" s="468" t="e">
        <f aca="false">IF($BD28,$BX28+IF(VolSkewFlag=1,IF(BT28&gt;0,$BA28*MIN(BT28/10%,1)+($BB28-$BA28)*MAX(0,MIN(BT28/10%-1,1))+($BC28-$BB28)*MAX(0,BT28/10%-2),$AZ28*MIN(-BT28/10%,1)+($AY28-$AZ28)*MAX(0,MIN(-BT28/10%-1,1))+($AX28-$AY28)*MAX(0,-BT28/10%-2)),0),"")</f>
        <v>#VALUE!</v>
      </c>
      <c r="CE28" s="469" t="n">
        <v>1</v>
      </c>
      <c r="CF28" s="470" t="e">
        <f aca="false">IF(BD28,xCrudeAPO(BU28,BV28,CA28,CB28,S29,S30,BI28,BL28,BP28,BQ28,0,Strike1,AO28,CE28,0,BL28,IF(OptControl=4,0,1),0,1),0)</f>
        <v>#NAME?</v>
      </c>
      <c r="CG28" s="470" t="e">
        <f aca="false">IF(BD28,xCrudeAPO(BU28,BV28,CA28,CB28,S29,S30,BI28,BL28,BP28,BQ28,0,Strike1,AO28,CE28,0,BL28,IF(OptControl=4,0,1),1,1)+xCrudeAPO(BU28,BV28,CA28,CB28,S29,S30,BI28,BL28,BP28,BQ28,0,Strike1,AO28,CE28,0,BL28,IF(OptControl=4,0,1),1,2)+IF(OR(VolSkewFlag=2,ABS(BS28)&lt;0.0001),0,IF(BS28&gt;0,-1,1)*CH28*Strike1/BR28^2*BY28/10%),0)</f>
        <v>#NAME?</v>
      </c>
      <c r="CH28" s="470" t="e">
        <f aca="false">IF(BD28,(xCrudeAPO(BU28,BV28,CA28,CB28,S29,S30,BI28,BL28,BP28,BQ28,0,Strike1,AO28,CE28,0,BL28,IF(OptControl=4,0,1),3,1)+xCrudeAPO(BU28,BV28,CA28,CB28,S29,S30,BI28,BL28,BP28,BQ28,0,Strike1,AO28,CE28,0,BL28,IF(OptControl=4,0,1),3,2))/100,0)</f>
        <v>#NAME?</v>
      </c>
      <c r="CI28" s="470" t="e">
        <f aca="false">IF(BD28,xCrudeAPO(BU28,BV28,CA28,CB28,S29,S30,BI28-DaysForThetaCalculation/365.25,BL28-DaysForThetaCalculation/365.25,BP28,BQ28,0,Strike1,AO28,CE28,0,BL28,IF(OptControl=4,0,1),0,1)-xCrudeAPO(BU28,BV28,CA28,CB28,S29,S30,BI28,BL28,BP28,BQ28,0,Strike1,AO28,CE28,0,BL28,IF(OptControl=4,0,1),0,1),0)</f>
        <v>#NAME?</v>
      </c>
      <c r="CJ28" s="471" t="e">
        <f aca="false">IF(BD28,xCrudeAPO(BU28,BV28,CC28,CD28,S29,S30,BI28,BL28,BP28,BQ28,0,Strike2,AO28,CE28,0,BL28,IF(OptControl=3,1,0),0,1),0)</f>
        <v>#NAME?</v>
      </c>
      <c r="CK28" s="470" t="e">
        <f aca="false">IF(BD28,xCrudeAPO(BU28,BV28,CC28,CD28,S29,S30,BI28,BL28,BP28,BQ28,0,Strike2,AO28,CE28,0,BL28,IF(OptControl=3,1,0),1,1)+xCrudeAPO(BU28,BV28,CC28,CD28,S29,S30,BI28,BL28,BP28,BQ28,0,Strike2,AO28,CE28,0,BL28,IF(OptControl=3,1,0),1,2)+IF(OR(VolSkewFlag=2,ABS(BT28)&lt;0.0001),0,IF(BT28&gt;0,-1,1)*CL28*Strike2/BR28^2*BZ28/10%),0)</f>
        <v>#NAME?</v>
      </c>
      <c r="CL28" s="470" t="e">
        <f aca="false">IF(BD28,(xCrudeAPO(BU28,BV28,CC28,CD28,S29,S30,BI28,BL28,BP28,BQ28,0,Strike2,AO28,CE28,0,BL28,IF(OptControl=3,1,0),3,1)+xCrudeAPO(BU28,BV28,CC28,CD28,S29,S30,BI28,BL28,BP28,BQ28,0,Strike2,AO28,CE28,0,BL28,IF(OptControl=3,1,0),3,2))/100,0)</f>
        <v>#NAME?</v>
      </c>
      <c r="CM28" s="472" t="e">
        <f aca="false">IF(BD28,xCrudeAPO(BU28,BV28,CC28,CD28,S29,S30,BI28-DaysForThetaCalculation/365.25,BL28-DaysForThetaCalculation/365.25,BP28,BQ28,0,Strike2,AO28,CE28,0,BL28,IF(OptControl=3,1,0),0,1)-xCrudeAPO(BU28,BV28,CC28,CD28,S29,S30,BI28,BL28,BP28,BQ28,0,Strike2,AO28,CE28,0,BL28,IF(OptControl=3,1,0),0,1),0)</f>
        <v>#NAME?</v>
      </c>
      <c r="CN28" s="473"/>
      <c r="CO28" s="543" t="n">
        <f aca="false">IF(BD28,CHOOSE(Underlying,AD28,AF28)-DateToday+1,"")</f>
        <v>-8927</v>
      </c>
      <c r="CP28" s="582" t="e">
        <f aca="false">IF(BD28,CHOOSE(Underlying,L28,R28),"")</f>
        <v>#VALUE!</v>
      </c>
      <c r="CQ28" s="544" t="e">
        <f aca="false">IF(BD28,Strike1/CP28-1,"")</f>
        <v>#VALUE!</v>
      </c>
      <c r="CR28" s="544" t="e">
        <f aca="false">IF(BD28,Strike2/CP28-1,"")</f>
        <v>#VALUE!</v>
      </c>
      <c r="CS28" s="544" t="e">
        <f aca="false">IF(BD28,IF(CQ28&gt;0,IF(CQ28&gt;0.2,BC27-BB27,IF(CQ28&gt;0.1,BB27-BA27,BA27)),IF(CQ28&lt;-0.2,AX27-AY27,IF(CQ28&lt;-0.1,AY27-AZ27,AZ27))),"")</f>
        <v>#VALUE!</v>
      </c>
      <c r="CT28" s="544" t="e">
        <f aca="false">IF(BD28,IF(CR28&gt;0,IF(CR28&gt;0.2,BC27-BB27,IF(CR28&gt;0.1,BB27-BA27,BA27)),IF(CR28&lt;-0.2,AX27-AY27,IF(CR28&lt;-0.1,AY27-AZ27,AZ27))),"")</f>
        <v>#VALUE!</v>
      </c>
      <c r="CU28" s="545" t="n">
        <f aca="false">IF(BD28,CHOOSE(Underlying,O28,AT28),"")</f>
        <v>0</v>
      </c>
      <c r="CV28" s="545" t="e">
        <f aca="false">IF(BD28,CU28+IF(VolSkewFlag=1,IF(CQ28&gt;0,BA27*MIN(CQ28/10%,1)+(BB27-BA27)*MAX(0,MIN(CQ28/10%-1,1))+(BC27-BB27)*MAX(0,CQ28/10%-2),AZ27*MIN(-CQ28/10%,1)+(AY27-AZ27)*MAX(0,MIN(-CQ28/10%-1,1))+(AX27-AY27)*MAX(0,-CQ28/10%-2)),0),"")</f>
        <v>#VALUE!</v>
      </c>
      <c r="CW28" s="545" t="e">
        <f aca="false">IF(BD28,CU28+IF(VolSkewFlag=1,IF(CR28&gt;0,BA27*MIN(CR28/10%,1)+(BB27-BA27)*MAX(0,MIN(CR28/10%-1,1))+(BC27-BB27)*MAX(0,CR28/10%-2),AZ27*MIN(-CR28/10%,1)+(AY27-AZ27)*MAX(0,MIN(-CR28/10%-1,1))+(AX27-AY27)*MAX(0,-CR28/10%-2)),0),"")</f>
        <v>#VALUE!</v>
      </c>
      <c r="CX28" s="470" t="e">
        <f aca="false">IF(BD28,EURO(CP28,Strike1,AO28,AO28,CV28,CO28,IF(OptControl=4,0,1),0),0)</f>
        <v>#NAME?</v>
      </c>
      <c r="CY28" s="470" t="e">
        <f aca="false">IF(BD28,EURO(CP28,Strike1,AO28,AO28,CV28,CO28,IF(OptControl=4,0,1),1)+IF(OR(VolSkewFlag=2,ABS(CQ28)&lt;0.0001),0,IF(CQ28&gt;0,-1,1)*CZ28*100*Strike1/CP28^2*CS28/10%),0)</f>
        <v>#NAME?</v>
      </c>
      <c r="CZ28" s="470" t="e">
        <f aca="false">IF(BD28,EURO(CP28,Strike1,AO28,AO28,CV28,CO28,IF(OptControl=4,0,1),3)/100,0)</f>
        <v>#NAME?</v>
      </c>
      <c r="DA28" s="470" t="e">
        <f aca="false">IF(BD28,EURO(CP28,Strike1,AO28,AO28,CV28,CO28,IF(OptControl=4,0,1),0)-EURO(CP28,Strike1,AO28,AO28,CV28,CO28-1,IF(OptControl=4,0,1),0),0)</f>
        <v>#NAME?</v>
      </c>
      <c r="DB28" s="470" t="e">
        <f aca="false">IF(BD28,EURO(CP28,Strike2,AO28,AO28,CW28,CO28,IF(OptControl=3,1,0),0),0)</f>
        <v>#NAME?</v>
      </c>
      <c r="DC28" s="470" t="e">
        <f aca="false">IF(BD28,EURO(CP28,Strike2,AO28,AO28,CW28,CO28,IF(OptControl=3,1,0),1)+IF(OR(VolSkewFlag=2,ABS(CR28)&lt;0.0001),0,IF(CR28&gt;0,-1,1)*DD28*100*Strike2/CP28^2*CT28/10%),0)</f>
        <v>#NAME?</v>
      </c>
      <c r="DD28" s="470" t="e">
        <f aca="false">IF(BD28,EURO(CP28,Strike2,AO28,AO28,CW28,CO28,IF(OptControl=3,1,0),3)/100,0)</f>
        <v>#NAME?</v>
      </c>
      <c r="DE28" s="472" t="e">
        <f aca="false">IF(BD28,EURO(CP28,Strike2,AO28,AO28,CW28,CO28,IF(OptControl=3,1,0),0)-EURO(CP28,Strike2,AO28,AO28,CW28,CO28-1,IF(OptControl=3,1,0),0),0)</f>
        <v>#NAME?</v>
      </c>
      <c r="DF28" s="473"/>
      <c r="DG28" s="481" t="n">
        <f aca="false">EOMONTH(DG27,0)+1</f>
        <v>45931</v>
      </c>
      <c r="DH28" s="478" t="n">
        <v>24.94</v>
      </c>
      <c r="DI28" s="479" t="n">
        <v>24.3431818181818</v>
      </c>
      <c r="DJ28" s="480" t="n">
        <f aca="false">DG28</f>
        <v>45931</v>
      </c>
      <c r="DK28" s="478" t="n">
        <v>23.49</v>
      </c>
      <c r="DL28" s="479" t="n">
        <v>22.9181818181818</v>
      </c>
      <c r="DM28" s="481" t="n">
        <f aca="false">DG28</f>
        <v>45931</v>
      </c>
      <c r="DN28" s="482" t="n">
        <f aca="false">DK28+BrentPhyBrentSpread</f>
        <v>23.54</v>
      </c>
      <c r="DO28" s="481" t="n">
        <f aca="false">DG28</f>
        <v>45931</v>
      </c>
      <c r="DP28" s="483" t="n">
        <f aca="false">DL28+DQ28</f>
        <v>23.2681818181818</v>
      </c>
      <c r="DQ28" s="546" t="n">
        <v>0.35</v>
      </c>
      <c r="DR28" s="480" t="n">
        <f aca="false">DG28</f>
        <v>45931</v>
      </c>
      <c r="DS28" s="485" t="n">
        <v>0.28535</v>
      </c>
      <c r="DT28" s="486" t="n">
        <v>0.275355365339805</v>
      </c>
      <c r="DU28" s="480" t="n">
        <f aca="false">DG28</f>
        <v>45931</v>
      </c>
      <c r="DV28" s="485" t="n">
        <v>0.28535</v>
      </c>
      <c r="DW28" s="486" t="n">
        <v>0.275355365339805</v>
      </c>
      <c r="DX28" s="481" t="n">
        <f aca="false">DG28</f>
        <v>45931</v>
      </c>
      <c r="DY28" s="486" t="n">
        <v>0.350625</v>
      </c>
      <c r="DZ28" s="481" t="n">
        <f aca="false">DR28</f>
        <v>45931</v>
      </c>
      <c r="EA28" s="486" t="n">
        <f aca="false">DT28</f>
        <v>0.275355365339805</v>
      </c>
      <c r="EB28" s="195"/>
      <c r="EC28" s="547" t="n">
        <f aca="false">IF(BD28,IF(Underlying=1,AS28,AU28),"")</f>
        <v>0</v>
      </c>
      <c r="ED28" s="548" t="e">
        <f aca="false">IF($BD28,$EC28+IF(VolSkewFlag=1,IF(BS28&gt;0,$BA28*MIN(BS28/10%,1)+($BB28-$BA28)*MAX(0,MIN(BS28/10%-1,1))+($BC28-$BB28)*MAX(0,BS28/10%-2),$AZ28*MIN(-BS28/10%,1)+($AY28-$AZ28)*MAX(0,MIN(-BS28/10%-1,1))+($AX28-$AY28)*MAX(0,-BS28/10%-2)),0),"")</f>
        <v>#VALUE!</v>
      </c>
      <c r="EE28" s="549" t="e">
        <f aca="false">IF($BD28,$EC28+IF(VolSkewFlag=1,IF(BT28&gt;0,$BA28*MIN(BT28/10%,1)+($BB28-$BA28)*MAX(0,MIN(BT28/10%-1,1))+($BC28-$BB28)*MAX(0,BT28/10%-2),$AZ28*MIN(-BT28/10%,1)+($AY28-$AZ28)*MAX(0,MIN(-BT28/10%-1,1))+($AX28-$AY28)*MAX(0,-BT28/10%-2)),0),"")</f>
        <v>#VALUE!</v>
      </c>
      <c r="EF28" s="550" t="e">
        <f aca="false">IF(BD28,xASN(BR28,Strike1,AO28,ED28,0,BO28,0,BI28,BL28,IF(OptControl=4,0,1),0),0)</f>
        <v>#NAME?</v>
      </c>
      <c r="EG28" s="551" t="e">
        <f aca="false">IF(BD28,xASN(BR28,Strike2,AO28,EE28,0,BO28,0,BI28,BL28,IF(OptControl=3,1,0),0),0)</f>
        <v>#NAME?</v>
      </c>
      <c r="EI28" s="583" t="str">
        <f aca="false">DDE("TWINDDE","RSFRecord","CLc9 MTH")</f>
        <v>MAY1</v>
      </c>
      <c r="EJ28" s="584" t="n">
        <f aca="false">DATEVALUE(CONCATENATE(LEFT(EI28,3),"-",IF(VALUE(RIGHT(EI28,1))=9,"1999",CONCATENATE("200",RIGHT(EI28,1)))))</f>
        <v>37012</v>
      </c>
      <c r="EK28" s="585" t="n">
        <f aca="false">DDE("TWINDDE","RSFRecord","CLc9 NET.CHNG")</f>
        <v>0</v>
      </c>
      <c r="EL28" s="586" t="n">
        <f aca="false">IF(ISNUMBER(VALUE(EK28)),VALUE(EK28)*100,0)</f>
        <v>0</v>
      </c>
      <c r="EM28" s="195"/>
      <c r="EN28" s="556" t="n">
        <v>36711</v>
      </c>
      <c r="EO28" s="557" t="n">
        <v>37987</v>
      </c>
      <c r="EP28" s="195"/>
      <c r="EQ28" s="407" t="s">
        <v>236</v>
      </c>
      <c r="ES28" s="587" t="n">
        <v>9</v>
      </c>
      <c r="ET28" s="559" t="n">
        <f aca="false">BH28/365.25</f>
        <v>-24.4407939767283</v>
      </c>
      <c r="EU28" s="560" t="n">
        <f aca="false">O28^2*ET28</f>
        <v>-0</v>
      </c>
      <c r="EV28" s="588" t="e">
        <f aca="false">SQRT(SUM(FK28:ID28)/ET28)</f>
        <v>#VALUE!</v>
      </c>
      <c r="EW28" s="589" t="n">
        <f aca="false">IF(OR(DateStart2&gt;I27,DateEnd2&lt;I26),"",IF(DateStart2&lt;I27,AK26/AI26*AP26*BE26*SwaptionNumOfMonths/$D$33,0)+IF(DateEnd2&gt;I26,AJ27/AI27*AP27*BE27*SwaptionNumOfMonths/$D$33,0))</f>
        <v>1.07792207792208</v>
      </c>
      <c r="EX28" s="590" t="e">
        <f aca="false">IF(EW28="","",SQRT(SUM(FK333:ID333)/SwaptionYearsToExp))</f>
        <v>#VALUE!</v>
      </c>
      <c r="EY28" s="129" t="n">
        <v>0</v>
      </c>
      <c r="EZ28" s="591" t="n">
        <f aca="false">IF(OR(EW28="",EW29=""),"",SQRT(SUM(INDEX(FK28:ID28,SwaptionFirstMonthPosition+1):INDEX(FK28:ID28,FJ28))/SUM(INDEX($FK$15:$ID$15,SwaptionFirstMonthPosition+1):INDEX($FK$15:$ID$15,FJ28))))</f>
        <v>0.31497089447486</v>
      </c>
      <c r="FA28" s="592" t="n">
        <f aca="false">IF(OR(EW28="",EW27=""),"",SQRT(SUM(INDEX(FK28:ID28,SwaptionFirstMonthPosition+1):INDEX(FK28:ID28,FJ28-1))/SUM(INDEX($FK$15:$ID$15,SwaptionFirstMonthPosition+1):INDEX($FK$15:$ID$15,FJ28-1))))</f>
        <v>0.294585245928894</v>
      </c>
      <c r="FB28" s="593" t="n">
        <f aca="false">IF(BE28,2/3*EZ29+1/3*FA30,"")</f>
        <v>0.291753401374254</v>
      </c>
      <c r="FC28" s="596" t="n">
        <f aca="false">IF(BE28,(I29+I28-1)/2-DateToday,"")</f>
        <v>-8899</v>
      </c>
      <c r="FD28" s="483" t="e">
        <f aca="false">IF(BE28,CHOOSE(Underlying,X28,Z28)+SwaptionUnderlyingPrice-$D$26,"")</f>
        <v>#VALUE!</v>
      </c>
      <c r="FE28" s="483" t="e">
        <f aca="false">IF(BE28,CollartionFloor/FD28-1,"")</f>
        <v>#VALUE!</v>
      </c>
      <c r="FF28" s="483" t="e">
        <f aca="false">IF(BE28,CollartionCap/FD28-1,"")</f>
        <v>#VALUE!</v>
      </c>
      <c r="FG28" s="485" t="e">
        <f aca="false">IF(BE28,IF(VolSkewFlag=1,IF(FE28&gt;0,$BA28*MIN(FE28/10%,1)+($BB28-$BA28)*MAX(0,MIN(FE28/10%-1,1))+($BC28-$BB28)*MAX(0,FE28/10%-2),$AZ28*MIN(-FE28/10%,1)+($AY28-$AZ28)*MAX(0,MIN(-FE28/10%-1,1))+($AX28-$AY28)*MAX(0,-FE28/10%-2)),0),"")</f>
        <v>#VALUE!</v>
      </c>
      <c r="FH28" s="486" t="e">
        <f aca="false">IF(BE28,IF(VolSkewFlag=1,IF(FF28&gt;0,$BA28*MIN(FF28/10%,1)+($BB28-$BA28)*MAX(0,MIN(FF28/10%-1,1))+($BC28-$BB28)*MAX(0,FF28/10%-2),$AZ28*MIN(-FF28/10%,1)+($AY28-$AZ28)*MAX(0,MIN(-FF28/10%-1,1))+($AX28-$AY28)*MAX(0,-FF28/10%-2)),0),"")</f>
        <v>#VALUE!</v>
      </c>
      <c r="FI28" s="129"/>
      <c r="FJ28" s="571" t="n">
        <v>9</v>
      </c>
      <c r="FK28" s="150" t="n">
        <f aca="false">IF(FK$19&gt;$FJ28,"",MAX(0,IF(FK$19=$FJ28,$S28^2*FK$15,FK27*INDEX($T$20:$T$91,$FJ28-FK$19)^2/INDEX($U$20:$U$91,$FJ28-FK$19))))</f>
        <v>0</v>
      </c>
      <c r="FL28" s="150" t="n">
        <f aca="false">IF(FL$19&gt;$FJ28,"",MAX(0,IF(FL$19=$FJ28,$S28^2*FL$15,FL27*INDEX($T$20:$T$91,$FJ28-FL$19)^2/INDEX($U$20:$U$91,$FJ28-FL$19))))</f>
        <v>0</v>
      </c>
      <c r="FM28" s="150" t="n">
        <f aca="false">IF(FM$19&gt;$FJ28,"",MAX(0,IF(FM$19=$FJ28,$S28^2*FM$15,FM27*INDEX($T$20:$T$91,$FJ28-FM$19)^2/INDEX($U$20:$U$91,$FJ28-FM$19))))</f>
        <v>0.00473528358168956</v>
      </c>
      <c r="FN28" s="150" t="n">
        <f aca="false">IF(FN$19&gt;$FJ28,"",MAX(0,IF(FN$19=$FJ28,$S28^2*FN$15,FN27*INDEX($T$20:$T$91,$FJ28-FN$19)^2/INDEX($U$20:$U$91,$FJ28-FN$19))))</f>
        <v>0.0044414479087396</v>
      </c>
      <c r="FO28" s="150" t="n">
        <f aca="false">IF(FO$19&gt;$FJ28,"",MAX(0,IF(FO$19=$FJ28,$S28^2*FO$15,FO27*INDEX($T$20:$T$91,$FJ28-FO$19)^2/INDEX($U$20:$U$91,$FJ28-FO$19))))</f>
        <v>0.00525005979962562</v>
      </c>
      <c r="FP28" s="150" t="n">
        <f aca="false">IF(FP$19&gt;$FJ28,"",MAX(0,IF(FP$19=$FJ28,$S28^2*FP$15,FP27*INDEX($T$20:$T$91,$FJ28-FP$19)^2/INDEX($U$20:$U$91,$FJ28-FP$19))))</f>
        <v>0.0067679258054807</v>
      </c>
      <c r="FQ28" s="150" t="n">
        <f aca="false">IF(FQ$19&gt;$FJ28,"",MAX(0,IF(FQ$19=$FJ28,$S28^2*FQ$15,FQ27*INDEX($T$20:$T$91,$FJ28-FQ$19)^2/INDEX($U$20:$U$91,$FJ28-FQ$19))))</f>
        <v>0.00655603161291398</v>
      </c>
      <c r="FR28" s="150" t="n">
        <f aca="false">IF(FR$19&gt;$FJ28,"",MAX(0,IF(FR$19=$FJ28,$S28^2*FR$15,FR27*INDEX($T$20:$T$91,$FJ28-FR$19)^2/INDEX($U$20:$U$91,$FJ28-FR$19))))</f>
        <v>0.00829691187066171</v>
      </c>
      <c r="FS28" s="150" t="n">
        <f aca="false">IF(FS$19&gt;$FJ28,"",MAX(0,IF(FS$19=$FJ28,$S28^2*FS$15,FS27*INDEX($T$20:$T$91,$FJ28-FS$19)^2/INDEX($U$20:$U$91,$FJ28-FS$19))))</f>
        <v>0.0120591481823204</v>
      </c>
      <c r="FT28" s="150" t="str">
        <f aca="false">IF(FT$19&gt;$FJ28,"",MAX(0,IF(FT$19=$FJ28,$S28^2*FT$15,FT27*INDEX($T$20:$T$91,$FJ28-FT$19)^2/INDEX($U$20:$U$91,$FJ28-FT$19))))</f>
        <v/>
      </c>
      <c r="FU28" s="150" t="str">
        <f aca="false">IF(FU$19&gt;$FJ28,"",MAX(0,IF(FU$19=$FJ28,$S28^2*FU$15,FU27*INDEX($T$20:$T$91,$FJ28-FU$19)^2/INDEX($U$20:$U$91,$FJ28-FU$19))))</f>
        <v/>
      </c>
      <c r="FV28" s="150" t="str">
        <f aca="false">IF(FV$19&gt;$FJ28,"",MAX(0,IF(FV$19=$FJ28,$S28^2*FV$15,FV27*INDEX($T$20:$T$91,$FJ28-FV$19)^2/INDEX($U$20:$U$91,$FJ28-FV$19))))</f>
        <v/>
      </c>
      <c r="FW28" s="150" t="str">
        <f aca="false">IF(FW$19&gt;$FJ28,"",MAX(0,IF(FW$19=$FJ28,$S28^2*FW$15,FW27*INDEX($T$20:$T$91,$FJ28-FW$19)^2/INDEX($U$20:$U$91,$FJ28-FW$19))))</f>
        <v/>
      </c>
      <c r="FX28" s="150" t="str">
        <f aca="false">IF(FX$19&gt;$FJ28,"",MAX(0,IF(FX$19=$FJ28,$S28^2*FX$15,FX27*INDEX($T$20:$T$91,$FJ28-FX$19)^2/INDEX($U$20:$U$91,$FJ28-FX$19))))</f>
        <v/>
      </c>
      <c r="FY28" s="150" t="str">
        <f aca="false">IF(FY$19&gt;$FJ28,"",MAX(0,IF(FY$19=$FJ28,$S28^2*FY$15,FY27*INDEX($T$20:$T$91,$FJ28-FY$19)^2/INDEX($U$20:$U$91,$FJ28-FY$19))))</f>
        <v/>
      </c>
      <c r="FZ28" s="150" t="str">
        <f aca="false">IF(FZ$19&gt;$FJ28,"",MAX(0,IF(FZ$19=$FJ28,$S28^2*FZ$15,FZ27*INDEX($T$20:$T$91,$FJ28-FZ$19)^2/INDEX($U$20:$U$91,$FJ28-FZ$19))))</f>
        <v/>
      </c>
      <c r="GA28" s="150" t="str">
        <f aca="false">IF(GA$19&gt;$FJ28,"",MAX(0,IF(GA$19=$FJ28,$S28^2*GA$15,GA27*INDEX($T$20:$T$91,$FJ28-GA$19)^2/INDEX($U$20:$U$91,$FJ28-GA$19))))</f>
        <v/>
      </c>
      <c r="GB28" s="150" t="str">
        <f aca="false">IF(GB$19&gt;$FJ28,"",MAX(0,IF(GB$19=$FJ28,$S28^2*GB$15,GB27*INDEX($T$20:$T$91,$FJ28-GB$19)^2/INDEX($U$20:$U$91,$FJ28-GB$19))))</f>
        <v/>
      </c>
      <c r="GC28" s="150" t="str">
        <f aca="false">IF(GC$19&gt;$FJ28,"",MAX(0,IF(GC$19=$FJ28,$S28^2*GC$15,GC27*INDEX($T$20:$T$91,$FJ28-GC$19)^2/INDEX($U$20:$U$91,$FJ28-GC$19))))</f>
        <v/>
      </c>
      <c r="GD28" s="150" t="str">
        <f aca="false">IF(GD$19&gt;$FJ28,"",MAX(0,IF(GD$19=$FJ28,$S28^2*GD$15,GD27*INDEX($T$20:$T$91,$FJ28-GD$19)^2/INDEX($U$20:$U$91,$FJ28-GD$19))))</f>
        <v/>
      </c>
      <c r="GE28" s="150" t="str">
        <f aca="false">IF(GE$19&gt;$FJ28,"",MAX(0,IF(GE$19=$FJ28,$S28^2*GE$15,GE27*INDEX($T$20:$T$91,$FJ28-GE$19)^2/INDEX($U$20:$U$91,$FJ28-GE$19))))</f>
        <v/>
      </c>
      <c r="GF28" s="150" t="str">
        <f aca="false">IF(GF$19&gt;$FJ28,"",MAX(0,IF(GF$19=$FJ28,$S28^2*GF$15,GF27*INDEX($T$20:$T$91,$FJ28-GF$19)^2/INDEX($U$20:$U$91,$FJ28-GF$19))))</f>
        <v/>
      </c>
      <c r="GG28" s="150" t="str">
        <f aca="false">IF(GG$19&gt;$FJ28,"",MAX(0,IF(GG$19=$FJ28,$S28^2*GG$15,GG27*INDEX($T$20:$T$91,$FJ28-GG$19)^2/INDEX($U$20:$U$91,$FJ28-GG$19))))</f>
        <v/>
      </c>
      <c r="GH28" s="150" t="str">
        <f aca="false">IF(GH$19&gt;$FJ28,"",MAX(0,IF(GH$19=$FJ28,$S28^2*GH$15,GH27*INDEX($T$20:$T$91,$FJ28-GH$19)^2/INDEX($U$20:$U$91,$FJ28-GH$19))))</f>
        <v/>
      </c>
      <c r="GI28" s="150" t="str">
        <f aca="false">IF(GI$19&gt;$FJ28,"",MAX(0,IF(GI$19=$FJ28,$S28^2*GI$15,GI27*INDEX($T$20:$T$91,$FJ28-GI$19)^2/INDEX($U$20:$U$91,$FJ28-GI$19))))</f>
        <v/>
      </c>
      <c r="GJ28" s="150" t="str">
        <f aca="false">IF(GJ$19&gt;$FJ28,"",MAX(0,IF(GJ$19=$FJ28,$S28^2*GJ$15,GJ27*INDEX($T$20:$T$91,$FJ28-GJ$19)^2/INDEX($U$20:$U$91,$FJ28-GJ$19))))</f>
        <v/>
      </c>
      <c r="GK28" s="150" t="str">
        <f aca="false">IF(GK$19&gt;$FJ28,"",MAX(0,IF(GK$19=$FJ28,$S28^2*GK$15,GK27*INDEX($T$20:$T$91,$FJ28-GK$19)^2/INDEX($U$20:$U$91,$FJ28-GK$19))))</f>
        <v/>
      </c>
      <c r="GL28" s="150" t="str">
        <f aca="false">IF(GL$19&gt;$FJ28,"",MAX(0,IF(GL$19=$FJ28,$S28^2*GL$15,GL27*INDEX($T$20:$T$91,$FJ28-GL$19)^2/INDEX($U$20:$U$91,$FJ28-GL$19))))</f>
        <v/>
      </c>
      <c r="GM28" s="150" t="str">
        <f aca="false">IF(GM$19&gt;$FJ28,"",MAX(0,IF(GM$19=$FJ28,$S28^2*GM$15,GM27*INDEX($T$20:$T$91,$FJ28-GM$19)^2/INDEX($U$20:$U$91,$FJ28-GM$19))))</f>
        <v/>
      </c>
      <c r="GN28" s="150" t="str">
        <f aca="false">IF(GN$19&gt;$FJ28,"",MAX(0,IF(GN$19=$FJ28,$S28^2*GN$15,GN27*INDEX($T$20:$T$91,$FJ28-GN$19)^2/INDEX($U$20:$U$91,$FJ28-GN$19))))</f>
        <v/>
      </c>
      <c r="GO28" s="150" t="str">
        <f aca="false">IF(GO$19&gt;$FJ28,"",MAX(0,IF(GO$19=$FJ28,$S28^2*GO$15,GO27*INDEX($T$20:$T$91,$FJ28-GO$19)^2/INDEX($U$20:$U$91,$FJ28-GO$19))))</f>
        <v/>
      </c>
      <c r="GP28" s="150" t="str">
        <f aca="false">IF(GP$19&gt;$FJ28,"",MAX(0,IF(GP$19=$FJ28,$S28^2*GP$15,GP27*INDEX($T$20:$T$91,$FJ28-GP$19)^2/INDEX($U$20:$U$91,$FJ28-GP$19))))</f>
        <v/>
      </c>
      <c r="GQ28" s="150" t="str">
        <f aca="false">IF(GQ$19&gt;$FJ28,"",MAX(0,IF(GQ$19=$FJ28,$S28^2*GQ$15,GQ27*INDEX($T$20:$T$91,$FJ28-GQ$19)^2/INDEX($U$20:$U$91,$FJ28-GQ$19))))</f>
        <v/>
      </c>
      <c r="GR28" s="150" t="str">
        <f aca="false">IF(GR$19&gt;$FJ28,"",MAX(0,IF(GR$19=$FJ28,$S28^2*GR$15,GR27*INDEX($T$20:$T$91,$FJ28-GR$19)^2/INDEX($U$20:$U$91,$FJ28-GR$19))))</f>
        <v/>
      </c>
      <c r="GS28" s="150" t="str">
        <f aca="false">IF(GS$19&gt;$FJ28,"",MAX(0,IF(GS$19=$FJ28,$S28^2*GS$15,GS27*INDEX($T$20:$T$91,$FJ28-GS$19)^2/INDEX($U$20:$U$91,$FJ28-GS$19))))</f>
        <v/>
      </c>
      <c r="GT28" s="150" t="str">
        <f aca="false">IF(GT$19&gt;$FJ28,"",MAX(0,IF(GT$19=$FJ28,$S28^2*GT$15,GT27*INDEX($T$20:$T$91,$FJ28-GT$19)^2/INDEX($U$20:$U$91,$FJ28-GT$19))))</f>
        <v/>
      </c>
      <c r="GU28" s="150" t="str">
        <f aca="false">IF(GU$19&gt;$FJ28,"",MAX(0,IF(GU$19=$FJ28,$S28^2*GU$15,GU27*INDEX($T$20:$T$91,$FJ28-GU$19)^2/INDEX($U$20:$U$91,$FJ28-GU$19))))</f>
        <v/>
      </c>
      <c r="GV28" s="150" t="str">
        <f aca="false">IF(GV$19&gt;$FJ28,"",MAX(0,IF(GV$19=$FJ28,$S28^2*GV$15,GV27*INDEX($T$20:$T$91,$FJ28-GV$19)^2/INDEX($U$20:$U$91,$FJ28-GV$19))))</f>
        <v/>
      </c>
      <c r="GW28" s="150" t="str">
        <f aca="false">IF(GW$19&gt;$FJ28,"",MAX(0,IF(GW$19=$FJ28,$S28^2*GW$15,GW27*INDEX($T$20:$T$91,$FJ28-GW$19)^2/INDEX($U$20:$U$91,$FJ28-GW$19))))</f>
        <v/>
      </c>
      <c r="GX28" s="150" t="str">
        <f aca="false">IF(GX$19&gt;$FJ28,"",MAX(0,IF(GX$19=$FJ28,$S28^2*GX$15,GX27*INDEX($T$20:$T$91,$FJ28-GX$19)^2/INDEX($U$20:$U$91,$FJ28-GX$19))))</f>
        <v/>
      </c>
      <c r="GY28" s="150" t="str">
        <f aca="false">IF(GY$19&gt;$FJ28,"",MAX(0,IF(GY$19=$FJ28,$S28^2*GY$15,GY27*INDEX($T$20:$T$91,$FJ28-GY$19)^2/INDEX($U$20:$U$91,$FJ28-GY$19))))</f>
        <v/>
      </c>
      <c r="GZ28" s="150" t="str">
        <f aca="false">IF(GZ$19&gt;$FJ28,"",MAX(0,IF(GZ$19=$FJ28,$S28^2*GZ$15,GZ27*INDEX($T$20:$T$91,$FJ28-GZ$19)^2/INDEX($U$20:$U$91,$FJ28-GZ$19))))</f>
        <v/>
      </c>
      <c r="HA28" s="150" t="str">
        <f aca="false">IF(HA$19&gt;$FJ28,"",MAX(0,IF(HA$19=$FJ28,$S28^2*HA$15,HA27*INDEX($T$20:$T$91,$FJ28-HA$19)^2/INDEX($U$20:$U$91,$FJ28-HA$19))))</f>
        <v/>
      </c>
      <c r="HB28" s="150" t="str">
        <f aca="false">IF(HB$19&gt;$FJ28,"",MAX(0,IF(HB$19=$FJ28,$S28^2*HB$15,HB27*INDEX($T$20:$T$91,$FJ28-HB$19)^2/INDEX($U$20:$U$91,$FJ28-HB$19))))</f>
        <v/>
      </c>
      <c r="HC28" s="150" t="str">
        <f aca="false">IF(HC$19&gt;$FJ28,"",MAX(0,IF(HC$19=$FJ28,$S28^2*HC$15,HC27*INDEX($T$20:$T$91,$FJ28-HC$19)^2/INDEX($U$20:$U$91,$FJ28-HC$19))))</f>
        <v/>
      </c>
      <c r="HD28" s="150" t="str">
        <f aca="false">IF(HD$19&gt;$FJ28,"",MAX(0,IF(HD$19=$FJ28,$S28^2*HD$15,HD27*INDEX($T$20:$T$91,$FJ28-HD$19)^2/INDEX($U$20:$U$91,$FJ28-HD$19))))</f>
        <v/>
      </c>
      <c r="HE28" s="150" t="str">
        <f aca="false">IF(HE$19&gt;$FJ28,"",MAX(0,IF(HE$19=$FJ28,$S28^2*HE$15,HE27*INDEX($T$20:$T$91,$FJ28-HE$19)^2/INDEX($U$20:$U$91,$FJ28-HE$19))))</f>
        <v/>
      </c>
      <c r="HF28" s="150" t="str">
        <f aca="false">IF(HF$19&gt;$FJ28,"",MAX(0,IF(HF$19=$FJ28,$S28^2*HF$15,HF27*INDEX($T$20:$T$91,$FJ28-HF$19)^2/INDEX($U$20:$U$91,$FJ28-HF$19))))</f>
        <v/>
      </c>
      <c r="HG28" s="150" t="str">
        <f aca="false">IF(HG$19&gt;$FJ28,"",MAX(0,IF(HG$19=$FJ28,$S28^2*HG$15,HG27*INDEX($T$20:$T$91,$FJ28-HG$19)^2/INDEX($U$20:$U$91,$FJ28-HG$19))))</f>
        <v/>
      </c>
      <c r="HH28" s="150" t="str">
        <f aca="false">IF(HH$19&gt;$FJ28,"",MAX(0,IF(HH$19=$FJ28,$S28^2*HH$15,HH27*INDEX($T$20:$T$91,$FJ28-HH$19)^2/INDEX($U$20:$U$91,$FJ28-HH$19))))</f>
        <v/>
      </c>
      <c r="HI28" s="150" t="str">
        <f aca="false">IF(HI$19&gt;$FJ28,"",MAX(0,IF(HI$19=$FJ28,$S28^2*HI$15,HI27*INDEX($T$20:$T$91,$FJ28-HI$19)^2/INDEX($U$20:$U$91,$FJ28-HI$19))))</f>
        <v/>
      </c>
      <c r="HJ28" s="150" t="str">
        <f aca="false">IF(HJ$19&gt;$FJ28,"",MAX(0,IF(HJ$19=$FJ28,$S28^2*HJ$15,HJ27*INDEX($T$20:$T$91,$FJ28-HJ$19)^2/INDEX($U$20:$U$91,$FJ28-HJ$19))))</f>
        <v/>
      </c>
      <c r="HK28" s="150" t="str">
        <f aca="false">IF(HK$19&gt;$FJ28,"",MAX(0,IF(HK$19=$FJ28,$S28^2*HK$15,HK27*INDEX($T$20:$T$91,$FJ28-HK$19)^2/INDEX($U$20:$U$91,$FJ28-HK$19))))</f>
        <v/>
      </c>
      <c r="HL28" s="150" t="str">
        <f aca="false">IF(HL$19&gt;$FJ28,"",MAX(0,IF(HL$19=$FJ28,$S28^2*HL$15,HL27*INDEX($T$20:$T$91,$FJ28-HL$19)^2/INDEX($U$20:$U$91,$FJ28-HL$19))))</f>
        <v/>
      </c>
      <c r="HM28" s="150" t="str">
        <f aca="false">IF(HM$19&gt;$FJ28,"",MAX(0,IF(HM$19=$FJ28,$S28^2*HM$15,HM27*INDEX($T$20:$T$91,$FJ28-HM$19)^2/INDEX($U$20:$U$91,$FJ28-HM$19))))</f>
        <v/>
      </c>
      <c r="HN28" s="150" t="str">
        <f aca="false">IF(HN$19&gt;$FJ28,"",MAX(0,IF(HN$19=$FJ28,$S28^2*HN$15,HN27*INDEX($T$20:$T$91,$FJ28-HN$19)^2/INDEX($U$20:$U$91,$FJ28-HN$19))))</f>
        <v/>
      </c>
      <c r="HO28" s="150" t="str">
        <f aca="false">IF(HO$19&gt;$FJ28,"",MAX(0,IF(HO$19=$FJ28,$S28^2*HO$15,HO27*INDEX($T$20:$T$91,$FJ28-HO$19)^2/INDEX($U$20:$U$91,$FJ28-HO$19))))</f>
        <v/>
      </c>
      <c r="HP28" s="150" t="str">
        <f aca="false">IF(HP$19&gt;$FJ28,"",MAX(0,IF(HP$19=$FJ28,$S28^2*HP$15,HP27*INDEX($T$20:$T$91,$FJ28-HP$19)^2/INDEX($U$20:$U$91,$FJ28-HP$19))))</f>
        <v/>
      </c>
      <c r="HQ28" s="150" t="str">
        <f aca="false">IF(HQ$19&gt;$FJ28,"",MAX(0,IF(HQ$19=$FJ28,$S28^2*HQ$15,HQ27*INDEX($T$20:$T$91,$FJ28-HQ$19)^2/INDEX($U$20:$U$91,$FJ28-HQ$19))))</f>
        <v/>
      </c>
      <c r="HR28" s="150" t="str">
        <f aca="false">IF(HR$19&gt;$FJ28,"",MAX(0,IF(HR$19=$FJ28,$S28^2*HR$15,HR27*INDEX($T$20:$T$91,$FJ28-HR$19)^2/INDEX($U$20:$U$91,$FJ28-HR$19))))</f>
        <v/>
      </c>
      <c r="HS28" s="150" t="str">
        <f aca="false">IF(HS$19&gt;$FJ28,"",MAX(0,IF(HS$19=$FJ28,$S28^2*HS$15,HS27*INDEX($T$20:$T$91,$FJ28-HS$19)^2/INDEX($U$20:$U$91,$FJ28-HS$19))))</f>
        <v/>
      </c>
      <c r="HT28" s="150" t="str">
        <f aca="false">IF(HT$19&gt;$FJ28,"",MAX(0,IF(HT$19=$FJ28,$S28^2*HT$15,HT27*INDEX($T$20:$T$91,$FJ28-HT$19)^2/INDEX($U$20:$U$91,$FJ28-HT$19))))</f>
        <v/>
      </c>
      <c r="HU28" s="150" t="str">
        <f aca="false">IF(HU$19&gt;$FJ28,"",MAX(0,IF(HU$19=$FJ28,$S28^2*HU$15,HU27*INDEX($T$20:$T$91,$FJ28-HU$19)^2/INDEX($U$20:$U$91,$FJ28-HU$19))))</f>
        <v/>
      </c>
      <c r="HV28" s="150" t="str">
        <f aca="false">IF(HV$19&gt;$FJ28,"",MAX(0,IF(HV$19=$FJ28,$S28^2*HV$15,HV27*INDEX($T$20:$T$91,$FJ28-HV$19)^2/INDEX($U$20:$U$91,$FJ28-HV$19))))</f>
        <v/>
      </c>
      <c r="HW28" s="150" t="str">
        <f aca="false">IF(HW$19&gt;$FJ28,"",MAX(0,IF(HW$19=$FJ28,$S28^2*HW$15,HW27*INDEX($T$20:$T$91,$FJ28-HW$19)^2/INDEX($U$20:$U$91,$FJ28-HW$19))))</f>
        <v/>
      </c>
      <c r="HX28" s="150" t="str">
        <f aca="false">IF(HX$19&gt;$FJ28,"",MAX(0,IF(HX$19=$FJ28,$S28^2*HX$15,HX27*INDEX($T$20:$T$91,$FJ28-HX$19)^2/INDEX($U$20:$U$91,$FJ28-HX$19))))</f>
        <v/>
      </c>
      <c r="HY28" s="150" t="str">
        <f aca="false">IF(HY$19&gt;$FJ28,"",MAX(0,IF(HY$19=$FJ28,$S28^2*HY$15,HY27*INDEX($T$20:$T$91,$FJ28-HY$19)^2/INDEX($U$20:$U$91,$FJ28-HY$19))))</f>
        <v/>
      </c>
      <c r="HZ28" s="150" t="str">
        <f aca="false">IF(HZ$19&gt;$FJ28,"",MAX(0,IF(HZ$19=$FJ28,$S28^2*HZ$15,HZ27*INDEX($T$20:$T$91,$FJ28-HZ$19)^2/INDEX($U$20:$U$91,$FJ28-HZ$19))))</f>
        <v/>
      </c>
      <c r="IA28" s="150" t="str">
        <f aca="false">IF(IA$19&gt;$FJ28,"",MAX(0,IF(IA$19=$FJ28,$S28^2*IA$15,IA27*INDEX($T$20:$T$91,$FJ28-IA$19)^2/INDEX($U$20:$U$91,$FJ28-IA$19))))</f>
        <v/>
      </c>
      <c r="IB28" s="150" t="str">
        <f aca="false">IF(IB$19&gt;$FJ28,"",MAX(0,IF(IB$19=$FJ28,$S28^2*IB$15,IB27*INDEX($T$20:$T$91,$FJ28-IB$19)^2/INDEX($U$20:$U$91,$FJ28-IB$19))))</f>
        <v/>
      </c>
      <c r="IC28" s="150" t="str">
        <f aca="false">IF(IC$19&gt;$FJ28,"",MAX(0,IF(IC$19=$FJ28,$S28^2*IC$15,IC27*INDEX($T$20:$T$91,$FJ28-IC$19)^2/INDEX($U$20:$U$91,$FJ28-IC$19))))</f>
        <v/>
      </c>
      <c r="ID28" s="572" t="str">
        <f aca="false">IF(ID$19&gt;$FJ28,"",MAX(0,IF(ID$19=$FJ28,$S28^2*ID$15,ID27*INDEX($T$20:$T$91,$FJ28-ID$19)^2/INDEX($U$20:$U$91,$FJ28-ID$19))))</f>
        <v/>
      </c>
      <c r="IE28" s="129"/>
    </row>
    <row r="29" customFormat="false" ht="14.25" hidden="false" customHeight="true" outlineLevel="0" collapsed="false">
      <c r="A29" s="76"/>
      <c r="B29" s="614" t="e">
        <f aca="false">SwaptionUnderlyingPrice-SUMPRODUCT(CHOOSE(Underlying,W19:W258,Y19:Y258),BE19:BE258,AP19:AP258)/E33</f>
        <v>#VALUE!</v>
      </c>
      <c r="C29" s="615" t="s">
        <v>52</v>
      </c>
      <c r="D29" s="242" t="e">
        <f aca="false">IF(D28,D28,D26+D27)</f>
        <v>#VALUE!</v>
      </c>
      <c r="E29" s="616" t="e">
        <f aca="false">IF(E28,E28,E26+E27)</f>
        <v>#NAME?</v>
      </c>
      <c r="F29" s="617" t="s">
        <v>105</v>
      </c>
      <c r="G29" s="618" t="e">
        <f aca="false">EURO(SwaptionUnderlyingPrice,SwaptionStrike,0,0,E29+BN8,B26-DateToday+1,IF(SwaptionType=1,1,0),0)*E33/D33</f>
        <v>#VALUE!</v>
      </c>
      <c r="H29" s="219" t="n">
        <f aca="false">VLOOKUP(I29,$EJ$20:$EL$54,3)</f>
        <v>0</v>
      </c>
      <c r="I29" s="511" t="n">
        <f aca="false">EOMONTH(I28,0)+1</f>
        <v>37043</v>
      </c>
      <c r="J29" s="512"/>
      <c r="K29" s="513" t="s">
        <v>226</v>
      </c>
      <c r="L29" s="514" t="e">
        <f aca="false">IF(ISNUMBER(K29),J29+K29/100,IF(K29="extra",L28+VLOOKUP(BF29,PriceSpreadTable,2)/12,IF(K29="inter",interpolateprices($K$19:$L$200,ROW(K29)-ROW(FirstPricingMonth)+1),interpolatechanges($J$19:$K$200,ROW(K29)-ROW(FirstPricingMonth)+1))))</f>
        <v>#VALUE!</v>
      </c>
      <c r="M29" s="515"/>
      <c r="N29" s="516" t="n">
        <v>0</v>
      </c>
      <c r="O29" s="515" t="n">
        <f aca="false">M29+N29</f>
        <v>0</v>
      </c>
      <c r="P29" s="512"/>
      <c r="Q29" s="517" t="s">
        <v>226</v>
      </c>
      <c r="R29" s="512" t="e">
        <f aca="false">IF(ISNUMBER(Q29),P29+Q29/100,IF(Q29="extra",(Z27*AL27-R28*AM27)/AN27,IF(Q29="inter",interpolateprices($Q$19:$R$260,ROW(Q29)-ROW(FirstPricingMonth)+1),interpolatechanges($P$19:$Q$260,ROW(Q29)-ROW(FirstPricingMonth)+1))))</f>
        <v>#VALUE!</v>
      </c>
      <c r="S29" s="597" t="n">
        <f aca="false">S$19+(S28-S$19)*S$18</f>
        <v>0.364004516601563</v>
      </c>
      <c r="T29" s="575" t="n">
        <f aca="false">SQRT((1-(1-T28^2/U28)*T$18)*U29)</f>
        <v>0.971638309829534</v>
      </c>
      <c r="U29" s="576" t="n">
        <f aca="false">1-(1-U28)*U$18</f>
        <v>0.998873729705811</v>
      </c>
      <c r="V29" s="521" t="n">
        <v>0</v>
      </c>
      <c r="W29" s="577" t="n">
        <f aca="false">(J30*AJ29+J31*AK29)/AI29</f>
        <v>0</v>
      </c>
      <c r="X29" s="578" t="e">
        <f aca="false">(L30*AJ29+L31*AK29)/AI29</f>
        <v>#VALUE!</v>
      </c>
      <c r="Y29" s="579" t="n">
        <f aca="false">IF(Q31="extra",W29-AA29,(P30*AM29+P31*AN29)/AL29)</f>
        <v>0</v>
      </c>
      <c r="Z29" s="579" t="e">
        <f aca="false">IF(Q31="extra",X29-AB29,(R30*AM29+R31*AN29)/AL29)</f>
        <v>#VALUE!</v>
      </c>
      <c r="AA29" s="523" t="n">
        <f aca="false">IF(Q31="extra",INDEX(BrentSeasonalityTable,INT((BG29-1)/3)+1)*VLOOKUP(MAX(BF29,$AB$4),PriceSpreadTable,3),W29-Y29)</f>
        <v>0</v>
      </c>
      <c r="AB29" s="524" t="e">
        <f aca="false">IF(Q31="extra",INDEX(BrentSeasonalityTable,INT((BG29-1)/3)+1)*VLOOKUP(MAX(BF29,$AB$4),PriceSpreadTable,3),X29-Z29)</f>
        <v>#VALUE!</v>
      </c>
      <c r="AC29" s="525" t="n">
        <v>37033</v>
      </c>
      <c r="AD29" s="526" t="n">
        <v>37028</v>
      </c>
      <c r="AE29" s="526" t="n">
        <v>37027</v>
      </c>
      <c r="AF29" s="527" t="n">
        <v>37022</v>
      </c>
      <c r="AG29" s="438" t="s">
        <v>224</v>
      </c>
      <c r="AH29" s="439" t="s">
        <v>224</v>
      </c>
      <c r="AI29" s="528" t="n">
        <v>21</v>
      </c>
      <c r="AJ29" s="529" t="n">
        <v>14</v>
      </c>
      <c r="AK29" s="529" t="n">
        <v>7</v>
      </c>
      <c r="AL29" s="530" t="n">
        <v>21</v>
      </c>
      <c r="AM29" s="529" t="n">
        <v>10</v>
      </c>
      <c r="AN29" s="531" t="n">
        <v>11</v>
      </c>
      <c r="AO29" s="532"/>
      <c r="AP29" s="465" t="n">
        <f aca="false">(1+AO29/2)^(-2*BL29)</f>
        <v>1</v>
      </c>
      <c r="AQ29" s="532"/>
      <c r="AR29" s="465" t="n">
        <f aca="false">(1+AQ29/2)^(-2*BH29/365.25)</f>
        <v>1</v>
      </c>
      <c r="AS29" s="580" t="n">
        <f aca="false">(O30*AJ29+O31*AK29)/AI29</f>
        <v>0</v>
      </c>
      <c r="AT29" s="468" t="n">
        <f aca="false">O29*VLOOKUP(BF29,BrentVolTable,2)+VLOOKUP(BF29,BrentVolTable,3)</f>
        <v>0</v>
      </c>
      <c r="AU29" s="468" t="n">
        <f aca="false">(AT30*AM29+AT31*AN29)/AL29</f>
        <v>0</v>
      </c>
      <c r="AV29" s="595" t="n">
        <f aca="false">SQRT(MAX(0.000000000001,(O29^2*BH29-S29^2*(BH29-BH28))/BH28))</f>
        <v>0.0211015633688401</v>
      </c>
      <c r="AW29" s="451" t="n">
        <f aca="false">IF($I29-DateToday+15&gt;=$T$8,"",IF($I29-DateToday+15&lt;$T$5,1,MATCH($I29-DateToday+15,$T$5:$T$8)))</f>
        <v>1</v>
      </c>
      <c r="AX29" s="468" t="n">
        <f aca="false">IF($AW29="",AX28^2/AX27,INDEX(U$5:U$8,$AW29)^((INDEX($T$5:$T$8,$AW29+1)-($I29-DateToday+15))/(INDEX($T$5:$T$8,$AW29+1)-INDEX($T$5:$T$8,$AW29)))/INDEX(U$5:U$8,$AW29+1)^((INDEX($T$5:$T$8,$AW29)-($I29-DateToday+15))/(INDEX($T$5:$T$8,$AW29+1)-INDEX($T$5:$T$8,$AW29))))</f>
        <v>10.3601092629666</v>
      </c>
      <c r="AY29" s="468" t="n">
        <f aca="false">IF($AW29="",AY28^2/AY27,INDEX(V$5:V$8,$AW29)^((INDEX($T$5:$T$8,$AW29+1)-($I29-DateToday+15))/(INDEX($T$5:$T$8,$AW29+1)-INDEX($T$5:$T$8,$AW29)))/INDEX(V$5:V$8,$AW29+1)^((INDEX($T$5:$T$8,$AW29)-($I29-DateToday+15))/(INDEX($T$5:$T$8,$AW29+1)-INDEX($T$5:$T$8,$AW29))))</f>
        <v>3576.00152198064</v>
      </c>
      <c r="AZ29" s="468" t="n">
        <f aca="false">IF($AW29="",AZ28^2/AZ27,INDEX(W$5:W$8,$AW29)^((INDEX($T$5:$T$8,$AW29+1)-($I29-DateToday+15))/(INDEX($T$5:$T$8,$AW29+1)-INDEX($T$5:$T$8,$AW29)))/INDEX(W$5:W$8,$AW29+1)^((INDEX($T$5:$T$8,$AW29)-($I29-DateToday+15))/(INDEX($T$5:$T$8,$AW29+1)-INDEX($T$5:$T$8,$AW29))))</f>
        <v>334899680.511494</v>
      </c>
      <c r="BA29" s="468" t="n">
        <f aca="false">IF($AW29="",BA28^2/BA27,INDEX(X$5:X$8,$AW29)^((INDEX($T$5:$T$8,$AW29+1)-($I29-DateToday+15))/(INDEX($T$5:$T$8,$AW29+1)-INDEX($T$5:$T$8,$AW29)))/INDEX(X$5:X$8,$AW29+1)^((INDEX($T$5:$T$8,$AW29)-($I29-DateToday+15))/(INDEX($T$5:$T$8,$AW29+1)-INDEX($T$5:$T$8,$AW29))))</f>
        <v>36141638356.5797</v>
      </c>
      <c r="BB29" s="468" t="n">
        <f aca="false">IF($AW29="",BB28^2/BB27,INDEX(Y$5:Y$8,$AW29)^((INDEX($T$5:$T$8,$AW29+1)-($I29-DateToday+15))/(INDEX($T$5:$T$8,$AW29+1)-INDEX($T$5:$T$8,$AW29)))/INDEX(Y$5:Y$8,$AW29+1)^((INDEX($T$5:$T$8,$AW29)-($I29-DateToday+15))/(INDEX($T$5:$T$8,$AW29+1)-INDEX($T$5:$T$8,$AW29))))</f>
        <v>914292363547.51</v>
      </c>
      <c r="BC29" s="468" t="n">
        <f aca="false">IF($AW29="",BC28^2/BC27,INDEX(Z$5:Z$8,$AW29)^((INDEX($T$5:$T$8,$AW29+1)-($I29-DateToday+15))/(INDEX($T$5:$T$8,$AW29+1)-INDEX($T$5:$T$8,$AW29)))/INDEX(Z$5:Z$8,$AW29+1)^((INDEX($T$5:$T$8,$AW29)-($I29-DateToday+15))/(INDEX($T$5:$T$8,$AW29+1)-INDEX($T$5:$T$8,$AW29))))</f>
        <v>6251403283206.3</v>
      </c>
      <c r="BD29" s="535" t="n">
        <f aca="false">IF(OR(DateStart&gt;=I30,DateEnd&lt;I29),0,IF(VolumeOverrideFlag,V29,Volume))</f>
        <v>30</v>
      </c>
      <c r="BE29" s="536" t="n">
        <f aca="false">IF(OR(DateStart2&gt;=I30,DateEnd2&lt;I29),0,IF(VolumeOverrideFlag,V29,VolumeSwaption))</f>
        <v>30</v>
      </c>
      <c r="BF29" s="537" t="n">
        <f aca="false">YEAR(I29)</f>
        <v>2001</v>
      </c>
      <c r="BG29" s="538" t="n">
        <f aca="false">MONTH(I29)</f>
        <v>6</v>
      </c>
      <c r="BH29" s="539" t="n">
        <f aca="false">AD29-DateToday+1</f>
        <v>-8897</v>
      </c>
      <c r="BI29" s="540" t="n">
        <f aca="false">(I29-DateToday+1)/365.25</f>
        <v>-24.3175906913073</v>
      </c>
      <c r="BJ29" s="541" t="n">
        <f aca="false">BI29+(BL29-BI29)*CHOOSE(Underlying,AJ29/AI29,AM29/AL29)</f>
        <v>-24.2646589094228</v>
      </c>
      <c r="BK29" s="541" t="n">
        <f aca="false">BJ29+1/365.25</f>
        <v>-24.2619210586356</v>
      </c>
      <c r="BL29" s="541" t="n">
        <f aca="false">(I30-DateToday)/365.25</f>
        <v>-24.2381930184805</v>
      </c>
      <c r="BM29" s="542" t="e">
        <f aca="false">MAX(BI29-(BJ29-BI29)*(S30^2/O30^2-1),0)</f>
        <v>#DIV/0!</v>
      </c>
      <c r="BN29" s="541" t="e">
        <f aca="false">MAX(BL29+(BL29-BK29)*(S31^2/O31^2-1),0)</f>
        <v>#DIV/0!</v>
      </c>
      <c r="BO29" s="530" t="n">
        <f aca="false">CHOOSE(Underlying,AI29,AL29)</f>
        <v>21</v>
      </c>
      <c r="BP29" s="529" t="n">
        <f aca="false">CHOOSE(Underlying,AJ29,AM29)</f>
        <v>14</v>
      </c>
      <c r="BQ29" s="529" t="n">
        <f aca="false">CHOOSE(Underlying,AK29,AN29)</f>
        <v>7</v>
      </c>
      <c r="BR29" s="463" t="e">
        <f aca="false">IF(BD29,IF(Underlying=1,X29,Z29)+UnderlyingPriceAsian-SwapPriceCurve,"")</f>
        <v>#VALUE!</v>
      </c>
      <c r="BS29" s="463" t="e">
        <f aca="false">IF(BD29,Strike1/BR29-1,"")</f>
        <v>#VALUE!</v>
      </c>
      <c r="BT29" s="464" t="e">
        <f aca="false">IF(BD29,Strike2/BR29-1,"")</f>
        <v>#VALUE!</v>
      </c>
      <c r="BU29" s="465" t="e">
        <f aca="false">IF(BD29,IF(Underlying=1,L30,R30)+UnderlyingPriceAsian-SwapPriceCurve,"")</f>
        <v>#VALUE!</v>
      </c>
      <c r="BV29" s="465" t="e">
        <f aca="false">IF(BD29,IF(Underlying=1,L31,R31)+UnderlyingPriceAsian-SwapPriceCurve,"")</f>
        <v>#VALUE!</v>
      </c>
      <c r="BW29" s="466" t="n">
        <f aca="false">IF(BD29,IF(Underlying=1,O30,AT30),"")</f>
        <v>0</v>
      </c>
      <c r="BX29" s="467" t="n">
        <f aca="false">IF(BD29,IF(Underlying=1,O31,AT31),"")</f>
        <v>0</v>
      </c>
      <c r="BY29" s="466" t="e">
        <f aca="false">IF(BD29,IF(BS29&gt;0,IF(BS29&gt;0.2,BC29-BB29,IF(BS29&gt;0.1,BB29-BA29,BA29)),IF(BS29&lt;-0.2,AX29-AY29,IF(BS29&lt;-0.1,AY29-AZ29,AZ29))),"")</f>
        <v>#VALUE!</v>
      </c>
      <c r="BZ29" s="467" t="e">
        <f aca="false">IF(BD29,IF(BT29&gt;0,IF(BT29&gt;0.2,BC29-BB29,IF(BT29&gt;0.1,BB29-BA29,BA29)),IF(BT29&lt;-0.2,AX29-AY29,IF(BT29&lt;-0.1,AY29-AZ29,AZ29))),"")</f>
        <v>#VALUE!</v>
      </c>
      <c r="CA29" s="468" t="e">
        <f aca="false">IF($BD29,$BW29+IF(VolSkewFlag=1,IF(BS29&gt;0,$BA29*MIN(BS29/10%,1)+($BB29-$BA29)*MAX(0,MIN(BS29/10%-1,1))+($BC29-$BB29)*MAX(0,BS29/10%-2),$AZ29*MIN(-BS29/10%,1)+($AY29-$AZ29)*MAX(0,MIN(-BS29/10%-1,1))+($AX29-$AY29)*MAX(0,-BS29/10%-2)),0),"")</f>
        <v>#VALUE!</v>
      </c>
      <c r="CB29" s="468" t="e">
        <f aca="false">IF($BD29,$BX29+IF(VolSkewFlag=1,IF(BS29&gt;0,$BA29*MIN(BS29/10%,1)+($BB29-$BA29)*MAX(0,MIN(BS29/10%-1,1))+($BC29-$BB29)*MAX(0,BS29/10%-2),$AZ29*MIN(-BS29/10%,1)+($AY29-$AZ29)*MAX(0,MIN(-BS29/10%-1,1))+($AX29-$AY29)*MAX(0,-BS29/10%-2)),0),"")</f>
        <v>#VALUE!</v>
      </c>
      <c r="CC29" s="468" t="e">
        <f aca="false">IF($BD29,$BW29+IF(VolSkewFlag=1,IF(BT29&gt;0,$BA29*MIN(BT29/10%,1)+($BB29-$BA29)*MAX(0,MIN(BT29/10%-1,1))+($BC29-$BB29)*MAX(0,BT29/10%-2),$AZ29*MIN(-BT29/10%,1)+($AY29-$AZ29)*MAX(0,MIN(-BT29/10%-1,1))+($AX29-$AY29)*MAX(0,-BT29/10%-2)),0),"")</f>
        <v>#VALUE!</v>
      </c>
      <c r="CD29" s="468" t="e">
        <f aca="false">IF($BD29,$BX29+IF(VolSkewFlag=1,IF(BT29&gt;0,$BA29*MIN(BT29/10%,1)+($BB29-$BA29)*MAX(0,MIN(BT29/10%-1,1))+($BC29-$BB29)*MAX(0,BT29/10%-2),$AZ29*MIN(-BT29/10%,1)+($AY29-$AZ29)*MAX(0,MIN(-BT29/10%-1,1))+($AX29-$AY29)*MAX(0,-BT29/10%-2)),0),"")</f>
        <v>#VALUE!</v>
      </c>
      <c r="CE29" s="469" t="n">
        <v>1</v>
      </c>
      <c r="CF29" s="470" t="e">
        <f aca="false">IF(BD29,xCrudeAPO(BU29,BV29,CA29,CB29,S30,S31,BI29,BL29,BP29,BQ29,0,Strike1,AO29,CE29,0,BL29,IF(OptControl=4,0,1),0,1),0)</f>
        <v>#NAME?</v>
      </c>
      <c r="CG29" s="470" t="e">
        <f aca="false">IF(BD29,xCrudeAPO(BU29,BV29,CA29,CB29,S30,S31,BI29,BL29,BP29,BQ29,0,Strike1,AO29,CE29,0,BL29,IF(OptControl=4,0,1),1,1)+xCrudeAPO(BU29,BV29,CA29,CB29,S30,S31,BI29,BL29,BP29,BQ29,0,Strike1,AO29,CE29,0,BL29,IF(OptControl=4,0,1),1,2)+IF(OR(VolSkewFlag=2,ABS(BS29)&lt;0.0001),0,IF(BS29&gt;0,-1,1)*CH29*Strike1/BR29^2*BY29/10%),0)</f>
        <v>#NAME?</v>
      </c>
      <c r="CH29" s="470" t="e">
        <f aca="false">IF(BD29,(xCrudeAPO(BU29,BV29,CA29,CB29,S30,S31,BI29,BL29,BP29,BQ29,0,Strike1,AO29,CE29,0,BL29,IF(OptControl=4,0,1),3,1)+xCrudeAPO(BU29,BV29,CA29,CB29,S30,S31,BI29,BL29,BP29,BQ29,0,Strike1,AO29,CE29,0,BL29,IF(OptControl=4,0,1),3,2))/100,0)</f>
        <v>#NAME?</v>
      </c>
      <c r="CI29" s="470" t="e">
        <f aca="false">IF(BD29,xCrudeAPO(BU29,BV29,CA29,CB29,S30,S31,BI29-DaysForThetaCalculation/365.25,BL29-DaysForThetaCalculation/365.25,BP29,BQ29,0,Strike1,AO29,CE29,0,BL29,IF(OptControl=4,0,1),0,1)-xCrudeAPO(BU29,BV29,CA29,CB29,S30,S31,BI29,BL29,BP29,BQ29,0,Strike1,AO29,CE29,0,BL29,IF(OptControl=4,0,1),0,1),0)</f>
        <v>#NAME?</v>
      </c>
      <c r="CJ29" s="471" t="e">
        <f aca="false">IF(BD29,xCrudeAPO(BU29,BV29,CC29,CD29,S30,S31,BI29,BL29,BP29,BQ29,0,Strike2,AO29,CE29,0,BL29,IF(OptControl=3,1,0),0,1),0)</f>
        <v>#NAME?</v>
      </c>
      <c r="CK29" s="470" t="e">
        <f aca="false">IF(BD29,xCrudeAPO(BU29,BV29,CC29,CD29,S30,S31,BI29,BL29,BP29,BQ29,0,Strike2,AO29,CE29,0,BL29,IF(OptControl=3,1,0),1,1)+xCrudeAPO(BU29,BV29,CC29,CD29,S30,S31,BI29,BL29,BP29,BQ29,0,Strike2,AO29,CE29,0,BL29,IF(OptControl=3,1,0),1,2)+IF(OR(VolSkewFlag=2,ABS(BT29)&lt;0.0001),0,IF(BT29&gt;0,-1,1)*CL29*Strike2/BR29^2*BZ29/10%),0)</f>
        <v>#NAME?</v>
      </c>
      <c r="CL29" s="470" t="e">
        <f aca="false">IF(BD29,(xCrudeAPO(BU29,BV29,CC29,CD29,S30,S31,BI29,BL29,BP29,BQ29,0,Strike2,AO29,CE29,0,BL29,IF(OptControl=3,1,0),3,1)+xCrudeAPO(BU29,BV29,CC29,CD29,S30,S31,BI29,BL29,BP29,BQ29,0,Strike2,AO29,CE29,0,BL29,IF(OptControl=3,1,0),3,2))/100,0)</f>
        <v>#NAME?</v>
      </c>
      <c r="CM29" s="472" t="e">
        <f aca="false">IF(BD29,xCrudeAPO(BU29,BV29,CC29,CD29,S30,S31,BI29-DaysForThetaCalculation/365.25,BL29-DaysForThetaCalculation/365.25,BP29,BQ29,0,Strike2,AO29,CE29,0,BL29,IF(OptControl=3,1,0),0,1)-xCrudeAPO(BU29,BV29,CC29,CD29,S30,S31,BI29,BL29,BP29,BQ29,0,Strike2,AO29,CE29,0,BL29,IF(OptControl=3,1,0),0,1),0)</f>
        <v>#NAME?</v>
      </c>
      <c r="CN29" s="473"/>
      <c r="CO29" s="543" t="n">
        <f aca="false">IF(BD29,CHOOSE(Underlying,AD29,AF29)-DateToday+1,"")</f>
        <v>-8897</v>
      </c>
      <c r="CP29" s="582" t="e">
        <f aca="false">IF(BD29,CHOOSE(Underlying,L29,R29),"")</f>
        <v>#VALUE!</v>
      </c>
      <c r="CQ29" s="544" t="e">
        <f aca="false">IF(BD29,Strike1/CP29-1,"")</f>
        <v>#VALUE!</v>
      </c>
      <c r="CR29" s="544" t="e">
        <f aca="false">IF(BD29,Strike2/CP29-1,"")</f>
        <v>#VALUE!</v>
      </c>
      <c r="CS29" s="544" t="e">
        <f aca="false">IF(BD29,IF(CQ29&gt;0,IF(CQ29&gt;0.2,BC28-BB28,IF(CQ29&gt;0.1,BB28-BA28,BA28)),IF(CQ29&lt;-0.2,AX28-AY28,IF(CQ29&lt;-0.1,AY28-AZ28,AZ28))),"")</f>
        <v>#VALUE!</v>
      </c>
      <c r="CT29" s="544" t="e">
        <f aca="false">IF(BD29,IF(CR29&gt;0,IF(CR29&gt;0.2,BC28-BB28,IF(CR29&gt;0.1,BB28-BA28,BA28)),IF(CR29&lt;-0.2,AX28-AY28,IF(CR29&lt;-0.1,AY28-AZ28,AZ28))),"")</f>
        <v>#VALUE!</v>
      </c>
      <c r="CU29" s="545" t="n">
        <f aca="false">IF(BD29,CHOOSE(Underlying,O29,AT29),"")</f>
        <v>0</v>
      </c>
      <c r="CV29" s="545" t="e">
        <f aca="false">IF(BD29,CU29+IF(VolSkewFlag=1,IF(CQ29&gt;0,BA28*MIN(CQ29/10%,1)+(BB28-BA28)*MAX(0,MIN(CQ29/10%-1,1))+(BC28-BB28)*MAX(0,CQ29/10%-2),AZ28*MIN(-CQ29/10%,1)+(AY28-AZ28)*MAX(0,MIN(-CQ29/10%-1,1))+(AX28-AY28)*MAX(0,-CQ29/10%-2)),0),"")</f>
        <v>#VALUE!</v>
      </c>
      <c r="CW29" s="545" t="e">
        <f aca="false">IF(BD29,CU29+IF(VolSkewFlag=1,IF(CR29&gt;0,BA28*MIN(CR29/10%,1)+(BB28-BA28)*MAX(0,MIN(CR29/10%-1,1))+(BC28-BB28)*MAX(0,CR29/10%-2),AZ28*MIN(-CR29/10%,1)+(AY28-AZ28)*MAX(0,MIN(-CR29/10%-1,1))+(AX28-AY28)*MAX(0,-CR29/10%-2)),0),"")</f>
        <v>#VALUE!</v>
      </c>
      <c r="CX29" s="470" t="e">
        <f aca="false">IF(BD29,EURO(CP29,Strike1,AO29,AO29,CV29,CO29,IF(OptControl=4,0,1),0),0)</f>
        <v>#NAME?</v>
      </c>
      <c r="CY29" s="470" t="e">
        <f aca="false">IF(BD29,EURO(CP29,Strike1,AO29,AO29,CV29,CO29,IF(OptControl=4,0,1),1)+IF(OR(VolSkewFlag=2,ABS(CQ29)&lt;0.0001),0,IF(CQ29&gt;0,-1,1)*CZ29*100*Strike1/CP29^2*CS29/10%),0)</f>
        <v>#NAME?</v>
      </c>
      <c r="CZ29" s="470" t="e">
        <f aca="false">IF(BD29,EURO(CP29,Strike1,AO29,AO29,CV29,CO29,IF(OptControl=4,0,1),3)/100,0)</f>
        <v>#NAME?</v>
      </c>
      <c r="DA29" s="470" t="e">
        <f aca="false">IF(BD29,EURO(CP29,Strike1,AO29,AO29,CV29,CO29,IF(OptControl=4,0,1),0)-EURO(CP29,Strike1,AO29,AO29,CV29,CO29-1,IF(OptControl=4,0,1),0),0)</f>
        <v>#NAME?</v>
      </c>
      <c r="DB29" s="470" t="e">
        <f aca="false">IF(BD29,EURO(CP29,Strike2,AO29,AO29,CW29,CO29,IF(OptControl=3,1,0),0),0)</f>
        <v>#NAME?</v>
      </c>
      <c r="DC29" s="470" t="e">
        <f aca="false">IF(BD29,EURO(CP29,Strike2,AO29,AO29,CW29,CO29,IF(OptControl=3,1,0),1)+IF(OR(VolSkewFlag=2,ABS(CR29)&lt;0.0001),0,IF(CR29&gt;0,-1,1)*DD29*100*Strike2/CP29^2*CT29/10%),0)</f>
        <v>#NAME?</v>
      </c>
      <c r="DD29" s="470" t="e">
        <f aca="false">IF(BD29,EURO(CP29,Strike2,AO29,AO29,CW29,CO29,IF(OptControl=3,1,0),3)/100,0)</f>
        <v>#NAME?</v>
      </c>
      <c r="DE29" s="472" t="e">
        <f aca="false">IF(BD29,EURO(CP29,Strike2,AO29,AO29,CW29,CO29,IF(OptControl=3,1,0),0)-EURO(CP29,Strike2,AO29,AO29,CW29,CO29-1,IF(OptControl=3,1,0),0),0)</f>
        <v>#NAME?</v>
      </c>
      <c r="DF29" s="473"/>
      <c r="DG29" s="481" t="n">
        <f aca="false">EOMONTH(DG28,0)+1</f>
        <v>45962</v>
      </c>
      <c r="DH29" s="478" t="n">
        <v>24.48</v>
      </c>
      <c r="DI29" s="479" t="n">
        <v>23.87</v>
      </c>
      <c r="DJ29" s="480" t="n">
        <f aca="false">DG29</f>
        <v>45962</v>
      </c>
      <c r="DK29" s="478" t="n">
        <v>23.12</v>
      </c>
      <c r="DL29" s="479" t="n">
        <v>22.51</v>
      </c>
      <c r="DM29" s="481" t="n">
        <f aca="false">DG29</f>
        <v>45962</v>
      </c>
      <c r="DN29" s="482" t="n">
        <f aca="false">DK29+BrentPhyBrentSpread</f>
        <v>23.17</v>
      </c>
      <c r="DO29" s="481" t="n">
        <f aca="false">DG29</f>
        <v>45962</v>
      </c>
      <c r="DP29" s="483" t="n">
        <f aca="false">DL29+DQ29</f>
        <v>22.86</v>
      </c>
      <c r="DQ29" s="546" t="n">
        <v>0.35</v>
      </c>
      <c r="DR29" s="480" t="n">
        <f aca="false">DG29</f>
        <v>45962</v>
      </c>
      <c r="DS29" s="485" t="n">
        <v>0.27725</v>
      </c>
      <c r="DT29" s="486" t="n">
        <v>0.269349275506018</v>
      </c>
      <c r="DU29" s="480" t="n">
        <f aca="false">DG29</f>
        <v>45962</v>
      </c>
      <c r="DV29" s="485" t="n">
        <v>0.27725</v>
      </c>
      <c r="DW29" s="486" t="n">
        <v>0.269349275506018</v>
      </c>
      <c r="DX29" s="481" t="n">
        <f aca="false">DG29</f>
        <v>45962</v>
      </c>
      <c r="DY29" s="486" t="n">
        <v>0.3503125</v>
      </c>
      <c r="DZ29" s="481" t="n">
        <f aca="false">DR29</f>
        <v>45962</v>
      </c>
      <c r="EA29" s="486" t="n">
        <f aca="false">DT29</f>
        <v>0.269349275506018</v>
      </c>
      <c r="EB29" s="195"/>
      <c r="EC29" s="547" t="n">
        <f aca="false">IF(BD29,IF(Underlying=1,AS29,AU29),"")</f>
        <v>0</v>
      </c>
      <c r="ED29" s="548" t="e">
        <f aca="false">IF($BD29,$EC29+IF(VolSkewFlag=1,IF(BS29&gt;0,$BA29*MIN(BS29/10%,1)+($BB29-$BA29)*MAX(0,MIN(BS29/10%-1,1))+($BC29-$BB29)*MAX(0,BS29/10%-2),$AZ29*MIN(-BS29/10%,1)+($AY29-$AZ29)*MAX(0,MIN(-BS29/10%-1,1))+($AX29-$AY29)*MAX(0,-BS29/10%-2)),0),"")</f>
        <v>#VALUE!</v>
      </c>
      <c r="EE29" s="549" t="e">
        <f aca="false">IF($BD29,$EC29+IF(VolSkewFlag=1,IF(BT29&gt;0,$BA29*MIN(BT29/10%,1)+($BB29-$BA29)*MAX(0,MIN(BT29/10%-1,1))+($BC29-$BB29)*MAX(0,BT29/10%-2),$AZ29*MIN(-BT29/10%,1)+($AY29-$AZ29)*MAX(0,MIN(-BT29/10%-1,1))+($AX29-$AY29)*MAX(0,-BT29/10%-2)),0),"")</f>
        <v>#VALUE!</v>
      </c>
      <c r="EF29" s="550" t="e">
        <f aca="false">IF(BD29,xASN(BR29,Strike1,AO29,ED29,0,BO29,0,BI29,BL29,IF(OptControl=4,0,1),0),0)</f>
        <v>#NAME?</v>
      </c>
      <c r="EG29" s="551" t="e">
        <f aca="false">IF(BD29,xASN(BR29,Strike2,AO29,EE29,0,BO29,0,BI29,BL29,IF(OptControl=3,1,0),0),0)</f>
        <v>#NAME?</v>
      </c>
      <c r="EI29" s="583" t="str">
        <f aca="false">DDE("TWINDDE","RSFRecord","CLc10 MTH")</f>
        <v>JUN1</v>
      </c>
      <c r="EJ29" s="584" t="n">
        <f aca="false">DATEVALUE(CONCATENATE(LEFT(EI29,3),"-",IF(VALUE(RIGHT(EI29,1))=9,"1999",CONCATENATE("200",RIGHT(EI29,1)))))</f>
        <v>37043</v>
      </c>
      <c r="EK29" s="585" t="n">
        <f aca="false">DDE("TWINDDE","RSFRecord","CLc10 NET.CHNG")</f>
        <v>0</v>
      </c>
      <c r="EL29" s="586" t="n">
        <f aca="false">IF(ISNUMBER(VALUE(EK29)),VALUE(EK29)*100,0)</f>
        <v>0</v>
      </c>
      <c r="EM29" s="195"/>
      <c r="EN29" s="556" t="n">
        <v>36885</v>
      </c>
      <c r="EO29" s="557" t="n">
        <v>38346</v>
      </c>
      <c r="EP29" s="195"/>
      <c r="EQ29" s="407" t="s">
        <v>237</v>
      </c>
      <c r="ER29" s="171"/>
      <c r="ES29" s="587" t="n">
        <v>10</v>
      </c>
      <c r="ET29" s="559" t="n">
        <f aca="false">BH29/365.25</f>
        <v>-24.3586584531143</v>
      </c>
      <c r="EU29" s="560" t="n">
        <f aca="false">O29^2*ET29</f>
        <v>-0</v>
      </c>
      <c r="EV29" s="588" t="e">
        <f aca="false">SQRT(SUM(FK29:ID29)/ET29)</f>
        <v>#VALUE!</v>
      </c>
      <c r="EW29" s="589" t="n">
        <f aca="false">IF(OR(DateStart2&gt;I28,DateEnd2&lt;I27),"",IF(DateStart2&lt;I28,AK27/AI27*AP27*BE27*SwaptionNumOfMonths/$D$33,0)+IF(DateEnd2&gt;I27,AJ28/AI28*AP28*BE28*SwaptionNumOfMonths/$D$33,0))</f>
        <v>0.981366459627329</v>
      </c>
      <c r="EX29" s="590" t="e">
        <f aca="false">IF(EW29="","",SQRT(SUM(FK334:ID334)/SwaptionYearsToExp))</f>
        <v>#VALUE!</v>
      </c>
      <c r="EY29" s="129" t="n">
        <v>0</v>
      </c>
      <c r="EZ29" s="591" t="n">
        <f aca="false">IF(OR(EW29="",EW30=""),"",SQRT(SUM(INDEX(FK29:ID29,SwaptionFirstMonthPosition+1):INDEX(FK29:ID29,FJ29))/SUM(INDEX($FK$15:$ID$15,SwaptionFirstMonthPosition+1):INDEX($FK$15:$ID$15,FJ29))))</f>
        <v>0.301130227751137</v>
      </c>
      <c r="FA29" s="592" t="n">
        <f aca="false">IF(OR(EW29="",EW28=""),"",SQRT(SUM(INDEX(FK29:ID29,SwaptionFirstMonthPosition+1):INDEX(FK29:ID29,FJ29-1))/SUM(INDEX($FK$15:$ID$15,SwaptionFirstMonthPosition+1):INDEX($FK$15:$ID$15,FJ29-1))))</f>
        <v>0.283833934905513</v>
      </c>
      <c r="FB29" s="593" t="n">
        <f aca="false">IF(BE29,2/3*EZ30+1/3*FA31,"")</f>
        <v>0.280602681567397</v>
      </c>
      <c r="FC29" s="596" t="n">
        <f aca="false">IF(BE29,(I30+I29-1)/2-DateToday,"")</f>
        <v>-8868.5</v>
      </c>
      <c r="FD29" s="483" t="e">
        <f aca="false">IF(BE29,CHOOSE(Underlying,X29,Z29)+SwaptionUnderlyingPrice-$D$26,"")</f>
        <v>#VALUE!</v>
      </c>
      <c r="FE29" s="483" t="e">
        <f aca="false">IF(BE29,CollartionFloor/FD29-1,"")</f>
        <v>#VALUE!</v>
      </c>
      <c r="FF29" s="483" t="e">
        <f aca="false">IF(BE29,CollartionCap/FD29-1,"")</f>
        <v>#VALUE!</v>
      </c>
      <c r="FG29" s="485" t="e">
        <f aca="false">IF(BE29,IF(VolSkewFlag=1,IF(FE29&gt;0,$BA29*MIN(FE29/10%,1)+($BB29-$BA29)*MAX(0,MIN(FE29/10%-1,1))+($BC29-$BB29)*MAX(0,FE29/10%-2),$AZ29*MIN(-FE29/10%,1)+($AY29-$AZ29)*MAX(0,MIN(-FE29/10%-1,1))+($AX29-$AY29)*MAX(0,-FE29/10%-2)),0),"")</f>
        <v>#VALUE!</v>
      </c>
      <c r="FH29" s="486" t="e">
        <f aca="false">IF(BE29,IF(VolSkewFlag=1,IF(FF29&gt;0,$BA29*MIN(FF29/10%,1)+($BB29-$BA29)*MAX(0,MIN(FF29/10%-1,1))+($BC29-$BB29)*MAX(0,FF29/10%-2),$AZ29*MIN(-FF29/10%,1)+($AY29-$AZ29)*MAX(0,MIN(-FF29/10%-1,1))+($AX29-$AY29)*MAX(0,-FF29/10%-2)),0),"")</f>
        <v>#VALUE!</v>
      </c>
      <c r="FI29" s="129"/>
      <c r="FJ29" s="571" t="n">
        <v>10</v>
      </c>
      <c r="FK29" s="150" t="n">
        <f aca="false">IF(FK$19&gt;$FJ29,"",MAX(0,IF(FK$19=$FJ29,$S29^2*FK$15,FK28*INDEX($T$20:$T$91,$FJ29-FK$19)^2/INDEX($U$20:$U$91,$FJ29-FK$19))))</f>
        <v>0</v>
      </c>
      <c r="FL29" s="150" t="n">
        <f aca="false">IF(FL$19&gt;$FJ29,"",MAX(0,IF(FL$19=$FJ29,$S29^2*FL$15,FL28*INDEX($T$20:$T$91,$FJ29-FL$19)^2/INDEX($U$20:$U$91,$FJ29-FL$19))))</f>
        <v>0</v>
      </c>
      <c r="FM29" s="150" t="n">
        <f aca="false">IF(FM$19&gt;$FJ29,"",MAX(0,IF(FM$19=$FJ29,$S29^2*FM$15,FM28*INDEX($T$20:$T$91,$FJ29-FM$19)^2/INDEX($U$20:$U$91,$FJ29-FM$19))))</f>
        <v>0.00431969849595126</v>
      </c>
      <c r="FN29" s="150" t="n">
        <f aca="false">IF(FN$19&gt;$FJ29,"",MAX(0,IF(FN$19=$FJ29,$S29^2*FN$15,FN28*INDEX($T$20:$T$91,$FJ29-FN$19)^2/INDEX($U$20:$U$91,$FJ29-FN$19))))</f>
        <v>0.0039855449413749</v>
      </c>
      <c r="FO29" s="150" t="n">
        <f aca="false">IF(FO$19&gt;$FJ29,"",MAX(0,IF(FO$19=$FJ29,$S29^2*FO$15,FO28*INDEX($T$20:$T$91,$FJ29-FO$19)^2/INDEX($U$20:$U$91,$FJ29-FO$19))))</f>
        <v>0.00461976172353848</v>
      </c>
      <c r="FP29" s="150" t="n">
        <f aca="false">IF(FP$19&gt;$FJ29,"",MAX(0,IF(FP$19=$FJ29,$S29^2*FP$15,FP28*INDEX($T$20:$T$91,$FJ29-FP$19)^2/INDEX($U$20:$U$91,$FJ29-FP$19))))</f>
        <v>0.00581760288138416</v>
      </c>
      <c r="FQ29" s="150" t="n">
        <f aca="false">IF(FQ$19&gt;$FJ29,"",MAX(0,IF(FQ$19=$FJ29,$S29^2*FQ$15,FQ28*INDEX($T$20:$T$91,$FJ29-FQ$19)^2/INDEX($U$20:$U$91,$FJ29-FQ$19))))</f>
        <v>0.00547934195638154</v>
      </c>
      <c r="FR29" s="150" t="n">
        <f aca="false">IF(FR$19&gt;$FJ29,"",MAX(0,IF(FR$19=$FJ29,$S29^2*FR$15,FR28*INDEX($T$20:$T$91,$FJ29-FR$19)^2/INDEX($U$20:$U$91,$FJ29-FR$19))))</f>
        <v>0.00670323648794283</v>
      </c>
      <c r="FS29" s="150" t="n">
        <f aca="false">IF(FS$19&gt;$FJ29,"",MAX(0,IF(FS$19=$FJ29,$S29^2*FS$15,FS28*INDEX($T$20:$T$91,$FJ29-FS$19)^2/INDEX($U$20:$U$91,$FJ29-FS$19))))</f>
        <v>0.00934999286426924</v>
      </c>
      <c r="FT29" s="150" t="n">
        <f aca="false">IF(FT$19&gt;$FJ29,"",MAX(0,IF(FT$19=$FJ29,$S29^2*FT$15,FT28*INDEX($T$20:$T$91,$FJ29-FT$19)^2/INDEX($U$20:$U$91,$FJ29-FT$19))))</f>
        <v>0.0108828984070915</v>
      </c>
      <c r="FU29" s="150" t="str">
        <f aca="false">IF(FU$19&gt;$FJ29,"",MAX(0,IF(FU$19=$FJ29,$S29^2*FU$15,FU28*INDEX($T$20:$T$91,$FJ29-FU$19)^2/INDEX($U$20:$U$91,$FJ29-FU$19))))</f>
        <v/>
      </c>
      <c r="FV29" s="150" t="str">
        <f aca="false">IF(FV$19&gt;$FJ29,"",MAX(0,IF(FV$19=$FJ29,$S29^2*FV$15,FV28*INDEX($T$20:$T$91,$FJ29-FV$19)^2/INDEX($U$20:$U$91,$FJ29-FV$19))))</f>
        <v/>
      </c>
      <c r="FW29" s="150" t="str">
        <f aca="false">IF(FW$19&gt;$FJ29,"",MAX(0,IF(FW$19=$FJ29,$S29^2*FW$15,FW28*INDEX($T$20:$T$91,$FJ29-FW$19)^2/INDEX($U$20:$U$91,$FJ29-FW$19))))</f>
        <v/>
      </c>
      <c r="FX29" s="150" t="str">
        <f aca="false">IF(FX$19&gt;$FJ29,"",MAX(0,IF(FX$19=$FJ29,$S29^2*FX$15,FX28*INDEX($T$20:$T$91,$FJ29-FX$19)^2/INDEX($U$20:$U$91,$FJ29-FX$19))))</f>
        <v/>
      </c>
      <c r="FY29" s="150" t="str">
        <f aca="false">IF(FY$19&gt;$FJ29,"",MAX(0,IF(FY$19=$FJ29,$S29^2*FY$15,FY28*INDEX($T$20:$T$91,$FJ29-FY$19)^2/INDEX($U$20:$U$91,$FJ29-FY$19))))</f>
        <v/>
      </c>
      <c r="FZ29" s="150" t="str">
        <f aca="false">IF(FZ$19&gt;$FJ29,"",MAX(0,IF(FZ$19=$FJ29,$S29^2*FZ$15,FZ28*INDEX($T$20:$T$91,$FJ29-FZ$19)^2/INDEX($U$20:$U$91,$FJ29-FZ$19))))</f>
        <v/>
      </c>
      <c r="GA29" s="150" t="str">
        <f aca="false">IF(GA$19&gt;$FJ29,"",MAX(0,IF(GA$19=$FJ29,$S29^2*GA$15,GA28*INDEX($T$20:$T$91,$FJ29-GA$19)^2/INDEX($U$20:$U$91,$FJ29-GA$19))))</f>
        <v/>
      </c>
      <c r="GB29" s="150" t="str">
        <f aca="false">IF(GB$19&gt;$FJ29,"",MAX(0,IF(GB$19=$FJ29,$S29^2*GB$15,GB28*INDEX($T$20:$T$91,$FJ29-GB$19)^2/INDEX($U$20:$U$91,$FJ29-GB$19))))</f>
        <v/>
      </c>
      <c r="GC29" s="150" t="str">
        <f aca="false">IF(GC$19&gt;$FJ29,"",MAX(0,IF(GC$19=$FJ29,$S29^2*GC$15,GC28*INDEX($T$20:$T$91,$FJ29-GC$19)^2/INDEX($U$20:$U$91,$FJ29-GC$19))))</f>
        <v/>
      </c>
      <c r="GD29" s="150" t="str">
        <f aca="false">IF(GD$19&gt;$FJ29,"",MAX(0,IF(GD$19=$FJ29,$S29^2*GD$15,GD28*INDEX($T$20:$T$91,$FJ29-GD$19)^2/INDEX($U$20:$U$91,$FJ29-GD$19))))</f>
        <v/>
      </c>
      <c r="GE29" s="150" t="str">
        <f aca="false">IF(GE$19&gt;$FJ29,"",MAX(0,IF(GE$19=$FJ29,$S29^2*GE$15,GE28*INDEX($T$20:$T$91,$FJ29-GE$19)^2/INDEX($U$20:$U$91,$FJ29-GE$19))))</f>
        <v/>
      </c>
      <c r="GF29" s="150" t="str">
        <f aca="false">IF(GF$19&gt;$FJ29,"",MAX(0,IF(GF$19=$FJ29,$S29^2*GF$15,GF28*INDEX($T$20:$T$91,$FJ29-GF$19)^2/INDEX($U$20:$U$91,$FJ29-GF$19))))</f>
        <v/>
      </c>
      <c r="GG29" s="150" t="str">
        <f aca="false">IF(GG$19&gt;$FJ29,"",MAX(0,IF(GG$19=$FJ29,$S29^2*GG$15,GG28*INDEX($T$20:$T$91,$FJ29-GG$19)^2/INDEX($U$20:$U$91,$FJ29-GG$19))))</f>
        <v/>
      </c>
      <c r="GH29" s="150" t="str">
        <f aca="false">IF(GH$19&gt;$FJ29,"",MAX(0,IF(GH$19=$FJ29,$S29^2*GH$15,GH28*INDEX($T$20:$T$91,$FJ29-GH$19)^2/INDEX($U$20:$U$91,$FJ29-GH$19))))</f>
        <v/>
      </c>
      <c r="GI29" s="150" t="str">
        <f aca="false">IF(GI$19&gt;$FJ29,"",MAX(0,IF(GI$19=$FJ29,$S29^2*GI$15,GI28*INDEX($T$20:$T$91,$FJ29-GI$19)^2/INDEX($U$20:$U$91,$FJ29-GI$19))))</f>
        <v/>
      </c>
      <c r="GJ29" s="150" t="str">
        <f aca="false">IF(GJ$19&gt;$FJ29,"",MAX(0,IF(GJ$19=$FJ29,$S29^2*GJ$15,GJ28*INDEX($T$20:$T$91,$FJ29-GJ$19)^2/INDEX($U$20:$U$91,$FJ29-GJ$19))))</f>
        <v/>
      </c>
      <c r="GK29" s="150" t="str">
        <f aca="false">IF(GK$19&gt;$FJ29,"",MAX(0,IF(GK$19=$FJ29,$S29^2*GK$15,GK28*INDEX($T$20:$T$91,$FJ29-GK$19)^2/INDEX($U$20:$U$91,$FJ29-GK$19))))</f>
        <v/>
      </c>
      <c r="GL29" s="150" t="str">
        <f aca="false">IF(GL$19&gt;$FJ29,"",MAX(0,IF(GL$19=$FJ29,$S29^2*GL$15,GL28*INDEX($T$20:$T$91,$FJ29-GL$19)^2/INDEX($U$20:$U$91,$FJ29-GL$19))))</f>
        <v/>
      </c>
      <c r="GM29" s="150" t="str">
        <f aca="false">IF(GM$19&gt;$FJ29,"",MAX(0,IF(GM$19=$FJ29,$S29^2*GM$15,GM28*INDEX($T$20:$T$91,$FJ29-GM$19)^2/INDEX($U$20:$U$91,$FJ29-GM$19))))</f>
        <v/>
      </c>
      <c r="GN29" s="150" t="str">
        <f aca="false">IF(GN$19&gt;$FJ29,"",MAX(0,IF(GN$19=$FJ29,$S29^2*GN$15,GN28*INDEX($T$20:$T$91,$FJ29-GN$19)^2/INDEX($U$20:$U$91,$FJ29-GN$19))))</f>
        <v/>
      </c>
      <c r="GO29" s="150" t="str">
        <f aca="false">IF(GO$19&gt;$FJ29,"",MAX(0,IF(GO$19=$FJ29,$S29^2*GO$15,GO28*INDEX($T$20:$T$91,$FJ29-GO$19)^2/INDEX($U$20:$U$91,$FJ29-GO$19))))</f>
        <v/>
      </c>
      <c r="GP29" s="150" t="str">
        <f aca="false">IF(GP$19&gt;$FJ29,"",MAX(0,IF(GP$19=$FJ29,$S29^2*GP$15,GP28*INDEX($T$20:$T$91,$FJ29-GP$19)^2/INDEX($U$20:$U$91,$FJ29-GP$19))))</f>
        <v/>
      </c>
      <c r="GQ29" s="150" t="str">
        <f aca="false">IF(GQ$19&gt;$FJ29,"",MAX(0,IF(GQ$19=$FJ29,$S29^2*GQ$15,GQ28*INDEX($T$20:$T$91,$FJ29-GQ$19)^2/INDEX($U$20:$U$91,$FJ29-GQ$19))))</f>
        <v/>
      </c>
      <c r="GR29" s="150" t="str">
        <f aca="false">IF(GR$19&gt;$FJ29,"",MAX(0,IF(GR$19=$FJ29,$S29^2*GR$15,GR28*INDEX($T$20:$T$91,$FJ29-GR$19)^2/INDEX($U$20:$U$91,$FJ29-GR$19))))</f>
        <v/>
      </c>
      <c r="GS29" s="150" t="str">
        <f aca="false">IF(GS$19&gt;$FJ29,"",MAX(0,IF(GS$19=$FJ29,$S29^2*GS$15,GS28*INDEX($T$20:$T$91,$FJ29-GS$19)^2/INDEX($U$20:$U$91,$FJ29-GS$19))))</f>
        <v/>
      </c>
      <c r="GT29" s="150" t="str">
        <f aca="false">IF(GT$19&gt;$FJ29,"",MAX(0,IF(GT$19=$FJ29,$S29^2*GT$15,GT28*INDEX($T$20:$T$91,$FJ29-GT$19)^2/INDEX($U$20:$U$91,$FJ29-GT$19))))</f>
        <v/>
      </c>
      <c r="GU29" s="150" t="str">
        <f aca="false">IF(GU$19&gt;$FJ29,"",MAX(0,IF(GU$19=$FJ29,$S29^2*GU$15,GU28*INDEX($T$20:$T$91,$FJ29-GU$19)^2/INDEX($U$20:$U$91,$FJ29-GU$19))))</f>
        <v/>
      </c>
      <c r="GV29" s="150" t="str">
        <f aca="false">IF(GV$19&gt;$FJ29,"",MAX(0,IF(GV$19=$FJ29,$S29^2*GV$15,GV28*INDEX($T$20:$T$91,$FJ29-GV$19)^2/INDEX($U$20:$U$91,$FJ29-GV$19))))</f>
        <v/>
      </c>
      <c r="GW29" s="150" t="str">
        <f aca="false">IF(GW$19&gt;$FJ29,"",MAX(0,IF(GW$19=$FJ29,$S29^2*GW$15,GW28*INDEX($T$20:$T$91,$FJ29-GW$19)^2/INDEX($U$20:$U$91,$FJ29-GW$19))))</f>
        <v/>
      </c>
      <c r="GX29" s="150" t="str">
        <f aca="false">IF(GX$19&gt;$FJ29,"",MAX(0,IF(GX$19=$FJ29,$S29^2*GX$15,GX28*INDEX($T$20:$T$91,$FJ29-GX$19)^2/INDEX($U$20:$U$91,$FJ29-GX$19))))</f>
        <v/>
      </c>
      <c r="GY29" s="150" t="str">
        <f aca="false">IF(GY$19&gt;$FJ29,"",MAX(0,IF(GY$19=$FJ29,$S29^2*GY$15,GY28*INDEX($T$20:$T$91,$FJ29-GY$19)^2/INDEX($U$20:$U$91,$FJ29-GY$19))))</f>
        <v/>
      </c>
      <c r="GZ29" s="150" t="str">
        <f aca="false">IF(GZ$19&gt;$FJ29,"",MAX(0,IF(GZ$19=$FJ29,$S29^2*GZ$15,GZ28*INDEX($T$20:$T$91,$FJ29-GZ$19)^2/INDEX($U$20:$U$91,$FJ29-GZ$19))))</f>
        <v/>
      </c>
      <c r="HA29" s="150" t="str">
        <f aca="false">IF(HA$19&gt;$FJ29,"",MAX(0,IF(HA$19=$FJ29,$S29^2*HA$15,HA28*INDEX($T$20:$T$91,$FJ29-HA$19)^2/INDEX($U$20:$U$91,$FJ29-HA$19))))</f>
        <v/>
      </c>
      <c r="HB29" s="150" t="str">
        <f aca="false">IF(HB$19&gt;$FJ29,"",MAX(0,IF(HB$19=$FJ29,$S29^2*HB$15,HB28*INDEX($T$20:$T$91,$FJ29-HB$19)^2/INDEX($U$20:$U$91,$FJ29-HB$19))))</f>
        <v/>
      </c>
      <c r="HC29" s="150" t="str">
        <f aca="false">IF(HC$19&gt;$FJ29,"",MAX(0,IF(HC$19=$FJ29,$S29^2*HC$15,HC28*INDEX($T$20:$T$91,$FJ29-HC$19)^2/INDEX($U$20:$U$91,$FJ29-HC$19))))</f>
        <v/>
      </c>
      <c r="HD29" s="150" t="str">
        <f aca="false">IF(HD$19&gt;$FJ29,"",MAX(0,IF(HD$19=$FJ29,$S29^2*HD$15,HD28*INDEX($T$20:$T$91,$FJ29-HD$19)^2/INDEX($U$20:$U$91,$FJ29-HD$19))))</f>
        <v/>
      </c>
      <c r="HE29" s="150" t="str">
        <f aca="false">IF(HE$19&gt;$FJ29,"",MAX(0,IF(HE$19=$FJ29,$S29^2*HE$15,HE28*INDEX($T$20:$T$91,$FJ29-HE$19)^2/INDEX($U$20:$U$91,$FJ29-HE$19))))</f>
        <v/>
      </c>
      <c r="HF29" s="150" t="str">
        <f aca="false">IF(HF$19&gt;$FJ29,"",MAX(0,IF(HF$19=$FJ29,$S29^2*HF$15,HF28*INDEX($T$20:$T$91,$FJ29-HF$19)^2/INDEX($U$20:$U$91,$FJ29-HF$19))))</f>
        <v/>
      </c>
      <c r="HG29" s="150" t="str">
        <f aca="false">IF(HG$19&gt;$FJ29,"",MAX(0,IF(HG$19=$FJ29,$S29^2*HG$15,HG28*INDEX($T$20:$T$91,$FJ29-HG$19)^2/INDEX($U$20:$U$91,$FJ29-HG$19))))</f>
        <v/>
      </c>
      <c r="HH29" s="150" t="str">
        <f aca="false">IF(HH$19&gt;$FJ29,"",MAX(0,IF(HH$19=$FJ29,$S29^2*HH$15,HH28*INDEX($T$20:$T$91,$FJ29-HH$19)^2/INDEX($U$20:$U$91,$FJ29-HH$19))))</f>
        <v/>
      </c>
      <c r="HI29" s="150" t="str">
        <f aca="false">IF(HI$19&gt;$FJ29,"",MAX(0,IF(HI$19=$FJ29,$S29^2*HI$15,HI28*INDEX($T$20:$T$91,$FJ29-HI$19)^2/INDEX($U$20:$U$91,$FJ29-HI$19))))</f>
        <v/>
      </c>
      <c r="HJ29" s="150" t="str">
        <f aca="false">IF(HJ$19&gt;$FJ29,"",MAX(0,IF(HJ$19=$FJ29,$S29^2*HJ$15,HJ28*INDEX($T$20:$T$91,$FJ29-HJ$19)^2/INDEX($U$20:$U$91,$FJ29-HJ$19))))</f>
        <v/>
      </c>
      <c r="HK29" s="150" t="str">
        <f aca="false">IF(HK$19&gt;$FJ29,"",MAX(0,IF(HK$19=$FJ29,$S29^2*HK$15,HK28*INDEX($T$20:$T$91,$FJ29-HK$19)^2/INDEX($U$20:$U$91,$FJ29-HK$19))))</f>
        <v/>
      </c>
      <c r="HL29" s="150" t="str">
        <f aca="false">IF(HL$19&gt;$FJ29,"",MAX(0,IF(HL$19=$FJ29,$S29^2*HL$15,HL28*INDEX($T$20:$T$91,$FJ29-HL$19)^2/INDEX($U$20:$U$91,$FJ29-HL$19))))</f>
        <v/>
      </c>
      <c r="HM29" s="150" t="str">
        <f aca="false">IF(HM$19&gt;$FJ29,"",MAX(0,IF(HM$19=$FJ29,$S29^2*HM$15,HM28*INDEX($T$20:$T$91,$FJ29-HM$19)^2/INDEX($U$20:$U$91,$FJ29-HM$19))))</f>
        <v/>
      </c>
      <c r="HN29" s="150" t="str">
        <f aca="false">IF(HN$19&gt;$FJ29,"",MAX(0,IF(HN$19=$FJ29,$S29^2*HN$15,HN28*INDEX($T$20:$T$91,$FJ29-HN$19)^2/INDEX($U$20:$U$91,$FJ29-HN$19))))</f>
        <v/>
      </c>
      <c r="HO29" s="150" t="str">
        <f aca="false">IF(HO$19&gt;$FJ29,"",MAX(0,IF(HO$19=$FJ29,$S29^2*HO$15,HO28*INDEX($T$20:$T$91,$FJ29-HO$19)^2/INDEX($U$20:$U$91,$FJ29-HO$19))))</f>
        <v/>
      </c>
      <c r="HP29" s="150" t="str">
        <f aca="false">IF(HP$19&gt;$FJ29,"",MAX(0,IF(HP$19=$FJ29,$S29^2*HP$15,HP28*INDEX($T$20:$T$91,$FJ29-HP$19)^2/INDEX($U$20:$U$91,$FJ29-HP$19))))</f>
        <v/>
      </c>
      <c r="HQ29" s="150" t="str">
        <f aca="false">IF(HQ$19&gt;$FJ29,"",MAX(0,IF(HQ$19=$FJ29,$S29^2*HQ$15,HQ28*INDEX($T$20:$T$91,$FJ29-HQ$19)^2/INDEX($U$20:$U$91,$FJ29-HQ$19))))</f>
        <v/>
      </c>
      <c r="HR29" s="150" t="str">
        <f aca="false">IF(HR$19&gt;$FJ29,"",MAX(0,IF(HR$19=$FJ29,$S29^2*HR$15,HR28*INDEX($T$20:$T$91,$FJ29-HR$19)^2/INDEX($U$20:$U$91,$FJ29-HR$19))))</f>
        <v/>
      </c>
      <c r="HS29" s="150" t="str">
        <f aca="false">IF(HS$19&gt;$FJ29,"",MAX(0,IF(HS$19=$FJ29,$S29^2*HS$15,HS28*INDEX($T$20:$T$91,$FJ29-HS$19)^2/INDEX($U$20:$U$91,$FJ29-HS$19))))</f>
        <v/>
      </c>
      <c r="HT29" s="150" t="str">
        <f aca="false">IF(HT$19&gt;$FJ29,"",MAX(0,IF(HT$19=$FJ29,$S29^2*HT$15,HT28*INDEX($T$20:$T$91,$FJ29-HT$19)^2/INDEX($U$20:$U$91,$FJ29-HT$19))))</f>
        <v/>
      </c>
      <c r="HU29" s="150" t="str">
        <f aca="false">IF(HU$19&gt;$FJ29,"",MAX(0,IF(HU$19=$FJ29,$S29^2*HU$15,HU28*INDEX($T$20:$T$91,$FJ29-HU$19)^2/INDEX($U$20:$U$91,$FJ29-HU$19))))</f>
        <v/>
      </c>
      <c r="HV29" s="150" t="str">
        <f aca="false">IF(HV$19&gt;$FJ29,"",MAX(0,IF(HV$19=$FJ29,$S29^2*HV$15,HV28*INDEX($T$20:$T$91,$FJ29-HV$19)^2/INDEX($U$20:$U$91,$FJ29-HV$19))))</f>
        <v/>
      </c>
      <c r="HW29" s="150" t="str">
        <f aca="false">IF(HW$19&gt;$FJ29,"",MAX(0,IF(HW$19=$FJ29,$S29^2*HW$15,HW28*INDEX($T$20:$T$91,$FJ29-HW$19)^2/INDEX($U$20:$U$91,$FJ29-HW$19))))</f>
        <v/>
      </c>
      <c r="HX29" s="150" t="str">
        <f aca="false">IF(HX$19&gt;$FJ29,"",MAX(0,IF(HX$19=$FJ29,$S29^2*HX$15,HX28*INDEX($T$20:$T$91,$FJ29-HX$19)^2/INDEX($U$20:$U$91,$FJ29-HX$19))))</f>
        <v/>
      </c>
      <c r="HY29" s="150" t="str">
        <f aca="false">IF(HY$19&gt;$FJ29,"",MAX(0,IF(HY$19=$FJ29,$S29^2*HY$15,HY28*INDEX($T$20:$T$91,$FJ29-HY$19)^2/INDEX($U$20:$U$91,$FJ29-HY$19))))</f>
        <v/>
      </c>
      <c r="HZ29" s="150" t="str">
        <f aca="false">IF(HZ$19&gt;$FJ29,"",MAX(0,IF(HZ$19=$FJ29,$S29^2*HZ$15,HZ28*INDEX($T$20:$T$91,$FJ29-HZ$19)^2/INDEX($U$20:$U$91,$FJ29-HZ$19))))</f>
        <v/>
      </c>
      <c r="IA29" s="150" t="str">
        <f aca="false">IF(IA$19&gt;$FJ29,"",MAX(0,IF(IA$19=$FJ29,$S29^2*IA$15,IA28*INDEX($T$20:$T$91,$FJ29-IA$19)^2/INDEX($U$20:$U$91,$FJ29-IA$19))))</f>
        <v/>
      </c>
      <c r="IB29" s="150" t="str">
        <f aca="false">IF(IB$19&gt;$FJ29,"",MAX(0,IF(IB$19=$FJ29,$S29^2*IB$15,IB28*INDEX($T$20:$T$91,$FJ29-IB$19)^2/INDEX($U$20:$U$91,$FJ29-IB$19))))</f>
        <v/>
      </c>
      <c r="IC29" s="150" t="str">
        <f aca="false">IF(IC$19&gt;$FJ29,"",MAX(0,IF(IC$19=$FJ29,$S29^2*IC$15,IC28*INDEX($T$20:$T$91,$FJ29-IC$19)^2/INDEX($U$20:$U$91,$FJ29-IC$19))))</f>
        <v/>
      </c>
      <c r="ID29" s="572" t="str">
        <f aca="false">IF(ID$19&gt;$FJ29,"",MAX(0,IF(ID$19=$FJ29,$S29^2*ID$15,ID28*INDEX($T$20:$T$91,$FJ29-ID$19)^2/INDEX($U$20:$U$91,$FJ29-ID$19))))</f>
        <v/>
      </c>
      <c r="IE29" s="129"/>
    </row>
    <row r="30" customFormat="false" ht="13.5" hidden="false" customHeight="true" outlineLevel="0" collapsed="false">
      <c r="A30" s="76"/>
      <c r="B30" s="5"/>
      <c r="C30" s="5"/>
      <c r="D30" s="5"/>
      <c r="E30" s="5"/>
      <c r="F30" s="5"/>
      <c r="G30" s="5"/>
      <c r="H30" s="219" t="n">
        <f aca="false">VLOOKUP(I30,$EJ$20:$EL$54,3)</f>
        <v>0</v>
      </c>
      <c r="I30" s="511" t="n">
        <f aca="false">EOMONTH(I29,0)+1</f>
        <v>37073</v>
      </c>
      <c r="J30" s="512"/>
      <c r="K30" s="513" t="s">
        <v>226</v>
      </c>
      <c r="L30" s="514" t="e">
        <f aca="false">IF(ISNUMBER(K30),J30+K30/100,IF(K30="extra",L29+VLOOKUP(BF30,PriceSpreadTable,2)/12,IF(K30="inter",interpolateprices($K$19:$L$200,ROW(K30)-ROW(FirstPricingMonth)+1),interpolatechanges($J$19:$K$200,ROW(K30)-ROW(FirstPricingMonth)+1))))</f>
        <v>#VALUE!</v>
      </c>
      <c r="M30" s="515"/>
      <c r="N30" s="516" t="n">
        <v>0</v>
      </c>
      <c r="O30" s="515" t="n">
        <f aca="false">M30+N30</f>
        <v>0</v>
      </c>
      <c r="P30" s="512"/>
      <c r="Q30" s="517" t="s">
        <v>226</v>
      </c>
      <c r="R30" s="512" t="e">
        <f aca="false">IF(ISNUMBER(Q30),P30+Q30/100,IF(Q30="extra",(Z28*AL28-R29*AM28)/AN28,IF(Q30="inter",interpolateprices($Q$19:$R$260,ROW(Q30)-ROW(FirstPricingMonth)+1),interpolatechanges($P$19:$Q$260,ROW(Q30)-ROW(FirstPricingMonth)+1))))</f>
        <v>#VALUE!</v>
      </c>
      <c r="S30" s="597" t="n">
        <f aca="false">S$19+(S29-S$19)*S$18</f>
        <v>0.363003387451172</v>
      </c>
      <c r="T30" s="575" t="n">
        <f aca="false">SQRT((1-(1-T29^2/U29)*T$18)*U30)</f>
        <v>0.975855681992418</v>
      </c>
      <c r="U30" s="576" t="n">
        <f aca="false">1-(1-U29)*U$18</f>
        <v>0.999155297279358</v>
      </c>
      <c r="V30" s="521" t="n">
        <v>0</v>
      </c>
      <c r="W30" s="577" t="n">
        <f aca="false">(J31*AJ30+J32*AK30)/AI30</f>
        <v>0</v>
      </c>
      <c r="X30" s="578" t="e">
        <f aca="false">(L31*AJ30+L32*AK30)/AI30</f>
        <v>#VALUE!</v>
      </c>
      <c r="Y30" s="579" t="n">
        <f aca="false">IF(Q32="extra",W30-AA30,(P31*AM30+P32*AN30)/AL30)</f>
        <v>0</v>
      </c>
      <c r="Z30" s="579" t="e">
        <f aca="false">IF(Q32="extra",X30-AB30,(R31*AM30+R32*AN30)/AL30)</f>
        <v>#VALUE!</v>
      </c>
      <c r="AA30" s="523" t="n">
        <f aca="false">IF(Q32="extra",INDEX(BrentSeasonalityTable,INT((BG30-1)/3)+1)*VLOOKUP(MAX(BF30,$AB$4),PriceSpreadTable,3),W30-Y30)</f>
        <v>0</v>
      </c>
      <c r="AB30" s="524" t="e">
        <f aca="false">IF(Q32="extra",INDEX(BrentSeasonalityTable,INT((BG30-1)/3)+1)*VLOOKUP(MAX(BF30,$AB$4),PriceSpreadTable,3),X30-Z30)</f>
        <v>#VALUE!</v>
      </c>
      <c r="AC30" s="525" t="n">
        <v>37062</v>
      </c>
      <c r="AD30" s="526" t="n">
        <v>37057</v>
      </c>
      <c r="AE30" s="526" t="n">
        <v>37057</v>
      </c>
      <c r="AF30" s="527" t="n">
        <v>37054</v>
      </c>
      <c r="AG30" s="438" t="s">
        <v>224</v>
      </c>
      <c r="AH30" s="439" t="s">
        <v>224</v>
      </c>
      <c r="AI30" s="528" t="n">
        <v>21</v>
      </c>
      <c r="AJ30" s="529" t="n">
        <v>14</v>
      </c>
      <c r="AK30" s="529" t="n">
        <v>7</v>
      </c>
      <c r="AL30" s="530" t="n">
        <v>22</v>
      </c>
      <c r="AM30" s="529" t="n">
        <v>10</v>
      </c>
      <c r="AN30" s="531" t="n">
        <v>12</v>
      </c>
      <c r="AO30" s="532"/>
      <c r="AP30" s="465" t="n">
        <f aca="false">(1+AO30/2)^(-2*BL30)</f>
        <v>1</v>
      </c>
      <c r="AQ30" s="532"/>
      <c r="AR30" s="465" t="n">
        <f aca="false">(1+AQ30/2)^(-2*BH30/365.25)</f>
        <v>1</v>
      </c>
      <c r="AS30" s="580" t="n">
        <f aca="false">(O31*AJ30+O32*AK30)/AI30</f>
        <v>0</v>
      </c>
      <c r="AT30" s="468" t="n">
        <f aca="false">O30*VLOOKUP(BF30,BrentVolTable,2)+VLOOKUP(BF30,BrentVolTable,3)</f>
        <v>0</v>
      </c>
      <c r="AU30" s="468" t="n">
        <f aca="false">(AT31*AM30+AT32*AN30)/AL30</f>
        <v>0</v>
      </c>
      <c r="AV30" s="595" t="n">
        <f aca="false">SQRT(MAX(0.000000000001,(O30^2*BH30-S30^2*(BH30-BH29))/BH29))</f>
        <v>0.0207246822859514</v>
      </c>
      <c r="AW30" s="451" t="n">
        <f aca="false">IF($I30-DateToday+15&gt;=$T$8,"",IF($I30-DateToday+15&lt;$T$5,1,MATCH($I30-DateToday+15,$T$5:$T$8)))</f>
        <v>1</v>
      </c>
      <c r="AX30" s="468" t="n">
        <f aca="false">IF($AW30="",AX29^2/AX28,INDEX(U$5:U$8,$AW30)^((INDEX($T$5:$T$8,$AW30+1)-($I30-DateToday+15))/(INDEX($T$5:$T$8,$AW30+1)-INDEX($T$5:$T$8,$AW30)))/INDEX(U$5:U$8,$AW30+1)^((INDEX($T$5:$T$8,$AW30)-($I30-DateToday+15))/(INDEX($T$5:$T$8,$AW30+1)-INDEX($T$5:$T$8,$AW30))))</f>
        <v>10.1440840187145</v>
      </c>
      <c r="AY30" s="468" t="n">
        <f aca="false">IF($AW30="",AY29^2/AY28,INDEX(V$5:V$8,$AW30)^((INDEX($T$5:$T$8,$AW30+1)-($I30-DateToday+15))/(INDEX($T$5:$T$8,$AW30+1)-INDEX($T$5:$T$8,$AW30)))/INDEX(V$5:V$8,$AW30+1)^((INDEX($T$5:$T$8,$AW30)-($I30-DateToday+15))/(INDEX($T$5:$T$8,$AW30+1)-INDEX($T$5:$T$8,$AW30))))</f>
        <v>3430.53906269646</v>
      </c>
      <c r="AZ30" s="468" t="n">
        <f aca="false">IF($AW30="",AZ29^2/AZ28,INDEX(W$5:W$8,$AW30)^((INDEX($T$5:$T$8,$AW30+1)-($I30-DateToday+15))/(INDEX($T$5:$T$8,$AW30+1)-INDEX($T$5:$T$8,$AW30)))/INDEX(W$5:W$8,$AW30+1)^((INDEX($T$5:$T$8,$AW30)-($I30-DateToday+15))/(INDEX($T$5:$T$8,$AW30+1)-INDEX($T$5:$T$8,$AW30))))</f>
        <v>308813644.952351</v>
      </c>
      <c r="BA30" s="468" t="n">
        <f aca="false">IF($AW30="",BA29^2/BA28,INDEX(X$5:X$8,$AW30)^((INDEX($T$5:$T$8,$AW30+1)-($I30-DateToday+15))/(INDEX($T$5:$T$8,$AW30+1)-INDEX($T$5:$T$8,$AW30)))/INDEX(X$5:X$8,$AW30+1)^((INDEX($T$5:$T$8,$AW30)-($I30-DateToday+15))/(INDEX($T$5:$T$8,$AW30+1)-INDEX($T$5:$T$8,$AW30))))</f>
        <v>32631578755.4385</v>
      </c>
      <c r="BB30" s="468" t="n">
        <f aca="false">IF($AW30="",BB29^2/BB28,INDEX(Y$5:Y$8,$AW30)^((INDEX($T$5:$T$8,$AW30+1)-($I30-DateToday+15))/(INDEX($T$5:$T$8,$AW30+1)-INDEX($T$5:$T$8,$AW30)))/INDEX(Y$5:Y$8,$AW30+1)^((INDEX($T$5:$T$8,$AW30)-($I30-DateToday+15))/(INDEX($T$5:$T$8,$AW30+1)-INDEX($T$5:$T$8,$AW30))))</f>
        <v>817480652078.446</v>
      </c>
      <c r="BC30" s="468" t="n">
        <f aca="false">IF($AW30="",BC29^2/BC28,INDEX(Z$5:Z$8,$AW30)^((INDEX($T$5:$T$8,$AW30+1)-($I30-DateToday+15))/(INDEX($T$5:$T$8,$AW30+1)-INDEX($T$5:$T$8,$AW30)))/INDEX(Z$5:Z$8,$AW30+1)^((INDEX($T$5:$T$8,$AW30)-($I30-DateToday+15))/(INDEX($T$5:$T$8,$AW30+1)-INDEX($T$5:$T$8,$AW30))))</f>
        <v>5558057245241.19</v>
      </c>
      <c r="BD30" s="535" t="n">
        <f aca="false">IF(OR(DateStart&gt;=I31,DateEnd&lt;I30),0,IF(VolumeOverrideFlag,V30,Volume))</f>
        <v>30</v>
      </c>
      <c r="BE30" s="536" t="n">
        <f aca="false">IF(OR(DateStart2&gt;=I31,DateEnd2&lt;I30),0,IF(VolumeOverrideFlag,V30,VolumeSwaption))</f>
        <v>30</v>
      </c>
      <c r="BF30" s="537" t="n">
        <f aca="false">YEAR(I30)</f>
        <v>2001</v>
      </c>
      <c r="BG30" s="538" t="n">
        <f aca="false">MONTH(I30)</f>
        <v>7</v>
      </c>
      <c r="BH30" s="539" t="n">
        <f aca="false">AD30-DateToday+1</f>
        <v>-8868</v>
      </c>
      <c r="BI30" s="540" t="n">
        <f aca="false">(I30-DateToday+1)/365.25</f>
        <v>-24.2354551676934</v>
      </c>
      <c r="BJ30" s="541" t="n">
        <f aca="false">BI30+(BL30-BI30)*CHOOSE(Underlying,AJ30/AI30,AM30/AL30)</f>
        <v>-24.1806981519507</v>
      </c>
      <c r="BK30" s="541" t="n">
        <f aca="false">BJ30+1/365.25</f>
        <v>-24.1779603011636</v>
      </c>
      <c r="BL30" s="541" t="n">
        <f aca="false">(I31-DateToday)/365.25</f>
        <v>-24.1533196440794</v>
      </c>
      <c r="BM30" s="542" t="e">
        <f aca="false">MAX(BI30-(BJ30-BI30)*(S31^2/O31^2-1),0)</f>
        <v>#DIV/0!</v>
      </c>
      <c r="BN30" s="541" t="e">
        <f aca="false">MAX(BL30+(BL30-BK30)*(S32^2/O32^2-1),0)</f>
        <v>#DIV/0!</v>
      </c>
      <c r="BO30" s="530" t="n">
        <f aca="false">CHOOSE(Underlying,AI30,AL30)</f>
        <v>21</v>
      </c>
      <c r="BP30" s="529" t="n">
        <f aca="false">CHOOSE(Underlying,AJ30,AM30)</f>
        <v>14</v>
      </c>
      <c r="BQ30" s="529" t="n">
        <f aca="false">CHOOSE(Underlying,AK30,AN30)</f>
        <v>7</v>
      </c>
      <c r="BR30" s="463" t="e">
        <f aca="false">IF(BD30,IF(Underlying=1,X30,Z30)+UnderlyingPriceAsian-SwapPriceCurve,"")</f>
        <v>#VALUE!</v>
      </c>
      <c r="BS30" s="463" t="e">
        <f aca="false">IF(BD30,Strike1/BR30-1,"")</f>
        <v>#VALUE!</v>
      </c>
      <c r="BT30" s="464" t="e">
        <f aca="false">IF(BD30,Strike2/BR30-1,"")</f>
        <v>#VALUE!</v>
      </c>
      <c r="BU30" s="465" t="e">
        <f aca="false">IF(BD30,IF(Underlying=1,L31,R31)+UnderlyingPriceAsian-SwapPriceCurve,"")</f>
        <v>#VALUE!</v>
      </c>
      <c r="BV30" s="465" t="e">
        <f aca="false">IF(BD30,IF(Underlying=1,L32,R32)+UnderlyingPriceAsian-SwapPriceCurve,"")</f>
        <v>#VALUE!</v>
      </c>
      <c r="BW30" s="466" t="n">
        <f aca="false">IF(BD30,IF(Underlying=1,O31,AT31),"")</f>
        <v>0</v>
      </c>
      <c r="BX30" s="467" t="n">
        <f aca="false">IF(BD30,IF(Underlying=1,O32,AT32),"")</f>
        <v>0</v>
      </c>
      <c r="BY30" s="466" t="e">
        <f aca="false">IF(BD30,IF(BS30&gt;0,IF(BS30&gt;0.2,BC30-BB30,IF(BS30&gt;0.1,BB30-BA30,BA30)),IF(BS30&lt;-0.2,AX30-AY30,IF(BS30&lt;-0.1,AY30-AZ30,AZ30))),"")</f>
        <v>#VALUE!</v>
      </c>
      <c r="BZ30" s="467" t="e">
        <f aca="false">IF(BD30,IF(BT30&gt;0,IF(BT30&gt;0.2,BC30-BB30,IF(BT30&gt;0.1,BB30-BA30,BA30)),IF(BT30&lt;-0.2,AX30-AY30,IF(BT30&lt;-0.1,AY30-AZ30,AZ30))),"")</f>
        <v>#VALUE!</v>
      </c>
      <c r="CA30" s="468" t="e">
        <f aca="false">IF($BD30,$BW30+IF(VolSkewFlag=1,IF(BS30&gt;0,$BA30*MIN(BS30/10%,1)+($BB30-$BA30)*MAX(0,MIN(BS30/10%-1,1))+($BC30-$BB30)*MAX(0,BS30/10%-2),$AZ30*MIN(-BS30/10%,1)+($AY30-$AZ30)*MAX(0,MIN(-BS30/10%-1,1))+($AX30-$AY30)*MAX(0,-BS30/10%-2)),0),"")</f>
        <v>#VALUE!</v>
      </c>
      <c r="CB30" s="468" t="e">
        <f aca="false">IF($BD30,$BX30+IF(VolSkewFlag=1,IF(BS30&gt;0,$BA30*MIN(BS30/10%,1)+($BB30-$BA30)*MAX(0,MIN(BS30/10%-1,1))+($BC30-$BB30)*MAX(0,BS30/10%-2),$AZ30*MIN(-BS30/10%,1)+($AY30-$AZ30)*MAX(0,MIN(-BS30/10%-1,1))+($AX30-$AY30)*MAX(0,-BS30/10%-2)),0),"")</f>
        <v>#VALUE!</v>
      </c>
      <c r="CC30" s="468" t="e">
        <f aca="false">IF($BD30,$BW30+IF(VolSkewFlag=1,IF(BT30&gt;0,$BA30*MIN(BT30/10%,1)+($BB30-$BA30)*MAX(0,MIN(BT30/10%-1,1))+($BC30-$BB30)*MAX(0,BT30/10%-2),$AZ30*MIN(-BT30/10%,1)+($AY30-$AZ30)*MAX(0,MIN(-BT30/10%-1,1))+($AX30-$AY30)*MAX(0,-BT30/10%-2)),0),"")</f>
        <v>#VALUE!</v>
      </c>
      <c r="CD30" s="468" t="e">
        <f aca="false">IF($BD30,$BX30+IF(VolSkewFlag=1,IF(BT30&gt;0,$BA30*MIN(BT30/10%,1)+($BB30-$BA30)*MAX(0,MIN(BT30/10%-1,1))+($BC30-$BB30)*MAX(0,BT30/10%-2),$AZ30*MIN(-BT30/10%,1)+($AY30-$AZ30)*MAX(0,MIN(-BT30/10%-1,1))+($AX30-$AY30)*MAX(0,-BT30/10%-2)),0),"")</f>
        <v>#VALUE!</v>
      </c>
      <c r="CE30" s="469" t="n">
        <v>1</v>
      </c>
      <c r="CF30" s="470" t="e">
        <f aca="false">IF(BD30,xCrudeAPO(BU30,BV30,CA30,CB30,S31,S32,BI30,BL30,BP30,BQ30,0,Strike1,AO30,CE30,0,BL30,IF(OptControl=4,0,1),0,1),0)</f>
        <v>#NAME?</v>
      </c>
      <c r="CG30" s="470" t="e">
        <f aca="false">IF(BD30,xCrudeAPO(BU30,BV30,CA30,CB30,S31,S32,BI30,BL30,BP30,BQ30,0,Strike1,AO30,CE30,0,BL30,IF(OptControl=4,0,1),1,1)+xCrudeAPO(BU30,BV30,CA30,CB30,S31,S32,BI30,BL30,BP30,BQ30,0,Strike1,AO30,CE30,0,BL30,IF(OptControl=4,0,1),1,2)+IF(OR(VolSkewFlag=2,ABS(BS30)&lt;0.0001),0,IF(BS30&gt;0,-1,1)*CH30*Strike1/BR30^2*BY30/10%),0)</f>
        <v>#NAME?</v>
      </c>
      <c r="CH30" s="470" t="e">
        <f aca="false">IF(BD30,(xCrudeAPO(BU30,BV30,CA30,CB30,S31,S32,BI30,BL30,BP30,BQ30,0,Strike1,AO30,CE30,0,BL30,IF(OptControl=4,0,1),3,1)+xCrudeAPO(BU30,BV30,CA30,CB30,S31,S32,BI30,BL30,BP30,BQ30,0,Strike1,AO30,CE30,0,BL30,IF(OptControl=4,0,1),3,2))/100,0)</f>
        <v>#NAME?</v>
      </c>
      <c r="CI30" s="470" t="e">
        <f aca="false">IF(BD30,xCrudeAPO(BU30,BV30,CA30,CB30,S31,S32,BI30-DaysForThetaCalculation/365.25,BL30-DaysForThetaCalculation/365.25,BP30,BQ30,0,Strike1,AO30,CE30,0,BL30,IF(OptControl=4,0,1),0,1)-xCrudeAPO(BU30,BV30,CA30,CB30,S31,S32,BI30,BL30,BP30,BQ30,0,Strike1,AO30,CE30,0,BL30,IF(OptControl=4,0,1),0,1),0)</f>
        <v>#NAME?</v>
      </c>
      <c r="CJ30" s="471" t="e">
        <f aca="false">IF(BD30,xCrudeAPO(BU30,BV30,CC30,CD30,S31,S32,BI30,BL30,BP30,BQ30,0,Strike2,AO30,CE30,0,BL30,IF(OptControl=3,1,0),0,1),0)</f>
        <v>#NAME?</v>
      </c>
      <c r="CK30" s="470" t="e">
        <f aca="false">IF(BD30,xCrudeAPO(BU30,BV30,CC30,CD30,S31,S32,BI30,BL30,BP30,BQ30,0,Strike2,AO30,CE30,0,BL30,IF(OptControl=3,1,0),1,1)+xCrudeAPO(BU30,BV30,CC30,CD30,S31,S32,BI30,BL30,BP30,BQ30,0,Strike2,AO30,CE30,0,BL30,IF(OptControl=3,1,0),1,2)+IF(OR(VolSkewFlag=2,ABS(BT30)&lt;0.0001),0,IF(BT30&gt;0,-1,1)*CL30*Strike2/BR30^2*BZ30/10%),0)</f>
        <v>#NAME?</v>
      </c>
      <c r="CL30" s="470" t="e">
        <f aca="false">IF(BD30,(xCrudeAPO(BU30,BV30,CC30,CD30,S31,S32,BI30,BL30,BP30,BQ30,0,Strike2,AO30,CE30,0,BL30,IF(OptControl=3,1,0),3,1)+xCrudeAPO(BU30,BV30,CC30,CD30,S31,S32,BI30,BL30,BP30,BQ30,0,Strike2,AO30,CE30,0,BL30,IF(OptControl=3,1,0),3,2))/100,0)</f>
        <v>#NAME?</v>
      </c>
      <c r="CM30" s="472" t="e">
        <f aca="false">IF(BD30,xCrudeAPO(BU30,BV30,CC30,CD30,S31,S32,BI30-DaysForThetaCalculation/365.25,BL30-DaysForThetaCalculation/365.25,BP30,BQ30,0,Strike2,AO30,CE30,0,BL30,IF(OptControl=3,1,0),0,1)-xCrudeAPO(BU30,BV30,CC30,CD30,S31,S32,BI30,BL30,BP30,BQ30,0,Strike2,AO30,CE30,0,BL30,IF(OptControl=3,1,0),0,1),0)</f>
        <v>#NAME?</v>
      </c>
      <c r="CN30" s="473"/>
      <c r="CO30" s="543" t="n">
        <f aca="false">IF(BD30,CHOOSE(Underlying,AD30,AF30)-DateToday+1,"")</f>
        <v>-8868</v>
      </c>
      <c r="CP30" s="582" t="e">
        <f aca="false">IF(BD30,CHOOSE(Underlying,L30,R30),"")</f>
        <v>#VALUE!</v>
      </c>
      <c r="CQ30" s="544" t="e">
        <f aca="false">IF(BD30,Strike1/CP30-1,"")</f>
        <v>#VALUE!</v>
      </c>
      <c r="CR30" s="544" t="e">
        <f aca="false">IF(BD30,Strike2/CP30-1,"")</f>
        <v>#VALUE!</v>
      </c>
      <c r="CS30" s="544" t="e">
        <f aca="false">IF(BD30,IF(CQ30&gt;0,IF(CQ30&gt;0.2,BC29-BB29,IF(CQ30&gt;0.1,BB29-BA29,BA29)),IF(CQ30&lt;-0.2,AX29-AY29,IF(CQ30&lt;-0.1,AY29-AZ29,AZ29))),"")</f>
        <v>#VALUE!</v>
      </c>
      <c r="CT30" s="544" t="e">
        <f aca="false">IF(BD30,IF(CR30&gt;0,IF(CR30&gt;0.2,BC29-BB29,IF(CR30&gt;0.1,BB29-BA29,BA29)),IF(CR30&lt;-0.2,AX29-AY29,IF(CR30&lt;-0.1,AY29-AZ29,AZ29))),"")</f>
        <v>#VALUE!</v>
      </c>
      <c r="CU30" s="545" t="n">
        <f aca="false">IF(BD30,CHOOSE(Underlying,O30,AT30),"")</f>
        <v>0</v>
      </c>
      <c r="CV30" s="545" t="e">
        <f aca="false">IF(BD30,CU30+IF(VolSkewFlag=1,IF(CQ30&gt;0,BA29*MIN(CQ30/10%,1)+(BB29-BA29)*MAX(0,MIN(CQ30/10%-1,1))+(BC29-BB29)*MAX(0,CQ30/10%-2),AZ29*MIN(-CQ30/10%,1)+(AY29-AZ29)*MAX(0,MIN(-CQ30/10%-1,1))+(AX29-AY29)*MAX(0,-CQ30/10%-2)),0),"")</f>
        <v>#VALUE!</v>
      </c>
      <c r="CW30" s="545" t="e">
        <f aca="false">IF(BD30,CU30+IF(VolSkewFlag=1,IF(CR30&gt;0,BA29*MIN(CR30/10%,1)+(BB29-BA29)*MAX(0,MIN(CR30/10%-1,1))+(BC29-BB29)*MAX(0,CR30/10%-2),AZ29*MIN(-CR30/10%,1)+(AY29-AZ29)*MAX(0,MIN(-CR30/10%-1,1))+(AX29-AY29)*MAX(0,-CR30/10%-2)),0),"")</f>
        <v>#VALUE!</v>
      </c>
      <c r="CX30" s="470" t="e">
        <f aca="false">IF(BD30,EURO(CP30,Strike1,AO30,AO30,CV30,CO30,IF(OptControl=4,0,1),0),0)</f>
        <v>#NAME?</v>
      </c>
      <c r="CY30" s="470" t="e">
        <f aca="false">IF(BD30,EURO(CP30,Strike1,AO30,AO30,CV30,CO30,IF(OptControl=4,0,1),1)+IF(OR(VolSkewFlag=2,ABS(CQ30)&lt;0.0001),0,IF(CQ30&gt;0,-1,1)*CZ30*100*Strike1/CP30^2*CS30/10%),0)</f>
        <v>#NAME?</v>
      </c>
      <c r="CZ30" s="470" t="e">
        <f aca="false">IF(BD30,EURO(CP30,Strike1,AO30,AO30,CV30,CO30,IF(OptControl=4,0,1),3)/100,0)</f>
        <v>#NAME?</v>
      </c>
      <c r="DA30" s="470" t="e">
        <f aca="false">IF(BD30,EURO(CP30,Strike1,AO30,AO30,CV30,CO30,IF(OptControl=4,0,1),0)-EURO(CP30,Strike1,AO30,AO30,CV30,CO30-1,IF(OptControl=4,0,1),0),0)</f>
        <v>#NAME?</v>
      </c>
      <c r="DB30" s="470" t="e">
        <f aca="false">IF(BD30,EURO(CP30,Strike2,AO30,AO30,CW30,CO30,IF(OptControl=3,1,0),0),0)</f>
        <v>#NAME?</v>
      </c>
      <c r="DC30" s="470" t="e">
        <f aca="false">IF(BD30,EURO(CP30,Strike2,AO30,AO30,CW30,CO30,IF(OptControl=3,1,0),1)+IF(OR(VolSkewFlag=2,ABS(CR30)&lt;0.0001),0,IF(CR30&gt;0,-1,1)*DD30*100*Strike2/CP30^2*CT30/10%),0)</f>
        <v>#NAME?</v>
      </c>
      <c r="DD30" s="470" t="e">
        <f aca="false">IF(BD30,EURO(CP30,Strike2,AO30,AO30,CW30,CO30,IF(OptControl=3,1,0),3)/100,0)</f>
        <v>#NAME?</v>
      </c>
      <c r="DE30" s="472" t="e">
        <f aca="false">IF(BD30,EURO(CP30,Strike2,AO30,AO30,CW30,CO30,IF(OptControl=3,1,0),0)-EURO(CP30,Strike2,AO30,AO30,CW30,CO30-1,IF(OptControl=3,1,0),0),0)</f>
        <v>#NAME?</v>
      </c>
      <c r="DF30" s="473"/>
      <c r="DG30" s="481" t="n">
        <f aca="false">EOMONTH(DG29,0)+1</f>
        <v>45992</v>
      </c>
      <c r="DH30" s="478" t="n">
        <v>24.05</v>
      </c>
      <c r="DI30" s="479" t="n">
        <v>23.4665</v>
      </c>
      <c r="DJ30" s="480" t="n">
        <f aca="false">DG30</f>
        <v>45992</v>
      </c>
      <c r="DK30" s="478" t="n">
        <v>22.75</v>
      </c>
      <c r="DL30" s="479" t="n">
        <v>22.09</v>
      </c>
      <c r="DM30" s="481" t="n">
        <f aca="false">DG30</f>
        <v>45992</v>
      </c>
      <c r="DN30" s="482" t="n">
        <f aca="false">DK30+BrentPhyBrentSpread</f>
        <v>22.8</v>
      </c>
      <c r="DO30" s="481" t="n">
        <f aca="false">DG30</f>
        <v>45992</v>
      </c>
      <c r="DP30" s="483" t="n">
        <f aca="false">DL30+DQ30</f>
        <v>22.44</v>
      </c>
      <c r="DQ30" s="546" t="n">
        <v>0.35</v>
      </c>
      <c r="DR30" s="480" t="n">
        <f aca="false">DG30</f>
        <v>45992</v>
      </c>
      <c r="DS30" s="485" t="n">
        <v>0.271295433925102</v>
      </c>
      <c r="DT30" s="486" t="n">
        <v>0.264791256511306</v>
      </c>
      <c r="DU30" s="480" t="n">
        <f aca="false">DG30</f>
        <v>45992</v>
      </c>
      <c r="DV30" s="485" t="n">
        <v>0.271295433925102</v>
      </c>
      <c r="DW30" s="486" t="n">
        <v>0.264791256511306</v>
      </c>
      <c r="DX30" s="481" t="n">
        <f aca="false">DG30</f>
        <v>45992</v>
      </c>
      <c r="DY30" s="486" t="n">
        <v>0.35015625</v>
      </c>
      <c r="DZ30" s="481" t="n">
        <f aca="false">DR30</f>
        <v>45992</v>
      </c>
      <c r="EA30" s="486" t="n">
        <f aca="false">DT30</f>
        <v>0.264791256511306</v>
      </c>
      <c r="EB30" s="195"/>
      <c r="EC30" s="547" t="n">
        <f aca="false">IF(BD30,IF(Underlying=1,AS30,AU30),"")</f>
        <v>0</v>
      </c>
      <c r="ED30" s="548" t="e">
        <f aca="false">IF($BD30,$EC30+IF(VolSkewFlag=1,IF(BS30&gt;0,$BA30*MIN(BS30/10%,1)+($BB30-$BA30)*MAX(0,MIN(BS30/10%-1,1))+($BC30-$BB30)*MAX(0,BS30/10%-2),$AZ30*MIN(-BS30/10%,1)+($AY30-$AZ30)*MAX(0,MIN(-BS30/10%-1,1))+($AX30-$AY30)*MAX(0,-BS30/10%-2)),0),"")</f>
        <v>#VALUE!</v>
      </c>
      <c r="EE30" s="549" t="e">
        <f aca="false">IF($BD30,$EC30+IF(VolSkewFlag=1,IF(BT30&gt;0,$BA30*MIN(BT30/10%,1)+($BB30-$BA30)*MAX(0,MIN(BT30/10%-1,1))+($BC30-$BB30)*MAX(0,BT30/10%-2),$AZ30*MIN(-BT30/10%,1)+($AY30-$AZ30)*MAX(0,MIN(-BT30/10%-1,1))+($AX30-$AY30)*MAX(0,-BT30/10%-2)),0),"")</f>
        <v>#VALUE!</v>
      </c>
      <c r="EF30" s="550" t="e">
        <f aca="false">IF(BD30,xASN(BR30,Strike1,AO30,ED30,0,BO30,0,BI30,BL30,IF(OptControl=4,0,1),0),0)</f>
        <v>#NAME?</v>
      </c>
      <c r="EG30" s="551" t="e">
        <f aca="false">IF(BD30,xASN(BR30,Strike2,AO30,EE30,0,BO30,0,BI30,BL30,IF(OptControl=3,1,0),0),0)</f>
        <v>#NAME?</v>
      </c>
      <c r="EI30" s="583" t="str">
        <f aca="false">DDE("TWINDDE","RSFRecord","CLc11 MTH")</f>
        <v>JUL1</v>
      </c>
      <c r="EJ30" s="584" t="n">
        <f aca="false">DATEVALUE(CONCATENATE(LEFT(EI30,3),"-",IF(VALUE(RIGHT(EI30,1))=9,"1999",CONCATENATE("200",RIGHT(EI30,1)))))</f>
        <v>37073</v>
      </c>
      <c r="EK30" s="585" t="n">
        <f aca="false">DDE("TWINDDE","RSFRecord","CLc11 NET.CHNG")</f>
        <v>0</v>
      </c>
      <c r="EL30" s="586" t="n">
        <f aca="false">IF(ISNUMBER(VALUE(EK30)),VALUE(EK30)*100,0)</f>
        <v>0</v>
      </c>
      <c r="EM30" s="195"/>
      <c r="EN30" s="556" t="n">
        <v>36892</v>
      </c>
      <c r="EO30" s="557" t="n">
        <v>38353</v>
      </c>
      <c r="EP30" s="195"/>
      <c r="EQ30" s="407" t="s">
        <v>238</v>
      </c>
      <c r="ES30" s="587" t="n">
        <v>11</v>
      </c>
      <c r="ET30" s="559" t="n">
        <f aca="false">BH30/365.25</f>
        <v>-24.2792607802875</v>
      </c>
      <c r="EU30" s="560" t="n">
        <f aca="false">O30^2*ET30</f>
        <v>-0</v>
      </c>
      <c r="EV30" s="588" t="e">
        <f aca="false">SQRT(SUM(FK30:ID30)/ET30)</f>
        <v>#VALUE!</v>
      </c>
      <c r="EW30" s="589" t="n">
        <f aca="false">IF(OR(DateStart2&gt;I29,DateEnd2&lt;I28),"",IF(DateStart2&lt;I29,AK28/AI28*AP28*BE28*SwaptionNumOfMonths/$D$33,0)+IF(DateEnd2&gt;I28,AJ29/AI29*AP29*BE29*SwaptionNumOfMonths/$D$33,0))</f>
        <v>0.971014492753623</v>
      </c>
      <c r="EX30" s="590" t="e">
        <f aca="false">IF(EW30="","",SQRT(SUM(FK335:ID335)/SwaptionYearsToExp))</f>
        <v>#VALUE!</v>
      </c>
      <c r="EY30" s="129" t="n">
        <v>0</v>
      </c>
      <c r="EZ30" s="591" t="n">
        <f aca="false">IF(OR(EW30="",EW31=""),"",SQRT(SUM(INDEX(FK30:ID30,SwaptionFirstMonthPosition+1):INDEX(FK30:ID30,FJ30))/SUM(INDEX($FK$15:$ID$15,SwaptionFirstMonthPosition+1):INDEX($FK$15:$ID$15,FJ30))))</f>
        <v>0.289136808266916</v>
      </c>
      <c r="FA30" s="592" t="n">
        <f aca="false">IF(OR(EW30="",EW29=""),"",SQRT(SUM(INDEX(FK30:ID30,SwaptionFirstMonthPosition+1):INDEX(FK30:ID30,FJ30-1))/SUM(INDEX($FK$15:$ID$15,SwaptionFirstMonthPosition+1):INDEX($FK$15:$ID$15,FJ30-1))))</f>
        <v>0.272999748620488</v>
      </c>
      <c r="FB30" s="593" t="n">
        <f aca="false">IF(BE30,2/3*EZ31+1/3*FA32,"")</f>
        <v>0.272471193804065</v>
      </c>
      <c r="FC30" s="596" t="n">
        <f aca="false">IF(BE30,(I31+I30-1)/2-DateToday,"")</f>
        <v>-8838</v>
      </c>
      <c r="FD30" s="483" t="e">
        <f aca="false">IF(BE30,CHOOSE(Underlying,X30,Z30)+SwaptionUnderlyingPrice-$D$26,"")</f>
        <v>#VALUE!</v>
      </c>
      <c r="FE30" s="483" t="e">
        <f aca="false">IF(BE30,CollartionFloor/FD30-1,"")</f>
        <v>#VALUE!</v>
      </c>
      <c r="FF30" s="483" t="e">
        <f aca="false">IF(BE30,CollartionCap/FD30-1,"")</f>
        <v>#VALUE!</v>
      </c>
      <c r="FG30" s="485" t="e">
        <f aca="false">IF(BE30,IF(VolSkewFlag=1,IF(FE30&gt;0,$BA30*MIN(FE30/10%,1)+($BB30-$BA30)*MAX(0,MIN(FE30/10%-1,1))+($BC30-$BB30)*MAX(0,FE30/10%-2),$AZ30*MIN(-FE30/10%,1)+($AY30-$AZ30)*MAX(0,MIN(-FE30/10%-1,1))+($AX30-$AY30)*MAX(0,-FE30/10%-2)),0),"")</f>
        <v>#VALUE!</v>
      </c>
      <c r="FH30" s="486" t="e">
        <f aca="false">IF(BE30,IF(VolSkewFlag=1,IF(FF30&gt;0,$BA30*MIN(FF30/10%,1)+($BB30-$BA30)*MAX(0,MIN(FF30/10%-1,1))+($BC30-$BB30)*MAX(0,FF30/10%-2),$AZ30*MIN(-FF30/10%,1)+($AY30-$AZ30)*MAX(0,MIN(-FF30/10%-1,1))+($AX30-$AY30)*MAX(0,-FF30/10%-2)),0),"")</f>
        <v>#VALUE!</v>
      </c>
      <c r="FI30" s="129"/>
      <c r="FJ30" s="571" t="n">
        <v>11</v>
      </c>
      <c r="FK30" s="150" t="n">
        <f aca="false">IF(FK$19&gt;$FJ30,"",MAX(0,IF(FK$19=$FJ30,$S30^2*FK$15,FK29*INDEX($T$20:$T$91,$FJ30-FK$19)^2/INDEX($U$20:$U$91,$FJ30-FK$19))))</f>
        <v>0</v>
      </c>
      <c r="FL30" s="150" t="n">
        <f aca="false">IF(FL$19&gt;$FJ30,"",MAX(0,IF(FL$19=$FJ30,$S30^2*FL$15,FL29*INDEX($T$20:$T$91,$FJ30-FL$19)^2/INDEX($U$20:$U$91,$FJ30-FL$19))))</f>
        <v>0</v>
      </c>
      <c r="FM30" s="150" t="n">
        <f aca="false">IF(FM$19&gt;$FJ30,"",MAX(0,IF(FM$19=$FJ30,$S30^2*FM$15,FM29*INDEX($T$20:$T$91,$FJ30-FM$19)^2/INDEX($U$20:$U$91,$FJ30-FM$19))))</f>
        <v>0.00399555783695943</v>
      </c>
      <c r="FN30" s="150" t="n">
        <f aca="false">IF(FN$19&gt;$FJ30,"",MAX(0,IF(FN$19=$FJ30,$S30^2*FN$15,FN29*INDEX($T$20:$T$91,$FJ30-FN$19)^2/INDEX($U$20:$U$91,$FJ30-FN$19))))</f>
        <v>0.00363575954677258</v>
      </c>
      <c r="FO30" s="150" t="n">
        <f aca="false">IF(FO$19&gt;$FJ30,"",MAX(0,IF(FO$19=$FJ30,$S30^2*FO$15,FO29*INDEX($T$20:$T$91,$FJ30-FO$19)^2/INDEX($U$20:$U$91,$FJ30-FO$19))))</f>
        <v>0.00414555531122536</v>
      </c>
      <c r="FP30" s="150" t="n">
        <f aca="false">IF(FP$19&gt;$FJ30,"",MAX(0,IF(FP$19=$FJ30,$S30^2*FP$15,FP29*INDEX($T$20:$T$91,$FJ30-FP$19)^2/INDEX($U$20:$U$91,$FJ30-FP$19))))</f>
        <v>0.00511916818853802</v>
      </c>
      <c r="FQ30" s="150" t="n">
        <f aca="false">IF(FQ$19&gt;$FJ30,"",MAX(0,IF(FQ$19=$FJ30,$S30^2*FQ$15,FQ29*INDEX($T$20:$T$91,$FJ30-FQ$19)^2/INDEX($U$20:$U$91,$FJ30-FQ$19))))</f>
        <v>0.00470995641348794</v>
      </c>
      <c r="FR30" s="150" t="n">
        <f aca="false">IF(FR$19&gt;$FJ30,"",MAX(0,IF(FR$19=$FJ30,$S30^2*FR$15,FR29*INDEX($T$20:$T$91,$FJ30-FR$19)^2/INDEX($U$20:$U$91,$FJ30-FR$19))))</f>
        <v>0.00560237154128175</v>
      </c>
      <c r="FS30" s="150" t="n">
        <f aca="false">IF(FS$19&gt;$FJ30,"",MAX(0,IF(FS$19=$FJ30,$S30^2*FS$15,FS29*INDEX($T$20:$T$91,$FJ30-FS$19)^2/INDEX($U$20:$U$91,$FJ30-FS$19))))</f>
        <v>0.00755404110671554</v>
      </c>
      <c r="FT30" s="150" t="n">
        <f aca="false">IF(FT$19&gt;$FJ30,"",MAX(0,IF(FT$19=$FJ30,$S30^2*FT$15,FT29*INDEX($T$20:$T$91,$FJ30-FT$19)^2/INDEX($U$20:$U$91,$FJ30-FT$19))))</f>
        <v>0.0084379942024473</v>
      </c>
      <c r="FU30" s="150" t="n">
        <f aca="false">IF(FU$19&gt;$FJ30,"",MAX(0,IF(FU$19=$FJ30,$S30^2*FU$15,FU29*INDEX($T$20:$T$91,$FJ30-FU$19)^2/INDEX($U$20:$U$91,$FJ30-FU$19))))</f>
        <v>0.0104623472134971</v>
      </c>
      <c r="FV30" s="150" t="str">
        <f aca="false">IF(FV$19&gt;$FJ30,"",MAX(0,IF(FV$19=$FJ30,$S30^2*FV$15,FV29*INDEX($T$20:$T$91,$FJ30-FV$19)^2/INDEX($U$20:$U$91,$FJ30-FV$19))))</f>
        <v/>
      </c>
      <c r="FW30" s="150" t="str">
        <f aca="false">IF(FW$19&gt;$FJ30,"",MAX(0,IF(FW$19=$FJ30,$S30^2*FW$15,FW29*INDEX($T$20:$T$91,$FJ30-FW$19)^2/INDEX($U$20:$U$91,$FJ30-FW$19))))</f>
        <v/>
      </c>
      <c r="FX30" s="150" t="str">
        <f aca="false">IF(FX$19&gt;$FJ30,"",MAX(0,IF(FX$19=$FJ30,$S30^2*FX$15,FX29*INDEX($T$20:$T$91,$FJ30-FX$19)^2/INDEX($U$20:$U$91,$FJ30-FX$19))))</f>
        <v/>
      </c>
      <c r="FY30" s="150" t="str">
        <f aca="false">IF(FY$19&gt;$FJ30,"",MAX(0,IF(FY$19=$FJ30,$S30^2*FY$15,FY29*INDEX($T$20:$T$91,$FJ30-FY$19)^2/INDEX($U$20:$U$91,$FJ30-FY$19))))</f>
        <v/>
      </c>
      <c r="FZ30" s="150" t="str">
        <f aca="false">IF(FZ$19&gt;$FJ30,"",MAX(0,IF(FZ$19=$FJ30,$S30^2*FZ$15,FZ29*INDEX($T$20:$T$91,$FJ30-FZ$19)^2/INDEX($U$20:$U$91,$FJ30-FZ$19))))</f>
        <v/>
      </c>
      <c r="GA30" s="150" t="str">
        <f aca="false">IF(GA$19&gt;$FJ30,"",MAX(0,IF(GA$19=$FJ30,$S30^2*GA$15,GA29*INDEX($T$20:$T$91,$FJ30-GA$19)^2/INDEX($U$20:$U$91,$FJ30-GA$19))))</f>
        <v/>
      </c>
      <c r="GB30" s="150" t="str">
        <f aca="false">IF(GB$19&gt;$FJ30,"",MAX(0,IF(GB$19=$FJ30,$S30^2*GB$15,GB29*INDEX($T$20:$T$91,$FJ30-GB$19)^2/INDEX($U$20:$U$91,$FJ30-GB$19))))</f>
        <v/>
      </c>
      <c r="GC30" s="150" t="str">
        <f aca="false">IF(GC$19&gt;$FJ30,"",MAX(0,IF(GC$19=$FJ30,$S30^2*GC$15,GC29*INDEX($T$20:$T$91,$FJ30-GC$19)^2/INDEX($U$20:$U$91,$FJ30-GC$19))))</f>
        <v/>
      </c>
      <c r="GD30" s="150" t="str">
        <f aca="false">IF(GD$19&gt;$FJ30,"",MAX(0,IF(GD$19=$FJ30,$S30^2*GD$15,GD29*INDEX($T$20:$T$91,$FJ30-GD$19)^2/INDEX($U$20:$U$91,$FJ30-GD$19))))</f>
        <v/>
      </c>
      <c r="GE30" s="150" t="str">
        <f aca="false">IF(GE$19&gt;$FJ30,"",MAX(0,IF(GE$19=$FJ30,$S30^2*GE$15,GE29*INDEX($T$20:$T$91,$FJ30-GE$19)^2/INDEX($U$20:$U$91,$FJ30-GE$19))))</f>
        <v/>
      </c>
      <c r="GF30" s="150" t="str">
        <f aca="false">IF(GF$19&gt;$FJ30,"",MAX(0,IF(GF$19=$FJ30,$S30^2*GF$15,GF29*INDEX($T$20:$T$91,$FJ30-GF$19)^2/INDEX($U$20:$U$91,$FJ30-GF$19))))</f>
        <v/>
      </c>
      <c r="GG30" s="150" t="str">
        <f aca="false">IF(GG$19&gt;$FJ30,"",MAX(0,IF(GG$19=$FJ30,$S30^2*GG$15,GG29*INDEX($T$20:$T$91,$FJ30-GG$19)^2/INDEX($U$20:$U$91,$FJ30-GG$19))))</f>
        <v/>
      </c>
      <c r="GH30" s="150" t="str">
        <f aca="false">IF(GH$19&gt;$FJ30,"",MAX(0,IF(GH$19=$FJ30,$S30^2*GH$15,GH29*INDEX($T$20:$T$91,$FJ30-GH$19)^2/INDEX($U$20:$U$91,$FJ30-GH$19))))</f>
        <v/>
      </c>
      <c r="GI30" s="150" t="str">
        <f aca="false">IF(GI$19&gt;$FJ30,"",MAX(0,IF(GI$19=$FJ30,$S30^2*GI$15,GI29*INDEX($T$20:$T$91,$FJ30-GI$19)^2/INDEX($U$20:$U$91,$FJ30-GI$19))))</f>
        <v/>
      </c>
      <c r="GJ30" s="150" t="str">
        <f aca="false">IF(GJ$19&gt;$FJ30,"",MAX(0,IF(GJ$19=$FJ30,$S30^2*GJ$15,GJ29*INDEX($T$20:$T$91,$FJ30-GJ$19)^2/INDEX($U$20:$U$91,$FJ30-GJ$19))))</f>
        <v/>
      </c>
      <c r="GK30" s="150" t="str">
        <f aca="false">IF(GK$19&gt;$FJ30,"",MAX(0,IF(GK$19=$FJ30,$S30^2*GK$15,GK29*INDEX($T$20:$T$91,$FJ30-GK$19)^2/INDEX($U$20:$U$91,$FJ30-GK$19))))</f>
        <v/>
      </c>
      <c r="GL30" s="150" t="str">
        <f aca="false">IF(GL$19&gt;$FJ30,"",MAX(0,IF(GL$19=$FJ30,$S30^2*GL$15,GL29*INDEX($T$20:$T$91,$FJ30-GL$19)^2/INDEX($U$20:$U$91,$FJ30-GL$19))))</f>
        <v/>
      </c>
      <c r="GM30" s="150" t="str">
        <f aca="false">IF(GM$19&gt;$FJ30,"",MAX(0,IF(GM$19=$FJ30,$S30^2*GM$15,GM29*INDEX($T$20:$T$91,$FJ30-GM$19)^2/INDEX($U$20:$U$91,$FJ30-GM$19))))</f>
        <v/>
      </c>
      <c r="GN30" s="150" t="str">
        <f aca="false">IF(GN$19&gt;$FJ30,"",MAX(0,IF(GN$19=$FJ30,$S30^2*GN$15,GN29*INDEX($T$20:$T$91,$FJ30-GN$19)^2/INDEX($U$20:$U$91,$FJ30-GN$19))))</f>
        <v/>
      </c>
      <c r="GO30" s="150" t="str">
        <f aca="false">IF(GO$19&gt;$FJ30,"",MAX(0,IF(GO$19=$FJ30,$S30^2*GO$15,GO29*INDEX($T$20:$T$91,$FJ30-GO$19)^2/INDEX($U$20:$U$91,$FJ30-GO$19))))</f>
        <v/>
      </c>
      <c r="GP30" s="150" t="str">
        <f aca="false">IF(GP$19&gt;$FJ30,"",MAX(0,IF(GP$19=$FJ30,$S30^2*GP$15,GP29*INDEX($T$20:$T$91,$FJ30-GP$19)^2/INDEX($U$20:$U$91,$FJ30-GP$19))))</f>
        <v/>
      </c>
      <c r="GQ30" s="150" t="str">
        <f aca="false">IF(GQ$19&gt;$FJ30,"",MAX(0,IF(GQ$19=$FJ30,$S30^2*GQ$15,GQ29*INDEX($T$20:$T$91,$FJ30-GQ$19)^2/INDEX($U$20:$U$91,$FJ30-GQ$19))))</f>
        <v/>
      </c>
      <c r="GR30" s="150" t="str">
        <f aca="false">IF(GR$19&gt;$FJ30,"",MAX(0,IF(GR$19=$FJ30,$S30^2*GR$15,GR29*INDEX($T$20:$T$91,$FJ30-GR$19)^2/INDEX($U$20:$U$91,$FJ30-GR$19))))</f>
        <v/>
      </c>
      <c r="GS30" s="150" t="str">
        <f aca="false">IF(GS$19&gt;$FJ30,"",MAX(0,IF(GS$19=$FJ30,$S30^2*GS$15,GS29*INDEX($T$20:$T$91,$FJ30-GS$19)^2/INDEX($U$20:$U$91,$FJ30-GS$19))))</f>
        <v/>
      </c>
      <c r="GT30" s="150" t="str">
        <f aca="false">IF(GT$19&gt;$FJ30,"",MAX(0,IF(GT$19=$FJ30,$S30^2*GT$15,GT29*INDEX($T$20:$T$91,$FJ30-GT$19)^2/INDEX($U$20:$U$91,$FJ30-GT$19))))</f>
        <v/>
      </c>
      <c r="GU30" s="150" t="str">
        <f aca="false">IF(GU$19&gt;$FJ30,"",MAX(0,IF(GU$19=$FJ30,$S30^2*GU$15,GU29*INDEX($T$20:$T$91,$FJ30-GU$19)^2/INDEX($U$20:$U$91,$FJ30-GU$19))))</f>
        <v/>
      </c>
      <c r="GV30" s="150" t="str">
        <f aca="false">IF(GV$19&gt;$FJ30,"",MAX(0,IF(GV$19=$FJ30,$S30^2*GV$15,GV29*INDEX($T$20:$T$91,$FJ30-GV$19)^2/INDEX($U$20:$U$91,$FJ30-GV$19))))</f>
        <v/>
      </c>
      <c r="GW30" s="150" t="str">
        <f aca="false">IF(GW$19&gt;$FJ30,"",MAX(0,IF(GW$19=$FJ30,$S30^2*GW$15,GW29*INDEX($T$20:$T$91,$FJ30-GW$19)^2/INDEX($U$20:$U$91,$FJ30-GW$19))))</f>
        <v/>
      </c>
      <c r="GX30" s="150" t="str">
        <f aca="false">IF(GX$19&gt;$FJ30,"",MAX(0,IF(GX$19=$FJ30,$S30^2*GX$15,GX29*INDEX($T$20:$T$91,$FJ30-GX$19)^2/INDEX($U$20:$U$91,$FJ30-GX$19))))</f>
        <v/>
      </c>
      <c r="GY30" s="150" t="str">
        <f aca="false">IF(GY$19&gt;$FJ30,"",MAX(0,IF(GY$19=$FJ30,$S30^2*GY$15,GY29*INDEX($T$20:$T$91,$FJ30-GY$19)^2/INDEX($U$20:$U$91,$FJ30-GY$19))))</f>
        <v/>
      </c>
      <c r="GZ30" s="150" t="str">
        <f aca="false">IF(GZ$19&gt;$FJ30,"",MAX(0,IF(GZ$19=$FJ30,$S30^2*GZ$15,GZ29*INDEX($T$20:$T$91,$FJ30-GZ$19)^2/INDEX($U$20:$U$91,$FJ30-GZ$19))))</f>
        <v/>
      </c>
      <c r="HA30" s="150" t="str">
        <f aca="false">IF(HA$19&gt;$FJ30,"",MAX(0,IF(HA$19=$FJ30,$S30^2*HA$15,HA29*INDEX($T$20:$T$91,$FJ30-HA$19)^2/INDEX($U$20:$U$91,$FJ30-HA$19))))</f>
        <v/>
      </c>
      <c r="HB30" s="150" t="str">
        <f aca="false">IF(HB$19&gt;$FJ30,"",MAX(0,IF(HB$19=$FJ30,$S30^2*HB$15,HB29*INDEX($T$20:$T$91,$FJ30-HB$19)^2/INDEX($U$20:$U$91,$FJ30-HB$19))))</f>
        <v/>
      </c>
      <c r="HC30" s="150" t="str">
        <f aca="false">IF(HC$19&gt;$FJ30,"",MAX(0,IF(HC$19=$FJ30,$S30^2*HC$15,HC29*INDEX($T$20:$T$91,$FJ30-HC$19)^2/INDEX($U$20:$U$91,$FJ30-HC$19))))</f>
        <v/>
      </c>
      <c r="HD30" s="150" t="str">
        <f aca="false">IF(HD$19&gt;$FJ30,"",MAX(0,IF(HD$19=$FJ30,$S30^2*HD$15,HD29*INDEX($T$20:$T$91,$FJ30-HD$19)^2/INDEX($U$20:$U$91,$FJ30-HD$19))))</f>
        <v/>
      </c>
      <c r="HE30" s="150" t="str">
        <f aca="false">IF(HE$19&gt;$FJ30,"",MAX(0,IF(HE$19=$FJ30,$S30^2*HE$15,HE29*INDEX($T$20:$T$91,$FJ30-HE$19)^2/INDEX($U$20:$U$91,$FJ30-HE$19))))</f>
        <v/>
      </c>
      <c r="HF30" s="150" t="str">
        <f aca="false">IF(HF$19&gt;$FJ30,"",MAX(0,IF(HF$19=$FJ30,$S30^2*HF$15,HF29*INDEX($T$20:$T$91,$FJ30-HF$19)^2/INDEX($U$20:$U$91,$FJ30-HF$19))))</f>
        <v/>
      </c>
      <c r="HG30" s="150" t="str">
        <f aca="false">IF(HG$19&gt;$FJ30,"",MAX(0,IF(HG$19=$FJ30,$S30^2*HG$15,HG29*INDEX($T$20:$T$91,$FJ30-HG$19)^2/INDEX($U$20:$U$91,$FJ30-HG$19))))</f>
        <v/>
      </c>
      <c r="HH30" s="150" t="str">
        <f aca="false">IF(HH$19&gt;$FJ30,"",MAX(0,IF(HH$19=$FJ30,$S30^2*HH$15,HH29*INDEX($T$20:$T$91,$FJ30-HH$19)^2/INDEX($U$20:$U$91,$FJ30-HH$19))))</f>
        <v/>
      </c>
      <c r="HI30" s="150" t="str">
        <f aca="false">IF(HI$19&gt;$FJ30,"",MAX(0,IF(HI$19=$FJ30,$S30^2*HI$15,HI29*INDEX($T$20:$T$91,$FJ30-HI$19)^2/INDEX($U$20:$U$91,$FJ30-HI$19))))</f>
        <v/>
      </c>
      <c r="HJ30" s="150" t="str">
        <f aca="false">IF(HJ$19&gt;$FJ30,"",MAX(0,IF(HJ$19=$FJ30,$S30^2*HJ$15,HJ29*INDEX($T$20:$T$91,$FJ30-HJ$19)^2/INDEX($U$20:$U$91,$FJ30-HJ$19))))</f>
        <v/>
      </c>
      <c r="HK30" s="150" t="str">
        <f aca="false">IF(HK$19&gt;$FJ30,"",MAX(0,IF(HK$19=$FJ30,$S30^2*HK$15,HK29*INDEX($T$20:$T$91,$FJ30-HK$19)^2/INDEX($U$20:$U$91,$FJ30-HK$19))))</f>
        <v/>
      </c>
      <c r="HL30" s="150" t="str">
        <f aca="false">IF(HL$19&gt;$FJ30,"",MAX(0,IF(HL$19=$FJ30,$S30^2*HL$15,HL29*INDEX($T$20:$T$91,$FJ30-HL$19)^2/INDEX($U$20:$U$91,$FJ30-HL$19))))</f>
        <v/>
      </c>
      <c r="HM30" s="150" t="str">
        <f aca="false">IF(HM$19&gt;$FJ30,"",MAX(0,IF(HM$19=$FJ30,$S30^2*HM$15,HM29*INDEX($T$20:$T$91,$FJ30-HM$19)^2/INDEX($U$20:$U$91,$FJ30-HM$19))))</f>
        <v/>
      </c>
      <c r="HN30" s="150" t="str">
        <f aca="false">IF(HN$19&gt;$FJ30,"",MAX(0,IF(HN$19=$FJ30,$S30^2*HN$15,HN29*INDEX($T$20:$T$91,$FJ30-HN$19)^2/INDEX($U$20:$U$91,$FJ30-HN$19))))</f>
        <v/>
      </c>
      <c r="HO30" s="150" t="str">
        <f aca="false">IF(HO$19&gt;$FJ30,"",MAX(0,IF(HO$19=$FJ30,$S30^2*HO$15,HO29*INDEX($T$20:$T$91,$FJ30-HO$19)^2/INDEX($U$20:$U$91,$FJ30-HO$19))))</f>
        <v/>
      </c>
      <c r="HP30" s="150" t="str">
        <f aca="false">IF(HP$19&gt;$FJ30,"",MAX(0,IF(HP$19=$FJ30,$S30^2*HP$15,HP29*INDEX($T$20:$T$91,$FJ30-HP$19)^2/INDEX($U$20:$U$91,$FJ30-HP$19))))</f>
        <v/>
      </c>
      <c r="HQ30" s="150" t="str">
        <f aca="false">IF(HQ$19&gt;$FJ30,"",MAX(0,IF(HQ$19=$FJ30,$S30^2*HQ$15,HQ29*INDEX($T$20:$T$91,$FJ30-HQ$19)^2/INDEX($U$20:$U$91,$FJ30-HQ$19))))</f>
        <v/>
      </c>
      <c r="HR30" s="150" t="str">
        <f aca="false">IF(HR$19&gt;$FJ30,"",MAX(0,IF(HR$19=$FJ30,$S30^2*HR$15,HR29*INDEX($T$20:$T$91,$FJ30-HR$19)^2/INDEX($U$20:$U$91,$FJ30-HR$19))))</f>
        <v/>
      </c>
      <c r="HS30" s="150" t="str">
        <f aca="false">IF(HS$19&gt;$FJ30,"",MAX(0,IF(HS$19=$FJ30,$S30^2*HS$15,HS29*INDEX($T$20:$T$91,$FJ30-HS$19)^2/INDEX($U$20:$U$91,$FJ30-HS$19))))</f>
        <v/>
      </c>
      <c r="HT30" s="150" t="str">
        <f aca="false">IF(HT$19&gt;$FJ30,"",MAX(0,IF(HT$19=$FJ30,$S30^2*HT$15,HT29*INDEX($T$20:$T$91,$FJ30-HT$19)^2/INDEX($U$20:$U$91,$FJ30-HT$19))))</f>
        <v/>
      </c>
      <c r="HU30" s="150" t="str">
        <f aca="false">IF(HU$19&gt;$FJ30,"",MAX(0,IF(HU$19=$FJ30,$S30^2*HU$15,HU29*INDEX($T$20:$T$91,$FJ30-HU$19)^2/INDEX($U$20:$U$91,$FJ30-HU$19))))</f>
        <v/>
      </c>
      <c r="HV30" s="150" t="str">
        <f aca="false">IF(HV$19&gt;$FJ30,"",MAX(0,IF(HV$19=$FJ30,$S30^2*HV$15,HV29*INDEX($T$20:$T$91,$FJ30-HV$19)^2/INDEX($U$20:$U$91,$FJ30-HV$19))))</f>
        <v/>
      </c>
      <c r="HW30" s="150" t="str">
        <f aca="false">IF(HW$19&gt;$FJ30,"",MAX(0,IF(HW$19=$FJ30,$S30^2*HW$15,HW29*INDEX($T$20:$T$91,$FJ30-HW$19)^2/INDEX($U$20:$U$91,$FJ30-HW$19))))</f>
        <v/>
      </c>
      <c r="HX30" s="150" t="str">
        <f aca="false">IF(HX$19&gt;$FJ30,"",MAX(0,IF(HX$19=$FJ30,$S30^2*HX$15,HX29*INDEX($T$20:$T$91,$FJ30-HX$19)^2/INDEX($U$20:$U$91,$FJ30-HX$19))))</f>
        <v/>
      </c>
      <c r="HY30" s="150" t="str">
        <f aca="false">IF(HY$19&gt;$FJ30,"",MAX(0,IF(HY$19=$FJ30,$S30^2*HY$15,HY29*INDEX($T$20:$T$91,$FJ30-HY$19)^2/INDEX($U$20:$U$91,$FJ30-HY$19))))</f>
        <v/>
      </c>
      <c r="HZ30" s="150" t="str">
        <f aca="false">IF(HZ$19&gt;$FJ30,"",MAX(0,IF(HZ$19=$FJ30,$S30^2*HZ$15,HZ29*INDEX($T$20:$T$91,$FJ30-HZ$19)^2/INDEX($U$20:$U$91,$FJ30-HZ$19))))</f>
        <v/>
      </c>
      <c r="IA30" s="150" t="str">
        <f aca="false">IF(IA$19&gt;$FJ30,"",MAX(0,IF(IA$19=$FJ30,$S30^2*IA$15,IA29*INDEX($T$20:$T$91,$FJ30-IA$19)^2/INDEX($U$20:$U$91,$FJ30-IA$19))))</f>
        <v/>
      </c>
      <c r="IB30" s="150" t="str">
        <f aca="false">IF(IB$19&gt;$FJ30,"",MAX(0,IF(IB$19=$FJ30,$S30^2*IB$15,IB29*INDEX($T$20:$T$91,$FJ30-IB$19)^2/INDEX($U$20:$U$91,$FJ30-IB$19))))</f>
        <v/>
      </c>
      <c r="IC30" s="150" t="str">
        <f aca="false">IF(IC$19&gt;$FJ30,"",MAX(0,IF(IC$19=$FJ30,$S30^2*IC$15,IC29*INDEX($T$20:$T$91,$FJ30-IC$19)^2/INDEX($U$20:$U$91,$FJ30-IC$19))))</f>
        <v/>
      </c>
      <c r="ID30" s="572" t="str">
        <f aca="false">IF(ID$19&gt;$FJ30,"",MAX(0,IF(ID$19=$FJ30,$S30^2*ID$15,ID29*INDEX($T$20:$T$91,$FJ30-ID$19)^2/INDEX($U$20:$U$91,$FJ30-ID$19))))</f>
        <v/>
      </c>
      <c r="IE30" s="129"/>
    </row>
    <row r="31" customFormat="false" ht="14.25" hidden="false" customHeight="true" outlineLevel="0" collapsed="false">
      <c r="A31" s="619" t="s">
        <v>239</v>
      </c>
      <c r="B31" s="620" t="s">
        <v>136</v>
      </c>
      <c r="C31" s="621" t="s">
        <v>240</v>
      </c>
      <c r="D31" s="621" t="s">
        <v>241</v>
      </c>
      <c r="E31" s="622" t="s">
        <v>242</v>
      </c>
      <c r="F31" s="623" t="s">
        <v>243</v>
      </c>
      <c r="G31" s="624" t="n">
        <f aca="true">TODAY()</f>
        <v>45926</v>
      </c>
      <c r="H31" s="219" t="n">
        <f aca="false">VLOOKUP(I31,$EJ$20:$EL$54,3)</f>
        <v>0</v>
      </c>
      <c r="I31" s="511" t="n">
        <f aca="false">EOMONTH(I30,0)+1</f>
        <v>37104</v>
      </c>
      <c r="J31" s="512"/>
      <c r="K31" s="513" t="s">
        <v>226</v>
      </c>
      <c r="L31" s="514" t="e">
        <f aca="false">IF(ISNUMBER(K31),J31+K31/100,IF(K31="extra",L30+VLOOKUP(BF31,PriceSpreadTable,2)/12,IF(K31="inter",interpolateprices($K$19:$L$200,ROW(K31)-ROW(FirstPricingMonth)+1),interpolatechanges($J$19:$K$200,ROW(K31)-ROW(FirstPricingMonth)+1))))</f>
        <v>#VALUE!</v>
      </c>
      <c r="M31" s="515"/>
      <c r="N31" s="516" t="n">
        <v>0</v>
      </c>
      <c r="O31" s="515" t="n">
        <f aca="false">M31+N31</f>
        <v>0</v>
      </c>
      <c r="P31" s="512"/>
      <c r="Q31" s="517" t="s">
        <v>226</v>
      </c>
      <c r="R31" s="512" t="e">
        <f aca="false">IF(ISNUMBER(Q31),P31+Q31/100,IF(Q31="extra",(Z29*AL29-R30*AM29)/AN29,IF(Q31="inter",interpolateprices($Q$19:$R$260,ROW(Q31)-ROW(FirstPricingMonth)+1),interpolatechanges($P$19:$Q$260,ROW(Q31)-ROW(FirstPricingMonth)+1))))</f>
        <v>#VALUE!</v>
      </c>
      <c r="S31" s="597" t="n">
        <f aca="false">S$19+(S30-S$19)*S$18</f>
        <v>0.362252540588379</v>
      </c>
      <c r="T31" s="575" t="n">
        <f aca="false">SQRT((1-(1-T30^2/U30)*T$18)*U31)</f>
        <v>0.979434460524785</v>
      </c>
      <c r="U31" s="576" t="n">
        <f aca="false">1-(1-U30)*U$18</f>
        <v>0.999366472959518</v>
      </c>
      <c r="V31" s="521" t="n">
        <v>0</v>
      </c>
      <c r="W31" s="577" t="n">
        <f aca="false">(J32*AJ31+J33*AK31)/AI31</f>
        <v>0</v>
      </c>
      <c r="X31" s="578" t="e">
        <f aca="false">(L32*AJ31+L33*AK31)/AI31</f>
        <v>#VALUE!</v>
      </c>
      <c r="Y31" s="579" t="n">
        <f aca="false">IF(Q33="extra",W31-AA31,(P32*AM31+P33*AN31)/AL31)</f>
        <v>0</v>
      </c>
      <c r="Z31" s="579" t="e">
        <f aca="false">IF(Q33="extra",X31-AB31,(R32*AM31+R33*AN31)/AL31)</f>
        <v>#VALUE!</v>
      </c>
      <c r="AA31" s="523" t="n">
        <f aca="false">IF(Q33="extra",INDEX(BrentSeasonalityTable,INT((BG31-1)/3)+1)*VLOOKUP(MAX(BF31,$AB$4),PriceSpreadTable,3),W31-Y31)</f>
        <v>0</v>
      </c>
      <c r="AB31" s="524" t="e">
        <f aca="false">IF(Q33="extra",INDEX(BrentSeasonalityTable,INT((BG31-1)/3)+1)*VLOOKUP(MAX(BF31,$AB$4),PriceSpreadTable,3),X31-Z31)</f>
        <v>#VALUE!</v>
      </c>
      <c r="AC31" s="525" t="n">
        <v>37092</v>
      </c>
      <c r="AD31" s="526" t="n">
        <v>37089</v>
      </c>
      <c r="AE31" s="526" t="n">
        <v>37088</v>
      </c>
      <c r="AF31" s="527" t="n">
        <v>37083</v>
      </c>
      <c r="AG31" s="438" t="s">
        <v>224</v>
      </c>
      <c r="AH31" s="439" t="s">
        <v>224</v>
      </c>
      <c r="AI31" s="528" t="n">
        <v>23</v>
      </c>
      <c r="AJ31" s="529" t="n">
        <v>15</v>
      </c>
      <c r="AK31" s="529" t="n">
        <v>8</v>
      </c>
      <c r="AL31" s="530" t="n">
        <v>23</v>
      </c>
      <c r="AM31" s="529" t="n">
        <v>11</v>
      </c>
      <c r="AN31" s="531" t="n">
        <v>12</v>
      </c>
      <c r="AO31" s="532"/>
      <c r="AP31" s="465" t="n">
        <f aca="false">(1+AO31/2)^(-2*BL31)</f>
        <v>1</v>
      </c>
      <c r="AQ31" s="532"/>
      <c r="AR31" s="465" t="n">
        <f aca="false">(1+AQ31/2)^(-2*BH31/365.25)</f>
        <v>1</v>
      </c>
      <c r="AS31" s="580" t="n">
        <f aca="false">(O32*AJ31+O33*AK31)/AI31</f>
        <v>0</v>
      </c>
      <c r="AT31" s="468" t="n">
        <f aca="false">O31*VLOOKUP(BF31,BrentVolTable,2)+VLOOKUP(BF31,BrentVolTable,3)</f>
        <v>0</v>
      </c>
      <c r="AU31" s="468" t="n">
        <f aca="false">(AT32*AM31+AT33*AN31)/AL31</f>
        <v>0</v>
      </c>
      <c r="AV31" s="595" t="n">
        <f aca="false">SQRT(MAX(0.000000000001,(O31^2*BH31-S31^2*(BH31-BH30))/BH30))</f>
        <v>0.0217607363398869</v>
      </c>
      <c r="AW31" s="451" t="n">
        <f aca="false">IF($I31-DateToday+15&gt;=$T$8,"",IF($I31-DateToday+15&lt;$T$5,1,MATCH($I31-DateToday+15,$T$5:$T$8)))</f>
        <v>1</v>
      </c>
      <c r="AX31" s="468" t="n">
        <f aca="false">IF($AW31="",AX30^2/AX29,INDEX(U$5:U$8,$AW31)^((INDEX($T$5:$T$8,$AW31+1)-($I31-DateToday+15))/(INDEX($T$5:$T$8,$AW31+1)-INDEX($T$5:$T$8,$AW31)))/INDEX(U$5:U$8,$AW31+1)^((INDEX($T$5:$T$8,$AW31)-($I31-DateToday+15))/(INDEX($T$5:$T$8,$AW31+1)-INDEX($T$5:$T$8,$AW31))))</f>
        <v>9.92558903764479</v>
      </c>
      <c r="AY31" s="468" t="n">
        <f aca="false">IF($AW31="",AY30^2/AY29,INDEX(V$5:V$8,$AW31)^((INDEX($T$5:$T$8,$AW31+1)-($I31-DateToday+15))/(INDEX($T$5:$T$8,$AW31+1)-INDEX($T$5:$T$8,$AW31)))/INDEX(V$5:V$8,$AW31+1)^((INDEX($T$5:$T$8,$AW31)-($I31-DateToday+15))/(INDEX($T$5:$T$8,$AW31+1)-INDEX($T$5:$T$8,$AW31))))</f>
        <v>3286.44119142299</v>
      </c>
      <c r="AZ31" s="468" t="n">
        <f aca="false">IF($AW31="",AZ30^2/AZ29,INDEX(W$5:W$8,$AW31)^((INDEX($T$5:$T$8,$AW31+1)-($I31-DateToday+15))/(INDEX($T$5:$T$8,$AW31+1)-INDEX($T$5:$T$8,$AW31)))/INDEX(W$5:W$8,$AW31+1)^((INDEX($T$5:$T$8,$AW31)-($I31-DateToday+15))/(INDEX($T$5:$T$8,$AW31+1)-INDEX($T$5:$T$8,$AW31))))</f>
        <v>283990810.957392</v>
      </c>
      <c r="BA31" s="468" t="n">
        <f aca="false">IF($AW31="",BA30^2/BA29,INDEX(X$5:X$8,$AW31)^((INDEX($T$5:$T$8,$AW31+1)-($I31-DateToday+15))/(INDEX($T$5:$T$8,$AW31+1)-INDEX($T$5:$T$8,$AW31)))/INDEX(X$5:X$8,$AW31+1)^((INDEX($T$5:$T$8,$AW31)-($I31-DateToday+15))/(INDEX($T$5:$T$8,$AW31+1)-INDEX($T$5:$T$8,$AW31))))</f>
        <v>29362250833.6513</v>
      </c>
      <c r="BB31" s="468" t="n">
        <f aca="false">IF($AW31="",BB30^2/BB29,INDEX(Y$5:Y$8,$AW31)^((INDEX($T$5:$T$8,$AW31+1)-($I31-DateToday+15))/(INDEX($T$5:$T$8,$AW31+1)-INDEX($T$5:$T$8,$AW31)))/INDEX(Y$5:Y$8,$AW31+1)^((INDEX($T$5:$T$8,$AW31)-($I31-DateToday+15))/(INDEX($T$5:$T$8,$AW31+1)-INDEX($T$5:$T$8,$AW31))))</f>
        <v>728198230520.586</v>
      </c>
      <c r="BC31" s="468" t="n">
        <f aca="false">IF($AW31="",BC30^2/BC29,INDEX(Z$5:Z$8,$AW31)^((INDEX($T$5:$T$8,$AW31+1)-($I31-DateToday+15))/(INDEX($T$5:$T$8,$AW31+1)-INDEX($T$5:$T$8,$AW31)))/INDEX(Z$5:Z$8,$AW31+1)^((INDEX($T$5:$T$8,$AW31)-($I31-DateToday+15))/(INDEX($T$5:$T$8,$AW31+1)-INDEX($T$5:$T$8,$AW31))))</f>
        <v>4922284343113.94</v>
      </c>
      <c r="BD31" s="535" t="n">
        <f aca="false">IF(OR(DateStart&gt;=I32,DateEnd&lt;I31),0,IF(VolumeOverrideFlag,V31,Volume))</f>
        <v>30</v>
      </c>
      <c r="BE31" s="536" t="n">
        <f aca="false">IF(OR(DateStart2&gt;=I32,DateEnd2&lt;I31),0,IF(VolumeOverrideFlag,V31,VolumeSwaption))</f>
        <v>30</v>
      </c>
      <c r="BF31" s="537" t="n">
        <f aca="false">YEAR(I31)</f>
        <v>2001</v>
      </c>
      <c r="BG31" s="538" t="n">
        <f aca="false">MONTH(I31)</f>
        <v>8</v>
      </c>
      <c r="BH31" s="539" t="n">
        <f aca="false">AD31-DateToday+1</f>
        <v>-8836</v>
      </c>
      <c r="BI31" s="540" t="n">
        <f aca="false">(I31-DateToday+1)/365.25</f>
        <v>-24.1505817932923</v>
      </c>
      <c r="BJ31" s="541" t="n">
        <f aca="false">BI31+(BL31-BI31)*CHOOSE(Underlying,AJ31/AI31,AM31/AL31)</f>
        <v>-24.0970151474571</v>
      </c>
      <c r="BK31" s="541" t="n">
        <f aca="false">BJ31+1/365.25</f>
        <v>-24.0942772966699</v>
      </c>
      <c r="BL31" s="541" t="n">
        <f aca="false">(I32-DateToday)/365.25</f>
        <v>-24.0684462696783</v>
      </c>
      <c r="BM31" s="542" t="e">
        <f aca="false">MAX(BI31-(BJ31-BI31)*(S32^2/O32^2-1),0)</f>
        <v>#DIV/0!</v>
      </c>
      <c r="BN31" s="541" t="e">
        <f aca="false">MAX(BL31+(BL31-BK31)*(S33^2/O33^2-1),0)</f>
        <v>#DIV/0!</v>
      </c>
      <c r="BO31" s="530" t="n">
        <f aca="false">CHOOSE(Underlying,AI31,AL31)</f>
        <v>23</v>
      </c>
      <c r="BP31" s="529" t="n">
        <f aca="false">CHOOSE(Underlying,AJ31,AM31)</f>
        <v>15</v>
      </c>
      <c r="BQ31" s="529" t="n">
        <f aca="false">CHOOSE(Underlying,AK31,AN31)</f>
        <v>8</v>
      </c>
      <c r="BR31" s="463" t="e">
        <f aca="false">IF(BD31,IF(Underlying=1,X31,Z31)+UnderlyingPriceAsian-SwapPriceCurve,"")</f>
        <v>#VALUE!</v>
      </c>
      <c r="BS31" s="463" t="e">
        <f aca="false">IF(BD31,Strike1/BR31-1,"")</f>
        <v>#VALUE!</v>
      </c>
      <c r="BT31" s="464" t="e">
        <f aca="false">IF(BD31,Strike2/BR31-1,"")</f>
        <v>#VALUE!</v>
      </c>
      <c r="BU31" s="465" t="e">
        <f aca="false">IF(BD31,IF(Underlying=1,L32,R32)+UnderlyingPriceAsian-SwapPriceCurve,"")</f>
        <v>#VALUE!</v>
      </c>
      <c r="BV31" s="465" t="e">
        <f aca="false">IF(BD31,IF(Underlying=1,L33,R33)+UnderlyingPriceAsian-SwapPriceCurve,"")</f>
        <v>#VALUE!</v>
      </c>
      <c r="BW31" s="466" t="n">
        <f aca="false">IF(BD31,IF(Underlying=1,O32,AT32),"")</f>
        <v>0</v>
      </c>
      <c r="BX31" s="467" t="n">
        <f aca="false">IF(BD31,IF(Underlying=1,O33,AT33),"")</f>
        <v>0</v>
      </c>
      <c r="BY31" s="466" t="e">
        <f aca="false">IF(BD31,IF(BS31&gt;0,IF(BS31&gt;0.2,BC31-BB31,IF(BS31&gt;0.1,BB31-BA31,BA31)),IF(BS31&lt;-0.2,AX31-AY31,IF(BS31&lt;-0.1,AY31-AZ31,AZ31))),"")</f>
        <v>#VALUE!</v>
      </c>
      <c r="BZ31" s="467" t="e">
        <f aca="false">IF(BD31,IF(BT31&gt;0,IF(BT31&gt;0.2,BC31-BB31,IF(BT31&gt;0.1,BB31-BA31,BA31)),IF(BT31&lt;-0.2,AX31-AY31,IF(BT31&lt;-0.1,AY31-AZ31,AZ31))),"")</f>
        <v>#VALUE!</v>
      </c>
      <c r="CA31" s="468" t="e">
        <f aca="false">IF($BD31,$BW31+IF(VolSkewFlag=1,IF(BS31&gt;0,$BA31*MIN(BS31/10%,1)+($BB31-$BA31)*MAX(0,MIN(BS31/10%-1,1))+($BC31-$BB31)*MAX(0,BS31/10%-2),$AZ31*MIN(-BS31/10%,1)+($AY31-$AZ31)*MAX(0,MIN(-BS31/10%-1,1))+($AX31-$AY31)*MAX(0,-BS31/10%-2)),0),"")</f>
        <v>#VALUE!</v>
      </c>
      <c r="CB31" s="468" t="e">
        <f aca="false">IF($BD31,$BX31+IF(VolSkewFlag=1,IF(BS31&gt;0,$BA31*MIN(BS31/10%,1)+($BB31-$BA31)*MAX(0,MIN(BS31/10%-1,1))+($BC31-$BB31)*MAX(0,BS31/10%-2),$AZ31*MIN(-BS31/10%,1)+($AY31-$AZ31)*MAX(0,MIN(-BS31/10%-1,1))+($AX31-$AY31)*MAX(0,-BS31/10%-2)),0),"")</f>
        <v>#VALUE!</v>
      </c>
      <c r="CC31" s="468" t="e">
        <f aca="false">IF($BD31,$BW31+IF(VolSkewFlag=1,IF(BT31&gt;0,$BA31*MIN(BT31/10%,1)+($BB31-$BA31)*MAX(0,MIN(BT31/10%-1,1))+($BC31-$BB31)*MAX(0,BT31/10%-2),$AZ31*MIN(-BT31/10%,1)+($AY31-$AZ31)*MAX(0,MIN(-BT31/10%-1,1))+($AX31-$AY31)*MAX(0,-BT31/10%-2)),0),"")</f>
        <v>#VALUE!</v>
      </c>
      <c r="CD31" s="468" t="e">
        <f aca="false">IF($BD31,$BX31+IF(VolSkewFlag=1,IF(BT31&gt;0,$BA31*MIN(BT31/10%,1)+($BB31-$BA31)*MAX(0,MIN(BT31/10%-1,1))+($BC31-$BB31)*MAX(0,BT31/10%-2),$AZ31*MIN(-BT31/10%,1)+($AY31-$AZ31)*MAX(0,MIN(-BT31/10%-1,1))+($AX31-$AY31)*MAX(0,-BT31/10%-2)),0),"")</f>
        <v>#VALUE!</v>
      </c>
      <c r="CE31" s="469" t="n">
        <v>1</v>
      </c>
      <c r="CF31" s="470" t="e">
        <f aca="false">IF(BD31,xCrudeAPO(BU31,BV31,CA31,CB31,S32,S33,BI31,BL31,BP31,BQ31,0,Strike1,AO31,CE31,0,BL31,IF(OptControl=4,0,1),0,1),0)</f>
        <v>#NAME?</v>
      </c>
      <c r="CG31" s="470" t="e">
        <f aca="false">IF(BD31,xCrudeAPO(BU31,BV31,CA31,CB31,S32,S33,BI31,BL31,BP31,BQ31,0,Strike1,AO31,CE31,0,BL31,IF(OptControl=4,0,1),1,1)+xCrudeAPO(BU31,BV31,CA31,CB31,S32,S33,BI31,BL31,BP31,BQ31,0,Strike1,AO31,CE31,0,BL31,IF(OptControl=4,0,1),1,2)+IF(OR(VolSkewFlag=2,ABS(BS31)&lt;0.0001),0,IF(BS31&gt;0,-1,1)*CH31*Strike1/BR31^2*BY31/10%),0)</f>
        <v>#NAME?</v>
      </c>
      <c r="CH31" s="470" t="e">
        <f aca="false">IF(BD31,(xCrudeAPO(BU31,BV31,CA31,CB31,S32,S33,BI31,BL31,BP31,BQ31,0,Strike1,AO31,CE31,0,BL31,IF(OptControl=4,0,1),3,1)+xCrudeAPO(BU31,BV31,CA31,CB31,S32,S33,BI31,BL31,BP31,BQ31,0,Strike1,AO31,CE31,0,BL31,IF(OptControl=4,0,1),3,2))/100,0)</f>
        <v>#NAME?</v>
      </c>
      <c r="CI31" s="470" t="e">
        <f aca="false">IF(BD31,xCrudeAPO(BU31,BV31,CA31,CB31,S32,S33,BI31-DaysForThetaCalculation/365.25,BL31-DaysForThetaCalculation/365.25,BP31,BQ31,0,Strike1,AO31,CE31,0,BL31,IF(OptControl=4,0,1),0,1)-xCrudeAPO(BU31,BV31,CA31,CB31,S32,S33,BI31,BL31,BP31,BQ31,0,Strike1,AO31,CE31,0,BL31,IF(OptControl=4,0,1),0,1),0)</f>
        <v>#NAME?</v>
      </c>
      <c r="CJ31" s="471" t="e">
        <f aca="false">IF(BD31,xCrudeAPO(BU31,BV31,CC31,CD31,S32,S33,BI31,BL31,BP31,BQ31,0,Strike2,AO31,CE31,0,BL31,IF(OptControl=3,1,0),0,1),0)</f>
        <v>#NAME?</v>
      </c>
      <c r="CK31" s="470" t="e">
        <f aca="false">IF(BD31,xCrudeAPO(BU31,BV31,CC31,CD31,S32,S33,BI31,BL31,BP31,BQ31,0,Strike2,AO31,CE31,0,BL31,IF(OptControl=3,1,0),1,1)+xCrudeAPO(BU31,BV31,CC31,CD31,S32,S33,BI31,BL31,BP31,BQ31,0,Strike2,AO31,CE31,0,BL31,IF(OptControl=3,1,0),1,2)+IF(OR(VolSkewFlag=2,ABS(BT31)&lt;0.0001),0,IF(BT31&gt;0,-1,1)*CL31*Strike2/BR31^2*BZ31/10%),0)</f>
        <v>#NAME?</v>
      </c>
      <c r="CL31" s="470" t="e">
        <f aca="false">IF(BD31,(xCrudeAPO(BU31,BV31,CC31,CD31,S32,S33,BI31,BL31,BP31,BQ31,0,Strike2,AO31,CE31,0,BL31,IF(OptControl=3,1,0),3,1)+xCrudeAPO(BU31,BV31,CC31,CD31,S32,S33,BI31,BL31,BP31,BQ31,0,Strike2,AO31,CE31,0,BL31,IF(OptControl=3,1,0),3,2))/100,0)</f>
        <v>#NAME?</v>
      </c>
      <c r="CM31" s="472" t="e">
        <f aca="false">IF(BD31,xCrudeAPO(BU31,BV31,CC31,CD31,S32,S33,BI31-DaysForThetaCalculation/365.25,BL31-DaysForThetaCalculation/365.25,BP31,BQ31,0,Strike2,AO31,CE31,0,BL31,IF(OptControl=3,1,0),0,1)-xCrudeAPO(BU31,BV31,CC31,CD31,S32,S33,BI31,BL31,BP31,BQ31,0,Strike2,AO31,CE31,0,BL31,IF(OptControl=3,1,0),0,1),0)</f>
        <v>#NAME?</v>
      </c>
      <c r="CN31" s="473"/>
      <c r="CO31" s="543" t="n">
        <f aca="false">IF(BD31,CHOOSE(Underlying,AD31,AF31)-DateToday+1,"")</f>
        <v>-8836</v>
      </c>
      <c r="CP31" s="582" t="e">
        <f aca="false">IF(BD31,CHOOSE(Underlying,L31,R31),"")</f>
        <v>#VALUE!</v>
      </c>
      <c r="CQ31" s="544" t="e">
        <f aca="false">IF(BD31,Strike1/CP31-1,"")</f>
        <v>#VALUE!</v>
      </c>
      <c r="CR31" s="544" t="e">
        <f aca="false">IF(BD31,Strike2/CP31-1,"")</f>
        <v>#VALUE!</v>
      </c>
      <c r="CS31" s="544" t="e">
        <f aca="false">IF(BD31,IF(CQ31&gt;0,IF(CQ31&gt;0.2,BC30-BB30,IF(CQ31&gt;0.1,BB30-BA30,BA30)),IF(CQ31&lt;-0.2,AX30-AY30,IF(CQ31&lt;-0.1,AY30-AZ30,AZ30))),"")</f>
        <v>#VALUE!</v>
      </c>
      <c r="CT31" s="544" t="e">
        <f aca="false">IF(BD31,IF(CR31&gt;0,IF(CR31&gt;0.2,BC30-BB30,IF(CR31&gt;0.1,BB30-BA30,BA30)),IF(CR31&lt;-0.2,AX30-AY30,IF(CR31&lt;-0.1,AY30-AZ30,AZ30))),"")</f>
        <v>#VALUE!</v>
      </c>
      <c r="CU31" s="545" t="n">
        <f aca="false">IF(BD31,CHOOSE(Underlying,O31,AT31),"")</f>
        <v>0</v>
      </c>
      <c r="CV31" s="545" t="e">
        <f aca="false">IF(BD31,CU31+IF(VolSkewFlag=1,IF(CQ31&gt;0,BA30*MIN(CQ31/10%,1)+(BB30-BA30)*MAX(0,MIN(CQ31/10%-1,1))+(BC30-BB30)*MAX(0,CQ31/10%-2),AZ30*MIN(-CQ31/10%,1)+(AY30-AZ30)*MAX(0,MIN(-CQ31/10%-1,1))+(AX30-AY30)*MAX(0,-CQ31/10%-2)),0),"")</f>
        <v>#VALUE!</v>
      </c>
      <c r="CW31" s="545" t="e">
        <f aca="false">IF(BD31,CU31+IF(VolSkewFlag=1,IF(CR31&gt;0,BA30*MIN(CR31/10%,1)+(BB30-BA30)*MAX(0,MIN(CR31/10%-1,1))+(BC30-BB30)*MAX(0,CR31/10%-2),AZ30*MIN(-CR31/10%,1)+(AY30-AZ30)*MAX(0,MIN(-CR31/10%-1,1))+(AX30-AY30)*MAX(0,-CR31/10%-2)),0),"")</f>
        <v>#VALUE!</v>
      </c>
      <c r="CX31" s="470" t="e">
        <f aca="false">IF(BD31,EURO(CP31,Strike1,AO31,AO31,CV31,CO31,IF(OptControl=4,0,1),0),0)</f>
        <v>#NAME?</v>
      </c>
      <c r="CY31" s="470" t="e">
        <f aca="false">IF(BD31,EURO(CP31,Strike1,AO31,AO31,CV31,CO31,IF(OptControl=4,0,1),1)+IF(OR(VolSkewFlag=2,ABS(CQ31)&lt;0.0001),0,IF(CQ31&gt;0,-1,1)*CZ31*100*Strike1/CP31^2*CS31/10%),0)</f>
        <v>#NAME?</v>
      </c>
      <c r="CZ31" s="470" t="e">
        <f aca="false">IF(BD31,EURO(CP31,Strike1,AO31,AO31,CV31,CO31,IF(OptControl=4,0,1),3)/100,0)</f>
        <v>#NAME?</v>
      </c>
      <c r="DA31" s="470" t="e">
        <f aca="false">IF(BD31,EURO(CP31,Strike1,AO31,AO31,CV31,CO31,IF(OptControl=4,0,1),0)-EURO(CP31,Strike1,AO31,AO31,CV31,CO31-1,IF(OptControl=4,0,1),0),0)</f>
        <v>#NAME?</v>
      </c>
      <c r="DB31" s="470" t="e">
        <f aca="false">IF(BD31,EURO(CP31,Strike2,AO31,AO31,CW31,CO31,IF(OptControl=3,1,0),0),0)</f>
        <v>#NAME?</v>
      </c>
      <c r="DC31" s="470" t="e">
        <f aca="false">IF(BD31,EURO(CP31,Strike2,AO31,AO31,CW31,CO31,IF(OptControl=3,1,0),1)+IF(OR(VolSkewFlag=2,ABS(CR31)&lt;0.0001),0,IF(CR31&gt;0,-1,1)*DD31*100*Strike2/CP31^2*CT31/10%),0)</f>
        <v>#NAME?</v>
      </c>
      <c r="DD31" s="470" t="e">
        <f aca="false">IF(BD31,EURO(CP31,Strike2,AO31,AO31,CW31,CO31,IF(OptControl=3,1,0),3)/100,0)</f>
        <v>#NAME?</v>
      </c>
      <c r="DE31" s="472" t="e">
        <f aca="false">IF(BD31,EURO(CP31,Strike2,AO31,AO31,CW31,CO31,IF(OptControl=3,1,0),0)-EURO(CP31,Strike2,AO31,AO31,CW31,CO31-1,IF(OptControl=3,1,0),0),0)</f>
        <v>#NAME?</v>
      </c>
      <c r="DF31" s="473"/>
      <c r="DG31" s="481" t="n">
        <f aca="false">EOMONTH(DG30,0)+1</f>
        <v>46023</v>
      </c>
      <c r="DH31" s="478" t="n">
        <v>23.61</v>
      </c>
      <c r="DI31" s="479" t="n">
        <v>23.0695454545455</v>
      </c>
      <c r="DJ31" s="480" t="n">
        <f aca="false">DG31</f>
        <v>46023</v>
      </c>
      <c r="DK31" s="478" t="n">
        <v>22.31</v>
      </c>
      <c r="DL31" s="479" t="n">
        <v>21.6918181818182</v>
      </c>
      <c r="DM31" s="481" t="n">
        <f aca="false">DG31</f>
        <v>46023</v>
      </c>
      <c r="DN31" s="482" t="n">
        <f aca="false">DK31+BrentPhyBrentSpread</f>
        <v>22.36</v>
      </c>
      <c r="DO31" s="481" t="n">
        <f aca="false">DG31</f>
        <v>46023</v>
      </c>
      <c r="DP31" s="483" t="n">
        <f aca="false">DL31+DQ31</f>
        <v>22.0018181818182</v>
      </c>
      <c r="DQ31" s="546" t="n">
        <v>0.31</v>
      </c>
      <c r="DR31" s="480" t="n">
        <f aca="false">DG31</f>
        <v>46023</v>
      </c>
      <c r="DS31" s="485" t="n">
        <v>0.266538157789563</v>
      </c>
      <c r="DT31" s="486" t="n">
        <v>0.259655826288674</v>
      </c>
      <c r="DU31" s="480" t="n">
        <f aca="false">DG31</f>
        <v>46023</v>
      </c>
      <c r="DV31" s="485" t="n">
        <v>0.266538157789563</v>
      </c>
      <c r="DW31" s="486" t="n">
        <v>0.259655826288674</v>
      </c>
      <c r="DX31" s="481" t="n">
        <f aca="false">DG31</f>
        <v>46023</v>
      </c>
      <c r="DY31" s="486" t="n">
        <v>0.350078125</v>
      </c>
      <c r="DZ31" s="481" t="n">
        <f aca="false">DR31</f>
        <v>46023</v>
      </c>
      <c r="EA31" s="486" t="n">
        <f aca="false">DT31</f>
        <v>0.259655826288674</v>
      </c>
      <c r="EB31" s="195"/>
      <c r="EC31" s="547" t="n">
        <f aca="false">IF(BD31,IF(Underlying=1,AS31,AU31),"")</f>
        <v>0</v>
      </c>
      <c r="ED31" s="548" t="e">
        <f aca="false">IF($BD31,$EC31+IF(VolSkewFlag=1,IF(BS31&gt;0,$BA31*MIN(BS31/10%,1)+($BB31-$BA31)*MAX(0,MIN(BS31/10%-1,1))+($BC31-$BB31)*MAX(0,BS31/10%-2),$AZ31*MIN(-BS31/10%,1)+($AY31-$AZ31)*MAX(0,MIN(-BS31/10%-1,1))+($AX31-$AY31)*MAX(0,-BS31/10%-2)),0),"")</f>
        <v>#VALUE!</v>
      </c>
      <c r="EE31" s="549" t="e">
        <f aca="false">IF($BD31,$EC31+IF(VolSkewFlag=1,IF(BT31&gt;0,$BA31*MIN(BT31/10%,1)+($BB31-$BA31)*MAX(0,MIN(BT31/10%-1,1))+($BC31-$BB31)*MAX(0,BT31/10%-2),$AZ31*MIN(-BT31/10%,1)+($AY31-$AZ31)*MAX(0,MIN(-BT31/10%-1,1))+($AX31-$AY31)*MAX(0,-BT31/10%-2)),0),"")</f>
        <v>#VALUE!</v>
      </c>
      <c r="EF31" s="550" t="e">
        <f aca="false">IF(BD31,xASN(BR31,Strike1,AO31,ED31,0,BO31,0,BI31,BL31,IF(OptControl=4,0,1),0),0)</f>
        <v>#NAME?</v>
      </c>
      <c r="EG31" s="551" t="e">
        <f aca="false">IF(BD31,xASN(BR31,Strike2,AO31,EE31,0,BO31,0,BI31,BL31,IF(OptControl=3,1,0),0),0)</f>
        <v>#NAME?</v>
      </c>
      <c r="EI31" s="583" t="str">
        <f aca="false">DDE("TWINDDE","RSFRecord","CLc12 MTH")</f>
        <v>AUG1</v>
      </c>
      <c r="EJ31" s="584" t="n">
        <f aca="false">DATEVALUE(CONCATENATE(LEFT(EI31,3),"-",IF(VALUE(RIGHT(EI31,1))=9,"1999",CONCATENATE("200",RIGHT(EI31,1)))))</f>
        <v>37104</v>
      </c>
      <c r="EK31" s="585" t="n">
        <f aca="false">DDE("TWINDDE","RSFRecord","CLc12 NET.CHNG")</f>
        <v>0</v>
      </c>
      <c r="EL31" s="586" t="n">
        <f aca="false">IF(ISNUMBER(VALUE(EK31)),VALUE(EK31)*100,0)</f>
        <v>0</v>
      </c>
      <c r="EM31" s="195"/>
      <c r="EN31" s="556" t="n">
        <v>37076</v>
      </c>
      <c r="EO31" s="557" t="n">
        <v>38711</v>
      </c>
      <c r="EP31" s="195"/>
      <c r="EQ31" s="407" t="s">
        <v>244</v>
      </c>
      <c r="ES31" s="587" t="n">
        <v>12</v>
      </c>
      <c r="ET31" s="559" t="n">
        <f aca="false">BH31/365.25</f>
        <v>-24.1916495550992</v>
      </c>
      <c r="EU31" s="560" t="n">
        <f aca="false">O31^2*ET31</f>
        <v>-0</v>
      </c>
      <c r="EV31" s="588" t="e">
        <f aca="false">SQRT(SUM(FK31:ID31)/ET31)</f>
        <v>#VALUE!</v>
      </c>
      <c r="EW31" s="589" t="n">
        <f aca="false">IF(OR(DateStart2&gt;I30,DateEnd2&lt;I29),"",IF(DateStart2&lt;I30,AK29/AI29*AP29*BE29*SwaptionNumOfMonths/$D$33,0)+IF(DateEnd2&gt;I29,AJ30/AI30*AP30*BE30*SwaptionNumOfMonths/$D$33,0))</f>
        <v>1</v>
      </c>
      <c r="EX31" s="590" t="e">
        <f aca="false">IF(EW31="","",SQRT(SUM(FK336:ID336)/SwaptionYearsToExp))</f>
        <v>#VALUE!</v>
      </c>
      <c r="EY31" s="129" t="n">
        <v>0</v>
      </c>
      <c r="EZ31" s="591" t="n">
        <f aca="false">IF(OR(EW31="",EW32=""),"",SQRT(SUM(INDEX(FK31:ID31,SwaptionFirstMonthPosition+1):INDEX(FK31:ID31,FJ31))/SUM(INDEX($FK$15:$ID$15,SwaptionFirstMonthPosition+1):INDEX($FK$15:$ID$15,FJ31))))</f>
        <v>0.280437226363951</v>
      </c>
      <c r="FA31" s="592" t="n">
        <f aca="false">IF(OR(EW31="",EW30=""),"",SQRT(SUM(INDEX(FK31:ID31,SwaptionFirstMonthPosition+1):INDEX(FK31:ID31,FJ31-1))/SUM(INDEX($FK$15:$ID$15,SwaptionFirstMonthPosition+1):INDEX($FK$15:$ID$15,FJ31-1))))</f>
        <v>0.263534428168358</v>
      </c>
      <c r="FB31" s="593" t="n">
        <f aca="false">IF(BE31,2/3*EZ32+1/3*FA33,"")</f>
        <v>0.264239327623013</v>
      </c>
      <c r="FC31" s="596" t="n">
        <f aca="false">IF(BE31,(I32+I31-1)/2-DateToday,"")</f>
        <v>-8807</v>
      </c>
      <c r="FD31" s="483" t="e">
        <f aca="false">IF(BE31,CHOOSE(Underlying,X31,Z31)+SwaptionUnderlyingPrice-$D$26,"")</f>
        <v>#VALUE!</v>
      </c>
      <c r="FE31" s="483" t="e">
        <f aca="false">IF(BE31,CollartionFloor/FD31-1,"")</f>
        <v>#VALUE!</v>
      </c>
      <c r="FF31" s="483" t="e">
        <f aca="false">IF(BE31,CollartionCap/FD31-1,"")</f>
        <v>#VALUE!</v>
      </c>
      <c r="FG31" s="485" t="e">
        <f aca="false">IF(BE31,IF(VolSkewFlag=1,IF(FE31&gt;0,$BA31*MIN(FE31/10%,1)+($BB31-$BA31)*MAX(0,MIN(FE31/10%-1,1))+($BC31-$BB31)*MAX(0,FE31/10%-2),$AZ31*MIN(-FE31/10%,1)+($AY31-$AZ31)*MAX(0,MIN(-FE31/10%-1,1))+($AX31-$AY31)*MAX(0,-FE31/10%-2)),0),"")</f>
        <v>#VALUE!</v>
      </c>
      <c r="FH31" s="486" t="e">
        <f aca="false">IF(BE31,IF(VolSkewFlag=1,IF(FF31&gt;0,$BA31*MIN(FF31/10%,1)+($BB31-$BA31)*MAX(0,MIN(FF31/10%-1,1))+($BC31-$BB31)*MAX(0,FF31/10%-2),$AZ31*MIN(-FF31/10%,1)+($AY31-$AZ31)*MAX(0,MIN(-FF31/10%-1,1))+($AX31-$AY31)*MAX(0,-FF31/10%-2)),0),"")</f>
        <v>#VALUE!</v>
      </c>
      <c r="FI31" s="129"/>
      <c r="FJ31" s="571" t="n">
        <v>12</v>
      </c>
      <c r="FK31" s="150" t="n">
        <f aca="false">IF(FK$19&gt;$FJ31,"",MAX(0,IF(FK$19=$FJ31,$S31^2*FK$15,FK30*INDEX($T$20:$T$91,$FJ31-FK$19)^2/INDEX($U$20:$U$91,$FJ31-FK$19))))</f>
        <v>0</v>
      </c>
      <c r="FL31" s="150" t="n">
        <f aca="false">IF(FL$19&gt;$FJ31,"",MAX(0,IF(FL$19=$FJ31,$S31^2*FL$15,FL30*INDEX($T$20:$T$91,$FJ31-FL$19)^2/INDEX($U$20:$U$91,$FJ31-FL$19))))</f>
        <v>0</v>
      </c>
      <c r="FM31" s="150" t="n">
        <f aca="false">IF(FM$19&gt;$FJ31,"",MAX(0,IF(FM$19=$FJ31,$S31^2*FM$15,FM30*INDEX($T$20:$T$91,$FJ31-FM$19)^2/INDEX($U$20:$U$91,$FJ31-FM$19))))</f>
        <v>0.00373921356835952</v>
      </c>
      <c r="FN31" s="150" t="n">
        <f aca="false">IF(FN$19&gt;$FJ31,"",MAX(0,IF(FN$19=$FJ31,$S31^2*FN$15,FN30*INDEX($T$20:$T$91,$FJ31-FN$19)^2/INDEX($U$20:$U$91,$FJ31-FN$19))))</f>
        <v>0.0033629401598336</v>
      </c>
      <c r="FO31" s="150" t="n">
        <f aca="false">IF(FO$19&gt;$FJ31,"",MAX(0,IF(FO$19=$FJ31,$S31^2*FO$15,FO30*INDEX($T$20:$T$91,$FJ31-FO$19)^2/INDEX($U$20:$U$91,$FJ31-FO$19))))</f>
        <v>0.00378172684567995</v>
      </c>
      <c r="FP31" s="150" t="n">
        <f aca="false">IF(FP$19&gt;$FJ31,"",MAX(0,IF(FP$19=$FJ31,$S31^2*FP$15,FP30*INDEX($T$20:$T$91,$FJ31-FP$19)^2/INDEX($U$20:$U$91,$FJ31-FP$19))))</f>
        <v>0.00459369901372206</v>
      </c>
      <c r="FQ31" s="150" t="n">
        <f aca="false">IF(FQ$19&gt;$FJ31,"",MAX(0,IF(FQ$19=$FJ31,$S31^2*FQ$15,FQ30*INDEX($T$20:$T$91,$FJ31-FQ$19)^2/INDEX($U$20:$U$91,$FJ31-FQ$19))))</f>
        <v>0.00414450067028147</v>
      </c>
      <c r="FR31" s="150" t="n">
        <f aca="false">IF(FR$19&gt;$FJ31,"",MAX(0,IF(FR$19=$FJ31,$S31^2*FR$15,FR30*INDEX($T$20:$T$91,$FJ31-FR$19)^2/INDEX($U$20:$U$91,$FJ31-FR$19))))</f>
        <v>0.00481571071520197</v>
      </c>
      <c r="FS31" s="150" t="n">
        <f aca="false">IF(FS$19&gt;$FJ31,"",MAX(0,IF(FS$19=$FJ31,$S31^2*FS$15,FS30*INDEX($T$20:$T$91,$FJ31-FS$19)^2/INDEX($U$20:$U$91,$FJ31-FS$19))))</f>
        <v>0.00631344947982336</v>
      </c>
      <c r="FT31" s="150" t="n">
        <f aca="false">IF(FT$19&gt;$FJ31,"",MAX(0,IF(FT$19=$FJ31,$S31^2*FT$15,FT30*INDEX($T$20:$T$91,$FJ31-FT$19)^2/INDEX($U$20:$U$91,$FJ31-FT$19))))</f>
        <v>0.0068172196480597</v>
      </c>
      <c r="FU31" s="150" t="n">
        <f aca="false">IF(FU$19&gt;$FJ31,"",MAX(0,IF(FU$19=$FJ31,$S31^2*FU$15,FU30*INDEX($T$20:$T$91,$FJ31-FU$19)^2/INDEX($U$20:$U$91,$FJ31-FU$19))))</f>
        <v>0.00811192219473022</v>
      </c>
      <c r="FV31" s="150" t="n">
        <f aca="false">IF(FV$19&gt;$FJ31,"",MAX(0,IF(FV$19=$FJ31,$S31^2*FV$15,FV30*INDEX($T$20:$T$91,$FJ31-FV$19)^2/INDEX($U$20:$U$91,$FJ31-FV$19))))</f>
        <v>0.0114969497637439</v>
      </c>
      <c r="FW31" s="150" t="str">
        <f aca="false">IF(FW$19&gt;$FJ31,"",MAX(0,IF(FW$19=$FJ31,$S31^2*FW$15,FW30*INDEX($T$20:$T$91,$FJ31-FW$19)^2/INDEX($U$20:$U$91,$FJ31-FW$19))))</f>
        <v/>
      </c>
      <c r="FX31" s="150" t="str">
        <f aca="false">IF(FX$19&gt;$FJ31,"",MAX(0,IF(FX$19=$FJ31,$S31^2*FX$15,FX30*INDEX($T$20:$T$91,$FJ31-FX$19)^2/INDEX($U$20:$U$91,$FJ31-FX$19))))</f>
        <v/>
      </c>
      <c r="FY31" s="150" t="str">
        <f aca="false">IF(FY$19&gt;$FJ31,"",MAX(0,IF(FY$19=$FJ31,$S31^2*FY$15,FY30*INDEX($T$20:$T$91,$FJ31-FY$19)^2/INDEX($U$20:$U$91,$FJ31-FY$19))))</f>
        <v/>
      </c>
      <c r="FZ31" s="150" t="str">
        <f aca="false">IF(FZ$19&gt;$FJ31,"",MAX(0,IF(FZ$19=$FJ31,$S31^2*FZ$15,FZ30*INDEX($T$20:$T$91,$FJ31-FZ$19)^2/INDEX($U$20:$U$91,$FJ31-FZ$19))))</f>
        <v/>
      </c>
      <c r="GA31" s="150" t="str">
        <f aca="false">IF(GA$19&gt;$FJ31,"",MAX(0,IF(GA$19=$FJ31,$S31^2*GA$15,GA30*INDEX($T$20:$T$91,$FJ31-GA$19)^2/INDEX($U$20:$U$91,$FJ31-GA$19))))</f>
        <v/>
      </c>
      <c r="GB31" s="150" t="str">
        <f aca="false">IF(GB$19&gt;$FJ31,"",MAX(0,IF(GB$19=$FJ31,$S31^2*GB$15,GB30*INDEX($T$20:$T$91,$FJ31-GB$19)^2/INDEX($U$20:$U$91,$FJ31-GB$19))))</f>
        <v/>
      </c>
      <c r="GC31" s="150" t="str">
        <f aca="false">IF(GC$19&gt;$FJ31,"",MAX(0,IF(GC$19=$FJ31,$S31^2*GC$15,GC30*INDEX($T$20:$T$91,$FJ31-GC$19)^2/INDEX($U$20:$U$91,$FJ31-GC$19))))</f>
        <v/>
      </c>
      <c r="GD31" s="150" t="str">
        <f aca="false">IF(GD$19&gt;$FJ31,"",MAX(0,IF(GD$19=$FJ31,$S31^2*GD$15,GD30*INDEX($T$20:$T$91,$FJ31-GD$19)^2/INDEX($U$20:$U$91,$FJ31-GD$19))))</f>
        <v/>
      </c>
      <c r="GE31" s="150" t="str">
        <f aca="false">IF(GE$19&gt;$FJ31,"",MAX(0,IF(GE$19=$FJ31,$S31^2*GE$15,GE30*INDEX($T$20:$T$91,$FJ31-GE$19)^2/INDEX($U$20:$U$91,$FJ31-GE$19))))</f>
        <v/>
      </c>
      <c r="GF31" s="150" t="str">
        <f aca="false">IF(GF$19&gt;$FJ31,"",MAX(0,IF(GF$19=$FJ31,$S31^2*GF$15,GF30*INDEX($T$20:$T$91,$FJ31-GF$19)^2/INDEX($U$20:$U$91,$FJ31-GF$19))))</f>
        <v/>
      </c>
      <c r="GG31" s="150" t="str">
        <f aca="false">IF(GG$19&gt;$FJ31,"",MAX(0,IF(GG$19=$FJ31,$S31^2*GG$15,GG30*INDEX($T$20:$T$91,$FJ31-GG$19)^2/INDEX($U$20:$U$91,$FJ31-GG$19))))</f>
        <v/>
      </c>
      <c r="GH31" s="150" t="str">
        <f aca="false">IF(GH$19&gt;$FJ31,"",MAX(0,IF(GH$19=$FJ31,$S31^2*GH$15,GH30*INDEX($T$20:$T$91,$FJ31-GH$19)^2/INDEX($U$20:$U$91,$FJ31-GH$19))))</f>
        <v/>
      </c>
      <c r="GI31" s="150" t="str">
        <f aca="false">IF(GI$19&gt;$FJ31,"",MAX(0,IF(GI$19=$FJ31,$S31^2*GI$15,GI30*INDEX($T$20:$T$91,$FJ31-GI$19)^2/INDEX($U$20:$U$91,$FJ31-GI$19))))</f>
        <v/>
      </c>
      <c r="GJ31" s="150" t="str">
        <f aca="false">IF(GJ$19&gt;$FJ31,"",MAX(0,IF(GJ$19=$FJ31,$S31^2*GJ$15,GJ30*INDEX($T$20:$T$91,$FJ31-GJ$19)^2/INDEX($U$20:$U$91,$FJ31-GJ$19))))</f>
        <v/>
      </c>
      <c r="GK31" s="150" t="str">
        <f aca="false">IF(GK$19&gt;$FJ31,"",MAX(0,IF(GK$19=$FJ31,$S31^2*GK$15,GK30*INDEX($T$20:$T$91,$FJ31-GK$19)^2/INDEX($U$20:$U$91,$FJ31-GK$19))))</f>
        <v/>
      </c>
      <c r="GL31" s="150" t="str">
        <f aca="false">IF(GL$19&gt;$FJ31,"",MAX(0,IF(GL$19=$FJ31,$S31^2*GL$15,GL30*INDEX($T$20:$T$91,$FJ31-GL$19)^2/INDEX($U$20:$U$91,$FJ31-GL$19))))</f>
        <v/>
      </c>
      <c r="GM31" s="150" t="str">
        <f aca="false">IF(GM$19&gt;$FJ31,"",MAX(0,IF(GM$19=$FJ31,$S31^2*GM$15,GM30*INDEX($T$20:$T$91,$FJ31-GM$19)^2/INDEX($U$20:$U$91,$FJ31-GM$19))))</f>
        <v/>
      </c>
      <c r="GN31" s="150" t="str">
        <f aca="false">IF(GN$19&gt;$FJ31,"",MAX(0,IF(GN$19=$FJ31,$S31^2*GN$15,GN30*INDEX($T$20:$T$91,$FJ31-GN$19)^2/INDEX($U$20:$U$91,$FJ31-GN$19))))</f>
        <v/>
      </c>
      <c r="GO31" s="150" t="str">
        <f aca="false">IF(GO$19&gt;$FJ31,"",MAX(0,IF(GO$19=$FJ31,$S31^2*GO$15,GO30*INDEX($T$20:$T$91,$FJ31-GO$19)^2/INDEX($U$20:$U$91,$FJ31-GO$19))))</f>
        <v/>
      </c>
      <c r="GP31" s="150" t="str">
        <f aca="false">IF(GP$19&gt;$FJ31,"",MAX(0,IF(GP$19=$FJ31,$S31^2*GP$15,GP30*INDEX($T$20:$T$91,$FJ31-GP$19)^2/INDEX($U$20:$U$91,$FJ31-GP$19))))</f>
        <v/>
      </c>
      <c r="GQ31" s="150" t="str">
        <f aca="false">IF(GQ$19&gt;$FJ31,"",MAX(0,IF(GQ$19=$FJ31,$S31^2*GQ$15,GQ30*INDEX($T$20:$T$91,$FJ31-GQ$19)^2/INDEX($U$20:$U$91,$FJ31-GQ$19))))</f>
        <v/>
      </c>
      <c r="GR31" s="150" t="str">
        <f aca="false">IF(GR$19&gt;$FJ31,"",MAX(0,IF(GR$19=$FJ31,$S31^2*GR$15,GR30*INDEX($T$20:$T$91,$FJ31-GR$19)^2/INDEX($U$20:$U$91,$FJ31-GR$19))))</f>
        <v/>
      </c>
      <c r="GS31" s="150" t="str">
        <f aca="false">IF(GS$19&gt;$FJ31,"",MAX(0,IF(GS$19=$FJ31,$S31^2*GS$15,GS30*INDEX($T$20:$T$91,$FJ31-GS$19)^2/INDEX($U$20:$U$91,$FJ31-GS$19))))</f>
        <v/>
      </c>
      <c r="GT31" s="150" t="str">
        <f aca="false">IF(GT$19&gt;$FJ31,"",MAX(0,IF(GT$19=$FJ31,$S31^2*GT$15,GT30*INDEX($T$20:$T$91,$FJ31-GT$19)^2/INDEX($U$20:$U$91,$FJ31-GT$19))))</f>
        <v/>
      </c>
      <c r="GU31" s="150" t="str">
        <f aca="false">IF(GU$19&gt;$FJ31,"",MAX(0,IF(GU$19=$FJ31,$S31^2*GU$15,GU30*INDEX($T$20:$T$91,$FJ31-GU$19)^2/INDEX($U$20:$U$91,$FJ31-GU$19))))</f>
        <v/>
      </c>
      <c r="GV31" s="150" t="str">
        <f aca="false">IF(GV$19&gt;$FJ31,"",MAX(0,IF(GV$19=$FJ31,$S31^2*GV$15,GV30*INDEX($T$20:$T$91,$FJ31-GV$19)^2/INDEX($U$20:$U$91,$FJ31-GV$19))))</f>
        <v/>
      </c>
      <c r="GW31" s="150" t="str">
        <f aca="false">IF(GW$19&gt;$FJ31,"",MAX(0,IF(GW$19=$FJ31,$S31^2*GW$15,GW30*INDEX($T$20:$T$91,$FJ31-GW$19)^2/INDEX($U$20:$U$91,$FJ31-GW$19))))</f>
        <v/>
      </c>
      <c r="GX31" s="150" t="str">
        <f aca="false">IF(GX$19&gt;$FJ31,"",MAX(0,IF(GX$19=$FJ31,$S31^2*GX$15,GX30*INDEX($T$20:$T$91,$FJ31-GX$19)^2/INDEX($U$20:$U$91,$FJ31-GX$19))))</f>
        <v/>
      </c>
      <c r="GY31" s="150" t="str">
        <f aca="false">IF(GY$19&gt;$FJ31,"",MAX(0,IF(GY$19=$FJ31,$S31^2*GY$15,GY30*INDEX($T$20:$T$91,$FJ31-GY$19)^2/INDEX($U$20:$U$91,$FJ31-GY$19))))</f>
        <v/>
      </c>
      <c r="GZ31" s="150" t="str">
        <f aca="false">IF(GZ$19&gt;$FJ31,"",MAX(0,IF(GZ$19=$FJ31,$S31^2*GZ$15,GZ30*INDEX($T$20:$T$91,$FJ31-GZ$19)^2/INDEX($U$20:$U$91,$FJ31-GZ$19))))</f>
        <v/>
      </c>
      <c r="HA31" s="150" t="str">
        <f aca="false">IF(HA$19&gt;$FJ31,"",MAX(0,IF(HA$19=$FJ31,$S31^2*HA$15,HA30*INDEX($T$20:$T$91,$FJ31-HA$19)^2/INDEX($U$20:$U$91,$FJ31-HA$19))))</f>
        <v/>
      </c>
      <c r="HB31" s="150" t="str">
        <f aca="false">IF(HB$19&gt;$FJ31,"",MAX(0,IF(HB$19=$FJ31,$S31^2*HB$15,HB30*INDEX($T$20:$T$91,$FJ31-HB$19)^2/INDEX($U$20:$U$91,$FJ31-HB$19))))</f>
        <v/>
      </c>
      <c r="HC31" s="150" t="str">
        <f aca="false">IF(HC$19&gt;$FJ31,"",MAX(0,IF(HC$19=$FJ31,$S31^2*HC$15,HC30*INDEX($T$20:$T$91,$FJ31-HC$19)^2/INDEX($U$20:$U$91,$FJ31-HC$19))))</f>
        <v/>
      </c>
      <c r="HD31" s="150" t="str">
        <f aca="false">IF(HD$19&gt;$FJ31,"",MAX(0,IF(HD$19=$FJ31,$S31^2*HD$15,HD30*INDEX($T$20:$T$91,$FJ31-HD$19)^2/INDEX($U$20:$U$91,$FJ31-HD$19))))</f>
        <v/>
      </c>
      <c r="HE31" s="150" t="str">
        <f aca="false">IF(HE$19&gt;$FJ31,"",MAX(0,IF(HE$19=$FJ31,$S31^2*HE$15,HE30*INDEX($T$20:$T$91,$FJ31-HE$19)^2/INDEX($U$20:$U$91,$FJ31-HE$19))))</f>
        <v/>
      </c>
      <c r="HF31" s="150" t="str">
        <f aca="false">IF(HF$19&gt;$FJ31,"",MAX(0,IF(HF$19=$FJ31,$S31^2*HF$15,HF30*INDEX($T$20:$T$91,$FJ31-HF$19)^2/INDEX($U$20:$U$91,$FJ31-HF$19))))</f>
        <v/>
      </c>
      <c r="HG31" s="150" t="str">
        <f aca="false">IF(HG$19&gt;$FJ31,"",MAX(0,IF(HG$19=$FJ31,$S31^2*HG$15,HG30*INDEX($T$20:$T$91,$FJ31-HG$19)^2/INDEX($U$20:$U$91,$FJ31-HG$19))))</f>
        <v/>
      </c>
      <c r="HH31" s="150" t="str">
        <f aca="false">IF(HH$19&gt;$FJ31,"",MAX(0,IF(HH$19=$FJ31,$S31^2*HH$15,HH30*INDEX($T$20:$T$91,$FJ31-HH$19)^2/INDEX($U$20:$U$91,$FJ31-HH$19))))</f>
        <v/>
      </c>
      <c r="HI31" s="150" t="str">
        <f aca="false">IF(HI$19&gt;$FJ31,"",MAX(0,IF(HI$19=$FJ31,$S31^2*HI$15,HI30*INDEX($T$20:$T$91,$FJ31-HI$19)^2/INDEX($U$20:$U$91,$FJ31-HI$19))))</f>
        <v/>
      </c>
      <c r="HJ31" s="150" t="str">
        <f aca="false">IF(HJ$19&gt;$FJ31,"",MAX(0,IF(HJ$19=$FJ31,$S31^2*HJ$15,HJ30*INDEX($T$20:$T$91,$FJ31-HJ$19)^2/INDEX($U$20:$U$91,$FJ31-HJ$19))))</f>
        <v/>
      </c>
      <c r="HK31" s="150" t="str">
        <f aca="false">IF(HK$19&gt;$FJ31,"",MAX(0,IF(HK$19=$FJ31,$S31^2*HK$15,HK30*INDEX($T$20:$T$91,$FJ31-HK$19)^2/INDEX($U$20:$U$91,$FJ31-HK$19))))</f>
        <v/>
      </c>
      <c r="HL31" s="150" t="str">
        <f aca="false">IF(HL$19&gt;$FJ31,"",MAX(0,IF(HL$19=$FJ31,$S31^2*HL$15,HL30*INDEX($T$20:$T$91,$FJ31-HL$19)^2/INDEX($U$20:$U$91,$FJ31-HL$19))))</f>
        <v/>
      </c>
      <c r="HM31" s="150" t="str">
        <f aca="false">IF(HM$19&gt;$FJ31,"",MAX(0,IF(HM$19=$FJ31,$S31^2*HM$15,HM30*INDEX($T$20:$T$91,$FJ31-HM$19)^2/INDEX($U$20:$U$91,$FJ31-HM$19))))</f>
        <v/>
      </c>
      <c r="HN31" s="150" t="str">
        <f aca="false">IF(HN$19&gt;$FJ31,"",MAX(0,IF(HN$19=$FJ31,$S31^2*HN$15,HN30*INDEX($T$20:$T$91,$FJ31-HN$19)^2/INDEX($U$20:$U$91,$FJ31-HN$19))))</f>
        <v/>
      </c>
      <c r="HO31" s="150" t="str">
        <f aca="false">IF(HO$19&gt;$FJ31,"",MAX(0,IF(HO$19=$FJ31,$S31^2*HO$15,HO30*INDEX($T$20:$T$91,$FJ31-HO$19)^2/INDEX($U$20:$U$91,$FJ31-HO$19))))</f>
        <v/>
      </c>
      <c r="HP31" s="150" t="str">
        <f aca="false">IF(HP$19&gt;$FJ31,"",MAX(0,IF(HP$19=$FJ31,$S31^2*HP$15,HP30*INDEX($T$20:$T$91,$FJ31-HP$19)^2/INDEX($U$20:$U$91,$FJ31-HP$19))))</f>
        <v/>
      </c>
      <c r="HQ31" s="150" t="str">
        <f aca="false">IF(HQ$19&gt;$FJ31,"",MAX(0,IF(HQ$19=$FJ31,$S31^2*HQ$15,HQ30*INDEX($T$20:$T$91,$FJ31-HQ$19)^2/INDEX($U$20:$U$91,$FJ31-HQ$19))))</f>
        <v/>
      </c>
      <c r="HR31" s="150" t="str">
        <f aca="false">IF(HR$19&gt;$FJ31,"",MAX(0,IF(HR$19=$FJ31,$S31^2*HR$15,HR30*INDEX($T$20:$T$91,$FJ31-HR$19)^2/INDEX($U$20:$U$91,$FJ31-HR$19))))</f>
        <v/>
      </c>
      <c r="HS31" s="150" t="str">
        <f aca="false">IF(HS$19&gt;$FJ31,"",MAX(0,IF(HS$19=$FJ31,$S31^2*HS$15,HS30*INDEX($T$20:$T$91,$FJ31-HS$19)^2/INDEX($U$20:$U$91,$FJ31-HS$19))))</f>
        <v/>
      </c>
      <c r="HT31" s="150" t="str">
        <f aca="false">IF(HT$19&gt;$FJ31,"",MAX(0,IF(HT$19=$FJ31,$S31^2*HT$15,HT30*INDEX($T$20:$T$91,$FJ31-HT$19)^2/INDEX($U$20:$U$91,$FJ31-HT$19))))</f>
        <v/>
      </c>
      <c r="HU31" s="150" t="str">
        <f aca="false">IF(HU$19&gt;$FJ31,"",MAX(0,IF(HU$19=$FJ31,$S31^2*HU$15,HU30*INDEX($T$20:$T$91,$FJ31-HU$19)^2/INDEX($U$20:$U$91,$FJ31-HU$19))))</f>
        <v/>
      </c>
      <c r="HV31" s="150" t="str">
        <f aca="false">IF(HV$19&gt;$FJ31,"",MAX(0,IF(HV$19=$FJ31,$S31^2*HV$15,HV30*INDEX($T$20:$T$91,$FJ31-HV$19)^2/INDEX($U$20:$U$91,$FJ31-HV$19))))</f>
        <v/>
      </c>
      <c r="HW31" s="150" t="str">
        <f aca="false">IF(HW$19&gt;$FJ31,"",MAX(0,IF(HW$19=$FJ31,$S31^2*HW$15,HW30*INDEX($T$20:$T$91,$FJ31-HW$19)^2/INDEX($U$20:$U$91,$FJ31-HW$19))))</f>
        <v/>
      </c>
      <c r="HX31" s="150" t="str">
        <f aca="false">IF(HX$19&gt;$FJ31,"",MAX(0,IF(HX$19=$FJ31,$S31^2*HX$15,HX30*INDEX($T$20:$T$91,$FJ31-HX$19)^2/INDEX($U$20:$U$91,$FJ31-HX$19))))</f>
        <v/>
      </c>
      <c r="HY31" s="150" t="str">
        <f aca="false">IF(HY$19&gt;$FJ31,"",MAX(0,IF(HY$19=$FJ31,$S31^2*HY$15,HY30*INDEX($T$20:$T$91,$FJ31-HY$19)^2/INDEX($U$20:$U$91,$FJ31-HY$19))))</f>
        <v/>
      </c>
      <c r="HZ31" s="150" t="str">
        <f aca="false">IF(HZ$19&gt;$FJ31,"",MAX(0,IF(HZ$19=$FJ31,$S31^2*HZ$15,HZ30*INDEX($T$20:$T$91,$FJ31-HZ$19)^2/INDEX($U$20:$U$91,$FJ31-HZ$19))))</f>
        <v/>
      </c>
      <c r="IA31" s="150" t="str">
        <f aca="false">IF(IA$19&gt;$FJ31,"",MAX(0,IF(IA$19=$FJ31,$S31^2*IA$15,IA30*INDEX($T$20:$T$91,$FJ31-IA$19)^2/INDEX($U$20:$U$91,$FJ31-IA$19))))</f>
        <v/>
      </c>
      <c r="IB31" s="150" t="str">
        <f aca="false">IF(IB$19&gt;$FJ31,"",MAX(0,IF(IB$19=$FJ31,$S31^2*IB$15,IB30*INDEX($T$20:$T$91,$FJ31-IB$19)^2/INDEX($U$20:$U$91,$FJ31-IB$19))))</f>
        <v/>
      </c>
      <c r="IC31" s="150" t="str">
        <f aca="false">IF(IC$19&gt;$FJ31,"",MAX(0,IF(IC$19=$FJ31,$S31^2*IC$15,IC30*INDEX($T$20:$T$91,$FJ31-IC$19)^2/INDEX($U$20:$U$91,$FJ31-IC$19))))</f>
        <v/>
      </c>
      <c r="ID31" s="572" t="str">
        <f aca="false">IF(ID$19&gt;$FJ31,"",MAX(0,IF(ID$19=$FJ31,$S31^2*ID$15,ID30*INDEX($T$20:$T$91,$FJ31-ID$19)^2/INDEX($U$20:$U$91,$FJ31-ID$19))))</f>
        <v/>
      </c>
      <c r="IE31" s="129"/>
    </row>
    <row r="32" customFormat="false" ht="14.25" hidden="false" customHeight="true" outlineLevel="0" collapsed="false">
      <c r="A32" s="625" t="e">
        <f aca="false">xASTRIP(INDEX(BR19:BR260,SwapFirstMonthPosition):INDEX(BR19:BR260,SwapFirstMonthPosition+SwapNumOfMonths-1),INDEX(ED19:ED260,SwapFirstMonthPosition):INDEX(ED19:ED260,SwapFirstMonthPosition+SwapNumOfMonths-1),INDEX(BI19:BI260,SwapFirstMonthPosition):INDEX(BI19:BI260,SwapFirstMonthPosition+SwapNumOfMonths-1),INDEX(BL19:BL260,SwapFirstMonthPosition):INDEX(BL19:BL260,SwapFirstMonthPosition+SwapNumOfMonths-1),INDEX(BO19:BO260,SwapFirstMonthPosition):INDEX(BO19:BO260,SwapFirstMonthPosition+SwapNumOfMonths-1),0,Strike1,INDEX(AO19:AO260,SwapFirstMonthPosition):INDEX(AO19:AO260,SwapFirstMonthPosition+SwapNumOfMonths-1),1,0,INDEX(BL19:BL260,SwapFirstMonthPosition+SwapNumOfMonths-1),IF(OptControl=4,0,1),0,1)</f>
        <v>#NAME?</v>
      </c>
      <c r="B32" s="626" t="s">
        <v>245</v>
      </c>
      <c r="C32" s="627" t="n">
        <v>30</v>
      </c>
      <c r="D32" s="628" t="n">
        <f aca="false">SUM(BD19:BD258)</f>
        <v>360</v>
      </c>
      <c r="E32" s="629" t="n">
        <f aca="false">SUMPRODUCT(BD19:BD258,AP19:AP258)</f>
        <v>360</v>
      </c>
      <c r="F32" s="630" t="s">
        <v>50</v>
      </c>
      <c r="G32" s="631" t="n">
        <f aca="false">DateToday-1-IF(WEEKDAY(DateToday)&lt;=2,WEEKDAY(DateToday),0)</f>
        <v>45925</v>
      </c>
      <c r="H32" s="219" t="n">
        <f aca="false">VLOOKUP(I32,$EJ$20:$EL$54,3)</f>
        <v>0</v>
      </c>
      <c r="I32" s="511" t="n">
        <f aca="false">EOMONTH(I31,0)+1</f>
        <v>37135</v>
      </c>
      <c r="J32" s="512"/>
      <c r="K32" s="513" t="s">
        <v>226</v>
      </c>
      <c r="L32" s="514" t="e">
        <f aca="false">IF(ISNUMBER(K32),J32+K32/100,IF(K32="extra",L31+VLOOKUP(BF32,PriceSpreadTable,2)/12,IF(K32="inter",interpolateprices($K$19:$L$200,ROW(K32)-ROW(FirstPricingMonth)+1),interpolatechanges($J$19:$K$200,ROW(K32)-ROW(FirstPricingMonth)+1))))</f>
        <v>#VALUE!</v>
      </c>
      <c r="M32" s="515"/>
      <c r="N32" s="516" t="n">
        <v>0</v>
      </c>
      <c r="O32" s="515" t="n">
        <f aca="false">M32+N32</f>
        <v>0</v>
      </c>
      <c r="P32" s="512"/>
      <c r="Q32" s="517" t="s">
        <v>226</v>
      </c>
      <c r="R32" s="512" t="e">
        <f aca="false">IF(ISNUMBER(Q32),P32+Q32/100,IF(Q32="extra",(Z30*AL30-R31*AM30)/AN30,IF(Q32="inter",interpolateprices($Q$19:$R$260,ROW(Q32)-ROW(FirstPricingMonth)+1),interpolatechanges($P$19:$Q$260,ROW(Q32)-ROW(FirstPricingMonth)+1))))</f>
        <v>#VALUE!</v>
      </c>
      <c r="S32" s="597" t="n">
        <f aca="false">S$19+(S31-S$19)*S$18</f>
        <v>0.361689405441284</v>
      </c>
      <c r="T32" s="575" t="n">
        <f aca="false">SQRT((1-(1-T31^2/U31)*T$18)*U32)</f>
        <v>0.982474240143559</v>
      </c>
      <c r="U32" s="576" t="n">
        <f aca="false">1-(1-U31)*U$18</f>
        <v>0.999524854719639</v>
      </c>
      <c r="V32" s="521" t="n">
        <v>0</v>
      </c>
      <c r="W32" s="577" t="n">
        <f aca="false">(J33*AJ32+J34*AK32)/AI32</f>
        <v>0</v>
      </c>
      <c r="X32" s="578" t="e">
        <f aca="false">(L33*AJ32+L34*AK32)/AI32</f>
        <v>#VALUE!</v>
      </c>
      <c r="Y32" s="579" t="n">
        <f aca="false">IF(Q34="extra",W32-AA32,(P33*AM32+P34*AN32)/AL32)</f>
        <v>0</v>
      </c>
      <c r="Z32" s="579" t="e">
        <f aca="false">IF(Q34="extra",X32-AB32,(R33*AM32+R34*AN32)/AL32)</f>
        <v>#VALUE!</v>
      </c>
      <c r="AA32" s="523" t="n">
        <f aca="false">IF(Q34="extra",INDEX(BrentSeasonalityTable,INT((BG32-1)/3)+1)*VLOOKUP(MAX(BF32,$AB$4),PriceSpreadTable,3),W32-Y32)</f>
        <v>0</v>
      </c>
      <c r="AB32" s="524" t="e">
        <f aca="false">IF(Q34="extra",INDEX(BrentSeasonalityTable,INT((BG32-1)/3)+1)*VLOOKUP(MAX(BF32,$AB$4),PriceSpreadTable,3),X32-Z32)</f>
        <v>#VALUE!</v>
      </c>
      <c r="AC32" s="525" t="n">
        <v>37124</v>
      </c>
      <c r="AD32" s="526" t="n">
        <v>37119</v>
      </c>
      <c r="AE32" s="526" t="n">
        <v>37119</v>
      </c>
      <c r="AF32" s="527" t="n">
        <v>37114</v>
      </c>
      <c r="AG32" s="438" t="s">
        <v>224</v>
      </c>
      <c r="AH32" s="439" t="s">
        <v>224</v>
      </c>
      <c r="AI32" s="528" t="n">
        <v>20</v>
      </c>
      <c r="AJ32" s="529" t="n">
        <v>14</v>
      </c>
      <c r="AK32" s="529" t="n">
        <v>6</v>
      </c>
      <c r="AL32" s="530" t="n">
        <v>20</v>
      </c>
      <c r="AM32" s="529" t="n">
        <v>8</v>
      </c>
      <c r="AN32" s="531" t="n">
        <v>12</v>
      </c>
      <c r="AO32" s="532"/>
      <c r="AP32" s="465" t="n">
        <f aca="false">(1+AO32/2)^(-2*BL32)</f>
        <v>1</v>
      </c>
      <c r="AQ32" s="532"/>
      <c r="AR32" s="465" t="n">
        <f aca="false">(1+AQ32/2)^(-2*BH32/365.25)</f>
        <v>1</v>
      </c>
      <c r="AS32" s="580" t="n">
        <f aca="false">(O33*AJ32+O34*AK32)/AI32</f>
        <v>0</v>
      </c>
      <c r="AT32" s="468" t="n">
        <f aca="false">O32*VLOOKUP(BF32,BrentVolTable,2)+VLOOKUP(BF32,BrentVolTable,3)</f>
        <v>0</v>
      </c>
      <c r="AU32" s="468" t="n">
        <f aca="false">(AT33*AM32+AT34*AN32)/AL32</f>
        <v>0</v>
      </c>
      <c r="AV32" s="595" t="n">
        <f aca="false">SQRT(MAX(0.000000000001,(O32^2*BH32-S32^2*(BH32-BH31))/BH31))</f>
        <v>0.0210750474649812</v>
      </c>
      <c r="AW32" s="451" t="n">
        <f aca="false">IF($I32-DateToday+15&gt;=$T$8,"",IF($I32-DateToday+15&lt;$T$5,1,MATCH($I32-DateToday+15,$T$5:$T$8)))</f>
        <v>1</v>
      </c>
      <c r="AX32" s="468" t="n">
        <f aca="false">IF($AW32="",AX31^2/AX30,INDEX(U$5:U$8,$AW32)^((INDEX($T$5:$T$8,$AW32+1)-($I32-DateToday+15))/(INDEX($T$5:$T$8,$AW32+1)-INDEX($T$5:$T$8,$AW32)))/INDEX(U$5:U$8,$AW32+1)^((INDEX($T$5:$T$8,$AW32)-($I32-DateToday+15))/(INDEX($T$5:$T$8,$AW32+1)-INDEX($T$5:$T$8,$AW32))))</f>
        <v>9.71180025347415</v>
      </c>
      <c r="AY32" s="468" t="n">
        <f aca="false">IF($AW32="",AY31^2/AY30,INDEX(V$5:V$8,$AW32)^((INDEX($T$5:$T$8,$AW32+1)-($I32-DateToday+15))/(INDEX($T$5:$T$8,$AW32+1)-INDEX($T$5:$T$8,$AW32)))/INDEX(V$5:V$8,$AW32+1)^((INDEX($T$5:$T$8,$AW32)-($I32-DateToday+15))/(INDEX($T$5:$T$8,$AW32+1)-INDEX($T$5:$T$8,$AW32))))</f>
        <v>3148.39607049751</v>
      </c>
      <c r="AZ32" s="468" t="n">
        <f aca="false">IF($AW32="",AZ31^2/AZ30,INDEX(W$5:W$8,$AW32)^((INDEX($T$5:$T$8,$AW32+1)-($I32-DateToday+15))/(INDEX($T$5:$T$8,$AW32+1)-INDEX($T$5:$T$8,$AW32)))/INDEX(W$5:W$8,$AW32+1)^((INDEX($T$5:$T$8,$AW32)-($I32-DateToday+15))/(INDEX($T$5:$T$8,$AW32+1)-INDEX($T$5:$T$8,$AW32))))</f>
        <v>261163267.965963</v>
      </c>
      <c r="BA32" s="468" t="n">
        <f aca="false">IF($AW32="",BA31^2/BA30,INDEX(X$5:X$8,$AW32)^((INDEX($T$5:$T$8,$AW32+1)-($I32-DateToday+15))/(INDEX($T$5:$T$8,$AW32+1)-INDEX($T$5:$T$8,$AW32)))/INDEX(X$5:X$8,$AW32+1)^((INDEX($T$5:$T$8,$AW32)-($I32-DateToday+15))/(INDEX($T$5:$T$8,$AW32+1)-INDEX($T$5:$T$8,$AW32))))</f>
        <v>26420473875.3121</v>
      </c>
      <c r="BB32" s="468" t="n">
        <f aca="false">IF($AW32="",BB31^2/BB30,INDEX(Y$5:Y$8,$AW32)^((INDEX($T$5:$T$8,$AW32+1)-($I32-DateToday+15))/(INDEX($T$5:$T$8,$AW32+1)-INDEX($T$5:$T$8,$AW32)))/INDEX(Y$5:Y$8,$AW32+1)^((INDEX($T$5:$T$8,$AW32)-($I32-DateToday+15))/(INDEX($T$5:$T$8,$AW32+1)-INDEX($T$5:$T$8,$AW32))))</f>
        <v>648666927572.037</v>
      </c>
      <c r="BC32" s="468" t="n">
        <f aca="false">IF($AW32="",BC31^2/BC30,INDEX(Z$5:Z$8,$AW32)^((INDEX($T$5:$T$8,$AW32+1)-($I32-DateToday+15))/(INDEX($T$5:$T$8,$AW32+1)-INDEX($T$5:$T$8,$AW32)))/INDEX(Z$5:Z$8,$AW32+1)^((INDEX($T$5:$T$8,$AW32)-($I32-DateToday+15))/(INDEX($T$5:$T$8,$AW32+1)-INDEX($T$5:$T$8,$AW32))))</f>
        <v>4359235985777.09</v>
      </c>
      <c r="BD32" s="535" t="n">
        <f aca="false">IF(OR(DateStart&gt;=I33,DateEnd&lt;I32),0,IF(VolumeOverrideFlag,V32,Volume))</f>
        <v>30</v>
      </c>
      <c r="BE32" s="536" t="n">
        <f aca="false">IF(OR(DateStart2&gt;=I33,DateEnd2&lt;I32),0,IF(VolumeOverrideFlag,V32,VolumeSwaption))</f>
        <v>30</v>
      </c>
      <c r="BF32" s="537" t="n">
        <f aca="false">YEAR(I32)</f>
        <v>2001</v>
      </c>
      <c r="BG32" s="538" t="n">
        <f aca="false">MONTH(I32)</f>
        <v>9</v>
      </c>
      <c r="BH32" s="539" t="n">
        <f aca="false">AD32-DateToday+1</f>
        <v>-8806</v>
      </c>
      <c r="BI32" s="540" t="n">
        <f aca="false">(I32-DateToday+1)/365.25</f>
        <v>-24.0657084188912</v>
      </c>
      <c r="BJ32" s="541" t="n">
        <f aca="false">BI32+(BL32-BI32)*CHOOSE(Underlying,AJ32/AI32,AM32/AL32)</f>
        <v>-24.0101300479124</v>
      </c>
      <c r="BK32" s="541" t="n">
        <f aca="false">BJ32+1/365.25</f>
        <v>-24.0073921971253</v>
      </c>
      <c r="BL32" s="541" t="n">
        <f aca="false">(I33-DateToday)/365.25</f>
        <v>-23.9863107460643</v>
      </c>
      <c r="BM32" s="542" t="e">
        <f aca="false">MAX(BI32-(BJ32-BI32)*(S33^2/O33^2-1),0)</f>
        <v>#DIV/0!</v>
      </c>
      <c r="BN32" s="541" t="e">
        <f aca="false">MAX(BL32+(BL32-BK32)*(S34^2/O34^2-1),0)</f>
        <v>#DIV/0!</v>
      </c>
      <c r="BO32" s="530" t="n">
        <f aca="false">CHOOSE(Underlying,AI32,AL32)</f>
        <v>20</v>
      </c>
      <c r="BP32" s="529" t="n">
        <f aca="false">CHOOSE(Underlying,AJ32,AM32)</f>
        <v>14</v>
      </c>
      <c r="BQ32" s="529" t="n">
        <f aca="false">CHOOSE(Underlying,AK32,AN32)</f>
        <v>6</v>
      </c>
      <c r="BR32" s="463" t="e">
        <f aca="false">IF(BD32,IF(Underlying=1,X32,Z32)+UnderlyingPriceAsian-SwapPriceCurve,"")</f>
        <v>#VALUE!</v>
      </c>
      <c r="BS32" s="463" t="e">
        <f aca="false">IF(BD32,Strike1/BR32-1,"")</f>
        <v>#VALUE!</v>
      </c>
      <c r="BT32" s="464" t="e">
        <f aca="false">IF(BD32,Strike2/BR32-1,"")</f>
        <v>#VALUE!</v>
      </c>
      <c r="BU32" s="465" t="e">
        <f aca="false">IF(BD32,IF(Underlying=1,L33,R33)+UnderlyingPriceAsian-SwapPriceCurve,"")</f>
        <v>#VALUE!</v>
      </c>
      <c r="BV32" s="465" t="e">
        <f aca="false">IF(BD32,IF(Underlying=1,L34,R34)+UnderlyingPriceAsian-SwapPriceCurve,"")</f>
        <v>#VALUE!</v>
      </c>
      <c r="BW32" s="466" t="n">
        <f aca="false">IF(BD32,IF(Underlying=1,O33,AT33),"")</f>
        <v>0</v>
      </c>
      <c r="BX32" s="467" t="n">
        <f aca="false">IF(BD32,IF(Underlying=1,O34,AT34),"")</f>
        <v>0</v>
      </c>
      <c r="BY32" s="466" t="e">
        <f aca="false">IF(BD32,IF(BS32&gt;0,IF(BS32&gt;0.2,BC32-BB32,IF(BS32&gt;0.1,BB32-BA32,BA32)),IF(BS32&lt;-0.2,AX32-AY32,IF(BS32&lt;-0.1,AY32-AZ32,AZ32))),"")</f>
        <v>#VALUE!</v>
      </c>
      <c r="BZ32" s="467" t="e">
        <f aca="false">IF(BD32,IF(BT32&gt;0,IF(BT32&gt;0.2,BC32-BB32,IF(BT32&gt;0.1,BB32-BA32,BA32)),IF(BT32&lt;-0.2,AX32-AY32,IF(BT32&lt;-0.1,AY32-AZ32,AZ32))),"")</f>
        <v>#VALUE!</v>
      </c>
      <c r="CA32" s="468" t="e">
        <f aca="false">IF($BD32,$BW32+IF(VolSkewFlag=1,IF(BS32&gt;0,$BA32*MIN(BS32/10%,1)+($BB32-$BA32)*MAX(0,MIN(BS32/10%-1,1))+($BC32-$BB32)*MAX(0,BS32/10%-2),$AZ32*MIN(-BS32/10%,1)+($AY32-$AZ32)*MAX(0,MIN(-BS32/10%-1,1))+($AX32-$AY32)*MAX(0,-BS32/10%-2)),0),"")</f>
        <v>#VALUE!</v>
      </c>
      <c r="CB32" s="468" t="e">
        <f aca="false">IF($BD32,$BX32+IF(VolSkewFlag=1,IF(BS32&gt;0,$BA32*MIN(BS32/10%,1)+($BB32-$BA32)*MAX(0,MIN(BS32/10%-1,1))+($BC32-$BB32)*MAX(0,BS32/10%-2),$AZ32*MIN(-BS32/10%,1)+($AY32-$AZ32)*MAX(0,MIN(-BS32/10%-1,1))+($AX32-$AY32)*MAX(0,-BS32/10%-2)),0),"")</f>
        <v>#VALUE!</v>
      </c>
      <c r="CC32" s="468" t="e">
        <f aca="false">IF($BD32,$BW32+IF(VolSkewFlag=1,IF(BT32&gt;0,$BA32*MIN(BT32/10%,1)+($BB32-$BA32)*MAX(0,MIN(BT32/10%-1,1))+($BC32-$BB32)*MAX(0,BT32/10%-2),$AZ32*MIN(-BT32/10%,1)+($AY32-$AZ32)*MAX(0,MIN(-BT32/10%-1,1))+($AX32-$AY32)*MAX(0,-BT32/10%-2)),0),"")</f>
        <v>#VALUE!</v>
      </c>
      <c r="CD32" s="468" t="e">
        <f aca="false">IF($BD32,$BX32+IF(VolSkewFlag=1,IF(BT32&gt;0,$BA32*MIN(BT32/10%,1)+($BB32-$BA32)*MAX(0,MIN(BT32/10%-1,1))+($BC32-$BB32)*MAX(0,BT32/10%-2),$AZ32*MIN(-BT32/10%,1)+($AY32-$AZ32)*MAX(0,MIN(-BT32/10%-1,1))+($AX32-$AY32)*MAX(0,-BT32/10%-2)),0),"")</f>
        <v>#VALUE!</v>
      </c>
      <c r="CE32" s="469" t="n">
        <v>1</v>
      </c>
      <c r="CF32" s="470" t="e">
        <f aca="false">IF(BD32,xCrudeAPO(BU32,BV32,CA32,CB32,S33,S34,BI32,BL32,BP32,BQ32,0,Strike1,AO32,CE32,0,BL32,IF(OptControl=4,0,1),0,1),0)</f>
        <v>#NAME?</v>
      </c>
      <c r="CG32" s="470" t="e">
        <f aca="false">IF(BD32,xCrudeAPO(BU32,BV32,CA32,CB32,S33,S34,BI32,BL32,BP32,BQ32,0,Strike1,AO32,CE32,0,BL32,IF(OptControl=4,0,1),1,1)+xCrudeAPO(BU32,BV32,CA32,CB32,S33,S34,BI32,BL32,BP32,BQ32,0,Strike1,AO32,CE32,0,BL32,IF(OptControl=4,0,1),1,2)+IF(OR(VolSkewFlag=2,ABS(BS32)&lt;0.0001),0,IF(BS32&gt;0,-1,1)*CH32*Strike1/BR32^2*BY32/10%),0)</f>
        <v>#NAME?</v>
      </c>
      <c r="CH32" s="470" t="e">
        <f aca="false">IF(BD32,(xCrudeAPO(BU32,BV32,CA32,CB32,S33,S34,BI32,BL32,BP32,BQ32,0,Strike1,AO32,CE32,0,BL32,IF(OptControl=4,0,1),3,1)+xCrudeAPO(BU32,BV32,CA32,CB32,S33,S34,BI32,BL32,BP32,BQ32,0,Strike1,AO32,CE32,0,BL32,IF(OptControl=4,0,1),3,2))/100,0)</f>
        <v>#NAME?</v>
      </c>
      <c r="CI32" s="470" t="e">
        <f aca="false">IF(BD32,xCrudeAPO(BU32,BV32,CA32,CB32,S33,S34,BI32-DaysForThetaCalculation/365.25,BL32-DaysForThetaCalculation/365.25,BP32,BQ32,0,Strike1,AO32,CE32,0,BL32,IF(OptControl=4,0,1),0,1)-xCrudeAPO(BU32,BV32,CA32,CB32,S33,S34,BI32,BL32,BP32,BQ32,0,Strike1,AO32,CE32,0,BL32,IF(OptControl=4,0,1),0,1),0)</f>
        <v>#NAME?</v>
      </c>
      <c r="CJ32" s="471" t="e">
        <f aca="false">IF(BD32,xCrudeAPO(BU32,BV32,CC32,CD32,S33,S34,BI32,BL32,BP32,BQ32,0,Strike2,AO32,CE32,0,BL32,IF(OptControl=3,1,0),0,1),0)</f>
        <v>#NAME?</v>
      </c>
      <c r="CK32" s="470" t="e">
        <f aca="false">IF(BD32,xCrudeAPO(BU32,BV32,CC32,CD32,S33,S34,BI32,BL32,BP32,BQ32,0,Strike2,AO32,CE32,0,BL32,IF(OptControl=3,1,0),1,1)+xCrudeAPO(BU32,BV32,CC32,CD32,S33,S34,BI32,BL32,BP32,BQ32,0,Strike2,AO32,CE32,0,BL32,IF(OptControl=3,1,0),1,2)+IF(OR(VolSkewFlag=2,ABS(BT32)&lt;0.0001),0,IF(BT32&gt;0,-1,1)*CL32*Strike2/BR32^2*BZ32/10%),0)</f>
        <v>#NAME?</v>
      </c>
      <c r="CL32" s="470" t="e">
        <f aca="false">IF(BD32,(xCrudeAPO(BU32,BV32,CC32,CD32,S33,S34,BI32,BL32,BP32,BQ32,0,Strike2,AO32,CE32,0,BL32,IF(OptControl=3,1,0),3,1)+xCrudeAPO(BU32,BV32,CC32,CD32,S33,S34,BI32,BL32,BP32,BQ32,0,Strike2,AO32,CE32,0,BL32,IF(OptControl=3,1,0),3,2))/100,0)</f>
        <v>#NAME?</v>
      </c>
      <c r="CM32" s="472" t="e">
        <f aca="false">IF(BD32,xCrudeAPO(BU32,BV32,CC32,CD32,S33,S34,BI32-DaysForThetaCalculation/365.25,BL32-DaysForThetaCalculation/365.25,BP32,BQ32,0,Strike2,AO32,CE32,0,BL32,IF(OptControl=3,1,0),0,1)-xCrudeAPO(BU32,BV32,CC32,CD32,S33,S34,BI32,BL32,BP32,BQ32,0,Strike2,AO32,CE32,0,BL32,IF(OptControl=3,1,0),0,1),0)</f>
        <v>#NAME?</v>
      </c>
      <c r="CN32" s="473"/>
      <c r="CO32" s="543" t="n">
        <f aca="false">IF(BD32,CHOOSE(Underlying,AD32,AF32)-DateToday+1,"")</f>
        <v>-8806</v>
      </c>
      <c r="CP32" s="582" t="e">
        <f aca="false">IF(BD32,CHOOSE(Underlying,L32,R32),"")</f>
        <v>#VALUE!</v>
      </c>
      <c r="CQ32" s="544" t="e">
        <f aca="false">IF(BD32,Strike1/CP32-1,"")</f>
        <v>#VALUE!</v>
      </c>
      <c r="CR32" s="544" t="e">
        <f aca="false">IF(BD32,Strike2/CP32-1,"")</f>
        <v>#VALUE!</v>
      </c>
      <c r="CS32" s="544" t="e">
        <f aca="false">IF(BD32,IF(CQ32&gt;0,IF(CQ32&gt;0.2,BC31-BB31,IF(CQ32&gt;0.1,BB31-BA31,BA31)),IF(CQ32&lt;-0.2,AX31-AY31,IF(CQ32&lt;-0.1,AY31-AZ31,AZ31))),"")</f>
        <v>#VALUE!</v>
      </c>
      <c r="CT32" s="544" t="e">
        <f aca="false">IF(BD32,IF(CR32&gt;0,IF(CR32&gt;0.2,BC31-BB31,IF(CR32&gt;0.1,BB31-BA31,BA31)),IF(CR32&lt;-0.2,AX31-AY31,IF(CR32&lt;-0.1,AY31-AZ31,AZ31))),"")</f>
        <v>#VALUE!</v>
      </c>
      <c r="CU32" s="545" t="n">
        <f aca="false">IF(BD32,CHOOSE(Underlying,O32,AT32),"")</f>
        <v>0</v>
      </c>
      <c r="CV32" s="545" t="e">
        <f aca="false">IF(BD32,CU32+IF(VolSkewFlag=1,IF(CQ32&gt;0,BA31*MIN(CQ32/10%,1)+(BB31-BA31)*MAX(0,MIN(CQ32/10%-1,1))+(BC31-BB31)*MAX(0,CQ32/10%-2),AZ31*MIN(-CQ32/10%,1)+(AY31-AZ31)*MAX(0,MIN(-CQ32/10%-1,1))+(AX31-AY31)*MAX(0,-CQ32/10%-2)),0),"")</f>
        <v>#VALUE!</v>
      </c>
      <c r="CW32" s="545" t="e">
        <f aca="false">IF(BD32,CU32+IF(VolSkewFlag=1,IF(CR32&gt;0,BA31*MIN(CR32/10%,1)+(BB31-BA31)*MAX(0,MIN(CR32/10%-1,1))+(BC31-BB31)*MAX(0,CR32/10%-2),AZ31*MIN(-CR32/10%,1)+(AY31-AZ31)*MAX(0,MIN(-CR32/10%-1,1))+(AX31-AY31)*MAX(0,-CR32/10%-2)),0),"")</f>
        <v>#VALUE!</v>
      </c>
      <c r="CX32" s="470" t="e">
        <f aca="false">IF(BD32,EURO(CP32,Strike1,AO32,AO32,CV32,CO32,IF(OptControl=4,0,1),0),0)</f>
        <v>#NAME?</v>
      </c>
      <c r="CY32" s="470" t="e">
        <f aca="false">IF(BD32,EURO(CP32,Strike1,AO32,AO32,CV32,CO32,IF(OptControl=4,0,1),1)+IF(OR(VolSkewFlag=2,ABS(CQ32)&lt;0.0001),0,IF(CQ32&gt;0,-1,1)*CZ32*100*Strike1/CP32^2*CS32/10%),0)</f>
        <v>#NAME?</v>
      </c>
      <c r="CZ32" s="470" t="e">
        <f aca="false">IF(BD32,EURO(CP32,Strike1,AO32,AO32,CV32,CO32,IF(OptControl=4,0,1),3)/100,0)</f>
        <v>#NAME?</v>
      </c>
      <c r="DA32" s="470" t="e">
        <f aca="false">IF(BD32,EURO(CP32,Strike1,AO32,AO32,CV32,CO32,IF(OptControl=4,0,1),0)-EURO(CP32,Strike1,AO32,AO32,CV32,CO32-1,IF(OptControl=4,0,1),0),0)</f>
        <v>#NAME?</v>
      </c>
      <c r="DB32" s="470" t="e">
        <f aca="false">IF(BD32,EURO(CP32,Strike2,AO32,AO32,CW32,CO32,IF(OptControl=3,1,0),0),0)</f>
        <v>#NAME?</v>
      </c>
      <c r="DC32" s="470" t="e">
        <f aca="false">IF(BD32,EURO(CP32,Strike2,AO32,AO32,CW32,CO32,IF(OptControl=3,1,0),1)+IF(OR(VolSkewFlag=2,ABS(CR32)&lt;0.0001),0,IF(CR32&gt;0,-1,1)*DD32*100*Strike2/CP32^2*CT32/10%),0)</f>
        <v>#NAME?</v>
      </c>
      <c r="DD32" s="470" t="e">
        <f aca="false">IF(BD32,EURO(CP32,Strike2,AO32,AO32,CW32,CO32,IF(OptControl=3,1,0),3)/100,0)</f>
        <v>#NAME?</v>
      </c>
      <c r="DE32" s="472" t="e">
        <f aca="false">IF(BD32,EURO(CP32,Strike2,AO32,AO32,CW32,CO32,IF(OptControl=3,1,0),0)-EURO(CP32,Strike2,AO32,AO32,CW32,CO32-1,IF(OptControl=3,1,0),0),0)</f>
        <v>#NAME?</v>
      </c>
      <c r="DF32" s="473"/>
      <c r="DG32" s="481" t="n">
        <f aca="false">EOMONTH(DG31,0)+1</f>
        <v>46054</v>
      </c>
      <c r="DH32" s="478" t="n">
        <v>23.2</v>
      </c>
      <c r="DI32" s="479" t="n">
        <v>22.676</v>
      </c>
      <c r="DJ32" s="480" t="n">
        <f aca="false">DG32</f>
        <v>46054</v>
      </c>
      <c r="DK32" s="478" t="n">
        <v>21.91</v>
      </c>
      <c r="DL32" s="479" t="n">
        <v>21.286</v>
      </c>
      <c r="DM32" s="481" t="n">
        <f aca="false">DG32</f>
        <v>46054</v>
      </c>
      <c r="DN32" s="482" t="n">
        <f aca="false">DK32+BrentPhyBrentSpread</f>
        <v>21.96</v>
      </c>
      <c r="DO32" s="481" t="n">
        <f aca="false">DG32</f>
        <v>46054</v>
      </c>
      <c r="DP32" s="483" t="n">
        <f aca="false">DL32+DQ32</f>
        <v>21.596</v>
      </c>
      <c r="DQ32" s="546" t="n">
        <v>0.31</v>
      </c>
      <c r="DR32" s="480" t="n">
        <f aca="false">DG32</f>
        <v>46054</v>
      </c>
      <c r="DS32" s="485" t="n">
        <v>0.261547011280256</v>
      </c>
      <c r="DT32" s="486" t="n">
        <v>0.254765819645726</v>
      </c>
      <c r="DU32" s="480" t="n">
        <f aca="false">DG32</f>
        <v>46054</v>
      </c>
      <c r="DV32" s="485" t="n">
        <v>0.261547011280256</v>
      </c>
      <c r="DW32" s="486" t="n">
        <v>0.254765819645726</v>
      </c>
      <c r="DX32" s="481" t="n">
        <f aca="false">DG32</f>
        <v>46054</v>
      </c>
      <c r="DY32" s="486" t="n">
        <v>0.3500390625</v>
      </c>
      <c r="DZ32" s="481" t="n">
        <f aca="false">DR32</f>
        <v>46054</v>
      </c>
      <c r="EA32" s="486" t="n">
        <f aca="false">DT32</f>
        <v>0.254765819645726</v>
      </c>
      <c r="EB32" s="195"/>
      <c r="EC32" s="547" t="n">
        <f aca="false">IF(BD32,IF(Underlying=1,AS32,AU32),"")</f>
        <v>0</v>
      </c>
      <c r="ED32" s="548" t="e">
        <f aca="false">IF($BD32,$EC32+IF(VolSkewFlag=1,IF(BS32&gt;0,$BA32*MIN(BS32/10%,1)+($BB32-$BA32)*MAX(0,MIN(BS32/10%-1,1))+($BC32-$BB32)*MAX(0,BS32/10%-2),$AZ32*MIN(-BS32/10%,1)+($AY32-$AZ32)*MAX(0,MIN(-BS32/10%-1,1))+($AX32-$AY32)*MAX(0,-BS32/10%-2)),0),"")</f>
        <v>#VALUE!</v>
      </c>
      <c r="EE32" s="549" t="e">
        <f aca="false">IF($BD32,$EC32+IF(VolSkewFlag=1,IF(BT32&gt;0,$BA32*MIN(BT32/10%,1)+($BB32-$BA32)*MAX(0,MIN(BT32/10%-1,1))+($BC32-$BB32)*MAX(0,BT32/10%-2),$AZ32*MIN(-BT32/10%,1)+($AY32-$AZ32)*MAX(0,MIN(-BT32/10%-1,1))+($AX32-$AY32)*MAX(0,-BT32/10%-2)),0),"")</f>
        <v>#VALUE!</v>
      </c>
      <c r="EF32" s="550" t="e">
        <f aca="false">IF(BD32,xASN(BR32,Strike1,AO32,ED32,0,BO32,0,BI32,BL32,IF(OptControl=4,0,1),0),0)</f>
        <v>#NAME?</v>
      </c>
      <c r="EG32" s="551" t="e">
        <f aca="false">IF(BD32,xASN(BR32,Strike2,AO32,EE32,0,BO32,0,BI32,BL32,IF(OptControl=3,1,0),0),0)</f>
        <v>#NAME?</v>
      </c>
      <c r="EI32" s="583" t="str">
        <f aca="false">DDE("TWINDDE","RSFRecord","CLc13 MTH")</f>
        <v>SEP1</v>
      </c>
      <c r="EJ32" s="584" t="n">
        <f aca="false">DATEVALUE(CONCATENATE(LEFT(EI32,3),"-",IF(VALUE(RIGHT(EI32,1))=9,"1999",CONCATENATE("200",RIGHT(EI32,1)))))</f>
        <v>37135</v>
      </c>
      <c r="EK32" s="585" t="n">
        <f aca="false">DDE("TWINDDE","RSFRecord","CLc13 NET.CHNG")</f>
        <v>0</v>
      </c>
      <c r="EL32" s="586" t="n">
        <f aca="false">IF(ISNUMBER(VALUE(EK32)),VALUE(EK32)*100,0)</f>
        <v>0</v>
      </c>
      <c r="EM32" s="195"/>
      <c r="EN32" s="556" t="n">
        <v>37250</v>
      </c>
      <c r="EO32" s="557" t="n">
        <v>38718</v>
      </c>
      <c r="EP32" s="195"/>
      <c r="EQ32" s="407" t="s">
        <v>246</v>
      </c>
      <c r="ES32" s="587" t="n">
        <v>13</v>
      </c>
      <c r="ET32" s="559" t="n">
        <f aca="false">BH32/365.25</f>
        <v>-24.1095140314853</v>
      </c>
      <c r="EU32" s="560" t="n">
        <f aca="false">O32^2*ET32</f>
        <v>-0</v>
      </c>
      <c r="EV32" s="588" t="e">
        <f aca="false">SQRT(SUM(FK32:ID32)/ET32)</f>
        <v>#VALUE!</v>
      </c>
      <c r="EW32" s="589" t="n">
        <f aca="false">IF(OR(DateStart2&gt;I31,DateEnd2&lt;I30),"",IF(DateStart2&lt;I31,AK30/AI30*AP30*BE30*SwaptionNumOfMonths/$D$33,0)+IF(DateEnd2&gt;I30,AJ31/AI31*AP31*BE31*SwaptionNumOfMonths/$D$33,0))</f>
        <v>0.985507246376812</v>
      </c>
      <c r="EX32" s="590" t="e">
        <f aca="false">IF(EW32="","",SQRT(SUM(FK337:ID337)/SwaptionYearsToExp))</f>
        <v>#VALUE!</v>
      </c>
      <c r="EY32" s="129" t="n">
        <v>0</v>
      </c>
      <c r="EZ32" s="591" t="n">
        <f aca="false">IF(OR(EW32="",EW33=""),"",SQRT(SUM(INDEX(FK32:ID32,SwaptionFirstMonthPosition+1):INDEX(FK32:ID32,FJ32))/SUM(INDEX($FK$15:$ID$15,SwaptionFirstMonthPosition+1):INDEX($FK$15:$ID$15,FJ32))))</f>
        <v>0.271610664916883</v>
      </c>
      <c r="FA32" s="592" t="n">
        <f aca="false">IF(OR(EW32="",EW31=""),"",SQRT(SUM(INDEX(FK32:ID32,SwaptionFirstMonthPosition+1):INDEX(FK32:ID32,FJ32-1))/SUM(INDEX($FK$15:$ID$15,SwaptionFirstMonthPosition+1):INDEX($FK$15:$ID$15,FJ32-1))))</f>
        <v>0.256539128684294</v>
      </c>
      <c r="FB32" s="593" t="n">
        <f aca="false">IF(BE32,2/3*EZ33+1/3*FA34,"")</f>
        <v>0.25788825769073</v>
      </c>
      <c r="FC32" s="596" t="n">
        <f aca="false">IF(BE32,(I33+I32-1)/2-DateToday,"")</f>
        <v>-8776.5</v>
      </c>
      <c r="FD32" s="483" t="e">
        <f aca="false">IF(BE32,CHOOSE(Underlying,X32,Z32)+SwaptionUnderlyingPrice-$D$26,"")</f>
        <v>#VALUE!</v>
      </c>
      <c r="FE32" s="483" t="e">
        <f aca="false">IF(BE32,CollartionFloor/FD32-1,"")</f>
        <v>#VALUE!</v>
      </c>
      <c r="FF32" s="483" t="e">
        <f aca="false">IF(BE32,CollartionCap/FD32-1,"")</f>
        <v>#VALUE!</v>
      </c>
      <c r="FG32" s="485" t="e">
        <f aca="false">IF(BE32,IF(VolSkewFlag=1,IF(FE32&gt;0,$BA32*MIN(FE32/10%,1)+($BB32-$BA32)*MAX(0,MIN(FE32/10%-1,1))+($BC32-$BB32)*MAX(0,FE32/10%-2),$AZ32*MIN(-FE32/10%,1)+($AY32-$AZ32)*MAX(0,MIN(-FE32/10%-1,1))+($AX32-$AY32)*MAX(0,-FE32/10%-2)),0),"")</f>
        <v>#VALUE!</v>
      </c>
      <c r="FH32" s="486" t="e">
        <f aca="false">IF(BE32,IF(VolSkewFlag=1,IF(FF32&gt;0,$BA32*MIN(FF32/10%,1)+($BB32-$BA32)*MAX(0,MIN(FF32/10%-1,1))+($BC32-$BB32)*MAX(0,FF32/10%-2),$AZ32*MIN(-FF32/10%,1)+($AY32-$AZ32)*MAX(0,MIN(-FF32/10%-1,1))+($AX32-$AY32)*MAX(0,-FF32/10%-2)),0),"")</f>
        <v>#VALUE!</v>
      </c>
      <c r="FI32" s="129"/>
      <c r="FJ32" s="571" t="n">
        <v>13</v>
      </c>
      <c r="FK32" s="150" t="n">
        <f aca="false">IF(FK$19&gt;$FJ32,"",MAX(0,IF(FK$19=$FJ32,$S32^2*FK$15,FK31*INDEX($T$20:$T$91,$FJ32-FK$19)^2/INDEX($U$20:$U$91,$FJ32-FK$19))))</f>
        <v>0</v>
      </c>
      <c r="FL32" s="150" t="n">
        <f aca="false">IF(FL$19&gt;$FJ32,"",MAX(0,IF(FL$19=$FJ32,$S32^2*FL$15,FL31*INDEX($T$20:$T$91,$FJ32-FL$19)^2/INDEX($U$20:$U$91,$FJ32-FL$19))))</f>
        <v>0</v>
      </c>
      <c r="FM32" s="150" t="n">
        <f aca="false">IF(FM$19&gt;$FJ32,"",MAX(0,IF(FM$19=$FJ32,$S32^2*FM$15,FM31*INDEX($T$20:$T$91,$FJ32-FM$19)^2/INDEX($U$20:$U$91,$FJ32-FM$19))))</f>
        <v>0.00353410085681829</v>
      </c>
      <c r="FN32" s="150" t="n">
        <f aca="false">IF(FN$19&gt;$FJ32,"",MAX(0,IF(FN$19=$FJ32,$S32^2*FN$15,FN31*INDEX($T$20:$T$91,$FJ32-FN$19)^2/INDEX($U$20:$U$91,$FJ32-FN$19))))</f>
        <v>0.00314718294374639</v>
      </c>
      <c r="FO32" s="150" t="n">
        <f aca="false">IF(FO$19&gt;$FJ32,"",MAX(0,IF(FO$19=$FJ32,$S32^2*FO$15,FO31*INDEX($T$20:$T$91,$FJ32-FO$19)^2/INDEX($U$20:$U$91,$FJ32-FO$19))))</f>
        <v>0.00349795439419179</v>
      </c>
      <c r="FP32" s="150" t="n">
        <f aca="false">IF(FP$19&gt;$FJ32,"",MAX(0,IF(FP$19=$FJ32,$S32^2*FP$15,FP31*INDEX($T$20:$T$91,$FJ32-FP$19)^2/INDEX($U$20:$U$91,$FJ32-FP$19))))</f>
        <v>0.00419053988596556</v>
      </c>
      <c r="FQ32" s="150" t="n">
        <f aca="false">IF(FQ$19&gt;$FJ32,"",MAX(0,IF(FQ$19=$FJ32,$S32^2*FQ$15,FQ31*INDEX($T$20:$T$91,$FJ32-FQ$19)^2/INDEX($U$20:$U$91,$FJ32-FQ$19))))</f>
        <v>0.00371907855734657</v>
      </c>
      <c r="FR32" s="150" t="n">
        <f aca="false">IF(FR$19&gt;$FJ32,"",MAX(0,IF(FR$19=$FJ32,$S32^2*FR$15,FR31*INDEX($T$20:$T$91,$FJ32-FR$19)^2/INDEX($U$20:$U$91,$FJ32-FR$19))))</f>
        <v>0.0042375585960584</v>
      </c>
      <c r="FS32" s="150" t="n">
        <f aca="false">IF(FS$19&gt;$FJ32,"",MAX(0,IF(FS$19=$FJ32,$S32^2*FS$15,FS31*INDEX($T$20:$T$91,$FJ32-FS$19)^2/INDEX($U$20:$U$91,$FJ32-FS$19))))</f>
        <v>0.00542694215937626</v>
      </c>
      <c r="FT32" s="150" t="n">
        <f aca="false">IF(FT$19&gt;$FJ32,"",MAX(0,IF(FT$19=$FJ32,$S32^2*FT$15,FT31*INDEX($T$20:$T$91,$FJ32-FT$19)^2/INDEX($U$20:$U$91,$FJ32-FT$19))))</f>
        <v>0.00569763537593427</v>
      </c>
      <c r="FU32" s="150" t="n">
        <f aca="false">IF(FU$19&gt;$FJ32,"",MAX(0,IF(FU$19=$FJ32,$S32^2*FU$15,FU31*INDEX($T$20:$T$91,$FJ32-FU$19)^2/INDEX($U$20:$U$91,$FJ32-FU$19))))</f>
        <v>0.00655377973042544</v>
      </c>
      <c r="FV32" s="150" t="n">
        <f aca="false">IF(FV$19&gt;$FJ32,"",MAX(0,IF(FV$19=$FJ32,$S32^2*FV$15,FV31*INDEX($T$20:$T$91,$FJ32-FV$19)^2/INDEX($U$20:$U$91,$FJ32-FV$19))))</f>
        <v>0.0089140954756212</v>
      </c>
      <c r="FW32" s="150" t="n">
        <f aca="false">IF(FW$19&gt;$FJ32,"",MAX(0,IF(FW$19=$FJ32,$S32^2*FW$15,FW31*INDEX($T$20:$T$91,$FJ32-FW$19)^2/INDEX($U$20:$U$91,$FJ32-FW$19))))</f>
        <v>0.0107449056269791</v>
      </c>
      <c r="FX32" s="150" t="str">
        <f aca="false">IF(FX$19&gt;$FJ32,"",MAX(0,IF(FX$19=$FJ32,$S32^2*FX$15,FX31*INDEX($T$20:$T$91,$FJ32-FX$19)^2/INDEX($U$20:$U$91,$FJ32-FX$19))))</f>
        <v/>
      </c>
      <c r="FY32" s="150" t="str">
        <f aca="false">IF(FY$19&gt;$FJ32,"",MAX(0,IF(FY$19=$FJ32,$S32^2*FY$15,FY31*INDEX($T$20:$T$91,$FJ32-FY$19)^2/INDEX($U$20:$U$91,$FJ32-FY$19))))</f>
        <v/>
      </c>
      <c r="FZ32" s="150" t="str">
        <f aca="false">IF(FZ$19&gt;$FJ32,"",MAX(0,IF(FZ$19=$FJ32,$S32^2*FZ$15,FZ31*INDEX($T$20:$T$91,$FJ32-FZ$19)^2/INDEX($U$20:$U$91,$FJ32-FZ$19))))</f>
        <v/>
      </c>
      <c r="GA32" s="150" t="str">
        <f aca="false">IF(GA$19&gt;$FJ32,"",MAX(0,IF(GA$19=$FJ32,$S32^2*GA$15,GA31*INDEX($T$20:$T$91,$FJ32-GA$19)^2/INDEX($U$20:$U$91,$FJ32-GA$19))))</f>
        <v/>
      </c>
      <c r="GB32" s="150" t="str">
        <f aca="false">IF(GB$19&gt;$FJ32,"",MAX(0,IF(GB$19=$FJ32,$S32^2*GB$15,GB31*INDEX($T$20:$T$91,$FJ32-GB$19)^2/INDEX($U$20:$U$91,$FJ32-GB$19))))</f>
        <v/>
      </c>
      <c r="GC32" s="150" t="str">
        <f aca="false">IF(GC$19&gt;$FJ32,"",MAX(0,IF(GC$19=$FJ32,$S32^2*GC$15,GC31*INDEX($T$20:$T$91,$FJ32-GC$19)^2/INDEX($U$20:$U$91,$FJ32-GC$19))))</f>
        <v/>
      </c>
      <c r="GD32" s="150" t="str">
        <f aca="false">IF(GD$19&gt;$FJ32,"",MAX(0,IF(GD$19=$FJ32,$S32^2*GD$15,GD31*INDEX($T$20:$T$91,$FJ32-GD$19)^2/INDEX($U$20:$U$91,$FJ32-GD$19))))</f>
        <v/>
      </c>
      <c r="GE32" s="150" t="str">
        <f aca="false">IF(GE$19&gt;$FJ32,"",MAX(0,IF(GE$19=$FJ32,$S32^2*GE$15,GE31*INDEX($T$20:$T$91,$FJ32-GE$19)^2/INDEX($U$20:$U$91,$FJ32-GE$19))))</f>
        <v/>
      </c>
      <c r="GF32" s="150" t="str">
        <f aca="false">IF(GF$19&gt;$FJ32,"",MAX(0,IF(GF$19=$FJ32,$S32^2*GF$15,GF31*INDEX($T$20:$T$91,$FJ32-GF$19)^2/INDEX($U$20:$U$91,$FJ32-GF$19))))</f>
        <v/>
      </c>
      <c r="GG32" s="150" t="str">
        <f aca="false">IF(GG$19&gt;$FJ32,"",MAX(0,IF(GG$19=$FJ32,$S32^2*GG$15,GG31*INDEX($T$20:$T$91,$FJ32-GG$19)^2/INDEX($U$20:$U$91,$FJ32-GG$19))))</f>
        <v/>
      </c>
      <c r="GH32" s="150" t="str">
        <f aca="false">IF(GH$19&gt;$FJ32,"",MAX(0,IF(GH$19=$FJ32,$S32^2*GH$15,GH31*INDEX($T$20:$T$91,$FJ32-GH$19)^2/INDEX($U$20:$U$91,$FJ32-GH$19))))</f>
        <v/>
      </c>
      <c r="GI32" s="150" t="str">
        <f aca="false">IF(GI$19&gt;$FJ32,"",MAX(0,IF(GI$19=$FJ32,$S32^2*GI$15,GI31*INDEX($T$20:$T$91,$FJ32-GI$19)^2/INDEX($U$20:$U$91,$FJ32-GI$19))))</f>
        <v/>
      </c>
      <c r="GJ32" s="150" t="str">
        <f aca="false">IF(GJ$19&gt;$FJ32,"",MAX(0,IF(GJ$19=$FJ32,$S32^2*GJ$15,GJ31*INDEX($T$20:$T$91,$FJ32-GJ$19)^2/INDEX($U$20:$U$91,$FJ32-GJ$19))))</f>
        <v/>
      </c>
      <c r="GK32" s="150" t="str">
        <f aca="false">IF(GK$19&gt;$FJ32,"",MAX(0,IF(GK$19=$FJ32,$S32^2*GK$15,GK31*INDEX($T$20:$T$91,$FJ32-GK$19)^2/INDEX($U$20:$U$91,$FJ32-GK$19))))</f>
        <v/>
      </c>
      <c r="GL32" s="150" t="str">
        <f aca="false">IF(GL$19&gt;$FJ32,"",MAX(0,IF(GL$19=$FJ32,$S32^2*GL$15,GL31*INDEX($T$20:$T$91,$FJ32-GL$19)^2/INDEX($U$20:$U$91,$FJ32-GL$19))))</f>
        <v/>
      </c>
      <c r="GM32" s="150" t="str">
        <f aca="false">IF(GM$19&gt;$FJ32,"",MAX(0,IF(GM$19=$FJ32,$S32^2*GM$15,GM31*INDEX($T$20:$T$91,$FJ32-GM$19)^2/INDEX($U$20:$U$91,$FJ32-GM$19))))</f>
        <v/>
      </c>
      <c r="GN32" s="150" t="str">
        <f aca="false">IF(GN$19&gt;$FJ32,"",MAX(0,IF(GN$19=$FJ32,$S32^2*GN$15,GN31*INDEX($T$20:$T$91,$FJ32-GN$19)^2/INDEX($U$20:$U$91,$FJ32-GN$19))))</f>
        <v/>
      </c>
      <c r="GO32" s="150" t="str">
        <f aca="false">IF(GO$19&gt;$FJ32,"",MAX(0,IF(GO$19=$FJ32,$S32^2*GO$15,GO31*INDEX($T$20:$T$91,$FJ32-GO$19)^2/INDEX($U$20:$U$91,$FJ32-GO$19))))</f>
        <v/>
      </c>
      <c r="GP32" s="150" t="str">
        <f aca="false">IF(GP$19&gt;$FJ32,"",MAX(0,IF(GP$19=$FJ32,$S32^2*GP$15,GP31*INDEX($T$20:$T$91,$FJ32-GP$19)^2/INDEX($U$20:$U$91,$FJ32-GP$19))))</f>
        <v/>
      </c>
      <c r="GQ32" s="150" t="str">
        <f aca="false">IF(GQ$19&gt;$FJ32,"",MAX(0,IF(GQ$19=$FJ32,$S32^2*GQ$15,GQ31*INDEX($T$20:$T$91,$FJ32-GQ$19)^2/INDEX($U$20:$U$91,$FJ32-GQ$19))))</f>
        <v/>
      </c>
      <c r="GR32" s="150" t="str">
        <f aca="false">IF(GR$19&gt;$FJ32,"",MAX(0,IF(GR$19=$FJ32,$S32^2*GR$15,GR31*INDEX($T$20:$T$91,$FJ32-GR$19)^2/INDEX($U$20:$U$91,$FJ32-GR$19))))</f>
        <v/>
      </c>
      <c r="GS32" s="150" t="str">
        <f aca="false">IF(GS$19&gt;$FJ32,"",MAX(0,IF(GS$19=$FJ32,$S32^2*GS$15,GS31*INDEX($T$20:$T$91,$FJ32-GS$19)^2/INDEX($U$20:$U$91,$FJ32-GS$19))))</f>
        <v/>
      </c>
      <c r="GT32" s="150" t="str">
        <f aca="false">IF(GT$19&gt;$FJ32,"",MAX(0,IF(GT$19=$FJ32,$S32^2*GT$15,GT31*INDEX($T$20:$T$91,$FJ32-GT$19)^2/INDEX($U$20:$U$91,$FJ32-GT$19))))</f>
        <v/>
      </c>
      <c r="GU32" s="150" t="str">
        <f aca="false">IF(GU$19&gt;$FJ32,"",MAX(0,IF(GU$19=$FJ32,$S32^2*GU$15,GU31*INDEX($T$20:$T$91,$FJ32-GU$19)^2/INDEX($U$20:$U$91,$FJ32-GU$19))))</f>
        <v/>
      </c>
      <c r="GV32" s="150" t="str">
        <f aca="false">IF(GV$19&gt;$FJ32,"",MAX(0,IF(GV$19=$FJ32,$S32^2*GV$15,GV31*INDEX($T$20:$T$91,$FJ32-GV$19)^2/INDEX($U$20:$U$91,$FJ32-GV$19))))</f>
        <v/>
      </c>
      <c r="GW32" s="150" t="str">
        <f aca="false">IF(GW$19&gt;$FJ32,"",MAX(0,IF(GW$19=$FJ32,$S32^2*GW$15,GW31*INDEX($T$20:$T$91,$FJ32-GW$19)^2/INDEX($U$20:$U$91,$FJ32-GW$19))))</f>
        <v/>
      </c>
      <c r="GX32" s="150" t="str">
        <f aca="false">IF(GX$19&gt;$FJ32,"",MAX(0,IF(GX$19=$FJ32,$S32^2*GX$15,GX31*INDEX($T$20:$T$91,$FJ32-GX$19)^2/INDEX($U$20:$U$91,$FJ32-GX$19))))</f>
        <v/>
      </c>
      <c r="GY32" s="150" t="str">
        <f aca="false">IF(GY$19&gt;$FJ32,"",MAX(0,IF(GY$19=$FJ32,$S32^2*GY$15,GY31*INDEX($T$20:$T$91,$FJ32-GY$19)^2/INDEX($U$20:$U$91,$FJ32-GY$19))))</f>
        <v/>
      </c>
      <c r="GZ32" s="150" t="str">
        <f aca="false">IF(GZ$19&gt;$FJ32,"",MAX(0,IF(GZ$19=$FJ32,$S32^2*GZ$15,GZ31*INDEX($T$20:$T$91,$FJ32-GZ$19)^2/INDEX($U$20:$U$91,$FJ32-GZ$19))))</f>
        <v/>
      </c>
      <c r="HA32" s="150" t="str">
        <f aca="false">IF(HA$19&gt;$FJ32,"",MAX(0,IF(HA$19=$FJ32,$S32^2*HA$15,HA31*INDEX($T$20:$T$91,$FJ32-HA$19)^2/INDEX($U$20:$U$91,$FJ32-HA$19))))</f>
        <v/>
      </c>
      <c r="HB32" s="150" t="str">
        <f aca="false">IF(HB$19&gt;$FJ32,"",MAX(0,IF(HB$19=$FJ32,$S32^2*HB$15,HB31*INDEX($T$20:$T$91,$FJ32-HB$19)^2/INDEX($U$20:$U$91,$FJ32-HB$19))))</f>
        <v/>
      </c>
      <c r="HC32" s="150" t="str">
        <f aca="false">IF(HC$19&gt;$FJ32,"",MAX(0,IF(HC$19=$FJ32,$S32^2*HC$15,HC31*INDEX($T$20:$T$91,$FJ32-HC$19)^2/INDEX($U$20:$U$91,$FJ32-HC$19))))</f>
        <v/>
      </c>
      <c r="HD32" s="150" t="str">
        <f aca="false">IF(HD$19&gt;$FJ32,"",MAX(0,IF(HD$19=$FJ32,$S32^2*HD$15,HD31*INDEX($T$20:$T$91,$FJ32-HD$19)^2/INDEX($U$20:$U$91,$FJ32-HD$19))))</f>
        <v/>
      </c>
      <c r="HE32" s="150" t="str">
        <f aca="false">IF(HE$19&gt;$FJ32,"",MAX(0,IF(HE$19=$FJ32,$S32^2*HE$15,HE31*INDEX($T$20:$T$91,$FJ32-HE$19)^2/INDEX($U$20:$U$91,$FJ32-HE$19))))</f>
        <v/>
      </c>
      <c r="HF32" s="150" t="str">
        <f aca="false">IF(HF$19&gt;$FJ32,"",MAX(0,IF(HF$19=$FJ32,$S32^2*HF$15,HF31*INDEX($T$20:$T$91,$FJ32-HF$19)^2/INDEX($U$20:$U$91,$FJ32-HF$19))))</f>
        <v/>
      </c>
      <c r="HG32" s="150" t="str">
        <f aca="false">IF(HG$19&gt;$FJ32,"",MAX(0,IF(HG$19=$FJ32,$S32^2*HG$15,HG31*INDEX($T$20:$T$91,$FJ32-HG$19)^2/INDEX($U$20:$U$91,$FJ32-HG$19))))</f>
        <v/>
      </c>
      <c r="HH32" s="150" t="str">
        <f aca="false">IF(HH$19&gt;$FJ32,"",MAX(0,IF(HH$19=$FJ32,$S32^2*HH$15,HH31*INDEX($T$20:$T$91,$FJ32-HH$19)^2/INDEX($U$20:$U$91,$FJ32-HH$19))))</f>
        <v/>
      </c>
      <c r="HI32" s="150" t="str">
        <f aca="false">IF(HI$19&gt;$FJ32,"",MAX(0,IF(HI$19=$FJ32,$S32^2*HI$15,HI31*INDEX($T$20:$T$91,$FJ32-HI$19)^2/INDEX($U$20:$U$91,$FJ32-HI$19))))</f>
        <v/>
      </c>
      <c r="HJ32" s="150" t="str">
        <f aca="false">IF(HJ$19&gt;$FJ32,"",MAX(0,IF(HJ$19=$FJ32,$S32^2*HJ$15,HJ31*INDEX($T$20:$T$91,$FJ32-HJ$19)^2/INDEX($U$20:$U$91,$FJ32-HJ$19))))</f>
        <v/>
      </c>
      <c r="HK32" s="150" t="str">
        <f aca="false">IF(HK$19&gt;$FJ32,"",MAX(0,IF(HK$19=$FJ32,$S32^2*HK$15,HK31*INDEX($T$20:$T$91,$FJ32-HK$19)^2/INDEX($U$20:$U$91,$FJ32-HK$19))))</f>
        <v/>
      </c>
      <c r="HL32" s="150" t="str">
        <f aca="false">IF(HL$19&gt;$FJ32,"",MAX(0,IF(HL$19=$FJ32,$S32^2*HL$15,HL31*INDEX($T$20:$T$91,$FJ32-HL$19)^2/INDEX($U$20:$U$91,$FJ32-HL$19))))</f>
        <v/>
      </c>
      <c r="HM32" s="150" t="str">
        <f aca="false">IF(HM$19&gt;$FJ32,"",MAX(0,IF(HM$19=$FJ32,$S32^2*HM$15,HM31*INDEX($T$20:$T$91,$FJ32-HM$19)^2/INDEX($U$20:$U$91,$FJ32-HM$19))))</f>
        <v/>
      </c>
      <c r="HN32" s="150" t="str">
        <f aca="false">IF(HN$19&gt;$FJ32,"",MAX(0,IF(HN$19=$FJ32,$S32^2*HN$15,HN31*INDEX($T$20:$T$91,$FJ32-HN$19)^2/INDEX($U$20:$U$91,$FJ32-HN$19))))</f>
        <v/>
      </c>
      <c r="HO32" s="150" t="str">
        <f aca="false">IF(HO$19&gt;$FJ32,"",MAX(0,IF(HO$19=$FJ32,$S32^2*HO$15,HO31*INDEX($T$20:$T$91,$FJ32-HO$19)^2/INDEX($U$20:$U$91,$FJ32-HO$19))))</f>
        <v/>
      </c>
      <c r="HP32" s="150" t="str">
        <f aca="false">IF(HP$19&gt;$FJ32,"",MAX(0,IF(HP$19=$FJ32,$S32^2*HP$15,HP31*INDEX($T$20:$T$91,$FJ32-HP$19)^2/INDEX($U$20:$U$91,$FJ32-HP$19))))</f>
        <v/>
      </c>
      <c r="HQ32" s="150" t="str">
        <f aca="false">IF(HQ$19&gt;$FJ32,"",MAX(0,IF(HQ$19=$FJ32,$S32^2*HQ$15,HQ31*INDEX($T$20:$T$91,$FJ32-HQ$19)^2/INDEX($U$20:$U$91,$FJ32-HQ$19))))</f>
        <v/>
      </c>
      <c r="HR32" s="150" t="str">
        <f aca="false">IF(HR$19&gt;$FJ32,"",MAX(0,IF(HR$19=$FJ32,$S32^2*HR$15,HR31*INDEX($T$20:$T$91,$FJ32-HR$19)^2/INDEX($U$20:$U$91,$FJ32-HR$19))))</f>
        <v/>
      </c>
      <c r="HS32" s="150" t="str">
        <f aca="false">IF(HS$19&gt;$FJ32,"",MAX(0,IF(HS$19=$FJ32,$S32^2*HS$15,HS31*INDEX($T$20:$T$91,$FJ32-HS$19)^2/INDEX($U$20:$U$91,$FJ32-HS$19))))</f>
        <v/>
      </c>
      <c r="HT32" s="150" t="str">
        <f aca="false">IF(HT$19&gt;$FJ32,"",MAX(0,IF(HT$19=$FJ32,$S32^2*HT$15,HT31*INDEX($T$20:$T$91,$FJ32-HT$19)^2/INDEX($U$20:$U$91,$FJ32-HT$19))))</f>
        <v/>
      </c>
      <c r="HU32" s="150" t="str">
        <f aca="false">IF(HU$19&gt;$FJ32,"",MAX(0,IF(HU$19=$FJ32,$S32^2*HU$15,HU31*INDEX($T$20:$T$91,$FJ32-HU$19)^2/INDEX($U$20:$U$91,$FJ32-HU$19))))</f>
        <v/>
      </c>
      <c r="HV32" s="150" t="str">
        <f aca="false">IF(HV$19&gt;$FJ32,"",MAX(0,IF(HV$19=$FJ32,$S32^2*HV$15,HV31*INDEX($T$20:$T$91,$FJ32-HV$19)^2/INDEX($U$20:$U$91,$FJ32-HV$19))))</f>
        <v/>
      </c>
      <c r="HW32" s="150" t="str">
        <f aca="false">IF(HW$19&gt;$FJ32,"",MAX(0,IF(HW$19=$FJ32,$S32^2*HW$15,HW31*INDEX($T$20:$T$91,$FJ32-HW$19)^2/INDEX($U$20:$U$91,$FJ32-HW$19))))</f>
        <v/>
      </c>
      <c r="HX32" s="150" t="str">
        <f aca="false">IF(HX$19&gt;$FJ32,"",MAX(0,IF(HX$19=$FJ32,$S32^2*HX$15,HX31*INDEX($T$20:$T$91,$FJ32-HX$19)^2/INDEX($U$20:$U$91,$FJ32-HX$19))))</f>
        <v/>
      </c>
      <c r="HY32" s="150" t="str">
        <f aca="false">IF(HY$19&gt;$FJ32,"",MAX(0,IF(HY$19=$FJ32,$S32^2*HY$15,HY31*INDEX($T$20:$T$91,$FJ32-HY$19)^2/INDEX($U$20:$U$91,$FJ32-HY$19))))</f>
        <v/>
      </c>
      <c r="HZ32" s="150" t="str">
        <f aca="false">IF(HZ$19&gt;$FJ32,"",MAX(0,IF(HZ$19=$FJ32,$S32^2*HZ$15,HZ31*INDEX($T$20:$T$91,$FJ32-HZ$19)^2/INDEX($U$20:$U$91,$FJ32-HZ$19))))</f>
        <v/>
      </c>
      <c r="IA32" s="150" t="str">
        <f aca="false">IF(IA$19&gt;$FJ32,"",MAX(0,IF(IA$19=$FJ32,$S32^2*IA$15,IA31*INDEX($T$20:$T$91,$FJ32-IA$19)^2/INDEX($U$20:$U$91,$FJ32-IA$19))))</f>
        <v/>
      </c>
      <c r="IB32" s="150" t="str">
        <f aca="false">IF(IB$19&gt;$FJ32,"",MAX(0,IF(IB$19=$FJ32,$S32^2*IB$15,IB31*INDEX($T$20:$T$91,$FJ32-IB$19)^2/INDEX($U$20:$U$91,$FJ32-IB$19))))</f>
        <v/>
      </c>
      <c r="IC32" s="150" t="str">
        <f aca="false">IF(IC$19&gt;$FJ32,"",MAX(0,IF(IC$19=$FJ32,$S32^2*IC$15,IC31*INDEX($T$20:$T$91,$FJ32-IC$19)^2/INDEX($U$20:$U$91,$FJ32-IC$19))))</f>
        <v/>
      </c>
      <c r="ID32" s="572" t="str">
        <f aca="false">IF(ID$19&gt;$FJ32,"",MAX(0,IF(ID$19=$FJ32,$S32^2*ID$15,ID31*INDEX($T$20:$T$91,$FJ32-ID$19)^2/INDEX($U$20:$U$91,$FJ32-ID$19))))</f>
        <v/>
      </c>
      <c r="IE32" s="129"/>
    </row>
    <row r="33" customFormat="false" ht="16.5" hidden="false" customHeight="true" outlineLevel="0" collapsed="false">
      <c r="A33" s="625" t="e">
        <f aca="false">xASTRIP(INDEX(BR19:BR260,SwapFirstMonthPosition):INDEX(BR19:BR260,SwapFirstMonthPosition+SwapNumOfMonths-1),INDEX(EE19:EE260,SwapFirstMonthPosition):INDEX(EE19:EE260,SwapFirstMonthPosition+SwapNumOfMonths-1),INDEX(BI19:BI260,SwapFirstMonthPosition):INDEX(BI19:BI260,SwapFirstMonthPosition+SwapNumOfMonths-1),INDEX(BL19:BL260,SwapFirstMonthPosition):INDEX(BL19:BL260,SwapFirstMonthPosition+SwapNumOfMonths-1),INDEX(BO19:BO260,SwapFirstMonthPosition):INDEX(BO19:BO260,SwapFirstMonthPosition+SwapNumOfMonths-1),0,Strike2,INDEX(AO19:AO260,SwapFirstMonthPosition):INDEX(AO19:AO260,SwapFirstMonthPosition+SwapNumOfMonths-1),1,0,INDEX(BL19:BL260,SwapFirstMonthPosition+SwapNumOfMonths-1),IF(OptControl=3,1,0),0,1)</f>
        <v>#NAME?</v>
      </c>
      <c r="B33" s="632" t="s">
        <v>161</v>
      </c>
      <c r="C33" s="633" t="n">
        <f aca="false">Volume</f>
        <v>30</v>
      </c>
      <c r="D33" s="634" t="n">
        <f aca="false">SUM(BE19:BE258)</f>
        <v>360</v>
      </c>
      <c r="E33" s="635" t="n">
        <f aca="false">SUMPRODUCT(BE19:BE258,AP19:AP258)</f>
        <v>360</v>
      </c>
      <c r="F33" s="636"/>
      <c r="G33" s="637"/>
      <c r="H33" s="219" t="n">
        <f aca="false">VLOOKUP(I33,$EJ$20:$EL$54,3)</f>
        <v>0</v>
      </c>
      <c r="I33" s="511" t="n">
        <f aca="false">EOMONTH(I32,0)+1</f>
        <v>37165</v>
      </c>
      <c r="J33" s="512"/>
      <c r="K33" s="513" t="s">
        <v>226</v>
      </c>
      <c r="L33" s="514" t="e">
        <f aca="false">IF(ISNUMBER(K33),J33+K33/100,IF(K33="extra",L32+VLOOKUP(BF33,PriceSpreadTable,2)/12,IF(K33="inter",interpolateprices($K$19:$L$200,ROW(K33)-ROW(FirstPricingMonth)+1),interpolatechanges($J$19:$K$200,ROW(K33)-ROW(FirstPricingMonth)+1))))</f>
        <v>#VALUE!</v>
      </c>
      <c r="M33" s="515"/>
      <c r="N33" s="516" t="n">
        <v>0</v>
      </c>
      <c r="O33" s="515" t="n">
        <f aca="false">M33+N33</f>
        <v>0</v>
      </c>
      <c r="P33" s="512"/>
      <c r="Q33" s="513" t="s">
        <v>226</v>
      </c>
      <c r="R33" s="512" t="e">
        <f aca="false">IF(ISNUMBER(Q33),P33+Q33/100,IF(Q33="extra",(Z31*AL31-R32*AM31)/AN31,IF(Q33="inter",interpolateprices($Q$19:$R$260,ROW(Q33)-ROW(FirstPricingMonth)+1),interpolatechanges($P$19:$Q$260,ROW(Q33)-ROW(FirstPricingMonth)+1))))</f>
        <v>#VALUE!</v>
      </c>
      <c r="S33" s="597" t="n">
        <f aca="false">S$19+(S32-S$19)*S$18</f>
        <v>0.361267054080963</v>
      </c>
      <c r="T33" s="575" t="n">
        <f aca="false">SQRT((1-(1-T32^2/U32)*T$18)*U33)</f>
        <v>0.985058360690025</v>
      </c>
      <c r="U33" s="576" t="n">
        <f aca="false">1-(1-U32)*U$18</f>
        <v>0.999643641039729</v>
      </c>
      <c r="V33" s="521" t="n">
        <v>0</v>
      </c>
      <c r="W33" s="577" t="n">
        <f aca="false">(J34*AJ33+J35*AK33)/AI33</f>
        <v>0</v>
      </c>
      <c r="X33" s="578" t="e">
        <f aca="false">(L34*AJ33+L35*AK33)/AI33</f>
        <v>#VALUE!</v>
      </c>
      <c r="Y33" s="579" t="n">
        <f aca="false">IF(Q35="extra",W33-AA33,(P34*AM33+P35*AN33)/AL33)</f>
        <v>0</v>
      </c>
      <c r="Z33" s="579" t="e">
        <f aca="false">IF(Q35="extra",X33-AB33,(R34*AM33+R35*AN33)/AL33)</f>
        <v>#VALUE!</v>
      </c>
      <c r="AA33" s="523" t="n">
        <f aca="false">IF(Q35="extra",INDEX(BrentSeasonalityTable,INT((BG33-1)/3)+1)*VLOOKUP(MAX(BF33,$AB$4),PriceSpreadTable,3),W33-Y33)</f>
        <v>0</v>
      </c>
      <c r="AB33" s="524" t="e">
        <f aca="false">IF(Q35="extra",INDEX(BrentSeasonalityTable,INT((BG33-1)/3)+1)*VLOOKUP(MAX(BF33,$AB$4),PriceSpreadTable,3),X33-Z33)</f>
        <v>#VALUE!</v>
      </c>
      <c r="AC33" s="525" t="n">
        <v>37154</v>
      </c>
      <c r="AD33" s="526" t="n">
        <v>37151</v>
      </c>
      <c r="AE33" s="526" t="n">
        <v>37147</v>
      </c>
      <c r="AF33" s="527" t="n">
        <v>37145</v>
      </c>
      <c r="AG33" s="438" t="s">
        <v>224</v>
      </c>
      <c r="AH33" s="439" t="s">
        <v>247</v>
      </c>
      <c r="AI33" s="528" t="n">
        <v>23</v>
      </c>
      <c r="AJ33" s="529" t="n">
        <v>16</v>
      </c>
      <c r="AK33" s="529" t="n">
        <v>7</v>
      </c>
      <c r="AL33" s="530" t="n">
        <v>23</v>
      </c>
      <c r="AM33" s="529" t="n">
        <v>11</v>
      </c>
      <c r="AN33" s="531" t="n">
        <v>12</v>
      </c>
      <c r="AO33" s="532"/>
      <c r="AP33" s="465" t="n">
        <f aca="false">(1+AO33/2)^(-2*BL33)</f>
        <v>1</v>
      </c>
      <c r="AQ33" s="532"/>
      <c r="AR33" s="465" t="n">
        <f aca="false">(1+AQ33/2)^(-2*BH33/365.25)</f>
        <v>1</v>
      </c>
      <c r="AS33" s="580" t="n">
        <f aca="false">(O34*AJ33+O35*AK33)/AI33</f>
        <v>0</v>
      </c>
      <c r="AT33" s="468" t="n">
        <f aca="false">O33*VLOOKUP(BF33,BrentVolTable,2)+VLOOKUP(BF33,BrentVolTable,3)</f>
        <v>0</v>
      </c>
      <c r="AU33" s="468" t="n">
        <f aca="false">(AT34*AM33+AT35*AN33)/AL33</f>
        <v>0</v>
      </c>
      <c r="AV33" s="595" t="n">
        <f aca="false">SQRT(MAX(0.000000000001,(O33^2*BH33-S33^2*(BH33-BH32))/BH32))</f>
        <v>0.0217778000605651</v>
      </c>
      <c r="AW33" s="451" t="n">
        <f aca="false">IF($I33-DateToday+15&gt;=$T$8,"",IF($I33-DateToday+15&lt;$T$5,1,MATCH($I33-DateToday+15,$T$5:$T$8)))</f>
        <v>1</v>
      </c>
      <c r="AX33" s="468" t="n">
        <f aca="false">IF($AW33="",AX32^2/AX31,INDEX(U$5:U$8,$AW33)^((INDEX($T$5:$T$8,$AW33+1)-($I33-DateToday+15))/(INDEX($T$5:$T$8,$AW33+1)-INDEX($T$5:$T$8,$AW33)))/INDEX(U$5:U$8,$AW33+1)^((INDEX($T$5:$T$8,$AW33)-($I33-DateToday+15))/(INDEX($T$5:$T$8,$AW33+1)-INDEX($T$5:$T$8,$AW33))))</f>
        <v>9.50929331376613</v>
      </c>
      <c r="AY33" s="468" t="n">
        <f aca="false">IF($AW33="",AY32^2/AY31,INDEX(V$5:V$8,$AW33)^((INDEX($T$5:$T$8,$AW33+1)-($I33-DateToday+15))/(INDEX($T$5:$T$8,$AW33+1)-INDEX($T$5:$T$8,$AW33)))/INDEX(V$5:V$8,$AW33+1)^((INDEX($T$5:$T$8,$AW33)-($I33-DateToday+15))/(INDEX($T$5:$T$8,$AW33+1)-INDEX($T$5:$T$8,$AW33))))</f>
        <v>3020.32749099603</v>
      </c>
      <c r="AZ33" s="468" t="n">
        <f aca="false">IF($AW33="",AZ32^2/AZ31,INDEX(W$5:W$8,$AW33)^((INDEX($T$5:$T$8,$AW33+1)-($I33-DateToday+15))/(INDEX($T$5:$T$8,$AW33+1)-INDEX($T$5:$T$8,$AW33)))/INDEX(W$5:W$8,$AW33+1)^((INDEX($T$5:$T$8,$AW33)-($I33-DateToday+15))/(INDEX($T$5:$T$8,$AW33+1)-INDEX($T$5:$T$8,$AW33))))</f>
        <v>240820715.579837</v>
      </c>
      <c r="BA33" s="468" t="n">
        <f aca="false">IF($AW33="",BA32^2/BA31,INDEX(X$5:X$8,$AW33)^((INDEX($T$5:$T$8,$AW33+1)-($I33-DateToday+15))/(INDEX($T$5:$T$8,$AW33+1)-INDEX($T$5:$T$8,$AW33)))/INDEX(X$5:X$8,$AW33+1)^((INDEX($T$5:$T$8,$AW33)-($I33-DateToday+15))/(INDEX($T$5:$T$8,$AW33+1)-INDEX($T$5:$T$8,$AW33))))</f>
        <v>23854529379.997</v>
      </c>
      <c r="BB33" s="468" t="n">
        <f aca="false">IF($AW33="",BB32^2/BB31,INDEX(Y$5:Y$8,$AW33)^((INDEX($T$5:$T$8,$AW33+1)-($I33-DateToday+15))/(INDEX($T$5:$T$8,$AW33+1)-INDEX($T$5:$T$8,$AW33)))/INDEX(Y$5:Y$8,$AW33+1)^((INDEX($T$5:$T$8,$AW33)-($I33-DateToday+15))/(INDEX($T$5:$T$8,$AW33+1)-INDEX($T$5:$T$8,$AW33))))</f>
        <v>579981507092.351</v>
      </c>
      <c r="BC33" s="468" t="n">
        <f aca="false">IF($AW33="",BC32^2/BC31,INDEX(Z$5:Z$8,$AW33)^((INDEX($T$5:$T$8,$AW33+1)-($I33-DateToday+15))/(INDEX($T$5:$T$8,$AW33+1)-INDEX($T$5:$T$8,$AW33)))/INDEX(Z$5:Z$8,$AW33+1)^((INDEX($T$5:$T$8,$AW33)-($I33-DateToday+15))/(INDEX($T$5:$T$8,$AW33+1)-INDEX($T$5:$T$8,$AW33))))</f>
        <v>3875751100485.36</v>
      </c>
      <c r="BD33" s="535" t="n">
        <f aca="false">IF(OR(DateStart&gt;=I34,DateEnd&lt;I33),0,IF(VolumeOverrideFlag,V33,Volume))</f>
        <v>30</v>
      </c>
      <c r="BE33" s="536" t="n">
        <f aca="false">IF(OR(DateStart2&gt;=I34,DateEnd2&lt;I33),0,IF(VolumeOverrideFlag,V33,VolumeSwaption))</f>
        <v>30</v>
      </c>
      <c r="BF33" s="537" t="n">
        <f aca="false">YEAR(I33)</f>
        <v>2001</v>
      </c>
      <c r="BG33" s="538" t="n">
        <f aca="false">MONTH(I33)</f>
        <v>10</v>
      </c>
      <c r="BH33" s="539" t="n">
        <f aca="false">AD33-DateToday+1</f>
        <v>-8774</v>
      </c>
      <c r="BI33" s="540" t="n">
        <f aca="false">(I33-DateToday+1)/365.25</f>
        <v>-23.9835728952772</v>
      </c>
      <c r="BJ33" s="541" t="n">
        <f aca="false">BI33+(BL33-BI33)*CHOOSE(Underlying,AJ33/AI33,AM33/AL33)</f>
        <v>-23.9264351397197</v>
      </c>
      <c r="BK33" s="541" t="n">
        <f aca="false">BJ33+1/365.25</f>
        <v>-23.9236972889325</v>
      </c>
      <c r="BL33" s="541" t="n">
        <f aca="false">(I34-DateToday)/365.25</f>
        <v>-23.9014373716632</v>
      </c>
      <c r="BM33" s="542" t="e">
        <f aca="false">MAX(BI33-(BJ33-BI33)*(S34^2/O34^2-1),0)</f>
        <v>#DIV/0!</v>
      </c>
      <c r="BN33" s="541" t="e">
        <f aca="false">MAX(BL33+(BL33-BK33)*(S35^2/O35^2-1),0)</f>
        <v>#DIV/0!</v>
      </c>
      <c r="BO33" s="530" t="n">
        <f aca="false">CHOOSE(Underlying,AI33,AL33)</f>
        <v>23</v>
      </c>
      <c r="BP33" s="529" t="n">
        <f aca="false">CHOOSE(Underlying,AJ33,AM33)</f>
        <v>16</v>
      </c>
      <c r="BQ33" s="529" t="n">
        <f aca="false">CHOOSE(Underlying,AK33,AN33)</f>
        <v>7</v>
      </c>
      <c r="BR33" s="463" t="e">
        <f aca="false">IF(BD33,IF(Underlying=1,X33,Z33)+UnderlyingPriceAsian-SwapPriceCurve,"")</f>
        <v>#VALUE!</v>
      </c>
      <c r="BS33" s="463" t="e">
        <f aca="false">IF(BD33,Strike1/BR33-1,"")</f>
        <v>#VALUE!</v>
      </c>
      <c r="BT33" s="464" t="e">
        <f aca="false">IF(BD33,Strike2/BR33-1,"")</f>
        <v>#VALUE!</v>
      </c>
      <c r="BU33" s="465" t="e">
        <f aca="false">IF(BD33,IF(Underlying=1,L34,R34)+UnderlyingPriceAsian-SwapPriceCurve,"")</f>
        <v>#VALUE!</v>
      </c>
      <c r="BV33" s="465" t="e">
        <f aca="false">IF(BD33,IF(Underlying=1,L35,R35)+UnderlyingPriceAsian-SwapPriceCurve,"")</f>
        <v>#VALUE!</v>
      </c>
      <c r="BW33" s="466" t="n">
        <f aca="false">IF(BD33,IF(Underlying=1,O34,AT34),"")</f>
        <v>0</v>
      </c>
      <c r="BX33" s="467" t="n">
        <f aca="false">IF(BD33,IF(Underlying=1,O35,AT35),"")</f>
        <v>0</v>
      </c>
      <c r="BY33" s="466" t="e">
        <f aca="false">IF(BD33,IF(BS33&gt;0,IF(BS33&gt;0.2,BC33-BB33,IF(BS33&gt;0.1,BB33-BA33,BA33)),IF(BS33&lt;-0.2,AX33-AY33,IF(BS33&lt;-0.1,AY33-AZ33,AZ33))),"")</f>
        <v>#VALUE!</v>
      </c>
      <c r="BZ33" s="467" t="e">
        <f aca="false">IF(BD33,IF(BT33&gt;0,IF(BT33&gt;0.2,BC33-BB33,IF(BT33&gt;0.1,BB33-BA33,BA33)),IF(BT33&lt;-0.2,AX33-AY33,IF(BT33&lt;-0.1,AY33-AZ33,AZ33))),"")</f>
        <v>#VALUE!</v>
      </c>
      <c r="CA33" s="468" t="e">
        <f aca="false">IF($BD33,$BW33+IF(VolSkewFlag=1,IF(BS33&gt;0,$BA33*MIN(BS33/10%,1)+($BB33-$BA33)*MAX(0,MIN(BS33/10%-1,1))+($BC33-$BB33)*MAX(0,BS33/10%-2),$AZ33*MIN(-BS33/10%,1)+($AY33-$AZ33)*MAX(0,MIN(-BS33/10%-1,1))+($AX33-$AY33)*MAX(0,-BS33/10%-2)),0),"")</f>
        <v>#VALUE!</v>
      </c>
      <c r="CB33" s="468" t="e">
        <f aca="false">IF($BD33,$BX33+IF(VolSkewFlag=1,IF(BS33&gt;0,$BA33*MIN(BS33/10%,1)+($BB33-$BA33)*MAX(0,MIN(BS33/10%-1,1))+($BC33-$BB33)*MAX(0,BS33/10%-2),$AZ33*MIN(-BS33/10%,1)+($AY33-$AZ33)*MAX(0,MIN(-BS33/10%-1,1))+($AX33-$AY33)*MAX(0,-BS33/10%-2)),0),"")</f>
        <v>#VALUE!</v>
      </c>
      <c r="CC33" s="468" t="e">
        <f aca="false">IF($BD33,$BW33+IF(VolSkewFlag=1,IF(BT33&gt;0,$BA33*MIN(BT33/10%,1)+($BB33-$BA33)*MAX(0,MIN(BT33/10%-1,1))+($BC33-$BB33)*MAX(0,BT33/10%-2),$AZ33*MIN(-BT33/10%,1)+($AY33-$AZ33)*MAX(0,MIN(-BT33/10%-1,1))+($AX33-$AY33)*MAX(0,-BT33/10%-2)),0),"")</f>
        <v>#VALUE!</v>
      </c>
      <c r="CD33" s="468" t="e">
        <f aca="false">IF($BD33,$BX33+IF(VolSkewFlag=1,IF(BT33&gt;0,$BA33*MIN(BT33/10%,1)+($BB33-$BA33)*MAX(0,MIN(BT33/10%-1,1))+($BC33-$BB33)*MAX(0,BT33/10%-2),$AZ33*MIN(-BT33/10%,1)+($AY33-$AZ33)*MAX(0,MIN(-BT33/10%-1,1))+($AX33-$AY33)*MAX(0,-BT33/10%-2)),0),"")</f>
        <v>#VALUE!</v>
      </c>
      <c r="CE33" s="469" t="n">
        <v>1</v>
      </c>
      <c r="CF33" s="470" t="e">
        <f aca="false">IF(BD33,xCrudeAPO(BU33,BV33,CA33,CB33,S34,S35,BI33,BL33,BP33,BQ33,0,Strike1,AO33,CE33,0,BL33,IF(OptControl=4,0,1),0,1),0)</f>
        <v>#NAME?</v>
      </c>
      <c r="CG33" s="470" t="e">
        <f aca="false">IF(BD33,xCrudeAPO(BU33,BV33,CA33,CB33,S34,S35,BI33,BL33,BP33,BQ33,0,Strike1,AO33,CE33,0,BL33,IF(OptControl=4,0,1),1,1)+xCrudeAPO(BU33,BV33,CA33,CB33,S34,S35,BI33,BL33,BP33,BQ33,0,Strike1,AO33,CE33,0,BL33,IF(OptControl=4,0,1),1,2)+IF(OR(VolSkewFlag=2,ABS(BS33)&lt;0.0001),0,IF(BS33&gt;0,-1,1)*CH33*Strike1/BR33^2*BY33/10%),0)</f>
        <v>#NAME?</v>
      </c>
      <c r="CH33" s="470" t="e">
        <f aca="false">IF(BD33,(xCrudeAPO(BU33,BV33,CA33,CB33,S34,S35,BI33,BL33,BP33,BQ33,0,Strike1,AO33,CE33,0,BL33,IF(OptControl=4,0,1),3,1)+xCrudeAPO(BU33,BV33,CA33,CB33,S34,S35,BI33,BL33,BP33,BQ33,0,Strike1,AO33,CE33,0,BL33,IF(OptControl=4,0,1),3,2))/100,0)</f>
        <v>#NAME?</v>
      </c>
      <c r="CI33" s="470" t="e">
        <f aca="false">IF(BD33,xCrudeAPO(BU33,BV33,CA33,CB33,S34,S35,BI33-DaysForThetaCalculation/365.25,BL33-DaysForThetaCalculation/365.25,BP33,BQ33,0,Strike1,AO33,CE33,0,BL33,IF(OptControl=4,0,1),0,1)-xCrudeAPO(BU33,BV33,CA33,CB33,S34,S35,BI33,BL33,BP33,BQ33,0,Strike1,AO33,CE33,0,BL33,IF(OptControl=4,0,1),0,1),0)</f>
        <v>#NAME?</v>
      </c>
      <c r="CJ33" s="471" t="e">
        <f aca="false">IF(BD33,xCrudeAPO(BU33,BV33,CC33,CD33,S34,S35,BI33,BL33,BP33,BQ33,0,Strike2,AO33,CE33,0,BL33,IF(OptControl=3,1,0),0,1),0)</f>
        <v>#NAME?</v>
      </c>
      <c r="CK33" s="470" t="e">
        <f aca="false">IF(BD33,xCrudeAPO(BU33,BV33,CC33,CD33,S34,S35,BI33,BL33,BP33,BQ33,0,Strike2,AO33,CE33,0,BL33,IF(OptControl=3,1,0),1,1)+xCrudeAPO(BU33,BV33,CC33,CD33,S34,S35,BI33,BL33,BP33,BQ33,0,Strike2,AO33,CE33,0,BL33,IF(OptControl=3,1,0),1,2)+IF(OR(VolSkewFlag=2,ABS(BT33)&lt;0.0001),0,IF(BT33&gt;0,-1,1)*CL33*Strike2/BR33^2*BZ33/10%),0)</f>
        <v>#NAME?</v>
      </c>
      <c r="CL33" s="470" t="e">
        <f aca="false">IF(BD33,(xCrudeAPO(BU33,BV33,CC33,CD33,S34,S35,BI33,BL33,BP33,BQ33,0,Strike2,AO33,CE33,0,BL33,IF(OptControl=3,1,0),3,1)+xCrudeAPO(BU33,BV33,CC33,CD33,S34,S35,BI33,BL33,BP33,BQ33,0,Strike2,AO33,CE33,0,BL33,IF(OptControl=3,1,0),3,2))/100,0)</f>
        <v>#NAME?</v>
      </c>
      <c r="CM33" s="472" t="e">
        <f aca="false">IF(BD33,xCrudeAPO(BU33,BV33,CC33,CD33,S34,S35,BI33-DaysForThetaCalculation/365.25,BL33-DaysForThetaCalculation/365.25,BP33,BQ33,0,Strike2,AO33,CE33,0,BL33,IF(OptControl=3,1,0),0,1)-xCrudeAPO(BU33,BV33,CC33,CD33,S34,S35,BI33,BL33,BP33,BQ33,0,Strike2,AO33,CE33,0,BL33,IF(OptControl=3,1,0),0,1),0)</f>
        <v>#NAME?</v>
      </c>
      <c r="CN33" s="473"/>
      <c r="CO33" s="543" t="n">
        <f aca="false">IF(BD33,CHOOSE(Underlying,AD33,AF33)-DateToday+1,"")</f>
        <v>-8774</v>
      </c>
      <c r="CP33" s="582" t="e">
        <f aca="false">IF(BD33,CHOOSE(Underlying,L33,R33),"")</f>
        <v>#VALUE!</v>
      </c>
      <c r="CQ33" s="544" t="e">
        <f aca="false">IF(BD33,Strike1/CP33-1,"")</f>
        <v>#VALUE!</v>
      </c>
      <c r="CR33" s="544" t="e">
        <f aca="false">IF(BD33,Strike2/CP33-1,"")</f>
        <v>#VALUE!</v>
      </c>
      <c r="CS33" s="544" t="e">
        <f aca="false">IF(BD33,IF(CQ33&gt;0,IF(CQ33&gt;0.2,BC32-BB32,IF(CQ33&gt;0.1,BB32-BA32,BA32)),IF(CQ33&lt;-0.2,AX32-AY32,IF(CQ33&lt;-0.1,AY32-AZ32,AZ32))),"")</f>
        <v>#VALUE!</v>
      </c>
      <c r="CT33" s="544" t="e">
        <f aca="false">IF(BD33,IF(CR33&gt;0,IF(CR33&gt;0.2,BC32-BB32,IF(CR33&gt;0.1,BB32-BA32,BA32)),IF(CR33&lt;-0.2,AX32-AY32,IF(CR33&lt;-0.1,AY32-AZ32,AZ32))),"")</f>
        <v>#VALUE!</v>
      </c>
      <c r="CU33" s="545" t="n">
        <f aca="false">IF(BD33,CHOOSE(Underlying,O33,AT33),"")</f>
        <v>0</v>
      </c>
      <c r="CV33" s="545" t="e">
        <f aca="false">IF(BD33,CU33+IF(VolSkewFlag=1,IF(CQ33&gt;0,BA32*MIN(CQ33/10%,1)+(BB32-BA32)*MAX(0,MIN(CQ33/10%-1,1))+(BC32-BB32)*MAX(0,CQ33/10%-2),AZ32*MIN(-CQ33/10%,1)+(AY32-AZ32)*MAX(0,MIN(-CQ33/10%-1,1))+(AX32-AY32)*MAX(0,-CQ33/10%-2)),0),"")</f>
        <v>#VALUE!</v>
      </c>
      <c r="CW33" s="545" t="e">
        <f aca="false">IF(BD33,CU33+IF(VolSkewFlag=1,IF(CR33&gt;0,BA32*MIN(CR33/10%,1)+(BB32-BA32)*MAX(0,MIN(CR33/10%-1,1))+(BC32-BB32)*MAX(0,CR33/10%-2),AZ32*MIN(-CR33/10%,1)+(AY32-AZ32)*MAX(0,MIN(-CR33/10%-1,1))+(AX32-AY32)*MAX(0,-CR33/10%-2)),0),"")</f>
        <v>#VALUE!</v>
      </c>
      <c r="CX33" s="470" t="e">
        <f aca="false">IF(BD33,EURO(CP33,Strike1,AO33,AO33,CV33,CO33,IF(OptControl=4,0,1),0),0)</f>
        <v>#NAME?</v>
      </c>
      <c r="CY33" s="470" t="e">
        <f aca="false">IF(BD33,EURO(CP33,Strike1,AO33,AO33,CV33,CO33,IF(OptControl=4,0,1),1)+IF(OR(VolSkewFlag=2,ABS(CQ33)&lt;0.0001),0,IF(CQ33&gt;0,-1,1)*CZ33*100*Strike1/CP33^2*CS33/10%),0)</f>
        <v>#NAME?</v>
      </c>
      <c r="CZ33" s="470" t="e">
        <f aca="false">IF(BD33,EURO(CP33,Strike1,AO33,AO33,CV33,CO33,IF(OptControl=4,0,1),3)/100,0)</f>
        <v>#NAME?</v>
      </c>
      <c r="DA33" s="470" t="e">
        <f aca="false">IF(BD33,EURO(CP33,Strike1,AO33,AO33,CV33,CO33,IF(OptControl=4,0,1),0)-EURO(CP33,Strike1,AO33,AO33,CV33,CO33-1,IF(OptControl=4,0,1),0),0)</f>
        <v>#NAME?</v>
      </c>
      <c r="DB33" s="470" t="e">
        <f aca="false">IF(BD33,EURO(CP33,Strike2,AO33,AO33,CW33,CO33,IF(OptControl=3,1,0),0),0)</f>
        <v>#NAME?</v>
      </c>
      <c r="DC33" s="470" t="e">
        <f aca="false">IF(BD33,EURO(CP33,Strike2,AO33,AO33,CW33,CO33,IF(OptControl=3,1,0),1)+IF(OR(VolSkewFlag=2,ABS(CR33)&lt;0.0001),0,IF(CR33&gt;0,-1,1)*DD33*100*Strike2/CP33^2*CT33/10%),0)</f>
        <v>#NAME?</v>
      </c>
      <c r="DD33" s="470" t="e">
        <f aca="false">IF(BD33,EURO(CP33,Strike2,AO33,AO33,CW33,CO33,IF(OptControl=3,1,0),3)/100,0)</f>
        <v>#NAME?</v>
      </c>
      <c r="DE33" s="472" t="e">
        <f aca="false">IF(BD33,EURO(CP33,Strike2,AO33,AO33,CW33,CO33,IF(OptControl=3,1,0),0)-EURO(CP33,Strike2,AO33,AO33,CW33,CO33-1,IF(OptControl=3,1,0),0),0)</f>
        <v>#NAME?</v>
      </c>
      <c r="DF33" s="473"/>
      <c r="DG33" s="481" t="n">
        <f aca="false">EOMONTH(DG32,0)+1</f>
        <v>46082</v>
      </c>
      <c r="DH33" s="478" t="n">
        <v>22.79</v>
      </c>
      <c r="DI33" s="479" t="n">
        <v>22.2827272727273</v>
      </c>
      <c r="DJ33" s="480" t="n">
        <f aca="false">DG33</f>
        <v>46082</v>
      </c>
      <c r="DK33" s="478" t="n">
        <v>21.51</v>
      </c>
      <c r="DL33" s="479" t="n">
        <v>20.95</v>
      </c>
      <c r="DM33" s="481" t="n">
        <f aca="false">DG33</f>
        <v>46082</v>
      </c>
      <c r="DN33" s="482" t="n">
        <f aca="false">DK33+BrentPhyBrentSpread</f>
        <v>21.56</v>
      </c>
      <c r="DO33" s="481" t="n">
        <f aca="false">DG33</f>
        <v>46082</v>
      </c>
      <c r="DP33" s="483" t="n">
        <f aca="false">DL33+DQ33</f>
        <v>21.26</v>
      </c>
      <c r="DQ33" s="546" t="n">
        <v>0.31</v>
      </c>
      <c r="DR33" s="480" t="n">
        <f aca="false">DG33</f>
        <v>46082</v>
      </c>
      <c r="DS33" s="485" t="n">
        <v>0.255603287020997</v>
      </c>
      <c r="DT33" s="486" t="n">
        <v>0.251139409486933</v>
      </c>
      <c r="DU33" s="480" t="n">
        <f aca="false">DG33</f>
        <v>46082</v>
      </c>
      <c r="DV33" s="485" t="n">
        <v>0.255603287020997</v>
      </c>
      <c r="DW33" s="486" t="n">
        <v>0.251139409486933</v>
      </c>
      <c r="DX33" s="481" t="n">
        <f aca="false">DG33</f>
        <v>46082</v>
      </c>
      <c r="DY33" s="486" t="n">
        <v>0.35001953125</v>
      </c>
      <c r="DZ33" s="481" t="n">
        <f aca="false">DR33</f>
        <v>46082</v>
      </c>
      <c r="EA33" s="486" t="n">
        <f aca="false">DT33</f>
        <v>0.251139409486933</v>
      </c>
      <c r="EB33" s="195"/>
      <c r="EC33" s="547" t="n">
        <f aca="false">IF(BD33,IF(Underlying=1,AS33,AU33),"")</f>
        <v>0</v>
      </c>
      <c r="ED33" s="548" t="e">
        <f aca="false">IF($BD33,$EC33+IF(VolSkewFlag=1,IF(BS33&gt;0,$BA33*MIN(BS33/10%,1)+($BB33-$BA33)*MAX(0,MIN(BS33/10%-1,1))+($BC33-$BB33)*MAX(0,BS33/10%-2),$AZ33*MIN(-BS33/10%,1)+($AY33-$AZ33)*MAX(0,MIN(-BS33/10%-1,1))+($AX33-$AY33)*MAX(0,-BS33/10%-2)),0),"")</f>
        <v>#VALUE!</v>
      </c>
      <c r="EE33" s="549" t="e">
        <f aca="false">IF($BD33,$EC33+IF(VolSkewFlag=1,IF(BT33&gt;0,$BA33*MIN(BT33/10%,1)+($BB33-$BA33)*MAX(0,MIN(BT33/10%-1,1))+($BC33-$BB33)*MAX(0,BT33/10%-2),$AZ33*MIN(-BT33/10%,1)+($AY33-$AZ33)*MAX(0,MIN(-BT33/10%-1,1))+($AX33-$AY33)*MAX(0,-BT33/10%-2)),0),"")</f>
        <v>#VALUE!</v>
      </c>
      <c r="EF33" s="550" t="e">
        <f aca="false">IF(BD33,xASN(BR33,Strike1,AO33,ED33,0,BO33,0,BI33,BL33,IF(OptControl=4,0,1),0),0)</f>
        <v>#NAME?</v>
      </c>
      <c r="EG33" s="551" t="e">
        <f aca="false">IF(BD33,xASN(BR33,Strike2,AO33,EE33,0,BO33,0,BI33,BL33,IF(OptControl=3,1,0),0),0)</f>
        <v>#NAME?</v>
      </c>
      <c r="EI33" s="583" t="str">
        <f aca="false">DDE("TWINDDE","RSFRecord","CLc14 MTH")</f>
        <v>OCT1</v>
      </c>
      <c r="EJ33" s="584" t="n">
        <f aca="false">DATEVALUE(CONCATENATE(LEFT(EI33,3),"-",IF(VALUE(RIGHT(EI33,1))=9,"1999",CONCATENATE("200",RIGHT(EI33,1)))))</f>
        <v>37165</v>
      </c>
      <c r="EK33" s="585" t="n">
        <f aca="false">DDE("TWINDDE","RSFRecord","CLc14 NET.CHNG")</f>
        <v>0</v>
      </c>
      <c r="EL33" s="586" t="n">
        <f aca="false">IF(ISNUMBER(VALUE(EK33)),VALUE(EK33)*100,0)</f>
        <v>0</v>
      </c>
      <c r="EM33" s="195"/>
      <c r="EN33" s="556" t="n">
        <v>37257</v>
      </c>
      <c r="EO33" s="557" t="n">
        <v>39076</v>
      </c>
      <c r="EP33" s="195"/>
      <c r="EQ33" s="407" t="s">
        <v>248</v>
      </c>
      <c r="ES33" s="587" t="n">
        <v>14</v>
      </c>
      <c r="ET33" s="559" t="n">
        <f aca="false">BH33/365.25</f>
        <v>-24.0219028062971</v>
      </c>
      <c r="EU33" s="560" t="n">
        <f aca="false">O33^2*ET33</f>
        <v>-0</v>
      </c>
      <c r="EV33" s="588" t="e">
        <f aca="false">SQRT(SUM(FK33:ID33)/ET33)</f>
        <v>#VALUE!</v>
      </c>
      <c r="EW33" s="589" t="n">
        <f aca="false">IF(OR(DateStart2&gt;I32,DateEnd2&lt;I31),"",IF(DateStart2&lt;I32,AK31/AI31*AP31*BE31*SwaptionNumOfMonths/$D$33,0)+IF(DateEnd2&gt;I31,AJ32/AI32*AP32*BE32*SwaptionNumOfMonths/$D$33,0))</f>
        <v>1.04782608695652</v>
      </c>
      <c r="EX33" s="590" t="e">
        <f aca="false">IF(EW33="","",SQRT(SUM(FK338:ID338)/SwaptionYearsToExp))</f>
        <v>#VALUE!</v>
      </c>
      <c r="EY33" s="129" t="n">
        <v>0</v>
      </c>
      <c r="EZ33" s="591" t="n">
        <f aca="false">IF(OR(EW33="",EW34=""),"",SQRT(SUM(INDEX(FK33:ID33,SwaptionFirstMonthPosition+1):INDEX(FK33:ID33,FJ33))/SUM(INDEX($FK$15:$ID$15,SwaptionFirstMonthPosition+1):INDEX($FK$15:$ID$15,FJ33))))</f>
        <v>0.264829802774641</v>
      </c>
      <c r="FA33" s="592" t="n">
        <f aca="false">IF(OR(EW33="",EW32=""),"",SQRT(SUM(INDEX(FK33:ID33,SwaptionFirstMonthPosition+1):INDEX(FK33:ID33,FJ33-1))/SUM(INDEX($FK$15:$ID$15,SwaptionFirstMonthPosition+1):INDEX($FK$15:$ID$15,FJ33-1))))</f>
        <v>0.249496653035272</v>
      </c>
      <c r="FB33" s="593" t="n">
        <f aca="false">IF(BE33,2/3*EZ34+1/3*FA35,"")</f>
        <v>0.251306496198011</v>
      </c>
      <c r="FC33" s="596" t="n">
        <f aca="false">IF(BE33,(I34+I33-1)/2-DateToday,"")</f>
        <v>-8746</v>
      </c>
      <c r="FD33" s="483" t="e">
        <f aca="false">IF(BE33,CHOOSE(Underlying,X33,Z33)+SwaptionUnderlyingPrice-$D$26,"")</f>
        <v>#VALUE!</v>
      </c>
      <c r="FE33" s="483" t="e">
        <f aca="false">IF(BE33,CollartionFloor/FD33-1,"")</f>
        <v>#VALUE!</v>
      </c>
      <c r="FF33" s="483" t="e">
        <f aca="false">IF(BE33,CollartionCap/FD33-1,"")</f>
        <v>#VALUE!</v>
      </c>
      <c r="FG33" s="485" t="e">
        <f aca="false">IF(BE33,IF(VolSkewFlag=1,IF(FE33&gt;0,$BA33*MIN(FE33/10%,1)+($BB33-$BA33)*MAX(0,MIN(FE33/10%-1,1))+($BC33-$BB33)*MAX(0,FE33/10%-2),$AZ33*MIN(-FE33/10%,1)+($AY33-$AZ33)*MAX(0,MIN(-FE33/10%-1,1))+($AX33-$AY33)*MAX(0,-FE33/10%-2)),0),"")</f>
        <v>#VALUE!</v>
      </c>
      <c r="FH33" s="486" t="e">
        <f aca="false">IF(BE33,IF(VolSkewFlag=1,IF(FF33&gt;0,$BA33*MIN(FF33/10%,1)+($BB33-$BA33)*MAX(0,MIN(FF33/10%-1,1))+($BC33-$BB33)*MAX(0,FF33/10%-2),$AZ33*MIN(-FF33/10%,1)+($AY33-$AZ33)*MAX(0,MIN(-FF33/10%-1,1))+($AX33-$AY33)*MAX(0,-FF33/10%-2)),0),"")</f>
        <v>#VALUE!</v>
      </c>
      <c r="FI33" s="129"/>
      <c r="FJ33" s="571" t="n">
        <v>14</v>
      </c>
      <c r="FK33" s="150" t="n">
        <f aca="false">IF(FK$19&gt;$FJ33,"",MAX(0,IF(FK$19=$FJ33,$S33^2*FK$15,FK32*INDEX($T$20:$T$91,$FJ33-FK$19)^2/INDEX($U$20:$U$91,$FJ33-FK$19))))</f>
        <v>0</v>
      </c>
      <c r="FL33" s="150" t="n">
        <f aca="false">IF(FL$19&gt;$FJ33,"",MAX(0,IF(FL$19=$FJ33,$S33^2*FL$15,FL32*INDEX($T$20:$T$91,$FJ33-FL$19)^2/INDEX($U$20:$U$91,$FJ33-FL$19))))</f>
        <v>0</v>
      </c>
      <c r="FM33" s="150" t="n">
        <f aca="false">IF(FM$19&gt;$FJ33,"",MAX(0,IF(FM$19=$FJ33,$S33^2*FM$15,FM32*INDEX($T$20:$T$91,$FJ33-FM$19)^2/INDEX($U$20:$U$91,$FJ33-FM$19))))</f>
        <v>0.0033683493981548</v>
      </c>
      <c r="FN33" s="150" t="n">
        <f aca="false">IF(FN$19&gt;$FJ33,"",MAX(0,IF(FN$19=$FJ33,$S33^2*FN$15,FN32*INDEX($T$20:$T$91,$FJ33-FN$19)^2/INDEX($U$20:$U$91,$FJ33-FN$19))))</f>
        <v>0.00297454577940507</v>
      </c>
      <c r="FO33" s="150" t="n">
        <f aca="false">IF(FO$19&gt;$FJ33,"",MAX(0,IF(FO$19=$FJ33,$S33^2*FO$15,FO32*INDEX($T$20:$T$91,$FJ33-FO$19)^2/INDEX($U$20:$U$91,$FJ33-FO$19))))</f>
        <v>0.00327353502714359</v>
      </c>
      <c r="FP33" s="150" t="n">
        <f aca="false">IF(FP$19&gt;$FJ33,"",MAX(0,IF(FP$19=$FJ33,$S33^2*FP$15,FP32*INDEX($T$20:$T$91,$FJ33-FP$19)^2/INDEX($U$20:$U$91,$FJ33-FP$19))))</f>
        <v>0.00387609100453517</v>
      </c>
      <c r="FQ33" s="150" t="n">
        <f aca="false">IF(FQ$19&gt;$FJ33,"",MAX(0,IF(FQ$19=$FJ33,$S33^2*FQ$15,FQ32*INDEX($T$20:$T$91,$FJ33-FQ$19)^2/INDEX($U$20:$U$91,$FJ33-FQ$19))))</f>
        <v>0.0033926791866523</v>
      </c>
      <c r="FR33" s="150" t="n">
        <f aca="false">IF(FR$19&gt;$FJ33,"",MAX(0,IF(FR$19=$FJ33,$S33^2*FR$15,FR32*INDEX($T$20:$T$91,$FJ33-FR$19)^2/INDEX($U$20:$U$91,$FJ33-FR$19))))</f>
        <v>0.00380258433135448</v>
      </c>
      <c r="FS33" s="150" t="n">
        <f aca="false">IF(FS$19&gt;$FJ33,"",MAX(0,IF(FS$19=$FJ33,$S33^2*FS$15,FS32*INDEX($T$20:$T$91,$FJ33-FS$19)^2/INDEX($U$20:$U$91,$FJ33-FS$19))))</f>
        <v>0.00477540839925891</v>
      </c>
      <c r="FT33" s="150" t="n">
        <f aca="false">IF(FT$19&gt;$FJ33,"",MAX(0,IF(FT$19=$FJ33,$S33^2*FT$15,FT32*INDEX($T$20:$T$91,$FJ33-FT$19)^2/INDEX($U$20:$U$91,$FJ33-FT$19))))</f>
        <v>0.00489759801345181</v>
      </c>
      <c r="FU33" s="150" t="n">
        <f aca="false">IF(FU$19&gt;$FJ33,"",MAX(0,IF(FU$19=$FJ33,$S33^2*FU$15,FU32*INDEX($T$20:$T$91,$FJ33-FU$19)^2/INDEX($U$20:$U$91,$FJ33-FU$19))))</f>
        <v>0.00547745989800708</v>
      </c>
      <c r="FV33" s="150" t="n">
        <f aca="false">IF(FV$19&gt;$FJ33,"",MAX(0,IF(FV$19=$FJ33,$S33^2*FV$15,FV32*INDEX($T$20:$T$91,$FJ33-FV$19)^2/INDEX($U$20:$U$91,$FJ33-FV$19))))</f>
        <v>0.00720187112755539</v>
      </c>
      <c r="FW33" s="150" t="n">
        <f aca="false">IF(FW$19&gt;$FJ33,"",MAX(0,IF(FW$19=$FJ33,$S33^2*FW$15,FW32*INDEX($T$20:$T$91,$FJ33-FW$19)^2/INDEX($U$20:$U$91,$FJ33-FW$19))))</f>
        <v>0.00833100227483648</v>
      </c>
      <c r="FX33" s="150" t="n">
        <f aca="false">IF(FX$19&gt;$FJ33,"",MAX(0,IF(FX$19=$FJ33,$S33^2*FX$15,FX32*INDEX($T$20:$T$91,$FJ33-FX$19)^2/INDEX($U$20:$U$91,$FJ33-FX$19))))</f>
        <v>0.0114344813132341</v>
      </c>
      <c r="FY33" s="150" t="str">
        <f aca="false">IF(FY$19&gt;$FJ33,"",MAX(0,IF(FY$19=$FJ33,$S33^2*FY$15,FY32*INDEX($T$20:$T$91,$FJ33-FY$19)^2/INDEX($U$20:$U$91,$FJ33-FY$19))))</f>
        <v/>
      </c>
      <c r="FZ33" s="150" t="str">
        <f aca="false">IF(FZ$19&gt;$FJ33,"",MAX(0,IF(FZ$19=$FJ33,$S33^2*FZ$15,FZ32*INDEX($T$20:$T$91,$FJ33-FZ$19)^2/INDEX($U$20:$U$91,$FJ33-FZ$19))))</f>
        <v/>
      </c>
      <c r="GA33" s="150" t="str">
        <f aca="false">IF(GA$19&gt;$FJ33,"",MAX(0,IF(GA$19=$FJ33,$S33^2*GA$15,GA32*INDEX($T$20:$T$91,$FJ33-GA$19)^2/INDEX($U$20:$U$91,$FJ33-GA$19))))</f>
        <v/>
      </c>
      <c r="GB33" s="150" t="str">
        <f aca="false">IF(GB$19&gt;$FJ33,"",MAX(0,IF(GB$19=$FJ33,$S33^2*GB$15,GB32*INDEX($T$20:$T$91,$FJ33-GB$19)^2/INDEX($U$20:$U$91,$FJ33-GB$19))))</f>
        <v/>
      </c>
      <c r="GC33" s="150" t="str">
        <f aca="false">IF(GC$19&gt;$FJ33,"",MAX(0,IF(GC$19=$FJ33,$S33^2*GC$15,GC32*INDEX($T$20:$T$91,$FJ33-GC$19)^2/INDEX($U$20:$U$91,$FJ33-GC$19))))</f>
        <v/>
      </c>
      <c r="GD33" s="150" t="str">
        <f aca="false">IF(GD$19&gt;$FJ33,"",MAX(0,IF(GD$19=$FJ33,$S33^2*GD$15,GD32*INDEX($T$20:$T$91,$FJ33-GD$19)^2/INDEX($U$20:$U$91,$FJ33-GD$19))))</f>
        <v/>
      </c>
      <c r="GE33" s="150" t="str">
        <f aca="false">IF(GE$19&gt;$FJ33,"",MAX(0,IF(GE$19=$FJ33,$S33^2*GE$15,GE32*INDEX($T$20:$T$91,$FJ33-GE$19)^2/INDEX($U$20:$U$91,$FJ33-GE$19))))</f>
        <v/>
      </c>
      <c r="GF33" s="150" t="str">
        <f aca="false">IF(GF$19&gt;$FJ33,"",MAX(0,IF(GF$19=$FJ33,$S33^2*GF$15,GF32*INDEX($T$20:$T$91,$FJ33-GF$19)^2/INDEX($U$20:$U$91,$FJ33-GF$19))))</f>
        <v/>
      </c>
      <c r="GG33" s="150" t="str">
        <f aca="false">IF(GG$19&gt;$FJ33,"",MAX(0,IF(GG$19=$FJ33,$S33^2*GG$15,GG32*INDEX($T$20:$T$91,$FJ33-GG$19)^2/INDEX($U$20:$U$91,$FJ33-GG$19))))</f>
        <v/>
      </c>
      <c r="GH33" s="150" t="str">
        <f aca="false">IF(GH$19&gt;$FJ33,"",MAX(0,IF(GH$19=$FJ33,$S33^2*GH$15,GH32*INDEX($T$20:$T$91,$FJ33-GH$19)^2/INDEX($U$20:$U$91,$FJ33-GH$19))))</f>
        <v/>
      </c>
      <c r="GI33" s="150" t="str">
        <f aca="false">IF(GI$19&gt;$FJ33,"",MAX(0,IF(GI$19=$FJ33,$S33^2*GI$15,GI32*INDEX($T$20:$T$91,$FJ33-GI$19)^2/INDEX($U$20:$U$91,$FJ33-GI$19))))</f>
        <v/>
      </c>
      <c r="GJ33" s="150" t="str">
        <f aca="false">IF(GJ$19&gt;$FJ33,"",MAX(0,IF(GJ$19=$FJ33,$S33^2*GJ$15,GJ32*INDEX($T$20:$T$91,$FJ33-GJ$19)^2/INDEX($U$20:$U$91,$FJ33-GJ$19))))</f>
        <v/>
      </c>
      <c r="GK33" s="150" t="str">
        <f aca="false">IF(GK$19&gt;$FJ33,"",MAX(0,IF(GK$19=$FJ33,$S33^2*GK$15,GK32*INDEX($T$20:$T$91,$FJ33-GK$19)^2/INDEX($U$20:$U$91,$FJ33-GK$19))))</f>
        <v/>
      </c>
      <c r="GL33" s="150" t="str">
        <f aca="false">IF(GL$19&gt;$FJ33,"",MAX(0,IF(GL$19=$FJ33,$S33^2*GL$15,GL32*INDEX($T$20:$T$91,$FJ33-GL$19)^2/INDEX($U$20:$U$91,$FJ33-GL$19))))</f>
        <v/>
      </c>
      <c r="GM33" s="150" t="str">
        <f aca="false">IF(GM$19&gt;$FJ33,"",MAX(0,IF(GM$19=$FJ33,$S33^2*GM$15,GM32*INDEX($T$20:$T$91,$FJ33-GM$19)^2/INDEX($U$20:$U$91,$FJ33-GM$19))))</f>
        <v/>
      </c>
      <c r="GN33" s="150" t="str">
        <f aca="false">IF(GN$19&gt;$FJ33,"",MAX(0,IF(GN$19=$FJ33,$S33^2*GN$15,GN32*INDEX($T$20:$T$91,$FJ33-GN$19)^2/INDEX($U$20:$U$91,$FJ33-GN$19))))</f>
        <v/>
      </c>
      <c r="GO33" s="150" t="str">
        <f aca="false">IF(GO$19&gt;$FJ33,"",MAX(0,IF(GO$19=$FJ33,$S33^2*GO$15,GO32*INDEX($T$20:$T$91,$FJ33-GO$19)^2/INDEX($U$20:$U$91,$FJ33-GO$19))))</f>
        <v/>
      </c>
      <c r="GP33" s="150" t="str">
        <f aca="false">IF(GP$19&gt;$FJ33,"",MAX(0,IF(GP$19=$FJ33,$S33^2*GP$15,GP32*INDEX($T$20:$T$91,$FJ33-GP$19)^2/INDEX($U$20:$U$91,$FJ33-GP$19))))</f>
        <v/>
      </c>
      <c r="GQ33" s="150" t="str">
        <f aca="false">IF(GQ$19&gt;$FJ33,"",MAX(0,IF(GQ$19=$FJ33,$S33^2*GQ$15,GQ32*INDEX($T$20:$T$91,$FJ33-GQ$19)^2/INDEX($U$20:$U$91,$FJ33-GQ$19))))</f>
        <v/>
      </c>
      <c r="GR33" s="150" t="str">
        <f aca="false">IF(GR$19&gt;$FJ33,"",MAX(0,IF(GR$19=$FJ33,$S33^2*GR$15,GR32*INDEX($T$20:$T$91,$FJ33-GR$19)^2/INDEX($U$20:$U$91,$FJ33-GR$19))))</f>
        <v/>
      </c>
      <c r="GS33" s="150" t="str">
        <f aca="false">IF(GS$19&gt;$FJ33,"",MAX(0,IF(GS$19=$FJ33,$S33^2*GS$15,GS32*INDEX($T$20:$T$91,$FJ33-GS$19)^2/INDEX($U$20:$U$91,$FJ33-GS$19))))</f>
        <v/>
      </c>
      <c r="GT33" s="150" t="str">
        <f aca="false">IF(GT$19&gt;$FJ33,"",MAX(0,IF(GT$19=$FJ33,$S33^2*GT$15,GT32*INDEX($T$20:$T$91,$FJ33-GT$19)^2/INDEX($U$20:$U$91,$FJ33-GT$19))))</f>
        <v/>
      </c>
      <c r="GU33" s="150" t="str">
        <f aca="false">IF(GU$19&gt;$FJ33,"",MAX(0,IF(GU$19=$FJ33,$S33^2*GU$15,GU32*INDEX($T$20:$T$91,$FJ33-GU$19)^2/INDEX($U$20:$U$91,$FJ33-GU$19))))</f>
        <v/>
      </c>
      <c r="GV33" s="150" t="str">
        <f aca="false">IF(GV$19&gt;$FJ33,"",MAX(0,IF(GV$19=$FJ33,$S33^2*GV$15,GV32*INDEX($T$20:$T$91,$FJ33-GV$19)^2/INDEX($U$20:$U$91,$FJ33-GV$19))))</f>
        <v/>
      </c>
      <c r="GW33" s="150" t="str">
        <f aca="false">IF(GW$19&gt;$FJ33,"",MAX(0,IF(GW$19=$FJ33,$S33^2*GW$15,GW32*INDEX($T$20:$T$91,$FJ33-GW$19)^2/INDEX($U$20:$U$91,$FJ33-GW$19))))</f>
        <v/>
      </c>
      <c r="GX33" s="150" t="str">
        <f aca="false">IF(GX$19&gt;$FJ33,"",MAX(0,IF(GX$19=$FJ33,$S33^2*GX$15,GX32*INDEX($T$20:$T$91,$FJ33-GX$19)^2/INDEX($U$20:$U$91,$FJ33-GX$19))))</f>
        <v/>
      </c>
      <c r="GY33" s="150" t="str">
        <f aca="false">IF(GY$19&gt;$FJ33,"",MAX(0,IF(GY$19=$FJ33,$S33^2*GY$15,GY32*INDEX($T$20:$T$91,$FJ33-GY$19)^2/INDEX($U$20:$U$91,$FJ33-GY$19))))</f>
        <v/>
      </c>
      <c r="GZ33" s="150" t="str">
        <f aca="false">IF(GZ$19&gt;$FJ33,"",MAX(0,IF(GZ$19=$FJ33,$S33^2*GZ$15,GZ32*INDEX($T$20:$T$91,$FJ33-GZ$19)^2/INDEX($U$20:$U$91,$FJ33-GZ$19))))</f>
        <v/>
      </c>
      <c r="HA33" s="150" t="str">
        <f aca="false">IF(HA$19&gt;$FJ33,"",MAX(0,IF(HA$19=$FJ33,$S33^2*HA$15,HA32*INDEX($T$20:$T$91,$FJ33-HA$19)^2/INDEX($U$20:$U$91,$FJ33-HA$19))))</f>
        <v/>
      </c>
      <c r="HB33" s="150" t="str">
        <f aca="false">IF(HB$19&gt;$FJ33,"",MAX(0,IF(HB$19=$FJ33,$S33^2*HB$15,HB32*INDEX($T$20:$T$91,$FJ33-HB$19)^2/INDEX($U$20:$U$91,$FJ33-HB$19))))</f>
        <v/>
      </c>
      <c r="HC33" s="150" t="str">
        <f aca="false">IF(HC$19&gt;$FJ33,"",MAX(0,IF(HC$19=$FJ33,$S33^2*HC$15,HC32*INDEX($T$20:$T$91,$FJ33-HC$19)^2/INDEX($U$20:$U$91,$FJ33-HC$19))))</f>
        <v/>
      </c>
      <c r="HD33" s="150" t="str">
        <f aca="false">IF(HD$19&gt;$FJ33,"",MAX(0,IF(HD$19=$FJ33,$S33^2*HD$15,HD32*INDEX($T$20:$T$91,$FJ33-HD$19)^2/INDEX($U$20:$U$91,$FJ33-HD$19))))</f>
        <v/>
      </c>
      <c r="HE33" s="150" t="str">
        <f aca="false">IF(HE$19&gt;$FJ33,"",MAX(0,IF(HE$19=$FJ33,$S33^2*HE$15,HE32*INDEX($T$20:$T$91,$FJ33-HE$19)^2/INDEX($U$20:$U$91,$FJ33-HE$19))))</f>
        <v/>
      </c>
      <c r="HF33" s="150" t="str">
        <f aca="false">IF(HF$19&gt;$FJ33,"",MAX(0,IF(HF$19=$FJ33,$S33^2*HF$15,HF32*INDEX($T$20:$T$91,$FJ33-HF$19)^2/INDEX($U$20:$U$91,$FJ33-HF$19))))</f>
        <v/>
      </c>
      <c r="HG33" s="150" t="str">
        <f aca="false">IF(HG$19&gt;$FJ33,"",MAX(0,IF(HG$19=$FJ33,$S33^2*HG$15,HG32*INDEX($T$20:$T$91,$FJ33-HG$19)^2/INDEX($U$20:$U$91,$FJ33-HG$19))))</f>
        <v/>
      </c>
      <c r="HH33" s="150" t="str">
        <f aca="false">IF(HH$19&gt;$FJ33,"",MAX(0,IF(HH$19=$FJ33,$S33^2*HH$15,HH32*INDEX($T$20:$T$91,$FJ33-HH$19)^2/INDEX($U$20:$U$91,$FJ33-HH$19))))</f>
        <v/>
      </c>
      <c r="HI33" s="150" t="str">
        <f aca="false">IF(HI$19&gt;$FJ33,"",MAX(0,IF(HI$19=$FJ33,$S33^2*HI$15,HI32*INDEX($T$20:$T$91,$FJ33-HI$19)^2/INDEX($U$20:$U$91,$FJ33-HI$19))))</f>
        <v/>
      </c>
      <c r="HJ33" s="150" t="str">
        <f aca="false">IF(HJ$19&gt;$FJ33,"",MAX(0,IF(HJ$19=$FJ33,$S33^2*HJ$15,HJ32*INDEX($T$20:$T$91,$FJ33-HJ$19)^2/INDEX($U$20:$U$91,$FJ33-HJ$19))))</f>
        <v/>
      </c>
      <c r="HK33" s="150" t="str">
        <f aca="false">IF(HK$19&gt;$FJ33,"",MAX(0,IF(HK$19=$FJ33,$S33^2*HK$15,HK32*INDEX($T$20:$T$91,$FJ33-HK$19)^2/INDEX($U$20:$U$91,$FJ33-HK$19))))</f>
        <v/>
      </c>
      <c r="HL33" s="150" t="str">
        <f aca="false">IF(HL$19&gt;$FJ33,"",MAX(0,IF(HL$19=$FJ33,$S33^2*HL$15,HL32*INDEX($T$20:$T$91,$FJ33-HL$19)^2/INDEX($U$20:$U$91,$FJ33-HL$19))))</f>
        <v/>
      </c>
      <c r="HM33" s="150" t="str">
        <f aca="false">IF(HM$19&gt;$FJ33,"",MAX(0,IF(HM$19=$FJ33,$S33^2*HM$15,HM32*INDEX($T$20:$T$91,$FJ33-HM$19)^2/INDEX($U$20:$U$91,$FJ33-HM$19))))</f>
        <v/>
      </c>
      <c r="HN33" s="150" t="str">
        <f aca="false">IF(HN$19&gt;$FJ33,"",MAX(0,IF(HN$19=$FJ33,$S33^2*HN$15,HN32*INDEX($T$20:$T$91,$FJ33-HN$19)^2/INDEX($U$20:$U$91,$FJ33-HN$19))))</f>
        <v/>
      </c>
      <c r="HO33" s="150" t="str">
        <f aca="false">IF(HO$19&gt;$FJ33,"",MAX(0,IF(HO$19=$FJ33,$S33^2*HO$15,HO32*INDEX($T$20:$T$91,$FJ33-HO$19)^2/INDEX($U$20:$U$91,$FJ33-HO$19))))</f>
        <v/>
      </c>
      <c r="HP33" s="150" t="str">
        <f aca="false">IF(HP$19&gt;$FJ33,"",MAX(0,IF(HP$19=$FJ33,$S33^2*HP$15,HP32*INDEX($T$20:$T$91,$FJ33-HP$19)^2/INDEX($U$20:$U$91,$FJ33-HP$19))))</f>
        <v/>
      </c>
      <c r="HQ33" s="150" t="str">
        <f aca="false">IF(HQ$19&gt;$FJ33,"",MAX(0,IF(HQ$19=$FJ33,$S33^2*HQ$15,HQ32*INDEX($T$20:$T$91,$FJ33-HQ$19)^2/INDEX($U$20:$U$91,$FJ33-HQ$19))))</f>
        <v/>
      </c>
      <c r="HR33" s="150" t="str">
        <f aca="false">IF(HR$19&gt;$FJ33,"",MAX(0,IF(HR$19=$FJ33,$S33^2*HR$15,HR32*INDEX($T$20:$T$91,$FJ33-HR$19)^2/INDEX($U$20:$U$91,$FJ33-HR$19))))</f>
        <v/>
      </c>
      <c r="HS33" s="150" t="str">
        <f aca="false">IF(HS$19&gt;$FJ33,"",MAX(0,IF(HS$19=$FJ33,$S33^2*HS$15,HS32*INDEX($T$20:$T$91,$FJ33-HS$19)^2/INDEX($U$20:$U$91,$FJ33-HS$19))))</f>
        <v/>
      </c>
      <c r="HT33" s="150" t="str">
        <f aca="false">IF(HT$19&gt;$FJ33,"",MAX(0,IF(HT$19=$FJ33,$S33^2*HT$15,HT32*INDEX($T$20:$T$91,$FJ33-HT$19)^2/INDEX($U$20:$U$91,$FJ33-HT$19))))</f>
        <v/>
      </c>
      <c r="HU33" s="150" t="str">
        <f aca="false">IF(HU$19&gt;$FJ33,"",MAX(0,IF(HU$19=$FJ33,$S33^2*HU$15,HU32*INDEX($T$20:$T$91,$FJ33-HU$19)^2/INDEX($U$20:$U$91,$FJ33-HU$19))))</f>
        <v/>
      </c>
      <c r="HV33" s="150" t="str">
        <f aca="false">IF(HV$19&gt;$FJ33,"",MAX(0,IF(HV$19=$FJ33,$S33^2*HV$15,HV32*INDEX($T$20:$T$91,$FJ33-HV$19)^2/INDEX($U$20:$U$91,$FJ33-HV$19))))</f>
        <v/>
      </c>
      <c r="HW33" s="150" t="str">
        <f aca="false">IF(HW$19&gt;$FJ33,"",MAX(0,IF(HW$19=$FJ33,$S33^2*HW$15,HW32*INDEX($T$20:$T$91,$FJ33-HW$19)^2/INDEX($U$20:$U$91,$FJ33-HW$19))))</f>
        <v/>
      </c>
      <c r="HX33" s="150" t="str">
        <f aca="false">IF(HX$19&gt;$FJ33,"",MAX(0,IF(HX$19=$FJ33,$S33^2*HX$15,HX32*INDEX($T$20:$T$91,$FJ33-HX$19)^2/INDEX($U$20:$U$91,$FJ33-HX$19))))</f>
        <v/>
      </c>
      <c r="HY33" s="150" t="str">
        <f aca="false">IF(HY$19&gt;$FJ33,"",MAX(0,IF(HY$19=$FJ33,$S33^2*HY$15,HY32*INDEX($T$20:$T$91,$FJ33-HY$19)^2/INDEX($U$20:$U$91,$FJ33-HY$19))))</f>
        <v/>
      </c>
      <c r="HZ33" s="150" t="str">
        <f aca="false">IF(HZ$19&gt;$FJ33,"",MAX(0,IF(HZ$19=$FJ33,$S33^2*HZ$15,HZ32*INDEX($T$20:$T$91,$FJ33-HZ$19)^2/INDEX($U$20:$U$91,$FJ33-HZ$19))))</f>
        <v/>
      </c>
      <c r="IA33" s="150" t="str">
        <f aca="false">IF(IA$19&gt;$FJ33,"",MAX(0,IF(IA$19=$FJ33,$S33^2*IA$15,IA32*INDEX($T$20:$T$91,$FJ33-IA$19)^2/INDEX($U$20:$U$91,$FJ33-IA$19))))</f>
        <v/>
      </c>
      <c r="IB33" s="150" t="str">
        <f aca="false">IF(IB$19&gt;$FJ33,"",MAX(0,IF(IB$19=$FJ33,$S33^2*IB$15,IB32*INDEX($T$20:$T$91,$FJ33-IB$19)^2/INDEX($U$20:$U$91,$FJ33-IB$19))))</f>
        <v/>
      </c>
      <c r="IC33" s="150" t="str">
        <f aca="false">IF(IC$19&gt;$FJ33,"",MAX(0,IF(IC$19=$FJ33,$S33^2*IC$15,IC32*INDEX($T$20:$T$91,$FJ33-IC$19)^2/INDEX($U$20:$U$91,$FJ33-IC$19))))</f>
        <v/>
      </c>
      <c r="ID33" s="572" t="str">
        <f aca="false">IF(ID$19&gt;$FJ33,"",MAX(0,IF(ID$19=$FJ33,$S33^2*ID$15,ID32*INDEX($T$20:$T$91,$FJ33-ID$19)^2/INDEX($U$20:$U$91,$FJ33-ID$19))))</f>
        <v/>
      </c>
      <c r="IE33" s="129"/>
    </row>
    <row r="34" customFormat="false" ht="15.75" hidden="false" customHeight="true" outlineLevel="0" collapsed="false">
      <c r="A34" s="625" t="e">
        <f aca="false">A32+A33*IF(OptControl&gt;2,-1,1)</f>
        <v>#NAME?</v>
      </c>
      <c r="B34" s="638" t="s">
        <v>249</v>
      </c>
      <c r="C34" s="638"/>
      <c r="D34" s="638"/>
      <c r="E34" s="638"/>
      <c r="F34" s="638"/>
      <c r="G34" s="638"/>
      <c r="H34" s="219" t="n">
        <f aca="false">VLOOKUP(I34,$EJ$20:$EL$54,3)</f>
        <v>0</v>
      </c>
      <c r="I34" s="511" t="n">
        <f aca="false">EOMONTH(I33,0)+1</f>
        <v>37196</v>
      </c>
      <c r="J34" s="512"/>
      <c r="K34" s="513" t="s">
        <v>226</v>
      </c>
      <c r="L34" s="514" t="e">
        <f aca="false">IF(ISNUMBER(K34),J34+K34/100,IF(K34="extra",L33+VLOOKUP(BF34,PriceSpreadTable,2)/12,IF(K34="inter",interpolateprices($K$19:$L$200,ROW(K34)-ROW(FirstPricingMonth)+1),interpolatechanges($J$19:$K$200,ROW(K34)-ROW(FirstPricingMonth)+1))))</f>
        <v>#VALUE!</v>
      </c>
      <c r="M34" s="515"/>
      <c r="N34" s="516" t="n">
        <v>0</v>
      </c>
      <c r="O34" s="515" t="n">
        <f aca="false">M34+N34</f>
        <v>0</v>
      </c>
      <c r="P34" s="512"/>
      <c r="Q34" s="517" t="s">
        <v>250</v>
      </c>
      <c r="R34" s="512" t="e">
        <f aca="false">IF(ISNUMBER(Q34),P34+Q34/100,IF(Q34="extra",(Z32*AL32-R33*AM32)/AN32,IF(Q34="inter",interpolateprices($Q$19:$R$260,ROW(Q34)-ROW(FirstPricingMonth)+1),interpolatechanges($P$19:$Q$260,ROW(Q34)-ROW(FirstPricingMonth)+1))))</f>
        <v>#VALUE!</v>
      </c>
      <c r="S34" s="597" t="n">
        <f aca="false">S$19+(S33-S$19)*S$18</f>
        <v>0.360950290560722</v>
      </c>
      <c r="T34" s="575" t="n">
        <f aca="false">SQRT((1-(1-T33^2/U33)*T$18)*U34)</f>
        <v>0.987256735871936</v>
      </c>
      <c r="U34" s="576" t="n">
        <f aca="false">1-(1-U33)*U$18</f>
        <v>0.999732730779797</v>
      </c>
      <c r="V34" s="521" t="n">
        <v>0</v>
      </c>
      <c r="W34" s="577" t="n">
        <f aca="false">(J35*AJ34+J36*AK34)/AI34</f>
        <v>0</v>
      </c>
      <c r="X34" s="578" t="e">
        <f aca="false">(L35*AJ34+L36*AK34)/AI34</f>
        <v>#VALUE!</v>
      </c>
      <c r="Y34" s="579" t="n">
        <f aca="false">IF(Q36="extra",W34-AA34,(P35*AM34+P36*AN34)/AL34)</f>
        <v>0</v>
      </c>
      <c r="Z34" s="579" t="e">
        <f aca="false">IF(Q36="extra",X34-AB34,(R35*AM34+R36*AN34)/AL34)</f>
        <v>#VALUE!</v>
      </c>
      <c r="AA34" s="523" t="n">
        <f aca="false">IF(Q36="extra",INDEX(BrentSeasonalityTable,INT((BG34-1)/3)+1)*VLOOKUP(MAX(BF34,$AB$4),PriceSpreadTable,3),W34-Y34)</f>
        <v>0</v>
      </c>
      <c r="AB34" s="524" t="e">
        <f aca="false">IF(Q36="extra",INDEX(BrentSeasonalityTable,INT((BG34-1)/3)+1)*VLOOKUP(MAX(BF34,$AB$4),PriceSpreadTable,3),X34-Z34)</f>
        <v>#VALUE!</v>
      </c>
      <c r="AC34" s="525" t="n">
        <v>37186</v>
      </c>
      <c r="AD34" s="526" t="n">
        <v>37181</v>
      </c>
      <c r="AE34" s="526" t="n">
        <v>37180</v>
      </c>
      <c r="AF34" s="527" t="n">
        <v>37175</v>
      </c>
      <c r="AG34" s="438" t="s">
        <v>224</v>
      </c>
      <c r="AH34" s="439" t="s">
        <v>247</v>
      </c>
      <c r="AI34" s="528" t="n">
        <v>22</v>
      </c>
      <c r="AJ34" s="529" t="n">
        <v>13</v>
      </c>
      <c r="AK34" s="529" t="n">
        <v>9</v>
      </c>
      <c r="AL34" s="530" t="n">
        <v>22</v>
      </c>
      <c r="AM34" s="529" t="n">
        <v>10</v>
      </c>
      <c r="AN34" s="531" t="n">
        <v>12</v>
      </c>
      <c r="AO34" s="532"/>
      <c r="AP34" s="465" t="n">
        <f aca="false">(1+AO34/2)^(-2*BL34)</f>
        <v>1</v>
      </c>
      <c r="AQ34" s="532"/>
      <c r="AR34" s="465" t="n">
        <f aca="false">(1+AQ34/2)^(-2*BH34/365.25)</f>
        <v>1</v>
      </c>
      <c r="AS34" s="580" t="n">
        <f aca="false">(O35*AJ34+O36*AK34)/AI34</f>
        <v>0</v>
      </c>
      <c r="AT34" s="468" t="n">
        <f aca="false">O34*VLOOKUP(BF34,BrentVolTable,2)+VLOOKUP(BF34,BrentVolTable,3)</f>
        <v>0</v>
      </c>
      <c r="AU34" s="468" t="n">
        <f aca="false">(AT35*AM34+AT36*AN34)/AL34</f>
        <v>0</v>
      </c>
      <c r="AV34" s="595" t="n">
        <f aca="false">SQRT(MAX(0.000000000001,(O34^2*BH34-S34^2*(BH34-BH33))/BH33))</f>
        <v>0.0211061591249134</v>
      </c>
      <c r="AW34" s="451" t="n">
        <f aca="false">IF($I34-DateToday+15&gt;=$T$8,"",IF($I34-DateToday+15&lt;$T$5,1,MATCH($I34-DateToday+15,$T$5:$T$8)))</f>
        <v>1</v>
      </c>
      <c r="AX34" s="468" t="n">
        <f aca="false">IF($AW34="",AX33^2/AX32,INDEX(U$5:U$8,$AW34)^((INDEX($T$5:$T$8,$AW34+1)-($I34-DateToday+15))/(INDEX($T$5:$T$8,$AW34+1)-INDEX($T$5:$T$8,$AW34)))/INDEX(U$5:U$8,$AW34+1)^((INDEX($T$5:$T$8,$AW34)-($I34-DateToday+15))/(INDEX($T$5:$T$8,$AW34+1)-INDEX($T$5:$T$8,$AW34))))</f>
        <v>9.30447118702266</v>
      </c>
      <c r="AY34" s="468" t="n">
        <f aca="false">IF($AW34="",AY33^2/AY32,INDEX(V$5:V$8,$AW34)^((INDEX($T$5:$T$8,$AW34+1)-($I34-DateToday+15))/(INDEX($T$5:$T$8,$AW34+1)-INDEX($T$5:$T$8,$AW34)))/INDEX(V$5:V$8,$AW34+1)^((INDEX($T$5:$T$8,$AW34)-($I34-DateToday+15))/(INDEX($T$5:$T$8,$AW34+1)-INDEX($T$5:$T$8,$AW34))))</f>
        <v>2893.46032695937</v>
      </c>
      <c r="AZ34" s="468" t="n">
        <f aca="false">IF($AW34="",AZ33^2/AZ32,INDEX(W$5:W$8,$AW34)^((INDEX($T$5:$T$8,$AW34+1)-($I34-DateToday+15))/(INDEX($T$5:$T$8,$AW34+1)-INDEX($T$5:$T$8,$AW34)))/INDEX(W$5:W$8,$AW34+1)^((INDEX($T$5:$T$8,$AW34)-($I34-DateToday+15))/(INDEX($T$5:$T$8,$AW34+1)-INDEX($T$5:$T$8,$AW34))))</f>
        <v>221463239.823517</v>
      </c>
      <c r="BA34" s="468" t="n">
        <f aca="false">IF($AW34="",BA33^2/BA32,INDEX(X$5:X$8,$AW34)^((INDEX($T$5:$T$8,$AW34+1)-($I34-DateToday+15))/(INDEX($T$5:$T$8,$AW34+1)-INDEX($T$5:$T$8,$AW34)))/INDEX(X$5:X$8,$AW34+1)^((INDEX($T$5:$T$8,$AW34)-($I34-DateToday+15))/(INDEX($T$5:$T$8,$AW34+1)-INDEX($T$5:$T$8,$AW34))))</f>
        <v>21464565978.3604</v>
      </c>
      <c r="BB34" s="468" t="n">
        <f aca="false">IF($AW34="",BB33^2/BB32,INDEX(Y$5:Y$8,$AW34)^((INDEX($T$5:$T$8,$AW34+1)-($I34-DateToday+15))/(INDEX($T$5:$T$8,$AW34+1)-INDEX($T$5:$T$8,$AW34)))/INDEX(Y$5:Y$8,$AW34+1)^((INDEX($T$5:$T$8,$AW34)-($I34-DateToday+15))/(INDEX($T$5:$T$8,$AW34+1)-INDEX($T$5:$T$8,$AW34))))</f>
        <v>516637924243.843</v>
      </c>
      <c r="BC34" s="468" t="n">
        <f aca="false">IF($AW34="",BC33^2/BC32,INDEX(Z$5:Z$8,$AW34)^((INDEX($T$5:$T$8,$AW34+1)-($I34-DateToday+15))/(INDEX($T$5:$T$8,$AW34+1)-INDEX($T$5:$T$8,$AW34)))/INDEX(Z$5:Z$8,$AW34+1)^((INDEX($T$5:$T$8,$AW34)-($I34-DateToday+15))/(INDEX($T$5:$T$8,$AW34+1)-INDEX($T$5:$T$8,$AW34))))</f>
        <v>3432413182872.45</v>
      </c>
      <c r="BD34" s="535" t="n">
        <f aca="false">IF(OR(DateStart&gt;=I35,DateEnd&lt;I34),0,IF(VolumeOverrideFlag,V34,Volume))</f>
        <v>30</v>
      </c>
      <c r="BE34" s="536" t="n">
        <f aca="false">IF(OR(DateStart2&gt;=I35,DateEnd2&lt;I34),0,IF(VolumeOverrideFlag,V34,VolumeSwaption))</f>
        <v>30</v>
      </c>
      <c r="BF34" s="537" t="n">
        <f aca="false">YEAR(I34)</f>
        <v>2001</v>
      </c>
      <c r="BG34" s="538" t="n">
        <f aca="false">MONTH(I34)</f>
        <v>11</v>
      </c>
      <c r="BH34" s="539" t="n">
        <f aca="false">AD34-DateToday+1</f>
        <v>-8744</v>
      </c>
      <c r="BI34" s="540" t="n">
        <f aca="false">(I34-DateToday+1)/365.25</f>
        <v>-23.8986995208761</v>
      </c>
      <c r="BJ34" s="541" t="n">
        <f aca="false">BI34+(BL34-BI34)*CHOOSE(Underlying,AJ34/AI34,AM34/AL34)</f>
        <v>-23.8517827142057</v>
      </c>
      <c r="BK34" s="541" t="n">
        <f aca="false">BJ34+1/365.25</f>
        <v>-23.8490448634186</v>
      </c>
      <c r="BL34" s="541" t="n">
        <f aca="false">(I35-DateToday)/365.25</f>
        <v>-23.8193018480493</v>
      </c>
      <c r="BM34" s="542" t="e">
        <f aca="false">MAX(BI34-(BJ34-BI34)*(S35^2/O35^2-1),0)</f>
        <v>#DIV/0!</v>
      </c>
      <c r="BN34" s="541" t="e">
        <f aca="false">MAX(BL34+(BL34-BK34)*(S36^2/O36^2-1),0)</f>
        <v>#DIV/0!</v>
      </c>
      <c r="BO34" s="530" t="n">
        <f aca="false">CHOOSE(Underlying,AI34,AL34)</f>
        <v>22</v>
      </c>
      <c r="BP34" s="529" t="n">
        <f aca="false">CHOOSE(Underlying,AJ34,AM34)</f>
        <v>13</v>
      </c>
      <c r="BQ34" s="529" t="n">
        <f aca="false">CHOOSE(Underlying,AK34,AN34)</f>
        <v>9</v>
      </c>
      <c r="BR34" s="463" t="e">
        <f aca="false">IF(BD34,IF(Underlying=1,X34,Z34)+UnderlyingPriceAsian-SwapPriceCurve,"")</f>
        <v>#VALUE!</v>
      </c>
      <c r="BS34" s="463" t="e">
        <f aca="false">IF(BD34,Strike1/BR34-1,"")</f>
        <v>#VALUE!</v>
      </c>
      <c r="BT34" s="464" t="e">
        <f aca="false">IF(BD34,Strike2/BR34-1,"")</f>
        <v>#VALUE!</v>
      </c>
      <c r="BU34" s="465" t="e">
        <f aca="false">IF(BD34,IF(Underlying=1,L35,R35)+UnderlyingPriceAsian-SwapPriceCurve,"")</f>
        <v>#VALUE!</v>
      </c>
      <c r="BV34" s="465" t="e">
        <f aca="false">IF(BD34,IF(Underlying=1,L36,R36)+UnderlyingPriceAsian-SwapPriceCurve,"")</f>
        <v>#VALUE!</v>
      </c>
      <c r="BW34" s="466" t="n">
        <f aca="false">IF(BD34,IF(Underlying=1,O35,AT35),"")</f>
        <v>0</v>
      </c>
      <c r="BX34" s="467" t="n">
        <f aca="false">IF(BD34,IF(Underlying=1,O36,AT36),"")</f>
        <v>0</v>
      </c>
      <c r="BY34" s="466" t="e">
        <f aca="false">IF(BD34,IF(BS34&gt;0,IF(BS34&gt;0.2,BC34-BB34,IF(BS34&gt;0.1,BB34-BA34,BA34)),IF(BS34&lt;-0.2,AX34-AY34,IF(BS34&lt;-0.1,AY34-AZ34,AZ34))),"")</f>
        <v>#VALUE!</v>
      </c>
      <c r="BZ34" s="467" t="e">
        <f aca="false">IF(BD34,IF(BT34&gt;0,IF(BT34&gt;0.2,BC34-BB34,IF(BT34&gt;0.1,BB34-BA34,BA34)),IF(BT34&lt;-0.2,AX34-AY34,IF(BT34&lt;-0.1,AY34-AZ34,AZ34))),"")</f>
        <v>#VALUE!</v>
      </c>
      <c r="CA34" s="468" t="e">
        <f aca="false">IF($BD34,$BW34+IF(VolSkewFlag=1,IF(BS34&gt;0,$BA34*MIN(BS34/10%,1)+($BB34-$BA34)*MAX(0,MIN(BS34/10%-1,1))+($BC34-$BB34)*MAX(0,BS34/10%-2),$AZ34*MIN(-BS34/10%,1)+($AY34-$AZ34)*MAX(0,MIN(-BS34/10%-1,1))+($AX34-$AY34)*MAX(0,-BS34/10%-2)),0),"")</f>
        <v>#VALUE!</v>
      </c>
      <c r="CB34" s="468" t="e">
        <f aca="false">IF($BD34,$BX34+IF(VolSkewFlag=1,IF(BS34&gt;0,$BA34*MIN(BS34/10%,1)+($BB34-$BA34)*MAX(0,MIN(BS34/10%-1,1))+($BC34-$BB34)*MAX(0,BS34/10%-2),$AZ34*MIN(-BS34/10%,1)+($AY34-$AZ34)*MAX(0,MIN(-BS34/10%-1,1))+($AX34-$AY34)*MAX(0,-BS34/10%-2)),0),"")</f>
        <v>#VALUE!</v>
      </c>
      <c r="CC34" s="468" t="e">
        <f aca="false">IF($BD34,$BW34+IF(VolSkewFlag=1,IF(BT34&gt;0,$BA34*MIN(BT34/10%,1)+($BB34-$BA34)*MAX(0,MIN(BT34/10%-1,1))+($BC34-$BB34)*MAX(0,BT34/10%-2),$AZ34*MIN(-BT34/10%,1)+($AY34-$AZ34)*MAX(0,MIN(-BT34/10%-1,1))+($AX34-$AY34)*MAX(0,-BT34/10%-2)),0),"")</f>
        <v>#VALUE!</v>
      </c>
      <c r="CD34" s="468" t="e">
        <f aca="false">IF($BD34,$BX34+IF(VolSkewFlag=1,IF(BT34&gt;0,$BA34*MIN(BT34/10%,1)+($BB34-$BA34)*MAX(0,MIN(BT34/10%-1,1))+($BC34-$BB34)*MAX(0,BT34/10%-2),$AZ34*MIN(-BT34/10%,1)+($AY34-$AZ34)*MAX(0,MIN(-BT34/10%-1,1))+($AX34-$AY34)*MAX(0,-BT34/10%-2)),0),"")</f>
        <v>#VALUE!</v>
      </c>
      <c r="CE34" s="469" t="n">
        <v>1</v>
      </c>
      <c r="CF34" s="470" t="e">
        <f aca="false">IF(BD34,xCrudeAPO(BU34,BV34,CA34,CB34,S35,S36,BI34,BL34,BP34,BQ34,0,Strike1,AO34,CE34,0,BL34,IF(OptControl=4,0,1),0,1),0)</f>
        <v>#NAME?</v>
      </c>
      <c r="CG34" s="470" t="e">
        <f aca="false">IF(BD34,xCrudeAPO(BU34,BV34,CA34,CB34,S35,S36,BI34,BL34,BP34,BQ34,0,Strike1,AO34,CE34,0,BL34,IF(OptControl=4,0,1),1,1)+xCrudeAPO(BU34,BV34,CA34,CB34,S35,S36,BI34,BL34,BP34,BQ34,0,Strike1,AO34,CE34,0,BL34,IF(OptControl=4,0,1),1,2)+IF(OR(VolSkewFlag=2,ABS(BS34)&lt;0.0001),0,IF(BS34&gt;0,-1,1)*CH34*Strike1/BR34^2*BY34/10%),0)</f>
        <v>#NAME?</v>
      </c>
      <c r="CH34" s="470" t="e">
        <f aca="false">IF(BD34,(xCrudeAPO(BU34,BV34,CA34,CB34,S35,S36,BI34,BL34,BP34,BQ34,0,Strike1,AO34,CE34,0,BL34,IF(OptControl=4,0,1),3,1)+xCrudeAPO(BU34,BV34,CA34,CB34,S35,S36,BI34,BL34,BP34,BQ34,0,Strike1,AO34,CE34,0,BL34,IF(OptControl=4,0,1),3,2))/100,0)</f>
        <v>#NAME?</v>
      </c>
      <c r="CI34" s="470" t="e">
        <f aca="false">IF(BD34,xCrudeAPO(BU34,BV34,CA34,CB34,S35,S36,BI34-DaysForThetaCalculation/365.25,BL34-DaysForThetaCalculation/365.25,BP34,BQ34,0,Strike1,AO34,CE34,0,BL34,IF(OptControl=4,0,1),0,1)-xCrudeAPO(BU34,BV34,CA34,CB34,S35,S36,BI34,BL34,BP34,BQ34,0,Strike1,AO34,CE34,0,BL34,IF(OptControl=4,0,1),0,1),0)</f>
        <v>#NAME?</v>
      </c>
      <c r="CJ34" s="471" t="e">
        <f aca="false">IF(BD34,xCrudeAPO(BU34,BV34,CC34,CD34,S35,S36,BI34,BL34,BP34,BQ34,0,Strike2,AO34,CE34,0,BL34,IF(OptControl=3,1,0),0,1),0)</f>
        <v>#NAME?</v>
      </c>
      <c r="CK34" s="470" t="e">
        <f aca="false">IF(BD34,xCrudeAPO(BU34,BV34,CC34,CD34,S35,S36,BI34,BL34,BP34,BQ34,0,Strike2,AO34,CE34,0,BL34,IF(OptControl=3,1,0),1,1)+xCrudeAPO(BU34,BV34,CC34,CD34,S35,S36,BI34,BL34,BP34,BQ34,0,Strike2,AO34,CE34,0,BL34,IF(OptControl=3,1,0),1,2)+IF(OR(VolSkewFlag=2,ABS(BT34)&lt;0.0001),0,IF(BT34&gt;0,-1,1)*CL34*Strike2/BR34^2*BZ34/10%),0)</f>
        <v>#NAME?</v>
      </c>
      <c r="CL34" s="470" t="e">
        <f aca="false">IF(BD34,(xCrudeAPO(BU34,BV34,CC34,CD34,S35,S36,BI34,BL34,BP34,BQ34,0,Strike2,AO34,CE34,0,BL34,IF(OptControl=3,1,0),3,1)+xCrudeAPO(BU34,BV34,CC34,CD34,S35,S36,BI34,BL34,BP34,BQ34,0,Strike2,AO34,CE34,0,BL34,IF(OptControl=3,1,0),3,2))/100,0)</f>
        <v>#NAME?</v>
      </c>
      <c r="CM34" s="472" t="e">
        <f aca="false">IF(BD34,xCrudeAPO(BU34,BV34,CC34,CD34,S35,S36,BI34-DaysForThetaCalculation/365.25,BL34-DaysForThetaCalculation/365.25,BP34,BQ34,0,Strike2,AO34,CE34,0,BL34,IF(OptControl=3,1,0),0,1)-xCrudeAPO(BU34,BV34,CC34,CD34,S35,S36,BI34,BL34,BP34,BQ34,0,Strike2,AO34,CE34,0,BL34,IF(OptControl=3,1,0),0,1),0)</f>
        <v>#NAME?</v>
      </c>
      <c r="CN34" s="473"/>
      <c r="CO34" s="543" t="n">
        <f aca="false">IF(BD34,CHOOSE(Underlying,AD34,AF34)-DateToday+1,"")</f>
        <v>-8744</v>
      </c>
      <c r="CP34" s="582" t="e">
        <f aca="false">IF(BD34,CHOOSE(Underlying,L34,R34),"")</f>
        <v>#VALUE!</v>
      </c>
      <c r="CQ34" s="544" t="e">
        <f aca="false">IF(BD34,Strike1/CP34-1,"")</f>
        <v>#VALUE!</v>
      </c>
      <c r="CR34" s="544" t="e">
        <f aca="false">IF(BD34,Strike2/CP34-1,"")</f>
        <v>#VALUE!</v>
      </c>
      <c r="CS34" s="544" t="e">
        <f aca="false">IF(BD34,IF(CQ34&gt;0,IF(CQ34&gt;0.2,BC33-BB33,IF(CQ34&gt;0.1,BB33-BA33,BA33)),IF(CQ34&lt;-0.2,AX33-AY33,IF(CQ34&lt;-0.1,AY33-AZ33,AZ33))),"")</f>
        <v>#VALUE!</v>
      </c>
      <c r="CT34" s="544" t="e">
        <f aca="false">IF(BD34,IF(CR34&gt;0,IF(CR34&gt;0.2,BC33-BB33,IF(CR34&gt;0.1,BB33-BA33,BA33)),IF(CR34&lt;-0.2,AX33-AY33,IF(CR34&lt;-0.1,AY33-AZ33,AZ33))),"")</f>
        <v>#VALUE!</v>
      </c>
      <c r="CU34" s="545" t="n">
        <f aca="false">IF(BD34,CHOOSE(Underlying,O34,AT34),"")</f>
        <v>0</v>
      </c>
      <c r="CV34" s="545" t="e">
        <f aca="false">IF(BD34,CU34+IF(VolSkewFlag=1,IF(CQ34&gt;0,BA33*MIN(CQ34/10%,1)+(BB33-BA33)*MAX(0,MIN(CQ34/10%-1,1))+(BC33-BB33)*MAX(0,CQ34/10%-2),AZ33*MIN(-CQ34/10%,1)+(AY33-AZ33)*MAX(0,MIN(-CQ34/10%-1,1))+(AX33-AY33)*MAX(0,-CQ34/10%-2)),0),"")</f>
        <v>#VALUE!</v>
      </c>
      <c r="CW34" s="545" t="e">
        <f aca="false">IF(BD34,CU34+IF(VolSkewFlag=1,IF(CR34&gt;0,BA33*MIN(CR34/10%,1)+(BB33-BA33)*MAX(0,MIN(CR34/10%-1,1))+(BC33-BB33)*MAX(0,CR34/10%-2),AZ33*MIN(-CR34/10%,1)+(AY33-AZ33)*MAX(0,MIN(-CR34/10%-1,1))+(AX33-AY33)*MAX(0,-CR34/10%-2)),0),"")</f>
        <v>#VALUE!</v>
      </c>
      <c r="CX34" s="470" t="e">
        <f aca="false">IF(BD34,EURO(CP34,Strike1,AO34,AO34,CV34,CO34,IF(OptControl=4,0,1),0),0)</f>
        <v>#NAME?</v>
      </c>
      <c r="CY34" s="470" t="e">
        <f aca="false">IF(BD34,EURO(CP34,Strike1,AO34,AO34,CV34,CO34,IF(OptControl=4,0,1),1)+IF(OR(VolSkewFlag=2,ABS(CQ34)&lt;0.0001),0,IF(CQ34&gt;0,-1,1)*CZ34*100*Strike1/CP34^2*CS34/10%),0)</f>
        <v>#NAME?</v>
      </c>
      <c r="CZ34" s="470" t="e">
        <f aca="false">IF(BD34,EURO(CP34,Strike1,AO34,AO34,CV34,CO34,IF(OptControl=4,0,1),3)/100,0)</f>
        <v>#NAME?</v>
      </c>
      <c r="DA34" s="470" t="e">
        <f aca="false">IF(BD34,EURO(CP34,Strike1,AO34,AO34,CV34,CO34,IF(OptControl=4,0,1),0)-EURO(CP34,Strike1,AO34,AO34,CV34,CO34-1,IF(OptControl=4,0,1),0),0)</f>
        <v>#NAME?</v>
      </c>
      <c r="DB34" s="470" t="e">
        <f aca="false">IF(BD34,EURO(CP34,Strike2,AO34,AO34,CW34,CO34,IF(OptControl=3,1,0),0),0)</f>
        <v>#NAME?</v>
      </c>
      <c r="DC34" s="470" t="e">
        <f aca="false">IF(BD34,EURO(CP34,Strike2,AO34,AO34,CW34,CO34,IF(OptControl=3,1,0),1)+IF(OR(VolSkewFlag=2,ABS(CR34)&lt;0.0001),0,IF(CR34&gt;0,-1,1)*DD34*100*Strike2/CP34^2*CT34/10%),0)</f>
        <v>#NAME?</v>
      </c>
      <c r="DD34" s="470" t="e">
        <f aca="false">IF(BD34,EURO(CP34,Strike2,AO34,AO34,CW34,CO34,IF(OptControl=3,1,0),3)/100,0)</f>
        <v>#NAME?</v>
      </c>
      <c r="DE34" s="472" t="e">
        <f aca="false">IF(BD34,EURO(CP34,Strike2,AO34,AO34,CW34,CO34,IF(OptControl=3,1,0),0)-EURO(CP34,Strike2,AO34,AO34,CW34,CO34-1,IF(OptControl=3,1,0),0),0)</f>
        <v>#NAME?</v>
      </c>
      <c r="DF34" s="473"/>
      <c r="DG34" s="481" t="n">
        <f aca="false">EOMONTH(DG33,0)+1</f>
        <v>46113</v>
      </c>
      <c r="DH34" s="478" t="n">
        <v>22.41</v>
      </c>
      <c r="DI34" s="479" t="n">
        <v>21.9714285714286</v>
      </c>
      <c r="DJ34" s="480" t="n">
        <f aca="false">DG34</f>
        <v>46113</v>
      </c>
      <c r="DK34" s="478" t="n">
        <v>21.1366666666667</v>
      </c>
      <c r="DL34" s="479" t="n">
        <v>20.5322222222222</v>
      </c>
      <c r="DM34" s="481" t="n">
        <f aca="false">DG34</f>
        <v>46113</v>
      </c>
      <c r="DN34" s="482" t="n">
        <f aca="false">DK34+BrentPhyBrentSpread</f>
        <v>21.1866666666667</v>
      </c>
      <c r="DO34" s="481" t="n">
        <f aca="false">DG34</f>
        <v>46113</v>
      </c>
      <c r="DP34" s="483" t="n">
        <f aca="false">DL34+DQ34</f>
        <v>20.6822222222222</v>
      </c>
      <c r="DQ34" s="546" t="n">
        <v>0.15</v>
      </c>
      <c r="DR34" s="480" t="n">
        <f aca="false">DG34</f>
        <v>46113</v>
      </c>
      <c r="DS34" s="485" t="n">
        <v>0.252811729103426</v>
      </c>
      <c r="DT34" s="486" t="n">
        <v>0.247416777035186</v>
      </c>
      <c r="DU34" s="480" t="n">
        <f aca="false">DG34</f>
        <v>46113</v>
      </c>
      <c r="DV34" s="485" t="n">
        <v>0.252811729103426</v>
      </c>
      <c r="DW34" s="486" t="n">
        <v>0.247416777035186</v>
      </c>
      <c r="DX34" s="481" t="n">
        <f aca="false">DG34</f>
        <v>46113</v>
      </c>
      <c r="DY34" s="486" t="n">
        <v>0.350009765625</v>
      </c>
      <c r="DZ34" s="481" t="n">
        <f aca="false">DR34</f>
        <v>46113</v>
      </c>
      <c r="EA34" s="486" t="n">
        <f aca="false">DT34</f>
        <v>0.247416777035186</v>
      </c>
      <c r="EB34" s="195"/>
      <c r="EC34" s="547" t="n">
        <f aca="false">IF(BD34,IF(Underlying=1,AS34,AU34),"")</f>
        <v>0</v>
      </c>
      <c r="ED34" s="548" t="e">
        <f aca="false">IF($BD34,$EC34+IF(VolSkewFlag=1,IF(BS34&gt;0,$BA34*MIN(BS34/10%,1)+($BB34-$BA34)*MAX(0,MIN(BS34/10%-1,1))+($BC34-$BB34)*MAX(0,BS34/10%-2),$AZ34*MIN(-BS34/10%,1)+($AY34-$AZ34)*MAX(0,MIN(-BS34/10%-1,1))+($AX34-$AY34)*MAX(0,-BS34/10%-2)),0),"")</f>
        <v>#VALUE!</v>
      </c>
      <c r="EE34" s="549" t="e">
        <f aca="false">IF($BD34,$EC34+IF(VolSkewFlag=1,IF(BT34&gt;0,$BA34*MIN(BT34/10%,1)+($BB34-$BA34)*MAX(0,MIN(BT34/10%-1,1))+($BC34-$BB34)*MAX(0,BT34/10%-2),$AZ34*MIN(-BT34/10%,1)+($AY34-$AZ34)*MAX(0,MIN(-BT34/10%-1,1))+($AX34-$AY34)*MAX(0,-BT34/10%-2)),0),"")</f>
        <v>#VALUE!</v>
      </c>
      <c r="EF34" s="550" t="e">
        <f aca="false">IF(BD34,xASN(BR34,Strike1,AO34,ED34,0,BO34,0,BI34,BL34,IF(OptControl=4,0,1),0),0)</f>
        <v>#NAME?</v>
      </c>
      <c r="EG34" s="551" t="e">
        <f aca="false">IF(BD34,xASN(BR34,Strike2,AO34,EE34,0,BO34,0,BI34,BL34,IF(OptControl=3,1,0),0),0)</f>
        <v>#NAME?</v>
      </c>
      <c r="EI34" s="583" t="str">
        <f aca="false">DDE("TWINDDE","RSFRecord","CLc15 MTH")</f>
        <v>NOV1</v>
      </c>
      <c r="EJ34" s="584" t="n">
        <f aca="false">DATEVALUE(CONCATENATE(LEFT(EI34,3),"-",IF(VALUE(RIGHT(EI34,1))=9,"1999",CONCATENATE("200",RIGHT(EI34,1)))))</f>
        <v>37196</v>
      </c>
      <c r="EK34" s="585" t="n">
        <f aca="false">DDE("TWINDDE","RSFRecord","CLc15 NET.CHNG")</f>
        <v>0</v>
      </c>
      <c r="EL34" s="586" t="n">
        <f aca="false">IF(ISNUMBER(VALUE(EK34)),VALUE(EK34)*100,0)</f>
        <v>0</v>
      </c>
      <c r="EM34" s="195"/>
      <c r="EN34" s="556" t="n">
        <v>37441</v>
      </c>
      <c r="EO34" s="557" t="n">
        <v>39083</v>
      </c>
      <c r="EP34" s="195"/>
      <c r="EQ34" s="407" t="s">
        <v>251</v>
      </c>
      <c r="ES34" s="587" t="n">
        <v>15</v>
      </c>
      <c r="ET34" s="559" t="n">
        <f aca="false">BH34/365.25</f>
        <v>-23.9397672826831</v>
      </c>
      <c r="EU34" s="560" t="n">
        <f aca="false">O34^2*ET34</f>
        <v>-0</v>
      </c>
      <c r="EV34" s="588" t="e">
        <f aca="false">SQRT(SUM(FK34:ID34)/ET34)</f>
        <v>#VALUE!</v>
      </c>
      <c r="EW34" s="589" t="n">
        <f aca="false">IF(OR(DateStart2&gt;I33,DateEnd2&lt;I32),"",IF(DateStart2&lt;I33,AK32/AI32*AP32*BE32*SwaptionNumOfMonths/$D$33,0)+IF(DateEnd2&gt;I32,AJ33/AI33*AP33*BE33*SwaptionNumOfMonths/$D$33,0))</f>
        <v>0.995652173913044</v>
      </c>
      <c r="EX34" s="590" t="e">
        <f aca="false">IF(EW34="","",SQRT(SUM(FK339:ID339)/SwaptionYearsToExp))</f>
        <v>#VALUE!</v>
      </c>
      <c r="EY34" s="129" t="n">
        <v>0</v>
      </c>
      <c r="EZ34" s="591" t="n">
        <f aca="false">IF(OR(EW34="",EW35=""),"",SQRT(SUM(INDEX(FK34:ID34,SwaptionFirstMonthPosition+1):INDEX(FK34:ID34,FJ34))/SUM(INDEX($FK$15:$ID$15,SwaptionFirstMonthPosition+1):INDEX($FK$15:$ID$15,FJ34))))</f>
        <v>0.257782601006341</v>
      </c>
      <c r="FA34" s="592" t="n">
        <f aca="false">IF(OR(EW34="",EW33=""),"",SQRT(SUM(INDEX(FK34:ID34,SwaptionFirstMonthPosition+1):INDEX(FK34:ID34,FJ34-1))/SUM(INDEX($FK$15:$ID$15,SwaptionFirstMonthPosition+1):INDEX($FK$15:$ID$15,FJ34-1))))</f>
        <v>0.244005167522908</v>
      </c>
      <c r="FB34" s="593" t="n">
        <f aca="false">IF(BE34,2/3*EZ35+1/3*FA36,"")</f>
        <v>0.244860708518623</v>
      </c>
      <c r="FC34" s="596" t="n">
        <f aca="false">IF(BE34,(I35+I34-1)/2-DateToday,"")</f>
        <v>-8715.5</v>
      </c>
      <c r="FD34" s="483" t="e">
        <f aca="false">IF(BE34,CHOOSE(Underlying,X34,Z34)+SwaptionUnderlyingPrice-$D$26,"")</f>
        <v>#VALUE!</v>
      </c>
      <c r="FE34" s="483" t="e">
        <f aca="false">IF(BE34,CollartionFloor/FD34-1,"")</f>
        <v>#VALUE!</v>
      </c>
      <c r="FF34" s="483" t="e">
        <f aca="false">IF(BE34,CollartionCap/FD34-1,"")</f>
        <v>#VALUE!</v>
      </c>
      <c r="FG34" s="485" t="e">
        <f aca="false">IF(BE34,IF(VolSkewFlag=1,IF(FE34&gt;0,$BA34*MIN(FE34/10%,1)+($BB34-$BA34)*MAX(0,MIN(FE34/10%-1,1))+($BC34-$BB34)*MAX(0,FE34/10%-2),$AZ34*MIN(-FE34/10%,1)+($AY34-$AZ34)*MAX(0,MIN(-FE34/10%-1,1))+($AX34-$AY34)*MAX(0,-FE34/10%-2)),0),"")</f>
        <v>#VALUE!</v>
      </c>
      <c r="FH34" s="486" t="e">
        <f aca="false">IF(BE34,IF(VolSkewFlag=1,IF(FF34&gt;0,$BA34*MIN(FF34/10%,1)+($BB34-$BA34)*MAX(0,MIN(FF34/10%-1,1))+($BC34-$BB34)*MAX(0,FF34/10%-2),$AZ34*MIN(-FF34/10%,1)+($AY34-$AZ34)*MAX(0,MIN(-FF34/10%-1,1))+($AX34-$AY34)*MAX(0,-FF34/10%-2)),0),"")</f>
        <v>#VALUE!</v>
      </c>
      <c r="FI34" s="129"/>
      <c r="FJ34" s="571" t="n">
        <v>15</v>
      </c>
      <c r="FK34" s="150" t="n">
        <f aca="false">IF(FK$19&gt;$FJ34,"",MAX(0,IF(FK$19=$FJ34,$S34^2*FK$15,FK33*INDEX($T$20:$T$91,$FJ34-FK$19)^2/INDEX($U$20:$U$91,$FJ34-FK$19))))</f>
        <v>0</v>
      </c>
      <c r="FL34" s="150" t="n">
        <f aca="false">IF(FL$19&gt;$FJ34,"",MAX(0,IF(FL$19=$FJ34,$S34^2*FL$15,FL33*INDEX($T$20:$T$91,$FJ34-FL$19)^2/INDEX($U$20:$U$91,$FJ34-FL$19))))</f>
        <v>0</v>
      </c>
      <c r="FM34" s="150" t="n">
        <f aca="false">IF(FM$19&gt;$FJ34,"",MAX(0,IF(FM$19=$FJ34,$S34^2*FM$15,FM33*INDEX($T$20:$T$91,$FJ34-FM$19)^2/INDEX($U$20:$U$91,$FJ34-FM$19))))</f>
        <v>0.00323327853696623</v>
      </c>
      <c r="FN34" s="150" t="n">
        <f aca="false">IF(FN$19&gt;$FJ34,"",MAX(0,IF(FN$19=$FJ34,$S34^2*FN$15,FN33*INDEX($T$20:$T$91,$FJ34-FN$19)^2/INDEX($U$20:$U$91,$FJ34-FN$19))))</f>
        <v>0.00283503779087484</v>
      </c>
      <c r="FO34" s="150" t="n">
        <f aca="false">IF(FO$19&gt;$FJ34,"",MAX(0,IF(FO$19=$FJ34,$S34^2*FO$15,FO33*INDEX($T$20:$T$91,$FJ34-FO$19)^2/INDEX($U$20:$U$91,$FJ34-FO$19))))</f>
        <v>0.00309396688173883</v>
      </c>
      <c r="FP34" s="150" t="n">
        <f aca="false">IF(FP$19&gt;$FJ34,"",MAX(0,IF(FP$19=$FJ34,$S34^2*FP$15,FP33*INDEX($T$20:$T$91,$FJ34-FP$19)^2/INDEX($U$20:$U$91,$FJ34-FP$19))))</f>
        <v>0.00362741140731017</v>
      </c>
      <c r="FQ34" s="150" t="n">
        <f aca="false">IF(FQ$19&gt;$FJ34,"",MAX(0,IF(FQ$19=$FJ34,$S34^2*FQ$15,FQ33*INDEX($T$20:$T$91,$FJ34-FQ$19)^2/INDEX($U$20:$U$91,$FJ34-FQ$19))))</f>
        <v>0.00313810001443923</v>
      </c>
      <c r="FR34" s="150" t="n">
        <f aca="false">IF(FR$19&gt;$FJ34,"",MAX(0,IF(FR$19=$FJ34,$S34^2*FR$15,FR33*INDEX($T$20:$T$91,$FJ34-FR$19)^2/INDEX($U$20:$U$91,$FJ34-FR$19))))</f>
        <v>0.00346885620122014</v>
      </c>
      <c r="FS34" s="150" t="n">
        <f aca="false">IF(FS$19&gt;$FJ34,"",MAX(0,IF(FS$19=$FJ34,$S34^2*FS$15,FS33*INDEX($T$20:$T$91,$FJ34-FS$19)^2/INDEX($U$20:$U$91,$FJ34-FS$19))))</f>
        <v>0.00428522526431401</v>
      </c>
      <c r="FT34" s="150" t="n">
        <f aca="false">IF(FT$19&gt;$FJ34,"",MAX(0,IF(FT$19=$FJ34,$S34^2*FT$15,FT33*INDEX($T$20:$T$91,$FJ34-FT$19)^2/INDEX($U$20:$U$91,$FJ34-FT$19))))</f>
        <v>0.00430961488123169</v>
      </c>
      <c r="FU34" s="150" t="n">
        <f aca="false">IF(FU$19&gt;$FJ34,"",MAX(0,IF(FU$19=$FJ34,$S34^2*FU$15,FU33*INDEX($T$20:$T$91,$FJ34-FU$19)^2/INDEX($U$20:$U$91,$FJ34-FU$19))))</f>
        <v>0.00470833862562547</v>
      </c>
      <c r="FV34" s="150" t="n">
        <f aca="false">IF(FV$19&gt;$FJ34,"",MAX(0,IF(FV$19=$FJ34,$S34^2*FV$15,FV33*INDEX($T$20:$T$91,$FJ34-FV$19)^2/INDEX($U$20:$U$91,$FJ34-FV$19))))</f>
        <v>0.00601911597801577</v>
      </c>
      <c r="FW34" s="150" t="n">
        <f aca="false">IF(FW$19&gt;$FJ34,"",MAX(0,IF(FW$19=$FJ34,$S34^2*FW$15,FW33*INDEX($T$20:$T$91,$FJ34-FW$19)^2/INDEX($U$20:$U$91,$FJ34-FW$19))))</f>
        <v>0.00673077878858617</v>
      </c>
      <c r="FX34" s="150" t="n">
        <f aca="false">IF(FX$19&gt;$FJ34,"",MAX(0,IF(FX$19=$FJ34,$S34^2*FX$15,FX33*INDEX($T$20:$T$91,$FJ34-FX$19)^2/INDEX($U$20:$U$91,$FJ34-FX$19))))</f>
        <v>0.00886566091310664</v>
      </c>
      <c r="FY34" s="150" t="n">
        <f aca="false">IF(FY$19&gt;$FJ34,"",MAX(0,IF(FY$19=$FJ34,$S34^2*FY$15,FY33*INDEX($T$20:$T$91,$FJ34-FY$19)^2/INDEX($U$20:$U$91,$FJ34-FY$19))))</f>
        <v>0.0107010359142399</v>
      </c>
      <c r="FZ34" s="150" t="str">
        <f aca="false">IF(FZ$19&gt;$FJ34,"",MAX(0,IF(FZ$19=$FJ34,$S34^2*FZ$15,FZ33*INDEX($T$20:$T$91,$FJ34-FZ$19)^2/INDEX($U$20:$U$91,$FJ34-FZ$19))))</f>
        <v/>
      </c>
      <c r="GA34" s="150" t="str">
        <f aca="false">IF(GA$19&gt;$FJ34,"",MAX(0,IF(GA$19=$FJ34,$S34^2*GA$15,GA33*INDEX($T$20:$T$91,$FJ34-GA$19)^2/INDEX($U$20:$U$91,$FJ34-GA$19))))</f>
        <v/>
      </c>
      <c r="GB34" s="150" t="str">
        <f aca="false">IF(GB$19&gt;$FJ34,"",MAX(0,IF(GB$19=$FJ34,$S34^2*GB$15,GB33*INDEX($T$20:$T$91,$FJ34-GB$19)^2/INDEX($U$20:$U$91,$FJ34-GB$19))))</f>
        <v/>
      </c>
      <c r="GC34" s="150" t="str">
        <f aca="false">IF(GC$19&gt;$FJ34,"",MAX(0,IF(GC$19=$FJ34,$S34^2*GC$15,GC33*INDEX($T$20:$T$91,$FJ34-GC$19)^2/INDEX($U$20:$U$91,$FJ34-GC$19))))</f>
        <v/>
      </c>
      <c r="GD34" s="150" t="str">
        <f aca="false">IF(GD$19&gt;$FJ34,"",MAX(0,IF(GD$19=$FJ34,$S34^2*GD$15,GD33*INDEX($T$20:$T$91,$FJ34-GD$19)^2/INDEX($U$20:$U$91,$FJ34-GD$19))))</f>
        <v/>
      </c>
      <c r="GE34" s="150" t="str">
        <f aca="false">IF(GE$19&gt;$FJ34,"",MAX(0,IF(GE$19=$FJ34,$S34^2*GE$15,GE33*INDEX($T$20:$T$91,$FJ34-GE$19)^2/INDEX($U$20:$U$91,$FJ34-GE$19))))</f>
        <v/>
      </c>
      <c r="GF34" s="150" t="str">
        <f aca="false">IF(GF$19&gt;$FJ34,"",MAX(0,IF(GF$19=$FJ34,$S34^2*GF$15,GF33*INDEX($T$20:$T$91,$FJ34-GF$19)^2/INDEX($U$20:$U$91,$FJ34-GF$19))))</f>
        <v/>
      </c>
      <c r="GG34" s="150" t="str">
        <f aca="false">IF(GG$19&gt;$FJ34,"",MAX(0,IF(GG$19=$FJ34,$S34^2*GG$15,GG33*INDEX($T$20:$T$91,$FJ34-GG$19)^2/INDEX($U$20:$U$91,$FJ34-GG$19))))</f>
        <v/>
      </c>
      <c r="GH34" s="150" t="str">
        <f aca="false">IF(GH$19&gt;$FJ34,"",MAX(0,IF(GH$19=$FJ34,$S34^2*GH$15,GH33*INDEX($T$20:$T$91,$FJ34-GH$19)^2/INDEX($U$20:$U$91,$FJ34-GH$19))))</f>
        <v/>
      </c>
      <c r="GI34" s="150" t="str">
        <f aca="false">IF(GI$19&gt;$FJ34,"",MAX(0,IF(GI$19=$FJ34,$S34^2*GI$15,GI33*INDEX($T$20:$T$91,$FJ34-GI$19)^2/INDEX($U$20:$U$91,$FJ34-GI$19))))</f>
        <v/>
      </c>
      <c r="GJ34" s="150" t="str">
        <f aca="false">IF(GJ$19&gt;$FJ34,"",MAX(0,IF(GJ$19=$FJ34,$S34^2*GJ$15,GJ33*INDEX($T$20:$T$91,$FJ34-GJ$19)^2/INDEX($U$20:$U$91,$FJ34-GJ$19))))</f>
        <v/>
      </c>
      <c r="GK34" s="150" t="str">
        <f aca="false">IF(GK$19&gt;$FJ34,"",MAX(0,IF(GK$19=$FJ34,$S34^2*GK$15,GK33*INDEX($T$20:$T$91,$FJ34-GK$19)^2/INDEX($U$20:$U$91,$FJ34-GK$19))))</f>
        <v/>
      </c>
      <c r="GL34" s="150" t="str">
        <f aca="false">IF(GL$19&gt;$FJ34,"",MAX(0,IF(GL$19=$FJ34,$S34^2*GL$15,GL33*INDEX($T$20:$T$91,$FJ34-GL$19)^2/INDEX($U$20:$U$91,$FJ34-GL$19))))</f>
        <v/>
      </c>
      <c r="GM34" s="150" t="str">
        <f aca="false">IF(GM$19&gt;$FJ34,"",MAX(0,IF(GM$19=$FJ34,$S34^2*GM$15,GM33*INDEX($T$20:$T$91,$FJ34-GM$19)^2/INDEX($U$20:$U$91,$FJ34-GM$19))))</f>
        <v/>
      </c>
      <c r="GN34" s="150" t="str">
        <f aca="false">IF(GN$19&gt;$FJ34,"",MAX(0,IF(GN$19=$FJ34,$S34^2*GN$15,GN33*INDEX($T$20:$T$91,$FJ34-GN$19)^2/INDEX($U$20:$U$91,$FJ34-GN$19))))</f>
        <v/>
      </c>
      <c r="GO34" s="150" t="str">
        <f aca="false">IF(GO$19&gt;$FJ34,"",MAX(0,IF(GO$19=$FJ34,$S34^2*GO$15,GO33*INDEX($T$20:$T$91,$FJ34-GO$19)^2/INDEX($U$20:$U$91,$FJ34-GO$19))))</f>
        <v/>
      </c>
      <c r="GP34" s="150" t="str">
        <f aca="false">IF(GP$19&gt;$FJ34,"",MAX(0,IF(GP$19=$FJ34,$S34^2*GP$15,GP33*INDEX($T$20:$T$91,$FJ34-GP$19)^2/INDEX($U$20:$U$91,$FJ34-GP$19))))</f>
        <v/>
      </c>
      <c r="GQ34" s="150" t="str">
        <f aca="false">IF(GQ$19&gt;$FJ34,"",MAX(0,IF(GQ$19=$FJ34,$S34^2*GQ$15,GQ33*INDEX($T$20:$T$91,$FJ34-GQ$19)^2/INDEX($U$20:$U$91,$FJ34-GQ$19))))</f>
        <v/>
      </c>
      <c r="GR34" s="150" t="str">
        <f aca="false">IF(GR$19&gt;$FJ34,"",MAX(0,IF(GR$19=$FJ34,$S34^2*GR$15,GR33*INDEX($T$20:$T$91,$FJ34-GR$19)^2/INDEX($U$20:$U$91,$FJ34-GR$19))))</f>
        <v/>
      </c>
      <c r="GS34" s="150" t="str">
        <f aca="false">IF(GS$19&gt;$FJ34,"",MAX(0,IF(GS$19=$FJ34,$S34^2*GS$15,GS33*INDEX($T$20:$T$91,$FJ34-GS$19)^2/INDEX($U$20:$U$91,$FJ34-GS$19))))</f>
        <v/>
      </c>
      <c r="GT34" s="150" t="str">
        <f aca="false">IF(GT$19&gt;$FJ34,"",MAX(0,IF(GT$19=$FJ34,$S34^2*GT$15,GT33*INDEX($T$20:$T$91,$FJ34-GT$19)^2/INDEX($U$20:$U$91,$FJ34-GT$19))))</f>
        <v/>
      </c>
      <c r="GU34" s="150" t="str">
        <f aca="false">IF(GU$19&gt;$FJ34,"",MAX(0,IF(GU$19=$FJ34,$S34^2*GU$15,GU33*INDEX($T$20:$T$91,$FJ34-GU$19)^2/INDEX($U$20:$U$91,$FJ34-GU$19))))</f>
        <v/>
      </c>
      <c r="GV34" s="150" t="str">
        <f aca="false">IF(GV$19&gt;$FJ34,"",MAX(0,IF(GV$19=$FJ34,$S34^2*GV$15,GV33*INDEX($T$20:$T$91,$FJ34-GV$19)^2/INDEX($U$20:$U$91,$FJ34-GV$19))))</f>
        <v/>
      </c>
      <c r="GW34" s="150" t="str">
        <f aca="false">IF(GW$19&gt;$FJ34,"",MAX(0,IF(GW$19=$FJ34,$S34^2*GW$15,GW33*INDEX($T$20:$T$91,$FJ34-GW$19)^2/INDEX($U$20:$U$91,$FJ34-GW$19))))</f>
        <v/>
      </c>
      <c r="GX34" s="150" t="str">
        <f aca="false">IF(GX$19&gt;$FJ34,"",MAX(0,IF(GX$19=$FJ34,$S34^2*GX$15,GX33*INDEX($T$20:$T$91,$FJ34-GX$19)^2/INDEX($U$20:$U$91,$FJ34-GX$19))))</f>
        <v/>
      </c>
      <c r="GY34" s="150" t="str">
        <f aca="false">IF(GY$19&gt;$FJ34,"",MAX(0,IF(GY$19=$FJ34,$S34^2*GY$15,GY33*INDEX($T$20:$T$91,$FJ34-GY$19)^2/INDEX($U$20:$U$91,$FJ34-GY$19))))</f>
        <v/>
      </c>
      <c r="GZ34" s="150" t="str">
        <f aca="false">IF(GZ$19&gt;$FJ34,"",MAX(0,IF(GZ$19=$FJ34,$S34^2*GZ$15,GZ33*INDEX($T$20:$T$91,$FJ34-GZ$19)^2/INDEX($U$20:$U$91,$FJ34-GZ$19))))</f>
        <v/>
      </c>
      <c r="HA34" s="150" t="str">
        <f aca="false">IF(HA$19&gt;$FJ34,"",MAX(0,IF(HA$19=$FJ34,$S34^2*HA$15,HA33*INDEX($T$20:$T$91,$FJ34-HA$19)^2/INDEX($U$20:$U$91,$FJ34-HA$19))))</f>
        <v/>
      </c>
      <c r="HB34" s="150" t="str">
        <f aca="false">IF(HB$19&gt;$FJ34,"",MAX(0,IF(HB$19=$FJ34,$S34^2*HB$15,HB33*INDEX($T$20:$T$91,$FJ34-HB$19)^2/INDEX($U$20:$U$91,$FJ34-HB$19))))</f>
        <v/>
      </c>
      <c r="HC34" s="150" t="str">
        <f aca="false">IF(HC$19&gt;$FJ34,"",MAX(0,IF(HC$19=$FJ34,$S34^2*HC$15,HC33*INDEX($T$20:$T$91,$FJ34-HC$19)^2/INDEX($U$20:$U$91,$FJ34-HC$19))))</f>
        <v/>
      </c>
      <c r="HD34" s="150" t="str">
        <f aca="false">IF(HD$19&gt;$FJ34,"",MAX(0,IF(HD$19=$FJ34,$S34^2*HD$15,HD33*INDEX($T$20:$T$91,$FJ34-HD$19)^2/INDEX($U$20:$U$91,$FJ34-HD$19))))</f>
        <v/>
      </c>
      <c r="HE34" s="150" t="str">
        <f aca="false">IF(HE$19&gt;$FJ34,"",MAX(0,IF(HE$19=$FJ34,$S34^2*HE$15,HE33*INDEX($T$20:$T$91,$FJ34-HE$19)^2/INDEX($U$20:$U$91,$FJ34-HE$19))))</f>
        <v/>
      </c>
      <c r="HF34" s="150" t="str">
        <f aca="false">IF(HF$19&gt;$FJ34,"",MAX(0,IF(HF$19=$FJ34,$S34^2*HF$15,HF33*INDEX($T$20:$T$91,$FJ34-HF$19)^2/INDEX($U$20:$U$91,$FJ34-HF$19))))</f>
        <v/>
      </c>
      <c r="HG34" s="150" t="str">
        <f aca="false">IF(HG$19&gt;$FJ34,"",MAX(0,IF(HG$19=$FJ34,$S34^2*HG$15,HG33*INDEX($T$20:$T$91,$FJ34-HG$19)^2/INDEX($U$20:$U$91,$FJ34-HG$19))))</f>
        <v/>
      </c>
      <c r="HH34" s="150" t="str">
        <f aca="false">IF(HH$19&gt;$FJ34,"",MAX(0,IF(HH$19=$FJ34,$S34^2*HH$15,HH33*INDEX($T$20:$T$91,$FJ34-HH$19)^2/INDEX($U$20:$U$91,$FJ34-HH$19))))</f>
        <v/>
      </c>
      <c r="HI34" s="150" t="str">
        <f aca="false">IF(HI$19&gt;$FJ34,"",MAX(0,IF(HI$19=$FJ34,$S34^2*HI$15,HI33*INDEX($T$20:$T$91,$FJ34-HI$19)^2/INDEX($U$20:$U$91,$FJ34-HI$19))))</f>
        <v/>
      </c>
      <c r="HJ34" s="150" t="str">
        <f aca="false">IF(HJ$19&gt;$FJ34,"",MAX(0,IF(HJ$19=$FJ34,$S34^2*HJ$15,HJ33*INDEX($T$20:$T$91,$FJ34-HJ$19)^2/INDEX($U$20:$U$91,$FJ34-HJ$19))))</f>
        <v/>
      </c>
      <c r="HK34" s="150" t="str">
        <f aca="false">IF(HK$19&gt;$FJ34,"",MAX(0,IF(HK$19=$FJ34,$S34^2*HK$15,HK33*INDEX($T$20:$T$91,$FJ34-HK$19)^2/INDEX($U$20:$U$91,$FJ34-HK$19))))</f>
        <v/>
      </c>
      <c r="HL34" s="150" t="str">
        <f aca="false">IF(HL$19&gt;$FJ34,"",MAX(0,IF(HL$19=$FJ34,$S34^2*HL$15,HL33*INDEX($T$20:$T$91,$FJ34-HL$19)^2/INDEX($U$20:$U$91,$FJ34-HL$19))))</f>
        <v/>
      </c>
      <c r="HM34" s="150" t="str">
        <f aca="false">IF(HM$19&gt;$FJ34,"",MAX(0,IF(HM$19=$FJ34,$S34^2*HM$15,HM33*INDEX($T$20:$T$91,$FJ34-HM$19)^2/INDEX($U$20:$U$91,$FJ34-HM$19))))</f>
        <v/>
      </c>
      <c r="HN34" s="150" t="str">
        <f aca="false">IF(HN$19&gt;$FJ34,"",MAX(0,IF(HN$19=$FJ34,$S34^2*HN$15,HN33*INDEX($T$20:$T$91,$FJ34-HN$19)^2/INDEX($U$20:$U$91,$FJ34-HN$19))))</f>
        <v/>
      </c>
      <c r="HO34" s="150" t="str">
        <f aca="false">IF(HO$19&gt;$FJ34,"",MAX(0,IF(HO$19=$FJ34,$S34^2*HO$15,HO33*INDEX($T$20:$T$91,$FJ34-HO$19)^2/INDEX($U$20:$U$91,$FJ34-HO$19))))</f>
        <v/>
      </c>
      <c r="HP34" s="150" t="str">
        <f aca="false">IF(HP$19&gt;$FJ34,"",MAX(0,IF(HP$19=$FJ34,$S34^2*HP$15,HP33*INDEX($T$20:$T$91,$FJ34-HP$19)^2/INDEX($U$20:$U$91,$FJ34-HP$19))))</f>
        <v/>
      </c>
      <c r="HQ34" s="150" t="str">
        <f aca="false">IF(HQ$19&gt;$FJ34,"",MAX(0,IF(HQ$19=$FJ34,$S34^2*HQ$15,HQ33*INDEX($T$20:$T$91,$FJ34-HQ$19)^2/INDEX($U$20:$U$91,$FJ34-HQ$19))))</f>
        <v/>
      </c>
      <c r="HR34" s="150" t="str">
        <f aca="false">IF(HR$19&gt;$FJ34,"",MAX(0,IF(HR$19=$FJ34,$S34^2*HR$15,HR33*INDEX($T$20:$T$91,$FJ34-HR$19)^2/INDEX($U$20:$U$91,$FJ34-HR$19))))</f>
        <v/>
      </c>
      <c r="HS34" s="150" t="str">
        <f aca="false">IF(HS$19&gt;$FJ34,"",MAX(0,IF(HS$19=$FJ34,$S34^2*HS$15,HS33*INDEX($T$20:$T$91,$FJ34-HS$19)^2/INDEX($U$20:$U$91,$FJ34-HS$19))))</f>
        <v/>
      </c>
      <c r="HT34" s="150" t="str">
        <f aca="false">IF(HT$19&gt;$FJ34,"",MAX(0,IF(HT$19=$FJ34,$S34^2*HT$15,HT33*INDEX($T$20:$T$91,$FJ34-HT$19)^2/INDEX($U$20:$U$91,$FJ34-HT$19))))</f>
        <v/>
      </c>
      <c r="HU34" s="150" t="str">
        <f aca="false">IF(HU$19&gt;$FJ34,"",MAX(0,IF(HU$19=$FJ34,$S34^2*HU$15,HU33*INDEX($T$20:$T$91,$FJ34-HU$19)^2/INDEX($U$20:$U$91,$FJ34-HU$19))))</f>
        <v/>
      </c>
      <c r="HV34" s="150" t="str">
        <f aca="false">IF(HV$19&gt;$FJ34,"",MAX(0,IF(HV$19=$FJ34,$S34^2*HV$15,HV33*INDEX($T$20:$T$91,$FJ34-HV$19)^2/INDEX($U$20:$U$91,$FJ34-HV$19))))</f>
        <v/>
      </c>
      <c r="HW34" s="150" t="str">
        <f aca="false">IF(HW$19&gt;$FJ34,"",MAX(0,IF(HW$19=$FJ34,$S34^2*HW$15,HW33*INDEX($T$20:$T$91,$FJ34-HW$19)^2/INDEX($U$20:$U$91,$FJ34-HW$19))))</f>
        <v/>
      </c>
      <c r="HX34" s="150" t="str">
        <f aca="false">IF(HX$19&gt;$FJ34,"",MAX(0,IF(HX$19=$FJ34,$S34^2*HX$15,HX33*INDEX($T$20:$T$91,$FJ34-HX$19)^2/INDEX($U$20:$U$91,$FJ34-HX$19))))</f>
        <v/>
      </c>
      <c r="HY34" s="150" t="str">
        <f aca="false">IF(HY$19&gt;$FJ34,"",MAX(0,IF(HY$19=$FJ34,$S34^2*HY$15,HY33*INDEX($T$20:$T$91,$FJ34-HY$19)^2/INDEX($U$20:$U$91,$FJ34-HY$19))))</f>
        <v/>
      </c>
      <c r="HZ34" s="150" t="str">
        <f aca="false">IF(HZ$19&gt;$FJ34,"",MAX(0,IF(HZ$19=$FJ34,$S34^2*HZ$15,HZ33*INDEX($T$20:$T$91,$FJ34-HZ$19)^2/INDEX($U$20:$U$91,$FJ34-HZ$19))))</f>
        <v/>
      </c>
      <c r="IA34" s="150" t="str">
        <f aca="false">IF(IA$19&gt;$FJ34,"",MAX(0,IF(IA$19=$FJ34,$S34^2*IA$15,IA33*INDEX($T$20:$T$91,$FJ34-IA$19)^2/INDEX($U$20:$U$91,$FJ34-IA$19))))</f>
        <v/>
      </c>
      <c r="IB34" s="150" t="str">
        <f aca="false">IF(IB$19&gt;$FJ34,"",MAX(0,IF(IB$19=$FJ34,$S34^2*IB$15,IB33*INDEX($T$20:$T$91,$FJ34-IB$19)^2/INDEX($U$20:$U$91,$FJ34-IB$19))))</f>
        <v/>
      </c>
      <c r="IC34" s="150" t="str">
        <f aca="false">IF(IC$19&gt;$FJ34,"",MAX(0,IF(IC$19=$FJ34,$S34^2*IC$15,IC33*INDEX($T$20:$T$91,$FJ34-IC$19)^2/INDEX($U$20:$U$91,$FJ34-IC$19))))</f>
        <v/>
      </c>
      <c r="ID34" s="572" t="str">
        <f aca="false">IF(ID$19&gt;$FJ34,"",MAX(0,IF(ID$19=$FJ34,$S34^2*ID$15,ID33*INDEX($T$20:$T$91,$FJ34-ID$19)^2/INDEX($U$20:$U$91,$FJ34-ID$19))))</f>
        <v/>
      </c>
      <c r="IE34" s="129"/>
    </row>
    <row r="35" customFormat="false" ht="20.25" hidden="false" customHeight="true" outlineLevel="0" collapsed="false">
      <c r="A35" s="639" t="e">
        <f aca="false">IF(OptControl&gt;2,"",A32-A33)</f>
        <v>#NAME?</v>
      </c>
      <c r="B35" s="640" t="s">
        <v>252</v>
      </c>
      <c r="C35" s="641"/>
      <c r="D35" s="642"/>
      <c r="E35" s="643" t="s">
        <v>253</v>
      </c>
      <c r="F35" s="643"/>
      <c r="G35" s="644" t="n">
        <v>20</v>
      </c>
      <c r="H35" s="219" t="n">
        <f aca="false">VLOOKUP(I35,$EJ$20:$EL$54,3)</f>
        <v>0</v>
      </c>
      <c r="I35" s="511" t="n">
        <f aca="false">EOMONTH(I34,0)+1</f>
        <v>37226</v>
      </c>
      <c r="J35" s="512"/>
      <c r="K35" s="513" t="s">
        <v>226</v>
      </c>
      <c r="L35" s="514" t="e">
        <f aca="false">IF(ISNUMBER(K35),J35+K35/100,IF(K35="extra",L34+VLOOKUP(BF35,PriceSpreadTable,2)/12,IF(K35="inter",interpolateprices($K$19:$L$200,ROW(K35)-ROW(FirstPricingMonth)+1),interpolatechanges($J$19:$K$200,ROW(K35)-ROW(FirstPricingMonth)+1))))</f>
        <v>#VALUE!</v>
      </c>
      <c r="M35" s="515"/>
      <c r="N35" s="516" t="n">
        <v>0</v>
      </c>
      <c r="O35" s="515" t="n">
        <f aca="false">M35+N35</f>
        <v>0</v>
      </c>
      <c r="P35" s="512"/>
      <c r="Q35" s="513" t="s">
        <v>250</v>
      </c>
      <c r="R35" s="512" t="e">
        <f aca="false">IF(ISNUMBER(Q35),P35+Q35/100,IF(Q35="extra",(Z33*AL33-R34*AM33)/AN33,IF(Q35="inter",interpolateprices($Q$19:$R$260,ROW(Q35)-ROW(FirstPricingMonth)+1),interpolatechanges($P$19:$Q$260,ROW(Q35)-ROW(FirstPricingMonth)+1))))</f>
        <v>#VALUE!</v>
      </c>
      <c r="S35" s="597" t="n">
        <f aca="false">S$19+(S34-S$19)*S$18</f>
        <v>0.360712717920542</v>
      </c>
      <c r="T35" s="575" t="n">
        <f aca="false">SQRT((1-(1-T34^2/U34)*T$18)*U35)</f>
        <v>0.989128148358532</v>
      </c>
      <c r="U35" s="576" t="n">
        <f aca="false">1-(1-U34)*U$18</f>
        <v>0.999799548084848</v>
      </c>
      <c r="V35" s="521" t="n">
        <v>0</v>
      </c>
      <c r="W35" s="577" t="n">
        <f aca="false">(J36*AJ35+J37*AK35)/AI35</f>
        <v>0</v>
      </c>
      <c r="X35" s="578" t="e">
        <f aca="false">(L36*AJ35+L37*AK35)/AI35</f>
        <v>#VALUE!</v>
      </c>
      <c r="Y35" s="579" t="n">
        <f aca="false">IF(Q37="extra",W35-AA35,(P36*AM35+P37*AN35)/AL35)</f>
        <v>0</v>
      </c>
      <c r="Z35" s="579" t="e">
        <f aca="false">IF(Q37="extra",X35-AB35,(R36*AM35+R37*AN35)/AL35)</f>
        <v>#VALUE!</v>
      </c>
      <c r="AA35" s="523" t="n">
        <f aca="false">IF(Q37="extra",INDEX(BrentSeasonalityTable,INT((BG35-1)/3)+1)*VLOOKUP(MAX(BF35,$AB$4),PriceSpreadTable,3),W35-Y35)</f>
        <v>0</v>
      </c>
      <c r="AB35" s="524" t="e">
        <f aca="false">IF(Q37="extra",INDEX(BrentSeasonalityTable,INT((BG35-1)/3)+1)*VLOOKUP(MAX(BF35,$AB$4),PriceSpreadTable,3),X35-Z35)</f>
        <v>#VALUE!</v>
      </c>
      <c r="AC35" s="525" t="n">
        <v>37214</v>
      </c>
      <c r="AD35" s="526" t="n">
        <v>37209</v>
      </c>
      <c r="AE35" s="526" t="n">
        <v>37210</v>
      </c>
      <c r="AF35" s="527" t="n">
        <v>37205</v>
      </c>
      <c r="AG35" s="438" t="s">
        <v>217</v>
      </c>
      <c r="AH35" s="439" t="s">
        <v>217</v>
      </c>
      <c r="AI35" s="528" t="n">
        <v>20</v>
      </c>
      <c r="AJ35" s="529" t="n">
        <v>13</v>
      </c>
      <c r="AK35" s="529" t="n">
        <v>7</v>
      </c>
      <c r="AL35" s="530" t="n">
        <v>20</v>
      </c>
      <c r="AM35" s="529" t="n">
        <v>8</v>
      </c>
      <c r="AN35" s="531" t="n">
        <v>12</v>
      </c>
      <c r="AO35" s="532"/>
      <c r="AP35" s="465" t="n">
        <f aca="false">(1+AO35/2)^(-2*BL35)</f>
        <v>1</v>
      </c>
      <c r="AQ35" s="532"/>
      <c r="AR35" s="465" t="n">
        <f aca="false">(1+AQ35/2)^(-2*BH35/365.25)</f>
        <v>1</v>
      </c>
      <c r="AS35" s="580" t="n">
        <f aca="false">(O36*AJ35+O37*AK35)/AI35</f>
        <v>0</v>
      </c>
      <c r="AT35" s="468" t="n">
        <f aca="false">O35*VLOOKUP(BF35,BrentVolTable,2)+VLOOKUP(BF35,BrentVolTable,3)</f>
        <v>0</v>
      </c>
      <c r="AU35" s="468" t="n">
        <f aca="false">(AT36*AM35+AT37*AN35)/AL35</f>
        <v>0</v>
      </c>
      <c r="AV35" s="595" t="n">
        <f aca="false">SQRT(MAX(0.000000000001,(O35^2*BH35-S35^2*(BH35-BH34))/BH34))</f>
        <v>0.0204119923096477</v>
      </c>
      <c r="AW35" s="451" t="n">
        <f aca="false">IF($I35-DateToday+15&gt;=$T$8,"",IF($I35-DateToday+15&lt;$T$5,1,MATCH($I35-DateToday+15,$T$5:$T$8)))</f>
        <v>1</v>
      </c>
      <c r="AX35" s="468" t="n">
        <f aca="false">IF($AW35="",AX34^2/AX33,INDEX(U$5:U$8,$AW35)^((INDEX($T$5:$T$8,$AW35+1)-($I35-DateToday+15))/(INDEX($T$5:$T$8,$AW35+1)-INDEX($T$5:$T$8,$AW35)))/INDEX(U$5:U$8,$AW35+1)^((INDEX($T$5:$T$8,$AW35)-($I35-DateToday+15))/(INDEX($T$5:$T$8,$AW35+1)-INDEX($T$5:$T$8,$AW35))))</f>
        <v>9.11045772540813</v>
      </c>
      <c r="AY35" s="468" t="n">
        <f aca="false">IF($AW35="",AY34^2/AY33,INDEX(V$5:V$8,$AW35)^((INDEX($T$5:$T$8,$AW35+1)-($I35-DateToday+15))/(INDEX($T$5:$T$8,$AW35+1)-INDEX($T$5:$T$8,$AW35)))/INDEX(V$5:V$8,$AW35+1)^((INDEX($T$5:$T$8,$AW35)-($I35-DateToday+15))/(INDEX($T$5:$T$8,$AW35+1)-INDEX($T$5:$T$8,$AW35))))</f>
        <v>2775.76187173959</v>
      </c>
      <c r="AZ35" s="468" t="n">
        <f aca="false">IF($AW35="",AZ34^2/AZ33,INDEX(W$5:W$8,$AW35)^((INDEX($T$5:$T$8,$AW35+1)-($I35-DateToday+15))/(INDEX($T$5:$T$8,$AW35+1)-INDEX($T$5:$T$8,$AW35)))/INDEX(W$5:W$8,$AW35+1)^((INDEX($T$5:$T$8,$AW35)-($I35-DateToday+15))/(INDEX($T$5:$T$8,$AW35+1)-INDEX($T$5:$T$8,$AW35))))</f>
        <v>204213005.543641</v>
      </c>
      <c r="BA35" s="468" t="n">
        <f aca="false">IF($AW35="",BA34^2/BA33,INDEX(X$5:X$8,$AW35)^((INDEX($T$5:$T$8,$AW35+1)-($I35-DateToday+15))/(INDEX($T$5:$T$8,$AW35+1)-INDEX($T$5:$T$8,$AW35)))/INDEX(X$5:X$8,$AW35+1)^((INDEX($T$5:$T$8,$AW35)-($I35-DateToday+15))/(INDEX($T$5:$T$8,$AW35+1)-INDEX($T$5:$T$8,$AW35))))</f>
        <v>19379937020.6653</v>
      </c>
      <c r="BB35" s="468" t="n">
        <f aca="false">IF($AW35="",BB34^2/BB33,INDEX(Y$5:Y$8,$AW35)^((INDEX($T$5:$T$8,$AW35+1)-($I35-DateToday+15))/(INDEX($T$5:$T$8,$AW35+1)-INDEX($T$5:$T$8,$AW35)))/INDEX(Y$5:Y$8,$AW35+1)^((INDEX($T$5:$T$8,$AW35)-($I35-DateToday+15))/(INDEX($T$5:$T$8,$AW35+1)-INDEX($T$5:$T$8,$AW35))))</f>
        <v>461932664033.857</v>
      </c>
      <c r="BC35" s="468" t="n">
        <f aca="false">IF($AW35="",BC34^2/BC33,INDEX(Z$5:Z$8,$AW35)^((INDEX($T$5:$T$8,$AW35+1)-($I35-DateToday+15))/(INDEX($T$5:$T$8,$AW35+1)-INDEX($T$5:$T$8,$AW35)))/INDEX(Z$5:Z$8,$AW35+1)^((INDEX($T$5:$T$8,$AW35)-($I35-DateToday+15))/(INDEX($T$5:$T$8,$AW35+1)-INDEX($T$5:$T$8,$AW35))))</f>
        <v>3051722644574.13</v>
      </c>
      <c r="BD35" s="535" t="n">
        <f aca="false">IF(OR(DateStart&gt;=I36,DateEnd&lt;I35),0,IF(VolumeOverrideFlag,V35,Volume))</f>
        <v>30</v>
      </c>
      <c r="BE35" s="536" t="n">
        <f aca="false">IF(OR(DateStart2&gt;=I36,DateEnd2&lt;I35),0,IF(VolumeOverrideFlag,V35,VolumeSwaption))</f>
        <v>30</v>
      </c>
      <c r="BF35" s="537" t="n">
        <f aca="false">YEAR(I35)</f>
        <v>2001</v>
      </c>
      <c r="BG35" s="538" t="n">
        <f aca="false">MONTH(I35)</f>
        <v>12</v>
      </c>
      <c r="BH35" s="539" t="n">
        <f aca="false">AD35-DateToday+1</f>
        <v>-8716</v>
      </c>
      <c r="BI35" s="540" t="n">
        <f aca="false">(I35-DateToday+1)/365.25</f>
        <v>-23.8165639972622</v>
      </c>
      <c r="BJ35" s="541" t="n">
        <f aca="false">BI35+(BL35-BI35)*CHOOSE(Underlying,AJ35/AI35,AM35/AL35)</f>
        <v>-23.7631759069131</v>
      </c>
      <c r="BK35" s="541" t="n">
        <f aca="false">BJ35+1/365.25</f>
        <v>-23.7604380561259</v>
      </c>
      <c r="BL35" s="541" t="n">
        <f aca="false">(I36-DateToday)/365.25</f>
        <v>-23.7344284736482</v>
      </c>
      <c r="BM35" s="542" t="e">
        <f aca="false">MAX(BI35-(BJ35-BI35)*(S36^2/O36^2-1),0)</f>
        <v>#DIV/0!</v>
      </c>
      <c r="BN35" s="541" t="e">
        <f aca="false">MAX(BL35+(BL35-BK35)*(S37^2/O37^2-1),0)</f>
        <v>#DIV/0!</v>
      </c>
      <c r="BO35" s="530" t="n">
        <f aca="false">CHOOSE(Underlying,AI35,AL35)</f>
        <v>20</v>
      </c>
      <c r="BP35" s="529" t="n">
        <f aca="false">CHOOSE(Underlying,AJ35,AM35)</f>
        <v>13</v>
      </c>
      <c r="BQ35" s="529" t="n">
        <f aca="false">CHOOSE(Underlying,AK35,AN35)</f>
        <v>7</v>
      </c>
      <c r="BR35" s="463" t="e">
        <f aca="false">IF(BD35,IF(Underlying=1,X35,Z35)+UnderlyingPriceAsian-SwapPriceCurve,"")</f>
        <v>#VALUE!</v>
      </c>
      <c r="BS35" s="463" t="e">
        <f aca="false">IF(BD35,Strike1/BR35-1,"")</f>
        <v>#VALUE!</v>
      </c>
      <c r="BT35" s="464" t="e">
        <f aca="false">IF(BD35,Strike2/BR35-1,"")</f>
        <v>#VALUE!</v>
      </c>
      <c r="BU35" s="465" t="e">
        <f aca="false">IF(BD35,IF(Underlying=1,L36,R36)+UnderlyingPriceAsian-SwapPriceCurve,"")</f>
        <v>#VALUE!</v>
      </c>
      <c r="BV35" s="465" t="e">
        <f aca="false">IF(BD35,IF(Underlying=1,L37,R37)+UnderlyingPriceAsian-SwapPriceCurve,"")</f>
        <v>#VALUE!</v>
      </c>
      <c r="BW35" s="466" t="n">
        <f aca="false">IF(BD35,IF(Underlying=1,O36,AT36),"")</f>
        <v>0</v>
      </c>
      <c r="BX35" s="467" t="n">
        <f aca="false">IF(BD35,IF(Underlying=1,O37,AT37),"")</f>
        <v>0</v>
      </c>
      <c r="BY35" s="466" t="e">
        <f aca="false">IF(BD35,IF(BS35&gt;0,IF(BS35&gt;0.2,BC35-BB35,IF(BS35&gt;0.1,BB35-BA35,BA35)),IF(BS35&lt;-0.2,AX35-AY35,IF(BS35&lt;-0.1,AY35-AZ35,AZ35))),"")</f>
        <v>#VALUE!</v>
      </c>
      <c r="BZ35" s="467" t="e">
        <f aca="false">IF(BD35,IF(BT35&gt;0,IF(BT35&gt;0.2,BC35-BB35,IF(BT35&gt;0.1,BB35-BA35,BA35)),IF(BT35&lt;-0.2,AX35-AY35,IF(BT35&lt;-0.1,AY35-AZ35,AZ35))),"")</f>
        <v>#VALUE!</v>
      </c>
      <c r="CA35" s="468" t="e">
        <f aca="false">IF($BD35,$BW35+IF(VolSkewFlag=1,IF(BS35&gt;0,$BA35*MIN(BS35/10%,1)+($BB35-$BA35)*MAX(0,MIN(BS35/10%-1,1))+($BC35-$BB35)*MAX(0,BS35/10%-2),$AZ35*MIN(-BS35/10%,1)+($AY35-$AZ35)*MAX(0,MIN(-BS35/10%-1,1))+($AX35-$AY35)*MAX(0,-BS35/10%-2)),0),"")</f>
        <v>#VALUE!</v>
      </c>
      <c r="CB35" s="468" t="e">
        <f aca="false">IF($BD35,$BX35+IF(VolSkewFlag=1,IF(BS35&gt;0,$BA35*MIN(BS35/10%,1)+($BB35-$BA35)*MAX(0,MIN(BS35/10%-1,1))+($BC35-$BB35)*MAX(0,BS35/10%-2),$AZ35*MIN(-BS35/10%,1)+($AY35-$AZ35)*MAX(0,MIN(-BS35/10%-1,1))+($AX35-$AY35)*MAX(0,-BS35/10%-2)),0),"")</f>
        <v>#VALUE!</v>
      </c>
      <c r="CC35" s="468" t="e">
        <f aca="false">IF($BD35,$BW35+IF(VolSkewFlag=1,IF(BT35&gt;0,$BA35*MIN(BT35/10%,1)+($BB35-$BA35)*MAX(0,MIN(BT35/10%-1,1))+($BC35-$BB35)*MAX(0,BT35/10%-2),$AZ35*MIN(-BT35/10%,1)+($AY35-$AZ35)*MAX(0,MIN(-BT35/10%-1,1))+($AX35-$AY35)*MAX(0,-BT35/10%-2)),0),"")</f>
        <v>#VALUE!</v>
      </c>
      <c r="CD35" s="468" t="e">
        <f aca="false">IF($BD35,$BX35+IF(VolSkewFlag=1,IF(BT35&gt;0,$BA35*MIN(BT35/10%,1)+($BB35-$BA35)*MAX(0,MIN(BT35/10%-1,1))+($BC35-$BB35)*MAX(0,BT35/10%-2),$AZ35*MIN(-BT35/10%,1)+($AY35-$AZ35)*MAX(0,MIN(-BT35/10%-1,1))+($AX35-$AY35)*MAX(0,-BT35/10%-2)),0),"")</f>
        <v>#VALUE!</v>
      </c>
      <c r="CE35" s="469" t="n">
        <v>1</v>
      </c>
      <c r="CF35" s="470" t="e">
        <f aca="false">IF(BD35,xCrudeAPO(BU35,BV35,CA35,CB35,S36,S37,BI35,BL35,BP35,BQ35,0,Strike1,AO35,CE35,0,BL35,IF(OptControl=4,0,1),0,1),0)</f>
        <v>#NAME?</v>
      </c>
      <c r="CG35" s="470" t="e">
        <f aca="false">IF(BD35,xCrudeAPO(BU35,BV35,CA35,CB35,S36,S37,BI35,BL35,BP35,BQ35,0,Strike1,AO35,CE35,0,BL35,IF(OptControl=4,0,1),1,1)+xCrudeAPO(BU35,BV35,CA35,CB35,S36,S37,BI35,BL35,BP35,BQ35,0,Strike1,AO35,CE35,0,BL35,IF(OptControl=4,0,1),1,2)+IF(OR(VolSkewFlag=2,ABS(BS35)&lt;0.0001),0,IF(BS35&gt;0,-1,1)*CH35*Strike1/BR35^2*BY35/10%),0)</f>
        <v>#NAME?</v>
      </c>
      <c r="CH35" s="470" t="e">
        <f aca="false">IF(BD35,(xCrudeAPO(BU35,BV35,CA35,CB35,S36,S37,BI35,BL35,BP35,BQ35,0,Strike1,AO35,CE35,0,BL35,IF(OptControl=4,0,1),3,1)+xCrudeAPO(BU35,BV35,CA35,CB35,S36,S37,BI35,BL35,BP35,BQ35,0,Strike1,AO35,CE35,0,BL35,IF(OptControl=4,0,1),3,2))/100,0)</f>
        <v>#NAME?</v>
      </c>
      <c r="CI35" s="470" t="e">
        <f aca="false">IF(BD35,xCrudeAPO(BU35,BV35,CA35,CB35,S36,S37,BI35-DaysForThetaCalculation/365.25,BL35-DaysForThetaCalculation/365.25,BP35,BQ35,0,Strike1,AO35,CE35,0,BL35,IF(OptControl=4,0,1),0,1)-xCrudeAPO(BU35,BV35,CA35,CB35,S36,S37,BI35,BL35,BP35,BQ35,0,Strike1,AO35,CE35,0,BL35,IF(OptControl=4,0,1),0,1),0)</f>
        <v>#NAME?</v>
      </c>
      <c r="CJ35" s="471" t="e">
        <f aca="false">IF(BD35,xCrudeAPO(BU35,BV35,CC35,CD35,S36,S37,BI35,BL35,BP35,BQ35,0,Strike2,AO35,CE35,0,BL35,IF(OptControl=3,1,0),0,1),0)</f>
        <v>#NAME?</v>
      </c>
      <c r="CK35" s="470" t="e">
        <f aca="false">IF(BD35,xCrudeAPO(BU35,BV35,CC35,CD35,S36,S37,BI35,BL35,BP35,BQ35,0,Strike2,AO35,CE35,0,BL35,IF(OptControl=3,1,0),1,1)+xCrudeAPO(BU35,BV35,CC35,CD35,S36,S37,BI35,BL35,BP35,BQ35,0,Strike2,AO35,CE35,0,BL35,IF(OptControl=3,1,0),1,2)+IF(OR(VolSkewFlag=2,ABS(BT35)&lt;0.0001),0,IF(BT35&gt;0,-1,1)*CL35*Strike2/BR35^2*BZ35/10%),0)</f>
        <v>#NAME?</v>
      </c>
      <c r="CL35" s="470" t="e">
        <f aca="false">IF(BD35,(xCrudeAPO(BU35,BV35,CC35,CD35,S36,S37,BI35,BL35,BP35,BQ35,0,Strike2,AO35,CE35,0,BL35,IF(OptControl=3,1,0),3,1)+xCrudeAPO(BU35,BV35,CC35,CD35,S36,S37,BI35,BL35,BP35,BQ35,0,Strike2,AO35,CE35,0,BL35,IF(OptControl=3,1,0),3,2))/100,0)</f>
        <v>#NAME?</v>
      </c>
      <c r="CM35" s="472" t="e">
        <f aca="false">IF(BD35,xCrudeAPO(BU35,BV35,CC35,CD35,S36,S37,BI35-DaysForThetaCalculation/365.25,BL35-DaysForThetaCalculation/365.25,BP35,BQ35,0,Strike2,AO35,CE35,0,BL35,IF(OptControl=3,1,0),0,1)-xCrudeAPO(BU35,BV35,CC35,CD35,S36,S37,BI35,BL35,BP35,BQ35,0,Strike2,AO35,CE35,0,BL35,IF(OptControl=3,1,0),0,1),0)</f>
        <v>#NAME?</v>
      </c>
      <c r="CO35" s="543" t="n">
        <f aca="false">IF(BD35,CHOOSE(Underlying,AD35,AF35)-DateToday+1,"")</f>
        <v>-8716</v>
      </c>
      <c r="CP35" s="582" t="e">
        <f aca="false">IF(BD35,CHOOSE(Underlying,L35,R35),"")</f>
        <v>#VALUE!</v>
      </c>
      <c r="CQ35" s="544" t="e">
        <f aca="false">IF(BD35,Strike1/CP35-1,"")</f>
        <v>#VALUE!</v>
      </c>
      <c r="CR35" s="544" t="e">
        <f aca="false">IF(BD35,Strike2/CP35-1,"")</f>
        <v>#VALUE!</v>
      </c>
      <c r="CS35" s="544" t="e">
        <f aca="false">IF(BD35,IF(CQ35&gt;0,IF(CQ35&gt;0.2,BC34-BB34,IF(CQ35&gt;0.1,BB34-BA34,BA34)),IF(CQ35&lt;-0.2,AX34-AY34,IF(CQ35&lt;-0.1,AY34-AZ34,AZ34))),"")</f>
        <v>#VALUE!</v>
      </c>
      <c r="CT35" s="544" t="e">
        <f aca="false">IF(BD35,IF(CR35&gt;0,IF(CR35&gt;0.2,BC34-BB34,IF(CR35&gt;0.1,BB34-BA34,BA34)),IF(CR35&lt;-0.2,AX34-AY34,IF(CR35&lt;-0.1,AY34-AZ34,AZ34))),"")</f>
        <v>#VALUE!</v>
      </c>
      <c r="CU35" s="545" t="n">
        <f aca="false">IF(BD35,CHOOSE(Underlying,O35,AT35),"")</f>
        <v>0</v>
      </c>
      <c r="CV35" s="545" t="e">
        <f aca="false">IF(BD35,CU35+IF(VolSkewFlag=1,IF(CQ35&gt;0,BA34*MIN(CQ35/10%,1)+(BB34-BA34)*MAX(0,MIN(CQ35/10%-1,1))+(BC34-BB34)*MAX(0,CQ35/10%-2),AZ34*MIN(-CQ35/10%,1)+(AY34-AZ34)*MAX(0,MIN(-CQ35/10%-1,1))+(AX34-AY34)*MAX(0,-CQ35/10%-2)),0),"")</f>
        <v>#VALUE!</v>
      </c>
      <c r="CW35" s="545" t="e">
        <f aca="false">IF(BD35,CU35+IF(VolSkewFlag=1,IF(CR35&gt;0,BA34*MIN(CR35/10%,1)+(BB34-BA34)*MAX(0,MIN(CR35/10%-1,1))+(BC34-BB34)*MAX(0,CR35/10%-2),AZ34*MIN(-CR35/10%,1)+(AY34-AZ34)*MAX(0,MIN(-CR35/10%-1,1))+(AX34-AY34)*MAX(0,-CR35/10%-2)),0),"")</f>
        <v>#VALUE!</v>
      </c>
      <c r="CX35" s="470" t="e">
        <f aca="false">IF(BD35,EURO(CP35,Strike1,AO35,AO35,CV35,CO35,IF(OptControl=4,0,1),0),0)</f>
        <v>#NAME?</v>
      </c>
      <c r="CY35" s="470" t="e">
        <f aca="false">IF(BD35,EURO(CP35,Strike1,AO35,AO35,CV35,CO35,IF(OptControl=4,0,1),1)+IF(OR(VolSkewFlag=2,ABS(CQ35)&lt;0.0001),0,IF(CQ35&gt;0,-1,1)*CZ35*100*Strike1/CP35^2*CS35/10%),0)</f>
        <v>#NAME?</v>
      </c>
      <c r="CZ35" s="470" t="e">
        <f aca="false">IF(BD35,EURO(CP35,Strike1,AO35,AO35,CV35,CO35,IF(OptControl=4,0,1),3)/100,0)</f>
        <v>#NAME?</v>
      </c>
      <c r="DA35" s="470" t="e">
        <f aca="false">IF(BD35,EURO(CP35,Strike1,AO35,AO35,CV35,CO35,IF(OptControl=4,0,1),0)-EURO(CP35,Strike1,AO35,AO35,CV35,CO35-1,IF(OptControl=4,0,1),0),0)</f>
        <v>#NAME?</v>
      </c>
      <c r="DB35" s="470" t="e">
        <f aca="false">IF(BD35,EURO(CP35,Strike2,AO35,AO35,CW35,CO35,IF(OptControl=3,1,0),0),0)</f>
        <v>#NAME?</v>
      </c>
      <c r="DC35" s="470" t="e">
        <f aca="false">IF(BD35,EURO(CP35,Strike2,AO35,AO35,CW35,CO35,IF(OptControl=3,1,0),1)+IF(OR(VolSkewFlag=2,ABS(CR35)&lt;0.0001),0,IF(CR35&gt;0,-1,1)*DD35*100*Strike2/CP35^2*CT35/10%),0)</f>
        <v>#NAME?</v>
      </c>
      <c r="DD35" s="470" t="e">
        <f aca="false">IF(BD35,EURO(CP35,Strike2,AO35,AO35,CW35,CO35,IF(OptControl=3,1,0),3)/100,0)</f>
        <v>#NAME?</v>
      </c>
      <c r="DE35" s="472" t="e">
        <f aca="false">IF(BD35,EURO(CP35,Strike2,AO35,AO35,CW35,CO35,IF(OptControl=3,1,0),0)-EURO(CP35,Strike2,AO35,AO35,CW35,CO35-1,IF(OptControl=3,1,0),0),0)</f>
        <v>#NAME?</v>
      </c>
      <c r="DF35" s="1"/>
      <c r="DG35" s="481" t="n">
        <f aca="false">EOMONTH(DG34,0)+1</f>
        <v>46143</v>
      </c>
      <c r="DH35" s="478" t="n">
        <v>22.06</v>
      </c>
      <c r="DI35" s="479" t="n">
        <v>21.6647826086957</v>
      </c>
      <c r="DJ35" s="480" t="n">
        <f aca="false">DG35</f>
        <v>46143</v>
      </c>
      <c r="DK35" s="478" t="n">
        <v>20.7633333333333</v>
      </c>
      <c r="DL35" s="479" t="n">
        <v>20.25</v>
      </c>
      <c r="DM35" s="481" t="n">
        <f aca="false">DG35</f>
        <v>46143</v>
      </c>
      <c r="DN35" s="482" t="n">
        <f aca="false">DK35+BrentPhyBrentSpread</f>
        <v>20.8133333333333</v>
      </c>
      <c r="DO35" s="481" t="n">
        <f aca="false">DG35</f>
        <v>46143</v>
      </c>
      <c r="DP35" s="483" t="n">
        <f aca="false">DL35+DQ35</f>
        <v>20.4</v>
      </c>
      <c r="DQ35" s="546" t="n">
        <v>0.15</v>
      </c>
      <c r="DR35" s="480" t="n">
        <f aca="false">DG35</f>
        <v>46143</v>
      </c>
      <c r="DS35" s="485" t="n">
        <v>0.24821285015807</v>
      </c>
      <c r="DT35" s="486" t="n">
        <v>0.244984375191486</v>
      </c>
      <c r="DU35" s="480" t="n">
        <f aca="false">DG35</f>
        <v>46143</v>
      </c>
      <c r="DV35" s="485" t="n">
        <v>0.24821285015807</v>
      </c>
      <c r="DW35" s="486" t="n">
        <v>0.244984375191486</v>
      </c>
      <c r="DX35" s="481" t="n">
        <f aca="false">DG35</f>
        <v>46143</v>
      </c>
      <c r="DY35" s="486" t="n">
        <v>0.3500048828125</v>
      </c>
      <c r="DZ35" s="481" t="n">
        <f aca="false">DR35</f>
        <v>46143</v>
      </c>
      <c r="EA35" s="486" t="n">
        <f aca="false">DT35</f>
        <v>0.244984375191486</v>
      </c>
      <c r="EB35" s="195"/>
      <c r="EC35" s="547" t="n">
        <f aca="false">IF(BD35,IF(Underlying=1,AS35,AU35),"")</f>
        <v>0</v>
      </c>
      <c r="ED35" s="548" t="e">
        <f aca="false">IF($BD35,$EC35+IF(VolSkewFlag=1,IF(BS35&gt;0,$BA35*MIN(BS35/10%,1)+($BB35-$BA35)*MAX(0,MIN(BS35/10%-1,1))+($BC35-$BB35)*MAX(0,BS35/10%-2),$AZ35*MIN(-BS35/10%,1)+($AY35-$AZ35)*MAX(0,MIN(-BS35/10%-1,1))+($AX35-$AY35)*MAX(0,-BS35/10%-2)),0),"")</f>
        <v>#VALUE!</v>
      </c>
      <c r="EE35" s="549" t="e">
        <f aca="false">IF($BD35,$EC35+IF(VolSkewFlag=1,IF(BT35&gt;0,$BA35*MIN(BT35/10%,1)+($BB35-$BA35)*MAX(0,MIN(BT35/10%-1,1))+($BC35-$BB35)*MAX(0,BT35/10%-2),$AZ35*MIN(-BT35/10%,1)+($AY35-$AZ35)*MAX(0,MIN(-BT35/10%-1,1))+($AX35-$AY35)*MAX(0,-BT35/10%-2)),0),"")</f>
        <v>#VALUE!</v>
      </c>
      <c r="EF35" s="550" t="e">
        <f aca="false">IF(BD35,xASN(BR35,Strike1,AO35,ED35,0,BO35,0,BI35,BL35,IF(OptControl=4,0,1),0),0)</f>
        <v>#NAME?</v>
      </c>
      <c r="EG35" s="551" t="e">
        <f aca="false">IF(BD35,xASN(BR35,Strike2,AO35,EE35,0,BO35,0,BI35,BL35,IF(OptControl=3,1,0),0),0)</f>
        <v>#NAME?</v>
      </c>
      <c r="EI35" s="583" t="str">
        <f aca="false">DDE("TWINDDE","RSFRecord","CLc16 MTH")</f>
        <v>DEC1</v>
      </c>
      <c r="EJ35" s="584" t="n">
        <f aca="false">DATEVALUE(CONCATENATE(LEFT(EI35,3),"-",IF(VALUE(RIGHT(EI35,1))=9,"1999",CONCATENATE("200",RIGHT(EI35,1)))))</f>
        <v>37226</v>
      </c>
      <c r="EK35" s="585" t="n">
        <f aca="false">DDE("TWINDDE","RSFRecord","CLc16 NET.CHNG")</f>
        <v>0</v>
      </c>
      <c r="EL35" s="586" t="n">
        <f aca="false">IF(ISNUMBER(VALUE(EK35)),VALUE(EK35)*100,0)</f>
        <v>0</v>
      </c>
      <c r="EM35" s="195"/>
      <c r="EN35" s="556" t="n">
        <v>37615</v>
      </c>
      <c r="EO35" s="557" t="n">
        <v>39441</v>
      </c>
      <c r="EP35" s="195"/>
      <c r="EQ35" s="407" t="s">
        <v>254</v>
      </c>
      <c r="ES35" s="587" t="n">
        <v>16</v>
      </c>
      <c r="ET35" s="559" t="n">
        <f aca="false">BH35/365.25</f>
        <v>-23.8631074606434</v>
      </c>
      <c r="EU35" s="560" t="n">
        <f aca="false">O35^2*ET35</f>
        <v>-0</v>
      </c>
      <c r="EV35" s="588" t="e">
        <f aca="false">SQRT(SUM(FK35:ID35)/ET35)</f>
        <v>#VALUE!</v>
      </c>
      <c r="EW35" s="589" t="n">
        <f aca="false">IF(OR(DateStart2&gt;I34,DateEnd2&lt;I33),"",IF(DateStart2&lt;I34,AK33/AI33*AP33*BE33*SwaptionNumOfMonths/$D$33,0)+IF(DateEnd2&gt;I33,AJ34/AI34*AP34*BE34*SwaptionNumOfMonths/$D$33,0))</f>
        <v>0.895256916996047</v>
      </c>
      <c r="EX35" s="590" t="e">
        <f aca="false">IF(EW35="","",SQRT(SUM(FK340:ID340)/SwaptionYearsToExp))</f>
        <v>#VALUE!</v>
      </c>
      <c r="EY35" s="129" t="n">
        <v>0</v>
      </c>
      <c r="EZ35" s="591" t="n">
        <f aca="false">IF(OR(EW35="",EW36=""),"",SQRT(SUM(INDEX(FK35:ID35,SwaptionFirstMonthPosition+1):INDEX(FK35:ID35,FJ35))/SUM(INDEX($FK$15:$ID$15,SwaptionFirstMonthPosition+1):INDEX($FK$15:$ID$15,FJ35))))</f>
        <v>0.250877277231304</v>
      </c>
      <c r="FA35" s="592" t="n">
        <f aca="false">IF(OR(EW35="",EW34=""),"",SQRT(SUM(INDEX(FK35:ID35,SwaptionFirstMonthPosition+1):INDEX(FK35:ID35,FJ35-1))/SUM(INDEX($FK$15:$ID$15,SwaptionFirstMonthPosition+1):INDEX($FK$15:$ID$15,FJ35-1))))</f>
        <v>0.238354286581349</v>
      </c>
      <c r="FB35" s="593" t="n">
        <f aca="false">IF(BE35,2/3*EZ36+1/3*FA37,"")</f>
        <v>0.240130022947497</v>
      </c>
      <c r="FC35" s="596" t="n">
        <f aca="false">IF(BE35,(I36+I35-1)/2-DateToday,"")</f>
        <v>-8685</v>
      </c>
      <c r="FD35" s="483" t="e">
        <f aca="false">IF(BE35,CHOOSE(Underlying,X35,Z35)+SwaptionUnderlyingPrice-$D$26,"")</f>
        <v>#VALUE!</v>
      </c>
      <c r="FE35" s="483" t="e">
        <f aca="false">IF(BE35,CollartionFloor/FD35-1,"")</f>
        <v>#VALUE!</v>
      </c>
      <c r="FF35" s="483" t="e">
        <f aca="false">IF(BE35,CollartionCap/FD35-1,"")</f>
        <v>#VALUE!</v>
      </c>
      <c r="FG35" s="485" t="e">
        <f aca="false">IF(BE35,IF(VolSkewFlag=1,IF(FE35&gt;0,$BA35*MIN(FE35/10%,1)+($BB35-$BA35)*MAX(0,MIN(FE35/10%-1,1))+($BC35-$BB35)*MAX(0,FE35/10%-2),$AZ35*MIN(-FE35/10%,1)+($AY35-$AZ35)*MAX(0,MIN(-FE35/10%-1,1))+($AX35-$AY35)*MAX(0,-FE35/10%-2)),0),"")</f>
        <v>#VALUE!</v>
      </c>
      <c r="FH35" s="486" t="e">
        <f aca="false">IF(BE35,IF(VolSkewFlag=1,IF(FF35&gt;0,$BA35*MIN(FF35/10%,1)+($BB35-$BA35)*MAX(0,MIN(FF35/10%-1,1))+($BC35-$BB35)*MAX(0,FF35/10%-2),$AZ35*MIN(-FF35/10%,1)+($AY35-$AZ35)*MAX(0,MIN(-FF35/10%-1,1))+($AX35-$AY35)*MAX(0,-FF35/10%-2)),0),"")</f>
        <v>#VALUE!</v>
      </c>
      <c r="FI35" s="129"/>
      <c r="FJ35" s="571" t="n">
        <v>16</v>
      </c>
      <c r="FK35" s="150" t="n">
        <f aca="false">IF(FK$19&gt;$FJ35,"",MAX(0,IF(FK$19=$FJ35,$S35^2*FK$15,FK34*INDEX($T$20:$T$91,$FJ35-FK$19)^2/INDEX($U$20:$U$91,$FJ35-FK$19))))</f>
        <v>0</v>
      </c>
      <c r="FL35" s="150" t="n">
        <f aca="false">IF(FL$19&gt;$FJ35,"",MAX(0,IF(FL$19=$FJ35,$S35^2*FL$15,FL34*INDEX($T$20:$T$91,$FJ35-FL$19)^2/INDEX($U$20:$U$91,$FJ35-FL$19))))</f>
        <v>0</v>
      </c>
      <c r="FM35" s="150" t="n">
        <f aca="false">IF(FM$19&gt;$FJ35,"",MAX(0,IF(FM$19=$FJ35,$S35^2*FM$15,FM34*INDEX($T$20:$T$91,$FJ35-FM$19)^2/INDEX($U$20:$U$91,$FJ35-FM$19))))</f>
        <v>0.00312242392438661</v>
      </c>
      <c r="FN35" s="150" t="n">
        <f aca="false">IF(FN$19&gt;$FJ35,"",MAX(0,IF(FN$19=$FJ35,$S35^2*FN$15,FN34*INDEX($T$20:$T$91,$FJ35-FN$19)^2/INDEX($U$20:$U$91,$FJ35-FN$19))))</f>
        <v>0.00272135273310577</v>
      </c>
      <c r="FO35" s="150" t="n">
        <f aca="false">IF(FO$19&gt;$FJ35,"",MAX(0,IF(FO$19=$FJ35,$S35^2*FO$15,FO34*INDEX($T$20:$T$91,$FJ35-FO$19)^2/INDEX($U$20:$U$91,$FJ35-FO$19))))</f>
        <v>0.00294885797158554</v>
      </c>
      <c r="FP35" s="150" t="n">
        <f aca="false">IF(FP$19&gt;$FJ35,"",MAX(0,IF(FP$19=$FJ35,$S35^2*FP$15,FP34*INDEX($T$20:$T$91,$FJ35-FP$19)^2/INDEX($U$20:$U$91,$FJ35-FP$19))))</f>
        <v>0.0034284315480358</v>
      </c>
      <c r="FQ35" s="150" t="n">
        <f aca="false">IF(FQ$19&gt;$FJ35,"",MAX(0,IF(FQ$19=$FJ35,$S35^2*FQ$15,FQ34*INDEX($T$20:$T$91,$FJ35-FQ$19)^2/INDEX($U$20:$U$91,$FJ35-FQ$19))))</f>
        <v>0.00293676793871411</v>
      </c>
      <c r="FR35" s="150" t="n">
        <f aca="false">IF(FR$19&gt;$FJ35,"",MAX(0,IF(FR$19=$FJ35,$S35^2*FR$15,FR34*INDEX($T$20:$T$91,$FJ35-FR$19)^2/INDEX($U$20:$U$91,$FJ35-FR$19))))</f>
        <v>0.00320856087364919</v>
      </c>
      <c r="FS35" s="150" t="n">
        <f aca="false">IF(FS$19&gt;$FJ35,"",MAX(0,IF(FS$19=$FJ35,$S35^2*FS$15,FS34*INDEX($T$20:$T$91,$FJ35-FS$19)^2/INDEX($U$20:$U$91,$FJ35-FS$19))))</f>
        <v>0.00390913887409987</v>
      </c>
      <c r="FT35" s="150" t="n">
        <f aca="false">IF(FT$19&gt;$FJ35,"",MAX(0,IF(FT$19=$FJ35,$S35^2*FT$15,FT34*INDEX($T$20:$T$91,$FJ35-FT$19)^2/INDEX($U$20:$U$91,$FJ35-FT$19))))</f>
        <v>0.00386724422802951</v>
      </c>
      <c r="FU35" s="150" t="n">
        <f aca="false">IF(FU$19&gt;$FJ35,"",MAX(0,IF(FU$19=$FJ35,$S35^2*FU$15,FU34*INDEX($T$20:$T$91,$FJ35-FU$19)^2/INDEX($U$20:$U$91,$FJ35-FU$19))))</f>
        <v>0.00414307710660237</v>
      </c>
      <c r="FV35" s="150" t="n">
        <f aca="false">IF(FV$19&gt;$FJ35,"",MAX(0,IF(FV$19=$FJ35,$S35^2*FV$15,FV34*INDEX($T$20:$T$91,$FJ35-FV$19)^2/INDEX($U$20:$U$91,$FJ35-FV$19))))</f>
        <v>0.00517393769723852</v>
      </c>
      <c r="FW35" s="150" t="n">
        <f aca="false">IF(FW$19&gt;$FJ35,"",MAX(0,IF(FW$19=$FJ35,$S35^2*FW$15,FW34*INDEX($T$20:$T$91,$FJ35-FW$19)^2/INDEX($U$20:$U$91,$FJ35-FW$19))))</f>
        <v>0.00562539060104239</v>
      </c>
      <c r="FX35" s="150" t="n">
        <f aca="false">IF(FX$19&gt;$FJ35,"",MAX(0,IF(FX$19=$FJ35,$S35^2*FX$15,FX34*INDEX($T$20:$T$91,$FJ35-FX$19)^2/INDEX($U$20:$U$91,$FJ35-FX$19))))</f>
        <v>0.0071627399023735</v>
      </c>
      <c r="FY35" s="150" t="n">
        <f aca="false">IF(FY$19&gt;$FJ35,"",MAX(0,IF(FY$19=$FJ35,$S35^2*FY$15,FY34*INDEX($T$20:$T$91,$FJ35-FY$19)^2/INDEX($U$20:$U$91,$FJ35-FY$19))))</f>
        <v>0.00829698813927171</v>
      </c>
      <c r="FZ35" s="150" t="n">
        <f aca="false">IF(FZ$19&gt;$FJ35,"",MAX(0,IF(FZ$19=$FJ35,$S35^2*FZ$15,FZ34*INDEX($T$20:$T$91,$FJ35-FZ$19)^2/INDEX($U$20:$U$91,$FJ35-FZ$19))))</f>
        <v>0.00997449039383829</v>
      </c>
      <c r="GA35" s="150" t="str">
        <f aca="false">IF(GA$19&gt;$FJ35,"",MAX(0,IF(GA$19=$FJ35,$S35^2*GA$15,GA34*INDEX($T$20:$T$91,$FJ35-GA$19)^2/INDEX($U$20:$U$91,$FJ35-GA$19))))</f>
        <v/>
      </c>
      <c r="GB35" s="150" t="str">
        <f aca="false">IF(GB$19&gt;$FJ35,"",MAX(0,IF(GB$19=$FJ35,$S35^2*GB$15,GB34*INDEX($T$20:$T$91,$FJ35-GB$19)^2/INDEX($U$20:$U$91,$FJ35-GB$19))))</f>
        <v/>
      </c>
      <c r="GC35" s="150" t="str">
        <f aca="false">IF(GC$19&gt;$FJ35,"",MAX(0,IF(GC$19=$FJ35,$S35^2*GC$15,GC34*INDEX($T$20:$T$91,$FJ35-GC$19)^2/INDEX($U$20:$U$91,$FJ35-GC$19))))</f>
        <v/>
      </c>
      <c r="GD35" s="150" t="str">
        <f aca="false">IF(GD$19&gt;$FJ35,"",MAX(0,IF(GD$19=$FJ35,$S35^2*GD$15,GD34*INDEX($T$20:$T$91,$FJ35-GD$19)^2/INDEX($U$20:$U$91,$FJ35-GD$19))))</f>
        <v/>
      </c>
      <c r="GE35" s="150" t="str">
        <f aca="false">IF(GE$19&gt;$FJ35,"",MAX(0,IF(GE$19=$FJ35,$S35^2*GE$15,GE34*INDEX($T$20:$T$91,$FJ35-GE$19)^2/INDEX($U$20:$U$91,$FJ35-GE$19))))</f>
        <v/>
      </c>
      <c r="GF35" s="150" t="str">
        <f aca="false">IF(GF$19&gt;$FJ35,"",MAX(0,IF(GF$19=$FJ35,$S35^2*GF$15,GF34*INDEX($T$20:$T$91,$FJ35-GF$19)^2/INDEX($U$20:$U$91,$FJ35-GF$19))))</f>
        <v/>
      </c>
      <c r="GG35" s="150" t="str">
        <f aca="false">IF(GG$19&gt;$FJ35,"",MAX(0,IF(GG$19=$FJ35,$S35^2*GG$15,GG34*INDEX($T$20:$T$91,$FJ35-GG$19)^2/INDEX($U$20:$U$91,$FJ35-GG$19))))</f>
        <v/>
      </c>
      <c r="GH35" s="150" t="str">
        <f aca="false">IF(GH$19&gt;$FJ35,"",MAX(0,IF(GH$19=$FJ35,$S35^2*GH$15,GH34*INDEX($T$20:$T$91,$FJ35-GH$19)^2/INDEX($U$20:$U$91,$FJ35-GH$19))))</f>
        <v/>
      </c>
      <c r="GI35" s="150" t="str">
        <f aca="false">IF(GI$19&gt;$FJ35,"",MAX(0,IF(GI$19=$FJ35,$S35^2*GI$15,GI34*INDEX($T$20:$T$91,$FJ35-GI$19)^2/INDEX($U$20:$U$91,$FJ35-GI$19))))</f>
        <v/>
      </c>
      <c r="GJ35" s="150" t="str">
        <f aca="false">IF(GJ$19&gt;$FJ35,"",MAX(0,IF(GJ$19=$FJ35,$S35^2*GJ$15,GJ34*INDEX($T$20:$T$91,$FJ35-GJ$19)^2/INDEX($U$20:$U$91,$FJ35-GJ$19))))</f>
        <v/>
      </c>
      <c r="GK35" s="150" t="str">
        <f aca="false">IF(GK$19&gt;$FJ35,"",MAX(0,IF(GK$19=$FJ35,$S35^2*GK$15,GK34*INDEX($T$20:$T$91,$FJ35-GK$19)^2/INDEX($U$20:$U$91,$FJ35-GK$19))))</f>
        <v/>
      </c>
      <c r="GL35" s="150" t="str">
        <f aca="false">IF(GL$19&gt;$FJ35,"",MAX(0,IF(GL$19=$FJ35,$S35^2*GL$15,GL34*INDEX($T$20:$T$91,$FJ35-GL$19)^2/INDEX($U$20:$U$91,$FJ35-GL$19))))</f>
        <v/>
      </c>
      <c r="GM35" s="150" t="str">
        <f aca="false">IF(GM$19&gt;$FJ35,"",MAX(0,IF(GM$19=$FJ35,$S35^2*GM$15,GM34*INDEX($T$20:$T$91,$FJ35-GM$19)^2/INDEX($U$20:$U$91,$FJ35-GM$19))))</f>
        <v/>
      </c>
      <c r="GN35" s="150" t="str">
        <f aca="false">IF(GN$19&gt;$FJ35,"",MAX(0,IF(GN$19=$FJ35,$S35^2*GN$15,GN34*INDEX($T$20:$T$91,$FJ35-GN$19)^2/INDEX($U$20:$U$91,$FJ35-GN$19))))</f>
        <v/>
      </c>
      <c r="GO35" s="150" t="str">
        <f aca="false">IF(GO$19&gt;$FJ35,"",MAX(0,IF(GO$19=$FJ35,$S35^2*GO$15,GO34*INDEX($T$20:$T$91,$FJ35-GO$19)^2/INDEX($U$20:$U$91,$FJ35-GO$19))))</f>
        <v/>
      </c>
      <c r="GP35" s="150" t="str">
        <f aca="false">IF(GP$19&gt;$FJ35,"",MAX(0,IF(GP$19=$FJ35,$S35^2*GP$15,GP34*INDEX($T$20:$T$91,$FJ35-GP$19)^2/INDEX($U$20:$U$91,$FJ35-GP$19))))</f>
        <v/>
      </c>
      <c r="GQ35" s="150" t="str">
        <f aca="false">IF(GQ$19&gt;$FJ35,"",MAX(0,IF(GQ$19=$FJ35,$S35^2*GQ$15,GQ34*INDEX($T$20:$T$91,$FJ35-GQ$19)^2/INDEX($U$20:$U$91,$FJ35-GQ$19))))</f>
        <v/>
      </c>
      <c r="GR35" s="150" t="str">
        <f aca="false">IF(GR$19&gt;$FJ35,"",MAX(0,IF(GR$19=$FJ35,$S35^2*GR$15,GR34*INDEX($T$20:$T$91,$FJ35-GR$19)^2/INDEX($U$20:$U$91,$FJ35-GR$19))))</f>
        <v/>
      </c>
      <c r="GS35" s="150" t="str">
        <f aca="false">IF(GS$19&gt;$FJ35,"",MAX(0,IF(GS$19=$FJ35,$S35^2*GS$15,GS34*INDEX($T$20:$T$91,$FJ35-GS$19)^2/INDEX($U$20:$U$91,$FJ35-GS$19))))</f>
        <v/>
      </c>
      <c r="GT35" s="150" t="str">
        <f aca="false">IF(GT$19&gt;$FJ35,"",MAX(0,IF(GT$19=$FJ35,$S35^2*GT$15,GT34*INDEX($T$20:$T$91,$FJ35-GT$19)^2/INDEX($U$20:$U$91,$FJ35-GT$19))))</f>
        <v/>
      </c>
      <c r="GU35" s="150" t="str">
        <f aca="false">IF(GU$19&gt;$FJ35,"",MAX(0,IF(GU$19=$FJ35,$S35^2*GU$15,GU34*INDEX($T$20:$T$91,$FJ35-GU$19)^2/INDEX($U$20:$U$91,$FJ35-GU$19))))</f>
        <v/>
      </c>
      <c r="GV35" s="150" t="str">
        <f aca="false">IF(GV$19&gt;$FJ35,"",MAX(0,IF(GV$19=$FJ35,$S35^2*GV$15,GV34*INDEX($T$20:$T$91,$FJ35-GV$19)^2/INDEX($U$20:$U$91,$FJ35-GV$19))))</f>
        <v/>
      </c>
      <c r="GW35" s="150" t="str">
        <f aca="false">IF(GW$19&gt;$FJ35,"",MAX(0,IF(GW$19=$FJ35,$S35^2*GW$15,GW34*INDEX($T$20:$T$91,$FJ35-GW$19)^2/INDEX($U$20:$U$91,$FJ35-GW$19))))</f>
        <v/>
      </c>
      <c r="GX35" s="150" t="str">
        <f aca="false">IF(GX$19&gt;$FJ35,"",MAX(0,IF(GX$19=$FJ35,$S35^2*GX$15,GX34*INDEX($T$20:$T$91,$FJ35-GX$19)^2/INDEX($U$20:$U$91,$FJ35-GX$19))))</f>
        <v/>
      </c>
      <c r="GY35" s="150" t="str">
        <f aca="false">IF(GY$19&gt;$FJ35,"",MAX(0,IF(GY$19=$FJ35,$S35^2*GY$15,GY34*INDEX($T$20:$T$91,$FJ35-GY$19)^2/INDEX($U$20:$U$91,$FJ35-GY$19))))</f>
        <v/>
      </c>
      <c r="GZ35" s="150" t="str">
        <f aca="false">IF(GZ$19&gt;$FJ35,"",MAX(0,IF(GZ$19=$FJ35,$S35^2*GZ$15,GZ34*INDEX($T$20:$T$91,$FJ35-GZ$19)^2/INDEX($U$20:$U$91,$FJ35-GZ$19))))</f>
        <v/>
      </c>
      <c r="HA35" s="150" t="str">
        <f aca="false">IF(HA$19&gt;$FJ35,"",MAX(0,IF(HA$19=$FJ35,$S35^2*HA$15,HA34*INDEX($T$20:$T$91,$FJ35-HA$19)^2/INDEX($U$20:$U$91,$FJ35-HA$19))))</f>
        <v/>
      </c>
      <c r="HB35" s="150" t="str">
        <f aca="false">IF(HB$19&gt;$FJ35,"",MAX(0,IF(HB$19=$FJ35,$S35^2*HB$15,HB34*INDEX($T$20:$T$91,$FJ35-HB$19)^2/INDEX($U$20:$U$91,$FJ35-HB$19))))</f>
        <v/>
      </c>
      <c r="HC35" s="150" t="str">
        <f aca="false">IF(HC$19&gt;$FJ35,"",MAX(0,IF(HC$19=$FJ35,$S35^2*HC$15,HC34*INDEX($T$20:$T$91,$FJ35-HC$19)^2/INDEX($U$20:$U$91,$FJ35-HC$19))))</f>
        <v/>
      </c>
      <c r="HD35" s="150" t="str">
        <f aca="false">IF(HD$19&gt;$FJ35,"",MAX(0,IF(HD$19=$FJ35,$S35^2*HD$15,HD34*INDEX($T$20:$T$91,$FJ35-HD$19)^2/INDEX($U$20:$U$91,$FJ35-HD$19))))</f>
        <v/>
      </c>
      <c r="HE35" s="150" t="str">
        <f aca="false">IF(HE$19&gt;$FJ35,"",MAX(0,IF(HE$19=$FJ35,$S35^2*HE$15,HE34*INDEX($T$20:$T$91,$FJ35-HE$19)^2/INDEX($U$20:$U$91,$FJ35-HE$19))))</f>
        <v/>
      </c>
      <c r="HF35" s="150" t="str">
        <f aca="false">IF(HF$19&gt;$FJ35,"",MAX(0,IF(HF$19=$FJ35,$S35^2*HF$15,HF34*INDEX($T$20:$T$91,$FJ35-HF$19)^2/INDEX($U$20:$U$91,$FJ35-HF$19))))</f>
        <v/>
      </c>
      <c r="HG35" s="150" t="str">
        <f aca="false">IF(HG$19&gt;$FJ35,"",MAX(0,IF(HG$19=$FJ35,$S35^2*HG$15,HG34*INDEX($T$20:$T$91,$FJ35-HG$19)^2/INDEX($U$20:$U$91,$FJ35-HG$19))))</f>
        <v/>
      </c>
      <c r="HH35" s="150" t="str">
        <f aca="false">IF(HH$19&gt;$FJ35,"",MAX(0,IF(HH$19=$FJ35,$S35^2*HH$15,HH34*INDEX($T$20:$T$91,$FJ35-HH$19)^2/INDEX($U$20:$U$91,$FJ35-HH$19))))</f>
        <v/>
      </c>
      <c r="HI35" s="150" t="str">
        <f aca="false">IF(HI$19&gt;$FJ35,"",MAX(0,IF(HI$19=$FJ35,$S35^2*HI$15,HI34*INDEX($T$20:$T$91,$FJ35-HI$19)^2/INDEX($U$20:$U$91,$FJ35-HI$19))))</f>
        <v/>
      </c>
      <c r="HJ35" s="150" t="str">
        <f aca="false">IF(HJ$19&gt;$FJ35,"",MAX(0,IF(HJ$19=$FJ35,$S35^2*HJ$15,HJ34*INDEX($T$20:$T$91,$FJ35-HJ$19)^2/INDEX($U$20:$U$91,$FJ35-HJ$19))))</f>
        <v/>
      </c>
      <c r="HK35" s="150" t="str">
        <f aca="false">IF(HK$19&gt;$FJ35,"",MAX(0,IF(HK$19=$FJ35,$S35^2*HK$15,HK34*INDEX($T$20:$T$91,$FJ35-HK$19)^2/INDEX($U$20:$U$91,$FJ35-HK$19))))</f>
        <v/>
      </c>
      <c r="HL35" s="150" t="str">
        <f aca="false">IF(HL$19&gt;$FJ35,"",MAX(0,IF(HL$19=$FJ35,$S35^2*HL$15,HL34*INDEX($T$20:$T$91,$FJ35-HL$19)^2/INDEX($U$20:$U$91,$FJ35-HL$19))))</f>
        <v/>
      </c>
      <c r="HM35" s="150" t="str">
        <f aca="false">IF(HM$19&gt;$FJ35,"",MAX(0,IF(HM$19=$FJ35,$S35^2*HM$15,HM34*INDEX($T$20:$T$91,$FJ35-HM$19)^2/INDEX($U$20:$U$91,$FJ35-HM$19))))</f>
        <v/>
      </c>
      <c r="HN35" s="150" t="str">
        <f aca="false">IF(HN$19&gt;$FJ35,"",MAX(0,IF(HN$19=$FJ35,$S35^2*HN$15,HN34*INDEX($T$20:$T$91,$FJ35-HN$19)^2/INDEX($U$20:$U$91,$FJ35-HN$19))))</f>
        <v/>
      </c>
      <c r="HO35" s="150" t="str">
        <f aca="false">IF(HO$19&gt;$FJ35,"",MAX(0,IF(HO$19=$FJ35,$S35^2*HO$15,HO34*INDEX($T$20:$T$91,$FJ35-HO$19)^2/INDEX($U$20:$U$91,$FJ35-HO$19))))</f>
        <v/>
      </c>
      <c r="HP35" s="150" t="str">
        <f aca="false">IF(HP$19&gt;$FJ35,"",MAX(0,IF(HP$19=$FJ35,$S35^2*HP$15,HP34*INDEX($T$20:$T$91,$FJ35-HP$19)^2/INDEX($U$20:$U$91,$FJ35-HP$19))))</f>
        <v/>
      </c>
      <c r="HQ35" s="150" t="str">
        <f aca="false">IF(HQ$19&gt;$FJ35,"",MAX(0,IF(HQ$19=$FJ35,$S35^2*HQ$15,HQ34*INDEX($T$20:$T$91,$FJ35-HQ$19)^2/INDEX($U$20:$U$91,$FJ35-HQ$19))))</f>
        <v/>
      </c>
      <c r="HR35" s="150" t="str">
        <f aca="false">IF(HR$19&gt;$FJ35,"",MAX(0,IF(HR$19=$FJ35,$S35^2*HR$15,HR34*INDEX($T$20:$T$91,$FJ35-HR$19)^2/INDEX($U$20:$U$91,$FJ35-HR$19))))</f>
        <v/>
      </c>
      <c r="HS35" s="150" t="str">
        <f aca="false">IF(HS$19&gt;$FJ35,"",MAX(0,IF(HS$19=$FJ35,$S35^2*HS$15,HS34*INDEX($T$20:$T$91,$FJ35-HS$19)^2/INDEX($U$20:$U$91,$FJ35-HS$19))))</f>
        <v/>
      </c>
      <c r="HT35" s="150" t="str">
        <f aca="false">IF(HT$19&gt;$FJ35,"",MAX(0,IF(HT$19=$FJ35,$S35^2*HT$15,HT34*INDEX($T$20:$T$91,$FJ35-HT$19)^2/INDEX($U$20:$U$91,$FJ35-HT$19))))</f>
        <v/>
      </c>
      <c r="HU35" s="150" t="str">
        <f aca="false">IF(HU$19&gt;$FJ35,"",MAX(0,IF(HU$19=$FJ35,$S35^2*HU$15,HU34*INDEX($T$20:$T$91,$FJ35-HU$19)^2/INDEX($U$20:$U$91,$FJ35-HU$19))))</f>
        <v/>
      </c>
      <c r="HV35" s="150" t="str">
        <f aca="false">IF(HV$19&gt;$FJ35,"",MAX(0,IF(HV$19=$FJ35,$S35^2*HV$15,HV34*INDEX($T$20:$T$91,$FJ35-HV$19)^2/INDEX($U$20:$U$91,$FJ35-HV$19))))</f>
        <v/>
      </c>
      <c r="HW35" s="150" t="str">
        <f aca="false">IF(HW$19&gt;$FJ35,"",MAX(0,IF(HW$19=$FJ35,$S35^2*HW$15,HW34*INDEX($T$20:$T$91,$FJ35-HW$19)^2/INDEX($U$20:$U$91,$FJ35-HW$19))))</f>
        <v/>
      </c>
      <c r="HX35" s="150" t="str">
        <f aca="false">IF(HX$19&gt;$FJ35,"",MAX(0,IF(HX$19=$FJ35,$S35^2*HX$15,HX34*INDEX($T$20:$T$91,$FJ35-HX$19)^2/INDEX($U$20:$U$91,$FJ35-HX$19))))</f>
        <v/>
      </c>
      <c r="HY35" s="150" t="str">
        <f aca="false">IF(HY$19&gt;$FJ35,"",MAX(0,IF(HY$19=$FJ35,$S35^2*HY$15,HY34*INDEX($T$20:$T$91,$FJ35-HY$19)^2/INDEX($U$20:$U$91,$FJ35-HY$19))))</f>
        <v/>
      </c>
      <c r="HZ35" s="150" t="str">
        <f aca="false">IF(HZ$19&gt;$FJ35,"",MAX(0,IF(HZ$19=$FJ35,$S35^2*HZ$15,HZ34*INDEX($T$20:$T$91,$FJ35-HZ$19)^2/INDEX($U$20:$U$91,$FJ35-HZ$19))))</f>
        <v/>
      </c>
      <c r="IA35" s="150" t="str">
        <f aca="false">IF(IA$19&gt;$FJ35,"",MAX(0,IF(IA$19=$FJ35,$S35^2*IA$15,IA34*INDEX($T$20:$T$91,$FJ35-IA$19)^2/INDEX($U$20:$U$91,$FJ35-IA$19))))</f>
        <v/>
      </c>
      <c r="IB35" s="150" t="str">
        <f aca="false">IF(IB$19&gt;$FJ35,"",MAX(0,IF(IB$19=$FJ35,$S35^2*IB$15,IB34*INDEX($T$20:$T$91,$FJ35-IB$19)^2/INDEX($U$20:$U$91,$FJ35-IB$19))))</f>
        <v/>
      </c>
      <c r="IC35" s="150" t="str">
        <f aca="false">IF(IC$19&gt;$FJ35,"",MAX(0,IF(IC$19=$FJ35,$S35^2*IC$15,IC34*INDEX($T$20:$T$91,$FJ35-IC$19)^2/INDEX($U$20:$U$91,$FJ35-IC$19))))</f>
        <v/>
      </c>
      <c r="ID35" s="572" t="str">
        <f aca="false">IF(ID$19&gt;$FJ35,"",MAX(0,IF(ID$19=$FJ35,$S35^2*ID$15,ID34*INDEX($T$20:$T$91,$FJ35-ID$19)^2/INDEX($U$20:$U$91,$FJ35-ID$19))))</f>
        <v/>
      </c>
      <c r="IE35" s="129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</row>
    <row r="36" customFormat="false" ht="15.75" hidden="false" customHeight="true" outlineLevel="0" collapsed="false">
      <c r="A36" s="219"/>
      <c r="B36" s="7" t="s">
        <v>255</v>
      </c>
      <c r="C36" s="7"/>
      <c r="D36" s="7"/>
      <c r="E36" s="7"/>
      <c r="F36" s="7"/>
      <c r="G36" s="7"/>
      <c r="H36" s="219" t="n">
        <f aca="false">VLOOKUP(I36,$EJ$20:$EL$54,3)</f>
        <v>0</v>
      </c>
      <c r="I36" s="511" t="n">
        <f aca="false">EOMONTH(I35,0)+1</f>
        <v>37257</v>
      </c>
      <c r="J36" s="512"/>
      <c r="K36" s="513" t="n">
        <v>0</v>
      </c>
      <c r="L36" s="514" t="n">
        <f aca="false">IF(ISNUMBER(K36),J36+K36/100,IF(K36="extra",L35+VLOOKUP(BF36,PriceSpreadTable,2)/12,IF(K36="inter",interpolateprices($K$19:$L$200,ROW(K36)-ROW(FirstPricingMonth)+1),interpolatechanges($J$19:$K$200,ROW(K36)-ROW(FirstPricingMonth)+1))))</f>
        <v>0</v>
      </c>
      <c r="M36" s="515"/>
      <c r="N36" s="516" t="n">
        <v>0</v>
      </c>
      <c r="O36" s="515" t="n">
        <f aca="false">M36+N36</f>
        <v>0</v>
      </c>
      <c r="P36" s="512"/>
      <c r="Q36" s="513" t="n">
        <v>0</v>
      </c>
      <c r="R36" s="512" t="n">
        <f aca="false">IF(ISNUMBER(Q36),P36+Q36/100,IF(Q36="extra",(Z34*AL34-R35*AM34)/AN34,IF(Q36="inter",interpolateprices($Q$19:$R$260,ROW(Q36)-ROW(FirstPricingMonth)+1),interpolatechanges($P$19:$Q$260,ROW(Q36)-ROW(FirstPricingMonth)+1))))</f>
        <v>0</v>
      </c>
      <c r="S36" s="597" t="n">
        <f aca="false">S$19+(S35-S$19)*S$18</f>
        <v>0.360534538440406</v>
      </c>
      <c r="T36" s="575" t="n">
        <f aca="false">SQRT((1-(1-T35^2/U35)*T$18)*U36)</f>
        <v>0.990722121252805</v>
      </c>
      <c r="U36" s="576" t="n">
        <f aca="false">1-(1-U35)*U$18</f>
        <v>0.999849661063636</v>
      </c>
      <c r="V36" s="521" t="n">
        <v>0</v>
      </c>
      <c r="W36" s="577" t="n">
        <f aca="false">(J37*AJ36+J38*AK36)/AI36</f>
        <v>0</v>
      </c>
      <c r="X36" s="578" t="e">
        <f aca="false">(L37*AJ36+L38*AK36)/AI36</f>
        <v>#VALUE!</v>
      </c>
      <c r="Y36" s="579" t="n">
        <f aca="false">IF(Q38="extra",W36-AA36,(P37*AM36+P38*AN36)/AL36)</f>
        <v>0</v>
      </c>
      <c r="Z36" s="579" t="e">
        <f aca="false">IF(Q38="extra",X36-AB36,(R37*AM36+R38*AN36)/AL36)</f>
        <v>#VALUE!</v>
      </c>
      <c r="AA36" s="523" t="n">
        <f aca="false">IF(Q38="extra",INDEX(BrentSeasonalityTable,INT((BG36-1)/3)+1)*VLOOKUP(MAX(BF36,$AB$4),PriceSpreadTable,3),W36-Y36)</f>
        <v>0</v>
      </c>
      <c r="AB36" s="524" t="e">
        <f aca="false">IF(Q38="extra",INDEX(BrentSeasonalityTable,INT((BG36-1)/3)+1)*VLOOKUP(MAX(BF36,$AB$4),PriceSpreadTable,3),X36-Z36)</f>
        <v>#VALUE!</v>
      </c>
      <c r="AC36" s="525" t="n">
        <v>37244</v>
      </c>
      <c r="AD36" s="526" t="n">
        <v>37239</v>
      </c>
      <c r="AE36" s="526" t="n">
        <v>37238</v>
      </c>
      <c r="AF36" s="527" t="n">
        <v>37238</v>
      </c>
      <c r="AG36" s="438" t="s">
        <v>224</v>
      </c>
      <c r="AH36" s="439" t="s">
        <v>247</v>
      </c>
      <c r="AI36" s="528" t="n">
        <v>22</v>
      </c>
      <c r="AJ36" s="529" t="n">
        <v>15</v>
      </c>
      <c r="AK36" s="529" t="n">
        <v>7</v>
      </c>
      <c r="AL36" s="530" t="n">
        <v>22</v>
      </c>
      <c r="AM36" s="529" t="n">
        <v>10</v>
      </c>
      <c r="AN36" s="531" t="n">
        <v>12</v>
      </c>
      <c r="AO36" s="532"/>
      <c r="AP36" s="465" t="n">
        <f aca="false">(1+AO36/2)^(-2*BL36)</f>
        <v>1</v>
      </c>
      <c r="AQ36" s="532"/>
      <c r="AR36" s="465" t="n">
        <f aca="false">(1+AQ36/2)^(-2*BH36/365.25)</f>
        <v>1</v>
      </c>
      <c r="AS36" s="580" t="n">
        <f aca="false">(O37*AJ36+O38*AK36)/AI36</f>
        <v>0</v>
      </c>
      <c r="AT36" s="468" t="n">
        <f aca="false">O36*VLOOKUP(BF36,BrentVolTable,2)+VLOOKUP(BF36,BrentVolTable,3)</f>
        <v>0</v>
      </c>
      <c r="AU36" s="468" t="n">
        <f aca="false">(AT37*AM36+AT38*AN36)/AL36</f>
        <v>0</v>
      </c>
      <c r="AV36" s="595" t="n">
        <f aca="false">SQRT(MAX(0.000000000001,(O36^2*BH36-S36^2*(BH36-BH35))/BH35))</f>
        <v>0.021151876013944</v>
      </c>
      <c r="AW36" s="451" t="n">
        <f aca="false">IF($I36-DateToday+15&gt;=$T$8,"",IF($I36-DateToday+15&lt;$T$5,1,MATCH($I36-DateToday+15,$T$5:$T$8)))</f>
        <v>1</v>
      </c>
      <c r="AX36" s="468" t="n">
        <f aca="false">IF($AW36="",AX35^2/AX34,INDEX(U$5:U$8,$AW36)^((INDEX($T$5:$T$8,$AW36+1)-($I36-DateToday+15))/(INDEX($T$5:$T$8,$AW36+1)-INDEX($T$5:$T$8,$AW36)))/INDEX(U$5:U$8,$AW36+1)^((INDEX($T$5:$T$8,$AW36)-($I36-DateToday+15))/(INDEX($T$5:$T$8,$AW36+1)-INDEX($T$5:$T$8,$AW36))))</f>
        <v>8.91422617955569</v>
      </c>
      <c r="AY36" s="468" t="n">
        <f aca="false">IF($AW36="",AY35^2/AY34,INDEX(V$5:V$8,$AW36)^((INDEX($T$5:$T$8,$AW36+1)-($I36-DateToday+15))/(INDEX($T$5:$T$8,$AW36+1)-INDEX($T$5:$T$8,$AW36)))/INDEX(V$5:V$8,$AW36+1)^((INDEX($T$5:$T$8,$AW36)-($I36-DateToday+15))/(INDEX($T$5:$T$8,$AW36+1)-INDEX($T$5:$T$8,$AW36))))</f>
        <v>2659.16754951509</v>
      </c>
      <c r="AZ36" s="468" t="n">
        <f aca="false">IF($AW36="",AZ35^2/AZ34,INDEX(W$5:W$8,$AW36)^((INDEX($T$5:$T$8,$AW36+1)-($I36-DateToday+15))/(INDEX($T$5:$T$8,$AW36+1)-INDEX($T$5:$T$8,$AW36)))/INDEX(W$5:W$8,$AW36+1)^((INDEX($T$5:$T$8,$AW36)-($I36-DateToday+15))/(INDEX($T$5:$T$8,$AW36+1)-INDEX($T$5:$T$8,$AW36))))</f>
        <v>187798104.132779</v>
      </c>
      <c r="BA36" s="468" t="n">
        <f aca="false">IF($AW36="",BA35^2/BA34,INDEX(X$5:X$8,$AW36)^((INDEX($T$5:$T$8,$AW36+1)-($I36-DateToday+15))/(INDEX($T$5:$T$8,$AW36+1)-INDEX($T$5:$T$8,$AW36)))/INDEX(X$5:X$8,$AW36+1)^((INDEX($T$5:$T$8,$AW36)-($I36-DateToday+15))/(INDEX($T$5:$T$8,$AW36+1)-INDEX($T$5:$T$8,$AW36))))</f>
        <v>17438278920.1181</v>
      </c>
      <c r="BB36" s="468" t="n">
        <f aca="false">IF($AW36="",BB35^2/BB34,INDEX(Y$5:Y$8,$AW36)^((INDEX($T$5:$T$8,$AW36+1)-($I36-DateToday+15))/(INDEX($T$5:$T$8,$AW36+1)-INDEX($T$5:$T$8,$AW36)))/INDEX(Y$5:Y$8,$AW36+1)^((INDEX($T$5:$T$8,$AW36)-($I36-DateToday+15))/(INDEX($T$5:$T$8,$AW36+1)-INDEX($T$5:$T$8,$AW36))))</f>
        <v>411481969284.375</v>
      </c>
      <c r="BC36" s="468" t="n">
        <f aca="false">IF($AW36="",BC35^2/BC34,INDEX(Z$5:Z$8,$AW36)^((INDEX($T$5:$T$8,$AW36+1)-($I36-DateToday+15))/(INDEX($T$5:$T$8,$AW36+1)-INDEX($T$5:$T$8,$AW36)))/INDEX(Z$5:Z$8,$AW36+1)^((INDEX($T$5:$T$8,$AW36)-($I36-DateToday+15))/(INDEX($T$5:$T$8,$AW36+1)-INDEX($T$5:$T$8,$AW36))))</f>
        <v>2702643375214.38</v>
      </c>
      <c r="BD36" s="535" t="n">
        <f aca="false">IF(OR(DateStart&gt;=I37,DateEnd&lt;I36),0,IF(VolumeOverrideFlag,V36,Volume))</f>
        <v>0</v>
      </c>
      <c r="BE36" s="536" t="n">
        <f aca="false">IF(OR(DateStart2&gt;=I37,DateEnd2&lt;I36),0,IF(VolumeOverrideFlag,V36,VolumeSwaption))</f>
        <v>0</v>
      </c>
      <c r="BF36" s="537" t="n">
        <f aca="false">YEAR(I36)</f>
        <v>2002</v>
      </c>
      <c r="BG36" s="538" t="n">
        <f aca="false">MONTH(I36)</f>
        <v>1</v>
      </c>
      <c r="BH36" s="539" t="n">
        <f aca="false">AD36-DateToday+1</f>
        <v>-8686</v>
      </c>
      <c r="BI36" s="540" t="n">
        <f aca="false">(I36-DateToday+1)/365.25</f>
        <v>-23.7316906228611</v>
      </c>
      <c r="BJ36" s="541" t="n">
        <f aca="false">BI36+(BL36-BI36)*CHOOSE(Underlying,AJ36/AI36,AM36/AL36)</f>
        <v>-23.6756891294879</v>
      </c>
      <c r="BK36" s="541" t="n">
        <f aca="false">BJ36+1/365.25</f>
        <v>-23.6729512787008</v>
      </c>
      <c r="BL36" s="541" t="n">
        <f aca="false">(I37-DateToday)/365.25</f>
        <v>-23.6495550992471</v>
      </c>
      <c r="BM36" s="542" t="e">
        <f aca="false">MAX(BI36-(BJ36-BI36)*(S37^2/O37^2-1),0)</f>
        <v>#DIV/0!</v>
      </c>
      <c r="BN36" s="541" t="e">
        <f aca="false">MAX(BL36+(BL36-BK36)*(S38^2/O38^2-1),0)</f>
        <v>#DIV/0!</v>
      </c>
      <c r="BO36" s="530" t="n">
        <f aca="false">CHOOSE(Underlying,AI36,AL36)</f>
        <v>22</v>
      </c>
      <c r="BP36" s="529" t="n">
        <f aca="false">CHOOSE(Underlying,AJ36,AM36)</f>
        <v>15</v>
      </c>
      <c r="BQ36" s="529" t="n">
        <f aca="false">CHOOSE(Underlying,AK36,AN36)</f>
        <v>7</v>
      </c>
      <c r="BR36" s="463" t="str">
        <f aca="false">IF(BD36,IF(Underlying=1,X36,Z36)+UnderlyingPriceAsian-SwapPriceCurve,"")</f>
        <v/>
      </c>
      <c r="BS36" s="463" t="str">
        <f aca="false">IF(BD36,Strike1/BR36-1,"")</f>
        <v/>
      </c>
      <c r="BT36" s="464" t="str">
        <f aca="false">IF(BD36,Strike2/BR36-1,"")</f>
        <v/>
      </c>
      <c r="BU36" s="465" t="str">
        <f aca="false">IF(BD36,IF(Underlying=1,L37,R37)+UnderlyingPriceAsian-SwapPriceCurve,"")</f>
        <v/>
      </c>
      <c r="BV36" s="465" t="str">
        <f aca="false">IF(BD36,IF(Underlying=1,L38,R38)+UnderlyingPriceAsian-SwapPriceCurve,"")</f>
        <v/>
      </c>
      <c r="BW36" s="466" t="str">
        <f aca="false">IF(BD36,IF(Underlying=1,O37,AT37),"")</f>
        <v/>
      </c>
      <c r="BX36" s="467" t="str">
        <f aca="false">IF(BD36,IF(Underlying=1,O38,AT38),"")</f>
        <v/>
      </c>
      <c r="BY36" s="466" t="str">
        <f aca="false">IF(BD36,IF(BS36&gt;0,IF(BS36&gt;0.2,BC36-BB36,IF(BS36&gt;0.1,BB36-BA36,BA36)),IF(BS36&lt;-0.2,AX36-AY36,IF(BS36&lt;-0.1,AY36-AZ36,AZ36))),"")</f>
        <v/>
      </c>
      <c r="BZ36" s="467" t="str">
        <f aca="false">IF(BD36,IF(BT36&gt;0,IF(BT36&gt;0.2,BC36-BB36,IF(BT36&gt;0.1,BB36-BA36,BA36)),IF(BT36&lt;-0.2,AX36-AY36,IF(BT36&lt;-0.1,AY36-AZ36,AZ36))),"")</f>
        <v/>
      </c>
      <c r="CA36" s="468" t="str">
        <f aca="false">IF($BD36,$BW36+IF(VolSkewFlag=1,IF(BS36&gt;0,$BA36*MIN(BS36/10%,1)+($BB36-$BA36)*MAX(0,MIN(BS36/10%-1,1))+($BC36-$BB36)*MAX(0,BS36/10%-2),$AZ36*MIN(-BS36/10%,1)+($AY36-$AZ36)*MAX(0,MIN(-BS36/10%-1,1))+($AX36-$AY36)*MAX(0,-BS36/10%-2)),0),"")</f>
        <v/>
      </c>
      <c r="CB36" s="468" t="str">
        <f aca="false">IF($BD36,$BX36+IF(VolSkewFlag=1,IF(BS36&gt;0,$BA36*MIN(BS36/10%,1)+($BB36-$BA36)*MAX(0,MIN(BS36/10%-1,1))+($BC36-$BB36)*MAX(0,BS36/10%-2),$AZ36*MIN(-BS36/10%,1)+($AY36-$AZ36)*MAX(0,MIN(-BS36/10%-1,1))+($AX36-$AY36)*MAX(0,-BS36/10%-2)),0),"")</f>
        <v/>
      </c>
      <c r="CC36" s="468" t="str">
        <f aca="false">IF($BD36,$BW36+IF(VolSkewFlag=1,IF(BT36&gt;0,$BA36*MIN(BT36/10%,1)+($BB36-$BA36)*MAX(0,MIN(BT36/10%-1,1))+($BC36-$BB36)*MAX(0,BT36/10%-2),$AZ36*MIN(-BT36/10%,1)+($AY36-$AZ36)*MAX(0,MIN(-BT36/10%-1,1))+($AX36-$AY36)*MAX(0,-BT36/10%-2)),0),"")</f>
        <v/>
      </c>
      <c r="CD36" s="468" t="str">
        <f aca="false">IF($BD36,$BX36+IF(VolSkewFlag=1,IF(BT36&gt;0,$BA36*MIN(BT36/10%,1)+($BB36-$BA36)*MAX(0,MIN(BT36/10%-1,1))+($BC36-$BB36)*MAX(0,BT36/10%-2),$AZ36*MIN(-BT36/10%,1)+($AY36-$AZ36)*MAX(0,MIN(-BT36/10%-1,1))+($AX36-$AY36)*MAX(0,-BT36/10%-2)),0),"")</f>
        <v/>
      </c>
      <c r="CE36" s="469" t="n">
        <v>1</v>
      </c>
      <c r="CF36" s="470" t="n">
        <f aca="false">IF(BD36,xCrudeAPO(BU36,BV36,CA36,CB36,S37,S38,BI36,BL36,BP36,BQ36,0,Strike1,AO36,CE36,0,BL36,IF(OptControl=4,0,1),0,1),0)</f>
        <v>0</v>
      </c>
      <c r="CG36" s="470" t="n">
        <f aca="false">IF(BD36,xCrudeAPO(BU36,BV36,CA36,CB36,S37,S38,BI36,BL36,BP36,BQ36,0,Strike1,AO36,CE36,0,BL36,IF(OptControl=4,0,1),1,1)+xCrudeAPO(BU36,BV36,CA36,CB36,S37,S38,BI36,BL36,BP36,BQ36,0,Strike1,AO36,CE36,0,BL36,IF(OptControl=4,0,1),1,2)+IF(OR(VolSkewFlag=2,ABS(BS36)&lt;0.0001),0,IF(BS36&gt;0,-1,1)*CH36*Strike1/BR36^2*BY36/10%),0)</f>
        <v>0</v>
      </c>
      <c r="CH36" s="470" t="n">
        <f aca="false">IF(BD36,(xCrudeAPO(BU36,BV36,CA36,CB36,S37,S38,BI36,BL36,BP36,BQ36,0,Strike1,AO36,CE36,0,BL36,IF(OptControl=4,0,1),3,1)+xCrudeAPO(BU36,BV36,CA36,CB36,S37,S38,BI36,BL36,BP36,BQ36,0,Strike1,AO36,CE36,0,BL36,IF(OptControl=4,0,1),3,2))/100,0)</f>
        <v>0</v>
      </c>
      <c r="CI36" s="470" t="n">
        <f aca="false">IF(BD36,xCrudeAPO(BU36,BV36,CA36,CB36,S37,S38,BI36-DaysForThetaCalculation/365.25,BL36-DaysForThetaCalculation/365.25,BP36,BQ36,0,Strike1,AO36,CE36,0,BL36,IF(OptControl=4,0,1),0,1)-xCrudeAPO(BU36,BV36,CA36,CB36,S37,S38,BI36,BL36,BP36,BQ36,0,Strike1,AO36,CE36,0,BL36,IF(OptControl=4,0,1),0,1),0)</f>
        <v>0</v>
      </c>
      <c r="CJ36" s="471" t="n">
        <f aca="false">IF(BD36,xCrudeAPO(BU36,BV36,CC36,CD36,S37,S38,BI36,BL36,BP36,BQ36,0,Strike2,AO36,CE36,0,BL36,IF(OptControl=3,1,0),0,1),0)</f>
        <v>0</v>
      </c>
      <c r="CK36" s="470" t="n">
        <f aca="false">IF(BD36,xCrudeAPO(BU36,BV36,CC36,CD36,S37,S38,BI36,BL36,BP36,BQ36,0,Strike2,AO36,CE36,0,BL36,IF(OptControl=3,1,0),1,1)+xCrudeAPO(BU36,BV36,CC36,CD36,S37,S38,BI36,BL36,BP36,BQ36,0,Strike2,AO36,CE36,0,BL36,IF(OptControl=3,1,0),1,2)+IF(OR(VolSkewFlag=2,ABS(BT36)&lt;0.0001),0,IF(BT36&gt;0,-1,1)*CL36*Strike2/BR36^2*BZ36/10%),0)</f>
        <v>0</v>
      </c>
      <c r="CL36" s="470" t="n">
        <f aca="false">IF(BD36,(xCrudeAPO(BU36,BV36,CC36,CD36,S37,S38,BI36,BL36,BP36,BQ36,0,Strike2,AO36,CE36,0,BL36,IF(OptControl=3,1,0),3,1)+xCrudeAPO(BU36,BV36,CC36,CD36,S37,S38,BI36,BL36,BP36,BQ36,0,Strike2,AO36,CE36,0,BL36,IF(OptControl=3,1,0),3,2))/100,0)</f>
        <v>0</v>
      </c>
      <c r="CM36" s="472" t="n">
        <f aca="false">IF(BD36,xCrudeAPO(BU36,BV36,CC36,CD36,S37,S38,BI36-DaysForThetaCalculation/365.25,BL36-DaysForThetaCalculation/365.25,BP36,BQ36,0,Strike2,AO36,CE36,0,BL36,IF(OptControl=3,1,0),0,1)-xCrudeAPO(BU36,BV36,CC36,CD36,S37,S38,BI36,BL36,BP36,BQ36,0,Strike2,AO36,CE36,0,BL36,IF(OptControl=3,1,0),0,1),0)</f>
        <v>0</v>
      </c>
      <c r="CO36" s="543" t="str">
        <f aca="false">IF(BD36,CHOOSE(Underlying,AD36,AF36)-DateToday+1,"")</f>
        <v/>
      </c>
      <c r="CP36" s="582" t="str">
        <f aca="false">IF(BD36,CHOOSE(Underlying,L36,R36),"")</f>
        <v/>
      </c>
      <c r="CQ36" s="544" t="str">
        <f aca="false">IF(BD36,Strike1/CP36-1,"")</f>
        <v/>
      </c>
      <c r="CR36" s="544" t="str">
        <f aca="false">IF(BD36,Strike2/CP36-1,"")</f>
        <v/>
      </c>
      <c r="CS36" s="544" t="str">
        <f aca="false">IF(BD36,IF(CQ36&gt;0,IF(CQ36&gt;0.2,BC35-BB35,IF(CQ36&gt;0.1,BB35-BA35,BA35)),IF(CQ36&lt;-0.2,AX35-AY35,IF(CQ36&lt;-0.1,AY35-AZ35,AZ35))),"")</f>
        <v/>
      </c>
      <c r="CT36" s="544" t="str">
        <f aca="false">IF(BD36,IF(CR36&gt;0,IF(CR36&gt;0.2,BC35-BB35,IF(CR36&gt;0.1,BB35-BA35,BA35)),IF(CR36&lt;-0.2,AX35-AY35,IF(CR36&lt;-0.1,AY35-AZ35,AZ35))),"")</f>
        <v/>
      </c>
      <c r="CU36" s="545" t="str">
        <f aca="false">IF(BD36,CHOOSE(Underlying,O36,AT36),"")</f>
        <v/>
      </c>
      <c r="CV36" s="545" t="str">
        <f aca="false">IF(BD36,CU36+IF(VolSkewFlag=1,IF(CQ36&gt;0,BA35*MIN(CQ36/10%,1)+(BB35-BA35)*MAX(0,MIN(CQ36/10%-1,1))+(BC35-BB35)*MAX(0,CQ36/10%-2),AZ35*MIN(-CQ36/10%,1)+(AY35-AZ35)*MAX(0,MIN(-CQ36/10%-1,1))+(AX35-AY35)*MAX(0,-CQ36/10%-2)),0),"")</f>
        <v/>
      </c>
      <c r="CW36" s="545" t="str">
        <f aca="false">IF(BD36,CU36+IF(VolSkewFlag=1,IF(CR36&gt;0,BA35*MIN(CR36/10%,1)+(BB35-BA35)*MAX(0,MIN(CR36/10%-1,1))+(BC35-BB35)*MAX(0,CR36/10%-2),AZ35*MIN(-CR36/10%,1)+(AY35-AZ35)*MAX(0,MIN(-CR36/10%-1,1))+(AX35-AY35)*MAX(0,-CR36/10%-2)),0),"")</f>
        <v/>
      </c>
      <c r="CX36" s="470" t="n">
        <f aca="false">IF(BD36,EURO(CP36,Strike1,AO36,AO36,CV36,CO36,IF(OptControl=4,0,1),0),0)</f>
        <v>0</v>
      </c>
      <c r="CY36" s="470" t="n">
        <f aca="false">IF(BD36,EURO(CP36,Strike1,AO36,AO36,CV36,CO36,IF(OptControl=4,0,1),1)+IF(OR(VolSkewFlag=2,ABS(CQ36)&lt;0.0001),0,IF(CQ36&gt;0,-1,1)*CZ36*100*Strike1/CP36^2*CS36/10%),0)</f>
        <v>0</v>
      </c>
      <c r="CZ36" s="470" t="n">
        <f aca="false">IF(BD36,EURO(CP36,Strike1,AO36,AO36,CV36,CO36,IF(OptControl=4,0,1),3)/100,0)</f>
        <v>0</v>
      </c>
      <c r="DA36" s="470" t="n">
        <f aca="false">IF(BD36,EURO(CP36,Strike1,AO36,AO36,CV36,CO36,IF(OptControl=4,0,1),0)-EURO(CP36,Strike1,AO36,AO36,CV36,CO36-1,IF(OptControl=4,0,1),0),0)</f>
        <v>0</v>
      </c>
      <c r="DB36" s="470" t="n">
        <f aca="false">IF(BD36,EURO(CP36,Strike2,AO36,AO36,CW36,CO36,IF(OptControl=3,1,0),0),0)</f>
        <v>0</v>
      </c>
      <c r="DC36" s="470" t="n">
        <f aca="false">IF(BD36,EURO(CP36,Strike2,AO36,AO36,CW36,CO36,IF(OptControl=3,1,0),1)+IF(OR(VolSkewFlag=2,ABS(CR36)&lt;0.0001),0,IF(CR36&gt;0,-1,1)*DD36*100*Strike2/CP36^2*CT36/10%),0)</f>
        <v>0</v>
      </c>
      <c r="DD36" s="470" t="n">
        <f aca="false">IF(BD36,EURO(CP36,Strike2,AO36,AO36,CW36,CO36,IF(OptControl=3,1,0),3)/100,0)</f>
        <v>0</v>
      </c>
      <c r="DE36" s="472" t="n">
        <f aca="false">IF(BD36,EURO(CP36,Strike2,AO36,AO36,CW36,CO36,IF(OptControl=3,1,0),0)-EURO(CP36,Strike2,AO36,AO36,CW36,CO36-1,IF(OptControl=3,1,0),0),0)</f>
        <v>0</v>
      </c>
      <c r="DF36" s="1"/>
      <c r="DG36" s="481" t="n">
        <f aca="false">EOMONTH(DG35,0)+1</f>
        <v>46174</v>
      </c>
      <c r="DH36" s="478" t="n">
        <v>21.75</v>
      </c>
      <c r="DI36" s="479" t="n">
        <v>21.38</v>
      </c>
      <c r="DJ36" s="480" t="n">
        <f aca="false">DG36</f>
        <v>46174</v>
      </c>
      <c r="DK36" s="478" t="n">
        <v>20.39</v>
      </c>
      <c r="DL36" s="479" t="n">
        <v>19.9811111111111</v>
      </c>
      <c r="DM36" s="481" t="n">
        <f aca="false">DG36</f>
        <v>46174</v>
      </c>
      <c r="DN36" s="482" t="n">
        <f aca="false">DK36+BrentPhyBrentSpread</f>
        <v>20.44</v>
      </c>
      <c r="DO36" s="481" t="n">
        <f aca="false">DG36</f>
        <v>46174</v>
      </c>
      <c r="DP36" s="483" t="n">
        <f aca="false">DL36+DQ36</f>
        <v>20.1311111111111</v>
      </c>
      <c r="DQ36" s="546" t="n">
        <v>0.15</v>
      </c>
      <c r="DR36" s="480" t="n">
        <f aca="false">DG36</f>
        <v>46174</v>
      </c>
      <c r="DS36" s="485" t="n">
        <v>0.245426594227977</v>
      </c>
      <c r="DT36" s="486" t="n">
        <v>0.242901350822628</v>
      </c>
      <c r="DU36" s="480" t="n">
        <f aca="false">DG36</f>
        <v>46174</v>
      </c>
      <c r="DV36" s="485" t="n">
        <v>0.245426594227977</v>
      </c>
      <c r="DW36" s="486" t="n">
        <v>0.242901350822628</v>
      </c>
      <c r="DX36" s="481" t="n">
        <f aca="false">DG36</f>
        <v>46174</v>
      </c>
      <c r="DY36" s="486" t="n">
        <v>0.35000244140625</v>
      </c>
      <c r="DZ36" s="481" t="n">
        <f aca="false">DR36</f>
        <v>46174</v>
      </c>
      <c r="EA36" s="486" t="n">
        <f aca="false">DT36</f>
        <v>0.242901350822628</v>
      </c>
      <c r="EB36" s="195"/>
      <c r="EC36" s="547" t="str">
        <f aca="false">IF(BD36,IF(Underlying=1,AS36,AU36),"")</f>
        <v/>
      </c>
      <c r="ED36" s="548" t="str">
        <f aca="false">IF($BD36,$EC36+IF(VolSkewFlag=1,IF(BS36&gt;0,$BA36*MIN(BS36/10%,1)+($BB36-$BA36)*MAX(0,MIN(BS36/10%-1,1))+($BC36-$BB36)*MAX(0,BS36/10%-2),$AZ36*MIN(-BS36/10%,1)+($AY36-$AZ36)*MAX(0,MIN(-BS36/10%-1,1))+($AX36-$AY36)*MAX(0,-BS36/10%-2)),0),"")</f>
        <v/>
      </c>
      <c r="EE36" s="549" t="str">
        <f aca="false">IF($BD36,$EC36+IF(VolSkewFlag=1,IF(BT36&gt;0,$BA36*MIN(BT36/10%,1)+($BB36-$BA36)*MAX(0,MIN(BT36/10%-1,1))+($BC36-$BB36)*MAX(0,BT36/10%-2),$AZ36*MIN(-BT36/10%,1)+($AY36-$AZ36)*MAX(0,MIN(-BT36/10%-1,1))+($AX36-$AY36)*MAX(0,-BT36/10%-2)),0),"")</f>
        <v/>
      </c>
      <c r="EF36" s="550" t="n">
        <f aca="false">IF(BD36,xASN(BR36,Strike1,AO36,ED36,0,BO36,0,BI36,BL36,IF(OptControl=4,0,1),0),0)</f>
        <v>0</v>
      </c>
      <c r="EG36" s="551" t="n">
        <f aca="false">IF(BD36,xASN(BR36,Strike2,AO36,EE36,0,BO36,0,BI36,BL36,IF(OptControl=3,1,0),0),0)</f>
        <v>0</v>
      </c>
      <c r="EH36" s="3"/>
      <c r="EI36" s="583" t="str">
        <f aca="false">DDE("TWINDDE","RSFRecord","CLc17 MTH")</f>
        <v>JAN2</v>
      </c>
      <c r="EJ36" s="584" t="n">
        <f aca="false">DATEVALUE(CONCATENATE(LEFT(EI36,3),"-",IF(VALUE(RIGHT(EI36,1))=9,"1999",CONCATENATE("200",RIGHT(EI36,1)))))</f>
        <v>37257</v>
      </c>
      <c r="EK36" s="585" t="n">
        <f aca="false">DDE("TWINDDE","RSFRecord","CLc17 NET.CHNG")</f>
        <v>0</v>
      </c>
      <c r="EL36" s="586" t="n">
        <f aca="false">IF(ISNUMBER(VALUE(EK36)),VALUE(EK36)*100,0)</f>
        <v>0</v>
      </c>
      <c r="EM36" s="195"/>
      <c r="EN36" s="556" t="n">
        <v>37622</v>
      </c>
      <c r="EO36" s="557" t="n">
        <v>39448</v>
      </c>
      <c r="EP36" s="195"/>
      <c r="EQ36" s="407" t="s">
        <v>256</v>
      </c>
      <c r="ES36" s="587" t="n">
        <v>17</v>
      </c>
      <c r="ET36" s="559" t="n">
        <f aca="false">BH36/365.25</f>
        <v>-23.7809719370294</v>
      </c>
      <c r="EU36" s="560" t="n">
        <f aca="false">O36^2*ET36</f>
        <v>-0</v>
      </c>
      <c r="EV36" s="588" t="e">
        <f aca="false">SQRT(SUM(FK36:ID36)/ET36)</f>
        <v>#VALUE!</v>
      </c>
      <c r="EW36" s="589" t="n">
        <f aca="false">IF(OR(DateStart2&gt;I35,DateEnd2&lt;I34),"",IF(DateStart2&lt;I35,AK34/AI34*AP34*BE34*SwaptionNumOfMonths/$D$33,0)+IF(DateEnd2&gt;I34,AJ35/AI35*AP35*BE35*SwaptionNumOfMonths/$D$33,0))</f>
        <v>1.05909090909091</v>
      </c>
      <c r="EX36" s="590" t="e">
        <f aca="false">IF(EW36="","",SQRT(SUM(FK341:ID341)/SwaptionYearsToExp))</f>
        <v>#VALUE!</v>
      </c>
      <c r="EY36" s="129" t="n">
        <v>0</v>
      </c>
      <c r="EZ36" s="591" t="n">
        <f aca="false">IF(OR(EW36="",EW37=""),"",SQRT(SUM(INDEX(FK36:ID36,SwaptionFirstMonthPosition+1):INDEX(FK36:ID36,FJ36))/SUM(INDEX($FK$15:$ID$15,SwaptionFirstMonthPosition+1):INDEX($FK$15:$ID$15,FJ36))))</f>
        <v>0.24583913710153</v>
      </c>
      <c r="FA36" s="592" t="n">
        <f aca="false">IF(OR(EW36="",EW35=""),"",SQRT(SUM(INDEX(FK36:ID36,SwaptionFirstMonthPosition+1):INDEX(FK36:ID36,FJ36-1))/SUM(INDEX($FK$15:$ID$15,SwaptionFirstMonthPosition+1):INDEX($FK$15:$ID$15,FJ36-1))))</f>
        <v>0.232827571093262</v>
      </c>
      <c r="FB36" s="593" t="str">
        <f aca="false">IF(BE36,2/3*EZ37+1/3*FA38,"")</f>
        <v/>
      </c>
      <c r="FC36" s="596" t="str">
        <f aca="false">IF(BE36,(I37+I36-1)/2-DateToday,"")</f>
        <v/>
      </c>
      <c r="FD36" s="483" t="str">
        <f aca="false">IF(BE36,CHOOSE(Underlying,X36,Z36)+SwaptionUnderlyingPrice-$D$26,"")</f>
        <v/>
      </c>
      <c r="FE36" s="483" t="str">
        <f aca="false">IF(BE36,CollartionFloor/FD36-1,"")</f>
        <v/>
      </c>
      <c r="FF36" s="483" t="str">
        <f aca="false">IF(BE36,CollartionCap/FD36-1,"")</f>
        <v/>
      </c>
      <c r="FG36" s="485" t="str">
        <f aca="false">IF(BE36,IF(VolSkewFlag=1,IF(FE36&gt;0,$BA36*MIN(FE36/10%,1)+($BB36-$BA36)*MAX(0,MIN(FE36/10%-1,1))+($BC36-$BB36)*MAX(0,FE36/10%-2),$AZ36*MIN(-FE36/10%,1)+($AY36-$AZ36)*MAX(0,MIN(-FE36/10%-1,1))+($AX36-$AY36)*MAX(0,-FE36/10%-2)),0),"")</f>
        <v/>
      </c>
      <c r="FH36" s="486" t="str">
        <f aca="false">IF(BE36,IF(VolSkewFlag=1,IF(FF36&gt;0,$BA36*MIN(FF36/10%,1)+($BB36-$BA36)*MAX(0,MIN(FF36/10%-1,1))+($BC36-$BB36)*MAX(0,FF36/10%-2),$AZ36*MIN(-FF36/10%,1)+($AY36-$AZ36)*MAX(0,MIN(-FF36/10%-1,1))+($AX36-$AY36)*MAX(0,-FF36/10%-2)),0),"")</f>
        <v/>
      </c>
      <c r="FI36" s="129"/>
      <c r="FJ36" s="571" t="n">
        <v>17</v>
      </c>
      <c r="FK36" s="150" t="n">
        <f aca="false">IF(FK$19&gt;$FJ36,"",MAX(0,IF(FK$19=$FJ36,$S36^2*FK$15,FK35*INDEX($T$20:$T$91,$FJ36-FK$19)^2/INDEX($U$20:$U$91,$FJ36-FK$19))))</f>
        <v>0</v>
      </c>
      <c r="FL36" s="150" t="n">
        <f aca="false">IF(FL$19&gt;$FJ36,"",MAX(0,IF(FL$19=$FJ36,$S36^2*FL$15,FL35*INDEX($T$20:$T$91,$FJ36-FL$19)^2/INDEX($U$20:$U$91,$FJ36-FL$19))))</f>
        <v>0</v>
      </c>
      <c r="FM36" s="150" t="n">
        <f aca="false">IF(FM$19&gt;$FJ36,"",MAX(0,IF(FM$19=$FJ36,$S36^2*FM$15,FM35*INDEX($T$20:$T$91,$FJ36-FM$19)^2/INDEX($U$20:$U$91,$FJ36-FM$19))))</f>
        <v>0.00303089283531748</v>
      </c>
      <c r="FN36" s="150" t="n">
        <f aca="false">IF(FN$19&gt;$FJ36,"",MAX(0,IF(FN$19=$FJ36,$S36^2*FN$15,FN35*INDEX($T$20:$T$91,$FJ36-FN$19)^2/INDEX($U$20:$U$91,$FJ36-FN$19))))</f>
        <v>0.00262804975921353</v>
      </c>
      <c r="FO36" s="150" t="n">
        <f aca="false">IF(FO$19&gt;$FJ36,"",MAX(0,IF(FO$19=$FJ36,$S36^2*FO$15,FO35*INDEX($T$20:$T$91,$FJ36-FO$19)^2/INDEX($U$20:$U$91,$FJ36-FO$19))))</f>
        <v>0.00283060872286952</v>
      </c>
      <c r="FP36" s="150" t="n">
        <f aca="false">IF(FP$19&gt;$FJ36,"",MAX(0,IF(FP$19=$FJ36,$S36^2*FP$15,FP35*INDEX($T$20:$T$91,$FJ36-FP$19)^2/INDEX($U$20:$U$91,$FJ36-FP$19))))</f>
        <v>0.00326763604359554</v>
      </c>
      <c r="FQ36" s="150" t="n">
        <f aca="false">IF(FQ$19&gt;$FJ36,"",MAX(0,IF(FQ$19=$FJ36,$S36^2*FQ$15,FQ35*INDEX($T$20:$T$91,$FJ36-FQ$19)^2/INDEX($U$20:$U$91,$FJ36-FQ$19))))</f>
        <v>0.00277567298543995</v>
      </c>
      <c r="FR36" s="150" t="n">
        <f aca="false">IF(FR$19&gt;$FJ36,"",MAX(0,IF(FR$19=$FJ36,$S36^2*FR$15,FR35*INDEX($T$20:$T$91,$FJ36-FR$19)^2/INDEX($U$20:$U$91,$FJ36-FR$19))))</f>
        <v>0.00300270821828134</v>
      </c>
      <c r="FS36" s="150" t="n">
        <f aca="false">IF(FS$19&gt;$FJ36,"",MAX(0,IF(FS$19=$FJ36,$S36^2*FS$15,FS35*INDEX($T$20:$T$91,$FJ36-FS$19)^2/INDEX($U$20:$U$91,$FJ36-FS$19))))</f>
        <v>0.00361580570468332</v>
      </c>
      <c r="FT36" s="150" t="n">
        <f aca="false">IF(FT$19&gt;$FJ36,"",MAX(0,IF(FT$19=$FJ36,$S36^2*FT$15,FT35*INDEX($T$20:$T$91,$FJ36-FT$19)^2/INDEX($U$20:$U$91,$FJ36-FT$19))))</f>
        <v>0.00352784131871036</v>
      </c>
      <c r="FU36" s="150" t="n">
        <f aca="false">IF(FU$19&gt;$FJ36,"",MAX(0,IF(FU$19=$FJ36,$S36^2*FU$15,FU35*INDEX($T$20:$T$91,$FJ36-FU$19)^2/INDEX($U$20:$U$91,$FJ36-FU$19))))</f>
        <v>0.00371780111874174</v>
      </c>
      <c r="FV36" s="150" t="n">
        <f aca="false">IF(FV$19&gt;$FJ36,"",MAX(0,IF(FV$19=$FJ36,$S36^2*FV$15,FV35*INDEX($T$20:$T$91,$FJ36-FV$19)^2/INDEX($U$20:$U$91,$FJ36-FV$19))))</f>
        <v>0.00455277849128116</v>
      </c>
      <c r="FW36" s="150" t="n">
        <f aca="false">IF(FW$19&gt;$FJ36,"",MAX(0,IF(FW$19=$FJ36,$S36^2*FW$15,FW35*INDEX($T$20:$T$91,$FJ36-FW$19)^2/INDEX($U$20:$U$91,$FJ36-FW$19))))</f>
        <v>0.00483549753796557</v>
      </c>
      <c r="FX36" s="150" t="n">
        <f aca="false">IF(FX$19&gt;$FJ36,"",MAX(0,IF(FX$19=$FJ36,$S36^2*FX$15,FX35*INDEX($T$20:$T$91,$FJ36-FX$19)^2/INDEX($U$20:$U$91,$FJ36-FX$19))))</f>
        <v>0.00598641122968579</v>
      </c>
      <c r="FY36" s="150" t="n">
        <f aca="false">IF(FY$19&gt;$FJ36,"",MAX(0,IF(FY$19=$FJ36,$S36^2*FY$15,FY35*INDEX($T$20:$T$91,$FJ36-FY$19)^2/INDEX($U$20:$U$91,$FJ36-FY$19))))</f>
        <v>0.0067032981068364</v>
      </c>
      <c r="FZ36" s="150" t="n">
        <f aca="false">IF(FZ$19&gt;$FJ36,"",MAX(0,IF(FZ$19=$FJ36,$S36^2*FZ$15,FZ35*INDEX($T$20:$T$91,$FJ36-FZ$19)^2/INDEX($U$20:$U$91,$FJ36-FZ$19))))</f>
        <v>0.0077336651475797</v>
      </c>
      <c r="GA36" s="150" t="n">
        <f aca="false">IF(GA$19&gt;$FJ36,"",MAX(0,IF(GA$19=$FJ36,$S36^2*GA$15,GA35*INDEX($T$20:$T$91,$FJ36-GA$19)^2/INDEX($U$20:$U$91,$FJ36-GA$19))))</f>
        <v>0.0106763986372434</v>
      </c>
      <c r="GB36" s="150" t="str">
        <f aca="false">IF(GB$19&gt;$FJ36,"",MAX(0,IF(GB$19=$FJ36,$S36^2*GB$15,GB35*INDEX($T$20:$T$91,$FJ36-GB$19)^2/INDEX($U$20:$U$91,$FJ36-GB$19))))</f>
        <v/>
      </c>
      <c r="GC36" s="150" t="str">
        <f aca="false">IF(GC$19&gt;$FJ36,"",MAX(0,IF(GC$19=$FJ36,$S36^2*GC$15,GC35*INDEX($T$20:$T$91,$FJ36-GC$19)^2/INDEX($U$20:$U$91,$FJ36-GC$19))))</f>
        <v/>
      </c>
      <c r="GD36" s="150" t="str">
        <f aca="false">IF(GD$19&gt;$FJ36,"",MAX(0,IF(GD$19=$FJ36,$S36^2*GD$15,GD35*INDEX($T$20:$T$91,$FJ36-GD$19)^2/INDEX($U$20:$U$91,$FJ36-GD$19))))</f>
        <v/>
      </c>
      <c r="GE36" s="150" t="str">
        <f aca="false">IF(GE$19&gt;$FJ36,"",MAX(0,IF(GE$19=$FJ36,$S36^2*GE$15,GE35*INDEX($T$20:$T$91,$FJ36-GE$19)^2/INDEX($U$20:$U$91,$FJ36-GE$19))))</f>
        <v/>
      </c>
      <c r="GF36" s="150" t="str">
        <f aca="false">IF(GF$19&gt;$FJ36,"",MAX(0,IF(GF$19=$FJ36,$S36^2*GF$15,GF35*INDEX($T$20:$T$91,$FJ36-GF$19)^2/INDEX($U$20:$U$91,$FJ36-GF$19))))</f>
        <v/>
      </c>
      <c r="GG36" s="150" t="str">
        <f aca="false">IF(GG$19&gt;$FJ36,"",MAX(0,IF(GG$19=$FJ36,$S36^2*GG$15,GG35*INDEX($T$20:$T$91,$FJ36-GG$19)^2/INDEX($U$20:$U$91,$FJ36-GG$19))))</f>
        <v/>
      </c>
      <c r="GH36" s="150" t="str">
        <f aca="false">IF(GH$19&gt;$FJ36,"",MAX(0,IF(GH$19=$FJ36,$S36^2*GH$15,GH35*INDEX($T$20:$T$91,$FJ36-GH$19)^2/INDEX($U$20:$U$91,$FJ36-GH$19))))</f>
        <v/>
      </c>
      <c r="GI36" s="150" t="str">
        <f aca="false">IF(GI$19&gt;$FJ36,"",MAX(0,IF(GI$19=$FJ36,$S36^2*GI$15,GI35*INDEX($T$20:$T$91,$FJ36-GI$19)^2/INDEX($U$20:$U$91,$FJ36-GI$19))))</f>
        <v/>
      </c>
      <c r="GJ36" s="150" t="str">
        <f aca="false">IF(GJ$19&gt;$FJ36,"",MAX(0,IF(GJ$19=$FJ36,$S36^2*GJ$15,GJ35*INDEX($T$20:$T$91,$FJ36-GJ$19)^2/INDEX($U$20:$U$91,$FJ36-GJ$19))))</f>
        <v/>
      </c>
      <c r="GK36" s="150" t="str">
        <f aca="false">IF(GK$19&gt;$FJ36,"",MAX(0,IF(GK$19=$FJ36,$S36^2*GK$15,GK35*INDEX($T$20:$T$91,$FJ36-GK$19)^2/INDEX($U$20:$U$91,$FJ36-GK$19))))</f>
        <v/>
      </c>
      <c r="GL36" s="150" t="str">
        <f aca="false">IF(GL$19&gt;$FJ36,"",MAX(0,IF(GL$19=$FJ36,$S36^2*GL$15,GL35*INDEX($T$20:$T$91,$FJ36-GL$19)^2/INDEX($U$20:$U$91,$FJ36-GL$19))))</f>
        <v/>
      </c>
      <c r="GM36" s="150" t="str">
        <f aca="false">IF(GM$19&gt;$FJ36,"",MAX(0,IF(GM$19=$FJ36,$S36^2*GM$15,GM35*INDEX($T$20:$T$91,$FJ36-GM$19)^2/INDEX($U$20:$U$91,$FJ36-GM$19))))</f>
        <v/>
      </c>
      <c r="GN36" s="150" t="str">
        <f aca="false">IF(GN$19&gt;$FJ36,"",MAX(0,IF(GN$19=$FJ36,$S36^2*GN$15,GN35*INDEX($T$20:$T$91,$FJ36-GN$19)^2/INDEX($U$20:$U$91,$FJ36-GN$19))))</f>
        <v/>
      </c>
      <c r="GO36" s="150" t="str">
        <f aca="false">IF(GO$19&gt;$FJ36,"",MAX(0,IF(GO$19=$FJ36,$S36^2*GO$15,GO35*INDEX($T$20:$T$91,$FJ36-GO$19)^2/INDEX($U$20:$U$91,$FJ36-GO$19))))</f>
        <v/>
      </c>
      <c r="GP36" s="150" t="str">
        <f aca="false">IF(GP$19&gt;$FJ36,"",MAX(0,IF(GP$19=$FJ36,$S36^2*GP$15,GP35*INDEX($T$20:$T$91,$FJ36-GP$19)^2/INDEX($U$20:$U$91,$FJ36-GP$19))))</f>
        <v/>
      </c>
      <c r="GQ36" s="150" t="str">
        <f aca="false">IF(GQ$19&gt;$FJ36,"",MAX(0,IF(GQ$19=$FJ36,$S36^2*GQ$15,GQ35*INDEX($T$20:$T$91,$FJ36-GQ$19)^2/INDEX($U$20:$U$91,$FJ36-GQ$19))))</f>
        <v/>
      </c>
      <c r="GR36" s="150" t="str">
        <f aca="false">IF(GR$19&gt;$FJ36,"",MAX(0,IF(GR$19=$FJ36,$S36^2*GR$15,GR35*INDEX($T$20:$T$91,$FJ36-GR$19)^2/INDEX($U$20:$U$91,$FJ36-GR$19))))</f>
        <v/>
      </c>
      <c r="GS36" s="150" t="str">
        <f aca="false">IF(GS$19&gt;$FJ36,"",MAX(0,IF(GS$19=$FJ36,$S36^2*GS$15,GS35*INDEX($T$20:$T$91,$FJ36-GS$19)^2/INDEX($U$20:$U$91,$FJ36-GS$19))))</f>
        <v/>
      </c>
      <c r="GT36" s="150" t="str">
        <f aca="false">IF(GT$19&gt;$FJ36,"",MAX(0,IF(GT$19=$FJ36,$S36^2*GT$15,GT35*INDEX($T$20:$T$91,$FJ36-GT$19)^2/INDEX($U$20:$U$91,$FJ36-GT$19))))</f>
        <v/>
      </c>
      <c r="GU36" s="150" t="str">
        <f aca="false">IF(GU$19&gt;$FJ36,"",MAX(0,IF(GU$19=$FJ36,$S36^2*GU$15,GU35*INDEX($T$20:$T$91,$FJ36-GU$19)^2/INDEX($U$20:$U$91,$FJ36-GU$19))))</f>
        <v/>
      </c>
      <c r="GV36" s="150" t="str">
        <f aca="false">IF(GV$19&gt;$FJ36,"",MAX(0,IF(GV$19=$FJ36,$S36^2*GV$15,GV35*INDEX($T$20:$T$91,$FJ36-GV$19)^2/INDEX($U$20:$U$91,$FJ36-GV$19))))</f>
        <v/>
      </c>
      <c r="GW36" s="150" t="str">
        <f aca="false">IF(GW$19&gt;$FJ36,"",MAX(0,IF(GW$19=$FJ36,$S36^2*GW$15,GW35*INDEX($T$20:$T$91,$FJ36-GW$19)^2/INDEX($U$20:$U$91,$FJ36-GW$19))))</f>
        <v/>
      </c>
      <c r="GX36" s="150" t="str">
        <f aca="false">IF(GX$19&gt;$FJ36,"",MAX(0,IF(GX$19=$FJ36,$S36^2*GX$15,GX35*INDEX($T$20:$T$91,$FJ36-GX$19)^2/INDEX($U$20:$U$91,$FJ36-GX$19))))</f>
        <v/>
      </c>
      <c r="GY36" s="150" t="str">
        <f aca="false">IF(GY$19&gt;$FJ36,"",MAX(0,IF(GY$19=$FJ36,$S36^2*GY$15,GY35*INDEX($T$20:$T$91,$FJ36-GY$19)^2/INDEX($U$20:$U$91,$FJ36-GY$19))))</f>
        <v/>
      </c>
      <c r="GZ36" s="150" t="str">
        <f aca="false">IF(GZ$19&gt;$FJ36,"",MAX(0,IF(GZ$19=$FJ36,$S36^2*GZ$15,GZ35*INDEX($T$20:$T$91,$FJ36-GZ$19)^2/INDEX($U$20:$U$91,$FJ36-GZ$19))))</f>
        <v/>
      </c>
      <c r="HA36" s="150" t="str">
        <f aca="false">IF(HA$19&gt;$FJ36,"",MAX(0,IF(HA$19=$FJ36,$S36^2*HA$15,HA35*INDEX($T$20:$T$91,$FJ36-HA$19)^2/INDEX($U$20:$U$91,$FJ36-HA$19))))</f>
        <v/>
      </c>
      <c r="HB36" s="150" t="str">
        <f aca="false">IF(HB$19&gt;$FJ36,"",MAX(0,IF(HB$19=$FJ36,$S36^2*HB$15,HB35*INDEX($T$20:$T$91,$FJ36-HB$19)^2/INDEX($U$20:$U$91,$FJ36-HB$19))))</f>
        <v/>
      </c>
      <c r="HC36" s="150" t="str">
        <f aca="false">IF(HC$19&gt;$FJ36,"",MAX(0,IF(HC$19=$FJ36,$S36^2*HC$15,HC35*INDEX($T$20:$T$91,$FJ36-HC$19)^2/INDEX($U$20:$U$91,$FJ36-HC$19))))</f>
        <v/>
      </c>
      <c r="HD36" s="150" t="str">
        <f aca="false">IF(HD$19&gt;$FJ36,"",MAX(0,IF(HD$19=$FJ36,$S36^2*HD$15,HD35*INDEX($T$20:$T$91,$FJ36-HD$19)^2/INDEX($U$20:$U$91,$FJ36-HD$19))))</f>
        <v/>
      </c>
      <c r="HE36" s="150" t="str">
        <f aca="false">IF(HE$19&gt;$FJ36,"",MAX(0,IF(HE$19=$FJ36,$S36^2*HE$15,HE35*INDEX($T$20:$T$91,$FJ36-HE$19)^2/INDEX($U$20:$U$91,$FJ36-HE$19))))</f>
        <v/>
      </c>
      <c r="HF36" s="150" t="str">
        <f aca="false">IF(HF$19&gt;$FJ36,"",MAX(0,IF(HF$19=$FJ36,$S36^2*HF$15,HF35*INDEX($T$20:$T$91,$FJ36-HF$19)^2/INDEX($U$20:$U$91,$FJ36-HF$19))))</f>
        <v/>
      </c>
      <c r="HG36" s="150" t="str">
        <f aca="false">IF(HG$19&gt;$FJ36,"",MAX(0,IF(HG$19=$FJ36,$S36^2*HG$15,HG35*INDEX($T$20:$T$91,$FJ36-HG$19)^2/INDEX($U$20:$U$91,$FJ36-HG$19))))</f>
        <v/>
      </c>
      <c r="HH36" s="150" t="str">
        <f aca="false">IF(HH$19&gt;$FJ36,"",MAX(0,IF(HH$19=$FJ36,$S36^2*HH$15,HH35*INDEX($T$20:$T$91,$FJ36-HH$19)^2/INDEX($U$20:$U$91,$FJ36-HH$19))))</f>
        <v/>
      </c>
      <c r="HI36" s="150" t="str">
        <f aca="false">IF(HI$19&gt;$FJ36,"",MAX(0,IF(HI$19=$FJ36,$S36^2*HI$15,HI35*INDEX($T$20:$T$91,$FJ36-HI$19)^2/INDEX($U$20:$U$91,$FJ36-HI$19))))</f>
        <v/>
      </c>
      <c r="HJ36" s="150" t="str">
        <f aca="false">IF(HJ$19&gt;$FJ36,"",MAX(0,IF(HJ$19=$FJ36,$S36^2*HJ$15,HJ35*INDEX($T$20:$T$91,$FJ36-HJ$19)^2/INDEX($U$20:$U$91,$FJ36-HJ$19))))</f>
        <v/>
      </c>
      <c r="HK36" s="150" t="str">
        <f aca="false">IF(HK$19&gt;$FJ36,"",MAX(0,IF(HK$19=$FJ36,$S36^2*HK$15,HK35*INDEX($T$20:$T$91,$FJ36-HK$19)^2/INDEX($U$20:$U$91,$FJ36-HK$19))))</f>
        <v/>
      </c>
      <c r="HL36" s="150" t="str">
        <f aca="false">IF(HL$19&gt;$FJ36,"",MAX(0,IF(HL$19=$FJ36,$S36^2*HL$15,HL35*INDEX($T$20:$T$91,$FJ36-HL$19)^2/INDEX($U$20:$U$91,$FJ36-HL$19))))</f>
        <v/>
      </c>
      <c r="HM36" s="150" t="str">
        <f aca="false">IF(HM$19&gt;$FJ36,"",MAX(0,IF(HM$19=$FJ36,$S36^2*HM$15,HM35*INDEX($T$20:$T$91,$FJ36-HM$19)^2/INDEX($U$20:$U$91,$FJ36-HM$19))))</f>
        <v/>
      </c>
      <c r="HN36" s="150" t="str">
        <f aca="false">IF(HN$19&gt;$FJ36,"",MAX(0,IF(HN$19=$FJ36,$S36^2*HN$15,HN35*INDEX($T$20:$T$91,$FJ36-HN$19)^2/INDEX($U$20:$U$91,$FJ36-HN$19))))</f>
        <v/>
      </c>
      <c r="HO36" s="150" t="str">
        <f aca="false">IF(HO$19&gt;$FJ36,"",MAX(0,IF(HO$19=$FJ36,$S36^2*HO$15,HO35*INDEX($T$20:$T$91,$FJ36-HO$19)^2/INDEX($U$20:$U$91,$FJ36-HO$19))))</f>
        <v/>
      </c>
      <c r="HP36" s="150" t="str">
        <f aca="false">IF(HP$19&gt;$FJ36,"",MAX(0,IF(HP$19=$FJ36,$S36^2*HP$15,HP35*INDEX($T$20:$T$91,$FJ36-HP$19)^2/INDEX($U$20:$U$91,$FJ36-HP$19))))</f>
        <v/>
      </c>
      <c r="HQ36" s="150" t="str">
        <f aca="false">IF(HQ$19&gt;$FJ36,"",MAX(0,IF(HQ$19=$FJ36,$S36^2*HQ$15,HQ35*INDEX($T$20:$T$91,$FJ36-HQ$19)^2/INDEX($U$20:$U$91,$FJ36-HQ$19))))</f>
        <v/>
      </c>
      <c r="HR36" s="150" t="str">
        <f aca="false">IF(HR$19&gt;$FJ36,"",MAX(0,IF(HR$19=$FJ36,$S36^2*HR$15,HR35*INDEX($T$20:$T$91,$FJ36-HR$19)^2/INDEX($U$20:$U$91,$FJ36-HR$19))))</f>
        <v/>
      </c>
      <c r="HS36" s="150" t="str">
        <f aca="false">IF(HS$19&gt;$FJ36,"",MAX(0,IF(HS$19=$FJ36,$S36^2*HS$15,HS35*INDEX($T$20:$T$91,$FJ36-HS$19)^2/INDEX($U$20:$U$91,$FJ36-HS$19))))</f>
        <v/>
      </c>
      <c r="HT36" s="150" t="str">
        <f aca="false">IF(HT$19&gt;$FJ36,"",MAX(0,IF(HT$19=$FJ36,$S36^2*HT$15,HT35*INDEX($T$20:$T$91,$FJ36-HT$19)^2/INDEX($U$20:$U$91,$FJ36-HT$19))))</f>
        <v/>
      </c>
      <c r="HU36" s="150" t="str">
        <f aca="false">IF(HU$19&gt;$FJ36,"",MAX(0,IF(HU$19=$FJ36,$S36^2*HU$15,HU35*INDEX($T$20:$T$91,$FJ36-HU$19)^2/INDEX($U$20:$U$91,$FJ36-HU$19))))</f>
        <v/>
      </c>
      <c r="HV36" s="150" t="str">
        <f aca="false">IF(HV$19&gt;$FJ36,"",MAX(0,IF(HV$19=$FJ36,$S36^2*HV$15,HV35*INDEX($T$20:$T$91,$FJ36-HV$19)^2/INDEX($U$20:$U$91,$FJ36-HV$19))))</f>
        <v/>
      </c>
      <c r="HW36" s="150" t="str">
        <f aca="false">IF(HW$19&gt;$FJ36,"",MAX(0,IF(HW$19=$FJ36,$S36^2*HW$15,HW35*INDEX($T$20:$T$91,$FJ36-HW$19)^2/INDEX($U$20:$U$91,$FJ36-HW$19))))</f>
        <v/>
      </c>
      <c r="HX36" s="150" t="str">
        <f aca="false">IF(HX$19&gt;$FJ36,"",MAX(0,IF(HX$19=$FJ36,$S36^2*HX$15,HX35*INDEX($T$20:$T$91,$FJ36-HX$19)^2/INDEX($U$20:$U$91,$FJ36-HX$19))))</f>
        <v/>
      </c>
      <c r="HY36" s="150" t="str">
        <f aca="false">IF(HY$19&gt;$FJ36,"",MAX(0,IF(HY$19=$FJ36,$S36^2*HY$15,HY35*INDEX($T$20:$T$91,$FJ36-HY$19)^2/INDEX($U$20:$U$91,$FJ36-HY$19))))</f>
        <v/>
      </c>
      <c r="HZ36" s="150" t="str">
        <f aca="false">IF(HZ$19&gt;$FJ36,"",MAX(0,IF(HZ$19=$FJ36,$S36^2*HZ$15,HZ35*INDEX($T$20:$T$91,$FJ36-HZ$19)^2/INDEX($U$20:$U$91,$FJ36-HZ$19))))</f>
        <v/>
      </c>
      <c r="IA36" s="150" t="str">
        <f aca="false">IF(IA$19&gt;$FJ36,"",MAX(0,IF(IA$19=$FJ36,$S36^2*IA$15,IA35*INDEX($T$20:$T$91,$FJ36-IA$19)^2/INDEX($U$20:$U$91,$FJ36-IA$19))))</f>
        <v/>
      </c>
      <c r="IB36" s="150" t="str">
        <f aca="false">IF(IB$19&gt;$FJ36,"",MAX(0,IF(IB$19=$FJ36,$S36^2*IB$15,IB35*INDEX($T$20:$T$91,$FJ36-IB$19)^2/INDEX($U$20:$U$91,$FJ36-IB$19))))</f>
        <v/>
      </c>
      <c r="IC36" s="150" t="str">
        <f aca="false">IF(IC$19&gt;$FJ36,"",MAX(0,IF(IC$19=$FJ36,$S36^2*IC$15,IC35*INDEX($T$20:$T$91,$FJ36-IC$19)^2/INDEX($U$20:$U$91,$FJ36-IC$19))))</f>
        <v/>
      </c>
      <c r="ID36" s="572" t="str">
        <f aca="false">IF(ID$19&gt;$FJ36,"",MAX(0,IF(ID$19=$FJ36,$S36^2*ID$15,ID35*INDEX($T$20:$T$91,$FJ36-ID$19)^2/INDEX($U$20:$U$91,$FJ36-ID$19))))</f>
        <v/>
      </c>
      <c r="IE36" s="129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</row>
    <row r="37" customFormat="false" ht="15.75" hidden="false" customHeight="true" outlineLevel="0" collapsed="false">
      <c r="A37" s="219"/>
      <c r="B37" s="182"/>
      <c r="C37" s="183" t="s">
        <v>105</v>
      </c>
      <c r="D37" s="80" t="s">
        <v>106</v>
      </c>
      <c r="E37" s="80" t="s">
        <v>107</v>
      </c>
      <c r="F37" s="346" t="str">
        <f aca="false">CONCATENATE(DaysForThetaCalculation,"-d Theta")</f>
        <v>1-d Theta</v>
      </c>
      <c r="G37" s="645" t="s">
        <v>185</v>
      </c>
      <c r="H37" s="219" t="n">
        <f aca="false">VLOOKUP(I37,$EJ$20:$EL$54,3)</f>
        <v>0</v>
      </c>
      <c r="I37" s="511" t="n">
        <f aca="false">EOMONTH(I36,0)+1</f>
        <v>37288</v>
      </c>
      <c r="J37" s="512"/>
      <c r="K37" s="513" t="s">
        <v>226</v>
      </c>
      <c r="L37" s="514" t="e">
        <f aca="false">IF(ISNUMBER(K37),J37+K37/100,IF(K37="extra",L36+VLOOKUP(BF37,PriceSpreadTable,2)/12,IF(K37="inter",interpolateprices($K$19:$L$200,ROW(K37)-ROW(FirstPricingMonth)+1),interpolatechanges($J$19:$K$200,ROW(K37)-ROW(FirstPricingMonth)+1))))</f>
        <v>#VALUE!</v>
      </c>
      <c r="M37" s="515"/>
      <c r="N37" s="516" t="n">
        <v>0</v>
      </c>
      <c r="O37" s="515" t="n">
        <f aca="false">M37+N37</f>
        <v>0</v>
      </c>
      <c r="P37" s="512"/>
      <c r="Q37" s="517" t="s">
        <v>250</v>
      </c>
      <c r="R37" s="512" t="e">
        <f aca="false">IF(ISNUMBER(Q37),P37+Q37/100,IF(Q37="extra",(Z35*AL35-R36*AM35)/AN35,IF(Q37="inter",interpolateprices($Q$19:$R$260,ROW(Q37)-ROW(FirstPricingMonth)+1),interpolatechanges($P$19:$Q$260,ROW(Q37)-ROW(FirstPricingMonth)+1))))</f>
        <v>#VALUE!</v>
      </c>
      <c r="S37" s="597" t="n">
        <f aca="false">S$19+(S36-S$19)*S$18</f>
        <v>0.360400903830305</v>
      </c>
      <c r="T37" s="575" t="n">
        <f aca="false">SQRT((1-(1-T36^2/U36)*T$18)*U37)</f>
        <v>0.992080451236286</v>
      </c>
      <c r="U37" s="576" t="n">
        <f aca="false">1-(1-U36)*U$18</f>
        <v>0.999887245797727</v>
      </c>
      <c r="V37" s="521" t="n">
        <v>0</v>
      </c>
      <c r="W37" s="577" t="n">
        <f aca="false">(J38*AJ37+J39*AK37)/AI37</f>
        <v>0</v>
      </c>
      <c r="X37" s="578" t="e">
        <f aca="false">(L38*AJ37+L39*AK37)/AI37</f>
        <v>#VALUE!</v>
      </c>
      <c r="Y37" s="579" t="n">
        <f aca="false">IF(Q39="extra",W37-AA37,(P38*AM37+P39*AN37)/AL37)</f>
        <v>0</v>
      </c>
      <c r="Z37" s="579" t="e">
        <f aca="false">IF(Q39="extra",X37-AB37,(R38*AM37+R39*AN37)/AL37)</f>
        <v>#VALUE!</v>
      </c>
      <c r="AA37" s="523" t="n">
        <f aca="false">IF(Q39="extra",INDEX(BrentSeasonalityTable,INT((BG37-1)/3)+1)*VLOOKUP(MAX(BF37,$AB$4),PriceSpreadTable,3),W37-Y37)</f>
        <v>0</v>
      </c>
      <c r="AB37" s="524" t="e">
        <f aca="false">IF(Q39="extra",INDEX(BrentSeasonalityTable,INT((BG37-1)/3)+1)*VLOOKUP(MAX(BF37,$AB$4),PriceSpreadTable,3),X37-Z37)</f>
        <v>#VALUE!</v>
      </c>
      <c r="AC37" s="525" t="n">
        <v>37278</v>
      </c>
      <c r="AD37" s="646" t="n">
        <v>37272</v>
      </c>
      <c r="AE37" s="526" t="n">
        <v>37272</v>
      </c>
      <c r="AF37" s="527" t="n">
        <v>37267</v>
      </c>
      <c r="AG37" s="438" t="s">
        <v>224</v>
      </c>
      <c r="AH37" s="439" t="s">
        <v>247</v>
      </c>
      <c r="AI37" s="528" t="n">
        <v>20</v>
      </c>
      <c r="AJ37" s="529" t="n">
        <v>14</v>
      </c>
      <c r="AK37" s="529" t="n">
        <v>6</v>
      </c>
      <c r="AL37" s="530" t="n">
        <v>20</v>
      </c>
      <c r="AM37" s="529" t="n">
        <v>8</v>
      </c>
      <c r="AN37" s="531" t="n">
        <v>12</v>
      </c>
      <c r="AO37" s="532"/>
      <c r="AP37" s="465" t="n">
        <f aca="false">(1+AO37/2)^(-2*BL37)</f>
        <v>1</v>
      </c>
      <c r="AQ37" s="532"/>
      <c r="AR37" s="465" t="n">
        <f aca="false">(1+AQ37/2)^(-2*BH37/365.25)</f>
        <v>1</v>
      </c>
      <c r="AS37" s="580" t="n">
        <f aca="false">(O38*AJ37+O39*AK37)/AI37</f>
        <v>0</v>
      </c>
      <c r="AT37" s="468" t="n">
        <f aca="false">O37*VLOOKUP(BF37,BrentVolTable,2)+VLOOKUP(BF37,BrentVolTable,3)</f>
        <v>0</v>
      </c>
      <c r="AU37" s="468" t="n">
        <f aca="false">(AT38*AM37+AT39*AN37)/AL37</f>
        <v>0</v>
      </c>
      <c r="AV37" s="595" t="n">
        <f aca="false">SQRT(MAX(0.000000000001,(O37^2*BH37-S37^2*(BH37-BH36))/BH36))</f>
        <v>0.0222143151528133</v>
      </c>
      <c r="AW37" s="451" t="n">
        <f aca="false">IF($I37-DateToday+15&gt;=$T$8,"",IF($I37-DateToday+15&lt;$T$5,1,MATCH($I37-DateToday+15,$T$5:$T$8)))</f>
        <v>1</v>
      </c>
      <c r="AX37" s="468" t="n">
        <f aca="false">IF($AW37="",AX36^2/AX35,INDEX(U$5:U$8,$AW37)^((INDEX($T$5:$T$8,$AW37+1)-($I37-DateToday+15))/(INDEX($T$5:$T$8,$AW37+1)-INDEX($T$5:$T$8,$AW37)))/INDEX(U$5:U$8,$AW37+1)^((INDEX($T$5:$T$8,$AW37)-($I37-DateToday+15))/(INDEX($T$5:$T$8,$AW37+1)-INDEX($T$5:$T$8,$AW37))))</f>
        <v>8.72222129505752</v>
      </c>
      <c r="AY37" s="468" t="n">
        <f aca="false">IF($AW37="",AY36^2/AY35,INDEX(V$5:V$8,$AW37)^((INDEX($T$5:$T$8,$AW37+1)-($I37-DateToday+15))/(INDEX($T$5:$T$8,$AW37+1)-INDEX($T$5:$T$8,$AW37)))/INDEX(V$5:V$8,$AW37+1)^((INDEX($T$5:$T$8,$AW37)-($I37-DateToday+15))/(INDEX($T$5:$T$8,$AW37+1)-INDEX($T$5:$T$8,$AW37))))</f>
        <v>2547.47070647042</v>
      </c>
      <c r="AZ37" s="468" t="n">
        <f aca="false">IF($AW37="",AZ36^2/AZ35,INDEX(W$5:W$8,$AW37)^((INDEX($T$5:$T$8,$AW37+1)-($I37-DateToday+15))/(INDEX($T$5:$T$8,$AW37+1)-INDEX($T$5:$T$8,$AW37)))/INDEX(W$5:W$8,$AW37+1)^((INDEX($T$5:$T$8,$AW37)-($I37-DateToday+15))/(INDEX($T$5:$T$8,$AW37+1)-INDEX($T$5:$T$8,$AW37))))</f>
        <v>172702653.398485</v>
      </c>
      <c r="BA37" s="468" t="n">
        <f aca="false">IF($AW37="",BA36^2/BA35,INDEX(X$5:X$8,$AW37)^((INDEX($T$5:$T$8,$AW37+1)-($I37-DateToday+15))/(INDEX($T$5:$T$8,$AW37+1)-INDEX($T$5:$T$8,$AW37)))/INDEX(X$5:X$8,$AW37+1)^((INDEX($T$5:$T$8,$AW37)-($I37-DateToday+15))/(INDEX($T$5:$T$8,$AW37+1)-INDEX($T$5:$T$8,$AW37))))</f>
        <v>15691153762.3457</v>
      </c>
      <c r="BB37" s="468" t="n">
        <f aca="false">IF($AW37="",BB36^2/BB35,INDEX(Y$5:Y$8,$AW37)^((INDEX($T$5:$T$8,$AW37+1)-($I37-DateToday+15))/(INDEX($T$5:$T$8,$AW37+1)-INDEX($T$5:$T$8,$AW37)))/INDEX(Y$5:Y$8,$AW37+1)^((INDEX($T$5:$T$8,$AW37)-($I37-DateToday+15))/(INDEX($T$5:$T$8,$AW37+1)-INDEX($T$5:$T$8,$AW37))))</f>
        <v>366541325671.955</v>
      </c>
      <c r="BC37" s="468" t="n">
        <f aca="false">IF($AW37="",BC36^2/BC35,INDEX(Z$5:Z$8,$AW37)^((INDEX($T$5:$T$8,$AW37+1)-($I37-DateToday+15))/(INDEX($T$5:$T$8,$AW37+1)-INDEX($T$5:$T$8,$AW37)))/INDEX(Z$5:Z$8,$AW37+1)^((INDEX($T$5:$T$8,$AW37)-($I37-DateToday+15))/(INDEX($T$5:$T$8,$AW37+1)-INDEX($T$5:$T$8,$AW37))))</f>
        <v>2393494450282.7</v>
      </c>
      <c r="BD37" s="535" t="n">
        <f aca="false">IF(OR(DateStart&gt;=I38,DateEnd&lt;I37),0,IF(VolumeOverrideFlag,V37,Volume))</f>
        <v>0</v>
      </c>
      <c r="BE37" s="536" t="n">
        <f aca="false">IF(OR(DateStart2&gt;=I38,DateEnd2&lt;I37),0,IF(VolumeOverrideFlag,V37,VolumeSwaption))</f>
        <v>0</v>
      </c>
      <c r="BF37" s="537" t="n">
        <f aca="false">YEAR(I37)</f>
        <v>2002</v>
      </c>
      <c r="BG37" s="538" t="n">
        <f aca="false">MONTH(I37)</f>
        <v>2</v>
      </c>
      <c r="BH37" s="539" t="n">
        <f aca="false">AD37-DateToday+1</f>
        <v>-8653</v>
      </c>
      <c r="BI37" s="540" t="n">
        <f aca="false">(I37-DateToday+1)/365.25</f>
        <v>-23.64681724846</v>
      </c>
      <c r="BJ37" s="541" t="n">
        <f aca="false">BI37+(BL37-BI37)*CHOOSE(Underlying,AJ37/AI37,AM37/AL37)</f>
        <v>-23.5950718685832</v>
      </c>
      <c r="BK37" s="541" t="n">
        <f aca="false">BJ37+1/365.25</f>
        <v>-23.592334017796</v>
      </c>
      <c r="BL37" s="541" t="n">
        <f aca="false">(I38-DateToday)/365.25</f>
        <v>-23.5728952772074</v>
      </c>
      <c r="BM37" s="542" t="e">
        <f aca="false">MAX(BI37-(BJ37-BI37)*(S38^2/O38^2-1),0)</f>
        <v>#DIV/0!</v>
      </c>
      <c r="BN37" s="541" t="e">
        <f aca="false">MAX(BL37+(BL37-BK37)*(S39^2/O39^2-1),0)</f>
        <v>#DIV/0!</v>
      </c>
      <c r="BO37" s="530" t="n">
        <f aca="false">CHOOSE(Underlying,AI37,AL37)</f>
        <v>20</v>
      </c>
      <c r="BP37" s="529" t="n">
        <f aca="false">CHOOSE(Underlying,AJ37,AM37)</f>
        <v>14</v>
      </c>
      <c r="BQ37" s="529" t="n">
        <f aca="false">CHOOSE(Underlying,AK37,AN37)</f>
        <v>6</v>
      </c>
      <c r="BR37" s="463" t="str">
        <f aca="false">IF(BD37,IF(Underlying=1,X37,Z37)+UnderlyingPriceAsian-SwapPriceCurve,"")</f>
        <v/>
      </c>
      <c r="BS37" s="463" t="str">
        <f aca="false">IF(BD37,Strike1/BR37-1,"")</f>
        <v/>
      </c>
      <c r="BT37" s="464" t="str">
        <f aca="false">IF(BD37,Strike2/BR37-1,"")</f>
        <v/>
      </c>
      <c r="BU37" s="465" t="str">
        <f aca="false">IF(BD37,IF(Underlying=1,L38,R38)+UnderlyingPriceAsian-SwapPriceCurve,"")</f>
        <v/>
      </c>
      <c r="BV37" s="465" t="str">
        <f aca="false">IF(BD37,IF(Underlying=1,L39,R39)+UnderlyingPriceAsian-SwapPriceCurve,"")</f>
        <v/>
      </c>
      <c r="BW37" s="466" t="str">
        <f aca="false">IF(BD37,IF(Underlying=1,O38,AT38),"")</f>
        <v/>
      </c>
      <c r="BX37" s="467" t="str">
        <f aca="false">IF(BD37,IF(Underlying=1,O39,AT39),"")</f>
        <v/>
      </c>
      <c r="BY37" s="466" t="str">
        <f aca="false">IF(BD37,IF(BS37&gt;0,IF(BS37&gt;0.2,BC37-BB37,IF(BS37&gt;0.1,BB37-BA37,BA37)),IF(BS37&lt;-0.2,AX37-AY37,IF(BS37&lt;-0.1,AY37-AZ37,AZ37))),"")</f>
        <v/>
      </c>
      <c r="BZ37" s="467" t="str">
        <f aca="false">IF(BD37,IF(BT37&gt;0,IF(BT37&gt;0.2,BC37-BB37,IF(BT37&gt;0.1,BB37-BA37,BA37)),IF(BT37&lt;-0.2,AX37-AY37,IF(BT37&lt;-0.1,AY37-AZ37,AZ37))),"")</f>
        <v/>
      </c>
      <c r="CA37" s="468" t="str">
        <f aca="false">IF($BD37,$BW37+IF(VolSkewFlag=1,IF(BS37&gt;0,$BA37*MIN(BS37/10%,1)+($BB37-$BA37)*MAX(0,MIN(BS37/10%-1,1))+($BC37-$BB37)*MAX(0,BS37/10%-2),$AZ37*MIN(-BS37/10%,1)+($AY37-$AZ37)*MAX(0,MIN(-BS37/10%-1,1))+($AX37-$AY37)*MAX(0,-BS37/10%-2)),0),"")</f>
        <v/>
      </c>
      <c r="CB37" s="468" t="str">
        <f aca="false">IF($BD37,$BX37+IF(VolSkewFlag=1,IF(BS37&gt;0,$BA37*MIN(BS37/10%,1)+($BB37-$BA37)*MAX(0,MIN(BS37/10%-1,1))+($BC37-$BB37)*MAX(0,BS37/10%-2),$AZ37*MIN(-BS37/10%,1)+($AY37-$AZ37)*MAX(0,MIN(-BS37/10%-1,1))+($AX37-$AY37)*MAX(0,-BS37/10%-2)),0),"")</f>
        <v/>
      </c>
      <c r="CC37" s="468" t="str">
        <f aca="false">IF($BD37,$BW37+IF(VolSkewFlag=1,IF(BT37&gt;0,$BA37*MIN(BT37/10%,1)+($BB37-$BA37)*MAX(0,MIN(BT37/10%-1,1))+($BC37-$BB37)*MAX(0,BT37/10%-2),$AZ37*MIN(-BT37/10%,1)+($AY37-$AZ37)*MAX(0,MIN(-BT37/10%-1,1))+($AX37-$AY37)*MAX(0,-BT37/10%-2)),0),"")</f>
        <v/>
      </c>
      <c r="CD37" s="468" t="str">
        <f aca="false">IF($BD37,$BX37+IF(VolSkewFlag=1,IF(BT37&gt;0,$BA37*MIN(BT37/10%,1)+($BB37-$BA37)*MAX(0,MIN(BT37/10%-1,1))+($BC37-$BB37)*MAX(0,BT37/10%-2),$AZ37*MIN(-BT37/10%,1)+($AY37-$AZ37)*MAX(0,MIN(-BT37/10%-1,1))+($AX37-$AY37)*MAX(0,-BT37/10%-2)),0),"")</f>
        <v/>
      </c>
      <c r="CE37" s="469" t="n">
        <v>1</v>
      </c>
      <c r="CF37" s="470" t="n">
        <f aca="false">IF(BD37,xCrudeAPO(BU37,BV37,CA37,CB37,S38,S39,BI37,BL37,BP37,BQ37,0,Strike1,AO37,CE37,0,BL37,IF(OptControl=4,0,1),0,1),0)</f>
        <v>0</v>
      </c>
      <c r="CG37" s="470" t="n">
        <f aca="false">IF(BD37,xCrudeAPO(BU37,BV37,CA37,CB37,S38,S39,BI37,BL37,BP37,BQ37,0,Strike1,AO37,CE37,0,BL37,IF(OptControl=4,0,1),1,1)+xCrudeAPO(BU37,BV37,CA37,CB37,S38,S39,BI37,BL37,BP37,BQ37,0,Strike1,AO37,CE37,0,BL37,IF(OptControl=4,0,1),1,2)+IF(OR(VolSkewFlag=2,ABS(BS37)&lt;0.0001),0,IF(BS37&gt;0,-1,1)*CH37*Strike1/BR37^2*BY37/10%),0)</f>
        <v>0</v>
      </c>
      <c r="CH37" s="470" t="n">
        <f aca="false">IF(BD37,(xCrudeAPO(BU37,BV37,CA37,CB37,S38,S39,BI37,BL37,BP37,BQ37,0,Strike1,AO37,CE37,0,BL37,IF(OptControl=4,0,1),3,1)+xCrudeAPO(BU37,BV37,CA37,CB37,S38,S39,BI37,BL37,BP37,BQ37,0,Strike1,AO37,CE37,0,BL37,IF(OptControl=4,0,1),3,2))/100,0)</f>
        <v>0</v>
      </c>
      <c r="CI37" s="470" t="n">
        <f aca="false">IF(BD37,xCrudeAPO(BU37,BV37,CA37,CB37,S38,S39,BI37-DaysForThetaCalculation/365.25,BL37-DaysForThetaCalculation/365.25,BP37,BQ37,0,Strike1,AO37,CE37,0,BL37,IF(OptControl=4,0,1),0,1)-xCrudeAPO(BU37,BV37,CA37,CB37,S38,S39,BI37,BL37,BP37,BQ37,0,Strike1,AO37,CE37,0,BL37,IF(OptControl=4,0,1),0,1),0)</f>
        <v>0</v>
      </c>
      <c r="CJ37" s="471" t="n">
        <f aca="false">IF(BD37,xCrudeAPO(BU37,BV37,CC37,CD37,S38,S39,BI37,BL37,BP37,BQ37,0,Strike2,AO37,CE37,0,BL37,IF(OptControl=3,1,0),0,1),0)</f>
        <v>0</v>
      </c>
      <c r="CK37" s="470" t="n">
        <f aca="false">IF(BD37,xCrudeAPO(BU37,BV37,CC37,CD37,S38,S39,BI37,BL37,BP37,BQ37,0,Strike2,AO37,CE37,0,BL37,IF(OptControl=3,1,0),1,1)+xCrudeAPO(BU37,BV37,CC37,CD37,S38,S39,BI37,BL37,BP37,BQ37,0,Strike2,AO37,CE37,0,BL37,IF(OptControl=3,1,0),1,2)+IF(OR(VolSkewFlag=2,ABS(BT37)&lt;0.0001),0,IF(BT37&gt;0,-1,1)*CL37*Strike2/BR37^2*BZ37/10%),0)</f>
        <v>0</v>
      </c>
      <c r="CL37" s="470" t="n">
        <f aca="false">IF(BD37,(xCrudeAPO(BU37,BV37,CC37,CD37,S38,S39,BI37,BL37,BP37,BQ37,0,Strike2,AO37,CE37,0,BL37,IF(OptControl=3,1,0),3,1)+xCrudeAPO(BU37,BV37,CC37,CD37,S38,S39,BI37,BL37,BP37,BQ37,0,Strike2,AO37,CE37,0,BL37,IF(OptControl=3,1,0),3,2))/100,0)</f>
        <v>0</v>
      </c>
      <c r="CM37" s="472" t="n">
        <f aca="false">IF(BD37,xCrudeAPO(BU37,BV37,CC37,CD37,S38,S39,BI37-DaysForThetaCalculation/365.25,BL37-DaysForThetaCalculation/365.25,BP37,BQ37,0,Strike2,AO37,CE37,0,BL37,IF(OptControl=3,1,0),0,1)-xCrudeAPO(BU37,BV37,CC37,CD37,S38,S39,BI37,BL37,BP37,BQ37,0,Strike2,AO37,CE37,0,BL37,IF(OptControl=3,1,0),0,1),0)</f>
        <v>0</v>
      </c>
      <c r="CO37" s="543" t="str">
        <f aca="false">IF(BD37,CHOOSE(Underlying,AD37,AF37)-DateToday+1,"")</f>
        <v/>
      </c>
      <c r="CP37" s="582" t="str">
        <f aca="false">IF(BD37,CHOOSE(Underlying,L37,R37),"")</f>
        <v/>
      </c>
      <c r="CQ37" s="544" t="str">
        <f aca="false">IF(BD37,Strike1/CP37-1,"")</f>
        <v/>
      </c>
      <c r="CR37" s="544" t="str">
        <f aca="false">IF(BD37,Strike2/CP37-1,"")</f>
        <v/>
      </c>
      <c r="CS37" s="544" t="str">
        <f aca="false">IF(BD37,IF(CQ37&gt;0,IF(CQ37&gt;0.2,BC36-BB36,IF(CQ37&gt;0.1,BB36-BA36,BA36)),IF(CQ37&lt;-0.2,AX36-AY36,IF(CQ37&lt;-0.1,AY36-AZ36,AZ36))),"")</f>
        <v/>
      </c>
      <c r="CT37" s="544" t="str">
        <f aca="false">IF(BD37,IF(CR37&gt;0,IF(CR37&gt;0.2,BC36-BB36,IF(CR37&gt;0.1,BB36-BA36,BA36)),IF(CR37&lt;-0.2,AX36-AY36,IF(CR37&lt;-0.1,AY36-AZ36,AZ36))),"")</f>
        <v/>
      </c>
      <c r="CU37" s="545" t="str">
        <f aca="false">IF(BD37,CHOOSE(Underlying,O37,AT37),"")</f>
        <v/>
      </c>
      <c r="CV37" s="545" t="str">
        <f aca="false">IF(BD37,CU37+IF(VolSkewFlag=1,IF(CQ37&gt;0,BA36*MIN(CQ37/10%,1)+(BB36-BA36)*MAX(0,MIN(CQ37/10%-1,1))+(BC36-BB36)*MAX(0,CQ37/10%-2),AZ36*MIN(-CQ37/10%,1)+(AY36-AZ36)*MAX(0,MIN(-CQ37/10%-1,1))+(AX36-AY36)*MAX(0,-CQ37/10%-2)),0),"")</f>
        <v/>
      </c>
      <c r="CW37" s="545" t="str">
        <f aca="false">IF(BD37,CU37+IF(VolSkewFlag=1,IF(CR37&gt;0,BA36*MIN(CR37/10%,1)+(BB36-BA36)*MAX(0,MIN(CR37/10%-1,1))+(BC36-BB36)*MAX(0,CR37/10%-2),AZ36*MIN(-CR37/10%,1)+(AY36-AZ36)*MAX(0,MIN(-CR37/10%-1,1))+(AX36-AY36)*MAX(0,-CR37/10%-2)),0),"")</f>
        <v/>
      </c>
      <c r="CX37" s="470" t="n">
        <f aca="false">IF(BD37,EURO(CP37,Strike1,AO37,AO37,CV37,CO37,IF(OptControl=4,0,1),0),0)</f>
        <v>0</v>
      </c>
      <c r="CY37" s="470" t="n">
        <f aca="false">IF(BD37,EURO(CP37,Strike1,AO37,AO37,CV37,CO37,IF(OptControl=4,0,1),1)+IF(OR(VolSkewFlag=2,ABS(CQ37)&lt;0.0001),0,IF(CQ37&gt;0,-1,1)*CZ37*100*Strike1/CP37^2*CS37/10%),0)</f>
        <v>0</v>
      </c>
      <c r="CZ37" s="470" t="n">
        <f aca="false">IF(BD37,EURO(CP37,Strike1,AO37,AO37,CV37,CO37,IF(OptControl=4,0,1),3)/100,0)</f>
        <v>0</v>
      </c>
      <c r="DA37" s="470" t="n">
        <f aca="false">IF(BD37,EURO(CP37,Strike1,AO37,AO37,CV37,CO37,IF(OptControl=4,0,1),0)-EURO(CP37,Strike1,AO37,AO37,CV37,CO37-1,IF(OptControl=4,0,1),0),0)</f>
        <v>0</v>
      </c>
      <c r="DB37" s="470" t="n">
        <f aca="false">IF(BD37,EURO(CP37,Strike2,AO37,AO37,CW37,CO37,IF(OptControl=3,1,0),0),0)</f>
        <v>0</v>
      </c>
      <c r="DC37" s="470" t="n">
        <f aca="false">IF(BD37,EURO(CP37,Strike2,AO37,AO37,CW37,CO37,IF(OptControl=3,1,0),1)+IF(OR(VolSkewFlag=2,ABS(CR37)&lt;0.0001),0,IF(CR37&gt;0,-1,1)*DD37*100*Strike2/CP37^2*CT37/10%),0)</f>
        <v>0</v>
      </c>
      <c r="DD37" s="470" t="n">
        <f aca="false">IF(BD37,EURO(CP37,Strike2,AO37,AO37,CW37,CO37,IF(OptControl=3,1,0),3)/100,0)</f>
        <v>0</v>
      </c>
      <c r="DE37" s="472" t="n">
        <f aca="false">IF(BD37,EURO(CP37,Strike2,AO37,AO37,CW37,CO37,IF(OptControl=3,1,0),0)-EURO(CP37,Strike2,AO37,AO37,CW37,CO37-1,IF(OptControl=3,1,0),0),0)</f>
        <v>0</v>
      </c>
      <c r="DF37" s="1"/>
      <c r="DG37" s="481" t="n">
        <f aca="false">EOMONTH(DG36,0)+1</f>
        <v>46204</v>
      </c>
      <c r="DH37" s="478" t="n">
        <v>21.47</v>
      </c>
      <c r="DI37" s="479" t="n">
        <v>21.11</v>
      </c>
      <c r="DJ37" s="480" t="n">
        <f aca="false">DG37</f>
        <v>46204</v>
      </c>
      <c r="DK37" s="478" t="n">
        <v>20.1216666666667</v>
      </c>
      <c r="DL37" s="479" t="n">
        <v>19.7069696969697</v>
      </c>
      <c r="DM37" s="481" t="n">
        <f aca="false">DG37</f>
        <v>46204</v>
      </c>
      <c r="DN37" s="482" t="n">
        <f aca="false">DK37+BrentPhyBrentSpread</f>
        <v>20.1716666666667</v>
      </c>
      <c r="DO37" s="481" t="n">
        <f aca="false">DG37</f>
        <v>46204</v>
      </c>
      <c r="DP37" s="483" t="n">
        <f aca="false">DL37+DQ37</f>
        <v>19.7969696969697</v>
      </c>
      <c r="DQ37" s="546" t="n">
        <v>0.09</v>
      </c>
      <c r="DR37" s="480" t="n">
        <f aca="false">DG37</f>
        <v>46204</v>
      </c>
      <c r="DS37" s="485" t="n">
        <v>0.243973588822364</v>
      </c>
      <c r="DT37" s="486" t="n">
        <v>0.24047592243211</v>
      </c>
      <c r="DU37" s="480" t="n">
        <f aca="false">DG37</f>
        <v>46204</v>
      </c>
      <c r="DV37" s="485" t="n">
        <v>0.243973588822364</v>
      </c>
      <c r="DW37" s="486" t="n">
        <v>0.24047592243211</v>
      </c>
      <c r="DX37" s="481" t="n">
        <f aca="false">DG37</f>
        <v>46204</v>
      </c>
      <c r="DY37" s="486" t="n">
        <v>0.350001220703125</v>
      </c>
      <c r="DZ37" s="481" t="n">
        <f aca="false">DR37</f>
        <v>46204</v>
      </c>
      <c r="EA37" s="486" t="n">
        <f aca="false">DT37</f>
        <v>0.24047592243211</v>
      </c>
      <c r="EB37" s="195"/>
      <c r="EC37" s="547" t="str">
        <f aca="false">IF(BD37,IF(Underlying=1,AS37,AU37),"")</f>
        <v/>
      </c>
      <c r="ED37" s="548" t="str">
        <f aca="false">IF($BD37,$EC37+IF(VolSkewFlag=1,IF(BS37&gt;0,$BA37*MIN(BS37/10%,1)+($BB37-$BA37)*MAX(0,MIN(BS37/10%-1,1))+($BC37-$BB37)*MAX(0,BS37/10%-2),$AZ37*MIN(-BS37/10%,1)+($AY37-$AZ37)*MAX(0,MIN(-BS37/10%-1,1))+($AX37-$AY37)*MAX(0,-BS37/10%-2)),0),"")</f>
        <v/>
      </c>
      <c r="EE37" s="549" t="str">
        <f aca="false">IF($BD37,$EC37+IF(VolSkewFlag=1,IF(BT37&gt;0,$BA37*MIN(BT37/10%,1)+($BB37-$BA37)*MAX(0,MIN(BT37/10%-1,1))+($BC37-$BB37)*MAX(0,BT37/10%-2),$AZ37*MIN(-BT37/10%,1)+($AY37-$AZ37)*MAX(0,MIN(-BT37/10%-1,1))+($AX37-$AY37)*MAX(0,-BT37/10%-2)),0),"")</f>
        <v/>
      </c>
      <c r="EF37" s="550" t="n">
        <f aca="false">IF(BD37,xASN(BR37,Strike1,AO37,ED37,0,BO37,0,BI37,BL37,IF(OptControl=4,0,1),0),0)</f>
        <v>0</v>
      </c>
      <c r="EG37" s="551" t="n">
        <f aca="false">IF(BD37,xASN(BR37,Strike2,AO37,EE37,0,BO37,0,BI37,BL37,IF(OptControl=3,1,0),0),0)</f>
        <v>0</v>
      </c>
      <c r="EH37" s="3"/>
      <c r="EI37" s="583" t="str">
        <f aca="false">DDE("TWINDDE","RSFRecord","CLc18 MTH")</f>
        <v>FEB2</v>
      </c>
      <c r="EJ37" s="584" t="n">
        <f aca="false">DATEVALUE(CONCATENATE(LEFT(EI37,3),"-",IF(VALUE(RIGHT(EI37,1))=9,"1999",CONCATENATE("200",RIGHT(EI37,1)))))</f>
        <v>37288</v>
      </c>
      <c r="EK37" s="585" t="n">
        <f aca="false">DDE("TWINDDE","RSFRecord","CLc18 NET.CHNG")</f>
        <v>0</v>
      </c>
      <c r="EL37" s="586" t="n">
        <f aca="false">IF(ISNUMBER(VALUE(EK37)),VALUE(EK37)*100,0)</f>
        <v>0</v>
      </c>
      <c r="EM37" s="195"/>
      <c r="EN37" s="556" t="n">
        <v>37806</v>
      </c>
      <c r="EO37" s="557" t="n">
        <v>39807</v>
      </c>
      <c r="EP37" s="195"/>
      <c r="EQ37" s="407" t="s">
        <v>257</v>
      </c>
      <c r="ES37" s="587" t="n">
        <v>18</v>
      </c>
      <c r="ET37" s="559" t="n">
        <f aca="false">BH37/365.25</f>
        <v>-23.6906228610541</v>
      </c>
      <c r="EU37" s="560" t="n">
        <f aca="false">O37^2*ET37</f>
        <v>-0</v>
      </c>
      <c r="EV37" s="588" t="e">
        <f aca="false">SQRT(SUM(FK37:ID37)/ET37)</f>
        <v>#VALUE!</v>
      </c>
      <c r="EW37" s="589" t="n">
        <f aca="false">IF(OR(DateStart2&gt;I36,DateEnd2&lt;I35),"",IF(DateStart2&lt;I36,AK35/AI35*AP35*BE35*SwaptionNumOfMonths/$D$33,0)+IF(DateEnd2&gt;I35,AJ36/AI36*AP36*BE36*SwaptionNumOfMonths/$D$33,0))</f>
        <v>0.35</v>
      </c>
      <c r="EX37" s="590" t="e">
        <f aca="false">IF(EW37="","",SQRT(SUM(FK342:ID342)/SwaptionYearsToExp))</f>
        <v>#VALUE!</v>
      </c>
      <c r="EY37" s="129" t="n">
        <v>0</v>
      </c>
      <c r="EZ37" s="591" t="str">
        <f aca="false">IF(OR(EW37="",EW38=""),"",SQRT(SUM(INDEX(FK37:ID37,SwaptionFirstMonthPosition+1):INDEX(FK37:ID37,FJ37))/SUM(INDEX($FK$15:$ID$15,SwaptionFirstMonthPosition+1):INDEX($FK$15:$ID$15,FJ37))))</f>
        <v/>
      </c>
      <c r="FA37" s="592" t="n">
        <f aca="false">IF(OR(EW37="",EW36=""),"",SQRT(SUM(INDEX(FK37:ID37,SwaptionFirstMonthPosition+1):INDEX(FK37:ID37,FJ37-1))/SUM(INDEX($FK$15:$ID$15,SwaptionFirstMonthPosition+1):INDEX($FK$15:$ID$15,FJ37-1))))</f>
        <v>0.228711794639429</v>
      </c>
      <c r="FB37" s="593" t="str">
        <f aca="false">IF(BE37,2/3*EZ38+1/3*FA39,"")</f>
        <v/>
      </c>
      <c r="FC37" s="596" t="str">
        <f aca="false">IF(BE37,(I38+I37-1)/2-DateToday,"")</f>
        <v/>
      </c>
      <c r="FD37" s="483" t="str">
        <f aca="false">IF(BE37,CHOOSE(Underlying,X37,Z37)+SwaptionUnderlyingPrice-$D$26,"")</f>
        <v/>
      </c>
      <c r="FE37" s="483" t="str">
        <f aca="false">IF(BE37,CollartionFloor/FD37-1,"")</f>
        <v/>
      </c>
      <c r="FF37" s="483" t="str">
        <f aca="false">IF(BE37,CollartionCap/FD37-1,"")</f>
        <v/>
      </c>
      <c r="FG37" s="485" t="str">
        <f aca="false">IF(BE37,IF(VolSkewFlag=1,IF(FE37&gt;0,$BA37*MIN(FE37/10%,1)+($BB37-$BA37)*MAX(0,MIN(FE37/10%-1,1))+($BC37-$BB37)*MAX(0,FE37/10%-2),$AZ37*MIN(-FE37/10%,1)+($AY37-$AZ37)*MAX(0,MIN(-FE37/10%-1,1))+($AX37-$AY37)*MAX(0,-FE37/10%-2)),0),"")</f>
        <v/>
      </c>
      <c r="FH37" s="486" t="str">
        <f aca="false">IF(BE37,IF(VolSkewFlag=1,IF(FF37&gt;0,$BA37*MIN(FF37/10%,1)+($BB37-$BA37)*MAX(0,MIN(FF37/10%-1,1))+($BC37-$BB37)*MAX(0,FF37/10%-2),$AZ37*MIN(-FF37/10%,1)+($AY37-$AZ37)*MAX(0,MIN(-FF37/10%-1,1))+($AX37-$AY37)*MAX(0,-FF37/10%-2)),0),"")</f>
        <v/>
      </c>
      <c r="FI37" s="129"/>
      <c r="FJ37" s="571" t="n">
        <v>18</v>
      </c>
      <c r="FK37" s="150" t="n">
        <f aca="false">IF(FK$19&gt;$FJ37,"",MAX(0,IF(FK$19=$FJ37,$S37^2*FK$15,FK36*INDEX($T$20:$T$91,$FJ37-FK$19)^2/INDEX($U$20:$U$91,$FJ37-FK$19))))</f>
        <v>0</v>
      </c>
      <c r="FL37" s="150" t="n">
        <f aca="false">IF(FL$19&gt;$FJ37,"",MAX(0,IF(FL$19=$FJ37,$S37^2*FL$15,FL36*INDEX($T$20:$T$91,$FJ37-FL$19)^2/INDEX($U$20:$U$91,$FJ37-FL$19))))</f>
        <v>0</v>
      </c>
      <c r="FM37" s="150" t="n">
        <f aca="false">IF(FM$19&gt;$FJ37,"",MAX(0,IF(FM$19=$FJ37,$S37^2*FM$15,FM36*INDEX($T$20:$T$91,$FJ37-FM$19)^2/INDEX($U$20:$U$91,$FJ37-FM$19))))</f>
        <v>0.00295492784974458</v>
      </c>
      <c r="FN37" s="150" t="n">
        <f aca="false">IF(FN$19&gt;$FJ37,"",MAX(0,IF(FN$19=$FJ37,$S37^2*FN$15,FN36*INDEX($T$20:$T$91,$FJ37-FN$19)^2/INDEX($U$20:$U$91,$FJ37-FN$19))))</f>
        <v>0.00255101081049489</v>
      </c>
      <c r="FO37" s="150" t="n">
        <f aca="false">IF(FO$19&gt;$FJ37,"",MAX(0,IF(FO$19=$FJ37,$S37^2*FO$15,FO36*INDEX($T$20:$T$91,$FJ37-FO$19)^2/INDEX($U$20:$U$91,$FJ37-FO$19))))</f>
        <v>0.00273355985134464</v>
      </c>
      <c r="FP37" s="150" t="n">
        <f aca="false">IF(FP$19&gt;$FJ37,"",MAX(0,IF(FP$19=$FJ37,$S37^2*FP$15,FP36*INDEX($T$20:$T$91,$FJ37-FP$19)^2/INDEX($U$20:$U$91,$FJ37-FP$19))))</f>
        <v>0.00313660378942944</v>
      </c>
      <c r="FQ37" s="150" t="n">
        <f aca="false">IF(FQ$19&gt;$FJ37,"",MAX(0,IF(FQ$19=$FJ37,$S37^2*FQ$15,FQ36*INDEX($T$20:$T$91,$FJ37-FQ$19)^2/INDEX($U$20:$U$91,$FJ37-FQ$19))))</f>
        <v>0.00264549225072156</v>
      </c>
      <c r="FR37" s="150" t="n">
        <f aca="false">IF(FR$19&gt;$FJ37,"",MAX(0,IF(FR$19=$FJ37,$S37^2*FR$15,FR36*INDEX($T$20:$T$91,$FJ37-FR$19)^2/INDEX($U$20:$U$91,$FJ37-FR$19))))</f>
        <v>0.00283799614357387</v>
      </c>
      <c r="FS37" s="150" t="n">
        <f aca="false">IF(FS$19&gt;$FJ37,"",MAX(0,IF(FS$19=$FJ37,$S37^2*FS$15,FS36*INDEX($T$20:$T$91,$FJ37-FS$19)^2/INDEX($U$20:$U$91,$FJ37-FS$19))))</f>
        <v>0.0033838253138121</v>
      </c>
      <c r="FT37" s="150" t="n">
        <f aca="false">IF(FT$19&gt;$FJ37,"",MAX(0,IF(FT$19=$FJ37,$S37^2*FT$15,FT36*INDEX($T$20:$T$91,$FJ37-FT$19)^2/INDEX($U$20:$U$91,$FJ37-FT$19))))</f>
        <v>0.00326311987786509</v>
      </c>
      <c r="FU37" s="150" t="n">
        <f aca="false">IF(FU$19&gt;$FJ37,"",MAX(0,IF(FU$19=$FJ37,$S37^2*FU$15,FU36*INDEX($T$20:$T$91,$FJ37-FU$19)^2/INDEX($U$20:$U$91,$FJ37-FU$19))))</f>
        <v>0.00339151386053725</v>
      </c>
      <c r="FV37" s="150" t="n">
        <f aca="false">IF(FV$19&gt;$FJ37,"",MAX(0,IF(FV$19=$FJ37,$S37^2*FV$15,FV36*INDEX($T$20:$T$91,$FJ37-FV$19)^2/INDEX($U$20:$U$91,$FJ37-FV$19))))</f>
        <v>0.00408544773190313</v>
      </c>
      <c r="FW37" s="150" t="n">
        <f aca="false">IF(FW$19&gt;$FJ37,"",MAX(0,IF(FW$19=$FJ37,$S37^2*FW$15,FW36*INDEX($T$20:$T$91,$FJ37-FW$19)^2/INDEX($U$20:$U$91,$FJ37-FW$19))))</f>
        <v>0.00425496990372394</v>
      </c>
      <c r="FX37" s="150" t="n">
        <f aca="false">IF(FX$19&gt;$FJ37,"",MAX(0,IF(FX$19=$FJ37,$S37^2*FX$15,FX36*INDEX($T$20:$T$91,$FJ37-FX$19)^2/INDEX($U$20:$U$91,$FJ37-FX$19))))</f>
        <v>0.00514582520848083</v>
      </c>
      <c r="FY37" s="150" t="n">
        <f aca="false">IF(FY$19&gt;$FJ37,"",MAX(0,IF(FY$19=$FJ37,$S37^2*FY$15,FY36*INDEX($T$20:$T$91,$FJ37-FY$19)^2/INDEX($U$20:$U$91,$FJ37-FY$19))))</f>
        <v>0.00560242304057412</v>
      </c>
      <c r="FZ37" s="150" t="n">
        <f aca="false">IF(FZ$19&gt;$FJ37,"",MAX(0,IF(FZ$19=$FJ37,$S37^2*FZ$15,FZ36*INDEX($T$20:$T$91,$FJ37-FZ$19)^2/INDEX($U$20:$U$91,$FJ37-FZ$19))))</f>
        <v>0.006248178504354</v>
      </c>
      <c r="GA37" s="150" t="n">
        <f aca="false">IF(GA$19&gt;$FJ37,"",MAX(0,IF(GA$19=$FJ37,$S37^2*GA$15,GA36*INDEX($T$20:$T$91,$FJ37-GA$19)^2/INDEX($U$20:$U$91,$FJ37-GA$19))))</f>
        <v>0.00827788576482287</v>
      </c>
      <c r="GB37" s="150" t="n">
        <f aca="false">IF(GB$19&gt;$FJ37,"",MAX(0,IF(GB$19=$FJ37,$S37^2*GB$15,GB36*INDEX($T$20:$T$91,$FJ37-GB$19)^2/INDEX($U$20:$U$91,$FJ37-GB$19))))</f>
        <v>0.011735334096909</v>
      </c>
      <c r="GC37" s="150" t="str">
        <f aca="false">IF(GC$19&gt;$FJ37,"",MAX(0,IF(GC$19=$FJ37,$S37^2*GC$15,GC36*INDEX($T$20:$T$91,$FJ37-GC$19)^2/INDEX($U$20:$U$91,$FJ37-GC$19))))</f>
        <v/>
      </c>
      <c r="GD37" s="150" t="str">
        <f aca="false">IF(GD$19&gt;$FJ37,"",MAX(0,IF(GD$19=$FJ37,$S37^2*GD$15,GD36*INDEX($T$20:$T$91,$FJ37-GD$19)^2/INDEX($U$20:$U$91,$FJ37-GD$19))))</f>
        <v/>
      </c>
      <c r="GE37" s="150" t="str">
        <f aca="false">IF(GE$19&gt;$FJ37,"",MAX(0,IF(GE$19=$FJ37,$S37^2*GE$15,GE36*INDEX($T$20:$T$91,$FJ37-GE$19)^2/INDEX($U$20:$U$91,$FJ37-GE$19))))</f>
        <v/>
      </c>
      <c r="GF37" s="150" t="str">
        <f aca="false">IF(GF$19&gt;$FJ37,"",MAX(0,IF(GF$19=$FJ37,$S37^2*GF$15,GF36*INDEX($T$20:$T$91,$FJ37-GF$19)^2/INDEX($U$20:$U$91,$FJ37-GF$19))))</f>
        <v/>
      </c>
      <c r="GG37" s="150" t="str">
        <f aca="false">IF(GG$19&gt;$FJ37,"",MAX(0,IF(GG$19=$FJ37,$S37^2*GG$15,GG36*INDEX($T$20:$T$91,$FJ37-GG$19)^2/INDEX($U$20:$U$91,$FJ37-GG$19))))</f>
        <v/>
      </c>
      <c r="GH37" s="150" t="str">
        <f aca="false">IF(GH$19&gt;$FJ37,"",MAX(0,IF(GH$19=$FJ37,$S37^2*GH$15,GH36*INDEX($T$20:$T$91,$FJ37-GH$19)^2/INDEX($U$20:$U$91,$FJ37-GH$19))))</f>
        <v/>
      </c>
      <c r="GI37" s="150" t="str">
        <f aca="false">IF(GI$19&gt;$FJ37,"",MAX(0,IF(GI$19=$FJ37,$S37^2*GI$15,GI36*INDEX($T$20:$T$91,$FJ37-GI$19)^2/INDEX($U$20:$U$91,$FJ37-GI$19))))</f>
        <v/>
      </c>
      <c r="GJ37" s="150" t="str">
        <f aca="false">IF(GJ$19&gt;$FJ37,"",MAX(0,IF(GJ$19=$FJ37,$S37^2*GJ$15,GJ36*INDEX($T$20:$T$91,$FJ37-GJ$19)^2/INDEX($U$20:$U$91,$FJ37-GJ$19))))</f>
        <v/>
      </c>
      <c r="GK37" s="150" t="str">
        <f aca="false">IF(GK$19&gt;$FJ37,"",MAX(0,IF(GK$19=$FJ37,$S37^2*GK$15,GK36*INDEX($T$20:$T$91,$FJ37-GK$19)^2/INDEX($U$20:$U$91,$FJ37-GK$19))))</f>
        <v/>
      </c>
      <c r="GL37" s="150" t="str">
        <f aca="false">IF(GL$19&gt;$FJ37,"",MAX(0,IF(GL$19=$FJ37,$S37^2*GL$15,GL36*INDEX($T$20:$T$91,$FJ37-GL$19)^2/INDEX($U$20:$U$91,$FJ37-GL$19))))</f>
        <v/>
      </c>
      <c r="GM37" s="150" t="str">
        <f aca="false">IF(GM$19&gt;$FJ37,"",MAX(0,IF(GM$19=$FJ37,$S37^2*GM$15,GM36*INDEX($T$20:$T$91,$FJ37-GM$19)^2/INDEX($U$20:$U$91,$FJ37-GM$19))))</f>
        <v/>
      </c>
      <c r="GN37" s="150" t="str">
        <f aca="false">IF(GN$19&gt;$FJ37,"",MAX(0,IF(GN$19=$FJ37,$S37^2*GN$15,GN36*INDEX($T$20:$T$91,$FJ37-GN$19)^2/INDEX($U$20:$U$91,$FJ37-GN$19))))</f>
        <v/>
      </c>
      <c r="GO37" s="150" t="str">
        <f aca="false">IF(GO$19&gt;$FJ37,"",MAX(0,IF(GO$19=$FJ37,$S37^2*GO$15,GO36*INDEX($T$20:$T$91,$FJ37-GO$19)^2/INDEX($U$20:$U$91,$FJ37-GO$19))))</f>
        <v/>
      </c>
      <c r="GP37" s="150" t="str">
        <f aca="false">IF(GP$19&gt;$FJ37,"",MAX(0,IF(GP$19=$FJ37,$S37^2*GP$15,GP36*INDEX($T$20:$T$91,$FJ37-GP$19)^2/INDEX($U$20:$U$91,$FJ37-GP$19))))</f>
        <v/>
      </c>
      <c r="GQ37" s="150" t="str">
        <f aca="false">IF(GQ$19&gt;$FJ37,"",MAX(0,IF(GQ$19=$FJ37,$S37^2*GQ$15,GQ36*INDEX($T$20:$T$91,$FJ37-GQ$19)^2/INDEX($U$20:$U$91,$FJ37-GQ$19))))</f>
        <v/>
      </c>
      <c r="GR37" s="150" t="str">
        <f aca="false">IF(GR$19&gt;$FJ37,"",MAX(0,IF(GR$19=$FJ37,$S37^2*GR$15,GR36*INDEX($T$20:$T$91,$FJ37-GR$19)^2/INDEX($U$20:$U$91,$FJ37-GR$19))))</f>
        <v/>
      </c>
      <c r="GS37" s="150" t="str">
        <f aca="false">IF(GS$19&gt;$FJ37,"",MAX(0,IF(GS$19=$FJ37,$S37^2*GS$15,GS36*INDEX($T$20:$T$91,$FJ37-GS$19)^2/INDEX($U$20:$U$91,$FJ37-GS$19))))</f>
        <v/>
      </c>
      <c r="GT37" s="150" t="str">
        <f aca="false">IF(GT$19&gt;$FJ37,"",MAX(0,IF(GT$19=$FJ37,$S37^2*GT$15,GT36*INDEX($T$20:$T$91,$FJ37-GT$19)^2/INDEX($U$20:$U$91,$FJ37-GT$19))))</f>
        <v/>
      </c>
      <c r="GU37" s="150" t="str">
        <f aca="false">IF(GU$19&gt;$FJ37,"",MAX(0,IF(GU$19=$FJ37,$S37^2*GU$15,GU36*INDEX($T$20:$T$91,$FJ37-GU$19)^2/INDEX($U$20:$U$91,$FJ37-GU$19))))</f>
        <v/>
      </c>
      <c r="GV37" s="150" t="str">
        <f aca="false">IF(GV$19&gt;$FJ37,"",MAX(0,IF(GV$19=$FJ37,$S37^2*GV$15,GV36*INDEX($T$20:$T$91,$FJ37-GV$19)^2/INDEX($U$20:$U$91,$FJ37-GV$19))))</f>
        <v/>
      </c>
      <c r="GW37" s="150" t="str">
        <f aca="false">IF(GW$19&gt;$FJ37,"",MAX(0,IF(GW$19=$FJ37,$S37^2*GW$15,GW36*INDEX($T$20:$T$91,$FJ37-GW$19)^2/INDEX($U$20:$U$91,$FJ37-GW$19))))</f>
        <v/>
      </c>
      <c r="GX37" s="150" t="str">
        <f aca="false">IF(GX$19&gt;$FJ37,"",MAX(0,IF(GX$19=$FJ37,$S37^2*GX$15,GX36*INDEX($T$20:$T$91,$FJ37-GX$19)^2/INDEX($U$20:$U$91,$FJ37-GX$19))))</f>
        <v/>
      </c>
      <c r="GY37" s="150" t="str">
        <f aca="false">IF(GY$19&gt;$FJ37,"",MAX(0,IF(GY$19=$FJ37,$S37^2*GY$15,GY36*INDEX($T$20:$T$91,$FJ37-GY$19)^2/INDEX($U$20:$U$91,$FJ37-GY$19))))</f>
        <v/>
      </c>
      <c r="GZ37" s="150" t="str">
        <f aca="false">IF(GZ$19&gt;$FJ37,"",MAX(0,IF(GZ$19=$FJ37,$S37^2*GZ$15,GZ36*INDEX($T$20:$T$91,$FJ37-GZ$19)^2/INDEX($U$20:$U$91,$FJ37-GZ$19))))</f>
        <v/>
      </c>
      <c r="HA37" s="150" t="str">
        <f aca="false">IF(HA$19&gt;$FJ37,"",MAX(0,IF(HA$19=$FJ37,$S37^2*HA$15,HA36*INDEX($T$20:$T$91,$FJ37-HA$19)^2/INDEX($U$20:$U$91,$FJ37-HA$19))))</f>
        <v/>
      </c>
      <c r="HB37" s="150" t="str">
        <f aca="false">IF(HB$19&gt;$FJ37,"",MAX(0,IF(HB$19=$FJ37,$S37^2*HB$15,HB36*INDEX($T$20:$T$91,$FJ37-HB$19)^2/INDEX($U$20:$U$91,$FJ37-HB$19))))</f>
        <v/>
      </c>
      <c r="HC37" s="150" t="str">
        <f aca="false">IF(HC$19&gt;$FJ37,"",MAX(0,IF(HC$19=$FJ37,$S37^2*HC$15,HC36*INDEX($T$20:$T$91,$FJ37-HC$19)^2/INDEX($U$20:$U$91,$FJ37-HC$19))))</f>
        <v/>
      </c>
      <c r="HD37" s="150" t="str">
        <f aca="false">IF(HD$19&gt;$FJ37,"",MAX(0,IF(HD$19=$FJ37,$S37^2*HD$15,HD36*INDEX($T$20:$T$91,$FJ37-HD$19)^2/INDEX($U$20:$U$91,$FJ37-HD$19))))</f>
        <v/>
      </c>
      <c r="HE37" s="150" t="str">
        <f aca="false">IF(HE$19&gt;$FJ37,"",MAX(0,IF(HE$19=$FJ37,$S37^2*HE$15,HE36*INDEX($T$20:$T$91,$FJ37-HE$19)^2/INDEX($U$20:$U$91,$FJ37-HE$19))))</f>
        <v/>
      </c>
      <c r="HF37" s="150" t="str">
        <f aca="false">IF(HF$19&gt;$FJ37,"",MAX(0,IF(HF$19=$FJ37,$S37^2*HF$15,HF36*INDEX($T$20:$T$91,$FJ37-HF$19)^2/INDEX($U$20:$U$91,$FJ37-HF$19))))</f>
        <v/>
      </c>
      <c r="HG37" s="150" t="str">
        <f aca="false">IF(HG$19&gt;$FJ37,"",MAX(0,IF(HG$19=$FJ37,$S37^2*HG$15,HG36*INDEX($T$20:$T$91,$FJ37-HG$19)^2/INDEX($U$20:$U$91,$FJ37-HG$19))))</f>
        <v/>
      </c>
      <c r="HH37" s="150" t="str">
        <f aca="false">IF(HH$19&gt;$FJ37,"",MAX(0,IF(HH$19=$FJ37,$S37^2*HH$15,HH36*INDEX($T$20:$T$91,$FJ37-HH$19)^2/INDEX($U$20:$U$91,$FJ37-HH$19))))</f>
        <v/>
      </c>
      <c r="HI37" s="150" t="str">
        <f aca="false">IF(HI$19&gt;$FJ37,"",MAX(0,IF(HI$19=$FJ37,$S37^2*HI$15,HI36*INDEX($T$20:$T$91,$FJ37-HI$19)^2/INDEX($U$20:$U$91,$FJ37-HI$19))))</f>
        <v/>
      </c>
      <c r="HJ37" s="150" t="str">
        <f aca="false">IF(HJ$19&gt;$FJ37,"",MAX(0,IF(HJ$19=$FJ37,$S37^2*HJ$15,HJ36*INDEX($T$20:$T$91,$FJ37-HJ$19)^2/INDEX($U$20:$U$91,$FJ37-HJ$19))))</f>
        <v/>
      </c>
      <c r="HK37" s="150" t="str">
        <f aca="false">IF(HK$19&gt;$FJ37,"",MAX(0,IF(HK$19=$FJ37,$S37^2*HK$15,HK36*INDEX($T$20:$T$91,$FJ37-HK$19)^2/INDEX($U$20:$U$91,$FJ37-HK$19))))</f>
        <v/>
      </c>
      <c r="HL37" s="150" t="str">
        <f aca="false">IF(HL$19&gt;$FJ37,"",MAX(0,IF(HL$19=$FJ37,$S37^2*HL$15,HL36*INDEX($T$20:$T$91,$FJ37-HL$19)^2/INDEX($U$20:$U$91,$FJ37-HL$19))))</f>
        <v/>
      </c>
      <c r="HM37" s="150" t="str">
        <f aca="false">IF(HM$19&gt;$FJ37,"",MAX(0,IF(HM$19=$FJ37,$S37^2*HM$15,HM36*INDEX($T$20:$T$91,$FJ37-HM$19)^2/INDEX($U$20:$U$91,$FJ37-HM$19))))</f>
        <v/>
      </c>
      <c r="HN37" s="150" t="str">
        <f aca="false">IF(HN$19&gt;$FJ37,"",MAX(0,IF(HN$19=$FJ37,$S37^2*HN$15,HN36*INDEX($T$20:$T$91,$FJ37-HN$19)^2/INDEX($U$20:$U$91,$FJ37-HN$19))))</f>
        <v/>
      </c>
      <c r="HO37" s="150" t="str">
        <f aca="false">IF(HO$19&gt;$FJ37,"",MAX(0,IF(HO$19=$FJ37,$S37^2*HO$15,HO36*INDEX($T$20:$T$91,$FJ37-HO$19)^2/INDEX($U$20:$U$91,$FJ37-HO$19))))</f>
        <v/>
      </c>
      <c r="HP37" s="150" t="str">
        <f aca="false">IF(HP$19&gt;$FJ37,"",MAX(0,IF(HP$19=$FJ37,$S37^2*HP$15,HP36*INDEX($T$20:$T$91,$FJ37-HP$19)^2/INDEX($U$20:$U$91,$FJ37-HP$19))))</f>
        <v/>
      </c>
      <c r="HQ37" s="150" t="str">
        <f aca="false">IF(HQ$19&gt;$FJ37,"",MAX(0,IF(HQ$19=$FJ37,$S37^2*HQ$15,HQ36*INDEX($T$20:$T$91,$FJ37-HQ$19)^2/INDEX($U$20:$U$91,$FJ37-HQ$19))))</f>
        <v/>
      </c>
      <c r="HR37" s="150" t="str">
        <f aca="false">IF(HR$19&gt;$FJ37,"",MAX(0,IF(HR$19=$FJ37,$S37^2*HR$15,HR36*INDEX($T$20:$T$91,$FJ37-HR$19)^2/INDEX($U$20:$U$91,$FJ37-HR$19))))</f>
        <v/>
      </c>
      <c r="HS37" s="150" t="str">
        <f aca="false">IF(HS$19&gt;$FJ37,"",MAX(0,IF(HS$19=$FJ37,$S37^2*HS$15,HS36*INDEX($T$20:$T$91,$FJ37-HS$19)^2/INDEX($U$20:$U$91,$FJ37-HS$19))))</f>
        <v/>
      </c>
      <c r="HT37" s="150" t="str">
        <f aca="false">IF(HT$19&gt;$FJ37,"",MAX(0,IF(HT$19=$FJ37,$S37^2*HT$15,HT36*INDEX($T$20:$T$91,$FJ37-HT$19)^2/INDEX($U$20:$U$91,$FJ37-HT$19))))</f>
        <v/>
      </c>
      <c r="HU37" s="150" t="str">
        <f aca="false">IF(HU$19&gt;$FJ37,"",MAX(0,IF(HU$19=$FJ37,$S37^2*HU$15,HU36*INDEX($T$20:$T$91,$FJ37-HU$19)^2/INDEX($U$20:$U$91,$FJ37-HU$19))))</f>
        <v/>
      </c>
      <c r="HV37" s="150" t="str">
        <f aca="false">IF(HV$19&gt;$FJ37,"",MAX(0,IF(HV$19=$FJ37,$S37^2*HV$15,HV36*INDEX($T$20:$T$91,$FJ37-HV$19)^2/INDEX($U$20:$U$91,$FJ37-HV$19))))</f>
        <v/>
      </c>
      <c r="HW37" s="150" t="str">
        <f aca="false">IF(HW$19&gt;$FJ37,"",MAX(0,IF(HW$19=$FJ37,$S37^2*HW$15,HW36*INDEX($T$20:$T$91,$FJ37-HW$19)^2/INDEX($U$20:$U$91,$FJ37-HW$19))))</f>
        <v/>
      </c>
      <c r="HX37" s="150" t="str">
        <f aca="false">IF(HX$19&gt;$FJ37,"",MAX(0,IF(HX$19=$FJ37,$S37^2*HX$15,HX36*INDEX($T$20:$T$91,$FJ37-HX$19)^2/INDEX($U$20:$U$91,$FJ37-HX$19))))</f>
        <v/>
      </c>
      <c r="HY37" s="150" t="str">
        <f aca="false">IF(HY$19&gt;$FJ37,"",MAX(0,IF(HY$19=$FJ37,$S37^2*HY$15,HY36*INDEX($T$20:$T$91,$FJ37-HY$19)^2/INDEX($U$20:$U$91,$FJ37-HY$19))))</f>
        <v/>
      </c>
      <c r="HZ37" s="150" t="str">
        <f aca="false">IF(HZ$19&gt;$FJ37,"",MAX(0,IF(HZ$19=$FJ37,$S37^2*HZ$15,HZ36*INDEX($T$20:$T$91,$FJ37-HZ$19)^2/INDEX($U$20:$U$91,$FJ37-HZ$19))))</f>
        <v/>
      </c>
      <c r="IA37" s="150" t="str">
        <f aca="false">IF(IA$19&gt;$FJ37,"",MAX(0,IF(IA$19=$FJ37,$S37^2*IA$15,IA36*INDEX($T$20:$T$91,$FJ37-IA$19)^2/INDEX($U$20:$U$91,$FJ37-IA$19))))</f>
        <v/>
      </c>
      <c r="IB37" s="150" t="str">
        <f aca="false">IF(IB$19&gt;$FJ37,"",MAX(0,IF(IB$19=$FJ37,$S37^2*IB$15,IB36*INDEX($T$20:$T$91,$FJ37-IB$19)^2/INDEX($U$20:$U$91,$FJ37-IB$19))))</f>
        <v/>
      </c>
      <c r="IC37" s="150" t="str">
        <f aca="false">IF(IC$19&gt;$FJ37,"",MAX(0,IF(IC$19=$FJ37,$S37^2*IC$15,IC36*INDEX($T$20:$T$91,$FJ37-IC$19)^2/INDEX($U$20:$U$91,$FJ37-IC$19))))</f>
        <v/>
      </c>
      <c r="ID37" s="572" t="str">
        <f aca="false">IF(ID$19&gt;$FJ37,"",MAX(0,IF(ID$19=$FJ37,$S37^2*ID$15,ID36*INDEX($T$20:$T$91,$FJ37-ID$19)^2/INDEX($U$20:$U$91,$FJ37-ID$19))))</f>
        <v/>
      </c>
      <c r="IE37" s="129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</row>
    <row r="38" customFormat="false" ht="18.75" hidden="false" customHeight="true" outlineLevel="0" collapsed="false">
      <c r="A38" s="219"/>
      <c r="B38" s="198" t="str">
        <f aca="false">CONCATENATE("Euro ",IF(OptControl=4,"Put 1","Call"),IF(OptControl=3," 1",""))</f>
        <v>Euro Call</v>
      </c>
      <c r="C38" s="199" t="e">
        <f aca="false">SUMPRODUCT($BD19:$BD258,CX19:CX258)/NominalVolume</f>
        <v>#NAME?</v>
      </c>
      <c r="D38" s="199" t="e">
        <f aca="false">SUMPRODUCT($BD19:$BD258,CY19:CY258)/NominalVolume</f>
        <v>#NAME?</v>
      </c>
      <c r="E38" s="199" t="e">
        <f aca="false">SUMPRODUCT($BD19:$BD258,CZ19:CZ258)/NominalVolume</f>
        <v>#NAME?</v>
      </c>
      <c r="F38" s="200" t="e">
        <f aca="false">SUMPRODUCT($BD19:$BD258,DA19:DA258)/NominalVolume</f>
        <v>#NAME?</v>
      </c>
      <c r="G38" s="598" t="s">
        <v>49</v>
      </c>
      <c r="H38" s="219" t="n">
        <f aca="false">VLOOKUP(I38,$EJ$20:$EL$54,3)</f>
        <v>0</v>
      </c>
      <c r="I38" s="511" t="n">
        <f aca="false">EOMONTH(I37,0)+1</f>
        <v>37316</v>
      </c>
      <c r="J38" s="512"/>
      <c r="K38" s="513" t="s">
        <v>226</v>
      </c>
      <c r="L38" s="514" t="e">
        <f aca="false">IF(ISNUMBER(K38),J38+K38/100,IF(K38="extra",L37+VLOOKUP(BF38,PriceSpreadTable,2)/12,IF(K38="inter",interpolateprices($K$19:$L$200,ROW(K38)-ROW(FirstPricingMonth)+1),interpolatechanges($J$19:$K$200,ROW(K38)-ROW(FirstPricingMonth)+1))))</f>
        <v>#VALUE!</v>
      </c>
      <c r="M38" s="515"/>
      <c r="N38" s="516" t="n">
        <v>0</v>
      </c>
      <c r="O38" s="515" t="n">
        <f aca="false">M38+N38</f>
        <v>0</v>
      </c>
      <c r="P38" s="512"/>
      <c r="Q38" s="513" t="s">
        <v>250</v>
      </c>
      <c r="R38" s="512" t="e">
        <f aca="false">IF(ISNUMBER(Q38),P38+Q38/100,IF(Q38="extra",(Z36*AL36-R37*AM36)/AN36,IF(Q38="inter",interpolateprices($Q$19:$R$260,ROW(Q38)-ROW(FirstPricingMonth)+1),interpolatechanges($P$19:$Q$260,ROW(Q38)-ROW(FirstPricingMonth)+1))))</f>
        <v>#VALUE!</v>
      </c>
      <c r="S38" s="597" t="n">
        <f aca="false">S$19+(S37-S$19)*S$18</f>
        <v>0.360300677872729</v>
      </c>
      <c r="T38" s="575" t="n">
        <f aca="false">SQRT((1-(1-T37^2/U37)*T$18)*U38)</f>
        <v>0.99323846996147</v>
      </c>
      <c r="U38" s="576" t="n">
        <f aca="false">1-(1-U37)*U$18</f>
        <v>0.999915434348295</v>
      </c>
      <c r="V38" s="521" t="n">
        <v>0</v>
      </c>
      <c r="W38" s="577" t="n">
        <f aca="false">(J39*AJ38+J40*AK38)/AI38</f>
        <v>0</v>
      </c>
      <c r="X38" s="578" t="e">
        <f aca="false">(L39*AJ38+L40*AK38)/AI38</f>
        <v>#VALUE!</v>
      </c>
      <c r="Y38" s="579" t="n">
        <f aca="false">IF(Q40="extra",W38-AA38,(P39*AM38+P40*AN38)/AL38)</f>
        <v>0</v>
      </c>
      <c r="Z38" s="579" t="e">
        <f aca="false">IF(Q40="extra",X38-AB38,(R39*AM38+R40*AN38)/AL38)</f>
        <v>#VALUE!</v>
      </c>
      <c r="AA38" s="523" t="n">
        <f aca="false">IF(Q40="extra",INDEX(BrentSeasonalityTable,INT((BG38-1)/3)+1)*VLOOKUP(MAX(BF38,$AB$4),PriceSpreadTable,3),W38-Y38)</f>
        <v>0</v>
      </c>
      <c r="AB38" s="524" t="e">
        <f aca="false">IF(Q40="extra",INDEX(BrentSeasonalityTable,INT((BG38-1)/3)+1)*VLOOKUP(MAX(BF38,$AB$4),PriceSpreadTable,3),X38-Z38)</f>
        <v>#VALUE!</v>
      </c>
      <c r="AC38" s="525" t="n">
        <v>37307</v>
      </c>
      <c r="AD38" s="646" t="n">
        <v>37301</v>
      </c>
      <c r="AE38" s="526" t="n">
        <v>37300</v>
      </c>
      <c r="AF38" s="527" t="n">
        <v>37296</v>
      </c>
      <c r="AG38" s="438" t="s">
        <v>224</v>
      </c>
      <c r="AH38" s="439" t="s">
        <v>224</v>
      </c>
      <c r="AI38" s="528" t="n">
        <v>21</v>
      </c>
      <c r="AJ38" s="529" t="n">
        <v>14</v>
      </c>
      <c r="AK38" s="529" t="n">
        <v>7</v>
      </c>
      <c r="AL38" s="530" t="n">
        <v>21</v>
      </c>
      <c r="AM38" s="529" t="n">
        <v>9</v>
      </c>
      <c r="AN38" s="531" t="n">
        <v>12</v>
      </c>
      <c r="AO38" s="532"/>
      <c r="AP38" s="465" t="n">
        <f aca="false">(1+AO38/2)^(-2*BL38)</f>
        <v>1</v>
      </c>
      <c r="AQ38" s="532"/>
      <c r="AR38" s="465" t="n">
        <f aca="false">(1+AQ38/2)^(-2*BH38/365.25)</f>
        <v>1</v>
      </c>
      <c r="AS38" s="580" t="n">
        <f aca="false">(O39*AJ38+O40*AK38)/AI38</f>
        <v>0</v>
      </c>
      <c r="AT38" s="468" t="n">
        <f aca="false">O38*VLOOKUP(BF38,BrentVolTable,2)+VLOOKUP(BF38,BrentVolTable,3)</f>
        <v>0</v>
      </c>
      <c r="AU38" s="468" t="n">
        <f aca="false">(AT39*AM38+AT40*AN38)/AL38</f>
        <v>0</v>
      </c>
      <c r="AV38" s="595" t="n">
        <f aca="false">SQRT(MAX(0.000000000001,(O38^2*BH38-S38^2*(BH38-BH37))/BH37))</f>
        <v>0.0208583872564576</v>
      </c>
      <c r="AW38" s="451" t="n">
        <f aca="false">IF($I38-DateToday+15&gt;=$T$8,"",IF($I38-DateToday+15&lt;$T$5,1,MATCH($I38-DateToday+15,$T$5:$T$8)))</f>
        <v>1</v>
      </c>
      <c r="AX38" s="468" t="n">
        <f aca="false">IF($AW38="",AX37^2/AX36,INDEX(U$5:U$8,$AW38)^((INDEX($T$5:$T$8,$AW38+1)-($I38-DateToday+15))/(INDEX($T$5:$T$8,$AW38+1)-INDEX($T$5:$T$8,$AW38)))/INDEX(U$5:U$8,$AW38+1)^((INDEX($T$5:$T$8,$AW38)-($I38-DateToday+15))/(INDEX($T$5:$T$8,$AW38+1)-INDEX($T$5:$T$8,$AW38))))</f>
        <v>8.55235466883535</v>
      </c>
      <c r="AY38" s="468" t="n">
        <f aca="false">IF($AW38="",AY37^2/AY36,INDEX(V$5:V$8,$AW38)^((INDEX($T$5:$T$8,$AW38+1)-($I38-DateToday+15))/(INDEX($T$5:$T$8,$AW38+1)-INDEX($T$5:$T$8,$AW38)))/INDEX(V$5:V$8,$AW38+1)^((INDEX($T$5:$T$8,$AW38)-($I38-DateToday+15))/(INDEX($T$5:$T$8,$AW38+1)-INDEX($T$5:$T$8,$AW38))))</f>
        <v>2450.62143424547</v>
      </c>
      <c r="AZ38" s="468" t="n">
        <f aca="false">IF($AW38="",AZ37^2/AZ36,INDEX(W$5:W$8,$AW38)^((INDEX($T$5:$T$8,$AW38+1)-($I38-DateToday+15))/(INDEX($T$5:$T$8,$AW38+1)-INDEX($T$5:$T$8,$AW38)))/INDEX(W$5:W$8,$AW38+1)^((INDEX($T$5:$T$8,$AW38)-($I38-DateToday+15))/(INDEX($T$5:$T$8,$AW38+1)-INDEX($T$5:$T$8,$AW38))))</f>
        <v>160113754.631061</v>
      </c>
      <c r="BA38" s="468" t="n">
        <f aca="false">IF($AW38="",BA37^2/BA36,INDEX(X$5:X$8,$AW38)^((INDEX($T$5:$T$8,$AW38+1)-($I38-DateToday+15))/(INDEX($T$5:$T$8,$AW38+1)-INDEX($T$5:$T$8,$AW38)))/INDEX(X$5:X$8,$AW38+1)^((INDEX($T$5:$T$8,$AW38)-($I38-DateToday+15))/(INDEX($T$5:$T$8,$AW38+1)-INDEX($T$5:$T$8,$AW38))))</f>
        <v>14264058510.0386</v>
      </c>
      <c r="BB38" s="468" t="n">
        <f aca="false">IF($AW38="",BB37^2/BB36,INDEX(Y$5:Y$8,$AW38)^((INDEX($T$5:$T$8,$AW38+1)-($I38-DateToday+15))/(INDEX($T$5:$T$8,$AW38+1)-INDEX($T$5:$T$8,$AW38)))/INDEX(Y$5:Y$8,$AW38+1)^((INDEX($T$5:$T$8,$AW38)-($I38-DateToday+15))/(INDEX($T$5:$T$8,$AW38+1)-INDEX($T$5:$T$8,$AW38))))</f>
        <v>330183862651.121</v>
      </c>
      <c r="BC38" s="468" t="n">
        <f aca="false">IF($AW38="",BC37^2/BC36,INDEX(Z$5:Z$8,$AW38)^((INDEX($T$5:$T$8,$AW38+1)-($I38-DateToday+15))/(INDEX($T$5:$T$8,$AW38+1)-INDEX($T$5:$T$8,$AW38)))/INDEX(Z$5:Z$8,$AW38+1)^((INDEX($T$5:$T$8,$AW38)-($I38-DateToday+15))/(INDEX($T$5:$T$8,$AW38+1)-INDEX($T$5:$T$8,$AW38))))</f>
        <v>2144774103407.49</v>
      </c>
      <c r="BD38" s="535" t="n">
        <f aca="false">IF(OR(DateStart&gt;=I39,DateEnd&lt;I38),0,IF(VolumeOverrideFlag,V38,Volume))</f>
        <v>0</v>
      </c>
      <c r="BE38" s="536" t="n">
        <f aca="false">IF(OR(DateStart2&gt;=I39,DateEnd2&lt;I38),0,IF(VolumeOverrideFlag,V38,VolumeSwaption))</f>
        <v>0</v>
      </c>
      <c r="BF38" s="537" t="n">
        <f aca="false">YEAR(I38)</f>
        <v>2002</v>
      </c>
      <c r="BG38" s="538" t="n">
        <f aca="false">MONTH(I38)</f>
        <v>3</v>
      </c>
      <c r="BH38" s="539" t="n">
        <f aca="false">AD38-DateToday+1</f>
        <v>-8624</v>
      </c>
      <c r="BI38" s="540" t="n">
        <f aca="false">(I38-DateToday+1)/365.25</f>
        <v>-23.5701574264203</v>
      </c>
      <c r="BJ38" s="541" t="n">
        <f aca="false">BI38+(BL38-BI38)*CHOOSE(Underlying,AJ38/AI38,AM38/AL38)</f>
        <v>-23.5154004106776</v>
      </c>
      <c r="BK38" s="541" t="n">
        <f aca="false">BJ38+1/365.25</f>
        <v>-23.5126625598905</v>
      </c>
      <c r="BL38" s="541" t="n">
        <f aca="false">(I39-DateToday)/365.25</f>
        <v>-23.4880219028063</v>
      </c>
      <c r="BM38" s="542" t="e">
        <f aca="false">MAX(BI38-(BJ38-BI38)*(S39^2/O39^2-1),0)</f>
        <v>#DIV/0!</v>
      </c>
      <c r="BN38" s="541" t="e">
        <f aca="false">MAX(BL38+(BL38-BK38)*(S40^2/O40^2-1),0)</f>
        <v>#DIV/0!</v>
      </c>
      <c r="BO38" s="530" t="n">
        <f aca="false">CHOOSE(Underlying,AI38,AL38)</f>
        <v>21</v>
      </c>
      <c r="BP38" s="529" t="n">
        <f aca="false">CHOOSE(Underlying,AJ38,AM38)</f>
        <v>14</v>
      </c>
      <c r="BQ38" s="529" t="n">
        <f aca="false">CHOOSE(Underlying,AK38,AN38)</f>
        <v>7</v>
      </c>
      <c r="BR38" s="463" t="str">
        <f aca="false">IF(BD38,IF(Underlying=1,X38,Z38)+UnderlyingPriceAsian-SwapPriceCurve,"")</f>
        <v/>
      </c>
      <c r="BS38" s="463" t="str">
        <f aca="false">IF(BD38,Strike1/BR38-1,"")</f>
        <v/>
      </c>
      <c r="BT38" s="464" t="str">
        <f aca="false">IF(BD38,Strike2/BR38-1,"")</f>
        <v/>
      </c>
      <c r="BU38" s="465" t="str">
        <f aca="false">IF(BD38,IF(Underlying=1,L39,R39)+UnderlyingPriceAsian-SwapPriceCurve,"")</f>
        <v/>
      </c>
      <c r="BV38" s="465" t="str">
        <f aca="false">IF(BD38,IF(Underlying=1,L40,R40)+UnderlyingPriceAsian-SwapPriceCurve,"")</f>
        <v/>
      </c>
      <c r="BW38" s="466" t="str">
        <f aca="false">IF(BD38,IF(Underlying=1,O39,AT39),"")</f>
        <v/>
      </c>
      <c r="BX38" s="467" t="str">
        <f aca="false">IF(BD38,IF(Underlying=1,O40,AT40),"")</f>
        <v/>
      </c>
      <c r="BY38" s="466" t="str">
        <f aca="false">IF(BD38,IF(BS38&gt;0,IF(BS38&gt;0.2,BC38-BB38,IF(BS38&gt;0.1,BB38-BA38,BA38)),IF(BS38&lt;-0.2,AX38-AY38,IF(BS38&lt;-0.1,AY38-AZ38,AZ38))),"")</f>
        <v/>
      </c>
      <c r="BZ38" s="467" t="str">
        <f aca="false">IF(BD38,IF(BT38&gt;0,IF(BT38&gt;0.2,BC38-BB38,IF(BT38&gt;0.1,BB38-BA38,BA38)),IF(BT38&lt;-0.2,AX38-AY38,IF(BT38&lt;-0.1,AY38-AZ38,AZ38))),"")</f>
        <v/>
      </c>
      <c r="CA38" s="468" t="str">
        <f aca="false">IF($BD38,$BW38+IF(VolSkewFlag=1,IF(BS38&gt;0,$BA38*MIN(BS38/10%,1)+($BB38-$BA38)*MAX(0,MIN(BS38/10%-1,1))+($BC38-$BB38)*MAX(0,BS38/10%-2),$AZ38*MIN(-BS38/10%,1)+($AY38-$AZ38)*MAX(0,MIN(-BS38/10%-1,1))+($AX38-$AY38)*MAX(0,-BS38/10%-2)),0),"")</f>
        <v/>
      </c>
      <c r="CB38" s="468" t="str">
        <f aca="false">IF($BD38,$BX38+IF(VolSkewFlag=1,IF(BS38&gt;0,$BA38*MIN(BS38/10%,1)+($BB38-$BA38)*MAX(0,MIN(BS38/10%-1,1))+($BC38-$BB38)*MAX(0,BS38/10%-2),$AZ38*MIN(-BS38/10%,1)+($AY38-$AZ38)*MAX(0,MIN(-BS38/10%-1,1))+($AX38-$AY38)*MAX(0,-BS38/10%-2)),0),"")</f>
        <v/>
      </c>
      <c r="CC38" s="468" t="str">
        <f aca="false">IF($BD38,$BW38+IF(VolSkewFlag=1,IF(BT38&gt;0,$BA38*MIN(BT38/10%,1)+($BB38-$BA38)*MAX(0,MIN(BT38/10%-1,1))+($BC38-$BB38)*MAX(0,BT38/10%-2),$AZ38*MIN(-BT38/10%,1)+($AY38-$AZ38)*MAX(0,MIN(-BT38/10%-1,1))+($AX38-$AY38)*MAX(0,-BT38/10%-2)),0),"")</f>
        <v/>
      </c>
      <c r="CD38" s="468" t="str">
        <f aca="false">IF($BD38,$BX38+IF(VolSkewFlag=1,IF(BT38&gt;0,$BA38*MIN(BT38/10%,1)+($BB38-$BA38)*MAX(0,MIN(BT38/10%-1,1))+($BC38-$BB38)*MAX(0,BT38/10%-2),$AZ38*MIN(-BT38/10%,1)+($AY38-$AZ38)*MAX(0,MIN(-BT38/10%-1,1))+($AX38-$AY38)*MAX(0,-BT38/10%-2)),0),"")</f>
        <v/>
      </c>
      <c r="CE38" s="469" t="n">
        <v>1</v>
      </c>
      <c r="CF38" s="470" t="n">
        <f aca="false">IF(BD38,xCrudeAPO(BU38,BV38,CA38,CB38,S39,S40,BI38,BL38,BP38,BQ38,0,Strike1,AO38,CE38,0,BL38,IF(OptControl=4,0,1),0,1),0)</f>
        <v>0</v>
      </c>
      <c r="CG38" s="470" t="n">
        <f aca="false">IF(BD38,xCrudeAPO(BU38,BV38,CA38,CB38,S39,S40,BI38,BL38,BP38,BQ38,0,Strike1,AO38,CE38,0,BL38,IF(OptControl=4,0,1),1,1)+xCrudeAPO(BU38,BV38,CA38,CB38,S39,S40,BI38,BL38,BP38,BQ38,0,Strike1,AO38,CE38,0,BL38,IF(OptControl=4,0,1),1,2)+IF(OR(VolSkewFlag=2,ABS(BS38)&lt;0.0001),0,IF(BS38&gt;0,-1,1)*CH38*Strike1/BR38^2*BY38/10%),0)</f>
        <v>0</v>
      </c>
      <c r="CH38" s="470" t="n">
        <f aca="false">IF(BD38,(xCrudeAPO(BU38,BV38,CA38,CB38,S39,S40,BI38,BL38,BP38,BQ38,0,Strike1,AO38,CE38,0,BL38,IF(OptControl=4,0,1),3,1)+xCrudeAPO(BU38,BV38,CA38,CB38,S39,S40,BI38,BL38,BP38,BQ38,0,Strike1,AO38,CE38,0,BL38,IF(OptControl=4,0,1),3,2))/100,0)</f>
        <v>0</v>
      </c>
      <c r="CI38" s="470" t="n">
        <f aca="false">IF(BD38,xCrudeAPO(BU38,BV38,CA38,CB38,S39,S40,BI38-DaysForThetaCalculation/365.25,BL38-DaysForThetaCalculation/365.25,BP38,BQ38,0,Strike1,AO38,CE38,0,BL38,IF(OptControl=4,0,1),0,1)-xCrudeAPO(BU38,BV38,CA38,CB38,S39,S40,BI38,BL38,BP38,BQ38,0,Strike1,AO38,CE38,0,BL38,IF(OptControl=4,0,1),0,1),0)</f>
        <v>0</v>
      </c>
      <c r="CJ38" s="471" t="n">
        <f aca="false">IF(BD38,xCrudeAPO(BU38,BV38,CC38,CD38,S39,S40,BI38,BL38,BP38,BQ38,0,Strike2,AO38,CE38,0,BL38,IF(OptControl=3,1,0),0,1),0)</f>
        <v>0</v>
      </c>
      <c r="CK38" s="470" t="n">
        <f aca="false">IF(BD38,xCrudeAPO(BU38,BV38,CC38,CD38,S39,S40,BI38,BL38,BP38,BQ38,0,Strike2,AO38,CE38,0,BL38,IF(OptControl=3,1,0),1,1)+xCrudeAPO(BU38,BV38,CC38,CD38,S39,S40,BI38,BL38,BP38,BQ38,0,Strike2,AO38,CE38,0,BL38,IF(OptControl=3,1,0),1,2)+IF(OR(VolSkewFlag=2,ABS(BT38)&lt;0.0001),0,IF(BT38&gt;0,-1,1)*CL38*Strike2/BR38^2*BZ38/10%),0)</f>
        <v>0</v>
      </c>
      <c r="CL38" s="470" t="n">
        <f aca="false">IF(BD38,(xCrudeAPO(BU38,BV38,CC38,CD38,S39,S40,BI38,BL38,BP38,BQ38,0,Strike2,AO38,CE38,0,BL38,IF(OptControl=3,1,0),3,1)+xCrudeAPO(BU38,BV38,CC38,CD38,S39,S40,BI38,BL38,BP38,BQ38,0,Strike2,AO38,CE38,0,BL38,IF(OptControl=3,1,0),3,2))/100,0)</f>
        <v>0</v>
      </c>
      <c r="CM38" s="472" t="n">
        <f aca="false">IF(BD38,xCrudeAPO(BU38,BV38,CC38,CD38,S39,S40,BI38-DaysForThetaCalculation/365.25,BL38-DaysForThetaCalculation/365.25,BP38,BQ38,0,Strike2,AO38,CE38,0,BL38,IF(OptControl=3,1,0),0,1)-xCrudeAPO(BU38,BV38,CC38,CD38,S39,S40,BI38,BL38,BP38,BQ38,0,Strike2,AO38,CE38,0,BL38,IF(OptControl=3,1,0),0,1),0)</f>
        <v>0</v>
      </c>
      <c r="CO38" s="543" t="str">
        <f aca="false">IF(BD38,CHOOSE(Underlying,AD38,AF38)-DateToday+1,"")</f>
        <v/>
      </c>
      <c r="CP38" s="582" t="str">
        <f aca="false">IF(BD38,CHOOSE(Underlying,L38,R38),"")</f>
        <v/>
      </c>
      <c r="CQ38" s="544" t="str">
        <f aca="false">IF(BD38,Strike1/CP38-1,"")</f>
        <v/>
      </c>
      <c r="CR38" s="544" t="str">
        <f aca="false">IF(BD38,Strike2/CP38-1,"")</f>
        <v/>
      </c>
      <c r="CS38" s="544" t="str">
        <f aca="false">IF(BD38,IF(CQ38&gt;0,IF(CQ38&gt;0.2,BC37-BB37,IF(CQ38&gt;0.1,BB37-BA37,BA37)),IF(CQ38&lt;-0.2,AX37-AY37,IF(CQ38&lt;-0.1,AY37-AZ37,AZ37))),"")</f>
        <v/>
      </c>
      <c r="CT38" s="544" t="str">
        <f aca="false">IF(BD38,IF(CR38&gt;0,IF(CR38&gt;0.2,BC37-BB37,IF(CR38&gt;0.1,BB37-BA37,BA37)),IF(CR38&lt;-0.2,AX37-AY37,IF(CR38&lt;-0.1,AY37-AZ37,AZ37))),"")</f>
        <v/>
      </c>
      <c r="CU38" s="545" t="str">
        <f aca="false">IF(BD38,CHOOSE(Underlying,O38,AT38),"")</f>
        <v/>
      </c>
      <c r="CV38" s="545" t="str">
        <f aca="false">IF(BD38,CU38+IF(VolSkewFlag=1,IF(CQ38&gt;0,BA37*MIN(CQ38/10%,1)+(BB37-BA37)*MAX(0,MIN(CQ38/10%-1,1))+(BC37-BB37)*MAX(0,CQ38/10%-2),AZ37*MIN(-CQ38/10%,1)+(AY37-AZ37)*MAX(0,MIN(-CQ38/10%-1,1))+(AX37-AY37)*MAX(0,-CQ38/10%-2)),0),"")</f>
        <v/>
      </c>
      <c r="CW38" s="545" t="str">
        <f aca="false">IF(BD38,CU38+IF(VolSkewFlag=1,IF(CR38&gt;0,BA37*MIN(CR38/10%,1)+(BB37-BA37)*MAX(0,MIN(CR38/10%-1,1))+(BC37-BB37)*MAX(0,CR38/10%-2),AZ37*MIN(-CR38/10%,1)+(AY37-AZ37)*MAX(0,MIN(-CR38/10%-1,1))+(AX37-AY37)*MAX(0,-CR38/10%-2)),0),"")</f>
        <v/>
      </c>
      <c r="CX38" s="470" t="n">
        <f aca="false">IF(BD38,EURO(CP38,Strike1,AO38,AO38,CV38,CO38,IF(OptControl=4,0,1),0),0)</f>
        <v>0</v>
      </c>
      <c r="CY38" s="470" t="n">
        <f aca="false">IF(BD38,EURO(CP38,Strike1,AO38,AO38,CV38,CO38,IF(OptControl=4,0,1),1)+IF(OR(VolSkewFlag=2,ABS(CQ38)&lt;0.0001),0,IF(CQ38&gt;0,-1,1)*CZ38*100*Strike1/CP38^2*CS38/10%),0)</f>
        <v>0</v>
      </c>
      <c r="CZ38" s="470" t="n">
        <f aca="false">IF(BD38,EURO(CP38,Strike1,AO38,AO38,CV38,CO38,IF(OptControl=4,0,1),3)/100,0)</f>
        <v>0</v>
      </c>
      <c r="DA38" s="470" t="n">
        <f aca="false">IF(BD38,EURO(CP38,Strike1,AO38,AO38,CV38,CO38,IF(OptControl=4,0,1),0)-EURO(CP38,Strike1,AO38,AO38,CV38,CO38-1,IF(OptControl=4,0,1),0),0)</f>
        <v>0</v>
      </c>
      <c r="DB38" s="470" t="n">
        <f aca="false">IF(BD38,EURO(CP38,Strike2,AO38,AO38,CW38,CO38,IF(OptControl=3,1,0),0),0)</f>
        <v>0</v>
      </c>
      <c r="DC38" s="470" t="n">
        <f aca="false">IF(BD38,EURO(CP38,Strike2,AO38,AO38,CW38,CO38,IF(OptControl=3,1,0),1)+IF(OR(VolSkewFlag=2,ABS(CR38)&lt;0.0001),0,IF(CR38&gt;0,-1,1)*DD38*100*Strike2/CP38^2*CT38/10%),0)</f>
        <v>0</v>
      </c>
      <c r="DD38" s="470" t="n">
        <f aca="false">IF(BD38,EURO(CP38,Strike2,AO38,AO38,CW38,CO38,IF(OptControl=3,1,0),3)/100,0)</f>
        <v>0</v>
      </c>
      <c r="DE38" s="472" t="n">
        <f aca="false">IF(BD38,EURO(CP38,Strike2,AO38,AO38,CW38,CO38,IF(OptControl=3,1,0),0)-EURO(CP38,Strike2,AO38,AO38,CW38,CO38-1,IF(OptControl=3,1,0),0),0)</f>
        <v>0</v>
      </c>
      <c r="DF38" s="1"/>
      <c r="DG38" s="481" t="n">
        <f aca="false">EOMONTH(DG37,0)+1</f>
        <v>46235</v>
      </c>
      <c r="DH38" s="478" t="n">
        <v>21.2</v>
      </c>
      <c r="DI38" s="479" t="n">
        <v>20.8395652173913</v>
      </c>
      <c r="DJ38" s="480" t="n">
        <f aca="false">DG38</f>
        <v>46235</v>
      </c>
      <c r="DK38" s="478" t="n">
        <v>19.8533333333333</v>
      </c>
      <c r="DL38" s="479" t="n">
        <v>19.4728260869565</v>
      </c>
      <c r="DM38" s="481" t="n">
        <f aca="false">DG38</f>
        <v>46235</v>
      </c>
      <c r="DN38" s="482" t="n">
        <f aca="false">DK38+BrentPhyBrentSpread</f>
        <v>19.9033333333333</v>
      </c>
      <c r="DO38" s="481" t="n">
        <f aca="false">DG38</f>
        <v>46235</v>
      </c>
      <c r="DP38" s="483" t="n">
        <f aca="false">DL38+DQ38</f>
        <v>19.5628260869565</v>
      </c>
      <c r="DQ38" s="546" t="n">
        <v>0.09</v>
      </c>
      <c r="DR38" s="480" t="n">
        <f aca="false">DG38</f>
        <v>46235</v>
      </c>
      <c r="DS38" s="485" t="n">
        <v>0.240756874823155</v>
      </c>
      <c r="DT38" s="486" t="n">
        <v>0.239437078614588</v>
      </c>
      <c r="DU38" s="480" t="n">
        <f aca="false">DG38</f>
        <v>46235</v>
      </c>
      <c r="DV38" s="485" t="n">
        <v>0.240756874823155</v>
      </c>
      <c r="DW38" s="486" t="n">
        <v>0.239437078614588</v>
      </c>
      <c r="DX38" s="481" t="n">
        <f aca="false">DG38</f>
        <v>46235</v>
      </c>
      <c r="DY38" s="486" t="n">
        <v>0.350000610351563</v>
      </c>
      <c r="DZ38" s="481" t="n">
        <f aca="false">DR38</f>
        <v>46235</v>
      </c>
      <c r="EA38" s="486" t="n">
        <f aca="false">DT38</f>
        <v>0.239437078614588</v>
      </c>
      <c r="EB38" s="195"/>
      <c r="EC38" s="547" t="str">
        <f aca="false">IF(BD38,IF(Underlying=1,AS38,AU38),"")</f>
        <v/>
      </c>
      <c r="ED38" s="548" t="str">
        <f aca="false">IF($BD38,$EC38+IF(VolSkewFlag=1,IF(BS38&gt;0,$BA38*MIN(BS38/10%,1)+($BB38-$BA38)*MAX(0,MIN(BS38/10%-1,1))+($BC38-$BB38)*MAX(0,BS38/10%-2),$AZ38*MIN(-BS38/10%,1)+($AY38-$AZ38)*MAX(0,MIN(-BS38/10%-1,1))+($AX38-$AY38)*MAX(0,-BS38/10%-2)),0),"")</f>
        <v/>
      </c>
      <c r="EE38" s="549" t="str">
        <f aca="false">IF($BD38,$EC38+IF(VolSkewFlag=1,IF(BT38&gt;0,$BA38*MIN(BT38/10%,1)+($BB38-$BA38)*MAX(0,MIN(BT38/10%-1,1))+($BC38-$BB38)*MAX(0,BT38/10%-2),$AZ38*MIN(-BT38/10%,1)+($AY38-$AZ38)*MAX(0,MIN(-BT38/10%-1,1))+($AX38-$AY38)*MAX(0,-BT38/10%-2)),0),"")</f>
        <v/>
      </c>
      <c r="EF38" s="550" t="n">
        <f aca="false">IF(BD38,xASN(BR38,Strike1,AO38,ED38,0,BO38,0,BI38,BL38,IF(OptControl=4,0,1),0),0)</f>
        <v>0</v>
      </c>
      <c r="EG38" s="551" t="n">
        <f aca="false">IF(BD38,xASN(BR38,Strike2,AO38,EE38,0,BO38,0,BI38,BL38,IF(OptControl=3,1,0),0),0)</f>
        <v>0</v>
      </c>
      <c r="EH38" s="3"/>
      <c r="EI38" s="583" t="str">
        <f aca="false">DDE("TWINDDE","RSFRecord","CLc19 MTH")</f>
        <v>MAR2</v>
      </c>
      <c r="EJ38" s="584" t="n">
        <f aca="false">DATEVALUE(CONCATENATE(LEFT(EI38,3),"-",IF(VALUE(RIGHT(EI38,1))=9,"1999",CONCATENATE("200",RIGHT(EI38,1)))))</f>
        <v>37316</v>
      </c>
      <c r="EK38" s="585" t="n">
        <f aca="false">DDE("TWINDDE","RSFRecord","CLc19 NET.CHNG")</f>
        <v>0</v>
      </c>
      <c r="EL38" s="586" t="n">
        <f aca="false">IF(ISNUMBER(VALUE(EK38)),VALUE(EK38)*100,0)</f>
        <v>0</v>
      </c>
      <c r="EM38" s="195"/>
      <c r="EN38" s="556" t="n">
        <v>37980</v>
      </c>
      <c r="EO38" s="557" t="n">
        <v>39814</v>
      </c>
      <c r="EP38" s="195"/>
      <c r="EQ38" s="407" t="s">
        <v>258</v>
      </c>
      <c r="ES38" s="587" t="n">
        <v>19</v>
      </c>
      <c r="ET38" s="559" t="n">
        <f aca="false">BH38/365.25</f>
        <v>-23.6112251882272</v>
      </c>
      <c r="EU38" s="560" t="n">
        <f aca="false">O38^2*ET38</f>
        <v>-0</v>
      </c>
      <c r="EV38" s="588" t="e">
        <f aca="false">SQRT(SUM(FK38:ID38)/ET38)</f>
        <v>#VALUE!</v>
      </c>
      <c r="EW38" s="589" t="str">
        <f aca="false">IF(OR(DateStart2&gt;I37,DateEnd2&lt;I36),"",IF(DateStart2&lt;I37,AK36/AI36*AP36*BE36*SwaptionNumOfMonths/$D$33,0)+IF(DateEnd2&gt;I36,AJ37/AI37*AP37*BE37*SwaptionNumOfMonths/$D$33,0))</f>
        <v/>
      </c>
      <c r="EX38" s="590" t="str">
        <f aca="false">IF(EW38="","",SQRT(SUM(FK343:ID343)/SwaptionYearsToExp))</f>
        <v/>
      </c>
      <c r="EY38" s="129" t="n">
        <v>0</v>
      </c>
      <c r="EZ38" s="591" t="str">
        <f aca="false">IF(OR(EW38="",EW39=""),"",SQRT(SUM(INDEX(FK38:ID38,SwaptionFirstMonthPosition+1):INDEX(FK38:ID38,FJ38))/SUM(INDEX($FK$15:$ID$15,SwaptionFirstMonthPosition+1):INDEX($FK$15:$ID$15,FJ38))))</f>
        <v/>
      </c>
      <c r="FA38" s="592" t="str">
        <f aca="false">IF(OR(EW38="",EW37=""),"",SQRT(SUM(INDEX(FK38:ID38,SwaptionFirstMonthPosition+1):INDEX(FK38:ID38,FJ38-1))/SUM(INDEX($FK$15:$ID$15,SwaptionFirstMonthPosition+1):INDEX($FK$15:$ID$15,FJ38-1))))</f>
        <v/>
      </c>
      <c r="FB38" s="593" t="str">
        <f aca="false">IF(BE38,2/3*EZ39+1/3*FA40,"")</f>
        <v/>
      </c>
      <c r="FC38" s="596" t="str">
        <f aca="false">IF(BE38,(I39+I38-1)/2-DateToday,"")</f>
        <v/>
      </c>
      <c r="FD38" s="483" t="str">
        <f aca="false">IF(BE38,CHOOSE(Underlying,X38,Z38)+SwaptionUnderlyingPrice-$D$26,"")</f>
        <v/>
      </c>
      <c r="FE38" s="483" t="str">
        <f aca="false">IF(BE38,CollartionFloor/FD38-1,"")</f>
        <v/>
      </c>
      <c r="FF38" s="483" t="str">
        <f aca="false">IF(BE38,CollartionCap/FD38-1,"")</f>
        <v/>
      </c>
      <c r="FG38" s="485" t="str">
        <f aca="false">IF(BE38,IF(VolSkewFlag=1,IF(FE38&gt;0,$BA38*MIN(FE38/10%,1)+($BB38-$BA38)*MAX(0,MIN(FE38/10%-1,1))+($BC38-$BB38)*MAX(0,FE38/10%-2),$AZ38*MIN(-FE38/10%,1)+($AY38-$AZ38)*MAX(0,MIN(-FE38/10%-1,1))+($AX38-$AY38)*MAX(0,-FE38/10%-2)),0),"")</f>
        <v/>
      </c>
      <c r="FH38" s="486" t="str">
        <f aca="false">IF(BE38,IF(VolSkewFlag=1,IF(FF38&gt;0,$BA38*MIN(FF38/10%,1)+($BB38-$BA38)*MAX(0,MIN(FF38/10%-1,1))+($BC38-$BB38)*MAX(0,FF38/10%-2),$AZ38*MIN(-FF38/10%,1)+($AY38-$AZ38)*MAX(0,MIN(-FF38/10%-1,1))+($AX38-$AY38)*MAX(0,-FF38/10%-2)),0),"")</f>
        <v/>
      </c>
      <c r="FI38" s="129"/>
      <c r="FJ38" s="571" t="n">
        <v>19</v>
      </c>
      <c r="FK38" s="150" t="n">
        <f aca="false">IF(FK$19&gt;$FJ38,"",MAX(0,IF(FK$19=$FJ38,$S38^2*FK$15,FK37*INDEX($T$20:$T$91,$FJ38-FK$19)^2/INDEX($U$20:$U$91,$FJ38-FK$19))))</f>
        <v>0</v>
      </c>
      <c r="FL38" s="150" t="n">
        <f aca="false">IF(FL$19&gt;$FJ38,"",MAX(0,IF(FL$19=$FJ38,$S38^2*FL$15,FL37*INDEX($T$20:$T$91,$FJ38-FL$19)^2/INDEX($U$20:$U$91,$FJ38-FL$19))))</f>
        <v>0</v>
      </c>
      <c r="FM38" s="150" t="n">
        <f aca="false">IF(FM$19&gt;$FJ38,"",MAX(0,IF(FM$19=$FJ38,$S38^2*FM$15,FM37*INDEX($T$20:$T$91,$FJ38-FM$19)^2/INDEX($U$20:$U$91,$FJ38-FM$19))))</f>
        <v>0.00289160566732541</v>
      </c>
      <c r="FN38" s="150" t="n">
        <f aca="false">IF(FN$19&gt;$FJ38,"",MAX(0,IF(FN$19=$FJ38,$S38^2*FN$15,FN37*INDEX($T$20:$T$91,$FJ38-FN$19)^2/INDEX($U$20:$U$91,$FJ38-FN$19))))</f>
        <v>0.00248707338019137</v>
      </c>
      <c r="FO38" s="150" t="n">
        <f aca="false">IF(FO$19&gt;$FJ38,"",MAX(0,IF(FO$19=$FJ38,$S38^2*FO$15,FO37*INDEX($T$20:$T$91,$FJ38-FO$19)^2/INDEX($U$20:$U$91,$FJ38-FO$19))))</f>
        <v>0.00265342796781817</v>
      </c>
      <c r="FP38" s="150" t="n">
        <f aca="false">IF(FP$19&gt;$FJ38,"",MAX(0,IF(FP$19=$FJ38,$S38^2*FP$15,FP37*INDEX($T$20:$T$91,$FJ38-FP$19)^2/INDEX($U$20:$U$91,$FJ38-FP$19))))</f>
        <v>0.00302906372014137</v>
      </c>
      <c r="FQ38" s="150" t="n">
        <f aca="false">IF(FQ$19&gt;$FJ38,"",MAX(0,IF(FQ$19=$FJ38,$S38^2*FQ$15,FQ37*INDEX($T$20:$T$91,$FJ38-FQ$19)^2/INDEX($U$20:$U$91,$FJ38-FQ$19))))</f>
        <v>0.00253940797194442</v>
      </c>
      <c r="FR38" s="150" t="n">
        <f aca="false">IF(FR$19&gt;$FJ38,"",MAX(0,IF(FR$19=$FJ38,$S38^2*FR$15,FR37*INDEX($T$20:$T$91,$FJ38-FR$19)^2/INDEX($U$20:$U$91,$FJ38-FR$19))))</f>
        <v>0.0027048924152037</v>
      </c>
      <c r="FS38" s="150" t="n">
        <f aca="false">IF(FS$19&gt;$FJ38,"",MAX(0,IF(FS$19=$FJ38,$S38^2*FS$15,FS37*INDEX($T$20:$T$91,$FJ38-FS$19)^2/INDEX($U$20:$U$91,$FJ38-FS$19))))</f>
        <v>0.00319820724926213</v>
      </c>
      <c r="FT38" s="150" t="n">
        <f aca="false">IF(FT$19&gt;$FJ38,"",MAX(0,IF(FT$19=$FJ38,$S38^2*FT$15,FT37*INDEX($T$20:$T$91,$FJ38-FT$19)^2/INDEX($U$20:$U$91,$FJ38-FT$19))))</f>
        <v>0.00305376686319776</v>
      </c>
      <c r="FU38" s="150" t="n">
        <f aca="false">IF(FU$19&gt;$FJ38,"",MAX(0,IF(FU$19=$FJ38,$S38^2*FU$15,FU37*INDEX($T$20:$T$91,$FJ38-FU$19)^2/INDEX($U$20:$U$91,$FJ38-FU$19))))</f>
        <v>0.00313702213182867</v>
      </c>
      <c r="FV38" s="150" t="n">
        <f aca="false">IF(FV$19&gt;$FJ38,"",MAX(0,IF(FV$19=$FJ38,$S38^2*FV$15,FV37*INDEX($T$20:$T$91,$FJ38-FV$19)^2/INDEX($U$20:$U$91,$FJ38-FV$19))))</f>
        <v>0.00372689451821439</v>
      </c>
      <c r="FW38" s="150" t="n">
        <f aca="false">IF(FW$19&gt;$FJ38,"",MAX(0,IF(FW$19=$FJ38,$S38^2*FW$15,FW37*INDEX($T$20:$T$91,$FJ38-FW$19)^2/INDEX($U$20:$U$91,$FJ38-FW$19))))</f>
        <v>0.00381820841399936</v>
      </c>
      <c r="FX38" s="150" t="n">
        <f aca="false">IF(FX$19&gt;$FJ38,"",MAX(0,IF(FX$19=$FJ38,$S38^2*FX$15,FX37*INDEX($T$20:$T$91,$FJ38-FX$19)^2/INDEX($U$20:$U$91,$FJ38-FX$19))))</f>
        <v>0.00452804105885697</v>
      </c>
      <c r="FY38" s="150" t="n">
        <f aca="false">IF(FY$19&gt;$FJ38,"",MAX(0,IF(FY$19=$FJ38,$S38^2*FY$15,FY37*INDEX($T$20:$T$91,$FJ38-FY$19)^2/INDEX($U$20:$U$91,$FJ38-FY$19))))</f>
        <v>0.00481575498318603</v>
      </c>
      <c r="FZ38" s="150" t="n">
        <f aca="false">IF(FZ$19&gt;$FJ38,"",MAX(0,IF(FZ$19=$FJ38,$S38^2*FZ$15,FZ37*INDEX($T$20:$T$91,$FJ38-FZ$19)^2/INDEX($U$20:$U$91,$FJ38-FZ$19))))</f>
        <v>0.00522204721564043</v>
      </c>
      <c r="GA38" s="150" t="n">
        <f aca="false">IF(GA$19&gt;$FJ38,"",MAX(0,IF(GA$19=$FJ38,$S38^2*GA$15,GA37*INDEX($T$20:$T$91,$FJ38-GA$19)^2/INDEX($U$20:$U$91,$FJ38-GA$19))))</f>
        <v>0.00668786492694875</v>
      </c>
      <c r="GB38" s="150" t="n">
        <f aca="false">IF(GB$19&gt;$FJ38,"",MAX(0,IF(GB$19=$FJ38,$S38^2*GB$15,GB37*INDEX($T$20:$T$91,$FJ38-GB$19)^2/INDEX($U$20:$U$91,$FJ38-GB$19))))</f>
        <v>0.00909892543046951</v>
      </c>
      <c r="GC38" s="150" t="n">
        <f aca="false">IF(GC$19&gt;$FJ38,"",MAX(0,IF(GC$19=$FJ38,$S38^2*GC$15,GC37*INDEX($T$20:$T$91,$FJ38-GC$19)^2/INDEX($U$20:$U$91,$FJ38-GC$19))))</f>
        <v>0.0103071342253004</v>
      </c>
      <c r="GD38" s="150" t="str">
        <f aca="false">IF(GD$19&gt;$FJ38,"",MAX(0,IF(GD$19=$FJ38,$S38^2*GD$15,GD37*INDEX($T$20:$T$91,$FJ38-GD$19)^2/INDEX($U$20:$U$91,$FJ38-GD$19))))</f>
        <v/>
      </c>
      <c r="GE38" s="150" t="str">
        <f aca="false">IF(GE$19&gt;$FJ38,"",MAX(0,IF(GE$19=$FJ38,$S38^2*GE$15,GE37*INDEX($T$20:$T$91,$FJ38-GE$19)^2/INDEX($U$20:$U$91,$FJ38-GE$19))))</f>
        <v/>
      </c>
      <c r="GF38" s="150" t="str">
        <f aca="false">IF(GF$19&gt;$FJ38,"",MAX(0,IF(GF$19=$FJ38,$S38^2*GF$15,GF37*INDEX($T$20:$T$91,$FJ38-GF$19)^2/INDEX($U$20:$U$91,$FJ38-GF$19))))</f>
        <v/>
      </c>
      <c r="GG38" s="150" t="str">
        <f aca="false">IF(GG$19&gt;$FJ38,"",MAX(0,IF(GG$19=$FJ38,$S38^2*GG$15,GG37*INDEX($T$20:$T$91,$FJ38-GG$19)^2/INDEX($U$20:$U$91,$FJ38-GG$19))))</f>
        <v/>
      </c>
      <c r="GH38" s="150" t="str">
        <f aca="false">IF(GH$19&gt;$FJ38,"",MAX(0,IF(GH$19=$FJ38,$S38^2*GH$15,GH37*INDEX($T$20:$T$91,$FJ38-GH$19)^2/INDEX($U$20:$U$91,$FJ38-GH$19))))</f>
        <v/>
      </c>
      <c r="GI38" s="150" t="str">
        <f aca="false">IF(GI$19&gt;$FJ38,"",MAX(0,IF(GI$19=$FJ38,$S38^2*GI$15,GI37*INDEX($T$20:$T$91,$FJ38-GI$19)^2/INDEX($U$20:$U$91,$FJ38-GI$19))))</f>
        <v/>
      </c>
      <c r="GJ38" s="150" t="str">
        <f aca="false">IF(GJ$19&gt;$FJ38,"",MAX(0,IF(GJ$19=$FJ38,$S38^2*GJ$15,GJ37*INDEX($T$20:$T$91,$FJ38-GJ$19)^2/INDEX($U$20:$U$91,$FJ38-GJ$19))))</f>
        <v/>
      </c>
      <c r="GK38" s="150" t="str">
        <f aca="false">IF(GK$19&gt;$FJ38,"",MAX(0,IF(GK$19=$FJ38,$S38^2*GK$15,GK37*INDEX($T$20:$T$91,$FJ38-GK$19)^2/INDEX($U$20:$U$91,$FJ38-GK$19))))</f>
        <v/>
      </c>
      <c r="GL38" s="150" t="str">
        <f aca="false">IF(GL$19&gt;$FJ38,"",MAX(0,IF(GL$19=$FJ38,$S38^2*GL$15,GL37*INDEX($T$20:$T$91,$FJ38-GL$19)^2/INDEX($U$20:$U$91,$FJ38-GL$19))))</f>
        <v/>
      </c>
      <c r="GM38" s="150" t="str">
        <f aca="false">IF(GM$19&gt;$FJ38,"",MAX(0,IF(GM$19=$FJ38,$S38^2*GM$15,GM37*INDEX($T$20:$T$91,$FJ38-GM$19)^2/INDEX($U$20:$U$91,$FJ38-GM$19))))</f>
        <v/>
      </c>
      <c r="GN38" s="150" t="str">
        <f aca="false">IF(GN$19&gt;$FJ38,"",MAX(0,IF(GN$19=$FJ38,$S38^2*GN$15,GN37*INDEX($T$20:$T$91,$FJ38-GN$19)^2/INDEX($U$20:$U$91,$FJ38-GN$19))))</f>
        <v/>
      </c>
      <c r="GO38" s="150" t="str">
        <f aca="false">IF(GO$19&gt;$FJ38,"",MAX(0,IF(GO$19=$FJ38,$S38^2*GO$15,GO37*INDEX($T$20:$T$91,$FJ38-GO$19)^2/INDEX($U$20:$U$91,$FJ38-GO$19))))</f>
        <v/>
      </c>
      <c r="GP38" s="150" t="str">
        <f aca="false">IF(GP$19&gt;$FJ38,"",MAX(0,IF(GP$19=$FJ38,$S38^2*GP$15,GP37*INDEX($T$20:$T$91,$FJ38-GP$19)^2/INDEX($U$20:$U$91,$FJ38-GP$19))))</f>
        <v/>
      </c>
      <c r="GQ38" s="150" t="str">
        <f aca="false">IF(GQ$19&gt;$FJ38,"",MAX(0,IF(GQ$19=$FJ38,$S38^2*GQ$15,GQ37*INDEX($T$20:$T$91,$FJ38-GQ$19)^2/INDEX($U$20:$U$91,$FJ38-GQ$19))))</f>
        <v/>
      </c>
      <c r="GR38" s="150" t="str">
        <f aca="false">IF(GR$19&gt;$FJ38,"",MAX(0,IF(GR$19=$FJ38,$S38^2*GR$15,GR37*INDEX($T$20:$T$91,$FJ38-GR$19)^2/INDEX($U$20:$U$91,$FJ38-GR$19))))</f>
        <v/>
      </c>
      <c r="GS38" s="150" t="str">
        <f aca="false">IF(GS$19&gt;$FJ38,"",MAX(0,IF(GS$19=$FJ38,$S38^2*GS$15,GS37*INDEX($T$20:$T$91,$FJ38-GS$19)^2/INDEX($U$20:$U$91,$FJ38-GS$19))))</f>
        <v/>
      </c>
      <c r="GT38" s="150" t="str">
        <f aca="false">IF(GT$19&gt;$FJ38,"",MAX(0,IF(GT$19=$FJ38,$S38^2*GT$15,GT37*INDEX($T$20:$T$91,$FJ38-GT$19)^2/INDEX($U$20:$U$91,$FJ38-GT$19))))</f>
        <v/>
      </c>
      <c r="GU38" s="150" t="str">
        <f aca="false">IF(GU$19&gt;$FJ38,"",MAX(0,IF(GU$19=$FJ38,$S38^2*GU$15,GU37*INDEX($T$20:$T$91,$FJ38-GU$19)^2/INDEX($U$20:$U$91,$FJ38-GU$19))))</f>
        <v/>
      </c>
      <c r="GV38" s="150" t="str">
        <f aca="false">IF(GV$19&gt;$FJ38,"",MAX(0,IF(GV$19=$FJ38,$S38^2*GV$15,GV37*INDEX($T$20:$T$91,$FJ38-GV$19)^2/INDEX($U$20:$U$91,$FJ38-GV$19))))</f>
        <v/>
      </c>
      <c r="GW38" s="150" t="str">
        <f aca="false">IF(GW$19&gt;$FJ38,"",MAX(0,IF(GW$19=$FJ38,$S38^2*GW$15,GW37*INDEX($T$20:$T$91,$FJ38-GW$19)^2/INDEX($U$20:$U$91,$FJ38-GW$19))))</f>
        <v/>
      </c>
      <c r="GX38" s="150" t="str">
        <f aca="false">IF(GX$19&gt;$FJ38,"",MAX(0,IF(GX$19=$FJ38,$S38^2*GX$15,GX37*INDEX($T$20:$T$91,$FJ38-GX$19)^2/INDEX($U$20:$U$91,$FJ38-GX$19))))</f>
        <v/>
      </c>
      <c r="GY38" s="150" t="str">
        <f aca="false">IF(GY$19&gt;$FJ38,"",MAX(0,IF(GY$19=$FJ38,$S38^2*GY$15,GY37*INDEX($T$20:$T$91,$FJ38-GY$19)^2/INDEX($U$20:$U$91,$FJ38-GY$19))))</f>
        <v/>
      </c>
      <c r="GZ38" s="150" t="str">
        <f aca="false">IF(GZ$19&gt;$FJ38,"",MAX(0,IF(GZ$19=$FJ38,$S38^2*GZ$15,GZ37*INDEX($T$20:$T$91,$FJ38-GZ$19)^2/INDEX($U$20:$U$91,$FJ38-GZ$19))))</f>
        <v/>
      </c>
      <c r="HA38" s="150" t="str">
        <f aca="false">IF(HA$19&gt;$FJ38,"",MAX(0,IF(HA$19=$FJ38,$S38^2*HA$15,HA37*INDEX($T$20:$T$91,$FJ38-HA$19)^2/INDEX($U$20:$U$91,$FJ38-HA$19))))</f>
        <v/>
      </c>
      <c r="HB38" s="150" t="str">
        <f aca="false">IF(HB$19&gt;$FJ38,"",MAX(0,IF(HB$19=$FJ38,$S38^2*HB$15,HB37*INDEX($T$20:$T$91,$FJ38-HB$19)^2/INDEX($U$20:$U$91,$FJ38-HB$19))))</f>
        <v/>
      </c>
      <c r="HC38" s="150" t="str">
        <f aca="false">IF(HC$19&gt;$FJ38,"",MAX(0,IF(HC$19=$FJ38,$S38^2*HC$15,HC37*INDEX($T$20:$T$91,$FJ38-HC$19)^2/INDEX($U$20:$U$91,$FJ38-HC$19))))</f>
        <v/>
      </c>
      <c r="HD38" s="150" t="str">
        <f aca="false">IF(HD$19&gt;$FJ38,"",MAX(0,IF(HD$19=$FJ38,$S38^2*HD$15,HD37*INDEX($T$20:$T$91,$FJ38-HD$19)^2/INDEX($U$20:$U$91,$FJ38-HD$19))))</f>
        <v/>
      </c>
      <c r="HE38" s="150" t="str">
        <f aca="false">IF(HE$19&gt;$FJ38,"",MAX(0,IF(HE$19=$FJ38,$S38^2*HE$15,HE37*INDEX($T$20:$T$91,$FJ38-HE$19)^2/INDEX($U$20:$U$91,$FJ38-HE$19))))</f>
        <v/>
      </c>
      <c r="HF38" s="150" t="str">
        <f aca="false">IF(HF$19&gt;$FJ38,"",MAX(0,IF(HF$19=$FJ38,$S38^2*HF$15,HF37*INDEX($T$20:$T$91,$FJ38-HF$19)^2/INDEX($U$20:$U$91,$FJ38-HF$19))))</f>
        <v/>
      </c>
      <c r="HG38" s="150" t="str">
        <f aca="false">IF(HG$19&gt;$FJ38,"",MAX(0,IF(HG$19=$FJ38,$S38^2*HG$15,HG37*INDEX($T$20:$T$91,$FJ38-HG$19)^2/INDEX($U$20:$U$91,$FJ38-HG$19))))</f>
        <v/>
      </c>
      <c r="HH38" s="150" t="str">
        <f aca="false">IF(HH$19&gt;$FJ38,"",MAX(0,IF(HH$19=$FJ38,$S38^2*HH$15,HH37*INDEX($T$20:$T$91,$FJ38-HH$19)^2/INDEX($U$20:$U$91,$FJ38-HH$19))))</f>
        <v/>
      </c>
      <c r="HI38" s="150" t="str">
        <f aca="false">IF(HI$19&gt;$FJ38,"",MAX(0,IF(HI$19=$FJ38,$S38^2*HI$15,HI37*INDEX($T$20:$T$91,$FJ38-HI$19)^2/INDEX($U$20:$U$91,$FJ38-HI$19))))</f>
        <v/>
      </c>
      <c r="HJ38" s="150" t="str">
        <f aca="false">IF(HJ$19&gt;$FJ38,"",MAX(0,IF(HJ$19=$FJ38,$S38^2*HJ$15,HJ37*INDEX($T$20:$T$91,$FJ38-HJ$19)^2/INDEX($U$20:$U$91,$FJ38-HJ$19))))</f>
        <v/>
      </c>
      <c r="HK38" s="150" t="str">
        <f aca="false">IF(HK$19&gt;$FJ38,"",MAX(0,IF(HK$19=$FJ38,$S38^2*HK$15,HK37*INDEX($T$20:$T$91,$FJ38-HK$19)^2/INDEX($U$20:$U$91,$FJ38-HK$19))))</f>
        <v/>
      </c>
      <c r="HL38" s="150" t="str">
        <f aca="false">IF(HL$19&gt;$FJ38,"",MAX(0,IF(HL$19=$FJ38,$S38^2*HL$15,HL37*INDEX($T$20:$T$91,$FJ38-HL$19)^2/INDEX($U$20:$U$91,$FJ38-HL$19))))</f>
        <v/>
      </c>
      <c r="HM38" s="150" t="str">
        <f aca="false">IF(HM$19&gt;$FJ38,"",MAX(0,IF(HM$19=$FJ38,$S38^2*HM$15,HM37*INDEX($T$20:$T$91,$FJ38-HM$19)^2/INDEX($U$20:$U$91,$FJ38-HM$19))))</f>
        <v/>
      </c>
      <c r="HN38" s="150" t="str">
        <f aca="false">IF(HN$19&gt;$FJ38,"",MAX(0,IF(HN$19=$FJ38,$S38^2*HN$15,HN37*INDEX($T$20:$T$91,$FJ38-HN$19)^2/INDEX($U$20:$U$91,$FJ38-HN$19))))</f>
        <v/>
      </c>
      <c r="HO38" s="150" t="str">
        <f aca="false">IF(HO$19&gt;$FJ38,"",MAX(0,IF(HO$19=$FJ38,$S38^2*HO$15,HO37*INDEX($T$20:$T$91,$FJ38-HO$19)^2/INDEX($U$20:$U$91,$FJ38-HO$19))))</f>
        <v/>
      </c>
      <c r="HP38" s="150" t="str">
        <f aca="false">IF(HP$19&gt;$FJ38,"",MAX(0,IF(HP$19=$FJ38,$S38^2*HP$15,HP37*INDEX($T$20:$T$91,$FJ38-HP$19)^2/INDEX($U$20:$U$91,$FJ38-HP$19))))</f>
        <v/>
      </c>
      <c r="HQ38" s="150" t="str">
        <f aca="false">IF(HQ$19&gt;$FJ38,"",MAX(0,IF(HQ$19=$FJ38,$S38^2*HQ$15,HQ37*INDEX($T$20:$T$91,$FJ38-HQ$19)^2/INDEX($U$20:$U$91,$FJ38-HQ$19))))</f>
        <v/>
      </c>
      <c r="HR38" s="150" t="str">
        <f aca="false">IF(HR$19&gt;$FJ38,"",MAX(0,IF(HR$19=$FJ38,$S38^2*HR$15,HR37*INDEX($T$20:$T$91,$FJ38-HR$19)^2/INDEX($U$20:$U$91,$FJ38-HR$19))))</f>
        <v/>
      </c>
      <c r="HS38" s="150" t="str">
        <f aca="false">IF(HS$19&gt;$FJ38,"",MAX(0,IF(HS$19=$FJ38,$S38^2*HS$15,HS37*INDEX($T$20:$T$91,$FJ38-HS$19)^2/INDEX($U$20:$U$91,$FJ38-HS$19))))</f>
        <v/>
      </c>
      <c r="HT38" s="150" t="str">
        <f aca="false">IF(HT$19&gt;$FJ38,"",MAX(0,IF(HT$19=$FJ38,$S38^2*HT$15,HT37*INDEX($T$20:$T$91,$FJ38-HT$19)^2/INDEX($U$20:$U$91,$FJ38-HT$19))))</f>
        <v/>
      </c>
      <c r="HU38" s="150" t="str">
        <f aca="false">IF(HU$19&gt;$FJ38,"",MAX(0,IF(HU$19=$FJ38,$S38^2*HU$15,HU37*INDEX($T$20:$T$91,$FJ38-HU$19)^2/INDEX($U$20:$U$91,$FJ38-HU$19))))</f>
        <v/>
      </c>
      <c r="HV38" s="150" t="str">
        <f aca="false">IF(HV$19&gt;$FJ38,"",MAX(0,IF(HV$19=$FJ38,$S38^2*HV$15,HV37*INDEX($T$20:$T$91,$FJ38-HV$19)^2/INDEX($U$20:$U$91,$FJ38-HV$19))))</f>
        <v/>
      </c>
      <c r="HW38" s="150" t="str">
        <f aca="false">IF(HW$19&gt;$FJ38,"",MAX(0,IF(HW$19=$FJ38,$S38^2*HW$15,HW37*INDEX($T$20:$T$91,$FJ38-HW$19)^2/INDEX($U$20:$U$91,$FJ38-HW$19))))</f>
        <v/>
      </c>
      <c r="HX38" s="150" t="str">
        <f aca="false">IF(HX$19&gt;$FJ38,"",MAX(0,IF(HX$19=$FJ38,$S38^2*HX$15,HX37*INDEX($T$20:$T$91,$FJ38-HX$19)^2/INDEX($U$20:$U$91,$FJ38-HX$19))))</f>
        <v/>
      </c>
      <c r="HY38" s="150" t="str">
        <f aca="false">IF(HY$19&gt;$FJ38,"",MAX(0,IF(HY$19=$FJ38,$S38^2*HY$15,HY37*INDEX($T$20:$T$91,$FJ38-HY$19)^2/INDEX($U$20:$U$91,$FJ38-HY$19))))</f>
        <v/>
      </c>
      <c r="HZ38" s="150" t="str">
        <f aca="false">IF(HZ$19&gt;$FJ38,"",MAX(0,IF(HZ$19=$FJ38,$S38^2*HZ$15,HZ37*INDEX($T$20:$T$91,$FJ38-HZ$19)^2/INDEX($U$20:$U$91,$FJ38-HZ$19))))</f>
        <v/>
      </c>
      <c r="IA38" s="150" t="str">
        <f aca="false">IF(IA$19&gt;$FJ38,"",MAX(0,IF(IA$19=$FJ38,$S38^2*IA$15,IA37*INDEX($T$20:$T$91,$FJ38-IA$19)^2/INDEX($U$20:$U$91,$FJ38-IA$19))))</f>
        <v/>
      </c>
      <c r="IB38" s="150" t="str">
        <f aca="false">IF(IB$19&gt;$FJ38,"",MAX(0,IF(IB$19=$FJ38,$S38^2*IB$15,IB37*INDEX($T$20:$T$91,$FJ38-IB$19)^2/INDEX($U$20:$U$91,$FJ38-IB$19))))</f>
        <v/>
      </c>
      <c r="IC38" s="150" t="str">
        <f aca="false">IF(IC$19&gt;$FJ38,"",MAX(0,IF(IC$19=$FJ38,$S38^2*IC$15,IC37*INDEX($T$20:$T$91,$FJ38-IC$19)^2/INDEX($U$20:$U$91,$FJ38-IC$19))))</f>
        <v/>
      </c>
      <c r="ID38" s="572" t="str">
        <f aca="false">IF(ID$19&gt;$FJ38,"",MAX(0,IF(ID$19=$FJ38,$S38^2*ID$15,ID37*INDEX($T$20:$T$91,$FJ38-ID$19)^2/INDEX($U$20:$U$91,$FJ38-ID$19))))</f>
        <v/>
      </c>
      <c r="IE38" s="129"/>
    </row>
    <row r="39" customFormat="false" ht="14.25" hidden="false" customHeight="true" outlineLevel="0" collapsed="false">
      <c r="A39" s="219"/>
      <c r="B39" s="207" t="str">
        <f aca="false">CONCATENATE(IF(OptControl=3,"Call 2","Put"),IF(OptControl=4," 2",""))</f>
        <v>Put</v>
      </c>
      <c r="C39" s="208" t="e">
        <f aca="false">SUMPRODUCT($BD19:$BD258,DB19:DB258)/NominalVolume</f>
        <v>#NAME?</v>
      </c>
      <c r="D39" s="208" t="e">
        <f aca="false">SUMPRODUCT($BD19:$BD258,DC19:DC258)/NominalVolume</f>
        <v>#NAME?</v>
      </c>
      <c r="E39" s="208" t="e">
        <f aca="false">SUMPRODUCT($BD19:$BD258,DD19:DD258)/NominalVolume</f>
        <v>#NAME?</v>
      </c>
      <c r="F39" s="209" t="e">
        <f aca="false">SUMPRODUCT($BD19:$BD258,DE19:DE258)/NominalVolume</f>
        <v>#NAME?</v>
      </c>
      <c r="G39" s="647" t="n">
        <f aca="false">SUMPRODUCT(CHOOSE(Underlying,J19:J258,P19:P258),BD19:BD258,AP19:AP258)/E32</f>
        <v>0</v>
      </c>
      <c r="H39" s="219" t="n">
        <f aca="false">VLOOKUP(I39,$EJ$20:$EL$54,3)</f>
        <v>0</v>
      </c>
      <c r="I39" s="511" t="n">
        <f aca="false">EOMONTH(I38,0)+1</f>
        <v>37347</v>
      </c>
      <c r="J39" s="512"/>
      <c r="K39" s="513" t="s">
        <v>226</v>
      </c>
      <c r="L39" s="514" t="e">
        <f aca="false">IF(ISNUMBER(K39),J39+K39/100,IF(K39="extra",L38+VLOOKUP(BF39,PriceSpreadTable,2)/12,IF(K39="inter",interpolateprices($K$19:$L$200,ROW(K39)-ROW(FirstPricingMonth)+1),interpolatechanges($J$19:$K$200,ROW(K39)-ROW(FirstPricingMonth)+1))))</f>
        <v>#VALUE!</v>
      </c>
      <c r="M39" s="515"/>
      <c r="N39" s="516" t="n">
        <v>0</v>
      </c>
      <c r="O39" s="515" t="n">
        <f aca="false">M39+N39</f>
        <v>0</v>
      </c>
      <c r="P39" s="512"/>
      <c r="Q39" s="513" t="s">
        <v>226</v>
      </c>
      <c r="R39" s="512" t="e">
        <f aca="false">IF(ISNUMBER(Q39),P39+Q39/100,IF(Q39="extra",(Z37*AL37-R38*AM37)/AN37,IF(Q39="inter",interpolateprices($Q$19:$R$260,ROW(Q39)-ROW(FirstPricingMonth)+1),interpolatechanges($P$19:$Q$260,ROW(Q39)-ROW(FirstPricingMonth)+1))))</f>
        <v>#VALUE!</v>
      </c>
      <c r="S39" s="597" t="n">
        <f aca="false">S$19+(S38-S$19)*S$18</f>
        <v>0.360225508404546</v>
      </c>
      <c r="T39" s="575" t="n">
        <f aca="false">SQRT((1-(1-T38^2/U38)*T$18)*U39)</f>
        <v>0.994226085987043</v>
      </c>
      <c r="U39" s="576" t="n">
        <f aca="false">1-(1-U38)*U$18</f>
        <v>0.999936575761221</v>
      </c>
      <c r="V39" s="521" t="n">
        <v>0</v>
      </c>
      <c r="W39" s="577" t="n">
        <f aca="false">(J40*AJ39+J41*AK39)/AI39</f>
        <v>0</v>
      </c>
      <c r="X39" s="578" t="e">
        <f aca="false">(L40*AJ39+L41*AK39)/AI39</f>
        <v>#VALUE!</v>
      </c>
      <c r="Y39" s="579" t="n">
        <f aca="false">IF(Q41="extra",W39-AA39,(P40*AM39+P41*AN39)/AL39)</f>
        <v>0</v>
      </c>
      <c r="Z39" s="579" t="e">
        <f aca="false">IF(Q41="extra",X39-AB39,(R40*AM39+R41*AN39)/AL39)</f>
        <v>#VALUE!</v>
      </c>
      <c r="AA39" s="523" t="n">
        <f aca="false">IF(Q41="extra",INDEX(BrentSeasonalityTable,INT((BG39-1)/3)+1)*VLOOKUP(MAX(BF39,$AB$4),PriceSpreadTable,3),W39-Y39)</f>
        <v>0</v>
      </c>
      <c r="AB39" s="524" t="e">
        <f aca="false">IF(Q41="extra",INDEX(BrentSeasonalityTable,INT((BG39-1)/3)+1)*VLOOKUP(MAX(BF39,$AB$4),PriceSpreadTable,3),X39-Z39)</f>
        <v>#VALUE!</v>
      </c>
      <c r="AC39" s="525" t="n">
        <v>37335</v>
      </c>
      <c r="AD39" s="646" t="n">
        <v>37330</v>
      </c>
      <c r="AE39" s="526" t="n">
        <v>37329</v>
      </c>
      <c r="AF39" s="527" t="n">
        <v>37328</v>
      </c>
      <c r="AG39" s="438" t="s">
        <v>224</v>
      </c>
      <c r="AH39" s="439" t="s">
        <v>247</v>
      </c>
      <c r="AI39" s="528" t="n">
        <v>22</v>
      </c>
      <c r="AJ39" s="529" t="n">
        <v>16</v>
      </c>
      <c r="AK39" s="529" t="n">
        <v>6</v>
      </c>
      <c r="AL39" s="530" t="n">
        <v>22</v>
      </c>
      <c r="AM39" s="529" t="n">
        <v>10</v>
      </c>
      <c r="AN39" s="531" t="n">
        <v>12</v>
      </c>
      <c r="AO39" s="532"/>
      <c r="AP39" s="465" t="n">
        <f aca="false">(1+AO39/2)^(-2*BL39)</f>
        <v>1</v>
      </c>
      <c r="AQ39" s="532"/>
      <c r="AR39" s="465" t="n">
        <f aca="false">(1+AQ39/2)^(-2*BH39/365.25)</f>
        <v>1</v>
      </c>
      <c r="AS39" s="580" t="n">
        <f aca="false">(O40*AJ39+O41*AK39)/AI39</f>
        <v>0</v>
      </c>
      <c r="AT39" s="468" t="n">
        <f aca="false">O39*VLOOKUP(BF39,BrentVolTable,2)+VLOOKUP(BF39,BrentVolTable,3)</f>
        <v>0</v>
      </c>
      <c r="AU39" s="468" t="n">
        <f aca="false">(AT40*AM39+AT41*AN39)/AL39</f>
        <v>0</v>
      </c>
      <c r="AV39" s="595" t="n">
        <f aca="false">SQRT(MAX(0.000000000001,(O39^2*BH39-S39^2*(BH39-BH38))/BH38))</f>
        <v>0.0208890691711363</v>
      </c>
      <c r="AW39" s="451" t="n">
        <f aca="false">IF($I39-DateToday+15&gt;=$T$8,"",IF($I39-DateToday+15&lt;$T$5,1,MATCH($I39-DateToday+15,$T$5:$T$8)))</f>
        <v>1</v>
      </c>
      <c r="AX39" s="468" t="n">
        <f aca="false">IF($AW39="",AX38^2/AX37,INDEX(U$5:U$8,$AW39)^((INDEX($T$5:$T$8,$AW39+1)-($I39-DateToday+15))/(INDEX($T$5:$T$8,$AW39+1)-INDEX($T$5:$T$8,$AW39)))/INDEX(U$5:U$8,$AW39+1)^((INDEX($T$5:$T$8,$AW39)-($I39-DateToday+15))/(INDEX($T$5:$T$8,$AW39+1)-INDEX($T$5:$T$8,$AW39))))</f>
        <v>8.36814419029228</v>
      </c>
      <c r="AY39" s="468" t="n">
        <f aca="false">IF($AW39="",AY38^2/AY37,INDEX(V$5:V$8,$AW39)^((INDEX($T$5:$T$8,$AW39+1)-($I39-DateToday+15))/(INDEX($T$5:$T$8,$AW39+1)-INDEX($T$5:$T$8,$AW39)))/INDEX(V$5:V$8,$AW39+1)^((INDEX($T$5:$T$8,$AW39)-($I39-DateToday+15))/(INDEX($T$5:$T$8,$AW39+1)-INDEX($T$5:$T$8,$AW39))))</f>
        <v>2347.68445392892</v>
      </c>
      <c r="AZ39" s="468" t="n">
        <f aca="false">IF($AW39="",AZ38^2/AZ37,INDEX(W$5:W$8,$AW39)^((INDEX($T$5:$T$8,$AW39+1)-($I39-DateToday+15))/(INDEX($T$5:$T$8,$AW39+1)-INDEX($T$5:$T$8,$AW39)))/INDEX(W$5:W$8,$AW39+1)^((INDEX($T$5:$T$8,$AW39)-($I39-DateToday+15))/(INDEX($T$5:$T$8,$AW39+1)-INDEX($T$5:$T$8,$AW39))))</f>
        <v>147243607.160311</v>
      </c>
      <c r="BA39" s="468" t="n">
        <f aca="false">IF($AW39="",BA38^2/BA37,INDEX(X$5:X$8,$AW39)^((INDEX($T$5:$T$8,$AW39+1)-($I39-DateToday+15))/(INDEX($T$5:$T$8,$AW39+1)-INDEX($T$5:$T$8,$AW39)))/INDEX(X$5:X$8,$AW39+1)^((INDEX($T$5:$T$8,$AW39)-($I39-DateToday+15))/(INDEX($T$5:$T$8,$AW39+1)-INDEX($T$5:$T$8,$AW39))))</f>
        <v>12834955581.419</v>
      </c>
      <c r="BB39" s="468" t="n">
        <f aca="false">IF($AW39="",BB38^2/BB37,INDEX(Y$5:Y$8,$AW39)^((INDEX($T$5:$T$8,$AW39+1)-($I39-DateToday+15))/(INDEX($T$5:$T$8,$AW39+1)-INDEX($T$5:$T$8,$AW39)))/INDEX(Y$5:Y$8,$AW39+1)^((INDEX($T$5:$T$8,$AW39)-($I39-DateToday+15))/(INDEX($T$5:$T$8,$AW39+1)-INDEX($T$5:$T$8,$AW39))))</f>
        <v>294122318268.55</v>
      </c>
      <c r="BC39" s="468" t="n">
        <f aca="false">IF($AW39="",BC38^2/BC37,INDEX(Z$5:Z$8,$AW39)^((INDEX($T$5:$T$8,$AW39+1)-($I39-DateToday+15))/(INDEX($T$5:$T$8,$AW39+1)-INDEX($T$5:$T$8,$AW39)))/INDEX(Z$5:Z$8,$AW39+1)^((INDEX($T$5:$T$8,$AW39)-($I39-DateToday+15))/(INDEX($T$5:$T$8,$AW39+1)-INDEX($T$5:$T$8,$AW39))))</f>
        <v>1899438512936.87</v>
      </c>
      <c r="BD39" s="535" t="n">
        <f aca="false">IF(OR(DateStart&gt;=I40,DateEnd&lt;I39),0,IF(VolumeOverrideFlag,V39,Volume))</f>
        <v>0</v>
      </c>
      <c r="BE39" s="536" t="n">
        <f aca="false">IF(OR(DateStart2&gt;=I40,DateEnd2&lt;I39),0,IF(VolumeOverrideFlag,V39,VolumeSwaption))</f>
        <v>0</v>
      </c>
      <c r="BF39" s="537" t="n">
        <f aca="false">YEAR(I39)</f>
        <v>2002</v>
      </c>
      <c r="BG39" s="538" t="n">
        <f aca="false">MONTH(I39)</f>
        <v>4</v>
      </c>
      <c r="BH39" s="539" t="n">
        <f aca="false">AD39-DateToday+1</f>
        <v>-8595</v>
      </c>
      <c r="BI39" s="540" t="n">
        <f aca="false">(I39-DateToday+1)/365.25</f>
        <v>-23.4852840520192</v>
      </c>
      <c r="BJ39" s="541" t="n">
        <f aca="false">BI39+(BL39-BI39)*CHOOSE(Underlying,AJ39/AI39,AM39/AL39)</f>
        <v>-23.4275402899633</v>
      </c>
      <c r="BK39" s="541" t="n">
        <f aca="false">BJ39+1/365.25</f>
        <v>-23.4248024391762</v>
      </c>
      <c r="BL39" s="541" t="n">
        <f aca="false">(I40-DateToday)/365.25</f>
        <v>-23.4058863791923</v>
      </c>
      <c r="BM39" s="542" t="e">
        <f aca="false">MAX(BI39-(BJ39-BI39)*(S40^2/O40^2-1),0)</f>
        <v>#DIV/0!</v>
      </c>
      <c r="BN39" s="541" t="e">
        <f aca="false">MAX(BL39+(BL39-BK39)*(S41^2/O41^2-1),0)</f>
        <v>#DIV/0!</v>
      </c>
      <c r="BO39" s="530" t="n">
        <f aca="false">CHOOSE(Underlying,AI39,AL39)</f>
        <v>22</v>
      </c>
      <c r="BP39" s="529" t="n">
        <f aca="false">CHOOSE(Underlying,AJ39,AM39)</f>
        <v>16</v>
      </c>
      <c r="BQ39" s="529" t="n">
        <f aca="false">CHOOSE(Underlying,AK39,AN39)</f>
        <v>6</v>
      </c>
      <c r="BR39" s="463" t="str">
        <f aca="false">IF(BD39,IF(Underlying=1,X39,Z39)+UnderlyingPriceAsian-SwapPriceCurve,"")</f>
        <v/>
      </c>
      <c r="BS39" s="463" t="str">
        <f aca="false">IF(BD39,Strike1/BR39-1,"")</f>
        <v/>
      </c>
      <c r="BT39" s="464" t="str">
        <f aca="false">IF(BD39,Strike2/BR39-1,"")</f>
        <v/>
      </c>
      <c r="BU39" s="465" t="str">
        <f aca="false">IF(BD39,IF(Underlying=1,L40,R40)+UnderlyingPriceAsian-SwapPriceCurve,"")</f>
        <v/>
      </c>
      <c r="BV39" s="465" t="str">
        <f aca="false">IF(BD39,IF(Underlying=1,L41,R41)+UnderlyingPriceAsian-SwapPriceCurve,"")</f>
        <v/>
      </c>
      <c r="BW39" s="466" t="str">
        <f aca="false">IF(BD39,IF(Underlying=1,O40,AT40),"")</f>
        <v/>
      </c>
      <c r="BX39" s="467" t="str">
        <f aca="false">IF(BD39,IF(Underlying=1,O41,AT41),"")</f>
        <v/>
      </c>
      <c r="BY39" s="466" t="str">
        <f aca="false">IF(BD39,IF(BS39&gt;0,IF(BS39&gt;0.2,BC39-BB39,IF(BS39&gt;0.1,BB39-BA39,BA39)),IF(BS39&lt;-0.2,AX39-AY39,IF(BS39&lt;-0.1,AY39-AZ39,AZ39))),"")</f>
        <v/>
      </c>
      <c r="BZ39" s="467" t="str">
        <f aca="false">IF(BD39,IF(BT39&gt;0,IF(BT39&gt;0.2,BC39-BB39,IF(BT39&gt;0.1,BB39-BA39,BA39)),IF(BT39&lt;-0.2,AX39-AY39,IF(BT39&lt;-0.1,AY39-AZ39,AZ39))),"")</f>
        <v/>
      </c>
      <c r="CA39" s="468" t="str">
        <f aca="false">IF($BD39,$BW39+IF(VolSkewFlag=1,IF(BS39&gt;0,$BA39*MIN(BS39/10%,1)+($BB39-$BA39)*MAX(0,MIN(BS39/10%-1,1))+($BC39-$BB39)*MAX(0,BS39/10%-2),$AZ39*MIN(-BS39/10%,1)+($AY39-$AZ39)*MAX(0,MIN(-BS39/10%-1,1))+($AX39-$AY39)*MAX(0,-BS39/10%-2)),0),"")</f>
        <v/>
      </c>
      <c r="CB39" s="468" t="str">
        <f aca="false">IF($BD39,$BX39+IF(VolSkewFlag=1,IF(BS39&gt;0,$BA39*MIN(BS39/10%,1)+($BB39-$BA39)*MAX(0,MIN(BS39/10%-1,1))+($BC39-$BB39)*MAX(0,BS39/10%-2),$AZ39*MIN(-BS39/10%,1)+($AY39-$AZ39)*MAX(0,MIN(-BS39/10%-1,1))+($AX39-$AY39)*MAX(0,-BS39/10%-2)),0),"")</f>
        <v/>
      </c>
      <c r="CC39" s="468" t="str">
        <f aca="false">IF($BD39,$BW39+IF(VolSkewFlag=1,IF(BT39&gt;0,$BA39*MIN(BT39/10%,1)+($BB39-$BA39)*MAX(0,MIN(BT39/10%-1,1))+($BC39-$BB39)*MAX(0,BT39/10%-2),$AZ39*MIN(-BT39/10%,1)+($AY39-$AZ39)*MAX(0,MIN(-BT39/10%-1,1))+($AX39-$AY39)*MAX(0,-BT39/10%-2)),0),"")</f>
        <v/>
      </c>
      <c r="CD39" s="468" t="str">
        <f aca="false">IF($BD39,$BX39+IF(VolSkewFlag=1,IF(BT39&gt;0,$BA39*MIN(BT39/10%,1)+($BB39-$BA39)*MAX(0,MIN(BT39/10%-1,1))+($BC39-$BB39)*MAX(0,BT39/10%-2),$AZ39*MIN(-BT39/10%,1)+($AY39-$AZ39)*MAX(0,MIN(-BT39/10%-1,1))+($AX39-$AY39)*MAX(0,-BT39/10%-2)),0),"")</f>
        <v/>
      </c>
      <c r="CE39" s="469" t="n">
        <v>1</v>
      </c>
      <c r="CF39" s="470" t="n">
        <f aca="false">IF(BD39,xCrudeAPO(BU39,BV39,CA39,CB39,S40,S41,BI39,BL39,BP39,BQ39,0,Strike1,AO39,CE39,0,BL39,IF(OptControl=4,0,1),0,1),0)</f>
        <v>0</v>
      </c>
      <c r="CG39" s="470" t="n">
        <f aca="false">IF(BD39,xCrudeAPO(BU39,BV39,CA39,CB39,S40,S41,BI39,BL39,BP39,BQ39,0,Strike1,AO39,CE39,0,BL39,IF(OptControl=4,0,1),1,1)+xCrudeAPO(BU39,BV39,CA39,CB39,S40,S41,BI39,BL39,BP39,BQ39,0,Strike1,AO39,CE39,0,BL39,IF(OptControl=4,0,1),1,2)+IF(OR(VolSkewFlag=2,ABS(BS39)&lt;0.0001),0,IF(BS39&gt;0,-1,1)*CH39*Strike1/BR39^2*BY39/10%),0)</f>
        <v>0</v>
      </c>
      <c r="CH39" s="470" t="n">
        <f aca="false">IF(BD39,(xCrudeAPO(BU39,BV39,CA39,CB39,S40,S41,BI39,BL39,BP39,BQ39,0,Strike1,AO39,CE39,0,BL39,IF(OptControl=4,0,1),3,1)+xCrudeAPO(BU39,BV39,CA39,CB39,S40,S41,BI39,BL39,BP39,BQ39,0,Strike1,AO39,CE39,0,BL39,IF(OptControl=4,0,1),3,2))/100,0)</f>
        <v>0</v>
      </c>
      <c r="CI39" s="470" t="n">
        <f aca="false">IF(BD39,xCrudeAPO(BU39,BV39,CA39,CB39,S40,S41,BI39-DaysForThetaCalculation/365.25,BL39-DaysForThetaCalculation/365.25,BP39,BQ39,0,Strike1,AO39,CE39,0,BL39,IF(OptControl=4,0,1),0,1)-xCrudeAPO(BU39,BV39,CA39,CB39,S40,S41,BI39,BL39,BP39,BQ39,0,Strike1,AO39,CE39,0,BL39,IF(OptControl=4,0,1),0,1),0)</f>
        <v>0</v>
      </c>
      <c r="CJ39" s="471" t="n">
        <f aca="false">IF(BD39,xCrudeAPO(BU39,BV39,CC39,CD39,S40,S41,BI39,BL39,BP39,BQ39,0,Strike2,AO39,CE39,0,BL39,IF(OptControl=3,1,0),0,1),0)</f>
        <v>0</v>
      </c>
      <c r="CK39" s="470" t="n">
        <f aca="false">IF(BD39,xCrudeAPO(BU39,BV39,CC39,CD39,S40,S41,BI39,BL39,BP39,BQ39,0,Strike2,AO39,CE39,0,BL39,IF(OptControl=3,1,0),1,1)+xCrudeAPO(BU39,BV39,CC39,CD39,S40,S41,BI39,BL39,BP39,BQ39,0,Strike2,AO39,CE39,0,BL39,IF(OptControl=3,1,0),1,2)+IF(OR(VolSkewFlag=2,ABS(BT39)&lt;0.0001),0,IF(BT39&gt;0,-1,1)*CL39*Strike2/BR39^2*BZ39/10%),0)</f>
        <v>0</v>
      </c>
      <c r="CL39" s="470" t="n">
        <f aca="false">IF(BD39,(xCrudeAPO(BU39,BV39,CC39,CD39,S40,S41,BI39,BL39,BP39,BQ39,0,Strike2,AO39,CE39,0,BL39,IF(OptControl=3,1,0),3,1)+xCrudeAPO(BU39,BV39,CC39,CD39,S40,S41,BI39,BL39,BP39,BQ39,0,Strike2,AO39,CE39,0,BL39,IF(OptControl=3,1,0),3,2))/100,0)</f>
        <v>0</v>
      </c>
      <c r="CM39" s="472" t="n">
        <f aca="false">IF(BD39,xCrudeAPO(BU39,BV39,CC39,CD39,S40,S41,BI39-DaysForThetaCalculation/365.25,BL39-DaysForThetaCalculation/365.25,BP39,BQ39,0,Strike2,AO39,CE39,0,BL39,IF(OptControl=3,1,0),0,1)-xCrudeAPO(BU39,BV39,CC39,CD39,S40,S41,BI39,BL39,BP39,BQ39,0,Strike2,AO39,CE39,0,BL39,IF(OptControl=3,1,0),0,1),0)</f>
        <v>0</v>
      </c>
      <c r="CO39" s="543" t="str">
        <f aca="false">IF(BD39,CHOOSE(Underlying,AD39,AF39)-DateToday+1,"")</f>
        <v/>
      </c>
      <c r="CP39" s="582" t="str">
        <f aca="false">IF(BD39,CHOOSE(Underlying,L39,R39),"")</f>
        <v/>
      </c>
      <c r="CQ39" s="544" t="str">
        <f aca="false">IF(BD39,Strike1/CP39-1,"")</f>
        <v/>
      </c>
      <c r="CR39" s="544" t="str">
        <f aca="false">IF(BD39,Strike2/CP39-1,"")</f>
        <v/>
      </c>
      <c r="CS39" s="544" t="str">
        <f aca="false">IF(BD39,IF(CQ39&gt;0,IF(CQ39&gt;0.2,BC38-BB38,IF(CQ39&gt;0.1,BB38-BA38,BA38)),IF(CQ39&lt;-0.2,AX38-AY38,IF(CQ39&lt;-0.1,AY38-AZ38,AZ38))),"")</f>
        <v/>
      </c>
      <c r="CT39" s="544" t="str">
        <f aca="false">IF(BD39,IF(CR39&gt;0,IF(CR39&gt;0.2,BC38-BB38,IF(CR39&gt;0.1,BB38-BA38,BA38)),IF(CR39&lt;-0.2,AX38-AY38,IF(CR39&lt;-0.1,AY38-AZ38,AZ38))),"")</f>
        <v/>
      </c>
      <c r="CU39" s="545" t="str">
        <f aca="false">IF(BD39,CHOOSE(Underlying,O39,AT39),"")</f>
        <v/>
      </c>
      <c r="CV39" s="545" t="str">
        <f aca="false">IF(BD39,CU39+IF(VolSkewFlag=1,IF(CQ39&gt;0,BA38*MIN(CQ39/10%,1)+(BB38-BA38)*MAX(0,MIN(CQ39/10%-1,1))+(BC38-BB38)*MAX(0,CQ39/10%-2),AZ38*MIN(-CQ39/10%,1)+(AY38-AZ38)*MAX(0,MIN(-CQ39/10%-1,1))+(AX38-AY38)*MAX(0,-CQ39/10%-2)),0),"")</f>
        <v/>
      </c>
      <c r="CW39" s="545" t="str">
        <f aca="false">IF(BD39,CU39+IF(VolSkewFlag=1,IF(CR39&gt;0,BA38*MIN(CR39/10%,1)+(BB38-BA38)*MAX(0,MIN(CR39/10%-1,1))+(BC38-BB38)*MAX(0,CR39/10%-2),AZ38*MIN(-CR39/10%,1)+(AY38-AZ38)*MAX(0,MIN(-CR39/10%-1,1))+(AX38-AY38)*MAX(0,-CR39/10%-2)),0),"")</f>
        <v/>
      </c>
      <c r="CX39" s="470" t="n">
        <f aca="false">IF(BD39,EURO(CP39,Strike1,AO39,AO39,CV39,CO39,IF(OptControl=4,0,1),0),0)</f>
        <v>0</v>
      </c>
      <c r="CY39" s="470" t="n">
        <f aca="false">IF(BD39,EURO(CP39,Strike1,AO39,AO39,CV39,CO39,IF(OptControl=4,0,1),1)+IF(OR(VolSkewFlag=2,ABS(CQ39)&lt;0.0001),0,IF(CQ39&gt;0,-1,1)*CZ39*100*Strike1/CP39^2*CS39/10%),0)</f>
        <v>0</v>
      </c>
      <c r="CZ39" s="470" t="n">
        <f aca="false">IF(BD39,EURO(CP39,Strike1,AO39,AO39,CV39,CO39,IF(OptControl=4,0,1),3)/100,0)</f>
        <v>0</v>
      </c>
      <c r="DA39" s="470" t="n">
        <f aca="false">IF(BD39,EURO(CP39,Strike1,AO39,AO39,CV39,CO39,IF(OptControl=4,0,1),0)-EURO(CP39,Strike1,AO39,AO39,CV39,CO39-1,IF(OptControl=4,0,1),0),0)</f>
        <v>0</v>
      </c>
      <c r="DB39" s="470" t="n">
        <f aca="false">IF(BD39,EURO(CP39,Strike2,AO39,AO39,CW39,CO39,IF(OptControl=3,1,0),0),0)</f>
        <v>0</v>
      </c>
      <c r="DC39" s="470" t="n">
        <f aca="false">IF(BD39,EURO(CP39,Strike2,AO39,AO39,CW39,CO39,IF(OptControl=3,1,0),1)+IF(OR(VolSkewFlag=2,ABS(CR39)&lt;0.0001),0,IF(CR39&gt;0,-1,1)*DD39*100*Strike2/CP39^2*CT39/10%),0)</f>
        <v>0</v>
      </c>
      <c r="DD39" s="470" t="n">
        <f aca="false">IF(BD39,EURO(CP39,Strike2,AO39,AO39,CW39,CO39,IF(OptControl=3,1,0),3)/100,0)</f>
        <v>0</v>
      </c>
      <c r="DE39" s="472" t="n">
        <f aca="false">IF(BD39,EURO(CP39,Strike2,AO39,AO39,CW39,CO39,IF(OptControl=3,1,0),0)-EURO(CP39,Strike2,AO39,AO39,CW39,CO39-1,IF(OptControl=3,1,0),0),0)</f>
        <v>0</v>
      </c>
      <c r="DF39" s="1"/>
      <c r="DG39" s="481" t="n">
        <f aca="false">EOMONTH(DG38,0)+1</f>
        <v>46266</v>
      </c>
      <c r="DH39" s="478" t="n">
        <v>20.93</v>
      </c>
      <c r="DI39" s="479" t="n">
        <v>20.601</v>
      </c>
      <c r="DJ39" s="480" t="n">
        <f aca="false">DG39</f>
        <v>46266</v>
      </c>
      <c r="DK39" s="478" t="n">
        <v>19.585</v>
      </c>
      <c r="DL39" s="479" t="n">
        <v>19.241</v>
      </c>
      <c r="DM39" s="481" t="n">
        <f aca="false">DG39</f>
        <v>46266</v>
      </c>
      <c r="DN39" s="482" t="n">
        <f aca="false">DK39+BrentPhyBrentSpread</f>
        <v>19.635</v>
      </c>
      <c r="DO39" s="481" t="n">
        <f aca="false">DG39</f>
        <v>46266</v>
      </c>
      <c r="DP39" s="483" t="n">
        <f aca="false">DL39+DQ39</f>
        <v>19.331</v>
      </c>
      <c r="DQ39" s="546" t="n">
        <v>0.09</v>
      </c>
      <c r="DR39" s="480" t="n">
        <f aca="false">DG39</f>
        <v>46266</v>
      </c>
      <c r="DS39" s="485" t="n">
        <v>0.23991401765002</v>
      </c>
      <c r="DT39" s="486" t="n">
        <v>0.237670341301952</v>
      </c>
      <c r="DU39" s="480" t="n">
        <f aca="false">DG39</f>
        <v>46266</v>
      </c>
      <c r="DV39" s="485" t="n">
        <v>0.23991401765002</v>
      </c>
      <c r="DW39" s="486" t="n">
        <v>0.237670341301952</v>
      </c>
      <c r="DX39" s="481" t="n">
        <f aca="false">DG39</f>
        <v>46266</v>
      </c>
      <c r="DY39" s="486" t="n">
        <v>0.350000305175781</v>
      </c>
      <c r="DZ39" s="481" t="n">
        <f aca="false">DR39</f>
        <v>46266</v>
      </c>
      <c r="EA39" s="486" t="n">
        <f aca="false">DT39</f>
        <v>0.237670341301952</v>
      </c>
      <c r="EB39" s="195"/>
      <c r="EC39" s="547" t="str">
        <f aca="false">IF(BD39,IF(Underlying=1,AS39,AU39),"")</f>
        <v/>
      </c>
      <c r="ED39" s="548" t="str">
        <f aca="false">IF($BD39,$EC39+IF(VolSkewFlag=1,IF(BS39&gt;0,$BA39*MIN(BS39/10%,1)+($BB39-$BA39)*MAX(0,MIN(BS39/10%-1,1))+($BC39-$BB39)*MAX(0,BS39/10%-2),$AZ39*MIN(-BS39/10%,1)+($AY39-$AZ39)*MAX(0,MIN(-BS39/10%-1,1))+($AX39-$AY39)*MAX(0,-BS39/10%-2)),0),"")</f>
        <v/>
      </c>
      <c r="EE39" s="549" t="str">
        <f aca="false">IF($BD39,$EC39+IF(VolSkewFlag=1,IF(BT39&gt;0,$BA39*MIN(BT39/10%,1)+($BB39-$BA39)*MAX(0,MIN(BT39/10%-1,1))+($BC39-$BB39)*MAX(0,BT39/10%-2),$AZ39*MIN(-BT39/10%,1)+($AY39-$AZ39)*MAX(0,MIN(-BT39/10%-1,1))+($AX39-$AY39)*MAX(0,-BT39/10%-2)),0),"")</f>
        <v/>
      </c>
      <c r="EF39" s="550" t="n">
        <f aca="false">IF(BD39,xASN(BR39,Strike1,AO39,ED39,0,BO39,0,BI39,BL39,IF(OptControl=4,0,1),0),0)</f>
        <v>0</v>
      </c>
      <c r="EG39" s="551" t="n">
        <f aca="false">IF(BD39,xASN(BR39,Strike2,AO39,EE39,0,BO39,0,BI39,BL39,IF(OptControl=3,1,0),0),0)</f>
        <v>0</v>
      </c>
      <c r="EI39" s="583" t="str">
        <f aca="false">DDE("TWINDDE","RSFRecord","CLc20 MTH")</f>
        <v>APR2</v>
      </c>
      <c r="EJ39" s="584" t="n">
        <f aca="false">DATEVALUE(CONCATENATE(LEFT(EI39,3),"-",IF(VALUE(RIGHT(EI39,1))=9,"1999",CONCATENATE("200",RIGHT(EI39,1)))))</f>
        <v>37347</v>
      </c>
      <c r="EK39" s="585" t="n">
        <f aca="false">DDE("TWINDDE","RSFRecord","CLc20 NET.CHNG")</f>
        <v>0</v>
      </c>
      <c r="EL39" s="586" t="n">
        <f aca="false">IF(ISNUMBER(VALUE(EK39)),VALUE(EK39)*100,0)</f>
        <v>0</v>
      </c>
      <c r="EM39" s="195"/>
      <c r="EN39" s="556" t="n">
        <v>37987</v>
      </c>
      <c r="EO39" s="557" t="n">
        <v>40172</v>
      </c>
      <c r="EP39" s="195"/>
      <c r="EQ39" s="407" t="s">
        <v>259</v>
      </c>
      <c r="ES39" s="587" t="n">
        <v>20</v>
      </c>
      <c r="ET39" s="559" t="n">
        <f aca="false">BH39/365.25</f>
        <v>-23.5318275154004</v>
      </c>
      <c r="EU39" s="560" t="n">
        <f aca="false">O39^2*ET39</f>
        <v>-0</v>
      </c>
      <c r="EV39" s="588" t="e">
        <f aca="false">SQRT(SUM(FK39:ID39)/ET39)</f>
        <v>#VALUE!</v>
      </c>
      <c r="EW39" s="589" t="str">
        <f aca="false">IF(OR(DateStart2&gt;I38,DateEnd2&lt;I37),"",IF(DateStart2&lt;I38,AK37/AI37*AP37*BE37*SwaptionNumOfMonths/$D$33,0)+IF(DateEnd2&gt;I37,AJ38/AI38*AP38*BE38*SwaptionNumOfMonths/$D$33,0))</f>
        <v/>
      </c>
      <c r="EX39" s="590" t="str">
        <f aca="false">IF(EW39="","",SQRT(SUM(FK344:ID344)/SwaptionYearsToExp))</f>
        <v/>
      </c>
      <c r="EY39" s="129" t="n">
        <v>0</v>
      </c>
      <c r="EZ39" s="591" t="str">
        <f aca="false">IF(OR(EW39="",EW40=""),"",SQRT(SUM(INDEX(FK39:ID39,SwaptionFirstMonthPosition+1):INDEX(FK39:ID39,FJ39))/SUM(INDEX($FK$15:$ID$15,SwaptionFirstMonthPosition+1):INDEX($FK$15:$ID$15,FJ39))))</f>
        <v/>
      </c>
      <c r="FA39" s="592" t="str">
        <f aca="false">IF(OR(EW39="",EW38=""),"",SQRT(SUM(INDEX(FK39:ID39,SwaptionFirstMonthPosition+1):INDEX(FK39:ID39,FJ39-1))/SUM(INDEX($FK$15:$ID$15,SwaptionFirstMonthPosition+1):INDEX($FK$15:$ID$15,FJ39-1))))</f>
        <v/>
      </c>
      <c r="FB39" s="593" t="str">
        <f aca="false">IF(BE39,2/3*EZ40+1/3*FA41,"")</f>
        <v/>
      </c>
      <c r="FC39" s="596" t="str">
        <f aca="false">IF(BE39,(I40+I39-1)/2-DateToday,"")</f>
        <v/>
      </c>
      <c r="FD39" s="483" t="str">
        <f aca="false">IF(BE39,CHOOSE(Underlying,X39,Z39)+SwaptionUnderlyingPrice-$D$26,"")</f>
        <v/>
      </c>
      <c r="FE39" s="483" t="str">
        <f aca="false">IF(BE39,CollartionFloor/FD39-1,"")</f>
        <v/>
      </c>
      <c r="FF39" s="483" t="str">
        <f aca="false">IF(BE39,CollartionCap/FD39-1,"")</f>
        <v/>
      </c>
      <c r="FG39" s="485" t="str">
        <f aca="false">IF(BE39,IF(VolSkewFlag=1,IF(FE39&gt;0,$BA39*MIN(FE39/10%,1)+($BB39-$BA39)*MAX(0,MIN(FE39/10%-1,1))+($BC39-$BB39)*MAX(0,FE39/10%-2),$AZ39*MIN(-FE39/10%,1)+($AY39-$AZ39)*MAX(0,MIN(-FE39/10%-1,1))+($AX39-$AY39)*MAX(0,-FE39/10%-2)),0),"")</f>
        <v/>
      </c>
      <c r="FH39" s="486" t="str">
        <f aca="false">IF(BE39,IF(VolSkewFlag=1,IF(FF39&gt;0,$BA39*MIN(FF39/10%,1)+($BB39-$BA39)*MAX(0,MIN(FF39/10%-1,1))+($BC39-$BB39)*MAX(0,FF39/10%-2),$AZ39*MIN(-FF39/10%,1)+($AY39-$AZ39)*MAX(0,MIN(-FF39/10%-1,1))+($AX39-$AY39)*MAX(0,-FF39/10%-2)),0),"")</f>
        <v/>
      </c>
      <c r="FI39" s="129"/>
      <c r="FJ39" s="571" t="n">
        <v>20</v>
      </c>
      <c r="FK39" s="150" t="n">
        <f aca="false">IF(FK$19&gt;$FJ39,"",MAX(0,IF(FK$19=$FJ39,$S39^2*FK$15,FK38*INDEX($T$20:$T$91,$FJ39-FK$19)^2/INDEX($U$20:$U$91,$FJ39-FK$19))))</f>
        <v>0</v>
      </c>
      <c r="FL39" s="150" t="n">
        <f aca="false">IF(FL$19&gt;$FJ39,"",MAX(0,IF(FL$19=$FJ39,$S39^2*FL$15,FL38*INDEX($T$20:$T$91,$FJ39-FL$19)^2/INDEX($U$20:$U$91,$FJ39-FL$19))))</f>
        <v>0</v>
      </c>
      <c r="FM39" s="150" t="n">
        <f aca="false">IF(FM$19&gt;$FJ39,"",MAX(0,IF(FM$19=$FJ39,$S39^2*FM$15,FM38*INDEX($T$20:$T$91,$FJ39-FM$19)^2/INDEX($U$20:$U$91,$FJ39-FM$19))))</f>
        <v>0.00283862539633862</v>
      </c>
      <c r="FN39" s="150" t="n">
        <f aca="false">IF(FN$19&gt;$FJ39,"",MAX(0,IF(FN$19=$FJ39,$S39^2*FN$15,FN38*INDEX($T$20:$T$91,$FJ39-FN$19)^2/INDEX($U$20:$U$91,$FJ39-FN$19))))</f>
        <v>0.00243377701483883</v>
      </c>
      <c r="FO39" s="150" t="n">
        <f aca="false">IF(FO$19&gt;$FJ39,"",MAX(0,IF(FO$19=$FJ39,$S39^2*FO$15,FO38*INDEX($T$20:$T$91,$FJ39-FO$19)^2/INDEX($U$20:$U$91,$FJ39-FO$19))))</f>
        <v>0.00258692359823266</v>
      </c>
      <c r="FP39" s="150" t="n">
        <f aca="false">IF(FP$19&gt;$FJ39,"",MAX(0,IF(FP$19=$FJ39,$S39^2*FP$15,FP38*INDEX($T$20:$T$91,$FJ39-FP$19)^2/INDEX($U$20:$U$91,$FJ39-FP$19))))</f>
        <v>0.00294026940268853</v>
      </c>
      <c r="FQ39" s="150" t="n">
        <f aca="false">IF(FQ$19&gt;$FJ39,"",MAX(0,IF(FQ$19=$FJ39,$S39^2*FQ$15,FQ38*INDEX($T$20:$T$91,$FJ39-FQ$19)^2/INDEX($U$20:$U$91,$FJ39-FQ$19))))</f>
        <v>0.00245234306748505</v>
      </c>
      <c r="FR39" s="150" t="n">
        <f aca="false">IF(FR$19&gt;$FJ39,"",MAX(0,IF(FR$19=$FJ39,$S39^2*FR$15,FR38*INDEX($T$20:$T$91,$FJ39-FR$19)^2/INDEX($U$20:$U$91,$FJ39-FR$19))))</f>
        <v>0.0025964261889434</v>
      </c>
      <c r="FS39" s="150" t="n">
        <f aca="false">IF(FS$19&gt;$FJ39,"",MAX(0,IF(FS$19=$FJ39,$S39^2*FS$15,FS38*INDEX($T$20:$T$91,$FJ39-FS$19)^2/INDEX($U$20:$U$91,$FJ39-FS$19))))</f>
        <v>0.00304820940309127</v>
      </c>
      <c r="FT39" s="150" t="n">
        <f aca="false">IF(FT$19&gt;$FJ39,"",MAX(0,IF(FT$19=$FJ39,$S39^2*FT$15,FT38*INDEX($T$20:$T$91,$FJ39-FT$19)^2/INDEX($U$20:$U$91,$FJ39-FT$19))))</f>
        <v>0.00288625399176793</v>
      </c>
      <c r="FU39" s="150" t="n">
        <f aca="false">IF(FU$19&gt;$FJ39,"",MAX(0,IF(FU$19=$FJ39,$S39^2*FU$15,FU38*INDEX($T$20:$T$91,$FJ39-FU$19)^2/INDEX($U$20:$U$91,$FJ39-FU$19))))</f>
        <v>0.00293575921015932</v>
      </c>
      <c r="FV39" s="150" t="n">
        <f aca="false">IF(FV$19&gt;$FJ39,"",MAX(0,IF(FV$19=$FJ39,$S39^2*FV$15,FV38*INDEX($T$20:$T$91,$FJ39-FV$19)^2/INDEX($U$20:$U$91,$FJ39-FV$19))))</f>
        <v>0.00344723656378555</v>
      </c>
      <c r="FW39" s="150" t="n">
        <f aca="false">IF(FW$19&gt;$FJ39,"",MAX(0,IF(FW$19=$FJ39,$S39^2*FW$15,FW38*INDEX($T$20:$T$91,$FJ39-FW$19)^2/INDEX($U$20:$U$91,$FJ39-FW$19))))</f>
        <v>0.00348310905960494</v>
      </c>
      <c r="FX39" s="150" t="n">
        <f aca="false">IF(FX$19&gt;$FJ39,"",MAX(0,IF(FX$19=$FJ39,$S39^2*FX$15,FX38*INDEX($T$20:$T$91,$FJ39-FX$19)^2/INDEX($U$20:$U$91,$FJ39-FX$19))))</f>
        <v>0.00406324953197224</v>
      </c>
      <c r="FY39" s="150" t="n">
        <f aca="false">IF(FY$19&gt;$FJ39,"",MAX(0,IF(FY$19=$FJ39,$S39^2*FY$15,FY38*INDEX($T$20:$T$91,$FJ39-FY$19)^2/INDEX($U$20:$U$91,$FJ39-FY$19))))</f>
        <v>0.00423759754943153</v>
      </c>
      <c r="FZ39" s="150" t="n">
        <f aca="false">IF(FZ$19&gt;$FJ39,"",MAX(0,IF(FZ$19=$FJ39,$S39^2*FZ$15,FZ38*INDEX($T$20:$T$91,$FJ39-FZ$19)^2/INDEX($U$20:$U$91,$FJ39-FZ$19))))</f>
        <v>0.00448878988948611</v>
      </c>
      <c r="GA39" s="150" t="n">
        <f aca="false">IF(GA$19&gt;$FJ39,"",MAX(0,IF(GA$19=$FJ39,$S39^2*GA$15,GA38*INDEX($T$20:$T$91,$FJ39-GA$19)^2/INDEX($U$20:$U$91,$FJ39-GA$19))))</f>
        <v>0.00558952443436359</v>
      </c>
      <c r="GB39" s="150" t="n">
        <f aca="false">IF(GB$19&gt;$FJ39,"",MAX(0,IF(GB$19=$FJ39,$S39^2*GB$15,GB38*INDEX($T$20:$T$91,$FJ39-GB$19)^2/INDEX($U$20:$U$91,$FJ39-GB$19))))</f>
        <v>0.00735119884330286</v>
      </c>
      <c r="GC39" s="150" t="n">
        <f aca="false">IF(GC$19&gt;$FJ39,"",MAX(0,IF(GC$19=$FJ39,$S39^2*GC$15,GC38*INDEX($T$20:$T$91,$FJ39-GC$19)^2/INDEX($U$20:$U$91,$FJ39-GC$19))))</f>
        <v>0.00799157867542518</v>
      </c>
      <c r="GD39" s="150" t="n">
        <f aca="false">IF(GD$19&gt;$FJ39,"",MAX(0,IF(GD$19=$FJ39,$S39^2*GD$15,GD38*INDEX($T$20:$T$91,$FJ39-GD$19)^2/INDEX($U$20:$U$91,$FJ39-GD$19))))</f>
        <v>0.0103028339226667</v>
      </c>
      <c r="GE39" s="150" t="str">
        <f aca="false">IF(GE$19&gt;$FJ39,"",MAX(0,IF(GE$19=$FJ39,$S39^2*GE$15,GE38*INDEX($T$20:$T$91,$FJ39-GE$19)^2/INDEX($U$20:$U$91,$FJ39-GE$19))))</f>
        <v/>
      </c>
      <c r="GF39" s="150" t="str">
        <f aca="false">IF(GF$19&gt;$FJ39,"",MAX(0,IF(GF$19=$FJ39,$S39^2*GF$15,GF38*INDEX($T$20:$T$91,$FJ39-GF$19)^2/INDEX($U$20:$U$91,$FJ39-GF$19))))</f>
        <v/>
      </c>
      <c r="GG39" s="150" t="str">
        <f aca="false">IF(GG$19&gt;$FJ39,"",MAX(0,IF(GG$19=$FJ39,$S39^2*GG$15,GG38*INDEX($T$20:$T$91,$FJ39-GG$19)^2/INDEX($U$20:$U$91,$FJ39-GG$19))))</f>
        <v/>
      </c>
      <c r="GH39" s="150" t="str">
        <f aca="false">IF(GH$19&gt;$FJ39,"",MAX(0,IF(GH$19=$FJ39,$S39^2*GH$15,GH38*INDEX($T$20:$T$91,$FJ39-GH$19)^2/INDEX($U$20:$U$91,$FJ39-GH$19))))</f>
        <v/>
      </c>
      <c r="GI39" s="150" t="str">
        <f aca="false">IF(GI$19&gt;$FJ39,"",MAX(0,IF(GI$19=$FJ39,$S39^2*GI$15,GI38*INDEX($T$20:$T$91,$FJ39-GI$19)^2/INDEX($U$20:$U$91,$FJ39-GI$19))))</f>
        <v/>
      </c>
      <c r="GJ39" s="150" t="str">
        <f aca="false">IF(GJ$19&gt;$FJ39,"",MAX(0,IF(GJ$19=$FJ39,$S39^2*GJ$15,GJ38*INDEX($T$20:$T$91,$FJ39-GJ$19)^2/INDEX($U$20:$U$91,$FJ39-GJ$19))))</f>
        <v/>
      </c>
      <c r="GK39" s="150" t="str">
        <f aca="false">IF(GK$19&gt;$FJ39,"",MAX(0,IF(GK$19=$FJ39,$S39^2*GK$15,GK38*INDEX($T$20:$T$91,$FJ39-GK$19)^2/INDEX($U$20:$U$91,$FJ39-GK$19))))</f>
        <v/>
      </c>
      <c r="GL39" s="150" t="str">
        <f aca="false">IF(GL$19&gt;$FJ39,"",MAX(0,IF(GL$19=$FJ39,$S39^2*GL$15,GL38*INDEX($T$20:$T$91,$FJ39-GL$19)^2/INDEX($U$20:$U$91,$FJ39-GL$19))))</f>
        <v/>
      </c>
      <c r="GM39" s="150" t="str">
        <f aca="false">IF(GM$19&gt;$FJ39,"",MAX(0,IF(GM$19=$FJ39,$S39^2*GM$15,GM38*INDEX($T$20:$T$91,$FJ39-GM$19)^2/INDEX($U$20:$U$91,$FJ39-GM$19))))</f>
        <v/>
      </c>
      <c r="GN39" s="150" t="str">
        <f aca="false">IF(GN$19&gt;$FJ39,"",MAX(0,IF(GN$19=$FJ39,$S39^2*GN$15,GN38*INDEX($T$20:$T$91,$FJ39-GN$19)^2/INDEX($U$20:$U$91,$FJ39-GN$19))))</f>
        <v/>
      </c>
      <c r="GO39" s="150" t="str">
        <f aca="false">IF(GO$19&gt;$FJ39,"",MAX(0,IF(GO$19=$FJ39,$S39^2*GO$15,GO38*INDEX($T$20:$T$91,$FJ39-GO$19)^2/INDEX($U$20:$U$91,$FJ39-GO$19))))</f>
        <v/>
      </c>
      <c r="GP39" s="150" t="str">
        <f aca="false">IF(GP$19&gt;$FJ39,"",MAX(0,IF(GP$19=$FJ39,$S39^2*GP$15,GP38*INDEX($T$20:$T$91,$FJ39-GP$19)^2/INDEX($U$20:$U$91,$FJ39-GP$19))))</f>
        <v/>
      </c>
      <c r="GQ39" s="150" t="str">
        <f aca="false">IF(GQ$19&gt;$FJ39,"",MAX(0,IF(GQ$19=$FJ39,$S39^2*GQ$15,GQ38*INDEX($T$20:$T$91,$FJ39-GQ$19)^2/INDEX($U$20:$U$91,$FJ39-GQ$19))))</f>
        <v/>
      </c>
      <c r="GR39" s="150" t="str">
        <f aca="false">IF(GR$19&gt;$FJ39,"",MAX(0,IF(GR$19=$FJ39,$S39^2*GR$15,GR38*INDEX($T$20:$T$91,$FJ39-GR$19)^2/INDEX($U$20:$U$91,$FJ39-GR$19))))</f>
        <v/>
      </c>
      <c r="GS39" s="150" t="str">
        <f aca="false">IF(GS$19&gt;$FJ39,"",MAX(0,IF(GS$19=$FJ39,$S39^2*GS$15,GS38*INDEX($T$20:$T$91,$FJ39-GS$19)^2/INDEX($U$20:$U$91,$FJ39-GS$19))))</f>
        <v/>
      </c>
      <c r="GT39" s="150" t="str">
        <f aca="false">IF(GT$19&gt;$FJ39,"",MAX(0,IF(GT$19=$FJ39,$S39^2*GT$15,GT38*INDEX($T$20:$T$91,$FJ39-GT$19)^2/INDEX($U$20:$U$91,$FJ39-GT$19))))</f>
        <v/>
      </c>
      <c r="GU39" s="150" t="str">
        <f aca="false">IF(GU$19&gt;$FJ39,"",MAX(0,IF(GU$19=$FJ39,$S39^2*GU$15,GU38*INDEX($T$20:$T$91,$FJ39-GU$19)^2/INDEX($U$20:$U$91,$FJ39-GU$19))))</f>
        <v/>
      </c>
      <c r="GV39" s="150" t="str">
        <f aca="false">IF(GV$19&gt;$FJ39,"",MAX(0,IF(GV$19=$FJ39,$S39^2*GV$15,GV38*INDEX($T$20:$T$91,$FJ39-GV$19)^2/INDEX($U$20:$U$91,$FJ39-GV$19))))</f>
        <v/>
      </c>
      <c r="GW39" s="150" t="str">
        <f aca="false">IF(GW$19&gt;$FJ39,"",MAX(0,IF(GW$19=$FJ39,$S39^2*GW$15,GW38*INDEX($T$20:$T$91,$FJ39-GW$19)^2/INDEX($U$20:$U$91,$FJ39-GW$19))))</f>
        <v/>
      </c>
      <c r="GX39" s="150" t="str">
        <f aca="false">IF(GX$19&gt;$FJ39,"",MAX(0,IF(GX$19=$FJ39,$S39^2*GX$15,GX38*INDEX($T$20:$T$91,$FJ39-GX$19)^2/INDEX($U$20:$U$91,$FJ39-GX$19))))</f>
        <v/>
      </c>
      <c r="GY39" s="150" t="str">
        <f aca="false">IF(GY$19&gt;$FJ39,"",MAX(0,IF(GY$19=$FJ39,$S39^2*GY$15,GY38*INDEX($T$20:$T$91,$FJ39-GY$19)^2/INDEX($U$20:$U$91,$FJ39-GY$19))))</f>
        <v/>
      </c>
      <c r="GZ39" s="150" t="str">
        <f aca="false">IF(GZ$19&gt;$FJ39,"",MAX(0,IF(GZ$19=$FJ39,$S39^2*GZ$15,GZ38*INDEX($T$20:$T$91,$FJ39-GZ$19)^2/INDEX($U$20:$U$91,$FJ39-GZ$19))))</f>
        <v/>
      </c>
      <c r="HA39" s="150" t="str">
        <f aca="false">IF(HA$19&gt;$FJ39,"",MAX(0,IF(HA$19=$FJ39,$S39^2*HA$15,HA38*INDEX($T$20:$T$91,$FJ39-HA$19)^2/INDEX($U$20:$U$91,$FJ39-HA$19))))</f>
        <v/>
      </c>
      <c r="HB39" s="150" t="str">
        <f aca="false">IF(HB$19&gt;$FJ39,"",MAX(0,IF(HB$19=$FJ39,$S39^2*HB$15,HB38*INDEX($T$20:$T$91,$FJ39-HB$19)^2/INDEX($U$20:$U$91,$FJ39-HB$19))))</f>
        <v/>
      </c>
      <c r="HC39" s="150" t="str">
        <f aca="false">IF(HC$19&gt;$FJ39,"",MAX(0,IF(HC$19=$FJ39,$S39^2*HC$15,HC38*INDEX($T$20:$T$91,$FJ39-HC$19)^2/INDEX($U$20:$U$91,$FJ39-HC$19))))</f>
        <v/>
      </c>
      <c r="HD39" s="150" t="str">
        <f aca="false">IF(HD$19&gt;$FJ39,"",MAX(0,IF(HD$19=$FJ39,$S39^2*HD$15,HD38*INDEX($T$20:$T$91,$FJ39-HD$19)^2/INDEX($U$20:$U$91,$FJ39-HD$19))))</f>
        <v/>
      </c>
      <c r="HE39" s="150" t="str">
        <f aca="false">IF(HE$19&gt;$FJ39,"",MAX(0,IF(HE$19=$FJ39,$S39^2*HE$15,HE38*INDEX($T$20:$T$91,$FJ39-HE$19)^2/INDEX($U$20:$U$91,$FJ39-HE$19))))</f>
        <v/>
      </c>
      <c r="HF39" s="150" t="str">
        <f aca="false">IF(HF$19&gt;$FJ39,"",MAX(0,IF(HF$19=$FJ39,$S39^2*HF$15,HF38*INDEX($T$20:$T$91,$FJ39-HF$19)^2/INDEX($U$20:$U$91,$FJ39-HF$19))))</f>
        <v/>
      </c>
      <c r="HG39" s="150" t="str">
        <f aca="false">IF(HG$19&gt;$FJ39,"",MAX(0,IF(HG$19=$FJ39,$S39^2*HG$15,HG38*INDEX($T$20:$T$91,$FJ39-HG$19)^2/INDEX($U$20:$U$91,$FJ39-HG$19))))</f>
        <v/>
      </c>
      <c r="HH39" s="150" t="str">
        <f aca="false">IF(HH$19&gt;$FJ39,"",MAX(0,IF(HH$19=$FJ39,$S39^2*HH$15,HH38*INDEX($T$20:$T$91,$FJ39-HH$19)^2/INDEX($U$20:$U$91,$FJ39-HH$19))))</f>
        <v/>
      </c>
      <c r="HI39" s="150" t="str">
        <f aca="false">IF(HI$19&gt;$FJ39,"",MAX(0,IF(HI$19=$FJ39,$S39^2*HI$15,HI38*INDEX($T$20:$T$91,$FJ39-HI$19)^2/INDEX($U$20:$U$91,$FJ39-HI$19))))</f>
        <v/>
      </c>
      <c r="HJ39" s="150" t="str">
        <f aca="false">IF(HJ$19&gt;$FJ39,"",MAX(0,IF(HJ$19=$FJ39,$S39^2*HJ$15,HJ38*INDEX($T$20:$T$91,$FJ39-HJ$19)^2/INDEX($U$20:$U$91,$FJ39-HJ$19))))</f>
        <v/>
      </c>
      <c r="HK39" s="150" t="str">
        <f aca="false">IF(HK$19&gt;$FJ39,"",MAX(0,IF(HK$19=$FJ39,$S39^2*HK$15,HK38*INDEX($T$20:$T$91,$FJ39-HK$19)^2/INDEX($U$20:$U$91,$FJ39-HK$19))))</f>
        <v/>
      </c>
      <c r="HL39" s="150" t="str">
        <f aca="false">IF(HL$19&gt;$FJ39,"",MAX(0,IF(HL$19=$FJ39,$S39^2*HL$15,HL38*INDEX($T$20:$T$91,$FJ39-HL$19)^2/INDEX($U$20:$U$91,$FJ39-HL$19))))</f>
        <v/>
      </c>
      <c r="HM39" s="150" t="str">
        <f aca="false">IF(HM$19&gt;$FJ39,"",MAX(0,IF(HM$19=$FJ39,$S39^2*HM$15,HM38*INDEX($T$20:$T$91,$FJ39-HM$19)^2/INDEX($U$20:$U$91,$FJ39-HM$19))))</f>
        <v/>
      </c>
      <c r="HN39" s="150" t="str">
        <f aca="false">IF(HN$19&gt;$FJ39,"",MAX(0,IF(HN$19=$FJ39,$S39^2*HN$15,HN38*INDEX($T$20:$T$91,$FJ39-HN$19)^2/INDEX($U$20:$U$91,$FJ39-HN$19))))</f>
        <v/>
      </c>
      <c r="HO39" s="150" t="str">
        <f aca="false">IF(HO$19&gt;$FJ39,"",MAX(0,IF(HO$19=$FJ39,$S39^2*HO$15,HO38*INDEX($T$20:$T$91,$FJ39-HO$19)^2/INDEX($U$20:$U$91,$FJ39-HO$19))))</f>
        <v/>
      </c>
      <c r="HP39" s="150" t="str">
        <f aca="false">IF(HP$19&gt;$FJ39,"",MAX(0,IF(HP$19=$FJ39,$S39^2*HP$15,HP38*INDEX($T$20:$T$91,$FJ39-HP$19)^2/INDEX($U$20:$U$91,$FJ39-HP$19))))</f>
        <v/>
      </c>
      <c r="HQ39" s="150" t="str">
        <f aca="false">IF(HQ$19&gt;$FJ39,"",MAX(0,IF(HQ$19=$FJ39,$S39^2*HQ$15,HQ38*INDEX($T$20:$T$91,$FJ39-HQ$19)^2/INDEX($U$20:$U$91,$FJ39-HQ$19))))</f>
        <v/>
      </c>
      <c r="HR39" s="150" t="str">
        <f aca="false">IF(HR$19&gt;$FJ39,"",MAX(0,IF(HR$19=$FJ39,$S39^2*HR$15,HR38*INDEX($T$20:$T$91,$FJ39-HR$19)^2/INDEX($U$20:$U$91,$FJ39-HR$19))))</f>
        <v/>
      </c>
      <c r="HS39" s="150" t="str">
        <f aca="false">IF(HS$19&gt;$FJ39,"",MAX(0,IF(HS$19=$FJ39,$S39^2*HS$15,HS38*INDEX($T$20:$T$91,$FJ39-HS$19)^2/INDEX($U$20:$U$91,$FJ39-HS$19))))</f>
        <v/>
      </c>
      <c r="HT39" s="150" t="str">
        <f aca="false">IF(HT$19&gt;$FJ39,"",MAX(0,IF(HT$19=$FJ39,$S39^2*HT$15,HT38*INDEX($T$20:$T$91,$FJ39-HT$19)^2/INDEX($U$20:$U$91,$FJ39-HT$19))))</f>
        <v/>
      </c>
      <c r="HU39" s="150" t="str">
        <f aca="false">IF(HU$19&gt;$FJ39,"",MAX(0,IF(HU$19=$FJ39,$S39^2*HU$15,HU38*INDEX($T$20:$T$91,$FJ39-HU$19)^2/INDEX($U$20:$U$91,$FJ39-HU$19))))</f>
        <v/>
      </c>
      <c r="HV39" s="150" t="str">
        <f aca="false">IF(HV$19&gt;$FJ39,"",MAX(0,IF(HV$19=$FJ39,$S39^2*HV$15,HV38*INDEX($T$20:$T$91,$FJ39-HV$19)^2/INDEX($U$20:$U$91,$FJ39-HV$19))))</f>
        <v/>
      </c>
      <c r="HW39" s="150" t="str">
        <f aca="false">IF(HW$19&gt;$FJ39,"",MAX(0,IF(HW$19=$FJ39,$S39^2*HW$15,HW38*INDEX($T$20:$T$91,$FJ39-HW$19)^2/INDEX($U$20:$U$91,$FJ39-HW$19))))</f>
        <v/>
      </c>
      <c r="HX39" s="150" t="str">
        <f aca="false">IF(HX$19&gt;$FJ39,"",MAX(0,IF(HX$19=$FJ39,$S39^2*HX$15,HX38*INDEX($T$20:$T$91,$FJ39-HX$19)^2/INDEX($U$20:$U$91,$FJ39-HX$19))))</f>
        <v/>
      </c>
      <c r="HY39" s="150" t="str">
        <f aca="false">IF(HY$19&gt;$FJ39,"",MAX(0,IF(HY$19=$FJ39,$S39^2*HY$15,HY38*INDEX($T$20:$T$91,$FJ39-HY$19)^2/INDEX($U$20:$U$91,$FJ39-HY$19))))</f>
        <v/>
      </c>
      <c r="HZ39" s="150" t="str">
        <f aca="false">IF(HZ$19&gt;$FJ39,"",MAX(0,IF(HZ$19=$FJ39,$S39^2*HZ$15,HZ38*INDEX($T$20:$T$91,$FJ39-HZ$19)^2/INDEX($U$20:$U$91,$FJ39-HZ$19))))</f>
        <v/>
      </c>
      <c r="IA39" s="150" t="str">
        <f aca="false">IF(IA$19&gt;$FJ39,"",MAX(0,IF(IA$19=$FJ39,$S39^2*IA$15,IA38*INDEX($T$20:$T$91,$FJ39-IA$19)^2/INDEX($U$20:$U$91,$FJ39-IA$19))))</f>
        <v/>
      </c>
      <c r="IB39" s="150" t="str">
        <f aca="false">IF(IB$19&gt;$FJ39,"",MAX(0,IF(IB$19=$FJ39,$S39^2*IB$15,IB38*INDEX($T$20:$T$91,$FJ39-IB$19)^2/INDEX($U$20:$U$91,$FJ39-IB$19))))</f>
        <v/>
      </c>
      <c r="IC39" s="150" t="str">
        <f aca="false">IF(IC$19&gt;$FJ39,"",MAX(0,IF(IC$19=$FJ39,$S39^2*IC$15,IC38*INDEX($T$20:$T$91,$FJ39-IC$19)^2/INDEX($U$20:$U$91,$FJ39-IC$19))))</f>
        <v/>
      </c>
      <c r="ID39" s="572" t="str">
        <f aca="false">IF(ID$19&gt;$FJ39,"",MAX(0,IF(ID$19=$FJ39,$S39^2*ID$15,ID38*INDEX($T$20:$T$91,$FJ39-ID$19)^2/INDEX($U$20:$U$91,$FJ39-ID$19))))</f>
        <v/>
      </c>
      <c r="IE39" s="129"/>
    </row>
    <row r="40" customFormat="false" ht="15.75" hidden="false" customHeight="true" outlineLevel="0" collapsed="false">
      <c r="A40" s="219"/>
      <c r="B40" s="215" t="str">
        <f aca="false">IF(OptControl=3,"Call Spread",IF(OptControl=4,"Put Spread","Straddle"))</f>
        <v>Straddle</v>
      </c>
      <c r="C40" s="216" t="e">
        <f aca="false">C38+C39*IF(OptControl&gt;2,-1,1)</f>
        <v>#NAME?</v>
      </c>
      <c r="D40" s="216" t="e">
        <f aca="false">D38+D39*IF(OptControl&gt;2,-1,1)</f>
        <v>#NAME?</v>
      </c>
      <c r="E40" s="216" t="e">
        <f aca="false">E38+E39*IF(OptControl&gt;2,-1,1)</f>
        <v>#NAME?</v>
      </c>
      <c r="F40" s="217" t="e">
        <f aca="false">F38+F39*IF(OptControl&gt;2,-1,1)</f>
        <v>#NAME?</v>
      </c>
      <c r="G40" s="598" t="s">
        <v>50</v>
      </c>
      <c r="H40" s="219" t="n">
        <f aca="false">VLOOKUP(I40,$EJ$20:$EL$54,3)</f>
        <v>0</v>
      </c>
      <c r="I40" s="511" t="n">
        <f aca="false">EOMONTH(I39,0)+1</f>
        <v>37377</v>
      </c>
      <c r="J40" s="512"/>
      <c r="K40" s="513" t="s">
        <v>226</v>
      </c>
      <c r="L40" s="514" t="e">
        <f aca="false">IF(ISNUMBER(K40),J40+K40/100,IF(K40="extra",L39+VLOOKUP(BF40,PriceSpreadTable,2)/12,IF(K40="inter",interpolateprices($K$19:$L$200,ROW(K40)-ROW(FirstPricingMonth)+1),interpolatechanges($J$19:$K$200,ROW(K40)-ROW(FirstPricingMonth)+1))))</f>
        <v>#VALUE!</v>
      </c>
      <c r="M40" s="515"/>
      <c r="N40" s="516" t="n">
        <v>0</v>
      </c>
      <c r="O40" s="515" t="n">
        <f aca="false">M40+N40</f>
        <v>0</v>
      </c>
      <c r="P40" s="512"/>
      <c r="Q40" s="517" t="s">
        <v>250</v>
      </c>
      <c r="R40" s="512" t="e">
        <f aca="false">IF(ISNUMBER(Q40),P40+Q40/100,IF(Q40="extra",(Z38*AL38-R39*AM38)/AN38,IF(Q40="inter",interpolateprices($Q$19:$R$260,ROW(Q40)-ROW(FirstPricingMonth)+1),interpolatechanges($P$19:$Q$260,ROW(Q40)-ROW(FirstPricingMonth)+1))))</f>
        <v>#VALUE!</v>
      </c>
      <c r="S40" s="597" t="n">
        <f aca="false">S$19+(S39-S$19)*S$18</f>
        <v>0.36016913130341</v>
      </c>
      <c r="T40" s="575" t="n">
        <f aca="false">SQRT((1-(1-T39^2/U39)*T$18)*U40)</f>
        <v>0.995068648582976</v>
      </c>
      <c r="U40" s="576" t="n">
        <f aca="false">1-(1-U39)*U$18</f>
        <v>0.999952431820916</v>
      </c>
      <c r="V40" s="521" t="n">
        <v>0</v>
      </c>
      <c r="W40" s="577" t="n">
        <f aca="false">(J41*AJ40+J42*AK40)/AI40</f>
        <v>0</v>
      </c>
      <c r="X40" s="578" t="e">
        <f aca="false">(L41*AJ40+L42*AK40)/AI40</f>
        <v>#VALUE!</v>
      </c>
      <c r="Y40" s="579" t="n">
        <f aca="false">IF(Q42="extra",W40-AA40,(P41*AM40+P42*AN40)/AL40)</f>
        <v>0</v>
      </c>
      <c r="Z40" s="579" t="e">
        <f aca="false">IF(Q42="extra",X40-AB40,(R41*AM40+R42*AN40)/AL40)</f>
        <v>#VALUE!</v>
      </c>
      <c r="AA40" s="523" t="n">
        <f aca="false">IF(Q42="extra",INDEX(BrentSeasonalityTable,INT((BG40-1)/3)+1)*VLOOKUP(MAX(BF40,$AB$4),PriceSpreadTable,3),W40-Y40)</f>
        <v>0</v>
      </c>
      <c r="AB40" s="524" t="e">
        <f aca="false">IF(Q42="extra",INDEX(BrentSeasonalityTable,INT((BG40-1)/3)+1)*VLOOKUP(MAX(BF40,$AB$4),PriceSpreadTable,3),X40-Z40)</f>
        <v>#VALUE!</v>
      </c>
      <c r="AC40" s="525" t="n">
        <v>37368</v>
      </c>
      <c r="AD40" s="646" t="n">
        <v>37363</v>
      </c>
      <c r="AE40" s="526" t="n">
        <v>37361</v>
      </c>
      <c r="AF40" s="527" t="n">
        <v>37356</v>
      </c>
      <c r="AG40" s="438" t="s">
        <v>224</v>
      </c>
      <c r="AH40" s="439" t="s">
        <v>247</v>
      </c>
      <c r="AI40" s="528" t="n">
        <v>23</v>
      </c>
      <c r="AJ40" s="529" t="n">
        <v>15</v>
      </c>
      <c r="AK40" s="529" t="n">
        <v>8</v>
      </c>
      <c r="AL40" s="530" t="n">
        <v>23</v>
      </c>
      <c r="AM40" s="529" t="n">
        <v>11</v>
      </c>
      <c r="AN40" s="531" t="n">
        <v>12</v>
      </c>
      <c r="AO40" s="532"/>
      <c r="AP40" s="465" t="n">
        <f aca="false">(1+AO40/2)^(-2*BL40)</f>
        <v>1</v>
      </c>
      <c r="AQ40" s="532"/>
      <c r="AR40" s="465" t="n">
        <f aca="false">(1+AQ40/2)^(-2*BH40/365.25)</f>
        <v>1</v>
      </c>
      <c r="AS40" s="580" t="n">
        <f aca="false">(O41*AJ40+O42*AK40)/AI40</f>
        <v>0</v>
      </c>
      <c r="AT40" s="468" t="n">
        <f aca="false">O40*VLOOKUP(BF40,BrentVolTable,2)+VLOOKUP(BF40,BrentVolTable,3)</f>
        <v>0</v>
      </c>
      <c r="AU40" s="468" t="n">
        <f aca="false">(AT41*AM40+AT42*AN40)/AL40</f>
        <v>0</v>
      </c>
      <c r="AV40" s="595" t="n">
        <f aca="false">SQRT(MAX(0.000000000001,(O40^2*BH40-S40^2*(BH40-BH39))/BH39))</f>
        <v>0.0223172417445872</v>
      </c>
      <c r="AW40" s="451" t="n">
        <f aca="false">IF($I40-DateToday+15&gt;=$T$8,"",IF($I40-DateToday+15&lt;$T$5,1,MATCH($I40-DateToday+15,$T$5:$T$8)))</f>
        <v>1</v>
      </c>
      <c r="AX40" s="468" t="n">
        <f aca="false">IF($AW40="",AX39^2/AX38,INDEX(U$5:U$8,$AW40)^((INDEX($T$5:$T$8,$AW40+1)-($I40-DateToday+15))/(INDEX($T$5:$T$8,$AW40+1)-INDEX($T$5:$T$8,$AW40)))/INDEX(U$5:U$8,$AW40+1)^((INDEX($T$5:$T$8,$AW40)-($I40-DateToday+15))/(INDEX($T$5:$T$8,$AW40+1)-INDEX($T$5:$T$8,$AW40))))</f>
        <v>8.19365467992521</v>
      </c>
      <c r="AY40" s="468" t="n">
        <f aca="false">IF($AW40="",AY39^2/AY38,INDEX(V$5:V$8,$AW40)^((INDEX($T$5:$T$8,$AW40+1)-($I40-DateToday+15))/(INDEX($T$5:$T$8,$AW40+1)-INDEX($T$5:$T$8,$AW40)))/INDEX(V$5:V$8,$AW40+1)^((INDEX($T$5:$T$8,$AW40)-($I40-DateToday+15))/(INDEX($T$5:$T$8,$AW40+1)-INDEX($T$5:$T$8,$AW40))))</f>
        <v>2252.18674449211</v>
      </c>
      <c r="AZ40" s="468" t="n">
        <f aca="false">IF($AW40="",AZ39^2/AZ38,INDEX(W$5:W$8,$AW40)^((INDEX($T$5:$T$8,$AW40+1)-($I40-DateToday+15))/(INDEX($T$5:$T$8,$AW40+1)-INDEX($T$5:$T$8,$AW40)))/INDEX(W$5:W$8,$AW40+1)^((INDEX($T$5:$T$8,$AW40)-($I40-DateToday+15))/(INDEX($T$5:$T$8,$AW40+1)-INDEX($T$5:$T$8,$AW40))))</f>
        <v>135774495.07763</v>
      </c>
      <c r="BA40" s="468" t="n">
        <f aca="false">IF($AW40="",BA39^2/BA38,INDEX(X$5:X$8,$AW40)^((INDEX($T$5:$T$8,$AW40+1)-($I40-DateToday+15))/(INDEX($T$5:$T$8,$AW40+1)-INDEX($T$5:$T$8,$AW40)))/INDEX(X$5:X$8,$AW40+1)^((INDEX($T$5:$T$8,$AW40)-($I40-DateToday+15))/(INDEX($T$5:$T$8,$AW40+1)-INDEX($T$5:$T$8,$AW40))))</f>
        <v>11588430489.6594</v>
      </c>
      <c r="BB40" s="468" t="n">
        <f aca="false">IF($AW40="",BB39^2/BB38,INDEX(Y$5:Y$8,$AW40)^((INDEX($T$5:$T$8,$AW40+1)-($I40-DateToday+15))/(INDEX($T$5:$T$8,$AW40+1)-INDEX($T$5:$T$8,$AW40)))/INDEX(Y$5:Y$8,$AW40+1)^((INDEX($T$5:$T$8,$AW40)-($I40-DateToday+15))/(INDEX($T$5:$T$8,$AW40+1)-INDEX($T$5:$T$8,$AW40))))</f>
        <v>262978576782.682</v>
      </c>
      <c r="BC40" s="468" t="n">
        <f aca="false">IF($AW40="",BC39^2/BC38,INDEX(Z$5:Z$8,$AW40)^((INDEX($T$5:$T$8,$AW40+1)-($I40-DateToday+15))/(INDEX($T$5:$T$8,$AW40+1)-INDEX($T$5:$T$8,$AW40)))/INDEX(Z$5:Z$8,$AW40+1)^((INDEX($T$5:$T$8,$AW40)-($I40-DateToday+15))/(INDEX($T$5:$T$8,$AW40+1)-INDEX($T$5:$T$8,$AW40))))</f>
        <v>1688770906378.67</v>
      </c>
      <c r="BD40" s="535" t="n">
        <f aca="false">IF(OR(DateStart&gt;=I41,DateEnd&lt;I40),0,IF(VolumeOverrideFlag,V40,Volume))</f>
        <v>0</v>
      </c>
      <c r="BE40" s="536" t="n">
        <f aca="false">IF(OR(DateStart2&gt;=I41,DateEnd2&lt;I40),0,IF(VolumeOverrideFlag,V40,VolumeSwaption))</f>
        <v>0</v>
      </c>
      <c r="BF40" s="537" t="n">
        <f aca="false">YEAR(I40)</f>
        <v>2002</v>
      </c>
      <c r="BG40" s="538" t="n">
        <f aca="false">MONTH(I40)</f>
        <v>5</v>
      </c>
      <c r="BH40" s="539" t="n">
        <f aca="false">AD40-DateToday+1</f>
        <v>-8562</v>
      </c>
      <c r="BI40" s="540" t="n">
        <f aca="false">(I40-DateToday+1)/365.25</f>
        <v>-23.4031485284052</v>
      </c>
      <c r="BJ40" s="541" t="n">
        <f aca="false">BI40+(BL40-BI40)*CHOOSE(Underlying,AJ40/AI40,AM40/AL40)</f>
        <v>-23.34958188257</v>
      </c>
      <c r="BK40" s="541" t="n">
        <f aca="false">BJ40+1/365.25</f>
        <v>-23.3468440317829</v>
      </c>
      <c r="BL40" s="541" t="n">
        <f aca="false">(I41-DateToday)/365.25</f>
        <v>-23.3210130047912</v>
      </c>
      <c r="BM40" s="542" t="e">
        <f aca="false">MAX(BI40-(BJ40-BI40)*(S41^2/O41^2-1),0)</f>
        <v>#DIV/0!</v>
      </c>
      <c r="BN40" s="541" t="e">
        <f aca="false">MAX(BL40+(BL40-BK40)*(S42^2/O42^2-1),0)</f>
        <v>#DIV/0!</v>
      </c>
      <c r="BO40" s="530" t="n">
        <f aca="false">CHOOSE(Underlying,AI40,AL40)</f>
        <v>23</v>
      </c>
      <c r="BP40" s="529" t="n">
        <f aca="false">CHOOSE(Underlying,AJ40,AM40)</f>
        <v>15</v>
      </c>
      <c r="BQ40" s="529" t="n">
        <f aca="false">CHOOSE(Underlying,AK40,AN40)</f>
        <v>8</v>
      </c>
      <c r="BR40" s="463" t="str">
        <f aca="false">IF(BD40,IF(Underlying=1,X40,Z40)+UnderlyingPriceAsian-SwapPriceCurve,"")</f>
        <v/>
      </c>
      <c r="BS40" s="463" t="str">
        <f aca="false">IF(BD40,Strike1/BR40-1,"")</f>
        <v/>
      </c>
      <c r="BT40" s="464" t="str">
        <f aca="false">IF(BD40,Strike2/BR40-1,"")</f>
        <v/>
      </c>
      <c r="BU40" s="465" t="str">
        <f aca="false">IF(BD40,IF(Underlying=1,L41,R41)+UnderlyingPriceAsian-SwapPriceCurve,"")</f>
        <v/>
      </c>
      <c r="BV40" s="465" t="str">
        <f aca="false">IF(BD40,IF(Underlying=1,L42,R42)+UnderlyingPriceAsian-SwapPriceCurve,"")</f>
        <v/>
      </c>
      <c r="BW40" s="466" t="str">
        <f aca="false">IF(BD40,IF(Underlying=1,O41,AT41),"")</f>
        <v/>
      </c>
      <c r="BX40" s="467" t="str">
        <f aca="false">IF(BD40,IF(Underlying=1,O42,AT42),"")</f>
        <v/>
      </c>
      <c r="BY40" s="466" t="str">
        <f aca="false">IF(BD40,IF(BS40&gt;0,IF(BS40&gt;0.2,BC40-BB40,IF(BS40&gt;0.1,BB40-BA40,BA40)),IF(BS40&lt;-0.2,AX40-AY40,IF(BS40&lt;-0.1,AY40-AZ40,AZ40))),"")</f>
        <v/>
      </c>
      <c r="BZ40" s="467" t="str">
        <f aca="false">IF(BD40,IF(BT40&gt;0,IF(BT40&gt;0.2,BC40-BB40,IF(BT40&gt;0.1,BB40-BA40,BA40)),IF(BT40&lt;-0.2,AX40-AY40,IF(BT40&lt;-0.1,AY40-AZ40,AZ40))),"")</f>
        <v/>
      </c>
      <c r="CA40" s="468" t="str">
        <f aca="false">IF($BD40,$BW40+IF(VolSkewFlag=1,IF(BS40&gt;0,$BA40*MIN(BS40/10%,1)+($BB40-$BA40)*MAX(0,MIN(BS40/10%-1,1))+($BC40-$BB40)*MAX(0,BS40/10%-2),$AZ40*MIN(-BS40/10%,1)+($AY40-$AZ40)*MAX(0,MIN(-BS40/10%-1,1))+($AX40-$AY40)*MAX(0,-BS40/10%-2)),0),"")</f>
        <v/>
      </c>
      <c r="CB40" s="468" t="str">
        <f aca="false">IF($BD40,$BX40+IF(VolSkewFlag=1,IF(BS40&gt;0,$BA40*MIN(BS40/10%,1)+($BB40-$BA40)*MAX(0,MIN(BS40/10%-1,1))+($BC40-$BB40)*MAX(0,BS40/10%-2),$AZ40*MIN(-BS40/10%,1)+($AY40-$AZ40)*MAX(0,MIN(-BS40/10%-1,1))+($AX40-$AY40)*MAX(0,-BS40/10%-2)),0),"")</f>
        <v/>
      </c>
      <c r="CC40" s="468" t="str">
        <f aca="false">IF($BD40,$BW40+IF(VolSkewFlag=1,IF(BT40&gt;0,$BA40*MIN(BT40/10%,1)+($BB40-$BA40)*MAX(0,MIN(BT40/10%-1,1))+($BC40-$BB40)*MAX(0,BT40/10%-2),$AZ40*MIN(-BT40/10%,1)+($AY40-$AZ40)*MAX(0,MIN(-BT40/10%-1,1))+($AX40-$AY40)*MAX(0,-BT40/10%-2)),0),"")</f>
        <v/>
      </c>
      <c r="CD40" s="468" t="str">
        <f aca="false">IF($BD40,$BX40+IF(VolSkewFlag=1,IF(BT40&gt;0,$BA40*MIN(BT40/10%,1)+($BB40-$BA40)*MAX(0,MIN(BT40/10%-1,1))+($BC40-$BB40)*MAX(0,BT40/10%-2),$AZ40*MIN(-BT40/10%,1)+($AY40-$AZ40)*MAX(0,MIN(-BT40/10%-1,1))+($AX40-$AY40)*MAX(0,-BT40/10%-2)),0),"")</f>
        <v/>
      </c>
      <c r="CE40" s="469" t="n">
        <v>1</v>
      </c>
      <c r="CF40" s="470" t="n">
        <f aca="false">IF(BD40,xCrudeAPO(BU40,BV40,CA40,CB40,S41,S42,BI40,BL40,BP40,BQ40,0,Strike1,AO40,CE40,0,BL40,IF(OptControl=4,0,1),0,1),0)</f>
        <v>0</v>
      </c>
      <c r="CG40" s="470" t="n">
        <f aca="false">IF(BD40,xCrudeAPO(BU40,BV40,CA40,CB40,S41,S42,BI40,BL40,BP40,BQ40,0,Strike1,AO40,CE40,0,BL40,IF(OptControl=4,0,1),1,1)+xCrudeAPO(BU40,BV40,CA40,CB40,S41,S42,BI40,BL40,BP40,BQ40,0,Strike1,AO40,CE40,0,BL40,IF(OptControl=4,0,1),1,2)+IF(OR(VolSkewFlag=2,ABS(BS40)&lt;0.0001),0,IF(BS40&gt;0,-1,1)*CH40*Strike1/BR40^2*BY40/10%),0)</f>
        <v>0</v>
      </c>
      <c r="CH40" s="470" t="n">
        <f aca="false">IF(BD40,(xCrudeAPO(BU40,BV40,CA40,CB40,S41,S42,BI40,BL40,BP40,BQ40,0,Strike1,AO40,CE40,0,BL40,IF(OptControl=4,0,1),3,1)+xCrudeAPO(BU40,BV40,CA40,CB40,S41,S42,BI40,BL40,BP40,BQ40,0,Strike1,AO40,CE40,0,BL40,IF(OptControl=4,0,1),3,2))/100,0)</f>
        <v>0</v>
      </c>
      <c r="CI40" s="470" t="n">
        <f aca="false">IF(BD40,xCrudeAPO(BU40,BV40,CA40,CB40,S41,S42,BI40-DaysForThetaCalculation/365.25,BL40-DaysForThetaCalculation/365.25,BP40,BQ40,0,Strike1,AO40,CE40,0,BL40,IF(OptControl=4,0,1),0,1)-xCrudeAPO(BU40,BV40,CA40,CB40,S41,S42,BI40,BL40,BP40,BQ40,0,Strike1,AO40,CE40,0,BL40,IF(OptControl=4,0,1),0,1),0)</f>
        <v>0</v>
      </c>
      <c r="CJ40" s="471" t="n">
        <f aca="false">IF(BD40,xCrudeAPO(BU40,BV40,CC40,CD40,S41,S42,BI40,BL40,BP40,BQ40,0,Strike2,AO40,CE40,0,BL40,IF(OptControl=3,1,0),0,1),0)</f>
        <v>0</v>
      </c>
      <c r="CK40" s="470" t="n">
        <f aca="false">IF(BD40,xCrudeAPO(BU40,BV40,CC40,CD40,S41,S42,BI40,BL40,BP40,BQ40,0,Strike2,AO40,CE40,0,BL40,IF(OptControl=3,1,0),1,1)+xCrudeAPO(BU40,BV40,CC40,CD40,S41,S42,BI40,BL40,BP40,BQ40,0,Strike2,AO40,CE40,0,BL40,IF(OptControl=3,1,0),1,2)+IF(OR(VolSkewFlag=2,ABS(BT40)&lt;0.0001),0,IF(BT40&gt;0,-1,1)*CL40*Strike2/BR40^2*BZ40/10%),0)</f>
        <v>0</v>
      </c>
      <c r="CL40" s="470" t="n">
        <f aca="false">IF(BD40,(xCrudeAPO(BU40,BV40,CC40,CD40,S41,S42,BI40,BL40,BP40,BQ40,0,Strike2,AO40,CE40,0,BL40,IF(OptControl=3,1,0),3,1)+xCrudeAPO(BU40,BV40,CC40,CD40,S41,S42,BI40,BL40,BP40,BQ40,0,Strike2,AO40,CE40,0,BL40,IF(OptControl=3,1,0),3,2))/100,0)</f>
        <v>0</v>
      </c>
      <c r="CM40" s="472" t="n">
        <f aca="false">IF(BD40,xCrudeAPO(BU40,BV40,CC40,CD40,S41,S42,BI40-DaysForThetaCalculation/365.25,BL40-DaysForThetaCalculation/365.25,BP40,BQ40,0,Strike2,AO40,CE40,0,BL40,IF(OptControl=3,1,0),0,1)-xCrudeAPO(BU40,BV40,CC40,CD40,S41,S42,BI40,BL40,BP40,BQ40,0,Strike2,AO40,CE40,0,BL40,IF(OptControl=3,1,0),0,1),0)</f>
        <v>0</v>
      </c>
      <c r="CO40" s="543" t="str">
        <f aca="false">IF(BD40,CHOOSE(Underlying,AD40,AF40)-DateToday+1,"")</f>
        <v/>
      </c>
      <c r="CP40" s="582" t="str">
        <f aca="false">IF(BD40,CHOOSE(Underlying,L40,R40),"")</f>
        <v/>
      </c>
      <c r="CQ40" s="544" t="str">
        <f aca="false">IF(BD40,Strike1/CP40-1,"")</f>
        <v/>
      </c>
      <c r="CR40" s="544" t="str">
        <f aca="false">IF(BD40,Strike2/CP40-1,"")</f>
        <v/>
      </c>
      <c r="CS40" s="544" t="str">
        <f aca="false">IF(BD40,IF(CQ40&gt;0,IF(CQ40&gt;0.2,BC39-BB39,IF(CQ40&gt;0.1,BB39-BA39,BA39)),IF(CQ40&lt;-0.2,AX39-AY39,IF(CQ40&lt;-0.1,AY39-AZ39,AZ39))),"")</f>
        <v/>
      </c>
      <c r="CT40" s="544" t="str">
        <f aca="false">IF(BD40,IF(CR40&gt;0,IF(CR40&gt;0.2,BC39-BB39,IF(CR40&gt;0.1,BB39-BA39,BA39)),IF(CR40&lt;-0.2,AX39-AY39,IF(CR40&lt;-0.1,AY39-AZ39,AZ39))),"")</f>
        <v/>
      </c>
      <c r="CU40" s="545" t="str">
        <f aca="false">IF(BD40,CHOOSE(Underlying,O40,AT40),"")</f>
        <v/>
      </c>
      <c r="CV40" s="545" t="str">
        <f aca="false">IF(BD40,CU40+IF(VolSkewFlag=1,IF(CQ40&gt;0,BA39*MIN(CQ40/10%,1)+(BB39-BA39)*MAX(0,MIN(CQ40/10%-1,1))+(BC39-BB39)*MAX(0,CQ40/10%-2),AZ39*MIN(-CQ40/10%,1)+(AY39-AZ39)*MAX(0,MIN(-CQ40/10%-1,1))+(AX39-AY39)*MAX(0,-CQ40/10%-2)),0),"")</f>
        <v/>
      </c>
      <c r="CW40" s="545" t="str">
        <f aca="false">IF(BD40,CU40+IF(VolSkewFlag=1,IF(CR40&gt;0,BA39*MIN(CR40/10%,1)+(BB39-BA39)*MAX(0,MIN(CR40/10%-1,1))+(BC39-BB39)*MAX(0,CR40/10%-2),AZ39*MIN(-CR40/10%,1)+(AY39-AZ39)*MAX(0,MIN(-CR40/10%-1,1))+(AX39-AY39)*MAX(0,-CR40/10%-2)),0),"")</f>
        <v/>
      </c>
      <c r="CX40" s="470" t="n">
        <f aca="false">IF(BD40,EURO(CP40,Strike1,AO40,AO40,CV40,CO40,IF(OptControl=4,0,1),0),0)</f>
        <v>0</v>
      </c>
      <c r="CY40" s="470" t="n">
        <f aca="false">IF(BD40,EURO(CP40,Strike1,AO40,AO40,CV40,CO40,IF(OptControl=4,0,1),1)+IF(OR(VolSkewFlag=2,ABS(CQ40)&lt;0.0001),0,IF(CQ40&gt;0,-1,1)*CZ40*100*Strike1/CP40^2*CS40/10%),0)</f>
        <v>0</v>
      </c>
      <c r="CZ40" s="470" t="n">
        <f aca="false">IF(BD40,EURO(CP40,Strike1,AO40,AO40,CV40,CO40,IF(OptControl=4,0,1),3)/100,0)</f>
        <v>0</v>
      </c>
      <c r="DA40" s="470" t="n">
        <f aca="false">IF(BD40,EURO(CP40,Strike1,AO40,AO40,CV40,CO40,IF(OptControl=4,0,1),0)-EURO(CP40,Strike1,AO40,AO40,CV40,CO40-1,IF(OptControl=4,0,1),0),0)</f>
        <v>0</v>
      </c>
      <c r="DB40" s="470" t="n">
        <f aca="false">IF(BD40,EURO(CP40,Strike2,AO40,AO40,CW40,CO40,IF(OptControl=3,1,0),0),0)</f>
        <v>0</v>
      </c>
      <c r="DC40" s="470" t="n">
        <f aca="false">IF(BD40,EURO(CP40,Strike2,AO40,AO40,CW40,CO40,IF(OptControl=3,1,0),1)+IF(OR(VolSkewFlag=2,ABS(CR40)&lt;0.0001),0,IF(CR40&gt;0,-1,1)*DD40*100*Strike2/CP40^2*CT40/10%),0)</f>
        <v>0</v>
      </c>
      <c r="DD40" s="470" t="n">
        <f aca="false">IF(BD40,EURO(CP40,Strike2,AO40,AO40,CW40,CO40,IF(OptControl=3,1,0),3)/100,0)</f>
        <v>0</v>
      </c>
      <c r="DE40" s="472" t="n">
        <f aca="false">IF(BD40,EURO(CP40,Strike2,AO40,AO40,CW40,CO40,IF(OptControl=3,1,0),0)-EURO(CP40,Strike2,AO40,AO40,CW40,CO40-1,IF(OptControl=3,1,0),0),0)</f>
        <v>0</v>
      </c>
      <c r="DF40" s="1"/>
      <c r="DG40" s="481" t="n">
        <f aca="false">EOMONTH(DG39,0)+1</f>
        <v>46296</v>
      </c>
      <c r="DH40" s="478" t="n">
        <v>20.67</v>
      </c>
      <c r="DI40" s="479" t="n">
        <v>20.3821739130435</v>
      </c>
      <c r="DJ40" s="480" t="n">
        <f aca="false">DG40</f>
        <v>46296</v>
      </c>
      <c r="DK40" s="478" t="n">
        <v>19.37</v>
      </c>
      <c r="DL40" s="479" t="n">
        <v>19.0428260869565</v>
      </c>
      <c r="DM40" s="481" t="n">
        <f aca="false">DG40</f>
        <v>46296</v>
      </c>
      <c r="DN40" s="482" t="n">
        <f aca="false">DK40+BrentPhyBrentSpread</f>
        <v>19.42</v>
      </c>
      <c r="DO40" s="481" t="n">
        <f aca="false">DG40</f>
        <v>46296</v>
      </c>
      <c r="DP40" s="483" t="n">
        <f aca="false">DL40+DQ40</f>
        <v>19.1328260869565</v>
      </c>
      <c r="DQ40" s="546" t="n">
        <v>0.09</v>
      </c>
      <c r="DR40" s="480" t="n">
        <f aca="false">DG40</f>
        <v>46296</v>
      </c>
      <c r="DS40" s="485" t="n">
        <v>0.238542817923153</v>
      </c>
      <c r="DT40" s="486" t="n">
        <v>0.235321958819449</v>
      </c>
      <c r="DU40" s="480" t="n">
        <f aca="false">DG40</f>
        <v>46296</v>
      </c>
      <c r="DV40" s="485" t="n">
        <v>0.238542817923153</v>
      </c>
      <c r="DW40" s="486" t="n">
        <v>0.235321958819449</v>
      </c>
      <c r="DX40" s="481" t="n">
        <f aca="false">DG40</f>
        <v>46296</v>
      </c>
      <c r="DY40" s="486" t="n">
        <v>0.350000152587891</v>
      </c>
      <c r="DZ40" s="481" t="n">
        <f aca="false">DR40</f>
        <v>46296</v>
      </c>
      <c r="EA40" s="486" t="n">
        <f aca="false">DT40</f>
        <v>0.235321958819449</v>
      </c>
      <c r="EB40" s="195"/>
      <c r="EC40" s="547" t="str">
        <f aca="false">IF(BD40,IF(Underlying=1,AS40,AU40),"")</f>
        <v/>
      </c>
      <c r="ED40" s="548" t="str">
        <f aca="false">IF($BD40,$EC40+IF(VolSkewFlag=1,IF(BS40&gt;0,$BA40*MIN(BS40/10%,1)+($BB40-$BA40)*MAX(0,MIN(BS40/10%-1,1))+($BC40-$BB40)*MAX(0,BS40/10%-2),$AZ40*MIN(-BS40/10%,1)+($AY40-$AZ40)*MAX(0,MIN(-BS40/10%-1,1))+($AX40-$AY40)*MAX(0,-BS40/10%-2)),0),"")</f>
        <v/>
      </c>
      <c r="EE40" s="549" t="str">
        <f aca="false">IF($BD40,$EC40+IF(VolSkewFlag=1,IF(BT40&gt;0,$BA40*MIN(BT40/10%,1)+($BB40-$BA40)*MAX(0,MIN(BT40/10%-1,1))+($BC40-$BB40)*MAX(0,BT40/10%-2),$AZ40*MIN(-BT40/10%,1)+($AY40-$AZ40)*MAX(0,MIN(-BT40/10%-1,1))+($AX40-$AY40)*MAX(0,-BT40/10%-2)),0),"")</f>
        <v/>
      </c>
      <c r="EF40" s="550" t="n">
        <f aca="false">IF(BD40,xASN(BR40,Strike1,AO40,ED40,0,BO40,0,BI40,BL40,IF(OptControl=4,0,1),0),0)</f>
        <v>0</v>
      </c>
      <c r="EG40" s="551" t="n">
        <f aca="false">IF(BD40,xASN(BR40,Strike2,AO40,EE40,0,BO40,0,BI40,BL40,IF(OptControl=3,1,0),0),0)</f>
        <v>0</v>
      </c>
      <c r="EI40" s="583" t="str">
        <f aca="false">DDE("TWINDDE","RSFRecord","CLc21 MTH")</f>
        <v>MAY2</v>
      </c>
      <c r="EJ40" s="584" t="n">
        <f aca="false">DATEVALUE(CONCATENATE(LEFT(EI40,3),"-",IF(VALUE(RIGHT(EI40,1))=9,"1999",CONCATENATE("200",RIGHT(EI40,1)))))</f>
        <v>37377</v>
      </c>
      <c r="EK40" s="585" t="n">
        <f aca="false">DDE("TWINDDE","RSFRecord","CLc21 NET.CHNG")</f>
        <v>0</v>
      </c>
      <c r="EL40" s="586" t="n">
        <f aca="false">IF(ISNUMBER(VALUE(EK40)),VALUE(EK40)*100,0)</f>
        <v>0</v>
      </c>
      <c r="EM40" s="195"/>
      <c r="EN40" s="556" t="n">
        <v>38172</v>
      </c>
      <c r="EO40" s="557" t="n">
        <v>40179</v>
      </c>
      <c r="EP40" s="195"/>
      <c r="EQ40" s="407" t="s">
        <v>260</v>
      </c>
      <c r="ES40" s="587" t="n">
        <v>21</v>
      </c>
      <c r="ET40" s="559" t="n">
        <f aca="false">BH40/365.25</f>
        <v>-23.4414784394251</v>
      </c>
      <c r="EU40" s="560" t="n">
        <f aca="false">O40^2*ET40</f>
        <v>-0</v>
      </c>
      <c r="EV40" s="588" t="e">
        <f aca="false">SQRT(SUM(FK40:ID40)/ET40)</f>
        <v>#VALUE!</v>
      </c>
      <c r="EW40" s="589" t="str">
        <f aca="false">IF(OR(DateStart2&gt;I39,DateEnd2&lt;I38),"",IF(DateStart2&lt;I39,AK38/AI38*AP38*BE38*SwaptionNumOfMonths/$D$33,0)+IF(DateEnd2&gt;I38,AJ39/AI39*AP39*BE39*SwaptionNumOfMonths/$D$33,0))</f>
        <v/>
      </c>
      <c r="EX40" s="590" t="str">
        <f aca="false">IF(EW40="","",SQRT(SUM(FK345:ID345)/SwaptionYearsToExp))</f>
        <v/>
      </c>
      <c r="EY40" s="129" t="n">
        <v>0</v>
      </c>
      <c r="EZ40" s="591" t="str">
        <f aca="false">IF(OR(EW40="",EW41=""),"",SQRT(SUM(INDEX(FK40:ID40,SwaptionFirstMonthPosition+1):INDEX(FK40:ID40,FJ40))/SUM(INDEX($FK$15:$ID$15,SwaptionFirstMonthPosition+1):INDEX($FK$15:$ID$15,FJ40))))</f>
        <v/>
      </c>
      <c r="FA40" s="592" t="str">
        <f aca="false">IF(OR(EW40="",EW39=""),"",SQRT(SUM(INDEX(FK40:ID40,SwaptionFirstMonthPosition+1):INDEX(FK40:ID40,FJ40-1))/SUM(INDEX($FK$15:$ID$15,SwaptionFirstMonthPosition+1):INDEX($FK$15:$ID$15,FJ40-1))))</f>
        <v/>
      </c>
      <c r="FB40" s="593" t="str">
        <f aca="false">IF(BE40,2/3*EZ41+1/3*FA42,"")</f>
        <v/>
      </c>
      <c r="FC40" s="596" t="str">
        <f aca="false">IF(BE40,(I41+I40-1)/2-DateToday,"")</f>
        <v/>
      </c>
      <c r="FD40" s="483" t="str">
        <f aca="false">IF(BE40,CHOOSE(Underlying,X40,Z40)+SwaptionUnderlyingPrice-$D$26,"")</f>
        <v/>
      </c>
      <c r="FE40" s="483" t="str">
        <f aca="false">IF(BE40,CollartionFloor/FD40-1,"")</f>
        <v/>
      </c>
      <c r="FF40" s="483" t="str">
        <f aca="false">IF(BE40,CollartionCap/FD40-1,"")</f>
        <v/>
      </c>
      <c r="FG40" s="485" t="str">
        <f aca="false">IF(BE40,IF(VolSkewFlag=1,IF(FE40&gt;0,$BA40*MIN(FE40/10%,1)+($BB40-$BA40)*MAX(0,MIN(FE40/10%-1,1))+($BC40-$BB40)*MAX(0,FE40/10%-2),$AZ40*MIN(-FE40/10%,1)+($AY40-$AZ40)*MAX(0,MIN(-FE40/10%-1,1))+($AX40-$AY40)*MAX(0,-FE40/10%-2)),0),"")</f>
        <v/>
      </c>
      <c r="FH40" s="486" t="str">
        <f aca="false">IF(BE40,IF(VolSkewFlag=1,IF(FF40&gt;0,$BA40*MIN(FF40/10%,1)+($BB40-$BA40)*MAX(0,MIN(FF40/10%-1,1))+($BC40-$BB40)*MAX(0,FF40/10%-2),$AZ40*MIN(-FF40/10%,1)+($AY40-$AZ40)*MAX(0,MIN(-FF40/10%-1,1))+($AX40-$AY40)*MAX(0,-FF40/10%-2)),0),"")</f>
        <v/>
      </c>
      <c r="FI40" s="129"/>
      <c r="FJ40" s="571" t="n">
        <v>21</v>
      </c>
      <c r="FK40" s="150" t="n">
        <f aca="false">IF(FK$19&gt;$FJ40,"",MAX(0,IF(FK$19=$FJ40,$S40^2*FK$15,FK39*INDEX($T$20:$T$91,$FJ40-FK$19)^2/INDEX($U$20:$U$91,$FJ40-FK$19))))</f>
        <v>0</v>
      </c>
      <c r="FL40" s="150" t="n">
        <f aca="false">IF(FL$19&gt;$FJ40,"",MAX(0,IF(FL$19=$FJ40,$S40^2*FL$15,FL39*INDEX($T$20:$T$91,$FJ40-FL$19)^2/INDEX($U$20:$U$91,$FJ40-FL$19))))</f>
        <v>0</v>
      </c>
      <c r="FM40" s="150" t="n">
        <f aca="false">IF(FM$19&gt;$FJ40,"",MAX(0,IF(FM$19=$FJ40,$S40^2*FM$15,FM39*INDEX($T$20:$T$91,$FJ40-FM$19)^2/INDEX($U$20:$U$91,$FJ40-FM$19))))</f>
        <v>0.00279415722127402</v>
      </c>
      <c r="FN40" s="150" t="n">
        <f aca="false">IF(FN$19&gt;$FJ40,"",MAX(0,IF(FN$19=$FJ40,$S40^2*FN$15,FN39*INDEX($T$20:$T$91,$FJ40-FN$19)^2/INDEX($U$20:$U$91,$FJ40-FN$19))))</f>
        <v>0.00238918512348083</v>
      </c>
      <c r="FO40" s="150" t="n">
        <f aca="false">IF(FO$19&gt;$FJ40,"",MAX(0,IF(FO$19=$FJ40,$S40^2*FO$15,FO39*INDEX($T$20:$T$91,$FJ40-FO$19)^2/INDEX($U$20:$U$91,$FJ40-FO$19))))</f>
        <v>0.00253148750763372</v>
      </c>
      <c r="FP40" s="150" t="n">
        <f aca="false">IF(FP$19&gt;$FJ40,"",MAX(0,IF(FP$19=$FJ40,$S40^2*FP$15,FP39*INDEX($T$20:$T$91,$FJ40-FP$19)^2/INDEX($U$20:$U$91,$FJ40-FP$19))))</f>
        <v>0.00286657576358886</v>
      </c>
      <c r="FQ40" s="150" t="n">
        <f aca="false">IF(FQ$19&gt;$FJ40,"",MAX(0,IF(FQ$19=$FJ40,$S40^2*FQ$15,FQ39*INDEX($T$20:$T$91,$FJ40-FQ$19)^2/INDEX($U$20:$U$91,$FJ40-FQ$19))))</f>
        <v>0.00238045480465664</v>
      </c>
      <c r="FR40" s="150" t="n">
        <f aca="false">IF(FR$19&gt;$FJ40,"",MAX(0,IF(FR$19=$FJ40,$S40^2*FR$15,FR39*INDEX($T$20:$T$91,$FJ40-FR$19)^2/INDEX($U$20:$U$91,$FJ40-FR$19))))</f>
        <v>0.00250740638567679</v>
      </c>
      <c r="FS40" s="150" t="n">
        <f aca="false">IF(FS$19&gt;$FJ40,"",MAX(0,IF(FS$19=$FJ40,$S40^2*FS$15,FS39*INDEX($T$20:$T$91,$FJ40-FS$19)^2/INDEX($U$20:$U$91,$FJ40-FS$19))))</f>
        <v>0.00292597616048758</v>
      </c>
      <c r="FT40" s="150" t="n">
        <f aca="false">IF(FT$19&gt;$FJ40,"",MAX(0,IF(FT$19=$FJ40,$S40^2*FT$15,FT39*INDEX($T$20:$T$91,$FJ40-FT$19)^2/INDEX($U$20:$U$91,$FJ40-FT$19))))</f>
        <v>0.00275088694125327</v>
      </c>
      <c r="FU40" s="150" t="n">
        <f aca="false">IF(FU$19&gt;$FJ40,"",MAX(0,IF(FU$19=$FJ40,$S40^2*FU$15,FU39*INDEX($T$20:$T$91,$FJ40-FU$19)^2/INDEX($U$20:$U$91,$FJ40-FU$19))))</f>
        <v>0.00277471959019128</v>
      </c>
      <c r="FV40" s="150" t="n">
        <f aca="false">IF(FV$19&gt;$FJ40,"",MAX(0,IF(FV$19=$FJ40,$S40^2*FV$15,FV39*INDEX($T$20:$T$91,$FJ40-FV$19)^2/INDEX($U$20:$U$91,$FJ40-FV$19))))</f>
        <v>0.00322607111663314</v>
      </c>
      <c r="FW40" s="150" t="n">
        <f aca="false">IF(FW$19&gt;$FJ40,"",MAX(0,IF(FW$19=$FJ40,$S40^2*FW$15,FW39*INDEX($T$20:$T$91,$FJ40-FW$19)^2/INDEX($U$20:$U$91,$FJ40-FW$19))))</f>
        <v>0.00322174422893934</v>
      </c>
      <c r="FX40" s="150" t="n">
        <f aca="false">IF(FX$19&gt;$FJ40,"",MAX(0,IF(FX$19=$FJ40,$S40^2*FX$15,FX39*INDEX($T$20:$T$91,$FJ40-FX$19)^2/INDEX($U$20:$U$91,$FJ40-FX$19))))</f>
        <v>0.00370664451012087</v>
      </c>
      <c r="FY40" s="150" t="n">
        <f aca="false">IF(FY$19&gt;$FJ40,"",MAX(0,IF(FY$19=$FJ40,$S40^2*FY$15,FY39*INDEX($T$20:$T$91,$FJ40-FY$19)^2/INDEX($U$20:$U$91,$FJ40-FY$19))))</f>
        <v>0.00380261928626612</v>
      </c>
      <c r="FZ40" s="150" t="n">
        <f aca="false">IF(FZ$19&gt;$FJ40,"",MAX(0,IF(FZ$19=$FJ40,$S40^2*FZ$15,FZ39*INDEX($T$20:$T$91,$FJ40-FZ$19)^2/INDEX($U$20:$U$91,$FJ40-FZ$19))))</f>
        <v>0.00394988638375762</v>
      </c>
      <c r="GA40" s="150" t="n">
        <f aca="false">IF(GA$19&gt;$FJ40,"",MAX(0,IF(GA$19=$FJ40,$S40^2*GA$15,GA39*INDEX($T$20:$T$91,$FJ40-GA$19)^2/INDEX($U$20:$U$91,$FJ40-GA$19))))</f>
        <v>0.00480466754357559</v>
      </c>
      <c r="GB40" s="150" t="n">
        <f aca="false">IF(GB$19&gt;$FJ40,"",MAX(0,IF(GB$19=$FJ40,$S40^2*GB$15,GB39*INDEX($T$20:$T$91,$FJ40-GB$19)^2/INDEX($U$20:$U$91,$FJ40-GB$19))))</f>
        <v>0.00614391977190444</v>
      </c>
      <c r="GC40" s="150" t="n">
        <f aca="false">IF(GC$19&gt;$FJ40,"",MAX(0,IF(GC$19=$FJ40,$S40^2*GC$15,GC39*INDEX($T$20:$T$91,$FJ40-GC$19)^2/INDEX($U$20:$U$91,$FJ40-GC$19))))</f>
        <v>0.00645655186031325</v>
      </c>
      <c r="GD40" s="150" t="n">
        <f aca="false">IF(GD$19&gt;$FJ40,"",MAX(0,IF(GD$19=$FJ40,$S40^2*GD$15,GD39*INDEX($T$20:$T$91,$FJ40-GD$19)^2/INDEX($U$20:$U$91,$FJ40-GD$19))))</f>
        <v>0.00798824445991252</v>
      </c>
      <c r="GE40" s="150" t="n">
        <f aca="false">IF(GE$19&gt;$FJ40,"",MAX(0,IF(GE$19=$FJ40,$S40^2*GE$15,GE39*INDEX($T$20:$T$91,$FJ40-GE$19)^2/INDEX($U$20:$U$91,$FJ40-GE$19))))</f>
        <v>0.0117202450479048</v>
      </c>
      <c r="GF40" s="150" t="str">
        <f aca="false">IF(GF$19&gt;$FJ40,"",MAX(0,IF(GF$19=$FJ40,$S40^2*GF$15,GF39*INDEX($T$20:$T$91,$FJ40-GF$19)^2/INDEX($U$20:$U$91,$FJ40-GF$19))))</f>
        <v/>
      </c>
      <c r="GG40" s="150" t="str">
        <f aca="false">IF(GG$19&gt;$FJ40,"",MAX(0,IF(GG$19=$FJ40,$S40^2*GG$15,GG39*INDEX($T$20:$T$91,$FJ40-GG$19)^2/INDEX($U$20:$U$91,$FJ40-GG$19))))</f>
        <v/>
      </c>
      <c r="GH40" s="150" t="str">
        <f aca="false">IF(GH$19&gt;$FJ40,"",MAX(0,IF(GH$19=$FJ40,$S40^2*GH$15,GH39*INDEX($T$20:$T$91,$FJ40-GH$19)^2/INDEX($U$20:$U$91,$FJ40-GH$19))))</f>
        <v/>
      </c>
      <c r="GI40" s="150" t="str">
        <f aca="false">IF(GI$19&gt;$FJ40,"",MAX(0,IF(GI$19=$FJ40,$S40^2*GI$15,GI39*INDEX($T$20:$T$91,$FJ40-GI$19)^2/INDEX($U$20:$U$91,$FJ40-GI$19))))</f>
        <v/>
      </c>
      <c r="GJ40" s="150" t="str">
        <f aca="false">IF(GJ$19&gt;$FJ40,"",MAX(0,IF(GJ$19=$FJ40,$S40^2*GJ$15,GJ39*INDEX($T$20:$T$91,$FJ40-GJ$19)^2/INDEX($U$20:$U$91,$FJ40-GJ$19))))</f>
        <v/>
      </c>
      <c r="GK40" s="150" t="str">
        <f aca="false">IF(GK$19&gt;$FJ40,"",MAX(0,IF(GK$19=$FJ40,$S40^2*GK$15,GK39*INDEX($T$20:$T$91,$FJ40-GK$19)^2/INDEX($U$20:$U$91,$FJ40-GK$19))))</f>
        <v/>
      </c>
      <c r="GL40" s="150" t="str">
        <f aca="false">IF(GL$19&gt;$FJ40,"",MAX(0,IF(GL$19=$FJ40,$S40^2*GL$15,GL39*INDEX($T$20:$T$91,$FJ40-GL$19)^2/INDEX($U$20:$U$91,$FJ40-GL$19))))</f>
        <v/>
      </c>
      <c r="GM40" s="150" t="str">
        <f aca="false">IF(GM$19&gt;$FJ40,"",MAX(0,IF(GM$19=$FJ40,$S40^2*GM$15,GM39*INDEX($T$20:$T$91,$FJ40-GM$19)^2/INDEX($U$20:$U$91,$FJ40-GM$19))))</f>
        <v/>
      </c>
      <c r="GN40" s="150" t="str">
        <f aca="false">IF(GN$19&gt;$FJ40,"",MAX(0,IF(GN$19=$FJ40,$S40^2*GN$15,GN39*INDEX($T$20:$T$91,$FJ40-GN$19)^2/INDEX($U$20:$U$91,$FJ40-GN$19))))</f>
        <v/>
      </c>
      <c r="GO40" s="150" t="str">
        <f aca="false">IF(GO$19&gt;$FJ40,"",MAX(0,IF(GO$19=$FJ40,$S40^2*GO$15,GO39*INDEX($T$20:$T$91,$FJ40-GO$19)^2/INDEX($U$20:$U$91,$FJ40-GO$19))))</f>
        <v/>
      </c>
      <c r="GP40" s="150" t="str">
        <f aca="false">IF(GP$19&gt;$FJ40,"",MAX(0,IF(GP$19=$FJ40,$S40^2*GP$15,GP39*INDEX($T$20:$T$91,$FJ40-GP$19)^2/INDEX($U$20:$U$91,$FJ40-GP$19))))</f>
        <v/>
      </c>
      <c r="GQ40" s="150" t="str">
        <f aca="false">IF(GQ$19&gt;$FJ40,"",MAX(0,IF(GQ$19=$FJ40,$S40^2*GQ$15,GQ39*INDEX($T$20:$T$91,$FJ40-GQ$19)^2/INDEX($U$20:$U$91,$FJ40-GQ$19))))</f>
        <v/>
      </c>
      <c r="GR40" s="150" t="str">
        <f aca="false">IF(GR$19&gt;$FJ40,"",MAX(0,IF(GR$19=$FJ40,$S40^2*GR$15,GR39*INDEX($T$20:$T$91,$FJ40-GR$19)^2/INDEX($U$20:$U$91,$FJ40-GR$19))))</f>
        <v/>
      </c>
      <c r="GS40" s="150" t="str">
        <f aca="false">IF(GS$19&gt;$FJ40,"",MAX(0,IF(GS$19=$FJ40,$S40^2*GS$15,GS39*INDEX($T$20:$T$91,$FJ40-GS$19)^2/INDEX($U$20:$U$91,$FJ40-GS$19))))</f>
        <v/>
      </c>
      <c r="GT40" s="150" t="str">
        <f aca="false">IF(GT$19&gt;$FJ40,"",MAX(0,IF(GT$19=$FJ40,$S40^2*GT$15,GT39*INDEX($T$20:$T$91,$FJ40-GT$19)^2/INDEX($U$20:$U$91,$FJ40-GT$19))))</f>
        <v/>
      </c>
      <c r="GU40" s="150" t="str">
        <f aca="false">IF(GU$19&gt;$FJ40,"",MAX(0,IF(GU$19=$FJ40,$S40^2*GU$15,GU39*INDEX($T$20:$T$91,$FJ40-GU$19)^2/INDEX($U$20:$U$91,$FJ40-GU$19))))</f>
        <v/>
      </c>
      <c r="GV40" s="150" t="str">
        <f aca="false">IF(GV$19&gt;$FJ40,"",MAX(0,IF(GV$19=$FJ40,$S40^2*GV$15,GV39*INDEX($T$20:$T$91,$FJ40-GV$19)^2/INDEX($U$20:$U$91,$FJ40-GV$19))))</f>
        <v/>
      </c>
      <c r="GW40" s="150" t="str">
        <f aca="false">IF(GW$19&gt;$FJ40,"",MAX(0,IF(GW$19=$FJ40,$S40^2*GW$15,GW39*INDEX($T$20:$T$91,$FJ40-GW$19)^2/INDEX($U$20:$U$91,$FJ40-GW$19))))</f>
        <v/>
      </c>
      <c r="GX40" s="150" t="str">
        <f aca="false">IF(GX$19&gt;$FJ40,"",MAX(0,IF(GX$19=$FJ40,$S40^2*GX$15,GX39*INDEX($T$20:$T$91,$FJ40-GX$19)^2/INDEX($U$20:$U$91,$FJ40-GX$19))))</f>
        <v/>
      </c>
      <c r="GY40" s="150" t="str">
        <f aca="false">IF(GY$19&gt;$FJ40,"",MAX(0,IF(GY$19=$FJ40,$S40^2*GY$15,GY39*INDEX($T$20:$T$91,$FJ40-GY$19)^2/INDEX($U$20:$U$91,$FJ40-GY$19))))</f>
        <v/>
      </c>
      <c r="GZ40" s="150" t="str">
        <f aca="false">IF(GZ$19&gt;$FJ40,"",MAX(0,IF(GZ$19=$FJ40,$S40^2*GZ$15,GZ39*INDEX($T$20:$T$91,$FJ40-GZ$19)^2/INDEX($U$20:$U$91,$FJ40-GZ$19))))</f>
        <v/>
      </c>
      <c r="HA40" s="150" t="str">
        <f aca="false">IF(HA$19&gt;$FJ40,"",MAX(0,IF(HA$19=$FJ40,$S40^2*HA$15,HA39*INDEX($T$20:$T$91,$FJ40-HA$19)^2/INDEX($U$20:$U$91,$FJ40-HA$19))))</f>
        <v/>
      </c>
      <c r="HB40" s="150" t="str">
        <f aca="false">IF(HB$19&gt;$FJ40,"",MAX(0,IF(HB$19=$FJ40,$S40^2*HB$15,HB39*INDEX($T$20:$T$91,$FJ40-HB$19)^2/INDEX($U$20:$U$91,$FJ40-HB$19))))</f>
        <v/>
      </c>
      <c r="HC40" s="150" t="str">
        <f aca="false">IF(HC$19&gt;$FJ40,"",MAX(0,IF(HC$19=$FJ40,$S40^2*HC$15,HC39*INDEX($T$20:$T$91,$FJ40-HC$19)^2/INDEX($U$20:$U$91,$FJ40-HC$19))))</f>
        <v/>
      </c>
      <c r="HD40" s="150" t="str">
        <f aca="false">IF(HD$19&gt;$FJ40,"",MAX(0,IF(HD$19=$FJ40,$S40^2*HD$15,HD39*INDEX($T$20:$T$91,$FJ40-HD$19)^2/INDEX($U$20:$U$91,$FJ40-HD$19))))</f>
        <v/>
      </c>
      <c r="HE40" s="150" t="str">
        <f aca="false">IF(HE$19&gt;$FJ40,"",MAX(0,IF(HE$19=$FJ40,$S40^2*HE$15,HE39*INDEX($T$20:$T$91,$FJ40-HE$19)^2/INDEX($U$20:$U$91,$FJ40-HE$19))))</f>
        <v/>
      </c>
      <c r="HF40" s="150" t="str">
        <f aca="false">IF(HF$19&gt;$FJ40,"",MAX(0,IF(HF$19=$FJ40,$S40^2*HF$15,HF39*INDEX($T$20:$T$91,$FJ40-HF$19)^2/INDEX($U$20:$U$91,$FJ40-HF$19))))</f>
        <v/>
      </c>
      <c r="HG40" s="150" t="str">
        <f aca="false">IF(HG$19&gt;$FJ40,"",MAX(0,IF(HG$19=$FJ40,$S40^2*HG$15,HG39*INDEX($T$20:$T$91,$FJ40-HG$19)^2/INDEX($U$20:$U$91,$FJ40-HG$19))))</f>
        <v/>
      </c>
      <c r="HH40" s="150" t="str">
        <f aca="false">IF(HH$19&gt;$FJ40,"",MAX(0,IF(HH$19=$FJ40,$S40^2*HH$15,HH39*INDEX($T$20:$T$91,$FJ40-HH$19)^2/INDEX($U$20:$U$91,$FJ40-HH$19))))</f>
        <v/>
      </c>
      <c r="HI40" s="150" t="str">
        <f aca="false">IF(HI$19&gt;$FJ40,"",MAX(0,IF(HI$19=$FJ40,$S40^2*HI$15,HI39*INDEX($T$20:$T$91,$FJ40-HI$19)^2/INDEX($U$20:$U$91,$FJ40-HI$19))))</f>
        <v/>
      </c>
      <c r="HJ40" s="150" t="str">
        <f aca="false">IF(HJ$19&gt;$FJ40,"",MAX(0,IF(HJ$19=$FJ40,$S40^2*HJ$15,HJ39*INDEX($T$20:$T$91,$FJ40-HJ$19)^2/INDEX($U$20:$U$91,$FJ40-HJ$19))))</f>
        <v/>
      </c>
      <c r="HK40" s="150" t="str">
        <f aca="false">IF(HK$19&gt;$FJ40,"",MAX(0,IF(HK$19=$FJ40,$S40^2*HK$15,HK39*INDEX($T$20:$T$91,$FJ40-HK$19)^2/INDEX($U$20:$U$91,$FJ40-HK$19))))</f>
        <v/>
      </c>
      <c r="HL40" s="150" t="str">
        <f aca="false">IF(HL$19&gt;$FJ40,"",MAX(0,IF(HL$19=$FJ40,$S40^2*HL$15,HL39*INDEX($T$20:$T$91,$FJ40-HL$19)^2/INDEX($U$20:$U$91,$FJ40-HL$19))))</f>
        <v/>
      </c>
      <c r="HM40" s="150" t="str">
        <f aca="false">IF(HM$19&gt;$FJ40,"",MAX(0,IF(HM$19=$FJ40,$S40^2*HM$15,HM39*INDEX($T$20:$T$91,$FJ40-HM$19)^2/INDEX($U$20:$U$91,$FJ40-HM$19))))</f>
        <v/>
      </c>
      <c r="HN40" s="150" t="str">
        <f aca="false">IF(HN$19&gt;$FJ40,"",MAX(0,IF(HN$19=$FJ40,$S40^2*HN$15,HN39*INDEX($T$20:$T$91,$FJ40-HN$19)^2/INDEX($U$20:$U$91,$FJ40-HN$19))))</f>
        <v/>
      </c>
      <c r="HO40" s="150" t="str">
        <f aca="false">IF(HO$19&gt;$FJ40,"",MAX(0,IF(HO$19=$FJ40,$S40^2*HO$15,HO39*INDEX($T$20:$T$91,$FJ40-HO$19)^2/INDEX($U$20:$U$91,$FJ40-HO$19))))</f>
        <v/>
      </c>
      <c r="HP40" s="150" t="str">
        <f aca="false">IF(HP$19&gt;$FJ40,"",MAX(0,IF(HP$19=$FJ40,$S40^2*HP$15,HP39*INDEX($T$20:$T$91,$FJ40-HP$19)^2/INDEX($U$20:$U$91,$FJ40-HP$19))))</f>
        <v/>
      </c>
      <c r="HQ40" s="150" t="str">
        <f aca="false">IF(HQ$19&gt;$FJ40,"",MAX(0,IF(HQ$19=$FJ40,$S40^2*HQ$15,HQ39*INDEX($T$20:$T$91,$FJ40-HQ$19)^2/INDEX($U$20:$U$91,$FJ40-HQ$19))))</f>
        <v/>
      </c>
      <c r="HR40" s="150" t="str">
        <f aca="false">IF(HR$19&gt;$FJ40,"",MAX(0,IF(HR$19=$FJ40,$S40^2*HR$15,HR39*INDEX($T$20:$T$91,$FJ40-HR$19)^2/INDEX($U$20:$U$91,$FJ40-HR$19))))</f>
        <v/>
      </c>
      <c r="HS40" s="150" t="str">
        <f aca="false">IF(HS$19&gt;$FJ40,"",MAX(0,IF(HS$19=$FJ40,$S40^2*HS$15,HS39*INDEX($T$20:$T$91,$FJ40-HS$19)^2/INDEX($U$20:$U$91,$FJ40-HS$19))))</f>
        <v/>
      </c>
      <c r="HT40" s="150" t="str">
        <f aca="false">IF(HT$19&gt;$FJ40,"",MAX(0,IF(HT$19=$FJ40,$S40^2*HT$15,HT39*INDEX($T$20:$T$91,$FJ40-HT$19)^2/INDEX($U$20:$U$91,$FJ40-HT$19))))</f>
        <v/>
      </c>
      <c r="HU40" s="150" t="str">
        <f aca="false">IF(HU$19&gt;$FJ40,"",MAX(0,IF(HU$19=$FJ40,$S40^2*HU$15,HU39*INDEX($T$20:$T$91,$FJ40-HU$19)^2/INDEX($U$20:$U$91,$FJ40-HU$19))))</f>
        <v/>
      </c>
      <c r="HV40" s="150" t="str">
        <f aca="false">IF(HV$19&gt;$FJ40,"",MAX(0,IF(HV$19=$FJ40,$S40^2*HV$15,HV39*INDEX($T$20:$T$91,$FJ40-HV$19)^2/INDEX($U$20:$U$91,$FJ40-HV$19))))</f>
        <v/>
      </c>
      <c r="HW40" s="150" t="str">
        <f aca="false">IF(HW$19&gt;$FJ40,"",MAX(0,IF(HW$19=$FJ40,$S40^2*HW$15,HW39*INDEX($T$20:$T$91,$FJ40-HW$19)^2/INDEX($U$20:$U$91,$FJ40-HW$19))))</f>
        <v/>
      </c>
      <c r="HX40" s="150" t="str">
        <f aca="false">IF(HX$19&gt;$FJ40,"",MAX(0,IF(HX$19=$FJ40,$S40^2*HX$15,HX39*INDEX($T$20:$T$91,$FJ40-HX$19)^2/INDEX($U$20:$U$91,$FJ40-HX$19))))</f>
        <v/>
      </c>
      <c r="HY40" s="150" t="str">
        <f aca="false">IF(HY$19&gt;$FJ40,"",MAX(0,IF(HY$19=$FJ40,$S40^2*HY$15,HY39*INDEX($T$20:$T$91,$FJ40-HY$19)^2/INDEX($U$20:$U$91,$FJ40-HY$19))))</f>
        <v/>
      </c>
      <c r="HZ40" s="150" t="str">
        <f aca="false">IF(HZ$19&gt;$FJ40,"",MAX(0,IF(HZ$19=$FJ40,$S40^2*HZ$15,HZ39*INDEX($T$20:$T$91,$FJ40-HZ$19)^2/INDEX($U$20:$U$91,$FJ40-HZ$19))))</f>
        <v/>
      </c>
      <c r="IA40" s="150" t="str">
        <f aca="false">IF(IA$19&gt;$FJ40,"",MAX(0,IF(IA$19=$FJ40,$S40^2*IA$15,IA39*INDEX($T$20:$T$91,$FJ40-IA$19)^2/INDEX($U$20:$U$91,$FJ40-IA$19))))</f>
        <v/>
      </c>
      <c r="IB40" s="150" t="str">
        <f aca="false">IF(IB$19&gt;$FJ40,"",MAX(0,IF(IB$19=$FJ40,$S40^2*IB$15,IB39*INDEX($T$20:$T$91,$FJ40-IB$19)^2/INDEX($U$20:$U$91,$FJ40-IB$19))))</f>
        <v/>
      </c>
      <c r="IC40" s="150" t="str">
        <f aca="false">IF(IC$19&gt;$FJ40,"",MAX(0,IF(IC$19=$FJ40,$S40^2*IC$15,IC39*INDEX($T$20:$T$91,$FJ40-IC$19)^2/INDEX($U$20:$U$91,$FJ40-IC$19))))</f>
        <v/>
      </c>
      <c r="ID40" s="572" t="str">
        <f aca="false">IF(ID$19&gt;$FJ40,"",MAX(0,IF(ID$19=$FJ40,$S40^2*ID$15,ID39*INDEX($T$20:$T$91,$FJ40-ID$19)^2/INDEX($U$20:$U$91,$FJ40-ID$19))))</f>
        <v/>
      </c>
      <c r="IE40" s="129"/>
    </row>
    <row r="41" customFormat="false" ht="15.75" hidden="false" customHeight="true" outlineLevel="0" collapsed="false">
      <c r="A41" s="219"/>
      <c r="B41" s="243" t="str">
        <f aca="false">IF(OptControl&gt;2,"","Fence")</f>
        <v>Fence</v>
      </c>
      <c r="C41" s="244" t="e">
        <f aca="false">IF(OptControl&gt;2,"",C38-C39)</f>
        <v>#NAME?</v>
      </c>
      <c r="D41" s="244" t="e">
        <f aca="false">IF(OptControl&gt;2,"",D38-D39)</f>
        <v>#NAME?</v>
      </c>
      <c r="E41" s="244" t="e">
        <f aca="false">IF(OptControl&gt;2,"",E38-E39)</f>
        <v>#NAME?</v>
      </c>
      <c r="F41" s="245" t="e">
        <f aca="false">IF(OptControl&gt;2,"",F38-F39)</f>
        <v>#NAME?</v>
      </c>
      <c r="G41" s="647" t="e">
        <f aca="false">SUMPRODUCT(CHOOSE(Underlying,L19:L258,R19:R258),BD19:BD258,AP19:AP258)/E32</f>
        <v>#VALUE!</v>
      </c>
      <c r="H41" s="219" t="n">
        <f aca="false">VLOOKUP(I41,$EJ$20:$EL$54,3)</f>
        <v>0</v>
      </c>
      <c r="I41" s="511" t="n">
        <f aca="false">EOMONTH(I40,0)+1</f>
        <v>37408</v>
      </c>
      <c r="J41" s="512"/>
      <c r="K41" s="513" t="s">
        <v>226</v>
      </c>
      <c r="L41" s="514" t="e">
        <f aca="false">IF(ISNUMBER(K41),J41+K41/100,IF(K41="extra",L40+VLOOKUP(BF41,PriceSpreadTable,2)/12,IF(K41="inter",interpolateprices($K$19:$L$200,ROW(K41)-ROW(FirstPricingMonth)+1),interpolatechanges($J$19:$K$200,ROW(K41)-ROW(FirstPricingMonth)+1))))</f>
        <v>#VALUE!</v>
      </c>
      <c r="M41" s="515"/>
      <c r="N41" s="516" t="n">
        <v>0</v>
      </c>
      <c r="O41" s="515" t="n">
        <f aca="false">M41+N41</f>
        <v>0</v>
      </c>
      <c r="P41" s="512"/>
      <c r="Q41" s="513" t="s">
        <v>250</v>
      </c>
      <c r="R41" s="512" t="e">
        <f aca="false">IF(ISNUMBER(Q41),P41+Q41/100,IF(Q41="extra",(Z39*AL39-R40*AM39)/AN39,IF(Q41="inter",interpolateprices($Q$19:$R$260,ROW(Q41)-ROW(FirstPricingMonth)+1),interpolatechanges($P$19:$Q$260,ROW(Q41)-ROW(FirstPricingMonth)+1))))</f>
        <v>#VALUE!</v>
      </c>
      <c r="S41" s="597" t="n">
        <f aca="false">S$19+(S40-S$19)*S$18</f>
        <v>0.360126848477557</v>
      </c>
      <c r="T41" s="575" t="n">
        <f aca="false">SQRT((1-(1-T40^2/U40)*T$18)*U41)</f>
        <v>0.99578766625461</v>
      </c>
      <c r="U41" s="576" t="n">
        <f aca="false">1-(1-U40)*U$18</f>
        <v>0.999964323865687</v>
      </c>
      <c r="V41" s="521" t="n">
        <v>0</v>
      </c>
      <c r="W41" s="577" t="n">
        <f aca="false">(J42*AJ41+J43*AK41)/AI41</f>
        <v>0</v>
      </c>
      <c r="X41" s="578" t="e">
        <f aca="false">(L42*AJ41+L43*AK41)/AI41</f>
        <v>#VALUE!</v>
      </c>
      <c r="Y41" s="579" t="n">
        <f aca="false">IF(Q43="extra",W41-AA41,(P42*AM41+P43*AN41)/AL41)</f>
        <v>0</v>
      </c>
      <c r="Z41" s="579" t="e">
        <f aca="false">IF(Q43="extra",X41-AB41,(R42*AM41+R43*AN41)/AL41)</f>
        <v>#VALUE!</v>
      </c>
      <c r="AA41" s="523" t="n">
        <f aca="false">IF(Q43="extra",INDEX(BrentSeasonalityTable,INT((BG41-1)/3)+1)*VLOOKUP(MAX(BF41,$AB$4),PriceSpreadTable,3),W41-Y41)</f>
        <v>0</v>
      </c>
      <c r="AB41" s="524" t="e">
        <f aca="false">IF(Q43="extra",INDEX(BrentSeasonalityTable,INT((BG41-1)/3)+1)*VLOOKUP(MAX(BF41,$AB$4),PriceSpreadTable,3),X41-Z41)</f>
        <v>#VALUE!</v>
      </c>
      <c r="AC41" s="525" t="n">
        <v>37397</v>
      </c>
      <c r="AD41" s="646" t="n">
        <v>37392</v>
      </c>
      <c r="AE41" s="526" t="n">
        <v>37392</v>
      </c>
      <c r="AF41" s="527" t="n">
        <v>37387</v>
      </c>
      <c r="AG41" s="438" t="s">
        <v>224</v>
      </c>
      <c r="AH41" s="439" t="s">
        <v>217</v>
      </c>
      <c r="AI41" s="528" t="n">
        <v>20</v>
      </c>
      <c r="AJ41" s="529" t="n">
        <v>14</v>
      </c>
      <c r="AK41" s="529" t="n">
        <v>6</v>
      </c>
      <c r="AL41" s="530" t="n">
        <v>20</v>
      </c>
      <c r="AM41" s="529" t="n">
        <v>8</v>
      </c>
      <c r="AN41" s="531" t="n">
        <v>12</v>
      </c>
      <c r="AO41" s="532"/>
      <c r="AP41" s="465" t="n">
        <f aca="false">(1+AO41/2)^(-2*BL41)</f>
        <v>1</v>
      </c>
      <c r="AQ41" s="532"/>
      <c r="AR41" s="465" t="n">
        <f aca="false">(1+AQ41/2)^(-2*BH41/365.25)</f>
        <v>1</v>
      </c>
      <c r="AS41" s="580" t="n">
        <f aca="false">(O42*AJ41+O43*AK41)/AI41</f>
        <v>0</v>
      </c>
      <c r="AT41" s="468" t="n">
        <f aca="false">O41*VLOOKUP(BF41,BrentVolTable,2)+VLOOKUP(BF41,BrentVolTable,3)</f>
        <v>0</v>
      </c>
      <c r="AU41" s="468" t="n">
        <f aca="false">(AT42*AM41+AT43*AN41)/AL41</f>
        <v>0</v>
      </c>
      <c r="AV41" s="595" t="n">
        <f aca="false">SQRT(MAX(0.000000000001,(O41^2*BH41-S41^2*(BH41-BH40))/BH40))</f>
        <v>0.0209588228871154</v>
      </c>
      <c r="AW41" s="451" t="n">
        <f aca="false">IF($I41-DateToday+15&gt;=$T$8,"",IF($I41-DateToday+15&lt;$T$5,1,MATCH($I41-DateToday+15,$T$5:$T$8)))</f>
        <v>1</v>
      </c>
      <c r="AX41" s="468" t="n">
        <f aca="false">IF($AW41="",AX40^2/AX39,INDEX(U$5:U$8,$AW41)^((INDEX($T$5:$T$8,$AW41+1)-($I41-DateToday+15))/(INDEX($T$5:$T$8,$AW41+1)-INDEX($T$5:$T$8,$AW41)))/INDEX(U$5:U$8,$AW41+1)^((INDEX($T$5:$T$8,$AW41)-($I41-DateToday+15))/(INDEX($T$5:$T$8,$AW41+1)-INDEX($T$5:$T$8,$AW41))))</f>
        <v>8.01717029544267</v>
      </c>
      <c r="AY41" s="468" t="n">
        <f aca="false">IF($AW41="",AY40^2/AY39,INDEX(V$5:V$8,$AW41)^((INDEX($T$5:$T$8,$AW41+1)-($I41-DateToday+15))/(INDEX($T$5:$T$8,$AW41+1)-INDEX($T$5:$T$8,$AW41)))/INDEX(V$5:V$8,$AW41+1)^((INDEX($T$5:$T$8,$AW41)-($I41-DateToday+15))/(INDEX($T$5:$T$8,$AW41+1)-INDEX($T$5:$T$8,$AW41))))</f>
        <v>2157.58490214009</v>
      </c>
      <c r="AZ41" s="468" t="n">
        <f aca="false">IF($AW41="",AZ40^2/AZ39,INDEX(W$5:W$8,$AW41)^((INDEX($T$5:$T$8,$AW41+1)-($I41-DateToday+15))/(INDEX($T$5:$T$8,$AW41+1)-INDEX($T$5:$T$8,$AW41)))/INDEX(W$5:W$8,$AW41+1)^((INDEX($T$5:$T$8,$AW41)-($I41-DateToday+15))/(INDEX($T$5:$T$8,$AW41+1)-INDEX($T$5:$T$8,$AW41))))</f>
        <v>124860768.281064</v>
      </c>
      <c r="BA41" s="468" t="n">
        <f aca="false">IF($AW41="",BA40^2/BA39,INDEX(X$5:X$8,$AW41)^((INDEX($T$5:$T$8,$AW41+1)-($I41-DateToday+15))/(INDEX($T$5:$T$8,$AW41+1)-INDEX($T$5:$T$8,$AW41)))/INDEX(X$5:X$8,$AW41+1)^((INDEX($T$5:$T$8,$AW41)-($I41-DateToday+15))/(INDEX($T$5:$T$8,$AW41+1)-INDEX($T$5:$T$8,$AW41))))</f>
        <v>10427396276.3447</v>
      </c>
      <c r="BB41" s="468" t="n">
        <f aca="false">IF($AW41="",BB40^2/BB39,INDEX(Y$5:Y$8,$AW41)^((INDEX($T$5:$T$8,$AW41+1)-($I41-DateToday+15))/(INDEX($T$5:$T$8,$AW41+1)-INDEX($T$5:$T$8,$AW41)))/INDEX(Y$5:Y$8,$AW41+1)^((INDEX($T$5:$T$8,$AW41)-($I41-DateToday+15))/(INDEX($T$5:$T$8,$AW41+1)-INDEX($T$5:$T$8,$AW41))))</f>
        <v>234256962279.266</v>
      </c>
      <c r="BC41" s="468" t="n">
        <f aca="false">IF($AW41="",BC40^2/BC39,INDEX(Z$5:Z$8,$AW41)^((INDEX($T$5:$T$8,$AW41+1)-($I41-DateToday+15))/(INDEX($T$5:$T$8,$AW41+1)-INDEX($T$5:$T$8,$AW41)))/INDEX(Z$5:Z$8,$AW41+1)^((INDEX($T$5:$T$8,$AW41)-($I41-DateToday+15))/(INDEX($T$5:$T$8,$AW41+1)-INDEX($T$5:$T$8,$AW41))))</f>
        <v>1495596433212.58</v>
      </c>
      <c r="BD41" s="535" t="n">
        <f aca="false">IF(OR(DateStart&gt;=I42,DateEnd&lt;I41),0,IF(VolumeOverrideFlag,V41,Volume))</f>
        <v>0</v>
      </c>
      <c r="BE41" s="536" t="n">
        <f aca="false">IF(OR(DateStart2&gt;=I42,DateEnd2&lt;I41),0,IF(VolumeOverrideFlag,V41,VolumeSwaption))</f>
        <v>0</v>
      </c>
      <c r="BF41" s="537" t="n">
        <f aca="false">YEAR(I41)</f>
        <v>2002</v>
      </c>
      <c r="BG41" s="538" t="n">
        <f aca="false">MONTH(I41)</f>
        <v>6</v>
      </c>
      <c r="BH41" s="539" t="n">
        <f aca="false">AD41-DateToday+1</f>
        <v>-8533</v>
      </c>
      <c r="BI41" s="540" t="n">
        <f aca="false">(I41-DateToday+1)/365.25</f>
        <v>-23.3182751540041</v>
      </c>
      <c r="BJ41" s="541" t="n">
        <f aca="false">BI41+(BL41-BI41)*CHOOSE(Underlying,AJ41/AI41,AM41/AL41)</f>
        <v>-23.2626967830253</v>
      </c>
      <c r="BK41" s="541" t="n">
        <f aca="false">BJ41+1/365.25</f>
        <v>-23.2599589322382</v>
      </c>
      <c r="BL41" s="541" t="n">
        <f aca="false">(I42-DateToday)/365.25</f>
        <v>-23.2388774811773</v>
      </c>
      <c r="BM41" s="542" t="e">
        <f aca="false">MAX(BI41-(BJ41-BI41)*(S42^2/O42^2-1),0)</f>
        <v>#DIV/0!</v>
      </c>
      <c r="BN41" s="541" t="e">
        <f aca="false">MAX(BL41+(BL41-BK41)*(S43^2/O43^2-1),0)</f>
        <v>#DIV/0!</v>
      </c>
      <c r="BO41" s="530" t="n">
        <f aca="false">CHOOSE(Underlying,AI41,AL41)</f>
        <v>20</v>
      </c>
      <c r="BP41" s="529" t="n">
        <f aca="false">CHOOSE(Underlying,AJ41,AM41)</f>
        <v>14</v>
      </c>
      <c r="BQ41" s="529" t="n">
        <f aca="false">CHOOSE(Underlying,AK41,AN41)</f>
        <v>6</v>
      </c>
      <c r="BR41" s="463" t="str">
        <f aca="false">IF(BD41,IF(Underlying=1,X41,Z41)+UnderlyingPriceAsian-SwapPriceCurve,"")</f>
        <v/>
      </c>
      <c r="BS41" s="463" t="str">
        <f aca="false">IF(BD41,Strike1/BR41-1,"")</f>
        <v/>
      </c>
      <c r="BT41" s="464" t="str">
        <f aca="false">IF(BD41,Strike2/BR41-1,"")</f>
        <v/>
      </c>
      <c r="BU41" s="465" t="str">
        <f aca="false">IF(BD41,IF(Underlying=1,L42,R42)+UnderlyingPriceAsian-SwapPriceCurve,"")</f>
        <v/>
      </c>
      <c r="BV41" s="465" t="str">
        <f aca="false">IF(BD41,IF(Underlying=1,L43,R43)+UnderlyingPriceAsian-SwapPriceCurve,"")</f>
        <v/>
      </c>
      <c r="BW41" s="466" t="str">
        <f aca="false">IF(BD41,IF(Underlying=1,O42,AT42),"")</f>
        <v/>
      </c>
      <c r="BX41" s="467" t="str">
        <f aca="false">IF(BD41,IF(Underlying=1,O43,AT43),"")</f>
        <v/>
      </c>
      <c r="BY41" s="466" t="str">
        <f aca="false">IF(BD41,IF(BS41&gt;0,IF(BS41&gt;0.2,BC41-BB41,IF(BS41&gt;0.1,BB41-BA41,BA41)),IF(BS41&lt;-0.2,AX41-AY41,IF(BS41&lt;-0.1,AY41-AZ41,AZ41))),"")</f>
        <v/>
      </c>
      <c r="BZ41" s="467" t="str">
        <f aca="false">IF(BD41,IF(BT41&gt;0,IF(BT41&gt;0.2,BC41-BB41,IF(BT41&gt;0.1,BB41-BA41,BA41)),IF(BT41&lt;-0.2,AX41-AY41,IF(BT41&lt;-0.1,AY41-AZ41,AZ41))),"")</f>
        <v/>
      </c>
      <c r="CA41" s="468" t="str">
        <f aca="false">IF($BD41,$BW41+IF(VolSkewFlag=1,IF(BS41&gt;0,$BA41*MIN(BS41/10%,1)+($BB41-$BA41)*MAX(0,MIN(BS41/10%-1,1))+($BC41-$BB41)*MAX(0,BS41/10%-2),$AZ41*MIN(-BS41/10%,1)+($AY41-$AZ41)*MAX(0,MIN(-BS41/10%-1,1))+($AX41-$AY41)*MAX(0,-BS41/10%-2)),0),"")</f>
        <v/>
      </c>
      <c r="CB41" s="468" t="str">
        <f aca="false">IF($BD41,$BX41+IF(VolSkewFlag=1,IF(BS41&gt;0,$BA41*MIN(BS41/10%,1)+($BB41-$BA41)*MAX(0,MIN(BS41/10%-1,1))+($BC41-$BB41)*MAX(0,BS41/10%-2),$AZ41*MIN(-BS41/10%,1)+($AY41-$AZ41)*MAX(0,MIN(-BS41/10%-1,1))+($AX41-$AY41)*MAX(0,-BS41/10%-2)),0),"")</f>
        <v/>
      </c>
      <c r="CC41" s="468" t="str">
        <f aca="false">IF($BD41,$BW41+IF(VolSkewFlag=1,IF(BT41&gt;0,$BA41*MIN(BT41/10%,1)+($BB41-$BA41)*MAX(0,MIN(BT41/10%-1,1))+($BC41-$BB41)*MAX(0,BT41/10%-2),$AZ41*MIN(-BT41/10%,1)+($AY41-$AZ41)*MAX(0,MIN(-BT41/10%-1,1))+($AX41-$AY41)*MAX(0,-BT41/10%-2)),0),"")</f>
        <v/>
      </c>
      <c r="CD41" s="468" t="str">
        <f aca="false">IF($BD41,$BX41+IF(VolSkewFlag=1,IF(BT41&gt;0,$BA41*MIN(BT41/10%,1)+($BB41-$BA41)*MAX(0,MIN(BT41/10%-1,1))+($BC41-$BB41)*MAX(0,BT41/10%-2),$AZ41*MIN(-BT41/10%,1)+($AY41-$AZ41)*MAX(0,MIN(-BT41/10%-1,1))+($AX41-$AY41)*MAX(0,-BT41/10%-2)),0),"")</f>
        <v/>
      </c>
      <c r="CE41" s="469" t="n">
        <v>1</v>
      </c>
      <c r="CF41" s="470" t="n">
        <f aca="false">IF(BD41,xCrudeAPO(BU41,BV41,CA41,CB41,S42,S43,BI41,BL41,BP41,BQ41,0,Strike1,AO41,CE41,0,BL41,IF(OptControl=4,0,1),0,1),0)</f>
        <v>0</v>
      </c>
      <c r="CG41" s="470" t="n">
        <f aca="false">IF(BD41,xCrudeAPO(BU41,BV41,CA41,CB41,S42,S43,BI41,BL41,BP41,BQ41,0,Strike1,AO41,CE41,0,BL41,IF(OptControl=4,0,1),1,1)+xCrudeAPO(BU41,BV41,CA41,CB41,S42,S43,BI41,BL41,BP41,BQ41,0,Strike1,AO41,CE41,0,BL41,IF(OptControl=4,0,1),1,2)+IF(OR(VolSkewFlag=2,ABS(BS41)&lt;0.0001),0,IF(BS41&gt;0,-1,1)*CH41*Strike1/BR41^2*BY41/10%),0)</f>
        <v>0</v>
      </c>
      <c r="CH41" s="470" t="n">
        <f aca="false">IF(BD41,(xCrudeAPO(BU41,BV41,CA41,CB41,S42,S43,BI41,BL41,BP41,BQ41,0,Strike1,AO41,CE41,0,BL41,IF(OptControl=4,0,1),3,1)+xCrudeAPO(BU41,BV41,CA41,CB41,S42,S43,BI41,BL41,BP41,BQ41,0,Strike1,AO41,CE41,0,BL41,IF(OptControl=4,0,1),3,2))/100,0)</f>
        <v>0</v>
      </c>
      <c r="CI41" s="470" t="n">
        <f aca="false">IF(BD41,xCrudeAPO(BU41,BV41,CA41,CB41,S42,S43,BI41-DaysForThetaCalculation/365.25,BL41-DaysForThetaCalculation/365.25,BP41,BQ41,0,Strike1,AO41,CE41,0,BL41,IF(OptControl=4,0,1),0,1)-xCrudeAPO(BU41,BV41,CA41,CB41,S42,S43,BI41,BL41,BP41,BQ41,0,Strike1,AO41,CE41,0,BL41,IF(OptControl=4,0,1),0,1),0)</f>
        <v>0</v>
      </c>
      <c r="CJ41" s="471" t="n">
        <f aca="false">IF(BD41,xCrudeAPO(BU41,BV41,CC41,CD41,S42,S43,BI41,BL41,BP41,BQ41,0,Strike2,AO41,CE41,0,BL41,IF(OptControl=3,1,0),0,1),0)</f>
        <v>0</v>
      </c>
      <c r="CK41" s="470" t="n">
        <f aca="false">IF(BD41,xCrudeAPO(BU41,BV41,CC41,CD41,S42,S43,BI41,BL41,BP41,BQ41,0,Strike2,AO41,CE41,0,BL41,IF(OptControl=3,1,0),1,1)+xCrudeAPO(BU41,BV41,CC41,CD41,S42,S43,BI41,BL41,BP41,BQ41,0,Strike2,AO41,CE41,0,BL41,IF(OptControl=3,1,0),1,2)+IF(OR(VolSkewFlag=2,ABS(BT41)&lt;0.0001),0,IF(BT41&gt;0,-1,1)*CL41*Strike2/BR41^2*BZ41/10%),0)</f>
        <v>0</v>
      </c>
      <c r="CL41" s="470" t="n">
        <f aca="false">IF(BD41,(xCrudeAPO(BU41,BV41,CC41,CD41,S42,S43,BI41,BL41,BP41,BQ41,0,Strike2,AO41,CE41,0,BL41,IF(OptControl=3,1,0),3,1)+xCrudeAPO(BU41,BV41,CC41,CD41,S42,S43,BI41,BL41,BP41,BQ41,0,Strike2,AO41,CE41,0,BL41,IF(OptControl=3,1,0),3,2))/100,0)</f>
        <v>0</v>
      </c>
      <c r="CM41" s="472" t="n">
        <f aca="false">IF(BD41,xCrudeAPO(BU41,BV41,CC41,CD41,S42,S43,BI41-DaysForThetaCalculation/365.25,BL41-DaysForThetaCalculation/365.25,BP41,BQ41,0,Strike2,AO41,CE41,0,BL41,IF(OptControl=3,1,0),0,1)-xCrudeAPO(BU41,BV41,CC41,CD41,S42,S43,BI41,BL41,BP41,BQ41,0,Strike2,AO41,CE41,0,BL41,IF(OptControl=3,1,0),0,1),0)</f>
        <v>0</v>
      </c>
      <c r="CO41" s="543" t="str">
        <f aca="false">IF(BD41,CHOOSE(Underlying,AD41,AF41)-DateToday+1,"")</f>
        <v/>
      </c>
      <c r="CP41" s="582" t="str">
        <f aca="false">IF(BD41,CHOOSE(Underlying,L41,R41),"")</f>
        <v/>
      </c>
      <c r="CQ41" s="544" t="str">
        <f aca="false">IF(BD41,Strike1/CP41-1,"")</f>
        <v/>
      </c>
      <c r="CR41" s="544" t="str">
        <f aca="false">IF(BD41,Strike2/CP41-1,"")</f>
        <v/>
      </c>
      <c r="CS41" s="544" t="str">
        <f aca="false">IF(BD41,IF(CQ41&gt;0,IF(CQ41&gt;0.2,BC40-BB40,IF(CQ41&gt;0.1,BB40-BA40,BA40)),IF(CQ41&lt;-0.2,AX40-AY40,IF(CQ41&lt;-0.1,AY40-AZ40,AZ40))),"")</f>
        <v/>
      </c>
      <c r="CT41" s="544" t="str">
        <f aca="false">IF(BD41,IF(CR41&gt;0,IF(CR41&gt;0.2,BC40-BB40,IF(CR41&gt;0.1,BB40-BA40,BA40)),IF(CR41&lt;-0.2,AX40-AY40,IF(CR41&lt;-0.1,AY40-AZ40,AZ40))),"")</f>
        <v/>
      </c>
      <c r="CU41" s="545" t="str">
        <f aca="false">IF(BD41,CHOOSE(Underlying,O41,AT41),"")</f>
        <v/>
      </c>
      <c r="CV41" s="545" t="str">
        <f aca="false">IF(BD41,CU41+IF(VolSkewFlag=1,IF(CQ41&gt;0,BA40*MIN(CQ41/10%,1)+(BB40-BA40)*MAX(0,MIN(CQ41/10%-1,1))+(BC40-BB40)*MAX(0,CQ41/10%-2),AZ40*MIN(-CQ41/10%,1)+(AY40-AZ40)*MAX(0,MIN(-CQ41/10%-1,1))+(AX40-AY40)*MAX(0,-CQ41/10%-2)),0),"")</f>
        <v/>
      </c>
      <c r="CW41" s="545" t="str">
        <f aca="false">IF(BD41,CU41+IF(VolSkewFlag=1,IF(CR41&gt;0,BA40*MIN(CR41/10%,1)+(BB40-BA40)*MAX(0,MIN(CR41/10%-1,1))+(BC40-BB40)*MAX(0,CR41/10%-2),AZ40*MIN(-CR41/10%,1)+(AY40-AZ40)*MAX(0,MIN(-CR41/10%-1,1))+(AX40-AY40)*MAX(0,-CR41/10%-2)),0),"")</f>
        <v/>
      </c>
      <c r="CX41" s="470" t="n">
        <f aca="false">IF(BD41,EURO(CP41,Strike1,AO41,AO41,CV41,CO41,IF(OptControl=4,0,1),0),0)</f>
        <v>0</v>
      </c>
      <c r="CY41" s="470" t="n">
        <f aca="false">IF(BD41,EURO(CP41,Strike1,AO41,AO41,CV41,CO41,IF(OptControl=4,0,1),1)+IF(OR(VolSkewFlag=2,ABS(CQ41)&lt;0.0001),0,IF(CQ41&gt;0,-1,1)*CZ41*100*Strike1/CP41^2*CS41/10%),0)</f>
        <v>0</v>
      </c>
      <c r="CZ41" s="470" t="n">
        <f aca="false">IF(BD41,EURO(CP41,Strike1,AO41,AO41,CV41,CO41,IF(OptControl=4,0,1),3)/100,0)</f>
        <v>0</v>
      </c>
      <c r="DA41" s="470" t="n">
        <f aca="false">IF(BD41,EURO(CP41,Strike1,AO41,AO41,CV41,CO41,IF(OptControl=4,0,1),0)-EURO(CP41,Strike1,AO41,AO41,CV41,CO41-1,IF(OptControl=4,0,1),0),0)</f>
        <v>0</v>
      </c>
      <c r="DB41" s="470" t="n">
        <f aca="false">IF(BD41,EURO(CP41,Strike2,AO41,AO41,CW41,CO41,IF(OptControl=3,1,0),0),0)</f>
        <v>0</v>
      </c>
      <c r="DC41" s="470" t="n">
        <f aca="false">IF(BD41,EURO(CP41,Strike2,AO41,AO41,CW41,CO41,IF(OptControl=3,1,0),1)+IF(OR(VolSkewFlag=2,ABS(CR41)&lt;0.0001),0,IF(CR41&gt;0,-1,1)*DD41*100*Strike2/CP41^2*CT41/10%),0)</f>
        <v>0</v>
      </c>
      <c r="DD41" s="470" t="n">
        <f aca="false">IF(BD41,EURO(CP41,Strike2,AO41,AO41,CW41,CO41,IF(OptControl=3,1,0),3)/100,0)</f>
        <v>0</v>
      </c>
      <c r="DE41" s="472" t="n">
        <f aca="false">IF(BD41,EURO(CP41,Strike2,AO41,AO41,CW41,CO41,IF(OptControl=3,1,0),0)-EURO(CP41,Strike2,AO41,AO41,CW41,CO41-1,IF(OptControl=3,1,0),0),0)</f>
        <v>0</v>
      </c>
      <c r="DF41" s="1"/>
      <c r="DG41" s="481" t="n">
        <f aca="false">EOMONTH(DG40,0)+1</f>
        <v>46327</v>
      </c>
      <c r="DH41" s="478" t="n">
        <v>20.44</v>
      </c>
      <c r="DI41" s="479" t="n">
        <v>20.1763636363636</v>
      </c>
      <c r="DJ41" s="480" t="n">
        <f aca="false">DG41</f>
        <v>46327</v>
      </c>
      <c r="DK41" s="478" t="n">
        <v>19.155</v>
      </c>
      <c r="DL41" s="479" t="n">
        <v>18.8763636363636</v>
      </c>
      <c r="DM41" s="481" t="n">
        <f aca="false">DG41</f>
        <v>46327</v>
      </c>
      <c r="DN41" s="482" t="n">
        <f aca="false">DK41+BrentPhyBrentSpread</f>
        <v>19.205</v>
      </c>
      <c r="DO41" s="481" t="n">
        <f aca="false">DG41</f>
        <v>46327</v>
      </c>
      <c r="DP41" s="483" t="n">
        <f aca="false">DL41+DQ41</f>
        <v>18.9663636363636</v>
      </c>
      <c r="DQ41" s="546" t="n">
        <v>0.09</v>
      </c>
      <c r="DR41" s="480" t="n">
        <f aca="false">DG41</f>
        <v>46327</v>
      </c>
      <c r="DS41" s="485" t="n">
        <v>0.23563456251915</v>
      </c>
      <c r="DT41" s="486" t="n">
        <v>0.2328666367647</v>
      </c>
      <c r="DU41" s="480" t="n">
        <f aca="false">DG41</f>
        <v>46327</v>
      </c>
      <c r="DV41" s="485" t="n">
        <v>0.23563456251915</v>
      </c>
      <c r="DW41" s="486" t="n">
        <v>0.2328666367647</v>
      </c>
      <c r="DX41" s="481" t="n">
        <f aca="false">DG41</f>
        <v>46327</v>
      </c>
      <c r="DY41" s="486" t="n">
        <v>0.350000076293945</v>
      </c>
      <c r="DZ41" s="481" t="n">
        <f aca="false">DR41</f>
        <v>46327</v>
      </c>
      <c r="EA41" s="486" t="n">
        <f aca="false">DT41</f>
        <v>0.2328666367647</v>
      </c>
      <c r="EB41" s="195"/>
      <c r="EC41" s="547" t="str">
        <f aca="false">IF(BD41,IF(Underlying=1,AS41,AU41),"")</f>
        <v/>
      </c>
      <c r="ED41" s="548" t="str">
        <f aca="false">IF($BD41,$EC41+IF(VolSkewFlag=1,IF(BS41&gt;0,$BA41*MIN(BS41/10%,1)+($BB41-$BA41)*MAX(0,MIN(BS41/10%-1,1))+($BC41-$BB41)*MAX(0,BS41/10%-2),$AZ41*MIN(-BS41/10%,1)+($AY41-$AZ41)*MAX(0,MIN(-BS41/10%-1,1))+($AX41-$AY41)*MAX(0,-BS41/10%-2)),0),"")</f>
        <v/>
      </c>
      <c r="EE41" s="549" t="str">
        <f aca="false">IF($BD41,$EC41+IF(VolSkewFlag=1,IF(BT41&gt;0,$BA41*MIN(BT41/10%,1)+($BB41-$BA41)*MAX(0,MIN(BT41/10%-1,1))+($BC41-$BB41)*MAX(0,BT41/10%-2),$AZ41*MIN(-BT41/10%,1)+($AY41-$AZ41)*MAX(0,MIN(-BT41/10%-1,1))+($AX41-$AY41)*MAX(0,-BT41/10%-2)),0),"")</f>
        <v/>
      </c>
      <c r="EF41" s="550" t="n">
        <f aca="false">IF(BD41,xASN(BR41,Strike1,AO41,ED41,0,BO41,0,BI41,BL41,IF(OptControl=4,0,1),0),0)</f>
        <v>0</v>
      </c>
      <c r="EG41" s="551" t="n">
        <f aca="false">IF(BD41,xASN(BR41,Strike2,AO41,EE41,0,BO41,0,BI41,BL41,IF(OptControl=3,1,0),0),0)</f>
        <v>0</v>
      </c>
      <c r="EI41" s="583" t="str">
        <f aca="false">DDE("TWINDDE","RSFRecord","CLc22 MTH")</f>
        <v>JUN2</v>
      </c>
      <c r="EJ41" s="584" t="n">
        <f aca="false">DATEVALUE(CONCATENATE(LEFT(EI41,3),"-",IF(VALUE(RIGHT(EI41,1))=9,"1999",CONCATENATE("200",RIGHT(EI41,1)))))</f>
        <v>37408</v>
      </c>
      <c r="EK41" s="585" t="n">
        <f aca="false">DDE("TWINDDE","RSFRecord","CLc22 NET.CHNG")</f>
        <v>0</v>
      </c>
      <c r="EL41" s="586" t="n">
        <f aca="false">IF(ISNUMBER(VALUE(EK41)),VALUE(EK41)*100,0)</f>
        <v>0</v>
      </c>
      <c r="EM41" s="195"/>
      <c r="EN41" s="556" t="n">
        <v>38346</v>
      </c>
      <c r="EO41" s="557" t="n">
        <v>40537</v>
      </c>
      <c r="EP41" s="195"/>
      <c r="EQ41" s="407" t="s">
        <v>261</v>
      </c>
      <c r="ES41" s="587" t="n">
        <v>22</v>
      </c>
      <c r="ET41" s="559" t="n">
        <f aca="false">BH41/365.25</f>
        <v>-23.3620807665982</v>
      </c>
      <c r="EU41" s="560" t="n">
        <f aca="false">O41^2*ET41</f>
        <v>-0</v>
      </c>
      <c r="EV41" s="588" t="e">
        <f aca="false">SQRT(SUM(FK41:ID41)/ET41)</f>
        <v>#VALUE!</v>
      </c>
      <c r="EW41" s="589" t="str">
        <f aca="false">IF(OR(DateStart2&gt;I40,DateEnd2&lt;I39),"",IF(DateStart2&lt;I40,AK39/AI39*AP39*BE39*SwaptionNumOfMonths/$D$33,0)+IF(DateEnd2&gt;I39,AJ40/AI40*AP40*BE40*SwaptionNumOfMonths/$D$33,0))</f>
        <v/>
      </c>
      <c r="EX41" s="590" t="str">
        <f aca="false">IF(EW41="","",SQRT(SUM(FK346:ID346)/SwaptionYearsToExp))</f>
        <v/>
      </c>
      <c r="EY41" s="129" t="n">
        <v>0</v>
      </c>
      <c r="EZ41" s="591" t="str">
        <f aca="false">IF(OR(EW41="",EW42=""),"",SQRT(SUM(INDEX(FK41:ID41,SwaptionFirstMonthPosition+1):INDEX(FK41:ID41,FJ41))/SUM(INDEX($FK$15:$ID$15,SwaptionFirstMonthPosition+1):INDEX($FK$15:$ID$15,FJ41))))</f>
        <v/>
      </c>
      <c r="FA41" s="592" t="str">
        <f aca="false">IF(OR(EW41="",EW40=""),"",SQRT(SUM(INDEX(FK41:ID41,SwaptionFirstMonthPosition+1):INDEX(FK41:ID41,FJ41-1))/SUM(INDEX($FK$15:$ID$15,SwaptionFirstMonthPosition+1):INDEX($FK$15:$ID$15,FJ41-1))))</f>
        <v/>
      </c>
      <c r="FB41" s="593" t="str">
        <f aca="false">IF(BE41,2/3*EZ42+1/3*FA43,"")</f>
        <v/>
      </c>
      <c r="FC41" s="596" t="str">
        <f aca="false">IF(BE41,(I42+I41-1)/2-DateToday,"")</f>
        <v/>
      </c>
      <c r="FD41" s="483" t="str">
        <f aca="false">IF(BE41,CHOOSE(Underlying,X41,Z41)+SwaptionUnderlyingPrice-$D$26,"")</f>
        <v/>
      </c>
      <c r="FE41" s="483" t="str">
        <f aca="false">IF(BE41,CollartionFloor/FD41-1,"")</f>
        <v/>
      </c>
      <c r="FF41" s="483" t="str">
        <f aca="false">IF(BE41,CollartionCap/FD41-1,"")</f>
        <v/>
      </c>
      <c r="FG41" s="485" t="str">
        <f aca="false">IF(BE41,IF(VolSkewFlag=1,IF(FE41&gt;0,$BA41*MIN(FE41/10%,1)+($BB41-$BA41)*MAX(0,MIN(FE41/10%-1,1))+($BC41-$BB41)*MAX(0,FE41/10%-2),$AZ41*MIN(-FE41/10%,1)+($AY41-$AZ41)*MAX(0,MIN(-FE41/10%-1,1))+($AX41-$AY41)*MAX(0,-FE41/10%-2)),0),"")</f>
        <v/>
      </c>
      <c r="FH41" s="486" t="str">
        <f aca="false">IF(BE41,IF(VolSkewFlag=1,IF(FF41&gt;0,$BA41*MIN(FF41/10%,1)+($BB41-$BA41)*MAX(0,MIN(FF41/10%-1,1))+($BC41-$BB41)*MAX(0,FF41/10%-2),$AZ41*MIN(-FF41/10%,1)+($AY41-$AZ41)*MAX(0,MIN(-FF41/10%-1,1))+($AX41-$AY41)*MAX(0,-FF41/10%-2)),0),"")</f>
        <v/>
      </c>
      <c r="FI41" s="129"/>
      <c r="FJ41" s="571" t="n">
        <v>22</v>
      </c>
      <c r="FK41" s="150" t="n">
        <f aca="false">IF(FK$19&gt;$FJ41,"",MAX(0,IF(FK$19=$FJ41,$S41^2*FK$15,FK40*INDEX($T$20:$T$91,$FJ41-FK$19)^2/INDEX($U$20:$U$91,$FJ41-FK$19))))</f>
        <v>0</v>
      </c>
      <c r="FL41" s="150" t="n">
        <f aca="false">IF(FL$19&gt;$FJ41,"",MAX(0,IF(FL$19=$FJ41,$S41^2*FL$15,FL40*INDEX($T$20:$T$91,$FJ41-FL$19)^2/INDEX($U$20:$U$91,$FJ41-FL$19))))</f>
        <v>0</v>
      </c>
      <c r="FM41" s="150" t="n">
        <f aca="false">IF(FM$19&gt;$FJ41,"",MAX(0,IF(FM$19=$FJ41,$S41^2*FM$15,FM40*INDEX($T$20:$T$91,$FJ41-FM$19)^2/INDEX($U$20:$U$91,$FJ41-FM$19))))</f>
        <v>0.00275673253427517</v>
      </c>
      <c r="FN41" s="150" t="n">
        <f aca="false">IF(FN$19&gt;$FJ41,"",MAX(0,IF(FN$19=$FJ41,$S41^2*FN$15,FN40*INDEX($T$20:$T$91,$FJ41-FN$19)^2/INDEX($U$20:$U$91,$FJ41-FN$19))))</f>
        <v>0.00235175760575703</v>
      </c>
      <c r="FO41" s="150" t="n">
        <f aca="false">IF(FO$19&gt;$FJ41,"",MAX(0,IF(FO$19=$FJ41,$S41^2*FO$15,FO40*INDEX($T$20:$T$91,$FJ41-FO$19)^2/INDEX($U$20:$U$91,$FJ41-FO$19))))</f>
        <v>0.00248510535543724</v>
      </c>
      <c r="FP41" s="150" t="n">
        <f aca="false">IF(FP$19&gt;$FJ41,"",MAX(0,IF(FP$19=$FJ41,$S41^2*FP$15,FP40*INDEX($T$20:$T$91,$FJ41-FP$19)^2/INDEX($U$20:$U$91,$FJ41-FP$19))))</f>
        <v>0.00280514690892628</v>
      </c>
      <c r="FQ41" s="150" t="n">
        <f aca="false">IF(FQ$19&gt;$FJ41,"",MAX(0,IF(FQ$19=$FJ41,$S41^2*FQ$15,FQ40*INDEX($T$20:$T$91,$FJ41-FQ$19)^2/INDEX($U$20:$U$91,$FJ41-FQ$19))))</f>
        <v>0.00232079211622848</v>
      </c>
      <c r="FR41" s="150" t="n">
        <f aca="false">IF(FR$19&gt;$FJ41,"",MAX(0,IF(FR$19=$FJ41,$S41^2*FR$15,FR40*INDEX($T$20:$T$91,$FJ41-FR$19)^2/INDEX($U$20:$U$91,$FJ41-FR$19))))</f>
        <v>0.00243390399049355</v>
      </c>
      <c r="FS41" s="150" t="n">
        <f aca="false">IF(FS$19&gt;$FJ41,"",MAX(0,IF(FS$19=$FJ41,$S41^2*FS$15,FS40*INDEX($T$20:$T$91,$FJ41-FS$19)^2/INDEX($U$20:$U$91,$FJ41-FS$19))))</f>
        <v>0.00282565756746207</v>
      </c>
      <c r="FT41" s="150" t="n">
        <f aca="false">IF(FT$19&gt;$FJ41,"",MAX(0,IF(FT$19=$FJ41,$S41^2*FT$15,FT40*INDEX($T$20:$T$91,$FJ41-FT$19)^2/INDEX($U$20:$U$91,$FJ41-FT$19))))</f>
        <v>0.00264057633381123</v>
      </c>
      <c r="FU41" s="150" t="n">
        <f aca="false">IF(FU$19&gt;$FJ41,"",MAX(0,IF(FU$19=$FJ41,$S41^2*FU$15,FU40*INDEX($T$20:$T$91,$FJ41-FU$19)^2/INDEX($U$20:$U$91,$FJ41-FU$19))))</f>
        <v>0.00264458357028426</v>
      </c>
      <c r="FV41" s="150" t="n">
        <f aca="false">IF(FV$19&gt;$FJ41,"",MAX(0,IF(FV$19=$FJ41,$S41^2*FV$15,FV40*INDEX($T$20:$T$91,$FJ41-FV$19)^2/INDEX($U$20:$U$91,$FJ41-FV$19))))</f>
        <v>0.00304910658057221</v>
      </c>
      <c r="FW41" s="150" t="n">
        <f aca="false">IF(FW$19&gt;$FJ41,"",MAX(0,IF(FW$19=$FJ41,$S41^2*FW$15,FW40*INDEX($T$20:$T$91,$FJ41-FW$19)^2/INDEX($U$20:$U$91,$FJ41-FW$19))))</f>
        <v>0.00301504576487408</v>
      </c>
      <c r="FX41" s="150" t="n">
        <f aca="false">IF(FX$19&gt;$FJ41,"",MAX(0,IF(FX$19=$FJ41,$S41^2*FX$15,FX40*INDEX($T$20:$T$91,$FJ41-FX$19)^2/INDEX($U$20:$U$91,$FJ41-FX$19))))</f>
        <v>0.00342850607168932</v>
      </c>
      <c r="FY41" s="150" t="n">
        <f aca="false">IF(FY$19&gt;$FJ41,"",MAX(0,IF(FY$19=$FJ41,$S41^2*FY$15,FY40*INDEX($T$20:$T$91,$FJ41-FY$19)^2/INDEX($U$20:$U$91,$FJ41-FY$19))))</f>
        <v>0.00346888808836621</v>
      </c>
      <c r="FZ41" s="150" t="n">
        <f aca="false">IF(FZ$19&gt;$FJ41,"",MAX(0,IF(FZ$19=$FJ41,$S41^2*FZ$15,FZ40*INDEX($T$20:$T$91,$FJ41-FZ$19)^2/INDEX($U$20:$U$91,$FJ41-FZ$19))))</f>
        <v>0.00354444091639886</v>
      </c>
      <c r="GA41" s="150" t="n">
        <f aca="false">IF(GA$19&gt;$FJ41,"",MAX(0,IF(GA$19=$FJ41,$S41^2*GA$15,GA40*INDEX($T$20:$T$91,$FJ41-GA$19)^2/INDEX($U$20:$U$91,$FJ41-GA$19))))</f>
        <v>0.00422784121691738</v>
      </c>
      <c r="GB41" s="150" t="n">
        <f aca="false">IF(GB$19&gt;$FJ41,"",MAX(0,IF(GB$19=$FJ41,$S41^2*GB$15,GB40*INDEX($T$20:$T$91,$FJ41-GB$19)^2/INDEX($U$20:$U$91,$FJ41-GB$19))))</f>
        <v>0.00528121708117421</v>
      </c>
      <c r="GC41" s="150" t="n">
        <f aca="false">IF(GC$19&gt;$FJ41,"",MAX(0,IF(GC$19=$FJ41,$S41^2*GC$15,GC40*INDEX($T$20:$T$91,$FJ41-GC$19)^2/INDEX($U$20:$U$91,$FJ41-GC$19))))</f>
        <v>0.00539619965103298</v>
      </c>
      <c r="GD41" s="150" t="n">
        <f aca="false">IF(GD$19&gt;$FJ41,"",MAX(0,IF(GD$19=$FJ41,$S41^2*GD$15,GD40*INDEX($T$20:$T$91,$FJ41-GD$19)^2/INDEX($U$20:$U$91,$FJ41-GD$19))))</f>
        <v>0.00645385808274497</v>
      </c>
      <c r="GE41" s="150" t="n">
        <f aca="false">IF(GE$19&gt;$FJ41,"",MAX(0,IF(GE$19=$FJ41,$S41^2*GE$15,GE40*INDEX($T$20:$T$91,$FJ41-GE$19)^2/INDEX($U$20:$U$91,$FJ41-GE$19))))</f>
        <v>0.00908722622100749</v>
      </c>
      <c r="GF41" s="150" t="n">
        <f aca="false">IF(GF$19&gt;$FJ41,"",MAX(0,IF(GF$19=$FJ41,$S41^2*GF$15,GF40*INDEX($T$20:$T$91,$FJ41-GF$19)^2/INDEX($U$20:$U$91,$FJ41-GF$19))))</f>
        <v>0.0102971911371304</v>
      </c>
      <c r="GG41" s="150" t="str">
        <f aca="false">IF(GG$19&gt;$FJ41,"",MAX(0,IF(GG$19=$FJ41,$S41^2*GG$15,GG40*INDEX($T$20:$T$91,$FJ41-GG$19)^2/INDEX($U$20:$U$91,$FJ41-GG$19))))</f>
        <v/>
      </c>
      <c r="GH41" s="150" t="str">
        <f aca="false">IF(GH$19&gt;$FJ41,"",MAX(0,IF(GH$19=$FJ41,$S41^2*GH$15,GH40*INDEX($T$20:$T$91,$FJ41-GH$19)^2/INDEX($U$20:$U$91,$FJ41-GH$19))))</f>
        <v/>
      </c>
      <c r="GI41" s="150" t="str">
        <f aca="false">IF(GI$19&gt;$FJ41,"",MAX(0,IF(GI$19=$FJ41,$S41^2*GI$15,GI40*INDEX($T$20:$T$91,$FJ41-GI$19)^2/INDEX($U$20:$U$91,$FJ41-GI$19))))</f>
        <v/>
      </c>
      <c r="GJ41" s="150" t="str">
        <f aca="false">IF(GJ$19&gt;$FJ41,"",MAX(0,IF(GJ$19=$FJ41,$S41^2*GJ$15,GJ40*INDEX($T$20:$T$91,$FJ41-GJ$19)^2/INDEX($U$20:$U$91,$FJ41-GJ$19))))</f>
        <v/>
      </c>
      <c r="GK41" s="150" t="str">
        <f aca="false">IF(GK$19&gt;$FJ41,"",MAX(0,IF(GK$19=$FJ41,$S41^2*GK$15,GK40*INDEX($T$20:$T$91,$FJ41-GK$19)^2/INDEX($U$20:$U$91,$FJ41-GK$19))))</f>
        <v/>
      </c>
      <c r="GL41" s="150" t="str">
        <f aca="false">IF(GL$19&gt;$FJ41,"",MAX(0,IF(GL$19=$FJ41,$S41^2*GL$15,GL40*INDEX($T$20:$T$91,$FJ41-GL$19)^2/INDEX($U$20:$U$91,$FJ41-GL$19))))</f>
        <v/>
      </c>
      <c r="GM41" s="150" t="str">
        <f aca="false">IF(GM$19&gt;$FJ41,"",MAX(0,IF(GM$19=$FJ41,$S41^2*GM$15,GM40*INDEX($T$20:$T$91,$FJ41-GM$19)^2/INDEX($U$20:$U$91,$FJ41-GM$19))))</f>
        <v/>
      </c>
      <c r="GN41" s="150" t="str">
        <f aca="false">IF(GN$19&gt;$FJ41,"",MAX(0,IF(GN$19=$FJ41,$S41^2*GN$15,GN40*INDEX($T$20:$T$91,$FJ41-GN$19)^2/INDEX($U$20:$U$91,$FJ41-GN$19))))</f>
        <v/>
      </c>
      <c r="GO41" s="150" t="str">
        <f aca="false">IF(GO$19&gt;$FJ41,"",MAX(0,IF(GO$19=$FJ41,$S41^2*GO$15,GO40*INDEX($T$20:$T$91,$FJ41-GO$19)^2/INDEX($U$20:$U$91,$FJ41-GO$19))))</f>
        <v/>
      </c>
      <c r="GP41" s="150" t="str">
        <f aca="false">IF(GP$19&gt;$FJ41,"",MAX(0,IF(GP$19=$FJ41,$S41^2*GP$15,GP40*INDEX($T$20:$T$91,$FJ41-GP$19)^2/INDEX($U$20:$U$91,$FJ41-GP$19))))</f>
        <v/>
      </c>
      <c r="GQ41" s="150" t="str">
        <f aca="false">IF(GQ$19&gt;$FJ41,"",MAX(0,IF(GQ$19=$FJ41,$S41^2*GQ$15,GQ40*INDEX($T$20:$T$91,$FJ41-GQ$19)^2/INDEX($U$20:$U$91,$FJ41-GQ$19))))</f>
        <v/>
      </c>
      <c r="GR41" s="150" t="str">
        <f aca="false">IF(GR$19&gt;$FJ41,"",MAX(0,IF(GR$19=$FJ41,$S41^2*GR$15,GR40*INDEX($T$20:$T$91,$FJ41-GR$19)^2/INDEX($U$20:$U$91,$FJ41-GR$19))))</f>
        <v/>
      </c>
      <c r="GS41" s="150" t="str">
        <f aca="false">IF(GS$19&gt;$FJ41,"",MAX(0,IF(GS$19=$FJ41,$S41^2*GS$15,GS40*INDEX($T$20:$T$91,$FJ41-GS$19)^2/INDEX($U$20:$U$91,$FJ41-GS$19))))</f>
        <v/>
      </c>
      <c r="GT41" s="150" t="str">
        <f aca="false">IF(GT$19&gt;$FJ41,"",MAX(0,IF(GT$19=$FJ41,$S41^2*GT$15,GT40*INDEX($T$20:$T$91,$FJ41-GT$19)^2/INDEX($U$20:$U$91,$FJ41-GT$19))))</f>
        <v/>
      </c>
      <c r="GU41" s="150" t="str">
        <f aca="false">IF(GU$19&gt;$FJ41,"",MAX(0,IF(GU$19=$FJ41,$S41^2*GU$15,GU40*INDEX($T$20:$T$91,$FJ41-GU$19)^2/INDEX($U$20:$U$91,$FJ41-GU$19))))</f>
        <v/>
      </c>
      <c r="GV41" s="150" t="str">
        <f aca="false">IF(GV$19&gt;$FJ41,"",MAX(0,IF(GV$19=$FJ41,$S41^2*GV$15,GV40*INDEX($T$20:$T$91,$FJ41-GV$19)^2/INDEX($U$20:$U$91,$FJ41-GV$19))))</f>
        <v/>
      </c>
      <c r="GW41" s="150" t="str">
        <f aca="false">IF(GW$19&gt;$FJ41,"",MAX(0,IF(GW$19=$FJ41,$S41^2*GW$15,GW40*INDEX($T$20:$T$91,$FJ41-GW$19)^2/INDEX($U$20:$U$91,$FJ41-GW$19))))</f>
        <v/>
      </c>
      <c r="GX41" s="150" t="str">
        <f aca="false">IF(GX$19&gt;$FJ41,"",MAX(0,IF(GX$19=$FJ41,$S41^2*GX$15,GX40*INDEX($T$20:$T$91,$FJ41-GX$19)^2/INDEX($U$20:$U$91,$FJ41-GX$19))))</f>
        <v/>
      </c>
      <c r="GY41" s="150" t="str">
        <f aca="false">IF(GY$19&gt;$FJ41,"",MAX(0,IF(GY$19=$FJ41,$S41^2*GY$15,GY40*INDEX($T$20:$T$91,$FJ41-GY$19)^2/INDEX($U$20:$U$91,$FJ41-GY$19))))</f>
        <v/>
      </c>
      <c r="GZ41" s="150" t="str">
        <f aca="false">IF(GZ$19&gt;$FJ41,"",MAX(0,IF(GZ$19=$FJ41,$S41^2*GZ$15,GZ40*INDEX($T$20:$T$91,$FJ41-GZ$19)^2/INDEX($U$20:$U$91,$FJ41-GZ$19))))</f>
        <v/>
      </c>
      <c r="HA41" s="150" t="str">
        <f aca="false">IF(HA$19&gt;$FJ41,"",MAX(0,IF(HA$19=$FJ41,$S41^2*HA$15,HA40*INDEX($T$20:$T$91,$FJ41-HA$19)^2/INDEX($U$20:$U$91,$FJ41-HA$19))))</f>
        <v/>
      </c>
      <c r="HB41" s="150" t="str">
        <f aca="false">IF(HB$19&gt;$FJ41,"",MAX(0,IF(HB$19=$FJ41,$S41^2*HB$15,HB40*INDEX($T$20:$T$91,$FJ41-HB$19)^2/INDEX($U$20:$U$91,$FJ41-HB$19))))</f>
        <v/>
      </c>
      <c r="HC41" s="150" t="str">
        <f aca="false">IF(HC$19&gt;$FJ41,"",MAX(0,IF(HC$19=$FJ41,$S41^2*HC$15,HC40*INDEX($T$20:$T$91,$FJ41-HC$19)^2/INDEX($U$20:$U$91,$FJ41-HC$19))))</f>
        <v/>
      </c>
      <c r="HD41" s="150" t="str">
        <f aca="false">IF(HD$19&gt;$FJ41,"",MAX(0,IF(HD$19=$FJ41,$S41^2*HD$15,HD40*INDEX($T$20:$T$91,$FJ41-HD$19)^2/INDEX($U$20:$U$91,$FJ41-HD$19))))</f>
        <v/>
      </c>
      <c r="HE41" s="150" t="str">
        <f aca="false">IF(HE$19&gt;$FJ41,"",MAX(0,IF(HE$19=$FJ41,$S41^2*HE$15,HE40*INDEX($T$20:$T$91,$FJ41-HE$19)^2/INDEX($U$20:$U$91,$FJ41-HE$19))))</f>
        <v/>
      </c>
      <c r="HF41" s="150" t="str">
        <f aca="false">IF(HF$19&gt;$FJ41,"",MAX(0,IF(HF$19=$FJ41,$S41^2*HF$15,HF40*INDEX($T$20:$T$91,$FJ41-HF$19)^2/INDEX($U$20:$U$91,$FJ41-HF$19))))</f>
        <v/>
      </c>
      <c r="HG41" s="150" t="str">
        <f aca="false">IF(HG$19&gt;$FJ41,"",MAX(0,IF(HG$19=$FJ41,$S41^2*HG$15,HG40*INDEX($T$20:$T$91,$FJ41-HG$19)^2/INDEX($U$20:$U$91,$FJ41-HG$19))))</f>
        <v/>
      </c>
      <c r="HH41" s="150" t="str">
        <f aca="false">IF(HH$19&gt;$FJ41,"",MAX(0,IF(HH$19=$FJ41,$S41^2*HH$15,HH40*INDEX($T$20:$T$91,$FJ41-HH$19)^2/INDEX($U$20:$U$91,$FJ41-HH$19))))</f>
        <v/>
      </c>
      <c r="HI41" s="150" t="str">
        <f aca="false">IF(HI$19&gt;$FJ41,"",MAX(0,IF(HI$19=$FJ41,$S41^2*HI$15,HI40*INDEX($T$20:$T$91,$FJ41-HI$19)^2/INDEX($U$20:$U$91,$FJ41-HI$19))))</f>
        <v/>
      </c>
      <c r="HJ41" s="150" t="str">
        <f aca="false">IF(HJ$19&gt;$FJ41,"",MAX(0,IF(HJ$19=$FJ41,$S41^2*HJ$15,HJ40*INDEX($T$20:$T$91,$FJ41-HJ$19)^2/INDEX($U$20:$U$91,$FJ41-HJ$19))))</f>
        <v/>
      </c>
      <c r="HK41" s="150" t="str">
        <f aca="false">IF(HK$19&gt;$FJ41,"",MAX(0,IF(HK$19=$FJ41,$S41^2*HK$15,HK40*INDEX($T$20:$T$91,$FJ41-HK$19)^2/INDEX($U$20:$U$91,$FJ41-HK$19))))</f>
        <v/>
      </c>
      <c r="HL41" s="150" t="str">
        <f aca="false">IF(HL$19&gt;$FJ41,"",MAX(0,IF(HL$19=$FJ41,$S41^2*HL$15,HL40*INDEX($T$20:$T$91,$FJ41-HL$19)^2/INDEX($U$20:$U$91,$FJ41-HL$19))))</f>
        <v/>
      </c>
      <c r="HM41" s="150" t="str">
        <f aca="false">IF(HM$19&gt;$FJ41,"",MAX(0,IF(HM$19=$FJ41,$S41^2*HM$15,HM40*INDEX($T$20:$T$91,$FJ41-HM$19)^2/INDEX($U$20:$U$91,$FJ41-HM$19))))</f>
        <v/>
      </c>
      <c r="HN41" s="150" t="str">
        <f aca="false">IF(HN$19&gt;$FJ41,"",MAX(0,IF(HN$19=$FJ41,$S41^2*HN$15,HN40*INDEX($T$20:$T$91,$FJ41-HN$19)^2/INDEX($U$20:$U$91,$FJ41-HN$19))))</f>
        <v/>
      </c>
      <c r="HO41" s="150" t="str">
        <f aca="false">IF(HO$19&gt;$FJ41,"",MAX(0,IF(HO$19=$FJ41,$S41^2*HO$15,HO40*INDEX($T$20:$T$91,$FJ41-HO$19)^2/INDEX($U$20:$U$91,$FJ41-HO$19))))</f>
        <v/>
      </c>
      <c r="HP41" s="150" t="str">
        <f aca="false">IF(HP$19&gt;$FJ41,"",MAX(0,IF(HP$19=$FJ41,$S41^2*HP$15,HP40*INDEX($T$20:$T$91,$FJ41-HP$19)^2/INDEX($U$20:$U$91,$FJ41-HP$19))))</f>
        <v/>
      </c>
      <c r="HQ41" s="150" t="str">
        <f aca="false">IF(HQ$19&gt;$FJ41,"",MAX(0,IF(HQ$19=$FJ41,$S41^2*HQ$15,HQ40*INDEX($T$20:$T$91,$FJ41-HQ$19)^2/INDEX($U$20:$U$91,$FJ41-HQ$19))))</f>
        <v/>
      </c>
      <c r="HR41" s="150" t="str">
        <f aca="false">IF(HR$19&gt;$FJ41,"",MAX(0,IF(HR$19=$FJ41,$S41^2*HR$15,HR40*INDEX($T$20:$T$91,$FJ41-HR$19)^2/INDEX($U$20:$U$91,$FJ41-HR$19))))</f>
        <v/>
      </c>
      <c r="HS41" s="150" t="str">
        <f aca="false">IF(HS$19&gt;$FJ41,"",MAX(0,IF(HS$19=$FJ41,$S41^2*HS$15,HS40*INDEX($T$20:$T$91,$FJ41-HS$19)^2/INDEX($U$20:$U$91,$FJ41-HS$19))))</f>
        <v/>
      </c>
      <c r="HT41" s="150" t="str">
        <f aca="false">IF(HT$19&gt;$FJ41,"",MAX(0,IF(HT$19=$FJ41,$S41^2*HT$15,HT40*INDEX($T$20:$T$91,$FJ41-HT$19)^2/INDEX($U$20:$U$91,$FJ41-HT$19))))</f>
        <v/>
      </c>
      <c r="HU41" s="150" t="str">
        <f aca="false">IF(HU$19&gt;$FJ41,"",MAX(0,IF(HU$19=$FJ41,$S41^2*HU$15,HU40*INDEX($T$20:$T$91,$FJ41-HU$19)^2/INDEX($U$20:$U$91,$FJ41-HU$19))))</f>
        <v/>
      </c>
      <c r="HV41" s="150" t="str">
        <f aca="false">IF(HV$19&gt;$FJ41,"",MAX(0,IF(HV$19=$FJ41,$S41^2*HV$15,HV40*INDEX($T$20:$T$91,$FJ41-HV$19)^2/INDEX($U$20:$U$91,$FJ41-HV$19))))</f>
        <v/>
      </c>
      <c r="HW41" s="150" t="str">
        <f aca="false">IF(HW$19&gt;$FJ41,"",MAX(0,IF(HW$19=$FJ41,$S41^2*HW$15,HW40*INDEX($T$20:$T$91,$FJ41-HW$19)^2/INDEX($U$20:$U$91,$FJ41-HW$19))))</f>
        <v/>
      </c>
      <c r="HX41" s="150" t="str">
        <f aca="false">IF(HX$19&gt;$FJ41,"",MAX(0,IF(HX$19=$FJ41,$S41^2*HX$15,HX40*INDEX($T$20:$T$91,$FJ41-HX$19)^2/INDEX($U$20:$U$91,$FJ41-HX$19))))</f>
        <v/>
      </c>
      <c r="HY41" s="150" t="str">
        <f aca="false">IF(HY$19&gt;$FJ41,"",MAX(0,IF(HY$19=$FJ41,$S41^2*HY$15,HY40*INDEX($T$20:$T$91,$FJ41-HY$19)^2/INDEX($U$20:$U$91,$FJ41-HY$19))))</f>
        <v/>
      </c>
      <c r="HZ41" s="150" t="str">
        <f aca="false">IF(HZ$19&gt;$FJ41,"",MAX(0,IF(HZ$19=$FJ41,$S41^2*HZ$15,HZ40*INDEX($T$20:$T$91,$FJ41-HZ$19)^2/INDEX($U$20:$U$91,$FJ41-HZ$19))))</f>
        <v/>
      </c>
      <c r="IA41" s="150" t="str">
        <f aca="false">IF(IA$19&gt;$FJ41,"",MAX(0,IF(IA$19=$FJ41,$S41^2*IA$15,IA40*INDEX($T$20:$T$91,$FJ41-IA$19)^2/INDEX($U$20:$U$91,$FJ41-IA$19))))</f>
        <v/>
      </c>
      <c r="IB41" s="150" t="str">
        <f aca="false">IF(IB$19&gt;$FJ41,"",MAX(0,IF(IB$19=$FJ41,$S41^2*IB$15,IB40*INDEX($T$20:$T$91,$FJ41-IB$19)^2/INDEX($U$20:$U$91,$FJ41-IB$19))))</f>
        <v/>
      </c>
      <c r="IC41" s="150" t="str">
        <f aca="false">IF(IC$19&gt;$FJ41,"",MAX(0,IF(IC$19=$FJ41,$S41^2*IC$15,IC40*INDEX($T$20:$T$91,$FJ41-IC$19)^2/INDEX($U$20:$U$91,$FJ41-IC$19))))</f>
        <v/>
      </c>
      <c r="ID41" s="572" t="str">
        <f aca="false">IF(ID$19&gt;$FJ41,"",MAX(0,IF(ID$19=$FJ41,$S41^2*ID$15,ID40*INDEX($T$20:$T$91,$FJ41-ID$19)^2/INDEX($U$20:$U$91,$FJ41-ID$19))))</f>
        <v/>
      </c>
      <c r="IE41" s="129"/>
    </row>
    <row r="42" customFormat="false" ht="15.75" hidden="false" customHeight="true" outlineLevel="0" collapsed="false">
      <c r="A42" s="219"/>
      <c r="B42" s="638" t="s">
        <v>180</v>
      </c>
      <c r="C42" s="638"/>
      <c r="D42" s="638"/>
      <c r="E42" s="638"/>
      <c r="F42" s="638"/>
      <c r="G42" s="638"/>
      <c r="H42" s="219" t="n">
        <f aca="false">VLOOKUP(I42,$EJ$20:$EL$54,3)</f>
        <v>0</v>
      </c>
      <c r="I42" s="511" t="n">
        <f aca="false">EOMONTH(I41,0)+1</f>
        <v>37438</v>
      </c>
      <c r="J42" s="512"/>
      <c r="K42" s="513" t="s">
        <v>226</v>
      </c>
      <c r="L42" s="514" t="e">
        <f aca="false">IF(ISNUMBER(K42),J42+K42/100,IF(K42="extra",L41+VLOOKUP(BF42,PriceSpreadTable,2)/12,IF(K42="inter",interpolateprices($K$19:$L$200,ROW(K42)-ROW(FirstPricingMonth)+1),interpolatechanges($J$19:$K$200,ROW(K42)-ROW(FirstPricingMonth)+1))))</f>
        <v>#VALUE!</v>
      </c>
      <c r="M42" s="515"/>
      <c r="N42" s="516" t="n">
        <v>0</v>
      </c>
      <c r="O42" s="515" t="n">
        <f aca="false">M42+N42</f>
        <v>0</v>
      </c>
      <c r="P42" s="512"/>
      <c r="Q42" s="513" t="n">
        <v>0</v>
      </c>
      <c r="R42" s="512" t="n">
        <f aca="false">IF(ISNUMBER(Q42),P42+Q42/100,IF(Q42="extra",(Z40*AL40-R41*AM40)/AN40,IF(Q42="inter",interpolateprices($Q$19:$R$260,ROW(Q42)-ROW(FirstPricingMonth)+1),interpolatechanges($P$19:$Q$260,ROW(Q42)-ROW(FirstPricingMonth)+1))))</f>
        <v>0</v>
      </c>
      <c r="S42" s="597" t="n">
        <f aca="false">S$19+(S41-S$19)*S$18</f>
        <v>0.360095136358168</v>
      </c>
      <c r="T42" s="575" t="n">
        <f aca="false">SQRT((1-(1-T41^2/U41)*T$18)*U42)</f>
        <v>0.996401406241978</v>
      </c>
      <c r="U42" s="576" t="n">
        <f aca="false">1-(1-U41)*U$18</f>
        <v>0.999973242899265</v>
      </c>
      <c r="V42" s="521" t="n">
        <v>0</v>
      </c>
      <c r="W42" s="577" t="n">
        <f aca="false">(J43*AJ42+J44*AK42)/AI42</f>
        <v>0</v>
      </c>
      <c r="X42" s="578" t="e">
        <f aca="false">(L43*AJ42+L44*AK42)/AI42</f>
        <v>#VALUE!</v>
      </c>
      <c r="Y42" s="579" t="n">
        <f aca="false">IF(Q44="extra",W42-AA42,(P43*AM42+P44*AN42)/AL42)</f>
        <v>0</v>
      </c>
      <c r="Z42" s="579" t="e">
        <f aca="false">IF(Q44="extra",X42-AB42,(R43*AM42+R44*AN42)/AL42)</f>
        <v>#VALUE!</v>
      </c>
      <c r="AA42" s="523" t="n">
        <f aca="false">IF(Q44="extra",INDEX(BrentSeasonalityTable,INT((BG42-1)/3)+1)*VLOOKUP(MAX(BF42,$AB$4),PriceSpreadTable,3),W42-Y42)</f>
        <v>0</v>
      </c>
      <c r="AB42" s="524" t="e">
        <f aca="false">IF(Q44="extra",INDEX(BrentSeasonalityTable,INT((BG42-1)/3)+1)*VLOOKUP(MAX(BF42,$AB$4),PriceSpreadTable,3),X42-Z42)</f>
        <v>#VALUE!</v>
      </c>
      <c r="AC42" s="525" t="n">
        <v>37427</v>
      </c>
      <c r="AD42" s="646" t="n">
        <v>37424</v>
      </c>
      <c r="AE42" s="526" t="n">
        <v>37420</v>
      </c>
      <c r="AF42" s="527" t="n">
        <v>37419</v>
      </c>
      <c r="AG42" s="438" t="s">
        <v>224</v>
      </c>
      <c r="AH42" s="439" t="s">
        <v>247</v>
      </c>
      <c r="AI42" s="528" t="n">
        <v>22</v>
      </c>
      <c r="AJ42" s="529" t="n">
        <v>15</v>
      </c>
      <c r="AK42" s="529" t="n">
        <v>7</v>
      </c>
      <c r="AL42" s="530" t="n">
        <v>23</v>
      </c>
      <c r="AM42" s="529" t="n">
        <v>11</v>
      </c>
      <c r="AN42" s="531" t="n">
        <v>12</v>
      </c>
      <c r="AO42" s="532"/>
      <c r="AP42" s="465" t="n">
        <f aca="false">(1+AO42/2)^(-2*BL42)</f>
        <v>1</v>
      </c>
      <c r="AQ42" s="532"/>
      <c r="AR42" s="465" t="n">
        <f aca="false">(1+AQ42/2)^(-2*BH42/365.25)</f>
        <v>1</v>
      </c>
      <c r="AS42" s="580" t="n">
        <f aca="false">(O43*AJ42+O44*AK42)/AI42</f>
        <v>0</v>
      </c>
      <c r="AT42" s="468" t="n">
        <f aca="false">O42*VLOOKUP(BF42,BrentVolTable,2)+VLOOKUP(BF42,BrentVolTable,3)</f>
        <v>0</v>
      </c>
      <c r="AU42" s="468" t="n">
        <f aca="false">(AT43*AM42+AT44*AN42)/AL42</f>
        <v>0</v>
      </c>
      <c r="AV42" s="595" t="n">
        <f aca="false">SQRT(MAX(0.000000000001,(O42^2*BH42-S42^2*(BH42-BH41))/BH41))</f>
        <v>0.02205166427416</v>
      </c>
      <c r="AW42" s="451" t="n">
        <f aca="false">IF($I42-DateToday+15&gt;=$T$8,"",IF($I42-DateToday+15&lt;$T$5,1,MATCH($I42-DateToday+15,$T$5:$T$8)))</f>
        <v>1</v>
      </c>
      <c r="AX42" s="468" t="n">
        <f aca="false">IF($AW42="",AX41^2/AX40,INDEX(U$5:U$8,$AW42)^((INDEX($T$5:$T$8,$AW42+1)-($I42-DateToday+15))/(INDEX($T$5:$T$8,$AW42+1)-INDEX($T$5:$T$8,$AW42)))/INDEX(U$5:U$8,$AW42+1)^((INDEX($T$5:$T$8,$AW42)-($I42-DateToday+15))/(INDEX($T$5:$T$8,$AW42+1)-INDEX($T$5:$T$8,$AW42))))</f>
        <v>7.84999916555176</v>
      </c>
      <c r="AY42" s="468" t="n">
        <f aca="false">IF($AW42="",AY41^2/AY40,INDEX(V$5:V$8,$AW42)^((INDEX($T$5:$T$8,$AW42+1)-($I42-DateToday+15))/(INDEX($T$5:$T$8,$AW42+1)-INDEX($T$5:$T$8,$AW42)))/INDEX(V$5:V$8,$AW42+1)^((INDEX($T$5:$T$8,$AW42)-($I42-DateToday+15))/(INDEX($T$5:$T$8,$AW42+1)-INDEX($T$5:$T$8,$AW42))))</f>
        <v>2069.81994900722</v>
      </c>
      <c r="AZ42" s="468" t="n">
        <f aca="false">IF($AW42="",AZ41^2/AZ40,INDEX(W$5:W$8,$AW42)^((INDEX($T$5:$T$8,$AW42+1)-($I42-DateToday+15))/(INDEX($T$5:$T$8,$AW42+1)-INDEX($T$5:$T$8,$AW42)))/INDEX(W$5:W$8,$AW42+1)^((INDEX($T$5:$T$8,$AW42)-($I42-DateToday+15))/(INDEX($T$5:$T$8,$AW42+1)-INDEX($T$5:$T$8,$AW42))))</f>
        <v>115135102.265656</v>
      </c>
      <c r="BA42" s="468" t="n">
        <f aca="false">IF($AW42="",BA41^2/BA40,INDEX(X$5:X$8,$AW42)^((INDEX($T$5:$T$8,$AW42+1)-($I42-DateToday+15))/(INDEX($T$5:$T$8,$AW42+1)-INDEX($T$5:$T$8,$AW42)))/INDEX(X$5:X$8,$AW42+1)^((INDEX($T$5:$T$8,$AW42)-($I42-DateToday+15))/(INDEX($T$5:$T$8,$AW42+1)-INDEX($T$5:$T$8,$AW42))))</f>
        <v>9414692257.40744</v>
      </c>
      <c r="BB42" s="468" t="n">
        <f aca="false">IF($AW42="",BB41^2/BB40,INDEX(Y$5:Y$8,$AW42)^((INDEX($T$5:$T$8,$AW42+1)-($I42-DateToday+15))/(INDEX($T$5:$T$8,$AW42+1)-INDEX($T$5:$T$8,$AW42)))/INDEX(Y$5:Y$8,$AW42+1)^((INDEX($T$5:$T$8,$AW42)-($I42-DateToday+15))/(INDEX($T$5:$T$8,$AW42+1)-INDEX($T$5:$T$8,$AW42))))</f>
        <v>209452186098.26</v>
      </c>
      <c r="BC42" s="468" t="n">
        <f aca="false">IF($AW42="",BC41^2/BC40,INDEX(Z$5:Z$8,$AW42)^((INDEX($T$5:$T$8,$AW42+1)-($I42-DateToday+15))/(INDEX($T$5:$T$8,$AW42+1)-INDEX($T$5:$T$8,$AW42)))/INDEX(Z$5:Z$8,$AW42+1)^((INDEX($T$5:$T$8,$AW42)-($I42-DateToday+15))/(INDEX($T$5:$T$8,$AW42+1)-INDEX($T$5:$T$8,$AW42))))</f>
        <v>1329719139045.95</v>
      </c>
      <c r="BD42" s="535" t="n">
        <f aca="false">IF(OR(DateStart&gt;=I43,DateEnd&lt;I42),0,IF(VolumeOverrideFlag,V42,Volume))</f>
        <v>0</v>
      </c>
      <c r="BE42" s="536" t="n">
        <f aca="false">IF(OR(DateStart2&gt;=I43,DateEnd2&lt;I42),0,IF(VolumeOverrideFlag,V42,VolumeSwaption))</f>
        <v>0</v>
      </c>
      <c r="BF42" s="537" t="n">
        <f aca="false">YEAR(I42)</f>
        <v>2002</v>
      </c>
      <c r="BG42" s="538" t="n">
        <f aca="false">MONTH(I42)</f>
        <v>7</v>
      </c>
      <c r="BH42" s="539" t="n">
        <f aca="false">AD42-DateToday+1</f>
        <v>-8501</v>
      </c>
      <c r="BI42" s="540" t="n">
        <f aca="false">(I42-DateToday+1)/365.25</f>
        <v>-23.2361396303901</v>
      </c>
      <c r="BJ42" s="541" t="n">
        <f aca="false">BI42+(BL42-BI42)*CHOOSE(Underlying,AJ42/AI42,AM42/AL42)</f>
        <v>-23.180138137017</v>
      </c>
      <c r="BK42" s="541" t="n">
        <f aca="false">BJ42+1/365.25</f>
        <v>-23.1774002862299</v>
      </c>
      <c r="BL42" s="541" t="n">
        <f aca="false">(I43-DateToday)/365.25</f>
        <v>-23.1540041067762</v>
      </c>
      <c r="BM42" s="542" t="e">
        <f aca="false">MAX(BI42-(BJ42-BI42)*(S43^2/O43^2-1),0)</f>
        <v>#DIV/0!</v>
      </c>
      <c r="BN42" s="541" t="e">
        <f aca="false">MAX(BL42+(BL42-BK42)*(S44^2/O44^2-1),0)</f>
        <v>#DIV/0!</v>
      </c>
      <c r="BO42" s="530" t="n">
        <f aca="false">CHOOSE(Underlying,AI42,AL42)</f>
        <v>22</v>
      </c>
      <c r="BP42" s="529" t="n">
        <f aca="false">CHOOSE(Underlying,AJ42,AM42)</f>
        <v>15</v>
      </c>
      <c r="BQ42" s="529" t="n">
        <f aca="false">CHOOSE(Underlying,AK42,AN42)</f>
        <v>7</v>
      </c>
      <c r="BR42" s="463" t="str">
        <f aca="false">IF(BD42,IF(Underlying=1,X42,Z42)+UnderlyingPriceAsian-SwapPriceCurve,"")</f>
        <v/>
      </c>
      <c r="BS42" s="463" t="str">
        <f aca="false">IF(BD42,Strike1/BR42-1,"")</f>
        <v/>
      </c>
      <c r="BT42" s="464" t="str">
        <f aca="false">IF(BD42,Strike2/BR42-1,"")</f>
        <v/>
      </c>
      <c r="BU42" s="465" t="str">
        <f aca="false">IF(BD42,IF(Underlying=1,L43,R43)+UnderlyingPriceAsian-SwapPriceCurve,"")</f>
        <v/>
      </c>
      <c r="BV42" s="465" t="str">
        <f aca="false">IF(BD42,IF(Underlying=1,L44,R44)+UnderlyingPriceAsian-SwapPriceCurve,"")</f>
        <v/>
      </c>
      <c r="BW42" s="466" t="str">
        <f aca="false">IF(BD42,IF(Underlying=1,O43,AT43),"")</f>
        <v/>
      </c>
      <c r="BX42" s="467" t="str">
        <f aca="false">IF(BD42,IF(Underlying=1,O44,AT44),"")</f>
        <v/>
      </c>
      <c r="BY42" s="466" t="str">
        <f aca="false">IF(BD42,IF(BS42&gt;0,IF(BS42&gt;0.2,BC42-BB42,IF(BS42&gt;0.1,BB42-BA42,BA42)),IF(BS42&lt;-0.2,AX42-AY42,IF(BS42&lt;-0.1,AY42-AZ42,AZ42))),"")</f>
        <v/>
      </c>
      <c r="BZ42" s="467" t="str">
        <f aca="false">IF(BD42,IF(BT42&gt;0,IF(BT42&gt;0.2,BC42-BB42,IF(BT42&gt;0.1,BB42-BA42,BA42)),IF(BT42&lt;-0.2,AX42-AY42,IF(BT42&lt;-0.1,AY42-AZ42,AZ42))),"")</f>
        <v/>
      </c>
      <c r="CA42" s="468" t="str">
        <f aca="false">IF($BD42,$BW42+IF(VolSkewFlag=1,IF(BS42&gt;0,$BA42*MIN(BS42/10%,1)+($BB42-$BA42)*MAX(0,MIN(BS42/10%-1,1))+($BC42-$BB42)*MAX(0,BS42/10%-2),$AZ42*MIN(-BS42/10%,1)+($AY42-$AZ42)*MAX(0,MIN(-BS42/10%-1,1))+($AX42-$AY42)*MAX(0,-BS42/10%-2)),0),"")</f>
        <v/>
      </c>
      <c r="CB42" s="468" t="str">
        <f aca="false">IF($BD42,$BX42+IF(VolSkewFlag=1,IF(BS42&gt;0,$BA42*MIN(BS42/10%,1)+($BB42-$BA42)*MAX(0,MIN(BS42/10%-1,1))+($BC42-$BB42)*MAX(0,BS42/10%-2),$AZ42*MIN(-BS42/10%,1)+($AY42-$AZ42)*MAX(0,MIN(-BS42/10%-1,1))+($AX42-$AY42)*MAX(0,-BS42/10%-2)),0),"")</f>
        <v/>
      </c>
      <c r="CC42" s="468" t="str">
        <f aca="false">IF($BD42,$BW42+IF(VolSkewFlag=1,IF(BT42&gt;0,$BA42*MIN(BT42/10%,1)+($BB42-$BA42)*MAX(0,MIN(BT42/10%-1,1))+($BC42-$BB42)*MAX(0,BT42/10%-2),$AZ42*MIN(-BT42/10%,1)+($AY42-$AZ42)*MAX(0,MIN(-BT42/10%-1,1))+($AX42-$AY42)*MAX(0,-BT42/10%-2)),0),"")</f>
        <v/>
      </c>
      <c r="CD42" s="468" t="str">
        <f aca="false">IF($BD42,$BX42+IF(VolSkewFlag=1,IF(BT42&gt;0,$BA42*MIN(BT42/10%,1)+($BB42-$BA42)*MAX(0,MIN(BT42/10%-1,1))+($BC42-$BB42)*MAX(0,BT42/10%-2),$AZ42*MIN(-BT42/10%,1)+($AY42-$AZ42)*MAX(0,MIN(-BT42/10%-1,1))+($AX42-$AY42)*MAX(0,-BT42/10%-2)),0),"")</f>
        <v/>
      </c>
      <c r="CE42" s="469" t="n">
        <v>1</v>
      </c>
      <c r="CF42" s="470" t="n">
        <f aca="false">IF(BD42,xCrudeAPO(BU42,BV42,CA42,CB42,S43,S44,BI42,BL42,BP42,BQ42,0,Strike1,AO42,CE42,0,BL42,IF(OptControl=4,0,1),0,1),0)</f>
        <v>0</v>
      </c>
      <c r="CG42" s="470" t="n">
        <f aca="false">IF(BD42,xCrudeAPO(BU42,BV42,CA42,CB42,S43,S44,BI42,BL42,BP42,BQ42,0,Strike1,AO42,CE42,0,BL42,IF(OptControl=4,0,1),1,1)+xCrudeAPO(BU42,BV42,CA42,CB42,S43,S44,BI42,BL42,BP42,BQ42,0,Strike1,AO42,CE42,0,BL42,IF(OptControl=4,0,1),1,2)+IF(OR(VolSkewFlag=2,ABS(BS42)&lt;0.0001),0,IF(BS42&gt;0,-1,1)*CH42*Strike1/BR42^2*BY42/10%),0)</f>
        <v>0</v>
      </c>
      <c r="CH42" s="470" t="n">
        <f aca="false">IF(BD42,(xCrudeAPO(BU42,BV42,CA42,CB42,S43,S44,BI42,BL42,BP42,BQ42,0,Strike1,AO42,CE42,0,BL42,IF(OptControl=4,0,1),3,1)+xCrudeAPO(BU42,BV42,CA42,CB42,S43,S44,BI42,BL42,BP42,BQ42,0,Strike1,AO42,CE42,0,BL42,IF(OptControl=4,0,1),3,2))/100,0)</f>
        <v>0</v>
      </c>
      <c r="CI42" s="470" t="n">
        <f aca="false">IF(BD42,xCrudeAPO(BU42,BV42,CA42,CB42,S43,S44,BI42-DaysForThetaCalculation/365.25,BL42-DaysForThetaCalculation/365.25,BP42,BQ42,0,Strike1,AO42,CE42,0,BL42,IF(OptControl=4,0,1),0,1)-xCrudeAPO(BU42,BV42,CA42,CB42,S43,S44,BI42,BL42,BP42,BQ42,0,Strike1,AO42,CE42,0,BL42,IF(OptControl=4,0,1),0,1),0)</f>
        <v>0</v>
      </c>
      <c r="CJ42" s="471" t="n">
        <f aca="false">IF(BD42,xCrudeAPO(BU42,BV42,CC42,CD42,S43,S44,BI42,BL42,BP42,BQ42,0,Strike2,AO42,CE42,0,BL42,IF(OptControl=3,1,0),0,1),0)</f>
        <v>0</v>
      </c>
      <c r="CK42" s="470" t="n">
        <f aca="false">IF(BD42,xCrudeAPO(BU42,BV42,CC42,CD42,S43,S44,BI42,BL42,BP42,BQ42,0,Strike2,AO42,CE42,0,BL42,IF(OptControl=3,1,0),1,1)+xCrudeAPO(BU42,BV42,CC42,CD42,S43,S44,BI42,BL42,BP42,BQ42,0,Strike2,AO42,CE42,0,BL42,IF(OptControl=3,1,0),1,2)+IF(OR(VolSkewFlag=2,ABS(BT42)&lt;0.0001),0,IF(BT42&gt;0,-1,1)*CL42*Strike2/BR42^2*BZ42/10%),0)</f>
        <v>0</v>
      </c>
      <c r="CL42" s="470" t="n">
        <f aca="false">IF(BD42,(xCrudeAPO(BU42,BV42,CC42,CD42,S43,S44,BI42,BL42,BP42,BQ42,0,Strike2,AO42,CE42,0,BL42,IF(OptControl=3,1,0),3,1)+xCrudeAPO(BU42,BV42,CC42,CD42,S43,S44,BI42,BL42,BP42,BQ42,0,Strike2,AO42,CE42,0,BL42,IF(OptControl=3,1,0),3,2))/100,0)</f>
        <v>0</v>
      </c>
      <c r="CM42" s="472" t="n">
        <f aca="false">IF(BD42,xCrudeAPO(BU42,BV42,CC42,CD42,S43,S44,BI42-DaysForThetaCalculation/365.25,BL42-DaysForThetaCalculation/365.25,BP42,BQ42,0,Strike2,AO42,CE42,0,BL42,IF(OptControl=3,1,0),0,1)-xCrudeAPO(BU42,BV42,CC42,CD42,S43,S44,BI42,BL42,BP42,BQ42,0,Strike2,AO42,CE42,0,BL42,IF(OptControl=3,1,0),0,1),0)</f>
        <v>0</v>
      </c>
      <c r="CO42" s="543" t="str">
        <f aca="false">IF(BD42,CHOOSE(Underlying,AD42,AF42)-DateToday+1,"")</f>
        <v/>
      </c>
      <c r="CP42" s="582" t="str">
        <f aca="false">IF(BD42,CHOOSE(Underlying,L42,R42),"")</f>
        <v/>
      </c>
      <c r="CQ42" s="544" t="str">
        <f aca="false">IF(BD42,Strike1/CP42-1,"")</f>
        <v/>
      </c>
      <c r="CR42" s="544" t="str">
        <f aca="false">IF(BD42,Strike2/CP42-1,"")</f>
        <v/>
      </c>
      <c r="CS42" s="544" t="str">
        <f aca="false">IF(BD42,IF(CQ42&gt;0,IF(CQ42&gt;0.2,BC41-BB41,IF(CQ42&gt;0.1,BB41-BA41,BA41)),IF(CQ42&lt;-0.2,AX41-AY41,IF(CQ42&lt;-0.1,AY41-AZ41,AZ41))),"")</f>
        <v/>
      </c>
      <c r="CT42" s="544" t="str">
        <f aca="false">IF(BD42,IF(CR42&gt;0,IF(CR42&gt;0.2,BC41-BB41,IF(CR42&gt;0.1,BB41-BA41,BA41)),IF(CR42&lt;-0.2,AX41-AY41,IF(CR42&lt;-0.1,AY41-AZ41,AZ41))),"")</f>
        <v/>
      </c>
      <c r="CU42" s="545" t="str">
        <f aca="false">IF(BD42,CHOOSE(Underlying,O42,AT42),"")</f>
        <v/>
      </c>
      <c r="CV42" s="545" t="str">
        <f aca="false">IF(BD42,CU42+IF(VolSkewFlag=1,IF(CQ42&gt;0,BA41*MIN(CQ42/10%,1)+(BB41-BA41)*MAX(0,MIN(CQ42/10%-1,1))+(BC41-BB41)*MAX(0,CQ42/10%-2),AZ41*MIN(-CQ42/10%,1)+(AY41-AZ41)*MAX(0,MIN(-CQ42/10%-1,1))+(AX41-AY41)*MAX(0,-CQ42/10%-2)),0),"")</f>
        <v/>
      </c>
      <c r="CW42" s="545" t="str">
        <f aca="false">IF(BD42,CU42+IF(VolSkewFlag=1,IF(CR42&gt;0,BA41*MIN(CR42/10%,1)+(BB41-BA41)*MAX(0,MIN(CR42/10%-1,1))+(BC41-BB41)*MAX(0,CR42/10%-2),AZ41*MIN(-CR42/10%,1)+(AY41-AZ41)*MAX(0,MIN(-CR42/10%-1,1))+(AX41-AY41)*MAX(0,-CR42/10%-2)),0),"")</f>
        <v/>
      </c>
      <c r="CX42" s="470" t="n">
        <f aca="false">IF(BD42,EURO(CP42,Strike1,AO42,AO42,CV42,CO42,IF(OptControl=4,0,1),0),0)</f>
        <v>0</v>
      </c>
      <c r="CY42" s="470" t="n">
        <f aca="false">IF(BD42,EURO(CP42,Strike1,AO42,AO42,CV42,CO42,IF(OptControl=4,0,1),1)+IF(OR(VolSkewFlag=2,ABS(CQ42)&lt;0.0001),0,IF(CQ42&gt;0,-1,1)*CZ42*100*Strike1/CP42^2*CS42/10%),0)</f>
        <v>0</v>
      </c>
      <c r="CZ42" s="470" t="n">
        <f aca="false">IF(BD42,EURO(CP42,Strike1,AO42,AO42,CV42,CO42,IF(OptControl=4,0,1),3)/100,0)</f>
        <v>0</v>
      </c>
      <c r="DA42" s="470" t="n">
        <f aca="false">IF(BD42,EURO(CP42,Strike1,AO42,AO42,CV42,CO42,IF(OptControl=4,0,1),0)-EURO(CP42,Strike1,AO42,AO42,CV42,CO42-1,IF(OptControl=4,0,1),0),0)</f>
        <v>0</v>
      </c>
      <c r="DB42" s="470" t="n">
        <f aca="false">IF(BD42,EURO(CP42,Strike2,AO42,AO42,CW42,CO42,IF(OptControl=3,1,0),0),0)</f>
        <v>0</v>
      </c>
      <c r="DC42" s="470" t="n">
        <f aca="false">IF(BD42,EURO(CP42,Strike2,AO42,AO42,CW42,CO42,IF(OptControl=3,1,0),1)+IF(OR(VolSkewFlag=2,ABS(CR42)&lt;0.0001),0,IF(CR42&gt;0,-1,1)*DD42*100*Strike2/CP42^2*CT42/10%),0)</f>
        <v>0</v>
      </c>
      <c r="DD42" s="470" t="n">
        <f aca="false">IF(BD42,EURO(CP42,Strike2,AO42,AO42,CW42,CO42,IF(OptControl=3,1,0),3)/100,0)</f>
        <v>0</v>
      </c>
      <c r="DE42" s="472" t="n">
        <f aca="false">IF(BD42,EURO(CP42,Strike2,AO42,AO42,CW42,CO42,IF(OptControl=3,1,0),0)-EURO(CP42,Strike2,AO42,AO42,CW42,CO42-1,IF(OptControl=3,1,0),0),0)</f>
        <v>0</v>
      </c>
      <c r="DF42" s="1"/>
      <c r="DG42" s="481" t="n">
        <f aca="false">EOMONTH(DG41,0)+1</f>
        <v>46357</v>
      </c>
      <c r="DH42" s="478" t="n">
        <v>20.25</v>
      </c>
      <c r="DI42" s="479" t="n">
        <v>20.0175</v>
      </c>
      <c r="DJ42" s="480" t="n">
        <f aca="false">DG42</f>
        <v>46357</v>
      </c>
      <c r="DK42" s="478" t="n">
        <v>18.94</v>
      </c>
      <c r="DL42" s="479" t="n">
        <v>18.7533333333333</v>
      </c>
      <c r="DM42" s="481" t="n">
        <f aca="false">DG42</f>
        <v>46357</v>
      </c>
      <c r="DN42" s="482" t="n">
        <f aca="false">DK42+BrentPhyBrentSpread</f>
        <v>18.99</v>
      </c>
      <c r="DO42" s="481" t="n">
        <f aca="false">DG42</f>
        <v>46357</v>
      </c>
      <c r="DP42" s="483" t="n">
        <f aca="false">DL42+DQ42</f>
        <v>18.8433333333333</v>
      </c>
      <c r="DQ42" s="546" t="n">
        <v>0.09</v>
      </c>
      <c r="DR42" s="480" t="n">
        <f aca="false">DG42</f>
        <v>46357</v>
      </c>
      <c r="DS42" s="485" t="n">
        <v>0.234607436077276</v>
      </c>
      <c r="DT42" s="486" t="n">
        <v>0.228970367576517</v>
      </c>
      <c r="DU42" s="480" t="n">
        <f aca="false">DG42</f>
        <v>46357</v>
      </c>
      <c r="DV42" s="485" t="n">
        <v>0.234607436077276</v>
      </c>
      <c r="DW42" s="486" t="n">
        <v>0.228970367576517</v>
      </c>
      <c r="DX42" s="481" t="n">
        <f aca="false">DG42</f>
        <v>46357</v>
      </c>
      <c r="DY42" s="486" t="n">
        <v>0.350000038146973</v>
      </c>
      <c r="DZ42" s="481" t="n">
        <f aca="false">DR42</f>
        <v>46357</v>
      </c>
      <c r="EA42" s="486" t="n">
        <f aca="false">DT42</f>
        <v>0.228970367576517</v>
      </c>
      <c r="EB42" s="648"/>
      <c r="EC42" s="547" t="str">
        <f aca="false">IF(BD42,IF(Underlying=1,AS42,AU42),"")</f>
        <v/>
      </c>
      <c r="ED42" s="548" t="str">
        <f aca="false">IF($BD42,$EC42+IF(VolSkewFlag=1,IF(BS42&gt;0,$BA42*MIN(BS42/10%,1)+($BB42-$BA42)*MAX(0,MIN(BS42/10%-1,1))+($BC42-$BB42)*MAX(0,BS42/10%-2),$AZ42*MIN(-BS42/10%,1)+($AY42-$AZ42)*MAX(0,MIN(-BS42/10%-1,1))+($AX42-$AY42)*MAX(0,-BS42/10%-2)),0),"")</f>
        <v/>
      </c>
      <c r="EE42" s="549" t="str">
        <f aca="false">IF($BD42,$EC42+IF(VolSkewFlag=1,IF(BT42&gt;0,$BA42*MIN(BT42/10%,1)+($BB42-$BA42)*MAX(0,MIN(BT42/10%-1,1))+($BC42-$BB42)*MAX(0,BT42/10%-2),$AZ42*MIN(-BT42/10%,1)+($AY42-$AZ42)*MAX(0,MIN(-BT42/10%-1,1))+($AX42-$AY42)*MAX(0,-BT42/10%-2)),0),"")</f>
        <v/>
      </c>
      <c r="EF42" s="550" t="n">
        <f aca="false">IF(BD42,xASN(BR42,Strike1,AO42,ED42,0,BO42,0,BI42,BL42,IF(OptControl=4,0,1),0),0)</f>
        <v>0</v>
      </c>
      <c r="EG42" s="551" t="n">
        <f aca="false">IF(BD42,xASN(BR42,Strike2,AO42,EE42,0,BO42,0,BI42,BL42,IF(OptControl=3,1,0),0),0)</f>
        <v>0</v>
      </c>
      <c r="EI42" s="583" t="str">
        <f aca="false">DDE("TWINDDE","RSFRecord","CLc23 MTH")</f>
        <v>JUL2</v>
      </c>
      <c r="EJ42" s="584" t="n">
        <f aca="false">DATEVALUE(CONCATENATE(LEFT(EI42,3),"-",IF(VALUE(RIGHT(EI42,1))=9,"1999",CONCATENATE("200",RIGHT(EI42,1)))))</f>
        <v>37438</v>
      </c>
      <c r="EK42" s="585" t="n">
        <f aca="false">DDE("TWINDDE","RSFRecord","CLc23 NET.CHNG")</f>
        <v>0</v>
      </c>
      <c r="EL42" s="586" t="n">
        <f aca="false">IF(ISNUMBER(VALUE(EK42)),VALUE(EK42)*100,0)</f>
        <v>0</v>
      </c>
      <c r="EM42" s="648"/>
      <c r="EN42" s="556" t="n">
        <v>38353</v>
      </c>
      <c r="EO42" s="557" t="n">
        <v>40544</v>
      </c>
      <c r="EP42" s="648"/>
      <c r="EQ42" s="407" t="s">
        <v>262</v>
      </c>
      <c r="ES42" s="587" t="n">
        <v>23</v>
      </c>
      <c r="ET42" s="559" t="n">
        <f aca="false">BH42/365.25</f>
        <v>-23.27446954141</v>
      </c>
      <c r="EU42" s="560" t="n">
        <f aca="false">O42^2*ET42</f>
        <v>-0</v>
      </c>
      <c r="EV42" s="588" t="e">
        <f aca="false">SQRT(SUM(FK42:ID42)/ET42)</f>
        <v>#VALUE!</v>
      </c>
      <c r="EW42" s="589" t="str">
        <f aca="false">IF(OR(DateStart2&gt;I41,DateEnd2&lt;I40),"",IF(DateStart2&lt;I41,AK40/AI40*AP40*BE40*SwaptionNumOfMonths/$D$33,0)+IF(DateEnd2&gt;I40,AJ41/AI41*AP41*BE41*SwaptionNumOfMonths/$D$33,0))</f>
        <v/>
      </c>
      <c r="EX42" s="590" t="str">
        <f aca="false">IF(EW42="","",SQRT(SUM(FK347:ID347)/SwaptionYearsToExp))</f>
        <v/>
      </c>
      <c r="EY42" s="129" t="n">
        <v>0</v>
      </c>
      <c r="EZ42" s="591" t="str">
        <f aca="false">IF(OR(EW42="",EW43=""),"",SQRT(SUM(INDEX(FK42:ID42,SwaptionFirstMonthPosition+1):INDEX(FK42:ID42,FJ42))/SUM(INDEX($FK$15:$ID$15,SwaptionFirstMonthPosition+1):INDEX($FK$15:$ID$15,FJ42))))</f>
        <v/>
      </c>
      <c r="FA42" s="592" t="str">
        <f aca="false">IF(OR(EW42="",EW41=""),"",SQRT(SUM(INDEX(FK42:ID42,SwaptionFirstMonthPosition+1):INDEX(FK42:ID42,FJ42-1))/SUM(INDEX($FK$15:$ID$15,SwaptionFirstMonthPosition+1):INDEX($FK$15:$ID$15,FJ42-1))))</f>
        <v/>
      </c>
      <c r="FB42" s="593" t="str">
        <f aca="false">IF(BE42,2/3*EZ43+1/3*FA44,"")</f>
        <v/>
      </c>
      <c r="FC42" s="596" t="str">
        <f aca="false">IF(BE42,(I43+I42-1)/2-DateToday,"")</f>
        <v/>
      </c>
      <c r="FD42" s="483" t="str">
        <f aca="false">IF(BE42,CHOOSE(Underlying,X42,Z42)+SwaptionUnderlyingPrice-$D$26,"")</f>
        <v/>
      </c>
      <c r="FE42" s="483" t="str">
        <f aca="false">IF(BE42,CollartionFloor/FD42-1,"")</f>
        <v/>
      </c>
      <c r="FF42" s="483" t="str">
        <f aca="false">IF(BE42,CollartionCap/FD42-1,"")</f>
        <v/>
      </c>
      <c r="FG42" s="485" t="str">
        <f aca="false">IF(BE42,IF(VolSkewFlag=1,IF(FE42&gt;0,$BA42*MIN(FE42/10%,1)+($BB42-$BA42)*MAX(0,MIN(FE42/10%-1,1))+($BC42-$BB42)*MAX(0,FE42/10%-2),$AZ42*MIN(-FE42/10%,1)+($AY42-$AZ42)*MAX(0,MIN(-FE42/10%-1,1))+($AX42-$AY42)*MAX(0,-FE42/10%-2)),0),"")</f>
        <v/>
      </c>
      <c r="FH42" s="486" t="str">
        <f aca="false">IF(BE42,IF(VolSkewFlag=1,IF(FF42&gt;0,$BA42*MIN(FF42/10%,1)+($BB42-$BA42)*MAX(0,MIN(FF42/10%-1,1))+($BC42-$BB42)*MAX(0,FF42/10%-2),$AZ42*MIN(-FF42/10%,1)+($AY42-$AZ42)*MAX(0,MIN(-FF42/10%-1,1))+($AX42-$AY42)*MAX(0,-FF42/10%-2)),0),"")</f>
        <v/>
      </c>
      <c r="FI42" s="129"/>
      <c r="FJ42" s="571" t="n">
        <v>23</v>
      </c>
      <c r="FK42" s="150" t="n">
        <f aca="false">IF(FK$19&gt;$FJ42,"",MAX(0,IF(FK$19=$FJ42,$S42^2*FK$15,FK41*INDEX($T$20:$T$91,$FJ42-FK$19)^2/INDEX($U$20:$U$91,$FJ42-FK$19))))</f>
        <v>0</v>
      </c>
      <c r="FL42" s="150" t="n">
        <f aca="false">IF(FL$19&gt;$FJ42,"",MAX(0,IF(FL$19=$FJ42,$S42^2*FL$15,FL41*INDEX($T$20:$T$91,$FJ42-FL$19)^2/INDEX($U$20:$U$91,$FJ42-FL$19))))</f>
        <v>0</v>
      </c>
      <c r="FM42" s="150" t="n">
        <f aca="false">IF(FM$19&gt;$FJ42,"",MAX(0,IF(FM$19=$FJ42,$S42^2*FM$15,FM41*INDEX($T$20:$T$91,$FJ42-FM$19)^2/INDEX($U$20:$U$91,$FJ42-FM$19))))</f>
        <v>0.00272516300662327</v>
      </c>
      <c r="FN42" s="150" t="n">
        <f aca="false">IF(FN$19&gt;$FJ42,"",MAX(0,IF(FN$19=$FJ42,$S42^2*FN$15,FN41*INDEX($T$20:$T$91,$FJ42-FN$19)^2/INDEX($U$20:$U$91,$FJ42-FN$19))))</f>
        <v>0.00232025837886224</v>
      </c>
      <c r="FO42" s="150" t="n">
        <f aca="false">IF(FO$19&gt;$FJ42,"",MAX(0,IF(FO$19=$FJ42,$S42^2*FO$15,FO41*INDEX($T$20:$T$91,$FJ42-FO$19)^2/INDEX($U$20:$U$91,$FJ42-FO$19))))</f>
        <v>0.00244617520983152</v>
      </c>
      <c r="FP42" s="150" t="n">
        <f aca="false">IF(FP$19&gt;$FJ42,"",MAX(0,IF(FP$19=$FJ42,$S42^2*FP$15,FP41*INDEX($T$20:$T$91,$FJ42-FP$19)^2/INDEX($U$20:$U$91,$FJ42-FP$19))))</f>
        <v>0.00275375074344217</v>
      </c>
      <c r="FQ42" s="150" t="n">
        <f aca="false">IF(FQ$19&gt;$FJ42,"",MAX(0,IF(FQ$19=$FJ42,$S42^2*FQ$15,FQ41*INDEX($T$20:$T$91,$FJ42-FQ$19)^2/INDEX($U$20:$U$91,$FJ42-FQ$19))))</f>
        <v>0.00227105905024059</v>
      </c>
      <c r="FR42" s="150" t="n">
        <f aca="false">IF(FR$19&gt;$FJ42,"",MAX(0,IF(FR$19=$FJ42,$S42^2*FR$15,FR41*INDEX($T$20:$T$91,$FJ42-FR$19)^2/INDEX($U$20:$U$91,$FJ42-FR$19))))</f>
        <v>0.00237290167481639</v>
      </c>
      <c r="FS42" s="150" t="n">
        <f aca="false">IF(FS$19&gt;$FJ42,"",MAX(0,IF(FS$19=$FJ42,$S42^2*FS$15,FS41*INDEX($T$20:$T$91,$FJ42-FS$19)^2/INDEX($U$20:$U$91,$FJ42-FS$19))))</f>
        <v>0.00274282592103948</v>
      </c>
      <c r="FT42" s="150" t="n">
        <f aca="false">IF(FT$19&gt;$FJ42,"",MAX(0,IF(FT$19=$FJ42,$S42^2*FT$15,FT41*INDEX($T$20:$T$91,$FJ42-FT$19)^2/INDEX($U$20:$U$91,$FJ42-FT$19))))</f>
        <v>0.0025500428201888</v>
      </c>
      <c r="FU42" s="150" t="n">
        <f aca="false">IF(FU$19&gt;$FJ42,"",MAX(0,IF(FU$19=$FJ42,$S42^2*FU$15,FU41*INDEX($T$20:$T$91,$FJ42-FU$19)^2/INDEX($U$20:$U$91,$FJ42-FU$19))))</f>
        <v>0.00253853572960623</v>
      </c>
      <c r="FV42" s="150" t="n">
        <f aca="false">IF(FV$19&gt;$FJ42,"",MAX(0,IF(FV$19=$FJ42,$S42^2*FV$15,FV41*INDEX($T$20:$T$91,$FJ42-FV$19)^2/INDEX($U$20:$U$91,$FJ42-FV$19))))</f>
        <v>0.00290610164556159</v>
      </c>
      <c r="FW42" s="150" t="n">
        <f aca="false">IF(FW$19&gt;$FJ42,"",MAX(0,IF(FW$19=$FJ42,$S42^2*FW$15,FW41*INDEX($T$20:$T$91,$FJ42-FW$19)^2/INDEX($U$20:$U$91,$FJ42-FW$19))))</f>
        <v>0.00284965692014822</v>
      </c>
      <c r="FX42" s="150" t="n">
        <f aca="false">IF(FX$19&gt;$FJ42,"",MAX(0,IF(FX$19=$FJ42,$S42^2*FX$15,FX41*INDEX($T$20:$T$91,$FJ42-FX$19)^2/INDEX($U$20:$U$91,$FJ42-FX$19))))</f>
        <v>0.00320854232264587</v>
      </c>
      <c r="FY42" s="150" t="n">
        <f aca="false">IF(FY$19&gt;$FJ42,"",MAX(0,IF(FY$19=$FJ42,$S42^2*FY$15,FY41*INDEX($T$20:$T$91,$FJ42-FY$19)^2/INDEX($U$20:$U$91,$FJ42-FY$19))))</f>
        <v>0.00320859036805406</v>
      </c>
      <c r="FZ42" s="150" t="n">
        <f aca="false">IF(FZ$19&gt;$FJ42,"",MAX(0,IF(FZ$19=$FJ42,$S42^2*FZ$15,FZ41*INDEX($T$20:$T$91,$FJ42-FZ$19)^2/INDEX($U$20:$U$91,$FJ42-FZ$19))))</f>
        <v>0.00323336835723221</v>
      </c>
      <c r="GA42" s="150" t="n">
        <f aca="false">IF(GA$19&gt;$FJ42,"",MAX(0,IF(GA$19=$FJ42,$S42^2*GA$15,GA41*INDEX($T$20:$T$91,$FJ42-GA$19)^2/INDEX($U$20:$U$91,$FJ42-GA$19))))</f>
        <v>0.00379386441567051</v>
      </c>
      <c r="GB42" s="150" t="n">
        <f aca="false">IF(GB$19&gt;$FJ42,"",MAX(0,IF(GB$19=$FJ42,$S42^2*GB$15,GB41*INDEX($T$20:$T$91,$FJ42-GB$19)^2/INDEX($U$20:$U$91,$FJ42-GB$19))))</f>
        <v>0.00464717840490999</v>
      </c>
      <c r="GC42" s="150" t="n">
        <f aca="false">IF(GC$19&gt;$FJ42,"",MAX(0,IF(GC$19=$FJ42,$S42^2*GC$15,GC41*INDEX($T$20:$T$91,$FJ42-GC$19)^2/INDEX($U$20:$U$91,$FJ42-GC$19))))</f>
        <v>0.00463848859172651</v>
      </c>
      <c r="GD42" s="150" t="n">
        <f aca="false">IF(GD$19&gt;$FJ42,"",MAX(0,IF(GD$19=$FJ42,$S42^2*GD$15,GD41*INDEX($T$20:$T$91,$FJ42-GD$19)^2/INDEX($U$20:$U$91,$FJ42-GD$19))))</f>
        <v>0.00539394826950793</v>
      </c>
      <c r="GE42" s="150" t="n">
        <f aca="false">IF(GE$19&gt;$FJ42,"",MAX(0,IF(GE$19=$FJ42,$S42^2*GE$15,GE41*INDEX($T$20:$T$91,$FJ42-GE$19)^2/INDEX($U$20:$U$91,$FJ42-GE$19))))</f>
        <v>0.00734174682441097</v>
      </c>
      <c r="GF42" s="150" t="n">
        <f aca="false">IF(GF$19&gt;$FJ42,"",MAX(0,IF(GF$19=$FJ42,$S42^2*GF$15,GF41*INDEX($T$20:$T$91,$FJ42-GF$19)^2/INDEX($U$20:$U$91,$FJ42-GF$19))))</f>
        <v>0.00798386935781559</v>
      </c>
      <c r="GG42" s="150" t="n">
        <f aca="false">IF(GG$19&gt;$FJ42,"",MAX(0,IF(GG$19=$FJ42,$S42^2*GG$15,GG41*INDEX($T$20:$T$91,$FJ42-GG$19)^2/INDEX($U$20:$U$91,$FJ42-GG$19))))</f>
        <v>0.0113604167866447</v>
      </c>
      <c r="GH42" s="150" t="str">
        <f aca="false">IF(GH$19&gt;$FJ42,"",MAX(0,IF(GH$19=$FJ42,$S42^2*GH$15,GH41*INDEX($T$20:$T$91,$FJ42-GH$19)^2/INDEX($U$20:$U$91,$FJ42-GH$19))))</f>
        <v/>
      </c>
      <c r="GI42" s="150" t="str">
        <f aca="false">IF(GI$19&gt;$FJ42,"",MAX(0,IF(GI$19=$FJ42,$S42^2*GI$15,GI41*INDEX($T$20:$T$91,$FJ42-GI$19)^2/INDEX($U$20:$U$91,$FJ42-GI$19))))</f>
        <v/>
      </c>
      <c r="GJ42" s="150" t="str">
        <f aca="false">IF(GJ$19&gt;$FJ42,"",MAX(0,IF(GJ$19=$FJ42,$S42^2*GJ$15,GJ41*INDEX($T$20:$T$91,$FJ42-GJ$19)^2/INDEX($U$20:$U$91,$FJ42-GJ$19))))</f>
        <v/>
      </c>
      <c r="GK42" s="150" t="str">
        <f aca="false">IF(GK$19&gt;$FJ42,"",MAX(0,IF(GK$19=$FJ42,$S42^2*GK$15,GK41*INDEX($T$20:$T$91,$FJ42-GK$19)^2/INDEX($U$20:$U$91,$FJ42-GK$19))))</f>
        <v/>
      </c>
      <c r="GL42" s="150" t="str">
        <f aca="false">IF(GL$19&gt;$FJ42,"",MAX(0,IF(GL$19=$FJ42,$S42^2*GL$15,GL41*INDEX($T$20:$T$91,$FJ42-GL$19)^2/INDEX($U$20:$U$91,$FJ42-GL$19))))</f>
        <v/>
      </c>
      <c r="GM42" s="150" t="str">
        <f aca="false">IF(GM$19&gt;$FJ42,"",MAX(0,IF(GM$19=$FJ42,$S42^2*GM$15,GM41*INDEX($T$20:$T$91,$FJ42-GM$19)^2/INDEX($U$20:$U$91,$FJ42-GM$19))))</f>
        <v/>
      </c>
      <c r="GN42" s="150" t="str">
        <f aca="false">IF(GN$19&gt;$FJ42,"",MAX(0,IF(GN$19=$FJ42,$S42^2*GN$15,GN41*INDEX($T$20:$T$91,$FJ42-GN$19)^2/INDEX($U$20:$U$91,$FJ42-GN$19))))</f>
        <v/>
      </c>
      <c r="GO42" s="150" t="str">
        <f aca="false">IF(GO$19&gt;$FJ42,"",MAX(0,IF(GO$19=$FJ42,$S42^2*GO$15,GO41*INDEX($T$20:$T$91,$FJ42-GO$19)^2/INDEX($U$20:$U$91,$FJ42-GO$19))))</f>
        <v/>
      </c>
      <c r="GP42" s="150" t="str">
        <f aca="false">IF(GP$19&gt;$FJ42,"",MAX(0,IF(GP$19=$FJ42,$S42^2*GP$15,GP41*INDEX($T$20:$T$91,$FJ42-GP$19)^2/INDEX($U$20:$U$91,$FJ42-GP$19))))</f>
        <v/>
      </c>
      <c r="GQ42" s="150" t="str">
        <f aca="false">IF(GQ$19&gt;$FJ42,"",MAX(0,IF(GQ$19=$FJ42,$S42^2*GQ$15,GQ41*INDEX($T$20:$T$91,$FJ42-GQ$19)^2/INDEX($U$20:$U$91,$FJ42-GQ$19))))</f>
        <v/>
      </c>
      <c r="GR42" s="150" t="str">
        <f aca="false">IF(GR$19&gt;$FJ42,"",MAX(0,IF(GR$19=$FJ42,$S42^2*GR$15,GR41*INDEX($T$20:$T$91,$FJ42-GR$19)^2/INDEX($U$20:$U$91,$FJ42-GR$19))))</f>
        <v/>
      </c>
      <c r="GS42" s="150" t="str">
        <f aca="false">IF(GS$19&gt;$FJ42,"",MAX(0,IF(GS$19=$FJ42,$S42^2*GS$15,GS41*INDEX($T$20:$T$91,$FJ42-GS$19)^2/INDEX($U$20:$U$91,$FJ42-GS$19))))</f>
        <v/>
      </c>
      <c r="GT42" s="150" t="str">
        <f aca="false">IF(GT$19&gt;$FJ42,"",MAX(0,IF(GT$19=$FJ42,$S42^2*GT$15,GT41*INDEX($T$20:$T$91,$FJ42-GT$19)^2/INDEX($U$20:$U$91,$FJ42-GT$19))))</f>
        <v/>
      </c>
      <c r="GU42" s="150" t="str">
        <f aca="false">IF(GU$19&gt;$FJ42,"",MAX(0,IF(GU$19=$FJ42,$S42^2*GU$15,GU41*INDEX($T$20:$T$91,$FJ42-GU$19)^2/INDEX($U$20:$U$91,$FJ42-GU$19))))</f>
        <v/>
      </c>
      <c r="GV42" s="150" t="str">
        <f aca="false">IF(GV$19&gt;$FJ42,"",MAX(0,IF(GV$19=$FJ42,$S42^2*GV$15,GV41*INDEX($T$20:$T$91,$FJ42-GV$19)^2/INDEX($U$20:$U$91,$FJ42-GV$19))))</f>
        <v/>
      </c>
      <c r="GW42" s="150" t="str">
        <f aca="false">IF(GW$19&gt;$FJ42,"",MAX(0,IF(GW$19=$FJ42,$S42^2*GW$15,GW41*INDEX($T$20:$T$91,$FJ42-GW$19)^2/INDEX($U$20:$U$91,$FJ42-GW$19))))</f>
        <v/>
      </c>
      <c r="GX42" s="150" t="str">
        <f aca="false">IF(GX$19&gt;$FJ42,"",MAX(0,IF(GX$19=$FJ42,$S42^2*GX$15,GX41*INDEX($T$20:$T$91,$FJ42-GX$19)^2/INDEX($U$20:$U$91,$FJ42-GX$19))))</f>
        <v/>
      </c>
      <c r="GY42" s="150" t="str">
        <f aca="false">IF(GY$19&gt;$FJ42,"",MAX(0,IF(GY$19=$FJ42,$S42^2*GY$15,GY41*INDEX($T$20:$T$91,$FJ42-GY$19)^2/INDEX($U$20:$U$91,$FJ42-GY$19))))</f>
        <v/>
      </c>
      <c r="GZ42" s="150" t="str">
        <f aca="false">IF(GZ$19&gt;$FJ42,"",MAX(0,IF(GZ$19=$FJ42,$S42^2*GZ$15,GZ41*INDEX($T$20:$T$91,$FJ42-GZ$19)^2/INDEX($U$20:$U$91,$FJ42-GZ$19))))</f>
        <v/>
      </c>
      <c r="HA42" s="150" t="str">
        <f aca="false">IF(HA$19&gt;$FJ42,"",MAX(0,IF(HA$19=$FJ42,$S42^2*HA$15,HA41*INDEX($T$20:$T$91,$FJ42-HA$19)^2/INDEX($U$20:$U$91,$FJ42-HA$19))))</f>
        <v/>
      </c>
      <c r="HB42" s="150" t="str">
        <f aca="false">IF(HB$19&gt;$FJ42,"",MAX(0,IF(HB$19=$FJ42,$S42^2*HB$15,HB41*INDEX($T$20:$T$91,$FJ42-HB$19)^2/INDEX($U$20:$U$91,$FJ42-HB$19))))</f>
        <v/>
      </c>
      <c r="HC42" s="150" t="str">
        <f aca="false">IF(HC$19&gt;$FJ42,"",MAX(0,IF(HC$19=$FJ42,$S42^2*HC$15,HC41*INDEX($T$20:$T$91,$FJ42-HC$19)^2/INDEX($U$20:$U$91,$FJ42-HC$19))))</f>
        <v/>
      </c>
      <c r="HD42" s="150" t="str">
        <f aca="false">IF(HD$19&gt;$FJ42,"",MAX(0,IF(HD$19=$FJ42,$S42^2*HD$15,HD41*INDEX($T$20:$T$91,$FJ42-HD$19)^2/INDEX($U$20:$U$91,$FJ42-HD$19))))</f>
        <v/>
      </c>
      <c r="HE42" s="150" t="str">
        <f aca="false">IF(HE$19&gt;$FJ42,"",MAX(0,IF(HE$19=$FJ42,$S42^2*HE$15,HE41*INDEX($T$20:$T$91,$FJ42-HE$19)^2/INDEX($U$20:$U$91,$FJ42-HE$19))))</f>
        <v/>
      </c>
      <c r="HF42" s="150" t="str">
        <f aca="false">IF(HF$19&gt;$FJ42,"",MAX(0,IF(HF$19=$FJ42,$S42^2*HF$15,HF41*INDEX($T$20:$T$91,$FJ42-HF$19)^2/INDEX($U$20:$U$91,$FJ42-HF$19))))</f>
        <v/>
      </c>
      <c r="HG42" s="150" t="str">
        <f aca="false">IF(HG$19&gt;$FJ42,"",MAX(0,IF(HG$19=$FJ42,$S42^2*HG$15,HG41*INDEX($T$20:$T$91,$FJ42-HG$19)^2/INDEX($U$20:$U$91,$FJ42-HG$19))))</f>
        <v/>
      </c>
      <c r="HH42" s="150" t="str">
        <f aca="false">IF(HH$19&gt;$FJ42,"",MAX(0,IF(HH$19=$FJ42,$S42^2*HH$15,HH41*INDEX($T$20:$T$91,$FJ42-HH$19)^2/INDEX($U$20:$U$91,$FJ42-HH$19))))</f>
        <v/>
      </c>
      <c r="HI42" s="150" t="str">
        <f aca="false">IF(HI$19&gt;$FJ42,"",MAX(0,IF(HI$19=$FJ42,$S42^2*HI$15,HI41*INDEX($T$20:$T$91,$FJ42-HI$19)^2/INDEX($U$20:$U$91,$FJ42-HI$19))))</f>
        <v/>
      </c>
      <c r="HJ42" s="150" t="str">
        <f aca="false">IF(HJ$19&gt;$FJ42,"",MAX(0,IF(HJ$19=$FJ42,$S42^2*HJ$15,HJ41*INDEX($T$20:$T$91,$FJ42-HJ$19)^2/INDEX($U$20:$U$91,$FJ42-HJ$19))))</f>
        <v/>
      </c>
      <c r="HK42" s="150" t="str">
        <f aca="false">IF(HK$19&gt;$FJ42,"",MAX(0,IF(HK$19=$FJ42,$S42^2*HK$15,HK41*INDEX($T$20:$T$91,$FJ42-HK$19)^2/INDEX($U$20:$U$91,$FJ42-HK$19))))</f>
        <v/>
      </c>
      <c r="HL42" s="150" t="str">
        <f aca="false">IF(HL$19&gt;$FJ42,"",MAX(0,IF(HL$19=$FJ42,$S42^2*HL$15,HL41*INDEX($T$20:$T$91,$FJ42-HL$19)^2/INDEX($U$20:$U$91,$FJ42-HL$19))))</f>
        <v/>
      </c>
      <c r="HM42" s="150" t="str">
        <f aca="false">IF(HM$19&gt;$FJ42,"",MAX(0,IF(HM$19=$FJ42,$S42^2*HM$15,HM41*INDEX($T$20:$T$91,$FJ42-HM$19)^2/INDEX($U$20:$U$91,$FJ42-HM$19))))</f>
        <v/>
      </c>
      <c r="HN42" s="150" t="str">
        <f aca="false">IF(HN$19&gt;$FJ42,"",MAX(0,IF(HN$19=$FJ42,$S42^2*HN$15,HN41*INDEX($T$20:$T$91,$FJ42-HN$19)^2/INDEX($U$20:$U$91,$FJ42-HN$19))))</f>
        <v/>
      </c>
      <c r="HO42" s="150" t="str">
        <f aca="false">IF(HO$19&gt;$FJ42,"",MAX(0,IF(HO$19=$FJ42,$S42^2*HO$15,HO41*INDEX($T$20:$T$91,$FJ42-HO$19)^2/INDEX($U$20:$U$91,$FJ42-HO$19))))</f>
        <v/>
      </c>
      <c r="HP42" s="150" t="str">
        <f aca="false">IF(HP$19&gt;$FJ42,"",MAX(0,IF(HP$19=$FJ42,$S42^2*HP$15,HP41*INDEX($T$20:$T$91,$FJ42-HP$19)^2/INDEX($U$20:$U$91,$FJ42-HP$19))))</f>
        <v/>
      </c>
      <c r="HQ42" s="150" t="str">
        <f aca="false">IF(HQ$19&gt;$FJ42,"",MAX(0,IF(HQ$19=$FJ42,$S42^2*HQ$15,HQ41*INDEX($T$20:$T$91,$FJ42-HQ$19)^2/INDEX($U$20:$U$91,$FJ42-HQ$19))))</f>
        <v/>
      </c>
      <c r="HR42" s="150" t="str">
        <f aca="false">IF(HR$19&gt;$FJ42,"",MAX(0,IF(HR$19=$FJ42,$S42^2*HR$15,HR41*INDEX($T$20:$T$91,$FJ42-HR$19)^2/INDEX($U$20:$U$91,$FJ42-HR$19))))</f>
        <v/>
      </c>
      <c r="HS42" s="150" t="str">
        <f aca="false">IF(HS$19&gt;$FJ42,"",MAX(0,IF(HS$19=$FJ42,$S42^2*HS$15,HS41*INDEX($T$20:$T$91,$FJ42-HS$19)^2/INDEX($U$20:$U$91,$FJ42-HS$19))))</f>
        <v/>
      </c>
      <c r="HT42" s="150" t="str">
        <f aca="false">IF(HT$19&gt;$FJ42,"",MAX(0,IF(HT$19=$FJ42,$S42^2*HT$15,HT41*INDEX($T$20:$T$91,$FJ42-HT$19)^2/INDEX($U$20:$U$91,$FJ42-HT$19))))</f>
        <v/>
      </c>
      <c r="HU42" s="150" t="str">
        <f aca="false">IF(HU$19&gt;$FJ42,"",MAX(0,IF(HU$19=$FJ42,$S42^2*HU$15,HU41*INDEX($T$20:$T$91,$FJ42-HU$19)^2/INDEX($U$20:$U$91,$FJ42-HU$19))))</f>
        <v/>
      </c>
      <c r="HV42" s="150" t="str">
        <f aca="false">IF(HV$19&gt;$FJ42,"",MAX(0,IF(HV$19=$FJ42,$S42^2*HV$15,HV41*INDEX($T$20:$T$91,$FJ42-HV$19)^2/INDEX($U$20:$U$91,$FJ42-HV$19))))</f>
        <v/>
      </c>
      <c r="HW42" s="150" t="str">
        <f aca="false">IF(HW$19&gt;$FJ42,"",MAX(0,IF(HW$19=$FJ42,$S42^2*HW$15,HW41*INDEX($T$20:$T$91,$FJ42-HW$19)^2/INDEX($U$20:$U$91,$FJ42-HW$19))))</f>
        <v/>
      </c>
      <c r="HX42" s="150" t="str">
        <f aca="false">IF(HX$19&gt;$FJ42,"",MAX(0,IF(HX$19=$FJ42,$S42^2*HX$15,HX41*INDEX($T$20:$T$91,$FJ42-HX$19)^2/INDEX($U$20:$U$91,$FJ42-HX$19))))</f>
        <v/>
      </c>
      <c r="HY42" s="150" t="str">
        <f aca="false">IF(HY$19&gt;$FJ42,"",MAX(0,IF(HY$19=$FJ42,$S42^2*HY$15,HY41*INDEX($T$20:$T$91,$FJ42-HY$19)^2/INDEX($U$20:$U$91,$FJ42-HY$19))))</f>
        <v/>
      </c>
      <c r="HZ42" s="150" t="str">
        <f aca="false">IF(HZ$19&gt;$FJ42,"",MAX(0,IF(HZ$19=$FJ42,$S42^2*HZ$15,HZ41*INDEX($T$20:$T$91,$FJ42-HZ$19)^2/INDEX($U$20:$U$91,$FJ42-HZ$19))))</f>
        <v/>
      </c>
      <c r="IA42" s="150" t="str">
        <f aca="false">IF(IA$19&gt;$FJ42,"",MAX(0,IF(IA$19=$FJ42,$S42^2*IA$15,IA41*INDEX($T$20:$T$91,$FJ42-IA$19)^2/INDEX($U$20:$U$91,$FJ42-IA$19))))</f>
        <v/>
      </c>
      <c r="IB42" s="150" t="str">
        <f aca="false">IF(IB$19&gt;$FJ42,"",MAX(0,IF(IB$19=$FJ42,$S42^2*IB$15,IB41*INDEX($T$20:$T$91,$FJ42-IB$19)^2/INDEX($U$20:$U$91,$FJ42-IB$19))))</f>
        <v/>
      </c>
      <c r="IC42" s="150" t="str">
        <f aca="false">IF(IC$19&gt;$FJ42,"",MAX(0,IF(IC$19=$FJ42,$S42^2*IC$15,IC41*INDEX($T$20:$T$91,$FJ42-IC$19)^2/INDEX($U$20:$U$91,$FJ42-IC$19))))</f>
        <v/>
      </c>
      <c r="ID42" s="572" t="str">
        <f aca="false">IF(ID$19&gt;$FJ42,"",MAX(0,IF(ID$19=$FJ42,$S42^2*ID$15,ID41*INDEX($T$20:$T$91,$FJ42-ID$19)^2/INDEX($U$20:$U$91,$FJ42-ID$19))))</f>
        <v/>
      </c>
      <c r="IE42" s="129"/>
    </row>
    <row r="43" customFormat="false" ht="17.25" hidden="false" customHeight="true" outlineLevel="0" collapsed="false">
      <c r="A43" s="219"/>
      <c r="B43" s="136" t="s">
        <v>222</v>
      </c>
      <c r="C43" s="649" t="s">
        <v>223</v>
      </c>
      <c r="D43" s="650" t="s">
        <v>263</v>
      </c>
      <c r="E43" s="650" t="s">
        <v>264</v>
      </c>
      <c r="F43" s="649" t="s">
        <v>105</v>
      </c>
      <c r="G43" s="651" t="s">
        <v>106</v>
      </c>
      <c r="H43" s="219" t="n">
        <f aca="false">VLOOKUP(I43,$EJ$20:$EL$54,3)</f>
        <v>0</v>
      </c>
      <c r="I43" s="511" t="n">
        <f aca="false">EOMONTH(I42,0)+1</f>
        <v>37469</v>
      </c>
      <c r="J43" s="512"/>
      <c r="K43" s="513" t="s">
        <v>226</v>
      </c>
      <c r="L43" s="514" t="e">
        <f aca="false">IF(ISNUMBER(K43),J43+K43/100,IF(K43="extra",L42+VLOOKUP(BF43,PriceSpreadTable,2)/12,IF(K43="inter",interpolateprices($K$19:$L$200,ROW(K43)-ROW(FirstPricingMonth)+1),interpolatechanges($J$19:$K$200,ROW(K43)-ROW(FirstPricingMonth)+1))))</f>
        <v>#VALUE!</v>
      </c>
      <c r="M43" s="515"/>
      <c r="N43" s="516" t="n">
        <v>0</v>
      </c>
      <c r="O43" s="515" t="n">
        <f aca="false">M43+N43</f>
        <v>0</v>
      </c>
      <c r="P43" s="512"/>
      <c r="Q43" s="517" t="s">
        <v>250</v>
      </c>
      <c r="R43" s="512" t="e">
        <f aca="false">IF(ISNUMBER(Q43),P43+Q43/100,IF(Q43="extra",(Z41*AL41-R42*AM41)/AN41,IF(Q43="inter",interpolateprices($Q$19:$R$260,ROW(Q43)-ROW(FirstPricingMonth)+1),interpolatechanges($P$19:$Q$260,ROW(Q43)-ROW(FirstPricingMonth)+1))))</f>
        <v>#VALUE!</v>
      </c>
      <c r="S43" s="597" t="n">
        <f aca="false">S$19+(S42-S$19)*S$18</f>
        <v>0.360071352268626</v>
      </c>
      <c r="T43" s="575" t="n">
        <f aca="false">SQRT((1-(1-T42^2/U42)*T$18)*U43)</f>
        <v>0.996925396093978</v>
      </c>
      <c r="U43" s="576" t="n">
        <f aca="false">1-(1-U42)*U$18</f>
        <v>0.999979932174449</v>
      </c>
      <c r="V43" s="521" t="n">
        <v>0</v>
      </c>
      <c r="W43" s="577" t="n">
        <f aca="false">(J44*AJ43+J45*AK43)/AI43</f>
        <v>0</v>
      </c>
      <c r="X43" s="578" t="e">
        <f aca="false">(L44*AJ43+L45*AK43)/AI43</f>
        <v>#VALUE!</v>
      </c>
      <c r="Y43" s="579" t="n">
        <f aca="false">IF(Q45="extra",W43-AA43,(P44*AM43+P45*AN43)/AL43)</f>
        <v>0</v>
      </c>
      <c r="Z43" s="579" t="e">
        <f aca="false">IF(Q45="extra",X43-AB43,(R44*AM43+R45*AN43)/AL43)</f>
        <v>#VALUE!</v>
      </c>
      <c r="AA43" s="523" t="n">
        <f aca="false">IF(Q45="extra",INDEX(BrentSeasonalityTable,INT((BG43-1)/3)+1)*VLOOKUP(MAX(BF43,$AB$4),PriceSpreadTable,3),W43-Y43)</f>
        <v>0</v>
      </c>
      <c r="AB43" s="524" t="e">
        <f aca="false">IF(Q45="extra",INDEX(BrentSeasonalityTable,INT((BG43-1)/3)+1)*VLOOKUP(MAX(BF43,$AB$4),PriceSpreadTable,3),X43-Z43)</f>
        <v>#VALUE!</v>
      </c>
      <c r="AC43" s="525" t="n">
        <v>37459</v>
      </c>
      <c r="AD43" s="646" t="n">
        <v>37454</v>
      </c>
      <c r="AE43" s="526" t="n">
        <v>37453</v>
      </c>
      <c r="AF43" s="527" t="n">
        <v>37448</v>
      </c>
      <c r="AG43" s="438" t="s">
        <v>224</v>
      </c>
      <c r="AH43" s="439" t="s">
        <v>247</v>
      </c>
      <c r="AI43" s="528" t="n">
        <v>22</v>
      </c>
      <c r="AJ43" s="529" t="n">
        <v>14</v>
      </c>
      <c r="AK43" s="529" t="n">
        <v>8</v>
      </c>
      <c r="AL43" s="530" t="n">
        <v>22</v>
      </c>
      <c r="AM43" s="529" t="n">
        <v>11</v>
      </c>
      <c r="AN43" s="531" t="n">
        <v>11</v>
      </c>
      <c r="AO43" s="532"/>
      <c r="AP43" s="465" t="n">
        <f aca="false">(1+AO43/2)^(-2*BL43)</f>
        <v>1</v>
      </c>
      <c r="AQ43" s="532"/>
      <c r="AR43" s="465" t="n">
        <f aca="false">(1+AQ43/2)^(-2*BH43/365.25)</f>
        <v>1</v>
      </c>
      <c r="AS43" s="580" t="n">
        <f aca="false">(O44*AJ43+O45*AK43)/AI43</f>
        <v>0</v>
      </c>
      <c r="AT43" s="468" t="n">
        <f aca="false">O43*VLOOKUP(BF43,BrentVolTable,2)+VLOOKUP(BF43,BrentVolTable,3)</f>
        <v>0</v>
      </c>
      <c r="AU43" s="468" t="n">
        <f aca="false">(AT44*AM43+AT45*AN43)/AL43</f>
        <v>0</v>
      </c>
      <c r="AV43" s="595" t="n">
        <f aca="false">SQRT(MAX(0.000000000001,(O43^2*BH43-S43^2*(BH43-BH42))/BH42))</f>
        <v>0.0213901676765517</v>
      </c>
      <c r="AW43" s="451" t="n">
        <f aca="false">IF($I43-DateToday+15&gt;=$T$8,"",IF($I43-DateToday+15&lt;$T$5,1,MATCH($I43-DateToday+15,$T$5:$T$8)))</f>
        <v>1</v>
      </c>
      <c r="AX43" s="468" t="n">
        <f aca="false">IF($AW43="",AX42^2/AX41,INDEX(U$5:U$8,$AW43)^((INDEX($T$5:$T$8,$AW43+1)-($I43-DateToday+15))/(INDEX($T$5:$T$8,$AW43+1)-INDEX($T$5:$T$8,$AW43)))/INDEX(U$5:U$8,$AW43+1)^((INDEX($T$5:$T$8,$AW43)-($I43-DateToday+15))/(INDEX($T$5:$T$8,$AW43+1)-INDEX($T$5:$T$8,$AW43))))</f>
        <v>7.68091682988596</v>
      </c>
      <c r="AY43" s="468" t="n">
        <f aca="false">IF($AW43="",AY42^2/AY41,INDEX(V$5:V$8,$AW43)^((INDEX($T$5:$T$8,$AW43+1)-($I43-DateToday+15))/(INDEX($T$5:$T$8,$AW43+1)-INDEX($T$5:$T$8,$AW43)))/INDEX(V$5:V$8,$AW43+1)^((INDEX($T$5:$T$8,$AW43)-($I43-DateToday+15))/(INDEX($T$5:$T$8,$AW43+1)-INDEX($T$5:$T$8,$AW43))))</f>
        <v>1982.87832172346</v>
      </c>
      <c r="AZ43" s="468" t="n">
        <f aca="false">IF($AW43="",AZ42^2/AZ41,INDEX(W$5:W$8,$AW43)^((INDEX($T$5:$T$8,$AW43+1)-($I43-DateToday+15))/(INDEX($T$5:$T$8,$AW43+1)-INDEX($T$5:$T$8,$AW43)))/INDEX(W$5:W$8,$AW43+1)^((INDEX($T$5:$T$8,$AW43)-($I43-DateToday+15))/(INDEX($T$5:$T$8,$AW43+1)-INDEX($T$5:$T$8,$AW43))))</f>
        <v>105880396.143541</v>
      </c>
      <c r="BA43" s="468" t="n">
        <f aca="false">IF($AW43="",BA42^2/BA41,INDEX(X$5:X$8,$AW43)^((INDEX($T$5:$T$8,$AW43+1)-($I43-DateToday+15))/(INDEX($T$5:$T$8,$AW43+1)-INDEX($T$5:$T$8,$AW43)))/INDEX(X$5:X$8,$AW43+1)^((INDEX($T$5:$T$8,$AW43)-($I43-DateToday+15))/(INDEX($T$5:$T$8,$AW43+1)-INDEX($T$5:$T$8,$AW43))))</f>
        <v>8471442882.22827</v>
      </c>
      <c r="BB43" s="468" t="n">
        <f aca="false">IF($AW43="",BB42^2/BB41,INDEX(Y$5:Y$8,$AW43)^((INDEX($T$5:$T$8,$AW43+1)-($I43-DateToday+15))/(INDEX($T$5:$T$8,$AW43+1)-INDEX($T$5:$T$8,$AW43)))/INDEX(Y$5:Y$8,$AW43+1)^((INDEX($T$5:$T$8,$AW43)-($I43-DateToday+15))/(INDEX($T$5:$T$8,$AW43+1)-INDEX($T$5:$T$8,$AW43))))</f>
        <v>186576539649.754</v>
      </c>
      <c r="BC43" s="468" t="n">
        <f aca="false">IF($AW43="",BC42^2/BC41,INDEX(Z$5:Z$8,$AW43)^((INDEX($T$5:$T$8,$AW43+1)-($I43-DateToday+15))/(INDEX($T$5:$T$8,$AW43+1)-INDEX($T$5:$T$8,$AW43)))/INDEX(Z$5:Z$8,$AW43+1)^((INDEX($T$5:$T$8,$AW43)-($I43-DateToday+15))/(INDEX($T$5:$T$8,$AW43+1)-INDEX($T$5:$T$8,$AW43))))</f>
        <v>1177615740548.34</v>
      </c>
      <c r="BD43" s="535" t="n">
        <f aca="false">IF(OR(DateStart&gt;=I44,DateEnd&lt;I43),0,IF(VolumeOverrideFlag,V43,Volume))</f>
        <v>0</v>
      </c>
      <c r="BE43" s="536" t="n">
        <f aca="false">IF(OR(DateStart2&gt;=I44,DateEnd2&lt;I43),0,IF(VolumeOverrideFlag,V43,VolumeSwaption))</f>
        <v>0</v>
      </c>
      <c r="BF43" s="537" t="n">
        <f aca="false">YEAR(I43)</f>
        <v>2002</v>
      </c>
      <c r="BG43" s="538" t="n">
        <f aca="false">MONTH(I43)</f>
        <v>8</v>
      </c>
      <c r="BH43" s="539" t="n">
        <f aca="false">AD43-DateToday+1</f>
        <v>-8471</v>
      </c>
      <c r="BI43" s="540" t="n">
        <f aca="false">(I43-DateToday+1)/365.25</f>
        <v>-23.1512662559891</v>
      </c>
      <c r="BJ43" s="541" t="n">
        <f aca="false">BI43+(BL43-BI43)*CHOOSE(Underlying,AJ43/AI43,AM43/AL43)</f>
        <v>-23.0989981955074</v>
      </c>
      <c r="BK43" s="541" t="n">
        <f aca="false">BJ43+1/365.25</f>
        <v>-23.0962603447203</v>
      </c>
      <c r="BL43" s="541" t="n">
        <f aca="false">(I44-DateToday)/365.25</f>
        <v>-23.0691307323751</v>
      </c>
      <c r="BM43" s="542" t="e">
        <f aca="false">MAX(BI43-(BJ43-BI43)*(S44^2/O44^2-1),0)</f>
        <v>#DIV/0!</v>
      </c>
      <c r="BN43" s="541" t="e">
        <f aca="false">MAX(BL43+(BL43-BK43)*(S45^2/O45^2-1),0)</f>
        <v>#DIV/0!</v>
      </c>
      <c r="BO43" s="530" t="n">
        <f aca="false">CHOOSE(Underlying,AI43,AL43)</f>
        <v>22</v>
      </c>
      <c r="BP43" s="529" t="n">
        <f aca="false">CHOOSE(Underlying,AJ43,AM43)</f>
        <v>14</v>
      </c>
      <c r="BQ43" s="529" t="n">
        <f aca="false">CHOOSE(Underlying,AK43,AN43)</f>
        <v>8</v>
      </c>
      <c r="BR43" s="463" t="str">
        <f aca="false">IF(BD43,IF(Underlying=1,X43,Z43)+UnderlyingPriceAsian-SwapPriceCurve,"")</f>
        <v/>
      </c>
      <c r="BS43" s="463" t="str">
        <f aca="false">IF(BD43,Strike1/BR43-1,"")</f>
        <v/>
      </c>
      <c r="BT43" s="464" t="str">
        <f aca="false">IF(BD43,Strike2/BR43-1,"")</f>
        <v/>
      </c>
      <c r="BU43" s="465" t="str">
        <f aca="false">IF(BD43,IF(Underlying=1,L44,R44)+UnderlyingPriceAsian-SwapPriceCurve,"")</f>
        <v/>
      </c>
      <c r="BV43" s="465" t="str">
        <f aca="false">IF(BD43,IF(Underlying=1,L45,R45)+UnderlyingPriceAsian-SwapPriceCurve,"")</f>
        <v/>
      </c>
      <c r="BW43" s="466" t="str">
        <f aca="false">IF(BD43,IF(Underlying=1,O44,AT44),"")</f>
        <v/>
      </c>
      <c r="BX43" s="467" t="str">
        <f aca="false">IF(BD43,IF(Underlying=1,O45,AT45),"")</f>
        <v/>
      </c>
      <c r="BY43" s="466" t="str">
        <f aca="false">IF(BD43,IF(BS43&gt;0,IF(BS43&gt;0.2,BC43-BB43,IF(BS43&gt;0.1,BB43-BA43,BA43)),IF(BS43&lt;-0.2,AX43-AY43,IF(BS43&lt;-0.1,AY43-AZ43,AZ43))),"")</f>
        <v/>
      </c>
      <c r="BZ43" s="467" t="str">
        <f aca="false">IF(BD43,IF(BT43&gt;0,IF(BT43&gt;0.2,BC43-BB43,IF(BT43&gt;0.1,BB43-BA43,BA43)),IF(BT43&lt;-0.2,AX43-AY43,IF(BT43&lt;-0.1,AY43-AZ43,AZ43))),"")</f>
        <v/>
      </c>
      <c r="CA43" s="468" t="str">
        <f aca="false">IF($BD43,$BW43+IF(VolSkewFlag=1,IF(BS43&gt;0,$BA43*MIN(BS43/10%,1)+($BB43-$BA43)*MAX(0,MIN(BS43/10%-1,1))+($BC43-$BB43)*MAX(0,BS43/10%-2),$AZ43*MIN(-BS43/10%,1)+($AY43-$AZ43)*MAX(0,MIN(-BS43/10%-1,1))+($AX43-$AY43)*MAX(0,-BS43/10%-2)),0),"")</f>
        <v/>
      </c>
      <c r="CB43" s="468" t="str">
        <f aca="false">IF($BD43,$BX43+IF(VolSkewFlag=1,IF(BS43&gt;0,$BA43*MIN(BS43/10%,1)+($BB43-$BA43)*MAX(0,MIN(BS43/10%-1,1))+($BC43-$BB43)*MAX(0,BS43/10%-2),$AZ43*MIN(-BS43/10%,1)+($AY43-$AZ43)*MAX(0,MIN(-BS43/10%-1,1))+($AX43-$AY43)*MAX(0,-BS43/10%-2)),0),"")</f>
        <v/>
      </c>
      <c r="CC43" s="468" t="str">
        <f aca="false">IF($BD43,$BW43+IF(VolSkewFlag=1,IF(BT43&gt;0,$BA43*MIN(BT43/10%,1)+($BB43-$BA43)*MAX(0,MIN(BT43/10%-1,1))+($BC43-$BB43)*MAX(0,BT43/10%-2),$AZ43*MIN(-BT43/10%,1)+($AY43-$AZ43)*MAX(0,MIN(-BT43/10%-1,1))+($AX43-$AY43)*MAX(0,-BT43/10%-2)),0),"")</f>
        <v/>
      </c>
      <c r="CD43" s="468" t="str">
        <f aca="false">IF($BD43,$BX43+IF(VolSkewFlag=1,IF(BT43&gt;0,$BA43*MIN(BT43/10%,1)+($BB43-$BA43)*MAX(0,MIN(BT43/10%-1,1))+($BC43-$BB43)*MAX(0,BT43/10%-2),$AZ43*MIN(-BT43/10%,1)+($AY43-$AZ43)*MAX(0,MIN(-BT43/10%-1,1))+($AX43-$AY43)*MAX(0,-BT43/10%-2)),0),"")</f>
        <v/>
      </c>
      <c r="CE43" s="469" t="n">
        <v>1</v>
      </c>
      <c r="CF43" s="470" t="n">
        <f aca="false">IF(BD43,xCrudeAPO(BU43,BV43,CA43,CB43,S44,S45,BI43,BL43,BP43,BQ43,0,Strike1,AO43,CE43,0,BL43,IF(OptControl=4,0,1),0,1),0)</f>
        <v>0</v>
      </c>
      <c r="CG43" s="470" t="n">
        <f aca="false">IF(BD43,xCrudeAPO(BU43,BV43,CA43,CB43,S44,S45,BI43,BL43,BP43,BQ43,0,Strike1,AO43,CE43,0,BL43,IF(OptControl=4,0,1),1,1)+xCrudeAPO(BU43,BV43,CA43,CB43,S44,S45,BI43,BL43,BP43,BQ43,0,Strike1,AO43,CE43,0,BL43,IF(OptControl=4,0,1),1,2)+IF(OR(VolSkewFlag=2,ABS(BS43)&lt;0.0001),0,IF(BS43&gt;0,-1,1)*CH43*Strike1/BR43^2*BY43/10%),0)</f>
        <v>0</v>
      </c>
      <c r="CH43" s="470" t="n">
        <f aca="false">IF(BD43,(xCrudeAPO(BU43,BV43,CA43,CB43,S44,S45,BI43,BL43,BP43,BQ43,0,Strike1,AO43,CE43,0,BL43,IF(OptControl=4,0,1),3,1)+xCrudeAPO(BU43,BV43,CA43,CB43,S44,S45,BI43,BL43,BP43,BQ43,0,Strike1,AO43,CE43,0,BL43,IF(OptControl=4,0,1),3,2))/100,0)</f>
        <v>0</v>
      </c>
      <c r="CI43" s="470" t="n">
        <f aca="false">IF(BD43,xCrudeAPO(BU43,BV43,CA43,CB43,S44,S45,BI43-DaysForThetaCalculation/365.25,BL43-DaysForThetaCalculation/365.25,BP43,BQ43,0,Strike1,AO43,CE43,0,BL43,IF(OptControl=4,0,1),0,1)-xCrudeAPO(BU43,BV43,CA43,CB43,S44,S45,BI43,BL43,BP43,BQ43,0,Strike1,AO43,CE43,0,BL43,IF(OptControl=4,0,1),0,1),0)</f>
        <v>0</v>
      </c>
      <c r="CJ43" s="471" t="n">
        <f aca="false">IF(BD43,xCrudeAPO(BU43,BV43,CC43,CD43,S44,S45,BI43,BL43,BP43,BQ43,0,Strike2,AO43,CE43,0,BL43,IF(OptControl=3,1,0),0,1),0)</f>
        <v>0</v>
      </c>
      <c r="CK43" s="470" t="n">
        <f aca="false">IF(BD43,xCrudeAPO(BU43,BV43,CC43,CD43,S44,S45,BI43,BL43,BP43,BQ43,0,Strike2,AO43,CE43,0,BL43,IF(OptControl=3,1,0),1,1)+xCrudeAPO(BU43,BV43,CC43,CD43,S44,S45,BI43,BL43,BP43,BQ43,0,Strike2,AO43,CE43,0,BL43,IF(OptControl=3,1,0),1,2)+IF(OR(VolSkewFlag=2,ABS(BT43)&lt;0.0001),0,IF(BT43&gt;0,-1,1)*CL43*Strike2/BR43^2*BZ43/10%),0)</f>
        <v>0</v>
      </c>
      <c r="CL43" s="470" t="n">
        <f aca="false">IF(BD43,(xCrudeAPO(BU43,BV43,CC43,CD43,S44,S45,BI43,BL43,BP43,BQ43,0,Strike2,AO43,CE43,0,BL43,IF(OptControl=3,1,0),3,1)+xCrudeAPO(BU43,BV43,CC43,CD43,S44,S45,BI43,BL43,BP43,BQ43,0,Strike2,AO43,CE43,0,BL43,IF(OptControl=3,1,0),3,2))/100,0)</f>
        <v>0</v>
      </c>
      <c r="CM43" s="472" t="n">
        <f aca="false">IF(BD43,xCrudeAPO(BU43,BV43,CC43,CD43,S44,S45,BI43-DaysForThetaCalculation/365.25,BL43-DaysForThetaCalculation/365.25,BP43,BQ43,0,Strike2,AO43,CE43,0,BL43,IF(OptControl=3,1,0),0,1)-xCrudeAPO(BU43,BV43,CC43,CD43,S44,S45,BI43,BL43,BP43,BQ43,0,Strike2,AO43,CE43,0,BL43,IF(OptControl=3,1,0),0,1),0)</f>
        <v>0</v>
      </c>
      <c r="CO43" s="543" t="str">
        <f aca="false">IF(BD43,CHOOSE(Underlying,AD43,AF43)-DateToday+1,"")</f>
        <v/>
      </c>
      <c r="CP43" s="582" t="str">
        <f aca="false">IF(BD43,CHOOSE(Underlying,L43,R43),"")</f>
        <v/>
      </c>
      <c r="CQ43" s="544" t="str">
        <f aca="false">IF(BD43,Strike1/CP43-1,"")</f>
        <v/>
      </c>
      <c r="CR43" s="544" t="str">
        <f aca="false">IF(BD43,Strike2/CP43-1,"")</f>
        <v/>
      </c>
      <c r="CS43" s="544" t="str">
        <f aca="false">IF(BD43,IF(CQ43&gt;0,IF(CQ43&gt;0.2,BC42-BB42,IF(CQ43&gt;0.1,BB42-BA42,BA42)),IF(CQ43&lt;-0.2,AX42-AY42,IF(CQ43&lt;-0.1,AY42-AZ42,AZ42))),"")</f>
        <v/>
      </c>
      <c r="CT43" s="544" t="str">
        <f aca="false">IF(BD43,IF(CR43&gt;0,IF(CR43&gt;0.2,BC42-BB42,IF(CR43&gt;0.1,BB42-BA42,BA42)),IF(CR43&lt;-0.2,AX42-AY42,IF(CR43&lt;-0.1,AY42-AZ42,AZ42))),"")</f>
        <v/>
      </c>
      <c r="CU43" s="545" t="str">
        <f aca="false">IF(BD43,CHOOSE(Underlying,O43,AT43),"")</f>
        <v/>
      </c>
      <c r="CV43" s="545" t="str">
        <f aca="false">IF(BD43,CU43+IF(VolSkewFlag=1,IF(CQ43&gt;0,BA42*MIN(CQ43/10%,1)+(BB42-BA42)*MAX(0,MIN(CQ43/10%-1,1))+(BC42-BB42)*MAX(0,CQ43/10%-2),AZ42*MIN(-CQ43/10%,1)+(AY42-AZ42)*MAX(0,MIN(-CQ43/10%-1,1))+(AX42-AY42)*MAX(0,-CQ43/10%-2)),0),"")</f>
        <v/>
      </c>
      <c r="CW43" s="545" t="str">
        <f aca="false">IF(BD43,CU43+IF(VolSkewFlag=1,IF(CR43&gt;0,BA42*MIN(CR43/10%,1)+(BB42-BA42)*MAX(0,MIN(CR43/10%-1,1))+(BC42-BB42)*MAX(0,CR43/10%-2),AZ42*MIN(-CR43/10%,1)+(AY42-AZ42)*MAX(0,MIN(-CR43/10%-1,1))+(AX42-AY42)*MAX(0,-CR43/10%-2)),0),"")</f>
        <v/>
      </c>
      <c r="CX43" s="470" t="n">
        <f aca="false">IF(BD43,EURO(CP43,Strike1,AO43,AO43,CV43,CO43,IF(OptControl=4,0,1),0),0)</f>
        <v>0</v>
      </c>
      <c r="CY43" s="470" t="n">
        <f aca="false">IF(BD43,EURO(CP43,Strike1,AO43,AO43,CV43,CO43,IF(OptControl=4,0,1),1)+IF(OR(VolSkewFlag=2,ABS(CQ43)&lt;0.0001),0,IF(CQ43&gt;0,-1,1)*CZ43*100*Strike1/CP43^2*CS43/10%),0)</f>
        <v>0</v>
      </c>
      <c r="CZ43" s="470" t="n">
        <f aca="false">IF(BD43,EURO(CP43,Strike1,AO43,AO43,CV43,CO43,IF(OptControl=4,0,1),3)/100,0)</f>
        <v>0</v>
      </c>
      <c r="DA43" s="470" t="n">
        <f aca="false">IF(BD43,EURO(CP43,Strike1,AO43,AO43,CV43,CO43,IF(OptControl=4,0,1),0)-EURO(CP43,Strike1,AO43,AO43,CV43,CO43-1,IF(OptControl=4,0,1),0),0)</f>
        <v>0</v>
      </c>
      <c r="DB43" s="470" t="n">
        <f aca="false">IF(BD43,EURO(CP43,Strike2,AO43,AO43,CW43,CO43,IF(OptControl=3,1,0),0),0)</f>
        <v>0</v>
      </c>
      <c r="DC43" s="470" t="n">
        <f aca="false">IF(BD43,EURO(CP43,Strike2,AO43,AO43,CW43,CO43,IF(OptControl=3,1,0),1)+IF(OR(VolSkewFlag=2,ABS(CR43)&lt;0.0001),0,IF(CR43&gt;0,-1,1)*DD43*100*Strike2/CP43^2*CT43/10%),0)</f>
        <v>0</v>
      </c>
      <c r="DD43" s="470" t="n">
        <f aca="false">IF(BD43,EURO(CP43,Strike2,AO43,AO43,CW43,CO43,IF(OptControl=3,1,0),3)/100,0)</f>
        <v>0</v>
      </c>
      <c r="DE43" s="472" t="n">
        <f aca="false">IF(BD43,EURO(CP43,Strike2,AO43,AO43,CW43,CO43,IF(OptControl=3,1,0),0)-EURO(CP43,Strike2,AO43,AO43,CW43,CO43-1,IF(OptControl=3,1,0),0),0)</f>
        <v>0</v>
      </c>
      <c r="DF43" s="1"/>
      <c r="DG43" s="481" t="n">
        <f aca="false">EOMONTH(DG42,0)+1</f>
        <v>46388</v>
      </c>
      <c r="DH43" s="478" t="n">
        <v>20.07</v>
      </c>
      <c r="DI43" s="479" t="n">
        <v>19.8786363636364</v>
      </c>
      <c r="DJ43" s="480" t="n">
        <f aca="false">DG43</f>
        <v>46388</v>
      </c>
      <c r="DK43" s="478" t="n">
        <v>18.8233333333333</v>
      </c>
      <c r="DL43" s="479" t="n">
        <v>18.6430303030303</v>
      </c>
      <c r="DM43" s="481" t="n">
        <f aca="false">DG43</f>
        <v>46388</v>
      </c>
      <c r="DN43" s="482" t="n">
        <f aca="false">DK43+BrentPhyBrentSpread</f>
        <v>18.8733333333333</v>
      </c>
      <c r="DO43" s="481" t="n">
        <f aca="false">DG43</f>
        <v>46388</v>
      </c>
      <c r="DP43" s="483" t="n">
        <f aca="false">DL43+DQ43</f>
        <v>18.6430303030303</v>
      </c>
      <c r="DQ43" s="546" t="n">
        <v>0</v>
      </c>
      <c r="DR43" s="480" t="n">
        <f aca="false">DG43</f>
        <v>46388</v>
      </c>
      <c r="DS43" s="485" t="n">
        <v>0.230352148868757</v>
      </c>
      <c r="DT43" s="486" t="n">
        <v>0.227339255329426</v>
      </c>
      <c r="DU43" s="480" t="n">
        <f aca="false">DG43</f>
        <v>46388</v>
      </c>
      <c r="DV43" s="485" t="n">
        <v>0.230352148868757</v>
      </c>
      <c r="DW43" s="486" t="n">
        <v>0.227339255329426</v>
      </c>
      <c r="DX43" s="481" t="n">
        <f aca="false">DG43</f>
        <v>46388</v>
      </c>
      <c r="DY43" s="486" t="n">
        <v>0.350000019073486</v>
      </c>
      <c r="DZ43" s="481" t="n">
        <f aca="false">DR43</f>
        <v>46388</v>
      </c>
      <c r="EA43" s="486" t="n">
        <f aca="false">DT43</f>
        <v>0.227339255329426</v>
      </c>
      <c r="EB43" s="648"/>
      <c r="EC43" s="547" t="str">
        <f aca="false">IF(BD43,IF(Underlying=1,AS43,AU43),"")</f>
        <v/>
      </c>
      <c r="ED43" s="548" t="str">
        <f aca="false">IF($BD43,$EC43+IF(VolSkewFlag=1,IF(BS43&gt;0,$BA43*MIN(BS43/10%,1)+($BB43-$BA43)*MAX(0,MIN(BS43/10%-1,1))+($BC43-$BB43)*MAX(0,BS43/10%-2),$AZ43*MIN(-BS43/10%,1)+($AY43-$AZ43)*MAX(0,MIN(-BS43/10%-1,1))+($AX43-$AY43)*MAX(0,-BS43/10%-2)),0),"")</f>
        <v/>
      </c>
      <c r="EE43" s="549" t="str">
        <f aca="false">IF($BD43,$EC43+IF(VolSkewFlag=1,IF(BT43&gt;0,$BA43*MIN(BT43/10%,1)+($BB43-$BA43)*MAX(0,MIN(BT43/10%-1,1))+($BC43-$BB43)*MAX(0,BT43/10%-2),$AZ43*MIN(-BT43/10%,1)+($AY43-$AZ43)*MAX(0,MIN(-BT43/10%-1,1))+($AX43-$AY43)*MAX(0,-BT43/10%-2)),0),"")</f>
        <v/>
      </c>
      <c r="EF43" s="550" t="n">
        <f aca="false">IF(BD43,xASN(BR43,Strike1,AO43,ED43,0,BO43,0,BI43,BL43,IF(OptControl=4,0,1),0),0)</f>
        <v>0</v>
      </c>
      <c r="EG43" s="551" t="n">
        <f aca="false">IF(BD43,xASN(BR43,Strike2,AO43,EE43,0,BO43,0,BI43,BL43,IF(OptControl=3,1,0),0),0)</f>
        <v>0</v>
      </c>
      <c r="EI43" s="583" t="str">
        <f aca="false">DDE("TWINDDE","RSFRecord","CLc24 MTH")</f>
        <v>AUG2</v>
      </c>
      <c r="EJ43" s="584" t="n">
        <f aca="false">DATEVALUE(CONCATENATE(LEFT(EI43,3),"-",IF(VALUE(RIGHT(EI43,1))=9,"1999",CONCATENATE("200",RIGHT(EI43,1)))))</f>
        <v>37469</v>
      </c>
      <c r="EK43" s="585" t="n">
        <f aca="false">DDE("TWINDDE","RSFRecord","CLc24 NET.CHNG")</f>
        <v>0</v>
      </c>
      <c r="EL43" s="586" t="n">
        <f aca="false">IF(ISNUMBER(VALUE(EK43)),VALUE(EK43)*100,0)</f>
        <v>0</v>
      </c>
      <c r="EM43" s="648"/>
      <c r="EN43" s="556" t="n">
        <v>38537</v>
      </c>
      <c r="EO43" s="557" t="n">
        <v>40902</v>
      </c>
      <c r="EP43" s="648"/>
      <c r="EQ43" s="407" t="s">
        <v>265</v>
      </c>
      <c r="ES43" s="587" t="n">
        <v>24</v>
      </c>
      <c r="ET43" s="559" t="n">
        <f aca="false">BH43/365.25</f>
        <v>-23.192334017796</v>
      </c>
      <c r="EU43" s="560" t="n">
        <f aca="false">O43^2*ET43</f>
        <v>-0</v>
      </c>
      <c r="EV43" s="588" t="e">
        <f aca="false">SQRT(SUM(FK43:ID43)/ET43)</f>
        <v>#VALUE!</v>
      </c>
      <c r="EW43" s="589" t="str">
        <f aca="false">IF(OR(DateStart2&gt;I42,DateEnd2&lt;I41),"",IF(DateStart2&lt;I42,AK41/AI41*AP41*BE41*SwaptionNumOfMonths/$D$33,0)+IF(DateEnd2&gt;I41,AJ42/AI42*AP42*BE42*SwaptionNumOfMonths/$D$33,0))</f>
        <v/>
      </c>
      <c r="EX43" s="590" t="str">
        <f aca="false">IF(EW43="","",SQRT(SUM(FK348:ID348)/SwaptionYearsToExp))</f>
        <v/>
      </c>
      <c r="EY43" s="129" t="n">
        <v>0</v>
      </c>
      <c r="EZ43" s="591" t="str">
        <f aca="false">IF(OR(EW43="",EW44=""),"",SQRT(SUM(INDEX(FK43:ID43,SwaptionFirstMonthPosition+1):INDEX(FK43:ID43,FJ43))/SUM(INDEX($FK$15:$ID$15,SwaptionFirstMonthPosition+1):INDEX($FK$15:$ID$15,FJ43))))</f>
        <v/>
      </c>
      <c r="FA43" s="592" t="str">
        <f aca="false">IF(OR(EW43="",EW42=""),"",SQRT(SUM(INDEX(FK43:ID43,SwaptionFirstMonthPosition+1):INDEX(FK43:ID43,FJ43-1))/SUM(INDEX($FK$15:$ID$15,SwaptionFirstMonthPosition+1):INDEX($FK$15:$ID$15,FJ43-1))))</f>
        <v/>
      </c>
      <c r="FB43" s="593" t="str">
        <f aca="false">IF(BE43,2/3*EZ44+1/3*FA45,"")</f>
        <v/>
      </c>
      <c r="FC43" s="596" t="str">
        <f aca="false">IF(BE43,(I44+I43-1)/2-DateToday,"")</f>
        <v/>
      </c>
      <c r="FD43" s="483" t="str">
        <f aca="false">IF(BE43,CHOOSE(Underlying,X43,Z43)+SwaptionUnderlyingPrice-$D$26,"")</f>
        <v/>
      </c>
      <c r="FE43" s="483" t="str">
        <f aca="false">IF(BE43,CollartionFloor/FD43-1,"")</f>
        <v/>
      </c>
      <c r="FF43" s="483" t="str">
        <f aca="false">IF(BE43,CollartionCap/FD43-1,"")</f>
        <v/>
      </c>
      <c r="FG43" s="485" t="str">
        <f aca="false">IF(BE43,IF(VolSkewFlag=1,IF(FE43&gt;0,$BA43*MIN(FE43/10%,1)+($BB43-$BA43)*MAX(0,MIN(FE43/10%-1,1))+($BC43-$BB43)*MAX(0,FE43/10%-2),$AZ43*MIN(-FE43/10%,1)+($AY43-$AZ43)*MAX(0,MIN(-FE43/10%-1,1))+($AX43-$AY43)*MAX(0,-FE43/10%-2)),0),"")</f>
        <v/>
      </c>
      <c r="FH43" s="486" t="str">
        <f aca="false">IF(BE43,IF(VolSkewFlag=1,IF(FF43&gt;0,$BA43*MIN(FF43/10%,1)+($BB43-$BA43)*MAX(0,MIN(FF43/10%-1,1))+($BC43-$BB43)*MAX(0,FF43/10%-2),$AZ43*MIN(-FF43/10%,1)+($AY43-$AZ43)*MAX(0,MIN(-FF43/10%-1,1))+($AX43-$AY43)*MAX(0,-FF43/10%-2)),0),"")</f>
        <v/>
      </c>
      <c r="FI43" s="129"/>
      <c r="FJ43" s="571" t="n">
        <v>24</v>
      </c>
      <c r="FK43" s="150" t="n">
        <f aca="false">IF(FK$19&gt;$FJ43,"",MAX(0,IF(FK$19=$FJ43,$S43^2*FK$15,FK42*INDEX($T$20:$T$91,$FJ43-FK$19)^2/INDEX($U$20:$U$91,$FJ43-FK$19))))</f>
        <v>0</v>
      </c>
      <c r="FL43" s="150" t="n">
        <f aca="false">IF(FL$19&gt;$FJ43,"",MAX(0,IF(FL$19=$FJ43,$S43^2*FL$15,FL42*INDEX($T$20:$T$91,$FJ43-FL$19)^2/INDEX($U$20:$U$91,$FJ43-FL$19))))</f>
        <v>0</v>
      </c>
      <c r="FM43" s="150" t="n">
        <f aca="false">IF(FM$19&gt;$FJ43,"",MAX(0,IF(FM$19=$FJ43,$S43^2*FM$15,FM42*INDEX($T$20:$T$91,$FJ43-FM$19)^2/INDEX($U$20:$U$91,$FJ43-FM$19))))</f>
        <v>0.00269848016663449</v>
      </c>
      <c r="FN43" s="150" t="n">
        <f aca="false">IF(FN$19&gt;$FJ43,"",MAX(0,IF(FN$19=$FJ43,$S43^2*FN$15,FN42*INDEX($T$20:$T$91,$FJ43-FN$19)^2/INDEX($U$20:$U$91,$FJ43-FN$19))))</f>
        <v>0.00229368726246255</v>
      </c>
      <c r="FO43" s="150" t="n">
        <f aca="false">IF(FO$19&gt;$FJ43,"",MAX(0,IF(FO$19=$FJ43,$S43^2*FO$15,FO42*INDEX($T$20:$T$91,$FJ43-FO$19)^2/INDEX($U$20:$U$91,$FJ43-FO$19))))</f>
        <v>0.0024134113621585</v>
      </c>
      <c r="FP43" s="150" t="n">
        <f aca="false">IF(FP$19&gt;$FJ43,"",MAX(0,IF(FP$19=$FJ43,$S43^2*FP$15,FP42*INDEX($T$20:$T$91,$FJ43-FP$19)^2/INDEX($U$20:$U$91,$FJ43-FP$19))))</f>
        <v>0.0027106121629512</v>
      </c>
      <c r="FQ43" s="150" t="n">
        <f aca="false">IF(FQ$19&gt;$FJ43,"",MAX(0,IF(FQ$19=$FJ43,$S43^2*FQ$15,FQ42*INDEX($T$20:$T$91,$FJ43-FQ$19)^2/INDEX($U$20:$U$91,$FJ43-FQ$19))))</f>
        <v>0.00222944849273327</v>
      </c>
      <c r="FR43" s="150" t="n">
        <f aca="false">IF(FR$19&gt;$FJ43,"",MAX(0,IF(FR$19=$FJ43,$S43^2*FR$15,FR42*INDEX($T$20:$T$91,$FJ43-FR$19)^2/INDEX($U$20:$U$91,$FJ43-FR$19))))</f>
        <v>0.00232205193487148</v>
      </c>
      <c r="FS43" s="150" t="n">
        <f aca="false">IF(FS$19&gt;$FJ43,"",MAX(0,IF(FS$19=$FJ43,$S43^2*FS$15,FS42*INDEX($T$20:$T$91,$FJ43-FS$19)^2/INDEX($U$20:$U$91,$FJ43-FS$19))))</f>
        <v>0.00267408091986595</v>
      </c>
      <c r="FT43" s="150" t="n">
        <f aca="false">IF(FT$19&gt;$FJ43,"",MAX(0,IF(FT$19=$FJ43,$S43^2*FT$15,FT42*INDEX($T$20:$T$91,$FJ43-FT$19)^2/INDEX($U$20:$U$91,$FJ43-FT$19))))</f>
        <v>0.00247529057572839</v>
      </c>
      <c r="FU43" s="150" t="n">
        <f aca="false">IF(FU$19&gt;$FJ43,"",MAX(0,IF(FU$19=$FJ43,$S43^2*FU$15,FU42*INDEX($T$20:$T$91,$FJ43-FU$19)^2/INDEX($U$20:$U$91,$FJ43-FU$19))))</f>
        <v>0.00245150073042269</v>
      </c>
      <c r="FV43" s="150" t="n">
        <f aca="false">IF(FV$19&gt;$FJ43,"",MAX(0,IF(FV$19=$FJ43,$S43^2*FV$15,FV42*INDEX($T$20:$T$91,$FJ43-FV$19)^2/INDEX($U$20:$U$91,$FJ43-FV$19))))</f>
        <v>0.0027895669261579</v>
      </c>
      <c r="FW43" s="150" t="n">
        <f aca="false">IF(FW$19&gt;$FJ43,"",MAX(0,IF(FW$19=$FJ43,$S43^2*FW$15,FW42*INDEX($T$20:$T$91,$FJ43-FW$19)^2/INDEX($U$20:$U$91,$FJ43-FW$19))))</f>
        <v>0.0027160062943338</v>
      </c>
      <c r="FX43" s="150" t="n">
        <f aca="false">IF(FX$19&gt;$FJ43,"",MAX(0,IF(FX$19=$FJ43,$S43^2*FX$15,FX42*INDEX($T$20:$T$91,$FJ43-FX$19)^2/INDEX($U$20:$U$91,$FJ43-FX$19))))</f>
        <v>0.00303253931991248</v>
      </c>
      <c r="FY43" s="150" t="n">
        <f aca="false">IF(FY$19&gt;$FJ43,"",MAX(0,IF(FY$19=$FJ43,$S43^2*FY$15,FY42*INDEX($T$20:$T$91,$FJ43-FY$19)^2/INDEX($U$20:$U$91,$FJ43-FY$19))))</f>
        <v>0.00300273582040435</v>
      </c>
      <c r="FZ43" s="150" t="n">
        <f aca="false">IF(FZ$19&gt;$FJ43,"",MAX(0,IF(FZ$19=$FJ43,$S43^2*FZ$15,FZ42*INDEX($T$20:$T$91,$FJ43-FZ$19)^2/INDEX($U$20:$U$91,$FJ43-FZ$19))))</f>
        <v>0.00299074351870265</v>
      </c>
      <c r="GA43" s="150" t="n">
        <f aca="false">IF(GA$19&gt;$FJ43,"",MAX(0,IF(GA$19=$FJ43,$S43^2*GA$15,GA42*INDEX($T$20:$T$91,$FJ43-GA$19)^2/INDEX($U$20:$U$91,$FJ43-GA$19))))</f>
        <v>0.00346090157590255</v>
      </c>
      <c r="GB43" s="150" t="n">
        <f aca="false">IF(GB$19&gt;$FJ43,"",MAX(0,IF(GB$19=$FJ43,$S43^2*GB$15,GB42*INDEX($T$20:$T$91,$FJ43-GB$19)^2/INDEX($U$20:$U$91,$FJ43-GB$19))))</f>
        <v>0.00417015774223316</v>
      </c>
      <c r="GC43" s="150" t="n">
        <f aca="false">IF(GC$19&gt;$FJ43,"",MAX(0,IF(GC$19=$FJ43,$S43^2*GC$15,GC42*INDEX($T$20:$T$91,$FJ43-GC$19)^2/INDEX($U$20:$U$91,$FJ43-GC$19))))</f>
        <v>0.00408161294708608</v>
      </c>
      <c r="GD43" s="150" t="n">
        <f aca="false">IF(GD$19&gt;$FJ43,"",MAX(0,IF(GD$19=$FJ43,$S43^2*GD$15,GD42*INDEX($T$20:$T$91,$FJ43-GD$19)^2/INDEX($U$20:$U$91,$FJ43-GD$19))))</f>
        <v>0.00463655333947586</v>
      </c>
      <c r="GE43" s="150" t="n">
        <f aca="false">IF(GE$19&gt;$FJ43,"",MAX(0,IF(GE$19=$FJ43,$S43^2*GE$15,GE42*INDEX($T$20:$T$91,$FJ43-GE$19)^2/INDEX($U$20:$U$91,$FJ43-GE$19))))</f>
        <v>0.00613602004738438</v>
      </c>
      <c r="GF43" s="150" t="n">
        <f aca="false">IF(GF$19&gt;$FJ43,"",MAX(0,IF(GF$19=$FJ43,$S43^2*GF$15,GF42*INDEX($T$20:$T$91,$FJ43-GF$19)^2/INDEX($U$20:$U$91,$FJ43-GF$19))))</f>
        <v>0.00645032335265843</v>
      </c>
      <c r="GG43" s="150" t="n">
        <f aca="false">IF(GG$19&gt;$FJ43,"",MAX(0,IF(GG$19=$FJ43,$S43^2*GG$15,GG42*INDEX($T$20:$T$91,$FJ43-GG$19)^2/INDEX($U$20:$U$91,$FJ43-GG$19))))</f>
        <v>0.00880823539808378</v>
      </c>
      <c r="GH43" s="150" t="n">
        <f aca="false">IF(GH$19&gt;$FJ43,"",MAX(0,IF(GH$19=$FJ43,$S43^2*GH$15,GH42*INDEX($T$20:$T$91,$FJ43-GH$19)^2/INDEX($U$20:$U$91,$FJ43-GH$19))))</f>
        <v>0.0106489838788138</v>
      </c>
      <c r="GI43" s="150" t="str">
        <f aca="false">IF(GI$19&gt;$FJ43,"",MAX(0,IF(GI$19=$FJ43,$S43^2*GI$15,GI42*INDEX($T$20:$T$91,$FJ43-GI$19)^2/INDEX($U$20:$U$91,$FJ43-GI$19))))</f>
        <v/>
      </c>
      <c r="GJ43" s="150" t="str">
        <f aca="false">IF(GJ$19&gt;$FJ43,"",MAX(0,IF(GJ$19=$FJ43,$S43^2*GJ$15,GJ42*INDEX($T$20:$T$91,$FJ43-GJ$19)^2/INDEX($U$20:$U$91,$FJ43-GJ$19))))</f>
        <v/>
      </c>
      <c r="GK43" s="150" t="str">
        <f aca="false">IF(GK$19&gt;$FJ43,"",MAX(0,IF(GK$19=$FJ43,$S43^2*GK$15,GK42*INDEX($T$20:$T$91,$FJ43-GK$19)^2/INDEX($U$20:$U$91,$FJ43-GK$19))))</f>
        <v/>
      </c>
      <c r="GL43" s="150" t="str">
        <f aca="false">IF(GL$19&gt;$FJ43,"",MAX(0,IF(GL$19=$FJ43,$S43^2*GL$15,GL42*INDEX($T$20:$T$91,$FJ43-GL$19)^2/INDEX($U$20:$U$91,$FJ43-GL$19))))</f>
        <v/>
      </c>
      <c r="GM43" s="150" t="str">
        <f aca="false">IF(GM$19&gt;$FJ43,"",MAX(0,IF(GM$19=$FJ43,$S43^2*GM$15,GM42*INDEX($T$20:$T$91,$FJ43-GM$19)^2/INDEX($U$20:$U$91,$FJ43-GM$19))))</f>
        <v/>
      </c>
      <c r="GN43" s="150" t="str">
        <f aca="false">IF(GN$19&gt;$FJ43,"",MAX(0,IF(GN$19=$FJ43,$S43^2*GN$15,GN42*INDEX($T$20:$T$91,$FJ43-GN$19)^2/INDEX($U$20:$U$91,$FJ43-GN$19))))</f>
        <v/>
      </c>
      <c r="GO43" s="150" t="str">
        <f aca="false">IF(GO$19&gt;$FJ43,"",MAX(0,IF(GO$19=$FJ43,$S43^2*GO$15,GO42*INDEX($T$20:$T$91,$FJ43-GO$19)^2/INDEX($U$20:$U$91,$FJ43-GO$19))))</f>
        <v/>
      </c>
      <c r="GP43" s="150" t="str">
        <f aca="false">IF(GP$19&gt;$FJ43,"",MAX(0,IF(GP$19=$FJ43,$S43^2*GP$15,GP42*INDEX($T$20:$T$91,$FJ43-GP$19)^2/INDEX($U$20:$U$91,$FJ43-GP$19))))</f>
        <v/>
      </c>
      <c r="GQ43" s="150" t="str">
        <f aca="false">IF(GQ$19&gt;$FJ43,"",MAX(0,IF(GQ$19=$FJ43,$S43^2*GQ$15,GQ42*INDEX($T$20:$T$91,$FJ43-GQ$19)^2/INDEX($U$20:$U$91,$FJ43-GQ$19))))</f>
        <v/>
      </c>
      <c r="GR43" s="150" t="str">
        <f aca="false">IF(GR$19&gt;$FJ43,"",MAX(0,IF(GR$19=$FJ43,$S43^2*GR$15,GR42*INDEX($T$20:$T$91,$FJ43-GR$19)^2/INDEX($U$20:$U$91,$FJ43-GR$19))))</f>
        <v/>
      </c>
      <c r="GS43" s="150" t="str">
        <f aca="false">IF(GS$19&gt;$FJ43,"",MAX(0,IF(GS$19=$FJ43,$S43^2*GS$15,GS42*INDEX($T$20:$T$91,$FJ43-GS$19)^2/INDEX($U$20:$U$91,$FJ43-GS$19))))</f>
        <v/>
      </c>
      <c r="GT43" s="150" t="str">
        <f aca="false">IF(GT$19&gt;$FJ43,"",MAX(0,IF(GT$19=$FJ43,$S43^2*GT$15,GT42*INDEX($T$20:$T$91,$FJ43-GT$19)^2/INDEX($U$20:$U$91,$FJ43-GT$19))))</f>
        <v/>
      </c>
      <c r="GU43" s="150" t="str">
        <f aca="false">IF(GU$19&gt;$FJ43,"",MAX(0,IF(GU$19=$FJ43,$S43^2*GU$15,GU42*INDEX($T$20:$T$91,$FJ43-GU$19)^2/INDEX($U$20:$U$91,$FJ43-GU$19))))</f>
        <v/>
      </c>
      <c r="GV43" s="150" t="str">
        <f aca="false">IF(GV$19&gt;$FJ43,"",MAX(0,IF(GV$19=$FJ43,$S43^2*GV$15,GV42*INDEX($T$20:$T$91,$FJ43-GV$19)^2/INDEX($U$20:$U$91,$FJ43-GV$19))))</f>
        <v/>
      </c>
      <c r="GW43" s="150" t="str">
        <f aca="false">IF(GW$19&gt;$FJ43,"",MAX(0,IF(GW$19=$FJ43,$S43^2*GW$15,GW42*INDEX($T$20:$T$91,$FJ43-GW$19)^2/INDEX($U$20:$U$91,$FJ43-GW$19))))</f>
        <v/>
      </c>
      <c r="GX43" s="150" t="str">
        <f aca="false">IF(GX$19&gt;$FJ43,"",MAX(0,IF(GX$19=$FJ43,$S43^2*GX$15,GX42*INDEX($T$20:$T$91,$FJ43-GX$19)^2/INDEX($U$20:$U$91,$FJ43-GX$19))))</f>
        <v/>
      </c>
      <c r="GY43" s="150" t="str">
        <f aca="false">IF(GY$19&gt;$FJ43,"",MAX(0,IF(GY$19=$FJ43,$S43^2*GY$15,GY42*INDEX($T$20:$T$91,$FJ43-GY$19)^2/INDEX($U$20:$U$91,$FJ43-GY$19))))</f>
        <v/>
      </c>
      <c r="GZ43" s="150" t="str">
        <f aca="false">IF(GZ$19&gt;$FJ43,"",MAX(0,IF(GZ$19=$FJ43,$S43^2*GZ$15,GZ42*INDEX($T$20:$T$91,$FJ43-GZ$19)^2/INDEX($U$20:$U$91,$FJ43-GZ$19))))</f>
        <v/>
      </c>
      <c r="HA43" s="150" t="str">
        <f aca="false">IF(HA$19&gt;$FJ43,"",MAX(0,IF(HA$19=$FJ43,$S43^2*HA$15,HA42*INDEX($T$20:$T$91,$FJ43-HA$19)^2/INDEX($U$20:$U$91,$FJ43-HA$19))))</f>
        <v/>
      </c>
      <c r="HB43" s="150" t="str">
        <f aca="false">IF(HB$19&gt;$FJ43,"",MAX(0,IF(HB$19=$FJ43,$S43^2*HB$15,HB42*INDEX($T$20:$T$91,$FJ43-HB$19)^2/INDEX($U$20:$U$91,$FJ43-HB$19))))</f>
        <v/>
      </c>
      <c r="HC43" s="150" t="str">
        <f aca="false">IF(HC$19&gt;$FJ43,"",MAX(0,IF(HC$19=$FJ43,$S43^2*HC$15,HC42*INDEX($T$20:$T$91,$FJ43-HC$19)^2/INDEX($U$20:$U$91,$FJ43-HC$19))))</f>
        <v/>
      </c>
      <c r="HD43" s="150" t="str">
        <f aca="false">IF(HD$19&gt;$FJ43,"",MAX(0,IF(HD$19=$FJ43,$S43^2*HD$15,HD42*INDEX($T$20:$T$91,$FJ43-HD$19)^2/INDEX($U$20:$U$91,$FJ43-HD$19))))</f>
        <v/>
      </c>
      <c r="HE43" s="150" t="str">
        <f aca="false">IF(HE$19&gt;$FJ43,"",MAX(0,IF(HE$19=$FJ43,$S43^2*HE$15,HE42*INDEX($T$20:$T$91,$FJ43-HE$19)^2/INDEX($U$20:$U$91,$FJ43-HE$19))))</f>
        <v/>
      </c>
      <c r="HF43" s="150" t="str">
        <f aca="false">IF(HF$19&gt;$FJ43,"",MAX(0,IF(HF$19=$FJ43,$S43^2*HF$15,HF42*INDEX($T$20:$T$91,$FJ43-HF$19)^2/INDEX($U$20:$U$91,$FJ43-HF$19))))</f>
        <v/>
      </c>
      <c r="HG43" s="150" t="str">
        <f aca="false">IF(HG$19&gt;$FJ43,"",MAX(0,IF(HG$19=$FJ43,$S43^2*HG$15,HG42*INDEX($T$20:$T$91,$FJ43-HG$19)^2/INDEX($U$20:$U$91,$FJ43-HG$19))))</f>
        <v/>
      </c>
      <c r="HH43" s="150" t="str">
        <f aca="false">IF(HH$19&gt;$FJ43,"",MAX(0,IF(HH$19=$FJ43,$S43^2*HH$15,HH42*INDEX($T$20:$T$91,$FJ43-HH$19)^2/INDEX($U$20:$U$91,$FJ43-HH$19))))</f>
        <v/>
      </c>
      <c r="HI43" s="150" t="str">
        <f aca="false">IF(HI$19&gt;$FJ43,"",MAX(0,IF(HI$19=$FJ43,$S43^2*HI$15,HI42*INDEX($T$20:$T$91,$FJ43-HI$19)^2/INDEX($U$20:$U$91,$FJ43-HI$19))))</f>
        <v/>
      </c>
      <c r="HJ43" s="150" t="str">
        <f aca="false">IF(HJ$19&gt;$FJ43,"",MAX(0,IF(HJ$19=$FJ43,$S43^2*HJ$15,HJ42*INDEX($T$20:$T$91,$FJ43-HJ$19)^2/INDEX($U$20:$U$91,$FJ43-HJ$19))))</f>
        <v/>
      </c>
      <c r="HK43" s="150" t="str">
        <f aca="false">IF(HK$19&gt;$FJ43,"",MAX(0,IF(HK$19=$FJ43,$S43^2*HK$15,HK42*INDEX($T$20:$T$91,$FJ43-HK$19)^2/INDEX($U$20:$U$91,$FJ43-HK$19))))</f>
        <v/>
      </c>
      <c r="HL43" s="150" t="str">
        <f aca="false">IF(HL$19&gt;$FJ43,"",MAX(0,IF(HL$19=$FJ43,$S43^2*HL$15,HL42*INDEX($T$20:$T$91,$FJ43-HL$19)^2/INDEX($U$20:$U$91,$FJ43-HL$19))))</f>
        <v/>
      </c>
      <c r="HM43" s="150" t="str">
        <f aca="false">IF(HM$19&gt;$FJ43,"",MAX(0,IF(HM$19=$FJ43,$S43^2*HM$15,HM42*INDEX($T$20:$T$91,$FJ43-HM$19)^2/INDEX($U$20:$U$91,$FJ43-HM$19))))</f>
        <v/>
      </c>
      <c r="HN43" s="150" t="str">
        <f aca="false">IF(HN$19&gt;$FJ43,"",MAX(0,IF(HN$19=$FJ43,$S43^2*HN$15,HN42*INDEX($T$20:$T$91,$FJ43-HN$19)^2/INDEX($U$20:$U$91,$FJ43-HN$19))))</f>
        <v/>
      </c>
      <c r="HO43" s="150" t="str">
        <f aca="false">IF(HO$19&gt;$FJ43,"",MAX(0,IF(HO$19=$FJ43,$S43^2*HO$15,HO42*INDEX($T$20:$T$91,$FJ43-HO$19)^2/INDEX($U$20:$U$91,$FJ43-HO$19))))</f>
        <v/>
      </c>
      <c r="HP43" s="150" t="str">
        <f aca="false">IF(HP$19&gt;$FJ43,"",MAX(0,IF(HP$19=$FJ43,$S43^2*HP$15,HP42*INDEX($T$20:$T$91,$FJ43-HP$19)^2/INDEX($U$20:$U$91,$FJ43-HP$19))))</f>
        <v/>
      </c>
      <c r="HQ43" s="150" t="str">
        <f aca="false">IF(HQ$19&gt;$FJ43,"",MAX(0,IF(HQ$19=$FJ43,$S43^2*HQ$15,HQ42*INDEX($T$20:$T$91,$FJ43-HQ$19)^2/INDEX($U$20:$U$91,$FJ43-HQ$19))))</f>
        <v/>
      </c>
      <c r="HR43" s="150" t="str">
        <f aca="false">IF(HR$19&gt;$FJ43,"",MAX(0,IF(HR$19=$FJ43,$S43^2*HR$15,HR42*INDEX($T$20:$T$91,$FJ43-HR$19)^2/INDEX($U$20:$U$91,$FJ43-HR$19))))</f>
        <v/>
      </c>
      <c r="HS43" s="150" t="str">
        <f aca="false">IF(HS$19&gt;$FJ43,"",MAX(0,IF(HS$19=$FJ43,$S43^2*HS$15,HS42*INDEX($T$20:$T$91,$FJ43-HS$19)^2/INDEX($U$20:$U$91,$FJ43-HS$19))))</f>
        <v/>
      </c>
      <c r="HT43" s="150" t="str">
        <f aca="false">IF(HT$19&gt;$FJ43,"",MAX(0,IF(HT$19=$FJ43,$S43^2*HT$15,HT42*INDEX($T$20:$T$91,$FJ43-HT$19)^2/INDEX($U$20:$U$91,$FJ43-HT$19))))</f>
        <v/>
      </c>
      <c r="HU43" s="150" t="str">
        <f aca="false">IF(HU$19&gt;$FJ43,"",MAX(0,IF(HU$19=$FJ43,$S43^2*HU$15,HU42*INDEX($T$20:$T$91,$FJ43-HU$19)^2/INDEX($U$20:$U$91,$FJ43-HU$19))))</f>
        <v/>
      </c>
      <c r="HV43" s="150" t="str">
        <f aca="false">IF(HV$19&gt;$FJ43,"",MAX(0,IF(HV$19=$FJ43,$S43^2*HV$15,HV42*INDEX($T$20:$T$91,$FJ43-HV$19)^2/INDEX($U$20:$U$91,$FJ43-HV$19))))</f>
        <v/>
      </c>
      <c r="HW43" s="150" t="str">
        <f aca="false">IF(HW$19&gt;$FJ43,"",MAX(0,IF(HW$19=$FJ43,$S43^2*HW$15,HW42*INDEX($T$20:$T$91,$FJ43-HW$19)^2/INDEX($U$20:$U$91,$FJ43-HW$19))))</f>
        <v/>
      </c>
      <c r="HX43" s="150" t="str">
        <f aca="false">IF(HX$19&gt;$FJ43,"",MAX(0,IF(HX$19=$FJ43,$S43^2*HX$15,HX42*INDEX($T$20:$T$91,$FJ43-HX$19)^2/INDEX($U$20:$U$91,$FJ43-HX$19))))</f>
        <v/>
      </c>
      <c r="HY43" s="150" t="str">
        <f aca="false">IF(HY$19&gt;$FJ43,"",MAX(0,IF(HY$19=$FJ43,$S43^2*HY$15,HY42*INDEX($T$20:$T$91,$FJ43-HY$19)^2/INDEX($U$20:$U$91,$FJ43-HY$19))))</f>
        <v/>
      </c>
      <c r="HZ43" s="150" t="str">
        <f aca="false">IF(HZ$19&gt;$FJ43,"",MAX(0,IF(HZ$19=$FJ43,$S43^2*HZ$15,HZ42*INDEX($T$20:$T$91,$FJ43-HZ$19)^2/INDEX($U$20:$U$91,$FJ43-HZ$19))))</f>
        <v/>
      </c>
      <c r="IA43" s="150" t="str">
        <f aca="false">IF(IA$19&gt;$FJ43,"",MAX(0,IF(IA$19=$FJ43,$S43^2*IA$15,IA42*INDEX($T$20:$T$91,$FJ43-IA$19)^2/INDEX($U$20:$U$91,$FJ43-IA$19))))</f>
        <v/>
      </c>
      <c r="IB43" s="150" t="str">
        <f aca="false">IF(IB$19&gt;$FJ43,"",MAX(0,IF(IB$19=$FJ43,$S43^2*IB$15,IB42*INDEX($T$20:$T$91,$FJ43-IB$19)^2/INDEX($U$20:$U$91,$FJ43-IB$19))))</f>
        <v/>
      </c>
      <c r="IC43" s="150" t="str">
        <f aca="false">IF(IC$19&gt;$FJ43,"",MAX(0,IF(IC$19=$FJ43,$S43^2*IC$15,IC42*INDEX($T$20:$T$91,$FJ43-IC$19)^2/INDEX($U$20:$U$91,$FJ43-IC$19))))</f>
        <v/>
      </c>
      <c r="ID43" s="572" t="str">
        <f aca="false">IF(ID$19&gt;$FJ43,"",MAX(0,IF(ID$19=$FJ43,$S43^2*ID$15,ID42*INDEX($T$20:$T$91,$FJ43-ID$19)^2/INDEX($U$20:$U$91,$FJ43-ID$19))))</f>
        <v/>
      </c>
      <c r="IE43" s="129"/>
    </row>
    <row r="44" customFormat="false" ht="14.25" hidden="false" customHeight="true" outlineLevel="0" collapsed="false">
      <c r="A44" s="219"/>
      <c r="B44" s="652" t="n">
        <f aca="false">StrikeSpec2</f>
        <v>0</v>
      </c>
      <c r="C44" s="653" t="n">
        <f aca="false">StrikeSpec1</f>
        <v>0</v>
      </c>
      <c r="D44" s="654" t="e">
        <f aca="false">AVERAGE(FH20:FH55)-AVERAGE(FG20:FG55)</f>
        <v>#VALUE!</v>
      </c>
      <c r="E44" s="655" t="n">
        <v>0</v>
      </c>
      <c r="F44" s="656" t="e">
        <f aca="false">xXCOL2(INDEX(FD20:FD55,SwaptionFirstMonthPosition):INDEX(FD20:FD55,SwaptionFirstMonthPosition+SwaptionNumOfMonths-1),INDEX(AO20:AO55,SwaptionFirstMonthPosition):INDEX(AO20:AO55,SwaptionFirstMonthPosition+SwaptionNumOfMonths-1),INDEX(FB20:FB55,SwaptionFirstMonthPosition):INDEX(FB20:FB55,SwaptionFirstMonthPosition+SwaptionNumOfMonths-1),INDEX(FC20:FC55,SwaptionFirstMonthPosition):INDEX(FC20:FC55,SwaptionFirstMonthPosition+SwaptionNumOfMonths-1),E29+E44,D44,B26-DateToday+1,CollartionCap,CollartionFloor,0.05,100,0)</f>
        <v>#NAME?</v>
      </c>
      <c r="G44" s="657" t="e">
        <f aca="false">xXCOL2(INDEX(FD20:FD55,SwaptionFirstMonthPosition):INDEX(FD20:FD55,SwaptionFirstMonthPosition+SwaptionNumOfMonths-1),INDEX(AO20:AO55,SwaptionFirstMonthPosition):INDEX(AO20:AO55,SwaptionFirstMonthPosition+SwaptionNumOfMonths-1),INDEX(FB20:FB55,SwaptionFirstMonthPosition):INDEX(FB20:FB55,SwaptionFirstMonthPosition+SwaptionNumOfMonths-1),INDEX(FC20:FC55,SwaptionFirstMonthPosition):INDEX(FC20:FC55,SwaptionFirstMonthPosition+SwaptionNumOfMonths-1),E29+E44,D44,B26-DateToday+1,CollartionCap,CollartionFloor,0.05,100,1)</f>
        <v>#NAME?</v>
      </c>
      <c r="H44" s="219" t="n">
        <f aca="false">VLOOKUP(I44,$EJ$20:$EL$54,3)</f>
        <v>0</v>
      </c>
      <c r="I44" s="511" t="n">
        <f aca="false">EOMONTH(I43,0)+1</f>
        <v>37500</v>
      </c>
      <c r="J44" s="512"/>
      <c r="K44" s="513" t="s">
        <v>226</v>
      </c>
      <c r="L44" s="514" t="e">
        <f aca="false">IF(ISNUMBER(K44),J44+K44/100,IF(K44="extra",L43+VLOOKUP(BF44,PriceSpreadTable,2)/12,IF(K44="inter",interpolateprices($K$19:$L$200,ROW(K44)-ROW(FirstPricingMonth)+1),interpolatechanges($J$19:$K$200,ROW(K44)-ROW(FirstPricingMonth)+1))))</f>
        <v>#VALUE!</v>
      </c>
      <c r="M44" s="515"/>
      <c r="N44" s="516" t="n">
        <v>0</v>
      </c>
      <c r="O44" s="515" t="n">
        <f aca="false">M44+N44</f>
        <v>0</v>
      </c>
      <c r="P44" s="512"/>
      <c r="Q44" s="513" t="s">
        <v>250</v>
      </c>
      <c r="R44" s="512" t="e">
        <f aca="false">IF(ISNUMBER(Q44),P44+Q44/100,IF(Q44="extra",(Z42*AL42-R43*AM42)/AN42,IF(Q44="inter",interpolateprices($Q$19:$R$260,ROW(Q44)-ROW(FirstPricingMonth)+1),interpolatechanges($P$19:$Q$260,ROW(Q44)-ROW(FirstPricingMonth)+1))))</f>
        <v>#VALUE!</v>
      </c>
      <c r="S44" s="597" t="n">
        <f aca="false">S$19+(S43-S$19)*S$18</f>
        <v>0.36005351420147</v>
      </c>
      <c r="T44" s="575" t="n">
        <f aca="false">SQRT((1-(1-T43^2/U43)*T$18)*U44)</f>
        <v>0.997372844360735</v>
      </c>
      <c r="U44" s="576" t="n">
        <f aca="false">1-(1-U43)*U$18</f>
        <v>0.999984949130837</v>
      </c>
      <c r="V44" s="521" t="n">
        <v>0</v>
      </c>
      <c r="W44" s="577" t="n">
        <f aca="false">(J45*AJ44+J46*AK44)/AI44</f>
        <v>0</v>
      </c>
      <c r="X44" s="578" t="e">
        <f aca="false">(L45*AJ44+L46*AK44)/AI44</f>
        <v>#VALUE!</v>
      </c>
      <c r="Y44" s="579" t="n">
        <f aca="false">IF(Q46="extra",W44-AA44,(P45*AM44+P46*AN44)/AL44)</f>
        <v>0</v>
      </c>
      <c r="Z44" s="579" t="e">
        <f aca="false">IF(Q46="extra",X44-AB44,(R45*AM44+R46*AN44)/AL44)</f>
        <v>#VALUE!</v>
      </c>
      <c r="AA44" s="523" t="n">
        <f aca="false">IF(Q46="extra",INDEX(BrentSeasonalityTable,INT((BG44-1)/3)+1)*VLOOKUP(MAX(BF44,$AB$4),PriceSpreadTable,3),W44-Y44)</f>
        <v>0</v>
      </c>
      <c r="AB44" s="524" t="e">
        <f aca="false">IF(Q46="extra",INDEX(BrentSeasonalityTable,INT((BG44-1)/3)+1)*VLOOKUP(MAX(BF44,$AB$4),PriceSpreadTable,3),X44-Z44)</f>
        <v>#VALUE!</v>
      </c>
      <c r="AC44" s="525" t="n">
        <v>37488</v>
      </c>
      <c r="AD44" s="646" t="n">
        <v>37483</v>
      </c>
      <c r="AE44" s="526" t="n">
        <v>37484</v>
      </c>
      <c r="AF44" s="527" t="n">
        <v>37479</v>
      </c>
      <c r="AG44" s="438" t="s">
        <v>224</v>
      </c>
      <c r="AH44" s="439" t="s">
        <v>247</v>
      </c>
      <c r="AI44" s="528" t="n">
        <v>21</v>
      </c>
      <c r="AJ44" s="529" t="n">
        <v>15</v>
      </c>
      <c r="AK44" s="529" t="n">
        <v>6</v>
      </c>
      <c r="AL44" s="530" t="n">
        <v>21</v>
      </c>
      <c r="AM44" s="529" t="n">
        <v>8</v>
      </c>
      <c r="AN44" s="531" t="n">
        <v>13</v>
      </c>
      <c r="AO44" s="532"/>
      <c r="AP44" s="465" t="n">
        <f aca="false">(1+AO44/2)^(-2*BL44)</f>
        <v>1</v>
      </c>
      <c r="AQ44" s="532"/>
      <c r="AR44" s="465" t="n">
        <f aca="false">(1+AQ44/2)^(-2*BH44/365.25)</f>
        <v>1</v>
      </c>
      <c r="AS44" s="580" t="n">
        <f aca="false">(O45*AJ44+O46*AK44)/AI44</f>
        <v>0</v>
      </c>
      <c r="AT44" s="468" t="n">
        <f aca="false">O44*VLOOKUP(BF44,BrentVolTable,2)+VLOOKUP(BF44,BrentVolTable,3)</f>
        <v>0</v>
      </c>
      <c r="AU44" s="468" t="n">
        <f aca="false">(AT45*AM44+AT46*AN44)/AL44</f>
        <v>0</v>
      </c>
      <c r="AV44" s="595" t="n">
        <f aca="false">SQRT(MAX(0.000000000001,(O44^2*BH44-S44^2*(BH44-BH43))/BH43))</f>
        <v>0.0210668067869079</v>
      </c>
      <c r="AW44" s="451" t="n">
        <f aca="false">IF($I44-DateToday+15&gt;=$T$8,"",IF($I44-DateToday+15&lt;$T$5,1,MATCH($I44-DateToday+15,$T$5:$T$8)))</f>
        <v>1</v>
      </c>
      <c r="AX44" s="468" t="n">
        <f aca="false">IF($AW44="",AX43^2/AX42,INDEX(U$5:U$8,$AW44)^((INDEX($T$5:$T$8,$AW44+1)-($I44-DateToday+15))/(INDEX($T$5:$T$8,$AW44+1)-INDEX($T$5:$T$8,$AW44)))/INDEX(U$5:U$8,$AW44+1)^((INDEX($T$5:$T$8,$AW44)-($I44-DateToday+15))/(INDEX($T$5:$T$8,$AW44+1)-INDEX($T$5:$T$8,$AW44))))</f>
        <v>7.51547638457343</v>
      </c>
      <c r="AY44" s="468" t="n">
        <f aca="false">IF($AW44="",AY43^2/AY42,INDEX(V$5:V$8,$AW44)^((INDEX($T$5:$T$8,$AW44+1)-($I44-DateToday+15))/(INDEX($T$5:$T$8,$AW44+1)-INDEX($T$5:$T$8,$AW44)))/INDEX(V$5:V$8,$AW44+1)^((INDEX($T$5:$T$8,$AW44)-($I44-DateToday+15))/(INDEX($T$5:$T$8,$AW44+1)-INDEX($T$5:$T$8,$AW44))))</f>
        <v>1899.5886287823</v>
      </c>
      <c r="AZ44" s="468" t="n">
        <f aca="false">IF($AW44="",AZ43^2/AZ42,INDEX(W$5:W$8,$AW44)^((INDEX($T$5:$T$8,$AW44+1)-($I44-DateToday+15))/(INDEX($T$5:$T$8,$AW44+1)-INDEX($T$5:$T$8,$AW44)))/INDEX(W$5:W$8,$AW44+1)^((INDEX($T$5:$T$8,$AW44)-($I44-DateToday+15))/(INDEX($T$5:$T$8,$AW44+1)-INDEX($T$5:$T$8,$AW44))))</f>
        <v>97369595.0835777</v>
      </c>
      <c r="BA44" s="468" t="n">
        <f aca="false">IF($AW44="",BA43^2/BA42,INDEX(X$5:X$8,$AW44)^((INDEX($T$5:$T$8,$AW44+1)-($I44-DateToday+15))/(INDEX($T$5:$T$8,$AW44+1)-INDEX($T$5:$T$8,$AW44)))/INDEX(X$5:X$8,$AW44+1)^((INDEX($T$5:$T$8,$AW44)-($I44-DateToday+15))/(INDEX($T$5:$T$8,$AW44+1)-INDEX($T$5:$T$8,$AW44))))</f>
        <v>7622696796.10521</v>
      </c>
      <c r="BB44" s="468" t="n">
        <f aca="false">IF($AW44="",BB43^2/BB42,INDEX(Y$5:Y$8,$AW44)^((INDEX($T$5:$T$8,$AW44+1)-($I44-DateToday+15))/(INDEX($T$5:$T$8,$AW44+1)-INDEX($T$5:$T$8,$AW44)))/INDEX(Y$5:Y$8,$AW44+1)^((INDEX($T$5:$T$8,$AW44)-($I44-DateToday+15))/(INDEX($T$5:$T$8,$AW44+1)-INDEX($T$5:$T$8,$AW44))))</f>
        <v>166199292526.58</v>
      </c>
      <c r="BC44" s="468" t="n">
        <f aca="false">IF($AW44="",BC43^2/BC42,INDEX(Z$5:Z$8,$AW44)^((INDEX($T$5:$T$8,$AW44+1)-($I44-DateToday+15))/(INDEX($T$5:$T$8,$AW44+1)-INDEX($T$5:$T$8,$AW44)))/INDEX(Z$5:Z$8,$AW44+1)^((INDEX($T$5:$T$8,$AW44)-($I44-DateToday+15))/(INDEX($T$5:$T$8,$AW44+1)-INDEX($T$5:$T$8,$AW44))))</f>
        <v>1042911086759.43</v>
      </c>
      <c r="BD44" s="535" t="n">
        <f aca="false">IF(OR(DateStart&gt;=I45,DateEnd&lt;I44),0,IF(VolumeOverrideFlag,V44,Volume))</f>
        <v>0</v>
      </c>
      <c r="BE44" s="536" t="n">
        <f aca="false">IF(OR(DateStart2&gt;=I45,DateEnd2&lt;I44),0,IF(VolumeOverrideFlag,V44,VolumeSwaption))</f>
        <v>0</v>
      </c>
      <c r="BF44" s="537" t="n">
        <f aca="false">YEAR(I44)</f>
        <v>2002</v>
      </c>
      <c r="BG44" s="538" t="n">
        <f aca="false">MONTH(I44)</f>
        <v>9</v>
      </c>
      <c r="BH44" s="539" t="n">
        <f aca="false">AD44-DateToday+1</f>
        <v>-8442</v>
      </c>
      <c r="BI44" s="540" t="n">
        <f aca="false">(I44-DateToday+1)/365.25</f>
        <v>-23.066392881588</v>
      </c>
      <c r="BJ44" s="541" t="n">
        <f aca="false">BI44+(BL44-BI44)*CHOOSE(Underlying,AJ44/AI44,AM44/AL44)</f>
        <v>-23.0096802581402</v>
      </c>
      <c r="BK44" s="541" t="n">
        <f aca="false">BJ44+1/365.25</f>
        <v>-23.0069424073531</v>
      </c>
      <c r="BL44" s="541" t="n">
        <f aca="false">(I45-DateToday)/365.25</f>
        <v>-22.9869952087611</v>
      </c>
      <c r="BM44" s="542" t="e">
        <f aca="false">MAX(BI44-(BJ44-BI44)*(S45^2/O45^2-1),0)</f>
        <v>#DIV/0!</v>
      </c>
      <c r="BN44" s="541" t="e">
        <f aca="false">MAX(BL44+(BL44-BK44)*(S46^2/O46^2-1),0)</f>
        <v>#DIV/0!</v>
      </c>
      <c r="BO44" s="530" t="n">
        <f aca="false">CHOOSE(Underlying,AI44,AL44)</f>
        <v>21</v>
      </c>
      <c r="BP44" s="529" t="n">
        <f aca="false">CHOOSE(Underlying,AJ44,AM44)</f>
        <v>15</v>
      </c>
      <c r="BQ44" s="529" t="n">
        <f aca="false">CHOOSE(Underlying,AK44,AN44)</f>
        <v>6</v>
      </c>
      <c r="BR44" s="463" t="str">
        <f aca="false">IF(BD44,IF(Underlying=1,X44,Z44)+UnderlyingPriceAsian-SwapPriceCurve,"")</f>
        <v/>
      </c>
      <c r="BS44" s="463" t="str">
        <f aca="false">IF(BD44,Strike1/BR44-1,"")</f>
        <v/>
      </c>
      <c r="BT44" s="464" t="str">
        <f aca="false">IF(BD44,Strike2/BR44-1,"")</f>
        <v/>
      </c>
      <c r="BU44" s="465" t="str">
        <f aca="false">IF(BD44,IF(Underlying=1,L45,R45)+UnderlyingPriceAsian-SwapPriceCurve,"")</f>
        <v/>
      </c>
      <c r="BV44" s="465" t="str">
        <f aca="false">IF(BD44,IF(Underlying=1,L46,R46)+UnderlyingPriceAsian-SwapPriceCurve,"")</f>
        <v/>
      </c>
      <c r="BW44" s="466" t="str">
        <f aca="false">IF(BD44,IF(Underlying=1,O45,AT45),"")</f>
        <v/>
      </c>
      <c r="BX44" s="467" t="str">
        <f aca="false">IF(BD44,IF(Underlying=1,O46,AT46),"")</f>
        <v/>
      </c>
      <c r="BY44" s="466" t="str">
        <f aca="false">IF(BD44,IF(BS44&gt;0,IF(BS44&gt;0.2,BC44-BB44,IF(BS44&gt;0.1,BB44-BA44,BA44)),IF(BS44&lt;-0.2,AX44-AY44,IF(BS44&lt;-0.1,AY44-AZ44,AZ44))),"")</f>
        <v/>
      </c>
      <c r="BZ44" s="467" t="str">
        <f aca="false">IF(BD44,IF(BT44&gt;0,IF(BT44&gt;0.2,BC44-BB44,IF(BT44&gt;0.1,BB44-BA44,BA44)),IF(BT44&lt;-0.2,AX44-AY44,IF(BT44&lt;-0.1,AY44-AZ44,AZ44))),"")</f>
        <v/>
      </c>
      <c r="CA44" s="468" t="str">
        <f aca="false">IF($BD44,$BW44+IF(VolSkewFlag=1,IF(BS44&gt;0,$BA44*MIN(BS44/10%,1)+($BB44-$BA44)*MAX(0,MIN(BS44/10%-1,1))+($BC44-$BB44)*MAX(0,BS44/10%-2),$AZ44*MIN(-BS44/10%,1)+($AY44-$AZ44)*MAX(0,MIN(-BS44/10%-1,1))+($AX44-$AY44)*MAX(0,-BS44/10%-2)),0),"")</f>
        <v/>
      </c>
      <c r="CB44" s="468" t="str">
        <f aca="false">IF($BD44,$BX44+IF(VolSkewFlag=1,IF(BS44&gt;0,$BA44*MIN(BS44/10%,1)+($BB44-$BA44)*MAX(0,MIN(BS44/10%-1,1))+($BC44-$BB44)*MAX(0,BS44/10%-2),$AZ44*MIN(-BS44/10%,1)+($AY44-$AZ44)*MAX(0,MIN(-BS44/10%-1,1))+($AX44-$AY44)*MAX(0,-BS44/10%-2)),0),"")</f>
        <v/>
      </c>
      <c r="CC44" s="468" t="str">
        <f aca="false">IF($BD44,$BW44+IF(VolSkewFlag=1,IF(BT44&gt;0,$BA44*MIN(BT44/10%,1)+($BB44-$BA44)*MAX(0,MIN(BT44/10%-1,1))+($BC44-$BB44)*MAX(0,BT44/10%-2),$AZ44*MIN(-BT44/10%,1)+($AY44-$AZ44)*MAX(0,MIN(-BT44/10%-1,1))+($AX44-$AY44)*MAX(0,-BT44/10%-2)),0),"")</f>
        <v/>
      </c>
      <c r="CD44" s="468" t="str">
        <f aca="false">IF($BD44,$BX44+IF(VolSkewFlag=1,IF(BT44&gt;0,$BA44*MIN(BT44/10%,1)+($BB44-$BA44)*MAX(0,MIN(BT44/10%-1,1))+($BC44-$BB44)*MAX(0,BT44/10%-2),$AZ44*MIN(-BT44/10%,1)+($AY44-$AZ44)*MAX(0,MIN(-BT44/10%-1,1))+($AX44-$AY44)*MAX(0,-BT44/10%-2)),0),"")</f>
        <v/>
      </c>
      <c r="CE44" s="469" t="n">
        <v>1</v>
      </c>
      <c r="CF44" s="470" t="n">
        <f aca="false">IF(BD44,xCrudeAPO(BU44,BV44,CA44,CB44,S45,S46,BI44,BL44,BP44,BQ44,0,Strike1,AO44,CE44,0,BL44,IF(OptControl=4,0,1),0,1),0)</f>
        <v>0</v>
      </c>
      <c r="CG44" s="470" t="n">
        <f aca="false">IF(BD44,xCrudeAPO(BU44,BV44,CA44,CB44,S45,S46,BI44,BL44,BP44,BQ44,0,Strike1,AO44,CE44,0,BL44,IF(OptControl=4,0,1),1,1)+xCrudeAPO(BU44,BV44,CA44,CB44,S45,S46,BI44,BL44,BP44,BQ44,0,Strike1,AO44,CE44,0,BL44,IF(OptControl=4,0,1),1,2)+IF(OR(VolSkewFlag=2,ABS(BS44)&lt;0.0001),0,IF(BS44&gt;0,-1,1)*CH44*Strike1/BR44^2*BY44/10%),0)</f>
        <v>0</v>
      </c>
      <c r="CH44" s="470" t="n">
        <f aca="false">IF(BD44,(xCrudeAPO(BU44,BV44,CA44,CB44,S45,S46,BI44,BL44,BP44,BQ44,0,Strike1,AO44,CE44,0,BL44,IF(OptControl=4,0,1),3,1)+xCrudeAPO(BU44,BV44,CA44,CB44,S45,S46,BI44,BL44,BP44,BQ44,0,Strike1,AO44,CE44,0,BL44,IF(OptControl=4,0,1),3,2))/100,0)</f>
        <v>0</v>
      </c>
      <c r="CI44" s="470" t="n">
        <f aca="false">IF(BD44,xCrudeAPO(BU44,BV44,CA44,CB44,S45,S46,BI44-DaysForThetaCalculation/365.25,BL44-DaysForThetaCalculation/365.25,BP44,BQ44,0,Strike1,AO44,CE44,0,BL44,IF(OptControl=4,0,1),0,1)-xCrudeAPO(BU44,BV44,CA44,CB44,S45,S46,BI44,BL44,BP44,BQ44,0,Strike1,AO44,CE44,0,BL44,IF(OptControl=4,0,1),0,1),0)</f>
        <v>0</v>
      </c>
      <c r="CJ44" s="471" t="n">
        <f aca="false">IF(BD44,xCrudeAPO(BU44,BV44,CC44,CD44,S45,S46,BI44,BL44,BP44,BQ44,0,Strike2,AO44,CE44,0,BL44,IF(OptControl=3,1,0),0,1),0)</f>
        <v>0</v>
      </c>
      <c r="CK44" s="470" t="n">
        <f aca="false">IF(BD44,xCrudeAPO(BU44,BV44,CC44,CD44,S45,S46,BI44,BL44,BP44,BQ44,0,Strike2,AO44,CE44,0,BL44,IF(OptControl=3,1,0),1,1)+xCrudeAPO(BU44,BV44,CC44,CD44,S45,S46,BI44,BL44,BP44,BQ44,0,Strike2,AO44,CE44,0,BL44,IF(OptControl=3,1,0),1,2)+IF(OR(VolSkewFlag=2,ABS(BT44)&lt;0.0001),0,IF(BT44&gt;0,-1,1)*CL44*Strike2/BR44^2*BZ44/10%),0)</f>
        <v>0</v>
      </c>
      <c r="CL44" s="470" t="n">
        <f aca="false">IF(BD44,(xCrudeAPO(BU44,BV44,CC44,CD44,S45,S46,BI44,BL44,BP44,BQ44,0,Strike2,AO44,CE44,0,BL44,IF(OptControl=3,1,0),3,1)+xCrudeAPO(BU44,BV44,CC44,CD44,S45,S46,BI44,BL44,BP44,BQ44,0,Strike2,AO44,CE44,0,BL44,IF(OptControl=3,1,0),3,2))/100,0)</f>
        <v>0</v>
      </c>
      <c r="CM44" s="472" t="n">
        <f aca="false">IF(BD44,xCrudeAPO(BU44,BV44,CC44,CD44,S45,S46,BI44-DaysForThetaCalculation/365.25,BL44-DaysForThetaCalculation/365.25,BP44,BQ44,0,Strike2,AO44,CE44,0,BL44,IF(OptControl=3,1,0),0,1)-xCrudeAPO(BU44,BV44,CC44,CD44,S45,S46,BI44,BL44,BP44,BQ44,0,Strike2,AO44,CE44,0,BL44,IF(OptControl=3,1,0),0,1),0)</f>
        <v>0</v>
      </c>
      <c r="CN44" s="3"/>
      <c r="CO44" s="543" t="str">
        <f aca="false">IF(BD44,CHOOSE(Underlying,AD44,AF44)-DateToday+1,"")</f>
        <v/>
      </c>
      <c r="CP44" s="582" t="str">
        <f aca="false">IF(BD44,CHOOSE(Underlying,L44,R44),"")</f>
        <v/>
      </c>
      <c r="CQ44" s="544" t="str">
        <f aca="false">IF(BD44,Strike1/CP44-1,"")</f>
        <v/>
      </c>
      <c r="CR44" s="544" t="str">
        <f aca="false">IF(BD44,Strike2/CP44-1,"")</f>
        <v/>
      </c>
      <c r="CS44" s="544" t="str">
        <f aca="false">IF(BD44,IF(CQ44&gt;0,IF(CQ44&gt;0.2,BC43-BB43,IF(CQ44&gt;0.1,BB43-BA43,BA43)),IF(CQ44&lt;-0.2,AX43-AY43,IF(CQ44&lt;-0.1,AY43-AZ43,AZ43))),"")</f>
        <v/>
      </c>
      <c r="CT44" s="544" t="str">
        <f aca="false">IF(BD44,IF(CR44&gt;0,IF(CR44&gt;0.2,BC43-BB43,IF(CR44&gt;0.1,BB43-BA43,BA43)),IF(CR44&lt;-0.2,AX43-AY43,IF(CR44&lt;-0.1,AY43-AZ43,AZ43))),"")</f>
        <v/>
      </c>
      <c r="CU44" s="545" t="str">
        <f aca="false">IF(BD44,CHOOSE(Underlying,O44,AT44),"")</f>
        <v/>
      </c>
      <c r="CV44" s="545" t="str">
        <f aca="false">IF(BD44,CU44+IF(VolSkewFlag=1,IF(CQ44&gt;0,BA43*MIN(CQ44/10%,1)+(BB43-BA43)*MAX(0,MIN(CQ44/10%-1,1))+(BC43-BB43)*MAX(0,CQ44/10%-2),AZ43*MIN(-CQ44/10%,1)+(AY43-AZ43)*MAX(0,MIN(-CQ44/10%-1,1))+(AX43-AY43)*MAX(0,-CQ44/10%-2)),0),"")</f>
        <v/>
      </c>
      <c r="CW44" s="545" t="str">
        <f aca="false">IF(BD44,CU44+IF(VolSkewFlag=1,IF(CR44&gt;0,BA43*MIN(CR44/10%,1)+(BB43-BA43)*MAX(0,MIN(CR44/10%-1,1))+(BC43-BB43)*MAX(0,CR44/10%-2),AZ43*MIN(-CR44/10%,1)+(AY43-AZ43)*MAX(0,MIN(-CR44/10%-1,1))+(AX43-AY43)*MAX(0,-CR44/10%-2)),0),"")</f>
        <v/>
      </c>
      <c r="CX44" s="470" t="n">
        <f aca="false">IF(BD44,EURO(CP44,Strike1,AO44,AO44,CV44,CO44,IF(OptControl=4,0,1),0),0)</f>
        <v>0</v>
      </c>
      <c r="CY44" s="470" t="n">
        <f aca="false">IF(BD44,EURO(CP44,Strike1,AO44,AO44,CV44,CO44,IF(OptControl=4,0,1),1)+IF(OR(VolSkewFlag=2,ABS(CQ44)&lt;0.0001),0,IF(CQ44&gt;0,-1,1)*CZ44*100*Strike1/CP44^2*CS44/10%),0)</f>
        <v>0</v>
      </c>
      <c r="CZ44" s="470" t="n">
        <f aca="false">IF(BD44,EURO(CP44,Strike1,AO44,AO44,CV44,CO44,IF(OptControl=4,0,1),3)/100,0)</f>
        <v>0</v>
      </c>
      <c r="DA44" s="470" t="n">
        <f aca="false">IF(BD44,EURO(CP44,Strike1,AO44,AO44,CV44,CO44,IF(OptControl=4,0,1),0)-EURO(CP44,Strike1,AO44,AO44,CV44,CO44-1,IF(OptControl=4,0,1),0),0)</f>
        <v>0</v>
      </c>
      <c r="DB44" s="470" t="n">
        <f aca="false">IF(BD44,EURO(CP44,Strike2,AO44,AO44,CW44,CO44,IF(OptControl=3,1,0),0),0)</f>
        <v>0</v>
      </c>
      <c r="DC44" s="470" t="n">
        <f aca="false">IF(BD44,EURO(CP44,Strike2,AO44,AO44,CW44,CO44,IF(OptControl=3,1,0),1)+IF(OR(VolSkewFlag=2,ABS(CR44)&lt;0.0001),0,IF(CR44&gt;0,-1,1)*DD44*100*Strike2/CP44^2*CT44/10%),0)</f>
        <v>0</v>
      </c>
      <c r="DD44" s="470" t="n">
        <f aca="false">IF(BD44,EURO(CP44,Strike2,AO44,AO44,CW44,CO44,IF(OptControl=3,1,0),3)/100,0)</f>
        <v>0</v>
      </c>
      <c r="DE44" s="472" t="n">
        <f aca="false">IF(BD44,EURO(CP44,Strike2,AO44,AO44,CW44,CO44,IF(OptControl=3,1,0),0)-EURO(CP44,Strike2,AO44,AO44,CW44,CO44-1,IF(OptControl=3,1,0),0),0)</f>
        <v>0</v>
      </c>
      <c r="DG44" s="481" t="n">
        <f aca="false">EOMONTH(DG43,0)+1</f>
        <v>46419</v>
      </c>
      <c r="DH44" s="478" t="n">
        <v>19.92</v>
      </c>
      <c r="DI44" s="479" t="n">
        <v>19.757</v>
      </c>
      <c r="DJ44" s="480" t="n">
        <f aca="false">DG44</f>
        <v>46419</v>
      </c>
      <c r="DK44" s="478" t="n">
        <v>18.7066666666667</v>
      </c>
      <c r="DL44" s="479" t="n">
        <v>18.544</v>
      </c>
      <c r="DM44" s="481" t="n">
        <f aca="false">DG44</f>
        <v>46419</v>
      </c>
      <c r="DN44" s="482" t="n">
        <f aca="false">DK44+BrentPhyBrentSpread</f>
        <v>18.7566666666667</v>
      </c>
      <c r="DO44" s="481" t="n">
        <f aca="false">DG44</f>
        <v>46419</v>
      </c>
      <c r="DP44" s="483" t="n">
        <f aca="false">DL44+DQ44</f>
        <v>18.544</v>
      </c>
      <c r="DQ44" s="546" t="n">
        <v>0</v>
      </c>
      <c r="DR44" s="480" t="n">
        <f aca="false">DG44</f>
        <v>46419</v>
      </c>
      <c r="DS44" s="485" t="n">
        <v>0.226404202319501</v>
      </c>
      <c r="DT44" s="486" t="n">
        <v>0.228590731278179</v>
      </c>
      <c r="DU44" s="480" t="n">
        <f aca="false">DG44</f>
        <v>46419</v>
      </c>
      <c r="DV44" s="485" t="n">
        <v>0.226404202319501</v>
      </c>
      <c r="DW44" s="486" t="n">
        <v>0.228590731278179</v>
      </c>
      <c r="DX44" s="481" t="n">
        <f aca="false">DG44</f>
        <v>46419</v>
      </c>
      <c r="DY44" s="486" t="n">
        <v>0.350000009536743</v>
      </c>
      <c r="DZ44" s="481" t="n">
        <f aca="false">DR44</f>
        <v>46419</v>
      </c>
      <c r="EA44" s="486" t="n">
        <f aca="false">DT44</f>
        <v>0.228590731278179</v>
      </c>
      <c r="EB44" s="648"/>
      <c r="EC44" s="547" t="str">
        <f aca="false">IF(BD44,IF(Underlying=1,AS44,AU44),"")</f>
        <v/>
      </c>
      <c r="ED44" s="548" t="str">
        <f aca="false">IF($BD44,$EC44+IF(VolSkewFlag=1,IF(BS44&gt;0,$BA44*MIN(BS44/10%,1)+($BB44-$BA44)*MAX(0,MIN(BS44/10%-1,1))+($BC44-$BB44)*MAX(0,BS44/10%-2),$AZ44*MIN(-BS44/10%,1)+($AY44-$AZ44)*MAX(0,MIN(-BS44/10%-1,1))+($AX44-$AY44)*MAX(0,-BS44/10%-2)),0),"")</f>
        <v/>
      </c>
      <c r="EE44" s="549" t="str">
        <f aca="false">IF($BD44,$EC44+IF(VolSkewFlag=1,IF(BT44&gt;0,$BA44*MIN(BT44/10%,1)+($BB44-$BA44)*MAX(0,MIN(BT44/10%-1,1))+($BC44-$BB44)*MAX(0,BT44/10%-2),$AZ44*MIN(-BT44/10%,1)+($AY44-$AZ44)*MAX(0,MIN(-BT44/10%-1,1))+($AX44-$AY44)*MAX(0,-BT44/10%-2)),0),"")</f>
        <v/>
      </c>
      <c r="EF44" s="550" t="n">
        <f aca="false">IF(BD44,xASN(BR44,Strike1,AO44,ED44,0,BO44,0,BI44,BL44,IF(OptControl=4,0,1),0),0)</f>
        <v>0</v>
      </c>
      <c r="EG44" s="551" t="n">
        <f aca="false">IF(BD44,xASN(BR44,Strike2,AO44,EE44,0,BO44,0,BI44,BL44,IF(OptControl=3,1,0),0),0)</f>
        <v>0</v>
      </c>
      <c r="EI44" s="583" t="str">
        <f aca="false">DDE("TWINDDE","RSFRecord","CLc25 MTH")</f>
        <v>SEP2</v>
      </c>
      <c r="EJ44" s="584" t="n">
        <f aca="false">DATEVALUE(CONCATENATE(LEFT(EI44,3),"-",IF(VALUE(RIGHT(EI44,1))=9,"1999",CONCATENATE("200",RIGHT(EI44,1)))))</f>
        <v>37500</v>
      </c>
      <c r="EK44" s="585" t="n">
        <f aca="false">DDE("TWINDDE","RSFRecord","CLc25 NET.CHNG")</f>
        <v>0</v>
      </c>
      <c r="EL44" s="586" t="n">
        <f aca="false">IF(ISNUMBER(VALUE(EK44)),VALUE(EK44)*100,0)</f>
        <v>0</v>
      </c>
      <c r="EM44" s="648"/>
      <c r="EN44" s="556" t="n">
        <v>38711</v>
      </c>
      <c r="EO44" s="557" t="n">
        <v>40909</v>
      </c>
      <c r="EP44" s="648"/>
      <c r="EQ44" s="407" t="s">
        <v>266</v>
      </c>
      <c r="ES44" s="587" t="n">
        <v>25</v>
      </c>
      <c r="ET44" s="559" t="n">
        <f aca="false">BH44/365.25</f>
        <v>-23.1129363449692</v>
      </c>
      <c r="EU44" s="560" t="n">
        <f aca="false">O44^2*ET44</f>
        <v>-0</v>
      </c>
      <c r="EV44" s="588" t="e">
        <f aca="false">SQRT(SUM(FK44:ID44)/ET44)</f>
        <v>#VALUE!</v>
      </c>
      <c r="EW44" s="589" t="str">
        <f aca="false">IF(OR(DateStart2&gt;I43,DateEnd2&lt;I42),"",IF(DateStart2&lt;I43,AK42/AI42*AP42*BE42*SwaptionNumOfMonths/$D$33,0)+IF(DateEnd2&gt;I42,AJ43/AI43*AP43*BE43*SwaptionNumOfMonths/$D$33,0))</f>
        <v/>
      </c>
      <c r="EX44" s="590" t="str">
        <f aca="false">IF(EW44="","",SQRT(SUM(FK349:ID349)/SwaptionYearsToExp))</f>
        <v/>
      </c>
      <c r="EY44" s="129" t="n">
        <v>0</v>
      </c>
      <c r="EZ44" s="591" t="str">
        <f aca="false">IF(OR(EW44="",EW45=""),"",SQRT(SUM(INDEX(FK44:ID44,SwaptionFirstMonthPosition+1):INDEX(FK44:ID44,FJ44))/SUM(INDEX($FK$15:$ID$15,SwaptionFirstMonthPosition+1):INDEX($FK$15:$ID$15,FJ44))))</f>
        <v/>
      </c>
      <c r="FA44" s="592" t="str">
        <f aca="false">IF(OR(EW44="",EW43=""),"",SQRT(SUM(INDEX(FK44:ID44,SwaptionFirstMonthPosition+1):INDEX(FK44:ID44,FJ44-1))/SUM(INDEX($FK$15:$ID$15,SwaptionFirstMonthPosition+1):INDEX($FK$15:$ID$15,FJ44-1))))</f>
        <v/>
      </c>
      <c r="FB44" s="593" t="str">
        <f aca="false">IF(BE44,2/3*EZ45+1/3*FA46,"")</f>
        <v/>
      </c>
      <c r="FC44" s="596" t="str">
        <f aca="false">IF(BE44,(I45+I44-1)/2-DateToday,"")</f>
        <v/>
      </c>
      <c r="FD44" s="483" t="str">
        <f aca="false">IF(BE44,CHOOSE(Underlying,X44,Z44)+SwaptionUnderlyingPrice-$D$26,"")</f>
        <v/>
      </c>
      <c r="FE44" s="483" t="str">
        <f aca="false">IF(BE44,CollartionFloor/FD44-1,"")</f>
        <v/>
      </c>
      <c r="FF44" s="483" t="str">
        <f aca="false">IF(BE44,CollartionCap/FD44-1,"")</f>
        <v/>
      </c>
      <c r="FG44" s="485" t="str">
        <f aca="false">IF(BE44,IF(VolSkewFlag=1,IF(FE44&gt;0,$BA44*MIN(FE44/10%,1)+($BB44-$BA44)*MAX(0,MIN(FE44/10%-1,1))+($BC44-$BB44)*MAX(0,FE44/10%-2),$AZ44*MIN(-FE44/10%,1)+($AY44-$AZ44)*MAX(0,MIN(-FE44/10%-1,1))+($AX44-$AY44)*MAX(0,-FE44/10%-2)),0),"")</f>
        <v/>
      </c>
      <c r="FH44" s="486" t="str">
        <f aca="false">IF(BE44,IF(VolSkewFlag=1,IF(FF44&gt;0,$BA44*MIN(FF44/10%,1)+($BB44-$BA44)*MAX(0,MIN(FF44/10%-1,1))+($BC44-$BB44)*MAX(0,FF44/10%-2),$AZ44*MIN(-FF44/10%,1)+($AY44-$AZ44)*MAX(0,MIN(-FF44/10%-1,1))+($AX44-$AY44)*MAX(0,-FF44/10%-2)),0),"")</f>
        <v/>
      </c>
      <c r="FI44" s="129"/>
      <c r="FJ44" s="571" t="n">
        <v>25</v>
      </c>
      <c r="FK44" s="150" t="n">
        <f aca="false">IF(FK$19&gt;$FJ44,"",MAX(0,IF(FK$19=$FJ44,$S44^2*FK$15,FK43*INDEX($T$20:$T$91,$FJ44-FK$19)^2/INDEX($U$20:$U$91,$FJ44-FK$19))))</f>
        <v>0</v>
      </c>
      <c r="FL44" s="150" t="n">
        <f aca="false">IF(FL$19&gt;$FJ44,"",MAX(0,IF(FL$19=$FJ44,$S44^2*FL$15,FL43*INDEX($T$20:$T$91,$FJ44-FL$19)^2/INDEX($U$20:$U$91,$FJ44-FL$19))))</f>
        <v>0</v>
      </c>
      <c r="FM44" s="150" t="n">
        <f aca="false">IF(FM$19&gt;$FJ44,"",MAX(0,IF(FM$19=$FJ44,$S44^2*FM$15,FM43*INDEX($T$20:$T$91,$FJ44-FM$19)^2/INDEX($U$20:$U$91,$FJ44-FM$19))))</f>
        <v>0.00267588971507353</v>
      </c>
      <c r="FN44" s="150" t="n">
        <f aca="false">IF(FN$19&gt;$FJ44,"",MAX(0,IF(FN$19=$FJ44,$S44^2*FN$15,FN43*INDEX($T$20:$T$91,$FJ44-FN$19)^2/INDEX($U$20:$U$91,$FJ44-FN$19))))</f>
        <v>0.00227122912323937</v>
      </c>
      <c r="FO44" s="150" t="n">
        <f aca="false">IF(FO$19&gt;$FJ44,"",MAX(0,IF(FO$19=$FJ44,$S44^2*FO$15,FO43*INDEX($T$20:$T$91,$FJ44-FO$19)^2/INDEX($U$20:$U$91,$FJ44-FO$19))))</f>
        <v>0.00238577347716756</v>
      </c>
      <c r="FP44" s="150" t="n">
        <f aca="false">IF(FP$19&gt;$FJ44,"",MAX(0,IF(FP$19=$FJ44,$S44^2*FP$15,FP43*INDEX($T$20:$T$91,$FJ44-FP$19)^2/INDEX($U$20:$U$91,$FJ44-FP$19))))</f>
        <v>0.00267430647084434</v>
      </c>
      <c r="FQ44" s="150" t="n">
        <f aca="false">IF(FQ$19&gt;$FJ44,"",MAX(0,IF(FQ$19=$FJ44,$S44^2*FQ$15,FQ43*INDEX($T$20:$T$91,$FJ44-FQ$19)^2/INDEX($U$20:$U$91,$FJ44-FQ$19))))</f>
        <v>0.00219452331169309</v>
      </c>
      <c r="FR44" s="150" t="n">
        <f aca="false">IF(FR$19&gt;$FJ44,"",MAX(0,IF(FR$19=$FJ44,$S44^2*FR$15,FR43*INDEX($T$20:$T$91,$FJ44-FR$19)^2/INDEX($U$20:$U$91,$FJ44-FR$19))))</f>
        <v>0.00227950708093617</v>
      </c>
      <c r="FS44" s="150" t="n">
        <f aca="false">IF(FS$19&gt;$FJ44,"",MAX(0,IF(FS$19=$FJ44,$S44^2*FS$15,FS43*INDEX($T$20:$T$91,$FJ44-FS$19)^2/INDEX($U$20:$U$91,$FJ44-FS$19))))</f>
        <v>0.00261677710453725</v>
      </c>
      <c r="FT44" s="150" t="n">
        <f aca="false">IF(FT$19&gt;$FJ44,"",MAX(0,IF(FT$19=$FJ44,$S44^2*FT$15,FT43*INDEX($T$20:$T$91,$FJ44-FT$19)^2/INDEX($U$20:$U$91,$FJ44-FT$19))))</f>
        <v>0.00241325096460032</v>
      </c>
      <c r="FU44" s="150" t="n">
        <f aca="false">IF(FU$19&gt;$FJ44,"",MAX(0,IF(FU$19=$FJ44,$S44^2*FU$15,FU43*INDEX($T$20:$T$91,$FJ44-FU$19)^2/INDEX($U$20:$U$91,$FJ44-FU$19))))</f>
        <v>0.00237963715995846</v>
      </c>
      <c r="FV44" s="150" t="n">
        <f aca="false">IF(FV$19&gt;$FJ44,"",MAX(0,IF(FV$19=$FJ44,$S44^2*FV$15,FV43*INDEX($T$20:$T$91,$FJ44-FV$19)^2/INDEX($U$20:$U$91,$FJ44-FV$19))))</f>
        <v>0.00269392519367843</v>
      </c>
      <c r="FW44" s="150" t="n">
        <f aca="false">IF(FW$19&gt;$FJ44,"",MAX(0,IF(FW$19=$FJ44,$S44^2*FW$15,FW43*INDEX($T$20:$T$91,$FJ44-FW$19)^2/INDEX($U$20:$U$91,$FJ44-FW$19))))</f>
        <v>0.00260709440135434</v>
      </c>
      <c r="FX44" s="150" t="n">
        <f aca="false">IF(FX$19&gt;$FJ44,"",MAX(0,IF(FX$19=$FJ44,$S44^2*FX$15,FX43*INDEX($T$20:$T$91,$FJ44-FX$19)^2/INDEX($U$20:$U$91,$FJ44-FX$19))))</f>
        <v>0.00289031139940475</v>
      </c>
      <c r="FY44" s="150" t="n">
        <f aca="false">IF(FY$19&gt;$FJ44,"",MAX(0,IF(FY$19=$FJ44,$S44^2*FY$15,FY43*INDEX($T$20:$T$91,$FJ44-FY$19)^2/INDEX($U$20:$U$91,$FJ44-FY$19))))</f>
        <v>0.00283802223159607</v>
      </c>
      <c r="FZ44" s="150" t="n">
        <f aca="false">IF(FZ$19&gt;$FJ44,"",MAX(0,IF(FZ$19=$FJ44,$S44^2*FZ$15,FZ43*INDEX($T$20:$T$91,$FJ44-FZ$19)^2/INDEX($U$20:$U$91,$FJ44-FZ$19))))</f>
        <v>0.00279886544030768</v>
      </c>
      <c r="GA44" s="150" t="n">
        <f aca="false">IF(GA$19&gt;$FJ44,"",MAX(0,IF(GA$19=$FJ44,$S44^2*GA$15,GA43*INDEX($T$20:$T$91,$FJ44-GA$19)^2/INDEX($U$20:$U$91,$FJ44-GA$19))))</f>
        <v>0.00320120314589167</v>
      </c>
      <c r="GB44" s="150" t="n">
        <f aca="false">IF(GB$19&gt;$FJ44,"",MAX(0,IF(GB$19=$FJ44,$S44^2*GB$15,GB43*INDEX($T$20:$T$91,$FJ44-GB$19)^2/INDEX($U$20:$U$91,$FJ44-GB$19))))</f>
        <v>0.0038041700811035</v>
      </c>
      <c r="GC44" s="150" t="n">
        <f aca="false">IF(GC$19&gt;$FJ44,"",MAX(0,IF(GC$19=$FJ44,$S44^2*GC$15,GC43*INDEX($T$20:$T$91,$FJ44-GC$19)^2/INDEX($U$20:$U$91,$FJ44-GC$19))))</f>
        <v>0.00366264609383331</v>
      </c>
      <c r="GD44" s="150" t="n">
        <f aca="false">IF(GD$19&gt;$FJ44,"",MAX(0,IF(GD$19=$FJ44,$S44^2*GD$15,GD43*INDEX($T$20:$T$91,$FJ44-GD$19)^2/INDEX($U$20:$U$91,$FJ44-GD$19))))</f>
        <v>0.00407991003233574</v>
      </c>
      <c r="GE44" s="150" t="n">
        <f aca="false">IF(GE$19&gt;$FJ44,"",MAX(0,IF(GE$19=$FJ44,$S44^2*GE$15,GE43*INDEX($T$20:$T$91,$FJ44-GE$19)^2/INDEX($U$20:$U$91,$FJ44-GE$19))))</f>
        <v>0.00527442660186771</v>
      </c>
      <c r="GF44" s="150" t="n">
        <f aca="false">IF(GF$19&gt;$FJ44,"",MAX(0,IF(GF$19=$FJ44,$S44^2*GF$15,GF43*INDEX($T$20:$T$91,$FJ44-GF$19)^2/INDEX($U$20:$U$91,$FJ44-GF$19))))</f>
        <v>0.00539099404414551</v>
      </c>
      <c r="GG44" s="150" t="n">
        <f aca="false">IF(GG$19&gt;$FJ44,"",MAX(0,IF(GG$19=$FJ44,$S44^2*GG$15,GG43*INDEX($T$20:$T$91,$FJ44-GG$19)^2/INDEX($U$20:$U$91,$FJ44-GG$19))))</f>
        <v>0.00711634471177237</v>
      </c>
      <c r="GH44" s="150" t="n">
        <f aca="false">IF(GH$19&gt;$FJ44,"",MAX(0,IF(GH$19=$FJ44,$S44^2*GH$15,GH43*INDEX($T$20:$T$91,$FJ44-GH$19)^2/INDEX($U$20:$U$91,$FJ44-GH$19))))</f>
        <v>0.00825662988573285</v>
      </c>
      <c r="GI44" s="150" t="n">
        <f aca="false">IF(GI$19&gt;$FJ44,"",MAX(0,IF(GI$19=$FJ44,$S44^2*GI$15,GI43*INDEX($T$20:$T$91,$FJ44-GI$19)^2/INDEX($U$20:$U$91,$FJ44-GI$19))))</f>
        <v>0.0102929978359368</v>
      </c>
      <c r="GJ44" s="150" t="str">
        <f aca="false">IF(GJ$19&gt;$FJ44,"",MAX(0,IF(GJ$19=$FJ44,$S44^2*GJ$15,GJ43*INDEX($T$20:$T$91,$FJ44-GJ$19)^2/INDEX($U$20:$U$91,$FJ44-GJ$19))))</f>
        <v/>
      </c>
      <c r="GK44" s="150" t="str">
        <f aca="false">IF(GK$19&gt;$FJ44,"",MAX(0,IF(GK$19=$FJ44,$S44^2*GK$15,GK43*INDEX($T$20:$T$91,$FJ44-GK$19)^2/INDEX($U$20:$U$91,$FJ44-GK$19))))</f>
        <v/>
      </c>
      <c r="GL44" s="150" t="str">
        <f aca="false">IF(GL$19&gt;$FJ44,"",MAX(0,IF(GL$19=$FJ44,$S44^2*GL$15,GL43*INDEX($T$20:$T$91,$FJ44-GL$19)^2/INDEX($U$20:$U$91,$FJ44-GL$19))))</f>
        <v/>
      </c>
      <c r="GM44" s="150" t="str">
        <f aca="false">IF(GM$19&gt;$FJ44,"",MAX(0,IF(GM$19=$FJ44,$S44^2*GM$15,GM43*INDEX($T$20:$T$91,$FJ44-GM$19)^2/INDEX($U$20:$U$91,$FJ44-GM$19))))</f>
        <v/>
      </c>
      <c r="GN44" s="150" t="str">
        <f aca="false">IF(GN$19&gt;$FJ44,"",MAX(0,IF(GN$19=$FJ44,$S44^2*GN$15,GN43*INDEX($T$20:$T$91,$FJ44-GN$19)^2/INDEX($U$20:$U$91,$FJ44-GN$19))))</f>
        <v/>
      </c>
      <c r="GO44" s="150" t="str">
        <f aca="false">IF(GO$19&gt;$FJ44,"",MAX(0,IF(GO$19=$FJ44,$S44^2*GO$15,GO43*INDEX($T$20:$T$91,$FJ44-GO$19)^2/INDEX($U$20:$U$91,$FJ44-GO$19))))</f>
        <v/>
      </c>
      <c r="GP44" s="150" t="str">
        <f aca="false">IF(GP$19&gt;$FJ44,"",MAX(0,IF(GP$19=$FJ44,$S44^2*GP$15,GP43*INDEX($T$20:$T$91,$FJ44-GP$19)^2/INDEX($U$20:$U$91,$FJ44-GP$19))))</f>
        <v/>
      </c>
      <c r="GQ44" s="150" t="str">
        <f aca="false">IF(GQ$19&gt;$FJ44,"",MAX(0,IF(GQ$19=$FJ44,$S44^2*GQ$15,GQ43*INDEX($T$20:$T$91,$FJ44-GQ$19)^2/INDEX($U$20:$U$91,$FJ44-GQ$19))))</f>
        <v/>
      </c>
      <c r="GR44" s="150" t="str">
        <f aca="false">IF(GR$19&gt;$FJ44,"",MAX(0,IF(GR$19=$FJ44,$S44^2*GR$15,GR43*INDEX($T$20:$T$91,$FJ44-GR$19)^2/INDEX($U$20:$U$91,$FJ44-GR$19))))</f>
        <v/>
      </c>
      <c r="GS44" s="150" t="str">
        <f aca="false">IF(GS$19&gt;$FJ44,"",MAX(0,IF(GS$19=$FJ44,$S44^2*GS$15,GS43*INDEX($T$20:$T$91,$FJ44-GS$19)^2/INDEX($U$20:$U$91,$FJ44-GS$19))))</f>
        <v/>
      </c>
      <c r="GT44" s="150" t="str">
        <f aca="false">IF(GT$19&gt;$FJ44,"",MAX(0,IF(GT$19=$FJ44,$S44^2*GT$15,GT43*INDEX($T$20:$T$91,$FJ44-GT$19)^2/INDEX($U$20:$U$91,$FJ44-GT$19))))</f>
        <v/>
      </c>
      <c r="GU44" s="150" t="str">
        <f aca="false">IF(GU$19&gt;$FJ44,"",MAX(0,IF(GU$19=$FJ44,$S44^2*GU$15,GU43*INDEX($T$20:$T$91,$FJ44-GU$19)^2/INDEX($U$20:$U$91,$FJ44-GU$19))))</f>
        <v/>
      </c>
      <c r="GV44" s="150" t="str">
        <f aca="false">IF(GV$19&gt;$FJ44,"",MAX(0,IF(GV$19=$FJ44,$S44^2*GV$15,GV43*INDEX($T$20:$T$91,$FJ44-GV$19)^2/INDEX($U$20:$U$91,$FJ44-GV$19))))</f>
        <v/>
      </c>
      <c r="GW44" s="150" t="str">
        <f aca="false">IF(GW$19&gt;$FJ44,"",MAX(0,IF(GW$19=$FJ44,$S44^2*GW$15,GW43*INDEX($T$20:$T$91,$FJ44-GW$19)^2/INDEX($U$20:$U$91,$FJ44-GW$19))))</f>
        <v/>
      </c>
      <c r="GX44" s="150" t="str">
        <f aca="false">IF(GX$19&gt;$FJ44,"",MAX(0,IF(GX$19=$FJ44,$S44^2*GX$15,GX43*INDEX($T$20:$T$91,$FJ44-GX$19)^2/INDEX($U$20:$U$91,$FJ44-GX$19))))</f>
        <v/>
      </c>
      <c r="GY44" s="150" t="str">
        <f aca="false">IF(GY$19&gt;$FJ44,"",MAX(0,IF(GY$19=$FJ44,$S44^2*GY$15,GY43*INDEX($T$20:$T$91,$FJ44-GY$19)^2/INDEX($U$20:$U$91,$FJ44-GY$19))))</f>
        <v/>
      </c>
      <c r="GZ44" s="150" t="str">
        <f aca="false">IF(GZ$19&gt;$FJ44,"",MAX(0,IF(GZ$19=$FJ44,$S44^2*GZ$15,GZ43*INDEX($T$20:$T$91,$FJ44-GZ$19)^2/INDEX($U$20:$U$91,$FJ44-GZ$19))))</f>
        <v/>
      </c>
      <c r="HA44" s="150" t="str">
        <f aca="false">IF(HA$19&gt;$FJ44,"",MAX(0,IF(HA$19=$FJ44,$S44^2*HA$15,HA43*INDEX($T$20:$T$91,$FJ44-HA$19)^2/INDEX($U$20:$U$91,$FJ44-HA$19))))</f>
        <v/>
      </c>
      <c r="HB44" s="150" t="str">
        <f aca="false">IF(HB$19&gt;$FJ44,"",MAX(0,IF(HB$19=$FJ44,$S44^2*HB$15,HB43*INDEX($T$20:$T$91,$FJ44-HB$19)^2/INDEX($U$20:$U$91,$FJ44-HB$19))))</f>
        <v/>
      </c>
      <c r="HC44" s="150" t="str">
        <f aca="false">IF(HC$19&gt;$FJ44,"",MAX(0,IF(HC$19=$FJ44,$S44^2*HC$15,HC43*INDEX($T$20:$T$91,$FJ44-HC$19)^2/INDEX($U$20:$U$91,$FJ44-HC$19))))</f>
        <v/>
      </c>
      <c r="HD44" s="150" t="str">
        <f aca="false">IF(HD$19&gt;$FJ44,"",MAX(0,IF(HD$19=$FJ44,$S44^2*HD$15,HD43*INDEX($T$20:$T$91,$FJ44-HD$19)^2/INDEX($U$20:$U$91,$FJ44-HD$19))))</f>
        <v/>
      </c>
      <c r="HE44" s="150" t="str">
        <f aca="false">IF(HE$19&gt;$FJ44,"",MAX(0,IF(HE$19=$FJ44,$S44^2*HE$15,HE43*INDEX($T$20:$T$91,$FJ44-HE$19)^2/INDEX($U$20:$U$91,$FJ44-HE$19))))</f>
        <v/>
      </c>
      <c r="HF44" s="150" t="str">
        <f aca="false">IF(HF$19&gt;$FJ44,"",MAX(0,IF(HF$19=$FJ44,$S44^2*HF$15,HF43*INDEX($T$20:$T$91,$FJ44-HF$19)^2/INDEX($U$20:$U$91,$FJ44-HF$19))))</f>
        <v/>
      </c>
      <c r="HG44" s="150" t="str">
        <f aca="false">IF(HG$19&gt;$FJ44,"",MAX(0,IF(HG$19=$FJ44,$S44^2*HG$15,HG43*INDEX($T$20:$T$91,$FJ44-HG$19)^2/INDEX($U$20:$U$91,$FJ44-HG$19))))</f>
        <v/>
      </c>
      <c r="HH44" s="150" t="str">
        <f aca="false">IF(HH$19&gt;$FJ44,"",MAX(0,IF(HH$19=$FJ44,$S44^2*HH$15,HH43*INDEX($T$20:$T$91,$FJ44-HH$19)^2/INDEX($U$20:$U$91,$FJ44-HH$19))))</f>
        <v/>
      </c>
      <c r="HI44" s="150" t="str">
        <f aca="false">IF(HI$19&gt;$FJ44,"",MAX(0,IF(HI$19=$FJ44,$S44^2*HI$15,HI43*INDEX($T$20:$T$91,$FJ44-HI$19)^2/INDEX($U$20:$U$91,$FJ44-HI$19))))</f>
        <v/>
      </c>
      <c r="HJ44" s="150" t="str">
        <f aca="false">IF(HJ$19&gt;$FJ44,"",MAX(0,IF(HJ$19=$FJ44,$S44^2*HJ$15,HJ43*INDEX($T$20:$T$91,$FJ44-HJ$19)^2/INDEX($U$20:$U$91,$FJ44-HJ$19))))</f>
        <v/>
      </c>
      <c r="HK44" s="150" t="str">
        <f aca="false">IF(HK$19&gt;$FJ44,"",MAX(0,IF(HK$19=$FJ44,$S44^2*HK$15,HK43*INDEX($T$20:$T$91,$FJ44-HK$19)^2/INDEX($U$20:$U$91,$FJ44-HK$19))))</f>
        <v/>
      </c>
      <c r="HL44" s="150" t="str">
        <f aca="false">IF(HL$19&gt;$FJ44,"",MAX(0,IF(HL$19=$FJ44,$S44^2*HL$15,HL43*INDEX($T$20:$T$91,$FJ44-HL$19)^2/INDEX($U$20:$U$91,$FJ44-HL$19))))</f>
        <v/>
      </c>
      <c r="HM44" s="150" t="str">
        <f aca="false">IF(HM$19&gt;$FJ44,"",MAX(0,IF(HM$19=$FJ44,$S44^2*HM$15,HM43*INDEX($T$20:$T$91,$FJ44-HM$19)^2/INDEX($U$20:$U$91,$FJ44-HM$19))))</f>
        <v/>
      </c>
      <c r="HN44" s="150" t="str">
        <f aca="false">IF(HN$19&gt;$FJ44,"",MAX(0,IF(HN$19=$FJ44,$S44^2*HN$15,HN43*INDEX($T$20:$T$91,$FJ44-HN$19)^2/INDEX($U$20:$U$91,$FJ44-HN$19))))</f>
        <v/>
      </c>
      <c r="HO44" s="150" t="str">
        <f aca="false">IF(HO$19&gt;$FJ44,"",MAX(0,IF(HO$19=$FJ44,$S44^2*HO$15,HO43*INDEX($T$20:$T$91,$FJ44-HO$19)^2/INDEX($U$20:$U$91,$FJ44-HO$19))))</f>
        <v/>
      </c>
      <c r="HP44" s="150" t="str">
        <f aca="false">IF(HP$19&gt;$FJ44,"",MAX(0,IF(HP$19=$FJ44,$S44^2*HP$15,HP43*INDEX($T$20:$T$91,$FJ44-HP$19)^2/INDEX($U$20:$U$91,$FJ44-HP$19))))</f>
        <v/>
      </c>
      <c r="HQ44" s="150" t="str">
        <f aca="false">IF(HQ$19&gt;$FJ44,"",MAX(0,IF(HQ$19=$FJ44,$S44^2*HQ$15,HQ43*INDEX($T$20:$T$91,$FJ44-HQ$19)^2/INDEX($U$20:$U$91,$FJ44-HQ$19))))</f>
        <v/>
      </c>
      <c r="HR44" s="150" t="str">
        <f aca="false">IF(HR$19&gt;$FJ44,"",MAX(0,IF(HR$19=$FJ44,$S44^2*HR$15,HR43*INDEX($T$20:$T$91,$FJ44-HR$19)^2/INDEX($U$20:$U$91,$FJ44-HR$19))))</f>
        <v/>
      </c>
      <c r="HS44" s="150" t="str">
        <f aca="false">IF(HS$19&gt;$FJ44,"",MAX(0,IF(HS$19=$FJ44,$S44^2*HS$15,HS43*INDEX($T$20:$T$91,$FJ44-HS$19)^2/INDEX($U$20:$U$91,$FJ44-HS$19))))</f>
        <v/>
      </c>
      <c r="HT44" s="150" t="str">
        <f aca="false">IF(HT$19&gt;$FJ44,"",MAX(0,IF(HT$19=$FJ44,$S44^2*HT$15,HT43*INDEX($T$20:$T$91,$FJ44-HT$19)^2/INDEX($U$20:$U$91,$FJ44-HT$19))))</f>
        <v/>
      </c>
      <c r="HU44" s="150" t="str">
        <f aca="false">IF(HU$19&gt;$FJ44,"",MAX(0,IF(HU$19=$FJ44,$S44^2*HU$15,HU43*INDEX($T$20:$T$91,$FJ44-HU$19)^2/INDEX($U$20:$U$91,$FJ44-HU$19))))</f>
        <v/>
      </c>
      <c r="HV44" s="150" t="str">
        <f aca="false">IF(HV$19&gt;$FJ44,"",MAX(0,IF(HV$19=$FJ44,$S44^2*HV$15,HV43*INDEX($T$20:$T$91,$FJ44-HV$19)^2/INDEX($U$20:$U$91,$FJ44-HV$19))))</f>
        <v/>
      </c>
      <c r="HW44" s="150" t="str">
        <f aca="false">IF(HW$19&gt;$FJ44,"",MAX(0,IF(HW$19=$FJ44,$S44^2*HW$15,HW43*INDEX($T$20:$T$91,$FJ44-HW$19)^2/INDEX($U$20:$U$91,$FJ44-HW$19))))</f>
        <v/>
      </c>
      <c r="HX44" s="150" t="str">
        <f aca="false">IF(HX$19&gt;$FJ44,"",MAX(0,IF(HX$19=$FJ44,$S44^2*HX$15,HX43*INDEX($T$20:$T$91,$FJ44-HX$19)^2/INDEX($U$20:$U$91,$FJ44-HX$19))))</f>
        <v/>
      </c>
      <c r="HY44" s="150" t="str">
        <f aca="false">IF(HY$19&gt;$FJ44,"",MAX(0,IF(HY$19=$FJ44,$S44^2*HY$15,HY43*INDEX($T$20:$T$91,$FJ44-HY$19)^2/INDEX($U$20:$U$91,$FJ44-HY$19))))</f>
        <v/>
      </c>
      <c r="HZ44" s="150" t="str">
        <f aca="false">IF(HZ$19&gt;$FJ44,"",MAX(0,IF(HZ$19=$FJ44,$S44^2*HZ$15,HZ43*INDEX($T$20:$T$91,$FJ44-HZ$19)^2/INDEX($U$20:$U$91,$FJ44-HZ$19))))</f>
        <v/>
      </c>
      <c r="IA44" s="150" t="str">
        <f aca="false">IF(IA$19&gt;$FJ44,"",MAX(0,IF(IA$19=$FJ44,$S44^2*IA$15,IA43*INDEX($T$20:$T$91,$FJ44-IA$19)^2/INDEX($U$20:$U$91,$FJ44-IA$19))))</f>
        <v/>
      </c>
      <c r="IB44" s="150" t="str">
        <f aca="false">IF(IB$19&gt;$FJ44,"",MAX(0,IF(IB$19=$FJ44,$S44^2*IB$15,IB43*INDEX($T$20:$T$91,$FJ44-IB$19)^2/INDEX($U$20:$U$91,$FJ44-IB$19))))</f>
        <v/>
      </c>
      <c r="IC44" s="150" t="str">
        <f aca="false">IF(IC$19&gt;$FJ44,"",MAX(0,IF(IC$19=$FJ44,$S44^2*IC$15,IC43*INDEX($T$20:$T$91,$FJ44-IC$19)^2/INDEX($U$20:$U$91,$FJ44-IC$19))))</f>
        <v/>
      </c>
      <c r="ID44" s="572" t="str">
        <f aca="false">IF(ID$19&gt;$FJ44,"",MAX(0,IF(ID$19=$FJ44,$S44^2*ID$15,ID43*INDEX($T$20:$T$91,$FJ44-ID$19)^2/INDEX($U$20:$U$91,$FJ44-ID$19))))</f>
        <v/>
      </c>
      <c r="IE44" s="129"/>
    </row>
    <row r="45" customFormat="false" ht="14.25" hidden="false" customHeight="true" outlineLevel="0" collapsed="false">
      <c r="A45" s="219"/>
      <c r="B45" s="7" t="s">
        <v>267</v>
      </c>
      <c r="C45" s="7"/>
      <c r="D45" s="7"/>
      <c r="E45" s="7"/>
      <c r="F45" s="7"/>
      <c r="G45" s="7"/>
      <c r="H45" s="219" t="n">
        <f aca="false">VLOOKUP(I45,$EJ$20:$EL$54,3)</f>
        <v>0</v>
      </c>
      <c r="I45" s="511" t="n">
        <f aca="false">EOMONTH(I44,0)+1</f>
        <v>37530</v>
      </c>
      <c r="J45" s="512"/>
      <c r="K45" s="513" t="s">
        <v>226</v>
      </c>
      <c r="L45" s="514" t="e">
        <f aca="false">IF(ISNUMBER(K45),J45+K45/100,IF(K45="extra",L44+VLOOKUP(BF45,PriceSpreadTable,2)/12,IF(K45="inter",interpolateprices($K$19:$L$200,ROW(K45)-ROW(FirstPricingMonth)+1),interpolatechanges($J$19:$K$200,ROW(K45)-ROW(FirstPricingMonth)+1))))</f>
        <v>#VALUE!</v>
      </c>
      <c r="M45" s="515"/>
      <c r="N45" s="516" t="n">
        <v>0</v>
      </c>
      <c r="O45" s="515" t="n">
        <f aca="false">M45+N45</f>
        <v>0</v>
      </c>
      <c r="P45" s="512"/>
      <c r="Q45" s="513" t="s">
        <v>250</v>
      </c>
      <c r="R45" s="512" t="e">
        <f aca="false">IF(ISNUMBER(Q45),P45+Q45/100,IF(Q45="extra",(Z43*AL43-R44*AM43)/AN43,IF(Q45="inter",interpolateprices($Q$19:$R$260,ROW(Q45)-ROW(FirstPricingMonth)+1),interpolatechanges($P$19:$Q$260,ROW(Q45)-ROW(FirstPricingMonth)+1))))</f>
        <v>#VALUE!</v>
      </c>
      <c r="S45" s="597" t="n">
        <f aca="false">S$19+(S44-S$19)*S$18</f>
        <v>0.360040135651102</v>
      </c>
      <c r="T45" s="575" t="n">
        <f aca="false">SQRT((1-(1-T44^2/U44)*T$18)*U45)</f>
        <v>0.997754994239166</v>
      </c>
      <c r="U45" s="576" t="n">
        <f aca="false">1-(1-U44)*U$18</f>
        <v>0.999988711848128</v>
      </c>
      <c r="V45" s="521" t="n">
        <v>0</v>
      </c>
      <c r="W45" s="577" t="n">
        <f aca="false">(J46*AJ45+J47*AK45)/AI45</f>
        <v>0</v>
      </c>
      <c r="X45" s="578" t="e">
        <f aca="false">(L46*AJ45+L47*AK45)/AI45</f>
        <v>#VALUE!</v>
      </c>
      <c r="Y45" s="579" t="n">
        <f aca="false">IF(Q47="extra",W45-AA45,(P46*AM45+P47*AN45)/AL45)</f>
        <v>0</v>
      </c>
      <c r="Z45" s="579" t="e">
        <f aca="false">IF(Q47="extra",X45-AB45,(R46*AM45+R47*AN45)/AL45)</f>
        <v>#VALUE!</v>
      </c>
      <c r="AA45" s="523" t="n">
        <f aca="false">IF(Q47="extra",INDEX(BrentSeasonalityTable,INT((BG45-1)/3)+1)*VLOOKUP(MAX(BF45,$AB$4),PriceSpreadTable,3),W45-Y45)</f>
        <v>0</v>
      </c>
      <c r="AB45" s="524" t="e">
        <f aca="false">IF(Q47="extra",INDEX(BrentSeasonalityTable,INT((BG45-1)/3)+1)*VLOOKUP(MAX(BF45,$AB$4),PriceSpreadTable,3),X45-Z45)</f>
        <v>#VALUE!</v>
      </c>
      <c r="AC45" s="525" t="n">
        <v>37519</v>
      </c>
      <c r="AD45" s="646" t="n">
        <v>37516</v>
      </c>
      <c r="AE45" s="526" t="n">
        <v>37511</v>
      </c>
      <c r="AF45" s="527" t="n">
        <v>37510</v>
      </c>
      <c r="AG45" s="438" t="s">
        <v>224</v>
      </c>
      <c r="AH45" s="439" t="s">
        <v>247</v>
      </c>
      <c r="AI45" s="528" t="n">
        <v>23</v>
      </c>
      <c r="AJ45" s="529" t="n">
        <v>16</v>
      </c>
      <c r="AK45" s="529" t="n">
        <v>7</v>
      </c>
      <c r="AL45" s="530" t="n">
        <v>23</v>
      </c>
      <c r="AM45" s="529" t="n">
        <v>11</v>
      </c>
      <c r="AN45" s="531" t="n">
        <v>12</v>
      </c>
      <c r="AO45" s="532"/>
      <c r="AP45" s="465" t="n">
        <f aca="false">(1+AO45/2)^(-2*BL45)</f>
        <v>1</v>
      </c>
      <c r="AQ45" s="532"/>
      <c r="AR45" s="465" t="n">
        <f aca="false">(1+AQ45/2)^(-2*BH45/365.25)</f>
        <v>1</v>
      </c>
      <c r="AS45" s="580" t="n">
        <f aca="false">(O46*AJ45+O47*AK45)/AI45</f>
        <v>0</v>
      </c>
      <c r="AT45" s="468" t="n">
        <f aca="false">O45*VLOOKUP(BF45,BrentVolTable,2)+VLOOKUP(BF45,BrentVolTable,3)</f>
        <v>0</v>
      </c>
      <c r="AU45" s="468" t="n">
        <f aca="false">(AT46*AM45+AT47*AN45)/AL45</f>
        <v>0</v>
      </c>
      <c r="AV45" s="595" t="n">
        <f aca="false">SQRT(MAX(0.000000000001,(O45^2*BH45-S45^2*(BH45-BH44))/BH44))</f>
        <v>0.0225105036848694</v>
      </c>
      <c r="AW45" s="451" t="n">
        <f aca="false">IF($I45-DateToday+15&gt;=$T$8,"",IF($I45-DateToday+15&lt;$T$5,1,MATCH($I45-DateToday+15,$T$5:$T$8)))</f>
        <v>1</v>
      </c>
      <c r="AX45" s="468" t="n">
        <f aca="false">IF($AW45="",AX44^2/AX43,INDEX(U$5:U$8,$AW45)^((INDEX($T$5:$T$8,$AW45+1)-($I45-DateToday+15))/(INDEX($T$5:$T$8,$AW45+1)-INDEX($T$5:$T$8,$AW45)))/INDEX(U$5:U$8,$AW45+1)^((INDEX($T$5:$T$8,$AW45)-($I45-DateToday+15))/(INDEX($T$5:$T$8,$AW45+1)-INDEX($T$5:$T$8,$AW45))))</f>
        <v>7.35876639431766</v>
      </c>
      <c r="AY45" s="468" t="n">
        <f aca="false">IF($AW45="",AY44^2/AY43,INDEX(V$5:V$8,$AW45)^((INDEX($T$5:$T$8,$AW45+1)-($I45-DateToday+15))/(INDEX($T$5:$T$8,$AW45+1)-INDEX($T$5:$T$8,$AW45)))/INDEX(V$5:V$8,$AW45+1)^((INDEX($T$5:$T$8,$AW45)-($I45-DateToday+15))/(INDEX($T$5:$T$8,$AW45+1)-INDEX($T$5:$T$8,$AW45))))</f>
        <v>1822.31829433963</v>
      </c>
      <c r="AZ45" s="468" t="n">
        <f aca="false">IF($AW45="",AZ44^2/AZ43,INDEX(W$5:W$8,$AW45)^((INDEX($T$5:$T$8,$AW45+1)-($I45-DateToday+15))/(INDEX($T$5:$T$8,$AW45+1)-INDEX($T$5:$T$8,$AW45)))/INDEX(W$5:W$8,$AW45+1)^((INDEX($T$5:$T$8,$AW45)-($I45-DateToday+15))/(INDEX($T$5:$T$8,$AW45+1)-INDEX($T$5:$T$8,$AW45))))</f>
        <v>89785273.9643392</v>
      </c>
      <c r="BA45" s="468" t="n">
        <f aca="false">IF($AW45="",BA44^2/BA43,INDEX(X$5:X$8,$AW45)^((INDEX($T$5:$T$8,$AW45+1)-($I45-DateToday+15))/(INDEX($T$5:$T$8,$AW45+1)-INDEX($T$5:$T$8,$AW45)))/INDEX(X$5:X$8,$AW45+1)^((INDEX($T$5:$T$8,$AW45)-($I45-DateToday+15))/(INDEX($T$5:$T$8,$AW45+1)-INDEX($T$5:$T$8,$AW45))))</f>
        <v>6882383924.51438</v>
      </c>
      <c r="BB45" s="468" t="n">
        <f aca="false">IF($AW45="",BB44^2/BB43,INDEX(Y$5:Y$8,$AW45)^((INDEX($T$5:$T$8,$AW45+1)-($I45-DateToday+15))/(INDEX($T$5:$T$8,$AW45+1)-INDEX($T$5:$T$8,$AW45)))/INDEX(Y$5:Y$8,$AW45+1)^((INDEX($T$5:$T$8,$AW45)-($I45-DateToday+15))/(INDEX($T$5:$T$8,$AW45+1)-INDEX($T$5:$T$8,$AW45))))</f>
        <v>148600941500.202</v>
      </c>
      <c r="BC45" s="468" t="n">
        <f aca="false">IF($AW45="",BC44^2/BC43,INDEX(Z$5:Z$8,$AW45)^((INDEX($T$5:$T$8,$AW45+1)-($I45-DateToday+15))/(INDEX($T$5:$T$8,$AW45+1)-INDEX($T$5:$T$8,$AW45)))/INDEX(Z$5:Z$8,$AW45+1)^((INDEX($T$5:$T$8,$AW45)-($I45-DateToday+15))/(INDEX($T$5:$T$8,$AW45+1)-INDEX($T$5:$T$8,$AW45))))</f>
        <v>927241334354.07</v>
      </c>
      <c r="BD45" s="535" t="n">
        <f aca="false">IF(OR(DateStart&gt;=I46,DateEnd&lt;I45),0,IF(VolumeOverrideFlag,V45,Volume))</f>
        <v>0</v>
      </c>
      <c r="BE45" s="536" t="n">
        <f aca="false">IF(OR(DateStart2&gt;=I46,DateEnd2&lt;I45),0,IF(VolumeOverrideFlag,V45,VolumeSwaption))</f>
        <v>0</v>
      </c>
      <c r="BF45" s="537" t="n">
        <f aca="false">YEAR(I45)</f>
        <v>2002</v>
      </c>
      <c r="BG45" s="538" t="n">
        <f aca="false">MONTH(I45)</f>
        <v>10</v>
      </c>
      <c r="BH45" s="539" t="n">
        <f aca="false">AD45-DateToday+1</f>
        <v>-8409</v>
      </c>
      <c r="BI45" s="540" t="n">
        <f aca="false">(I45-DateToday+1)/365.25</f>
        <v>-22.984257357974</v>
      </c>
      <c r="BJ45" s="541" t="n">
        <f aca="false">BI45+(BL45-BI45)*CHOOSE(Underlying,AJ45/AI45,AM45/AL45)</f>
        <v>-22.9271196024165</v>
      </c>
      <c r="BK45" s="541" t="n">
        <f aca="false">BJ45+1/365.25</f>
        <v>-22.9243817516293</v>
      </c>
      <c r="BL45" s="541" t="n">
        <f aca="false">(I46-DateToday)/365.25</f>
        <v>-22.90212183436</v>
      </c>
      <c r="BM45" s="542" t="e">
        <f aca="false">MAX(BI45-(BJ45-BI45)*(S46^2/O46^2-1),0)</f>
        <v>#DIV/0!</v>
      </c>
      <c r="BN45" s="541" t="e">
        <f aca="false">MAX(BL45+(BL45-BK45)*(S47^2/O47^2-1),0)</f>
        <v>#DIV/0!</v>
      </c>
      <c r="BO45" s="530" t="n">
        <f aca="false">CHOOSE(Underlying,AI45,AL45)</f>
        <v>23</v>
      </c>
      <c r="BP45" s="529" t="n">
        <f aca="false">CHOOSE(Underlying,AJ45,AM45)</f>
        <v>16</v>
      </c>
      <c r="BQ45" s="529" t="n">
        <f aca="false">CHOOSE(Underlying,AK45,AN45)</f>
        <v>7</v>
      </c>
      <c r="BR45" s="463" t="str">
        <f aca="false">IF(BD45,IF(Underlying=1,X45,Z45)+UnderlyingPriceAsian-SwapPriceCurve,"")</f>
        <v/>
      </c>
      <c r="BS45" s="463" t="str">
        <f aca="false">IF(BD45,Strike1/BR45-1,"")</f>
        <v/>
      </c>
      <c r="BT45" s="464" t="str">
        <f aca="false">IF(BD45,Strike2/BR45-1,"")</f>
        <v/>
      </c>
      <c r="BU45" s="465" t="str">
        <f aca="false">IF(BD45,IF(Underlying=1,L46,R46)+UnderlyingPriceAsian-SwapPriceCurve,"")</f>
        <v/>
      </c>
      <c r="BV45" s="465" t="str">
        <f aca="false">IF(BD45,IF(Underlying=1,L47,R47)+UnderlyingPriceAsian-SwapPriceCurve,"")</f>
        <v/>
      </c>
      <c r="BW45" s="466" t="str">
        <f aca="false">IF(BD45,IF(Underlying=1,O46,AT46),"")</f>
        <v/>
      </c>
      <c r="BX45" s="467" t="str">
        <f aca="false">IF(BD45,IF(Underlying=1,O47,AT47),"")</f>
        <v/>
      </c>
      <c r="BY45" s="466" t="str">
        <f aca="false">IF(BD45,IF(BS45&gt;0,IF(BS45&gt;0.2,BC45-BB45,IF(BS45&gt;0.1,BB45-BA45,BA45)),IF(BS45&lt;-0.2,AX45-AY45,IF(BS45&lt;-0.1,AY45-AZ45,AZ45))),"")</f>
        <v/>
      </c>
      <c r="BZ45" s="467" t="str">
        <f aca="false">IF(BD45,IF(BT45&gt;0,IF(BT45&gt;0.2,BC45-BB45,IF(BT45&gt;0.1,BB45-BA45,BA45)),IF(BT45&lt;-0.2,AX45-AY45,IF(BT45&lt;-0.1,AY45-AZ45,AZ45))),"")</f>
        <v/>
      </c>
      <c r="CA45" s="468" t="str">
        <f aca="false">IF($BD45,$BW45+IF(VolSkewFlag=1,IF(BS45&gt;0,$BA45*MIN(BS45/10%,1)+($BB45-$BA45)*MAX(0,MIN(BS45/10%-1,1))+($BC45-$BB45)*MAX(0,BS45/10%-2),$AZ45*MIN(-BS45/10%,1)+($AY45-$AZ45)*MAX(0,MIN(-BS45/10%-1,1))+($AX45-$AY45)*MAX(0,-BS45/10%-2)),0),"")</f>
        <v/>
      </c>
      <c r="CB45" s="468" t="str">
        <f aca="false">IF($BD45,$BX45+IF(VolSkewFlag=1,IF(BS45&gt;0,$BA45*MIN(BS45/10%,1)+($BB45-$BA45)*MAX(0,MIN(BS45/10%-1,1))+($BC45-$BB45)*MAX(0,BS45/10%-2),$AZ45*MIN(-BS45/10%,1)+($AY45-$AZ45)*MAX(0,MIN(-BS45/10%-1,1))+($AX45-$AY45)*MAX(0,-BS45/10%-2)),0),"")</f>
        <v/>
      </c>
      <c r="CC45" s="468" t="str">
        <f aca="false">IF($BD45,$BW45+IF(VolSkewFlag=1,IF(BT45&gt;0,$BA45*MIN(BT45/10%,1)+($BB45-$BA45)*MAX(0,MIN(BT45/10%-1,1))+($BC45-$BB45)*MAX(0,BT45/10%-2),$AZ45*MIN(-BT45/10%,1)+($AY45-$AZ45)*MAX(0,MIN(-BT45/10%-1,1))+($AX45-$AY45)*MAX(0,-BT45/10%-2)),0),"")</f>
        <v/>
      </c>
      <c r="CD45" s="468" t="str">
        <f aca="false">IF($BD45,$BX45+IF(VolSkewFlag=1,IF(BT45&gt;0,$BA45*MIN(BT45/10%,1)+($BB45-$BA45)*MAX(0,MIN(BT45/10%-1,1))+($BC45-$BB45)*MAX(0,BT45/10%-2),$AZ45*MIN(-BT45/10%,1)+($AY45-$AZ45)*MAX(0,MIN(-BT45/10%-1,1))+($AX45-$AY45)*MAX(0,-BT45/10%-2)),0),"")</f>
        <v/>
      </c>
      <c r="CE45" s="469" t="n">
        <v>1</v>
      </c>
      <c r="CF45" s="470" t="n">
        <f aca="false">IF(BD45,xCrudeAPO(BU45,BV45,CA45,CB45,S46,S47,BI45,BL45,BP45,BQ45,0,Strike1,AO45,CE45,0,BL45,IF(OptControl=4,0,1),0,1),0)</f>
        <v>0</v>
      </c>
      <c r="CG45" s="470" t="n">
        <f aca="false">IF(BD45,xCrudeAPO(BU45,BV45,CA45,CB45,S46,S47,BI45,BL45,BP45,BQ45,0,Strike1,AO45,CE45,0,BL45,IF(OptControl=4,0,1),1,1)+xCrudeAPO(BU45,BV45,CA45,CB45,S46,S47,BI45,BL45,BP45,BQ45,0,Strike1,AO45,CE45,0,BL45,IF(OptControl=4,0,1),1,2)+IF(OR(VolSkewFlag=2,ABS(BS45)&lt;0.0001),0,IF(BS45&gt;0,-1,1)*CH45*Strike1/BR45^2*BY45/10%),0)</f>
        <v>0</v>
      </c>
      <c r="CH45" s="470" t="n">
        <f aca="false">IF(BD45,(xCrudeAPO(BU45,BV45,CA45,CB45,S46,S47,BI45,BL45,BP45,BQ45,0,Strike1,AO45,CE45,0,BL45,IF(OptControl=4,0,1),3,1)+xCrudeAPO(BU45,BV45,CA45,CB45,S46,S47,BI45,BL45,BP45,BQ45,0,Strike1,AO45,CE45,0,BL45,IF(OptControl=4,0,1),3,2))/100,0)</f>
        <v>0</v>
      </c>
      <c r="CI45" s="470" t="n">
        <f aca="false">IF(BD45,xCrudeAPO(BU45,BV45,CA45,CB45,S46,S47,BI45-DaysForThetaCalculation/365.25,BL45-DaysForThetaCalculation/365.25,BP45,BQ45,0,Strike1,AO45,CE45,0,BL45,IF(OptControl=4,0,1),0,1)-xCrudeAPO(BU45,BV45,CA45,CB45,S46,S47,BI45,BL45,BP45,BQ45,0,Strike1,AO45,CE45,0,BL45,IF(OptControl=4,0,1),0,1),0)</f>
        <v>0</v>
      </c>
      <c r="CJ45" s="471" t="n">
        <f aca="false">IF(BD45,xCrudeAPO(BU45,BV45,CC45,CD45,S46,S47,BI45,BL45,BP45,BQ45,0,Strike2,AO45,CE45,0,BL45,IF(OptControl=3,1,0),0,1),0)</f>
        <v>0</v>
      </c>
      <c r="CK45" s="470" t="n">
        <f aca="false">IF(BD45,xCrudeAPO(BU45,BV45,CC45,CD45,S46,S47,BI45,BL45,BP45,BQ45,0,Strike2,AO45,CE45,0,BL45,IF(OptControl=3,1,0),1,1)+xCrudeAPO(BU45,BV45,CC45,CD45,S46,S47,BI45,BL45,BP45,BQ45,0,Strike2,AO45,CE45,0,BL45,IF(OptControl=3,1,0),1,2)+IF(OR(VolSkewFlag=2,ABS(BT45)&lt;0.0001),0,IF(BT45&gt;0,-1,1)*CL45*Strike2/BR45^2*BZ45/10%),0)</f>
        <v>0</v>
      </c>
      <c r="CL45" s="470" t="n">
        <f aca="false">IF(BD45,(xCrudeAPO(BU45,BV45,CC45,CD45,S46,S47,BI45,BL45,BP45,BQ45,0,Strike2,AO45,CE45,0,BL45,IF(OptControl=3,1,0),3,1)+xCrudeAPO(BU45,BV45,CC45,CD45,S46,S47,BI45,BL45,BP45,BQ45,0,Strike2,AO45,CE45,0,BL45,IF(OptControl=3,1,0),3,2))/100,0)</f>
        <v>0</v>
      </c>
      <c r="CM45" s="472" t="n">
        <f aca="false">IF(BD45,xCrudeAPO(BU45,BV45,CC45,CD45,S46,S47,BI45-DaysForThetaCalculation/365.25,BL45-DaysForThetaCalculation/365.25,BP45,BQ45,0,Strike2,AO45,CE45,0,BL45,IF(OptControl=3,1,0),0,1)-xCrudeAPO(BU45,BV45,CC45,CD45,S46,S47,BI45,BL45,BP45,BQ45,0,Strike2,AO45,CE45,0,BL45,IF(OptControl=3,1,0),0,1),0)</f>
        <v>0</v>
      </c>
      <c r="CN45" s="3"/>
      <c r="CO45" s="543" t="str">
        <f aca="false">IF(BD45,CHOOSE(Underlying,AD45,AF45)-DateToday+1,"")</f>
        <v/>
      </c>
      <c r="CP45" s="582" t="str">
        <f aca="false">IF(BD45,CHOOSE(Underlying,L45,R45),"")</f>
        <v/>
      </c>
      <c r="CQ45" s="544" t="str">
        <f aca="false">IF(BD45,Strike1/CP45-1,"")</f>
        <v/>
      </c>
      <c r="CR45" s="544" t="str">
        <f aca="false">IF(BD45,Strike2/CP45-1,"")</f>
        <v/>
      </c>
      <c r="CS45" s="544" t="str">
        <f aca="false">IF(BD45,IF(CQ45&gt;0,IF(CQ45&gt;0.2,BC44-BB44,IF(CQ45&gt;0.1,BB44-BA44,BA44)),IF(CQ45&lt;-0.2,AX44-AY44,IF(CQ45&lt;-0.1,AY44-AZ44,AZ44))),"")</f>
        <v/>
      </c>
      <c r="CT45" s="544" t="str">
        <f aca="false">IF(BD45,IF(CR45&gt;0,IF(CR45&gt;0.2,BC44-BB44,IF(CR45&gt;0.1,BB44-BA44,BA44)),IF(CR45&lt;-0.2,AX44-AY44,IF(CR45&lt;-0.1,AY44-AZ44,AZ44))),"")</f>
        <v/>
      </c>
      <c r="CU45" s="545" t="str">
        <f aca="false">IF(BD45,CHOOSE(Underlying,O45,AT45),"")</f>
        <v/>
      </c>
      <c r="CV45" s="545" t="str">
        <f aca="false">IF(BD45,CU45+IF(VolSkewFlag=1,IF(CQ45&gt;0,BA44*MIN(CQ45/10%,1)+(BB44-BA44)*MAX(0,MIN(CQ45/10%-1,1))+(BC44-BB44)*MAX(0,CQ45/10%-2),AZ44*MIN(-CQ45/10%,1)+(AY44-AZ44)*MAX(0,MIN(-CQ45/10%-1,1))+(AX44-AY44)*MAX(0,-CQ45/10%-2)),0),"")</f>
        <v/>
      </c>
      <c r="CW45" s="545" t="str">
        <f aca="false">IF(BD45,CU45+IF(VolSkewFlag=1,IF(CR45&gt;0,BA44*MIN(CR45/10%,1)+(BB44-BA44)*MAX(0,MIN(CR45/10%-1,1))+(BC44-BB44)*MAX(0,CR45/10%-2),AZ44*MIN(-CR45/10%,1)+(AY44-AZ44)*MAX(0,MIN(-CR45/10%-1,1))+(AX44-AY44)*MAX(0,-CR45/10%-2)),0),"")</f>
        <v/>
      </c>
      <c r="CX45" s="470" t="n">
        <f aca="false">IF(BD45,EURO(CP45,Strike1,AO45,AO45,CV45,CO45,IF(OptControl=4,0,1),0),0)</f>
        <v>0</v>
      </c>
      <c r="CY45" s="470" t="n">
        <f aca="false">IF(BD45,EURO(CP45,Strike1,AO45,AO45,CV45,CO45,IF(OptControl=4,0,1),1)+IF(OR(VolSkewFlag=2,ABS(CQ45)&lt;0.0001),0,IF(CQ45&gt;0,-1,1)*CZ45*100*Strike1/CP45^2*CS45/10%),0)</f>
        <v>0</v>
      </c>
      <c r="CZ45" s="470" t="n">
        <f aca="false">IF(BD45,EURO(CP45,Strike1,AO45,AO45,CV45,CO45,IF(OptControl=4,0,1),3)/100,0)</f>
        <v>0</v>
      </c>
      <c r="DA45" s="470" t="n">
        <f aca="false">IF(BD45,EURO(CP45,Strike1,AO45,AO45,CV45,CO45,IF(OptControl=4,0,1),0)-EURO(CP45,Strike1,AO45,AO45,CV45,CO45-1,IF(OptControl=4,0,1),0),0)</f>
        <v>0</v>
      </c>
      <c r="DB45" s="470" t="n">
        <f aca="false">IF(BD45,EURO(CP45,Strike2,AO45,AO45,CW45,CO45,IF(OptControl=3,1,0),0),0)</f>
        <v>0</v>
      </c>
      <c r="DC45" s="470" t="n">
        <f aca="false">IF(BD45,EURO(CP45,Strike2,AO45,AO45,CW45,CO45,IF(OptControl=3,1,0),1)+IF(OR(VolSkewFlag=2,ABS(CR45)&lt;0.0001),0,IF(CR45&gt;0,-1,1)*DD45*100*Strike2/CP45^2*CT45/10%),0)</f>
        <v>0</v>
      </c>
      <c r="DD45" s="470" t="n">
        <f aca="false">IF(BD45,EURO(CP45,Strike2,AO45,AO45,CW45,CO45,IF(OptControl=3,1,0),3)/100,0)</f>
        <v>0</v>
      </c>
      <c r="DE45" s="472" t="n">
        <f aca="false">IF(BD45,EURO(CP45,Strike2,AO45,AO45,CW45,CO45,IF(OptControl=3,1,0),0)-EURO(CP45,Strike2,AO45,AO45,CW45,CO45-1,IF(OptControl=3,1,0),0),0)</f>
        <v>0</v>
      </c>
      <c r="DG45" s="481" t="n">
        <f aca="false">EOMONTH(DG44,0)+1</f>
        <v>46447</v>
      </c>
      <c r="DH45" s="478" t="n">
        <v>19.79</v>
      </c>
      <c r="DI45" s="479" t="n">
        <v>19.6433333333333</v>
      </c>
      <c r="DJ45" s="480" t="n">
        <f aca="false">DG45</f>
        <v>46447</v>
      </c>
      <c r="DK45" s="478" t="n">
        <v>18.59</v>
      </c>
      <c r="DL45" s="479" t="n">
        <v>18.4695238095238</v>
      </c>
      <c r="DM45" s="481" t="n">
        <f aca="false">DG45</f>
        <v>46447</v>
      </c>
      <c r="DN45" s="482" t="n">
        <f aca="false">DK45+BrentPhyBrentSpread</f>
        <v>18.64</v>
      </c>
      <c r="DO45" s="481" t="n">
        <f aca="false">DG45</f>
        <v>46447</v>
      </c>
      <c r="DP45" s="483" t="n">
        <f aca="false">DL45+DQ45</f>
        <v>18.4695238095238</v>
      </c>
      <c r="DQ45" s="546" t="n">
        <v>0</v>
      </c>
      <c r="DR45" s="480" t="n">
        <f aca="false">DG45</f>
        <v>46447</v>
      </c>
      <c r="DS45" s="485" t="n">
        <v>0.229342940350695</v>
      </c>
      <c r="DT45" s="486" t="n">
        <v>0.226581100674704</v>
      </c>
      <c r="DU45" s="480" t="n">
        <f aca="false">DG45</f>
        <v>46447</v>
      </c>
      <c r="DV45" s="485" t="n">
        <v>0.229342940350695</v>
      </c>
      <c r="DW45" s="486" t="n">
        <v>0.226581100674704</v>
      </c>
      <c r="DX45" s="481" t="n">
        <f aca="false">DG45</f>
        <v>46447</v>
      </c>
      <c r="DY45" s="486" t="n">
        <v>0.350000004768372</v>
      </c>
      <c r="DZ45" s="481" t="n">
        <f aca="false">DR45</f>
        <v>46447</v>
      </c>
      <c r="EA45" s="486" t="n">
        <f aca="false">DT45</f>
        <v>0.226581100674704</v>
      </c>
      <c r="EB45" s="195"/>
      <c r="EC45" s="547" t="str">
        <f aca="false">IF(BD45,IF(Underlying=1,AS45,AU45),"")</f>
        <v/>
      </c>
      <c r="ED45" s="548" t="str">
        <f aca="false">IF($BD45,$EC45+IF(VolSkewFlag=1,IF(BS45&gt;0,$BA45*MIN(BS45/10%,1)+($BB45-$BA45)*MAX(0,MIN(BS45/10%-1,1))+($BC45-$BB45)*MAX(0,BS45/10%-2),$AZ45*MIN(-BS45/10%,1)+($AY45-$AZ45)*MAX(0,MIN(-BS45/10%-1,1))+($AX45-$AY45)*MAX(0,-BS45/10%-2)),0),"")</f>
        <v/>
      </c>
      <c r="EE45" s="549" t="str">
        <f aca="false">IF($BD45,$EC45+IF(VolSkewFlag=1,IF(BT45&gt;0,$BA45*MIN(BT45/10%,1)+($BB45-$BA45)*MAX(0,MIN(BT45/10%-1,1))+($BC45-$BB45)*MAX(0,BT45/10%-2),$AZ45*MIN(-BT45/10%,1)+($AY45-$AZ45)*MAX(0,MIN(-BT45/10%-1,1))+($AX45-$AY45)*MAX(0,-BT45/10%-2)),0),"")</f>
        <v/>
      </c>
      <c r="EF45" s="550" t="n">
        <f aca="false">IF(BD45,xASN(BR45,Strike1,AO45,ED45,0,BO45,0,BI45,BL45,IF(OptControl=4,0,1),0),0)</f>
        <v>0</v>
      </c>
      <c r="EG45" s="551" t="n">
        <f aca="false">IF(BD45,xASN(BR45,Strike2,AO45,EE45,0,BO45,0,BI45,BL45,IF(OptControl=3,1,0),0),0)</f>
        <v>0</v>
      </c>
      <c r="EI45" s="583" t="str">
        <f aca="false">DDE("TWINDDE","RSFRecord","CLc26 MTH")</f>
        <v>OCT2</v>
      </c>
      <c r="EJ45" s="584" t="n">
        <f aca="false">DATEVALUE(CONCATENATE(LEFT(EI45,3),"-",IF(VALUE(RIGHT(EI45,1))=9,"1999",CONCATENATE("200",RIGHT(EI45,1)))))</f>
        <v>37530</v>
      </c>
      <c r="EK45" s="585" t="n">
        <f aca="false">DDE("TWINDDE","RSFRecord","CLc26 NET.CHNG")</f>
        <v>0</v>
      </c>
      <c r="EL45" s="586" t="n">
        <f aca="false">IF(ISNUMBER(VALUE(EK45)),VALUE(EK45)*100,0)</f>
        <v>0</v>
      </c>
      <c r="EM45" s="195"/>
      <c r="EN45" s="556" t="n">
        <v>38718</v>
      </c>
      <c r="EO45" s="557" t="n">
        <v>41268</v>
      </c>
      <c r="EP45" s="195"/>
      <c r="EQ45" s="407" t="s">
        <v>268</v>
      </c>
      <c r="ES45" s="587" t="n">
        <v>26</v>
      </c>
      <c r="ET45" s="559" t="n">
        <f aca="false">BH45/365.25</f>
        <v>-23.0225872689938</v>
      </c>
      <c r="EU45" s="560" t="n">
        <f aca="false">O45^2*ET45</f>
        <v>-0</v>
      </c>
      <c r="EV45" s="588" t="e">
        <f aca="false">SQRT(SUM(FK45:ID45)/ET45)</f>
        <v>#VALUE!</v>
      </c>
      <c r="EW45" s="589" t="str">
        <f aca="false">IF(OR(DateStart2&gt;I44,DateEnd2&lt;I43),"",IF(DateStart2&lt;I44,AK43/AI43*AP43*BE43*SwaptionNumOfMonths/$D$33,0)+IF(DateEnd2&gt;I43,AJ44/AI44*AP44*BE44*SwaptionNumOfMonths/$D$33,0))</f>
        <v/>
      </c>
      <c r="EX45" s="590" t="str">
        <f aca="false">IF(EW45="","",SQRT(SUM(FK350:ID350)/SwaptionYearsToExp))</f>
        <v/>
      </c>
      <c r="EY45" s="129" t="n">
        <v>0</v>
      </c>
      <c r="EZ45" s="591" t="str">
        <f aca="false">IF(OR(EW45="",EW46=""),"",SQRT(SUM(INDEX(FK45:ID45,SwaptionFirstMonthPosition+1):INDEX(FK45:ID45,FJ45))/SUM(INDEX($FK$15:$ID$15,SwaptionFirstMonthPosition+1):INDEX($FK$15:$ID$15,FJ45))))</f>
        <v/>
      </c>
      <c r="FA45" s="592" t="str">
        <f aca="false">IF(OR(EW45="",EW44=""),"",SQRT(SUM(INDEX(FK45:ID45,SwaptionFirstMonthPosition+1):INDEX(FK45:ID45,FJ45-1))/SUM(INDEX($FK$15:$ID$15,SwaptionFirstMonthPosition+1):INDEX($FK$15:$ID$15,FJ45-1))))</f>
        <v/>
      </c>
      <c r="FB45" s="593" t="str">
        <f aca="false">IF(BE45,2/3*EZ46+1/3*FA47,"")</f>
        <v/>
      </c>
      <c r="FC45" s="596" t="str">
        <f aca="false">IF(BE45,(I46+I45-1)/2-DateToday,"")</f>
        <v/>
      </c>
      <c r="FD45" s="483" t="str">
        <f aca="false">IF(BE45,CHOOSE(Underlying,X45,Z45)+SwaptionUnderlyingPrice-$D$26,"")</f>
        <v/>
      </c>
      <c r="FE45" s="483" t="str">
        <f aca="false">IF(BE45,CollartionFloor/FD45-1,"")</f>
        <v/>
      </c>
      <c r="FF45" s="483" t="str">
        <f aca="false">IF(BE45,CollartionCap/FD45-1,"")</f>
        <v/>
      </c>
      <c r="FG45" s="485" t="str">
        <f aca="false">IF(BE45,IF(VolSkewFlag=1,IF(FE45&gt;0,$BA45*MIN(FE45/10%,1)+($BB45-$BA45)*MAX(0,MIN(FE45/10%-1,1))+($BC45-$BB45)*MAX(0,FE45/10%-2),$AZ45*MIN(-FE45/10%,1)+($AY45-$AZ45)*MAX(0,MIN(-FE45/10%-1,1))+($AX45-$AY45)*MAX(0,-FE45/10%-2)),0),"")</f>
        <v/>
      </c>
      <c r="FH45" s="486" t="str">
        <f aca="false">IF(BE45,IF(VolSkewFlag=1,IF(FF45&gt;0,$BA45*MIN(FF45/10%,1)+($BB45-$BA45)*MAX(0,MIN(FF45/10%-1,1))+($BC45-$BB45)*MAX(0,FF45/10%-2),$AZ45*MIN(-FF45/10%,1)+($AY45-$AZ45)*MAX(0,MIN(-FF45/10%-1,1))+($AX45-$AY45)*MAX(0,-FF45/10%-2)),0),"")</f>
        <v/>
      </c>
      <c r="FI45" s="129"/>
      <c r="FJ45" s="571" t="n">
        <v>26</v>
      </c>
      <c r="FK45" s="150" t="n">
        <f aca="false">IF(FK$19&gt;$FJ45,"",MAX(0,IF(FK$19=$FJ45,$S45^2*FK$15,FK44*INDEX($T$20:$T$91,$FJ45-FK$19)^2/INDEX($U$20:$U$91,$FJ45-FK$19))))</f>
        <v>0</v>
      </c>
      <c r="FL45" s="150" t="n">
        <f aca="false">IF(FL$19&gt;$FJ45,"",MAX(0,IF(FL$19=$FJ45,$S45^2*FL$15,FL44*INDEX($T$20:$T$91,$FJ45-FL$19)^2/INDEX($U$20:$U$91,$FJ45-FL$19))))</f>
        <v>0</v>
      </c>
      <c r="FM45" s="150" t="n">
        <f aca="false">IF(FM$19&gt;$FJ45,"",MAX(0,IF(FM$19=$FJ45,$S45^2*FM$15,FM44*INDEX($T$20:$T$91,$FJ45-FM$19)^2/INDEX($U$20:$U$91,$FJ45-FM$19))))</f>
        <v>0.00265673657403279</v>
      </c>
      <c r="FN45" s="150" t="n">
        <f aca="false">IF(FN$19&gt;$FJ45,"",MAX(0,IF(FN$19=$FJ45,$S45^2*FN$15,FN44*INDEX($T$20:$T$91,$FJ45-FN$19)^2/INDEX($U$20:$U$91,$FJ45-FN$19))))</f>
        <v>0.00225221542355509</v>
      </c>
      <c r="FO45" s="150" t="n">
        <f aca="false">IF(FO$19&gt;$FJ45,"",MAX(0,IF(FO$19=$FJ45,$S45^2*FO$15,FO44*INDEX($T$20:$T$91,$FJ45-FO$19)^2/INDEX($U$20:$U$91,$FJ45-FO$19))))</f>
        <v>0.00236241369583116</v>
      </c>
      <c r="FP45" s="150" t="n">
        <f aca="false">IF(FP$19&gt;$FJ45,"",MAX(0,IF(FP$19=$FJ45,$S45^2*FP$15,FP44*INDEX($T$20:$T$91,$FJ45-FP$19)^2/INDEX($U$20:$U$91,$FJ45-FP$19))))</f>
        <v>0.00264368086932832</v>
      </c>
      <c r="FQ45" s="150" t="n">
        <f aca="false">IF(FQ$19&gt;$FJ45,"",MAX(0,IF(FQ$19=$FJ45,$S45^2*FQ$15,FQ44*INDEX($T$20:$T$91,$FJ45-FQ$19)^2/INDEX($U$20:$U$91,$FJ45-FQ$19))))</f>
        <v>0.00216513006659346</v>
      </c>
      <c r="FR45" s="150" t="n">
        <f aca="false">IF(FR$19&gt;$FJ45,"",MAX(0,IF(FR$19=$FJ45,$S45^2*FR$15,FR44*INDEX($T$20:$T$91,$FJ45-FR$19)^2/INDEX($U$20:$U$91,$FJ45-FR$19))))</f>
        <v>0.00224379771256836</v>
      </c>
      <c r="FS45" s="150" t="n">
        <f aca="false">IF(FS$19&gt;$FJ45,"",MAX(0,IF(FS$19=$FJ45,$S45^2*FS$15,FS44*INDEX($T$20:$T$91,$FJ45-FS$19)^2/INDEX($U$20:$U$91,$FJ45-FS$19))))</f>
        <v>0.00256883226832498</v>
      </c>
      <c r="FT45" s="150" t="n">
        <f aca="false">IF(FT$19&gt;$FJ45,"",MAX(0,IF(FT$19=$FJ45,$S45^2*FT$15,FT44*INDEX($T$20:$T$91,$FJ45-FT$19)^2/INDEX($U$20:$U$91,$FJ45-FT$19))))</f>
        <v>0.0023615365656119</v>
      </c>
      <c r="FU45" s="150" t="n">
        <f aca="false">IF(FU$19&gt;$FJ45,"",MAX(0,IF(FU$19=$FJ45,$S45^2*FU$15,FU44*INDEX($T$20:$T$91,$FJ45-FU$19)^2/INDEX($U$20:$U$91,$FJ45-FU$19))))</f>
        <v>0.00231999496462296</v>
      </c>
      <c r="FV45" s="150" t="n">
        <f aca="false">IF(FV$19&gt;$FJ45,"",MAX(0,IF(FV$19=$FJ45,$S45^2*FV$15,FV44*INDEX($T$20:$T$91,$FJ45-FV$19)^2/INDEX($U$20:$U$91,$FJ45-FV$19))))</f>
        <v>0.0026149551650022</v>
      </c>
      <c r="FW45" s="150" t="n">
        <f aca="false">IF(FW$19&gt;$FJ45,"",MAX(0,IF(FW$19=$FJ45,$S45^2*FW$15,FW44*INDEX($T$20:$T$91,$FJ45-FW$19)^2/INDEX($U$20:$U$91,$FJ45-FW$19))))</f>
        <v>0.00251770883295484</v>
      </c>
      <c r="FX45" s="150" t="n">
        <f aca="false">IF(FX$19&gt;$FJ45,"",MAX(0,IF(FX$19=$FJ45,$S45^2*FX$15,FX44*INDEX($T$20:$T$91,$FJ45-FX$19)^2/INDEX($U$20:$U$91,$FJ45-FX$19))))</f>
        <v>0.00277440986910785</v>
      </c>
      <c r="FY45" s="150" t="n">
        <f aca="false">IF(FY$19&gt;$FJ45,"",MAX(0,IF(FY$19=$FJ45,$S45^2*FY$15,FY44*INDEX($T$20:$T$91,$FJ45-FY$19)^2/INDEX($U$20:$U$91,$FJ45-FY$19))))</f>
        <v>0.00270491727968195</v>
      </c>
      <c r="FZ45" s="150" t="n">
        <f aca="false">IF(FZ$19&gt;$FJ45,"",MAX(0,IF(FZ$19=$FJ45,$S45^2*FZ$15,FZ44*INDEX($T$20:$T$91,$FJ45-FZ$19)^2/INDEX($U$20:$U$91,$FJ45-FZ$19))))</f>
        <v>0.0026453350604015</v>
      </c>
      <c r="GA45" s="150" t="n">
        <f aca="false">IF(GA$19&gt;$FJ45,"",MAX(0,IF(GA$19=$FJ45,$S45^2*GA$15,GA44*INDEX($T$20:$T$91,$FJ45-GA$19)^2/INDEX($U$20:$U$91,$FJ45-GA$19))))</f>
        <v>0.00299582254259203</v>
      </c>
      <c r="GB45" s="150" t="n">
        <f aca="false">IF(GB$19&gt;$FJ45,"",MAX(0,IF(GB$19=$FJ45,$S45^2*GB$15,GB44*INDEX($T$20:$T$91,$FJ45-GB$19)^2/INDEX($U$20:$U$91,$FJ45-GB$19))))</f>
        <v>0.00351871353867082</v>
      </c>
      <c r="GC45" s="150" t="n">
        <f aca="false">IF(GC$19&gt;$FJ45,"",MAX(0,IF(GC$19=$FJ45,$S45^2*GC$15,GC44*INDEX($T$20:$T$91,$FJ45-GC$19)^2/INDEX($U$20:$U$91,$FJ45-GC$19))))</f>
        <v>0.00334119943394992</v>
      </c>
      <c r="GD45" s="150" t="n">
        <f aca="false">IF(GD$19&gt;$FJ45,"",MAX(0,IF(GD$19=$FJ45,$S45^2*GD$15,GD44*INDEX($T$20:$T$91,$FJ45-GD$19)^2/INDEX($U$20:$U$91,$FJ45-GD$19))))</f>
        <v>0.00366111797881131</v>
      </c>
      <c r="GE45" s="150" t="n">
        <f aca="false">IF(GE$19&gt;$FJ45,"",MAX(0,IF(GE$19=$FJ45,$S45^2*GE$15,GE44*INDEX($T$20:$T$91,$FJ45-GE$19)^2/INDEX($U$20:$U$91,$FJ45-GE$19))))</f>
        <v>0.00464120315937338</v>
      </c>
      <c r="GF45" s="150" t="n">
        <f aca="false">IF(GF$19&gt;$FJ45,"",MAX(0,IF(GF$19=$FJ45,$S45^2*GF$15,GF44*INDEX($T$20:$T$91,$FJ45-GF$19)^2/INDEX($U$20:$U$91,$FJ45-GF$19))))</f>
        <v>0.00463401393368529</v>
      </c>
      <c r="GG45" s="150" t="n">
        <f aca="false">IF(GG$19&gt;$FJ45,"",MAX(0,IF(GG$19=$FJ45,$S45^2*GG$15,GG44*INDEX($T$20:$T$91,$FJ45-GG$19)^2/INDEX($U$20:$U$91,$FJ45-GG$19))))</f>
        <v>0.00594763546876141</v>
      </c>
      <c r="GH45" s="150" t="n">
        <f aca="false">IF(GH$19&gt;$FJ45,"",MAX(0,IF(GH$19=$FJ45,$S45^2*GH$15,GH44*INDEX($T$20:$T$91,$FJ45-GH$19)^2/INDEX($U$20:$U$91,$FJ45-GH$19))))</f>
        <v>0.00667069188877254</v>
      </c>
      <c r="GI45" s="150" t="n">
        <f aca="false">IF(GI$19&gt;$FJ45,"",MAX(0,IF(GI$19=$FJ45,$S45^2*GI$15,GI44*INDEX($T$20:$T$91,$FJ45-GI$19)^2/INDEX($U$20:$U$91,$FJ45-GI$19))))</f>
        <v>0.00798061810526901</v>
      </c>
      <c r="GJ45" s="150" t="n">
        <f aca="false">IF(GJ$19&gt;$FJ45,"",MAX(0,IF(GJ$19=$FJ45,$S45^2*GJ$15,GJ44*INDEX($T$20:$T$91,$FJ45-GJ$19)^2/INDEX($U$20:$U$91,$FJ45-GJ$19))))</f>
        <v>0.0117118512696208</v>
      </c>
      <c r="GK45" s="150" t="str">
        <f aca="false">IF(GK$19&gt;$FJ45,"",MAX(0,IF(GK$19=$FJ45,$S45^2*GK$15,GK44*INDEX($T$20:$T$91,$FJ45-GK$19)^2/INDEX($U$20:$U$91,$FJ45-GK$19))))</f>
        <v/>
      </c>
      <c r="GL45" s="150" t="str">
        <f aca="false">IF(GL$19&gt;$FJ45,"",MAX(0,IF(GL$19=$FJ45,$S45^2*GL$15,GL44*INDEX($T$20:$T$91,$FJ45-GL$19)^2/INDEX($U$20:$U$91,$FJ45-GL$19))))</f>
        <v/>
      </c>
      <c r="GM45" s="150" t="str">
        <f aca="false">IF(GM$19&gt;$FJ45,"",MAX(0,IF(GM$19=$FJ45,$S45^2*GM$15,GM44*INDEX($T$20:$T$91,$FJ45-GM$19)^2/INDEX($U$20:$U$91,$FJ45-GM$19))))</f>
        <v/>
      </c>
      <c r="GN45" s="150" t="str">
        <f aca="false">IF(GN$19&gt;$FJ45,"",MAX(0,IF(GN$19=$FJ45,$S45^2*GN$15,GN44*INDEX($T$20:$T$91,$FJ45-GN$19)^2/INDEX($U$20:$U$91,$FJ45-GN$19))))</f>
        <v/>
      </c>
      <c r="GO45" s="150" t="str">
        <f aca="false">IF(GO$19&gt;$FJ45,"",MAX(0,IF(GO$19=$FJ45,$S45^2*GO$15,GO44*INDEX($T$20:$T$91,$FJ45-GO$19)^2/INDEX($U$20:$U$91,$FJ45-GO$19))))</f>
        <v/>
      </c>
      <c r="GP45" s="150" t="str">
        <f aca="false">IF(GP$19&gt;$FJ45,"",MAX(0,IF(GP$19=$FJ45,$S45^2*GP$15,GP44*INDEX($T$20:$T$91,$FJ45-GP$19)^2/INDEX($U$20:$U$91,$FJ45-GP$19))))</f>
        <v/>
      </c>
      <c r="GQ45" s="150" t="str">
        <f aca="false">IF(GQ$19&gt;$FJ45,"",MAX(0,IF(GQ$19=$FJ45,$S45^2*GQ$15,GQ44*INDEX($T$20:$T$91,$FJ45-GQ$19)^2/INDEX($U$20:$U$91,$FJ45-GQ$19))))</f>
        <v/>
      </c>
      <c r="GR45" s="150" t="str">
        <f aca="false">IF(GR$19&gt;$FJ45,"",MAX(0,IF(GR$19=$FJ45,$S45^2*GR$15,GR44*INDEX($T$20:$T$91,$FJ45-GR$19)^2/INDEX($U$20:$U$91,$FJ45-GR$19))))</f>
        <v/>
      </c>
      <c r="GS45" s="150" t="str">
        <f aca="false">IF(GS$19&gt;$FJ45,"",MAX(0,IF(GS$19=$FJ45,$S45^2*GS$15,GS44*INDEX($T$20:$T$91,$FJ45-GS$19)^2/INDEX($U$20:$U$91,$FJ45-GS$19))))</f>
        <v/>
      </c>
      <c r="GT45" s="150" t="str">
        <f aca="false">IF(GT$19&gt;$FJ45,"",MAX(0,IF(GT$19=$FJ45,$S45^2*GT$15,GT44*INDEX($T$20:$T$91,$FJ45-GT$19)^2/INDEX($U$20:$U$91,$FJ45-GT$19))))</f>
        <v/>
      </c>
      <c r="GU45" s="150" t="str">
        <f aca="false">IF(GU$19&gt;$FJ45,"",MAX(0,IF(GU$19=$FJ45,$S45^2*GU$15,GU44*INDEX($T$20:$T$91,$FJ45-GU$19)^2/INDEX($U$20:$U$91,$FJ45-GU$19))))</f>
        <v/>
      </c>
      <c r="GV45" s="150" t="str">
        <f aca="false">IF(GV$19&gt;$FJ45,"",MAX(0,IF(GV$19=$FJ45,$S45^2*GV$15,GV44*INDEX($T$20:$T$91,$FJ45-GV$19)^2/INDEX($U$20:$U$91,$FJ45-GV$19))))</f>
        <v/>
      </c>
      <c r="GW45" s="150" t="str">
        <f aca="false">IF(GW$19&gt;$FJ45,"",MAX(0,IF(GW$19=$FJ45,$S45^2*GW$15,GW44*INDEX($T$20:$T$91,$FJ45-GW$19)^2/INDEX($U$20:$U$91,$FJ45-GW$19))))</f>
        <v/>
      </c>
      <c r="GX45" s="150" t="str">
        <f aca="false">IF(GX$19&gt;$FJ45,"",MAX(0,IF(GX$19=$FJ45,$S45^2*GX$15,GX44*INDEX($T$20:$T$91,$FJ45-GX$19)^2/INDEX($U$20:$U$91,$FJ45-GX$19))))</f>
        <v/>
      </c>
      <c r="GY45" s="150" t="str">
        <f aca="false">IF(GY$19&gt;$FJ45,"",MAX(0,IF(GY$19=$FJ45,$S45^2*GY$15,GY44*INDEX($T$20:$T$91,$FJ45-GY$19)^2/INDEX($U$20:$U$91,$FJ45-GY$19))))</f>
        <v/>
      </c>
      <c r="GZ45" s="150" t="str">
        <f aca="false">IF(GZ$19&gt;$FJ45,"",MAX(0,IF(GZ$19=$FJ45,$S45^2*GZ$15,GZ44*INDEX($T$20:$T$91,$FJ45-GZ$19)^2/INDEX($U$20:$U$91,$FJ45-GZ$19))))</f>
        <v/>
      </c>
      <c r="HA45" s="150" t="str">
        <f aca="false">IF(HA$19&gt;$FJ45,"",MAX(0,IF(HA$19=$FJ45,$S45^2*HA$15,HA44*INDEX($T$20:$T$91,$FJ45-HA$19)^2/INDEX($U$20:$U$91,$FJ45-HA$19))))</f>
        <v/>
      </c>
      <c r="HB45" s="150" t="str">
        <f aca="false">IF(HB$19&gt;$FJ45,"",MAX(0,IF(HB$19=$FJ45,$S45^2*HB$15,HB44*INDEX($T$20:$T$91,$FJ45-HB$19)^2/INDEX($U$20:$U$91,$FJ45-HB$19))))</f>
        <v/>
      </c>
      <c r="HC45" s="150" t="str">
        <f aca="false">IF(HC$19&gt;$FJ45,"",MAX(0,IF(HC$19=$FJ45,$S45^2*HC$15,HC44*INDEX($T$20:$T$91,$FJ45-HC$19)^2/INDEX($U$20:$U$91,$FJ45-HC$19))))</f>
        <v/>
      </c>
      <c r="HD45" s="150" t="str">
        <f aca="false">IF(HD$19&gt;$FJ45,"",MAX(0,IF(HD$19=$FJ45,$S45^2*HD$15,HD44*INDEX($T$20:$T$91,$FJ45-HD$19)^2/INDEX($U$20:$U$91,$FJ45-HD$19))))</f>
        <v/>
      </c>
      <c r="HE45" s="150" t="str">
        <f aca="false">IF(HE$19&gt;$FJ45,"",MAX(0,IF(HE$19=$FJ45,$S45^2*HE$15,HE44*INDEX($T$20:$T$91,$FJ45-HE$19)^2/INDEX($U$20:$U$91,$FJ45-HE$19))))</f>
        <v/>
      </c>
      <c r="HF45" s="150" t="str">
        <f aca="false">IF(HF$19&gt;$FJ45,"",MAX(0,IF(HF$19=$FJ45,$S45^2*HF$15,HF44*INDEX($T$20:$T$91,$FJ45-HF$19)^2/INDEX($U$20:$U$91,$FJ45-HF$19))))</f>
        <v/>
      </c>
      <c r="HG45" s="150" t="str">
        <f aca="false">IF(HG$19&gt;$FJ45,"",MAX(0,IF(HG$19=$FJ45,$S45^2*HG$15,HG44*INDEX($T$20:$T$91,$FJ45-HG$19)^2/INDEX($U$20:$U$91,$FJ45-HG$19))))</f>
        <v/>
      </c>
      <c r="HH45" s="150" t="str">
        <f aca="false">IF(HH$19&gt;$FJ45,"",MAX(0,IF(HH$19=$FJ45,$S45^2*HH$15,HH44*INDEX($T$20:$T$91,$FJ45-HH$19)^2/INDEX($U$20:$U$91,$FJ45-HH$19))))</f>
        <v/>
      </c>
      <c r="HI45" s="150" t="str">
        <f aca="false">IF(HI$19&gt;$FJ45,"",MAX(0,IF(HI$19=$FJ45,$S45^2*HI$15,HI44*INDEX($T$20:$T$91,$FJ45-HI$19)^2/INDEX($U$20:$U$91,$FJ45-HI$19))))</f>
        <v/>
      </c>
      <c r="HJ45" s="150" t="str">
        <f aca="false">IF(HJ$19&gt;$FJ45,"",MAX(0,IF(HJ$19=$FJ45,$S45^2*HJ$15,HJ44*INDEX($T$20:$T$91,$FJ45-HJ$19)^2/INDEX($U$20:$U$91,$FJ45-HJ$19))))</f>
        <v/>
      </c>
      <c r="HK45" s="150" t="str">
        <f aca="false">IF(HK$19&gt;$FJ45,"",MAX(0,IF(HK$19=$FJ45,$S45^2*HK$15,HK44*INDEX($T$20:$T$91,$FJ45-HK$19)^2/INDEX($U$20:$U$91,$FJ45-HK$19))))</f>
        <v/>
      </c>
      <c r="HL45" s="150" t="str">
        <f aca="false">IF(HL$19&gt;$FJ45,"",MAX(0,IF(HL$19=$FJ45,$S45^2*HL$15,HL44*INDEX($T$20:$T$91,$FJ45-HL$19)^2/INDEX($U$20:$U$91,$FJ45-HL$19))))</f>
        <v/>
      </c>
      <c r="HM45" s="150" t="str">
        <f aca="false">IF(HM$19&gt;$FJ45,"",MAX(0,IF(HM$19=$FJ45,$S45^2*HM$15,HM44*INDEX($T$20:$T$91,$FJ45-HM$19)^2/INDEX($U$20:$U$91,$FJ45-HM$19))))</f>
        <v/>
      </c>
      <c r="HN45" s="150" t="str">
        <f aca="false">IF(HN$19&gt;$FJ45,"",MAX(0,IF(HN$19=$FJ45,$S45^2*HN$15,HN44*INDEX($T$20:$T$91,$FJ45-HN$19)^2/INDEX($U$20:$U$91,$FJ45-HN$19))))</f>
        <v/>
      </c>
      <c r="HO45" s="150" t="str">
        <f aca="false">IF(HO$19&gt;$FJ45,"",MAX(0,IF(HO$19=$FJ45,$S45^2*HO$15,HO44*INDEX($T$20:$T$91,$FJ45-HO$19)^2/INDEX($U$20:$U$91,$FJ45-HO$19))))</f>
        <v/>
      </c>
      <c r="HP45" s="150" t="str">
        <f aca="false">IF(HP$19&gt;$FJ45,"",MAX(0,IF(HP$19=$FJ45,$S45^2*HP$15,HP44*INDEX($T$20:$T$91,$FJ45-HP$19)^2/INDEX($U$20:$U$91,$FJ45-HP$19))))</f>
        <v/>
      </c>
      <c r="HQ45" s="150" t="str">
        <f aca="false">IF(HQ$19&gt;$FJ45,"",MAX(0,IF(HQ$19=$FJ45,$S45^2*HQ$15,HQ44*INDEX($T$20:$T$91,$FJ45-HQ$19)^2/INDEX($U$20:$U$91,$FJ45-HQ$19))))</f>
        <v/>
      </c>
      <c r="HR45" s="150" t="str">
        <f aca="false">IF(HR$19&gt;$FJ45,"",MAX(0,IF(HR$19=$FJ45,$S45^2*HR$15,HR44*INDEX($T$20:$T$91,$FJ45-HR$19)^2/INDEX($U$20:$U$91,$FJ45-HR$19))))</f>
        <v/>
      </c>
      <c r="HS45" s="150" t="str">
        <f aca="false">IF(HS$19&gt;$FJ45,"",MAX(0,IF(HS$19=$FJ45,$S45^2*HS$15,HS44*INDEX($T$20:$T$91,$FJ45-HS$19)^2/INDEX($U$20:$U$91,$FJ45-HS$19))))</f>
        <v/>
      </c>
      <c r="HT45" s="150" t="str">
        <f aca="false">IF(HT$19&gt;$FJ45,"",MAX(0,IF(HT$19=$FJ45,$S45^2*HT$15,HT44*INDEX($T$20:$T$91,$FJ45-HT$19)^2/INDEX($U$20:$U$91,$FJ45-HT$19))))</f>
        <v/>
      </c>
      <c r="HU45" s="150" t="str">
        <f aca="false">IF(HU$19&gt;$FJ45,"",MAX(0,IF(HU$19=$FJ45,$S45^2*HU$15,HU44*INDEX($T$20:$T$91,$FJ45-HU$19)^2/INDEX($U$20:$U$91,$FJ45-HU$19))))</f>
        <v/>
      </c>
      <c r="HV45" s="150" t="str">
        <f aca="false">IF(HV$19&gt;$FJ45,"",MAX(0,IF(HV$19=$FJ45,$S45^2*HV$15,HV44*INDEX($T$20:$T$91,$FJ45-HV$19)^2/INDEX($U$20:$U$91,$FJ45-HV$19))))</f>
        <v/>
      </c>
      <c r="HW45" s="150" t="str">
        <f aca="false">IF(HW$19&gt;$FJ45,"",MAX(0,IF(HW$19=$FJ45,$S45^2*HW$15,HW44*INDEX($T$20:$T$91,$FJ45-HW$19)^2/INDEX($U$20:$U$91,$FJ45-HW$19))))</f>
        <v/>
      </c>
      <c r="HX45" s="150" t="str">
        <f aca="false">IF(HX$19&gt;$FJ45,"",MAX(0,IF(HX$19=$FJ45,$S45^2*HX$15,HX44*INDEX($T$20:$T$91,$FJ45-HX$19)^2/INDEX($U$20:$U$91,$FJ45-HX$19))))</f>
        <v/>
      </c>
      <c r="HY45" s="150" t="str">
        <f aca="false">IF(HY$19&gt;$FJ45,"",MAX(0,IF(HY$19=$FJ45,$S45^2*HY$15,HY44*INDEX($T$20:$T$91,$FJ45-HY$19)^2/INDEX($U$20:$U$91,$FJ45-HY$19))))</f>
        <v/>
      </c>
      <c r="HZ45" s="150" t="str">
        <f aca="false">IF(HZ$19&gt;$FJ45,"",MAX(0,IF(HZ$19=$FJ45,$S45^2*HZ$15,HZ44*INDEX($T$20:$T$91,$FJ45-HZ$19)^2/INDEX($U$20:$U$91,$FJ45-HZ$19))))</f>
        <v/>
      </c>
      <c r="IA45" s="150" t="str">
        <f aca="false">IF(IA$19&gt;$FJ45,"",MAX(0,IF(IA$19=$FJ45,$S45^2*IA$15,IA44*INDEX($T$20:$T$91,$FJ45-IA$19)^2/INDEX($U$20:$U$91,$FJ45-IA$19))))</f>
        <v/>
      </c>
      <c r="IB45" s="150" t="str">
        <f aca="false">IF(IB$19&gt;$FJ45,"",MAX(0,IF(IB$19=$FJ45,$S45^2*IB$15,IB44*INDEX($T$20:$T$91,$FJ45-IB$19)^2/INDEX($U$20:$U$91,$FJ45-IB$19))))</f>
        <v/>
      </c>
      <c r="IC45" s="150" t="str">
        <f aca="false">IF(IC$19&gt;$FJ45,"",MAX(0,IF(IC$19=$FJ45,$S45^2*IC$15,IC44*INDEX($T$20:$T$91,$FJ45-IC$19)^2/INDEX($U$20:$U$91,$FJ45-IC$19))))</f>
        <v/>
      </c>
      <c r="ID45" s="572" t="str">
        <f aca="false">IF(ID$19&gt;$FJ45,"",MAX(0,IF(ID$19=$FJ45,$S45^2*ID$15,ID44*INDEX($T$20:$T$91,$FJ45-ID$19)^2/INDEX($U$20:$U$91,$FJ45-ID$19))))</f>
        <v/>
      </c>
      <c r="IE45" s="129"/>
    </row>
    <row r="46" customFormat="false" ht="14.25" hidden="false" customHeight="true" outlineLevel="0" collapsed="false">
      <c r="A46" s="219"/>
      <c r="B46" s="77" t="s">
        <v>269</v>
      </c>
      <c r="C46" s="658"/>
      <c r="D46" s="659"/>
      <c r="E46" s="78" t="s">
        <v>200</v>
      </c>
      <c r="F46" s="660"/>
      <c r="G46" s="661"/>
      <c r="H46" s="219" t="n">
        <f aca="false">VLOOKUP(I46,$EJ$20:$EL$54,3)</f>
        <v>0</v>
      </c>
      <c r="I46" s="511" t="n">
        <f aca="false">EOMONTH(I45,0)+1</f>
        <v>37561</v>
      </c>
      <c r="J46" s="512"/>
      <c r="K46" s="513" t="s">
        <v>226</v>
      </c>
      <c r="L46" s="514" t="e">
        <f aca="false">IF(ISNUMBER(K46),J46+K46/100,IF(K46="extra",L45+VLOOKUP(BF46,PriceSpreadTable,2)/12,IF(K46="inter",interpolateprices($K$19:$L$200,ROW(K46)-ROW(FirstPricingMonth)+1),interpolatechanges($J$19:$K$200,ROW(K46)-ROW(FirstPricingMonth)+1))))</f>
        <v>#VALUE!</v>
      </c>
      <c r="M46" s="515"/>
      <c r="N46" s="516" t="n">
        <v>0</v>
      </c>
      <c r="O46" s="515" t="n">
        <f aca="false">M46+N46</f>
        <v>0</v>
      </c>
      <c r="P46" s="512"/>
      <c r="Q46" s="513" t="s">
        <v>250</v>
      </c>
      <c r="R46" s="512" t="e">
        <f aca="false">IF(ISNUMBER(Q46),P46+Q46/100,IF(Q46="extra",(Z44*AL44-R45*AM44)/AN44,IF(Q46="inter",interpolateprices($Q$19:$R$260,ROW(Q46)-ROW(FirstPricingMonth)+1),interpolatechanges($P$19:$Q$260,ROW(Q46)-ROW(FirstPricingMonth)+1))))</f>
        <v>#VALUE!</v>
      </c>
      <c r="S46" s="597" t="n">
        <f aca="false">S$19+(S45-S$19)*S$18</f>
        <v>0.360030101738327</v>
      </c>
      <c r="T46" s="575" t="n">
        <f aca="false">SQRT((1-(1-T45^2/U45)*T$18)*U46)</f>
        <v>0.998081421455181</v>
      </c>
      <c r="U46" s="576" t="n">
        <f aca="false">1-(1-U45)*U$18</f>
        <v>0.999991533886096</v>
      </c>
      <c r="V46" s="521" t="n">
        <v>0</v>
      </c>
      <c r="W46" s="577" t="n">
        <f aca="false">(J47*AJ46+J48*AK46)/AI46</f>
        <v>0</v>
      </c>
      <c r="X46" s="578" t="e">
        <f aca="false">(L47*AJ46+L48*AK46)/AI46</f>
        <v>#VALUE!</v>
      </c>
      <c r="Y46" s="579" t="n">
        <f aca="false">IF(Q48="extra",W46-AA46,(P47*AM46+P48*AN46)/AL46)</f>
        <v>0</v>
      </c>
      <c r="Z46" s="579" t="e">
        <f aca="false">IF(Q48="extra",X46-AB46,(R47*AM46+R48*AN46)/AL46)</f>
        <v>#VALUE!</v>
      </c>
      <c r="AA46" s="523" t="n">
        <f aca="false">IF(Q48="extra",INDEX(BrentSeasonalityTable,INT((BG46-1)/3)+1)*VLOOKUP(MAX(BF46,$AB$4),PriceSpreadTable,3),W46-Y46)</f>
        <v>0</v>
      </c>
      <c r="AB46" s="524" t="e">
        <f aca="false">IF(Q48="extra",INDEX(BrentSeasonalityTable,INT((BG46-1)/3)+1)*VLOOKUP(MAX(BF46,$AB$4),PriceSpreadTable,3),X46-Z46)</f>
        <v>#VALUE!</v>
      </c>
      <c r="AC46" s="525" t="n">
        <v>37551</v>
      </c>
      <c r="AD46" s="646" t="n">
        <v>37546</v>
      </c>
      <c r="AE46" s="526" t="n">
        <v>37545</v>
      </c>
      <c r="AF46" s="527" t="n">
        <v>37540</v>
      </c>
      <c r="AG46" s="438" t="s">
        <v>224</v>
      </c>
      <c r="AH46" s="439" t="s">
        <v>247</v>
      </c>
      <c r="AI46" s="528" t="n">
        <v>21</v>
      </c>
      <c r="AJ46" s="529" t="n">
        <v>14</v>
      </c>
      <c r="AK46" s="529" t="n">
        <v>7</v>
      </c>
      <c r="AL46" s="530" t="n">
        <v>21</v>
      </c>
      <c r="AM46" s="529" t="n">
        <v>10</v>
      </c>
      <c r="AN46" s="531" t="n">
        <v>11</v>
      </c>
      <c r="AO46" s="532"/>
      <c r="AP46" s="465" t="n">
        <f aca="false">(1+AO46/2)^(-2*BL46)</f>
        <v>1</v>
      </c>
      <c r="AQ46" s="532"/>
      <c r="AR46" s="465" t="n">
        <f aca="false">(1+AQ46/2)^(-2*BH46/365.25)</f>
        <v>1</v>
      </c>
      <c r="AS46" s="580" t="n">
        <f aca="false">(O47*AJ46+O48*AK46)/AI46</f>
        <v>0</v>
      </c>
      <c r="AT46" s="468" t="n">
        <f aca="false">O46*VLOOKUP(BF46,BrentVolTable,2)+VLOOKUP(BF46,BrentVolTable,3)</f>
        <v>0</v>
      </c>
      <c r="AU46" s="468" t="n">
        <f aca="false">(AT47*AM46+AT48*AN46)/AL46</f>
        <v>0</v>
      </c>
      <c r="AV46" s="595" t="n">
        <f aca="false">SQRT(MAX(0.000000000001,(O46^2*BH46-S46^2*(BH46-BH45))/BH45))</f>
        <v>0.0215043967625289</v>
      </c>
      <c r="AW46" s="451" t="n">
        <f aca="false">IF($I46-DateToday+15&gt;=$T$8,"",IF($I46-DateToday+15&lt;$T$5,1,MATCH($I46-DateToday+15,$T$5:$T$8)))</f>
        <v>1</v>
      </c>
      <c r="AX46" s="468" t="n">
        <f aca="false">IF($AW46="",AX45^2/AX44,INDEX(U$5:U$8,$AW46)^((INDEX($T$5:$T$8,$AW46+1)-($I46-DateToday+15))/(INDEX($T$5:$T$8,$AW46+1)-INDEX($T$5:$T$8,$AW46)))/INDEX(U$5:U$8,$AW46+1)^((INDEX($T$5:$T$8,$AW46)-($I46-DateToday+15))/(INDEX($T$5:$T$8,$AW46+1)-INDEX($T$5:$T$8,$AW46))))</f>
        <v>7.2002647966321</v>
      </c>
      <c r="AY46" s="468" t="n">
        <f aca="false">IF($AW46="",AY45^2/AY44,INDEX(V$5:V$8,$AW46)^((INDEX($T$5:$T$8,$AW46+1)-($I46-DateToday+15))/(INDEX($T$5:$T$8,$AW46+1)-INDEX($T$5:$T$8,$AW46)))/INDEX(V$5:V$8,$AW46+1)^((INDEX($T$5:$T$8,$AW46)-($I46-DateToday+15))/(INDEX($T$5:$T$8,$AW46+1)-INDEX($T$5:$T$8,$AW46))))</f>
        <v>1745.77283539049</v>
      </c>
      <c r="AZ46" s="468" t="n">
        <f aca="false">IF($AW46="",AZ45^2/AZ44,INDEX(W$5:W$8,$AW46)^((INDEX($T$5:$T$8,$AW46+1)-($I46-DateToday+15))/(INDEX($T$5:$T$8,$AW46+1)-INDEX($T$5:$T$8,$AW46)))/INDEX(W$5:W$8,$AW46+1)^((INDEX($T$5:$T$8,$AW46)-($I46-DateToday+15))/(INDEX($T$5:$T$8,$AW46+1)-INDEX($T$5:$T$8,$AW46))))</f>
        <v>82568219.3191254</v>
      </c>
      <c r="BA46" s="468" t="n">
        <f aca="false">IF($AW46="",BA45^2/BA44,INDEX(X$5:X$8,$AW46)^((INDEX($T$5:$T$8,$AW46+1)-($I46-DateToday+15))/(INDEX($T$5:$T$8,$AW46+1)-INDEX($T$5:$T$8,$AW46)))/INDEX(X$5:X$8,$AW46+1)^((INDEX($T$5:$T$8,$AW46)-($I46-DateToday+15))/(INDEX($T$5:$T$8,$AW46+1)-INDEX($T$5:$T$8,$AW46))))</f>
        <v>6192844196.70931</v>
      </c>
      <c r="BB46" s="468" t="n">
        <f aca="false">IF($AW46="",BB45^2/BB44,INDEX(Y$5:Y$8,$AW46)^((INDEX($T$5:$T$8,$AW46+1)-($I46-DateToday+15))/(INDEX($T$5:$T$8,$AW46+1)-INDEX($T$5:$T$8,$AW46)))/INDEX(Y$5:Y$8,$AW46+1)^((INDEX($T$5:$T$8,$AW46)-($I46-DateToday+15))/(INDEX($T$5:$T$8,$AW46+1)-INDEX($T$5:$T$8,$AW46))))</f>
        <v>132371258425.522</v>
      </c>
      <c r="BC46" s="468" t="n">
        <f aca="false">IF($AW46="",BC45^2/BC44,INDEX(Z$5:Z$8,$AW46)^((INDEX($T$5:$T$8,$AW46+1)-($I46-DateToday+15))/(INDEX($T$5:$T$8,$AW46+1)-INDEX($T$5:$T$8,$AW46)))/INDEX(Z$5:Z$8,$AW46+1)^((INDEX($T$5:$T$8,$AW46)-($I46-DateToday+15))/(INDEX($T$5:$T$8,$AW46+1)-INDEX($T$5:$T$8,$AW46))))</f>
        <v>821176411287.763</v>
      </c>
      <c r="BD46" s="535" t="n">
        <f aca="false">IF(OR(DateStart&gt;=I47,DateEnd&lt;I46),0,IF(VolumeOverrideFlag,V46,Volume))</f>
        <v>0</v>
      </c>
      <c r="BE46" s="536" t="n">
        <f aca="false">IF(OR(DateStart2&gt;=I47,DateEnd2&lt;I46),0,IF(VolumeOverrideFlag,V46,VolumeSwaption))</f>
        <v>0</v>
      </c>
      <c r="BF46" s="537" t="n">
        <f aca="false">YEAR(I46)</f>
        <v>2002</v>
      </c>
      <c r="BG46" s="538" t="n">
        <f aca="false">MONTH(I46)</f>
        <v>11</v>
      </c>
      <c r="BH46" s="539" t="n">
        <f aca="false">AD46-DateToday+1</f>
        <v>-8379</v>
      </c>
      <c r="BI46" s="540" t="n">
        <f aca="false">(I46-DateToday+1)/365.25</f>
        <v>-22.8993839835729</v>
      </c>
      <c r="BJ46" s="541" t="n">
        <f aca="false">BI46+(BL46-BI46)*CHOOSE(Underlying,AJ46/AI46,AM46/AL46)</f>
        <v>-22.8464522016883</v>
      </c>
      <c r="BK46" s="541" t="n">
        <f aca="false">BJ46+1/365.25</f>
        <v>-22.8437143509012</v>
      </c>
      <c r="BL46" s="541" t="n">
        <f aca="false">(I47-DateToday)/365.25</f>
        <v>-22.8199863107461</v>
      </c>
      <c r="BM46" s="542" t="e">
        <f aca="false">MAX(BI46-(BJ46-BI46)*(S47^2/O47^2-1),0)</f>
        <v>#DIV/0!</v>
      </c>
      <c r="BN46" s="541" t="e">
        <f aca="false">MAX(BL46+(BL46-BK46)*(S48^2/O48^2-1),0)</f>
        <v>#DIV/0!</v>
      </c>
      <c r="BO46" s="530" t="n">
        <f aca="false">CHOOSE(Underlying,AI46,AL46)</f>
        <v>21</v>
      </c>
      <c r="BP46" s="529" t="n">
        <f aca="false">CHOOSE(Underlying,AJ46,AM46)</f>
        <v>14</v>
      </c>
      <c r="BQ46" s="529" t="n">
        <f aca="false">CHOOSE(Underlying,AK46,AN46)</f>
        <v>7</v>
      </c>
      <c r="BR46" s="463" t="str">
        <f aca="false">IF(BD46,IF(Underlying=1,X46,Z46)+UnderlyingPriceAsian-SwapPriceCurve,"")</f>
        <v/>
      </c>
      <c r="BS46" s="463" t="str">
        <f aca="false">IF(BD46,Strike1/BR46-1,"")</f>
        <v/>
      </c>
      <c r="BT46" s="464" t="str">
        <f aca="false">IF(BD46,Strike2/BR46-1,"")</f>
        <v/>
      </c>
      <c r="BU46" s="465" t="str">
        <f aca="false">IF(BD46,IF(Underlying=1,L47,R47)+UnderlyingPriceAsian-SwapPriceCurve,"")</f>
        <v/>
      </c>
      <c r="BV46" s="465" t="str">
        <f aca="false">IF(BD46,IF(Underlying=1,L48,R48)+UnderlyingPriceAsian-SwapPriceCurve,"")</f>
        <v/>
      </c>
      <c r="BW46" s="466" t="str">
        <f aca="false">IF(BD46,IF(Underlying=1,O47,AT47),"")</f>
        <v/>
      </c>
      <c r="BX46" s="467" t="str">
        <f aca="false">IF(BD46,IF(Underlying=1,O48,AT48),"")</f>
        <v/>
      </c>
      <c r="BY46" s="466" t="str">
        <f aca="false">IF(BD46,IF(BS46&gt;0,IF(BS46&gt;0.2,BC46-BB46,IF(BS46&gt;0.1,BB46-BA46,BA46)),IF(BS46&lt;-0.2,AX46-AY46,IF(BS46&lt;-0.1,AY46-AZ46,AZ46))),"")</f>
        <v/>
      </c>
      <c r="BZ46" s="467" t="str">
        <f aca="false">IF(BD46,IF(BT46&gt;0,IF(BT46&gt;0.2,BC46-BB46,IF(BT46&gt;0.1,BB46-BA46,BA46)),IF(BT46&lt;-0.2,AX46-AY46,IF(BT46&lt;-0.1,AY46-AZ46,AZ46))),"")</f>
        <v/>
      </c>
      <c r="CA46" s="468" t="str">
        <f aca="false">IF($BD46,$BW46+IF(VolSkewFlag=1,IF(BS46&gt;0,$BA46*MIN(BS46/10%,1)+($BB46-$BA46)*MAX(0,MIN(BS46/10%-1,1))+($BC46-$BB46)*MAX(0,BS46/10%-2),$AZ46*MIN(-BS46/10%,1)+($AY46-$AZ46)*MAX(0,MIN(-BS46/10%-1,1))+($AX46-$AY46)*MAX(0,-BS46/10%-2)),0),"")</f>
        <v/>
      </c>
      <c r="CB46" s="468" t="str">
        <f aca="false">IF($BD46,$BX46+IF(VolSkewFlag=1,IF(BS46&gt;0,$BA46*MIN(BS46/10%,1)+($BB46-$BA46)*MAX(0,MIN(BS46/10%-1,1))+($BC46-$BB46)*MAX(0,BS46/10%-2),$AZ46*MIN(-BS46/10%,1)+($AY46-$AZ46)*MAX(0,MIN(-BS46/10%-1,1))+($AX46-$AY46)*MAX(0,-BS46/10%-2)),0),"")</f>
        <v/>
      </c>
      <c r="CC46" s="468" t="str">
        <f aca="false">IF($BD46,$BW46+IF(VolSkewFlag=1,IF(BT46&gt;0,$BA46*MIN(BT46/10%,1)+($BB46-$BA46)*MAX(0,MIN(BT46/10%-1,1))+($BC46-$BB46)*MAX(0,BT46/10%-2),$AZ46*MIN(-BT46/10%,1)+($AY46-$AZ46)*MAX(0,MIN(-BT46/10%-1,1))+($AX46-$AY46)*MAX(0,-BT46/10%-2)),0),"")</f>
        <v/>
      </c>
      <c r="CD46" s="468" t="str">
        <f aca="false">IF($BD46,$BX46+IF(VolSkewFlag=1,IF(BT46&gt;0,$BA46*MIN(BT46/10%,1)+($BB46-$BA46)*MAX(0,MIN(BT46/10%-1,1))+($BC46-$BB46)*MAX(0,BT46/10%-2),$AZ46*MIN(-BT46/10%,1)+($AY46-$AZ46)*MAX(0,MIN(-BT46/10%-1,1))+($AX46-$AY46)*MAX(0,-BT46/10%-2)),0),"")</f>
        <v/>
      </c>
      <c r="CE46" s="469" t="n">
        <v>1</v>
      </c>
      <c r="CF46" s="470" t="n">
        <f aca="false">IF(BD46,xCrudeAPO(BU46,BV46,CA46,CB46,S47,S48,BI46,BL46,BP46,BQ46,0,Strike1,AO46,CE46,0,BL46,IF(OptControl=4,0,1),0,1),0)</f>
        <v>0</v>
      </c>
      <c r="CG46" s="470" t="n">
        <f aca="false">IF(BD46,xCrudeAPO(BU46,BV46,CA46,CB46,S47,S48,BI46,BL46,BP46,BQ46,0,Strike1,AO46,CE46,0,BL46,IF(OptControl=4,0,1),1,1)+xCrudeAPO(BU46,BV46,CA46,CB46,S47,S48,BI46,BL46,BP46,BQ46,0,Strike1,AO46,CE46,0,BL46,IF(OptControl=4,0,1),1,2)+IF(OR(VolSkewFlag=2,ABS(BS46)&lt;0.0001),0,IF(BS46&gt;0,-1,1)*CH46*Strike1/BR46^2*BY46/10%),0)</f>
        <v>0</v>
      </c>
      <c r="CH46" s="470" t="n">
        <f aca="false">IF(BD46,(xCrudeAPO(BU46,BV46,CA46,CB46,S47,S48,BI46,BL46,BP46,BQ46,0,Strike1,AO46,CE46,0,BL46,IF(OptControl=4,0,1),3,1)+xCrudeAPO(BU46,BV46,CA46,CB46,S47,S48,BI46,BL46,BP46,BQ46,0,Strike1,AO46,CE46,0,BL46,IF(OptControl=4,0,1),3,2))/100,0)</f>
        <v>0</v>
      </c>
      <c r="CI46" s="470" t="n">
        <f aca="false">IF(BD46,xCrudeAPO(BU46,BV46,CA46,CB46,S47,S48,BI46-DaysForThetaCalculation/365.25,BL46-DaysForThetaCalculation/365.25,BP46,BQ46,0,Strike1,AO46,CE46,0,BL46,IF(OptControl=4,0,1),0,1)-xCrudeAPO(BU46,BV46,CA46,CB46,S47,S48,BI46,BL46,BP46,BQ46,0,Strike1,AO46,CE46,0,BL46,IF(OptControl=4,0,1),0,1),0)</f>
        <v>0</v>
      </c>
      <c r="CJ46" s="471" t="n">
        <f aca="false">IF(BD46,xCrudeAPO(BU46,BV46,CC46,CD46,S47,S48,BI46,BL46,BP46,BQ46,0,Strike2,AO46,CE46,0,BL46,IF(OptControl=3,1,0),0,1),0)</f>
        <v>0</v>
      </c>
      <c r="CK46" s="470" t="n">
        <f aca="false">IF(BD46,xCrudeAPO(BU46,BV46,CC46,CD46,S47,S48,BI46,BL46,BP46,BQ46,0,Strike2,AO46,CE46,0,BL46,IF(OptControl=3,1,0),1,1)+xCrudeAPO(BU46,BV46,CC46,CD46,S47,S48,BI46,BL46,BP46,BQ46,0,Strike2,AO46,CE46,0,BL46,IF(OptControl=3,1,0),1,2)+IF(OR(VolSkewFlag=2,ABS(BT46)&lt;0.0001),0,IF(BT46&gt;0,-1,1)*CL46*Strike2/BR46^2*BZ46/10%),0)</f>
        <v>0</v>
      </c>
      <c r="CL46" s="470" t="n">
        <f aca="false">IF(BD46,(xCrudeAPO(BU46,BV46,CC46,CD46,S47,S48,BI46,BL46,BP46,BQ46,0,Strike2,AO46,CE46,0,BL46,IF(OptControl=3,1,0),3,1)+xCrudeAPO(BU46,BV46,CC46,CD46,S47,S48,BI46,BL46,BP46,BQ46,0,Strike2,AO46,CE46,0,BL46,IF(OptControl=3,1,0),3,2))/100,0)</f>
        <v>0</v>
      </c>
      <c r="CM46" s="472" t="n">
        <f aca="false">IF(BD46,xCrudeAPO(BU46,BV46,CC46,CD46,S47,S48,BI46-DaysForThetaCalculation/365.25,BL46-DaysForThetaCalculation/365.25,BP46,BQ46,0,Strike2,AO46,CE46,0,BL46,IF(OptControl=3,1,0),0,1)-xCrudeAPO(BU46,BV46,CC46,CD46,S47,S48,BI46,BL46,BP46,BQ46,0,Strike2,AO46,CE46,0,BL46,IF(OptControl=3,1,0),0,1),0)</f>
        <v>0</v>
      </c>
      <c r="CN46" s="3"/>
      <c r="CO46" s="543" t="str">
        <f aca="false">IF(BD46,CHOOSE(Underlying,AD46,AF46)-DateToday+1,"")</f>
        <v/>
      </c>
      <c r="CP46" s="582" t="str">
        <f aca="false">IF(BD46,CHOOSE(Underlying,L46,R46),"")</f>
        <v/>
      </c>
      <c r="CQ46" s="544" t="str">
        <f aca="false">IF(BD46,Strike1/CP46-1,"")</f>
        <v/>
      </c>
      <c r="CR46" s="544" t="str">
        <f aca="false">IF(BD46,Strike2/CP46-1,"")</f>
        <v/>
      </c>
      <c r="CS46" s="544" t="str">
        <f aca="false">IF(BD46,IF(CQ46&gt;0,IF(CQ46&gt;0.2,BC45-BB45,IF(CQ46&gt;0.1,BB45-BA45,BA45)),IF(CQ46&lt;-0.2,AX45-AY45,IF(CQ46&lt;-0.1,AY45-AZ45,AZ45))),"")</f>
        <v/>
      </c>
      <c r="CT46" s="544" t="str">
        <f aca="false">IF(BD46,IF(CR46&gt;0,IF(CR46&gt;0.2,BC45-BB45,IF(CR46&gt;0.1,BB45-BA45,BA45)),IF(CR46&lt;-0.2,AX45-AY45,IF(CR46&lt;-0.1,AY45-AZ45,AZ45))),"")</f>
        <v/>
      </c>
      <c r="CU46" s="545" t="str">
        <f aca="false">IF(BD46,CHOOSE(Underlying,O46,AT46),"")</f>
        <v/>
      </c>
      <c r="CV46" s="545" t="str">
        <f aca="false">IF(BD46,CU46+IF(VolSkewFlag=1,IF(CQ46&gt;0,BA45*MIN(CQ46/10%,1)+(BB45-BA45)*MAX(0,MIN(CQ46/10%-1,1))+(BC45-BB45)*MAX(0,CQ46/10%-2),AZ45*MIN(-CQ46/10%,1)+(AY45-AZ45)*MAX(0,MIN(-CQ46/10%-1,1))+(AX45-AY45)*MAX(0,-CQ46/10%-2)),0),"")</f>
        <v/>
      </c>
      <c r="CW46" s="545" t="str">
        <f aca="false">IF(BD46,CU46+IF(VolSkewFlag=1,IF(CR46&gt;0,BA45*MIN(CR46/10%,1)+(BB45-BA45)*MAX(0,MIN(CR46/10%-1,1))+(BC45-BB45)*MAX(0,CR46/10%-2),AZ45*MIN(-CR46/10%,1)+(AY45-AZ45)*MAX(0,MIN(-CR46/10%-1,1))+(AX45-AY45)*MAX(0,-CR46/10%-2)),0),"")</f>
        <v/>
      </c>
      <c r="CX46" s="470" t="n">
        <f aca="false">IF(BD46,EURO(CP46,Strike1,AO46,AO46,CV46,CO46,IF(OptControl=4,0,1),0),0)</f>
        <v>0</v>
      </c>
      <c r="CY46" s="470" t="n">
        <f aca="false">IF(BD46,EURO(CP46,Strike1,AO46,AO46,CV46,CO46,IF(OptControl=4,0,1),1)+IF(OR(VolSkewFlag=2,ABS(CQ46)&lt;0.0001),0,IF(CQ46&gt;0,-1,1)*CZ46*100*Strike1/CP46^2*CS46/10%),0)</f>
        <v>0</v>
      </c>
      <c r="CZ46" s="470" t="n">
        <f aca="false">IF(BD46,EURO(CP46,Strike1,AO46,AO46,CV46,CO46,IF(OptControl=4,0,1),3)/100,0)</f>
        <v>0</v>
      </c>
      <c r="DA46" s="470" t="n">
        <f aca="false">IF(BD46,EURO(CP46,Strike1,AO46,AO46,CV46,CO46,IF(OptControl=4,0,1),0)-EURO(CP46,Strike1,AO46,AO46,CV46,CO46-1,IF(OptControl=4,0,1),0),0)</f>
        <v>0</v>
      </c>
      <c r="DB46" s="470" t="n">
        <f aca="false">IF(BD46,EURO(CP46,Strike2,AO46,AO46,CW46,CO46,IF(OptControl=3,1,0),0),0)</f>
        <v>0</v>
      </c>
      <c r="DC46" s="470" t="n">
        <f aca="false">IF(BD46,EURO(CP46,Strike2,AO46,AO46,CW46,CO46,IF(OptControl=3,1,0),1)+IF(OR(VolSkewFlag=2,ABS(CR46)&lt;0.0001),0,IF(CR46&gt;0,-1,1)*DD46*100*Strike2/CP46^2*CT46/10%),0)</f>
        <v>0</v>
      </c>
      <c r="DD46" s="470" t="n">
        <f aca="false">IF(BD46,EURO(CP46,Strike2,AO46,AO46,CW46,CO46,IF(OptControl=3,1,0),3)/100,0)</f>
        <v>0</v>
      </c>
      <c r="DE46" s="472" t="n">
        <f aca="false">IF(BD46,EURO(CP46,Strike2,AO46,AO46,CW46,CO46,IF(OptControl=3,1,0),0)-EURO(CP46,Strike2,AO46,AO46,CW46,CO46-1,IF(OptControl=3,1,0),0),0)</f>
        <v>0</v>
      </c>
      <c r="DG46" s="481" t="n">
        <f aca="false">EOMONTH(DG45,0)+1</f>
        <v>46478</v>
      </c>
      <c r="DH46" s="478" t="n">
        <v>19.68</v>
      </c>
      <c r="DI46" s="479" t="n">
        <v>19.54</v>
      </c>
      <c r="DJ46" s="480" t="n">
        <f aca="false">DG46</f>
        <v>46478</v>
      </c>
      <c r="DK46" s="478" t="n">
        <v>18.5133333333333</v>
      </c>
      <c r="DL46" s="479" t="n">
        <v>18.3948484848485</v>
      </c>
      <c r="DM46" s="481" t="n">
        <f aca="false">DG46</f>
        <v>46478</v>
      </c>
      <c r="DN46" s="482" t="n">
        <f aca="false">DK46+BrentPhyBrentSpread</f>
        <v>18.5633333333333</v>
      </c>
      <c r="DO46" s="481" t="n">
        <f aca="false">DG46</f>
        <v>46478</v>
      </c>
      <c r="DP46" s="483" t="n">
        <f aca="false">DL46+DQ46</f>
        <v>18.3948484848485</v>
      </c>
      <c r="DQ46" s="546" t="n">
        <v>0</v>
      </c>
      <c r="DR46" s="480" t="n">
        <f aca="false">DG46</f>
        <v>46478</v>
      </c>
      <c r="DS46" s="485" t="n">
        <v>0.226835576775641</v>
      </c>
      <c r="DT46" s="486" t="n">
        <v>0.225185224794589</v>
      </c>
      <c r="DU46" s="480" t="n">
        <f aca="false">DG46</f>
        <v>46478</v>
      </c>
      <c r="DV46" s="485" t="n">
        <v>0.226835576775641</v>
      </c>
      <c r="DW46" s="486" t="n">
        <v>0.225185224794589</v>
      </c>
      <c r="DX46" s="481" t="n">
        <f aca="false">DG46</f>
        <v>46478</v>
      </c>
      <c r="DY46" s="486" t="n">
        <v>0.350000002384186</v>
      </c>
      <c r="DZ46" s="481" t="n">
        <f aca="false">DR46</f>
        <v>46478</v>
      </c>
      <c r="EA46" s="486" t="n">
        <f aca="false">DT46</f>
        <v>0.225185224794589</v>
      </c>
      <c r="EB46" s="195"/>
      <c r="EC46" s="547" t="str">
        <f aca="false">IF(BD46,IF(Underlying=1,AS46,AU46),"")</f>
        <v/>
      </c>
      <c r="ED46" s="548" t="str">
        <f aca="false">IF($BD46,$EC46+IF(VolSkewFlag=1,IF(BS46&gt;0,$BA46*MIN(BS46/10%,1)+($BB46-$BA46)*MAX(0,MIN(BS46/10%-1,1))+($BC46-$BB46)*MAX(0,BS46/10%-2),$AZ46*MIN(-BS46/10%,1)+($AY46-$AZ46)*MAX(0,MIN(-BS46/10%-1,1))+($AX46-$AY46)*MAX(0,-BS46/10%-2)),0),"")</f>
        <v/>
      </c>
      <c r="EE46" s="549" t="str">
        <f aca="false">IF($BD46,$EC46+IF(VolSkewFlag=1,IF(BT46&gt;0,$BA46*MIN(BT46/10%,1)+($BB46-$BA46)*MAX(0,MIN(BT46/10%-1,1))+($BC46-$BB46)*MAX(0,BT46/10%-2),$AZ46*MIN(-BT46/10%,1)+($AY46-$AZ46)*MAX(0,MIN(-BT46/10%-1,1))+($AX46-$AY46)*MAX(0,-BT46/10%-2)),0),"")</f>
        <v/>
      </c>
      <c r="EF46" s="550" t="n">
        <f aca="false">IF(BD46,xASN(BR46,Strike1,AO46,ED46,0,BO46,0,BI46,BL46,IF(OptControl=4,0,1),0),0)</f>
        <v>0</v>
      </c>
      <c r="EG46" s="551" t="n">
        <f aca="false">IF(BD46,xASN(BR46,Strike2,AO46,EE46,0,BO46,0,BI46,BL46,IF(OptControl=3,1,0),0),0)</f>
        <v>0</v>
      </c>
      <c r="EI46" s="583" t="str">
        <f aca="false">DDE("TWINDDE","RSFRecord","CLc27 MTH")</f>
        <v>NOV2</v>
      </c>
      <c r="EJ46" s="584" t="n">
        <f aca="false">DATEVALUE(CONCATENATE(LEFT(EI46,3),"-",IF(VALUE(RIGHT(EI46,1))=9,"1999",CONCATENATE("200",RIGHT(EI46,1)))))</f>
        <v>37561</v>
      </c>
      <c r="EK46" s="585" t="n">
        <f aca="false">DDE("TWINDDE","RSFRecord","CLc27 NET.CHNG")</f>
        <v>0</v>
      </c>
      <c r="EL46" s="586" t="n">
        <f aca="false">IF(ISNUMBER(VALUE(EK46)),VALUE(EK46)*100,0)</f>
        <v>0</v>
      </c>
      <c r="EM46" s="195"/>
      <c r="EN46" s="556" t="n">
        <v>38902</v>
      </c>
      <c r="EO46" s="557" t="n">
        <v>41275</v>
      </c>
      <c r="EP46" s="195"/>
      <c r="EQ46" s="407" t="s">
        <v>270</v>
      </c>
      <c r="ES46" s="587" t="n">
        <v>27</v>
      </c>
      <c r="ET46" s="559" t="n">
        <f aca="false">BH46/365.25</f>
        <v>-22.9404517453799</v>
      </c>
      <c r="EU46" s="560" t="n">
        <f aca="false">O46^2*ET46</f>
        <v>-0</v>
      </c>
      <c r="EV46" s="588" t="e">
        <f aca="false">SQRT(SUM(FK46:ID46)/ET46)</f>
        <v>#VALUE!</v>
      </c>
      <c r="EW46" s="589" t="str">
        <f aca="false">IF(OR(DateStart2&gt;I45,DateEnd2&lt;I44),"",IF(DateStart2&lt;I45,AK44/AI44*AP44*BE44*SwaptionNumOfMonths/$D$33,0)+IF(DateEnd2&gt;I44,AJ45/AI45*AP45*BE45*SwaptionNumOfMonths/$D$33,0))</f>
        <v/>
      </c>
      <c r="EX46" s="590" t="str">
        <f aca="false">IF(EW46="","",SQRT(SUM(FK351:ID351)/SwaptionYearsToExp))</f>
        <v/>
      </c>
      <c r="EY46" s="129" t="n">
        <v>0</v>
      </c>
      <c r="EZ46" s="591" t="str">
        <f aca="false">IF(OR(EW46="",EW47=""),"",SQRT(SUM(INDEX(FK46:ID46,SwaptionFirstMonthPosition+1):INDEX(FK46:ID46,FJ46))/SUM(INDEX($FK$15:$ID$15,SwaptionFirstMonthPosition+1):INDEX($FK$15:$ID$15,FJ46))))</f>
        <v/>
      </c>
      <c r="FA46" s="592" t="str">
        <f aca="false">IF(OR(EW46="",EW45=""),"",SQRT(SUM(INDEX(FK46:ID46,SwaptionFirstMonthPosition+1):INDEX(FK46:ID46,FJ46-1))/SUM(INDEX($FK$15:$ID$15,SwaptionFirstMonthPosition+1):INDEX($FK$15:$ID$15,FJ46-1))))</f>
        <v/>
      </c>
      <c r="FB46" s="593" t="str">
        <f aca="false">IF(BE46,2/3*EZ47+1/3*FA48,"")</f>
        <v/>
      </c>
      <c r="FC46" s="596" t="str">
        <f aca="false">IF(BE46,(I47+I46-1)/2-DateToday,"")</f>
        <v/>
      </c>
      <c r="FD46" s="483" t="str">
        <f aca="false">IF(BE46,CHOOSE(Underlying,X46,Z46)+SwaptionUnderlyingPrice-$D$26,"")</f>
        <v/>
      </c>
      <c r="FE46" s="483" t="str">
        <f aca="false">IF(BE46,CollartionFloor/FD46-1,"")</f>
        <v/>
      </c>
      <c r="FF46" s="483" t="str">
        <f aca="false">IF(BE46,CollartionCap/FD46-1,"")</f>
        <v/>
      </c>
      <c r="FG46" s="485" t="str">
        <f aca="false">IF(BE46,IF(VolSkewFlag=1,IF(FE46&gt;0,$BA46*MIN(FE46/10%,1)+($BB46-$BA46)*MAX(0,MIN(FE46/10%-1,1))+($BC46-$BB46)*MAX(0,FE46/10%-2),$AZ46*MIN(-FE46/10%,1)+($AY46-$AZ46)*MAX(0,MIN(-FE46/10%-1,1))+($AX46-$AY46)*MAX(0,-FE46/10%-2)),0),"")</f>
        <v/>
      </c>
      <c r="FH46" s="486" t="str">
        <f aca="false">IF(BE46,IF(VolSkewFlag=1,IF(FF46&gt;0,$BA46*MIN(FF46/10%,1)+($BB46-$BA46)*MAX(0,MIN(FF46/10%-1,1))+($BC46-$BB46)*MAX(0,FF46/10%-2),$AZ46*MIN(-FF46/10%,1)+($AY46-$AZ46)*MAX(0,MIN(-FF46/10%-1,1))+($AX46-$AY46)*MAX(0,-FF46/10%-2)),0),"")</f>
        <v/>
      </c>
      <c r="FI46" s="129"/>
      <c r="FJ46" s="571" t="n">
        <v>27</v>
      </c>
      <c r="FK46" s="150" t="n">
        <f aca="false">IF(FK$19&gt;$FJ46,"",MAX(0,IF(FK$19=$FJ46,$S46^2*FK$15,FK45*INDEX($T$20:$T$91,$FJ46-FK$19)^2/INDEX($U$20:$U$91,$FJ46-FK$19))))</f>
        <v>0</v>
      </c>
      <c r="FL46" s="150" t="n">
        <f aca="false">IF(FL$19&gt;$FJ46,"",MAX(0,IF(FL$19=$FJ46,$S46^2*FL$15,FL45*INDEX($T$20:$T$91,$FJ46-FL$19)^2/INDEX($U$20:$U$91,$FJ46-FL$19))))</f>
        <v>0</v>
      </c>
      <c r="FM46" s="150" t="n">
        <f aca="false">IF(FM$19&gt;$FJ46,"",MAX(0,IF(FM$19=$FJ46,$S46^2*FM$15,FM45*INDEX($T$20:$T$91,$FJ46-FM$19)^2/INDEX($U$20:$U$91,$FJ46-FM$19))))</f>
        <v>0.00264047785201954</v>
      </c>
      <c r="FN46" s="150" t="n">
        <f aca="false">IF(FN$19&gt;$FJ46,"",MAX(0,IF(FN$19=$FJ46,$S46^2*FN$15,FN45*INDEX($T$20:$T$91,$FJ46-FN$19)^2/INDEX($U$20:$U$91,$FJ46-FN$19))))</f>
        <v>0.00223609480415196</v>
      </c>
      <c r="FO46" s="150" t="n">
        <f aca="false">IF(FO$19&gt;$FJ46,"",MAX(0,IF(FO$19=$FJ46,$S46^2*FO$15,FO45*INDEX($T$20:$T$91,$FJ46-FO$19)^2/INDEX($U$20:$U$91,$FJ46-FO$19))))</f>
        <v>0.00234263664027875</v>
      </c>
      <c r="FP46" s="150" t="n">
        <f aca="false">IF(FP$19&gt;$FJ46,"",MAX(0,IF(FP$19=$FJ46,$S46^2*FP$15,FP45*INDEX($T$20:$T$91,$FJ46-FP$19)^2/INDEX($U$20:$U$91,$FJ46-FP$19))))</f>
        <v>0.00261779584393855</v>
      </c>
      <c r="FQ46" s="150" t="n">
        <f aca="false">IF(FQ$19&gt;$FJ46,"",MAX(0,IF(FQ$19=$FJ46,$S46^2*FQ$15,FQ45*INDEX($T$20:$T$91,$FJ46-FQ$19)^2/INDEX($U$20:$U$91,$FJ46-FQ$19))))</f>
        <v>0.00214033544736311</v>
      </c>
      <c r="FR46" s="150" t="n">
        <f aca="false">IF(FR$19&gt;$FJ46,"",MAX(0,IF(FR$19=$FJ46,$S46^2*FR$15,FR45*INDEX($T$20:$T$91,$FJ46-FR$19)^2/INDEX($U$20:$U$91,$FJ46-FR$19))))</f>
        <v>0.00221374449063716</v>
      </c>
      <c r="FS46" s="150" t="n">
        <f aca="false">IF(FS$19&gt;$FJ46,"",MAX(0,IF(FS$19=$FJ46,$S46^2*FS$15,FS45*INDEX($T$20:$T$91,$FJ46-FS$19)^2/INDEX($U$20:$U$91,$FJ46-FS$19))))</f>
        <v>0.00252859050794095</v>
      </c>
      <c r="FT46" s="150" t="n">
        <f aca="false">IF(FT$19&gt;$FJ46,"",MAX(0,IF(FT$19=$FJ46,$S46^2*FT$15,FT45*INDEX($T$20:$T$91,$FJ46-FT$19)^2/INDEX($U$20:$U$91,$FJ46-FT$19))))</f>
        <v>0.00231826827055871</v>
      </c>
      <c r="FU46" s="150" t="n">
        <f aca="false">IF(FU$19&gt;$FJ46,"",MAX(0,IF(FU$19=$FJ46,$S46^2*FU$15,FU45*INDEX($T$20:$T$91,$FJ46-FU$19)^2/INDEX($U$20:$U$91,$FJ46-FU$19))))</f>
        <v>0.00227027898107563</v>
      </c>
      <c r="FV46" s="150" t="n">
        <f aca="false">IF(FV$19&gt;$FJ46,"",MAX(0,IF(FV$19=$FJ46,$S46^2*FV$15,FV45*INDEX($T$20:$T$91,$FJ46-FV$19)^2/INDEX($U$20:$U$91,$FJ46-FV$19))))</f>
        <v>0.0025494150610868</v>
      </c>
      <c r="FW46" s="150" t="n">
        <f aca="false">IF(FW$19&gt;$FJ46,"",MAX(0,IF(FW$19=$FJ46,$S46^2*FW$15,FW45*INDEX($T$20:$T$91,$FJ46-FW$19)^2/INDEX($U$20:$U$91,$FJ46-FW$19))))</f>
        <v>0.00244390443066357</v>
      </c>
      <c r="FX46" s="150" t="n">
        <f aca="false">IF(FX$19&gt;$FJ46,"",MAX(0,IF(FX$19=$FJ46,$S46^2*FX$15,FX45*INDEX($T$20:$T$91,$FJ46-FX$19)^2/INDEX($U$20:$U$91,$FJ46-FX$19))))</f>
        <v>0.00267928780410148</v>
      </c>
      <c r="FY46" s="150" t="n">
        <f aca="false">IF(FY$19&gt;$FJ46,"",MAX(0,IF(FY$19=$FJ46,$S46^2*FY$15,FY45*INDEX($T$20:$T$91,$FJ46-FY$19)^2/INDEX($U$20:$U$91,$FJ46-FY$19))))</f>
        <v>0.0025964500563557</v>
      </c>
      <c r="FZ46" s="150" t="n">
        <f aca="false">IF(FZ$19&gt;$FJ46,"",MAX(0,IF(FZ$19=$FJ46,$S46^2*FZ$15,FZ45*INDEX($T$20:$T$91,$FJ46-FZ$19)^2/INDEX($U$20:$U$91,$FJ46-FZ$19))))</f>
        <v>0.00252126725286588</v>
      </c>
      <c r="GA46" s="150" t="n">
        <f aca="false">IF(GA$19&gt;$FJ46,"",MAX(0,IF(GA$19=$FJ46,$S46^2*GA$15,GA45*INDEX($T$20:$T$91,$FJ46-GA$19)^2/INDEX($U$20:$U$91,$FJ46-GA$19))))</f>
        <v>0.00283148817822006</v>
      </c>
      <c r="GB46" s="150" t="n">
        <f aca="false">IF(GB$19&gt;$FJ46,"",MAX(0,IF(GB$19=$FJ46,$S46^2*GB$15,GB45*INDEX($T$20:$T$91,$FJ46-GB$19)^2/INDEX($U$20:$U$91,$FJ46-GB$19))))</f>
        <v>0.00329296232062074</v>
      </c>
      <c r="GC46" s="150" t="n">
        <f aca="false">IF(GC$19&gt;$FJ46,"",MAX(0,IF(GC$19=$FJ46,$S46^2*GC$15,GC45*INDEX($T$20:$T$91,$FJ46-GC$19)^2/INDEX($U$20:$U$91,$FJ46-GC$19))))</f>
        <v>0.00309048318897154</v>
      </c>
      <c r="GD46" s="150" t="n">
        <f aca="false">IF(GD$19&gt;$FJ46,"",MAX(0,IF(GD$19=$FJ46,$S46^2*GD$15,GD45*INDEX($T$20:$T$91,$FJ46-GD$19)^2/INDEX($U$20:$U$91,$FJ46-GD$19))))</f>
        <v>0.00333980543165875</v>
      </c>
      <c r="GE46" s="150" t="n">
        <f aca="false">IF(GE$19&gt;$FJ46,"",MAX(0,IF(GE$19=$FJ46,$S46^2*GE$15,GE45*INDEX($T$20:$T$91,$FJ46-GE$19)^2/INDEX($U$20:$U$91,$FJ46-GE$19))))</f>
        <v>0.00416479583996362</v>
      </c>
      <c r="GF46" s="150" t="n">
        <f aca="false">IF(GF$19&gt;$FJ46,"",MAX(0,IF(GF$19=$FJ46,$S46^2*GF$15,GF45*INDEX($T$20:$T$91,$FJ46-GF$19)^2/INDEX($U$20:$U$91,$FJ46-GF$19))))</f>
        <v>0.00407767549594576</v>
      </c>
      <c r="GG46" s="150" t="n">
        <f aca="false">IF(GG$19&gt;$FJ46,"",MAX(0,IF(GG$19=$FJ46,$S46^2*GG$15,GG45*INDEX($T$20:$T$91,$FJ46-GG$19)^2/INDEX($U$20:$U$91,$FJ46-GG$19))))</f>
        <v>0.00511249417250835</v>
      </c>
      <c r="GH46" s="150" t="n">
        <f aca="false">IF(GH$19&gt;$FJ46,"",MAX(0,IF(GH$19=$FJ46,$S46^2*GH$15,GH45*INDEX($T$20:$T$91,$FJ46-GH$19)^2/INDEX($U$20:$U$91,$FJ46-GH$19))))</f>
        <v>0.00557517170482335</v>
      </c>
      <c r="GI46" s="150" t="n">
        <f aca="false">IF(GI$19&gt;$FJ46,"",MAX(0,IF(GI$19=$FJ46,$S46^2*GI$15,GI45*INDEX($T$20:$T$91,$FJ46-GI$19)^2/INDEX($U$20:$U$91,$FJ46-GI$19))))</f>
        <v>0.00644769660248421</v>
      </c>
      <c r="GJ46" s="150" t="n">
        <f aca="false">IF(GJ$19&gt;$FJ46,"",MAX(0,IF(GJ$19=$FJ46,$S46^2*GJ$15,GJ45*INDEX($T$20:$T$91,$FJ46-GJ$19)^2/INDEX($U$20:$U$91,$FJ46-GJ$19))))</f>
        <v>0.00908071815212293</v>
      </c>
      <c r="GK46" s="150" t="n">
        <f aca="false">IF(GK$19&gt;$FJ46,"",MAX(0,IF(GK$19=$FJ46,$S46^2*GK$15,GK45*INDEX($T$20:$T$91,$FJ46-GK$19)^2/INDEX($U$20:$U$91,$FJ46-GK$19))))</f>
        <v>0.0106465440786616</v>
      </c>
      <c r="GL46" s="150" t="str">
        <f aca="false">IF(GL$19&gt;$FJ46,"",MAX(0,IF(GL$19=$FJ46,$S46^2*GL$15,GL45*INDEX($T$20:$T$91,$FJ46-GL$19)^2/INDEX($U$20:$U$91,$FJ46-GL$19))))</f>
        <v/>
      </c>
      <c r="GM46" s="150" t="str">
        <f aca="false">IF(GM$19&gt;$FJ46,"",MAX(0,IF(GM$19=$FJ46,$S46^2*GM$15,GM45*INDEX($T$20:$T$91,$FJ46-GM$19)^2/INDEX($U$20:$U$91,$FJ46-GM$19))))</f>
        <v/>
      </c>
      <c r="GN46" s="150" t="str">
        <f aca="false">IF(GN$19&gt;$FJ46,"",MAX(0,IF(GN$19=$FJ46,$S46^2*GN$15,GN45*INDEX($T$20:$T$91,$FJ46-GN$19)^2/INDEX($U$20:$U$91,$FJ46-GN$19))))</f>
        <v/>
      </c>
      <c r="GO46" s="150" t="str">
        <f aca="false">IF(GO$19&gt;$FJ46,"",MAX(0,IF(GO$19=$FJ46,$S46^2*GO$15,GO45*INDEX($T$20:$T$91,$FJ46-GO$19)^2/INDEX($U$20:$U$91,$FJ46-GO$19))))</f>
        <v/>
      </c>
      <c r="GP46" s="150" t="str">
        <f aca="false">IF(GP$19&gt;$FJ46,"",MAX(0,IF(GP$19=$FJ46,$S46^2*GP$15,GP45*INDEX($T$20:$T$91,$FJ46-GP$19)^2/INDEX($U$20:$U$91,$FJ46-GP$19))))</f>
        <v/>
      </c>
      <c r="GQ46" s="150" t="str">
        <f aca="false">IF(GQ$19&gt;$FJ46,"",MAX(0,IF(GQ$19=$FJ46,$S46^2*GQ$15,GQ45*INDEX($T$20:$T$91,$FJ46-GQ$19)^2/INDEX($U$20:$U$91,$FJ46-GQ$19))))</f>
        <v/>
      </c>
      <c r="GR46" s="150" t="str">
        <f aca="false">IF(GR$19&gt;$FJ46,"",MAX(0,IF(GR$19=$FJ46,$S46^2*GR$15,GR45*INDEX($T$20:$T$91,$FJ46-GR$19)^2/INDEX($U$20:$U$91,$FJ46-GR$19))))</f>
        <v/>
      </c>
      <c r="GS46" s="150" t="str">
        <f aca="false">IF(GS$19&gt;$FJ46,"",MAX(0,IF(GS$19=$FJ46,$S46^2*GS$15,GS45*INDEX($T$20:$T$91,$FJ46-GS$19)^2/INDEX($U$20:$U$91,$FJ46-GS$19))))</f>
        <v/>
      </c>
      <c r="GT46" s="150" t="str">
        <f aca="false">IF(GT$19&gt;$FJ46,"",MAX(0,IF(GT$19=$FJ46,$S46^2*GT$15,GT45*INDEX($T$20:$T$91,$FJ46-GT$19)^2/INDEX($U$20:$U$91,$FJ46-GT$19))))</f>
        <v/>
      </c>
      <c r="GU46" s="150" t="str">
        <f aca="false">IF(GU$19&gt;$FJ46,"",MAX(0,IF(GU$19=$FJ46,$S46^2*GU$15,GU45*INDEX($T$20:$T$91,$FJ46-GU$19)^2/INDEX($U$20:$U$91,$FJ46-GU$19))))</f>
        <v/>
      </c>
      <c r="GV46" s="150" t="str">
        <f aca="false">IF(GV$19&gt;$FJ46,"",MAX(0,IF(GV$19=$FJ46,$S46^2*GV$15,GV45*INDEX($T$20:$T$91,$FJ46-GV$19)^2/INDEX($U$20:$U$91,$FJ46-GV$19))))</f>
        <v/>
      </c>
      <c r="GW46" s="150" t="str">
        <f aca="false">IF(GW$19&gt;$FJ46,"",MAX(0,IF(GW$19=$FJ46,$S46^2*GW$15,GW45*INDEX($T$20:$T$91,$FJ46-GW$19)^2/INDEX($U$20:$U$91,$FJ46-GW$19))))</f>
        <v/>
      </c>
      <c r="GX46" s="150" t="str">
        <f aca="false">IF(GX$19&gt;$FJ46,"",MAX(0,IF(GX$19=$FJ46,$S46^2*GX$15,GX45*INDEX($T$20:$T$91,$FJ46-GX$19)^2/INDEX($U$20:$U$91,$FJ46-GX$19))))</f>
        <v/>
      </c>
      <c r="GY46" s="150" t="str">
        <f aca="false">IF(GY$19&gt;$FJ46,"",MAX(0,IF(GY$19=$FJ46,$S46^2*GY$15,GY45*INDEX($T$20:$T$91,$FJ46-GY$19)^2/INDEX($U$20:$U$91,$FJ46-GY$19))))</f>
        <v/>
      </c>
      <c r="GZ46" s="150" t="str">
        <f aca="false">IF(GZ$19&gt;$FJ46,"",MAX(0,IF(GZ$19=$FJ46,$S46^2*GZ$15,GZ45*INDEX($T$20:$T$91,$FJ46-GZ$19)^2/INDEX($U$20:$U$91,$FJ46-GZ$19))))</f>
        <v/>
      </c>
      <c r="HA46" s="150" t="str">
        <f aca="false">IF(HA$19&gt;$FJ46,"",MAX(0,IF(HA$19=$FJ46,$S46^2*HA$15,HA45*INDEX($T$20:$T$91,$FJ46-HA$19)^2/INDEX($U$20:$U$91,$FJ46-HA$19))))</f>
        <v/>
      </c>
      <c r="HB46" s="150" t="str">
        <f aca="false">IF(HB$19&gt;$FJ46,"",MAX(0,IF(HB$19=$FJ46,$S46^2*HB$15,HB45*INDEX($T$20:$T$91,$FJ46-HB$19)^2/INDEX($U$20:$U$91,$FJ46-HB$19))))</f>
        <v/>
      </c>
      <c r="HC46" s="150" t="str">
        <f aca="false">IF(HC$19&gt;$FJ46,"",MAX(0,IF(HC$19=$FJ46,$S46^2*HC$15,HC45*INDEX($T$20:$T$91,$FJ46-HC$19)^2/INDEX($U$20:$U$91,$FJ46-HC$19))))</f>
        <v/>
      </c>
      <c r="HD46" s="150" t="str">
        <f aca="false">IF(HD$19&gt;$FJ46,"",MAX(0,IF(HD$19=$FJ46,$S46^2*HD$15,HD45*INDEX($T$20:$T$91,$FJ46-HD$19)^2/INDEX($U$20:$U$91,$FJ46-HD$19))))</f>
        <v/>
      </c>
      <c r="HE46" s="150" t="str">
        <f aca="false">IF(HE$19&gt;$FJ46,"",MAX(0,IF(HE$19=$FJ46,$S46^2*HE$15,HE45*INDEX($T$20:$T$91,$FJ46-HE$19)^2/INDEX($U$20:$U$91,$FJ46-HE$19))))</f>
        <v/>
      </c>
      <c r="HF46" s="150" t="str">
        <f aca="false">IF(HF$19&gt;$FJ46,"",MAX(0,IF(HF$19=$FJ46,$S46^2*HF$15,HF45*INDEX($T$20:$T$91,$FJ46-HF$19)^2/INDEX($U$20:$U$91,$FJ46-HF$19))))</f>
        <v/>
      </c>
      <c r="HG46" s="150" t="str">
        <f aca="false">IF(HG$19&gt;$FJ46,"",MAX(0,IF(HG$19=$FJ46,$S46^2*HG$15,HG45*INDEX($T$20:$T$91,$FJ46-HG$19)^2/INDEX($U$20:$U$91,$FJ46-HG$19))))</f>
        <v/>
      </c>
      <c r="HH46" s="150" t="str">
        <f aca="false">IF(HH$19&gt;$FJ46,"",MAX(0,IF(HH$19=$FJ46,$S46^2*HH$15,HH45*INDEX($T$20:$T$91,$FJ46-HH$19)^2/INDEX($U$20:$U$91,$FJ46-HH$19))))</f>
        <v/>
      </c>
      <c r="HI46" s="150" t="str">
        <f aca="false">IF(HI$19&gt;$FJ46,"",MAX(0,IF(HI$19=$FJ46,$S46^2*HI$15,HI45*INDEX($T$20:$T$91,$FJ46-HI$19)^2/INDEX($U$20:$U$91,$FJ46-HI$19))))</f>
        <v/>
      </c>
      <c r="HJ46" s="150" t="str">
        <f aca="false">IF(HJ$19&gt;$FJ46,"",MAX(0,IF(HJ$19=$FJ46,$S46^2*HJ$15,HJ45*INDEX($T$20:$T$91,$FJ46-HJ$19)^2/INDEX($U$20:$U$91,$FJ46-HJ$19))))</f>
        <v/>
      </c>
      <c r="HK46" s="150" t="str">
        <f aca="false">IF(HK$19&gt;$FJ46,"",MAX(0,IF(HK$19=$FJ46,$S46^2*HK$15,HK45*INDEX($T$20:$T$91,$FJ46-HK$19)^2/INDEX($U$20:$U$91,$FJ46-HK$19))))</f>
        <v/>
      </c>
      <c r="HL46" s="150" t="str">
        <f aca="false">IF(HL$19&gt;$FJ46,"",MAX(0,IF(HL$19=$FJ46,$S46^2*HL$15,HL45*INDEX($T$20:$T$91,$FJ46-HL$19)^2/INDEX($U$20:$U$91,$FJ46-HL$19))))</f>
        <v/>
      </c>
      <c r="HM46" s="150" t="str">
        <f aca="false">IF(HM$19&gt;$FJ46,"",MAX(0,IF(HM$19=$FJ46,$S46^2*HM$15,HM45*INDEX($T$20:$T$91,$FJ46-HM$19)^2/INDEX($U$20:$U$91,$FJ46-HM$19))))</f>
        <v/>
      </c>
      <c r="HN46" s="150" t="str">
        <f aca="false">IF(HN$19&gt;$FJ46,"",MAX(0,IF(HN$19=$FJ46,$S46^2*HN$15,HN45*INDEX($T$20:$T$91,$FJ46-HN$19)^2/INDEX($U$20:$U$91,$FJ46-HN$19))))</f>
        <v/>
      </c>
      <c r="HO46" s="150" t="str">
        <f aca="false">IF(HO$19&gt;$FJ46,"",MAX(0,IF(HO$19=$FJ46,$S46^2*HO$15,HO45*INDEX($T$20:$T$91,$FJ46-HO$19)^2/INDEX($U$20:$U$91,$FJ46-HO$19))))</f>
        <v/>
      </c>
      <c r="HP46" s="150" t="str">
        <f aca="false">IF(HP$19&gt;$FJ46,"",MAX(0,IF(HP$19=$FJ46,$S46^2*HP$15,HP45*INDEX($T$20:$T$91,$FJ46-HP$19)^2/INDEX($U$20:$U$91,$FJ46-HP$19))))</f>
        <v/>
      </c>
      <c r="HQ46" s="150" t="str">
        <f aca="false">IF(HQ$19&gt;$FJ46,"",MAX(0,IF(HQ$19=$FJ46,$S46^2*HQ$15,HQ45*INDEX($T$20:$T$91,$FJ46-HQ$19)^2/INDEX($U$20:$U$91,$FJ46-HQ$19))))</f>
        <v/>
      </c>
      <c r="HR46" s="150" t="str">
        <f aca="false">IF(HR$19&gt;$FJ46,"",MAX(0,IF(HR$19=$FJ46,$S46^2*HR$15,HR45*INDEX($T$20:$T$91,$FJ46-HR$19)^2/INDEX($U$20:$U$91,$FJ46-HR$19))))</f>
        <v/>
      </c>
      <c r="HS46" s="150" t="str">
        <f aca="false">IF(HS$19&gt;$FJ46,"",MAX(0,IF(HS$19=$FJ46,$S46^2*HS$15,HS45*INDEX($T$20:$T$91,$FJ46-HS$19)^2/INDEX($U$20:$U$91,$FJ46-HS$19))))</f>
        <v/>
      </c>
      <c r="HT46" s="150" t="str">
        <f aca="false">IF(HT$19&gt;$FJ46,"",MAX(0,IF(HT$19=$FJ46,$S46^2*HT$15,HT45*INDEX($T$20:$T$91,$FJ46-HT$19)^2/INDEX($U$20:$U$91,$FJ46-HT$19))))</f>
        <v/>
      </c>
      <c r="HU46" s="150" t="str">
        <f aca="false">IF(HU$19&gt;$FJ46,"",MAX(0,IF(HU$19=$FJ46,$S46^2*HU$15,HU45*INDEX($T$20:$T$91,$FJ46-HU$19)^2/INDEX($U$20:$U$91,$FJ46-HU$19))))</f>
        <v/>
      </c>
      <c r="HV46" s="150" t="str">
        <f aca="false">IF(HV$19&gt;$FJ46,"",MAX(0,IF(HV$19=$FJ46,$S46^2*HV$15,HV45*INDEX($T$20:$T$91,$FJ46-HV$19)^2/INDEX($U$20:$U$91,$FJ46-HV$19))))</f>
        <v/>
      </c>
      <c r="HW46" s="150" t="str">
        <f aca="false">IF(HW$19&gt;$FJ46,"",MAX(0,IF(HW$19=$FJ46,$S46^2*HW$15,HW45*INDEX($T$20:$T$91,$FJ46-HW$19)^2/INDEX($U$20:$U$91,$FJ46-HW$19))))</f>
        <v/>
      </c>
      <c r="HX46" s="150" t="str">
        <f aca="false">IF(HX$19&gt;$FJ46,"",MAX(0,IF(HX$19=$FJ46,$S46^2*HX$15,HX45*INDEX($T$20:$T$91,$FJ46-HX$19)^2/INDEX($U$20:$U$91,$FJ46-HX$19))))</f>
        <v/>
      </c>
      <c r="HY46" s="150" t="str">
        <f aca="false">IF(HY$19&gt;$FJ46,"",MAX(0,IF(HY$19=$FJ46,$S46^2*HY$15,HY45*INDEX($T$20:$T$91,$FJ46-HY$19)^2/INDEX($U$20:$U$91,$FJ46-HY$19))))</f>
        <v/>
      </c>
      <c r="HZ46" s="150" t="str">
        <f aca="false">IF(HZ$19&gt;$FJ46,"",MAX(0,IF(HZ$19=$FJ46,$S46^2*HZ$15,HZ45*INDEX($T$20:$T$91,$FJ46-HZ$19)^2/INDEX($U$20:$U$91,$FJ46-HZ$19))))</f>
        <v/>
      </c>
      <c r="IA46" s="150" t="str">
        <f aca="false">IF(IA$19&gt;$FJ46,"",MAX(0,IF(IA$19=$FJ46,$S46^2*IA$15,IA45*INDEX($T$20:$T$91,$FJ46-IA$19)^2/INDEX($U$20:$U$91,$FJ46-IA$19))))</f>
        <v/>
      </c>
      <c r="IB46" s="150" t="str">
        <f aca="false">IF(IB$19&gt;$FJ46,"",MAX(0,IF(IB$19=$FJ46,$S46^2*IB$15,IB45*INDEX($T$20:$T$91,$FJ46-IB$19)^2/INDEX($U$20:$U$91,$FJ46-IB$19))))</f>
        <v/>
      </c>
      <c r="IC46" s="150" t="str">
        <f aca="false">IF(IC$19&gt;$FJ46,"",MAX(0,IF(IC$19=$FJ46,$S46^2*IC$15,IC45*INDEX($T$20:$T$91,$FJ46-IC$19)^2/INDEX($U$20:$U$91,$FJ46-IC$19))))</f>
        <v/>
      </c>
      <c r="ID46" s="572" t="str">
        <f aca="false">IF(ID$19&gt;$FJ46,"",MAX(0,IF(ID$19=$FJ46,$S46^2*ID$15,ID45*INDEX($T$20:$T$91,$FJ46-ID$19)^2/INDEX($U$20:$U$91,$FJ46-ID$19))))</f>
        <v/>
      </c>
      <c r="IE46" s="129"/>
    </row>
    <row r="47" customFormat="false" ht="14.25" hidden="false" customHeight="true" outlineLevel="0" collapsed="false">
      <c r="A47" s="219"/>
      <c r="B47" s="662" t="n">
        <v>0.5</v>
      </c>
      <c r="C47" s="152"/>
      <c r="D47" s="152"/>
      <c r="E47" s="663" t="e">
        <f aca="false">UnderlyingPriceAsian</f>
        <v>#VALUE!</v>
      </c>
      <c r="F47" s="664"/>
      <c r="G47" s="665"/>
      <c r="H47" s="219" t="n">
        <f aca="false">VLOOKUP(I47,$EJ$20:$EL$54,3)</f>
        <v>0</v>
      </c>
      <c r="I47" s="511" t="n">
        <f aca="false">EOMONTH(I46,0)+1</f>
        <v>37591</v>
      </c>
      <c r="J47" s="512"/>
      <c r="K47" s="513" t="s">
        <v>226</v>
      </c>
      <c r="L47" s="514" t="e">
        <f aca="false">IF(ISNUMBER(K47),J47+K47/100,IF(K47="extra",L46+VLOOKUP(BF47,PriceSpreadTable,2)/12,IF(K47="inter",interpolateprices($K$19:$L$200,ROW(K47)-ROW(FirstPricingMonth)+1),interpolatechanges($J$19:$K$200,ROW(K47)-ROW(FirstPricingMonth)+1))))</f>
        <v>#VALUE!</v>
      </c>
      <c r="M47" s="515"/>
      <c r="N47" s="516" t="n">
        <v>0</v>
      </c>
      <c r="O47" s="515" t="n">
        <f aca="false">M47+N47</f>
        <v>0</v>
      </c>
      <c r="P47" s="512"/>
      <c r="Q47" s="513" t="s">
        <v>250</v>
      </c>
      <c r="R47" s="512" t="e">
        <f aca="false">IF(ISNUMBER(Q47),P47+Q47/100,IF(Q47="extra",(Z45*AL45-R46*AM45)/AN45,IF(Q47="inter",interpolateprices($Q$19:$R$260,ROW(Q47)-ROW(FirstPricingMonth)+1),interpolatechanges($P$19:$Q$260,ROW(Q47)-ROW(FirstPricingMonth)+1))))</f>
        <v>#VALUE!</v>
      </c>
      <c r="S47" s="597" t="n">
        <f aca="false">S$19+(S46-S$19)*S$18</f>
        <v>0.360022576303745</v>
      </c>
      <c r="T47" s="575" t="n">
        <f aca="false">SQRT((1-(1-T46^2/U46)*T$18)*U47)</f>
        <v>0.99836028562599</v>
      </c>
      <c r="U47" s="576" t="n">
        <f aca="false">1-(1-U46)*U$18</f>
        <v>0.999993650414572</v>
      </c>
      <c r="V47" s="521" t="n">
        <v>0</v>
      </c>
      <c r="W47" s="577" t="n">
        <f aca="false">(J48*AJ47+J49*AK47)/AI47</f>
        <v>0</v>
      </c>
      <c r="X47" s="578" t="e">
        <f aca="false">(L48*AJ47+L49*AK47)/AI47</f>
        <v>#VALUE!</v>
      </c>
      <c r="Y47" s="579" t="n">
        <f aca="false">IF(Q49="extra",W47-AA47,(P48*AM47+P49*AN47)/AL47)</f>
        <v>0</v>
      </c>
      <c r="Z47" s="579" t="e">
        <f aca="false">IF(Q49="extra",X47-AB47,(R48*AM47+R49*AN47)/AL47)</f>
        <v>#VALUE!</v>
      </c>
      <c r="AA47" s="523" t="n">
        <f aca="false">IF(Q49="extra",INDEX(BrentSeasonalityTable,INT((BG47-1)/3)+1)*VLOOKUP(MAX(BF47,$AB$4),PriceSpreadTable,3),W47-Y47)</f>
        <v>0</v>
      </c>
      <c r="AB47" s="524" t="e">
        <f aca="false">IF(Q49="extra",INDEX(BrentSeasonalityTable,INT((BG47-1)/3)+1)*VLOOKUP(MAX(BF47,$AB$4),PriceSpreadTable,3),X47-Z47)</f>
        <v>#VALUE!</v>
      </c>
      <c r="AC47" s="525" t="n">
        <v>37580</v>
      </c>
      <c r="AD47" s="646" t="n">
        <v>37575</v>
      </c>
      <c r="AE47" s="526" t="n">
        <v>37575</v>
      </c>
      <c r="AF47" s="527" t="n">
        <v>37570</v>
      </c>
      <c r="AG47" s="438" t="s">
        <v>217</v>
      </c>
      <c r="AH47" s="439" t="s">
        <v>217</v>
      </c>
      <c r="AI47" s="528" t="n">
        <v>21</v>
      </c>
      <c r="AJ47" s="529" t="n">
        <v>15</v>
      </c>
      <c r="AK47" s="529" t="n">
        <v>6</v>
      </c>
      <c r="AL47" s="530" t="n">
        <v>21</v>
      </c>
      <c r="AM47" s="529" t="n">
        <v>10</v>
      </c>
      <c r="AN47" s="531" t="n">
        <v>11</v>
      </c>
      <c r="AO47" s="532"/>
      <c r="AP47" s="465" t="n">
        <f aca="false">(1+AO47/2)^(-2*BL47)</f>
        <v>1</v>
      </c>
      <c r="AQ47" s="532"/>
      <c r="AR47" s="465" t="n">
        <f aca="false">(1+AQ47/2)^(-2*BH47/365.25)</f>
        <v>1</v>
      </c>
      <c r="AS47" s="580" t="n">
        <f aca="false">(O48*AJ47+O49*AK47)/AI47</f>
        <v>0</v>
      </c>
      <c r="AT47" s="468" t="n">
        <f aca="false">O47*VLOOKUP(BF47,BrentVolTable,2)+VLOOKUP(BF47,BrentVolTable,3)</f>
        <v>0</v>
      </c>
      <c r="AU47" s="468" t="n">
        <f aca="false">(AT48*AM47+AT49*AN47)/AL47</f>
        <v>0</v>
      </c>
      <c r="AV47" s="595" t="n">
        <f aca="false">SQRT(MAX(0.000000000001,(O47^2*BH47-S47^2*(BH47-BH46))/BH46))</f>
        <v>0.0211803259405118</v>
      </c>
      <c r="AW47" s="451" t="n">
        <f aca="false">IF($I47-DateToday+15&gt;=$T$8,"",IF($I47-DateToday+15&lt;$T$5,1,MATCH($I47-DateToday+15,$T$5:$T$8)))</f>
        <v>1</v>
      </c>
      <c r="AX47" s="468" t="n">
        <f aca="false">IF($AW47="",AX46^2/AX45,INDEX(U$5:U$8,$AW47)^((INDEX($T$5:$T$8,$AW47+1)-($I47-DateToday+15))/(INDEX($T$5:$T$8,$AW47+1)-INDEX($T$5:$T$8,$AW47)))/INDEX(U$5:U$8,$AW47+1)^((INDEX($T$5:$T$8,$AW47)-($I47-DateToday+15))/(INDEX($T$5:$T$8,$AW47+1)-INDEX($T$5:$T$8,$AW47))))</f>
        <v>7.05012748418771</v>
      </c>
      <c r="AY47" s="468" t="n">
        <f aca="false">IF($AW47="",AY46^2/AY45,INDEX(V$5:V$8,$AW47)^((INDEX($T$5:$T$8,$AW47+1)-($I47-DateToday+15))/(INDEX($T$5:$T$8,$AW47+1)-INDEX($T$5:$T$8,$AW47)))/INDEX(V$5:V$8,$AW47+1)^((INDEX($T$5:$T$8,$AW47)-($I47-DateToday+15))/(INDEX($T$5:$T$8,$AW47+1)-INDEX($T$5:$T$8,$AW47))))</f>
        <v>1674.75932814602</v>
      </c>
      <c r="AZ47" s="468" t="n">
        <f aca="false">IF($AW47="",AZ46^2/AZ45,INDEX(W$5:W$8,$AW47)^((INDEX($T$5:$T$8,$AW47+1)-($I47-DateToday+15))/(INDEX($T$5:$T$8,$AW47+1)-INDEX($T$5:$T$8,$AW47)))/INDEX(W$5:W$8,$AW47+1)^((INDEX($T$5:$T$8,$AW47)-($I47-DateToday+15))/(INDEX($T$5:$T$8,$AW47+1)-INDEX($T$5:$T$8,$AW47))))</f>
        <v>76136808.2711239</v>
      </c>
      <c r="BA47" s="468" t="n">
        <f aca="false">IF($AW47="",BA46^2/BA45,INDEX(X$5:X$8,$AW47)^((INDEX($T$5:$T$8,$AW47+1)-($I47-DateToday+15))/(INDEX($T$5:$T$8,$AW47+1)-INDEX($T$5:$T$8,$AW47)))/INDEX(X$5:X$8,$AW47+1)^((INDEX($T$5:$T$8,$AW47)-($I47-DateToday+15))/(INDEX($T$5:$T$8,$AW47+1)-INDEX($T$5:$T$8,$AW47))))</f>
        <v>5591397964.06852</v>
      </c>
      <c r="BB47" s="468" t="n">
        <f aca="false">IF($AW47="",BB46^2/BB45,INDEX(Y$5:Y$8,$AW47)^((INDEX($T$5:$T$8,$AW47+1)-($I47-DateToday+15))/(INDEX($T$5:$T$8,$AW47+1)-INDEX($T$5:$T$8,$AW47)))/INDEX(Y$5:Y$8,$AW47+1)^((INDEX($T$5:$T$8,$AW47)-($I47-DateToday+15))/(INDEX($T$5:$T$8,$AW47+1)-INDEX($T$5:$T$8,$AW47))))</f>
        <v>118354857776.866</v>
      </c>
      <c r="BC47" s="468" t="n">
        <f aca="false">IF($AW47="",BC46^2/BC45,INDEX(Z$5:Z$8,$AW47)^((INDEX($T$5:$T$8,$AW47+1)-($I47-DateToday+15))/(INDEX($T$5:$T$8,$AW47+1)-INDEX($T$5:$T$8,$AW47)))/INDEX(Z$5:Z$8,$AW47+1)^((INDEX($T$5:$T$8,$AW47)-($I47-DateToday+15))/(INDEX($T$5:$T$8,$AW47+1)-INDEX($T$5:$T$8,$AW47))))</f>
        <v>730099354594.541</v>
      </c>
      <c r="BD47" s="535" t="n">
        <f aca="false">IF(OR(DateStart&gt;=I48,DateEnd&lt;I47),0,IF(VolumeOverrideFlag,V47,Volume))</f>
        <v>0</v>
      </c>
      <c r="BE47" s="536" t="n">
        <f aca="false">IF(OR(DateStart2&gt;=I48,DateEnd2&lt;I47),0,IF(VolumeOverrideFlag,V47,VolumeSwaption))</f>
        <v>0</v>
      </c>
      <c r="BF47" s="537" t="n">
        <f aca="false">YEAR(I47)</f>
        <v>2002</v>
      </c>
      <c r="BG47" s="538" t="n">
        <f aca="false">MONTH(I47)</f>
        <v>12</v>
      </c>
      <c r="BH47" s="539" t="n">
        <f aca="false">AD47-DateToday+1</f>
        <v>-8350</v>
      </c>
      <c r="BI47" s="540" t="n">
        <f aca="false">(I47-DateToday+1)/365.25</f>
        <v>-22.8172484599589</v>
      </c>
      <c r="BJ47" s="541" t="n">
        <f aca="false">BI47+(BL47-BI47)*CHOOSE(Underlying,AJ47/AI47,AM47/AL47)</f>
        <v>-22.7585802288061</v>
      </c>
      <c r="BK47" s="541" t="n">
        <f aca="false">BJ47+1/365.25</f>
        <v>-22.755842378019</v>
      </c>
      <c r="BL47" s="541" t="n">
        <f aca="false">(I48-DateToday)/365.25</f>
        <v>-22.735112936345</v>
      </c>
      <c r="BM47" s="542" t="e">
        <f aca="false">MAX(BI47-(BJ47-BI47)*(S48^2/O48^2-1),0)</f>
        <v>#DIV/0!</v>
      </c>
      <c r="BN47" s="541" t="e">
        <f aca="false">MAX(BL47+(BL47-BK47)*(S49^2/O49^2-1),0)</f>
        <v>#DIV/0!</v>
      </c>
      <c r="BO47" s="530" t="n">
        <f aca="false">CHOOSE(Underlying,AI47,AL47)</f>
        <v>21</v>
      </c>
      <c r="BP47" s="529" t="n">
        <f aca="false">CHOOSE(Underlying,AJ47,AM47)</f>
        <v>15</v>
      </c>
      <c r="BQ47" s="529" t="n">
        <f aca="false">CHOOSE(Underlying,AK47,AN47)</f>
        <v>6</v>
      </c>
      <c r="BR47" s="463" t="str">
        <f aca="false">IF(BD47,IF(Underlying=1,X47,Z47)+UnderlyingPriceAsian-SwapPriceCurve,"")</f>
        <v/>
      </c>
      <c r="BS47" s="463" t="str">
        <f aca="false">IF(BD47,Strike1/BR47-1,"")</f>
        <v/>
      </c>
      <c r="BT47" s="464" t="str">
        <f aca="false">IF(BD47,Strike2/BR47-1,"")</f>
        <v/>
      </c>
      <c r="BU47" s="465" t="str">
        <f aca="false">IF(BD47,IF(Underlying=1,L48,R48)+UnderlyingPriceAsian-SwapPriceCurve,"")</f>
        <v/>
      </c>
      <c r="BV47" s="465" t="str">
        <f aca="false">IF(BD47,IF(Underlying=1,L49,R49)+UnderlyingPriceAsian-SwapPriceCurve,"")</f>
        <v/>
      </c>
      <c r="BW47" s="466" t="str">
        <f aca="false">IF(BD47,IF(Underlying=1,O48,AT48),"")</f>
        <v/>
      </c>
      <c r="BX47" s="467" t="str">
        <f aca="false">IF(BD47,IF(Underlying=1,O49,AT49),"")</f>
        <v/>
      </c>
      <c r="BY47" s="466" t="str">
        <f aca="false">IF(BD47,IF(BS47&gt;0,IF(BS47&gt;0.2,BC47-BB47,IF(BS47&gt;0.1,BB47-BA47,BA47)),IF(BS47&lt;-0.2,AX47-AY47,IF(BS47&lt;-0.1,AY47-AZ47,AZ47))),"")</f>
        <v/>
      </c>
      <c r="BZ47" s="467" t="str">
        <f aca="false">IF(BD47,IF(BT47&gt;0,IF(BT47&gt;0.2,BC47-BB47,IF(BT47&gt;0.1,BB47-BA47,BA47)),IF(BT47&lt;-0.2,AX47-AY47,IF(BT47&lt;-0.1,AY47-AZ47,AZ47))),"")</f>
        <v/>
      </c>
      <c r="CA47" s="468" t="str">
        <f aca="false">IF($BD47,$BW47+IF(VolSkewFlag=1,IF(BS47&gt;0,$BA47*MIN(BS47/10%,1)+($BB47-$BA47)*MAX(0,MIN(BS47/10%-1,1))+($BC47-$BB47)*MAX(0,BS47/10%-2),$AZ47*MIN(-BS47/10%,1)+($AY47-$AZ47)*MAX(0,MIN(-BS47/10%-1,1))+($AX47-$AY47)*MAX(0,-BS47/10%-2)),0),"")</f>
        <v/>
      </c>
      <c r="CB47" s="468" t="str">
        <f aca="false">IF($BD47,$BX47+IF(VolSkewFlag=1,IF(BS47&gt;0,$BA47*MIN(BS47/10%,1)+($BB47-$BA47)*MAX(0,MIN(BS47/10%-1,1))+($BC47-$BB47)*MAX(0,BS47/10%-2),$AZ47*MIN(-BS47/10%,1)+($AY47-$AZ47)*MAX(0,MIN(-BS47/10%-1,1))+($AX47-$AY47)*MAX(0,-BS47/10%-2)),0),"")</f>
        <v/>
      </c>
      <c r="CC47" s="468" t="str">
        <f aca="false">IF($BD47,$BW47+IF(VolSkewFlag=1,IF(BT47&gt;0,$BA47*MIN(BT47/10%,1)+($BB47-$BA47)*MAX(0,MIN(BT47/10%-1,1))+($BC47-$BB47)*MAX(0,BT47/10%-2),$AZ47*MIN(-BT47/10%,1)+($AY47-$AZ47)*MAX(0,MIN(-BT47/10%-1,1))+($AX47-$AY47)*MAX(0,-BT47/10%-2)),0),"")</f>
        <v/>
      </c>
      <c r="CD47" s="468" t="str">
        <f aca="false">IF($BD47,$BX47+IF(VolSkewFlag=1,IF(BT47&gt;0,$BA47*MIN(BT47/10%,1)+($BB47-$BA47)*MAX(0,MIN(BT47/10%-1,1))+($BC47-$BB47)*MAX(0,BT47/10%-2),$AZ47*MIN(-BT47/10%,1)+($AY47-$AZ47)*MAX(0,MIN(-BT47/10%-1,1))+($AX47-$AY47)*MAX(0,-BT47/10%-2)),0),"")</f>
        <v/>
      </c>
      <c r="CE47" s="469" t="n">
        <v>1</v>
      </c>
      <c r="CF47" s="470" t="n">
        <f aca="false">IF(BD47,xCrudeAPO(BU47,BV47,CA47,CB47,S48,S49,BI47,BL47,BP47,BQ47,0,Strike1,AO47,CE47,0,BL47,IF(OptControl=4,0,1),0,1),0)</f>
        <v>0</v>
      </c>
      <c r="CG47" s="470" t="n">
        <f aca="false">IF(BD47,xCrudeAPO(BU47,BV47,CA47,CB47,S48,S49,BI47,BL47,BP47,BQ47,0,Strike1,AO47,CE47,0,BL47,IF(OptControl=4,0,1),1,1)+xCrudeAPO(BU47,BV47,CA47,CB47,S48,S49,BI47,BL47,BP47,BQ47,0,Strike1,AO47,CE47,0,BL47,IF(OptControl=4,0,1),1,2)+IF(OR(VolSkewFlag=2,ABS(BS47)&lt;0.0001),0,IF(BS47&gt;0,-1,1)*CH47*Strike1/BR47^2*BY47/10%),0)</f>
        <v>0</v>
      </c>
      <c r="CH47" s="470" t="n">
        <f aca="false">IF(BD47,(xCrudeAPO(BU47,BV47,CA47,CB47,S48,S49,BI47,BL47,BP47,BQ47,0,Strike1,AO47,CE47,0,BL47,IF(OptControl=4,0,1),3,1)+xCrudeAPO(BU47,BV47,CA47,CB47,S48,S49,BI47,BL47,BP47,BQ47,0,Strike1,AO47,CE47,0,BL47,IF(OptControl=4,0,1),3,2))/100,0)</f>
        <v>0</v>
      </c>
      <c r="CI47" s="470" t="n">
        <f aca="false">IF(BD47,xCrudeAPO(BU47,BV47,CA47,CB47,S48,S49,BI47-DaysForThetaCalculation/365.25,BL47-DaysForThetaCalculation/365.25,BP47,BQ47,0,Strike1,AO47,CE47,0,BL47,IF(OptControl=4,0,1),0,1)-xCrudeAPO(BU47,BV47,CA47,CB47,S48,S49,BI47,BL47,BP47,BQ47,0,Strike1,AO47,CE47,0,BL47,IF(OptControl=4,0,1),0,1),0)</f>
        <v>0</v>
      </c>
      <c r="CJ47" s="471" t="n">
        <f aca="false">IF(BD47,xCrudeAPO(BU47,BV47,CC47,CD47,S48,S49,BI47,BL47,BP47,BQ47,0,Strike2,AO47,CE47,0,BL47,IF(OptControl=3,1,0),0,1),0)</f>
        <v>0</v>
      </c>
      <c r="CK47" s="470" t="n">
        <f aca="false">IF(BD47,xCrudeAPO(BU47,BV47,CC47,CD47,S48,S49,BI47,BL47,BP47,BQ47,0,Strike2,AO47,CE47,0,BL47,IF(OptControl=3,1,0),1,1)+xCrudeAPO(BU47,BV47,CC47,CD47,S48,S49,BI47,BL47,BP47,BQ47,0,Strike2,AO47,CE47,0,BL47,IF(OptControl=3,1,0),1,2)+IF(OR(VolSkewFlag=2,ABS(BT47)&lt;0.0001),0,IF(BT47&gt;0,-1,1)*CL47*Strike2/BR47^2*BZ47/10%),0)</f>
        <v>0</v>
      </c>
      <c r="CL47" s="470" t="n">
        <f aca="false">IF(BD47,(xCrudeAPO(BU47,BV47,CC47,CD47,S48,S49,BI47,BL47,BP47,BQ47,0,Strike2,AO47,CE47,0,BL47,IF(OptControl=3,1,0),3,1)+xCrudeAPO(BU47,BV47,CC47,CD47,S48,S49,BI47,BL47,BP47,BQ47,0,Strike2,AO47,CE47,0,BL47,IF(OptControl=3,1,0),3,2))/100,0)</f>
        <v>0</v>
      </c>
      <c r="CM47" s="472" t="n">
        <f aca="false">IF(BD47,xCrudeAPO(BU47,BV47,CC47,CD47,S48,S49,BI47-DaysForThetaCalculation/365.25,BL47-DaysForThetaCalculation/365.25,BP47,BQ47,0,Strike2,AO47,CE47,0,BL47,IF(OptControl=3,1,0),0,1)-xCrudeAPO(BU47,BV47,CC47,CD47,S48,S49,BI47,BL47,BP47,BQ47,0,Strike2,AO47,CE47,0,BL47,IF(OptControl=3,1,0),0,1),0)</f>
        <v>0</v>
      </c>
      <c r="CN47" s="3"/>
      <c r="CO47" s="543" t="str">
        <f aca="false">IF(BD47,CHOOSE(Underlying,AD47,AF47)-DateToday+1,"")</f>
        <v/>
      </c>
      <c r="CP47" s="582" t="str">
        <f aca="false">IF(BD47,CHOOSE(Underlying,L47,R47),"")</f>
        <v/>
      </c>
      <c r="CQ47" s="544" t="str">
        <f aca="false">IF(BD47,Strike1/CP47-1,"")</f>
        <v/>
      </c>
      <c r="CR47" s="544" t="str">
        <f aca="false">IF(BD47,Strike2/CP47-1,"")</f>
        <v/>
      </c>
      <c r="CS47" s="544" t="str">
        <f aca="false">IF(BD47,IF(CQ47&gt;0,IF(CQ47&gt;0.2,BC46-BB46,IF(CQ47&gt;0.1,BB46-BA46,BA46)),IF(CQ47&lt;-0.2,AX46-AY46,IF(CQ47&lt;-0.1,AY46-AZ46,AZ46))),"")</f>
        <v/>
      </c>
      <c r="CT47" s="544" t="str">
        <f aca="false">IF(BD47,IF(CR47&gt;0,IF(CR47&gt;0.2,BC46-BB46,IF(CR47&gt;0.1,BB46-BA46,BA46)),IF(CR47&lt;-0.2,AX46-AY46,IF(CR47&lt;-0.1,AY46-AZ46,AZ46))),"")</f>
        <v/>
      </c>
      <c r="CU47" s="545" t="str">
        <f aca="false">IF(BD47,CHOOSE(Underlying,O47,AT47),"")</f>
        <v/>
      </c>
      <c r="CV47" s="545" t="str">
        <f aca="false">IF(BD47,CU47+IF(VolSkewFlag=1,IF(CQ47&gt;0,BA46*MIN(CQ47/10%,1)+(BB46-BA46)*MAX(0,MIN(CQ47/10%-1,1))+(BC46-BB46)*MAX(0,CQ47/10%-2),AZ46*MIN(-CQ47/10%,1)+(AY46-AZ46)*MAX(0,MIN(-CQ47/10%-1,1))+(AX46-AY46)*MAX(0,-CQ47/10%-2)),0),"")</f>
        <v/>
      </c>
      <c r="CW47" s="545" t="str">
        <f aca="false">IF(BD47,CU47+IF(VolSkewFlag=1,IF(CR47&gt;0,BA46*MIN(CR47/10%,1)+(BB46-BA46)*MAX(0,MIN(CR47/10%-1,1))+(BC46-BB46)*MAX(0,CR47/10%-2),AZ46*MIN(-CR47/10%,1)+(AY46-AZ46)*MAX(0,MIN(-CR47/10%-1,1))+(AX46-AY46)*MAX(0,-CR47/10%-2)),0),"")</f>
        <v/>
      </c>
      <c r="CX47" s="470" t="n">
        <f aca="false">IF(BD47,EURO(CP47,Strike1,AO47,AO47,CV47,CO47,IF(OptControl=4,0,1),0),0)</f>
        <v>0</v>
      </c>
      <c r="CY47" s="470" t="n">
        <f aca="false">IF(BD47,EURO(CP47,Strike1,AO47,AO47,CV47,CO47,IF(OptControl=4,0,1),1)+IF(OR(VolSkewFlag=2,ABS(CQ47)&lt;0.0001),0,IF(CQ47&gt;0,-1,1)*CZ47*100*Strike1/CP47^2*CS47/10%),0)</f>
        <v>0</v>
      </c>
      <c r="CZ47" s="470" t="n">
        <f aca="false">IF(BD47,EURO(CP47,Strike1,AO47,AO47,CV47,CO47,IF(OptControl=4,0,1),3)/100,0)</f>
        <v>0</v>
      </c>
      <c r="DA47" s="470" t="n">
        <f aca="false">IF(BD47,EURO(CP47,Strike1,AO47,AO47,CV47,CO47,IF(OptControl=4,0,1),0)-EURO(CP47,Strike1,AO47,AO47,CV47,CO47-1,IF(OptControl=4,0,1),0),0)</f>
        <v>0</v>
      </c>
      <c r="DB47" s="470" t="n">
        <f aca="false">IF(BD47,EURO(CP47,Strike2,AO47,AO47,CW47,CO47,IF(OptControl=3,1,0),0),0)</f>
        <v>0</v>
      </c>
      <c r="DC47" s="470" t="n">
        <f aca="false">IF(BD47,EURO(CP47,Strike2,AO47,AO47,CW47,CO47,IF(OptControl=3,1,0),1)+IF(OR(VolSkewFlag=2,ABS(CR47)&lt;0.0001),0,IF(CR47&gt;0,-1,1)*DD47*100*Strike2/CP47^2*CT47/10%),0)</f>
        <v>0</v>
      </c>
      <c r="DD47" s="470" t="n">
        <f aca="false">IF(BD47,EURO(CP47,Strike2,AO47,AO47,CW47,CO47,IF(OptControl=3,1,0),3)/100,0)</f>
        <v>0</v>
      </c>
      <c r="DE47" s="472" t="n">
        <f aca="false">IF(BD47,EURO(CP47,Strike2,AO47,AO47,CW47,CO47,IF(OptControl=3,1,0),0)-EURO(CP47,Strike2,AO47,AO47,CW47,CO47-1,IF(OptControl=3,1,0),0),0)</f>
        <v>0</v>
      </c>
      <c r="DG47" s="481" t="n">
        <f aca="false">EOMONTH(DG46,0)+1</f>
        <v>46508</v>
      </c>
      <c r="DH47" s="478" t="n">
        <v>19.57</v>
      </c>
      <c r="DI47" s="479" t="n">
        <v>19.4344927536232</v>
      </c>
      <c r="DJ47" s="480" t="n">
        <f aca="false">DG47</f>
        <v>46508</v>
      </c>
      <c r="DK47" s="478" t="n">
        <v>18.4366666666667</v>
      </c>
      <c r="DL47" s="479" t="n">
        <v>18.2794927536232</v>
      </c>
      <c r="DM47" s="481" t="n">
        <f aca="false">DG47</f>
        <v>46508</v>
      </c>
      <c r="DN47" s="482" t="n">
        <f aca="false">DK47+BrentPhyBrentSpread</f>
        <v>18.4866666666667</v>
      </c>
      <c r="DO47" s="481" t="n">
        <f aca="false">DG47</f>
        <v>46508</v>
      </c>
      <c r="DP47" s="483" t="n">
        <f aca="false">DL47+DQ47</f>
        <v>18.2794927536232</v>
      </c>
      <c r="DQ47" s="546" t="n">
        <v>0</v>
      </c>
      <c r="DR47" s="480" t="n">
        <f aca="false">DG47</f>
        <v>46508</v>
      </c>
      <c r="DS47" s="485" t="n">
        <v>0.226072148472829</v>
      </c>
      <c r="DT47" s="486" t="n">
        <v>0.222315916907478</v>
      </c>
      <c r="DU47" s="480" t="n">
        <f aca="false">DG47</f>
        <v>46508</v>
      </c>
      <c r="DV47" s="485" t="n">
        <v>0.226072148472829</v>
      </c>
      <c r="DW47" s="486" t="n">
        <v>0.222315916907478</v>
      </c>
      <c r="DX47" s="481" t="n">
        <f aca="false">DG47</f>
        <v>46508</v>
      </c>
      <c r="DY47" s="486" t="n">
        <v>0.350000001192093</v>
      </c>
      <c r="DZ47" s="481" t="n">
        <f aca="false">DR47</f>
        <v>46508</v>
      </c>
      <c r="EA47" s="486" t="n">
        <f aca="false">DT47</f>
        <v>0.222315916907478</v>
      </c>
      <c r="EB47" s="195"/>
      <c r="EC47" s="547" t="str">
        <f aca="false">IF(BD47,IF(Underlying=1,AS47,AU47),"")</f>
        <v/>
      </c>
      <c r="ED47" s="548" t="str">
        <f aca="false">IF($BD47,$EC47+IF(VolSkewFlag=1,IF(BS47&gt;0,$BA47*MIN(BS47/10%,1)+($BB47-$BA47)*MAX(0,MIN(BS47/10%-1,1))+($BC47-$BB47)*MAX(0,BS47/10%-2),$AZ47*MIN(-BS47/10%,1)+($AY47-$AZ47)*MAX(0,MIN(-BS47/10%-1,1))+($AX47-$AY47)*MAX(0,-BS47/10%-2)),0),"")</f>
        <v/>
      </c>
      <c r="EE47" s="549" t="str">
        <f aca="false">IF($BD47,$EC47+IF(VolSkewFlag=1,IF(BT47&gt;0,$BA47*MIN(BT47/10%,1)+($BB47-$BA47)*MAX(0,MIN(BT47/10%-1,1))+($BC47-$BB47)*MAX(0,BT47/10%-2),$AZ47*MIN(-BT47/10%,1)+($AY47-$AZ47)*MAX(0,MIN(-BT47/10%-1,1))+($AX47-$AY47)*MAX(0,-BT47/10%-2)),0),"")</f>
        <v/>
      </c>
      <c r="EF47" s="550" t="n">
        <f aca="false">IF(BD47,xASN(BR47,Strike1,AO47,ED47,0,BO47,0,BI47,BL47,IF(OptControl=4,0,1),0),0)</f>
        <v>0</v>
      </c>
      <c r="EG47" s="551" t="n">
        <f aca="false">IF(BD47,xASN(BR47,Strike2,AO47,EE47,0,BO47,0,BI47,BL47,IF(OptControl=3,1,0),0),0)</f>
        <v>0</v>
      </c>
      <c r="EI47" s="583" t="str">
        <f aca="false">DDE("TWINDDE","RSFRecord","CLc28 MTH")</f>
        <v>DEC2</v>
      </c>
      <c r="EJ47" s="584" t="n">
        <f aca="false">DATEVALUE(CONCATENATE(LEFT(EI47,3),"-",IF(VALUE(RIGHT(EI47,1))=9,"1999",CONCATENATE("200",RIGHT(EI47,1)))))</f>
        <v>37591</v>
      </c>
      <c r="EK47" s="585" t="n">
        <f aca="false">DDE("TWINDDE","RSFRecord","CLc28 NET.CHNG")</f>
        <v>0</v>
      </c>
      <c r="EL47" s="586" t="n">
        <f aca="false">IF(ISNUMBER(VALUE(EK47)),VALUE(EK47)*100,0)</f>
        <v>0</v>
      </c>
      <c r="EM47" s="195"/>
      <c r="EN47" s="556" t="n">
        <v>39076</v>
      </c>
      <c r="EO47" s="557" t="n">
        <v>41633</v>
      </c>
      <c r="EP47" s="195"/>
      <c r="EQ47" s="407" t="s">
        <v>271</v>
      </c>
      <c r="ES47" s="587" t="n">
        <v>28</v>
      </c>
      <c r="ET47" s="559" t="n">
        <f aca="false">BH47/365.25</f>
        <v>-22.861054072553</v>
      </c>
      <c r="EU47" s="560" t="n">
        <f aca="false">O47^2*ET47</f>
        <v>-0</v>
      </c>
      <c r="EV47" s="588" t="e">
        <f aca="false">SQRT(SUM(FK47:ID47)/ET47)</f>
        <v>#VALUE!</v>
      </c>
      <c r="EW47" s="589" t="str">
        <f aca="false">IF(OR(DateStart2&gt;I46,DateEnd2&lt;I45),"",IF(DateStart2&lt;I46,AK45/AI45*AP45*BE45*SwaptionNumOfMonths/$D$33,0)+IF(DateEnd2&gt;I45,AJ46/AI46*AP46*BE46*SwaptionNumOfMonths/$D$33,0))</f>
        <v/>
      </c>
      <c r="EX47" s="590" t="str">
        <f aca="false">IF(EW47="","",SQRT(SUM(FK352:ID352)/SwaptionYearsToExp))</f>
        <v/>
      </c>
      <c r="EY47" s="129" t="n">
        <v>0</v>
      </c>
      <c r="EZ47" s="591" t="str">
        <f aca="false">IF(OR(EW47="",EW48=""),"",SQRT(SUM(INDEX(FK47:ID47,SwaptionFirstMonthPosition+1):INDEX(FK47:ID47,FJ47))/SUM(INDEX($FK$15:$ID$15,SwaptionFirstMonthPosition+1):INDEX($FK$15:$ID$15,FJ47))))</f>
        <v/>
      </c>
      <c r="FA47" s="592" t="str">
        <f aca="false">IF(OR(EW47="",EW46=""),"",SQRT(SUM(INDEX(FK47:ID47,SwaptionFirstMonthPosition+1):INDEX(FK47:ID47,FJ47-1))/SUM(INDEX($FK$15:$ID$15,SwaptionFirstMonthPosition+1):INDEX($FK$15:$ID$15,FJ47-1))))</f>
        <v/>
      </c>
      <c r="FB47" s="593" t="str">
        <f aca="false">IF(BE47,2/3*EZ48+1/3*FA49,"")</f>
        <v/>
      </c>
      <c r="FC47" s="596" t="str">
        <f aca="false">IF(BE47,(I48+I47-1)/2-DateToday,"")</f>
        <v/>
      </c>
      <c r="FD47" s="483" t="str">
        <f aca="false">IF(BE47,CHOOSE(Underlying,X47,Z47)+SwaptionUnderlyingPrice-$D$26,"")</f>
        <v/>
      </c>
      <c r="FE47" s="483" t="str">
        <f aca="false">IF(BE47,CollartionFloor/FD47-1,"")</f>
        <v/>
      </c>
      <c r="FF47" s="483" t="str">
        <f aca="false">IF(BE47,CollartionCap/FD47-1,"")</f>
        <v/>
      </c>
      <c r="FG47" s="485" t="str">
        <f aca="false">IF(BE47,IF(VolSkewFlag=1,IF(FE47&gt;0,$BA47*MIN(FE47/10%,1)+($BB47-$BA47)*MAX(0,MIN(FE47/10%-1,1))+($BC47-$BB47)*MAX(0,FE47/10%-2),$AZ47*MIN(-FE47/10%,1)+($AY47-$AZ47)*MAX(0,MIN(-FE47/10%-1,1))+($AX47-$AY47)*MAX(0,-FE47/10%-2)),0),"")</f>
        <v/>
      </c>
      <c r="FH47" s="486" t="str">
        <f aca="false">IF(BE47,IF(VolSkewFlag=1,IF(FF47&gt;0,$BA47*MIN(FF47/10%,1)+($BB47-$BA47)*MAX(0,MIN(FF47/10%-1,1))+($BC47-$BB47)*MAX(0,FF47/10%-2),$AZ47*MIN(-FF47/10%,1)+($AY47-$AZ47)*MAX(0,MIN(-FF47/10%-1,1))+($AX47-$AY47)*MAX(0,-FF47/10%-2)),0),"")</f>
        <v/>
      </c>
      <c r="FI47" s="129"/>
      <c r="FJ47" s="571" t="n">
        <v>28</v>
      </c>
      <c r="FK47" s="150" t="n">
        <f aca="false">IF(FK$19&gt;$FJ47,"",MAX(0,IF(FK$19=$FJ47,$S47^2*FK$15,FK46*INDEX($T$20:$T$91,$FJ47-FK$19)^2/INDEX($U$20:$U$91,$FJ47-FK$19))))</f>
        <v>0</v>
      </c>
      <c r="FL47" s="150" t="n">
        <f aca="false">IF(FL$19&gt;$FJ47,"",MAX(0,IF(FL$19=$FJ47,$S47^2*FL$15,FL46*INDEX($T$20:$T$91,$FJ47-FL$19)^2/INDEX($U$20:$U$91,$FJ47-FL$19))))</f>
        <v>0</v>
      </c>
      <c r="FM47" s="150" t="n">
        <f aca="false">IF(FM$19&gt;$FJ47,"",MAX(0,IF(FM$19=$FJ47,$S47^2*FM$15,FM46*INDEX($T$20:$T$91,$FJ47-FM$19)^2/INDEX($U$20:$U$91,$FJ47-FM$19))))</f>
        <v>0.00262666171744035</v>
      </c>
      <c r="FN47" s="150" t="n">
        <f aca="false">IF(FN$19&gt;$FJ47,"",MAX(0,IF(FN$19=$FJ47,$S47^2*FN$15,FN46*INDEX($T$20:$T$91,$FJ47-FN$19)^2/INDEX($U$20:$U$91,$FJ47-FN$19))))</f>
        <v>0.0022224103296838</v>
      </c>
      <c r="FO47" s="150" t="n">
        <f aca="false">IF(FO$19&gt;$FJ47,"",MAX(0,IF(FO$19=$FJ47,$S47^2*FO$15,FO46*INDEX($T$20:$T$91,$FJ47-FO$19)^2/INDEX($U$20:$U$91,$FJ47-FO$19))))</f>
        <v>0.00232586881545933</v>
      </c>
      <c r="FP47" s="150" t="n">
        <f aca="false">IF(FP$19&gt;$FJ47,"",MAX(0,IF(FP$19=$FJ47,$S47^2*FP$15,FP46*INDEX($T$20:$T$91,$FJ47-FP$19)^2/INDEX($U$20:$U$91,$FJ47-FP$19))))</f>
        <v>0.00259588084491792</v>
      </c>
      <c r="FQ47" s="150" t="n">
        <f aca="false">IF(FQ$19&gt;$FJ47,"",MAX(0,IF(FQ$19=$FJ47,$S47^2*FQ$15,FQ46*INDEX($T$20:$T$91,$FJ47-FQ$19)^2/INDEX($U$20:$U$91,$FJ47-FQ$19))))</f>
        <v>0.00211937881903463</v>
      </c>
      <c r="FR47" s="150" t="n">
        <f aca="false">IF(FR$19&gt;$FJ47,"",MAX(0,IF(FR$19=$FJ47,$S47^2*FR$15,FR46*INDEX($T$20:$T$91,$FJ47-FR$19)^2/INDEX($U$20:$U$91,$FJ47-FR$19))))</f>
        <v>0.00218839314913323</v>
      </c>
      <c r="FS47" s="150" t="n">
        <f aca="false">IF(FS$19&gt;$FJ47,"",MAX(0,IF(FS$19=$FJ47,$S47^2*FS$15,FS46*INDEX($T$20:$T$91,$FJ47-FS$19)^2/INDEX($U$20:$U$91,$FJ47-FS$19))))</f>
        <v>0.00249472279728121</v>
      </c>
      <c r="FT47" s="150" t="n">
        <f aca="false">IF(FT$19&gt;$FJ47,"",MAX(0,IF(FT$19=$FJ47,$S47^2*FT$15,FT46*INDEX($T$20:$T$91,$FJ47-FT$19)^2/INDEX($U$20:$U$91,$FJ47-FT$19))))</f>
        <v>0.00228195169302267</v>
      </c>
      <c r="FU47" s="150" t="n">
        <f aca="false">IF(FU$19&gt;$FJ47,"",MAX(0,IF(FU$19=$FJ47,$S47^2*FU$15,FU46*INDEX($T$20:$T$91,$FJ47-FU$19)^2/INDEX($U$20:$U$91,$FJ47-FU$19))))</f>
        <v>0.00222868271606892</v>
      </c>
      <c r="FV47" s="150" t="n">
        <f aca="false">IF(FV$19&gt;$FJ47,"",MAX(0,IF(FV$19=$FJ47,$S47^2*FV$15,FV46*INDEX($T$20:$T$91,$FJ47-FV$19)^2/INDEX($U$20:$U$91,$FJ47-FV$19))))</f>
        <v>0.00249478275404949</v>
      </c>
      <c r="FW47" s="150" t="n">
        <f aca="false">IF(FW$19&gt;$FJ47,"",MAX(0,IF(FW$19=$FJ47,$S47^2*FW$15,FW46*INDEX($T$20:$T$91,$FJ47-FW$19)^2/INDEX($U$20:$U$91,$FJ47-FW$19))))</f>
        <v>0.00238265146828443</v>
      </c>
      <c r="FX47" s="150" t="n">
        <f aca="false">IF(FX$19&gt;$FJ47,"",MAX(0,IF(FX$19=$FJ47,$S47^2*FX$15,FX46*INDEX($T$20:$T$91,$FJ47-FX$19)^2/INDEX($U$20:$U$91,$FJ47-FX$19))))</f>
        <v>0.00260074685752351</v>
      </c>
      <c r="FY47" s="150" t="n">
        <f aca="false">IF(FY$19&gt;$FJ47,"",MAX(0,IF(FY$19=$FJ47,$S47^2*FY$15,FY46*INDEX($T$20:$T$91,$FJ47-FY$19)^2/INDEX($U$20:$U$91,$FJ47-FY$19))))</f>
        <v>0.00250742943478262</v>
      </c>
      <c r="FZ47" s="150" t="n">
        <f aca="false">IF(FZ$19&gt;$FJ47,"",MAX(0,IF(FZ$19=$FJ47,$S47^2*FZ$15,FZ46*INDEX($T$20:$T$91,$FJ47-FZ$19)^2/INDEX($U$20:$U$91,$FJ47-FZ$19))))</f>
        <v>0.00242016439835865</v>
      </c>
      <c r="GA47" s="150" t="n">
        <f aca="false">IF(GA$19&gt;$FJ47,"",MAX(0,IF(GA$19=$FJ47,$S47^2*GA$15,GA46*INDEX($T$20:$T$91,$FJ47-GA$19)^2/INDEX($U$20:$U$91,$FJ47-GA$19))))</f>
        <v>0.00269868967734454</v>
      </c>
      <c r="GB47" s="150" t="n">
        <f aca="false">IF(GB$19&gt;$FJ47,"",MAX(0,IF(GB$19=$FJ47,$S47^2*GB$15,GB46*INDEX($T$20:$T$91,$FJ47-GB$19)^2/INDEX($U$20:$U$91,$FJ47-GB$19))))</f>
        <v>0.00311232850063758</v>
      </c>
      <c r="GC47" s="150" t="n">
        <f aca="false">IF(GC$19&gt;$FJ47,"",MAX(0,IF(GC$19=$FJ47,$S47^2*GC$15,GC46*INDEX($T$20:$T$91,$FJ47-GC$19)^2/INDEX($U$20:$U$91,$FJ47-GC$19))))</f>
        <v>0.00289220608098701</v>
      </c>
      <c r="GD47" s="150" t="n">
        <f aca="false">IF(GD$19&gt;$FJ47,"",MAX(0,IF(GD$19=$FJ47,$S47^2*GD$15,GD46*INDEX($T$20:$T$91,$FJ47-GD$19)^2/INDEX($U$20:$U$91,$FJ47-GD$19))))</f>
        <v>0.00308919378954136</v>
      </c>
      <c r="GE47" s="150" t="n">
        <f aca="false">IF(GE$19&gt;$FJ47,"",MAX(0,IF(GE$19=$FJ47,$S47^2*GE$15,GE46*INDEX($T$20:$T$91,$FJ47-GE$19)^2/INDEX($U$20:$U$91,$FJ47-GE$19))))</f>
        <v>0.00379927875817223</v>
      </c>
      <c r="GF47" s="150" t="n">
        <f aca="false">IF(GF$19&gt;$FJ47,"",MAX(0,IF(GF$19=$FJ47,$S47^2*GF$15,GF46*INDEX($T$20:$T$91,$FJ47-GF$19)^2/INDEX($U$20:$U$91,$FJ47-GF$19))))</f>
        <v>0.00365911281171526</v>
      </c>
      <c r="GG47" s="150" t="n">
        <f aca="false">IF(GG$19&gt;$FJ47,"",MAX(0,IF(GG$19=$FJ47,$S47^2*GG$15,GG46*INDEX($T$20:$T$91,$FJ47-GG$19)^2/INDEX($U$20:$U$91,$FJ47-GG$19))))</f>
        <v>0.00449871159403782</v>
      </c>
      <c r="GH47" s="150" t="n">
        <f aca="false">IF(GH$19&gt;$FJ47,"",MAX(0,IF(GH$19=$FJ47,$S47^2*GH$15,GH46*INDEX($T$20:$T$91,$FJ47-GH$19)^2/INDEX($U$20:$U$91,$FJ47-GH$19))))</f>
        <v>0.00479233016235586</v>
      </c>
      <c r="GI47" s="150" t="n">
        <f aca="false">IF(GI$19&gt;$FJ47,"",MAX(0,IF(GI$19=$FJ47,$S47^2*GI$15,GI46*INDEX($T$20:$T$91,$FJ47-GI$19)^2/INDEX($U$20:$U$91,$FJ47-GI$19))))</f>
        <v>0.00538879868218139</v>
      </c>
      <c r="GJ47" s="150" t="n">
        <f aca="false">IF(GJ$19&gt;$FJ47,"",MAX(0,IF(GJ$19=$FJ47,$S47^2*GJ$15,GJ46*INDEX($T$20:$T$91,$FJ47-GJ$19)^2/INDEX($U$20:$U$91,$FJ47-GJ$19))))</f>
        <v>0.00733648882896723</v>
      </c>
      <c r="GK47" s="150" t="n">
        <f aca="false">IF(GK$19&gt;$FJ47,"",MAX(0,IF(GK$19=$FJ47,$S47^2*GK$15,GK46*INDEX($T$20:$T$91,$FJ47-GK$19)^2/INDEX($U$20:$U$91,$FJ47-GK$19))))</f>
        <v>0.00825473820037761</v>
      </c>
      <c r="GL47" s="150" t="n">
        <f aca="false">IF(GL$19&gt;$FJ47,"",MAX(0,IF(GL$19=$FJ47,$S47^2*GL$15,GL46*INDEX($T$20:$T$91,$FJ47-GL$19)^2/INDEX($U$20:$U$91,$FJ47-GL$19))))</f>
        <v>0.0102912290431301</v>
      </c>
      <c r="GM47" s="150" t="str">
        <f aca="false">IF(GM$19&gt;$FJ47,"",MAX(0,IF(GM$19=$FJ47,$S47^2*GM$15,GM46*INDEX($T$20:$T$91,$FJ47-GM$19)^2/INDEX($U$20:$U$91,$FJ47-GM$19))))</f>
        <v/>
      </c>
      <c r="GN47" s="150" t="str">
        <f aca="false">IF(GN$19&gt;$FJ47,"",MAX(0,IF(GN$19=$FJ47,$S47^2*GN$15,GN46*INDEX($T$20:$T$91,$FJ47-GN$19)^2/INDEX($U$20:$U$91,$FJ47-GN$19))))</f>
        <v/>
      </c>
      <c r="GO47" s="150" t="str">
        <f aca="false">IF(GO$19&gt;$FJ47,"",MAX(0,IF(GO$19=$FJ47,$S47^2*GO$15,GO46*INDEX($T$20:$T$91,$FJ47-GO$19)^2/INDEX($U$20:$U$91,$FJ47-GO$19))))</f>
        <v/>
      </c>
      <c r="GP47" s="150" t="str">
        <f aca="false">IF(GP$19&gt;$FJ47,"",MAX(0,IF(GP$19=$FJ47,$S47^2*GP$15,GP46*INDEX($T$20:$T$91,$FJ47-GP$19)^2/INDEX($U$20:$U$91,$FJ47-GP$19))))</f>
        <v/>
      </c>
      <c r="GQ47" s="150" t="str">
        <f aca="false">IF(GQ$19&gt;$FJ47,"",MAX(0,IF(GQ$19=$FJ47,$S47^2*GQ$15,GQ46*INDEX($T$20:$T$91,$FJ47-GQ$19)^2/INDEX($U$20:$U$91,$FJ47-GQ$19))))</f>
        <v/>
      </c>
      <c r="GR47" s="150" t="str">
        <f aca="false">IF(GR$19&gt;$FJ47,"",MAX(0,IF(GR$19=$FJ47,$S47^2*GR$15,GR46*INDEX($T$20:$T$91,$FJ47-GR$19)^2/INDEX($U$20:$U$91,$FJ47-GR$19))))</f>
        <v/>
      </c>
      <c r="GS47" s="150" t="str">
        <f aca="false">IF(GS$19&gt;$FJ47,"",MAX(0,IF(GS$19=$FJ47,$S47^2*GS$15,GS46*INDEX($T$20:$T$91,$FJ47-GS$19)^2/INDEX($U$20:$U$91,$FJ47-GS$19))))</f>
        <v/>
      </c>
      <c r="GT47" s="150" t="str">
        <f aca="false">IF(GT$19&gt;$FJ47,"",MAX(0,IF(GT$19=$FJ47,$S47^2*GT$15,GT46*INDEX($T$20:$T$91,$FJ47-GT$19)^2/INDEX($U$20:$U$91,$FJ47-GT$19))))</f>
        <v/>
      </c>
      <c r="GU47" s="150" t="str">
        <f aca="false">IF(GU$19&gt;$FJ47,"",MAX(0,IF(GU$19=$FJ47,$S47^2*GU$15,GU46*INDEX($T$20:$T$91,$FJ47-GU$19)^2/INDEX($U$20:$U$91,$FJ47-GU$19))))</f>
        <v/>
      </c>
      <c r="GV47" s="150" t="str">
        <f aca="false">IF(GV$19&gt;$FJ47,"",MAX(0,IF(GV$19=$FJ47,$S47^2*GV$15,GV46*INDEX($T$20:$T$91,$FJ47-GV$19)^2/INDEX($U$20:$U$91,$FJ47-GV$19))))</f>
        <v/>
      </c>
      <c r="GW47" s="150" t="str">
        <f aca="false">IF(GW$19&gt;$FJ47,"",MAX(0,IF(GW$19=$FJ47,$S47^2*GW$15,GW46*INDEX($T$20:$T$91,$FJ47-GW$19)^2/INDEX($U$20:$U$91,$FJ47-GW$19))))</f>
        <v/>
      </c>
      <c r="GX47" s="150" t="str">
        <f aca="false">IF(GX$19&gt;$FJ47,"",MAX(0,IF(GX$19=$FJ47,$S47^2*GX$15,GX46*INDEX($T$20:$T$91,$FJ47-GX$19)^2/INDEX($U$20:$U$91,$FJ47-GX$19))))</f>
        <v/>
      </c>
      <c r="GY47" s="150" t="str">
        <f aca="false">IF(GY$19&gt;$FJ47,"",MAX(0,IF(GY$19=$FJ47,$S47^2*GY$15,GY46*INDEX($T$20:$T$91,$FJ47-GY$19)^2/INDEX($U$20:$U$91,$FJ47-GY$19))))</f>
        <v/>
      </c>
      <c r="GZ47" s="150" t="str">
        <f aca="false">IF(GZ$19&gt;$FJ47,"",MAX(0,IF(GZ$19=$FJ47,$S47^2*GZ$15,GZ46*INDEX($T$20:$T$91,$FJ47-GZ$19)^2/INDEX($U$20:$U$91,$FJ47-GZ$19))))</f>
        <v/>
      </c>
      <c r="HA47" s="150" t="str">
        <f aca="false">IF(HA$19&gt;$FJ47,"",MAX(0,IF(HA$19=$FJ47,$S47^2*HA$15,HA46*INDEX($T$20:$T$91,$FJ47-HA$19)^2/INDEX($U$20:$U$91,$FJ47-HA$19))))</f>
        <v/>
      </c>
      <c r="HB47" s="150" t="str">
        <f aca="false">IF(HB$19&gt;$FJ47,"",MAX(0,IF(HB$19=$FJ47,$S47^2*HB$15,HB46*INDEX($T$20:$T$91,$FJ47-HB$19)^2/INDEX($U$20:$U$91,$FJ47-HB$19))))</f>
        <v/>
      </c>
      <c r="HC47" s="150" t="str">
        <f aca="false">IF(HC$19&gt;$FJ47,"",MAX(0,IF(HC$19=$FJ47,$S47^2*HC$15,HC46*INDEX($T$20:$T$91,$FJ47-HC$19)^2/INDEX($U$20:$U$91,$FJ47-HC$19))))</f>
        <v/>
      </c>
      <c r="HD47" s="150" t="str">
        <f aca="false">IF(HD$19&gt;$FJ47,"",MAX(0,IF(HD$19=$FJ47,$S47^2*HD$15,HD46*INDEX($T$20:$T$91,$FJ47-HD$19)^2/INDEX($U$20:$U$91,$FJ47-HD$19))))</f>
        <v/>
      </c>
      <c r="HE47" s="150" t="str">
        <f aca="false">IF(HE$19&gt;$FJ47,"",MAX(0,IF(HE$19=$FJ47,$S47^2*HE$15,HE46*INDEX($T$20:$T$91,$FJ47-HE$19)^2/INDEX($U$20:$U$91,$FJ47-HE$19))))</f>
        <v/>
      </c>
      <c r="HF47" s="150" t="str">
        <f aca="false">IF(HF$19&gt;$FJ47,"",MAX(0,IF(HF$19=$FJ47,$S47^2*HF$15,HF46*INDEX($T$20:$T$91,$FJ47-HF$19)^2/INDEX($U$20:$U$91,$FJ47-HF$19))))</f>
        <v/>
      </c>
      <c r="HG47" s="150" t="str">
        <f aca="false">IF(HG$19&gt;$FJ47,"",MAX(0,IF(HG$19=$FJ47,$S47^2*HG$15,HG46*INDEX($T$20:$T$91,$FJ47-HG$19)^2/INDEX($U$20:$U$91,$FJ47-HG$19))))</f>
        <v/>
      </c>
      <c r="HH47" s="150" t="str">
        <f aca="false">IF(HH$19&gt;$FJ47,"",MAX(0,IF(HH$19=$FJ47,$S47^2*HH$15,HH46*INDEX($T$20:$T$91,$FJ47-HH$19)^2/INDEX($U$20:$U$91,$FJ47-HH$19))))</f>
        <v/>
      </c>
      <c r="HI47" s="150" t="str">
        <f aca="false">IF(HI$19&gt;$FJ47,"",MAX(0,IF(HI$19=$FJ47,$S47^2*HI$15,HI46*INDEX($T$20:$T$91,$FJ47-HI$19)^2/INDEX($U$20:$U$91,$FJ47-HI$19))))</f>
        <v/>
      </c>
      <c r="HJ47" s="150" t="str">
        <f aca="false">IF(HJ$19&gt;$FJ47,"",MAX(0,IF(HJ$19=$FJ47,$S47^2*HJ$15,HJ46*INDEX($T$20:$T$91,$FJ47-HJ$19)^2/INDEX($U$20:$U$91,$FJ47-HJ$19))))</f>
        <v/>
      </c>
      <c r="HK47" s="150" t="str">
        <f aca="false">IF(HK$19&gt;$FJ47,"",MAX(0,IF(HK$19=$FJ47,$S47^2*HK$15,HK46*INDEX($T$20:$T$91,$FJ47-HK$19)^2/INDEX($U$20:$U$91,$FJ47-HK$19))))</f>
        <v/>
      </c>
      <c r="HL47" s="150" t="str">
        <f aca="false">IF(HL$19&gt;$FJ47,"",MAX(0,IF(HL$19=$FJ47,$S47^2*HL$15,HL46*INDEX($T$20:$T$91,$FJ47-HL$19)^2/INDEX($U$20:$U$91,$FJ47-HL$19))))</f>
        <v/>
      </c>
      <c r="HM47" s="150" t="str">
        <f aca="false">IF(HM$19&gt;$FJ47,"",MAX(0,IF(HM$19=$FJ47,$S47^2*HM$15,HM46*INDEX($T$20:$T$91,$FJ47-HM$19)^2/INDEX($U$20:$U$91,$FJ47-HM$19))))</f>
        <v/>
      </c>
      <c r="HN47" s="150" t="str">
        <f aca="false">IF(HN$19&gt;$FJ47,"",MAX(0,IF(HN$19=$FJ47,$S47^2*HN$15,HN46*INDEX($T$20:$T$91,$FJ47-HN$19)^2/INDEX($U$20:$U$91,$FJ47-HN$19))))</f>
        <v/>
      </c>
      <c r="HO47" s="150" t="str">
        <f aca="false">IF(HO$19&gt;$FJ47,"",MAX(0,IF(HO$19=$FJ47,$S47^2*HO$15,HO46*INDEX($T$20:$T$91,$FJ47-HO$19)^2/INDEX($U$20:$U$91,$FJ47-HO$19))))</f>
        <v/>
      </c>
      <c r="HP47" s="150" t="str">
        <f aca="false">IF(HP$19&gt;$FJ47,"",MAX(0,IF(HP$19=$FJ47,$S47^2*HP$15,HP46*INDEX($T$20:$T$91,$FJ47-HP$19)^2/INDEX($U$20:$U$91,$FJ47-HP$19))))</f>
        <v/>
      </c>
      <c r="HQ47" s="150" t="str">
        <f aca="false">IF(HQ$19&gt;$FJ47,"",MAX(0,IF(HQ$19=$FJ47,$S47^2*HQ$15,HQ46*INDEX($T$20:$T$91,$FJ47-HQ$19)^2/INDEX($U$20:$U$91,$FJ47-HQ$19))))</f>
        <v/>
      </c>
      <c r="HR47" s="150" t="str">
        <f aca="false">IF(HR$19&gt;$FJ47,"",MAX(0,IF(HR$19=$FJ47,$S47^2*HR$15,HR46*INDEX($T$20:$T$91,$FJ47-HR$19)^2/INDEX($U$20:$U$91,$FJ47-HR$19))))</f>
        <v/>
      </c>
      <c r="HS47" s="150" t="str">
        <f aca="false">IF(HS$19&gt;$FJ47,"",MAX(0,IF(HS$19=$FJ47,$S47^2*HS$15,HS46*INDEX($T$20:$T$91,$FJ47-HS$19)^2/INDEX($U$20:$U$91,$FJ47-HS$19))))</f>
        <v/>
      </c>
      <c r="HT47" s="150" t="str">
        <f aca="false">IF(HT$19&gt;$FJ47,"",MAX(0,IF(HT$19=$FJ47,$S47^2*HT$15,HT46*INDEX($T$20:$T$91,$FJ47-HT$19)^2/INDEX($U$20:$U$91,$FJ47-HT$19))))</f>
        <v/>
      </c>
      <c r="HU47" s="150" t="str">
        <f aca="false">IF(HU$19&gt;$FJ47,"",MAX(0,IF(HU$19=$FJ47,$S47^2*HU$15,HU46*INDEX($T$20:$T$91,$FJ47-HU$19)^2/INDEX($U$20:$U$91,$FJ47-HU$19))))</f>
        <v/>
      </c>
      <c r="HV47" s="150" t="str">
        <f aca="false">IF(HV$19&gt;$FJ47,"",MAX(0,IF(HV$19=$FJ47,$S47^2*HV$15,HV46*INDEX($T$20:$T$91,$FJ47-HV$19)^2/INDEX($U$20:$U$91,$FJ47-HV$19))))</f>
        <v/>
      </c>
      <c r="HW47" s="150" t="str">
        <f aca="false">IF(HW$19&gt;$FJ47,"",MAX(0,IF(HW$19=$FJ47,$S47^2*HW$15,HW46*INDEX($T$20:$T$91,$FJ47-HW$19)^2/INDEX($U$20:$U$91,$FJ47-HW$19))))</f>
        <v/>
      </c>
      <c r="HX47" s="150" t="str">
        <f aca="false">IF(HX$19&gt;$FJ47,"",MAX(0,IF(HX$19=$FJ47,$S47^2*HX$15,HX46*INDEX($T$20:$T$91,$FJ47-HX$19)^2/INDEX($U$20:$U$91,$FJ47-HX$19))))</f>
        <v/>
      </c>
      <c r="HY47" s="150" t="str">
        <f aca="false">IF(HY$19&gt;$FJ47,"",MAX(0,IF(HY$19=$FJ47,$S47^2*HY$15,HY46*INDEX($T$20:$T$91,$FJ47-HY$19)^2/INDEX($U$20:$U$91,$FJ47-HY$19))))</f>
        <v/>
      </c>
      <c r="HZ47" s="150" t="str">
        <f aca="false">IF(HZ$19&gt;$FJ47,"",MAX(0,IF(HZ$19=$FJ47,$S47^2*HZ$15,HZ46*INDEX($T$20:$T$91,$FJ47-HZ$19)^2/INDEX($U$20:$U$91,$FJ47-HZ$19))))</f>
        <v/>
      </c>
      <c r="IA47" s="150" t="str">
        <f aca="false">IF(IA$19&gt;$FJ47,"",MAX(0,IF(IA$19=$FJ47,$S47^2*IA$15,IA46*INDEX($T$20:$T$91,$FJ47-IA$19)^2/INDEX($U$20:$U$91,$FJ47-IA$19))))</f>
        <v/>
      </c>
      <c r="IB47" s="150" t="str">
        <f aca="false">IF(IB$19&gt;$FJ47,"",MAX(0,IF(IB$19=$FJ47,$S47^2*IB$15,IB46*INDEX($T$20:$T$91,$FJ47-IB$19)^2/INDEX($U$20:$U$91,$FJ47-IB$19))))</f>
        <v/>
      </c>
      <c r="IC47" s="150" t="str">
        <f aca="false">IF(IC$19&gt;$FJ47,"",MAX(0,IF(IC$19=$FJ47,$S47^2*IC$15,IC46*INDEX($T$20:$T$91,$FJ47-IC$19)^2/INDEX($U$20:$U$91,$FJ47-IC$19))))</f>
        <v/>
      </c>
      <c r="ID47" s="572" t="str">
        <f aca="false">IF(ID$19&gt;$FJ47,"",MAX(0,IF(ID$19=$FJ47,$S47^2*ID$15,ID46*INDEX($T$20:$T$91,$FJ47-ID$19)^2/INDEX($U$20:$U$91,$FJ47-ID$19))))</f>
        <v/>
      </c>
      <c r="IE47" s="129"/>
    </row>
    <row r="48" customFormat="false" ht="14.25" hidden="false" customHeight="true" outlineLevel="0" collapsed="false">
      <c r="A48" s="219"/>
      <c r="B48" s="5"/>
      <c r="C48" s="5"/>
      <c r="D48" s="5"/>
      <c r="E48" s="5"/>
      <c r="F48" s="219"/>
      <c r="G48" s="219"/>
      <c r="H48" s="219" t="n">
        <f aca="false">VLOOKUP(I48,$EJ$20:$EL$54,3)</f>
        <v>0</v>
      </c>
      <c r="I48" s="511" t="n">
        <f aca="false">EOMONTH(I47,0)+1</f>
        <v>37622</v>
      </c>
      <c r="J48" s="512"/>
      <c r="K48" s="513" t="n">
        <v>0</v>
      </c>
      <c r="L48" s="514" t="n">
        <f aca="false">IF(ISNUMBER(K48),J48+K48/100,IF(K48="extra",L47+VLOOKUP(BF48,PriceSpreadTable,2)/12,IF(K48="inter",interpolateprices($K$19:$L$200,ROW(K48)-ROW(FirstPricingMonth)+1),interpolatechanges($J$19:$K$200,ROW(K48)-ROW(FirstPricingMonth)+1))))</f>
        <v>0</v>
      </c>
      <c r="M48" s="515"/>
      <c r="N48" s="516" t="n">
        <v>0</v>
      </c>
      <c r="O48" s="515" t="n">
        <f aca="false">M48+N48</f>
        <v>0</v>
      </c>
      <c r="P48" s="512"/>
      <c r="Q48" s="513" t="n">
        <v>0</v>
      </c>
      <c r="R48" s="512" t="n">
        <f aca="false">IF(ISNUMBER(Q48),P48+Q48/100,IF(Q48="extra",(Z46*AL46-R47*AM46)/AN46,IF(Q48="inter",interpolateprices($Q$19:$R$260,ROW(Q48)-ROW(FirstPricingMonth)+1),interpolatechanges($P$19:$Q$260,ROW(Q48)-ROW(FirstPricingMonth)+1))))</f>
        <v>0</v>
      </c>
      <c r="S48" s="597" t="n">
        <f aca="false">S$19+(S47-S$19)*S$18</f>
        <v>0.360016932227809</v>
      </c>
      <c r="T48" s="575" t="n">
        <f aca="false">SQRT((1-(1-T47^2/U47)*T$18)*U48)</f>
        <v>0.998598542706373</v>
      </c>
      <c r="U48" s="576" t="n">
        <f aca="false">1-(1-U47)*U$18</f>
        <v>0.999995237810929</v>
      </c>
      <c r="V48" s="521" t="n">
        <v>0</v>
      </c>
      <c r="W48" s="577" t="n">
        <f aca="false">(J49*AJ48+J50*AK48)/AI48</f>
        <v>0</v>
      </c>
      <c r="X48" s="578" t="e">
        <f aca="false">(L49*AJ48+L50*AK48)/AI48</f>
        <v>#VALUE!</v>
      </c>
      <c r="Y48" s="579" t="n">
        <f aca="false">IF(Q50="extra",W48-AA48,(P49*AM48+P50*AN48)/AL48)</f>
        <v>0</v>
      </c>
      <c r="Z48" s="579" t="e">
        <f aca="false">IF(Q50="extra",X48-AB48,(R49*AM48+R50*AN48)/AL48)</f>
        <v>#VALUE!</v>
      </c>
      <c r="AA48" s="523" t="n">
        <f aca="false">IF(Q50="extra",INDEX(BrentSeasonalityTable,INT((BG48-1)/3)+1)*VLOOKUP(MAX(BF48,$AB$4),PriceSpreadTable,3),W48-Y48)</f>
        <v>0</v>
      </c>
      <c r="AB48" s="524" t="e">
        <f aca="false">IF(Q50="extra",INDEX(BrentSeasonalityTable,INT((BG48-1)/3)+1)*VLOOKUP(MAX(BF48,$AB$4),PriceSpreadTable,3),X48-Z48)</f>
        <v>#VALUE!</v>
      </c>
      <c r="AC48" s="525" t="n">
        <v>37610</v>
      </c>
      <c r="AD48" s="646" t="n">
        <v>37606</v>
      </c>
      <c r="AE48" s="526" t="n">
        <v>37605</v>
      </c>
      <c r="AF48" s="527" t="n">
        <v>37601</v>
      </c>
      <c r="AG48" s="438" t="s">
        <v>247</v>
      </c>
      <c r="AH48" s="439" t="s">
        <v>247</v>
      </c>
      <c r="AI48" s="528" t="n">
        <v>22</v>
      </c>
      <c r="AJ48" s="529" t="n">
        <v>13</v>
      </c>
      <c r="AK48" s="529" t="n">
        <v>9</v>
      </c>
      <c r="AL48" s="530" t="n">
        <v>22</v>
      </c>
      <c r="AM48" s="529" t="n">
        <v>9</v>
      </c>
      <c r="AN48" s="531" t="n">
        <v>13</v>
      </c>
      <c r="AO48" s="532"/>
      <c r="AP48" s="465" t="n">
        <f aca="false">(1+AO48/2)^(-2*BL48)</f>
        <v>1</v>
      </c>
      <c r="AQ48" s="532"/>
      <c r="AR48" s="465" t="n">
        <f aca="false">(1+AQ48/2)^(-2*BH48/365.25)</f>
        <v>1</v>
      </c>
      <c r="AS48" s="580" t="n">
        <f aca="false">(O49*AJ48+O50*AK48)/AI48</f>
        <v>0</v>
      </c>
      <c r="AT48" s="468" t="n">
        <f aca="false">O48*VLOOKUP(BF48,BrentVolTable,2)+VLOOKUP(BF48,BrentVolTable,3)</f>
        <v>0</v>
      </c>
      <c r="AU48" s="468" t="n">
        <f aca="false">(AT49*AM48+AT50*AN48)/AL48</f>
        <v>0</v>
      </c>
      <c r="AV48" s="595" t="n">
        <f aca="false">SQRT(MAX(0.000000000001,(O48^2*BH48-S48^2*(BH48-BH47))/BH47))</f>
        <v>0.0219361565097591</v>
      </c>
      <c r="AW48" s="451" t="n">
        <f aca="false">IF($I48-DateToday+15&gt;=$T$8,"",IF($I48-DateToday+15&lt;$T$5,1,MATCH($I48-DateToday+15,$T$5:$T$8)))</f>
        <v>1</v>
      </c>
      <c r="AX48" s="468" t="n">
        <f aca="false">IF($AW48="",AX47^2/AX46,INDEX(U$5:U$8,$AW48)^((INDEX($T$5:$T$8,$AW48+1)-($I48-DateToday+15))/(INDEX($T$5:$T$8,$AW48+1)-INDEX($T$5:$T$8,$AW48)))/INDEX(U$5:U$8,$AW48+1)^((INDEX($T$5:$T$8,$AW48)-($I48-DateToday+15))/(INDEX($T$5:$T$8,$AW48+1)-INDEX($T$5:$T$8,$AW48))))</f>
        <v>6.898273707311</v>
      </c>
      <c r="AY48" s="468" t="n">
        <f aca="false">IF($AW48="",AY47^2/AY46,INDEX(V$5:V$8,$AW48)^((INDEX($T$5:$T$8,$AW48+1)-($I48-DateToday+15))/(INDEX($T$5:$T$8,$AW48+1)-INDEX($T$5:$T$8,$AW48)))/INDEX(V$5:V$8,$AW48+1)^((INDEX($T$5:$T$8,$AW48)-($I48-DateToday+15))/(INDEX($T$5:$T$8,$AW48+1)-INDEX($T$5:$T$8,$AW48))))</f>
        <v>1604.41200089783</v>
      </c>
      <c r="AZ48" s="468" t="n">
        <f aca="false">IF($AW48="",AZ47^2/AZ46,INDEX(W$5:W$8,$AW48)^((INDEX($T$5:$T$8,$AW48+1)-($I48-DateToday+15))/(INDEX($T$5:$T$8,$AW48+1)-INDEX($T$5:$T$8,$AW48)))/INDEX(W$5:W$8,$AW48+1)^((INDEX($T$5:$T$8,$AW48)-($I48-DateToday+15))/(INDEX($T$5:$T$8,$AW48+1)-INDEX($T$5:$T$8,$AW48))))</f>
        <v>70016834.6769785</v>
      </c>
      <c r="BA48" s="468" t="n">
        <f aca="false">IF($AW48="",BA47^2/BA46,INDEX(X$5:X$8,$AW48)^((INDEX($T$5:$T$8,$AW48+1)-($I48-DateToday+15))/(INDEX($T$5:$T$8,$AW48+1)-INDEX($T$5:$T$8,$AW48)))/INDEX(X$5:X$8,$AW48+1)^((INDEX($T$5:$T$8,$AW48)-($I48-DateToday+15))/(INDEX($T$5:$T$8,$AW48+1)-INDEX($T$5:$T$8,$AW48))))</f>
        <v>5031200934.59728</v>
      </c>
      <c r="BB48" s="468" t="n">
        <f aca="false">IF($AW48="",BB47^2/BB46,INDEX(Y$5:Y$8,$AW48)^((INDEX($T$5:$T$8,$AW48+1)-($I48-DateToday+15))/(INDEX($T$5:$T$8,$AW48+1)-INDEX($T$5:$T$8,$AW48)))/INDEX(Y$5:Y$8,$AW48+1)^((INDEX($T$5:$T$8,$AW48)-($I48-DateToday+15))/(INDEX($T$5:$T$8,$AW48+1)-INDEX($T$5:$T$8,$AW48))))</f>
        <v>105428547804.161</v>
      </c>
      <c r="BC48" s="468" t="n">
        <f aca="false">IF($AW48="",BC47^2/BC46,INDEX(Z$5:Z$8,$AW48)^((INDEX($T$5:$T$8,$AW48+1)-($I48-DateToday+15))/(INDEX($T$5:$T$8,$AW48+1)-INDEX($T$5:$T$8,$AW48)))/INDEX(Z$5:Z$8,$AW48+1)^((INDEX($T$5:$T$8,$AW48)-($I48-DateToday+15))/(INDEX($T$5:$T$8,$AW48+1)-INDEX($T$5:$T$8,$AW48))))</f>
        <v>646585032047.893</v>
      </c>
      <c r="BD48" s="535" t="n">
        <f aca="false">IF(OR(DateStart&gt;=I49,DateEnd&lt;I48),0,IF(VolumeOverrideFlag,V48,Volume))</f>
        <v>0</v>
      </c>
      <c r="BE48" s="536" t="n">
        <f aca="false">IF(OR(DateStart2&gt;=I49,DateEnd2&lt;I48),0,IF(VolumeOverrideFlag,V48,VolumeSwaption))</f>
        <v>0</v>
      </c>
      <c r="BF48" s="537" t="n">
        <f aca="false">YEAR(I48)</f>
        <v>2003</v>
      </c>
      <c r="BG48" s="538" t="n">
        <f aca="false">MONTH(I48)</f>
        <v>1</v>
      </c>
      <c r="BH48" s="539" t="n">
        <f aca="false">AD48-DateToday+1</f>
        <v>-8319</v>
      </c>
      <c r="BI48" s="540" t="n">
        <f aca="false">(I48-DateToday+1)/365.25</f>
        <v>-22.7323750855578</v>
      </c>
      <c r="BJ48" s="541" t="n">
        <f aca="false">BI48+(BL48-BI48)*CHOOSE(Underlying,AJ48/AI48,AM48/AL48)</f>
        <v>-22.6838404579678</v>
      </c>
      <c r="BK48" s="541" t="n">
        <f aca="false">BJ48+1/365.25</f>
        <v>-22.6811026071806</v>
      </c>
      <c r="BL48" s="541" t="n">
        <f aca="false">(I49-DateToday)/365.25</f>
        <v>-22.6502395619439</v>
      </c>
      <c r="BM48" s="542" t="e">
        <f aca="false">MAX(BI48-(BJ48-BI48)*(S49^2/O49^2-1),0)</f>
        <v>#DIV/0!</v>
      </c>
      <c r="BN48" s="541" t="e">
        <f aca="false">MAX(BL48+(BL48-BK48)*(S50^2/O50^2-1),0)</f>
        <v>#DIV/0!</v>
      </c>
      <c r="BO48" s="530" t="n">
        <f aca="false">CHOOSE(Underlying,AI48,AL48)</f>
        <v>22</v>
      </c>
      <c r="BP48" s="529" t="n">
        <f aca="false">CHOOSE(Underlying,AJ48,AM48)</f>
        <v>13</v>
      </c>
      <c r="BQ48" s="529" t="n">
        <f aca="false">CHOOSE(Underlying,AK48,AN48)</f>
        <v>9</v>
      </c>
      <c r="BR48" s="463" t="str">
        <f aca="false">IF(BD48,IF(Underlying=1,X48,Z48)+UnderlyingPriceAsian-SwapPriceCurve,"")</f>
        <v/>
      </c>
      <c r="BS48" s="463" t="str">
        <f aca="false">IF(BD48,Strike1/BR48-1,"")</f>
        <v/>
      </c>
      <c r="BT48" s="464" t="str">
        <f aca="false">IF(BD48,Strike2/BR48-1,"")</f>
        <v/>
      </c>
      <c r="BU48" s="465" t="str">
        <f aca="false">IF(BD48,IF(Underlying=1,L49,R49)+UnderlyingPriceAsian-SwapPriceCurve,"")</f>
        <v/>
      </c>
      <c r="BV48" s="465" t="str">
        <f aca="false">IF(BD48,IF(Underlying=1,L50,R50)+UnderlyingPriceAsian-SwapPriceCurve,"")</f>
        <v/>
      </c>
      <c r="BW48" s="466" t="str">
        <f aca="false">IF(BD48,IF(Underlying=1,O49,AT49),"")</f>
        <v/>
      </c>
      <c r="BX48" s="467" t="str">
        <f aca="false">IF(BD48,IF(Underlying=1,O50,AT50),"")</f>
        <v/>
      </c>
      <c r="BY48" s="466" t="str">
        <f aca="false">IF(BD48,IF(BS48&gt;0,IF(BS48&gt;0.2,BC48-BB48,IF(BS48&gt;0.1,BB48-BA48,BA48)),IF(BS48&lt;-0.2,AX48-AY48,IF(BS48&lt;-0.1,AY48-AZ48,AZ48))),"")</f>
        <v/>
      </c>
      <c r="BZ48" s="467" t="str">
        <f aca="false">IF(BD48,IF(BT48&gt;0,IF(BT48&gt;0.2,BC48-BB48,IF(BT48&gt;0.1,BB48-BA48,BA48)),IF(BT48&lt;-0.2,AX48-AY48,IF(BT48&lt;-0.1,AY48-AZ48,AZ48))),"")</f>
        <v/>
      </c>
      <c r="CA48" s="468" t="str">
        <f aca="false">IF($BD48,$BW48+IF(VolSkewFlag=1,IF(BS48&gt;0,$BA48*MIN(BS48/10%,1)+($BB48-$BA48)*MAX(0,MIN(BS48/10%-1,1))+($BC48-$BB48)*MAX(0,BS48/10%-2),$AZ48*MIN(-BS48/10%,1)+($AY48-$AZ48)*MAX(0,MIN(-BS48/10%-1,1))+($AX48-$AY48)*MAX(0,-BS48/10%-2)),0),"")</f>
        <v/>
      </c>
      <c r="CB48" s="468" t="str">
        <f aca="false">IF($BD48,$BX48+IF(VolSkewFlag=1,IF(BS48&gt;0,$BA48*MIN(BS48/10%,1)+($BB48-$BA48)*MAX(0,MIN(BS48/10%-1,1))+($BC48-$BB48)*MAX(0,BS48/10%-2),$AZ48*MIN(-BS48/10%,1)+($AY48-$AZ48)*MAX(0,MIN(-BS48/10%-1,1))+($AX48-$AY48)*MAX(0,-BS48/10%-2)),0),"")</f>
        <v/>
      </c>
      <c r="CC48" s="468" t="str">
        <f aca="false">IF($BD48,$BW48+IF(VolSkewFlag=1,IF(BT48&gt;0,$BA48*MIN(BT48/10%,1)+($BB48-$BA48)*MAX(0,MIN(BT48/10%-1,1))+($BC48-$BB48)*MAX(0,BT48/10%-2),$AZ48*MIN(-BT48/10%,1)+($AY48-$AZ48)*MAX(0,MIN(-BT48/10%-1,1))+($AX48-$AY48)*MAX(0,-BT48/10%-2)),0),"")</f>
        <v/>
      </c>
      <c r="CD48" s="468" t="str">
        <f aca="false">IF($BD48,$BX48+IF(VolSkewFlag=1,IF(BT48&gt;0,$BA48*MIN(BT48/10%,1)+($BB48-$BA48)*MAX(0,MIN(BT48/10%-1,1))+($BC48-$BB48)*MAX(0,BT48/10%-2),$AZ48*MIN(-BT48/10%,1)+($AY48-$AZ48)*MAX(0,MIN(-BT48/10%-1,1))+($AX48-$AY48)*MAX(0,-BT48/10%-2)),0),"")</f>
        <v/>
      </c>
      <c r="CE48" s="469" t="n">
        <v>1</v>
      </c>
      <c r="CF48" s="470" t="n">
        <f aca="false">IF(BD48,xCrudeAPO(BU48,BV48,CA48,CB48,S49,S50,BI48,BL48,BP48,BQ48,0,Strike1,AO48,CE48,0,BL48,IF(OptControl=4,0,1),0,1),0)</f>
        <v>0</v>
      </c>
      <c r="CG48" s="470" t="n">
        <f aca="false">IF(BD48,xCrudeAPO(BU48,BV48,CA48,CB48,S49,S50,BI48,BL48,BP48,BQ48,0,Strike1,AO48,CE48,0,BL48,IF(OptControl=4,0,1),1,1)+xCrudeAPO(BU48,BV48,CA48,CB48,S49,S50,BI48,BL48,BP48,BQ48,0,Strike1,AO48,CE48,0,BL48,IF(OptControl=4,0,1),1,2)+IF(OR(VolSkewFlag=2,ABS(BS48)&lt;0.0001),0,IF(BS48&gt;0,-1,1)*CH48*Strike1/BR48^2*BY48/10%),0)</f>
        <v>0</v>
      </c>
      <c r="CH48" s="470" t="n">
        <f aca="false">IF(BD48,(xCrudeAPO(BU48,BV48,CA48,CB48,S49,S50,BI48,BL48,BP48,BQ48,0,Strike1,AO48,CE48,0,BL48,IF(OptControl=4,0,1),3,1)+xCrudeAPO(BU48,BV48,CA48,CB48,S49,S50,BI48,BL48,BP48,BQ48,0,Strike1,AO48,CE48,0,BL48,IF(OptControl=4,0,1),3,2))/100,0)</f>
        <v>0</v>
      </c>
      <c r="CI48" s="470" t="n">
        <f aca="false">IF(BD48,xCrudeAPO(BU48,BV48,CA48,CB48,S49,S50,BI48-DaysForThetaCalculation/365.25,BL48-DaysForThetaCalculation/365.25,BP48,BQ48,0,Strike1,AO48,CE48,0,BL48,IF(OptControl=4,0,1),0,1)-xCrudeAPO(BU48,BV48,CA48,CB48,S49,S50,BI48,BL48,BP48,BQ48,0,Strike1,AO48,CE48,0,BL48,IF(OptControl=4,0,1),0,1),0)</f>
        <v>0</v>
      </c>
      <c r="CJ48" s="471" t="n">
        <f aca="false">IF(BD48,xCrudeAPO(BU48,BV48,CC48,CD48,S49,S50,BI48,BL48,BP48,BQ48,0,Strike2,AO48,CE48,0,BL48,IF(OptControl=3,1,0),0,1),0)</f>
        <v>0</v>
      </c>
      <c r="CK48" s="470" t="n">
        <f aca="false">IF(BD48,xCrudeAPO(BU48,BV48,CC48,CD48,S49,S50,BI48,BL48,BP48,BQ48,0,Strike2,AO48,CE48,0,BL48,IF(OptControl=3,1,0),1,1)+xCrudeAPO(BU48,BV48,CC48,CD48,S49,S50,BI48,BL48,BP48,BQ48,0,Strike2,AO48,CE48,0,BL48,IF(OptControl=3,1,0),1,2)+IF(OR(VolSkewFlag=2,ABS(BT48)&lt;0.0001),0,IF(BT48&gt;0,-1,1)*CL48*Strike2/BR48^2*BZ48/10%),0)</f>
        <v>0</v>
      </c>
      <c r="CL48" s="470" t="n">
        <f aca="false">IF(BD48,(xCrudeAPO(BU48,BV48,CC48,CD48,S49,S50,BI48,BL48,BP48,BQ48,0,Strike2,AO48,CE48,0,BL48,IF(OptControl=3,1,0),3,1)+xCrudeAPO(BU48,BV48,CC48,CD48,S49,S50,BI48,BL48,BP48,BQ48,0,Strike2,AO48,CE48,0,BL48,IF(OptControl=3,1,0),3,2))/100,0)</f>
        <v>0</v>
      </c>
      <c r="CM48" s="472" t="n">
        <f aca="false">IF(BD48,xCrudeAPO(BU48,BV48,CC48,CD48,S49,S50,BI48-DaysForThetaCalculation/365.25,BL48-DaysForThetaCalculation/365.25,BP48,BQ48,0,Strike2,AO48,CE48,0,BL48,IF(OptControl=3,1,0),0,1)-xCrudeAPO(BU48,BV48,CC48,CD48,S49,S50,BI48,BL48,BP48,BQ48,0,Strike2,AO48,CE48,0,BL48,IF(OptControl=3,1,0),0,1),0)</f>
        <v>0</v>
      </c>
      <c r="CN48" s="3"/>
      <c r="CO48" s="543" t="str">
        <f aca="false">IF(BD48,CHOOSE(Underlying,AD48,AF48)-DateToday+1,"")</f>
        <v/>
      </c>
      <c r="CP48" s="582" t="str">
        <f aca="false">IF(BD48,CHOOSE(Underlying,L48,R48),"")</f>
        <v/>
      </c>
      <c r="CQ48" s="544" t="str">
        <f aca="false">IF(BD48,Strike1/CP48-1,"")</f>
        <v/>
      </c>
      <c r="CR48" s="544" t="str">
        <f aca="false">IF(BD48,Strike2/CP48-1,"")</f>
        <v/>
      </c>
      <c r="CS48" s="544" t="str">
        <f aca="false">IF(BD48,IF(CQ48&gt;0,IF(CQ48&gt;0.2,BC47-BB47,IF(CQ48&gt;0.1,BB47-BA47,BA47)),IF(CQ48&lt;-0.2,AX47-AY47,IF(CQ48&lt;-0.1,AY47-AZ47,AZ47))),"")</f>
        <v/>
      </c>
      <c r="CT48" s="544" t="str">
        <f aca="false">IF(BD48,IF(CR48&gt;0,IF(CR48&gt;0.2,BC47-BB47,IF(CR48&gt;0.1,BB47-BA47,BA47)),IF(CR48&lt;-0.2,AX47-AY47,IF(CR48&lt;-0.1,AY47-AZ47,AZ47))),"")</f>
        <v/>
      </c>
      <c r="CU48" s="545" t="str">
        <f aca="false">IF(BD48,CHOOSE(Underlying,O48,AT48),"")</f>
        <v/>
      </c>
      <c r="CV48" s="545" t="str">
        <f aca="false">IF(BD48,CU48+IF(VolSkewFlag=1,IF(CQ48&gt;0,BA47*MIN(CQ48/10%,1)+(BB47-BA47)*MAX(0,MIN(CQ48/10%-1,1))+(BC47-BB47)*MAX(0,CQ48/10%-2),AZ47*MIN(-CQ48/10%,1)+(AY47-AZ47)*MAX(0,MIN(-CQ48/10%-1,1))+(AX47-AY47)*MAX(0,-CQ48/10%-2)),0),"")</f>
        <v/>
      </c>
      <c r="CW48" s="545" t="str">
        <f aca="false">IF(BD48,CU48+IF(VolSkewFlag=1,IF(CR48&gt;0,BA47*MIN(CR48/10%,1)+(BB47-BA47)*MAX(0,MIN(CR48/10%-1,1))+(BC47-BB47)*MAX(0,CR48/10%-2),AZ47*MIN(-CR48/10%,1)+(AY47-AZ47)*MAX(0,MIN(-CR48/10%-1,1))+(AX47-AY47)*MAX(0,-CR48/10%-2)),0),"")</f>
        <v/>
      </c>
      <c r="CX48" s="470" t="n">
        <f aca="false">IF(BD48,EURO(CP48,Strike1,AO48,AO48,CV48,CO48,IF(OptControl=4,0,1),0),0)</f>
        <v>0</v>
      </c>
      <c r="CY48" s="470" t="n">
        <f aca="false">IF(BD48,EURO(CP48,Strike1,AO48,AO48,CV48,CO48,IF(OptControl=4,0,1),1)+IF(OR(VolSkewFlag=2,ABS(CQ48)&lt;0.0001),0,IF(CQ48&gt;0,-1,1)*CZ48*100*Strike1/CP48^2*CS48/10%),0)</f>
        <v>0</v>
      </c>
      <c r="CZ48" s="470" t="n">
        <f aca="false">IF(BD48,EURO(CP48,Strike1,AO48,AO48,CV48,CO48,IF(OptControl=4,0,1),3)/100,0)</f>
        <v>0</v>
      </c>
      <c r="DA48" s="470" t="n">
        <f aca="false">IF(BD48,EURO(CP48,Strike1,AO48,AO48,CV48,CO48,IF(OptControl=4,0,1),0)-EURO(CP48,Strike1,AO48,AO48,CV48,CO48-1,IF(OptControl=4,0,1),0),0)</f>
        <v>0</v>
      </c>
      <c r="DB48" s="470" t="n">
        <f aca="false">IF(BD48,EURO(CP48,Strike2,AO48,AO48,CW48,CO48,IF(OptControl=3,1,0),0),0)</f>
        <v>0</v>
      </c>
      <c r="DC48" s="470" t="n">
        <f aca="false">IF(BD48,EURO(CP48,Strike2,AO48,AO48,CW48,CO48,IF(OptControl=3,1,0),1)+IF(OR(VolSkewFlag=2,ABS(CR48)&lt;0.0001),0,IF(CR48&gt;0,-1,1)*DD48*100*Strike2/CP48^2*CT48/10%),0)</f>
        <v>0</v>
      </c>
      <c r="DD48" s="470" t="n">
        <f aca="false">IF(BD48,EURO(CP48,Strike2,AO48,AO48,CW48,CO48,IF(OptControl=3,1,0),3)/100,0)</f>
        <v>0</v>
      </c>
      <c r="DE48" s="472" t="n">
        <f aca="false">IF(BD48,EURO(CP48,Strike2,AO48,AO48,CW48,CO48,IF(OptControl=3,1,0),0)-EURO(CP48,Strike2,AO48,AO48,CW48,CO48-1,IF(OptControl=3,1,0),0),0)</f>
        <v>0</v>
      </c>
      <c r="DG48" s="481" t="n">
        <f aca="false">EOMONTH(DG47,0)+1</f>
        <v>46539</v>
      </c>
      <c r="DH48" s="478" t="n">
        <v>19.46</v>
      </c>
      <c r="DI48" s="479" t="n">
        <v>19.3646666666667</v>
      </c>
      <c r="DJ48" s="480" t="n">
        <f aca="false">DG48</f>
        <v>46539</v>
      </c>
      <c r="DK48" s="478" t="n">
        <v>18.36</v>
      </c>
      <c r="DL48" s="479" t="n">
        <v>18.2096666666667</v>
      </c>
      <c r="DM48" s="481" t="n">
        <f aca="false">DG48</f>
        <v>46539</v>
      </c>
      <c r="DN48" s="482" t="n">
        <f aca="false">DK48+BrentPhyBrentSpread</f>
        <v>18.41</v>
      </c>
      <c r="DO48" s="481" t="n">
        <f aca="false">DG48</f>
        <v>46539</v>
      </c>
      <c r="DP48" s="483" t="n">
        <f aca="false">DL48+DQ48</f>
        <v>18.2096666666667</v>
      </c>
      <c r="DQ48" s="546" t="n">
        <v>0</v>
      </c>
      <c r="DR48" s="480" t="n">
        <f aca="false">DG48</f>
        <v>46539</v>
      </c>
      <c r="DS48" s="485" t="n">
        <v>0.22282009498595</v>
      </c>
      <c r="DT48" s="486" t="n">
        <v>0.22041008487136</v>
      </c>
      <c r="DU48" s="480" t="n">
        <f aca="false">DG48</f>
        <v>46539</v>
      </c>
      <c r="DV48" s="485" t="n">
        <v>0.22282009498595</v>
      </c>
      <c r="DW48" s="486" t="n">
        <v>0.22041008487136</v>
      </c>
      <c r="DX48" s="481" t="n">
        <f aca="false">DG48</f>
        <v>46539</v>
      </c>
      <c r="DY48" s="486" t="n">
        <v>0.350000000596046</v>
      </c>
      <c r="DZ48" s="481" t="n">
        <f aca="false">DR48</f>
        <v>46539</v>
      </c>
      <c r="EA48" s="486" t="n">
        <f aca="false">DT48</f>
        <v>0.22041008487136</v>
      </c>
      <c r="EB48" s="195"/>
      <c r="EC48" s="547" t="str">
        <f aca="false">IF(BD48,IF(Underlying=1,AS48,AU48),"")</f>
        <v/>
      </c>
      <c r="ED48" s="548" t="str">
        <f aca="false">IF($BD48,$EC48+IF(VolSkewFlag=1,IF(BS48&gt;0,$BA48*MIN(BS48/10%,1)+($BB48-$BA48)*MAX(0,MIN(BS48/10%-1,1))+($BC48-$BB48)*MAX(0,BS48/10%-2),$AZ48*MIN(-BS48/10%,1)+($AY48-$AZ48)*MAX(0,MIN(-BS48/10%-1,1))+($AX48-$AY48)*MAX(0,-BS48/10%-2)),0),"")</f>
        <v/>
      </c>
      <c r="EE48" s="549" t="str">
        <f aca="false">IF($BD48,$EC48+IF(VolSkewFlag=1,IF(BT48&gt;0,$BA48*MIN(BT48/10%,1)+($BB48-$BA48)*MAX(0,MIN(BT48/10%-1,1))+($BC48-$BB48)*MAX(0,BT48/10%-2),$AZ48*MIN(-BT48/10%,1)+($AY48-$AZ48)*MAX(0,MIN(-BT48/10%-1,1))+($AX48-$AY48)*MAX(0,-BT48/10%-2)),0),"")</f>
        <v/>
      </c>
      <c r="EF48" s="550" t="n">
        <f aca="false">IF(BD48,xASN(BR48,Strike1,AO48,ED48,0,BO48,0,BI48,BL48,IF(OptControl=4,0,1),0),0)</f>
        <v>0</v>
      </c>
      <c r="EG48" s="551" t="n">
        <f aca="false">IF(BD48,xASN(BR48,Strike2,AO48,EE48,0,BO48,0,BI48,BL48,IF(OptControl=3,1,0),0),0)</f>
        <v>0</v>
      </c>
      <c r="EI48" s="583" t="str">
        <f aca="false">DDE("TWINDDE","RSFRecord","CLc29 MTH")</f>
        <v>JUN3</v>
      </c>
      <c r="EJ48" s="584" t="n">
        <f aca="false">DATEVALUE(CONCATENATE(LEFT(EI48,3),"-",IF(VALUE(RIGHT(EI48,1))=9,"1999",CONCATENATE("200",RIGHT(EI48,1)))))</f>
        <v>37773</v>
      </c>
      <c r="EK48" s="585" t="n">
        <f aca="false">DDE("TWINDDE","RSFRecord","CLc29 NET.CHNG")</f>
        <v>0</v>
      </c>
      <c r="EL48" s="586" t="n">
        <f aca="false">IF(ISNUMBER(VALUE(EK48)),VALUE(EK48)*100,0)</f>
        <v>0</v>
      </c>
      <c r="EM48" s="195"/>
      <c r="EN48" s="556" t="n">
        <v>39083</v>
      </c>
      <c r="EO48" s="557" t="n">
        <v>41640</v>
      </c>
      <c r="EP48" s="195"/>
      <c r="EQ48" s="407" t="s">
        <v>272</v>
      </c>
      <c r="ES48" s="587" t="n">
        <v>29</v>
      </c>
      <c r="ET48" s="559" t="n">
        <f aca="false">BH48/365.25</f>
        <v>-22.776180698152</v>
      </c>
      <c r="EU48" s="560" t="n">
        <f aca="false">O48^2*ET48</f>
        <v>-0</v>
      </c>
      <c r="EV48" s="588" t="e">
        <f aca="false">SQRT(SUM(FK48:ID48)/ET48)</f>
        <v>#VALUE!</v>
      </c>
      <c r="EW48" s="589" t="str">
        <f aca="false">IF(OR(DateStart2&gt;I47,DateEnd2&lt;I46),"",IF(DateStart2&lt;I47,AK46/AI46*AP46*BE46*SwaptionNumOfMonths/$D$33,0)+IF(DateEnd2&gt;I46,AJ47/AI47*AP47*BE47*SwaptionNumOfMonths/$D$33,0))</f>
        <v/>
      </c>
      <c r="EX48" s="590" t="str">
        <f aca="false">IF(EW48="","",SQRT(SUM(FK353:ID353)/SwaptionYearsToExp))</f>
        <v/>
      </c>
      <c r="EY48" s="129" t="n">
        <v>0</v>
      </c>
      <c r="EZ48" s="591" t="str">
        <f aca="false">IF(OR(EW48="",EW49=""),"",SQRT(SUM(INDEX(FK48:ID48,SwaptionFirstMonthPosition+1):INDEX(FK48:ID48,FJ48))/SUM(INDEX($FK$15:$ID$15,SwaptionFirstMonthPosition+1):INDEX($FK$15:$ID$15,FJ48))))</f>
        <v/>
      </c>
      <c r="FA48" s="592" t="str">
        <f aca="false">IF(OR(EW48="",EW47=""),"",SQRT(SUM(INDEX(FK48:ID48,SwaptionFirstMonthPosition+1):INDEX(FK48:ID48,FJ48-1))/SUM(INDEX($FK$15:$ID$15,SwaptionFirstMonthPosition+1):INDEX($FK$15:$ID$15,FJ48-1))))</f>
        <v/>
      </c>
      <c r="FB48" s="593" t="str">
        <f aca="false">IF(BE48,2/3*EZ49+1/3*FA50,"")</f>
        <v/>
      </c>
      <c r="FC48" s="596" t="str">
        <f aca="false">IF(BE48,(I49+I48-1)/2-DateToday,"")</f>
        <v/>
      </c>
      <c r="FD48" s="483" t="str">
        <f aca="false">IF(BE48,CHOOSE(Underlying,X48,Z48)+SwaptionUnderlyingPrice-$D$26,"")</f>
        <v/>
      </c>
      <c r="FE48" s="483" t="str">
        <f aca="false">IF(BE48,CollartionFloor/FD48-1,"")</f>
        <v/>
      </c>
      <c r="FF48" s="483" t="str">
        <f aca="false">IF(BE48,CollartionCap/FD48-1,"")</f>
        <v/>
      </c>
      <c r="FG48" s="485" t="str">
        <f aca="false">IF(BE48,IF(VolSkewFlag=1,IF(FE48&gt;0,$BA48*MIN(FE48/10%,1)+($BB48-$BA48)*MAX(0,MIN(FE48/10%-1,1))+($BC48-$BB48)*MAX(0,FE48/10%-2),$AZ48*MIN(-FE48/10%,1)+($AY48-$AZ48)*MAX(0,MIN(-FE48/10%-1,1))+($AX48-$AY48)*MAX(0,-FE48/10%-2)),0),"")</f>
        <v/>
      </c>
      <c r="FH48" s="486" t="str">
        <f aca="false">IF(BE48,IF(VolSkewFlag=1,IF(FF48&gt;0,$BA48*MIN(FF48/10%,1)+($BB48-$BA48)*MAX(0,MIN(FF48/10%-1,1))+($BC48-$BB48)*MAX(0,FF48/10%-2),$AZ48*MIN(-FF48/10%,1)+($AY48-$AZ48)*MAX(0,MIN(-FF48/10%-1,1))+($AX48-$AY48)*MAX(0,-FF48/10%-2)),0),"")</f>
        <v/>
      </c>
      <c r="FI48" s="129"/>
      <c r="FJ48" s="571" t="n">
        <v>29</v>
      </c>
      <c r="FK48" s="150" t="n">
        <f aca="false">IF(FK$19&gt;$FJ48,"",MAX(0,IF(FK$19=$FJ48,$S48^2*FK$15,FK47*INDEX($T$20:$T$91,$FJ48-FK$19)^2/INDEX($U$20:$U$91,$FJ48-FK$19))))</f>
        <v>0</v>
      </c>
      <c r="FL48" s="150" t="n">
        <f aca="false">IF(FL$19&gt;$FJ48,"",MAX(0,IF(FL$19=$FJ48,$S48^2*FL$15,FL47*INDEX($T$20:$T$91,$FJ48-FL$19)^2/INDEX($U$20:$U$91,$FJ48-FL$19))))</f>
        <v>0</v>
      </c>
      <c r="FM48" s="150" t="n">
        <f aca="false">IF(FM$19&gt;$FJ48,"",MAX(0,IF(FM$19=$FJ48,$S48^2*FM$15,FM47*INDEX($T$20:$T$91,$FJ48-FM$19)^2/INDEX($U$20:$U$91,$FJ48-FM$19))))</f>
        <v>0.00261491073208366</v>
      </c>
      <c r="FN48" s="150" t="n">
        <f aca="false">IF(FN$19&gt;$FJ48,"",MAX(0,IF(FN$19=$FJ48,$S48^2*FN$15,FN47*INDEX($T$20:$T$91,$FJ48-FN$19)^2/INDEX($U$20:$U$91,$FJ48-FN$19))))</f>
        <v>0.002210781707167</v>
      </c>
      <c r="FO48" s="150" t="n">
        <f aca="false">IF(FO$19&gt;$FJ48,"",MAX(0,IF(FO$19=$FJ48,$S48^2*FO$15,FO47*INDEX($T$20:$T$91,$FJ48-FO$19)^2/INDEX($U$20:$U$91,$FJ48-FO$19))))</f>
        <v>0.00231163494113417</v>
      </c>
      <c r="FP48" s="150" t="n">
        <f aca="false">IF(FP$19&gt;$FJ48,"",MAX(0,IF(FP$19=$FJ48,$S48^2*FP$15,FP47*INDEX($T$20:$T$91,$FJ48-FP$19)^2/INDEX($U$20:$U$91,$FJ48-FP$19))))</f>
        <v>0.0025773003811314</v>
      </c>
      <c r="FQ48" s="150" t="n">
        <f aca="false">IF(FQ$19&gt;$FJ48,"",MAX(0,IF(FQ$19=$FJ48,$S48^2*FQ$15,FQ47*INDEX($T$20:$T$91,$FJ48-FQ$19)^2/INDEX($U$20:$U$91,$FJ48-FQ$19))))</f>
        <v>0.0021016363411974</v>
      </c>
      <c r="FR48" s="150" t="n">
        <f aca="false">IF(FR$19&gt;$FJ48,"",MAX(0,IF(FR$19=$FJ48,$S48^2*FR$15,FR47*INDEX($T$20:$T$91,$FJ48-FR$19)^2/INDEX($U$20:$U$91,$FJ48-FR$19))))</f>
        <v>0.00216696597428572</v>
      </c>
      <c r="FS48" s="150" t="n">
        <f aca="false">IF(FS$19&gt;$FJ48,"",MAX(0,IF(FS$19=$FJ48,$S48^2*FS$15,FS47*INDEX($T$20:$T$91,$FJ48-FS$19)^2/INDEX($U$20:$U$91,$FJ48-FS$19))))</f>
        <v>0.00246615375064597</v>
      </c>
      <c r="FT48" s="150" t="n">
        <f aca="false">IF(FT$19&gt;$FJ48,"",MAX(0,IF(FT$19=$FJ48,$S48^2*FT$15,FT47*INDEX($T$20:$T$91,$FJ48-FT$19)^2/INDEX($U$20:$U$91,$FJ48-FT$19))))</f>
        <v>0.00225138744015685</v>
      </c>
      <c r="FU48" s="150" t="n">
        <f aca="false">IF(FU$19&gt;$FJ48,"",MAX(0,IF(FU$19=$FJ48,$S48^2*FU$15,FU47*INDEX($T$20:$T$91,$FJ48-FU$19)^2/INDEX($U$20:$U$91,$FJ48-FU$19))))</f>
        <v>0.00219376953121916</v>
      </c>
      <c r="FV48" s="150" t="n">
        <f aca="false">IF(FV$19&gt;$FJ48,"",MAX(0,IF(FV$19=$FJ48,$S48^2*FV$15,FV47*INDEX($T$20:$T$91,$FJ48-FV$19)^2/INDEX($U$20:$U$91,$FJ48-FV$19))))</f>
        <v>0.00244907310980019</v>
      </c>
      <c r="FW48" s="150" t="n">
        <f aca="false">IF(FW$19&gt;$FJ48,"",MAX(0,IF(FW$19=$FJ48,$S48^2*FW$15,FW47*INDEX($T$20:$T$91,$FJ48-FW$19)^2/INDEX($U$20:$U$91,$FJ48-FW$19))))</f>
        <v>0.00233159279660517</v>
      </c>
      <c r="FX48" s="150" t="n">
        <f aca="false">IF(FX$19&gt;$FJ48,"",MAX(0,IF(FX$19=$FJ48,$S48^2*FX$15,FX47*INDEX($T$20:$T$91,$FJ48-FX$19)^2/INDEX($U$20:$U$91,$FJ48-FX$19))))</f>
        <v>0.0025355628644742</v>
      </c>
      <c r="FY48" s="150" t="n">
        <f aca="false">IF(FY$19&gt;$FJ48,"",MAX(0,IF(FY$19=$FJ48,$S48^2*FY$15,FY47*INDEX($T$20:$T$91,$FJ48-FY$19)^2/INDEX($U$20:$U$91,$FJ48-FY$19))))</f>
        <v>0.00243392636393527</v>
      </c>
      <c r="FZ48" s="150" t="n">
        <f aca="false">IF(FZ$19&gt;$FJ48,"",MAX(0,IF(FZ$19=$FJ48,$S48^2*FZ$15,FZ47*INDEX($T$20:$T$91,$FJ48-FZ$19)^2/INDEX($U$20:$U$91,$FJ48-FZ$19))))</f>
        <v>0.00233718782096463</v>
      </c>
      <c r="GA48" s="150" t="n">
        <f aca="false">IF(GA$19&gt;$FJ48,"",MAX(0,IF(GA$19=$FJ48,$S48^2*GA$15,GA47*INDEX($T$20:$T$91,$FJ48-GA$19)^2/INDEX($U$20:$U$91,$FJ48-GA$19))))</f>
        <v>0.00259047218096505</v>
      </c>
      <c r="GB48" s="150" t="n">
        <f aca="false">IF(GB$19&gt;$FJ48,"",MAX(0,IF(GB$19=$FJ48,$S48^2*GB$15,GB47*INDEX($T$20:$T$91,$FJ48-GB$19)^2/INDEX($U$20:$U$91,$FJ48-GB$19))))</f>
        <v>0.0029663584194993</v>
      </c>
      <c r="GC48" s="150" t="n">
        <f aca="false">IF(GC$19&gt;$FJ48,"",MAX(0,IF(GC$19=$FJ48,$S48^2*GC$15,GC47*INDEX($T$20:$T$91,$FJ48-GC$19)^2/INDEX($U$20:$U$91,$FJ48-GC$19))))</f>
        <v>0.00273355554638608</v>
      </c>
      <c r="GD48" s="150" t="n">
        <f aca="false">IF(GD$19&gt;$FJ48,"",MAX(0,IF(GD$19=$FJ48,$S48^2*GD$15,GD47*INDEX($T$20:$T$91,$FJ48-GD$19)^2/INDEX($U$20:$U$91,$FJ48-GD$19))))</f>
        <v>0.00289099940596413</v>
      </c>
      <c r="GE48" s="150" t="n">
        <f aca="false">IF(GE$19&gt;$FJ48,"",MAX(0,IF(GE$19=$FJ48,$S48^2*GE$15,GE47*INDEX($T$20:$T$91,$FJ48-GE$19)^2/INDEX($U$20:$U$91,$FJ48-GE$19))))</f>
        <v>0.0035141892498369</v>
      </c>
      <c r="GF48" s="150" t="n">
        <f aca="false">IF(GF$19&gt;$FJ48,"",MAX(0,IF(GF$19=$FJ48,$S48^2*GF$15,GF47*INDEX($T$20:$T$91,$FJ48-GF$19)^2/INDEX($U$20:$U$91,$FJ48-GF$19))))</f>
        <v>0.00333797624505577</v>
      </c>
      <c r="GG48" s="150" t="n">
        <f aca="false">IF(GG$19&gt;$FJ48,"",MAX(0,IF(GG$19=$FJ48,$S48^2*GG$15,GG47*INDEX($T$20:$T$91,$FJ48-GG$19)^2/INDEX($U$20:$U$91,$FJ48-GG$19))))</f>
        <v>0.00403693065971593</v>
      </c>
      <c r="GH48" s="150" t="n">
        <f aca="false">IF(GH$19&gt;$FJ48,"",MAX(0,IF(GH$19=$FJ48,$S48^2*GH$15,GH47*INDEX($T$20:$T$91,$FJ48-GH$19)^2/INDEX($U$20:$U$91,$FJ48-GH$19))))</f>
        <v>0.00421698500504496</v>
      </c>
      <c r="GI48" s="150" t="n">
        <f aca="false">IF(GI$19&gt;$FJ48,"",MAX(0,IF(GI$19=$FJ48,$S48^2*GI$15,GI47*INDEX($T$20:$T$91,$FJ48-GI$19)^2/INDEX($U$20:$U$91,$FJ48-GI$19))))</f>
        <v>0.00463212683497067</v>
      </c>
      <c r="GJ48" s="150" t="n">
        <f aca="false">IF(GJ$19&gt;$FJ48,"",MAX(0,IF(GJ$19=$FJ48,$S48^2*GJ$15,GJ47*INDEX($T$20:$T$91,$FJ48-GJ$19)^2/INDEX($U$20:$U$91,$FJ48-GJ$19))))</f>
        <v>0.00613162556658526</v>
      </c>
      <c r="GK48" s="150" t="n">
        <f aca="false">IF(GK$19&gt;$FJ48,"",MAX(0,IF(GK$19=$FJ48,$S48^2*GK$15,GK47*INDEX($T$20:$T$91,$FJ48-GK$19)^2/INDEX($U$20:$U$91,$FJ48-GK$19))))</f>
        <v>0.00666916355937787</v>
      </c>
      <c r="GL48" s="150" t="n">
        <f aca="false">IF(GL$19&gt;$FJ48,"",MAX(0,IF(GL$19=$FJ48,$S48^2*GL$15,GL47*INDEX($T$20:$T$91,$FJ48-GL$19)^2/INDEX($U$20:$U$91,$FJ48-GL$19))))</f>
        <v>0.00797924668169323</v>
      </c>
      <c r="GM48" s="150" t="n">
        <f aca="false">IF(GM$19&gt;$FJ48,"",MAX(0,IF(GM$19=$FJ48,$S48^2*GM$15,GM47*INDEX($T$20:$T$91,$FJ48-GM$19)^2/INDEX($U$20:$U$91,$FJ48-GM$19))))</f>
        <v>0.0110006240553385</v>
      </c>
      <c r="GN48" s="150" t="str">
        <f aca="false">IF(GN$19&gt;$FJ48,"",MAX(0,IF(GN$19=$FJ48,$S48^2*GN$15,GN47*INDEX($T$20:$T$91,$FJ48-GN$19)^2/INDEX($U$20:$U$91,$FJ48-GN$19))))</f>
        <v/>
      </c>
      <c r="GO48" s="150" t="str">
        <f aca="false">IF(GO$19&gt;$FJ48,"",MAX(0,IF(GO$19=$FJ48,$S48^2*GO$15,GO47*INDEX($T$20:$T$91,$FJ48-GO$19)^2/INDEX($U$20:$U$91,$FJ48-GO$19))))</f>
        <v/>
      </c>
      <c r="GP48" s="150" t="str">
        <f aca="false">IF(GP$19&gt;$FJ48,"",MAX(0,IF(GP$19=$FJ48,$S48^2*GP$15,GP47*INDEX($T$20:$T$91,$FJ48-GP$19)^2/INDEX($U$20:$U$91,$FJ48-GP$19))))</f>
        <v/>
      </c>
      <c r="GQ48" s="150" t="str">
        <f aca="false">IF(GQ$19&gt;$FJ48,"",MAX(0,IF(GQ$19=$FJ48,$S48^2*GQ$15,GQ47*INDEX($T$20:$T$91,$FJ48-GQ$19)^2/INDEX($U$20:$U$91,$FJ48-GQ$19))))</f>
        <v/>
      </c>
      <c r="GR48" s="150" t="str">
        <f aca="false">IF(GR$19&gt;$FJ48,"",MAX(0,IF(GR$19=$FJ48,$S48^2*GR$15,GR47*INDEX($T$20:$T$91,$FJ48-GR$19)^2/INDEX($U$20:$U$91,$FJ48-GR$19))))</f>
        <v/>
      </c>
      <c r="GS48" s="150" t="str">
        <f aca="false">IF(GS$19&gt;$FJ48,"",MAX(0,IF(GS$19=$FJ48,$S48^2*GS$15,GS47*INDEX($T$20:$T$91,$FJ48-GS$19)^2/INDEX($U$20:$U$91,$FJ48-GS$19))))</f>
        <v/>
      </c>
      <c r="GT48" s="150" t="str">
        <f aca="false">IF(GT$19&gt;$FJ48,"",MAX(0,IF(GT$19=$FJ48,$S48^2*GT$15,GT47*INDEX($T$20:$T$91,$FJ48-GT$19)^2/INDEX($U$20:$U$91,$FJ48-GT$19))))</f>
        <v/>
      </c>
      <c r="GU48" s="150" t="str">
        <f aca="false">IF(GU$19&gt;$FJ48,"",MAX(0,IF(GU$19=$FJ48,$S48^2*GU$15,GU47*INDEX($T$20:$T$91,$FJ48-GU$19)^2/INDEX($U$20:$U$91,$FJ48-GU$19))))</f>
        <v/>
      </c>
      <c r="GV48" s="150" t="str">
        <f aca="false">IF(GV$19&gt;$FJ48,"",MAX(0,IF(GV$19=$FJ48,$S48^2*GV$15,GV47*INDEX($T$20:$T$91,$FJ48-GV$19)^2/INDEX($U$20:$U$91,$FJ48-GV$19))))</f>
        <v/>
      </c>
      <c r="GW48" s="150" t="str">
        <f aca="false">IF(GW$19&gt;$FJ48,"",MAX(0,IF(GW$19=$FJ48,$S48^2*GW$15,GW47*INDEX($T$20:$T$91,$FJ48-GW$19)^2/INDEX($U$20:$U$91,$FJ48-GW$19))))</f>
        <v/>
      </c>
      <c r="GX48" s="150" t="str">
        <f aca="false">IF(GX$19&gt;$FJ48,"",MAX(0,IF(GX$19=$FJ48,$S48^2*GX$15,GX47*INDEX($T$20:$T$91,$FJ48-GX$19)^2/INDEX($U$20:$U$91,$FJ48-GX$19))))</f>
        <v/>
      </c>
      <c r="GY48" s="150" t="str">
        <f aca="false">IF(GY$19&gt;$FJ48,"",MAX(0,IF(GY$19=$FJ48,$S48^2*GY$15,GY47*INDEX($T$20:$T$91,$FJ48-GY$19)^2/INDEX($U$20:$U$91,$FJ48-GY$19))))</f>
        <v/>
      </c>
      <c r="GZ48" s="150" t="str">
        <f aca="false">IF(GZ$19&gt;$FJ48,"",MAX(0,IF(GZ$19=$FJ48,$S48^2*GZ$15,GZ47*INDEX($T$20:$T$91,$FJ48-GZ$19)^2/INDEX($U$20:$U$91,$FJ48-GZ$19))))</f>
        <v/>
      </c>
      <c r="HA48" s="150" t="str">
        <f aca="false">IF(HA$19&gt;$FJ48,"",MAX(0,IF(HA$19=$FJ48,$S48^2*HA$15,HA47*INDEX($T$20:$T$91,$FJ48-HA$19)^2/INDEX($U$20:$U$91,$FJ48-HA$19))))</f>
        <v/>
      </c>
      <c r="HB48" s="150" t="str">
        <f aca="false">IF(HB$19&gt;$FJ48,"",MAX(0,IF(HB$19=$FJ48,$S48^2*HB$15,HB47*INDEX($T$20:$T$91,$FJ48-HB$19)^2/INDEX($U$20:$U$91,$FJ48-HB$19))))</f>
        <v/>
      </c>
      <c r="HC48" s="150" t="str">
        <f aca="false">IF(HC$19&gt;$FJ48,"",MAX(0,IF(HC$19=$FJ48,$S48^2*HC$15,HC47*INDEX($T$20:$T$91,$FJ48-HC$19)^2/INDEX($U$20:$U$91,$FJ48-HC$19))))</f>
        <v/>
      </c>
      <c r="HD48" s="150" t="str">
        <f aca="false">IF(HD$19&gt;$FJ48,"",MAX(0,IF(HD$19=$FJ48,$S48^2*HD$15,HD47*INDEX($T$20:$T$91,$FJ48-HD$19)^2/INDEX($U$20:$U$91,$FJ48-HD$19))))</f>
        <v/>
      </c>
      <c r="HE48" s="150" t="str">
        <f aca="false">IF(HE$19&gt;$FJ48,"",MAX(0,IF(HE$19=$FJ48,$S48^2*HE$15,HE47*INDEX($T$20:$T$91,$FJ48-HE$19)^2/INDEX($U$20:$U$91,$FJ48-HE$19))))</f>
        <v/>
      </c>
      <c r="HF48" s="150" t="str">
        <f aca="false">IF(HF$19&gt;$FJ48,"",MAX(0,IF(HF$19=$FJ48,$S48^2*HF$15,HF47*INDEX($T$20:$T$91,$FJ48-HF$19)^2/INDEX($U$20:$U$91,$FJ48-HF$19))))</f>
        <v/>
      </c>
      <c r="HG48" s="150" t="str">
        <f aca="false">IF(HG$19&gt;$FJ48,"",MAX(0,IF(HG$19=$FJ48,$S48^2*HG$15,HG47*INDEX($T$20:$T$91,$FJ48-HG$19)^2/INDEX($U$20:$U$91,$FJ48-HG$19))))</f>
        <v/>
      </c>
      <c r="HH48" s="150" t="str">
        <f aca="false">IF(HH$19&gt;$FJ48,"",MAX(0,IF(HH$19=$FJ48,$S48^2*HH$15,HH47*INDEX($T$20:$T$91,$FJ48-HH$19)^2/INDEX($U$20:$U$91,$FJ48-HH$19))))</f>
        <v/>
      </c>
      <c r="HI48" s="150" t="str">
        <f aca="false">IF(HI$19&gt;$FJ48,"",MAX(0,IF(HI$19=$FJ48,$S48^2*HI$15,HI47*INDEX($T$20:$T$91,$FJ48-HI$19)^2/INDEX($U$20:$U$91,$FJ48-HI$19))))</f>
        <v/>
      </c>
      <c r="HJ48" s="150" t="str">
        <f aca="false">IF(HJ$19&gt;$FJ48,"",MAX(0,IF(HJ$19=$FJ48,$S48^2*HJ$15,HJ47*INDEX($T$20:$T$91,$FJ48-HJ$19)^2/INDEX($U$20:$U$91,$FJ48-HJ$19))))</f>
        <v/>
      </c>
      <c r="HK48" s="150" t="str">
        <f aca="false">IF(HK$19&gt;$FJ48,"",MAX(0,IF(HK$19=$FJ48,$S48^2*HK$15,HK47*INDEX($T$20:$T$91,$FJ48-HK$19)^2/INDEX($U$20:$U$91,$FJ48-HK$19))))</f>
        <v/>
      </c>
      <c r="HL48" s="150" t="str">
        <f aca="false">IF(HL$19&gt;$FJ48,"",MAX(0,IF(HL$19=$FJ48,$S48^2*HL$15,HL47*INDEX($T$20:$T$91,$FJ48-HL$19)^2/INDEX($U$20:$U$91,$FJ48-HL$19))))</f>
        <v/>
      </c>
      <c r="HM48" s="150" t="str">
        <f aca="false">IF(HM$19&gt;$FJ48,"",MAX(0,IF(HM$19=$FJ48,$S48^2*HM$15,HM47*INDEX($T$20:$T$91,$FJ48-HM$19)^2/INDEX($U$20:$U$91,$FJ48-HM$19))))</f>
        <v/>
      </c>
      <c r="HN48" s="150" t="str">
        <f aca="false">IF(HN$19&gt;$FJ48,"",MAX(0,IF(HN$19=$FJ48,$S48^2*HN$15,HN47*INDEX($T$20:$T$91,$FJ48-HN$19)^2/INDEX($U$20:$U$91,$FJ48-HN$19))))</f>
        <v/>
      </c>
      <c r="HO48" s="150" t="str">
        <f aca="false">IF(HO$19&gt;$FJ48,"",MAX(0,IF(HO$19=$FJ48,$S48^2*HO$15,HO47*INDEX($T$20:$T$91,$FJ48-HO$19)^2/INDEX($U$20:$U$91,$FJ48-HO$19))))</f>
        <v/>
      </c>
      <c r="HP48" s="150" t="str">
        <f aca="false">IF(HP$19&gt;$FJ48,"",MAX(0,IF(HP$19=$FJ48,$S48^2*HP$15,HP47*INDEX($T$20:$T$91,$FJ48-HP$19)^2/INDEX($U$20:$U$91,$FJ48-HP$19))))</f>
        <v/>
      </c>
      <c r="HQ48" s="150" t="str">
        <f aca="false">IF(HQ$19&gt;$FJ48,"",MAX(0,IF(HQ$19=$FJ48,$S48^2*HQ$15,HQ47*INDEX($T$20:$T$91,$FJ48-HQ$19)^2/INDEX($U$20:$U$91,$FJ48-HQ$19))))</f>
        <v/>
      </c>
      <c r="HR48" s="150" t="str">
        <f aca="false">IF(HR$19&gt;$FJ48,"",MAX(0,IF(HR$19=$FJ48,$S48^2*HR$15,HR47*INDEX($T$20:$T$91,$FJ48-HR$19)^2/INDEX($U$20:$U$91,$FJ48-HR$19))))</f>
        <v/>
      </c>
      <c r="HS48" s="150" t="str">
        <f aca="false">IF(HS$19&gt;$FJ48,"",MAX(0,IF(HS$19=$FJ48,$S48^2*HS$15,HS47*INDEX($T$20:$T$91,$FJ48-HS$19)^2/INDEX($U$20:$U$91,$FJ48-HS$19))))</f>
        <v/>
      </c>
      <c r="HT48" s="150" t="str">
        <f aca="false">IF(HT$19&gt;$FJ48,"",MAX(0,IF(HT$19=$FJ48,$S48^2*HT$15,HT47*INDEX($T$20:$T$91,$FJ48-HT$19)^2/INDEX($U$20:$U$91,$FJ48-HT$19))))</f>
        <v/>
      </c>
      <c r="HU48" s="150" t="str">
        <f aca="false">IF(HU$19&gt;$FJ48,"",MAX(0,IF(HU$19=$FJ48,$S48^2*HU$15,HU47*INDEX($T$20:$T$91,$FJ48-HU$19)^2/INDEX($U$20:$U$91,$FJ48-HU$19))))</f>
        <v/>
      </c>
      <c r="HV48" s="150" t="str">
        <f aca="false">IF(HV$19&gt;$FJ48,"",MAX(0,IF(HV$19=$FJ48,$S48^2*HV$15,HV47*INDEX($T$20:$T$91,$FJ48-HV$19)^2/INDEX($U$20:$U$91,$FJ48-HV$19))))</f>
        <v/>
      </c>
      <c r="HW48" s="150" t="str">
        <f aca="false">IF(HW$19&gt;$FJ48,"",MAX(0,IF(HW$19=$FJ48,$S48^2*HW$15,HW47*INDEX($T$20:$T$91,$FJ48-HW$19)^2/INDEX($U$20:$U$91,$FJ48-HW$19))))</f>
        <v/>
      </c>
      <c r="HX48" s="150" t="str">
        <f aca="false">IF(HX$19&gt;$FJ48,"",MAX(0,IF(HX$19=$FJ48,$S48^2*HX$15,HX47*INDEX($T$20:$T$91,$FJ48-HX$19)^2/INDEX($U$20:$U$91,$FJ48-HX$19))))</f>
        <v/>
      </c>
      <c r="HY48" s="150" t="str">
        <f aca="false">IF(HY$19&gt;$FJ48,"",MAX(0,IF(HY$19=$FJ48,$S48^2*HY$15,HY47*INDEX($T$20:$T$91,$FJ48-HY$19)^2/INDEX($U$20:$U$91,$FJ48-HY$19))))</f>
        <v/>
      </c>
      <c r="HZ48" s="150" t="str">
        <f aca="false">IF(HZ$19&gt;$FJ48,"",MAX(0,IF(HZ$19=$FJ48,$S48^2*HZ$15,HZ47*INDEX($T$20:$T$91,$FJ48-HZ$19)^2/INDEX($U$20:$U$91,$FJ48-HZ$19))))</f>
        <v/>
      </c>
      <c r="IA48" s="150" t="str">
        <f aca="false">IF(IA$19&gt;$FJ48,"",MAX(0,IF(IA$19=$FJ48,$S48^2*IA$15,IA47*INDEX($T$20:$T$91,$FJ48-IA$19)^2/INDEX($U$20:$U$91,$FJ48-IA$19))))</f>
        <v/>
      </c>
      <c r="IB48" s="150" t="str">
        <f aca="false">IF(IB$19&gt;$FJ48,"",MAX(0,IF(IB$19=$FJ48,$S48^2*IB$15,IB47*INDEX($T$20:$T$91,$FJ48-IB$19)^2/INDEX($U$20:$U$91,$FJ48-IB$19))))</f>
        <v/>
      </c>
      <c r="IC48" s="150" t="str">
        <f aca="false">IF(IC$19&gt;$FJ48,"",MAX(0,IF(IC$19=$FJ48,$S48^2*IC$15,IC47*INDEX($T$20:$T$91,$FJ48-IC$19)^2/INDEX($U$20:$U$91,$FJ48-IC$19))))</f>
        <v/>
      </c>
      <c r="ID48" s="572" t="str">
        <f aca="false">IF(ID$19&gt;$FJ48,"",MAX(0,IF(ID$19=$FJ48,$S48^2*ID$15,ID47*INDEX($T$20:$T$91,$FJ48-ID$19)^2/INDEX($U$20:$U$91,$FJ48-ID$19))))</f>
        <v/>
      </c>
      <c r="IE48" s="129"/>
    </row>
    <row r="49" customFormat="false" ht="14.25" hidden="false" customHeight="true" outlineLevel="0" collapsed="false">
      <c r="A49" s="219"/>
      <c r="B49" s="219"/>
      <c r="C49" s="219"/>
      <c r="D49" s="219"/>
      <c r="E49" s="219"/>
      <c r="F49" s="219"/>
      <c r="G49" s="219"/>
      <c r="H49" s="219" t="n">
        <f aca="false">VLOOKUP(I49,$EJ$20:$EL$54,3)</f>
        <v>0</v>
      </c>
      <c r="I49" s="511" t="n">
        <f aca="false">EOMONTH(I48,0)+1</f>
        <v>37653</v>
      </c>
      <c r="J49" s="512"/>
      <c r="K49" s="513" t="s">
        <v>250</v>
      </c>
      <c r="L49" s="514" t="e">
        <f aca="false">IF(ISNUMBER(K49),J49+K49/100,IF(K49="extra",L48+VLOOKUP(BF49,PriceSpreadTable,2)/12,IF(K49="inter",interpolateprices($K$19:$L$200,ROW(K49)-ROW(FirstPricingMonth)+1),interpolatechanges($J$19:$K$200,ROW(K49)-ROW(FirstPricingMonth)+1))))</f>
        <v>#VALUE!</v>
      </c>
      <c r="M49" s="515"/>
      <c r="N49" s="516" t="n">
        <v>0</v>
      </c>
      <c r="O49" s="515" t="n">
        <f aca="false">M49+N49</f>
        <v>0</v>
      </c>
      <c r="P49" s="512"/>
      <c r="Q49" s="517" t="s">
        <v>250</v>
      </c>
      <c r="R49" s="512" t="e">
        <f aca="false">IF(ISNUMBER(Q49),P49+Q49/100,IF(Q49="extra",(Z47*AL47-R48*AM47)/AN47,IF(Q49="inter",interpolateprices($Q$19:$R$260,ROW(Q49)-ROW(FirstPricingMonth)+1),interpolatechanges($P$19:$Q$260,ROW(Q49)-ROW(FirstPricingMonth)+1))))</f>
        <v>#VALUE!</v>
      </c>
      <c r="S49" s="597" t="n">
        <f aca="false">S$19+(S48-S$19)*S$18</f>
        <v>0.360012699170857</v>
      </c>
      <c r="T49" s="575" t="n">
        <f aca="false">SQRT((1-(1-T48^2/U48)*T$18)*U49)</f>
        <v>0.998802124798513</v>
      </c>
      <c r="U49" s="576" t="n">
        <f aca="false">1-(1-U48)*U$18</f>
        <v>0.999996428358197</v>
      </c>
      <c r="V49" s="521" t="n">
        <v>0</v>
      </c>
      <c r="W49" s="577" t="n">
        <f aca="false">(J50*AJ49+J51*AK49)/AI49</f>
        <v>0</v>
      </c>
      <c r="X49" s="578" t="e">
        <f aca="false">(L50*AJ49+L51*AK49)/AI49</f>
        <v>#VALUE!</v>
      </c>
      <c r="Y49" s="579" t="n">
        <f aca="false">IF(Q51="extra",W49-AA49,(P50*AM49+P51*AN49)/AL49)</f>
        <v>0</v>
      </c>
      <c r="Z49" s="579" t="e">
        <f aca="false">IF(Q51="extra",X49-AB49,(R50*AM49+R51*AN49)/AL49)</f>
        <v>#VALUE!</v>
      </c>
      <c r="AA49" s="523" t="n">
        <f aca="false">IF(Q51="extra",INDEX(BrentSeasonalityTable,INT((BG49-1)/3)+1)*VLOOKUP(MAX(BF49,$AB$4),PriceSpreadTable,3),W49-Y49)</f>
        <v>0</v>
      </c>
      <c r="AB49" s="524" t="e">
        <f aca="false">IF(Q51="extra",INDEX(BrentSeasonalityTable,INT((BG49-1)/3)+1)*VLOOKUP(MAX(BF49,$AB$4),PriceSpreadTable,3),X49-Z49)</f>
        <v>#VALUE!</v>
      </c>
      <c r="AC49" s="525" t="n">
        <v>37641</v>
      </c>
      <c r="AD49" s="646" t="n">
        <v>37637</v>
      </c>
      <c r="AE49" s="646" t="n">
        <v>37636</v>
      </c>
      <c r="AF49" s="646" t="n">
        <v>37632</v>
      </c>
      <c r="AG49" s="438" t="s">
        <v>247</v>
      </c>
      <c r="AH49" s="439" t="s">
        <v>247</v>
      </c>
      <c r="AI49" s="528" t="n">
        <v>20</v>
      </c>
      <c r="AJ49" s="529" t="n">
        <v>14</v>
      </c>
      <c r="AK49" s="529" t="n">
        <v>6</v>
      </c>
      <c r="AL49" s="530" t="n">
        <v>20</v>
      </c>
      <c r="AM49" s="529" t="n">
        <v>10</v>
      </c>
      <c r="AN49" s="531" t="n">
        <v>10</v>
      </c>
      <c r="AO49" s="532"/>
      <c r="AP49" s="465" t="n">
        <f aca="false">(1+AO49/2)^(-2*BL49)</f>
        <v>1</v>
      </c>
      <c r="AQ49" s="532"/>
      <c r="AR49" s="465" t="n">
        <f aca="false">(1+AQ49/2)^(-2*BH49/365.25)</f>
        <v>1</v>
      </c>
      <c r="AS49" s="580" t="n">
        <f aca="false">(O50*AJ49+O51*AK49)/AI49</f>
        <v>0</v>
      </c>
      <c r="AT49" s="468" t="n">
        <f aca="false">O49*VLOOKUP(BF49,BrentVolTable,2)+VLOOKUP(BF49,BrentVolTable,3)</f>
        <v>0</v>
      </c>
      <c r="AU49" s="468" t="n">
        <f aca="false">(AT50*AM49+AT51*AN49)/AL49</f>
        <v>0</v>
      </c>
      <c r="AV49" s="595" t="n">
        <f aca="false">SQRT(MAX(0.000000000001,(O49^2*BH49-S49^2*(BH49-BH48))/BH48))</f>
        <v>0.021976731650582</v>
      </c>
      <c r="AW49" s="451" t="n">
        <f aca="false">IF($I49-DateToday+15&gt;=$T$8,"",IF($I49-DateToday+15&lt;$T$5,1,MATCH($I49-DateToday+15,$T$5:$T$8)))</f>
        <v>1</v>
      </c>
      <c r="AX49" s="468" t="n">
        <f aca="false">IF($AW49="",AX48^2/AX47,INDEX(U$5:U$8,$AW49)^((INDEX($T$5:$T$8,$AW49+1)-($I49-DateToday+15))/(INDEX($T$5:$T$8,$AW49+1)-INDEX($T$5:$T$8,$AW49)))/INDEX(U$5:U$8,$AW49+1)^((INDEX($T$5:$T$8,$AW49)-($I49-DateToday+15))/(INDEX($T$5:$T$8,$AW49+1)-INDEX($T$5:$T$8,$AW49))))</f>
        <v>6.74969073221813</v>
      </c>
      <c r="AY49" s="468" t="n">
        <f aca="false">IF($AW49="",AY48^2/AY47,INDEX(V$5:V$8,$AW49)^((INDEX($T$5:$T$8,$AW49+1)-($I49-DateToday+15))/(INDEX($T$5:$T$8,$AW49+1)-INDEX($T$5:$T$8,$AW49)))/INDEX(V$5:V$8,$AW49+1)^((INDEX($T$5:$T$8,$AW49)-($I49-DateToday+15))/(INDEX($T$5:$T$8,$AW49+1)-INDEX($T$5:$T$8,$AW49))))</f>
        <v>1537.01957371664</v>
      </c>
      <c r="AZ49" s="468" t="n">
        <f aca="false">IF($AW49="",AZ48^2/AZ47,INDEX(W$5:W$8,$AW49)^((INDEX($T$5:$T$8,$AW49+1)-($I49-DateToday+15))/(INDEX($T$5:$T$8,$AW49+1)-INDEX($T$5:$T$8,$AW49)))/INDEX(W$5:W$8,$AW49+1)^((INDEX($T$5:$T$8,$AW49)-($I49-DateToday+15))/(INDEX($T$5:$T$8,$AW49+1)-INDEX($T$5:$T$8,$AW49))))</f>
        <v>64388792.3529179</v>
      </c>
      <c r="BA49" s="468" t="n">
        <f aca="false">IF($AW49="",BA48^2/BA47,INDEX(X$5:X$8,$AW49)^((INDEX($T$5:$T$8,$AW49+1)-($I49-DateToday+15))/(INDEX($T$5:$T$8,$AW49+1)-INDEX($T$5:$T$8,$AW49)))/INDEX(X$5:X$8,$AW49+1)^((INDEX($T$5:$T$8,$AW49)-($I49-DateToday+15))/(INDEX($T$5:$T$8,$AW49+1)-INDEX($T$5:$T$8,$AW49))))</f>
        <v>4527129531.28339</v>
      </c>
      <c r="BB49" s="468" t="n">
        <f aca="false">IF($AW49="",BB48^2/BB47,INDEX(Y$5:Y$8,$AW49)^((INDEX($T$5:$T$8,$AW49+1)-($I49-DateToday+15))/(INDEX($T$5:$T$8,$AW49+1)-INDEX($T$5:$T$8,$AW49)))/INDEX(Y$5:Y$8,$AW49+1)^((INDEX($T$5:$T$8,$AW49)-($I49-DateToday+15))/(INDEX($T$5:$T$8,$AW49+1)-INDEX($T$5:$T$8,$AW49))))</f>
        <v>93914004890.6965</v>
      </c>
      <c r="BC49" s="468" t="n">
        <f aca="false">IF($AW49="",BC48^2/BC47,INDEX(Z$5:Z$8,$AW49)^((INDEX($T$5:$T$8,$AW49+1)-($I49-DateToday+15))/(INDEX($T$5:$T$8,$AW49+1)-INDEX($T$5:$T$8,$AW49)))/INDEX(Z$5:Z$8,$AW49+1)^((INDEX($T$5:$T$8,$AW49)-($I49-DateToday+15))/(INDEX($T$5:$T$8,$AW49+1)-INDEX($T$5:$T$8,$AW49))))</f>
        <v>572623713522.591</v>
      </c>
      <c r="BD49" s="535" t="n">
        <f aca="false">IF(OR(DateStart&gt;=I50,DateEnd&lt;I49),0,IF(VolumeOverrideFlag,V49,Volume))</f>
        <v>0</v>
      </c>
      <c r="BE49" s="536" t="n">
        <f aca="false">IF(OR(DateStart2&gt;=I50,DateEnd2&lt;I49),0,IF(VolumeOverrideFlag,V49,VolumeSwaption))</f>
        <v>0</v>
      </c>
      <c r="BF49" s="537" t="n">
        <f aca="false">YEAR(I49)</f>
        <v>2003</v>
      </c>
      <c r="BG49" s="538" t="n">
        <f aca="false">MONTH(I49)</f>
        <v>2</v>
      </c>
      <c r="BH49" s="539" t="n">
        <f aca="false">AD49-DateToday+1</f>
        <v>-8288</v>
      </c>
      <c r="BI49" s="540" t="n">
        <f aca="false">(I49-DateToday+1)/365.25</f>
        <v>-22.6475017111567</v>
      </c>
      <c r="BJ49" s="541" t="n">
        <f aca="false">BI49+(BL49-BI49)*CHOOSE(Underlying,AJ49/AI49,AM49/AL49)</f>
        <v>-22.5957563312799</v>
      </c>
      <c r="BK49" s="541" t="n">
        <f aca="false">BJ49+1/365.25</f>
        <v>-22.5930184804928</v>
      </c>
      <c r="BL49" s="541" t="n">
        <f aca="false">(I50-DateToday)/365.25</f>
        <v>-22.5735797399042</v>
      </c>
      <c r="BM49" s="542" t="e">
        <f aca="false">MAX(BI49-(BJ49-BI49)*(S50^2/O50^2-1),0)</f>
        <v>#DIV/0!</v>
      </c>
      <c r="BN49" s="541" t="e">
        <f aca="false">MAX(BL49+(BL49-BK49)*(S51^2/O51^2-1),0)</f>
        <v>#DIV/0!</v>
      </c>
      <c r="BO49" s="530" t="n">
        <f aca="false">CHOOSE(Underlying,AI49,AL49)</f>
        <v>20</v>
      </c>
      <c r="BP49" s="529" t="n">
        <f aca="false">CHOOSE(Underlying,AJ49,AM49)</f>
        <v>14</v>
      </c>
      <c r="BQ49" s="529" t="n">
        <f aca="false">CHOOSE(Underlying,AK49,AN49)</f>
        <v>6</v>
      </c>
      <c r="BR49" s="463" t="str">
        <f aca="false">IF(BD49,IF(Underlying=1,X49,Z49)+UnderlyingPriceAsian-SwapPriceCurve,"")</f>
        <v/>
      </c>
      <c r="BS49" s="463" t="str">
        <f aca="false">IF(BD49,Strike1/BR49-1,"")</f>
        <v/>
      </c>
      <c r="BT49" s="464" t="str">
        <f aca="false">IF(BD49,Strike2/BR49-1,"")</f>
        <v/>
      </c>
      <c r="BU49" s="465" t="str">
        <f aca="false">IF(BD49,IF(Underlying=1,L50,R50)+UnderlyingPriceAsian-SwapPriceCurve,"")</f>
        <v/>
      </c>
      <c r="BV49" s="465" t="str">
        <f aca="false">IF(BD49,IF(Underlying=1,L51,R51)+UnderlyingPriceAsian-SwapPriceCurve,"")</f>
        <v/>
      </c>
      <c r="BW49" s="466" t="str">
        <f aca="false">IF(BD49,IF(Underlying=1,O50,AT50),"")</f>
        <v/>
      </c>
      <c r="BX49" s="467" t="str">
        <f aca="false">IF(BD49,IF(Underlying=1,O51,AT51),"")</f>
        <v/>
      </c>
      <c r="BY49" s="466" t="str">
        <f aca="false">IF(BD49,IF(BS49&gt;0,IF(BS49&gt;0.2,BC49-BB49,IF(BS49&gt;0.1,BB49-BA49,BA49)),IF(BS49&lt;-0.2,AX49-AY49,IF(BS49&lt;-0.1,AY49-AZ49,AZ49))),"")</f>
        <v/>
      </c>
      <c r="BZ49" s="467" t="str">
        <f aca="false">IF(BD49,IF(BT49&gt;0,IF(BT49&gt;0.2,BC49-BB49,IF(BT49&gt;0.1,BB49-BA49,BA49)),IF(BT49&lt;-0.2,AX49-AY49,IF(BT49&lt;-0.1,AY49-AZ49,AZ49))),"")</f>
        <v/>
      </c>
      <c r="CA49" s="468" t="str">
        <f aca="false">IF($BD49,$BW49+IF(VolSkewFlag=1,IF(BS49&gt;0,$BA49*MIN(BS49/10%,1)+($BB49-$BA49)*MAX(0,MIN(BS49/10%-1,1))+($BC49-$BB49)*MAX(0,BS49/10%-2),$AZ49*MIN(-BS49/10%,1)+($AY49-$AZ49)*MAX(0,MIN(-BS49/10%-1,1))+($AX49-$AY49)*MAX(0,-BS49/10%-2)),0),"")</f>
        <v/>
      </c>
      <c r="CB49" s="468" t="str">
        <f aca="false">IF($BD49,$BX49+IF(VolSkewFlag=1,IF(BS49&gt;0,$BA49*MIN(BS49/10%,1)+($BB49-$BA49)*MAX(0,MIN(BS49/10%-1,1))+($BC49-$BB49)*MAX(0,BS49/10%-2),$AZ49*MIN(-BS49/10%,1)+($AY49-$AZ49)*MAX(0,MIN(-BS49/10%-1,1))+($AX49-$AY49)*MAX(0,-BS49/10%-2)),0),"")</f>
        <v/>
      </c>
      <c r="CC49" s="468" t="str">
        <f aca="false">IF($BD49,$BW49+IF(VolSkewFlag=1,IF(BT49&gt;0,$BA49*MIN(BT49/10%,1)+($BB49-$BA49)*MAX(0,MIN(BT49/10%-1,1))+($BC49-$BB49)*MAX(0,BT49/10%-2),$AZ49*MIN(-BT49/10%,1)+($AY49-$AZ49)*MAX(0,MIN(-BT49/10%-1,1))+($AX49-$AY49)*MAX(0,-BT49/10%-2)),0),"")</f>
        <v/>
      </c>
      <c r="CD49" s="468" t="str">
        <f aca="false">IF($BD49,$BX49+IF(VolSkewFlag=1,IF(BT49&gt;0,$BA49*MIN(BT49/10%,1)+($BB49-$BA49)*MAX(0,MIN(BT49/10%-1,1))+($BC49-$BB49)*MAX(0,BT49/10%-2),$AZ49*MIN(-BT49/10%,1)+($AY49-$AZ49)*MAX(0,MIN(-BT49/10%-1,1))+($AX49-$AY49)*MAX(0,-BT49/10%-2)),0),"")</f>
        <v/>
      </c>
      <c r="CE49" s="469" t="n">
        <v>1</v>
      </c>
      <c r="CF49" s="470" t="n">
        <f aca="false">IF(BD49,xCrudeAPO(BU49,BV49,CA49,CB49,S50,S51,BI49,BL49,BP49,BQ49,0,Strike1,AO49,CE49,0,BL49,IF(OptControl=4,0,1),0,1),0)</f>
        <v>0</v>
      </c>
      <c r="CG49" s="470" t="n">
        <f aca="false">IF(BD49,xCrudeAPO(BU49,BV49,CA49,CB49,S50,S51,BI49,BL49,BP49,BQ49,0,Strike1,AO49,CE49,0,BL49,IF(OptControl=4,0,1),1,1)+xCrudeAPO(BU49,BV49,CA49,CB49,S50,S51,BI49,BL49,BP49,BQ49,0,Strike1,AO49,CE49,0,BL49,IF(OptControl=4,0,1),1,2)+IF(OR(VolSkewFlag=2,ABS(BS49)&lt;0.0001),0,IF(BS49&gt;0,-1,1)*CH49*Strike1/BR49^2*BY49/10%),0)</f>
        <v>0</v>
      </c>
      <c r="CH49" s="470" t="n">
        <f aca="false">IF(BD49,(xCrudeAPO(BU49,BV49,CA49,CB49,S50,S51,BI49,BL49,BP49,BQ49,0,Strike1,AO49,CE49,0,BL49,IF(OptControl=4,0,1),3,1)+xCrudeAPO(BU49,BV49,CA49,CB49,S50,S51,BI49,BL49,BP49,BQ49,0,Strike1,AO49,CE49,0,BL49,IF(OptControl=4,0,1),3,2))/100,0)</f>
        <v>0</v>
      </c>
      <c r="CI49" s="470" t="n">
        <f aca="false">IF(BD49,xCrudeAPO(BU49,BV49,CA49,CB49,S50,S51,BI49-DaysForThetaCalculation/365.25,BL49-DaysForThetaCalculation/365.25,BP49,BQ49,0,Strike1,AO49,CE49,0,BL49,IF(OptControl=4,0,1),0,1)-xCrudeAPO(BU49,BV49,CA49,CB49,S50,S51,BI49,BL49,BP49,BQ49,0,Strike1,AO49,CE49,0,BL49,IF(OptControl=4,0,1),0,1),0)</f>
        <v>0</v>
      </c>
      <c r="CJ49" s="471" t="n">
        <f aca="false">IF(BD49,xCrudeAPO(BU49,BV49,CC49,CD49,S50,S51,BI49,BL49,BP49,BQ49,0,Strike2,AO49,CE49,0,BL49,IF(OptControl=3,1,0),0,1),0)</f>
        <v>0</v>
      </c>
      <c r="CK49" s="470" t="n">
        <f aca="false">IF(BD49,xCrudeAPO(BU49,BV49,CC49,CD49,S50,S51,BI49,BL49,BP49,BQ49,0,Strike2,AO49,CE49,0,BL49,IF(OptControl=3,1,0),1,1)+xCrudeAPO(BU49,BV49,CC49,CD49,S50,S51,BI49,BL49,BP49,BQ49,0,Strike2,AO49,CE49,0,BL49,IF(OptControl=3,1,0),1,2)+IF(OR(VolSkewFlag=2,ABS(BT49)&lt;0.0001),0,IF(BT49&gt;0,-1,1)*CL49*Strike2/BR49^2*BZ49/10%),0)</f>
        <v>0</v>
      </c>
      <c r="CL49" s="470" t="n">
        <f aca="false">IF(BD49,(xCrudeAPO(BU49,BV49,CC49,CD49,S50,S51,BI49,BL49,BP49,BQ49,0,Strike2,AO49,CE49,0,BL49,IF(OptControl=3,1,0),3,1)+xCrudeAPO(BU49,BV49,CC49,CD49,S50,S51,BI49,BL49,BP49,BQ49,0,Strike2,AO49,CE49,0,BL49,IF(OptControl=3,1,0),3,2))/100,0)</f>
        <v>0</v>
      </c>
      <c r="CM49" s="472" t="n">
        <f aca="false">IF(BD49,xCrudeAPO(BU49,BV49,CC49,CD49,S50,S51,BI49-DaysForThetaCalculation/365.25,BL49-DaysForThetaCalculation/365.25,BP49,BQ49,0,Strike2,AO49,CE49,0,BL49,IF(OptControl=3,1,0),0,1)-xCrudeAPO(BU49,BV49,CC49,CD49,S50,S51,BI49,BL49,BP49,BQ49,0,Strike2,AO49,CE49,0,BL49,IF(OptControl=3,1,0),0,1),0)</f>
        <v>0</v>
      </c>
      <c r="CN49" s="3"/>
      <c r="CO49" s="543" t="str">
        <f aca="false">IF(BD49,CHOOSE(Underlying,AD49,AF49)-DateToday+1,"")</f>
        <v/>
      </c>
      <c r="CP49" s="582" t="str">
        <f aca="false">IF(BD49,CHOOSE(Underlying,L49,R49),"")</f>
        <v/>
      </c>
      <c r="CQ49" s="544" t="str">
        <f aca="false">IF(BD49,Strike1/CP49-1,"")</f>
        <v/>
      </c>
      <c r="CR49" s="544" t="str">
        <f aca="false">IF(BD49,Strike2/CP49-1,"")</f>
        <v/>
      </c>
      <c r="CS49" s="544" t="str">
        <f aca="false">IF(BD49,IF(CQ49&gt;0,IF(CQ49&gt;0.2,BC48-BB48,IF(CQ49&gt;0.1,BB48-BA48,BA48)),IF(CQ49&lt;-0.2,AX48-AY48,IF(CQ49&lt;-0.1,AY48-AZ48,AZ48))),"")</f>
        <v/>
      </c>
      <c r="CT49" s="544" t="str">
        <f aca="false">IF(BD49,IF(CR49&gt;0,IF(CR49&gt;0.2,BC48-BB48,IF(CR49&gt;0.1,BB48-BA48,BA48)),IF(CR49&lt;-0.2,AX48-AY48,IF(CR49&lt;-0.1,AY48-AZ48,AZ48))),"")</f>
        <v/>
      </c>
      <c r="CU49" s="545" t="str">
        <f aca="false">IF(BD49,CHOOSE(Underlying,O49,AT49),"")</f>
        <v/>
      </c>
      <c r="CV49" s="545" t="str">
        <f aca="false">IF(BD49,CU49+IF(VolSkewFlag=1,IF(CQ49&gt;0,BA48*MIN(CQ49/10%,1)+(BB48-BA48)*MAX(0,MIN(CQ49/10%-1,1))+(BC48-BB48)*MAX(0,CQ49/10%-2),AZ48*MIN(-CQ49/10%,1)+(AY48-AZ48)*MAX(0,MIN(-CQ49/10%-1,1))+(AX48-AY48)*MAX(0,-CQ49/10%-2)),0),"")</f>
        <v/>
      </c>
      <c r="CW49" s="545" t="str">
        <f aca="false">IF(BD49,CU49+IF(VolSkewFlag=1,IF(CR49&gt;0,BA48*MIN(CR49/10%,1)+(BB48-BA48)*MAX(0,MIN(CR49/10%-1,1))+(BC48-BB48)*MAX(0,CR49/10%-2),AZ48*MIN(-CR49/10%,1)+(AY48-AZ48)*MAX(0,MIN(-CR49/10%-1,1))+(AX48-AY48)*MAX(0,-CR49/10%-2)),0),"")</f>
        <v/>
      </c>
      <c r="CX49" s="470" t="n">
        <f aca="false">IF(BD49,EURO(CP49,Strike1,AO49,AO49,CV49,CO49,IF(OptControl=4,0,1),0),0)</f>
        <v>0</v>
      </c>
      <c r="CY49" s="470" t="n">
        <f aca="false">IF(BD49,EURO(CP49,Strike1,AO49,AO49,CV49,CO49,IF(OptControl=4,0,1),1)+IF(OR(VolSkewFlag=2,ABS(CQ49)&lt;0.0001),0,IF(CQ49&gt;0,-1,1)*CZ49*100*Strike1/CP49^2*CS49/10%),0)</f>
        <v>0</v>
      </c>
      <c r="CZ49" s="470" t="n">
        <f aca="false">IF(BD49,EURO(CP49,Strike1,AO49,AO49,CV49,CO49,IF(OptControl=4,0,1),3)/100,0)</f>
        <v>0</v>
      </c>
      <c r="DA49" s="470" t="n">
        <f aca="false">IF(BD49,EURO(CP49,Strike1,AO49,AO49,CV49,CO49,IF(OptControl=4,0,1),0)-EURO(CP49,Strike1,AO49,AO49,CV49,CO49-1,IF(OptControl=4,0,1),0),0)</f>
        <v>0</v>
      </c>
      <c r="DB49" s="470" t="n">
        <f aca="false">IF(BD49,EURO(CP49,Strike2,AO49,AO49,CW49,CO49,IF(OptControl=3,1,0),0),0)</f>
        <v>0</v>
      </c>
      <c r="DC49" s="470" t="n">
        <f aca="false">IF(BD49,EURO(CP49,Strike2,AO49,AO49,CW49,CO49,IF(OptControl=3,1,0),1)+IF(OR(VolSkewFlag=2,ABS(CR49)&lt;0.0001),0,IF(CR49&gt;0,-1,1)*DD49*100*Strike2/CP49^2*CT49/10%),0)</f>
        <v>0</v>
      </c>
      <c r="DD49" s="470" t="n">
        <f aca="false">IF(BD49,EURO(CP49,Strike2,AO49,AO49,CW49,CO49,IF(OptControl=3,1,0),3)/100,0)</f>
        <v>0</v>
      </c>
      <c r="DE49" s="472" t="n">
        <f aca="false">IF(BD49,EURO(CP49,Strike2,AO49,AO49,CW49,CO49,IF(OptControl=3,1,0),0)-EURO(CP49,Strike2,AO49,AO49,CW49,CO49-1,IF(OptControl=3,1,0),0),0)</f>
        <v>0</v>
      </c>
      <c r="DG49" s="481" t="n">
        <f aca="false">EOMONTH(DG48,0)+1</f>
        <v>46569</v>
      </c>
      <c r="DH49" s="478" t="n">
        <v>19.3866666666667</v>
      </c>
      <c r="DI49" s="479" t="n">
        <v>19.29</v>
      </c>
      <c r="DJ49" s="480" t="n">
        <f aca="false">DG49</f>
        <v>46569</v>
      </c>
      <c r="DK49" s="478" t="n">
        <v>18.2056944444445</v>
      </c>
      <c r="DL49" s="479" t="n">
        <v>18.157</v>
      </c>
      <c r="DM49" s="481" t="n">
        <f aca="false">DG49</f>
        <v>46569</v>
      </c>
      <c r="DN49" s="482" t="n">
        <f aca="false">DK49+BrentPhyBrentSpread</f>
        <v>18.2556944444445</v>
      </c>
      <c r="DO49" s="481" t="n">
        <f aca="false">DG49</f>
        <v>46569</v>
      </c>
      <c r="DP49" s="483" t="n">
        <f aca="false">DL49+DQ49</f>
        <v>18.157</v>
      </c>
      <c r="DQ49" s="546" t="n">
        <v>0</v>
      </c>
      <c r="DR49" s="480" t="n">
        <f aca="false">DG49</f>
        <v>46569</v>
      </c>
      <c r="DS49" s="485" t="n">
        <v>0.221370583010342</v>
      </c>
      <c r="DT49" s="486" t="n">
        <v>0.218607866268682</v>
      </c>
      <c r="DU49" s="480" t="n">
        <f aca="false">DG49</f>
        <v>46569</v>
      </c>
      <c r="DV49" s="485" t="n">
        <v>0.221370583010342</v>
      </c>
      <c r="DW49" s="486" t="n">
        <v>0.218607866268682</v>
      </c>
      <c r="DX49" s="481" t="n">
        <f aca="false">DG49</f>
        <v>46569</v>
      </c>
      <c r="DY49" s="486" t="n">
        <v>0.350000000298023</v>
      </c>
      <c r="DZ49" s="481" t="n">
        <f aca="false">DR49</f>
        <v>46569</v>
      </c>
      <c r="EA49" s="486" t="n">
        <f aca="false">DT49</f>
        <v>0.218607866268682</v>
      </c>
      <c r="EB49" s="195"/>
      <c r="EC49" s="547" t="str">
        <f aca="false">IF(BD49,IF(Underlying=1,AS49,AU49),"")</f>
        <v/>
      </c>
      <c r="ED49" s="548" t="str">
        <f aca="false">IF($BD49,$EC49+IF(VolSkewFlag=1,IF(BS49&gt;0,$BA49*MIN(BS49/10%,1)+($BB49-$BA49)*MAX(0,MIN(BS49/10%-1,1))+($BC49-$BB49)*MAX(0,BS49/10%-2),$AZ49*MIN(-BS49/10%,1)+($AY49-$AZ49)*MAX(0,MIN(-BS49/10%-1,1))+($AX49-$AY49)*MAX(0,-BS49/10%-2)),0),"")</f>
        <v/>
      </c>
      <c r="EE49" s="549" t="str">
        <f aca="false">IF($BD49,$EC49+IF(VolSkewFlag=1,IF(BT49&gt;0,$BA49*MIN(BT49/10%,1)+($BB49-$BA49)*MAX(0,MIN(BT49/10%-1,1))+($BC49-$BB49)*MAX(0,BT49/10%-2),$AZ49*MIN(-BT49/10%,1)+($AY49-$AZ49)*MAX(0,MIN(-BT49/10%-1,1))+($AX49-$AY49)*MAX(0,-BT49/10%-2)),0),"")</f>
        <v/>
      </c>
      <c r="EF49" s="550" t="n">
        <f aca="false">IF(BD49,xASN(BR49,Strike1,AO49,ED49,0,BO49,0,BI49,BL49,IF(OptControl=4,0,1),0),0)</f>
        <v>0</v>
      </c>
      <c r="EG49" s="551" t="n">
        <f aca="false">IF(BD49,xASN(BR49,Strike2,AO49,EE49,0,BO49,0,BI49,BL49,IF(OptControl=3,1,0),0),0)</f>
        <v>0</v>
      </c>
      <c r="EI49" s="583" t="str">
        <f aca="false">DDE("TWINDDE","RSFRecord","CLc30 MTH")</f>
        <v>DEC3</v>
      </c>
      <c r="EJ49" s="584" t="n">
        <f aca="false">DATEVALUE(CONCATENATE(LEFT(EI49,3),"-",IF(VALUE(RIGHT(EI49,1))=9,"1999",CONCATENATE("200",RIGHT(EI49,1)))))</f>
        <v>37956</v>
      </c>
      <c r="EK49" s="585" t="n">
        <f aca="false">DDE("TWINDDE","RSFRecord","CLc30 NET.CHNG")</f>
        <v>0</v>
      </c>
      <c r="EL49" s="586" t="n">
        <f aca="false">IF(ISNUMBER(VALUE(EK49)),VALUE(EK49)*100,0)</f>
        <v>0</v>
      </c>
      <c r="EM49" s="195"/>
      <c r="EN49" s="556" t="n">
        <v>39267</v>
      </c>
      <c r="EO49" s="557" t="n">
        <v>41998</v>
      </c>
      <c r="EP49" s="195"/>
      <c r="EQ49" s="407" t="s">
        <v>273</v>
      </c>
      <c r="ER49" s="3"/>
      <c r="ES49" s="587" t="n">
        <v>30</v>
      </c>
      <c r="ET49" s="559" t="n">
        <f aca="false">BH49/365.25</f>
        <v>-22.6913073237509</v>
      </c>
      <c r="EU49" s="560" t="n">
        <f aca="false">O49^2*ET49</f>
        <v>-0</v>
      </c>
      <c r="EV49" s="588" t="e">
        <f aca="false">SQRT(SUM(FK49:ID49)/ET49)</f>
        <v>#VALUE!</v>
      </c>
      <c r="EW49" s="589" t="str">
        <f aca="false">IF(OR(DateStart2&gt;I48,DateEnd2&lt;I47),"",IF(DateStart2&lt;I48,AK47/AI47*AP47*BE47*SwaptionNumOfMonths/$D$33,0)+IF(DateEnd2&gt;I47,AJ48/AI48*AP48*BE48*SwaptionNumOfMonths/$D$33,0))</f>
        <v/>
      </c>
      <c r="EX49" s="590" t="str">
        <f aca="false">IF(EW49="","",SQRT(SUM(FK354:ID354)/SwaptionYearsToExp))</f>
        <v/>
      </c>
      <c r="EY49" s="129" t="n">
        <v>0</v>
      </c>
      <c r="EZ49" s="591" t="str">
        <f aca="false">IF(OR(EW49="",EW50=""),"",SQRT(SUM(INDEX(FK49:ID49,SwaptionFirstMonthPosition+1):INDEX(FK49:ID49,FJ49))/SUM(INDEX($FK$15:$ID$15,SwaptionFirstMonthPosition+1):INDEX($FK$15:$ID$15,FJ49))))</f>
        <v/>
      </c>
      <c r="FA49" s="592" t="str">
        <f aca="false">IF(OR(EW49="",EW48=""),"",SQRT(SUM(INDEX(FK49:ID49,SwaptionFirstMonthPosition+1):INDEX(FK49:ID49,FJ49-1))/SUM(INDEX($FK$15:$ID$15,SwaptionFirstMonthPosition+1):INDEX($FK$15:$ID$15,FJ49-1))))</f>
        <v/>
      </c>
      <c r="FB49" s="593" t="str">
        <f aca="false">IF(BE49,2/3*EZ50+1/3*FA51,"")</f>
        <v/>
      </c>
      <c r="FC49" s="596" t="str">
        <f aca="false">IF(BE49,(I50+I49-1)/2-DateToday,"")</f>
        <v/>
      </c>
      <c r="FD49" s="483" t="str">
        <f aca="false">IF(BE49,CHOOSE(Underlying,X49,Z49)+SwaptionUnderlyingPrice-$D$26,"")</f>
        <v/>
      </c>
      <c r="FE49" s="483" t="str">
        <f aca="false">IF(BE49,CollartionFloor/FD49-1,"")</f>
        <v/>
      </c>
      <c r="FF49" s="483" t="str">
        <f aca="false">IF(BE49,CollartionCap/FD49-1,"")</f>
        <v/>
      </c>
      <c r="FG49" s="485" t="str">
        <f aca="false">IF(BE49,IF(VolSkewFlag=1,IF(FE49&gt;0,$BA49*MIN(FE49/10%,1)+($BB49-$BA49)*MAX(0,MIN(FE49/10%-1,1))+($BC49-$BB49)*MAX(0,FE49/10%-2),$AZ49*MIN(-FE49/10%,1)+($AY49-$AZ49)*MAX(0,MIN(-FE49/10%-1,1))+($AX49-$AY49)*MAX(0,-FE49/10%-2)),0),"")</f>
        <v/>
      </c>
      <c r="FH49" s="486" t="str">
        <f aca="false">IF(BE49,IF(VolSkewFlag=1,IF(FF49&gt;0,$BA49*MIN(FF49/10%,1)+($BB49-$BA49)*MAX(0,MIN(FF49/10%-1,1))+($BC49-$BB49)*MAX(0,FF49/10%-2),$AZ49*MIN(-FF49/10%,1)+($AY49-$AZ49)*MAX(0,MIN(-FF49/10%-1,1))+($AX49-$AY49)*MAX(0,-FF49/10%-2)),0),"")</f>
        <v/>
      </c>
      <c r="FI49" s="129"/>
      <c r="FJ49" s="571" t="n">
        <v>30</v>
      </c>
      <c r="FK49" s="150" t="n">
        <f aca="false">IF(FK$19&gt;$FJ49,"",MAX(0,IF(FK$19=$FJ49,$S49^2*FK$15,FK48*INDEX($T$20:$T$91,$FJ49-FK$19)^2/INDEX($U$20:$U$91,$FJ49-FK$19))))</f>
        <v>0</v>
      </c>
      <c r="FL49" s="150" t="n">
        <f aca="false">IF(FL$19&gt;$FJ49,"",MAX(0,IF(FL$19=$FJ49,$S49^2*FL$15,FL48*INDEX($T$20:$T$91,$FJ49-FL$19)^2/INDEX($U$20:$U$91,$FJ49-FL$19))))</f>
        <v>0</v>
      </c>
      <c r="FM49" s="150" t="n">
        <f aca="false">IF(FM$19&gt;$FJ49,"",MAX(0,IF(FM$19=$FJ49,$S49^2*FM$15,FM48*INDEX($T$20:$T$91,$FJ49-FM$19)^2/INDEX($U$20:$U$91,$FJ49-FM$19))))</f>
        <v>0.0026049085876211</v>
      </c>
      <c r="FN49" s="150" t="n">
        <f aca="false">IF(FN$19&gt;$FJ49,"",MAX(0,IF(FN$19=$FJ49,$S49^2*FN$15,FN48*INDEX($T$20:$T$91,$FJ49-FN$19)^2/INDEX($U$20:$U$91,$FJ49-FN$19))))</f>
        <v>0.00220089125827696</v>
      </c>
      <c r="FO49" s="150" t="n">
        <f aca="false">IF(FO$19&gt;$FJ49,"",MAX(0,IF(FO$19=$FJ49,$S49^2*FO$15,FO48*INDEX($T$20:$T$91,$FJ49-FO$19)^2/INDEX($U$20:$U$91,$FJ49-FO$19))))</f>
        <v>0.00229953945643989</v>
      </c>
      <c r="FP49" s="150" t="n">
        <f aca="false">IF(FP$19&gt;$FJ49,"",MAX(0,IF(FP$19=$FJ49,$S49^2*FP$15,FP48*INDEX($T$20:$T$91,$FJ49-FP$19)^2/INDEX($U$20:$U$91,$FJ49-FP$19))))</f>
        <v>0.00256152779349474</v>
      </c>
      <c r="FQ49" s="150" t="n">
        <f aca="false">IF(FQ$19&gt;$FJ49,"",MAX(0,IF(FQ$19=$FJ49,$S49^2*FQ$15,FQ48*INDEX($T$20:$T$91,$FJ49-FQ$19)^2/INDEX($U$20:$U$91,$FJ49-FQ$19))))</f>
        <v>0.0020865935174844</v>
      </c>
      <c r="FR49" s="150" t="n">
        <f aca="false">IF(FR$19&gt;$FJ49,"",MAX(0,IF(FR$19=$FJ49,$S49^2*FR$15,FR48*INDEX($T$20:$T$91,$FJ49-FR$19)^2/INDEX($U$20:$U$91,$FJ49-FR$19))))</f>
        <v>0.00214882511837667</v>
      </c>
      <c r="FS49" s="150" t="n">
        <f aca="false">IF(FS$19&gt;$FJ49,"",MAX(0,IF(FS$19=$FJ49,$S49^2*FS$15,FS48*INDEX($T$20:$T$91,$FJ49-FS$19)^2/INDEX($U$20:$U$91,$FJ49-FS$19))))</f>
        <v>0.00244200694337011</v>
      </c>
      <c r="FT49" s="150" t="n">
        <f aca="false">IF(FT$19&gt;$FJ49,"",MAX(0,IF(FT$19=$FJ49,$S49^2*FT$15,FT48*INDEX($T$20:$T$91,$FJ49-FT$19)^2/INDEX($U$20:$U$91,$FJ49-FT$19))))</f>
        <v>0.0022256050194238</v>
      </c>
      <c r="FU49" s="150" t="n">
        <f aca="false">IF(FU$19&gt;$FJ49,"",MAX(0,IF(FU$19=$FJ49,$S49^2*FU$15,FU48*INDEX($T$20:$T$91,$FJ49-FU$19)^2/INDEX($U$20:$U$91,$FJ49-FU$19))))</f>
        <v>0.00216438638218645</v>
      </c>
      <c r="FV49" s="150" t="n">
        <f aca="false">IF(FV$19&gt;$FJ49,"",MAX(0,IF(FV$19=$FJ49,$S49^2*FV$15,FV48*INDEX($T$20:$T$91,$FJ49-FV$19)^2/INDEX($U$20:$U$91,$FJ49-FV$19))))</f>
        <v>0.00241070742338976</v>
      </c>
      <c r="FW49" s="150" t="n">
        <f aca="false">IF(FW$19&gt;$FJ49,"",MAX(0,IF(FW$19=$FJ49,$S49^2*FW$15,FW48*INDEX($T$20:$T$91,$FJ49-FW$19)^2/INDEX($U$20:$U$91,$FJ49-FW$19))))</f>
        <v>0.00228887313410387</v>
      </c>
      <c r="FX49" s="150" t="n">
        <f aca="false">IF(FX$19&gt;$FJ49,"",MAX(0,IF(FX$19=$FJ49,$S49^2*FX$15,FX48*INDEX($T$20:$T$91,$FJ49-FX$19)^2/INDEX($U$20:$U$91,$FJ49-FX$19))))</f>
        <v>0.0024812274010031</v>
      </c>
      <c r="FY49" s="150" t="n">
        <f aca="false">IF(FY$19&gt;$FJ49,"",MAX(0,IF(FY$19=$FJ49,$S49^2*FY$15,FY48*INDEX($T$20:$T$91,$FJ49-FY$19)^2/INDEX($U$20:$U$91,$FJ49-FY$19))))</f>
        <v>0.00237292348749986</v>
      </c>
      <c r="FZ49" s="150" t="n">
        <f aca="false">IF(FZ$19&gt;$FJ49,"",MAX(0,IF(FZ$19=$FJ49,$S49^2*FZ$15,FZ48*INDEX($T$20:$T$91,$FJ49-FZ$19)^2/INDEX($U$20:$U$91,$FJ49-FZ$19))))</f>
        <v>0.00226867523209378</v>
      </c>
      <c r="GA49" s="150" t="n">
        <f aca="false">IF(GA$19&gt;$FJ49,"",MAX(0,IF(GA$19=$FJ49,$S49^2*GA$15,GA48*INDEX($T$20:$T$91,$FJ49-GA$19)^2/INDEX($U$20:$U$91,$FJ49-GA$19))))</f>
        <v>0.00250165651391504</v>
      </c>
      <c r="GB49" s="150" t="n">
        <f aca="false">IF(GB$19&gt;$FJ49,"",MAX(0,IF(GB$19=$FJ49,$S49^2*GB$15,GB48*INDEX($T$20:$T$91,$FJ49-GB$19)^2/INDEX($U$20:$U$91,$FJ49-GB$19))))</f>
        <v>0.00284740740256049</v>
      </c>
      <c r="GC49" s="150" t="n">
        <f aca="false">IF(GC$19&gt;$FJ49,"",MAX(0,IF(GC$19=$FJ49,$S49^2*GC$15,GC48*INDEX($T$20:$T$91,$FJ49-GC$19)^2/INDEX($U$20:$U$91,$FJ49-GC$19))))</f>
        <v>0.00260535014492534</v>
      </c>
      <c r="GD49" s="150" t="n">
        <f aca="false">IF(GD$19&gt;$FJ49,"",MAX(0,IF(GD$19=$FJ49,$S49^2*GD$15,GD48*INDEX($T$20:$T$91,$FJ49-GD$19)^2/INDEX($U$20:$U$91,$FJ49-GD$19))))</f>
        <v>0.00273241506292497</v>
      </c>
      <c r="GE49" s="150" t="n">
        <f aca="false">IF(GE$19&gt;$FJ49,"",MAX(0,IF(GE$19=$FJ49,$S49^2*GE$15,GE48*INDEX($T$20:$T$91,$FJ49-GE$19)^2/INDEX($U$20:$U$91,$FJ49-GE$19))))</f>
        <v>0.00328872829801731</v>
      </c>
      <c r="GF49" s="150" t="n">
        <f aca="false">IF(GF$19&gt;$FJ49,"",MAX(0,IF(GF$19=$FJ49,$S49^2*GF$15,GF48*INDEX($T$20:$T$91,$FJ49-GF$19)^2/INDEX($U$20:$U$91,$FJ49-GF$19))))</f>
        <v>0.00308750186107144</v>
      </c>
      <c r="GG49" s="150" t="n">
        <f aca="false">IF(GG$19&gt;$FJ49,"",MAX(0,IF(GG$19=$FJ49,$S49^2*GG$15,GG48*INDEX($T$20:$T$91,$FJ49-GG$19)^2/INDEX($U$20:$U$91,$FJ49-GG$19))))</f>
        <v>0.00368263547434943</v>
      </c>
      <c r="GH49" s="150" t="n">
        <f aca="false">IF(GH$19&gt;$FJ49,"",MAX(0,IF(GH$19=$FJ49,$S49^2*GH$15,GH48*INDEX($T$20:$T$91,$FJ49-GH$19)^2/INDEX($U$20:$U$91,$FJ49-GH$19))))</f>
        <v>0.00378412256544517</v>
      </c>
      <c r="GI49" s="150" t="n">
        <f aca="false">IF(GI$19&gt;$FJ49,"",MAX(0,IF(GI$19=$FJ49,$S49^2*GI$15,GI48*INDEX($T$20:$T$91,$FJ49-GI$19)^2/INDEX($U$20:$U$91,$FJ49-GI$19))))</f>
        <v>0.004076014953639</v>
      </c>
      <c r="GJ49" s="150" t="n">
        <f aca="false">IF(GJ$19&gt;$FJ49,"",MAX(0,IF(GJ$19=$FJ49,$S49^2*GJ$15,GJ48*INDEX($T$20:$T$91,$FJ49-GJ$19)^2/INDEX($U$20:$U$91,$FJ49-GJ$19))))</f>
        <v>0.00527064917509119</v>
      </c>
      <c r="GK49" s="150" t="n">
        <f aca="false">IF(GK$19&gt;$FJ49,"",MAX(0,IF(GK$19=$FJ49,$S49^2*GK$15,GK48*INDEX($T$20:$T$91,$FJ49-GK$19)^2/INDEX($U$20:$U$91,$FJ49-GK$19))))</f>
        <v>0.00557389437123653</v>
      </c>
      <c r="GL49" s="150" t="n">
        <f aca="false">IF(GL$19&gt;$FJ49,"",MAX(0,IF(GL$19=$FJ49,$S49^2*GL$15,GL48*INDEX($T$20:$T$91,$FJ49-GL$19)^2/INDEX($U$20:$U$91,$FJ49-GL$19))))</f>
        <v>0.00644658860270105</v>
      </c>
      <c r="GM49" s="150" t="n">
        <f aca="false">IF(GM$19&gt;$FJ49,"",MAX(0,IF(GM$19=$FJ49,$S49^2*GM$15,GM48*INDEX($T$20:$T$91,$FJ49-GM$19)^2/INDEX($U$20:$U$91,$FJ49-GM$19))))</f>
        <v>0.00852927212311049</v>
      </c>
      <c r="GN49" s="150" t="n">
        <f aca="false">IF(GN$19&gt;$FJ49,"",MAX(0,IF(GN$19=$FJ49,$S49^2*GN$15,GN48*INDEX($T$20:$T$91,$FJ49-GN$19)^2/INDEX($U$20:$U$91,$FJ49-GN$19))))</f>
        <v>0.0110003653675369</v>
      </c>
      <c r="GO49" s="150" t="str">
        <f aca="false">IF(GO$19&gt;$FJ49,"",MAX(0,IF(GO$19=$FJ49,$S49^2*GO$15,GO48*INDEX($T$20:$T$91,$FJ49-GO$19)^2/INDEX($U$20:$U$91,$FJ49-GO$19))))</f>
        <v/>
      </c>
      <c r="GP49" s="150" t="str">
        <f aca="false">IF(GP$19&gt;$FJ49,"",MAX(0,IF(GP$19=$FJ49,$S49^2*GP$15,GP48*INDEX($T$20:$T$91,$FJ49-GP$19)^2/INDEX($U$20:$U$91,$FJ49-GP$19))))</f>
        <v/>
      </c>
      <c r="GQ49" s="150" t="str">
        <f aca="false">IF(GQ$19&gt;$FJ49,"",MAX(0,IF(GQ$19=$FJ49,$S49^2*GQ$15,GQ48*INDEX($T$20:$T$91,$FJ49-GQ$19)^2/INDEX($U$20:$U$91,$FJ49-GQ$19))))</f>
        <v/>
      </c>
      <c r="GR49" s="150" t="str">
        <f aca="false">IF(GR$19&gt;$FJ49,"",MAX(0,IF(GR$19=$FJ49,$S49^2*GR$15,GR48*INDEX($T$20:$T$91,$FJ49-GR$19)^2/INDEX($U$20:$U$91,$FJ49-GR$19))))</f>
        <v/>
      </c>
      <c r="GS49" s="150" t="str">
        <f aca="false">IF(GS$19&gt;$FJ49,"",MAX(0,IF(GS$19=$FJ49,$S49^2*GS$15,GS48*INDEX($T$20:$T$91,$FJ49-GS$19)^2/INDEX($U$20:$U$91,$FJ49-GS$19))))</f>
        <v/>
      </c>
      <c r="GT49" s="150" t="str">
        <f aca="false">IF(GT$19&gt;$FJ49,"",MAX(0,IF(GT$19=$FJ49,$S49^2*GT$15,GT48*INDEX($T$20:$T$91,$FJ49-GT$19)^2/INDEX($U$20:$U$91,$FJ49-GT$19))))</f>
        <v/>
      </c>
      <c r="GU49" s="150" t="str">
        <f aca="false">IF(GU$19&gt;$FJ49,"",MAX(0,IF(GU$19=$FJ49,$S49^2*GU$15,GU48*INDEX($T$20:$T$91,$FJ49-GU$19)^2/INDEX($U$20:$U$91,$FJ49-GU$19))))</f>
        <v/>
      </c>
      <c r="GV49" s="150" t="str">
        <f aca="false">IF(GV$19&gt;$FJ49,"",MAX(0,IF(GV$19=$FJ49,$S49^2*GV$15,GV48*INDEX($T$20:$T$91,$FJ49-GV$19)^2/INDEX($U$20:$U$91,$FJ49-GV$19))))</f>
        <v/>
      </c>
      <c r="GW49" s="150" t="str">
        <f aca="false">IF(GW$19&gt;$FJ49,"",MAX(0,IF(GW$19=$FJ49,$S49^2*GW$15,GW48*INDEX($T$20:$T$91,$FJ49-GW$19)^2/INDEX($U$20:$U$91,$FJ49-GW$19))))</f>
        <v/>
      </c>
      <c r="GX49" s="150" t="str">
        <f aca="false">IF(GX$19&gt;$FJ49,"",MAX(0,IF(GX$19=$FJ49,$S49^2*GX$15,GX48*INDEX($T$20:$T$91,$FJ49-GX$19)^2/INDEX($U$20:$U$91,$FJ49-GX$19))))</f>
        <v/>
      </c>
      <c r="GY49" s="150" t="str">
        <f aca="false">IF(GY$19&gt;$FJ49,"",MAX(0,IF(GY$19=$FJ49,$S49^2*GY$15,GY48*INDEX($T$20:$T$91,$FJ49-GY$19)^2/INDEX($U$20:$U$91,$FJ49-GY$19))))</f>
        <v/>
      </c>
      <c r="GZ49" s="150" t="str">
        <f aca="false">IF(GZ$19&gt;$FJ49,"",MAX(0,IF(GZ$19=$FJ49,$S49^2*GZ$15,GZ48*INDEX($T$20:$T$91,$FJ49-GZ$19)^2/INDEX($U$20:$U$91,$FJ49-GZ$19))))</f>
        <v/>
      </c>
      <c r="HA49" s="150" t="str">
        <f aca="false">IF(HA$19&gt;$FJ49,"",MAX(0,IF(HA$19=$FJ49,$S49^2*HA$15,HA48*INDEX($T$20:$T$91,$FJ49-HA$19)^2/INDEX($U$20:$U$91,$FJ49-HA$19))))</f>
        <v/>
      </c>
      <c r="HB49" s="150" t="str">
        <f aca="false">IF(HB$19&gt;$FJ49,"",MAX(0,IF(HB$19=$FJ49,$S49^2*HB$15,HB48*INDEX($T$20:$T$91,$FJ49-HB$19)^2/INDEX($U$20:$U$91,$FJ49-HB$19))))</f>
        <v/>
      </c>
      <c r="HC49" s="150" t="str">
        <f aca="false">IF(HC$19&gt;$FJ49,"",MAX(0,IF(HC$19=$FJ49,$S49^2*HC$15,HC48*INDEX($T$20:$T$91,$FJ49-HC$19)^2/INDEX($U$20:$U$91,$FJ49-HC$19))))</f>
        <v/>
      </c>
      <c r="HD49" s="150" t="str">
        <f aca="false">IF(HD$19&gt;$FJ49,"",MAX(0,IF(HD$19=$FJ49,$S49^2*HD$15,HD48*INDEX($T$20:$T$91,$FJ49-HD$19)^2/INDEX($U$20:$U$91,$FJ49-HD$19))))</f>
        <v/>
      </c>
      <c r="HE49" s="150" t="str">
        <f aca="false">IF(HE$19&gt;$FJ49,"",MAX(0,IF(HE$19=$FJ49,$S49^2*HE$15,HE48*INDEX($T$20:$T$91,$FJ49-HE$19)^2/INDEX($U$20:$U$91,$FJ49-HE$19))))</f>
        <v/>
      </c>
      <c r="HF49" s="150" t="str">
        <f aca="false">IF(HF$19&gt;$FJ49,"",MAX(0,IF(HF$19=$FJ49,$S49^2*HF$15,HF48*INDEX($T$20:$T$91,$FJ49-HF$19)^2/INDEX($U$20:$U$91,$FJ49-HF$19))))</f>
        <v/>
      </c>
      <c r="HG49" s="150" t="str">
        <f aca="false">IF(HG$19&gt;$FJ49,"",MAX(0,IF(HG$19=$FJ49,$S49^2*HG$15,HG48*INDEX($T$20:$T$91,$FJ49-HG$19)^2/INDEX($U$20:$U$91,$FJ49-HG$19))))</f>
        <v/>
      </c>
      <c r="HH49" s="150" t="str">
        <f aca="false">IF(HH$19&gt;$FJ49,"",MAX(0,IF(HH$19=$FJ49,$S49^2*HH$15,HH48*INDEX($T$20:$T$91,$FJ49-HH$19)^2/INDEX($U$20:$U$91,$FJ49-HH$19))))</f>
        <v/>
      </c>
      <c r="HI49" s="150" t="str">
        <f aca="false">IF(HI$19&gt;$FJ49,"",MAX(0,IF(HI$19=$FJ49,$S49^2*HI$15,HI48*INDEX($T$20:$T$91,$FJ49-HI$19)^2/INDEX($U$20:$U$91,$FJ49-HI$19))))</f>
        <v/>
      </c>
      <c r="HJ49" s="150" t="str">
        <f aca="false">IF(HJ$19&gt;$FJ49,"",MAX(0,IF(HJ$19=$FJ49,$S49^2*HJ$15,HJ48*INDEX($T$20:$T$91,$FJ49-HJ$19)^2/INDEX($U$20:$U$91,$FJ49-HJ$19))))</f>
        <v/>
      </c>
      <c r="HK49" s="150" t="str">
        <f aca="false">IF(HK$19&gt;$FJ49,"",MAX(0,IF(HK$19=$FJ49,$S49^2*HK$15,HK48*INDEX($T$20:$T$91,$FJ49-HK$19)^2/INDEX($U$20:$U$91,$FJ49-HK$19))))</f>
        <v/>
      </c>
      <c r="HL49" s="150" t="str">
        <f aca="false">IF(HL$19&gt;$FJ49,"",MAX(0,IF(HL$19=$FJ49,$S49^2*HL$15,HL48*INDEX($T$20:$T$91,$FJ49-HL$19)^2/INDEX($U$20:$U$91,$FJ49-HL$19))))</f>
        <v/>
      </c>
      <c r="HM49" s="150" t="str">
        <f aca="false">IF(HM$19&gt;$FJ49,"",MAX(0,IF(HM$19=$FJ49,$S49^2*HM$15,HM48*INDEX($T$20:$T$91,$FJ49-HM$19)^2/INDEX($U$20:$U$91,$FJ49-HM$19))))</f>
        <v/>
      </c>
      <c r="HN49" s="150" t="str">
        <f aca="false">IF(HN$19&gt;$FJ49,"",MAX(0,IF(HN$19=$FJ49,$S49^2*HN$15,HN48*INDEX($T$20:$T$91,$FJ49-HN$19)^2/INDEX($U$20:$U$91,$FJ49-HN$19))))</f>
        <v/>
      </c>
      <c r="HO49" s="150" t="str">
        <f aca="false">IF(HO$19&gt;$FJ49,"",MAX(0,IF(HO$19=$FJ49,$S49^2*HO$15,HO48*INDEX($T$20:$T$91,$FJ49-HO$19)^2/INDEX($U$20:$U$91,$FJ49-HO$19))))</f>
        <v/>
      </c>
      <c r="HP49" s="150" t="str">
        <f aca="false">IF(HP$19&gt;$FJ49,"",MAX(0,IF(HP$19=$FJ49,$S49^2*HP$15,HP48*INDEX($T$20:$T$91,$FJ49-HP$19)^2/INDEX($U$20:$U$91,$FJ49-HP$19))))</f>
        <v/>
      </c>
      <c r="HQ49" s="150" t="str">
        <f aca="false">IF(HQ$19&gt;$FJ49,"",MAX(0,IF(HQ$19=$FJ49,$S49^2*HQ$15,HQ48*INDEX($T$20:$T$91,$FJ49-HQ$19)^2/INDEX($U$20:$U$91,$FJ49-HQ$19))))</f>
        <v/>
      </c>
      <c r="HR49" s="150" t="str">
        <f aca="false">IF(HR$19&gt;$FJ49,"",MAX(0,IF(HR$19=$FJ49,$S49^2*HR$15,HR48*INDEX($T$20:$T$91,$FJ49-HR$19)^2/INDEX($U$20:$U$91,$FJ49-HR$19))))</f>
        <v/>
      </c>
      <c r="HS49" s="150" t="str">
        <f aca="false">IF(HS$19&gt;$FJ49,"",MAX(0,IF(HS$19=$FJ49,$S49^2*HS$15,HS48*INDEX($T$20:$T$91,$FJ49-HS$19)^2/INDEX($U$20:$U$91,$FJ49-HS$19))))</f>
        <v/>
      </c>
      <c r="HT49" s="150" t="str">
        <f aca="false">IF(HT$19&gt;$FJ49,"",MAX(0,IF(HT$19=$FJ49,$S49^2*HT$15,HT48*INDEX($T$20:$T$91,$FJ49-HT$19)^2/INDEX($U$20:$U$91,$FJ49-HT$19))))</f>
        <v/>
      </c>
      <c r="HU49" s="150" t="str">
        <f aca="false">IF(HU$19&gt;$FJ49,"",MAX(0,IF(HU$19=$FJ49,$S49^2*HU$15,HU48*INDEX($T$20:$T$91,$FJ49-HU$19)^2/INDEX($U$20:$U$91,$FJ49-HU$19))))</f>
        <v/>
      </c>
      <c r="HV49" s="150" t="str">
        <f aca="false">IF(HV$19&gt;$FJ49,"",MAX(0,IF(HV$19=$FJ49,$S49^2*HV$15,HV48*INDEX($T$20:$T$91,$FJ49-HV$19)^2/INDEX($U$20:$U$91,$FJ49-HV$19))))</f>
        <v/>
      </c>
      <c r="HW49" s="150" t="str">
        <f aca="false">IF(HW$19&gt;$FJ49,"",MAX(0,IF(HW$19=$FJ49,$S49^2*HW$15,HW48*INDEX($T$20:$T$91,$FJ49-HW$19)^2/INDEX($U$20:$U$91,$FJ49-HW$19))))</f>
        <v/>
      </c>
      <c r="HX49" s="150" t="str">
        <f aca="false">IF(HX$19&gt;$FJ49,"",MAX(0,IF(HX$19=$FJ49,$S49^2*HX$15,HX48*INDEX($T$20:$T$91,$FJ49-HX$19)^2/INDEX($U$20:$U$91,$FJ49-HX$19))))</f>
        <v/>
      </c>
      <c r="HY49" s="150" t="str">
        <f aca="false">IF(HY$19&gt;$FJ49,"",MAX(0,IF(HY$19=$FJ49,$S49^2*HY$15,HY48*INDEX($T$20:$T$91,$FJ49-HY$19)^2/INDEX($U$20:$U$91,$FJ49-HY$19))))</f>
        <v/>
      </c>
      <c r="HZ49" s="150" t="str">
        <f aca="false">IF(HZ$19&gt;$FJ49,"",MAX(0,IF(HZ$19=$FJ49,$S49^2*HZ$15,HZ48*INDEX($T$20:$T$91,$FJ49-HZ$19)^2/INDEX($U$20:$U$91,$FJ49-HZ$19))))</f>
        <v/>
      </c>
      <c r="IA49" s="150" t="str">
        <f aca="false">IF(IA$19&gt;$FJ49,"",MAX(0,IF(IA$19=$FJ49,$S49^2*IA$15,IA48*INDEX($T$20:$T$91,$FJ49-IA$19)^2/INDEX($U$20:$U$91,$FJ49-IA$19))))</f>
        <v/>
      </c>
      <c r="IB49" s="150" t="str">
        <f aca="false">IF(IB$19&gt;$FJ49,"",MAX(0,IF(IB$19=$FJ49,$S49^2*IB$15,IB48*INDEX($T$20:$T$91,$FJ49-IB$19)^2/INDEX($U$20:$U$91,$FJ49-IB$19))))</f>
        <v/>
      </c>
      <c r="IC49" s="150" t="str">
        <f aca="false">IF(IC$19&gt;$FJ49,"",MAX(0,IF(IC$19=$FJ49,$S49^2*IC$15,IC48*INDEX($T$20:$T$91,$FJ49-IC$19)^2/INDEX($U$20:$U$91,$FJ49-IC$19))))</f>
        <v/>
      </c>
      <c r="ID49" s="572" t="str">
        <f aca="false">IF(ID$19&gt;$FJ49,"",MAX(0,IF(ID$19=$FJ49,$S49^2*ID$15,ID48*INDEX($T$20:$T$91,$FJ49-ID$19)^2/INDEX($U$20:$U$91,$FJ49-ID$19))))</f>
        <v/>
      </c>
      <c r="IE49" s="129"/>
    </row>
    <row r="50" customFormat="false" ht="14.25" hidden="false" customHeight="true" outlineLevel="0" collapsed="false">
      <c r="A50" s="219"/>
      <c r="B50" s="219"/>
      <c r="C50" s="219"/>
      <c r="D50" s="219"/>
      <c r="E50" s="219"/>
      <c r="F50" s="219"/>
      <c r="G50" s="219"/>
      <c r="H50" s="219" t="n">
        <f aca="false">VLOOKUP(I50,$EJ$20:$EL$54,3)</f>
        <v>0</v>
      </c>
      <c r="I50" s="511" t="n">
        <f aca="false">EOMONTH(I49,0)+1</f>
        <v>37681</v>
      </c>
      <c r="J50" s="512"/>
      <c r="K50" s="513" t="s">
        <v>250</v>
      </c>
      <c r="L50" s="514" t="e">
        <f aca="false">IF(ISNUMBER(K50),J50+K50/100,IF(K50="extra",L49+VLOOKUP(BF50,PriceSpreadTable,2)/12,IF(K50="inter",interpolateprices($K$19:$L$200,ROW(K50)-ROW(FirstPricingMonth)+1),interpolatechanges($J$19:$K$200,ROW(K50)-ROW(FirstPricingMonth)+1))))</f>
        <v>#VALUE!</v>
      </c>
      <c r="M50" s="515"/>
      <c r="N50" s="516" t="n">
        <v>0</v>
      </c>
      <c r="O50" s="515" t="n">
        <f aca="false">M50+N50</f>
        <v>0</v>
      </c>
      <c r="P50" s="512"/>
      <c r="Q50" s="513" t="s">
        <v>250</v>
      </c>
      <c r="R50" s="512" t="e">
        <f aca="false">IF(ISNUMBER(Q50),P50+Q50/100,IF(Q50="extra",(Z48*AL48-R49*AM48)/AN48,IF(Q50="inter",interpolateprices($Q$19:$R$260,ROW(Q50)-ROW(FirstPricingMonth)+1),interpolatechanges($P$19:$Q$260,ROW(Q50)-ROW(FirstPricingMonth)+1))))</f>
        <v>#VALUE!</v>
      </c>
      <c r="S50" s="597" t="n">
        <f aca="false">S$19+(S49-S$19)*S$18</f>
        <v>0.360009524378142</v>
      </c>
      <c r="T50" s="575" t="n">
        <f aca="false">SQRT((1-(1-T49^2/U49)*T$18)*U50)</f>
        <v>0.99897609252996</v>
      </c>
      <c r="U50" s="576" t="n">
        <f aca="false">1-(1-U49)*U$18</f>
        <v>0.999997321268648</v>
      </c>
      <c r="V50" s="521" t="n">
        <v>0</v>
      </c>
      <c r="W50" s="577" t="n">
        <f aca="false">(J51*AJ50+J52*AK50)/AI50</f>
        <v>0</v>
      </c>
      <c r="X50" s="578" t="e">
        <f aca="false">(L51*AJ50+L52*AK50)/AI50</f>
        <v>#VALUE!</v>
      </c>
      <c r="Y50" s="579" t="n">
        <f aca="false">IF(Q52="extra",W50-AA50,(P51*AM50+P52*AN50)/AL50)</f>
        <v>0</v>
      </c>
      <c r="Z50" s="579" t="e">
        <f aca="false">IF(Q52="extra",X50-AB50,(R51*AM50+R52*AN50)/AL50)</f>
        <v>#VALUE!</v>
      </c>
      <c r="AA50" s="523" t="n">
        <f aca="false">IF(Q52="extra",INDEX(BrentSeasonalityTable,INT((BG50-1)/3)+1)*VLOOKUP(MAX(BF50,$AB$4),PriceSpreadTable,3),W50-Y50)</f>
        <v>0</v>
      </c>
      <c r="AB50" s="524" t="e">
        <f aca="false">IF(Q52="extra",INDEX(BrentSeasonalityTable,INT((BG50-1)/3)+1)*VLOOKUP(MAX(BF50,$AB$4),PriceSpreadTable,3),X50-Z50)</f>
        <v>#VALUE!</v>
      </c>
      <c r="AC50" s="525" t="n">
        <v>37672</v>
      </c>
      <c r="AD50" s="646" t="n">
        <v>37668</v>
      </c>
      <c r="AE50" s="646" t="n">
        <v>37667</v>
      </c>
      <c r="AF50" s="646" t="n">
        <v>37663</v>
      </c>
      <c r="AG50" s="438" t="s">
        <v>247</v>
      </c>
      <c r="AH50" s="439" t="s">
        <v>247</v>
      </c>
      <c r="AI50" s="528" t="n">
        <v>21</v>
      </c>
      <c r="AJ50" s="529" t="n">
        <v>14</v>
      </c>
      <c r="AK50" s="529" t="n">
        <v>7</v>
      </c>
      <c r="AL50" s="530" t="n">
        <v>21</v>
      </c>
      <c r="AM50" s="529" t="n">
        <v>10</v>
      </c>
      <c r="AN50" s="531" t="n">
        <v>11</v>
      </c>
      <c r="AO50" s="532"/>
      <c r="AP50" s="465" t="n">
        <f aca="false">(1+AO50/2)^(-2*BL50)</f>
        <v>1</v>
      </c>
      <c r="AQ50" s="532"/>
      <c r="AR50" s="465" t="n">
        <f aca="false">(1+AQ50/2)^(-2*BH50/365.25)</f>
        <v>1</v>
      </c>
      <c r="AS50" s="580" t="n">
        <f aca="false">(O51*AJ50+O52*AK50)/AI50</f>
        <v>0</v>
      </c>
      <c r="AT50" s="468" t="n">
        <f aca="false">O50*VLOOKUP(BF50,BrentVolTable,2)+VLOOKUP(BF50,BrentVolTable,3)</f>
        <v>0</v>
      </c>
      <c r="AU50" s="468" t="n">
        <f aca="false">(AT51*AM50+AT52*AN50)/AL50</f>
        <v>0</v>
      </c>
      <c r="AV50" s="595" t="n">
        <f aca="false">SQRT(MAX(0.000000000001,(O50^2*BH50-S50^2*(BH50-BH49))/BH49))</f>
        <v>0.0220175994312898</v>
      </c>
      <c r="AW50" s="451" t="n">
        <f aca="false">IF($I50-DateToday+15&gt;=$T$8,"",IF($I50-DateToday+15&lt;$T$5,1,MATCH($I50-DateToday+15,$T$5:$T$8)))</f>
        <v>1</v>
      </c>
      <c r="AX50" s="468" t="n">
        <f aca="false">IF($AW50="",AX49^2/AX48,INDEX(U$5:U$8,$AW50)^((INDEX($T$5:$T$8,$AW50+1)-($I50-DateToday+15))/(INDEX($T$5:$T$8,$AW50+1)-INDEX($T$5:$T$8,$AW50)))/INDEX(U$5:U$8,$AW50+1)^((INDEX($T$5:$T$8,$AW50)-($I50-DateToday+15))/(INDEX($T$5:$T$8,$AW50+1)-INDEX($T$5:$T$8,$AW50))))</f>
        <v>6.61823944774149</v>
      </c>
      <c r="AY50" s="468" t="n">
        <f aca="false">IF($AW50="",AY49^2/AY48,INDEX(V$5:V$8,$AW50)^((INDEX($T$5:$T$8,$AW50+1)-($I50-DateToday+15))/(INDEX($T$5:$T$8,$AW50+1)-INDEX($T$5:$T$8,$AW50)))/INDEX(V$5:V$8,$AW50+1)^((INDEX($T$5:$T$8,$AW50)-($I50-DateToday+15))/(INDEX($T$5:$T$8,$AW50+1)-INDEX($T$5:$T$8,$AW50))))</f>
        <v>1478.5854465913</v>
      </c>
      <c r="AZ50" s="468" t="n">
        <f aca="false">IF($AW50="",AZ49^2/AZ48,INDEX(W$5:W$8,$AW50)^((INDEX($T$5:$T$8,$AW50+1)-($I50-DateToday+15))/(INDEX($T$5:$T$8,$AW50+1)-INDEX($T$5:$T$8,$AW50)))/INDEX(W$5:W$8,$AW50+1)^((INDEX($T$5:$T$8,$AW50)-($I50-DateToday+15))/(INDEX($T$5:$T$8,$AW50+1)-INDEX($T$5:$T$8,$AW50))))</f>
        <v>59695268.699768</v>
      </c>
      <c r="BA50" s="468" t="n">
        <f aca="false">IF($AW50="",BA49^2/BA48,INDEX(X$5:X$8,$AW50)^((INDEX($T$5:$T$8,$AW50+1)-($I50-DateToday+15))/(INDEX($T$5:$T$8,$AW50+1)-INDEX($T$5:$T$8,$AW50)))/INDEX(X$5:X$8,$AW50+1)^((INDEX($T$5:$T$8,$AW50)-($I50-DateToday+15))/(INDEX($T$5:$T$8,$AW50+1)-INDEX($T$5:$T$8,$AW50))))</f>
        <v>4115391480.75344</v>
      </c>
      <c r="BB50" s="468" t="n">
        <f aca="false">IF($AW50="",BB49^2/BB48,INDEX(Y$5:Y$8,$AW50)^((INDEX($T$5:$T$8,$AW50+1)-($I50-DateToday+15))/(INDEX($T$5:$T$8,$AW50+1)-INDEX($T$5:$T$8,$AW50)))/INDEX(Y$5:Y$8,$AW50+1)^((INDEX($T$5:$T$8,$AW50)-($I50-DateToday+15))/(INDEX($T$5:$T$8,$AW50+1)-INDEX($T$5:$T$8,$AW50))))</f>
        <v>84598616090.5597</v>
      </c>
      <c r="BC50" s="468" t="n">
        <f aca="false">IF($AW50="",BC49^2/BC48,INDEX(Z$5:Z$8,$AW50)^((INDEX($T$5:$T$8,$AW50+1)-($I50-DateToday+15))/(INDEX($T$5:$T$8,$AW50+1)-INDEX($T$5:$T$8,$AW50)))/INDEX(Z$5:Z$8,$AW50+1)^((INDEX($T$5:$T$8,$AW50)-($I50-DateToday+15))/(INDEX($T$5:$T$8,$AW50+1)-INDEX($T$5:$T$8,$AW50))))</f>
        <v>513119431555.493</v>
      </c>
      <c r="BD50" s="535" t="n">
        <f aca="false">IF(OR(DateStart&gt;=I51,DateEnd&lt;I50),0,IF(VolumeOverrideFlag,V50,Volume))</f>
        <v>0</v>
      </c>
      <c r="BE50" s="536" t="n">
        <f aca="false">IF(OR(DateStart2&gt;=I51,DateEnd2&lt;I50),0,IF(VolumeOverrideFlag,V50,VolumeSwaption))</f>
        <v>0</v>
      </c>
      <c r="BF50" s="537" t="n">
        <f aca="false">YEAR(I50)</f>
        <v>2003</v>
      </c>
      <c r="BG50" s="538" t="n">
        <f aca="false">MONTH(I50)</f>
        <v>3</v>
      </c>
      <c r="BH50" s="539" t="n">
        <f aca="false">AD50-DateToday+1</f>
        <v>-8257</v>
      </c>
      <c r="BI50" s="540" t="n">
        <f aca="false">(I50-DateToday+1)/365.25</f>
        <v>-22.570841889117</v>
      </c>
      <c r="BJ50" s="541" t="n">
        <f aca="false">BI50+(BL50-BI50)*CHOOSE(Underlying,AJ50/AI50,AM50/AL50)</f>
        <v>-22.5160848733744</v>
      </c>
      <c r="BK50" s="541" t="n">
        <f aca="false">BJ50+1/365.25</f>
        <v>-22.5133470225873</v>
      </c>
      <c r="BL50" s="541" t="n">
        <f aca="false">(I51-DateToday)/365.25</f>
        <v>-22.4887063655031</v>
      </c>
      <c r="BM50" s="542" t="e">
        <f aca="false">MAX(BI50-(BJ50-BI50)*(S51^2/O51^2-1),0)</f>
        <v>#DIV/0!</v>
      </c>
      <c r="BN50" s="541" t="e">
        <f aca="false">MAX(BL50+(BL50-BK50)*(S52^2/O52^2-1),0)</f>
        <v>#DIV/0!</v>
      </c>
      <c r="BO50" s="530" t="n">
        <f aca="false">CHOOSE(Underlying,AI50,AL50)</f>
        <v>21</v>
      </c>
      <c r="BP50" s="529" t="n">
        <f aca="false">CHOOSE(Underlying,AJ50,AM50)</f>
        <v>14</v>
      </c>
      <c r="BQ50" s="529" t="n">
        <f aca="false">CHOOSE(Underlying,AK50,AN50)</f>
        <v>7</v>
      </c>
      <c r="BR50" s="463" t="str">
        <f aca="false">IF(BD50,IF(Underlying=1,X50,Z50)+UnderlyingPriceAsian-SwapPriceCurve,"")</f>
        <v/>
      </c>
      <c r="BS50" s="463" t="str">
        <f aca="false">IF(BD50,Strike1/BR50-1,"")</f>
        <v/>
      </c>
      <c r="BT50" s="464" t="str">
        <f aca="false">IF(BD50,Strike2/BR50-1,"")</f>
        <v/>
      </c>
      <c r="BU50" s="465" t="str">
        <f aca="false">IF(BD50,IF(Underlying=1,L51,R51)+UnderlyingPriceAsian-SwapPriceCurve,"")</f>
        <v/>
      </c>
      <c r="BV50" s="465" t="str">
        <f aca="false">IF(BD50,IF(Underlying=1,L52,R52)+UnderlyingPriceAsian-SwapPriceCurve,"")</f>
        <v/>
      </c>
      <c r="BW50" s="466" t="str">
        <f aca="false">IF(BD50,IF(Underlying=1,O51,AT51),"")</f>
        <v/>
      </c>
      <c r="BX50" s="467" t="str">
        <f aca="false">IF(BD50,IF(Underlying=1,O52,AT52),"")</f>
        <v/>
      </c>
      <c r="BY50" s="466" t="str">
        <f aca="false">IF(BD50,IF(BS50&gt;0,IF(BS50&gt;0.2,BC50-BB50,IF(BS50&gt;0.1,BB50-BA50,BA50)),IF(BS50&lt;-0.2,AX50-AY50,IF(BS50&lt;-0.1,AY50-AZ50,AZ50))),"")</f>
        <v/>
      </c>
      <c r="BZ50" s="467" t="str">
        <f aca="false">IF(BD50,IF(BT50&gt;0,IF(BT50&gt;0.2,BC50-BB50,IF(BT50&gt;0.1,BB50-BA50,BA50)),IF(BT50&lt;-0.2,AX50-AY50,IF(BT50&lt;-0.1,AY50-AZ50,AZ50))),"")</f>
        <v/>
      </c>
      <c r="CA50" s="468" t="str">
        <f aca="false">IF($BD50,$BW50+IF(VolSkewFlag=1,IF(BS50&gt;0,$BA50*MIN(BS50/10%,1)+($BB50-$BA50)*MAX(0,MIN(BS50/10%-1,1))+($BC50-$BB50)*MAX(0,BS50/10%-2),$AZ50*MIN(-BS50/10%,1)+($AY50-$AZ50)*MAX(0,MIN(-BS50/10%-1,1))+($AX50-$AY50)*MAX(0,-BS50/10%-2)),0),"")</f>
        <v/>
      </c>
      <c r="CB50" s="468" t="str">
        <f aca="false">IF($BD50,$BX50+IF(VolSkewFlag=1,IF(BS50&gt;0,$BA50*MIN(BS50/10%,1)+($BB50-$BA50)*MAX(0,MIN(BS50/10%-1,1))+($BC50-$BB50)*MAX(0,BS50/10%-2),$AZ50*MIN(-BS50/10%,1)+($AY50-$AZ50)*MAX(0,MIN(-BS50/10%-1,1))+($AX50-$AY50)*MAX(0,-BS50/10%-2)),0),"")</f>
        <v/>
      </c>
      <c r="CC50" s="468" t="str">
        <f aca="false">IF($BD50,$BW50+IF(VolSkewFlag=1,IF(BT50&gt;0,$BA50*MIN(BT50/10%,1)+($BB50-$BA50)*MAX(0,MIN(BT50/10%-1,1))+($BC50-$BB50)*MAX(0,BT50/10%-2),$AZ50*MIN(-BT50/10%,1)+($AY50-$AZ50)*MAX(0,MIN(-BT50/10%-1,1))+($AX50-$AY50)*MAX(0,-BT50/10%-2)),0),"")</f>
        <v/>
      </c>
      <c r="CD50" s="468" t="str">
        <f aca="false">IF($BD50,$BX50+IF(VolSkewFlag=1,IF(BT50&gt;0,$BA50*MIN(BT50/10%,1)+($BB50-$BA50)*MAX(0,MIN(BT50/10%-1,1))+($BC50-$BB50)*MAX(0,BT50/10%-2),$AZ50*MIN(-BT50/10%,1)+($AY50-$AZ50)*MAX(0,MIN(-BT50/10%-1,1))+($AX50-$AY50)*MAX(0,-BT50/10%-2)),0),"")</f>
        <v/>
      </c>
      <c r="CE50" s="469" t="n">
        <v>1</v>
      </c>
      <c r="CF50" s="470" t="n">
        <f aca="false">IF(BD50,xCrudeAPO(BU50,BV50,CA50,CB50,S51,S52,BI50,BL50,BP50,BQ50,0,Strike1,AO50,CE50,0,BL50,IF(OptControl=4,0,1),0,1),0)</f>
        <v>0</v>
      </c>
      <c r="CG50" s="470" t="n">
        <f aca="false">IF(BD50,xCrudeAPO(BU50,BV50,CA50,CB50,S51,S52,BI50,BL50,BP50,BQ50,0,Strike1,AO50,CE50,0,BL50,IF(OptControl=4,0,1),1,1)+xCrudeAPO(BU50,BV50,CA50,CB50,S51,S52,BI50,BL50,BP50,BQ50,0,Strike1,AO50,CE50,0,BL50,IF(OptControl=4,0,1),1,2)+IF(OR(VolSkewFlag=2,ABS(BS50)&lt;0.0001),0,IF(BS50&gt;0,-1,1)*CH50*Strike1/BR50^2*BY50/10%),0)</f>
        <v>0</v>
      </c>
      <c r="CH50" s="470" t="n">
        <f aca="false">IF(BD50,(xCrudeAPO(BU50,BV50,CA50,CB50,S51,S52,BI50,BL50,BP50,BQ50,0,Strike1,AO50,CE50,0,BL50,IF(OptControl=4,0,1),3,1)+xCrudeAPO(BU50,BV50,CA50,CB50,S51,S52,BI50,BL50,BP50,BQ50,0,Strike1,AO50,CE50,0,BL50,IF(OptControl=4,0,1),3,2))/100,0)</f>
        <v>0</v>
      </c>
      <c r="CI50" s="470" t="n">
        <f aca="false">IF(BD50,xCrudeAPO(BU50,BV50,CA50,CB50,S51,S52,BI50-DaysForThetaCalculation/365.25,BL50-DaysForThetaCalculation/365.25,BP50,BQ50,0,Strike1,AO50,CE50,0,BL50,IF(OptControl=4,0,1),0,1)-xCrudeAPO(BU50,BV50,CA50,CB50,S51,S52,BI50,BL50,BP50,BQ50,0,Strike1,AO50,CE50,0,BL50,IF(OptControl=4,0,1),0,1),0)</f>
        <v>0</v>
      </c>
      <c r="CJ50" s="471" t="n">
        <f aca="false">IF(BD50,xCrudeAPO(BU50,BV50,CC50,CD50,S51,S52,BI50,BL50,BP50,BQ50,0,Strike2,AO50,CE50,0,BL50,IF(OptControl=3,1,0),0,1),0)</f>
        <v>0</v>
      </c>
      <c r="CK50" s="470" t="n">
        <f aca="false">IF(BD50,xCrudeAPO(BU50,BV50,CC50,CD50,S51,S52,BI50,BL50,BP50,BQ50,0,Strike2,AO50,CE50,0,BL50,IF(OptControl=3,1,0),1,1)+xCrudeAPO(BU50,BV50,CC50,CD50,S51,S52,BI50,BL50,BP50,BQ50,0,Strike2,AO50,CE50,0,BL50,IF(OptControl=3,1,0),1,2)+IF(OR(VolSkewFlag=2,ABS(BT50)&lt;0.0001),0,IF(BT50&gt;0,-1,1)*CL50*Strike2/BR50^2*BZ50/10%),0)</f>
        <v>0</v>
      </c>
      <c r="CL50" s="470" t="n">
        <f aca="false">IF(BD50,(xCrudeAPO(BU50,BV50,CC50,CD50,S51,S52,BI50,BL50,BP50,BQ50,0,Strike2,AO50,CE50,0,BL50,IF(OptControl=3,1,0),3,1)+xCrudeAPO(BU50,BV50,CC50,CD50,S51,S52,BI50,BL50,BP50,BQ50,0,Strike2,AO50,CE50,0,BL50,IF(OptControl=3,1,0),3,2))/100,0)</f>
        <v>0</v>
      </c>
      <c r="CM50" s="472" t="n">
        <f aca="false">IF(BD50,xCrudeAPO(BU50,BV50,CC50,CD50,S51,S52,BI50-DaysForThetaCalculation/365.25,BL50-DaysForThetaCalculation/365.25,BP50,BQ50,0,Strike2,AO50,CE50,0,BL50,IF(OptControl=3,1,0),0,1)-xCrudeAPO(BU50,BV50,CC50,CD50,S51,S52,BI50,BL50,BP50,BQ50,0,Strike2,AO50,CE50,0,BL50,IF(OptControl=3,1,0),0,1),0)</f>
        <v>0</v>
      </c>
      <c r="CN50" s="3"/>
      <c r="CO50" s="543" t="str">
        <f aca="false">IF(BD50,CHOOSE(Underlying,AD50,AF50)-DateToday+1,"")</f>
        <v/>
      </c>
      <c r="CP50" s="582" t="str">
        <f aca="false">IF(BD50,CHOOSE(Underlying,L50,R50),"")</f>
        <v/>
      </c>
      <c r="CQ50" s="544" t="str">
        <f aca="false">IF(BD50,Strike1/CP50-1,"")</f>
        <v/>
      </c>
      <c r="CR50" s="544" t="str">
        <f aca="false">IF(BD50,Strike2/CP50-1,"")</f>
        <v/>
      </c>
      <c r="CS50" s="544" t="str">
        <f aca="false">IF(BD50,IF(CQ50&gt;0,IF(CQ50&gt;0.2,BC49-BB49,IF(CQ50&gt;0.1,BB49-BA49,BA49)),IF(CQ50&lt;-0.2,AX49-AY49,IF(CQ50&lt;-0.1,AY49-AZ49,AZ49))),"")</f>
        <v/>
      </c>
      <c r="CT50" s="544" t="str">
        <f aca="false">IF(BD50,IF(CR50&gt;0,IF(CR50&gt;0.2,BC49-BB49,IF(CR50&gt;0.1,BB49-BA49,BA49)),IF(CR50&lt;-0.2,AX49-AY49,IF(CR50&lt;-0.1,AY49-AZ49,AZ49))),"")</f>
        <v/>
      </c>
      <c r="CU50" s="545" t="str">
        <f aca="false">IF(BD50,CHOOSE(Underlying,O50,AT50),"")</f>
        <v/>
      </c>
      <c r="CV50" s="545" t="str">
        <f aca="false">IF(BD50,CU50+IF(VolSkewFlag=1,IF(CQ50&gt;0,BA49*MIN(CQ50/10%,1)+(BB49-BA49)*MAX(0,MIN(CQ50/10%-1,1))+(BC49-BB49)*MAX(0,CQ50/10%-2),AZ49*MIN(-CQ50/10%,1)+(AY49-AZ49)*MAX(0,MIN(-CQ50/10%-1,1))+(AX49-AY49)*MAX(0,-CQ50/10%-2)),0),"")</f>
        <v/>
      </c>
      <c r="CW50" s="545" t="str">
        <f aca="false">IF(BD50,CU50+IF(VolSkewFlag=1,IF(CR50&gt;0,BA49*MIN(CR50/10%,1)+(BB49-BA49)*MAX(0,MIN(CR50/10%-1,1))+(BC49-BB49)*MAX(0,CR50/10%-2),AZ49*MIN(-CR50/10%,1)+(AY49-AZ49)*MAX(0,MIN(-CR50/10%-1,1))+(AX49-AY49)*MAX(0,-CR50/10%-2)),0),"")</f>
        <v/>
      </c>
      <c r="CX50" s="470" t="n">
        <f aca="false">IF(BD50,EURO(CP50,Strike1,AO50,AO50,CV50,CO50,IF(OptControl=4,0,1),0),0)</f>
        <v>0</v>
      </c>
      <c r="CY50" s="470" t="n">
        <f aca="false">IF(BD50,EURO(CP50,Strike1,AO50,AO50,CV50,CO50,IF(OptControl=4,0,1),1)+IF(OR(VolSkewFlag=2,ABS(CQ50)&lt;0.0001),0,IF(CQ50&gt;0,-1,1)*CZ50*100*Strike1/CP50^2*CS50/10%),0)</f>
        <v>0</v>
      </c>
      <c r="CZ50" s="470" t="n">
        <f aca="false">IF(BD50,EURO(CP50,Strike1,AO50,AO50,CV50,CO50,IF(OptControl=4,0,1),3)/100,0)</f>
        <v>0</v>
      </c>
      <c r="DA50" s="470" t="n">
        <f aca="false">IF(BD50,EURO(CP50,Strike1,AO50,AO50,CV50,CO50,IF(OptControl=4,0,1),0)-EURO(CP50,Strike1,AO50,AO50,CV50,CO50-1,IF(OptControl=4,0,1),0),0)</f>
        <v>0</v>
      </c>
      <c r="DB50" s="470" t="n">
        <f aca="false">IF(BD50,EURO(CP50,Strike2,AO50,AO50,CW50,CO50,IF(OptControl=3,1,0),0),0)</f>
        <v>0</v>
      </c>
      <c r="DC50" s="470" t="n">
        <f aca="false">IF(BD50,EURO(CP50,Strike2,AO50,AO50,CW50,CO50,IF(OptControl=3,1,0),1)+IF(OR(VolSkewFlag=2,ABS(CR50)&lt;0.0001),0,IF(CR50&gt;0,-1,1)*DD50*100*Strike2/CP50^2*CT50/10%),0)</f>
        <v>0</v>
      </c>
      <c r="DD50" s="470" t="n">
        <f aca="false">IF(BD50,EURO(CP50,Strike2,AO50,AO50,CW50,CO50,IF(OptControl=3,1,0),3)/100,0)</f>
        <v>0</v>
      </c>
      <c r="DE50" s="472" t="n">
        <f aca="false">IF(BD50,EURO(CP50,Strike2,AO50,AO50,CW50,CO50,IF(OptControl=3,1,0),0)-EURO(CP50,Strike2,AO50,AO50,CW50,CO50-1,IF(OptControl=3,1,0),0),0)</f>
        <v>0</v>
      </c>
      <c r="DG50" s="481" t="n">
        <f aca="false">EOMONTH(DG49,0)+1</f>
        <v>46600</v>
      </c>
      <c r="DH50" s="478" t="n">
        <v>19.3133333333333</v>
      </c>
      <c r="DI50" s="479" t="n">
        <v>19.2133333333333</v>
      </c>
      <c r="DJ50" s="480" t="n">
        <f aca="false">DG50</f>
        <v>46600</v>
      </c>
      <c r="DK50" s="478" t="n">
        <v>18.2123148148148</v>
      </c>
      <c r="DL50" s="479" t="n">
        <v>18.0803333333333</v>
      </c>
      <c r="DM50" s="481" t="n">
        <f aca="false">DG50</f>
        <v>46600</v>
      </c>
      <c r="DN50" s="482" t="n">
        <f aca="false">DK50+BrentPhyBrentSpread</f>
        <v>18.2623148148148</v>
      </c>
      <c r="DO50" s="481" t="n">
        <f aca="false">DG50</f>
        <v>46600</v>
      </c>
      <c r="DP50" s="483" t="n">
        <f aca="false">DL50+DQ50</f>
        <v>18.0803333333333</v>
      </c>
      <c r="DQ50" s="546" t="n">
        <v>0</v>
      </c>
      <c r="DR50" s="480" t="n">
        <f aca="false">DG50</f>
        <v>46600</v>
      </c>
      <c r="DS50" s="485" t="n">
        <v>0.218168922547068</v>
      </c>
      <c r="DT50" s="486" t="n">
        <v>0.218697812282354</v>
      </c>
      <c r="DU50" s="480" t="n">
        <f aca="false">DG50</f>
        <v>46600</v>
      </c>
      <c r="DV50" s="485" t="n">
        <v>0.218168922547068</v>
      </c>
      <c r="DW50" s="486" t="n">
        <v>0.218697812282354</v>
      </c>
      <c r="DX50" s="481" t="n">
        <f aca="false">DG50</f>
        <v>46600</v>
      </c>
      <c r="DY50" s="486" t="n">
        <v>0.350000000149012</v>
      </c>
      <c r="DZ50" s="481" t="n">
        <f aca="false">DR50</f>
        <v>46600</v>
      </c>
      <c r="EA50" s="486" t="n">
        <f aca="false">DT50</f>
        <v>0.218697812282354</v>
      </c>
      <c r="EB50" s="195"/>
      <c r="EC50" s="547" t="str">
        <f aca="false">IF(BD50,IF(Underlying=1,AS50,AU50),"")</f>
        <v/>
      </c>
      <c r="ED50" s="548" t="str">
        <f aca="false">IF($BD50,$EC50+IF(VolSkewFlag=1,IF(BS50&gt;0,$BA50*MIN(BS50/10%,1)+($BB50-$BA50)*MAX(0,MIN(BS50/10%-1,1))+($BC50-$BB50)*MAX(0,BS50/10%-2),$AZ50*MIN(-BS50/10%,1)+($AY50-$AZ50)*MAX(0,MIN(-BS50/10%-1,1))+($AX50-$AY50)*MAX(0,-BS50/10%-2)),0),"")</f>
        <v/>
      </c>
      <c r="EE50" s="549" t="str">
        <f aca="false">IF($BD50,$EC50+IF(VolSkewFlag=1,IF(BT50&gt;0,$BA50*MIN(BT50/10%,1)+($BB50-$BA50)*MAX(0,MIN(BT50/10%-1,1))+($BC50-$BB50)*MAX(0,BT50/10%-2),$AZ50*MIN(-BT50/10%,1)+($AY50-$AZ50)*MAX(0,MIN(-BT50/10%-1,1))+($AX50-$AY50)*MAX(0,-BT50/10%-2)),0),"")</f>
        <v/>
      </c>
      <c r="EF50" s="550" t="n">
        <f aca="false">IF(BD50,xASN(BR50,Strike1,AO50,ED50,0,BO50,0,BI50,BL50,IF(OptControl=4,0,1),0),0)</f>
        <v>0</v>
      </c>
      <c r="EG50" s="551" t="n">
        <f aca="false">IF(BD50,xASN(BR50,Strike2,AO50,EE50,0,BO50,0,BI50,BL50,IF(OptControl=3,1,0),0),0)</f>
        <v>0</v>
      </c>
      <c r="EI50" s="583" t="str">
        <f aca="false">DDE("TWINDDE","RSFRecord","CLc31 MTH")</f>
        <v>DEC4</v>
      </c>
      <c r="EJ50" s="584" t="n">
        <f aca="false">DATEVALUE(CONCATENATE(LEFT(EI50,3),"-",IF(VALUE(RIGHT(EI50,1))=9,"1999",CONCATENATE("200",RIGHT(EI50,1)))))</f>
        <v>38322</v>
      </c>
      <c r="EK50" s="585" t="n">
        <f aca="false">DDE("TWINDDE","RSFRecord","CLc31 NET.CHNG")</f>
        <v>0</v>
      </c>
      <c r="EL50" s="586" t="n">
        <f aca="false">IF(ISNUMBER(VALUE(EK50)),VALUE(EK50)*100,0)</f>
        <v>0</v>
      </c>
      <c r="EM50" s="195"/>
      <c r="EN50" s="556" t="n">
        <v>39441</v>
      </c>
      <c r="EO50" s="557" t="n">
        <v>42005</v>
      </c>
      <c r="EP50" s="195"/>
      <c r="EQ50" s="407" t="s">
        <v>274</v>
      </c>
      <c r="ER50" s="3"/>
      <c r="ES50" s="587" t="n">
        <v>31</v>
      </c>
      <c r="ET50" s="559" t="n">
        <f aca="false">BH50/365.25</f>
        <v>-22.6064339493498</v>
      </c>
      <c r="EU50" s="560" t="n">
        <f aca="false">O50^2*ET50</f>
        <v>-0</v>
      </c>
      <c r="EV50" s="588" t="e">
        <f aca="false">SQRT(SUM(FK50:ID50)/ET50)</f>
        <v>#VALUE!</v>
      </c>
      <c r="EW50" s="589" t="str">
        <f aca="false">IF(OR(DateStart2&gt;I49,DateEnd2&lt;I48),"",IF(DateStart2&lt;I49,AK48/AI48*AP48*BE48*SwaptionNumOfMonths/$D$33,0)+IF(DateEnd2&gt;I48,AJ49/AI49*AP49*BE49*SwaptionNumOfMonths/$D$33,0))</f>
        <v/>
      </c>
      <c r="EX50" s="590" t="str">
        <f aca="false">IF(EW50="","",SQRT(SUM(FK355:ID355)/SwaptionYearsToExp))</f>
        <v/>
      </c>
      <c r="EY50" s="129" t="n">
        <v>0</v>
      </c>
      <c r="EZ50" s="591" t="str">
        <f aca="false">IF(OR(EW50="",EW51=""),"",SQRT(SUM(INDEX(FK50:ID50,SwaptionFirstMonthPosition+1):INDEX(FK50:ID50,FJ50))/SUM(INDEX($FK$15:$ID$15,SwaptionFirstMonthPosition+1):INDEX($FK$15:$ID$15,FJ50))))</f>
        <v/>
      </c>
      <c r="FA50" s="592" t="str">
        <f aca="false">IF(OR(EW50="",EW49=""),"",SQRT(SUM(INDEX(FK50:ID50,SwaptionFirstMonthPosition+1):INDEX(FK50:ID50,FJ50-1))/SUM(INDEX($FK$15:$ID$15,SwaptionFirstMonthPosition+1):INDEX($FK$15:$ID$15,FJ50-1))))</f>
        <v/>
      </c>
      <c r="FB50" s="593" t="str">
        <f aca="false">IF(BE50,2/3*EZ51+1/3*FA52,"")</f>
        <v/>
      </c>
      <c r="FC50" s="596" t="str">
        <f aca="false">IF(BE50,(I51+I50-1)/2-DateToday,"")</f>
        <v/>
      </c>
      <c r="FD50" s="483" t="str">
        <f aca="false">IF(BE50,CHOOSE(Underlying,X50,Z50)+SwaptionUnderlyingPrice-$D$26,"")</f>
        <v/>
      </c>
      <c r="FE50" s="483" t="str">
        <f aca="false">IF(BE50,CollartionFloor/FD50-1,"")</f>
        <v/>
      </c>
      <c r="FF50" s="483" t="str">
        <f aca="false">IF(BE50,CollartionCap/FD50-1,"")</f>
        <v/>
      </c>
      <c r="FG50" s="485" t="str">
        <f aca="false">IF(BE50,IF(VolSkewFlag=1,IF(FE50&gt;0,$BA50*MIN(FE50/10%,1)+($BB50-$BA50)*MAX(0,MIN(FE50/10%-1,1))+($BC50-$BB50)*MAX(0,FE50/10%-2),$AZ50*MIN(-FE50/10%,1)+($AY50-$AZ50)*MAX(0,MIN(-FE50/10%-1,1))+($AX50-$AY50)*MAX(0,-FE50/10%-2)),0),"")</f>
        <v/>
      </c>
      <c r="FH50" s="486" t="str">
        <f aca="false">IF(BE50,IF(VolSkewFlag=1,IF(FF50&gt;0,$BA50*MIN(FF50/10%,1)+($BB50-$BA50)*MAX(0,MIN(FF50/10%-1,1))+($BC50-$BB50)*MAX(0,FF50/10%-2),$AZ50*MIN(-FF50/10%,1)+($AY50-$AZ50)*MAX(0,MIN(-FF50/10%-1,1))+($AX50-$AY50)*MAX(0,-FF50/10%-2)),0),"")</f>
        <v/>
      </c>
      <c r="FI50" s="129"/>
      <c r="FJ50" s="571" t="n">
        <v>31</v>
      </c>
      <c r="FK50" s="150" t="n">
        <f aca="false">IF(FK$19&gt;$FJ50,"",MAX(0,IF(FK$19=$FJ50,$S50^2*FK$15,FK49*INDEX($T$20:$T$91,$FJ50-FK$19)^2/INDEX($U$20:$U$91,$FJ50-FK$19))))</f>
        <v>0</v>
      </c>
      <c r="FL50" s="150" t="n">
        <f aca="false">IF(FL$19&gt;$FJ50,"",MAX(0,IF(FL$19=$FJ50,$S50^2*FL$15,FL49*INDEX($T$20:$T$91,$FJ50-FL$19)^2/INDEX($U$20:$U$91,$FJ50-FL$19))))</f>
        <v>0</v>
      </c>
      <c r="FM50" s="150" t="n">
        <f aca="false">IF(FM$19&gt;$FJ50,"",MAX(0,IF(FM$19=$FJ50,$S50^2*FM$15,FM49*INDEX($T$20:$T$91,$FJ50-FM$19)^2/INDEX($U$20:$U$91,$FJ50-FM$19))))</f>
        <v>0.00259638946523154</v>
      </c>
      <c r="FN50" s="150" t="n">
        <f aca="false">IF(FN$19&gt;$FJ50,"",MAX(0,IF(FN$19=$FJ50,$S50^2*FN$15,FN49*INDEX($T$20:$T$91,$FJ50-FN$19)^2/INDEX($U$20:$U$91,$FJ50-FN$19))))</f>
        <v>0.00219247275586249</v>
      </c>
      <c r="FO50" s="150" t="n">
        <f aca="false">IF(FO$19&gt;$FJ50,"",MAX(0,IF(FO$19=$FJ50,$S50^2*FO$15,FO49*INDEX($T$20:$T$91,$FJ50-FO$19)^2/INDEX($U$20:$U$91,$FJ50-FO$19))))</f>
        <v>0.00228925192900522</v>
      </c>
      <c r="FP50" s="150" t="n">
        <f aca="false">IF(FP$19&gt;$FJ50,"",MAX(0,IF(FP$19=$FJ50,$S50^2*FP$15,FP49*INDEX($T$20:$T$91,$FJ50-FP$19)^2/INDEX($U$20:$U$91,$FJ50-FP$19))))</f>
        <v>0.00254812476013992</v>
      </c>
      <c r="FQ50" s="150" t="n">
        <f aca="false">IF(FQ$19&gt;$FJ50,"",MAX(0,IF(FQ$19=$FJ50,$S50^2*FQ$15,FQ49*INDEX($T$20:$T$91,$FJ50-FQ$19)^2/INDEX($U$20:$U$91,$FJ50-FQ$19))))</f>
        <v>0.00207382396242688</v>
      </c>
      <c r="FR50" s="150" t="n">
        <f aca="false">IF(FR$19&gt;$FJ50,"",MAX(0,IF(FR$19=$FJ50,$S50^2*FR$15,FR49*INDEX($T$20:$T$91,$FJ50-FR$19)^2/INDEX($U$20:$U$91,$FJ50-FR$19))))</f>
        <v>0.00213344453287186</v>
      </c>
      <c r="FS50" s="150" t="n">
        <f aca="false">IF(FS$19&gt;$FJ50,"",MAX(0,IF(FS$19=$FJ50,$S50^2*FS$15,FS49*INDEX($T$20:$T$91,$FJ50-FS$19)^2/INDEX($U$20:$U$91,$FJ50-FS$19))))</f>
        <v>0.00242156356926352</v>
      </c>
      <c r="FT50" s="150" t="n">
        <f aca="false">IF(FT$19&gt;$FJ50,"",MAX(0,IF(FT$19=$FJ50,$S50^2*FT$15,FT49*INDEX($T$20:$T$91,$FJ50-FT$19)^2/INDEX($U$20:$U$91,$FJ50-FT$19))))</f>
        <v>0.00220381349265377</v>
      </c>
      <c r="FU50" s="150" t="n">
        <f aca="false">IF(FU$19&gt;$FJ50,"",MAX(0,IF(FU$19=$FJ50,$S50^2*FU$15,FU49*INDEX($T$20:$T$91,$FJ50-FU$19)^2/INDEX($U$20:$U$91,$FJ50-FU$19))))</f>
        <v>0.00213960027947527</v>
      </c>
      <c r="FV50" s="150" t="n">
        <f aca="false">IF(FV$19&gt;$FJ50,"",MAX(0,IF(FV$19=$FJ50,$S50^2*FV$15,FV49*INDEX($T$20:$T$91,$FJ50-FV$19)^2/INDEX($U$20:$U$91,$FJ50-FV$19))))</f>
        <v>0.00237841862801374</v>
      </c>
      <c r="FW50" s="150" t="n">
        <f aca="false">IF(FW$19&gt;$FJ50,"",MAX(0,IF(FW$19=$FJ50,$S50^2*FW$15,FW49*INDEX($T$20:$T$91,$FJ50-FW$19)^2/INDEX($U$20:$U$91,$FJ50-FW$19))))</f>
        <v>0.00225301704285658</v>
      </c>
      <c r="FX50" s="150" t="n">
        <f aca="false">IF(FX$19&gt;$FJ50,"",MAX(0,IF(FX$19=$FJ50,$S50^2*FX$15,FX49*INDEX($T$20:$T$91,$FJ50-FX$19)^2/INDEX($U$20:$U$91,$FJ50-FX$19))))</f>
        <v>0.00243576611920717</v>
      </c>
      <c r="FY50" s="150" t="n">
        <f aca="false">IF(FY$19&gt;$FJ50,"",MAX(0,IF(FY$19=$FJ50,$S50^2*FY$15,FY49*INDEX($T$20:$T$91,$FJ50-FY$19)^2/INDEX($U$20:$U$91,$FJ50-FY$19))))</f>
        <v>0.00232207328012332</v>
      </c>
      <c r="FZ50" s="150" t="n">
        <f aca="false">IF(FZ$19&gt;$FJ50,"",MAX(0,IF(FZ$19=$FJ50,$S50^2*FZ$15,FZ49*INDEX($T$20:$T$91,$FJ50-FZ$19)^2/INDEX($U$20:$U$91,$FJ50-FZ$19))))</f>
        <v>0.00221181413846902</v>
      </c>
      <c r="GA50" s="150" t="n">
        <f aca="false">IF(GA$19&gt;$FJ50,"",MAX(0,IF(GA$19=$FJ50,$S50^2*GA$15,GA49*INDEX($T$20:$T$91,$FJ50-GA$19)^2/INDEX($U$20:$U$91,$FJ50-GA$19))))</f>
        <v>0.00242832267112478</v>
      </c>
      <c r="GB50" s="150" t="n">
        <f aca="false">IF(GB$19&gt;$FJ50,"",MAX(0,IF(GB$19=$FJ50,$S50^2*GB$15,GB49*INDEX($T$20:$T$91,$FJ50-GB$19)^2/INDEX($U$20:$U$91,$FJ50-GB$19))))</f>
        <v>0.00274978257968849</v>
      </c>
      <c r="GC50" s="150" t="n">
        <f aca="false">IF(GC$19&gt;$FJ50,"",MAX(0,IF(GC$19=$FJ50,$S50^2*GC$15,GC49*INDEX($T$20:$T$91,$FJ50-GC$19)^2/INDEX($U$20:$U$91,$FJ50-GC$19))))</f>
        <v>0.00250087556519034</v>
      </c>
      <c r="GD50" s="150" t="n">
        <f aca="false">IF(GD$19&gt;$FJ50,"",MAX(0,IF(GD$19=$FJ50,$S50^2*GD$15,GD49*INDEX($T$20:$T$91,$FJ50-GD$19)^2/INDEX($U$20:$U$91,$FJ50-GD$19))))</f>
        <v>0.00260426315082543</v>
      </c>
      <c r="GE50" s="150" t="n">
        <f aca="false">IF(GE$19&gt;$FJ50,"",MAX(0,IF(GE$19=$FJ50,$S50^2*GE$15,GE49*INDEX($T$20:$T$91,$FJ50-GE$19)^2/INDEX($U$20:$U$91,$FJ50-GE$19))))</f>
        <v>0.00310832673325067</v>
      </c>
      <c r="GF50" s="150" t="n">
        <f aca="false">IF(GF$19&gt;$FJ50,"",MAX(0,IF(GF$19=$FJ50,$S50^2*GF$15,GF49*INDEX($T$20:$T$91,$FJ50-GF$19)^2/INDEX($U$20:$U$91,$FJ50-GF$19))))</f>
        <v>0.00288941602708449</v>
      </c>
      <c r="GG50" s="150" t="n">
        <f aca="false">IF(GG$19&gt;$FJ50,"",MAX(0,IF(GG$19=$FJ50,$S50^2*GG$15,GG49*INDEX($T$20:$T$91,$FJ50-GG$19)^2/INDEX($U$20:$U$91,$FJ50-GG$19))))</f>
        <v>0.0034062986210711</v>
      </c>
      <c r="GH50" s="150" t="n">
        <f aca="false">IF(GH$19&gt;$FJ50,"",MAX(0,IF(GH$19=$FJ50,$S50^2*GH$15,GH49*INDEX($T$20:$T$91,$FJ50-GH$19)^2/INDEX($U$20:$U$91,$FJ50-GH$19))))</f>
        <v>0.00345201470460113</v>
      </c>
      <c r="GI50" s="150" t="n">
        <f aca="false">IF(GI$19&gt;$FJ50,"",MAX(0,IF(GI$19=$FJ50,$S50^2*GI$15,GI49*INDEX($T$20:$T$91,$FJ50-GI$19)^2/INDEX($U$20:$U$91,$FJ50-GI$19))))</f>
        <v>0.00365762271971674</v>
      </c>
      <c r="GJ50" s="150" t="n">
        <f aca="false">IF(GJ$19&gt;$FJ50,"",MAX(0,IF(GJ$19=$FJ50,$S50^2*GJ$15,GJ49*INDEX($T$20:$T$91,$FJ50-GJ$19)^2/INDEX($U$20:$U$91,$FJ50-GJ$19))))</f>
        <v>0.00463787923311317</v>
      </c>
      <c r="GK50" s="150" t="n">
        <f aca="false">IF(GK$19&gt;$FJ50,"",MAX(0,IF(GK$19=$FJ50,$S50^2*GK$15,GK49*INDEX($T$20:$T$91,$FJ50-GK$19)^2/INDEX($U$20:$U$91,$FJ50-GK$19))))</f>
        <v>0.00479123218643698</v>
      </c>
      <c r="GL50" s="150" t="n">
        <f aca="false">IF(GL$19&gt;$FJ50,"",MAX(0,IF(GL$19=$FJ50,$S50^2*GL$15,GL49*INDEX($T$20:$T$91,$FJ50-GL$19)^2/INDEX($U$20:$U$91,$FJ50-GL$19))))</f>
        <v>0.00538787264794941</v>
      </c>
      <c r="GM50" s="150" t="n">
        <f aca="false">IF(GM$19&gt;$FJ50,"",MAX(0,IF(GM$19=$FJ50,$S50^2*GM$15,GM49*INDEX($T$20:$T$91,$FJ50-GM$19)^2/INDEX($U$20:$U$91,$FJ50-GM$19))))</f>
        <v>0.00689096485565876</v>
      </c>
      <c r="GN50" s="150" t="n">
        <f aca="false">IF(GN$19&gt;$FJ50,"",MAX(0,IF(GN$19=$FJ50,$S50^2*GN$15,GN49*INDEX($T$20:$T$91,$FJ50-GN$19)^2/INDEX($U$20:$U$91,$FJ50-GN$19))))</f>
        <v>0.00852907155097531</v>
      </c>
      <c r="GO50" s="150" t="n">
        <f aca="false">IF(GO$19&gt;$FJ50,"",MAX(0,IF(GO$19=$FJ50,$S50^2*GO$15,GO49*INDEX($T$20:$T$91,$FJ50-GO$19)^2/INDEX($U$20:$U$91,$FJ50-GO$19))))</f>
        <v>0.0110001713536817</v>
      </c>
      <c r="GP50" s="150" t="str">
        <f aca="false">IF(GP$19&gt;$FJ50,"",MAX(0,IF(GP$19=$FJ50,$S50^2*GP$15,GP49*INDEX($T$20:$T$91,$FJ50-GP$19)^2/INDEX($U$20:$U$91,$FJ50-GP$19))))</f>
        <v/>
      </c>
      <c r="GQ50" s="150" t="str">
        <f aca="false">IF(GQ$19&gt;$FJ50,"",MAX(0,IF(GQ$19=$FJ50,$S50^2*GQ$15,GQ49*INDEX($T$20:$T$91,$FJ50-GQ$19)^2/INDEX($U$20:$U$91,$FJ50-GQ$19))))</f>
        <v/>
      </c>
      <c r="GR50" s="150" t="str">
        <f aca="false">IF(GR$19&gt;$FJ50,"",MAX(0,IF(GR$19=$FJ50,$S50^2*GR$15,GR49*INDEX($T$20:$T$91,$FJ50-GR$19)^2/INDEX($U$20:$U$91,$FJ50-GR$19))))</f>
        <v/>
      </c>
      <c r="GS50" s="150" t="str">
        <f aca="false">IF(GS$19&gt;$FJ50,"",MAX(0,IF(GS$19=$FJ50,$S50^2*GS$15,GS49*INDEX($T$20:$T$91,$FJ50-GS$19)^2/INDEX($U$20:$U$91,$FJ50-GS$19))))</f>
        <v/>
      </c>
      <c r="GT50" s="150" t="str">
        <f aca="false">IF(GT$19&gt;$FJ50,"",MAX(0,IF(GT$19=$FJ50,$S50^2*GT$15,GT49*INDEX($T$20:$T$91,$FJ50-GT$19)^2/INDEX($U$20:$U$91,$FJ50-GT$19))))</f>
        <v/>
      </c>
      <c r="GU50" s="150" t="str">
        <f aca="false">IF(GU$19&gt;$FJ50,"",MAX(0,IF(GU$19=$FJ50,$S50^2*GU$15,GU49*INDEX($T$20:$T$91,$FJ50-GU$19)^2/INDEX($U$20:$U$91,$FJ50-GU$19))))</f>
        <v/>
      </c>
      <c r="GV50" s="150" t="str">
        <f aca="false">IF(GV$19&gt;$FJ50,"",MAX(0,IF(GV$19=$FJ50,$S50^2*GV$15,GV49*INDEX($T$20:$T$91,$FJ50-GV$19)^2/INDEX($U$20:$U$91,$FJ50-GV$19))))</f>
        <v/>
      </c>
      <c r="GW50" s="150" t="str">
        <f aca="false">IF(GW$19&gt;$FJ50,"",MAX(0,IF(GW$19=$FJ50,$S50^2*GW$15,GW49*INDEX($T$20:$T$91,$FJ50-GW$19)^2/INDEX($U$20:$U$91,$FJ50-GW$19))))</f>
        <v/>
      </c>
      <c r="GX50" s="150" t="str">
        <f aca="false">IF(GX$19&gt;$FJ50,"",MAX(0,IF(GX$19=$FJ50,$S50^2*GX$15,GX49*INDEX($T$20:$T$91,$FJ50-GX$19)^2/INDEX($U$20:$U$91,$FJ50-GX$19))))</f>
        <v/>
      </c>
      <c r="GY50" s="150" t="str">
        <f aca="false">IF(GY$19&gt;$FJ50,"",MAX(0,IF(GY$19=$FJ50,$S50^2*GY$15,GY49*INDEX($T$20:$T$91,$FJ50-GY$19)^2/INDEX($U$20:$U$91,$FJ50-GY$19))))</f>
        <v/>
      </c>
      <c r="GZ50" s="150" t="str">
        <f aca="false">IF(GZ$19&gt;$FJ50,"",MAX(0,IF(GZ$19=$FJ50,$S50^2*GZ$15,GZ49*INDEX($T$20:$T$91,$FJ50-GZ$19)^2/INDEX($U$20:$U$91,$FJ50-GZ$19))))</f>
        <v/>
      </c>
      <c r="HA50" s="150" t="str">
        <f aca="false">IF(HA$19&gt;$FJ50,"",MAX(0,IF(HA$19=$FJ50,$S50^2*HA$15,HA49*INDEX($T$20:$T$91,$FJ50-HA$19)^2/INDEX($U$20:$U$91,$FJ50-HA$19))))</f>
        <v/>
      </c>
      <c r="HB50" s="150" t="str">
        <f aca="false">IF(HB$19&gt;$FJ50,"",MAX(0,IF(HB$19=$FJ50,$S50^2*HB$15,HB49*INDEX($T$20:$T$91,$FJ50-HB$19)^2/INDEX($U$20:$U$91,$FJ50-HB$19))))</f>
        <v/>
      </c>
      <c r="HC50" s="150" t="str">
        <f aca="false">IF(HC$19&gt;$FJ50,"",MAX(0,IF(HC$19=$FJ50,$S50^2*HC$15,HC49*INDEX($T$20:$T$91,$FJ50-HC$19)^2/INDEX($U$20:$U$91,$FJ50-HC$19))))</f>
        <v/>
      </c>
      <c r="HD50" s="150" t="str">
        <f aca="false">IF(HD$19&gt;$FJ50,"",MAX(0,IF(HD$19=$FJ50,$S50^2*HD$15,HD49*INDEX($T$20:$T$91,$FJ50-HD$19)^2/INDEX($U$20:$U$91,$FJ50-HD$19))))</f>
        <v/>
      </c>
      <c r="HE50" s="150" t="str">
        <f aca="false">IF(HE$19&gt;$FJ50,"",MAX(0,IF(HE$19=$FJ50,$S50^2*HE$15,HE49*INDEX($T$20:$T$91,$FJ50-HE$19)^2/INDEX($U$20:$U$91,$FJ50-HE$19))))</f>
        <v/>
      </c>
      <c r="HF50" s="150" t="str">
        <f aca="false">IF(HF$19&gt;$FJ50,"",MAX(0,IF(HF$19=$FJ50,$S50^2*HF$15,HF49*INDEX($T$20:$T$91,$FJ50-HF$19)^2/INDEX($U$20:$U$91,$FJ50-HF$19))))</f>
        <v/>
      </c>
      <c r="HG50" s="150" t="str">
        <f aca="false">IF(HG$19&gt;$FJ50,"",MAX(0,IF(HG$19=$FJ50,$S50^2*HG$15,HG49*INDEX($T$20:$T$91,$FJ50-HG$19)^2/INDEX($U$20:$U$91,$FJ50-HG$19))))</f>
        <v/>
      </c>
      <c r="HH50" s="150" t="str">
        <f aca="false">IF(HH$19&gt;$FJ50,"",MAX(0,IF(HH$19=$FJ50,$S50^2*HH$15,HH49*INDEX($T$20:$T$91,$FJ50-HH$19)^2/INDEX($U$20:$U$91,$FJ50-HH$19))))</f>
        <v/>
      </c>
      <c r="HI50" s="150" t="str">
        <f aca="false">IF(HI$19&gt;$FJ50,"",MAX(0,IF(HI$19=$FJ50,$S50^2*HI$15,HI49*INDEX($T$20:$T$91,$FJ50-HI$19)^2/INDEX($U$20:$U$91,$FJ50-HI$19))))</f>
        <v/>
      </c>
      <c r="HJ50" s="150" t="str">
        <f aca="false">IF(HJ$19&gt;$FJ50,"",MAX(0,IF(HJ$19=$FJ50,$S50^2*HJ$15,HJ49*INDEX($T$20:$T$91,$FJ50-HJ$19)^2/INDEX($U$20:$U$91,$FJ50-HJ$19))))</f>
        <v/>
      </c>
      <c r="HK50" s="150" t="str">
        <f aca="false">IF(HK$19&gt;$FJ50,"",MAX(0,IF(HK$19=$FJ50,$S50^2*HK$15,HK49*INDEX($T$20:$T$91,$FJ50-HK$19)^2/INDEX($U$20:$U$91,$FJ50-HK$19))))</f>
        <v/>
      </c>
      <c r="HL50" s="150" t="str">
        <f aca="false">IF(HL$19&gt;$FJ50,"",MAX(0,IF(HL$19=$FJ50,$S50^2*HL$15,HL49*INDEX($T$20:$T$91,$FJ50-HL$19)^2/INDEX($U$20:$U$91,$FJ50-HL$19))))</f>
        <v/>
      </c>
      <c r="HM50" s="150" t="str">
        <f aca="false">IF(HM$19&gt;$FJ50,"",MAX(0,IF(HM$19=$FJ50,$S50^2*HM$15,HM49*INDEX($T$20:$T$91,$FJ50-HM$19)^2/INDEX($U$20:$U$91,$FJ50-HM$19))))</f>
        <v/>
      </c>
      <c r="HN50" s="150" t="str">
        <f aca="false">IF(HN$19&gt;$FJ50,"",MAX(0,IF(HN$19=$FJ50,$S50^2*HN$15,HN49*INDEX($T$20:$T$91,$FJ50-HN$19)^2/INDEX($U$20:$U$91,$FJ50-HN$19))))</f>
        <v/>
      </c>
      <c r="HO50" s="150" t="str">
        <f aca="false">IF(HO$19&gt;$FJ50,"",MAX(0,IF(HO$19=$FJ50,$S50^2*HO$15,HO49*INDEX($T$20:$T$91,$FJ50-HO$19)^2/INDEX($U$20:$U$91,$FJ50-HO$19))))</f>
        <v/>
      </c>
      <c r="HP50" s="150" t="str">
        <f aca="false">IF(HP$19&gt;$FJ50,"",MAX(0,IF(HP$19=$FJ50,$S50^2*HP$15,HP49*INDEX($T$20:$T$91,$FJ50-HP$19)^2/INDEX($U$20:$U$91,$FJ50-HP$19))))</f>
        <v/>
      </c>
      <c r="HQ50" s="150" t="str">
        <f aca="false">IF(HQ$19&gt;$FJ50,"",MAX(0,IF(HQ$19=$FJ50,$S50^2*HQ$15,HQ49*INDEX($T$20:$T$91,$FJ50-HQ$19)^2/INDEX($U$20:$U$91,$FJ50-HQ$19))))</f>
        <v/>
      </c>
      <c r="HR50" s="150" t="str">
        <f aca="false">IF(HR$19&gt;$FJ50,"",MAX(0,IF(HR$19=$FJ50,$S50^2*HR$15,HR49*INDEX($T$20:$T$91,$FJ50-HR$19)^2/INDEX($U$20:$U$91,$FJ50-HR$19))))</f>
        <v/>
      </c>
      <c r="HS50" s="150" t="str">
        <f aca="false">IF(HS$19&gt;$FJ50,"",MAX(0,IF(HS$19=$FJ50,$S50^2*HS$15,HS49*INDEX($T$20:$T$91,$FJ50-HS$19)^2/INDEX($U$20:$U$91,$FJ50-HS$19))))</f>
        <v/>
      </c>
      <c r="HT50" s="150" t="str">
        <f aca="false">IF(HT$19&gt;$FJ50,"",MAX(0,IF(HT$19=$FJ50,$S50^2*HT$15,HT49*INDEX($T$20:$T$91,$FJ50-HT$19)^2/INDEX($U$20:$U$91,$FJ50-HT$19))))</f>
        <v/>
      </c>
      <c r="HU50" s="150" t="str">
        <f aca="false">IF(HU$19&gt;$FJ50,"",MAX(0,IF(HU$19=$FJ50,$S50^2*HU$15,HU49*INDEX($T$20:$T$91,$FJ50-HU$19)^2/INDEX($U$20:$U$91,$FJ50-HU$19))))</f>
        <v/>
      </c>
      <c r="HV50" s="150" t="str">
        <f aca="false">IF(HV$19&gt;$FJ50,"",MAX(0,IF(HV$19=$FJ50,$S50^2*HV$15,HV49*INDEX($T$20:$T$91,$FJ50-HV$19)^2/INDEX($U$20:$U$91,$FJ50-HV$19))))</f>
        <v/>
      </c>
      <c r="HW50" s="150" t="str">
        <f aca="false">IF(HW$19&gt;$FJ50,"",MAX(0,IF(HW$19=$FJ50,$S50^2*HW$15,HW49*INDEX($T$20:$T$91,$FJ50-HW$19)^2/INDEX($U$20:$U$91,$FJ50-HW$19))))</f>
        <v/>
      </c>
      <c r="HX50" s="150" t="str">
        <f aca="false">IF(HX$19&gt;$FJ50,"",MAX(0,IF(HX$19=$FJ50,$S50^2*HX$15,HX49*INDEX($T$20:$T$91,$FJ50-HX$19)^2/INDEX($U$20:$U$91,$FJ50-HX$19))))</f>
        <v/>
      </c>
      <c r="HY50" s="150" t="str">
        <f aca="false">IF(HY$19&gt;$FJ50,"",MAX(0,IF(HY$19=$FJ50,$S50^2*HY$15,HY49*INDEX($T$20:$T$91,$FJ50-HY$19)^2/INDEX($U$20:$U$91,$FJ50-HY$19))))</f>
        <v/>
      </c>
      <c r="HZ50" s="150" t="str">
        <f aca="false">IF(HZ$19&gt;$FJ50,"",MAX(0,IF(HZ$19=$FJ50,$S50^2*HZ$15,HZ49*INDEX($T$20:$T$91,$FJ50-HZ$19)^2/INDEX($U$20:$U$91,$FJ50-HZ$19))))</f>
        <v/>
      </c>
      <c r="IA50" s="150" t="str">
        <f aca="false">IF(IA$19&gt;$FJ50,"",MAX(0,IF(IA$19=$FJ50,$S50^2*IA$15,IA49*INDEX($T$20:$T$91,$FJ50-IA$19)^2/INDEX($U$20:$U$91,$FJ50-IA$19))))</f>
        <v/>
      </c>
      <c r="IB50" s="150" t="str">
        <f aca="false">IF(IB$19&gt;$FJ50,"",MAX(0,IF(IB$19=$FJ50,$S50^2*IB$15,IB49*INDEX($T$20:$T$91,$FJ50-IB$19)^2/INDEX($U$20:$U$91,$FJ50-IB$19))))</f>
        <v/>
      </c>
      <c r="IC50" s="150" t="str">
        <f aca="false">IF(IC$19&gt;$FJ50,"",MAX(0,IF(IC$19=$FJ50,$S50^2*IC$15,IC49*INDEX($T$20:$T$91,$FJ50-IC$19)^2/INDEX($U$20:$U$91,$FJ50-IC$19))))</f>
        <v/>
      </c>
      <c r="ID50" s="572" t="str">
        <f aca="false">IF(ID$19&gt;$FJ50,"",MAX(0,IF(ID$19=$FJ50,$S50^2*ID$15,ID49*INDEX($T$20:$T$91,$FJ50-ID$19)^2/INDEX($U$20:$U$91,$FJ50-ID$19))))</f>
        <v/>
      </c>
      <c r="IE50" s="129"/>
    </row>
    <row r="51" customFormat="false" ht="14.25" hidden="false" customHeight="true" outlineLevel="0" collapsed="false">
      <c r="A51" s="219"/>
      <c r="B51" s="219"/>
      <c r="C51" s="219"/>
      <c r="D51" s="219"/>
      <c r="E51" s="219"/>
      <c r="F51" s="219"/>
      <c r="G51" s="219"/>
      <c r="H51" s="219" t="n">
        <f aca="false">VLOOKUP(I51,$EJ$20:$EL$54,3)</f>
        <v>0</v>
      </c>
      <c r="I51" s="511" t="n">
        <f aca="false">EOMONTH(I50,0)+1</f>
        <v>37712</v>
      </c>
      <c r="J51" s="512"/>
      <c r="K51" s="513" t="s">
        <v>250</v>
      </c>
      <c r="L51" s="514" t="e">
        <f aca="false">IF(ISNUMBER(K51),J51+K51/100,IF(K51="extra",L50+VLOOKUP(BF51,PriceSpreadTable,2)/12,IF(K51="inter",interpolateprices($K$19:$L$200,ROW(K51)-ROW(FirstPricingMonth)+1),interpolatechanges($J$19:$K$200,ROW(K51)-ROW(FirstPricingMonth)+1))))</f>
        <v>#VALUE!</v>
      </c>
      <c r="M51" s="515"/>
      <c r="N51" s="516" t="n">
        <v>0</v>
      </c>
      <c r="O51" s="515" t="n">
        <f aca="false">M51+N51</f>
        <v>0</v>
      </c>
      <c r="P51" s="512"/>
      <c r="Q51" s="513" t="s">
        <v>250</v>
      </c>
      <c r="R51" s="512" t="e">
        <f aca="false">IF(ISNUMBER(Q51),P51+Q51/100,IF(Q51="extra",(Z49*AL49-R50*AM49)/AN49,IF(Q51="inter",interpolateprices($Q$19:$R$260,ROW(Q51)-ROW(FirstPricingMonth)+1),interpolatechanges($P$19:$Q$260,ROW(Q51)-ROW(FirstPricingMonth)+1))))</f>
        <v>#VALUE!</v>
      </c>
      <c r="S51" s="597" t="n">
        <f aca="false">S$19+(S50-S$19)*S$18</f>
        <v>0.360007143283607</v>
      </c>
      <c r="T51" s="575" t="n">
        <f aca="false">SQRT((1-(1-T50^2/U50)*T$18)*U51)</f>
        <v>0.9991247643278</v>
      </c>
      <c r="U51" s="576" t="n">
        <f aca="false">1-(1-U50)*U$18</f>
        <v>0.999997990951486</v>
      </c>
      <c r="V51" s="521" t="n">
        <v>0</v>
      </c>
      <c r="W51" s="577" t="n">
        <f aca="false">(J52*AJ51+J53*AK51)/AI51</f>
        <v>0</v>
      </c>
      <c r="X51" s="578" t="e">
        <f aca="false">(L52*AJ51+L53*AK51)/AI51</f>
        <v>#VALUE!</v>
      </c>
      <c r="Y51" s="579" t="n">
        <f aca="false">IF(Q53="extra",W51-AA51,(P52*AM51+P53*AN51)/AL51)</f>
        <v>0</v>
      </c>
      <c r="Z51" s="579" t="e">
        <f aca="false">IF(Q53="extra",X51-AB51,(R52*AM51+R53*AN51)/AL51)</f>
        <v>#VALUE!</v>
      </c>
      <c r="AA51" s="523" t="n">
        <f aca="false">IF(Q53="extra",INDEX(BrentSeasonalityTable,INT((BG51-1)/3)+1)*VLOOKUP(MAX(BF51,$AB$4),PriceSpreadTable,3),W51-Y51)</f>
        <v>0</v>
      </c>
      <c r="AB51" s="524" t="e">
        <f aca="false">IF(Q53="extra",INDEX(BrentSeasonalityTable,INT((BG51-1)/3)+1)*VLOOKUP(MAX(BF51,$AB$4),PriceSpreadTable,3),X51-Z51)</f>
        <v>#VALUE!</v>
      </c>
      <c r="AC51" s="525" t="n">
        <v>37700</v>
      </c>
      <c r="AD51" s="646" t="n">
        <v>37696</v>
      </c>
      <c r="AE51" s="646" t="n">
        <v>37695</v>
      </c>
      <c r="AF51" s="646" t="n">
        <v>37691</v>
      </c>
      <c r="AG51" s="438" t="s">
        <v>247</v>
      </c>
      <c r="AH51" s="439" t="s">
        <v>247</v>
      </c>
      <c r="AI51" s="528" t="n">
        <v>22</v>
      </c>
      <c r="AJ51" s="529" t="n">
        <v>14</v>
      </c>
      <c r="AK51" s="529" t="n">
        <v>8</v>
      </c>
      <c r="AL51" s="530" t="n">
        <v>22</v>
      </c>
      <c r="AM51" s="529" t="n">
        <v>10</v>
      </c>
      <c r="AN51" s="531" t="n">
        <v>12</v>
      </c>
      <c r="AO51" s="532"/>
      <c r="AP51" s="465" t="n">
        <f aca="false">(1+AO51/2)^(-2*BL51)</f>
        <v>1</v>
      </c>
      <c r="AQ51" s="532"/>
      <c r="AR51" s="465" t="n">
        <f aca="false">(1+AQ51/2)^(-2*BH51/365.25)</f>
        <v>1</v>
      </c>
      <c r="AS51" s="580" t="n">
        <f aca="false">(O52*AJ51+O53*AK51)/AI51</f>
        <v>0</v>
      </c>
      <c r="AT51" s="468" t="n">
        <f aca="false">O51*VLOOKUP(BF51,BrentVolTable,2)+VLOOKUP(BF51,BrentVolTable,3)</f>
        <v>0</v>
      </c>
      <c r="AU51" s="468" t="n">
        <f aca="false">(AT52*AM51+AT53*AN51)/AL51</f>
        <v>0</v>
      </c>
      <c r="AV51" s="595" t="n">
        <f aca="false">SQRT(MAX(0.000000000001,(O51^2*BH51-S51^2*(BH51-BH50))/BH50))</f>
        <v>0.0209642336586401</v>
      </c>
      <c r="AW51" s="451" t="n">
        <f aca="false">IF($I51-DateToday+15&gt;=$T$8,"",IF($I51-DateToday+15&lt;$T$5,1,MATCH($I51-DateToday+15,$T$5:$T$8)))</f>
        <v>1</v>
      </c>
      <c r="AX51" s="468" t="n">
        <f aca="false">IF($AW51="",AX50^2/AX49,INDEX(U$5:U$8,$AW51)^((INDEX($T$5:$T$8,$AW51+1)-($I51-DateToday+15))/(INDEX($T$5:$T$8,$AW51+1)-INDEX($T$5:$T$8,$AW51)))/INDEX(U$5:U$8,$AW51+1)^((INDEX($T$5:$T$8,$AW51)-($I51-DateToday+15))/(INDEX($T$5:$T$8,$AW51+1)-INDEX($T$5:$T$8,$AW51))))</f>
        <v>6.4756881735031</v>
      </c>
      <c r="AY51" s="468" t="n">
        <f aca="false">IF($AW51="",AY50^2/AY49,INDEX(V$5:V$8,$AW51)^((INDEX($T$5:$T$8,$AW51+1)-($I51-DateToday+15))/(INDEX($T$5:$T$8,$AW51+1)-INDEX($T$5:$T$8,$AW51)))/INDEX(V$5:V$8,$AW51+1)^((INDEX($T$5:$T$8,$AW51)-($I51-DateToday+15))/(INDEX($T$5:$T$8,$AW51+1)-INDEX($T$5:$T$8,$AW51))))</f>
        <v>1416.47829332592</v>
      </c>
      <c r="AZ51" s="468" t="n">
        <f aca="false">IF($AW51="",AZ50^2/AZ49,INDEX(W$5:W$8,$AW51)^((INDEX($T$5:$T$8,$AW51+1)-($I51-DateToday+15))/(INDEX($T$5:$T$8,$AW51+1)-INDEX($T$5:$T$8,$AW51)))/INDEX(W$5:W$8,$AW51+1)^((INDEX($T$5:$T$8,$AW51)-($I51-DateToday+15))/(INDEX($T$5:$T$8,$AW51+1)-INDEX($T$5:$T$8,$AW51))))</f>
        <v>54896886.9914483</v>
      </c>
      <c r="BA51" s="468" t="n">
        <f aca="false">IF($AW51="",BA50^2/BA49,INDEX(X$5:X$8,$AW51)^((INDEX($T$5:$T$8,$AW51+1)-($I51-DateToday+15))/(INDEX($T$5:$T$8,$AW51+1)-INDEX($T$5:$T$8,$AW51)))/INDEX(X$5:X$8,$AW51+1)^((INDEX($T$5:$T$8,$AW51)-($I51-DateToday+15))/(INDEX($T$5:$T$8,$AW51+1)-INDEX($T$5:$T$8,$AW51))))</f>
        <v>3703074185.96517</v>
      </c>
      <c r="BB51" s="468" t="n">
        <f aca="false">IF($AW51="",BB50^2/BB49,INDEX(Y$5:Y$8,$AW51)^((INDEX($T$5:$T$8,$AW51+1)-($I51-DateToday+15))/(INDEX($T$5:$T$8,$AW51+1)-INDEX($T$5:$T$8,$AW51)))/INDEX(Y$5:Y$8,$AW51+1)^((INDEX($T$5:$T$8,$AW51)-($I51-DateToday+15))/(INDEX($T$5:$T$8,$AW51+1)-INDEX($T$5:$T$8,$AW51))))</f>
        <v>75359046584.1681</v>
      </c>
      <c r="BC51" s="468" t="n">
        <f aca="false">IF($AW51="",BC50^2/BC49,INDEX(Z$5:Z$8,$AW51)^((INDEX($T$5:$T$8,$AW51+1)-($I51-DateToday+15))/(INDEX($T$5:$T$8,$AW51+1)-INDEX($T$5:$T$8,$AW51)))/INDEX(Z$5:Z$8,$AW51+1)^((INDEX($T$5:$T$8,$AW51)-($I51-DateToday+15))/(INDEX($T$5:$T$8,$AW51+1)-INDEX($T$5:$T$8,$AW51))))</f>
        <v>454424924510.383</v>
      </c>
      <c r="BD51" s="535" t="n">
        <f aca="false">IF(OR(DateStart&gt;=I52,DateEnd&lt;I51),0,IF(VolumeOverrideFlag,V51,Volume))</f>
        <v>0</v>
      </c>
      <c r="BE51" s="536" t="n">
        <f aca="false">IF(OR(DateStart2&gt;=I52,DateEnd2&lt;I51),0,IF(VolumeOverrideFlag,V51,VolumeSwaption))</f>
        <v>0</v>
      </c>
      <c r="BF51" s="537" t="n">
        <f aca="false">YEAR(I51)</f>
        <v>2003</v>
      </c>
      <c r="BG51" s="538" t="n">
        <f aca="false">MONTH(I51)</f>
        <v>4</v>
      </c>
      <c r="BH51" s="539" t="n">
        <f aca="false">AD51-DateToday+1</f>
        <v>-8229</v>
      </c>
      <c r="BI51" s="540" t="n">
        <f aca="false">(I51-DateToday+1)/365.25</f>
        <v>-22.485968514716</v>
      </c>
      <c r="BJ51" s="541" t="n">
        <f aca="false">BI51+(BL51-BI51)*CHOOSE(Underlying,AJ51/AI51,AM51/AL51)</f>
        <v>-22.4354427229171</v>
      </c>
      <c r="BK51" s="541" t="n">
        <f aca="false">BJ51+1/365.25</f>
        <v>-22.4327048721299</v>
      </c>
      <c r="BL51" s="541" t="n">
        <f aca="false">(I52-DateToday)/365.25</f>
        <v>-22.4065708418891</v>
      </c>
      <c r="BM51" s="542" t="e">
        <f aca="false">MAX(BI51-(BJ51-BI51)*(S52^2/O52^2-1),0)</f>
        <v>#DIV/0!</v>
      </c>
      <c r="BN51" s="541" t="e">
        <f aca="false">MAX(BL51+(BL51-BK51)*(S53^2/O53^2-1),0)</f>
        <v>#DIV/0!</v>
      </c>
      <c r="BO51" s="530" t="n">
        <f aca="false">CHOOSE(Underlying,AI51,AL51)</f>
        <v>22</v>
      </c>
      <c r="BP51" s="529" t="n">
        <f aca="false">CHOOSE(Underlying,AJ51,AM51)</f>
        <v>14</v>
      </c>
      <c r="BQ51" s="529" t="n">
        <f aca="false">CHOOSE(Underlying,AK51,AN51)</f>
        <v>8</v>
      </c>
      <c r="BR51" s="463" t="str">
        <f aca="false">IF(BD51,IF(Underlying=1,X51,Z51)+UnderlyingPriceAsian-SwapPriceCurve,"")</f>
        <v/>
      </c>
      <c r="BS51" s="463" t="str">
        <f aca="false">IF(BD51,Strike1/BR51-1,"")</f>
        <v/>
      </c>
      <c r="BT51" s="464" t="str">
        <f aca="false">IF(BD51,Strike2/BR51-1,"")</f>
        <v/>
      </c>
      <c r="BU51" s="465" t="str">
        <f aca="false">IF(BD51,IF(Underlying=1,L52,R52)+UnderlyingPriceAsian-SwapPriceCurve,"")</f>
        <v/>
      </c>
      <c r="BV51" s="465" t="str">
        <f aca="false">IF(BD51,IF(Underlying=1,L53,R53)+UnderlyingPriceAsian-SwapPriceCurve,"")</f>
        <v/>
      </c>
      <c r="BW51" s="466" t="str">
        <f aca="false">IF(BD51,IF(Underlying=1,O52,AT52),"")</f>
        <v/>
      </c>
      <c r="BX51" s="467" t="str">
        <f aca="false">IF(BD51,IF(Underlying=1,O53,AT53),"")</f>
        <v/>
      </c>
      <c r="BY51" s="466" t="str">
        <f aca="false">IF(BD51,IF(BS51&gt;0,IF(BS51&gt;0.2,BC51-BB51,IF(BS51&gt;0.1,BB51-BA51,BA51)),IF(BS51&lt;-0.2,AX51-AY51,IF(BS51&lt;-0.1,AY51-AZ51,AZ51))),"")</f>
        <v/>
      </c>
      <c r="BZ51" s="467" t="str">
        <f aca="false">IF(BD51,IF(BT51&gt;0,IF(BT51&gt;0.2,BC51-BB51,IF(BT51&gt;0.1,BB51-BA51,BA51)),IF(BT51&lt;-0.2,AX51-AY51,IF(BT51&lt;-0.1,AY51-AZ51,AZ51))),"")</f>
        <v/>
      </c>
      <c r="CA51" s="468" t="str">
        <f aca="false">IF($BD51,$BW51+IF(VolSkewFlag=1,IF(BS51&gt;0,$BA51*MIN(BS51/10%,1)+($BB51-$BA51)*MAX(0,MIN(BS51/10%-1,1))+($BC51-$BB51)*MAX(0,BS51/10%-2),$AZ51*MIN(-BS51/10%,1)+($AY51-$AZ51)*MAX(0,MIN(-BS51/10%-1,1))+($AX51-$AY51)*MAX(0,-BS51/10%-2)),0),"")</f>
        <v/>
      </c>
      <c r="CB51" s="468" t="str">
        <f aca="false">IF($BD51,$BX51+IF(VolSkewFlag=1,IF(BS51&gt;0,$BA51*MIN(BS51/10%,1)+($BB51-$BA51)*MAX(0,MIN(BS51/10%-1,1))+($BC51-$BB51)*MAX(0,BS51/10%-2),$AZ51*MIN(-BS51/10%,1)+($AY51-$AZ51)*MAX(0,MIN(-BS51/10%-1,1))+($AX51-$AY51)*MAX(0,-BS51/10%-2)),0),"")</f>
        <v/>
      </c>
      <c r="CC51" s="468" t="str">
        <f aca="false">IF($BD51,$BW51+IF(VolSkewFlag=1,IF(BT51&gt;0,$BA51*MIN(BT51/10%,1)+($BB51-$BA51)*MAX(0,MIN(BT51/10%-1,1))+($BC51-$BB51)*MAX(0,BT51/10%-2),$AZ51*MIN(-BT51/10%,1)+($AY51-$AZ51)*MAX(0,MIN(-BT51/10%-1,1))+($AX51-$AY51)*MAX(0,-BT51/10%-2)),0),"")</f>
        <v/>
      </c>
      <c r="CD51" s="468" t="str">
        <f aca="false">IF($BD51,$BX51+IF(VolSkewFlag=1,IF(BT51&gt;0,$BA51*MIN(BT51/10%,1)+($BB51-$BA51)*MAX(0,MIN(BT51/10%-1,1))+($BC51-$BB51)*MAX(0,BT51/10%-2),$AZ51*MIN(-BT51/10%,1)+($AY51-$AZ51)*MAX(0,MIN(-BT51/10%-1,1))+($AX51-$AY51)*MAX(0,-BT51/10%-2)),0),"")</f>
        <v/>
      </c>
      <c r="CE51" s="469" t="n">
        <v>1</v>
      </c>
      <c r="CF51" s="470" t="n">
        <f aca="false">IF(BD51,xCrudeAPO(BU51,BV51,CA51,CB51,S52,S53,BI51,BL51,BP51,BQ51,0,Strike1,AO51,CE51,0,BL51,IF(OptControl=4,0,1),0,1),0)</f>
        <v>0</v>
      </c>
      <c r="CG51" s="470" t="n">
        <f aca="false">IF(BD51,xCrudeAPO(BU51,BV51,CA51,CB51,S52,S53,BI51,BL51,BP51,BQ51,0,Strike1,AO51,CE51,0,BL51,IF(OptControl=4,0,1),1,1)+xCrudeAPO(BU51,BV51,CA51,CB51,S52,S53,BI51,BL51,BP51,BQ51,0,Strike1,AO51,CE51,0,BL51,IF(OptControl=4,0,1),1,2)+IF(OR(VolSkewFlag=2,ABS(BS51)&lt;0.0001),0,IF(BS51&gt;0,-1,1)*CH51*Strike1/BR51^2*BY51/10%),0)</f>
        <v>0</v>
      </c>
      <c r="CH51" s="470" t="n">
        <f aca="false">IF(BD51,(xCrudeAPO(BU51,BV51,CA51,CB51,S52,S53,BI51,BL51,BP51,BQ51,0,Strike1,AO51,CE51,0,BL51,IF(OptControl=4,0,1),3,1)+xCrudeAPO(BU51,BV51,CA51,CB51,S52,S53,BI51,BL51,BP51,BQ51,0,Strike1,AO51,CE51,0,BL51,IF(OptControl=4,0,1),3,2))/100,0)</f>
        <v>0</v>
      </c>
      <c r="CI51" s="470" t="n">
        <f aca="false">IF(BD51,xCrudeAPO(BU51,BV51,CA51,CB51,S52,S53,BI51-DaysForThetaCalculation/365.25,BL51-DaysForThetaCalculation/365.25,BP51,BQ51,0,Strike1,AO51,CE51,0,BL51,IF(OptControl=4,0,1),0,1)-xCrudeAPO(BU51,BV51,CA51,CB51,S52,S53,BI51,BL51,BP51,BQ51,0,Strike1,AO51,CE51,0,BL51,IF(OptControl=4,0,1),0,1),0)</f>
        <v>0</v>
      </c>
      <c r="CJ51" s="471" t="n">
        <f aca="false">IF(BD51,xCrudeAPO(BU51,BV51,CC51,CD51,S52,S53,BI51,BL51,BP51,BQ51,0,Strike2,AO51,CE51,0,BL51,IF(OptControl=3,1,0),0,1),0)</f>
        <v>0</v>
      </c>
      <c r="CK51" s="470" t="n">
        <f aca="false">IF(BD51,xCrudeAPO(BU51,BV51,CC51,CD51,S52,S53,BI51,BL51,BP51,BQ51,0,Strike2,AO51,CE51,0,BL51,IF(OptControl=3,1,0),1,1)+xCrudeAPO(BU51,BV51,CC51,CD51,S52,S53,BI51,BL51,BP51,BQ51,0,Strike2,AO51,CE51,0,BL51,IF(OptControl=3,1,0),1,2)+IF(OR(VolSkewFlag=2,ABS(BT51)&lt;0.0001),0,IF(BT51&gt;0,-1,1)*CL51*Strike2/BR51^2*BZ51/10%),0)</f>
        <v>0</v>
      </c>
      <c r="CL51" s="470" t="n">
        <f aca="false">IF(BD51,(xCrudeAPO(BU51,BV51,CC51,CD51,S52,S53,BI51,BL51,BP51,BQ51,0,Strike2,AO51,CE51,0,BL51,IF(OptControl=3,1,0),3,1)+xCrudeAPO(BU51,BV51,CC51,CD51,S52,S53,BI51,BL51,BP51,BQ51,0,Strike2,AO51,CE51,0,BL51,IF(OptControl=3,1,0),3,2))/100,0)</f>
        <v>0</v>
      </c>
      <c r="CM51" s="472" t="n">
        <f aca="false">IF(BD51,xCrudeAPO(BU51,BV51,CC51,CD51,S52,S53,BI51-DaysForThetaCalculation/365.25,BL51-DaysForThetaCalculation/365.25,BP51,BQ51,0,Strike2,AO51,CE51,0,BL51,IF(OptControl=3,1,0),0,1)-xCrudeAPO(BU51,BV51,CC51,CD51,S52,S53,BI51,BL51,BP51,BQ51,0,Strike2,AO51,CE51,0,BL51,IF(OptControl=3,1,0),0,1),0)</f>
        <v>0</v>
      </c>
      <c r="CN51" s="3"/>
      <c r="CO51" s="543" t="str">
        <f aca="false">IF(BD51,CHOOSE(Underlying,AD51,AF51)-DateToday+1,"")</f>
        <v/>
      </c>
      <c r="CP51" s="582" t="str">
        <f aca="false">IF(BD51,CHOOSE(Underlying,L51,R51),"")</f>
        <v/>
      </c>
      <c r="CQ51" s="544" t="str">
        <f aca="false">IF(BD51,Strike1/CP51-1,"")</f>
        <v/>
      </c>
      <c r="CR51" s="544" t="str">
        <f aca="false">IF(BD51,Strike2/CP51-1,"")</f>
        <v/>
      </c>
      <c r="CS51" s="544" t="str">
        <f aca="false">IF(BD51,IF(CQ51&gt;0,IF(CQ51&gt;0.2,BC50-BB50,IF(CQ51&gt;0.1,BB50-BA50,BA50)),IF(CQ51&lt;-0.2,AX50-AY50,IF(CQ51&lt;-0.1,AY50-AZ50,AZ50))),"")</f>
        <v/>
      </c>
      <c r="CT51" s="544" t="str">
        <f aca="false">IF(BD51,IF(CR51&gt;0,IF(CR51&gt;0.2,BC50-BB50,IF(CR51&gt;0.1,BB50-BA50,BA50)),IF(CR51&lt;-0.2,AX50-AY50,IF(CR51&lt;-0.1,AY50-AZ50,AZ50))),"")</f>
        <v/>
      </c>
      <c r="CU51" s="545" t="str">
        <f aca="false">IF(BD51,CHOOSE(Underlying,O51,AT51),"")</f>
        <v/>
      </c>
      <c r="CV51" s="545" t="str">
        <f aca="false">IF(BD51,CU51+IF(VolSkewFlag=1,IF(CQ51&gt;0,BA50*MIN(CQ51/10%,1)+(BB50-BA50)*MAX(0,MIN(CQ51/10%-1,1))+(BC50-BB50)*MAX(0,CQ51/10%-2),AZ50*MIN(-CQ51/10%,1)+(AY50-AZ50)*MAX(0,MIN(-CQ51/10%-1,1))+(AX50-AY50)*MAX(0,-CQ51/10%-2)),0),"")</f>
        <v/>
      </c>
      <c r="CW51" s="545" t="str">
        <f aca="false">IF(BD51,CU51+IF(VolSkewFlag=1,IF(CR51&gt;0,BA50*MIN(CR51/10%,1)+(BB50-BA50)*MAX(0,MIN(CR51/10%-1,1))+(BC50-BB50)*MAX(0,CR51/10%-2),AZ50*MIN(-CR51/10%,1)+(AY50-AZ50)*MAX(0,MIN(-CR51/10%-1,1))+(AX50-AY50)*MAX(0,-CR51/10%-2)),0),"")</f>
        <v/>
      </c>
      <c r="CX51" s="470" t="n">
        <f aca="false">IF(BD51,EURO(CP51,Strike1,AO51,AO51,CV51,CO51,IF(OptControl=4,0,1),0),0)</f>
        <v>0</v>
      </c>
      <c r="CY51" s="470" t="n">
        <f aca="false">IF(BD51,EURO(CP51,Strike1,AO51,AO51,CV51,CO51,IF(OptControl=4,0,1),1)+IF(OR(VolSkewFlag=2,ABS(CQ51)&lt;0.0001),0,IF(CQ51&gt;0,-1,1)*CZ51*100*Strike1/CP51^2*CS51/10%),0)</f>
        <v>0</v>
      </c>
      <c r="CZ51" s="470" t="n">
        <f aca="false">IF(BD51,EURO(CP51,Strike1,AO51,AO51,CV51,CO51,IF(OptControl=4,0,1),3)/100,0)</f>
        <v>0</v>
      </c>
      <c r="DA51" s="470" t="n">
        <f aca="false">IF(BD51,EURO(CP51,Strike1,AO51,AO51,CV51,CO51,IF(OptControl=4,0,1),0)-EURO(CP51,Strike1,AO51,AO51,CV51,CO51-1,IF(OptControl=4,0,1),0),0)</f>
        <v>0</v>
      </c>
      <c r="DB51" s="470" t="n">
        <f aca="false">IF(BD51,EURO(CP51,Strike2,AO51,AO51,CW51,CO51,IF(OptControl=3,1,0),0),0)</f>
        <v>0</v>
      </c>
      <c r="DC51" s="470" t="n">
        <f aca="false">IF(BD51,EURO(CP51,Strike2,AO51,AO51,CW51,CO51,IF(OptControl=3,1,0),1)+IF(OR(VolSkewFlag=2,ABS(CR51)&lt;0.0001),0,IF(CR51&gt;0,-1,1)*DD51*100*Strike2/CP51^2*CT51/10%),0)</f>
        <v>0</v>
      </c>
      <c r="DD51" s="470" t="n">
        <f aca="false">IF(BD51,EURO(CP51,Strike2,AO51,AO51,CW51,CO51,IF(OptControl=3,1,0),3)/100,0)</f>
        <v>0</v>
      </c>
      <c r="DE51" s="472" t="n">
        <f aca="false">IF(BD51,EURO(CP51,Strike2,AO51,AO51,CW51,CO51,IF(OptControl=3,1,0),0)-EURO(CP51,Strike2,AO51,AO51,CW51,CO51-1,IF(OptControl=3,1,0),0),0)</f>
        <v>0</v>
      </c>
      <c r="DG51" s="481" t="n">
        <f aca="false">EOMONTH(DG50,0)+1</f>
        <v>46631</v>
      </c>
      <c r="DH51" s="478" t="n">
        <v>19.24</v>
      </c>
      <c r="DI51" s="479" t="n">
        <v>19.1457142857143</v>
      </c>
      <c r="DJ51" s="480" t="n">
        <f aca="false">DG51</f>
        <v>46631</v>
      </c>
      <c r="DK51" s="478" t="n">
        <v>18.1062947530864</v>
      </c>
      <c r="DL51" s="479" t="n">
        <v>18.0127142857143</v>
      </c>
      <c r="DM51" s="481" t="n">
        <f aca="false">DG51</f>
        <v>46631</v>
      </c>
      <c r="DN51" s="482" t="n">
        <f aca="false">DK51+BrentPhyBrentSpread</f>
        <v>18.1562947530864</v>
      </c>
      <c r="DO51" s="481" t="n">
        <f aca="false">DG51</f>
        <v>46631</v>
      </c>
      <c r="DP51" s="483" t="n">
        <f aca="false">DL51+DQ51</f>
        <v>18.0127142857143</v>
      </c>
      <c r="DQ51" s="546" t="n">
        <v>0</v>
      </c>
      <c r="DR51" s="480" t="n">
        <f aca="false">DG51</f>
        <v>46631</v>
      </c>
      <c r="DS51" s="485" t="n">
        <v>0.219548459957856</v>
      </c>
      <c r="DT51" s="486" t="n">
        <v>0.216881479249527</v>
      </c>
      <c r="DU51" s="480" t="n">
        <f aca="false">DG51</f>
        <v>46631</v>
      </c>
      <c r="DV51" s="485" t="n">
        <v>0.219548459957856</v>
      </c>
      <c r="DW51" s="486" t="n">
        <v>0.216881479249527</v>
      </c>
      <c r="DX51" s="481" t="n">
        <f aca="false">DG51</f>
        <v>46631</v>
      </c>
      <c r="DY51" s="486" t="n">
        <v>0.350000000074506</v>
      </c>
      <c r="DZ51" s="481" t="n">
        <f aca="false">DR51</f>
        <v>46631</v>
      </c>
      <c r="EA51" s="486" t="n">
        <f aca="false">DT51</f>
        <v>0.216881479249527</v>
      </c>
      <c r="EB51" s="195"/>
      <c r="EC51" s="547" t="str">
        <f aca="false">IF(BD51,IF(Underlying=1,AS51,AU51),"")</f>
        <v/>
      </c>
      <c r="ED51" s="548" t="str">
        <f aca="false">IF($BD51,$EC51+IF(VolSkewFlag=1,IF(BS51&gt;0,$BA51*MIN(BS51/10%,1)+($BB51-$BA51)*MAX(0,MIN(BS51/10%-1,1))+($BC51-$BB51)*MAX(0,BS51/10%-2),$AZ51*MIN(-BS51/10%,1)+($AY51-$AZ51)*MAX(0,MIN(-BS51/10%-1,1))+($AX51-$AY51)*MAX(0,-BS51/10%-2)),0),"")</f>
        <v/>
      </c>
      <c r="EE51" s="549" t="str">
        <f aca="false">IF($BD51,$EC51+IF(VolSkewFlag=1,IF(BT51&gt;0,$BA51*MIN(BT51/10%,1)+($BB51-$BA51)*MAX(0,MIN(BT51/10%-1,1))+($BC51-$BB51)*MAX(0,BT51/10%-2),$AZ51*MIN(-BT51/10%,1)+($AY51-$AZ51)*MAX(0,MIN(-BT51/10%-1,1))+($AX51-$AY51)*MAX(0,-BT51/10%-2)),0),"")</f>
        <v/>
      </c>
      <c r="EF51" s="550" t="n">
        <f aca="false">IF(BD51,xASN(BR51,Strike1,AO51,ED51,0,BO51,0,BI51,BL51,IF(OptControl=4,0,1),0),0)</f>
        <v>0</v>
      </c>
      <c r="EG51" s="551" t="n">
        <f aca="false">IF(BD51,xASN(BR51,Strike2,AO51,EE51,0,BO51,0,BI51,BL51,IF(OptControl=3,1,0),0),0)</f>
        <v>0</v>
      </c>
      <c r="EI51" s="583" t="str">
        <f aca="false">DDE("TWINDDE","RSFRecord","CLc32 MTH")</f>
        <v>DEC5</v>
      </c>
      <c r="EJ51" s="584" t="n">
        <f aca="false">DATEVALUE(CONCATENATE(LEFT(EI51,3),"-",IF(VALUE(RIGHT(EI51,1))=9,"1999",CONCATENATE("200",RIGHT(EI51,1)))))</f>
        <v>38687</v>
      </c>
      <c r="EK51" s="585" t="n">
        <f aca="false">DDE("TWINDDE","RSFRecord","CLc32 NET.CHNG")</f>
        <v>0</v>
      </c>
      <c r="EL51" s="586" t="n">
        <f aca="false">IF(ISNUMBER(VALUE(EK51)),VALUE(EK51)*100,0)</f>
        <v>0</v>
      </c>
      <c r="EM51" s="195"/>
      <c r="EN51" s="556" t="n">
        <v>39448</v>
      </c>
      <c r="EO51" s="557" t="n">
        <v>42363</v>
      </c>
      <c r="EP51" s="195"/>
      <c r="EQ51" s="407" t="s">
        <v>275</v>
      </c>
      <c r="ER51" s="3"/>
      <c r="ES51" s="587" t="n">
        <v>32</v>
      </c>
      <c r="ET51" s="559" t="n">
        <f aca="false">BH51/365.25</f>
        <v>-22.5297741273101</v>
      </c>
      <c r="EU51" s="560" t="n">
        <f aca="false">O51^2*ET51</f>
        <v>-0</v>
      </c>
      <c r="EV51" s="588" t="e">
        <f aca="false">SQRT(SUM(FK51:ID51)/ET51)</f>
        <v>#VALUE!</v>
      </c>
      <c r="EW51" s="589" t="str">
        <f aca="false">IF(OR(DateStart2&gt;I50,DateEnd2&lt;I49),"",IF(DateStart2&lt;I50,AK49/AI49*AP49*BE49*SwaptionNumOfMonths/$D$33,0)+IF(DateEnd2&gt;I49,AJ50/AI50*AP50*BE50*SwaptionNumOfMonths/$D$33,0))</f>
        <v/>
      </c>
      <c r="EX51" s="590" t="str">
        <f aca="false">IF(EW51="","",SQRT(SUM(FK356:ID356)/SwaptionYearsToExp))</f>
        <v/>
      </c>
      <c r="EY51" s="129" t="n">
        <v>0</v>
      </c>
      <c r="EZ51" s="591" t="str">
        <f aca="false">IF(OR(EW51="",EW52=""),"",SQRT(SUM(INDEX(FK51:ID51,SwaptionFirstMonthPosition+1):INDEX(FK51:ID51,FJ51))/SUM(INDEX($FK$15:$ID$15,SwaptionFirstMonthPosition+1):INDEX($FK$15:$ID$15,FJ51))))</f>
        <v/>
      </c>
      <c r="FA51" s="592" t="str">
        <f aca="false">IF(OR(EW51="",EW50=""),"",SQRT(SUM(INDEX(FK51:ID51,SwaptionFirstMonthPosition+1):INDEX(FK51:ID51,FJ51-1))/SUM(INDEX($FK$15:$ID$15,SwaptionFirstMonthPosition+1):INDEX($FK$15:$ID$15,FJ51-1))))</f>
        <v/>
      </c>
      <c r="FB51" s="593" t="str">
        <f aca="false">IF(BE51,2/3*EZ52+1/3*FA53,"")</f>
        <v/>
      </c>
      <c r="FC51" s="596" t="str">
        <f aca="false">IF(BE51,(I52+I51-1)/2-DateToday,"")</f>
        <v/>
      </c>
      <c r="FD51" s="483" t="str">
        <f aca="false">IF(BE51,CHOOSE(Underlying,X51,Z51)+SwaptionUnderlyingPrice-$D$26,"")</f>
        <v/>
      </c>
      <c r="FE51" s="483" t="str">
        <f aca="false">IF(BE51,CollartionFloor/FD51-1,"")</f>
        <v/>
      </c>
      <c r="FF51" s="483" t="str">
        <f aca="false">IF(BE51,CollartionCap/FD51-1,"")</f>
        <v/>
      </c>
      <c r="FG51" s="485" t="str">
        <f aca="false">IF(BE51,IF(VolSkewFlag=1,IF(FE51&gt;0,$BA51*MIN(FE51/10%,1)+($BB51-$BA51)*MAX(0,MIN(FE51/10%-1,1))+($BC51-$BB51)*MAX(0,FE51/10%-2),$AZ51*MIN(-FE51/10%,1)+($AY51-$AZ51)*MAX(0,MIN(-FE51/10%-1,1))+($AX51-$AY51)*MAX(0,-FE51/10%-2)),0),"")</f>
        <v/>
      </c>
      <c r="FH51" s="486" t="str">
        <f aca="false">IF(BE51,IF(VolSkewFlag=1,IF(FF51&gt;0,$BA51*MIN(FF51/10%,1)+($BB51-$BA51)*MAX(0,MIN(FF51/10%-1,1))+($BC51-$BB51)*MAX(0,FF51/10%-2),$AZ51*MIN(-FF51/10%,1)+($AY51-$AZ51)*MAX(0,MIN(-FF51/10%-1,1))+($AX51-$AY51)*MAX(0,-FF51/10%-2)),0),"")</f>
        <v/>
      </c>
      <c r="FI51" s="129"/>
      <c r="FJ51" s="571" t="n">
        <v>32</v>
      </c>
      <c r="FK51" s="150" t="n">
        <f aca="false">IF(FK$19&gt;$FJ51,"",MAX(0,IF(FK$19=$FJ51,$S51^2*FK$15,FK50*INDEX($T$20:$T$91,$FJ51-FK$19)^2/INDEX($U$20:$U$91,$FJ51-FK$19))))</f>
        <v>0</v>
      </c>
      <c r="FL51" s="150" t="n">
        <f aca="false">IF(FL$19&gt;$FJ51,"",MAX(0,IF(FL$19=$FJ51,$S51^2*FL$15,FL50*INDEX($T$20:$T$91,$FJ51-FL$19)^2/INDEX($U$20:$U$91,$FJ51-FL$19))))</f>
        <v>0</v>
      </c>
      <c r="FM51" s="150" t="n">
        <f aca="false">IF(FM$19&gt;$FJ51,"",MAX(0,IF(FM$19=$FJ51,$S51^2*FM$15,FM50*INDEX($T$20:$T$91,$FJ51-FM$19)^2/INDEX($U$20:$U$91,$FJ51-FM$19))))</f>
        <v>0.00258912943677238</v>
      </c>
      <c r="FN51" s="150" t="n">
        <f aca="false">IF(FN$19&gt;$FJ51,"",MAX(0,IF(FN$19=$FJ51,$S51^2*FN$15,FN50*INDEX($T$20:$T$91,$FJ51-FN$19)^2/INDEX($U$20:$U$91,$FJ51-FN$19))))</f>
        <v>0.00218530246826325</v>
      </c>
      <c r="FO51" s="150" t="n">
        <f aca="false">IF(FO$19&gt;$FJ51,"",MAX(0,IF(FO$19=$FJ51,$S51^2*FO$15,FO50*INDEX($T$20:$T$91,$FJ51-FO$19)^2/INDEX($U$20:$U$91,$FJ51-FO$19))))</f>
        <v>0.00228049544327737</v>
      </c>
      <c r="FP51" s="150" t="n">
        <f aca="false">IF(FP$19&gt;$FJ51,"",MAX(0,IF(FP$19=$FJ51,$S51^2*FP$15,FP50*INDEX($T$20:$T$91,$FJ51-FP$19)^2/INDEX($U$20:$U$91,$FJ51-FP$19))))</f>
        <v>0.00253672512822516</v>
      </c>
      <c r="FQ51" s="150" t="n">
        <f aca="false">IF(FQ$19&gt;$FJ51,"",MAX(0,IF(FQ$19=$FJ51,$S51^2*FQ$15,FQ50*INDEX($T$20:$T$91,$FJ51-FQ$19)^2/INDEX($U$20:$U$91,$FJ51-FQ$19))))</f>
        <v>0.00206297280874781</v>
      </c>
      <c r="FR51" s="150" t="n">
        <f aca="false">IF(FR$19&gt;$FJ51,"",MAX(0,IF(FR$19=$FJ51,$S51^2*FR$15,FR50*INDEX($T$20:$T$91,$FJ51-FR$19)^2/INDEX($U$20:$U$91,$FJ51-FR$19))))</f>
        <v>0.0021203882585202</v>
      </c>
      <c r="FS51" s="150" t="n">
        <f aca="false">IF(FS$19&gt;$FJ51,"",MAX(0,IF(FS$19=$FJ51,$S51^2*FS$15,FS50*INDEX($T$20:$T$91,$FJ51-FS$19)^2/INDEX($U$20:$U$91,$FJ51-FS$19))))</f>
        <v>0.00240423081136997</v>
      </c>
      <c r="FT51" s="150" t="n">
        <f aca="false">IF(FT$19&gt;$FJ51,"",MAX(0,IF(FT$19=$FJ51,$S51^2*FT$15,FT50*INDEX($T$20:$T$91,$FJ51-FT$19)^2/INDEX($U$20:$U$91,$FJ51-FT$19))))</f>
        <v>0.00218536416603994</v>
      </c>
      <c r="FU51" s="150" t="n">
        <f aca="false">IF(FU$19&gt;$FJ51,"",MAX(0,IF(FU$19=$FJ51,$S51^2*FU$15,FU50*INDEX($T$20:$T$91,$FJ51-FU$19)^2/INDEX($U$20:$U$91,$FJ51-FU$19))))</f>
        <v>0.00211865084938303</v>
      </c>
      <c r="FV51" s="150" t="n">
        <f aca="false">IF(FV$19&gt;$FJ51,"",MAX(0,IF(FV$19=$FJ51,$S51^2*FV$15,FV50*INDEX($T$20:$T$91,$FJ51-FV$19)^2/INDEX($U$20:$U$91,$FJ51-FV$19))))</f>
        <v>0.00235118147253662</v>
      </c>
      <c r="FW51" s="150" t="n">
        <f aca="false">IF(FW$19&gt;$FJ51,"",MAX(0,IF(FW$19=$FJ51,$S51^2*FW$15,FW50*INDEX($T$20:$T$91,$FJ51-FW$19)^2/INDEX($U$20:$U$91,$FJ51-FW$19))))</f>
        <v>0.00222284033805629</v>
      </c>
      <c r="FX51" s="150" t="n">
        <f aca="false">IF(FX$19&gt;$FJ51,"",MAX(0,IF(FX$19=$FJ51,$S51^2*FX$15,FX50*INDEX($T$20:$T$91,$FJ51-FX$19)^2/INDEX($U$20:$U$91,$FJ51-FX$19))))</f>
        <v>0.00239760889199958</v>
      </c>
      <c r="FY51" s="150" t="n">
        <f aca="false">IF(FY$19&gt;$FJ51,"",MAX(0,IF(FY$19=$FJ51,$S51^2*FY$15,FY50*INDEX($T$20:$T$91,$FJ51-FY$19)^2/INDEX($U$20:$U$91,$FJ51-FY$19))))</f>
        <v>0.0022795280350983</v>
      </c>
      <c r="FZ51" s="150" t="n">
        <f aca="false">IF(FZ$19&gt;$FJ51,"",MAX(0,IF(FZ$19=$FJ51,$S51^2*FZ$15,FZ50*INDEX($T$20:$T$91,$FJ51-FZ$19)^2/INDEX($U$20:$U$91,$FJ51-FZ$19))))</f>
        <v>0.0021644163996831</v>
      </c>
      <c r="GA51" s="150" t="n">
        <f aca="false">IF(GA$19&gt;$FJ51,"",MAX(0,IF(GA$19=$FJ51,$S51^2*GA$15,GA50*INDEX($T$20:$T$91,$FJ51-GA$19)^2/INDEX($U$20:$U$91,$FJ51-GA$19))))</f>
        <v>0.00236746024321943</v>
      </c>
      <c r="GB51" s="150" t="n">
        <f aca="false">IF(GB$19&gt;$FJ51,"",MAX(0,IF(GB$19=$FJ51,$S51^2*GB$15,GB50*INDEX($T$20:$T$91,$FJ51-GB$19)^2/INDEX($U$20:$U$91,$FJ51-GB$19))))</f>
        <v>0.00266917514126334</v>
      </c>
      <c r="GC51" s="150" t="n">
        <f aca="false">IF(GC$19&gt;$FJ51,"",MAX(0,IF(GC$19=$FJ51,$S51^2*GC$15,GC50*INDEX($T$20:$T$91,$FJ51-GC$19)^2/INDEX($U$20:$U$91,$FJ51-GC$19))))</f>
        <v>0.00241513176405494</v>
      </c>
      <c r="GD51" s="150" t="n">
        <f aca="false">IF(GD$19&gt;$FJ51,"",MAX(0,IF(GD$19=$FJ51,$S51^2*GD$15,GD50*INDEX($T$20:$T$91,$FJ51-GD$19)^2/INDEX($U$20:$U$91,$FJ51-GD$19))))</f>
        <v>0.00249983215957008</v>
      </c>
      <c r="GE51" s="150" t="n">
        <f aca="false">IF(GE$19&gt;$FJ51,"",MAX(0,IF(GE$19=$FJ51,$S51^2*GE$15,GE50*INDEX($T$20:$T$91,$FJ51-GE$19)^2/INDEX($U$20:$U$91,$FJ51-GE$19))))</f>
        <v>0.00296254433741298</v>
      </c>
      <c r="GF51" s="150" t="n">
        <f aca="false">IF(GF$19&gt;$FJ51,"",MAX(0,IF(GF$19=$FJ51,$S51^2*GF$15,GF50*INDEX($T$20:$T$91,$FJ51-GF$19)^2/INDEX($U$20:$U$91,$FJ51-GF$19))))</f>
        <v>0.00273091853951091</v>
      </c>
      <c r="GG51" s="150" t="n">
        <f aca="false">IF(GG$19&gt;$FJ51,"",MAX(0,IF(GG$19=$FJ51,$S51^2*GG$15,GG50*INDEX($T$20:$T$91,$FJ51-GG$19)^2/INDEX($U$20:$U$91,$FJ51-GG$19))))</f>
        <v>0.00318775964246484</v>
      </c>
      <c r="GH51" s="150" t="n">
        <f aca="false">IF(GH$19&gt;$FJ51,"",MAX(0,IF(GH$19=$FJ51,$S51^2*GH$15,GH50*INDEX($T$20:$T$91,$FJ51-GH$19)^2/INDEX($U$20:$U$91,$FJ51-GH$19))))</f>
        <v>0.00319298312583524</v>
      </c>
      <c r="GI51" s="150" t="n">
        <f aca="false">IF(GI$19&gt;$FJ51,"",MAX(0,IF(GI$19=$FJ51,$S51^2*GI$15,GI50*INDEX($T$20:$T$91,$FJ51-GI$19)^2/INDEX($U$20:$U$91,$FJ51-GI$19))))</f>
        <v>0.00333661692875427</v>
      </c>
      <c r="GJ51" s="150" t="n">
        <f aca="false">IF(GJ$19&gt;$FJ51,"",MAX(0,IF(GJ$19=$FJ51,$S51^2*GJ$15,GJ50*INDEX($T$20:$T$91,$FJ51-GJ$19)^2/INDEX($U$20:$U$91,$FJ51-GJ$19))))</f>
        <v>0.00416181310600747</v>
      </c>
      <c r="GK51" s="150" t="n">
        <f aca="false">IF(GK$19&gt;$FJ51,"",MAX(0,IF(GK$19=$FJ51,$S51^2*GK$15,GK50*INDEX($T$20:$T$91,$FJ51-GK$19)^2/INDEX($U$20:$U$91,$FJ51-GK$19))))</f>
        <v>0.00421601884707401</v>
      </c>
      <c r="GL51" s="150" t="n">
        <f aca="false">IF(GL$19&gt;$FJ51,"",MAX(0,IF(GL$19=$FJ51,$S51^2*GL$15,GL50*INDEX($T$20:$T$91,$FJ51-GL$19)^2/INDEX($U$20:$U$91,$FJ51-GL$19))))</f>
        <v>0.0046313308304678</v>
      </c>
      <c r="GM51" s="150" t="n">
        <f aca="false">IF(GM$19&gt;$FJ51,"",MAX(0,IF(GM$19=$FJ51,$S51^2*GM$15,GM50*INDEX($T$20:$T$91,$FJ51-GM$19)^2/INDEX($U$20:$U$91,$FJ51-GM$19))))</f>
        <v>0.00575926949149949</v>
      </c>
      <c r="GN51" s="150" t="n">
        <f aca="false">IF(GN$19&gt;$FJ51,"",MAX(0,IF(GN$19=$FJ51,$S51^2*GN$15,GN50*INDEX($T$20:$T$91,$FJ51-GN$19)^2/INDEX($U$20:$U$91,$FJ51-GN$19))))</f>
        <v>0.00689080280952932</v>
      </c>
      <c r="GO51" s="150" t="n">
        <f aca="false">IF(GO$19&gt;$FJ51,"",MAX(0,IF(GO$19=$FJ51,$S51^2*GO$15,GO50*INDEX($T$20:$T$91,$FJ51-GO$19)^2/INDEX($U$20:$U$91,$FJ51-GO$19))))</f>
        <v>0.00852892112342159</v>
      </c>
      <c r="GP51" s="150" t="n">
        <f aca="false">IF(GP$19&gt;$FJ51,"",MAX(0,IF(GP$19=$FJ51,$S51^2*GP$15,GP50*INDEX($T$20:$T$91,$FJ51-GP$19)^2/INDEX($U$20:$U$91,$FJ51-GP$19))))</f>
        <v>0.00993550721430858</v>
      </c>
      <c r="GQ51" s="150" t="str">
        <f aca="false">IF(GQ$19&gt;$FJ51,"",MAX(0,IF(GQ$19=$FJ51,$S51^2*GQ$15,GQ50*INDEX($T$20:$T$91,$FJ51-GQ$19)^2/INDEX($U$20:$U$91,$FJ51-GQ$19))))</f>
        <v/>
      </c>
      <c r="GR51" s="150" t="str">
        <f aca="false">IF(GR$19&gt;$FJ51,"",MAX(0,IF(GR$19=$FJ51,$S51^2*GR$15,GR50*INDEX($T$20:$T$91,$FJ51-GR$19)^2/INDEX($U$20:$U$91,$FJ51-GR$19))))</f>
        <v/>
      </c>
      <c r="GS51" s="150" t="str">
        <f aca="false">IF(GS$19&gt;$FJ51,"",MAX(0,IF(GS$19=$FJ51,$S51^2*GS$15,GS50*INDEX($T$20:$T$91,$FJ51-GS$19)^2/INDEX($U$20:$U$91,$FJ51-GS$19))))</f>
        <v/>
      </c>
      <c r="GT51" s="150" t="str">
        <f aca="false">IF(GT$19&gt;$FJ51,"",MAX(0,IF(GT$19=$FJ51,$S51^2*GT$15,GT50*INDEX($T$20:$T$91,$FJ51-GT$19)^2/INDEX($U$20:$U$91,$FJ51-GT$19))))</f>
        <v/>
      </c>
      <c r="GU51" s="150" t="str">
        <f aca="false">IF(GU$19&gt;$FJ51,"",MAX(0,IF(GU$19=$FJ51,$S51^2*GU$15,GU50*INDEX($T$20:$T$91,$FJ51-GU$19)^2/INDEX($U$20:$U$91,$FJ51-GU$19))))</f>
        <v/>
      </c>
      <c r="GV51" s="150" t="str">
        <f aca="false">IF(GV$19&gt;$FJ51,"",MAX(0,IF(GV$19=$FJ51,$S51^2*GV$15,GV50*INDEX($T$20:$T$91,$FJ51-GV$19)^2/INDEX($U$20:$U$91,$FJ51-GV$19))))</f>
        <v/>
      </c>
      <c r="GW51" s="150" t="str">
        <f aca="false">IF(GW$19&gt;$FJ51,"",MAX(0,IF(GW$19=$FJ51,$S51^2*GW$15,GW50*INDEX($T$20:$T$91,$FJ51-GW$19)^2/INDEX($U$20:$U$91,$FJ51-GW$19))))</f>
        <v/>
      </c>
      <c r="GX51" s="150" t="str">
        <f aca="false">IF(GX$19&gt;$FJ51,"",MAX(0,IF(GX$19=$FJ51,$S51^2*GX$15,GX50*INDEX($T$20:$T$91,$FJ51-GX$19)^2/INDEX($U$20:$U$91,$FJ51-GX$19))))</f>
        <v/>
      </c>
      <c r="GY51" s="150" t="str">
        <f aca="false">IF(GY$19&gt;$FJ51,"",MAX(0,IF(GY$19=$FJ51,$S51^2*GY$15,GY50*INDEX($T$20:$T$91,$FJ51-GY$19)^2/INDEX($U$20:$U$91,$FJ51-GY$19))))</f>
        <v/>
      </c>
      <c r="GZ51" s="150" t="str">
        <f aca="false">IF(GZ$19&gt;$FJ51,"",MAX(0,IF(GZ$19=$FJ51,$S51^2*GZ$15,GZ50*INDEX($T$20:$T$91,$FJ51-GZ$19)^2/INDEX($U$20:$U$91,$FJ51-GZ$19))))</f>
        <v/>
      </c>
      <c r="HA51" s="150" t="str">
        <f aca="false">IF(HA$19&gt;$FJ51,"",MAX(0,IF(HA$19=$FJ51,$S51^2*HA$15,HA50*INDEX($T$20:$T$91,$FJ51-HA$19)^2/INDEX($U$20:$U$91,$FJ51-HA$19))))</f>
        <v/>
      </c>
      <c r="HB51" s="150" t="str">
        <f aca="false">IF(HB$19&gt;$FJ51,"",MAX(0,IF(HB$19=$FJ51,$S51^2*HB$15,HB50*INDEX($T$20:$T$91,$FJ51-HB$19)^2/INDEX($U$20:$U$91,$FJ51-HB$19))))</f>
        <v/>
      </c>
      <c r="HC51" s="150" t="str">
        <f aca="false">IF(HC$19&gt;$FJ51,"",MAX(0,IF(HC$19=$FJ51,$S51^2*HC$15,HC50*INDEX($T$20:$T$91,$FJ51-HC$19)^2/INDEX($U$20:$U$91,$FJ51-HC$19))))</f>
        <v/>
      </c>
      <c r="HD51" s="150" t="str">
        <f aca="false">IF(HD$19&gt;$FJ51,"",MAX(0,IF(HD$19=$FJ51,$S51^2*HD$15,HD50*INDEX($T$20:$T$91,$FJ51-HD$19)^2/INDEX($U$20:$U$91,$FJ51-HD$19))))</f>
        <v/>
      </c>
      <c r="HE51" s="150" t="str">
        <f aca="false">IF(HE$19&gt;$FJ51,"",MAX(0,IF(HE$19=$FJ51,$S51^2*HE$15,HE50*INDEX($T$20:$T$91,$FJ51-HE$19)^2/INDEX($U$20:$U$91,$FJ51-HE$19))))</f>
        <v/>
      </c>
      <c r="HF51" s="150" t="str">
        <f aca="false">IF(HF$19&gt;$FJ51,"",MAX(0,IF(HF$19=$FJ51,$S51^2*HF$15,HF50*INDEX($T$20:$T$91,$FJ51-HF$19)^2/INDEX($U$20:$U$91,$FJ51-HF$19))))</f>
        <v/>
      </c>
      <c r="HG51" s="150" t="str">
        <f aca="false">IF(HG$19&gt;$FJ51,"",MAX(0,IF(HG$19=$FJ51,$S51^2*HG$15,HG50*INDEX($T$20:$T$91,$FJ51-HG$19)^2/INDEX($U$20:$U$91,$FJ51-HG$19))))</f>
        <v/>
      </c>
      <c r="HH51" s="150" t="str">
        <f aca="false">IF(HH$19&gt;$FJ51,"",MAX(0,IF(HH$19=$FJ51,$S51^2*HH$15,HH50*INDEX($T$20:$T$91,$FJ51-HH$19)^2/INDEX($U$20:$U$91,$FJ51-HH$19))))</f>
        <v/>
      </c>
      <c r="HI51" s="150" t="str">
        <f aca="false">IF(HI$19&gt;$FJ51,"",MAX(0,IF(HI$19=$FJ51,$S51^2*HI$15,HI50*INDEX($T$20:$T$91,$FJ51-HI$19)^2/INDEX($U$20:$U$91,$FJ51-HI$19))))</f>
        <v/>
      </c>
      <c r="HJ51" s="150" t="str">
        <f aca="false">IF(HJ$19&gt;$FJ51,"",MAX(0,IF(HJ$19=$FJ51,$S51^2*HJ$15,HJ50*INDEX($T$20:$T$91,$FJ51-HJ$19)^2/INDEX($U$20:$U$91,$FJ51-HJ$19))))</f>
        <v/>
      </c>
      <c r="HK51" s="150" t="str">
        <f aca="false">IF(HK$19&gt;$FJ51,"",MAX(0,IF(HK$19=$FJ51,$S51^2*HK$15,HK50*INDEX($T$20:$T$91,$FJ51-HK$19)^2/INDEX($U$20:$U$91,$FJ51-HK$19))))</f>
        <v/>
      </c>
      <c r="HL51" s="150" t="str">
        <f aca="false">IF(HL$19&gt;$FJ51,"",MAX(0,IF(HL$19=$FJ51,$S51^2*HL$15,HL50*INDEX($T$20:$T$91,$FJ51-HL$19)^2/INDEX($U$20:$U$91,$FJ51-HL$19))))</f>
        <v/>
      </c>
      <c r="HM51" s="150" t="str">
        <f aca="false">IF(HM$19&gt;$FJ51,"",MAX(0,IF(HM$19=$FJ51,$S51^2*HM$15,HM50*INDEX($T$20:$T$91,$FJ51-HM$19)^2/INDEX($U$20:$U$91,$FJ51-HM$19))))</f>
        <v/>
      </c>
      <c r="HN51" s="150" t="str">
        <f aca="false">IF(HN$19&gt;$FJ51,"",MAX(0,IF(HN$19=$FJ51,$S51^2*HN$15,HN50*INDEX($T$20:$T$91,$FJ51-HN$19)^2/INDEX($U$20:$U$91,$FJ51-HN$19))))</f>
        <v/>
      </c>
      <c r="HO51" s="150" t="str">
        <f aca="false">IF(HO$19&gt;$FJ51,"",MAX(0,IF(HO$19=$FJ51,$S51^2*HO$15,HO50*INDEX($T$20:$T$91,$FJ51-HO$19)^2/INDEX($U$20:$U$91,$FJ51-HO$19))))</f>
        <v/>
      </c>
      <c r="HP51" s="150" t="str">
        <f aca="false">IF(HP$19&gt;$FJ51,"",MAX(0,IF(HP$19=$FJ51,$S51^2*HP$15,HP50*INDEX($T$20:$T$91,$FJ51-HP$19)^2/INDEX($U$20:$U$91,$FJ51-HP$19))))</f>
        <v/>
      </c>
      <c r="HQ51" s="150" t="str">
        <f aca="false">IF(HQ$19&gt;$FJ51,"",MAX(0,IF(HQ$19=$FJ51,$S51^2*HQ$15,HQ50*INDEX($T$20:$T$91,$FJ51-HQ$19)^2/INDEX($U$20:$U$91,$FJ51-HQ$19))))</f>
        <v/>
      </c>
      <c r="HR51" s="150" t="str">
        <f aca="false">IF(HR$19&gt;$FJ51,"",MAX(0,IF(HR$19=$FJ51,$S51^2*HR$15,HR50*INDEX($T$20:$T$91,$FJ51-HR$19)^2/INDEX($U$20:$U$91,$FJ51-HR$19))))</f>
        <v/>
      </c>
      <c r="HS51" s="150" t="str">
        <f aca="false">IF(HS$19&gt;$FJ51,"",MAX(0,IF(HS$19=$FJ51,$S51^2*HS$15,HS50*INDEX($T$20:$T$91,$FJ51-HS$19)^2/INDEX($U$20:$U$91,$FJ51-HS$19))))</f>
        <v/>
      </c>
      <c r="HT51" s="150" t="str">
        <f aca="false">IF(HT$19&gt;$FJ51,"",MAX(0,IF(HT$19=$FJ51,$S51^2*HT$15,HT50*INDEX($T$20:$T$91,$FJ51-HT$19)^2/INDEX($U$20:$U$91,$FJ51-HT$19))))</f>
        <v/>
      </c>
      <c r="HU51" s="150" t="str">
        <f aca="false">IF(HU$19&gt;$FJ51,"",MAX(0,IF(HU$19=$FJ51,$S51^2*HU$15,HU50*INDEX($T$20:$T$91,$FJ51-HU$19)^2/INDEX($U$20:$U$91,$FJ51-HU$19))))</f>
        <v/>
      </c>
      <c r="HV51" s="150" t="str">
        <f aca="false">IF(HV$19&gt;$FJ51,"",MAX(0,IF(HV$19=$FJ51,$S51^2*HV$15,HV50*INDEX($T$20:$T$91,$FJ51-HV$19)^2/INDEX($U$20:$U$91,$FJ51-HV$19))))</f>
        <v/>
      </c>
      <c r="HW51" s="150" t="str">
        <f aca="false">IF(HW$19&gt;$FJ51,"",MAX(0,IF(HW$19=$FJ51,$S51^2*HW$15,HW50*INDEX($T$20:$T$91,$FJ51-HW$19)^2/INDEX($U$20:$U$91,$FJ51-HW$19))))</f>
        <v/>
      </c>
      <c r="HX51" s="150" t="str">
        <f aca="false">IF(HX$19&gt;$FJ51,"",MAX(0,IF(HX$19=$FJ51,$S51^2*HX$15,HX50*INDEX($T$20:$T$91,$FJ51-HX$19)^2/INDEX($U$20:$U$91,$FJ51-HX$19))))</f>
        <v/>
      </c>
      <c r="HY51" s="150" t="str">
        <f aca="false">IF(HY$19&gt;$FJ51,"",MAX(0,IF(HY$19=$FJ51,$S51^2*HY$15,HY50*INDEX($T$20:$T$91,$FJ51-HY$19)^2/INDEX($U$20:$U$91,$FJ51-HY$19))))</f>
        <v/>
      </c>
      <c r="HZ51" s="150" t="str">
        <f aca="false">IF(HZ$19&gt;$FJ51,"",MAX(0,IF(HZ$19=$FJ51,$S51^2*HZ$15,HZ50*INDEX($T$20:$T$91,$FJ51-HZ$19)^2/INDEX($U$20:$U$91,$FJ51-HZ$19))))</f>
        <v/>
      </c>
      <c r="IA51" s="150" t="str">
        <f aca="false">IF(IA$19&gt;$FJ51,"",MAX(0,IF(IA$19=$FJ51,$S51^2*IA$15,IA50*INDEX($T$20:$T$91,$FJ51-IA$19)^2/INDEX($U$20:$U$91,$FJ51-IA$19))))</f>
        <v/>
      </c>
      <c r="IB51" s="150" t="str">
        <f aca="false">IF(IB$19&gt;$FJ51,"",MAX(0,IF(IB$19=$FJ51,$S51^2*IB$15,IB50*INDEX($T$20:$T$91,$FJ51-IB$19)^2/INDEX($U$20:$U$91,$FJ51-IB$19))))</f>
        <v/>
      </c>
      <c r="IC51" s="150" t="str">
        <f aca="false">IF(IC$19&gt;$FJ51,"",MAX(0,IF(IC$19=$FJ51,$S51^2*IC$15,IC50*INDEX($T$20:$T$91,$FJ51-IC$19)^2/INDEX($U$20:$U$91,$FJ51-IC$19))))</f>
        <v/>
      </c>
      <c r="ID51" s="572" t="str">
        <f aca="false">IF(ID$19&gt;$FJ51,"",MAX(0,IF(ID$19=$FJ51,$S51^2*ID$15,ID50*INDEX($T$20:$T$91,$FJ51-ID$19)^2/INDEX($U$20:$U$91,$FJ51-ID$19))))</f>
        <v/>
      </c>
      <c r="IE51" s="129"/>
    </row>
    <row r="52" customFormat="false" ht="14.25" hidden="false" customHeight="true" outlineLevel="0" collapsed="false">
      <c r="A52" s="219"/>
      <c r="B52" s="219"/>
      <c r="C52" s="219"/>
      <c r="D52" s="219"/>
      <c r="E52" s="219"/>
      <c r="F52" s="219"/>
      <c r="G52" s="219"/>
      <c r="H52" s="219" t="n">
        <f aca="false">VLOOKUP(I52,$EJ$20:$EL$54,3)</f>
        <v>0</v>
      </c>
      <c r="I52" s="511" t="n">
        <f aca="false">EOMONTH(I51,0)+1</f>
        <v>37742</v>
      </c>
      <c r="J52" s="512"/>
      <c r="K52" s="513" t="s">
        <v>250</v>
      </c>
      <c r="L52" s="514" t="e">
        <f aca="false">IF(ISNUMBER(K52),J52+K52/100,IF(K52="extra",L51+VLOOKUP(BF52,PriceSpreadTable,2)/12,IF(K52="inter",interpolateprices($K$19:$L$200,ROW(K52)-ROW(FirstPricingMonth)+1),interpolatechanges($J$19:$K$200,ROW(K52)-ROW(FirstPricingMonth)+1))))</f>
        <v>#VALUE!</v>
      </c>
      <c r="M52" s="515"/>
      <c r="N52" s="516" t="n">
        <v>0</v>
      </c>
      <c r="O52" s="515" t="n">
        <f aca="false">M52+N52</f>
        <v>0</v>
      </c>
      <c r="P52" s="512"/>
      <c r="Q52" s="513" t="s">
        <v>250</v>
      </c>
      <c r="R52" s="512" t="e">
        <f aca="false">IF(ISNUMBER(Q52),P52+Q52/100,IF(Q52="extra",(Z50*AL50-R51*AM50)/AN50,IF(Q52="inter",interpolateprices($Q$19:$R$260,ROW(Q52)-ROW(FirstPricingMonth)+1),interpolatechanges($P$19:$Q$260,ROW(Q52)-ROW(FirstPricingMonth)+1))))</f>
        <v>#VALUE!</v>
      </c>
      <c r="S52" s="597" t="n">
        <f aca="false">S$19+(S51-S$19)*S$18</f>
        <v>0.360005357462705</v>
      </c>
      <c r="T52" s="575" t="n">
        <f aca="false">SQRT((1-(1-T51^2/U51)*T$18)*U52)</f>
        <v>0.999251826199061</v>
      </c>
      <c r="U52" s="576" t="n">
        <f aca="false">1-(1-U51)*U$18</f>
        <v>0.999998493213614</v>
      </c>
      <c r="V52" s="521" t="n">
        <v>0</v>
      </c>
      <c r="W52" s="577" t="n">
        <f aca="false">(J53*AJ52+J54*AK52)/AI52</f>
        <v>0</v>
      </c>
      <c r="X52" s="578" t="e">
        <f aca="false">(L53*AJ52+L54*AK52)/AI52</f>
        <v>#VALUE!</v>
      </c>
      <c r="Y52" s="579" t="n">
        <f aca="false">IF(Q54="extra",W52-AA52,(P53*AM52+P54*AN52)/AL52)</f>
        <v>0</v>
      </c>
      <c r="Z52" s="579" t="e">
        <f aca="false">IF(Q54="extra",X52-AB52,(R53*AM52+R54*AN52)/AL52)</f>
        <v>#VALUE!</v>
      </c>
      <c r="AA52" s="523" t="n">
        <f aca="false">IF(Q54="extra",INDEX(BrentSeasonalityTable,INT((BG52-1)/3)+1)*VLOOKUP(MAX(BF52,$AB$4),PriceSpreadTable,3),W52-Y52)</f>
        <v>0</v>
      </c>
      <c r="AB52" s="524" t="e">
        <f aca="false">IF(Q54="extra",INDEX(BrentSeasonalityTable,INT((BG52-1)/3)+1)*VLOOKUP(MAX(BF52,$AB$4),PriceSpreadTable,3),X52-Z52)</f>
        <v>#VALUE!</v>
      </c>
      <c r="AC52" s="525" t="n">
        <v>37731</v>
      </c>
      <c r="AD52" s="646" t="n">
        <v>37727</v>
      </c>
      <c r="AE52" s="646" t="n">
        <v>37726</v>
      </c>
      <c r="AF52" s="646" t="n">
        <v>37722</v>
      </c>
      <c r="AG52" s="438" t="s">
        <v>247</v>
      </c>
      <c r="AH52" s="439" t="s">
        <v>247</v>
      </c>
      <c r="AI52" s="528" t="n">
        <v>22</v>
      </c>
      <c r="AJ52" s="529" t="n">
        <v>14</v>
      </c>
      <c r="AK52" s="529" t="n">
        <v>8</v>
      </c>
      <c r="AL52" s="530" t="n">
        <v>22</v>
      </c>
      <c r="AM52" s="529" t="n">
        <v>10</v>
      </c>
      <c r="AN52" s="531" t="n">
        <v>12</v>
      </c>
      <c r="AO52" s="532"/>
      <c r="AP52" s="465" t="n">
        <f aca="false">(1+AO52/2)^(-2*BL52)</f>
        <v>1</v>
      </c>
      <c r="AQ52" s="532"/>
      <c r="AR52" s="465" t="n">
        <f aca="false">(1+AQ52/2)^(-2*BH52/365.25)</f>
        <v>1</v>
      </c>
      <c r="AS52" s="580" t="n">
        <f aca="false">(O53*AJ52+O54*AK52)/AI52</f>
        <v>0</v>
      </c>
      <c r="AT52" s="468" t="n">
        <f aca="false">O52*VLOOKUP(BF52,BrentVolTable,2)+VLOOKUP(BF52,BrentVolTable,3)</f>
        <v>0</v>
      </c>
      <c r="AU52" s="468" t="n">
        <f aca="false">(AT53*AM52+AT54*AN52)/AL52</f>
        <v>0</v>
      </c>
      <c r="AV52" s="595" t="n">
        <f aca="false">SQRT(MAX(0.000000000001,(O52^2*BH52-S52^2*(BH52-BH51))/BH51))</f>
        <v>0.0220961332161482</v>
      </c>
      <c r="AW52" s="451" t="n">
        <f aca="false">IF($I52-DateToday+15&gt;=$T$8,"",IF($I52-DateToday+15&lt;$T$5,1,MATCH($I52-DateToday+15,$T$5:$T$8)))</f>
        <v>1</v>
      </c>
      <c r="AX52" s="468" t="n">
        <f aca="false">IF($AW52="",AX51^2/AX50,INDEX(U$5:U$8,$AW52)^((INDEX($T$5:$T$8,$AW52+1)-($I52-DateToday+15))/(INDEX($T$5:$T$8,$AW52+1)-INDEX($T$5:$T$8,$AW52)))/INDEX(U$5:U$8,$AW52+1)^((INDEX($T$5:$T$8,$AW52)-($I52-DateToday+15))/(INDEX($T$5:$T$8,$AW52+1)-INDEX($T$5:$T$8,$AW52))))</f>
        <v>6.3406594702459</v>
      </c>
      <c r="AY52" s="468" t="n">
        <f aca="false">IF($AW52="",AY51^2/AY50,INDEX(V$5:V$8,$AW52)^((INDEX($T$5:$T$8,$AW52+1)-($I52-DateToday+15))/(INDEX($T$5:$T$8,$AW52+1)-INDEX($T$5:$T$8,$AW52)))/INDEX(V$5:V$8,$AW52+1)^((INDEX($T$5:$T$8,$AW52)-($I52-DateToday+15))/(INDEX($T$5:$T$8,$AW52+1)-INDEX($T$5:$T$8,$AW52))))</f>
        <v>1358.8596332657</v>
      </c>
      <c r="AZ52" s="468" t="n">
        <f aca="false">IF($AW52="",AZ51^2/AZ50,INDEX(W$5:W$8,$AW52)^((INDEX($T$5:$T$8,$AW52+1)-($I52-DateToday+15))/(INDEX($T$5:$T$8,$AW52+1)-INDEX($T$5:$T$8,$AW52)))/INDEX(W$5:W$8,$AW52+1)^((INDEX($T$5:$T$8,$AW52)-($I52-DateToday+15))/(INDEX($T$5:$T$8,$AW52+1)-INDEX($T$5:$T$8,$AW52))))</f>
        <v>50620853.8105328</v>
      </c>
      <c r="BA52" s="468" t="n">
        <f aca="false">IF($AW52="",BA51^2/BA50,INDEX(X$5:X$8,$AW52)^((INDEX($T$5:$T$8,$AW52+1)-($I52-DateToday+15))/(INDEX($T$5:$T$8,$AW52+1)-INDEX($T$5:$T$8,$AW52)))/INDEX(X$5:X$8,$AW52+1)^((INDEX($T$5:$T$8,$AW52)-($I52-DateToday+15))/(INDEX($T$5:$T$8,$AW52+1)-INDEX($T$5:$T$8,$AW52))))</f>
        <v>3343433292.76756</v>
      </c>
      <c r="BB52" s="468" t="n">
        <f aca="false">IF($AW52="",BB51^2/BB50,INDEX(Y$5:Y$8,$AW52)^((INDEX($T$5:$T$8,$AW52+1)-($I52-DateToday+15))/(INDEX($T$5:$T$8,$AW52+1)-INDEX($T$5:$T$8,$AW52)))/INDEX(Y$5:Y$8,$AW52+1)^((INDEX($T$5:$T$8,$AW52)-($I52-DateToday+15))/(INDEX($T$5:$T$8,$AW52+1)-INDEX($T$5:$T$8,$AW52))))</f>
        <v>67379500253.7332</v>
      </c>
      <c r="BC52" s="468" t="n">
        <f aca="false">IF($AW52="",BC51^2/BC50,INDEX(Z$5:Z$8,$AW52)^((INDEX($T$5:$T$8,$AW52+1)-($I52-DateToday+15))/(INDEX($T$5:$T$8,$AW52+1)-INDEX($T$5:$T$8,$AW52)))/INDEX(Z$5:Z$8,$AW52+1)^((INDEX($T$5:$T$8,$AW52)-($I52-DateToday+15))/(INDEX($T$5:$T$8,$AW52+1)-INDEX($T$5:$T$8,$AW52))))</f>
        <v>404024445339.846</v>
      </c>
      <c r="BD52" s="535" t="n">
        <f aca="false">IF(OR(DateStart&gt;=I53,DateEnd&lt;I52),0,IF(VolumeOverrideFlag,V52,Volume))</f>
        <v>0</v>
      </c>
      <c r="BE52" s="536" t="n">
        <f aca="false">IF(OR(DateStart2&gt;=I53,DateEnd2&lt;I52),0,IF(VolumeOverrideFlag,V52,VolumeSwaption))</f>
        <v>0</v>
      </c>
      <c r="BF52" s="537" t="n">
        <f aca="false">YEAR(I52)</f>
        <v>2003</v>
      </c>
      <c r="BG52" s="538" t="n">
        <f aca="false">MONTH(I52)</f>
        <v>5</v>
      </c>
      <c r="BH52" s="539" t="n">
        <f aca="false">AD52-DateToday+1</f>
        <v>-8198</v>
      </c>
      <c r="BI52" s="540" t="n">
        <f aca="false">(I52-DateToday+1)/365.25</f>
        <v>-22.403832991102</v>
      </c>
      <c r="BJ52" s="541" t="n">
        <f aca="false">BI52+(BL52-BI52)*CHOOSE(Underlying,AJ52/AI52,AM52/AL52)</f>
        <v>-22.3515649306204</v>
      </c>
      <c r="BK52" s="541" t="n">
        <f aca="false">BJ52+1/365.25</f>
        <v>-22.3488270798332</v>
      </c>
      <c r="BL52" s="541" t="n">
        <f aca="false">(I53-DateToday)/365.25</f>
        <v>-22.321697467488</v>
      </c>
      <c r="BM52" s="542" t="e">
        <f aca="false">MAX(BI52-(BJ52-BI52)*(S53^2/O53^2-1),0)</f>
        <v>#DIV/0!</v>
      </c>
      <c r="BN52" s="541" t="e">
        <f aca="false">MAX(BL52+(BL52-BK52)*(S54^2/O54^2-1),0)</f>
        <v>#DIV/0!</v>
      </c>
      <c r="BO52" s="530" t="n">
        <f aca="false">CHOOSE(Underlying,AI52,AL52)</f>
        <v>22</v>
      </c>
      <c r="BP52" s="529" t="n">
        <f aca="false">CHOOSE(Underlying,AJ52,AM52)</f>
        <v>14</v>
      </c>
      <c r="BQ52" s="529" t="n">
        <f aca="false">CHOOSE(Underlying,AK52,AN52)</f>
        <v>8</v>
      </c>
      <c r="BR52" s="463" t="str">
        <f aca="false">IF(BD52,IF(Underlying=1,X52,Z52)+UnderlyingPriceAsian-SwapPriceCurve,"")</f>
        <v/>
      </c>
      <c r="BS52" s="463" t="str">
        <f aca="false">IF(BD52,Strike1/BR52-1,"")</f>
        <v/>
      </c>
      <c r="BT52" s="464" t="str">
        <f aca="false">IF(BD52,Strike2/BR52-1,"")</f>
        <v/>
      </c>
      <c r="BU52" s="465" t="str">
        <f aca="false">IF(BD52,IF(Underlying=1,L53,R53)+UnderlyingPriceAsian-SwapPriceCurve,"")</f>
        <v/>
      </c>
      <c r="BV52" s="465" t="str">
        <f aca="false">IF(BD52,IF(Underlying=1,L54,R54)+UnderlyingPriceAsian-SwapPriceCurve,"")</f>
        <v/>
      </c>
      <c r="BW52" s="466" t="str">
        <f aca="false">IF(BD52,IF(Underlying=1,O53,AT53),"")</f>
        <v/>
      </c>
      <c r="BX52" s="467" t="str">
        <f aca="false">IF(BD52,IF(Underlying=1,O54,AT54),"")</f>
        <v/>
      </c>
      <c r="BY52" s="466" t="str">
        <f aca="false">IF(BD52,IF(BS52&gt;0,IF(BS52&gt;0.2,BC52-BB52,IF(BS52&gt;0.1,BB52-BA52,BA52)),IF(BS52&lt;-0.2,AX52-AY52,IF(BS52&lt;-0.1,AY52-AZ52,AZ52))),"")</f>
        <v/>
      </c>
      <c r="BZ52" s="467" t="str">
        <f aca="false">IF(BD52,IF(BT52&gt;0,IF(BT52&gt;0.2,BC52-BB52,IF(BT52&gt;0.1,BB52-BA52,BA52)),IF(BT52&lt;-0.2,AX52-AY52,IF(BT52&lt;-0.1,AY52-AZ52,AZ52))),"")</f>
        <v/>
      </c>
      <c r="CA52" s="468" t="str">
        <f aca="false">IF($BD52,$BW52+IF(VolSkewFlag=1,IF(BS52&gt;0,$BA52*MIN(BS52/10%,1)+($BB52-$BA52)*MAX(0,MIN(BS52/10%-1,1))+($BC52-$BB52)*MAX(0,BS52/10%-2),$AZ52*MIN(-BS52/10%,1)+($AY52-$AZ52)*MAX(0,MIN(-BS52/10%-1,1))+($AX52-$AY52)*MAX(0,-BS52/10%-2)),0),"")</f>
        <v/>
      </c>
      <c r="CB52" s="468" t="str">
        <f aca="false">IF($BD52,$BX52+IF(VolSkewFlag=1,IF(BS52&gt;0,$BA52*MIN(BS52/10%,1)+($BB52-$BA52)*MAX(0,MIN(BS52/10%-1,1))+($BC52-$BB52)*MAX(0,BS52/10%-2),$AZ52*MIN(-BS52/10%,1)+($AY52-$AZ52)*MAX(0,MIN(-BS52/10%-1,1))+($AX52-$AY52)*MAX(0,-BS52/10%-2)),0),"")</f>
        <v/>
      </c>
      <c r="CC52" s="468" t="str">
        <f aca="false">IF($BD52,$BW52+IF(VolSkewFlag=1,IF(BT52&gt;0,$BA52*MIN(BT52/10%,1)+($BB52-$BA52)*MAX(0,MIN(BT52/10%-1,1))+($BC52-$BB52)*MAX(0,BT52/10%-2),$AZ52*MIN(-BT52/10%,1)+($AY52-$AZ52)*MAX(0,MIN(-BT52/10%-1,1))+($AX52-$AY52)*MAX(0,-BT52/10%-2)),0),"")</f>
        <v/>
      </c>
      <c r="CD52" s="468" t="str">
        <f aca="false">IF($BD52,$BX52+IF(VolSkewFlag=1,IF(BT52&gt;0,$BA52*MIN(BT52/10%,1)+($BB52-$BA52)*MAX(0,MIN(BT52/10%-1,1))+($BC52-$BB52)*MAX(0,BT52/10%-2),$AZ52*MIN(-BT52/10%,1)+($AY52-$AZ52)*MAX(0,MIN(-BT52/10%-1,1))+($AX52-$AY52)*MAX(0,-BT52/10%-2)),0),"")</f>
        <v/>
      </c>
      <c r="CE52" s="469" t="n">
        <v>1</v>
      </c>
      <c r="CF52" s="470" t="n">
        <f aca="false">IF(BD52,xCrudeAPO(BU52,BV52,CA52,CB52,S53,S54,BI52,BL52,BP52,BQ52,0,Strike1,AO52,CE52,0,BL52,IF(OptControl=4,0,1),0,1),0)</f>
        <v>0</v>
      </c>
      <c r="CG52" s="470" t="n">
        <f aca="false">IF(BD52,xCrudeAPO(BU52,BV52,CA52,CB52,S53,S54,BI52,BL52,BP52,BQ52,0,Strike1,AO52,CE52,0,BL52,IF(OptControl=4,0,1),1,1)+xCrudeAPO(BU52,BV52,CA52,CB52,S53,S54,BI52,BL52,BP52,BQ52,0,Strike1,AO52,CE52,0,BL52,IF(OptControl=4,0,1),1,2)+IF(OR(VolSkewFlag=2,ABS(BS52)&lt;0.0001),0,IF(BS52&gt;0,-1,1)*CH52*Strike1/BR52^2*BY52/10%),0)</f>
        <v>0</v>
      </c>
      <c r="CH52" s="470" t="n">
        <f aca="false">IF(BD52,(xCrudeAPO(BU52,BV52,CA52,CB52,S53,S54,BI52,BL52,BP52,BQ52,0,Strike1,AO52,CE52,0,BL52,IF(OptControl=4,0,1),3,1)+xCrudeAPO(BU52,BV52,CA52,CB52,S53,S54,BI52,BL52,BP52,BQ52,0,Strike1,AO52,CE52,0,BL52,IF(OptControl=4,0,1),3,2))/100,0)</f>
        <v>0</v>
      </c>
      <c r="CI52" s="470" t="n">
        <f aca="false">IF(BD52,xCrudeAPO(BU52,BV52,CA52,CB52,S53,S54,BI52-DaysForThetaCalculation/365.25,BL52-DaysForThetaCalculation/365.25,BP52,BQ52,0,Strike1,AO52,CE52,0,BL52,IF(OptControl=4,0,1),0,1)-xCrudeAPO(BU52,BV52,CA52,CB52,S53,S54,BI52,BL52,BP52,BQ52,0,Strike1,AO52,CE52,0,BL52,IF(OptControl=4,0,1),0,1),0)</f>
        <v>0</v>
      </c>
      <c r="CJ52" s="471" t="n">
        <f aca="false">IF(BD52,xCrudeAPO(BU52,BV52,CC52,CD52,S53,S54,BI52,BL52,BP52,BQ52,0,Strike2,AO52,CE52,0,BL52,IF(OptControl=3,1,0),0,1),0)</f>
        <v>0</v>
      </c>
      <c r="CK52" s="470" t="n">
        <f aca="false">IF(BD52,xCrudeAPO(BU52,BV52,CC52,CD52,S53,S54,BI52,BL52,BP52,BQ52,0,Strike2,AO52,CE52,0,BL52,IF(OptControl=3,1,0),1,1)+xCrudeAPO(BU52,BV52,CC52,CD52,S53,S54,BI52,BL52,BP52,BQ52,0,Strike2,AO52,CE52,0,BL52,IF(OptControl=3,1,0),1,2)+IF(OR(VolSkewFlag=2,ABS(BT52)&lt;0.0001),0,IF(BT52&gt;0,-1,1)*CL52*Strike2/BR52^2*BZ52/10%),0)</f>
        <v>0</v>
      </c>
      <c r="CL52" s="470" t="n">
        <f aca="false">IF(BD52,(xCrudeAPO(BU52,BV52,CC52,CD52,S53,S54,BI52,BL52,BP52,BQ52,0,Strike2,AO52,CE52,0,BL52,IF(OptControl=3,1,0),3,1)+xCrudeAPO(BU52,BV52,CC52,CD52,S53,S54,BI52,BL52,BP52,BQ52,0,Strike2,AO52,CE52,0,BL52,IF(OptControl=3,1,0),3,2))/100,0)</f>
        <v>0</v>
      </c>
      <c r="CM52" s="472" t="n">
        <f aca="false">IF(BD52,xCrudeAPO(BU52,BV52,CC52,CD52,S53,S54,BI52-DaysForThetaCalculation/365.25,BL52-DaysForThetaCalculation/365.25,BP52,BQ52,0,Strike2,AO52,CE52,0,BL52,IF(OptControl=3,1,0),0,1)-xCrudeAPO(BU52,BV52,CC52,CD52,S53,S54,BI52,BL52,BP52,BQ52,0,Strike2,AO52,CE52,0,BL52,IF(OptControl=3,1,0),0,1),0)</f>
        <v>0</v>
      </c>
      <c r="CN52" s="3"/>
      <c r="CO52" s="543" t="str">
        <f aca="false">IF(BD52,CHOOSE(Underlying,AD52,AF52)-DateToday+1,"")</f>
        <v/>
      </c>
      <c r="CP52" s="582" t="str">
        <f aca="false">IF(BD52,CHOOSE(Underlying,L52,R52),"")</f>
        <v/>
      </c>
      <c r="CQ52" s="544" t="str">
        <f aca="false">IF(BD52,Strike1/CP52-1,"")</f>
        <v/>
      </c>
      <c r="CR52" s="544" t="str">
        <f aca="false">IF(BD52,Strike2/CP52-1,"")</f>
        <v/>
      </c>
      <c r="CS52" s="544" t="str">
        <f aca="false">IF(BD52,IF(CQ52&gt;0,IF(CQ52&gt;0.2,BC51-BB51,IF(CQ52&gt;0.1,BB51-BA51,BA51)),IF(CQ52&lt;-0.2,AX51-AY51,IF(CQ52&lt;-0.1,AY51-AZ51,AZ51))),"")</f>
        <v/>
      </c>
      <c r="CT52" s="544" t="str">
        <f aca="false">IF(BD52,IF(CR52&gt;0,IF(CR52&gt;0.2,BC51-BB51,IF(CR52&gt;0.1,BB51-BA51,BA51)),IF(CR52&lt;-0.2,AX51-AY51,IF(CR52&lt;-0.1,AY51-AZ51,AZ51))),"")</f>
        <v/>
      </c>
      <c r="CU52" s="545" t="str">
        <f aca="false">IF(BD52,CHOOSE(Underlying,O52,AT52),"")</f>
        <v/>
      </c>
      <c r="CV52" s="545" t="str">
        <f aca="false">IF(BD52,CU52+IF(VolSkewFlag=1,IF(CQ52&gt;0,BA51*MIN(CQ52/10%,1)+(BB51-BA51)*MAX(0,MIN(CQ52/10%-1,1))+(BC51-BB51)*MAX(0,CQ52/10%-2),AZ51*MIN(-CQ52/10%,1)+(AY51-AZ51)*MAX(0,MIN(-CQ52/10%-1,1))+(AX51-AY51)*MAX(0,-CQ52/10%-2)),0),"")</f>
        <v/>
      </c>
      <c r="CW52" s="545" t="str">
        <f aca="false">IF(BD52,CU52+IF(VolSkewFlag=1,IF(CR52&gt;0,BA51*MIN(CR52/10%,1)+(BB51-BA51)*MAX(0,MIN(CR52/10%-1,1))+(BC51-BB51)*MAX(0,CR52/10%-2),AZ51*MIN(-CR52/10%,1)+(AY51-AZ51)*MAX(0,MIN(-CR52/10%-1,1))+(AX51-AY51)*MAX(0,-CR52/10%-2)),0),"")</f>
        <v/>
      </c>
      <c r="CX52" s="470" t="n">
        <f aca="false">IF(BD52,EURO(CP52,Strike1,AO52,AO52,CV52,CO52,IF(OptControl=4,0,1),0),0)</f>
        <v>0</v>
      </c>
      <c r="CY52" s="470" t="n">
        <f aca="false">IF(BD52,EURO(CP52,Strike1,AO52,AO52,CV52,CO52,IF(OptControl=4,0,1),1)+IF(OR(VolSkewFlag=2,ABS(CQ52)&lt;0.0001),0,IF(CQ52&gt;0,-1,1)*CZ52*100*Strike1/CP52^2*CS52/10%),0)</f>
        <v>0</v>
      </c>
      <c r="CZ52" s="470" t="n">
        <f aca="false">IF(BD52,EURO(CP52,Strike1,AO52,AO52,CV52,CO52,IF(OptControl=4,0,1),3)/100,0)</f>
        <v>0</v>
      </c>
      <c r="DA52" s="470" t="n">
        <f aca="false">IF(BD52,EURO(CP52,Strike1,AO52,AO52,CV52,CO52,IF(OptControl=4,0,1),0)-EURO(CP52,Strike1,AO52,AO52,CV52,CO52-1,IF(OptControl=4,0,1),0),0)</f>
        <v>0</v>
      </c>
      <c r="DB52" s="470" t="n">
        <f aca="false">IF(BD52,EURO(CP52,Strike2,AO52,AO52,CW52,CO52,IF(OptControl=3,1,0),0),0)</f>
        <v>0</v>
      </c>
      <c r="DC52" s="470" t="n">
        <f aca="false">IF(BD52,EURO(CP52,Strike2,AO52,AO52,CW52,CO52,IF(OptControl=3,1,0),1)+IF(OR(VolSkewFlag=2,ABS(CR52)&lt;0.0001),0,IF(CR52&gt;0,-1,1)*DD52*100*Strike2/CP52^2*CT52/10%),0)</f>
        <v>0</v>
      </c>
      <c r="DD52" s="470" t="n">
        <f aca="false">IF(BD52,EURO(CP52,Strike2,AO52,AO52,CW52,CO52,IF(OptControl=3,1,0),3)/100,0)</f>
        <v>0</v>
      </c>
      <c r="DE52" s="472" t="n">
        <f aca="false">IF(BD52,EURO(CP52,Strike2,AO52,AO52,CW52,CO52,IF(OptControl=3,1,0),0)-EURO(CP52,Strike2,AO52,AO52,CW52,CO52-1,IF(OptControl=3,1,0),0),0)</f>
        <v>0</v>
      </c>
      <c r="DG52" s="481" t="n">
        <f aca="false">EOMONTH(DG51,0)+1</f>
        <v>46661</v>
      </c>
      <c r="DH52" s="478" t="n">
        <v>19.1666666666667</v>
      </c>
      <c r="DI52" s="479" t="n">
        <v>19.0710144927536</v>
      </c>
      <c r="DJ52" s="480" t="n">
        <f aca="false">DG52</f>
        <v>46661</v>
      </c>
      <c r="DK52" s="478" t="n">
        <v>18.0543719135802</v>
      </c>
      <c r="DL52" s="479" t="n">
        <v>18.0040144927536</v>
      </c>
      <c r="DM52" s="481" t="n">
        <f aca="false">DG52</f>
        <v>46661</v>
      </c>
      <c r="DN52" s="482" t="n">
        <f aca="false">DK52+BrentPhyBrentSpread</f>
        <v>18.1043719135802</v>
      </c>
      <c r="DO52" s="481" t="n">
        <f aca="false">DG52</f>
        <v>46661</v>
      </c>
      <c r="DP52" s="483" t="n">
        <f aca="false">DL52+DQ52</f>
        <v>18.0040144927536</v>
      </c>
      <c r="DQ52" s="546" t="n">
        <v>0</v>
      </c>
      <c r="DR52" s="480" t="n">
        <f aca="false">DG52</f>
        <v>46661</v>
      </c>
      <c r="DS52" s="485" t="n">
        <v>0.217209178850226</v>
      </c>
      <c r="DT52" s="486" t="n">
        <v>0.215313473336402</v>
      </c>
      <c r="DU52" s="480" t="n">
        <f aca="false">DG52</f>
        <v>46661</v>
      </c>
      <c r="DV52" s="485" t="n">
        <v>0.217209178850226</v>
      </c>
      <c r="DW52" s="486" t="n">
        <v>0.215313473336402</v>
      </c>
      <c r="DX52" s="481" t="n">
        <f aca="false">DG52</f>
        <v>46661</v>
      </c>
      <c r="DY52" s="486" t="n">
        <v>0.350000000037253</v>
      </c>
      <c r="DZ52" s="481" t="n">
        <f aca="false">DR52</f>
        <v>46661</v>
      </c>
      <c r="EA52" s="486" t="n">
        <f aca="false">DT52</f>
        <v>0.215313473336402</v>
      </c>
      <c r="EB52" s="195"/>
      <c r="EC52" s="547" t="str">
        <f aca="false">IF(BD52,IF(Underlying=1,AS52,AU52),"")</f>
        <v/>
      </c>
      <c r="ED52" s="548" t="str">
        <f aca="false">IF($BD52,$EC52+IF(VolSkewFlag=1,IF(BS52&gt;0,$BA52*MIN(BS52/10%,1)+($BB52-$BA52)*MAX(0,MIN(BS52/10%-1,1))+($BC52-$BB52)*MAX(0,BS52/10%-2),$AZ52*MIN(-BS52/10%,1)+($AY52-$AZ52)*MAX(0,MIN(-BS52/10%-1,1))+($AX52-$AY52)*MAX(0,-BS52/10%-2)),0),"")</f>
        <v/>
      </c>
      <c r="EE52" s="549" t="str">
        <f aca="false">IF($BD52,$EC52+IF(VolSkewFlag=1,IF(BT52&gt;0,$BA52*MIN(BT52/10%,1)+($BB52-$BA52)*MAX(0,MIN(BT52/10%-1,1))+($BC52-$BB52)*MAX(0,BT52/10%-2),$AZ52*MIN(-BT52/10%,1)+($AY52-$AZ52)*MAX(0,MIN(-BT52/10%-1,1))+($AX52-$AY52)*MAX(0,-BT52/10%-2)),0),"")</f>
        <v/>
      </c>
      <c r="EF52" s="550" t="n">
        <f aca="false">IF(BD52,xASN(BR52,Strike1,AO52,ED52,0,BO52,0,BI52,BL52,IF(OptControl=4,0,1),0),0)</f>
        <v>0</v>
      </c>
      <c r="EG52" s="551" t="n">
        <f aca="false">IF(BD52,xASN(BR52,Strike2,AO52,EE52,0,BO52,0,BI52,BL52,IF(OptControl=3,1,0),0),0)</f>
        <v>0</v>
      </c>
      <c r="EI52" s="583" t="str">
        <f aca="false">DDE("TWINDDE","RSFRecord","CLc33 MTH")</f>
        <v>DEC6</v>
      </c>
      <c r="EJ52" s="584" t="n">
        <f aca="false">DATEVALUE(CONCATENATE(LEFT(EI52,3),"-",IF(VALUE(RIGHT(EI52,1))=9,"1999",CONCATENATE("200",RIGHT(EI52,1)))))</f>
        <v>39052</v>
      </c>
      <c r="EK52" s="585" t="n">
        <f aca="false">DDE("TWINDDE","RSFRecord","CLc33 NET.CHNG")</f>
        <v>0</v>
      </c>
      <c r="EL52" s="586" t="n">
        <f aca="false">IF(ISNUMBER(VALUE(EK52)),VALUE(EK52)*100,0)</f>
        <v>0</v>
      </c>
      <c r="EM52" s="195"/>
      <c r="EN52" s="556" t="n">
        <v>39633</v>
      </c>
      <c r="EO52" s="557" t="n">
        <v>42370</v>
      </c>
      <c r="EP52" s="195"/>
      <c r="EQ52" s="407" t="s">
        <v>276</v>
      </c>
      <c r="ES52" s="587" t="n">
        <v>33</v>
      </c>
      <c r="ET52" s="559" t="n">
        <f aca="false">BH52/365.25</f>
        <v>-22.444900752909</v>
      </c>
      <c r="EU52" s="560" t="n">
        <f aca="false">O52^2*ET52</f>
        <v>-0</v>
      </c>
      <c r="EV52" s="588" t="e">
        <f aca="false">SQRT(SUM(FK52:ID52)/ET52)</f>
        <v>#VALUE!</v>
      </c>
      <c r="EW52" s="589" t="str">
        <f aca="false">IF(OR(DateStart2&gt;I51,DateEnd2&lt;I50),"",IF(DateStart2&lt;I51,AK50/AI50*AP50*BE50*SwaptionNumOfMonths/$D$33,0)+IF(DateEnd2&gt;I50,AJ51/AI51*AP51*BE51*SwaptionNumOfMonths/$D$33,0))</f>
        <v/>
      </c>
      <c r="EX52" s="590" t="str">
        <f aca="false">IF(EW52="","",SQRT(SUM(FK357:ID357)/SwaptionYearsToExp))</f>
        <v/>
      </c>
      <c r="EY52" s="129" t="n">
        <v>0</v>
      </c>
      <c r="EZ52" s="591" t="str">
        <f aca="false">IF(OR(EW52="",EW53=""),"",SQRT(SUM(INDEX(FK52:ID52,SwaptionFirstMonthPosition+1):INDEX(FK52:ID52,FJ52))/SUM(INDEX($FK$15:$ID$15,SwaptionFirstMonthPosition+1):INDEX($FK$15:$ID$15,FJ52))))</f>
        <v/>
      </c>
      <c r="FA52" s="592" t="str">
        <f aca="false">IF(OR(EW52="",EW51=""),"",SQRT(SUM(INDEX(FK52:ID52,SwaptionFirstMonthPosition+1):INDEX(FK52:ID52,FJ52-1))/SUM(INDEX($FK$15:$ID$15,SwaptionFirstMonthPosition+1):INDEX($FK$15:$ID$15,FJ52-1))))</f>
        <v/>
      </c>
      <c r="FB52" s="593" t="str">
        <f aca="false">IF(BE52,2/3*EZ53+1/3*FA54,"")</f>
        <v/>
      </c>
      <c r="FC52" s="596" t="str">
        <f aca="false">IF(BE52,(I53+I52-1)/2-DateToday,"")</f>
        <v/>
      </c>
      <c r="FD52" s="483" t="str">
        <f aca="false">IF(BE52,CHOOSE(Underlying,X52,Z52)+SwaptionUnderlyingPrice-$D$26,"")</f>
        <v/>
      </c>
      <c r="FE52" s="483" t="str">
        <f aca="false">IF(BE52,CollartionFloor/FD52-1,"")</f>
        <v/>
      </c>
      <c r="FF52" s="483" t="str">
        <f aca="false">IF(BE52,CollartionCap/FD52-1,"")</f>
        <v/>
      </c>
      <c r="FG52" s="485" t="str">
        <f aca="false">IF(BE52,IF(VolSkewFlag=1,IF(FE52&gt;0,$BA52*MIN(FE52/10%,1)+($BB52-$BA52)*MAX(0,MIN(FE52/10%-1,1))+($BC52-$BB52)*MAX(0,FE52/10%-2),$AZ52*MIN(-FE52/10%,1)+($AY52-$AZ52)*MAX(0,MIN(-FE52/10%-1,1))+($AX52-$AY52)*MAX(0,-FE52/10%-2)),0),"")</f>
        <v/>
      </c>
      <c r="FH52" s="486" t="str">
        <f aca="false">IF(BE52,IF(VolSkewFlag=1,IF(FF52&gt;0,$BA52*MIN(FF52/10%,1)+($BB52-$BA52)*MAX(0,MIN(FF52/10%-1,1))+($BC52-$BB52)*MAX(0,FF52/10%-2),$AZ52*MIN(-FF52/10%,1)+($AY52-$AZ52)*MAX(0,MIN(-FF52/10%-1,1))+($AX52-$AY52)*MAX(0,-FF52/10%-2)),0),"")</f>
        <v/>
      </c>
      <c r="FI52" s="129"/>
      <c r="FJ52" s="571" t="n">
        <v>33</v>
      </c>
      <c r="FK52" s="150" t="n">
        <f aca="false">IF(FK$19&gt;$FJ52,"",MAX(0,IF(FK$19=$FJ52,$S52^2*FK$15,FK51*INDEX($T$20:$T$91,$FJ52-FK$19)^2/INDEX($U$20:$U$91,$FJ52-FK$19))))</f>
        <v>0</v>
      </c>
      <c r="FL52" s="150" t="n">
        <f aca="false">IF(FL$19&gt;$FJ52,"",MAX(0,IF(FL$19=$FJ52,$S52^2*FL$15,FL51*INDEX($T$20:$T$91,$FJ52-FL$19)^2/INDEX($U$20:$U$91,$FJ52-FL$19))))</f>
        <v>0</v>
      </c>
      <c r="FM52" s="150" t="n">
        <f aca="false">IF(FM$19&gt;$FJ52,"",MAX(0,IF(FM$19=$FJ52,$S52^2*FM$15,FM51*INDEX($T$20:$T$91,$FJ52-FM$19)^2/INDEX($U$20:$U$91,$FJ52-FM$19))))</f>
        <v>0.00258293946937024</v>
      </c>
      <c r="FN52" s="150" t="n">
        <f aca="false">IF(FN$19&gt;$FJ52,"",MAX(0,IF(FN$19=$FJ52,$S52^2*FN$15,FN51*INDEX($T$20:$T$91,$FJ52-FN$19)^2/INDEX($U$20:$U$91,$FJ52-FN$19))))</f>
        <v>0.00217919192193578</v>
      </c>
      <c r="FO52" s="150" t="n">
        <f aca="false">IF(FO$19&gt;$FJ52,"",MAX(0,IF(FO$19=$FJ52,$S52^2*FO$15,FO51*INDEX($T$20:$T$91,$FJ52-FO$19)^2/INDEX($U$20:$U$91,$FJ52-FO$19))))</f>
        <v>0.00227303728528962</v>
      </c>
      <c r="FP52" s="150" t="n">
        <f aca="false">IF(FP$19&gt;$FJ52,"",MAX(0,IF(FP$19=$FJ52,$S52^2*FP$15,FP51*INDEX($T$20:$T$91,$FJ52-FP$19)^2/INDEX($U$20:$U$91,$FJ52-FP$19))))</f>
        <v>0.00252702204701363</v>
      </c>
      <c r="FQ52" s="150" t="n">
        <f aca="false">IF(FQ$19&gt;$FJ52,"",MAX(0,IF(FQ$19=$FJ52,$S52^2*FQ$15,FQ51*INDEX($T$20:$T$91,$FJ52-FQ$19)^2/INDEX($U$20:$U$91,$FJ52-FQ$19))))</f>
        <v>0.0020537436175254</v>
      </c>
      <c r="FR52" s="150" t="n">
        <f aca="false">IF(FR$19&gt;$FJ52,"",MAX(0,IF(FR$19=$FJ52,$S52^2*FR$15,FR51*INDEX($T$20:$T$91,$FJ52-FR$19)^2/INDEX($U$20:$U$91,$FJ52-FR$19))))</f>
        <v>0.00210929346008535</v>
      </c>
      <c r="FS52" s="150" t="n">
        <f aca="false">IF(FS$19&gt;$FJ52,"",MAX(0,IF(FS$19=$FJ52,$S52^2*FS$15,FS51*INDEX($T$20:$T$91,$FJ52-FS$19)^2/INDEX($U$20:$U$91,$FJ52-FS$19))))</f>
        <v>0.00238951737654929</v>
      </c>
      <c r="FT52" s="150" t="n">
        <f aca="false">IF(FT$19&gt;$FJ52,"",MAX(0,IF(FT$19=$FJ52,$S52^2*FT$15,FT51*INDEX($T$20:$T$91,$FJ52-FT$19)^2/INDEX($U$20:$U$91,$FJ52-FT$19))))</f>
        <v>0.00216972204601468</v>
      </c>
      <c r="FU52" s="150" t="n">
        <f aca="false">IF(FU$19&gt;$FJ52,"",MAX(0,IF(FU$19=$FJ52,$S52^2*FU$15,FU51*INDEX($T$20:$T$91,$FJ52-FU$19)^2/INDEX($U$20:$U$91,$FJ52-FU$19))))</f>
        <v>0.00210091446577741</v>
      </c>
      <c r="FV52" s="150" t="n">
        <f aca="false">IF(FV$19&gt;$FJ52,"",MAX(0,IF(FV$19=$FJ52,$S52^2*FV$15,FV51*INDEX($T$20:$T$91,$FJ52-FV$19)^2/INDEX($U$20:$U$91,$FJ52-FV$19))))</f>
        <v>0.0023281603912788</v>
      </c>
      <c r="FW52" s="150" t="n">
        <f aca="false">IF(FW$19&gt;$FJ52,"",MAX(0,IF(FW$19=$FJ52,$S52^2*FW$15,FW51*INDEX($T$20:$T$91,$FJ52-FW$19)^2/INDEX($U$20:$U$91,$FJ52-FW$19))))</f>
        <v>0.00219738483279942</v>
      </c>
      <c r="FX52" s="150" t="n">
        <f aca="false">IF(FX$19&gt;$FJ52,"",MAX(0,IF(FX$19=$FJ52,$S52^2*FX$15,FX51*INDEX($T$20:$T$91,$FJ52-FX$19)^2/INDEX($U$20:$U$91,$FJ52-FX$19))))</f>
        <v>0.00236549553715843</v>
      </c>
      <c r="FY52" s="150" t="n">
        <f aca="false">IF(FY$19&gt;$FJ52,"",MAX(0,IF(FY$19=$FJ52,$S52^2*FY$15,FY51*INDEX($T$20:$T$91,$FJ52-FY$19)^2/INDEX($U$20:$U$91,$FJ52-FY$19))))</f>
        <v>0.00224381833847536</v>
      </c>
      <c r="FZ52" s="150" t="n">
        <f aca="false">IF(FZ$19&gt;$FJ52,"",MAX(0,IF(FZ$19=$FJ52,$S52^2*FZ$15,FZ51*INDEX($T$20:$T$91,$FJ52-FZ$19)^2/INDEX($U$20:$U$91,$FJ52-FZ$19))))</f>
        <v>0.00212475975884883</v>
      </c>
      <c r="GA52" s="150" t="n">
        <f aca="false">IF(GA$19&gt;$FJ52,"",MAX(0,IF(GA$19=$FJ52,$S52^2*GA$15,GA51*INDEX($T$20:$T$91,$FJ52-GA$19)^2/INDEX($U$20:$U$91,$FJ52-GA$19))))</f>
        <v>0.00231672710961542</v>
      </c>
      <c r="GB52" s="150" t="n">
        <f aca="false">IF(GB$19&gt;$FJ52,"",MAX(0,IF(GB$19=$FJ52,$S52^2*GB$15,GB51*INDEX($T$20:$T$91,$FJ52-GB$19)^2/INDEX($U$20:$U$91,$FJ52-GB$19))))</f>
        <v>0.00260227609134151</v>
      </c>
      <c r="GC52" s="150" t="n">
        <f aca="false">IF(GC$19&gt;$FJ52,"",MAX(0,IF(GC$19=$FJ52,$S52^2*GC$15,GC51*INDEX($T$20:$T$91,$FJ52-GC$19)^2/INDEX($U$20:$U$91,$FJ52-GC$19))))</f>
        <v>0.00234433431759583</v>
      </c>
      <c r="GD52" s="150" t="n">
        <f aca="false">IF(GD$19&gt;$FJ52,"",MAX(0,IF(GD$19=$FJ52,$S52^2*GD$15,GD51*INDEX($T$20:$T$91,$FJ52-GD$19)^2/INDEX($U$20:$U$91,$FJ52-GD$19))))</f>
        <v>0.0024141241321314</v>
      </c>
      <c r="GE52" s="150" t="n">
        <f aca="false">IF(GE$19&gt;$FJ52,"",MAX(0,IF(GE$19=$FJ52,$S52^2*GE$15,GE51*INDEX($T$20:$T$91,$FJ52-GE$19)^2/INDEX($U$20:$U$91,$FJ52-GE$19))))</f>
        <v>0.00284374626522281</v>
      </c>
      <c r="GF52" s="150" t="n">
        <f aca="false">IF(GF$19&gt;$FJ52,"",MAX(0,IF(GF$19=$FJ52,$S52^2*GF$15,GF51*INDEX($T$20:$T$91,$FJ52-GF$19)^2/INDEX($U$20:$U$91,$FJ52-GF$19))))</f>
        <v>0.0026028368152608</v>
      </c>
      <c r="GG52" s="150" t="n">
        <f aca="false">IF(GG$19&gt;$FJ52,"",MAX(0,IF(GG$19=$FJ52,$S52^2*GG$15,GG51*INDEX($T$20:$T$91,$FJ52-GG$19)^2/INDEX($U$20:$U$91,$FJ52-GG$19))))</f>
        <v>0.00301289666337736</v>
      </c>
      <c r="GH52" s="150" t="n">
        <f aca="false">IF(GH$19&gt;$FJ52,"",MAX(0,IF(GH$19=$FJ52,$S52^2*GH$15,GH51*INDEX($T$20:$T$91,$FJ52-GH$19)^2/INDEX($U$20:$U$91,$FJ52-GH$19))))</f>
        <v>0.00298812989696371</v>
      </c>
      <c r="GI52" s="150" t="n">
        <f aca="false">IF(GI$19&gt;$FJ52,"",MAX(0,IF(GI$19=$FJ52,$S52^2*GI$15,GI51*INDEX($T$20:$T$91,$FJ52-GI$19)^2/INDEX($U$20:$U$91,$FJ52-GI$19))))</f>
        <v>0.00308624454487067</v>
      </c>
      <c r="GJ52" s="150" t="n">
        <f aca="false">IF(GJ$19&gt;$FJ52,"",MAX(0,IF(GJ$19=$FJ52,$S52^2*GJ$15,GJ51*INDEX($T$20:$T$91,$FJ52-GJ$19)^2/INDEX($U$20:$U$91,$FJ52-GJ$19))))</f>
        <v>0.00379655779940346</v>
      </c>
      <c r="GK52" s="150" t="n">
        <f aca="false">IF(GK$19&gt;$FJ52,"",MAX(0,IF(GK$19=$FJ52,$S52^2*GK$15,GK51*INDEX($T$20:$T$91,$FJ52-GK$19)^2/INDEX($U$20:$U$91,$FJ52-GK$19))))</f>
        <v>0.0037832555810534</v>
      </c>
      <c r="GL52" s="150" t="n">
        <f aca="false">IF(GL$19&gt;$FJ52,"",MAX(0,IF(GL$19=$FJ52,$S52^2*GL$15,GL51*INDEX($T$20:$T$91,$FJ52-GL$19)^2/INDEX($U$20:$U$91,$FJ52-GL$19))))</f>
        <v>0.00407531451378222</v>
      </c>
      <c r="GM52" s="150" t="n">
        <f aca="false">IF(GM$19&gt;$FJ52,"",MAX(0,IF(GM$19=$FJ52,$S52^2*GM$15,GM51*INDEX($T$20:$T$91,$FJ52-GM$19)^2/INDEX($U$20:$U$91,$FJ52-GM$19))))</f>
        <v>0.00495057773258724</v>
      </c>
      <c r="GN52" s="150" t="n">
        <f aca="false">IF(GN$19&gt;$FJ52,"",MAX(0,IF(GN$19=$FJ52,$S52^2*GN$15,GN51*INDEX($T$20:$T$91,$FJ52-GN$19)^2/INDEX($U$20:$U$91,$FJ52-GN$19))))</f>
        <v>0.00575913405802261</v>
      </c>
      <c r="GO52" s="150" t="n">
        <f aca="false">IF(GO$19&gt;$FJ52,"",MAX(0,IF(GO$19=$FJ52,$S52^2*GO$15,GO51*INDEX($T$20:$T$91,$FJ52-GO$19)^2/INDEX($U$20:$U$91,$FJ52-GO$19))))</f>
        <v>0.00689068127618262</v>
      </c>
      <c r="GP52" s="150" t="n">
        <f aca="false">IF(GP$19&gt;$FJ52,"",MAX(0,IF(GP$19=$FJ52,$S52^2*GP$15,GP51*INDEX($T$20:$T$91,$FJ52-GP$19)^2/INDEX($U$20:$U$91,$FJ52-GP$19))))</f>
        <v>0.00770343975811449</v>
      </c>
      <c r="GQ52" s="150" t="n">
        <f aca="false">IF(GQ$19&gt;$FJ52,"",MAX(0,IF(GQ$19=$FJ52,$S52^2*GQ$15,GQ51*INDEX($T$20:$T$91,$FJ52-GQ$19)^2/INDEX($U$20:$U$91,$FJ52-GQ$19))))</f>
        <v>0.0109999167130933</v>
      </c>
      <c r="GR52" s="150" t="str">
        <f aca="false">IF(GR$19&gt;$FJ52,"",MAX(0,IF(GR$19=$FJ52,$S52^2*GR$15,GR51*INDEX($T$20:$T$91,$FJ52-GR$19)^2/INDEX($U$20:$U$91,$FJ52-GR$19))))</f>
        <v/>
      </c>
      <c r="GS52" s="150" t="str">
        <f aca="false">IF(GS$19&gt;$FJ52,"",MAX(0,IF(GS$19=$FJ52,$S52^2*GS$15,GS51*INDEX($T$20:$T$91,$FJ52-GS$19)^2/INDEX($U$20:$U$91,$FJ52-GS$19))))</f>
        <v/>
      </c>
      <c r="GT52" s="150" t="str">
        <f aca="false">IF(GT$19&gt;$FJ52,"",MAX(0,IF(GT$19=$FJ52,$S52^2*GT$15,GT51*INDEX($T$20:$T$91,$FJ52-GT$19)^2/INDEX($U$20:$U$91,$FJ52-GT$19))))</f>
        <v/>
      </c>
      <c r="GU52" s="150" t="str">
        <f aca="false">IF(GU$19&gt;$FJ52,"",MAX(0,IF(GU$19=$FJ52,$S52^2*GU$15,GU51*INDEX($T$20:$T$91,$FJ52-GU$19)^2/INDEX($U$20:$U$91,$FJ52-GU$19))))</f>
        <v/>
      </c>
      <c r="GV52" s="150" t="str">
        <f aca="false">IF(GV$19&gt;$FJ52,"",MAX(0,IF(GV$19=$FJ52,$S52^2*GV$15,GV51*INDEX($T$20:$T$91,$FJ52-GV$19)^2/INDEX($U$20:$U$91,$FJ52-GV$19))))</f>
        <v/>
      </c>
      <c r="GW52" s="150" t="str">
        <f aca="false">IF(GW$19&gt;$FJ52,"",MAX(0,IF(GW$19=$FJ52,$S52^2*GW$15,GW51*INDEX($T$20:$T$91,$FJ52-GW$19)^2/INDEX($U$20:$U$91,$FJ52-GW$19))))</f>
        <v/>
      </c>
      <c r="GX52" s="150" t="str">
        <f aca="false">IF(GX$19&gt;$FJ52,"",MAX(0,IF(GX$19=$FJ52,$S52^2*GX$15,GX51*INDEX($T$20:$T$91,$FJ52-GX$19)^2/INDEX($U$20:$U$91,$FJ52-GX$19))))</f>
        <v/>
      </c>
      <c r="GY52" s="150" t="str">
        <f aca="false">IF(GY$19&gt;$FJ52,"",MAX(0,IF(GY$19=$FJ52,$S52^2*GY$15,GY51*INDEX($T$20:$T$91,$FJ52-GY$19)^2/INDEX($U$20:$U$91,$FJ52-GY$19))))</f>
        <v/>
      </c>
      <c r="GZ52" s="150" t="str">
        <f aca="false">IF(GZ$19&gt;$FJ52,"",MAX(0,IF(GZ$19=$FJ52,$S52^2*GZ$15,GZ51*INDEX($T$20:$T$91,$FJ52-GZ$19)^2/INDEX($U$20:$U$91,$FJ52-GZ$19))))</f>
        <v/>
      </c>
      <c r="HA52" s="150" t="str">
        <f aca="false">IF(HA$19&gt;$FJ52,"",MAX(0,IF(HA$19=$FJ52,$S52^2*HA$15,HA51*INDEX($T$20:$T$91,$FJ52-HA$19)^2/INDEX($U$20:$U$91,$FJ52-HA$19))))</f>
        <v/>
      </c>
      <c r="HB52" s="150" t="str">
        <f aca="false">IF(HB$19&gt;$FJ52,"",MAX(0,IF(HB$19=$FJ52,$S52^2*HB$15,HB51*INDEX($T$20:$T$91,$FJ52-HB$19)^2/INDEX($U$20:$U$91,$FJ52-HB$19))))</f>
        <v/>
      </c>
      <c r="HC52" s="150" t="str">
        <f aca="false">IF(HC$19&gt;$FJ52,"",MAX(0,IF(HC$19=$FJ52,$S52^2*HC$15,HC51*INDEX($T$20:$T$91,$FJ52-HC$19)^2/INDEX($U$20:$U$91,$FJ52-HC$19))))</f>
        <v/>
      </c>
      <c r="HD52" s="150" t="str">
        <f aca="false">IF(HD$19&gt;$FJ52,"",MAX(0,IF(HD$19=$FJ52,$S52^2*HD$15,HD51*INDEX($T$20:$T$91,$FJ52-HD$19)^2/INDEX($U$20:$U$91,$FJ52-HD$19))))</f>
        <v/>
      </c>
      <c r="HE52" s="150" t="str">
        <f aca="false">IF(HE$19&gt;$FJ52,"",MAX(0,IF(HE$19=$FJ52,$S52^2*HE$15,HE51*INDEX($T$20:$T$91,$FJ52-HE$19)^2/INDEX($U$20:$U$91,$FJ52-HE$19))))</f>
        <v/>
      </c>
      <c r="HF52" s="150" t="str">
        <f aca="false">IF(HF$19&gt;$FJ52,"",MAX(0,IF(HF$19=$FJ52,$S52^2*HF$15,HF51*INDEX($T$20:$T$91,$FJ52-HF$19)^2/INDEX($U$20:$U$91,$FJ52-HF$19))))</f>
        <v/>
      </c>
      <c r="HG52" s="150" t="str">
        <f aca="false">IF(HG$19&gt;$FJ52,"",MAX(0,IF(HG$19=$FJ52,$S52^2*HG$15,HG51*INDEX($T$20:$T$91,$FJ52-HG$19)^2/INDEX($U$20:$U$91,$FJ52-HG$19))))</f>
        <v/>
      </c>
      <c r="HH52" s="150" t="str">
        <f aca="false">IF(HH$19&gt;$FJ52,"",MAX(0,IF(HH$19=$FJ52,$S52^2*HH$15,HH51*INDEX($T$20:$T$91,$FJ52-HH$19)^2/INDEX($U$20:$U$91,$FJ52-HH$19))))</f>
        <v/>
      </c>
      <c r="HI52" s="150" t="str">
        <f aca="false">IF(HI$19&gt;$FJ52,"",MAX(0,IF(HI$19=$FJ52,$S52^2*HI$15,HI51*INDEX($T$20:$T$91,$FJ52-HI$19)^2/INDEX($U$20:$U$91,$FJ52-HI$19))))</f>
        <v/>
      </c>
      <c r="HJ52" s="150" t="str">
        <f aca="false">IF(HJ$19&gt;$FJ52,"",MAX(0,IF(HJ$19=$FJ52,$S52^2*HJ$15,HJ51*INDEX($T$20:$T$91,$FJ52-HJ$19)^2/INDEX($U$20:$U$91,$FJ52-HJ$19))))</f>
        <v/>
      </c>
      <c r="HK52" s="150" t="str">
        <f aca="false">IF(HK$19&gt;$FJ52,"",MAX(0,IF(HK$19=$FJ52,$S52^2*HK$15,HK51*INDEX($T$20:$T$91,$FJ52-HK$19)^2/INDEX($U$20:$U$91,$FJ52-HK$19))))</f>
        <v/>
      </c>
      <c r="HL52" s="150" t="str">
        <f aca="false">IF(HL$19&gt;$FJ52,"",MAX(0,IF(HL$19=$FJ52,$S52^2*HL$15,HL51*INDEX($T$20:$T$91,$FJ52-HL$19)^2/INDEX($U$20:$U$91,$FJ52-HL$19))))</f>
        <v/>
      </c>
      <c r="HM52" s="150" t="str">
        <f aca="false">IF(HM$19&gt;$FJ52,"",MAX(0,IF(HM$19=$FJ52,$S52^2*HM$15,HM51*INDEX($T$20:$T$91,$FJ52-HM$19)^2/INDEX($U$20:$U$91,$FJ52-HM$19))))</f>
        <v/>
      </c>
      <c r="HN52" s="150" t="str">
        <f aca="false">IF(HN$19&gt;$FJ52,"",MAX(0,IF(HN$19=$FJ52,$S52^2*HN$15,HN51*INDEX($T$20:$T$91,$FJ52-HN$19)^2/INDEX($U$20:$U$91,$FJ52-HN$19))))</f>
        <v/>
      </c>
      <c r="HO52" s="150" t="str">
        <f aca="false">IF(HO$19&gt;$FJ52,"",MAX(0,IF(HO$19=$FJ52,$S52^2*HO$15,HO51*INDEX($T$20:$T$91,$FJ52-HO$19)^2/INDEX($U$20:$U$91,$FJ52-HO$19))))</f>
        <v/>
      </c>
      <c r="HP52" s="150" t="str">
        <f aca="false">IF(HP$19&gt;$FJ52,"",MAX(0,IF(HP$19=$FJ52,$S52^2*HP$15,HP51*INDEX($T$20:$T$91,$FJ52-HP$19)^2/INDEX($U$20:$U$91,$FJ52-HP$19))))</f>
        <v/>
      </c>
      <c r="HQ52" s="150" t="str">
        <f aca="false">IF(HQ$19&gt;$FJ52,"",MAX(0,IF(HQ$19=$FJ52,$S52^2*HQ$15,HQ51*INDEX($T$20:$T$91,$FJ52-HQ$19)^2/INDEX($U$20:$U$91,$FJ52-HQ$19))))</f>
        <v/>
      </c>
      <c r="HR52" s="150" t="str">
        <f aca="false">IF(HR$19&gt;$FJ52,"",MAX(0,IF(HR$19=$FJ52,$S52^2*HR$15,HR51*INDEX($T$20:$T$91,$FJ52-HR$19)^2/INDEX($U$20:$U$91,$FJ52-HR$19))))</f>
        <v/>
      </c>
      <c r="HS52" s="150" t="str">
        <f aca="false">IF(HS$19&gt;$FJ52,"",MAX(0,IF(HS$19=$FJ52,$S52^2*HS$15,HS51*INDEX($T$20:$T$91,$FJ52-HS$19)^2/INDEX($U$20:$U$91,$FJ52-HS$19))))</f>
        <v/>
      </c>
      <c r="HT52" s="150" t="str">
        <f aca="false">IF(HT$19&gt;$FJ52,"",MAX(0,IF(HT$19=$FJ52,$S52^2*HT$15,HT51*INDEX($T$20:$T$91,$FJ52-HT$19)^2/INDEX($U$20:$U$91,$FJ52-HT$19))))</f>
        <v/>
      </c>
      <c r="HU52" s="150" t="str">
        <f aca="false">IF(HU$19&gt;$FJ52,"",MAX(0,IF(HU$19=$FJ52,$S52^2*HU$15,HU51*INDEX($T$20:$T$91,$FJ52-HU$19)^2/INDEX($U$20:$U$91,$FJ52-HU$19))))</f>
        <v/>
      </c>
      <c r="HV52" s="150" t="str">
        <f aca="false">IF(HV$19&gt;$FJ52,"",MAX(0,IF(HV$19=$FJ52,$S52^2*HV$15,HV51*INDEX($T$20:$T$91,$FJ52-HV$19)^2/INDEX($U$20:$U$91,$FJ52-HV$19))))</f>
        <v/>
      </c>
      <c r="HW52" s="150" t="str">
        <f aca="false">IF(HW$19&gt;$FJ52,"",MAX(0,IF(HW$19=$FJ52,$S52^2*HW$15,HW51*INDEX($T$20:$T$91,$FJ52-HW$19)^2/INDEX($U$20:$U$91,$FJ52-HW$19))))</f>
        <v/>
      </c>
      <c r="HX52" s="150" t="str">
        <f aca="false">IF(HX$19&gt;$FJ52,"",MAX(0,IF(HX$19=$FJ52,$S52^2*HX$15,HX51*INDEX($T$20:$T$91,$FJ52-HX$19)^2/INDEX($U$20:$U$91,$FJ52-HX$19))))</f>
        <v/>
      </c>
      <c r="HY52" s="150" t="str">
        <f aca="false">IF(HY$19&gt;$FJ52,"",MAX(0,IF(HY$19=$FJ52,$S52^2*HY$15,HY51*INDEX($T$20:$T$91,$FJ52-HY$19)^2/INDEX($U$20:$U$91,$FJ52-HY$19))))</f>
        <v/>
      </c>
      <c r="HZ52" s="150" t="str">
        <f aca="false">IF(HZ$19&gt;$FJ52,"",MAX(0,IF(HZ$19=$FJ52,$S52^2*HZ$15,HZ51*INDEX($T$20:$T$91,$FJ52-HZ$19)^2/INDEX($U$20:$U$91,$FJ52-HZ$19))))</f>
        <v/>
      </c>
      <c r="IA52" s="150" t="str">
        <f aca="false">IF(IA$19&gt;$FJ52,"",MAX(0,IF(IA$19=$FJ52,$S52^2*IA$15,IA51*INDEX($T$20:$T$91,$FJ52-IA$19)^2/INDEX($U$20:$U$91,$FJ52-IA$19))))</f>
        <v/>
      </c>
      <c r="IB52" s="150" t="str">
        <f aca="false">IF(IB$19&gt;$FJ52,"",MAX(0,IF(IB$19=$FJ52,$S52^2*IB$15,IB51*INDEX($T$20:$T$91,$FJ52-IB$19)^2/INDEX($U$20:$U$91,$FJ52-IB$19))))</f>
        <v/>
      </c>
      <c r="IC52" s="150" t="str">
        <f aca="false">IF(IC$19&gt;$FJ52,"",MAX(0,IF(IC$19=$FJ52,$S52^2*IC$15,IC51*INDEX($T$20:$T$91,$FJ52-IC$19)^2/INDEX($U$20:$U$91,$FJ52-IC$19))))</f>
        <v/>
      </c>
      <c r="ID52" s="572" t="str">
        <f aca="false">IF(ID$19&gt;$FJ52,"",MAX(0,IF(ID$19=$FJ52,$S52^2*ID$15,ID51*INDEX($T$20:$T$91,$FJ52-ID$19)^2/INDEX($U$20:$U$91,$FJ52-ID$19))))</f>
        <v/>
      </c>
      <c r="IE52" s="129"/>
    </row>
    <row r="53" customFormat="false" ht="12.75" hidden="false" customHeight="false" outlineLevel="0" collapsed="false">
      <c r="A53" s="219"/>
      <c r="B53" s="219"/>
      <c r="C53" s="219"/>
      <c r="D53" s="219"/>
      <c r="E53" s="219"/>
      <c r="F53" s="219"/>
      <c r="G53" s="219"/>
      <c r="H53" s="219" t="n">
        <f aca="false">VLOOKUP(I53,$EJ$20:$EL$54,3)</f>
        <v>0</v>
      </c>
      <c r="I53" s="511" t="n">
        <f aca="false">EOMONTH(I52,0)+1</f>
        <v>37773</v>
      </c>
      <c r="J53" s="512"/>
      <c r="K53" s="513" t="s">
        <v>250</v>
      </c>
      <c r="L53" s="514" t="e">
        <f aca="false">IF(ISNUMBER(K53),J53+K53/100,IF(K53="extra",L52+VLOOKUP(BF53,PriceSpreadTable,2)/12,IF(K53="inter",interpolateprices($K$19:$L$200,ROW(K53)-ROW(FirstPricingMonth)+1),interpolatechanges($J$19:$K$200,ROW(K53)-ROW(FirstPricingMonth)+1))))</f>
        <v>#VALUE!</v>
      </c>
      <c r="M53" s="515"/>
      <c r="N53" s="516" t="n">
        <v>0</v>
      </c>
      <c r="O53" s="515" t="n">
        <f aca="false">M53+N53</f>
        <v>0</v>
      </c>
      <c r="P53" s="512"/>
      <c r="Q53" s="513" t="s">
        <v>250</v>
      </c>
      <c r="R53" s="512" t="e">
        <f aca="false">IF(ISNUMBER(Q53),P53+Q53/100,IF(Q53="extra",(Z51*AL51-R52*AM51)/AN51,IF(Q53="inter",interpolateprices($Q$19:$R$260,ROW(Q53)-ROW(FirstPricingMonth)+1),interpolatechanges($P$19:$Q$260,ROW(Q53)-ROW(FirstPricingMonth)+1))))</f>
        <v>#VALUE!</v>
      </c>
      <c r="S53" s="597" t="n">
        <f aca="false">S$19+(S52-S$19)*S$18</f>
        <v>0.360004018097029</v>
      </c>
      <c r="T53" s="575" t="n">
        <f aca="false">SQRT((1-(1-T52^2/U52)*T$18)*U53)</f>
        <v>0.999360425036905</v>
      </c>
      <c r="U53" s="576" t="n">
        <f aca="false">1-(1-U52)*U$18</f>
        <v>0.999998869910211</v>
      </c>
      <c r="V53" s="521" t="n">
        <v>0</v>
      </c>
      <c r="W53" s="577" t="n">
        <f aca="false">(J54*AJ53+J55*AK53)/AI53</f>
        <v>0</v>
      </c>
      <c r="X53" s="578" t="e">
        <f aca="false">(L54*AJ53+L55*AK53)/AI53</f>
        <v>#VALUE!</v>
      </c>
      <c r="Y53" s="579" t="n">
        <f aca="false">IF(Q55="extra",W53-AA53,(P54*AM53+P55*AN53)/AL53)</f>
        <v>-1.2285</v>
      </c>
      <c r="Z53" s="579" t="e">
        <f aca="false">IF(Q55="extra",X53-AB53,(R54*AM53+R55*AN53)/AL53)</f>
        <v>#VALUE!</v>
      </c>
      <c r="AA53" s="523" t="n">
        <f aca="false">IF(Q55="extra",INDEX(BrentSeasonalityTable,INT((BG53-1)/3)+1)*VLOOKUP(MAX(BF53,$AB$4),PriceSpreadTable,3),W53-Y53)</f>
        <v>1.2285</v>
      </c>
      <c r="AB53" s="524" t="n">
        <f aca="false">IF(Q55="extra",INDEX(BrentSeasonalityTable,INT((BG53-1)/3)+1)*VLOOKUP(MAX(BF53,$AB$4),PriceSpreadTable,3),X53-Z53)</f>
        <v>1.2285</v>
      </c>
      <c r="AC53" s="525" t="n">
        <v>37761</v>
      </c>
      <c r="AD53" s="646" t="n">
        <v>37757</v>
      </c>
      <c r="AE53" s="646" t="n">
        <v>37756</v>
      </c>
      <c r="AF53" s="646" t="n">
        <v>37752</v>
      </c>
      <c r="AG53" s="438" t="s">
        <v>224</v>
      </c>
      <c r="AH53" s="439" t="s">
        <v>217</v>
      </c>
      <c r="AI53" s="528" t="n">
        <v>21</v>
      </c>
      <c r="AJ53" s="529" t="n">
        <v>15</v>
      </c>
      <c r="AK53" s="529" t="n">
        <v>6</v>
      </c>
      <c r="AL53" s="530" t="n">
        <v>21</v>
      </c>
      <c r="AM53" s="529" t="n">
        <v>10</v>
      </c>
      <c r="AN53" s="531" t="n">
        <v>11</v>
      </c>
      <c r="AO53" s="532"/>
      <c r="AP53" s="465" t="n">
        <f aca="false">(1+AO53/2)^(-2*BL53)</f>
        <v>1</v>
      </c>
      <c r="AQ53" s="532"/>
      <c r="AR53" s="465" t="n">
        <f aca="false">(1+AQ53/2)^(-2*BH53/365.25)</f>
        <v>1</v>
      </c>
      <c r="AS53" s="580" t="n">
        <f aca="false">(O54*AJ53+O55*AK53)/AI53</f>
        <v>0</v>
      </c>
      <c r="AT53" s="468" t="n">
        <f aca="false">O53*VLOOKUP(BF53,BrentVolTable,2)+VLOOKUP(BF53,BrentVolTable,3)</f>
        <v>0</v>
      </c>
      <c r="AU53" s="468" t="n">
        <f aca="false">(AT54*AM53+AT55*AN53)/AL53</f>
        <v>0</v>
      </c>
      <c r="AV53" s="595" t="n">
        <f aca="false">SQRT(MAX(0.000000000001,(O53^2*BH53-S53^2*(BH53-BH52))/BH52))</f>
        <v>0.0217778006700049</v>
      </c>
      <c r="AW53" s="451" t="n">
        <f aca="false">IF($I53-DateToday+15&gt;=$T$8,"",IF($I53-DateToday+15&lt;$T$5,1,MATCH($I53-DateToday+15,$T$5:$T$8)))</f>
        <v>1</v>
      </c>
      <c r="AX53" s="468" t="n">
        <f aca="false">IF($AW53="",AX52^2/AX51,INDEX(U$5:U$8,$AW53)^((INDEX($T$5:$T$8,$AW53+1)-($I53-DateToday+15))/(INDEX($T$5:$T$8,$AW53+1)-INDEX($T$5:$T$8,$AW53)))/INDEX(U$5:U$8,$AW53+1)^((INDEX($T$5:$T$8,$AW53)-($I53-DateToday+15))/(INDEX($T$5:$T$8,$AW53+1)-INDEX($T$5:$T$8,$AW53))))</f>
        <v>6.20408703370408</v>
      </c>
      <c r="AY53" s="468" t="n">
        <f aca="false">IF($AW53="",AY52^2/AY51,INDEX(V$5:V$8,$AW53)^((INDEX($T$5:$T$8,$AW53+1)-($I53-DateToday+15))/(INDEX($T$5:$T$8,$AW53+1)-INDEX($T$5:$T$8,$AW53)))/INDEX(V$5:V$8,$AW53+1)^((INDEX($T$5:$T$8,$AW53)-($I53-DateToday+15))/(INDEX($T$5:$T$8,$AW53+1)-INDEX($T$5:$T$8,$AW53))))</f>
        <v>1301.78149570935</v>
      </c>
      <c r="AZ53" s="468" t="n">
        <f aca="false">IF($AW53="",AZ52^2/AZ51,INDEX(W$5:W$8,$AW53)^((INDEX($T$5:$T$8,$AW53+1)-($I53-DateToday+15))/(INDEX($T$5:$T$8,$AW53+1)-INDEX($T$5:$T$8,$AW53)))/INDEX(W$5:W$8,$AW53+1)^((INDEX($T$5:$T$8,$AW53)-($I53-DateToday+15))/(INDEX($T$5:$T$8,$AW53+1)-INDEX($T$5:$T$8,$AW53))))</f>
        <v>46551885.1254999</v>
      </c>
      <c r="BA53" s="468" t="n">
        <f aca="false">IF($AW53="",BA52^2/BA51,INDEX(X$5:X$8,$AW53)^((INDEX($T$5:$T$8,$AW53+1)-($I53-DateToday+15))/(INDEX($T$5:$T$8,$AW53+1)-INDEX($T$5:$T$8,$AW53)))/INDEX(X$5:X$8,$AW53+1)^((INDEX($T$5:$T$8,$AW53)-($I53-DateToday+15))/(INDEX($T$5:$T$8,$AW53+1)-INDEX($T$5:$T$8,$AW53))))</f>
        <v>3008457780.22494</v>
      </c>
      <c r="BB53" s="468" t="n">
        <f aca="false">IF($AW53="",BB52^2/BB51,INDEX(Y$5:Y$8,$AW53)^((INDEX($T$5:$T$8,$AW53+1)-($I53-DateToday+15))/(INDEX($T$5:$T$8,$AW53+1)-INDEX($T$5:$T$8,$AW53)))/INDEX(Y$5:Y$8,$AW53+1)^((INDEX($T$5:$T$8,$AW53)-($I53-DateToday+15))/(INDEX($T$5:$T$8,$AW53+1)-INDEX($T$5:$T$8,$AW53))))</f>
        <v>60020543279.3797</v>
      </c>
      <c r="BC53" s="468" t="n">
        <f aca="false">IF($AW53="",BC52^2/BC51,INDEX(Z$5:Z$8,$AW53)^((INDEX($T$5:$T$8,$AW53+1)-($I53-DateToday+15))/(INDEX($T$5:$T$8,$AW53+1)-INDEX($T$5:$T$8,$AW53)))/INDEX(Z$5:Z$8,$AW53+1)^((INDEX($T$5:$T$8,$AW53)-($I53-DateToday+15))/(INDEX($T$5:$T$8,$AW53+1)-INDEX($T$5:$T$8,$AW53))))</f>
        <v>357809053376.404</v>
      </c>
      <c r="BD53" s="535" t="n">
        <f aca="false">IF(OR(DateStart&gt;=I54,DateEnd&lt;I53),0,IF(VolumeOverrideFlag,V53,Volume))</f>
        <v>0</v>
      </c>
      <c r="BE53" s="536" t="n">
        <f aca="false">IF(OR(DateStart2&gt;=I54,DateEnd2&lt;I53),0,IF(VolumeOverrideFlag,V53,VolumeSwaption))</f>
        <v>0</v>
      </c>
      <c r="BF53" s="537" t="n">
        <f aca="false">YEAR(I53)</f>
        <v>2003</v>
      </c>
      <c r="BG53" s="538" t="n">
        <f aca="false">MONTH(I53)</f>
        <v>6</v>
      </c>
      <c r="BH53" s="539" t="n">
        <f aca="false">AD53-DateToday+1</f>
        <v>-8168</v>
      </c>
      <c r="BI53" s="540" t="n">
        <f aca="false">(I53-DateToday+1)/365.25</f>
        <v>-22.3189596167009</v>
      </c>
      <c r="BJ53" s="541" t="n">
        <f aca="false">BI53+(BL53-BI53)*CHOOSE(Underlying,AJ53/AI53,AM53/AL53)</f>
        <v>-22.2622469932532</v>
      </c>
      <c r="BK53" s="541" t="n">
        <f aca="false">BJ53+1/365.25</f>
        <v>-22.259509142466</v>
      </c>
      <c r="BL53" s="541" t="n">
        <f aca="false">(I54-DateToday)/365.25</f>
        <v>-22.2395619438741</v>
      </c>
      <c r="BM53" s="542" t="e">
        <f aca="false">MAX(BI53-(BJ53-BI53)*(S54^2/O54^2-1),0)</f>
        <v>#DIV/0!</v>
      </c>
      <c r="BN53" s="541" t="e">
        <f aca="false">MAX(BL53+(BL53-BK53)*(S55^2/O55^2-1),0)</f>
        <v>#DIV/0!</v>
      </c>
      <c r="BO53" s="530" t="n">
        <f aca="false">CHOOSE(Underlying,AI53,AL53)</f>
        <v>21</v>
      </c>
      <c r="BP53" s="529" t="n">
        <f aca="false">CHOOSE(Underlying,AJ53,AM53)</f>
        <v>15</v>
      </c>
      <c r="BQ53" s="529" t="n">
        <f aca="false">CHOOSE(Underlying,AK53,AN53)</f>
        <v>6</v>
      </c>
      <c r="BR53" s="463" t="str">
        <f aca="false">IF(BD53,IF(Underlying=1,X53,Z53)+UnderlyingPriceAsian-SwapPriceCurve,"")</f>
        <v/>
      </c>
      <c r="BS53" s="463" t="str">
        <f aca="false">IF(BD53,Strike1/BR53-1,"")</f>
        <v/>
      </c>
      <c r="BT53" s="464" t="str">
        <f aca="false">IF(BD53,Strike2/BR53-1,"")</f>
        <v/>
      </c>
      <c r="BU53" s="465" t="str">
        <f aca="false">IF(BD53,IF(Underlying=1,L54,R54)+UnderlyingPriceAsian-SwapPriceCurve,"")</f>
        <v/>
      </c>
      <c r="BV53" s="465" t="str">
        <f aca="false">IF(BD53,IF(Underlying=1,L55,R55)+UnderlyingPriceAsian-SwapPriceCurve,"")</f>
        <v/>
      </c>
      <c r="BW53" s="466" t="str">
        <f aca="false">IF(BD53,IF(Underlying=1,O54,AT54),"")</f>
        <v/>
      </c>
      <c r="BX53" s="467" t="str">
        <f aca="false">IF(BD53,IF(Underlying=1,O55,AT55),"")</f>
        <v/>
      </c>
      <c r="BY53" s="466" t="str">
        <f aca="false">IF(BD53,IF(BS53&gt;0,IF(BS53&gt;0.2,BC53-BB53,IF(BS53&gt;0.1,BB53-BA53,BA53)),IF(BS53&lt;-0.2,AX53-AY53,IF(BS53&lt;-0.1,AY53-AZ53,AZ53))),"")</f>
        <v/>
      </c>
      <c r="BZ53" s="467" t="str">
        <f aca="false">IF(BD53,IF(BT53&gt;0,IF(BT53&gt;0.2,BC53-BB53,IF(BT53&gt;0.1,BB53-BA53,BA53)),IF(BT53&lt;-0.2,AX53-AY53,IF(BT53&lt;-0.1,AY53-AZ53,AZ53))),"")</f>
        <v/>
      </c>
      <c r="CA53" s="468" t="str">
        <f aca="false">IF($BD53,$BW53+IF(VolSkewFlag=1,IF(BS53&gt;0,$BA53*MIN(BS53/10%,1)+($BB53-$BA53)*MAX(0,MIN(BS53/10%-1,1))+($BC53-$BB53)*MAX(0,BS53/10%-2),$AZ53*MIN(-BS53/10%,1)+($AY53-$AZ53)*MAX(0,MIN(-BS53/10%-1,1))+($AX53-$AY53)*MAX(0,-BS53/10%-2)),0),"")</f>
        <v/>
      </c>
      <c r="CB53" s="468" t="str">
        <f aca="false">IF($BD53,$BX53+IF(VolSkewFlag=1,IF(BS53&gt;0,$BA53*MIN(BS53/10%,1)+($BB53-$BA53)*MAX(0,MIN(BS53/10%-1,1))+($BC53-$BB53)*MAX(0,BS53/10%-2),$AZ53*MIN(-BS53/10%,1)+($AY53-$AZ53)*MAX(0,MIN(-BS53/10%-1,1))+($AX53-$AY53)*MAX(0,-BS53/10%-2)),0),"")</f>
        <v/>
      </c>
      <c r="CC53" s="468" t="str">
        <f aca="false">IF($BD53,$BW53+IF(VolSkewFlag=1,IF(BT53&gt;0,$BA53*MIN(BT53/10%,1)+($BB53-$BA53)*MAX(0,MIN(BT53/10%-1,1))+($BC53-$BB53)*MAX(0,BT53/10%-2),$AZ53*MIN(-BT53/10%,1)+($AY53-$AZ53)*MAX(0,MIN(-BT53/10%-1,1))+($AX53-$AY53)*MAX(0,-BT53/10%-2)),0),"")</f>
        <v/>
      </c>
      <c r="CD53" s="468" t="str">
        <f aca="false">IF($BD53,$BX53+IF(VolSkewFlag=1,IF(BT53&gt;0,$BA53*MIN(BT53/10%,1)+($BB53-$BA53)*MAX(0,MIN(BT53/10%-1,1))+($BC53-$BB53)*MAX(0,BT53/10%-2),$AZ53*MIN(-BT53/10%,1)+($AY53-$AZ53)*MAX(0,MIN(-BT53/10%-1,1))+($AX53-$AY53)*MAX(0,-BT53/10%-2)),0),"")</f>
        <v/>
      </c>
      <c r="CE53" s="469" t="n">
        <v>1</v>
      </c>
      <c r="CF53" s="470" t="n">
        <f aca="false">IF(BD53,xCrudeAPO(BU53,BV53,CA53,CB53,S54,S55,BI53,BL53,BP53,BQ53,0,Strike1,AO53,CE53,0,BL53,IF(OptControl=4,0,1),0,1),0)</f>
        <v>0</v>
      </c>
      <c r="CG53" s="470" t="n">
        <f aca="false">IF(BD53,xCrudeAPO(BU53,BV53,CA53,CB53,S54,S55,BI53,BL53,BP53,BQ53,0,Strike1,AO53,CE53,0,BL53,IF(OptControl=4,0,1),1,1)+xCrudeAPO(BU53,BV53,CA53,CB53,S54,S55,BI53,BL53,BP53,BQ53,0,Strike1,AO53,CE53,0,BL53,IF(OptControl=4,0,1),1,2)+IF(OR(VolSkewFlag=2,ABS(BS53)&lt;0.0001),0,IF(BS53&gt;0,-1,1)*CH53*Strike1/BR53^2*BY53/10%),0)</f>
        <v>0</v>
      </c>
      <c r="CH53" s="470" t="n">
        <f aca="false">IF(BD53,(xCrudeAPO(BU53,BV53,CA53,CB53,S54,S55,BI53,BL53,BP53,BQ53,0,Strike1,AO53,CE53,0,BL53,IF(OptControl=4,0,1),3,1)+xCrudeAPO(BU53,BV53,CA53,CB53,S54,S55,BI53,BL53,BP53,BQ53,0,Strike1,AO53,CE53,0,BL53,IF(OptControl=4,0,1),3,2))/100,0)</f>
        <v>0</v>
      </c>
      <c r="CI53" s="470" t="n">
        <f aca="false">IF(BD53,xCrudeAPO(BU53,BV53,CA53,CB53,S54,S55,BI53-DaysForThetaCalculation/365.25,BL53-DaysForThetaCalculation/365.25,BP53,BQ53,0,Strike1,AO53,CE53,0,BL53,IF(OptControl=4,0,1),0,1)-xCrudeAPO(BU53,BV53,CA53,CB53,S54,S55,BI53,BL53,BP53,BQ53,0,Strike1,AO53,CE53,0,BL53,IF(OptControl=4,0,1),0,1),0)</f>
        <v>0</v>
      </c>
      <c r="CJ53" s="471" t="n">
        <f aca="false">IF(BD53,xCrudeAPO(BU53,BV53,CC53,CD53,S54,S55,BI53,BL53,BP53,BQ53,0,Strike2,AO53,CE53,0,BL53,IF(OptControl=3,1,0),0,1),0)</f>
        <v>0</v>
      </c>
      <c r="CK53" s="470" t="n">
        <f aca="false">IF(BD53,xCrudeAPO(BU53,BV53,CC53,CD53,S54,S55,BI53,BL53,BP53,BQ53,0,Strike2,AO53,CE53,0,BL53,IF(OptControl=3,1,0),1,1)+xCrudeAPO(BU53,BV53,CC53,CD53,S54,S55,BI53,BL53,BP53,BQ53,0,Strike2,AO53,CE53,0,BL53,IF(OptControl=3,1,0),1,2)+IF(OR(VolSkewFlag=2,ABS(BT53)&lt;0.0001),0,IF(BT53&gt;0,-1,1)*CL53*Strike2/BR53^2*BZ53/10%),0)</f>
        <v>0</v>
      </c>
      <c r="CL53" s="470" t="n">
        <f aca="false">IF(BD53,(xCrudeAPO(BU53,BV53,CC53,CD53,S54,S55,BI53,BL53,BP53,BQ53,0,Strike2,AO53,CE53,0,BL53,IF(OptControl=3,1,0),3,1)+xCrudeAPO(BU53,BV53,CC53,CD53,S54,S55,BI53,BL53,BP53,BQ53,0,Strike2,AO53,CE53,0,BL53,IF(OptControl=3,1,0),3,2))/100,0)</f>
        <v>0</v>
      </c>
      <c r="CM53" s="472" t="n">
        <f aca="false">IF(BD53,xCrudeAPO(BU53,BV53,CC53,CD53,S54,S55,BI53-DaysForThetaCalculation/365.25,BL53-DaysForThetaCalculation/365.25,BP53,BQ53,0,Strike2,AO53,CE53,0,BL53,IF(OptControl=3,1,0),0,1)-xCrudeAPO(BU53,BV53,CC53,CD53,S54,S55,BI53,BL53,BP53,BQ53,0,Strike2,AO53,CE53,0,BL53,IF(OptControl=3,1,0),0,1),0)</f>
        <v>0</v>
      </c>
      <c r="CN53" s="3"/>
      <c r="CO53" s="543" t="str">
        <f aca="false">IF(BD53,CHOOSE(Underlying,AD53,AF53)-DateToday+1,"")</f>
        <v/>
      </c>
      <c r="CP53" s="582" t="str">
        <f aca="false">IF(BD53,CHOOSE(Underlying,L53,R53),"")</f>
        <v/>
      </c>
      <c r="CQ53" s="544" t="str">
        <f aca="false">IF(BD53,Strike1/CP53-1,"")</f>
        <v/>
      </c>
      <c r="CR53" s="544" t="str">
        <f aca="false">IF(BD53,Strike2/CP53-1,"")</f>
        <v/>
      </c>
      <c r="CS53" s="544" t="str">
        <f aca="false">IF(BD53,IF(CQ53&gt;0,IF(CQ53&gt;0.2,BC52-BB52,IF(CQ53&gt;0.1,BB52-BA52,BA52)),IF(CQ53&lt;-0.2,AX52-AY52,IF(CQ53&lt;-0.1,AY52-AZ52,AZ52))),"")</f>
        <v/>
      </c>
      <c r="CT53" s="544" t="str">
        <f aca="false">IF(BD53,IF(CR53&gt;0,IF(CR53&gt;0.2,BC52-BB52,IF(CR53&gt;0.1,BB52-BA52,BA52)),IF(CR53&lt;-0.2,AX52-AY52,IF(CR53&lt;-0.1,AY52-AZ52,AZ52))),"")</f>
        <v/>
      </c>
      <c r="CU53" s="545" t="str">
        <f aca="false">IF(BD53,CHOOSE(Underlying,O53,AT53),"")</f>
        <v/>
      </c>
      <c r="CV53" s="545" t="str">
        <f aca="false">IF(BD53,CU53+IF(VolSkewFlag=1,IF(CQ53&gt;0,BA52*MIN(CQ53/10%,1)+(BB52-BA52)*MAX(0,MIN(CQ53/10%-1,1))+(BC52-BB52)*MAX(0,CQ53/10%-2),AZ52*MIN(-CQ53/10%,1)+(AY52-AZ52)*MAX(0,MIN(-CQ53/10%-1,1))+(AX52-AY52)*MAX(0,-CQ53/10%-2)),0),"")</f>
        <v/>
      </c>
      <c r="CW53" s="545" t="str">
        <f aca="false">IF(BD53,CU53+IF(VolSkewFlag=1,IF(CR53&gt;0,BA52*MIN(CR53/10%,1)+(BB52-BA52)*MAX(0,MIN(CR53/10%-1,1))+(BC52-BB52)*MAX(0,CR53/10%-2),AZ52*MIN(-CR53/10%,1)+(AY52-AZ52)*MAX(0,MIN(-CR53/10%-1,1))+(AX52-AY52)*MAX(0,-CR53/10%-2)),0),"")</f>
        <v/>
      </c>
      <c r="CX53" s="470" t="n">
        <f aca="false">IF(BD53,EURO(CP53,Strike1,AO53,AO53,CV53,CO53,IF(OptControl=4,0,1),0),0)</f>
        <v>0</v>
      </c>
      <c r="CY53" s="470" t="n">
        <f aca="false">IF(BD53,EURO(CP53,Strike1,AO53,AO53,CV53,CO53,IF(OptControl=4,0,1),1)+IF(OR(VolSkewFlag=2,ABS(CQ53)&lt;0.0001),0,IF(CQ53&gt;0,-1,1)*CZ53*100*Strike1/CP53^2*CS53/10%),0)</f>
        <v>0</v>
      </c>
      <c r="CZ53" s="470" t="n">
        <f aca="false">IF(BD53,EURO(CP53,Strike1,AO53,AO53,CV53,CO53,IF(OptControl=4,0,1),3)/100,0)</f>
        <v>0</v>
      </c>
      <c r="DA53" s="470" t="n">
        <f aca="false">IF(BD53,EURO(CP53,Strike1,AO53,AO53,CV53,CO53,IF(OptControl=4,0,1),0)-EURO(CP53,Strike1,AO53,AO53,CV53,CO53-1,IF(OptControl=4,0,1),0),0)</f>
        <v>0</v>
      </c>
      <c r="DB53" s="470" t="n">
        <f aca="false">IF(BD53,EURO(CP53,Strike2,AO53,AO53,CW53,CO53,IF(OptControl=3,1,0),0),0)</f>
        <v>0</v>
      </c>
      <c r="DC53" s="470" t="n">
        <f aca="false">IF(BD53,EURO(CP53,Strike2,AO53,AO53,CW53,CO53,IF(OptControl=3,1,0),1)+IF(OR(VolSkewFlag=2,ABS(CR53)&lt;0.0001),0,IF(CR53&gt;0,-1,1)*DD53*100*Strike2/CP53^2*CT53/10%),0)</f>
        <v>0</v>
      </c>
      <c r="DD53" s="470" t="n">
        <f aca="false">IF(BD53,EURO(CP53,Strike2,AO53,AO53,CW53,CO53,IF(OptControl=3,1,0),3)/100,0)</f>
        <v>0</v>
      </c>
      <c r="DE53" s="472" t="n">
        <f aca="false">IF(BD53,EURO(CP53,Strike2,AO53,AO53,CW53,CO53,IF(OptControl=3,1,0),0)-EURO(CP53,Strike2,AO53,AO53,CW53,CO53-1,IF(OptControl=3,1,0),0),0)</f>
        <v>0</v>
      </c>
      <c r="DG53" s="481" t="n">
        <f aca="false">EOMONTH(DG52,0)+1</f>
        <v>46692</v>
      </c>
      <c r="DH53" s="478" t="n">
        <v>19.0933333333333</v>
      </c>
      <c r="DI53" s="479" t="n">
        <v>19.0033333333333</v>
      </c>
      <c r="DJ53" s="480" t="n">
        <f aca="false">DG53</f>
        <v>46692</v>
      </c>
      <c r="DK53" s="478" t="n">
        <v>17.9870788224122</v>
      </c>
      <c r="DL53" s="479" t="n">
        <v>17.9363333333333</v>
      </c>
      <c r="DM53" s="481" t="n">
        <f aca="false">DG53</f>
        <v>46692</v>
      </c>
      <c r="DN53" s="482" t="n">
        <f aca="false">DK53+BrentPhyBrentSpread</f>
        <v>18.0370788224122</v>
      </c>
      <c r="DO53" s="481" t="n">
        <f aca="false">DG53</f>
        <v>46692</v>
      </c>
      <c r="DP53" s="483" t="n">
        <f aca="false">DL53+DQ53</f>
        <v>17.9363333333333</v>
      </c>
      <c r="DQ53" s="546" t="n">
        <v>0</v>
      </c>
      <c r="DR53" s="480" t="n">
        <f aca="false">DG53</f>
        <v>46692</v>
      </c>
      <c r="DS53" s="485" t="n">
        <v>0.216062230247781</v>
      </c>
      <c r="DT53" s="486" t="n">
        <v>0.213430902598312</v>
      </c>
      <c r="DU53" s="480" t="n">
        <f aca="false">DG53</f>
        <v>46692</v>
      </c>
      <c r="DV53" s="485" t="n">
        <v>0.216062230247781</v>
      </c>
      <c r="DW53" s="486" t="n">
        <v>0.213430902598312</v>
      </c>
      <c r="DX53" s="481" t="n">
        <f aca="false">DG53</f>
        <v>46692</v>
      </c>
      <c r="DY53" s="486" t="n">
        <v>0.350000000018626</v>
      </c>
      <c r="DZ53" s="481" t="n">
        <f aca="false">DR53</f>
        <v>46692</v>
      </c>
      <c r="EA53" s="486" t="n">
        <f aca="false">DT53</f>
        <v>0.213430902598312</v>
      </c>
      <c r="EB53" s="195"/>
      <c r="EC53" s="547" t="str">
        <f aca="false">IF(BD53,IF(Underlying=1,AS53,AU53),"")</f>
        <v/>
      </c>
      <c r="ED53" s="548" t="str">
        <f aca="false">IF($BD53,$EC53+IF(VolSkewFlag=1,IF(BS53&gt;0,$BA53*MIN(BS53/10%,1)+($BB53-$BA53)*MAX(0,MIN(BS53/10%-1,1))+($BC53-$BB53)*MAX(0,BS53/10%-2),$AZ53*MIN(-BS53/10%,1)+($AY53-$AZ53)*MAX(0,MIN(-BS53/10%-1,1))+($AX53-$AY53)*MAX(0,-BS53/10%-2)),0),"")</f>
        <v/>
      </c>
      <c r="EE53" s="549" t="str">
        <f aca="false">IF($BD53,$EC53+IF(VolSkewFlag=1,IF(BT53&gt;0,$BA53*MIN(BT53/10%,1)+($BB53-$BA53)*MAX(0,MIN(BT53/10%-1,1))+($BC53-$BB53)*MAX(0,BT53/10%-2),$AZ53*MIN(-BT53/10%,1)+($AY53-$AZ53)*MAX(0,MIN(-BT53/10%-1,1))+($AX53-$AY53)*MAX(0,-BT53/10%-2)),0),"")</f>
        <v/>
      </c>
      <c r="EF53" s="550" t="n">
        <f aca="false">IF(BD53,xASN(BR53,Strike1,AO53,ED53,0,BO53,0,BI53,BL53,IF(OptControl=4,0,1),0),0)</f>
        <v>0</v>
      </c>
      <c r="EG53" s="551" t="n">
        <f aca="false">IF(BD53,xASN(BR53,Strike2,AO53,EE53,0,BO53,0,BI53,BL53,IF(OptControl=3,1,0),0),0)</f>
        <v>0</v>
      </c>
      <c r="EI53" s="583" t="str">
        <f aca="false">DDE("TWINDDE","RSFRecord","CLc34 MTH")</f>
        <v>+NA+</v>
      </c>
      <c r="EJ53" s="584" t="e">
        <f aca="false">DATEVALUE(CONCATENATE(LEFT(EI53,3),"-",IF(VALUE(RIGHT(EI53,1))=9,"1999",CONCATENATE("200",RIGHT(EI53,1)))))</f>
        <v>#VALUE!</v>
      </c>
      <c r="EK53" s="585" t="str">
        <f aca="false">DDE("TWINDDE","RSFRecord","CLc34 NET.CHNG")</f>
        <v>+NA+</v>
      </c>
      <c r="EL53" s="586" t="n">
        <f aca="false">IF(ISNUMBER(VALUE(EK53)),VALUE(EK53)*100,0)</f>
        <v>0</v>
      </c>
      <c r="EM53" s="195"/>
      <c r="EN53" s="556" t="n">
        <v>39807</v>
      </c>
      <c r="EO53" s="557" t="n">
        <v>42729</v>
      </c>
      <c r="EP53" s="195"/>
      <c r="EQ53" s="407" t="s">
        <v>277</v>
      </c>
      <c r="ES53" s="587" t="n">
        <v>34</v>
      </c>
      <c r="ET53" s="559" t="n">
        <f aca="false">BH53/365.25</f>
        <v>-22.362765229295</v>
      </c>
      <c r="EU53" s="560" t="n">
        <f aca="false">O53^2*ET53</f>
        <v>-0</v>
      </c>
      <c r="EV53" s="588" t="e">
        <f aca="false">SQRT(SUM(FK53:ID53)/ET53)</f>
        <v>#VALUE!</v>
      </c>
      <c r="EW53" s="589" t="str">
        <f aca="false">IF(OR(DateStart2&gt;I52,DateEnd2&lt;I51),"",IF(DateStart2&lt;I52,AK51/AI51*AP51*BE51*SwaptionNumOfMonths/$D$33,0)+IF(DateEnd2&gt;I51,AJ52/AI52*AP52*BE52*SwaptionNumOfMonths/$D$33,0))</f>
        <v/>
      </c>
      <c r="EX53" s="590" t="str">
        <f aca="false">IF(EW53="","",SQRT(SUM(FK358:ID358)/SwaptionYearsToExp))</f>
        <v/>
      </c>
      <c r="EY53" s="129" t="n">
        <v>0</v>
      </c>
      <c r="EZ53" s="591" t="str">
        <f aca="false">IF(OR(EW53="",EW54=""),"",SQRT(SUM(INDEX(FK53:ID53,SwaptionFirstMonthPosition+1):INDEX(FK53:ID53,FJ53))/SUM(INDEX($FK$15:$ID$15,SwaptionFirstMonthPosition+1):INDEX($FK$15:$ID$15,FJ53))))</f>
        <v/>
      </c>
      <c r="FA53" s="592" t="str">
        <f aca="false">IF(OR(EW53="",EW52=""),"",SQRT(SUM(INDEX(FK53:ID53,SwaptionFirstMonthPosition+1):INDEX(FK53:ID53,FJ53-1))/SUM(INDEX($FK$15:$ID$15,SwaptionFirstMonthPosition+1):INDEX($FK$15:$ID$15,FJ53-1))))</f>
        <v/>
      </c>
      <c r="FB53" s="593" t="str">
        <f aca="false">IF(BE53,2/3*EZ54+1/3*FA55,"")</f>
        <v/>
      </c>
      <c r="FC53" s="596" t="str">
        <f aca="false">IF(BE53,(I54+I53-1)/2-DateToday,"")</f>
        <v/>
      </c>
      <c r="FD53" s="483" t="str">
        <f aca="false">IF(BE53,CHOOSE(Underlying,X53,Z53)+SwaptionUnderlyingPrice-$D$26,"")</f>
        <v/>
      </c>
      <c r="FE53" s="483" t="str">
        <f aca="false">IF(BE53,CollartionFloor/FD53-1,"")</f>
        <v/>
      </c>
      <c r="FF53" s="483" t="str">
        <f aca="false">IF(BE53,CollartionCap/FD53-1,"")</f>
        <v/>
      </c>
      <c r="FG53" s="485" t="str">
        <f aca="false">IF(BE53,IF(VolSkewFlag=1,IF(FE53&gt;0,$BA53*MIN(FE53/10%,1)+($BB53-$BA53)*MAX(0,MIN(FE53/10%-1,1))+($BC53-$BB53)*MAX(0,FE53/10%-2),$AZ53*MIN(-FE53/10%,1)+($AY53-$AZ53)*MAX(0,MIN(-FE53/10%-1,1))+($AX53-$AY53)*MAX(0,-FE53/10%-2)),0),"")</f>
        <v/>
      </c>
      <c r="FH53" s="486" t="str">
        <f aca="false">IF(BE53,IF(VolSkewFlag=1,IF(FF53&gt;0,$BA53*MIN(FF53/10%,1)+($BB53-$BA53)*MAX(0,MIN(FF53/10%-1,1))+($BC53-$BB53)*MAX(0,FF53/10%-2),$AZ53*MIN(-FF53/10%,1)+($AY53-$AZ53)*MAX(0,MIN(-FF53/10%-1,1))+($AX53-$AY53)*MAX(0,-FF53/10%-2)),0),"")</f>
        <v/>
      </c>
      <c r="FI53" s="129"/>
      <c r="FJ53" s="571" t="n">
        <v>34</v>
      </c>
      <c r="FK53" s="150" t="n">
        <f aca="false">IF(FK$19&gt;$FJ53,"",MAX(0,IF(FK$19=$FJ53,$S53^2*FK$15,FK52*INDEX($T$20:$T$91,$FJ53-FK$19)^2/INDEX($U$20:$U$91,$FJ53-FK$19))))</f>
        <v>0</v>
      </c>
      <c r="FL53" s="150" t="n">
        <f aca="false">IF(FL$19&gt;$FJ53,"",MAX(0,IF(FL$19=$FJ53,$S53^2*FL$15,FL52*INDEX($T$20:$T$91,$FJ53-FL$19)^2/INDEX($U$20:$U$91,$FJ53-FL$19))))</f>
        <v>0</v>
      </c>
      <c r="FM53" s="150" t="n">
        <f aca="false">IF(FM$19&gt;$FJ53,"",MAX(0,IF(FM$19=$FJ53,$S53^2*FM$15,FM52*INDEX($T$20:$T$91,$FJ53-FM$19)^2/INDEX($U$20:$U$91,$FJ53-FM$19))))</f>
        <v>0.00257765970011228</v>
      </c>
      <c r="FN53" s="150" t="n">
        <f aca="false">IF(FN$19&gt;$FJ53,"",MAX(0,IF(FN$19=$FJ53,$S53^2*FN$15,FN52*INDEX($T$20:$T$91,$FJ53-FN$19)^2/INDEX($U$20:$U$91,$FJ53-FN$19))))</f>
        <v>0.00217398201362907</v>
      </c>
      <c r="FO53" s="150" t="n">
        <f aca="false">IF(FO$19&gt;$FJ53,"",MAX(0,IF(FO$19=$FJ53,$S53^2*FO$15,FO52*INDEX($T$20:$T$91,$FJ53-FO$19)^2/INDEX($U$20:$U$91,$FJ53-FO$19))))</f>
        <v>0.00226668141472363</v>
      </c>
      <c r="FP53" s="150" t="n">
        <f aca="false">IF(FP$19&gt;$FJ53,"",MAX(0,IF(FP$19=$FJ53,$S53^2*FP$15,FP52*INDEX($T$20:$T$91,$FJ53-FP$19)^2/INDEX($U$20:$U$91,$FJ53-FP$19))))</f>
        <v>0.00251875764564387</v>
      </c>
      <c r="FQ53" s="150" t="n">
        <f aca="false">IF(FQ$19&gt;$FJ53,"",MAX(0,IF(FQ$19=$FJ53,$S53^2*FQ$15,FQ52*INDEX($T$20:$T$91,$FJ53-FQ$19)^2/INDEX($U$20:$U$91,$FJ53-FQ$19))))</f>
        <v>0.00204588796107812</v>
      </c>
      <c r="FR53" s="150" t="n">
        <f aca="false">IF(FR$19&gt;$FJ53,"",MAX(0,IF(FR$19=$FJ53,$S53^2*FR$15,FR52*INDEX($T$20:$T$91,$FJ53-FR$19)^2/INDEX($U$20:$U$91,$FJ53-FR$19))))</f>
        <v>0.00209985704259852</v>
      </c>
      <c r="FS53" s="150" t="n">
        <f aca="false">IF(FS$19&gt;$FJ53,"",MAX(0,IF(FS$19=$FJ53,$S53^2*FS$15,FS52*INDEX($T$20:$T$91,$FJ53-FS$19)^2/INDEX($U$20:$U$91,$FJ53-FS$19))))</f>
        <v>0.00237701437690152</v>
      </c>
      <c r="FT53" s="150" t="n">
        <f aca="false">IF(FT$19&gt;$FJ53,"",MAX(0,IF(FT$19=$FJ53,$S53^2*FT$15,FT52*INDEX($T$20:$T$91,$FJ53-FT$19)^2/INDEX($U$20:$U$91,$FJ53-FT$19))))</f>
        <v>0.00215644376018952</v>
      </c>
      <c r="FU53" s="150" t="n">
        <f aca="false">IF(FU$19&gt;$FJ53,"",MAX(0,IF(FU$19=$FJ53,$S53^2*FU$15,FU52*INDEX($T$20:$T$91,$FJ53-FU$19)^2/INDEX($U$20:$U$91,$FJ53-FU$19))))</f>
        <v>0.00208587680901194</v>
      </c>
      <c r="FV53" s="150" t="n">
        <f aca="false">IF(FV$19&gt;$FJ53,"",MAX(0,IF(FV$19=$FJ53,$S53^2*FV$15,FV52*INDEX($T$20:$T$91,$FJ53-FV$19)^2/INDEX($U$20:$U$91,$FJ53-FV$19))))</f>
        <v>0.00230867008885018</v>
      </c>
      <c r="FW53" s="150" t="n">
        <f aca="false">IF(FW$19&gt;$FJ53,"",MAX(0,IF(FW$19=$FJ53,$S53^2*FW$15,FW52*INDEX($T$20:$T$91,$FJ53-FW$19)^2/INDEX($U$20:$U$91,$FJ53-FW$19))))</f>
        <v>0.00217586961783985</v>
      </c>
      <c r="FX53" s="150" t="n">
        <f aca="false">IF(FX$19&gt;$FJ53,"",MAX(0,IF(FX$19=$FJ53,$S53^2*FX$15,FX52*INDEX($T$20:$T$91,$FJ53-FX$19)^2/INDEX($U$20:$U$91,$FJ53-FX$19))))</f>
        <v>0.00233840637423011</v>
      </c>
      <c r="FY53" s="150" t="n">
        <f aca="false">IF(FY$19&gt;$FJ53,"",MAX(0,IF(FY$19=$FJ53,$S53^2*FY$15,FY52*INDEX($T$20:$T$91,$FJ53-FY$19)^2/INDEX($U$20:$U$91,$FJ53-FY$19))))</f>
        <v>0.00221376484028265</v>
      </c>
      <c r="FZ53" s="150" t="n">
        <f aca="false">IF(FZ$19&gt;$FJ53,"",MAX(0,IF(FZ$19=$FJ53,$S53^2*FZ$15,FZ52*INDEX($T$20:$T$91,$FJ53-FZ$19)^2/INDEX($U$20:$U$91,$FJ53-FZ$19))))</f>
        <v>0.0020914745676966</v>
      </c>
      <c r="GA53" s="150" t="n">
        <f aca="false">IF(GA$19&gt;$FJ53,"",MAX(0,IF(GA$19=$FJ53,$S53^2*GA$15,GA52*INDEX($T$20:$T$91,$FJ53-GA$19)^2/INDEX($U$20:$U$91,$FJ53-GA$19))))</f>
        <v>0.00227427981762925</v>
      </c>
      <c r="GB53" s="150" t="n">
        <f aca="false">IF(GB$19&gt;$FJ53,"",MAX(0,IF(GB$19=$FJ53,$S53^2*GB$15,GB52*INDEX($T$20:$T$91,$FJ53-GB$19)^2/INDEX($U$20:$U$91,$FJ53-GB$19))))</f>
        <v>0.002546511006798</v>
      </c>
      <c r="GC53" s="150" t="n">
        <f aca="false">IF(GC$19&gt;$FJ53,"",MAX(0,IF(GC$19=$FJ53,$S53^2*GC$15,GC52*INDEX($T$20:$T$91,$FJ53-GC$19)^2/INDEX($U$20:$U$91,$FJ53-GC$19))))</f>
        <v>0.0022855769374143</v>
      </c>
      <c r="GD53" s="150" t="n">
        <f aca="false">IF(GD$19&gt;$FJ53,"",MAX(0,IF(GD$19=$FJ53,$S53^2*GD$15,GD52*INDEX($T$20:$T$91,$FJ53-GD$19)^2/INDEX($U$20:$U$91,$FJ53-GD$19))))</f>
        <v>0.00234335622350879</v>
      </c>
      <c r="GE53" s="150" t="n">
        <f aca="false">IF(GE$19&gt;$FJ53,"",MAX(0,IF(GE$19=$FJ53,$S53^2*GE$15,GE52*INDEX($T$20:$T$91,$FJ53-GE$19)^2/INDEX($U$20:$U$91,$FJ53-GE$19))))</f>
        <v>0.00274624696632177</v>
      </c>
      <c r="GF53" s="150" t="n">
        <f aca="false">IF(GF$19&gt;$FJ53,"",MAX(0,IF(GF$19=$FJ53,$S53^2*GF$15,GF52*INDEX($T$20:$T$91,$FJ53-GF$19)^2/INDEX($U$20:$U$91,$FJ53-GF$19))))</f>
        <v>0.0024984630200829</v>
      </c>
      <c r="GG53" s="150" t="n">
        <f aca="false">IF(GG$19&gt;$FJ53,"",MAX(0,IF(GG$19=$FJ53,$S53^2*GG$15,GG52*INDEX($T$20:$T$91,$FJ53-GG$19)^2/INDEX($U$20:$U$91,$FJ53-GG$19))))</f>
        <v>0.00287158999529128</v>
      </c>
      <c r="GH53" s="150" t="n">
        <f aca="false">IF(GH$19&gt;$FJ53,"",MAX(0,IF(GH$19=$FJ53,$S53^2*GH$15,GH52*INDEX($T$20:$T$91,$FJ53-GH$19)^2/INDEX($U$20:$U$91,$FJ53-GH$19))))</f>
        <v>0.00282421750886427</v>
      </c>
      <c r="GI53" s="150" t="n">
        <f aca="false">IF(GI$19&gt;$FJ53,"",MAX(0,IF(GI$19=$FJ53,$S53^2*GI$15,GI52*INDEX($T$20:$T$91,$FJ53-GI$19)^2/INDEX($U$20:$U$91,$FJ53-GI$19))))</f>
        <v>0.00288823937691711</v>
      </c>
      <c r="GJ53" s="150" t="n">
        <f aca="false">IF(GJ$19&gt;$FJ53,"",MAX(0,IF(GJ$19=$FJ53,$S53^2*GJ$15,GJ52*INDEX($T$20:$T$91,$FJ53-GJ$19)^2/INDEX($U$20:$U$91,$FJ53-GJ$19))))</f>
        <v>0.00351167246581997</v>
      </c>
      <c r="GK53" s="150" t="n">
        <f aca="false">IF(GK$19&gt;$FJ53,"",MAX(0,IF(GK$19=$FJ53,$S53^2*GK$15,GK52*INDEX($T$20:$T$91,$FJ53-GK$19)^2/INDEX($U$20:$U$91,$FJ53-GK$19))))</f>
        <v>0.00345122380979864</v>
      </c>
      <c r="GL53" s="150" t="n">
        <f aca="false">IF(GL$19&gt;$FJ53,"",MAX(0,IF(GL$19=$FJ53,$S53^2*GL$15,GL52*INDEX($T$20:$T$91,$FJ53-GL$19)^2/INDEX($U$20:$U$91,$FJ53-GL$19))))</f>
        <v>0.00365699417817235</v>
      </c>
      <c r="GM53" s="150" t="n">
        <f aca="false">IF(GM$19&gt;$FJ53,"",MAX(0,IF(GM$19=$FJ53,$S53^2*GM$15,GM52*INDEX($T$20:$T$91,$FJ53-GM$19)^2/INDEX($U$20:$U$91,$FJ53-GM$19))))</f>
        <v>0.00435623409852196</v>
      </c>
      <c r="GN53" s="150" t="n">
        <f aca="false">IF(GN$19&gt;$FJ53,"",MAX(0,IF(GN$19=$FJ53,$S53^2*GN$15,GN52*INDEX($T$20:$T$91,$FJ53-GN$19)^2/INDEX($U$20:$U$91,$FJ53-GN$19))))</f>
        <v>0.00495046131609451</v>
      </c>
      <c r="GO53" s="150" t="n">
        <f aca="false">IF(GO$19&gt;$FJ53,"",MAX(0,IF(GO$19=$FJ53,$S53^2*GO$15,GO52*INDEX($T$20:$T$91,$FJ53-GO$19)^2/INDEX($U$20:$U$91,$FJ53-GO$19))))</f>
        <v>0.00575903248395997</v>
      </c>
      <c r="GP53" s="150" t="n">
        <f aca="false">IF(GP$19&gt;$FJ53,"",MAX(0,IF(GP$19=$FJ53,$S53^2*GP$15,GP52*INDEX($T$20:$T$91,$FJ53-GP$19)^2/INDEX($U$20:$U$91,$FJ53-GP$19))))</f>
        <v>0.00622375882427496</v>
      </c>
      <c r="GQ53" s="150" t="n">
        <f aca="false">IF(GQ$19&gt;$FJ53,"",MAX(0,IF(GQ$19=$FJ53,$S53^2*GQ$15,GQ52*INDEX($T$20:$T$91,$FJ53-GQ$19)^2/INDEX($U$20:$U$91,$FJ53-GQ$19))))</f>
        <v>0.00852872368927047</v>
      </c>
      <c r="GR53" s="150" t="n">
        <f aca="false">IF(GR$19&gt;$FJ53,"",MAX(0,IF(GR$19=$FJ53,$S53^2*GR$15,GR52*INDEX($T$20:$T$91,$FJ53-GR$19)^2/INDEX($U$20:$U$91,$FJ53-GR$19))))</f>
        <v>0.0106450014822182</v>
      </c>
      <c r="GS53" s="150" t="str">
        <f aca="false">IF(GS$19&gt;$FJ53,"",MAX(0,IF(GS$19=$FJ53,$S53^2*GS$15,GS52*INDEX($T$20:$T$91,$FJ53-GS$19)^2/INDEX($U$20:$U$91,$FJ53-GS$19))))</f>
        <v/>
      </c>
      <c r="GT53" s="150" t="str">
        <f aca="false">IF(GT$19&gt;$FJ53,"",MAX(0,IF(GT$19=$FJ53,$S53^2*GT$15,GT52*INDEX($T$20:$T$91,$FJ53-GT$19)^2/INDEX($U$20:$U$91,$FJ53-GT$19))))</f>
        <v/>
      </c>
      <c r="GU53" s="150" t="str">
        <f aca="false">IF(GU$19&gt;$FJ53,"",MAX(0,IF(GU$19=$FJ53,$S53^2*GU$15,GU52*INDEX($T$20:$T$91,$FJ53-GU$19)^2/INDEX($U$20:$U$91,$FJ53-GU$19))))</f>
        <v/>
      </c>
      <c r="GV53" s="150" t="str">
        <f aca="false">IF(GV$19&gt;$FJ53,"",MAX(0,IF(GV$19=$FJ53,$S53^2*GV$15,GV52*INDEX($T$20:$T$91,$FJ53-GV$19)^2/INDEX($U$20:$U$91,$FJ53-GV$19))))</f>
        <v/>
      </c>
      <c r="GW53" s="150" t="str">
        <f aca="false">IF(GW$19&gt;$FJ53,"",MAX(0,IF(GW$19=$FJ53,$S53^2*GW$15,GW52*INDEX($T$20:$T$91,$FJ53-GW$19)^2/INDEX($U$20:$U$91,$FJ53-GW$19))))</f>
        <v/>
      </c>
      <c r="GX53" s="150" t="str">
        <f aca="false">IF(GX$19&gt;$FJ53,"",MAX(0,IF(GX$19=$FJ53,$S53^2*GX$15,GX52*INDEX($T$20:$T$91,$FJ53-GX$19)^2/INDEX($U$20:$U$91,$FJ53-GX$19))))</f>
        <v/>
      </c>
      <c r="GY53" s="150" t="str">
        <f aca="false">IF(GY$19&gt;$FJ53,"",MAX(0,IF(GY$19=$FJ53,$S53^2*GY$15,GY52*INDEX($T$20:$T$91,$FJ53-GY$19)^2/INDEX($U$20:$U$91,$FJ53-GY$19))))</f>
        <v/>
      </c>
      <c r="GZ53" s="150" t="str">
        <f aca="false">IF(GZ$19&gt;$FJ53,"",MAX(0,IF(GZ$19=$FJ53,$S53^2*GZ$15,GZ52*INDEX($T$20:$T$91,$FJ53-GZ$19)^2/INDEX($U$20:$U$91,$FJ53-GZ$19))))</f>
        <v/>
      </c>
      <c r="HA53" s="150" t="str">
        <f aca="false">IF(HA$19&gt;$FJ53,"",MAX(0,IF(HA$19=$FJ53,$S53^2*HA$15,HA52*INDEX($T$20:$T$91,$FJ53-HA$19)^2/INDEX($U$20:$U$91,$FJ53-HA$19))))</f>
        <v/>
      </c>
      <c r="HB53" s="150" t="str">
        <f aca="false">IF(HB$19&gt;$FJ53,"",MAX(0,IF(HB$19=$FJ53,$S53^2*HB$15,HB52*INDEX($T$20:$T$91,$FJ53-HB$19)^2/INDEX($U$20:$U$91,$FJ53-HB$19))))</f>
        <v/>
      </c>
      <c r="HC53" s="150" t="str">
        <f aca="false">IF(HC$19&gt;$FJ53,"",MAX(0,IF(HC$19=$FJ53,$S53^2*HC$15,HC52*INDEX($T$20:$T$91,$FJ53-HC$19)^2/INDEX($U$20:$U$91,$FJ53-HC$19))))</f>
        <v/>
      </c>
      <c r="HD53" s="150" t="str">
        <f aca="false">IF(HD$19&gt;$FJ53,"",MAX(0,IF(HD$19=$FJ53,$S53^2*HD$15,HD52*INDEX($T$20:$T$91,$FJ53-HD$19)^2/INDEX($U$20:$U$91,$FJ53-HD$19))))</f>
        <v/>
      </c>
      <c r="HE53" s="150" t="str">
        <f aca="false">IF(HE$19&gt;$FJ53,"",MAX(0,IF(HE$19=$FJ53,$S53^2*HE$15,HE52*INDEX($T$20:$T$91,$FJ53-HE$19)^2/INDEX($U$20:$U$91,$FJ53-HE$19))))</f>
        <v/>
      </c>
      <c r="HF53" s="150" t="str">
        <f aca="false">IF(HF$19&gt;$FJ53,"",MAX(0,IF(HF$19=$FJ53,$S53^2*HF$15,HF52*INDEX($T$20:$T$91,$FJ53-HF$19)^2/INDEX($U$20:$U$91,$FJ53-HF$19))))</f>
        <v/>
      </c>
      <c r="HG53" s="150" t="str">
        <f aca="false">IF(HG$19&gt;$FJ53,"",MAX(0,IF(HG$19=$FJ53,$S53^2*HG$15,HG52*INDEX($T$20:$T$91,$FJ53-HG$19)^2/INDEX($U$20:$U$91,$FJ53-HG$19))))</f>
        <v/>
      </c>
      <c r="HH53" s="150" t="str">
        <f aca="false">IF(HH$19&gt;$FJ53,"",MAX(0,IF(HH$19=$FJ53,$S53^2*HH$15,HH52*INDEX($T$20:$T$91,$FJ53-HH$19)^2/INDEX($U$20:$U$91,$FJ53-HH$19))))</f>
        <v/>
      </c>
      <c r="HI53" s="150" t="str">
        <f aca="false">IF(HI$19&gt;$FJ53,"",MAX(0,IF(HI$19=$FJ53,$S53^2*HI$15,HI52*INDEX($T$20:$T$91,$FJ53-HI$19)^2/INDEX($U$20:$U$91,$FJ53-HI$19))))</f>
        <v/>
      </c>
      <c r="HJ53" s="150" t="str">
        <f aca="false">IF(HJ$19&gt;$FJ53,"",MAX(0,IF(HJ$19=$FJ53,$S53^2*HJ$15,HJ52*INDEX($T$20:$T$91,$FJ53-HJ$19)^2/INDEX($U$20:$U$91,$FJ53-HJ$19))))</f>
        <v/>
      </c>
      <c r="HK53" s="150" t="str">
        <f aca="false">IF(HK$19&gt;$FJ53,"",MAX(0,IF(HK$19=$FJ53,$S53^2*HK$15,HK52*INDEX($T$20:$T$91,$FJ53-HK$19)^2/INDEX($U$20:$U$91,$FJ53-HK$19))))</f>
        <v/>
      </c>
      <c r="HL53" s="150" t="str">
        <f aca="false">IF(HL$19&gt;$FJ53,"",MAX(0,IF(HL$19=$FJ53,$S53^2*HL$15,HL52*INDEX($T$20:$T$91,$FJ53-HL$19)^2/INDEX($U$20:$U$91,$FJ53-HL$19))))</f>
        <v/>
      </c>
      <c r="HM53" s="150" t="str">
        <f aca="false">IF(HM$19&gt;$FJ53,"",MAX(0,IF(HM$19=$FJ53,$S53^2*HM$15,HM52*INDEX($T$20:$T$91,$FJ53-HM$19)^2/INDEX($U$20:$U$91,$FJ53-HM$19))))</f>
        <v/>
      </c>
      <c r="HN53" s="150" t="str">
        <f aca="false">IF(HN$19&gt;$FJ53,"",MAX(0,IF(HN$19=$FJ53,$S53^2*HN$15,HN52*INDEX($T$20:$T$91,$FJ53-HN$19)^2/INDEX($U$20:$U$91,$FJ53-HN$19))))</f>
        <v/>
      </c>
      <c r="HO53" s="150" t="str">
        <f aca="false">IF(HO$19&gt;$FJ53,"",MAX(0,IF(HO$19=$FJ53,$S53^2*HO$15,HO52*INDEX($T$20:$T$91,$FJ53-HO$19)^2/INDEX($U$20:$U$91,$FJ53-HO$19))))</f>
        <v/>
      </c>
      <c r="HP53" s="150" t="str">
        <f aca="false">IF(HP$19&gt;$FJ53,"",MAX(0,IF(HP$19=$FJ53,$S53^2*HP$15,HP52*INDEX($T$20:$T$91,$FJ53-HP$19)^2/INDEX($U$20:$U$91,$FJ53-HP$19))))</f>
        <v/>
      </c>
      <c r="HQ53" s="150" t="str">
        <f aca="false">IF(HQ$19&gt;$FJ53,"",MAX(0,IF(HQ$19=$FJ53,$S53^2*HQ$15,HQ52*INDEX($T$20:$T$91,$FJ53-HQ$19)^2/INDEX($U$20:$U$91,$FJ53-HQ$19))))</f>
        <v/>
      </c>
      <c r="HR53" s="150" t="str">
        <f aca="false">IF(HR$19&gt;$FJ53,"",MAX(0,IF(HR$19=$FJ53,$S53^2*HR$15,HR52*INDEX($T$20:$T$91,$FJ53-HR$19)^2/INDEX($U$20:$U$91,$FJ53-HR$19))))</f>
        <v/>
      </c>
      <c r="HS53" s="150" t="str">
        <f aca="false">IF(HS$19&gt;$FJ53,"",MAX(0,IF(HS$19=$FJ53,$S53^2*HS$15,HS52*INDEX($T$20:$T$91,$FJ53-HS$19)^2/INDEX($U$20:$U$91,$FJ53-HS$19))))</f>
        <v/>
      </c>
      <c r="HT53" s="150" t="str">
        <f aca="false">IF(HT$19&gt;$FJ53,"",MAX(0,IF(HT$19=$FJ53,$S53^2*HT$15,HT52*INDEX($T$20:$T$91,$FJ53-HT$19)^2/INDEX($U$20:$U$91,$FJ53-HT$19))))</f>
        <v/>
      </c>
      <c r="HU53" s="150" t="str">
        <f aca="false">IF(HU$19&gt;$FJ53,"",MAX(0,IF(HU$19=$FJ53,$S53^2*HU$15,HU52*INDEX($T$20:$T$91,$FJ53-HU$19)^2/INDEX($U$20:$U$91,$FJ53-HU$19))))</f>
        <v/>
      </c>
      <c r="HV53" s="150" t="str">
        <f aca="false">IF(HV$19&gt;$FJ53,"",MAX(0,IF(HV$19=$FJ53,$S53^2*HV$15,HV52*INDEX($T$20:$T$91,$FJ53-HV$19)^2/INDEX($U$20:$U$91,$FJ53-HV$19))))</f>
        <v/>
      </c>
      <c r="HW53" s="150" t="str">
        <f aca="false">IF(HW$19&gt;$FJ53,"",MAX(0,IF(HW$19=$FJ53,$S53^2*HW$15,HW52*INDEX($T$20:$T$91,$FJ53-HW$19)^2/INDEX($U$20:$U$91,$FJ53-HW$19))))</f>
        <v/>
      </c>
      <c r="HX53" s="150" t="str">
        <f aca="false">IF(HX$19&gt;$FJ53,"",MAX(0,IF(HX$19=$FJ53,$S53^2*HX$15,HX52*INDEX($T$20:$T$91,$FJ53-HX$19)^2/INDEX($U$20:$U$91,$FJ53-HX$19))))</f>
        <v/>
      </c>
      <c r="HY53" s="150" t="str">
        <f aca="false">IF(HY$19&gt;$FJ53,"",MAX(0,IF(HY$19=$FJ53,$S53^2*HY$15,HY52*INDEX($T$20:$T$91,$FJ53-HY$19)^2/INDEX($U$20:$U$91,$FJ53-HY$19))))</f>
        <v/>
      </c>
      <c r="HZ53" s="150" t="str">
        <f aca="false">IF(HZ$19&gt;$FJ53,"",MAX(0,IF(HZ$19=$FJ53,$S53^2*HZ$15,HZ52*INDEX($T$20:$T$91,$FJ53-HZ$19)^2/INDEX($U$20:$U$91,$FJ53-HZ$19))))</f>
        <v/>
      </c>
      <c r="IA53" s="150" t="str">
        <f aca="false">IF(IA$19&gt;$FJ53,"",MAX(0,IF(IA$19=$FJ53,$S53^2*IA$15,IA52*INDEX($T$20:$T$91,$FJ53-IA$19)^2/INDEX($U$20:$U$91,$FJ53-IA$19))))</f>
        <v/>
      </c>
      <c r="IB53" s="150" t="str">
        <f aca="false">IF(IB$19&gt;$FJ53,"",MAX(0,IF(IB$19=$FJ53,$S53^2*IB$15,IB52*INDEX($T$20:$T$91,$FJ53-IB$19)^2/INDEX($U$20:$U$91,$FJ53-IB$19))))</f>
        <v/>
      </c>
      <c r="IC53" s="150" t="str">
        <f aca="false">IF(IC$19&gt;$FJ53,"",MAX(0,IF(IC$19=$FJ53,$S53^2*IC$15,IC52*INDEX($T$20:$T$91,$FJ53-IC$19)^2/INDEX($U$20:$U$91,$FJ53-IC$19))))</f>
        <v/>
      </c>
      <c r="ID53" s="572" t="str">
        <f aca="false">IF(ID$19&gt;$FJ53,"",MAX(0,IF(ID$19=$FJ53,$S53^2*ID$15,ID52*INDEX($T$20:$T$91,$FJ53-ID$19)^2/INDEX($U$20:$U$91,$FJ53-ID$19))))</f>
        <v/>
      </c>
      <c r="IE53" s="129"/>
    </row>
    <row r="54" customFormat="false" ht="12.75" hidden="false" customHeight="false" outlineLevel="0" collapsed="false">
      <c r="A54" s="219"/>
      <c r="B54" s="219"/>
      <c r="C54" s="219"/>
      <c r="D54" s="219"/>
      <c r="E54" s="219"/>
      <c r="F54" s="219"/>
      <c r="G54" s="219"/>
      <c r="H54" s="219" t="n">
        <f aca="false">VLOOKUP(I54,$EJ$20:$EL$54,3)</f>
        <v>0</v>
      </c>
      <c r="I54" s="511" t="n">
        <f aca="false">EOMONTH(I53,0)+1</f>
        <v>37803</v>
      </c>
      <c r="J54" s="512"/>
      <c r="K54" s="513" t="s">
        <v>226</v>
      </c>
      <c r="L54" s="514" t="e">
        <f aca="false">IF(ISNUMBER(K54),J54+K54/100,IF(K54="extra",L53+VLOOKUP(BF54,PriceSpreadTable,2)/12,IF(K54="inter",interpolateprices($K$19:$L$200,ROW(K54)-ROW(FirstPricingMonth)+1),interpolatechanges($J$19:$K$200,ROW(K54)-ROW(FirstPricingMonth)+1))))</f>
        <v>#VALUE!</v>
      </c>
      <c r="M54" s="515"/>
      <c r="N54" s="516" t="n">
        <v>0</v>
      </c>
      <c r="O54" s="515" t="n">
        <f aca="false">M54+N54</f>
        <v>0</v>
      </c>
      <c r="P54" s="512"/>
      <c r="Q54" s="513" t="n">
        <v>0</v>
      </c>
      <c r="R54" s="512" t="n">
        <f aca="false">IF(ISNUMBER(Q54),P54+Q54/100,IF(Q54="extra",(Z52*AL52-R53*AM52)/AN52,IF(Q54="inter",interpolateprices($Q$19:$R$260,ROW(Q54)-ROW(FirstPricingMonth)+1),interpolatechanges($P$19:$Q$260,ROW(Q54)-ROW(FirstPricingMonth)+1))))</f>
        <v>0</v>
      </c>
      <c r="S54" s="597" t="n">
        <f aca="false">S$19+(S53-S$19)*S$18</f>
        <v>0.360003013572772</v>
      </c>
      <c r="T54" s="575" t="n">
        <f aca="false">SQRT((1-(1-T53^2/U53)*T$18)*U54)</f>
        <v>0.999453247984574</v>
      </c>
      <c r="U54" s="576" t="n">
        <f aca="false">1-(1-U53)*U$18</f>
        <v>0.999999152432658</v>
      </c>
      <c r="V54" s="521" t="n">
        <v>0</v>
      </c>
      <c r="W54" s="577" t="n">
        <f aca="false">(J55*AJ54+J56*AK54)/AI54</f>
        <v>0</v>
      </c>
      <c r="X54" s="578" t="e">
        <f aca="false">(L55*AJ54+L56*AK54)/AI54</f>
        <v>#VALUE!</v>
      </c>
      <c r="Y54" s="579" t="n">
        <f aca="false">IF(Q56="extra",W54-AA54,(P55*AM54+P56*AN54)/AL54)</f>
        <v>-1.2051</v>
      </c>
      <c r="Z54" s="579" t="e">
        <f aca="false">IF(Q56="extra",X54-AB54,(R55*AM54+R56*AN54)/AL54)</f>
        <v>#VALUE!</v>
      </c>
      <c r="AA54" s="523" t="n">
        <f aca="false">IF(Q56="extra",INDEX(BrentSeasonalityTable,INT((BG54-1)/3)+1)*VLOOKUP(MAX(BF54,$AB$4),PriceSpreadTable,3),W54-Y54)</f>
        <v>1.2051</v>
      </c>
      <c r="AB54" s="524" t="n">
        <f aca="false">IF(Q56="extra",INDEX(BrentSeasonalityTable,INT((BG54-1)/3)+1)*VLOOKUP(MAX(BF54,$AB$4),PriceSpreadTable,3),X54-Z54)</f>
        <v>1.2051</v>
      </c>
      <c r="AC54" s="525" t="n">
        <v>37792</v>
      </c>
      <c r="AD54" s="646" t="n">
        <v>37788</v>
      </c>
      <c r="AE54" s="646" t="n">
        <v>37787</v>
      </c>
      <c r="AF54" s="646" t="n">
        <v>37783</v>
      </c>
      <c r="AG54" s="438" t="s">
        <v>247</v>
      </c>
      <c r="AH54" s="439" t="s">
        <v>278</v>
      </c>
      <c r="AI54" s="528" t="n">
        <v>22</v>
      </c>
      <c r="AJ54" s="529" t="n">
        <v>13</v>
      </c>
      <c r="AK54" s="529" t="n">
        <v>9</v>
      </c>
      <c r="AL54" s="530" t="n">
        <v>23</v>
      </c>
      <c r="AM54" s="529" t="n">
        <v>10</v>
      </c>
      <c r="AN54" s="531" t="n">
        <v>13</v>
      </c>
      <c r="AO54" s="532"/>
      <c r="AP54" s="465" t="n">
        <f aca="false">(1+AO54/2)^(-2*BL54)</f>
        <v>1</v>
      </c>
      <c r="AQ54" s="532"/>
      <c r="AR54" s="465" t="n">
        <f aca="false">(1+AQ54/2)^(-2*BH54/365.25)</f>
        <v>1</v>
      </c>
      <c r="AS54" s="580" t="n">
        <f aca="false">(O55*AJ54+O56*AK54)/AI54</f>
        <v>0</v>
      </c>
      <c r="AT54" s="468" t="n">
        <f aca="false">O54*VLOOKUP(BF54,BrentVolTable,2)+VLOOKUP(BF54,BrentVolTable,3)</f>
        <v>0</v>
      </c>
      <c r="AU54" s="468" t="n">
        <f aca="false">(AT55*AM54+AT56*AN54)/AL54</f>
        <v>0</v>
      </c>
      <c r="AV54" s="595" t="n">
        <f aca="false">SQRT(MAX(0.000000000001,(O54^2*BH54-S54^2*(BH54-BH53))/BH53))</f>
        <v>0.0221783441661948</v>
      </c>
      <c r="AW54" s="451" t="n">
        <f aca="false">IF($I54-DateToday+15&gt;=$T$8,"",IF($I54-DateToday+15&lt;$T$5,1,MATCH($I54-DateToday+15,$T$5:$T$8)))</f>
        <v>1</v>
      </c>
      <c r="AX54" s="468" t="n">
        <f aca="false">IF($AW54="",AX53^2/AX52,INDEX(U$5:U$8,$AW54)^((INDEX($T$5:$T$8,$AW54+1)-($I54-DateToday+15))/(INDEX($T$5:$T$8,$AW54+1)-INDEX($T$5:$T$8,$AW54)))/INDEX(U$5:U$8,$AW54+1)^((INDEX($T$5:$T$8,$AW54)-($I54-DateToday+15))/(INDEX($T$5:$T$8,$AW54+1)-INDEX($T$5:$T$8,$AW54))))</f>
        <v>6.07472165899632</v>
      </c>
      <c r="AY54" s="468" t="n">
        <f aca="false">IF($AW54="",AY53^2/AY52,INDEX(V$5:V$8,$AW54)^((INDEX($T$5:$T$8,$AW54+1)-($I54-DateToday+15))/(INDEX($T$5:$T$8,$AW54+1)-INDEX($T$5:$T$8,$AW54)))/INDEX(V$5:V$8,$AW54+1)^((INDEX($T$5:$T$8,$AW54)-($I54-DateToday+15))/(INDEX($T$5:$T$8,$AW54+1)-INDEX($T$5:$T$8,$AW54))))</f>
        <v>1248.82840364477</v>
      </c>
      <c r="AZ54" s="468" t="n">
        <f aca="false">IF($AW54="",AZ53^2/AZ52,INDEX(W$5:W$8,$AW54)^((INDEX($T$5:$T$8,$AW54+1)-($I54-DateToday+15))/(INDEX($T$5:$T$8,$AW54+1)-INDEX($T$5:$T$8,$AW54)))/INDEX(W$5:W$8,$AW54+1)^((INDEX($T$5:$T$8,$AW54)-($I54-DateToday+15))/(INDEX($T$5:$T$8,$AW54+1)-INDEX($T$5:$T$8,$AW54))))</f>
        <v>42925861.568612</v>
      </c>
      <c r="BA54" s="468" t="n">
        <f aca="false">IF($AW54="",BA53^2/BA52,INDEX(X$5:X$8,$AW54)^((INDEX($T$5:$T$8,$AW54+1)-($I54-DateToday+15))/(INDEX($T$5:$T$8,$AW54+1)-INDEX($T$5:$T$8,$AW54)))/INDEX(X$5:X$8,$AW54+1)^((INDEX($T$5:$T$8,$AW54)-($I54-DateToday+15))/(INDEX($T$5:$T$8,$AW54+1)-INDEX($T$5:$T$8,$AW54))))</f>
        <v>2716277718.77004</v>
      </c>
      <c r="BB54" s="468" t="n">
        <f aca="false">IF($AW54="",BB53^2/BB52,INDEX(Y$5:Y$8,$AW54)^((INDEX($T$5:$T$8,$AW54+1)-($I54-DateToday+15))/(INDEX($T$5:$T$8,$AW54+1)-INDEX($T$5:$T$8,$AW54)))/INDEX(Y$5:Y$8,$AW54+1)^((INDEX($T$5:$T$8,$AW54)-($I54-DateToday+15))/(INDEX($T$5:$T$8,$AW54+1)-INDEX($T$5:$T$8,$AW54))))</f>
        <v>53665145651.8266</v>
      </c>
      <c r="BC54" s="468" t="n">
        <f aca="false">IF($AW54="",BC53^2/BC52,INDEX(Z$5:Z$8,$AW54)^((INDEX($T$5:$T$8,$AW54+1)-($I54-DateToday+15))/(INDEX($T$5:$T$8,$AW54+1)-INDEX($T$5:$T$8,$AW54)))/INDEX(Z$5:Z$8,$AW54+1)^((INDEX($T$5:$T$8,$AW54)-($I54-DateToday+15))/(INDEX($T$5:$T$8,$AW54+1)-INDEX($T$5:$T$8,$AW54))))</f>
        <v>318124285290.328</v>
      </c>
      <c r="BD54" s="535" t="n">
        <f aca="false">IF(OR(DateStart&gt;=I55,DateEnd&lt;I54),0,IF(VolumeOverrideFlag,V54,Volume))</f>
        <v>0</v>
      </c>
      <c r="BE54" s="536" t="n">
        <f aca="false">IF(OR(DateStart2&gt;=I55,DateEnd2&lt;I54),0,IF(VolumeOverrideFlag,V54,VolumeSwaption))</f>
        <v>0</v>
      </c>
      <c r="BF54" s="537" t="n">
        <f aca="false">YEAR(I54)</f>
        <v>2003</v>
      </c>
      <c r="BG54" s="538" t="n">
        <f aca="false">MONTH(I54)</f>
        <v>7</v>
      </c>
      <c r="BH54" s="539" t="n">
        <f aca="false">AD54-DateToday+1</f>
        <v>-8137</v>
      </c>
      <c r="BI54" s="540" t="n">
        <f aca="false">(I54-DateToday+1)/365.25</f>
        <v>-22.2368240930869</v>
      </c>
      <c r="BJ54" s="541" t="n">
        <f aca="false">BI54+(BL54-BI54)*CHOOSE(Underlying,AJ54/AI54,AM54/AL54)</f>
        <v>-22.1882894654969</v>
      </c>
      <c r="BK54" s="541" t="n">
        <f aca="false">BJ54+1/365.25</f>
        <v>-22.1855516147097</v>
      </c>
      <c r="BL54" s="541" t="n">
        <f aca="false">(I55-DateToday)/365.25</f>
        <v>-22.154688569473</v>
      </c>
      <c r="BM54" s="542" t="e">
        <f aca="false">MAX(BI54-(BJ54-BI54)*(S55^2/O55^2-1),0)</f>
        <v>#DIV/0!</v>
      </c>
      <c r="BN54" s="541" t="e">
        <f aca="false">MAX(BL54+(BL54-BK54)*(S56^2/O56^2-1),0)</f>
        <v>#DIV/0!</v>
      </c>
      <c r="BO54" s="530" t="n">
        <f aca="false">CHOOSE(Underlying,AI54,AL54)</f>
        <v>22</v>
      </c>
      <c r="BP54" s="529" t="n">
        <f aca="false">CHOOSE(Underlying,AJ54,AM54)</f>
        <v>13</v>
      </c>
      <c r="BQ54" s="529" t="n">
        <f aca="false">CHOOSE(Underlying,AK54,AN54)</f>
        <v>9</v>
      </c>
      <c r="BR54" s="463" t="str">
        <f aca="false">IF(BD54,IF(Underlying=1,X54,Z54)+UnderlyingPriceAsian-SwapPriceCurve,"")</f>
        <v/>
      </c>
      <c r="BS54" s="463" t="str">
        <f aca="false">IF(BD54,Strike1/BR54-1,"")</f>
        <v/>
      </c>
      <c r="BT54" s="464" t="str">
        <f aca="false">IF(BD54,Strike2/BR54-1,"")</f>
        <v/>
      </c>
      <c r="BU54" s="465" t="str">
        <f aca="false">IF(BD54,IF(Underlying=1,L55,R55)+UnderlyingPriceAsian-SwapPriceCurve,"")</f>
        <v/>
      </c>
      <c r="BV54" s="465" t="str">
        <f aca="false">IF(BD54,IF(Underlying=1,L56,R56)+UnderlyingPriceAsian-SwapPriceCurve,"")</f>
        <v/>
      </c>
      <c r="BW54" s="466" t="str">
        <f aca="false">IF(BD54,IF(Underlying=1,O55,AT55),"")</f>
        <v/>
      </c>
      <c r="BX54" s="467" t="str">
        <f aca="false">IF(BD54,IF(Underlying=1,O56,AT56),"")</f>
        <v/>
      </c>
      <c r="BY54" s="466" t="str">
        <f aca="false">IF(BD54,IF(BS54&gt;0,IF(BS54&gt;0.2,BC54-BB54,IF(BS54&gt;0.1,BB54-BA54,BA54)),IF(BS54&lt;-0.2,AX54-AY54,IF(BS54&lt;-0.1,AY54-AZ54,AZ54))),"")</f>
        <v/>
      </c>
      <c r="BZ54" s="467" t="str">
        <f aca="false">IF(BD54,IF(BT54&gt;0,IF(BT54&gt;0.2,BC54-BB54,IF(BT54&gt;0.1,BB54-BA54,BA54)),IF(BT54&lt;-0.2,AX54-AY54,IF(BT54&lt;-0.1,AY54-AZ54,AZ54))),"")</f>
        <v/>
      </c>
      <c r="CA54" s="468" t="str">
        <f aca="false">IF($BD54,$BW54+IF(VolSkewFlag=1,IF(BS54&gt;0,$BA54*MIN(BS54/10%,1)+($BB54-$BA54)*MAX(0,MIN(BS54/10%-1,1))+($BC54-$BB54)*MAX(0,BS54/10%-2),$AZ54*MIN(-BS54/10%,1)+($AY54-$AZ54)*MAX(0,MIN(-BS54/10%-1,1))+($AX54-$AY54)*MAX(0,-BS54/10%-2)),0),"")</f>
        <v/>
      </c>
      <c r="CB54" s="468" t="str">
        <f aca="false">IF($BD54,$BX54+IF(VolSkewFlag=1,IF(BS54&gt;0,$BA54*MIN(BS54/10%,1)+($BB54-$BA54)*MAX(0,MIN(BS54/10%-1,1))+($BC54-$BB54)*MAX(0,BS54/10%-2),$AZ54*MIN(-BS54/10%,1)+($AY54-$AZ54)*MAX(0,MIN(-BS54/10%-1,1))+($AX54-$AY54)*MAX(0,-BS54/10%-2)),0),"")</f>
        <v/>
      </c>
      <c r="CC54" s="468" t="str">
        <f aca="false">IF($BD54,$BW54+IF(VolSkewFlag=1,IF(BT54&gt;0,$BA54*MIN(BT54/10%,1)+($BB54-$BA54)*MAX(0,MIN(BT54/10%-1,1))+($BC54-$BB54)*MAX(0,BT54/10%-2),$AZ54*MIN(-BT54/10%,1)+($AY54-$AZ54)*MAX(0,MIN(-BT54/10%-1,1))+($AX54-$AY54)*MAX(0,-BT54/10%-2)),0),"")</f>
        <v/>
      </c>
      <c r="CD54" s="468" t="str">
        <f aca="false">IF($BD54,$BX54+IF(VolSkewFlag=1,IF(BT54&gt;0,$BA54*MIN(BT54/10%,1)+($BB54-$BA54)*MAX(0,MIN(BT54/10%-1,1))+($BC54-$BB54)*MAX(0,BT54/10%-2),$AZ54*MIN(-BT54/10%,1)+($AY54-$AZ54)*MAX(0,MIN(-BT54/10%-1,1))+($AX54-$AY54)*MAX(0,-BT54/10%-2)),0),"")</f>
        <v/>
      </c>
      <c r="CE54" s="469" t="n">
        <v>1</v>
      </c>
      <c r="CF54" s="470" t="n">
        <f aca="false">IF(BD54,xCrudeAPO(BU54,BV54,CA54,CB54,S55,S56,BI54,BL54,BP54,BQ54,0,Strike1,AO54,CE54,0,BL54,IF(OptControl=4,0,1),0,1),0)</f>
        <v>0</v>
      </c>
      <c r="CG54" s="470" t="n">
        <f aca="false">IF(BD54,xCrudeAPO(BU54,BV54,CA54,CB54,S55,S56,BI54,BL54,BP54,BQ54,0,Strike1,AO54,CE54,0,BL54,IF(OptControl=4,0,1),1,1)+xCrudeAPO(BU54,BV54,CA54,CB54,S55,S56,BI54,BL54,BP54,BQ54,0,Strike1,AO54,CE54,0,BL54,IF(OptControl=4,0,1),1,2)+IF(OR(VolSkewFlag=2,ABS(BS54)&lt;0.0001),0,IF(BS54&gt;0,-1,1)*CH54*Strike1/BR54^2*BY54/10%),0)</f>
        <v>0</v>
      </c>
      <c r="CH54" s="470" t="n">
        <f aca="false">IF(BD54,(xCrudeAPO(BU54,BV54,CA54,CB54,S55,S56,BI54,BL54,BP54,BQ54,0,Strike1,AO54,CE54,0,BL54,IF(OptControl=4,0,1),3,1)+xCrudeAPO(BU54,BV54,CA54,CB54,S55,S56,BI54,BL54,BP54,BQ54,0,Strike1,AO54,CE54,0,BL54,IF(OptControl=4,0,1),3,2))/100,0)</f>
        <v>0</v>
      </c>
      <c r="CI54" s="470" t="n">
        <f aca="false">IF(BD54,xCrudeAPO(BU54,BV54,CA54,CB54,S55,S56,BI54-DaysForThetaCalculation/365.25,BL54-DaysForThetaCalculation/365.25,BP54,BQ54,0,Strike1,AO54,CE54,0,BL54,IF(OptControl=4,0,1),0,1)-xCrudeAPO(BU54,BV54,CA54,CB54,S55,S56,BI54,BL54,BP54,BQ54,0,Strike1,AO54,CE54,0,BL54,IF(OptControl=4,0,1),0,1),0)</f>
        <v>0</v>
      </c>
      <c r="CJ54" s="471" t="n">
        <f aca="false">IF(BD54,xCrudeAPO(BU54,BV54,CC54,CD54,S55,S56,BI54,BL54,BP54,BQ54,0,Strike2,AO54,CE54,0,BL54,IF(OptControl=3,1,0),0,1),0)</f>
        <v>0</v>
      </c>
      <c r="CK54" s="470" t="n">
        <f aca="false">IF(BD54,xCrudeAPO(BU54,BV54,CC54,CD54,S55,S56,BI54,BL54,BP54,BQ54,0,Strike2,AO54,CE54,0,BL54,IF(OptControl=3,1,0),1,1)+xCrudeAPO(BU54,BV54,CC54,CD54,S55,S56,BI54,BL54,BP54,BQ54,0,Strike2,AO54,CE54,0,BL54,IF(OptControl=3,1,0),1,2)+IF(OR(VolSkewFlag=2,ABS(BT54)&lt;0.0001),0,IF(BT54&gt;0,-1,1)*CL54*Strike2/BR54^2*BZ54/10%),0)</f>
        <v>0</v>
      </c>
      <c r="CL54" s="470" t="n">
        <f aca="false">IF(BD54,(xCrudeAPO(BU54,BV54,CC54,CD54,S55,S56,BI54,BL54,BP54,BQ54,0,Strike2,AO54,CE54,0,BL54,IF(OptControl=3,1,0),3,1)+xCrudeAPO(BU54,BV54,CC54,CD54,S55,S56,BI54,BL54,BP54,BQ54,0,Strike2,AO54,CE54,0,BL54,IF(OptControl=3,1,0),3,2))/100,0)</f>
        <v>0</v>
      </c>
      <c r="CM54" s="472" t="n">
        <f aca="false">IF(BD54,xCrudeAPO(BU54,BV54,CC54,CD54,S55,S56,BI54-DaysForThetaCalculation/365.25,BL54-DaysForThetaCalculation/365.25,BP54,BQ54,0,Strike2,AO54,CE54,0,BL54,IF(OptControl=3,1,0),0,1)-xCrudeAPO(BU54,BV54,CC54,CD54,S55,S56,BI54,BL54,BP54,BQ54,0,Strike2,AO54,CE54,0,BL54,IF(OptControl=3,1,0),0,1),0)</f>
        <v>0</v>
      </c>
      <c r="CN54" s="3"/>
      <c r="CO54" s="543" t="str">
        <f aca="false">IF(BD54,CHOOSE(Underlying,AD54,AF54)-DateToday+1,"")</f>
        <v/>
      </c>
      <c r="CP54" s="582" t="str">
        <f aca="false">IF(BD54,CHOOSE(Underlying,L54,R54),"")</f>
        <v/>
      </c>
      <c r="CQ54" s="544" t="str">
        <f aca="false">IF(BD54,Strike1/CP54-1,"")</f>
        <v/>
      </c>
      <c r="CR54" s="544" t="str">
        <f aca="false">IF(BD54,Strike2/CP54-1,"")</f>
        <v/>
      </c>
      <c r="CS54" s="544" t="str">
        <f aca="false">IF(BD54,IF(CQ54&gt;0,IF(CQ54&gt;0.2,BC53-BB53,IF(CQ54&gt;0.1,BB53-BA53,BA53)),IF(CQ54&lt;-0.2,AX53-AY53,IF(CQ54&lt;-0.1,AY53-AZ53,AZ53))),"")</f>
        <v/>
      </c>
      <c r="CT54" s="544" t="str">
        <f aca="false">IF(BD54,IF(CR54&gt;0,IF(CR54&gt;0.2,BC53-BB53,IF(CR54&gt;0.1,BB53-BA53,BA53)),IF(CR54&lt;-0.2,AX53-AY53,IF(CR54&lt;-0.1,AY53-AZ53,AZ53))),"")</f>
        <v/>
      </c>
      <c r="CU54" s="545" t="str">
        <f aca="false">IF(BD54,CHOOSE(Underlying,O54,AT54),"")</f>
        <v/>
      </c>
      <c r="CV54" s="545" t="str">
        <f aca="false">IF(BD54,CU54+IF(VolSkewFlag=1,IF(CQ54&gt;0,BA53*MIN(CQ54/10%,1)+(BB53-BA53)*MAX(0,MIN(CQ54/10%-1,1))+(BC53-BB53)*MAX(0,CQ54/10%-2),AZ53*MIN(-CQ54/10%,1)+(AY53-AZ53)*MAX(0,MIN(-CQ54/10%-1,1))+(AX53-AY53)*MAX(0,-CQ54/10%-2)),0),"")</f>
        <v/>
      </c>
      <c r="CW54" s="545" t="str">
        <f aca="false">IF(BD54,CU54+IF(VolSkewFlag=1,IF(CR54&gt;0,BA53*MIN(CR54/10%,1)+(BB53-BA53)*MAX(0,MIN(CR54/10%-1,1))+(BC53-BB53)*MAX(0,CR54/10%-2),AZ53*MIN(-CR54/10%,1)+(AY53-AZ53)*MAX(0,MIN(-CR54/10%-1,1))+(AX53-AY53)*MAX(0,-CR54/10%-2)),0),"")</f>
        <v/>
      </c>
      <c r="CX54" s="470" t="n">
        <f aca="false">IF(BD54,EURO(CP54,Strike1,AO54,AO54,CV54,CO54,IF(OptControl=4,0,1),0),0)</f>
        <v>0</v>
      </c>
      <c r="CY54" s="470" t="n">
        <f aca="false">IF(BD54,EURO(CP54,Strike1,AO54,AO54,CV54,CO54,IF(OptControl=4,0,1),1)+IF(OR(VolSkewFlag=2,ABS(CQ54)&lt;0.0001),0,IF(CQ54&gt;0,-1,1)*CZ54*100*Strike1/CP54^2*CS54/10%),0)</f>
        <v>0</v>
      </c>
      <c r="CZ54" s="470" t="n">
        <f aca="false">IF(BD54,EURO(CP54,Strike1,AO54,AO54,CV54,CO54,IF(OptControl=4,0,1),3)/100,0)</f>
        <v>0</v>
      </c>
      <c r="DA54" s="470" t="n">
        <f aca="false">IF(BD54,EURO(CP54,Strike1,AO54,AO54,CV54,CO54,IF(OptControl=4,0,1),0)-EURO(CP54,Strike1,AO54,AO54,CV54,CO54-1,IF(OptControl=4,0,1),0),0)</f>
        <v>0</v>
      </c>
      <c r="DB54" s="470" t="n">
        <f aca="false">IF(BD54,EURO(CP54,Strike2,AO54,AO54,CW54,CO54,IF(OptControl=3,1,0),0),0)</f>
        <v>0</v>
      </c>
      <c r="DC54" s="470" t="n">
        <f aca="false">IF(BD54,EURO(CP54,Strike2,AO54,AO54,CW54,CO54,IF(OptControl=3,1,0),1)+IF(OR(VolSkewFlag=2,ABS(CR54)&lt;0.0001),0,IF(CR54&gt;0,-1,1)*DD54*100*Strike2/CP54^2*CT54/10%),0)</f>
        <v>0</v>
      </c>
      <c r="DD54" s="470" t="n">
        <f aca="false">IF(BD54,EURO(CP54,Strike2,AO54,AO54,CW54,CO54,IF(OptControl=3,1,0),3)/100,0)</f>
        <v>0</v>
      </c>
      <c r="DE54" s="472" t="n">
        <f aca="false">IF(BD54,EURO(CP54,Strike2,AO54,AO54,CW54,CO54,IF(OptControl=3,1,0),0)-EURO(CP54,Strike2,AO54,AO54,CW54,CO54-1,IF(OptControl=3,1,0),0),0)</f>
        <v>0</v>
      </c>
      <c r="DG54" s="481" t="n">
        <f aca="false">EOMONTH(DG53,0)+1</f>
        <v>46722</v>
      </c>
      <c r="DH54" s="478" t="n">
        <v>19.02</v>
      </c>
      <c r="DI54" s="479" t="n">
        <v>18.9557142857143</v>
      </c>
      <c r="DJ54" s="480" t="n">
        <f aca="false">DG54</f>
        <v>46722</v>
      </c>
      <c r="DK54" s="478" t="n">
        <v>18.0195388572333</v>
      </c>
      <c r="DL54" s="479" t="n">
        <v>17.8887142857143</v>
      </c>
      <c r="DM54" s="481" t="n">
        <f aca="false">DG54</f>
        <v>46722</v>
      </c>
      <c r="DN54" s="482" t="n">
        <f aca="false">DK54+BrentPhyBrentSpread</f>
        <v>18.0695388572333</v>
      </c>
      <c r="DO54" s="481" t="n">
        <f aca="false">DG54</f>
        <v>46722</v>
      </c>
      <c r="DP54" s="483" t="n">
        <f aca="false">DL54+DQ54</f>
        <v>17.8887142857143</v>
      </c>
      <c r="DQ54" s="546" t="n">
        <v>0</v>
      </c>
      <c r="DR54" s="480" t="n">
        <f aca="false">DG54</f>
        <v>46722</v>
      </c>
      <c r="DS54" s="485" t="n">
        <v>0.213602028967537</v>
      </c>
      <c r="DT54" s="486" t="n">
        <v>0.212660440773069</v>
      </c>
      <c r="DU54" s="480" t="n">
        <f aca="false">DG54</f>
        <v>46722</v>
      </c>
      <c r="DV54" s="485" t="n">
        <v>0.213602028967537</v>
      </c>
      <c r="DW54" s="486" t="n">
        <v>0.212660440773069</v>
      </c>
      <c r="DX54" s="481" t="n">
        <f aca="false">DG54</f>
        <v>46722</v>
      </c>
      <c r="DY54" s="486" t="n">
        <v>0.350000000009313</v>
      </c>
      <c r="DZ54" s="481" t="n">
        <f aca="false">DR54</f>
        <v>46722</v>
      </c>
      <c r="EA54" s="486" t="n">
        <f aca="false">DT54</f>
        <v>0.212660440773069</v>
      </c>
      <c r="EB54" s="195"/>
      <c r="EC54" s="547" t="str">
        <f aca="false">IF(BD54,IF(Underlying=1,AS54,AU54),"")</f>
        <v/>
      </c>
      <c r="ED54" s="548" t="str">
        <f aca="false">IF($BD54,$EC54+IF(VolSkewFlag=1,IF(BS54&gt;0,$BA54*MIN(BS54/10%,1)+($BB54-$BA54)*MAX(0,MIN(BS54/10%-1,1))+($BC54-$BB54)*MAX(0,BS54/10%-2),$AZ54*MIN(-BS54/10%,1)+($AY54-$AZ54)*MAX(0,MIN(-BS54/10%-1,1))+($AX54-$AY54)*MAX(0,-BS54/10%-2)),0),"")</f>
        <v/>
      </c>
      <c r="EE54" s="549" t="str">
        <f aca="false">IF($BD54,$EC54+IF(VolSkewFlag=1,IF(BT54&gt;0,$BA54*MIN(BT54/10%,1)+($BB54-$BA54)*MAX(0,MIN(BT54/10%-1,1))+($BC54-$BB54)*MAX(0,BT54/10%-2),$AZ54*MIN(-BT54/10%,1)+($AY54-$AZ54)*MAX(0,MIN(-BT54/10%-1,1))+($AX54-$AY54)*MAX(0,-BT54/10%-2)),0),"")</f>
        <v/>
      </c>
      <c r="EF54" s="550" t="n">
        <f aca="false">IF(BD54,xASN(BR54,Strike1,AO54,ED54,0,BO54,0,BI54,BL54,IF(OptControl=4,0,1),0),0)</f>
        <v>0</v>
      </c>
      <c r="EG54" s="551" t="n">
        <f aca="false">IF(BD54,xASN(BR54,Strike2,AO54,EE54,0,BO54,0,BI54,BL54,IF(OptControl=3,1,0),0),0)</f>
        <v>0</v>
      </c>
      <c r="EI54" s="583" t="str">
        <f aca="false">DDE("TWINDDE","RSFRecord","CLc35 MTH")</f>
        <v>+NA+</v>
      </c>
      <c r="EJ54" s="584" t="e">
        <f aca="false">DATEVALUE(CONCATENATE(LEFT(EI54,3),"-",IF(VALUE(RIGHT(EI54,1))=9,"1999",CONCATENATE("200",RIGHT(EI54,1)))))</f>
        <v>#VALUE!</v>
      </c>
      <c r="EK54" s="585" t="str">
        <f aca="false">DDE("TWINDDE","RSFRecord","CLc35 NET.CHNG")</f>
        <v>+NA+</v>
      </c>
      <c r="EL54" s="586" t="n">
        <f aca="false">IF(ISNUMBER(VALUE(EK54)),VALUE(EK54)*100,0)</f>
        <v>0</v>
      </c>
      <c r="EM54" s="195"/>
      <c r="EN54" s="556" t="n">
        <v>39814</v>
      </c>
      <c r="EO54" s="557" t="n">
        <v>42736</v>
      </c>
      <c r="EP54" s="195"/>
      <c r="EQ54" s="407" t="s">
        <v>279</v>
      </c>
      <c r="ES54" s="587" t="n">
        <v>35</v>
      </c>
      <c r="ET54" s="559" t="n">
        <f aca="false">BH54/365.25</f>
        <v>-22.2778918548939</v>
      </c>
      <c r="EU54" s="560" t="n">
        <f aca="false">O54^2*ET54</f>
        <v>-0</v>
      </c>
      <c r="EV54" s="588" t="e">
        <f aca="false">SQRT(SUM(FK54:ID54)/ET54)</f>
        <v>#VALUE!</v>
      </c>
      <c r="EW54" s="589" t="str">
        <f aca="false">IF(OR(DateStart2&gt;I53,DateEnd2&lt;I52),"",IF(DateStart2&lt;I53,AK52/AI52*AP52*BE52*SwaptionNumOfMonths/$D$33,0)+IF(DateEnd2&gt;I52,AJ53/AI53*AP53*BE53*SwaptionNumOfMonths/$D$33,0))</f>
        <v/>
      </c>
      <c r="EX54" s="590" t="str">
        <f aca="false">IF(EW54="","",SQRT(SUM(FK359:ID359)/SwaptionYearsToExp))</f>
        <v/>
      </c>
      <c r="EY54" s="129" t="n">
        <v>0</v>
      </c>
      <c r="EZ54" s="591" t="str">
        <f aca="false">IF(OR(EW54="",EW55=""),"",SQRT(SUM(INDEX(FK54:ID54,SwaptionFirstMonthPosition+1):INDEX(FK54:ID54,FJ54))/SUM(INDEX($FK$15:$ID$15,SwaptionFirstMonthPosition+1):INDEX($FK$15:$ID$15,FJ54))))</f>
        <v/>
      </c>
      <c r="FA54" s="592" t="str">
        <f aca="false">IF(OR(EW54="",EW53=""),"",SQRT(SUM(INDEX(FK54:ID54,SwaptionFirstMonthPosition+1):INDEX(FK54:ID54,FJ54-1))/SUM(INDEX($FK$15:$ID$15,SwaptionFirstMonthPosition+1):INDEX($FK$15:$ID$15,FJ54-1))))</f>
        <v/>
      </c>
      <c r="FB54" s="593" t="str">
        <f aca="false">IF(BE54,2/3*EZ55+1/3*FA56,"")</f>
        <v/>
      </c>
      <c r="FC54" s="596" t="str">
        <f aca="false">IF(BE54,(I55+I54-1)/2-DateToday,"")</f>
        <v/>
      </c>
      <c r="FD54" s="483" t="str">
        <f aca="false">IF(BE54,CHOOSE(Underlying,X54,Z54)+SwaptionUnderlyingPrice-$D$26,"")</f>
        <v/>
      </c>
      <c r="FE54" s="483" t="str">
        <f aca="false">IF(BE54,CollartionFloor/FD54-1,"")</f>
        <v/>
      </c>
      <c r="FF54" s="483" t="str">
        <f aca="false">IF(BE54,CollartionCap/FD54-1,"")</f>
        <v/>
      </c>
      <c r="FG54" s="485" t="str">
        <f aca="false">IF(BE54,IF(VolSkewFlag=1,IF(FE54&gt;0,$BA54*MIN(FE54/10%,1)+($BB54-$BA54)*MAX(0,MIN(FE54/10%-1,1))+($BC54-$BB54)*MAX(0,FE54/10%-2),$AZ54*MIN(-FE54/10%,1)+($AY54-$AZ54)*MAX(0,MIN(-FE54/10%-1,1))+($AX54-$AY54)*MAX(0,-FE54/10%-2)),0),"")</f>
        <v/>
      </c>
      <c r="FH54" s="486" t="str">
        <f aca="false">IF(BE54,IF(VolSkewFlag=1,IF(FF54&gt;0,$BA54*MIN(FF54/10%,1)+($BB54-$BA54)*MAX(0,MIN(FF54/10%-1,1))+($BC54-$BB54)*MAX(0,FF54/10%-2),$AZ54*MIN(-FF54/10%,1)+($AY54-$AZ54)*MAX(0,MIN(-FF54/10%-1,1))+($AX54-$AY54)*MAX(0,-FF54/10%-2)),0),"")</f>
        <v/>
      </c>
      <c r="FI54" s="129"/>
      <c r="FJ54" s="571" t="n">
        <v>35</v>
      </c>
      <c r="FK54" s="150" t="n">
        <f aca="false">IF(FK$19&gt;$FJ54,"",MAX(0,IF(FK$19=$FJ54,$S54^2*FK$15,FK53*INDEX($T$20:$T$91,$FJ54-FK$19)^2/INDEX($U$20:$U$91,$FJ54-FK$19))))</f>
        <v>0</v>
      </c>
      <c r="FL54" s="150" t="n">
        <f aca="false">IF(FL$19&gt;$FJ54,"",MAX(0,IF(FL$19=$FJ54,$S54^2*FL$15,FL53*INDEX($T$20:$T$91,$FJ54-FL$19)^2/INDEX($U$20:$U$91,$FJ54-FL$19))))</f>
        <v>0</v>
      </c>
      <c r="FM54" s="150" t="n">
        <f aca="false">IF(FM$19&gt;$FJ54,"",MAX(0,IF(FM$19=$FJ54,$S54^2*FM$15,FM53*INDEX($T$20:$T$91,$FJ54-FM$19)^2/INDEX($U$20:$U$91,$FJ54-FM$19))))</f>
        <v>0.00257315472484825</v>
      </c>
      <c r="FN54" s="150" t="n">
        <f aca="false">IF(FN$19&gt;$FJ54,"",MAX(0,IF(FN$19=$FJ54,$S54^2*FN$15,FN53*INDEX($T$20:$T$91,$FJ54-FN$19)^2/INDEX($U$20:$U$91,$FJ54-FN$19))))</f>
        <v>0.00216953819156547</v>
      </c>
      <c r="FO54" s="150" t="n">
        <f aca="false">IF(FO$19&gt;$FJ54,"",MAX(0,IF(FO$19=$FJ54,$S54^2*FO$15,FO53*INDEX($T$20:$T$91,$FJ54-FO$19)^2/INDEX($U$20:$U$91,$FJ54-FO$19))))</f>
        <v>0.00226126234070249</v>
      </c>
      <c r="FP54" s="150" t="n">
        <f aca="false">IF(FP$19&gt;$FJ54,"",MAX(0,IF(FP$19=$FJ54,$S54^2*FP$15,FP53*INDEX($T$20:$T$91,$FJ54-FP$19)^2/INDEX($U$20:$U$91,$FJ54-FP$19))))</f>
        <v>0.00251171469140532</v>
      </c>
      <c r="FQ54" s="150" t="n">
        <f aca="false">IF(FQ$19&gt;$FJ54,"",MAX(0,IF(FQ$19=$FJ54,$S54^2*FQ$15,FQ53*INDEX($T$20:$T$91,$FJ54-FQ$19)^2/INDEX($U$20:$U$91,$FJ54-FQ$19))))</f>
        <v>0.00203919706604304</v>
      </c>
      <c r="FR54" s="150" t="n">
        <f aca="false">IF(FR$19&gt;$FJ54,"",MAX(0,IF(FR$19=$FJ54,$S54^2*FR$15,FR53*INDEX($T$20:$T$91,$FJ54-FR$19)^2/INDEX($U$20:$U$91,$FJ54-FR$19))))</f>
        <v>0.00209182500034442</v>
      </c>
      <c r="FS54" s="150" t="n">
        <f aca="false">IF(FS$19&gt;$FJ54,"",MAX(0,IF(FS$19=$FJ54,$S54^2*FS$15,FS53*INDEX($T$20:$T$91,$FJ54-FS$19)^2/INDEX($U$20:$U$91,$FJ54-FS$19))))</f>
        <v>0.00236638024729505</v>
      </c>
      <c r="FT54" s="150" t="n">
        <f aca="false">IF(FT$19&gt;$FJ54,"",MAX(0,IF(FT$19=$FJ54,$S54^2*FT$15,FT53*INDEX($T$20:$T$91,$FJ54-FT$19)^2/INDEX($U$20:$U$91,$FJ54-FT$19))))</f>
        <v>0.00214516030360591</v>
      </c>
      <c r="FU54" s="150" t="n">
        <f aca="false">IF(FU$19&gt;$FJ54,"",MAX(0,IF(FU$19=$FJ54,$S54^2*FU$15,FU53*INDEX($T$20:$T$91,$FJ54-FU$19)^2/INDEX($U$20:$U$91,$FJ54-FU$19))))</f>
        <v>0.00207311164007382</v>
      </c>
      <c r="FV54" s="150" t="n">
        <f aca="false">IF(FV$19&gt;$FJ54,"",MAX(0,IF(FV$19=$FJ54,$S54^2*FV$15,FV53*INDEX($T$20:$T$91,$FJ54-FV$19)^2/INDEX($U$20:$U$91,$FJ54-FV$19))))</f>
        <v>0.00229214538546679</v>
      </c>
      <c r="FW54" s="150" t="n">
        <f aca="false">IF(FW$19&gt;$FJ54,"",MAX(0,IF(FW$19=$FJ54,$S54^2*FW$15,FW53*INDEX($T$20:$T$91,$FJ54-FW$19)^2/INDEX($U$20:$U$91,$FJ54-FW$19))))</f>
        <v>0.00215765422466686</v>
      </c>
      <c r="FX54" s="150" t="n">
        <f aca="false">IF(FX$19&gt;$FJ54,"",MAX(0,IF(FX$19=$FJ54,$S54^2*FX$15,FX53*INDEX($T$20:$T$91,$FJ54-FX$19)^2/INDEX($U$20:$U$91,$FJ54-FX$19))))</f>
        <v>0.0023155103775647</v>
      </c>
      <c r="FY54" s="150" t="n">
        <f aca="false">IF(FY$19&gt;$FJ54,"",MAX(0,IF(FY$19=$FJ54,$S54^2*FY$15,FY53*INDEX($T$20:$T$91,$FJ54-FY$19)^2/INDEX($U$20:$U$91,$FJ54-FY$19))))</f>
        <v>0.00218841326573881</v>
      </c>
      <c r="FZ54" s="150" t="n">
        <f aca="false">IF(FZ$19&gt;$FJ54,"",MAX(0,IF(FZ$19=$FJ54,$S54^2*FZ$15,FZ53*INDEX($T$20:$T$91,$FJ54-FZ$19)^2/INDEX($U$20:$U$91,$FJ54-FZ$19))))</f>
        <v>0.00206346154807617</v>
      </c>
      <c r="GA54" s="150" t="n">
        <f aca="false">IF(GA$19&gt;$FJ54,"",MAX(0,IF(GA$19=$FJ54,$S54^2*GA$15,GA53*INDEX($T$20:$T$91,$FJ54-GA$19)^2/INDEX($U$20:$U$91,$FJ54-GA$19))))</f>
        <v>0.00223865233638192</v>
      </c>
      <c r="GB54" s="150" t="n">
        <f aca="false">IF(GB$19&gt;$FJ54,"",MAX(0,IF(GB$19=$FJ54,$S54^2*GB$15,GB53*INDEX($T$20:$T$91,$FJ54-GB$19)^2/INDEX($U$20:$U$91,$FJ54-GB$19))))</f>
        <v>0.0024998535926369</v>
      </c>
      <c r="GC54" s="150" t="n">
        <f aca="false">IF(GC$19&gt;$FJ54,"",MAX(0,IF(GC$19=$FJ54,$S54^2*GC$15,GC53*INDEX($T$20:$T$91,$FJ54-GC$19)^2/INDEX($U$20:$U$91,$FJ54-GC$19))))</f>
        <v>0.00223659850981022</v>
      </c>
      <c r="GD54" s="150" t="n">
        <f aca="false">IF(GD$19&gt;$FJ54,"",MAX(0,IF(GD$19=$FJ54,$S54^2*GD$15,GD53*INDEX($T$20:$T$91,$FJ54-GD$19)^2/INDEX($U$20:$U$91,$FJ54-GD$19))))</f>
        <v>0.00228462335785392</v>
      </c>
      <c r="GE54" s="150" t="n">
        <f aca="false">IF(GE$19&gt;$FJ54,"",MAX(0,IF(GE$19=$FJ54,$S54^2*GE$15,GE53*INDEX($T$20:$T$91,$FJ54-GE$19)^2/INDEX($U$20:$U$91,$FJ54-GE$19))))</f>
        <v>0.00266574317126786</v>
      </c>
      <c r="GF54" s="150" t="n">
        <f aca="false">IF(GF$19&gt;$FJ54,"",MAX(0,IF(GF$19=$FJ54,$S54^2*GF$15,GF53*INDEX($T$20:$T$91,$FJ54-GF$19)^2/INDEX($U$20:$U$91,$FJ54-GF$19))))</f>
        <v>0.0024128019342936</v>
      </c>
      <c r="GG54" s="150" t="n">
        <f aca="false">IF(GG$19&gt;$FJ54,"",MAX(0,IF(GG$19=$FJ54,$S54^2*GG$15,GG53*INDEX($T$20:$T$91,$FJ54-GG$19)^2/INDEX($U$20:$U$91,$FJ54-GG$19))))</f>
        <v>0.00275643919357903</v>
      </c>
      <c r="GH54" s="150" t="n">
        <f aca="false">IF(GH$19&gt;$FJ54,"",MAX(0,IF(GH$19=$FJ54,$S54^2*GH$15,GH53*INDEX($T$20:$T$91,$FJ54-GH$19)^2/INDEX($U$20:$U$91,$FJ54-GH$19))))</f>
        <v>0.00269176000676042</v>
      </c>
      <c r="GI54" s="150" t="n">
        <f aca="false">IF(GI$19&gt;$FJ54,"",MAX(0,IF(GI$19=$FJ54,$S54^2*GI$15,GI53*INDEX($T$20:$T$91,$FJ54-GI$19)^2/INDEX($U$20:$U$91,$FJ54-GI$19))))</f>
        <v>0.00272980643390671</v>
      </c>
      <c r="GJ54" s="150" t="n">
        <f aca="false">IF(GJ$19&gt;$FJ54,"",MAX(0,IF(GJ$19=$FJ54,$S54^2*GJ$15,GJ53*INDEX($T$20:$T$91,$FJ54-GJ$19)^2/INDEX($U$20:$U$91,$FJ54-GJ$19))))</f>
        <v>0.00328637298410902</v>
      </c>
      <c r="GK54" s="150" t="n">
        <f aca="false">IF(GK$19&gt;$FJ54,"",MAX(0,IF(GK$19=$FJ54,$S54^2*GK$15,GK53*INDEX($T$20:$T$91,$FJ54-GK$19)^2/INDEX($U$20:$U$91,$FJ54-GK$19))))</f>
        <v>0.00319225157803641</v>
      </c>
      <c r="GL54" s="150" t="n">
        <f aca="false">IF(GL$19&gt;$FJ54,"",MAX(0,IF(GL$19=$FJ54,$S54^2*GL$15,GL53*INDEX($T$20:$T$91,$FJ54-GL$19)^2/INDEX($U$20:$U$91,$FJ54-GL$19))))</f>
        <v>0.00333604355021904</v>
      </c>
      <c r="GM54" s="150" t="n">
        <f aca="false">IF(GM$19&gt;$FJ54,"",MAX(0,IF(GM$19=$FJ54,$S54^2*GM$15,GM53*INDEX($T$20:$T$91,$FJ54-GM$19)^2/INDEX($U$20:$U$91,$FJ54-GM$19))))</f>
        <v>0.00390907810505788</v>
      </c>
      <c r="GN54" s="150" t="n">
        <f aca="false">IF(GN$19&gt;$FJ54,"",MAX(0,IF(GN$19=$FJ54,$S54^2*GN$15,GN53*INDEX($T$20:$T$91,$FJ54-GN$19)^2/INDEX($U$20:$U$91,$FJ54-GN$19))))</f>
        <v>0.00435613165845886</v>
      </c>
      <c r="GO54" s="150" t="n">
        <f aca="false">IF(GO$19&gt;$FJ54,"",MAX(0,IF(GO$19=$FJ54,$S54^2*GO$15,GO53*INDEX($T$20:$T$91,$FJ54-GO$19)^2/INDEX($U$20:$U$91,$FJ54-GO$19))))</f>
        <v>0.00495037400462325</v>
      </c>
      <c r="GP54" s="150" t="n">
        <f aca="false">IF(GP$19&gt;$FJ54,"",MAX(0,IF(GP$19=$FJ54,$S54^2*GP$15,GP53*INDEX($T$20:$T$91,$FJ54-GP$19)^2/INDEX($U$20:$U$91,$FJ54-GP$19))))</f>
        <v>0.00520163795200069</v>
      </c>
      <c r="GQ54" s="150" t="n">
        <f aca="false">IF(GQ$19&gt;$FJ54,"",MAX(0,IF(GQ$19=$FJ54,$S54^2*GQ$15,GQ53*INDEX($T$20:$T$91,$FJ54-GQ$19)^2/INDEX($U$20:$U$91,$FJ54-GQ$19))))</f>
        <v>0.00689052176529154</v>
      </c>
      <c r="GR54" s="150" t="n">
        <f aca="false">IF(GR$19&gt;$FJ54,"",MAX(0,IF(GR$19=$FJ54,$S54^2*GR$15,GR53*INDEX($T$20:$T$91,$FJ54-GR$19)^2/INDEX($U$20:$U$91,$FJ54-GR$19))))</f>
        <v>0.00825354215688265</v>
      </c>
      <c r="GS54" s="150" t="n">
        <f aca="false">IF(GS$19&gt;$FJ54,"",MAX(0,IF(GS$19=$FJ54,$S54^2*GS$15,GS53*INDEX($T$20:$T$91,$FJ54-GS$19)^2/INDEX($U$20:$U$91,$FJ54-GS$19))))</f>
        <v>0.0109997734790576</v>
      </c>
      <c r="GT54" s="150" t="str">
        <f aca="false">IF(GT$19&gt;$FJ54,"",MAX(0,IF(GT$19=$FJ54,$S54^2*GT$15,GT53*INDEX($T$20:$T$91,$FJ54-GT$19)^2/INDEX($U$20:$U$91,$FJ54-GT$19))))</f>
        <v/>
      </c>
      <c r="GU54" s="150" t="str">
        <f aca="false">IF(GU$19&gt;$FJ54,"",MAX(0,IF(GU$19=$FJ54,$S54^2*GU$15,GU53*INDEX($T$20:$T$91,$FJ54-GU$19)^2/INDEX($U$20:$U$91,$FJ54-GU$19))))</f>
        <v/>
      </c>
      <c r="GV54" s="150" t="str">
        <f aca="false">IF(GV$19&gt;$FJ54,"",MAX(0,IF(GV$19=$FJ54,$S54^2*GV$15,GV53*INDEX($T$20:$T$91,$FJ54-GV$19)^2/INDEX($U$20:$U$91,$FJ54-GV$19))))</f>
        <v/>
      </c>
      <c r="GW54" s="150" t="str">
        <f aca="false">IF(GW$19&gt;$FJ54,"",MAX(0,IF(GW$19=$FJ54,$S54^2*GW$15,GW53*INDEX($T$20:$T$91,$FJ54-GW$19)^2/INDEX($U$20:$U$91,$FJ54-GW$19))))</f>
        <v/>
      </c>
      <c r="GX54" s="150" t="str">
        <f aca="false">IF(GX$19&gt;$FJ54,"",MAX(0,IF(GX$19=$FJ54,$S54^2*GX$15,GX53*INDEX($T$20:$T$91,$FJ54-GX$19)^2/INDEX($U$20:$U$91,$FJ54-GX$19))))</f>
        <v/>
      </c>
      <c r="GY54" s="150" t="str">
        <f aca="false">IF(GY$19&gt;$FJ54,"",MAX(0,IF(GY$19=$FJ54,$S54^2*GY$15,GY53*INDEX($T$20:$T$91,$FJ54-GY$19)^2/INDEX($U$20:$U$91,$FJ54-GY$19))))</f>
        <v/>
      </c>
      <c r="GZ54" s="150" t="str">
        <f aca="false">IF(GZ$19&gt;$FJ54,"",MAX(0,IF(GZ$19=$FJ54,$S54^2*GZ$15,GZ53*INDEX($T$20:$T$91,$FJ54-GZ$19)^2/INDEX($U$20:$U$91,$FJ54-GZ$19))))</f>
        <v/>
      </c>
      <c r="HA54" s="150" t="str">
        <f aca="false">IF(HA$19&gt;$FJ54,"",MAX(0,IF(HA$19=$FJ54,$S54^2*HA$15,HA53*INDEX($T$20:$T$91,$FJ54-HA$19)^2/INDEX($U$20:$U$91,$FJ54-HA$19))))</f>
        <v/>
      </c>
      <c r="HB54" s="150" t="str">
        <f aca="false">IF(HB$19&gt;$FJ54,"",MAX(0,IF(HB$19=$FJ54,$S54^2*HB$15,HB53*INDEX($T$20:$T$91,$FJ54-HB$19)^2/INDEX($U$20:$U$91,$FJ54-HB$19))))</f>
        <v/>
      </c>
      <c r="HC54" s="150" t="str">
        <f aca="false">IF(HC$19&gt;$FJ54,"",MAX(0,IF(HC$19=$FJ54,$S54^2*HC$15,HC53*INDEX($T$20:$T$91,$FJ54-HC$19)^2/INDEX($U$20:$U$91,$FJ54-HC$19))))</f>
        <v/>
      </c>
      <c r="HD54" s="150" t="str">
        <f aca="false">IF(HD$19&gt;$FJ54,"",MAX(0,IF(HD$19=$FJ54,$S54^2*HD$15,HD53*INDEX($T$20:$T$91,$FJ54-HD$19)^2/INDEX($U$20:$U$91,$FJ54-HD$19))))</f>
        <v/>
      </c>
      <c r="HE54" s="150" t="str">
        <f aca="false">IF(HE$19&gt;$FJ54,"",MAX(0,IF(HE$19=$FJ54,$S54^2*HE$15,HE53*INDEX($T$20:$T$91,$FJ54-HE$19)^2/INDEX($U$20:$U$91,$FJ54-HE$19))))</f>
        <v/>
      </c>
      <c r="HF54" s="150" t="str">
        <f aca="false">IF(HF$19&gt;$FJ54,"",MAX(0,IF(HF$19=$FJ54,$S54^2*HF$15,HF53*INDEX($T$20:$T$91,$FJ54-HF$19)^2/INDEX($U$20:$U$91,$FJ54-HF$19))))</f>
        <v/>
      </c>
      <c r="HG54" s="150" t="str">
        <f aca="false">IF(HG$19&gt;$FJ54,"",MAX(0,IF(HG$19=$FJ54,$S54^2*HG$15,HG53*INDEX($T$20:$T$91,$FJ54-HG$19)^2/INDEX($U$20:$U$91,$FJ54-HG$19))))</f>
        <v/>
      </c>
      <c r="HH54" s="150" t="str">
        <f aca="false">IF(HH$19&gt;$FJ54,"",MAX(0,IF(HH$19=$FJ54,$S54^2*HH$15,HH53*INDEX($T$20:$T$91,$FJ54-HH$19)^2/INDEX($U$20:$U$91,$FJ54-HH$19))))</f>
        <v/>
      </c>
      <c r="HI54" s="150" t="str">
        <f aca="false">IF(HI$19&gt;$FJ54,"",MAX(0,IF(HI$19=$FJ54,$S54^2*HI$15,HI53*INDEX($T$20:$T$91,$FJ54-HI$19)^2/INDEX($U$20:$U$91,$FJ54-HI$19))))</f>
        <v/>
      </c>
      <c r="HJ54" s="150" t="str">
        <f aca="false">IF(HJ$19&gt;$FJ54,"",MAX(0,IF(HJ$19=$FJ54,$S54^2*HJ$15,HJ53*INDEX($T$20:$T$91,$FJ54-HJ$19)^2/INDEX($U$20:$U$91,$FJ54-HJ$19))))</f>
        <v/>
      </c>
      <c r="HK54" s="150" t="str">
        <f aca="false">IF(HK$19&gt;$FJ54,"",MAX(0,IF(HK$19=$FJ54,$S54^2*HK$15,HK53*INDEX($T$20:$T$91,$FJ54-HK$19)^2/INDEX($U$20:$U$91,$FJ54-HK$19))))</f>
        <v/>
      </c>
      <c r="HL54" s="150" t="str">
        <f aca="false">IF(HL$19&gt;$FJ54,"",MAX(0,IF(HL$19=$FJ54,$S54^2*HL$15,HL53*INDEX($T$20:$T$91,$FJ54-HL$19)^2/INDEX($U$20:$U$91,$FJ54-HL$19))))</f>
        <v/>
      </c>
      <c r="HM54" s="150" t="str">
        <f aca="false">IF(HM$19&gt;$FJ54,"",MAX(0,IF(HM$19=$FJ54,$S54^2*HM$15,HM53*INDEX($T$20:$T$91,$FJ54-HM$19)^2/INDEX($U$20:$U$91,$FJ54-HM$19))))</f>
        <v/>
      </c>
      <c r="HN54" s="150" t="str">
        <f aca="false">IF(HN$19&gt;$FJ54,"",MAX(0,IF(HN$19=$FJ54,$S54^2*HN$15,HN53*INDEX($T$20:$T$91,$FJ54-HN$19)^2/INDEX($U$20:$U$91,$FJ54-HN$19))))</f>
        <v/>
      </c>
      <c r="HO54" s="150" t="str">
        <f aca="false">IF(HO$19&gt;$FJ54,"",MAX(0,IF(HO$19=$FJ54,$S54^2*HO$15,HO53*INDEX($T$20:$T$91,$FJ54-HO$19)^2/INDEX($U$20:$U$91,$FJ54-HO$19))))</f>
        <v/>
      </c>
      <c r="HP54" s="150" t="str">
        <f aca="false">IF(HP$19&gt;$FJ54,"",MAX(0,IF(HP$19=$FJ54,$S54^2*HP$15,HP53*INDEX($T$20:$T$91,$FJ54-HP$19)^2/INDEX($U$20:$U$91,$FJ54-HP$19))))</f>
        <v/>
      </c>
      <c r="HQ54" s="150" t="str">
        <f aca="false">IF(HQ$19&gt;$FJ54,"",MAX(0,IF(HQ$19=$FJ54,$S54^2*HQ$15,HQ53*INDEX($T$20:$T$91,$FJ54-HQ$19)^2/INDEX($U$20:$U$91,$FJ54-HQ$19))))</f>
        <v/>
      </c>
      <c r="HR54" s="150" t="str">
        <f aca="false">IF(HR$19&gt;$FJ54,"",MAX(0,IF(HR$19=$FJ54,$S54^2*HR$15,HR53*INDEX($T$20:$T$91,$FJ54-HR$19)^2/INDEX($U$20:$U$91,$FJ54-HR$19))))</f>
        <v/>
      </c>
      <c r="HS54" s="150" t="str">
        <f aca="false">IF(HS$19&gt;$FJ54,"",MAX(0,IF(HS$19=$FJ54,$S54^2*HS$15,HS53*INDEX($T$20:$T$91,$FJ54-HS$19)^2/INDEX($U$20:$U$91,$FJ54-HS$19))))</f>
        <v/>
      </c>
      <c r="HT54" s="150" t="str">
        <f aca="false">IF(HT$19&gt;$FJ54,"",MAX(0,IF(HT$19=$FJ54,$S54^2*HT$15,HT53*INDEX($T$20:$T$91,$FJ54-HT$19)^2/INDEX($U$20:$U$91,$FJ54-HT$19))))</f>
        <v/>
      </c>
      <c r="HU54" s="150" t="str">
        <f aca="false">IF(HU$19&gt;$FJ54,"",MAX(0,IF(HU$19=$FJ54,$S54^2*HU$15,HU53*INDEX($T$20:$T$91,$FJ54-HU$19)^2/INDEX($U$20:$U$91,$FJ54-HU$19))))</f>
        <v/>
      </c>
      <c r="HV54" s="150" t="str">
        <f aca="false">IF(HV$19&gt;$FJ54,"",MAX(0,IF(HV$19=$FJ54,$S54^2*HV$15,HV53*INDEX($T$20:$T$91,$FJ54-HV$19)^2/INDEX($U$20:$U$91,$FJ54-HV$19))))</f>
        <v/>
      </c>
      <c r="HW54" s="150" t="str">
        <f aca="false">IF(HW$19&gt;$FJ54,"",MAX(0,IF(HW$19=$FJ54,$S54^2*HW$15,HW53*INDEX($T$20:$T$91,$FJ54-HW$19)^2/INDEX($U$20:$U$91,$FJ54-HW$19))))</f>
        <v/>
      </c>
      <c r="HX54" s="150" t="str">
        <f aca="false">IF(HX$19&gt;$FJ54,"",MAX(0,IF(HX$19=$FJ54,$S54^2*HX$15,HX53*INDEX($T$20:$T$91,$FJ54-HX$19)^2/INDEX($U$20:$U$91,$FJ54-HX$19))))</f>
        <v/>
      </c>
      <c r="HY54" s="150" t="str">
        <f aca="false">IF(HY$19&gt;$FJ54,"",MAX(0,IF(HY$19=$FJ54,$S54^2*HY$15,HY53*INDEX($T$20:$T$91,$FJ54-HY$19)^2/INDEX($U$20:$U$91,$FJ54-HY$19))))</f>
        <v/>
      </c>
      <c r="HZ54" s="150" t="str">
        <f aca="false">IF(HZ$19&gt;$FJ54,"",MAX(0,IF(HZ$19=$FJ54,$S54^2*HZ$15,HZ53*INDEX($T$20:$T$91,$FJ54-HZ$19)^2/INDEX($U$20:$U$91,$FJ54-HZ$19))))</f>
        <v/>
      </c>
      <c r="IA54" s="150" t="str">
        <f aca="false">IF(IA$19&gt;$FJ54,"",MAX(0,IF(IA$19=$FJ54,$S54^2*IA$15,IA53*INDEX($T$20:$T$91,$FJ54-IA$19)^2/INDEX($U$20:$U$91,$FJ54-IA$19))))</f>
        <v/>
      </c>
      <c r="IB54" s="150" t="str">
        <f aca="false">IF(IB$19&gt;$FJ54,"",MAX(0,IF(IB$19=$FJ54,$S54^2*IB$15,IB53*INDEX($T$20:$T$91,$FJ54-IB$19)^2/INDEX($U$20:$U$91,$FJ54-IB$19))))</f>
        <v/>
      </c>
      <c r="IC54" s="150" t="str">
        <f aca="false">IF(IC$19&gt;$FJ54,"",MAX(0,IF(IC$19=$FJ54,$S54^2*IC$15,IC53*INDEX($T$20:$T$91,$FJ54-IC$19)^2/INDEX($U$20:$U$91,$FJ54-IC$19))))</f>
        <v/>
      </c>
      <c r="ID54" s="572" t="str">
        <f aca="false">IF(ID$19&gt;$FJ54,"",MAX(0,IF(ID$19=$FJ54,$S54^2*ID$15,ID53*INDEX($T$20:$T$91,$FJ54-ID$19)^2/INDEX($U$20:$U$91,$FJ54-ID$19))))</f>
        <v/>
      </c>
      <c r="IE54" s="129"/>
    </row>
    <row r="55" customFormat="false" ht="12.75" hidden="false" customHeight="false" outlineLevel="0" collapsed="false">
      <c r="A55" s="219"/>
      <c r="B55" s="219"/>
      <c r="C55" s="219"/>
      <c r="D55" s="219"/>
      <c r="E55" s="219"/>
      <c r="F55" s="219"/>
      <c r="G55" s="219"/>
      <c r="H55" s="219" t="n">
        <f aca="false">VLOOKUP(I55,$EJ$20:$EL$54,3)</f>
        <v>0</v>
      </c>
      <c r="I55" s="511" t="n">
        <f aca="false">EOMONTH(I54,0)+1</f>
        <v>37834</v>
      </c>
      <c r="J55" s="512"/>
      <c r="K55" s="513" t="s">
        <v>250</v>
      </c>
      <c r="L55" s="514" t="e">
        <f aca="false">IF(ISNUMBER(K55),J55+K55/100,IF(K55="extra",L54+VLOOKUP(BF55,PriceSpreadTable,2)/12,IF(K55="inter",interpolateprices($K$19:$L$200,ROW(K55)-ROW(FirstPricingMonth)+1),interpolatechanges($J$19:$K$200,ROW(K55)-ROW(FirstPricingMonth)+1))))</f>
        <v>#VALUE!</v>
      </c>
      <c r="M55" s="515"/>
      <c r="N55" s="516" t="n">
        <v>0</v>
      </c>
      <c r="O55" s="515" t="n">
        <f aca="false">M55+N55</f>
        <v>0</v>
      </c>
      <c r="P55" s="512"/>
      <c r="Q55" s="513" t="s">
        <v>280</v>
      </c>
      <c r="R55" s="512" t="e">
        <f aca="false">IF(ISNUMBER(Q55),P55+Q55/100,IF(Q55="extra",(Z53*AL53-R54*AM53)/AN53,IF(Q55="inter",interpolateprices($Q$19:$R$260,ROW(Q55)-ROW(FirstPricingMonth)+1),interpolatechanges($P$19:$Q$260,ROW(Q55)-ROW(FirstPricingMonth)+1))))</f>
        <v>#VALUE!</v>
      </c>
      <c r="S55" s="597" t="n">
        <f aca="false">S$19+(S54-S$19)*S$18</f>
        <v>0.360002260179579</v>
      </c>
      <c r="T55" s="575" t="n">
        <f aca="false">SQRT((1-(1-T54^2/U54)*T$18)*U55)</f>
        <v>0.99953258998498</v>
      </c>
      <c r="U55" s="576" t="n">
        <f aca="false">1-(1-U54)*U$18</f>
        <v>0.999999364324493</v>
      </c>
      <c r="V55" s="521" t="n">
        <v>0</v>
      </c>
      <c r="W55" s="577" t="n">
        <f aca="false">(J56*AJ55+J57*AK55)/AI55</f>
        <v>0</v>
      </c>
      <c r="X55" s="578" t="e">
        <f aca="false">(L56*AJ55+L57*AK55)/AI55</f>
        <v>#VALUE!</v>
      </c>
      <c r="Y55" s="579" t="n">
        <f aca="false">IF(Q57="extra",W55-AA55,(P56*AM55+P57*AN55)/AL55)</f>
        <v>-1.2051</v>
      </c>
      <c r="Z55" s="579" t="e">
        <f aca="false">IF(Q57="extra",X55-AB55,(R56*AM55+R57*AN55)/AL55)</f>
        <v>#VALUE!</v>
      </c>
      <c r="AA55" s="523" t="n">
        <f aca="false">IF(Q57="extra",INDEX(BrentSeasonalityTable,INT((BG55-1)/3)+1)*VLOOKUP(MAX(BF55,$AB$4),PriceSpreadTable,3),W55-Y55)</f>
        <v>1.2051</v>
      </c>
      <c r="AB55" s="524" t="n">
        <f aca="false">IF(Q57="extra",INDEX(BrentSeasonalityTable,INT((BG55-1)/3)+1)*VLOOKUP(MAX(BF55,$AB$4),PriceSpreadTable,3),X55-Z55)</f>
        <v>1.2051</v>
      </c>
      <c r="AC55" s="525" t="n">
        <v>37822</v>
      </c>
      <c r="AD55" s="646" t="n">
        <v>37818</v>
      </c>
      <c r="AE55" s="646" t="n">
        <v>37817</v>
      </c>
      <c r="AF55" s="646" t="n">
        <v>37813</v>
      </c>
      <c r="AG55" s="438" t="s">
        <v>247</v>
      </c>
      <c r="AH55" s="439" t="s">
        <v>278</v>
      </c>
      <c r="AI55" s="528" t="n">
        <v>21</v>
      </c>
      <c r="AJ55" s="529" t="n">
        <v>14</v>
      </c>
      <c r="AK55" s="529" t="n">
        <v>7</v>
      </c>
      <c r="AL55" s="530" t="n">
        <v>21</v>
      </c>
      <c r="AM55" s="529" t="n">
        <v>10</v>
      </c>
      <c r="AN55" s="531" t="n">
        <v>11</v>
      </c>
      <c r="AO55" s="532"/>
      <c r="AP55" s="465" t="n">
        <f aca="false">(1+AO55/2)^(-2*BL55)</f>
        <v>1</v>
      </c>
      <c r="AQ55" s="532"/>
      <c r="AR55" s="465" t="n">
        <f aca="false">(1+AQ55/2)^(-2*BH55/365.25)</f>
        <v>1</v>
      </c>
      <c r="AS55" s="580" t="n">
        <f aca="false">(O56*AJ55+O57*AK55)/AI55</f>
        <v>0</v>
      </c>
      <c r="AT55" s="468" t="n">
        <f aca="false">O55*VLOOKUP(BF55,BrentVolTable,2)+VLOOKUP(BF55,BrentVolTable,3)</f>
        <v>0</v>
      </c>
      <c r="AU55" s="468" t="n">
        <f aca="false">(AT56*AM55+AT57*AN55)/AL55</f>
        <v>0</v>
      </c>
      <c r="AV55" s="595" t="n">
        <f aca="false">SQRT(MAX(0.000000000001,(O55^2*BH55-S55^2*(BH55-BH54))/BH54))</f>
        <v>0.0218591714657711</v>
      </c>
      <c r="AW55" s="451" t="n">
        <f aca="false">IF($I55-DateToday+15&gt;=$T$8,"",IF($I55-DateToday+15&lt;$T$5,1,MATCH($I55-DateToday+15,$T$5:$T$8)))</f>
        <v>1</v>
      </c>
      <c r="AX55" s="468" t="n">
        <f aca="false">IF($AW55="",AX54^2/AX53,INDEX(U$5:U$8,$AW55)^((INDEX($T$5:$T$8,$AW55+1)-($I55-DateToday+15))/(INDEX($T$5:$T$8,$AW55+1)-INDEX($T$5:$T$8,$AW55)))/INDEX(U$5:U$8,$AW55+1)^((INDEX($T$5:$T$8,$AW55)-($I55-DateToday+15))/(INDEX($T$5:$T$8,$AW55+1)-INDEX($T$5:$T$8,$AW55))))</f>
        <v>5.9438772977472</v>
      </c>
      <c r="AY55" s="468" t="n">
        <f aca="false">IF($AW55="",AY54^2/AY53,INDEX(V$5:V$8,$AW55)^((INDEX($T$5:$T$8,$AW55+1)-($I55-DateToday+15))/(INDEX($T$5:$T$8,$AW55+1)-INDEX($T$5:$T$8,$AW55)))/INDEX(V$5:V$8,$AW55+1)^((INDEX($T$5:$T$8,$AW55)-($I55-DateToday+15))/(INDEX($T$5:$T$8,$AW55+1)-INDEX($T$5:$T$8,$AW55))))</f>
        <v>1196.37206624058</v>
      </c>
      <c r="AZ55" s="468" t="n">
        <f aca="false">IF($AW55="",AZ54^2/AZ53,INDEX(W$5:W$8,$AW55)^((INDEX($T$5:$T$8,$AW55+1)-($I55-DateToday+15))/(INDEX($T$5:$T$8,$AW55+1)-INDEX($T$5:$T$8,$AW55)))/INDEX(W$5:W$8,$AW55+1)^((INDEX($T$5:$T$8,$AW55)-($I55-DateToday+15))/(INDEX($T$5:$T$8,$AW55+1)-INDEX($T$5:$T$8,$AW55))))</f>
        <v>39475426.1580501</v>
      </c>
      <c r="BA55" s="468" t="n">
        <f aca="false">IF($AW55="",BA54^2/BA53,INDEX(X$5:X$8,$AW55)^((INDEX($T$5:$T$8,$AW55+1)-($I55-DateToday+15))/(INDEX($T$5:$T$8,$AW55+1)-INDEX($T$5:$T$8,$AW55)))/INDEX(X$5:X$8,$AW55+1)^((INDEX($T$5:$T$8,$AW55)-($I55-DateToday+15))/(INDEX($T$5:$T$8,$AW55+1)-INDEX($T$5:$T$8,$AW55))))</f>
        <v>2444136347.49717</v>
      </c>
      <c r="BB55" s="468" t="n">
        <f aca="false">IF($AW55="",BB54^2/BB53,INDEX(Y$5:Y$8,$AW55)^((INDEX($T$5:$T$8,$AW55+1)-($I55-DateToday+15))/(INDEX($T$5:$T$8,$AW55+1)-INDEX($T$5:$T$8,$AW55)))/INDEX(Y$5:Y$8,$AW55+1)^((INDEX($T$5:$T$8,$AW55)-($I55-DateToday+15))/(INDEX($T$5:$T$8,$AW55+1)-INDEX($T$5:$T$8,$AW55))))</f>
        <v>47804023257.2252</v>
      </c>
      <c r="BC55" s="468" t="n">
        <f aca="false">IF($AW55="",BC54^2/BC53,INDEX(Z$5:Z$8,$AW55)^((INDEX($T$5:$T$8,$AW55+1)-($I55-DateToday+15))/(INDEX($T$5:$T$8,$AW55+1)-INDEX($T$5:$T$8,$AW55)))/INDEX(Z$5:Z$8,$AW55+1)^((INDEX($T$5:$T$8,$AW55)-($I55-DateToday+15))/(INDEX($T$5:$T$8,$AW55+1)-INDEX($T$5:$T$8,$AW55))))</f>
        <v>281734807605.592</v>
      </c>
      <c r="BD55" s="535" t="n">
        <f aca="false">IF(OR(DateStart&gt;=I56,DateEnd&lt;I55),0,IF(VolumeOverrideFlag,V55,Volume))</f>
        <v>0</v>
      </c>
      <c r="BE55" s="536" t="n">
        <f aca="false">IF(OR(DateStart2&gt;=I56,DateEnd2&lt;I55),0,IF(VolumeOverrideFlag,V55,VolumeSwaption))</f>
        <v>0</v>
      </c>
      <c r="BF55" s="537" t="n">
        <f aca="false">YEAR(I55)</f>
        <v>2003</v>
      </c>
      <c r="BG55" s="538" t="n">
        <f aca="false">MONTH(I55)</f>
        <v>8</v>
      </c>
      <c r="BH55" s="539" t="n">
        <f aca="false">AD55-DateToday+1</f>
        <v>-8107</v>
      </c>
      <c r="BI55" s="540" t="n">
        <f aca="false">(I55-DateToday+1)/365.25</f>
        <v>-22.1519507186858</v>
      </c>
      <c r="BJ55" s="541" t="n">
        <f aca="false">BI55+(BL55-BI55)*CHOOSE(Underlying,AJ55/AI55,AM55/AL55)</f>
        <v>-22.0971937029432</v>
      </c>
      <c r="BK55" s="541" t="n">
        <f aca="false">BJ55+1/365.25</f>
        <v>-22.0944558521561</v>
      </c>
      <c r="BL55" s="541" t="n">
        <f aca="false">(I56-DateToday)/365.25</f>
        <v>-22.0698151950719</v>
      </c>
      <c r="BM55" s="542" t="e">
        <f aca="false">MAX(BI55-(BJ55-BI55)*(S56^2/O56^2-1),0)</f>
        <v>#DIV/0!</v>
      </c>
      <c r="BN55" s="541" t="e">
        <f aca="false">MAX(BL55+(BL55-BK55)*(S57^2/O57^2-1),0)</f>
        <v>#DIV/0!</v>
      </c>
      <c r="BO55" s="530" t="n">
        <f aca="false">CHOOSE(Underlying,AI55,AL55)</f>
        <v>21</v>
      </c>
      <c r="BP55" s="529" t="n">
        <f aca="false">CHOOSE(Underlying,AJ55,AM55)</f>
        <v>14</v>
      </c>
      <c r="BQ55" s="529" t="n">
        <f aca="false">CHOOSE(Underlying,AK55,AN55)</f>
        <v>7</v>
      </c>
      <c r="BR55" s="463" t="str">
        <f aca="false">IF(BD55,IF(Underlying=1,X55,Z55)+UnderlyingPriceAsian-SwapPriceCurve,"")</f>
        <v/>
      </c>
      <c r="BS55" s="463" t="str">
        <f aca="false">IF(BD55,Strike1/BR55-1,"")</f>
        <v/>
      </c>
      <c r="BT55" s="464" t="str">
        <f aca="false">IF(BD55,Strike2/BR55-1,"")</f>
        <v/>
      </c>
      <c r="BU55" s="465" t="str">
        <f aca="false">IF(BD55,IF(Underlying=1,L56,R56)+UnderlyingPriceAsian-SwapPriceCurve,"")</f>
        <v/>
      </c>
      <c r="BV55" s="465" t="str">
        <f aca="false">IF(BD55,IF(Underlying=1,L57,R57)+UnderlyingPriceAsian-SwapPriceCurve,"")</f>
        <v/>
      </c>
      <c r="BW55" s="466" t="str">
        <f aca="false">IF(BD55,IF(Underlying=1,O56,AT56),"")</f>
        <v/>
      </c>
      <c r="BX55" s="467" t="str">
        <f aca="false">IF(BD55,IF(Underlying=1,O57,AT57),"")</f>
        <v/>
      </c>
      <c r="BY55" s="466" t="str">
        <f aca="false">IF(BD55,IF(BS55&gt;0,IF(BS55&gt;0.2,BC55-BB55,IF(BS55&gt;0.1,BB55-BA55,BA55)),IF(BS55&lt;-0.2,AX55-AY55,IF(BS55&lt;-0.1,AY55-AZ55,AZ55))),"")</f>
        <v/>
      </c>
      <c r="BZ55" s="467" t="str">
        <f aca="false">IF(BD55,IF(BT55&gt;0,IF(BT55&gt;0.2,BC55-BB55,IF(BT55&gt;0.1,BB55-BA55,BA55)),IF(BT55&lt;-0.2,AX55-AY55,IF(BT55&lt;-0.1,AY55-AZ55,AZ55))),"")</f>
        <v/>
      </c>
      <c r="CA55" s="468" t="str">
        <f aca="false">IF($BD55,$BW55+IF(VolSkewFlag=1,IF(BS55&gt;0,$BA55*MIN(BS55/10%,1)+($BB55-$BA55)*MAX(0,MIN(BS55/10%-1,1))+($BC55-$BB55)*MAX(0,BS55/10%-2),$AZ55*MIN(-BS55/10%,1)+($AY55-$AZ55)*MAX(0,MIN(-BS55/10%-1,1))+($AX55-$AY55)*MAX(0,-BS55/10%-2)),0),"")</f>
        <v/>
      </c>
      <c r="CB55" s="468" t="str">
        <f aca="false">IF($BD55,$BX55+IF(VolSkewFlag=1,IF(BS55&gt;0,$BA55*MIN(BS55/10%,1)+($BB55-$BA55)*MAX(0,MIN(BS55/10%-1,1))+($BC55-$BB55)*MAX(0,BS55/10%-2),$AZ55*MIN(-BS55/10%,1)+($AY55-$AZ55)*MAX(0,MIN(-BS55/10%-1,1))+($AX55-$AY55)*MAX(0,-BS55/10%-2)),0),"")</f>
        <v/>
      </c>
      <c r="CC55" s="468" t="str">
        <f aca="false">IF($BD55,$BW55+IF(VolSkewFlag=1,IF(BT55&gt;0,$BA55*MIN(BT55/10%,1)+($BB55-$BA55)*MAX(0,MIN(BT55/10%-1,1))+($BC55-$BB55)*MAX(0,BT55/10%-2),$AZ55*MIN(-BT55/10%,1)+($AY55-$AZ55)*MAX(0,MIN(-BT55/10%-1,1))+($AX55-$AY55)*MAX(0,-BT55/10%-2)),0),"")</f>
        <v/>
      </c>
      <c r="CD55" s="468" t="str">
        <f aca="false">IF($BD55,$BX55+IF(VolSkewFlag=1,IF(BT55&gt;0,$BA55*MIN(BT55/10%,1)+($BB55-$BA55)*MAX(0,MIN(BT55/10%-1,1))+($BC55-$BB55)*MAX(0,BT55/10%-2),$AZ55*MIN(-BT55/10%,1)+($AY55-$AZ55)*MAX(0,MIN(-BT55/10%-1,1))+($AX55-$AY55)*MAX(0,-BT55/10%-2)),0),"")</f>
        <v/>
      </c>
      <c r="CE55" s="469" t="n">
        <v>1</v>
      </c>
      <c r="CF55" s="470" t="n">
        <f aca="false">IF(BD55,xCrudeAPO(BU55,BV55,CA55,CB55,S56,S57,BI55,BL55,BP55,BQ55,0,Strike1,AO55,CE55,0,BL55,IF(OptControl=4,0,1),0,1),0)</f>
        <v>0</v>
      </c>
      <c r="CG55" s="470" t="n">
        <f aca="false">IF(BD55,xCrudeAPO(BU55,BV55,CA55,CB55,S56,S57,BI55,BL55,BP55,BQ55,0,Strike1,AO55,CE55,0,BL55,IF(OptControl=4,0,1),1,1)+xCrudeAPO(BU55,BV55,CA55,CB55,S56,S57,BI55,BL55,BP55,BQ55,0,Strike1,AO55,CE55,0,BL55,IF(OptControl=4,0,1),1,2)+IF(OR(VolSkewFlag=2,ABS(BS55)&lt;0.0001),0,IF(BS55&gt;0,-1,1)*CH55*Strike1/BR55^2*BY55/10%),0)</f>
        <v>0</v>
      </c>
      <c r="CH55" s="470" t="n">
        <f aca="false">IF(BD55,(xCrudeAPO(BU55,BV55,CA55,CB55,S56,S57,BI55,BL55,BP55,BQ55,0,Strike1,AO55,CE55,0,BL55,IF(OptControl=4,0,1),3,1)+xCrudeAPO(BU55,BV55,CA55,CB55,S56,S57,BI55,BL55,BP55,BQ55,0,Strike1,AO55,CE55,0,BL55,IF(OptControl=4,0,1),3,2))/100,0)</f>
        <v>0</v>
      </c>
      <c r="CI55" s="470" t="n">
        <f aca="false">IF(BD55,xCrudeAPO(BU55,BV55,CA55,CB55,S56,S57,BI55-DaysForThetaCalculation/365.25,BL55-DaysForThetaCalculation/365.25,BP55,BQ55,0,Strike1,AO55,CE55,0,BL55,IF(OptControl=4,0,1),0,1)-xCrudeAPO(BU55,BV55,CA55,CB55,S56,S57,BI55,BL55,BP55,BQ55,0,Strike1,AO55,CE55,0,BL55,IF(OptControl=4,0,1),0,1),0)</f>
        <v>0</v>
      </c>
      <c r="CJ55" s="471" t="n">
        <f aca="false">IF(BD55,xCrudeAPO(BU55,BV55,CC55,CD55,S56,S57,BI55,BL55,BP55,BQ55,0,Strike2,AO55,CE55,0,BL55,IF(OptControl=3,1,0),0,1),0)</f>
        <v>0</v>
      </c>
      <c r="CK55" s="470" t="n">
        <f aca="false">IF(BD55,xCrudeAPO(BU55,BV55,CC55,CD55,S56,S57,BI55,BL55,BP55,BQ55,0,Strike2,AO55,CE55,0,BL55,IF(OptControl=3,1,0),1,1)+xCrudeAPO(BU55,BV55,CC55,CD55,S56,S57,BI55,BL55,BP55,BQ55,0,Strike2,AO55,CE55,0,BL55,IF(OptControl=3,1,0),1,2)+IF(OR(VolSkewFlag=2,ABS(BT55)&lt;0.0001),0,IF(BT55&gt;0,-1,1)*CL55*Strike2/BR55^2*BZ55/10%),0)</f>
        <v>0</v>
      </c>
      <c r="CL55" s="470" t="n">
        <f aca="false">IF(BD55,(xCrudeAPO(BU55,BV55,CC55,CD55,S56,S57,BI55,BL55,BP55,BQ55,0,Strike2,AO55,CE55,0,BL55,IF(OptControl=3,1,0),3,1)+xCrudeAPO(BU55,BV55,CC55,CD55,S56,S57,BI55,BL55,BP55,BQ55,0,Strike2,AO55,CE55,0,BL55,IF(OptControl=3,1,0),3,2))/100,0)</f>
        <v>0</v>
      </c>
      <c r="CM55" s="472" t="n">
        <f aca="false">IF(BD55,xCrudeAPO(BU55,BV55,CC55,CD55,S56,S57,BI55-DaysForThetaCalculation/365.25,BL55-DaysForThetaCalculation/365.25,BP55,BQ55,0,Strike2,AO55,CE55,0,BL55,IF(OptControl=3,1,0),0,1)-xCrudeAPO(BU55,BV55,CC55,CD55,S56,S57,BI55,BL55,BP55,BQ55,0,Strike2,AO55,CE55,0,BL55,IF(OptControl=3,1,0),0,1),0)</f>
        <v>0</v>
      </c>
      <c r="CN55" s="3"/>
      <c r="CO55" s="543" t="str">
        <f aca="false">IF(BD55,CHOOSE(Underlying,AD55,AF55)-DateToday+1,"")</f>
        <v/>
      </c>
      <c r="CP55" s="582" t="str">
        <f aca="false">IF(BD55,CHOOSE(Underlying,L55,R55),"")</f>
        <v/>
      </c>
      <c r="CQ55" s="544" t="str">
        <f aca="false">IF(BD55,Strike1/CP55-1,"")</f>
        <v/>
      </c>
      <c r="CR55" s="544" t="str">
        <f aca="false">IF(BD55,Strike2/CP55-1,"")</f>
        <v/>
      </c>
      <c r="CS55" s="544" t="str">
        <f aca="false">IF(BD55,IF(CQ55&gt;0,IF(CQ55&gt;0.2,BC54-BB54,IF(CQ55&gt;0.1,BB54-BA54,BA54)),IF(CQ55&lt;-0.2,AX54-AY54,IF(CQ55&lt;-0.1,AY54-AZ54,AZ54))),"")</f>
        <v/>
      </c>
      <c r="CT55" s="544" t="str">
        <f aca="false">IF(BD55,IF(CR55&gt;0,IF(CR55&gt;0.2,BC54-BB54,IF(CR55&gt;0.1,BB54-BA54,BA54)),IF(CR55&lt;-0.2,AX54-AY54,IF(CR55&lt;-0.1,AY54-AZ54,AZ54))),"")</f>
        <v/>
      </c>
      <c r="CU55" s="545" t="str">
        <f aca="false">IF(BD55,CHOOSE(Underlying,O55,AT55),"")</f>
        <v/>
      </c>
      <c r="CV55" s="545" t="str">
        <f aca="false">IF(BD55,CU55+IF(VolSkewFlag=1,IF(CQ55&gt;0,BA54*MIN(CQ55/10%,1)+(BB54-BA54)*MAX(0,MIN(CQ55/10%-1,1))+(BC54-BB54)*MAX(0,CQ55/10%-2),AZ54*MIN(-CQ55/10%,1)+(AY54-AZ54)*MAX(0,MIN(-CQ55/10%-1,1))+(AX54-AY54)*MAX(0,-CQ55/10%-2)),0),"")</f>
        <v/>
      </c>
      <c r="CW55" s="545" t="str">
        <f aca="false">IF(BD55,CU55+IF(VolSkewFlag=1,IF(CR55&gt;0,BA54*MIN(CR55/10%,1)+(BB54-BA54)*MAX(0,MIN(CR55/10%-1,1))+(BC54-BB54)*MAX(0,CR55/10%-2),AZ54*MIN(-CR55/10%,1)+(AY54-AZ54)*MAX(0,MIN(-CR55/10%-1,1))+(AX54-AY54)*MAX(0,-CR55/10%-2)),0),"")</f>
        <v/>
      </c>
      <c r="CX55" s="470" t="n">
        <f aca="false">IF(BD55,EURO(CP55,Strike1,AO55,AO55,CV55,CO55,IF(OptControl=4,0,1),0),0)</f>
        <v>0</v>
      </c>
      <c r="CY55" s="470" t="n">
        <f aca="false">IF(BD55,EURO(CP55,Strike1,AO55,AO55,CV55,CO55,IF(OptControl=4,0,1),1)+IF(OR(VolSkewFlag=2,ABS(CQ55)&lt;0.0001),0,IF(CQ55&gt;0,-1,1)*CZ55*100*Strike1/CP55^2*CS55/10%),0)</f>
        <v>0</v>
      </c>
      <c r="CZ55" s="470" t="n">
        <f aca="false">IF(BD55,EURO(CP55,Strike1,AO55,AO55,CV55,CO55,IF(OptControl=4,0,1),3)/100,0)</f>
        <v>0</v>
      </c>
      <c r="DA55" s="470" t="n">
        <f aca="false">IF(BD55,EURO(CP55,Strike1,AO55,AO55,CV55,CO55,IF(OptControl=4,0,1),0)-EURO(CP55,Strike1,AO55,AO55,CV55,CO55-1,IF(OptControl=4,0,1),0),0)</f>
        <v>0</v>
      </c>
      <c r="DB55" s="470" t="n">
        <f aca="false">IF(BD55,EURO(CP55,Strike2,AO55,AO55,CW55,CO55,IF(OptControl=3,1,0),0),0)</f>
        <v>0</v>
      </c>
      <c r="DC55" s="470" t="n">
        <f aca="false">IF(BD55,EURO(CP55,Strike2,AO55,AO55,CW55,CO55,IF(OptControl=3,1,0),1)+IF(OR(VolSkewFlag=2,ABS(CR55)&lt;0.0001),0,IF(CR55&gt;0,-1,1)*DD55*100*Strike2/CP55^2*CT55/10%),0)</f>
        <v>0</v>
      </c>
      <c r="DD55" s="470" t="n">
        <f aca="false">IF(BD55,EURO(CP55,Strike2,AO55,AO55,CW55,CO55,IF(OptControl=3,1,0),3)/100,0)</f>
        <v>0</v>
      </c>
      <c r="DE55" s="472" t="n">
        <f aca="false">IF(BD55,EURO(CP55,Strike2,AO55,AO55,CW55,CO55,IF(OptControl=3,1,0),0)-EURO(CP55,Strike2,AO55,AO55,CW55,CO55-1,IF(OptControl=3,1,0),0),0)</f>
        <v>0</v>
      </c>
      <c r="DG55" s="481" t="n">
        <f aca="false">EOMONTH(DG54,0)+1</f>
        <v>46753</v>
      </c>
      <c r="DH55" s="478" t="n">
        <v>18.97</v>
      </c>
      <c r="DI55" s="479" t="n">
        <v>18.8995454545455</v>
      </c>
      <c r="DJ55" s="480" t="n">
        <f aca="false">DG55</f>
        <v>46753</v>
      </c>
      <c r="DK55" s="478" t="n">
        <v>17.8606919479697</v>
      </c>
      <c r="DL55" s="479" t="n">
        <v>17.8260454545455</v>
      </c>
      <c r="DM55" s="481" t="n">
        <f aca="false">DG55</f>
        <v>46753</v>
      </c>
      <c r="DN55" s="482" t="n">
        <f aca="false">DK55+BrentPhyBrentSpread</f>
        <v>17.9106919479697</v>
      </c>
      <c r="DO55" s="481" t="n">
        <f aca="false">DG55</f>
        <v>46753</v>
      </c>
      <c r="DP55" s="483" t="n">
        <f aca="false">DL55+DQ55</f>
        <v>17.8260454545455</v>
      </c>
      <c r="DQ55" s="546" t="n">
        <v>0</v>
      </c>
      <c r="DR55" s="480" t="n">
        <f aca="false">DG55</f>
        <v>46753</v>
      </c>
      <c r="DS55" s="485" t="n">
        <v>0.213088649859863</v>
      </c>
      <c r="DT55" s="486" t="n">
        <v>0.21182939918337</v>
      </c>
      <c r="DU55" s="480" t="n">
        <f aca="false">DG55</f>
        <v>46753</v>
      </c>
      <c r="DV55" s="485" t="n">
        <v>0.213088649859863</v>
      </c>
      <c r="DW55" s="486" t="n">
        <v>0.21182939918337</v>
      </c>
      <c r="DX55" s="481" t="n">
        <f aca="false">DG55</f>
        <v>46753</v>
      </c>
      <c r="DY55" s="486" t="n">
        <v>0.350000000004657</v>
      </c>
      <c r="DZ55" s="481" t="n">
        <f aca="false">DR55</f>
        <v>46753</v>
      </c>
      <c r="EA55" s="486" t="n">
        <f aca="false">DT55</f>
        <v>0.21182939918337</v>
      </c>
      <c r="EB55" s="195"/>
      <c r="EC55" s="547" t="str">
        <f aca="false">IF(BD55,IF(Underlying=1,AS55,AU55),"")</f>
        <v/>
      </c>
      <c r="ED55" s="548" t="str">
        <f aca="false">IF($BD55,$EC55+IF(VolSkewFlag=1,IF(BS55&gt;0,$BA55*MIN(BS55/10%,1)+($BB55-$BA55)*MAX(0,MIN(BS55/10%-1,1))+($BC55-$BB55)*MAX(0,BS55/10%-2),$AZ55*MIN(-BS55/10%,1)+($AY55-$AZ55)*MAX(0,MIN(-BS55/10%-1,1))+($AX55-$AY55)*MAX(0,-BS55/10%-2)),0),"")</f>
        <v/>
      </c>
      <c r="EE55" s="549" t="str">
        <f aca="false">IF($BD55,$EC55+IF(VolSkewFlag=1,IF(BT55&gt;0,$BA55*MIN(BT55/10%,1)+($BB55-$BA55)*MAX(0,MIN(BT55/10%-1,1))+($BC55-$BB55)*MAX(0,BT55/10%-2),$AZ55*MIN(-BT55/10%,1)+($AY55-$AZ55)*MAX(0,MIN(-BT55/10%-1,1))+($AX55-$AY55)*MAX(0,-BT55/10%-2)),0),"")</f>
        <v/>
      </c>
      <c r="EF55" s="550" t="n">
        <f aca="false">IF(BD55,xASN(BR55,Strike1,AO55,ED55,0,BO55,0,BI55,BL55,IF(OptControl=4,0,1),0),0)</f>
        <v>0</v>
      </c>
      <c r="EG55" s="551" t="n">
        <f aca="false">IF(BD55,xASN(BR55,Strike2,AO55,EE55,0,BO55,0,BI55,BL55,IF(OptControl=3,1,0),0),0)</f>
        <v>0</v>
      </c>
      <c r="EL55" s="1"/>
      <c r="EM55" s="195"/>
      <c r="EN55" s="556" t="n">
        <v>39998</v>
      </c>
      <c r="EO55" s="557" t="n">
        <v>43094</v>
      </c>
      <c r="EP55" s="195"/>
      <c r="EQ55" s="407" t="s">
        <v>281</v>
      </c>
      <c r="ES55" s="587" t="n">
        <v>36</v>
      </c>
      <c r="ET55" s="559" t="n">
        <f aca="false">BH55/365.25</f>
        <v>-22.1957563312799</v>
      </c>
      <c r="EU55" s="560" t="n">
        <f aca="false">O55^2*ET55</f>
        <v>-0</v>
      </c>
      <c r="EV55" s="588" t="e">
        <f aca="false">SQRT(SUM(FK55:ID55)/ET55)</f>
        <v>#VALUE!</v>
      </c>
      <c r="EW55" s="589" t="str">
        <f aca="false">IF(OR(DateStart2&gt;I54,DateEnd2&lt;I53),"",IF(DateStart2&lt;I54,AK53/AI53*AP53*BE53*SwaptionNumOfMonths/$D$33,0)+IF(DateEnd2&gt;I53,AJ54/AI54*AP54*BE54*SwaptionNumOfMonths/$D$33,0))</f>
        <v/>
      </c>
      <c r="EX55" s="590" t="str">
        <f aca="false">IF(EW55="","",SQRT(SUM(FK360:ID360)/SwaptionYearsToExp))</f>
        <v/>
      </c>
      <c r="EY55" s="129" t="n">
        <v>0</v>
      </c>
      <c r="EZ55" s="591" t="str">
        <f aca="false">IF(OR(EW55="",EW56=""),"",SQRT(SUM(INDEX(FK55:ID55,SwaptionFirstMonthPosition+1):INDEX(FK55:ID55,FJ55))/SUM(INDEX($FK$15:$ID$15,SwaptionFirstMonthPosition+1):INDEX($FK$15:$ID$15,FJ55))))</f>
        <v/>
      </c>
      <c r="FA55" s="592" t="str">
        <f aca="false">IF(OR(EW55="",EW54=""),"",SQRT(SUM(INDEX(FK55:ID55,SwaptionFirstMonthPosition+1):INDEX(FK55:ID55,FJ55-1))/SUM(INDEX($FK$15:$ID$15,SwaptionFirstMonthPosition+1):INDEX($FK$15:$ID$15,FJ55-1))))</f>
        <v/>
      </c>
      <c r="FB55" s="593" t="str">
        <f aca="false">IF(BE55,2/3*EZ56+1/3*FA57,"")</f>
        <v/>
      </c>
      <c r="FC55" s="596" t="str">
        <f aca="false">IF(BE55,(I56+I55-1)/2-DateToday,"")</f>
        <v/>
      </c>
      <c r="FD55" s="483" t="str">
        <f aca="false">IF(BE55,CHOOSE(Underlying,X55,Z55)+SwaptionUnderlyingPrice-$D$26,"")</f>
        <v/>
      </c>
      <c r="FE55" s="483" t="str">
        <f aca="false">IF(BE55,CollartionFloor/FD55-1,"")</f>
        <v/>
      </c>
      <c r="FF55" s="483" t="str">
        <f aca="false">IF(BE55,CollartionCap/FD55-1,"")</f>
        <v/>
      </c>
      <c r="FG55" s="485" t="str">
        <f aca="false">IF(BE55,IF(VolSkewFlag=1,IF(FE55&gt;0,$BA55*MIN(FE55/10%,1)+($BB55-$BA55)*MAX(0,MIN(FE55/10%-1,1))+($BC55-$BB55)*MAX(0,FE55/10%-2),$AZ55*MIN(-FE55/10%,1)+($AY55-$AZ55)*MAX(0,MIN(-FE55/10%-1,1))+($AX55-$AY55)*MAX(0,-FE55/10%-2)),0),"")</f>
        <v/>
      </c>
      <c r="FH55" s="486" t="str">
        <f aca="false">IF(BE55,IF(VolSkewFlag=1,IF(FF55&gt;0,$BA55*MIN(FF55/10%,1)+($BB55-$BA55)*MAX(0,MIN(FF55/10%-1,1))+($BC55-$BB55)*MAX(0,FF55/10%-2),$AZ55*MIN(-FF55/10%,1)+($AY55-$AZ55)*MAX(0,MIN(-FF55/10%-1,1))+($AX55-$AY55)*MAX(0,-FF55/10%-2)),0),"")</f>
        <v/>
      </c>
      <c r="FI55" s="129"/>
      <c r="FJ55" s="571" t="n">
        <v>36</v>
      </c>
      <c r="FK55" s="150" t="n">
        <f aca="false">IF(FK$19&gt;$FJ55,"",MAX(0,IF(FK$19=$FJ55,$S55^2*FK$15,FK54*INDEX($T$20:$T$91,$FJ55-FK$19)^2/INDEX($U$20:$U$91,$FJ55-FK$19))))</f>
        <v>0</v>
      </c>
      <c r="FL55" s="150" t="n">
        <f aca="false">IF(FL$19&gt;$FJ55,"",MAX(0,IF(FL$19=$FJ55,$S55^2*FL$15,FL54*INDEX($T$20:$T$91,$FJ55-FL$19)^2/INDEX($U$20:$U$91,$FJ55-FL$19))))</f>
        <v>0</v>
      </c>
      <c r="FM55" s="150" t="n">
        <f aca="false">IF(FM$19&gt;$FJ55,"",MAX(0,IF(FM$19=$FJ55,$S55^2*FM$15,FM54*INDEX($T$20:$T$91,$FJ55-FM$19)^2/INDEX($U$20:$U$91,$FJ55-FM$19))))</f>
        <v>0.00256930970270681</v>
      </c>
      <c r="FN55" s="150" t="n">
        <f aca="false">IF(FN$19&gt;$FJ55,"",MAX(0,IF(FN$19=$FJ55,$S55^2*FN$15,FN54*INDEX($T$20:$T$91,$FJ55-FN$19)^2/INDEX($U$20:$U$91,$FJ55-FN$19))))</f>
        <v>0.0021657464901679</v>
      </c>
      <c r="FO55" s="150" t="n">
        <f aca="false">IF(FO$19&gt;$FJ55,"",MAX(0,IF(FO$19=$FJ55,$S55^2*FO$15,FO54*INDEX($T$20:$T$91,$FJ55-FO$19)^2/INDEX($U$20:$U$91,$FJ55-FO$19))))</f>
        <v>0.0022566401095073</v>
      </c>
      <c r="FP55" s="150" t="n">
        <f aca="false">IF(FP$19&gt;$FJ55,"",MAX(0,IF(FP$19=$FJ55,$S55^2*FP$15,FP54*INDEX($T$20:$T$91,$FJ55-FP$19)^2/INDEX($U$20:$U$91,$FJ55-FP$19))))</f>
        <v>0.00250570980349107</v>
      </c>
      <c r="FQ55" s="150" t="n">
        <f aca="false">IF(FQ$19&gt;$FJ55,"",MAX(0,IF(FQ$19=$FJ55,$S55^2*FQ$15,FQ54*INDEX($T$20:$T$91,$FJ55-FQ$19)^2/INDEX($U$20:$U$91,$FJ55-FQ$19))))</f>
        <v>0.00203349505987966</v>
      </c>
      <c r="FR55" s="150" t="n">
        <f aca="false">IF(FR$19&gt;$FJ55,"",MAX(0,IF(FR$19=$FJ55,$S55^2*FR$15,FR54*INDEX($T$20:$T$91,$FJ55-FR$19)^2/INDEX($U$20:$U$91,$FJ55-FR$19))))</f>
        <v>0.00208498387229864</v>
      </c>
      <c r="FS55" s="150" t="n">
        <f aca="false">IF(FS$19&gt;$FJ55,"",MAX(0,IF(FS$19=$FJ55,$S55^2*FS$15,FS54*INDEX($T$20:$T$91,$FJ55-FS$19)^2/INDEX($U$20:$U$91,$FJ55-FS$19))))</f>
        <v>0.00235732874247831</v>
      </c>
      <c r="FT55" s="150" t="n">
        <f aca="false">IF(FT$19&gt;$FJ55,"",MAX(0,IF(FT$19=$FJ55,$S55^2*FT$15,FT54*INDEX($T$20:$T$91,$FJ55-FT$19)^2/INDEX($U$20:$U$91,$FJ55-FT$19))))</f>
        <v>0.00213556342740824</v>
      </c>
      <c r="FU55" s="150" t="n">
        <f aca="false">IF(FU$19&gt;$FJ55,"",MAX(0,IF(FU$19=$FJ55,$S55^2*FU$15,FU54*INDEX($T$20:$T$91,$FJ55-FU$19)^2/INDEX($U$20:$U$91,$FJ55-FU$19))))</f>
        <v>0.00206226421357674</v>
      </c>
      <c r="FV55" s="150" t="n">
        <f aca="false">IF(FV$19&gt;$FJ55,"",MAX(0,IF(FV$19=$FJ55,$S55^2*FV$15,FV54*INDEX($T$20:$T$91,$FJ55-FV$19)^2/INDEX($U$20:$U$91,$FJ55-FV$19))))</f>
        <v>0.00227811789211253</v>
      </c>
      <c r="FW55" s="150" t="n">
        <f aca="false">IF(FW$19&gt;$FJ55,"",MAX(0,IF(FW$19=$FJ55,$S55^2*FW$15,FW54*INDEX($T$20:$T$91,$FJ55-FW$19)^2/INDEX($U$20:$U$91,$FJ55-FW$19))))</f>
        <v>0.00214221044331466</v>
      </c>
      <c r="FX55" s="150" t="n">
        <f aca="false">IF(FX$19&gt;$FJ55,"",MAX(0,IF(FX$19=$FJ55,$S55^2*FX$15,FX54*INDEX($T$20:$T$91,$FJ55-FX$19)^2/INDEX($U$20:$U$91,$FJ55-FX$19))))</f>
        <v>0.00229612597531115</v>
      </c>
      <c r="FY55" s="150" t="n">
        <f aca="false">IF(FY$19&gt;$FJ55,"",MAX(0,IF(FY$19=$FJ55,$S55^2*FY$15,FY54*INDEX($T$20:$T$91,$FJ55-FY$19)^2/INDEX($U$20:$U$91,$FJ55-FY$19))))</f>
        <v>0.00216698589392394</v>
      </c>
      <c r="FZ55" s="150" t="n">
        <f aca="false">IF(FZ$19&gt;$FJ55,"",MAX(0,IF(FZ$19=$FJ55,$S55^2*FZ$15,FZ54*INDEX($T$20:$T$91,$FJ55-FZ$19)^2/INDEX($U$20:$U$91,$FJ55-FZ$19))))</f>
        <v>0.0020398312155754</v>
      </c>
      <c r="GA55" s="150" t="n">
        <f aca="false">IF(GA$19&gt;$FJ55,"",MAX(0,IF(GA$19=$FJ55,$S55^2*GA$15,GA54*INDEX($T$20:$T$91,$FJ55-GA$19)^2/INDEX($U$20:$U$91,$FJ55-GA$19))))</f>
        <v>0.00220866803115011</v>
      </c>
      <c r="GB55" s="150" t="n">
        <f aca="false">IF(GB$19&gt;$FJ55,"",MAX(0,IF(GB$19=$FJ55,$S55^2*GB$15,GB54*INDEX($T$20:$T$91,$FJ55-GB$19)^2/INDEX($U$20:$U$91,$FJ55-GB$19))))</f>
        <v>0.00246069241013757</v>
      </c>
      <c r="GC55" s="150" t="n">
        <f aca="false">IF(GC$19&gt;$FJ55,"",MAX(0,IF(GC$19=$FJ55,$S55^2*GC$15,GC54*INDEX($T$20:$T$91,$FJ55-GC$19)^2/INDEX($U$20:$U$91,$FJ55-GC$19))))</f>
        <v>0.00219561934156561</v>
      </c>
      <c r="GD55" s="150" t="n">
        <f aca="false">IF(GD$19&gt;$FJ55,"",MAX(0,IF(GD$19=$FJ55,$S55^2*GD$15,GD54*INDEX($T$20:$T$91,$FJ55-GD$19)^2/INDEX($U$20:$U$91,$FJ55-GD$19))))</f>
        <v>0.00223566536483976</v>
      </c>
      <c r="GE55" s="150" t="n">
        <f aca="false">IF(GE$19&gt;$FJ55,"",MAX(0,IF(GE$19=$FJ55,$S55^2*GE$15,GE54*INDEX($T$20:$T$91,$FJ55-GE$19)^2/INDEX($U$20:$U$91,$FJ55-GE$19))))</f>
        <v>0.00259893013875588</v>
      </c>
      <c r="GF55" s="150" t="n">
        <f aca="false">IF(GF$19&gt;$FJ55,"",MAX(0,IF(GF$19=$FJ55,$S55^2*GF$15,GF54*INDEX($T$20:$T$91,$FJ55-GF$19)^2/INDEX($U$20:$U$91,$FJ55-GF$19))))</f>
        <v>0.00234207278472837</v>
      </c>
      <c r="GG55" s="150" t="n">
        <f aca="false">IF(GG$19&gt;$FJ55,"",MAX(0,IF(GG$19=$FJ55,$S55^2*GG$15,GG54*INDEX($T$20:$T$91,$FJ55-GG$19)^2/INDEX($U$20:$U$91,$FJ55-GG$19))))</f>
        <v>0.00266193326239805</v>
      </c>
      <c r="GH55" s="150" t="n">
        <f aca="false">IF(GH$19&gt;$FJ55,"",MAX(0,IF(GH$19=$FJ55,$S55^2*GH$15,GH54*INDEX($T$20:$T$91,$FJ55-GH$19)^2/INDEX($U$20:$U$91,$FJ55-GH$19))))</f>
        <v>0.00258382039027489</v>
      </c>
      <c r="GI55" s="150" t="n">
        <f aca="false">IF(GI$19&gt;$FJ55,"",MAX(0,IF(GI$19=$FJ55,$S55^2*GI$15,GI54*INDEX($T$20:$T$91,$FJ55-GI$19)^2/INDEX($U$20:$U$91,$FJ55-GI$19))))</f>
        <v>0.00260177686807922</v>
      </c>
      <c r="GJ55" s="150" t="n">
        <f aca="false">IF(GJ$19&gt;$FJ55,"",MAX(0,IF(GJ$19=$FJ55,$S55^2*GJ$15,GJ54*INDEX($T$20:$T$91,$FJ55-GJ$19)^2/INDEX($U$20:$U$91,$FJ55-GJ$19))))</f>
        <v>0.0031061006189223</v>
      </c>
      <c r="GK55" s="150" t="n">
        <f aca="false">IF(GK$19&gt;$FJ55,"",MAX(0,IF(GK$19=$FJ55,$S55^2*GK$15,GK54*INDEX($T$20:$T$91,$FJ55-GK$19)^2/INDEX($U$20:$U$91,$FJ55-GK$19))))</f>
        <v>0.00298744528330852</v>
      </c>
      <c r="GL55" s="150" t="n">
        <f aca="false">IF(GL$19&gt;$FJ55,"",MAX(0,IF(GL$19=$FJ55,$S55^2*GL$15,GL54*INDEX($T$20:$T$91,$FJ55-GL$19)^2/INDEX($U$20:$U$91,$FJ55-GL$19))))</f>
        <v>0.00308571419139759</v>
      </c>
      <c r="GM55" s="150" t="n">
        <f aca="false">IF(GM$19&gt;$FJ55,"",MAX(0,IF(GM$19=$FJ55,$S55^2*GM$15,GM54*INDEX($T$20:$T$91,$FJ55-GM$19)^2/INDEX($U$20:$U$91,$FJ55-GM$19))))</f>
        <v>0.00356600370805026</v>
      </c>
      <c r="GN55" s="150" t="n">
        <f aca="false">IF(GN$19&gt;$FJ55,"",MAX(0,IF(GN$19=$FJ55,$S55^2*GN$15,GN54*INDEX($T$20:$T$91,$FJ55-GN$19)^2/INDEX($U$20:$U$91,$FJ55-GN$19))))</f>
        <v>0.00390898618019831</v>
      </c>
      <c r="GO55" s="150" t="n">
        <f aca="false">IF(GO$19&gt;$FJ55,"",MAX(0,IF(GO$19=$FJ55,$S55^2*GO$15,GO54*INDEX($T$20:$T$91,$FJ55-GO$19)^2/INDEX($U$20:$U$91,$FJ55-GO$19))))</f>
        <v>0.00435605482920199</v>
      </c>
      <c r="GP55" s="150" t="n">
        <f aca="false">IF(GP$19&gt;$FJ55,"",MAX(0,IF(GP$19=$FJ55,$S55^2*GP$15,GP54*INDEX($T$20:$T$91,$FJ55-GP$19)^2/INDEX($U$20:$U$91,$FJ55-GP$19))))</f>
        <v>0.00447124640653874</v>
      </c>
      <c r="GQ55" s="150" t="n">
        <f aca="false">IF(GQ$19&gt;$FJ55,"",MAX(0,IF(GQ$19=$FJ55,$S55^2*GQ$15,GQ54*INDEX($T$20:$T$91,$FJ55-GQ$19)^2/INDEX($U$20:$U$91,$FJ55-GQ$19))))</f>
        <v>0.00575889916936211</v>
      </c>
      <c r="GR55" s="150" t="n">
        <f aca="false">IF(GR$19&gt;$FJ55,"",MAX(0,IF(GR$19=$FJ55,$S55^2*GR$15,GR54*INDEX($T$20:$T$91,$FJ55-GR$19)^2/INDEX($U$20:$U$91,$FJ55-GR$19))))</f>
        <v>0.00666819725257342</v>
      </c>
      <c r="GS55" s="150" t="n">
        <f aca="false">IF(GS$19&gt;$FJ55,"",MAX(0,IF(GS$19=$FJ55,$S55^2*GS$15,GS54*INDEX($T$20:$T$91,$FJ55-GS$19)^2/INDEX($U$20:$U$91,$FJ55-GS$19))))</f>
        <v>0.00852861263356471</v>
      </c>
      <c r="GT55" s="150" t="n">
        <f aca="false">IF(GT$19&gt;$FJ55,"",MAX(0,IF(GT$19=$FJ55,$S55^2*GT$15,GT54*INDEX($T$20:$T$91,$FJ55-GT$19)^2/INDEX($U$20:$U$91,$FJ55-GT$19))))</f>
        <v>0.0106448975223332</v>
      </c>
      <c r="GU55" s="150" t="str">
        <f aca="false">IF(GU$19&gt;$FJ55,"",MAX(0,IF(GU$19=$FJ55,$S55^2*GU$15,GU54*INDEX($T$20:$T$91,$FJ55-GU$19)^2/INDEX($U$20:$U$91,$FJ55-GU$19))))</f>
        <v/>
      </c>
      <c r="GV55" s="150" t="str">
        <f aca="false">IF(GV$19&gt;$FJ55,"",MAX(0,IF(GV$19=$FJ55,$S55^2*GV$15,GV54*INDEX($T$20:$T$91,$FJ55-GV$19)^2/INDEX($U$20:$U$91,$FJ55-GV$19))))</f>
        <v/>
      </c>
      <c r="GW55" s="150" t="str">
        <f aca="false">IF(GW$19&gt;$FJ55,"",MAX(0,IF(GW$19=$FJ55,$S55^2*GW$15,GW54*INDEX($T$20:$T$91,$FJ55-GW$19)^2/INDEX($U$20:$U$91,$FJ55-GW$19))))</f>
        <v/>
      </c>
      <c r="GX55" s="150" t="str">
        <f aca="false">IF(GX$19&gt;$FJ55,"",MAX(0,IF(GX$19=$FJ55,$S55^2*GX$15,GX54*INDEX($T$20:$T$91,$FJ55-GX$19)^2/INDEX($U$20:$U$91,$FJ55-GX$19))))</f>
        <v/>
      </c>
      <c r="GY55" s="150" t="str">
        <f aca="false">IF(GY$19&gt;$FJ55,"",MAX(0,IF(GY$19=$FJ55,$S55^2*GY$15,GY54*INDEX($T$20:$T$91,$FJ55-GY$19)^2/INDEX($U$20:$U$91,$FJ55-GY$19))))</f>
        <v/>
      </c>
      <c r="GZ55" s="150" t="str">
        <f aca="false">IF(GZ$19&gt;$FJ55,"",MAX(0,IF(GZ$19=$FJ55,$S55^2*GZ$15,GZ54*INDEX($T$20:$T$91,$FJ55-GZ$19)^2/INDEX($U$20:$U$91,$FJ55-GZ$19))))</f>
        <v/>
      </c>
      <c r="HA55" s="150" t="str">
        <f aca="false">IF(HA$19&gt;$FJ55,"",MAX(0,IF(HA$19=$FJ55,$S55^2*HA$15,HA54*INDEX($T$20:$T$91,$FJ55-HA$19)^2/INDEX($U$20:$U$91,$FJ55-HA$19))))</f>
        <v/>
      </c>
      <c r="HB55" s="150" t="str">
        <f aca="false">IF(HB$19&gt;$FJ55,"",MAX(0,IF(HB$19=$FJ55,$S55^2*HB$15,HB54*INDEX($T$20:$T$91,$FJ55-HB$19)^2/INDEX($U$20:$U$91,$FJ55-HB$19))))</f>
        <v/>
      </c>
      <c r="HC55" s="150" t="str">
        <f aca="false">IF(HC$19&gt;$FJ55,"",MAX(0,IF(HC$19=$FJ55,$S55^2*HC$15,HC54*INDEX($T$20:$T$91,$FJ55-HC$19)^2/INDEX($U$20:$U$91,$FJ55-HC$19))))</f>
        <v/>
      </c>
      <c r="HD55" s="150" t="str">
        <f aca="false">IF(HD$19&gt;$FJ55,"",MAX(0,IF(HD$19=$FJ55,$S55^2*HD$15,HD54*INDEX($T$20:$T$91,$FJ55-HD$19)^2/INDEX($U$20:$U$91,$FJ55-HD$19))))</f>
        <v/>
      </c>
      <c r="HE55" s="150" t="str">
        <f aca="false">IF(HE$19&gt;$FJ55,"",MAX(0,IF(HE$19=$FJ55,$S55^2*HE$15,HE54*INDEX($T$20:$T$91,$FJ55-HE$19)^2/INDEX($U$20:$U$91,$FJ55-HE$19))))</f>
        <v/>
      </c>
      <c r="HF55" s="150" t="str">
        <f aca="false">IF(HF$19&gt;$FJ55,"",MAX(0,IF(HF$19=$FJ55,$S55^2*HF$15,HF54*INDEX($T$20:$T$91,$FJ55-HF$19)^2/INDEX($U$20:$U$91,$FJ55-HF$19))))</f>
        <v/>
      </c>
      <c r="HG55" s="150" t="str">
        <f aca="false">IF(HG$19&gt;$FJ55,"",MAX(0,IF(HG$19=$FJ55,$S55^2*HG$15,HG54*INDEX($T$20:$T$91,$FJ55-HG$19)^2/INDEX($U$20:$U$91,$FJ55-HG$19))))</f>
        <v/>
      </c>
      <c r="HH55" s="150" t="str">
        <f aca="false">IF(HH$19&gt;$FJ55,"",MAX(0,IF(HH$19=$FJ55,$S55^2*HH$15,HH54*INDEX($T$20:$T$91,$FJ55-HH$19)^2/INDEX($U$20:$U$91,$FJ55-HH$19))))</f>
        <v/>
      </c>
      <c r="HI55" s="150" t="str">
        <f aca="false">IF(HI$19&gt;$FJ55,"",MAX(0,IF(HI$19=$FJ55,$S55^2*HI$15,HI54*INDEX($T$20:$T$91,$FJ55-HI$19)^2/INDEX($U$20:$U$91,$FJ55-HI$19))))</f>
        <v/>
      </c>
      <c r="HJ55" s="150" t="str">
        <f aca="false">IF(HJ$19&gt;$FJ55,"",MAX(0,IF(HJ$19=$FJ55,$S55^2*HJ$15,HJ54*INDEX($T$20:$T$91,$FJ55-HJ$19)^2/INDEX($U$20:$U$91,$FJ55-HJ$19))))</f>
        <v/>
      </c>
      <c r="HK55" s="150" t="str">
        <f aca="false">IF(HK$19&gt;$FJ55,"",MAX(0,IF(HK$19=$FJ55,$S55^2*HK$15,HK54*INDEX($T$20:$T$91,$FJ55-HK$19)^2/INDEX($U$20:$U$91,$FJ55-HK$19))))</f>
        <v/>
      </c>
      <c r="HL55" s="150" t="str">
        <f aca="false">IF(HL$19&gt;$FJ55,"",MAX(0,IF(HL$19=$FJ55,$S55^2*HL$15,HL54*INDEX($T$20:$T$91,$FJ55-HL$19)^2/INDEX($U$20:$U$91,$FJ55-HL$19))))</f>
        <v/>
      </c>
      <c r="HM55" s="150" t="str">
        <f aca="false">IF(HM$19&gt;$FJ55,"",MAX(0,IF(HM$19=$FJ55,$S55^2*HM$15,HM54*INDEX($T$20:$T$91,$FJ55-HM$19)^2/INDEX($U$20:$U$91,$FJ55-HM$19))))</f>
        <v/>
      </c>
      <c r="HN55" s="150" t="str">
        <f aca="false">IF(HN$19&gt;$FJ55,"",MAX(0,IF(HN$19=$FJ55,$S55^2*HN$15,HN54*INDEX($T$20:$T$91,$FJ55-HN$19)^2/INDEX($U$20:$U$91,$FJ55-HN$19))))</f>
        <v/>
      </c>
      <c r="HO55" s="150" t="str">
        <f aca="false">IF(HO$19&gt;$FJ55,"",MAX(0,IF(HO$19=$FJ55,$S55^2*HO$15,HO54*INDEX($T$20:$T$91,$FJ55-HO$19)^2/INDEX($U$20:$U$91,$FJ55-HO$19))))</f>
        <v/>
      </c>
      <c r="HP55" s="150" t="str">
        <f aca="false">IF(HP$19&gt;$FJ55,"",MAX(0,IF(HP$19=$FJ55,$S55^2*HP$15,HP54*INDEX($T$20:$T$91,$FJ55-HP$19)^2/INDEX($U$20:$U$91,$FJ55-HP$19))))</f>
        <v/>
      </c>
      <c r="HQ55" s="150" t="str">
        <f aca="false">IF(HQ$19&gt;$FJ55,"",MAX(0,IF(HQ$19=$FJ55,$S55^2*HQ$15,HQ54*INDEX($T$20:$T$91,$FJ55-HQ$19)^2/INDEX($U$20:$U$91,$FJ55-HQ$19))))</f>
        <v/>
      </c>
      <c r="HR55" s="150" t="str">
        <f aca="false">IF(HR$19&gt;$FJ55,"",MAX(0,IF(HR$19=$FJ55,$S55^2*HR$15,HR54*INDEX($T$20:$T$91,$FJ55-HR$19)^2/INDEX($U$20:$U$91,$FJ55-HR$19))))</f>
        <v/>
      </c>
      <c r="HS55" s="150" t="str">
        <f aca="false">IF(HS$19&gt;$FJ55,"",MAX(0,IF(HS$19=$FJ55,$S55^2*HS$15,HS54*INDEX($T$20:$T$91,$FJ55-HS$19)^2/INDEX($U$20:$U$91,$FJ55-HS$19))))</f>
        <v/>
      </c>
      <c r="HT55" s="150" t="str">
        <f aca="false">IF(HT$19&gt;$FJ55,"",MAX(0,IF(HT$19=$FJ55,$S55^2*HT$15,HT54*INDEX($T$20:$T$91,$FJ55-HT$19)^2/INDEX($U$20:$U$91,$FJ55-HT$19))))</f>
        <v/>
      </c>
      <c r="HU55" s="150" t="str">
        <f aca="false">IF(HU$19&gt;$FJ55,"",MAX(0,IF(HU$19=$FJ55,$S55^2*HU$15,HU54*INDEX($T$20:$T$91,$FJ55-HU$19)^2/INDEX($U$20:$U$91,$FJ55-HU$19))))</f>
        <v/>
      </c>
      <c r="HV55" s="150" t="str">
        <f aca="false">IF(HV$19&gt;$FJ55,"",MAX(0,IF(HV$19=$FJ55,$S55^2*HV$15,HV54*INDEX($T$20:$T$91,$FJ55-HV$19)^2/INDEX($U$20:$U$91,$FJ55-HV$19))))</f>
        <v/>
      </c>
      <c r="HW55" s="150" t="str">
        <f aca="false">IF(HW$19&gt;$FJ55,"",MAX(0,IF(HW$19=$FJ55,$S55^2*HW$15,HW54*INDEX($T$20:$T$91,$FJ55-HW$19)^2/INDEX($U$20:$U$91,$FJ55-HW$19))))</f>
        <v/>
      </c>
      <c r="HX55" s="150" t="str">
        <f aca="false">IF(HX$19&gt;$FJ55,"",MAX(0,IF(HX$19=$FJ55,$S55^2*HX$15,HX54*INDEX($T$20:$T$91,$FJ55-HX$19)^2/INDEX($U$20:$U$91,$FJ55-HX$19))))</f>
        <v/>
      </c>
      <c r="HY55" s="150" t="str">
        <f aca="false">IF(HY$19&gt;$FJ55,"",MAX(0,IF(HY$19=$FJ55,$S55^2*HY$15,HY54*INDEX($T$20:$T$91,$FJ55-HY$19)^2/INDEX($U$20:$U$91,$FJ55-HY$19))))</f>
        <v/>
      </c>
      <c r="HZ55" s="150" t="str">
        <f aca="false">IF(HZ$19&gt;$FJ55,"",MAX(0,IF(HZ$19=$FJ55,$S55^2*HZ$15,HZ54*INDEX($T$20:$T$91,$FJ55-HZ$19)^2/INDEX($U$20:$U$91,$FJ55-HZ$19))))</f>
        <v/>
      </c>
      <c r="IA55" s="150" t="str">
        <f aca="false">IF(IA$19&gt;$FJ55,"",MAX(0,IF(IA$19=$FJ55,$S55^2*IA$15,IA54*INDEX($T$20:$T$91,$FJ55-IA$19)^2/INDEX($U$20:$U$91,$FJ55-IA$19))))</f>
        <v/>
      </c>
      <c r="IB55" s="150" t="str">
        <f aca="false">IF(IB$19&gt;$FJ55,"",MAX(0,IF(IB$19=$FJ55,$S55^2*IB$15,IB54*INDEX($T$20:$T$91,$FJ55-IB$19)^2/INDEX($U$20:$U$91,$FJ55-IB$19))))</f>
        <v/>
      </c>
      <c r="IC55" s="150" t="str">
        <f aca="false">IF(IC$19&gt;$FJ55,"",MAX(0,IF(IC$19=$FJ55,$S55^2*IC$15,IC54*INDEX($T$20:$T$91,$FJ55-IC$19)^2/INDEX($U$20:$U$91,$FJ55-IC$19))))</f>
        <v/>
      </c>
      <c r="ID55" s="572" t="str">
        <f aca="false">IF(ID$19&gt;$FJ55,"",MAX(0,IF(ID$19=$FJ55,$S55^2*ID$15,ID54*INDEX($T$20:$T$91,$FJ55-ID$19)^2/INDEX($U$20:$U$91,$FJ55-ID$19))))</f>
        <v/>
      </c>
      <c r="IE55" s="129"/>
    </row>
    <row r="56" customFormat="false" ht="12.75" hidden="false" customHeight="false" outlineLevel="0" collapsed="false">
      <c r="A56" s="219"/>
      <c r="B56" s="219"/>
      <c r="C56" s="219"/>
      <c r="D56" s="219"/>
      <c r="E56" s="219"/>
      <c r="F56" s="219"/>
      <c r="G56" s="219"/>
      <c r="H56" s="219" t="n">
        <f aca="false">VLOOKUP(I56,$EJ$20:$EL$54,3)</f>
        <v>0</v>
      </c>
      <c r="I56" s="511" t="n">
        <f aca="false">EOMONTH(I55,0)+1</f>
        <v>37865</v>
      </c>
      <c r="J56" s="512"/>
      <c r="K56" s="513" t="s">
        <v>250</v>
      </c>
      <c r="L56" s="514" t="e">
        <f aca="false">IF(ISNUMBER(K56),J56+K56/100,IF(K56="extra",L55+VLOOKUP(BF56,PriceSpreadTable,2)/12,IF(K56="inter",interpolateprices($K$19:$L$200,ROW(K56)-ROW(FirstPricingMonth)+1),interpolatechanges($J$19:$K$200,ROW(K56)-ROW(FirstPricingMonth)+1))))</f>
        <v>#VALUE!</v>
      </c>
      <c r="M56" s="515"/>
      <c r="N56" s="516" t="n">
        <v>0</v>
      </c>
      <c r="O56" s="515" t="n">
        <f aca="false">M56+N56</f>
        <v>0</v>
      </c>
      <c r="P56" s="512"/>
      <c r="Q56" s="513" t="s">
        <v>280</v>
      </c>
      <c r="R56" s="512" t="e">
        <f aca="false">IF(ISNUMBER(Q56),P56+Q56/100,IF(Q56="extra",(Z54*AL54-R55*AM54)/AN54,IF(Q56="inter",interpolateprices($Q$19:$R$260,ROW(Q56)-ROW(FirstPricingMonth)+1),interpolatechanges($P$19:$Q$260,ROW(Q56)-ROW(FirstPricingMonth)+1))))</f>
        <v>#VALUE!</v>
      </c>
      <c r="S56" s="597" t="n">
        <f aca="false">S$19+(S55-S$19)*S$18</f>
        <v>0.360001695134684</v>
      </c>
      <c r="T56" s="575" t="n">
        <f aca="false">SQRT((1-(1-T55^2/U55)*T$18)*U56)</f>
        <v>0.999600411307941</v>
      </c>
      <c r="U56" s="576" t="n">
        <f aca="false">1-(1-U55)*U$18</f>
        <v>0.99999952324337</v>
      </c>
      <c r="V56" s="521" t="n">
        <v>0</v>
      </c>
      <c r="W56" s="577" t="n">
        <f aca="false">(J57*AJ56+J58*AK56)/AI56</f>
        <v>0</v>
      </c>
      <c r="X56" s="578" t="e">
        <f aca="false">(L57*AJ56+L58*AK56)/AI56</f>
        <v>#VALUE!</v>
      </c>
      <c r="Y56" s="579" t="n">
        <f aca="false">IF(Q58="extra",W56-AA56,(P57*AM56+P58*AN56)/AL56)</f>
        <v>-1.2051</v>
      </c>
      <c r="Z56" s="579" t="e">
        <f aca="false">IF(Q58="extra",X56-AB56,(R57*AM56+R58*AN56)/AL56)</f>
        <v>#VALUE!</v>
      </c>
      <c r="AA56" s="523" t="n">
        <f aca="false">IF(Q58="extra",INDEX(BrentSeasonalityTable,INT((BG56-1)/3)+1)*VLOOKUP(MAX(BF56,$AB$4),PriceSpreadTable,3),W56-Y56)</f>
        <v>1.2051</v>
      </c>
      <c r="AB56" s="524" t="n">
        <f aca="false">IF(Q58="extra",INDEX(BrentSeasonalityTable,INT((BG56-1)/3)+1)*VLOOKUP(MAX(BF56,$AB$4),PriceSpreadTable,3),X56-Z56)</f>
        <v>1.2051</v>
      </c>
      <c r="AC56" s="525" t="n">
        <v>37853</v>
      </c>
      <c r="AD56" s="646" t="n">
        <v>37849</v>
      </c>
      <c r="AE56" s="646" t="n">
        <v>37848</v>
      </c>
      <c r="AF56" s="646" t="n">
        <v>37844</v>
      </c>
      <c r="AG56" s="438" t="s">
        <v>247</v>
      </c>
      <c r="AH56" s="439" t="s">
        <v>278</v>
      </c>
      <c r="AI56" s="528" t="n">
        <v>22</v>
      </c>
      <c r="AJ56" s="529" t="n">
        <v>15</v>
      </c>
      <c r="AK56" s="529" t="n">
        <v>7</v>
      </c>
      <c r="AL56" s="530" t="n">
        <v>22</v>
      </c>
      <c r="AM56" s="529" t="n">
        <v>10</v>
      </c>
      <c r="AN56" s="531" t="n">
        <v>12</v>
      </c>
      <c r="AO56" s="532"/>
      <c r="AP56" s="465" t="n">
        <f aca="false">(1+AO56/2)^(-2*BL56)</f>
        <v>1</v>
      </c>
      <c r="AQ56" s="532"/>
      <c r="AR56" s="465" t="n">
        <f aca="false">(1+AQ56/2)^(-2*BH56/365.25)</f>
        <v>1</v>
      </c>
      <c r="AS56" s="580" t="n">
        <f aca="false">(O57*AJ56+O58*AK56)/AI56</f>
        <v>0</v>
      </c>
      <c r="AT56" s="468" t="n">
        <f aca="false">O56*VLOOKUP(BF56,BrentVolTable,2)+VLOOKUP(BF56,BrentVolTable,3)</f>
        <v>0</v>
      </c>
      <c r="AU56" s="468" t="n">
        <f aca="false">(AT57*AM56+AT58*AN56)/AL56</f>
        <v>0</v>
      </c>
      <c r="AV56" s="595" t="n">
        <f aca="false">SQRT(MAX(0.000000000001,(O56^2*BH56-S56^2*(BH56-BH55))/BH55))</f>
        <v>0.0222615452103341</v>
      </c>
      <c r="AW56" s="451" t="n">
        <f aca="false">IF($I56-DateToday+15&gt;=$T$8,"",IF($I56-DateToday+15&lt;$T$5,1,MATCH($I56-DateToday+15,$T$5:$T$8)))</f>
        <v>1</v>
      </c>
      <c r="AX56" s="468" t="n">
        <f aca="false">IF($AW56="",AX55^2/AX54,INDEX(U$5:U$8,$AW56)^((INDEX($T$5:$T$8,$AW56+1)-($I56-DateToday+15))/(INDEX($T$5:$T$8,$AW56+1)-INDEX($T$5:$T$8,$AW56)))/INDEX(U$5:U$8,$AW56+1)^((INDEX($T$5:$T$8,$AW56)-($I56-DateToday+15))/(INDEX($T$5:$T$8,$AW56+1)-INDEX($T$5:$T$8,$AW56))))</f>
        <v>5.81585121325737</v>
      </c>
      <c r="AY56" s="468" t="n">
        <f aca="false">IF($AW56="",AY55^2/AY54,INDEX(V$5:V$8,$AW56)^((INDEX($T$5:$T$8,$AW56+1)-($I56-DateToday+15))/(INDEX($T$5:$T$8,$AW56+1)-INDEX($T$5:$T$8,$AW56)))/INDEX(V$5:V$8,$AW56+1)^((INDEX($T$5:$T$8,$AW56)-($I56-DateToday+15))/(INDEX($T$5:$T$8,$AW56+1)-INDEX($T$5:$T$8,$AW56))))</f>
        <v>1146.11912789893</v>
      </c>
      <c r="AZ56" s="468" t="n">
        <f aca="false">IF($AW56="",AZ55^2/AZ54,INDEX(W$5:W$8,$AW56)^((INDEX($T$5:$T$8,$AW56+1)-($I56-DateToday+15))/(INDEX($T$5:$T$8,$AW56+1)-INDEX($T$5:$T$8,$AW56)))/INDEX(W$5:W$8,$AW56+1)^((INDEX($T$5:$T$8,$AW56)-($I56-DateToday+15))/(INDEX($T$5:$T$8,$AW56+1)-INDEX($T$5:$T$8,$AW56))))</f>
        <v>36302341.1392428</v>
      </c>
      <c r="BA56" s="468" t="n">
        <f aca="false">IF($AW56="",BA55^2/BA54,INDEX(X$5:X$8,$AW56)^((INDEX($T$5:$T$8,$AW56+1)-($I56-DateToday+15))/(INDEX($T$5:$T$8,$AW56+1)-INDEX($T$5:$T$8,$AW56)))/INDEX(X$5:X$8,$AW56+1)^((INDEX($T$5:$T$8,$AW56)-($I56-DateToday+15))/(INDEX($T$5:$T$8,$AW56+1)-INDEX($T$5:$T$8,$AW56))))</f>
        <v>2199260570.40362</v>
      </c>
      <c r="BB56" s="468" t="n">
        <f aca="false">IF($AW56="",BB55^2/BB54,INDEX(Y$5:Y$8,$AW56)^((INDEX($T$5:$T$8,$AW56+1)-($I56-DateToday+15))/(INDEX($T$5:$T$8,$AW56+1)-INDEX($T$5:$T$8,$AW56)))/INDEX(Y$5:Y$8,$AW56+1)^((INDEX($T$5:$T$8,$AW56)-($I56-DateToday+15))/(INDEX($T$5:$T$8,$AW56+1)-INDEX($T$5:$T$8,$AW56))))</f>
        <v>42583032465.8691</v>
      </c>
      <c r="BC56" s="468" t="n">
        <f aca="false">IF($AW56="",BC55^2/BC54,INDEX(Z$5:Z$8,$AW56)^((INDEX($T$5:$T$8,$AW56+1)-($I56-DateToday+15))/(INDEX($T$5:$T$8,$AW56+1)-INDEX($T$5:$T$8,$AW56)))/INDEX(Z$5:Z$8,$AW56+1)^((INDEX($T$5:$T$8,$AW56)-($I56-DateToday+15))/(INDEX($T$5:$T$8,$AW56+1)-INDEX($T$5:$T$8,$AW56))))</f>
        <v>249507835417.597</v>
      </c>
      <c r="BD56" s="535" t="n">
        <f aca="false">IF(OR(DateStart&gt;=I57,DateEnd&lt;I56),0,IF(VolumeOverrideFlag,V56,Volume))</f>
        <v>0</v>
      </c>
      <c r="BE56" s="536" t="n">
        <f aca="false">IF(OR(DateStart2&gt;=I57,DateEnd2&lt;I56),0,IF(VolumeOverrideFlag,V56,VolumeSwaption))</f>
        <v>0</v>
      </c>
      <c r="BF56" s="537" t="n">
        <f aca="false">YEAR(I56)</f>
        <v>2003</v>
      </c>
      <c r="BG56" s="538" t="n">
        <f aca="false">MONTH(I56)</f>
        <v>9</v>
      </c>
      <c r="BH56" s="539" t="n">
        <f aca="false">AD56-DateToday+1</f>
        <v>-8076</v>
      </c>
      <c r="BI56" s="540" t="n">
        <f aca="false">(I56-DateToday+1)/365.25</f>
        <v>-22.0670773442847</v>
      </c>
      <c r="BJ56" s="541" t="n">
        <f aca="false">BI56+(BL56-BI56)*CHOOSE(Underlying,AJ56/AI56,AM56/AL56)</f>
        <v>-22.0129425673574</v>
      </c>
      <c r="BK56" s="541" t="n">
        <f aca="false">BJ56+1/365.25</f>
        <v>-22.0102047165702</v>
      </c>
      <c r="BL56" s="541" t="n">
        <f aca="false">(I57-DateToday)/365.25</f>
        <v>-21.9876796714579</v>
      </c>
      <c r="BM56" s="542" t="e">
        <f aca="false">MAX(BI56-(BJ56-BI56)*(S57^2/O57^2-1),0)</f>
        <v>#DIV/0!</v>
      </c>
      <c r="BN56" s="541" t="e">
        <f aca="false">MAX(BL56+(BL56-BK56)*(S58^2/O58^2-1),0)</f>
        <v>#DIV/0!</v>
      </c>
      <c r="BO56" s="530" t="n">
        <f aca="false">CHOOSE(Underlying,AI56,AL56)</f>
        <v>22</v>
      </c>
      <c r="BP56" s="529" t="n">
        <f aca="false">CHOOSE(Underlying,AJ56,AM56)</f>
        <v>15</v>
      </c>
      <c r="BQ56" s="529" t="n">
        <f aca="false">CHOOSE(Underlying,AK56,AN56)</f>
        <v>7</v>
      </c>
      <c r="BR56" s="463" t="str">
        <f aca="false">IF(BD56,IF(Underlying=1,X56,Z56)+UnderlyingPriceAsian-SwapPriceCurve,"")</f>
        <v/>
      </c>
      <c r="BS56" s="463" t="str">
        <f aca="false">IF(BD56,Strike1/BR56-1,"")</f>
        <v/>
      </c>
      <c r="BT56" s="464" t="str">
        <f aca="false">IF(BD56,Strike2/BR56-1,"")</f>
        <v/>
      </c>
      <c r="BU56" s="465" t="str">
        <f aca="false">IF(BD56,IF(Underlying=1,L57,R57)+UnderlyingPriceAsian-SwapPriceCurve,"")</f>
        <v/>
      </c>
      <c r="BV56" s="465" t="str">
        <f aca="false">IF(BD56,IF(Underlying=1,L58,R58)+UnderlyingPriceAsian-SwapPriceCurve,"")</f>
        <v/>
      </c>
      <c r="BW56" s="466" t="str">
        <f aca="false">IF(BD56,IF(Underlying=1,O57,AT57),"")</f>
        <v/>
      </c>
      <c r="BX56" s="467" t="str">
        <f aca="false">IF(BD56,IF(Underlying=1,O58,AT58),"")</f>
        <v/>
      </c>
      <c r="BY56" s="466" t="str">
        <f aca="false">IF(BD56,IF(BS56&gt;0,IF(BS56&gt;0.2,BC56-BB56,IF(BS56&gt;0.1,BB56-BA56,BA56)),IF(BS56&lt;-0.2,AX56-AY56,IF(BS56&lt;-0.1,AY56-AZ56,AZ56))),"")</f>
        <v/>
      </c>
      <c r="BZ56" s="467" t="str">
        <f aca="false">IF(BD56,IF(BT56&gt;0,IF(BT56&gt;0.2,BC56-BB56,IF(BT56&gt;0.1,BB56-BA56,BA56)),IF(BT56&lt;-0.2,AX56-AY56,IF(BT56&lt;-0.1,AY56-AZ56,AZ56))),"")</f>
        <v/>
      </c>
      <c r="CA56" s="468" t="str">
        <f aca="false">IF($BD56,$BW56+IF(VolSkewFlag=1,IF(BS56&gt;0,$BA56*MIN(BS56/10%,1)+($BB56-$BA56)*MAX(0,MIN(BS56/10%-1,1))+($BC56-$BB56)*MAX(0,BS56/10%-2),$AZ56*MIN(-BS56/10%,1)+($AY56-$AZ56)*MAX(0,MIN(-BS56/10%-1,1))+($AX56-$AY56)*MAX(0,-BS56/10%-2)),0),"")</f>
        <v/>
      </c>
      <c r="CB56" s="468" t="str">
        <f aca="false">IF($BD56,$BX56+IF(VolSkewFlag=1,IF(BS56&gt;0,$BA56*MIN(BS56/10%,1)+($BB56-$BA56)*MAX(0,MIN(BS56/10%-1,1))+($BC56-$BB56)*MAX(0,BS56/10%-2),$AZ56*MIN(-BS56/10%,1)+($AY56-$AZ56)*MAX(0,MIN(-BS56/10%-1,1))+($AX56-$AY56)*MAX(0,-BS56/10%-2)),0),"")</f>
        <v/>
      </c>
      <c r="CC56" s="468" t="str">
        <f aca="false">IF($BD56,$BW56+IF(VolSkewFlag=1,IF(BT56&gt;0,$BA56*MIN(BT56/10%,1)+($BB56-$BA56)*MAX(0,MIN(BT56/10%-1,1))+($BC56-$BB56)*MAX(0,BT56/10%-2),$AZ56*MIN(-BT56/10%,1)+($AY56-$AZ56)*MAX(0,MIN(-BT56/10%-1,1))+($AX56-$AY56)*MAX(0,-BT56/10%-2)),0),"")</f>
        <v/>
      </c>
      <c r="CD56" s="468" t="str">
        <f aca="false">IF($BD56,$BX56+IF(VolSkewFlag=1,IF(BT56&gt;0,$BA56*MIN(BT56/10%,1)+($BB56-$BA56)*MAX(0,MIN(BT56/10%-1,1))+($BC56-$BB56)*MAX(0,BT56/10%-2),$AZ56*MIN(-BT56/10%,1)+($AY56-$AZ56)*MAX(0,MIN(-BT56/10%-1,1))+($AX56-$AY56)*MAX(0,-BT56/10%-2)),0),"")</f>
        <v/>
      </c>
      <c r="CE56" s="469" t="n">
        <v>1</v>
      </c>
      <c r="CF56" s="470" t="n">
        <f aca="false">IF(BD56,xCrudeAPO(BU56,BV56,CA56,CB56,S57,S58,BI56,BL56,BP56,BQ56,0,Strike1,AO56,CE56,0,BL56,IF(OptControl=4,0,1),0,1),0)</f>
        <v>0</v>
      </c>
      <c r="CG56" s="470" t="n">
        <f aca="false">IF(BD56,xCrudeAPO(BU56,BV56,CA56,CB56,S57,S58,BI56,BL56,BP56,BQ56,0,Strike1,AO56,CE56,0,BL56,IF(OptControl=4,0,1),1,1)+xCrudeAPO(BU56,BV56,CA56,CB56,S57,S58,BI56,BL56,BP56,BQ56,0,Strike1,AO56,CE56,0,BL56,IF(OptControl=4,0,1),1,2)+IF(OR(VolSkewFlag=2,ABS(BS56)&lt;0.0001),0,IF(BS56&gt;0,-1,1)*CH56*Strike1/BR56^2*BY56/10%),0)</f>
        <v>0</v>
      </c>
      <c r="CH56" s="470" t="n">
        <f aca="false">IF(BD56,(xCrudeAPO(BU56,BV56,CA56,CB56,S57,S58,BI56,BL56,BP56,BQ56,0,Strike1,AO56,CE56,0,BL56,IF(OptControl=4,0,1),3,1)+xCrudeAPO(BU56,BV56,CA56,CB56,S57,S58,BI56,BL56,BP56,BQ56,0,Strike1,AO56,CE56,0,BL56,IF(OptControl=4,0,1),3,2))/100,0)</f>
        <v>0</v>
      </c>
      <c r="CI56" s="470" t="n">
        <f aca="false">IF(BD56,xCrudeAPO(BU56,BV56,CA56,CB56,S57,S58,BI56-DaysForThetaCalculation/365.25,BL56-DaysForThetaCalculation/365.25,BP56,BQ56,0,Strike1,AO56,CE56,0,BL56,IF(OptControl=4,0,1),0,1)-xCrudeAPO(BU56,BV56,CA56,CB56,S57,S58,BI56,BL56,BP56,BQ56,0,Strike1,AO56,CE56,0,BL56,IF(OptControl=4,0,1),0,1),0)</f>
        <v>0</v>
      </c>
      <c r="CJ56" s="471" t="n">
        <f aca="false">IF(BD56,xCrudeAPO(BU56,BV56,CC56,CD56,S57,S58,BI56,BL56,BP56,BQ56,0,Strike2,AO56,CE56,0,BL56,IF(OptControl=3,1,0),0,1),0)</f>
        <v>0</v>
      </c>
      <c r="CK56" s="470" t="n">
        <f aca="false">IF(BD56,xCrudeAPO(BU56,BV56,CC56,CD56,S57,S58,BI56,BL56,BP56,BQ56,0,Strike2,AO56,CE56,0,BL56,IF(OptControl=3,1,0),1,1)+xCrudeAPO(BU56,BV56,CC56,CD56,S57,S58,BI56,BL56,BP56,BQ56,0,Strike2,AO56,CE56,0,BL56,IF(OptControl=3,1,0),1,2)+IF(OR(VolSkewFlag=2,ABS(BT56)&lt;0.0001),0,IF(BT56&gt;0,-1,1)*CL56*Strike2/BR56^2*BZ56/10%),0)</f>
        <v>0</v>
      </c>
      <c r="CL56" s="470" t="n">
        <f aca="false">IF(BD56,(xCrudeAPO(BU56,BV56,CC56,CD56,S57,S58,BI56,BL56,BP56,BQ56,0,Strike2,AO56,CE56,0,BL56,IF(OptControl=3,1,0),3,1)+xCrudeAPO(BU56,BV56,CC56,CD56,S57,S58,BI56,BL56,BP56,BQ56,0,Strike2,AO56,CE56,0,BL56,IF(OptControl=3,1,0),3,2))/100,0)</f>
        <v>0</v>
      </c>
      <c r="CM56" s="472" t="n">
        <f aca="false">IF(BD56,xCrudeAPO(BU56,BV56,CC56,CD56,S57,S58,BI56-DaysForThetaCalculation/365.25,BL56-DaysForThetaCalculation/365.25,BP56,BQ56,0,Strike2,AO56,CE56,0,BL56,IF(OptControl=3,1,0),0,1)-xCrudeAPO(BU56,BV56,CC56,CD56,S57,S58,BI56,BL56,BP56,BQ56,0,Strike2,AO56,CE56,0,BL56,IF(OptControl=3,1,0),0,1),0)</f>
        <v>0</v>
      </c>
      <c r="CN56" s="3"/>
      <c r="CO56" s="543" t="str">
        <f aca="false">IF(BD56,CHOOSE(Underlying,AD56,AF56)-DateToday+1,"")</f>
        <v/>
      </c>
      <c r="CP56" s="582" t="str">
        <f aca="false">IF(BD56,CHOOSE(Underlying,L56,R56),"")</f>
        <v/>
      </c>
      <c r="CQ56" s="544" t="str">
        <f aca="false">IF(BD56,Strike1/CP56-1,"")</f>
        <v/>
      </c>
      <c r="CR56" s="544" t="str">
        <f aca="false">IF(BD56,Strike2/CP56-1,"")</f>
        <v/>
      </c>
      <c r="CS56" s="544" t="str">
        <f aca="false">IF(BD56,IF(CQ56&gt;0,IF(CQ56&gt;0.2,BC55-BB55,IF(CQ56&gt;0.1,BB55-BA55,BA55)),IF(CQ56&lt;-0.2,AX55-AY55,IF(CQ56&lt;-0.1,AY55-AZ55,AZ55))),"")</f>
        <v/>
      </c>
      <c r="CT56" s="544" t="str">
        <f aca="false">IF(BD56,IF(CR56&gt;0,IF(CR56&gt;0.2,BC55-BB55,IF(CR56&gt;0.1,BB55-BA55,BA55)),IF(CR56&lt;-0.2,AX55-AY55,IF(CR56&lt;-0.1,AY55-AZ55,AZ55))),"")</f>
        <v/>
      </c>
      <c r="CU56" s="545" t="str">
        <f aca="false">IF(BD56,CHOOSE(Underlying,O56,AT56),"")</f>
        <v/>
      </c>
      <c r="CV56" s="545" t="str">
        <f aca="false">IF(BD56,CU56+IF(VolSkewFlag=1,IF(CQ56&gt;0,BA55*MIN(CQ56/10%,1)+(BB55-BA55)*MAX(0,MIN(CQ56/10%-1,1))+(BC55-BB55)*MAX(0,CQ56/10%-2),AZ55*MIN(-CQ56/10%,1)+(AY55-AZ55)*MAX(0,MIN(-CQ56/10%-1,1))+(AX55-AY55)*MAX(0,-CQ56/10%-2)),0),"")</f>
        <v/>
      </c>
      <c r="CW56" s="545" t="str">
        <f aca="false">IF(BD56,CU56+IF(VolSkewFlag=1,IF(CR56&gt;0,BA55*MIN(CR56/10%,1)+(BB55-BA55)*MAX(0,MIN(CR56/10%-1,1))+(BC55-BB55)*MAX(0,CR56/10%-2),AZ55*MIN(-CR56/10%,1)+(AY55-AZ55)*MAX(0,MIN(-CR56/10%-1,1))+(AX55-AY55)*MAX(0,-CR56/10%-2)),0),"")</f>
        <v/>
      </c>
      <c r="CX56" s="470" t="n">
        <f aca="false">IF(BD56,EURO(CP56,Strike1,AO56,AO56,CV56,CO56,IF(OptControl=4,0,1),0),0)</f>
        <v>0</v>
      </c>
      <c r="CY56" s="470" t="n">
        <f aca="false">IF(BD56,EURO(CP56,Strike1,AO56,AO56,CV56,CO56,IF(OptControl=4,0,1),1)+IF(OR(VolSkewFlag=2,ABS(CQ56)&lt;0.0001),0,IF(CQ56&gt;0,-1,1)*CZ56*100*Strike1/CP56^2*CS56/10%),0)</f>
        <v>0</v>
      </c>
      <c r="CZ56" s="470" t="n">
        <f aca="false">IF(BD56,EURO(CP56,Strike1,AO56,AO56,CV56,CO56,IF(OptControl=4,0,1),3)/100,0)</f>
        <v>0</v>
      </c>
      <c r="DA56" s="470" t="n">
        <f aca="false">IF(BD56,EURO(CP56,Strike1,AO56,AO56,CV56,CO56,IF(OptControl=4,0,1),0)-EURO(CP56,Strike1,AO56,AO56,CV56,CO56-1,IF(OptControl=4,0,1),0),0)</f>
        <v>0</v>
      </c>
      <c r="DB56" s="470" t="n">
        <f aca="false">IF(BD56,EURO(CP56,Strike2,AO56,AO56,CW56,CO56,IF(OptControl=3,1,0),0),0)</f>
        <v>0</v>
      </c>
      <c r="DC56" s="470" t="n">
        <f aca="false">IF(BD56,EURO(CP56,Strike2,AO56,AO56,CW56,CO56,IF(OptControl=3,1,0),1)+IF(OR(VolSkewFlag=2,ABS(CR56)&lt;0.0001),0,IF(CR56&gt;0,-1,1)*DD56*100*Strike2/CP56^2*CT56/10%),0)</f>
        <v>0</v>
      </c>
      <c r="DD56" s="470" t="n">
        <f aca="false">IF(BD56,EURO(CP56,Strike2,AO56,AO56,CW56,CO56,IF(OptControl=3,1,0),3)/100,0)</f>
        <v>0</v>
      </c>
      <c r="DE56" s="472" t="n">
        <f aca="false">IF(BD56,EURO(CP56,Strike2,AO56,AO56,CW56,CO56,IF(OptControl=3,1,0),0)-EURO(CP56,Strike2,AO56,AO56,CW56,CO56-1,IF(OptControl=3,1,0),0),0)</f>
        <v>0</v>
      </c>
      <c r="DG56" s="481" t="n">
        <f aca="false">EOMONTH(DG55,0)+1</f>
        <v>46784</v>
      </c>
      <c r="DH56" s="478" t="n">
        <v>18.92</v>
      </c>
      <c r="DI56" s="479" t="n">
        <v>18.855</v>
      </c>
      <c r="DJ56" s="480" t="n">
        <f aca="false">DG56</f>
        <v>46784</v>
      </c>
      <c r="DK56" s="478" t="n">
        <v>17.9141891382093</v>
      </c>
      <c r="DL56" s="479" t="n">
        <v>17.7815</v>
      </c>
      <c r="DM56" s="481" t="n">
        <f aca="false">DG56</f>
        <v>46784</v>
      </c>
      <c r="DN56" s="482" t="n">
        <f aca="false">DK56+BrentPhyBrentSpread</f>
        <v>17.9641891382093</v>
      </c>
      <c r="DO56" s="481" t="n">
        <f aca="false">DG56</f>
        <v>46784</v>
      </c>
      <c r="DP56" s="483" t="n">
        <f aca="false">DL56+DQ56</f>
        <v>17.7815</v>
      </c>
      <c r="DQ56" s="546" t="n">
        <v>0</v>
      </c>
      <c r="DR56" s="480" t="n">
        <f aca="false">DG56</f>
        <v>46784</v>
      </c>
      <c r="DS56" s="485" t="n">
        <v>0.211589918056083</v>
      </c>
      <c r="DT56" s="486" t="n">
        <v>0.211805261872563</v>
      </c>
      <c r="DU56" s="480" t="n">
        <f aca="false">DG56</f>
        <v>46784</v>
      </c>
      <c r="DV56" s="485" t="n">
        <v>0.211589918056083</v>
      </c>
      <c r="DW56" s="486" t="n">
        <v>0.211805261872563</v>
      </c>
      <c r="DX56" s="481" t="n">
        <f aca="false">DG56</f>
        <v>46784</v>
      </c>
      <c r="DY56" s="486" t="n">
        <v>0.350000000002328</v>
      </c>
      <c r="DZ56" s="481" t="n">
        <f aca="false">DR56</f>
        <v>46784</v>
      </c>
      <c r="EA56" s="486" t="n">
        <f aca="false">DT56</f>
        <v>0.211805261872563</v>
      </c>
      <c r="EB56" s="195"/>
      <c r="EC56" s="547" t="str">
        <f aca="false">IF(BD56,IF(Underlying=1,AS56,AU56),"")</f>
        <v/>
      </c>
      <c r="ED56" s="548" t="str">
        <f aca="false">IF($BD56,$EC56+IF(VolSkewFlag=1,IF(BS56&gt;0,$BA56*MIN(BS56/10%,1)+($BB56-$BA56)*MAX(0,MIN(BS56/10%-1,1))+($BC56-$BB56)*MAX(0,BS56/10%-2),$AZ56*MIN(-BS56/10%,1)+($AY56-$AZ56)*MAX(0,MIN(-BS56/10%-1,1))+($AX56-$AY56)*MAX(0,-BS56/10%-2)),0),"")</f>
        <v/>
      </c>
      <c r="EE56" s="549" t="str">
        <f aca="false">IF($BD56,$EC56+IF(VolSkewFlag=1,IF(BT56&gt;0,$BA56*MIN(BT56/10%,1)+($BB56-$BA56)*MAX(0,MIN(BT56/10%-1,1))+($BC56-$BB56)*MAX(0,BT56/10%-2),$AZ56*MIN(-BT56/10%,1)+($AY56-$AZ56)*MAX(0,MIN(-BT56/10%-1,1))+($AX56-$AY56)*MAX(0,-BT56/10%-2)),0),"")</f>
        <v/>
      </c>
      <c r="EF56" s="550" t="n">
        <f aca="false">IF(BD56,xASN(BR56,Strike1,AO56,ED56,0,BO56,0,BI56,BL56,IF(OptControl=4,0,1),0),0)</f>
        <v>0</v>
      </c>
      <c r="EG56" s="551" t="n">
        <f aca="false">IF(BD56,xASN(BR56,Strike2,AO56,EE56,0,BO56,0,BI56,BL56,IF(OptControl=3,1,0),0),0)</f>
        <v>0</v>
      </c>
      <c r="EH56" s="666" t="e">
        <f aca="false">AVERAGE(ED44:ED55)</f>
        <v>#DIV/0!</v>
      </c>
      <c r="EL56" s="1"/>
      <c r="EM56" s="195"/>
      <c r="EN56" s="556" t="n">
        <v>40172</v>
      </c>
      <c r="EO56" s="557" t="n">
        <v>43101</v>
      </c>
      <c r="EP56" s="195"/>
      <c r="EQ56" s="407" t="s">
        <v>282</v>
      </c>
      <c r="ES56" s="587" t="n">
        <v>37</v>
      </c>
      <c r="ET56" s="559" t="n">
        <f aca="false">BH56/365.25</f>
        <v>-22.1108829568789</v>
      </c>
      <c r="EU56" s="560" t="n">
        <f aca="false">O56^2*ET56</f>
        <v>-0</v>
      </c>
      <c r="EV56" s="588" t="e">
        <f aca="false">SQRT(SUM(FK56:ID56)/ET56)</f>
        <v>#VALUE!</v>
      </c>
      <c r="EW56" s="589" t="str">
        <f aca="false">IF(OR(DateStart2&gt;I55,DateEnd2&lt;I54),"",IF(DateStart2&lt;I55,AK54/AI54*AP54*BE54*SwaptionNumOfMonths/$D$33,0)+IF(DateEnd2&gt;I54,AJ55/AI55*AP55*BE55*SwaptionNumOfMonths/$D$33,0))</f>
        <v/>
      </c>
      <c r="EX56" s="590" t="str">
        <f aca="false">IF(EW56="","",SQRT(SUM(FK361:ID361)/SwaptionYearsToExp))</f>
        <v/>
      </c>
      <c r="EY56" s="129" t="n">
        <v>0</v>
      </c>
      <c r="EZ56" s="591" t="str">
        <f aca="false">IF(OR(EW56="",EW57=""),"",SQRT(SUM(INDEX(FK56:ID56,SwaptionFirstMonthPosition+1):INDEX(FK56:ID56,FJ56))/SUM(INDEX($FK$15:$ID$15,SwaptionFirstMonthPosition+1):INDEX($FK$15:$ID$15,FJ56))))</f>
        <v/>
      </c>
      <c r="FA56" s="592" t="str">
        <f aca="false">IF(OR(EW56="",EW55=""),"",SQRT(SUM(INDEX(FK56:ID56,SwaptionFirstMonthPosition+1):INDEX(FK56:ID56,FJ56-1))/SUM(INDEX($FK$15:$ID$15,SwaptionFirstMonthPosition+1):INDEX($FK$15:$ID$15,FJ56-1))))</f>
        <v/>
      </c>
      <c r="FB56" s="593" t="str">
        <f aca="false">IF(BE56,2/3*EZ57+1/3*FA58,"")</f>
        <v/>
      </c>
      <c r="FC56" s="596" t="str">
        <f aca="false">IF(BE56,(I57+I56-1)/2-DateToday,"")</f>
        <v/>
      </c>
      <c r="FD56" s="483" t="str">
        <f aca="false">IF(BE56,CHOOSE(Underlying,X56,Z56)+SwaptionUnderlyingPrice-$D$26,"")</f>
        <v/>
      </c>
      <c r="FE56" s="483" t="str">
        <f aca="false">IF(BE56,CollartionFloor/FD56-1,"")</f>
        <v/>
      </c>
      <c r="FF56" s="483" t="str">
        <f aca="false">IF(BE56,CollartionCap/FD56-1,"")</f>
        <v/>
      </c>
      <c r="FG56" s="485" t="str">
        <f aca="false">IF(BE56,IF(VolSkewFlag=1,IF(FE56&gt;0,$BA56*MIN(FE56/10%,1)+($BB56-$BA56)*MAX(0,MIN(FE56/10%-1,1))+($BC56-$BB56)*MAX(0,FE56/10%-2),$AZ56*MIN(-FE56/10%,1)+($AY56-$AZ56)*MAX(0,MIN(-FE56/10%-1,1))+($AX56-$AY56)*MAX(0,-FE56/10%-2)),0),"")</f>
        <v/>
      </c>
      <c r="FH56" s="486" t="str">
        <f aca="false">IF(BE56,IF(VolSkewFlag=1,IF(FF56&gt;0,$BA56*MIN(FF56/10%,1)+($BB56-$BA56)*MAX(0,MIN(FF56/10%-1,1))+($BC56-$BB56)*MAX(0,FF56/10%-2),$AZ56*MIN(-FF56/10%,1)+($AY56-$AZ56)*MAX(0,MIN(-FF56/10%-1,1))+($AX56-$AY56)*MAX(0,-FF56/10%-2)),0),"")</f>
        <v/>
      </c>
      <c r="FI56" s="129"/>
      <c r="FJ56" s="571" t="n">
        <v>37</v>
      </c>
      <c r="FK56" s="150" t="n">
        <f aca="false">IF(FK$19&gt;$FJ56,"",MAX(0,IF(FK$19=$FJ56,$S56^2*FK$15,FK55*INDEX($T$20:$T$91,$FJ56-FK$19)^2/INDEX($U$20:$U$91,$FJ56-FK$19))))</f>
        <v>0</v>
      </c>
      <c r="FL56" s="150" t="n">
        <f aca="false">IF(FL$19&gt;$FJ56,"",MAX(0,IF(FL$19=$FJ56,$S56^2*FL$15,FL55*INDEX($T$20:$T$91,$FJ56-FL$19)^2/INDEX($U$20:$U$91,$FJ56-FL$19))))</f>
        <v>0</v>
      </c>
      <c r="FM56" s="150" t="n">
        <f aca="false">IF(FM$19&gt;$FJ56,"",MAX(0,IF(FM$19=$FJ56,$S56^2*FM$15,FM55*INDEX($T$20:$T$91,$FJ56-FM$19)^2/INDEX($U$20:$U$91,$FJ56-FM$19))))</f>
        <v>0.00256602712122318</v>
      </c>
      <c r="FN56" s="150" t="n">
        <f aca="false">IF(FN$19&gt;$FJ56,"",MAX(0,IF(FN$19=$FJ56,$S56^2*FN$15,FN55*INDEX($T$20:$T$91,$FJ56-FN$19)^2/INDEX($U$20:$U$91,$FJ56-FN$19))))</f>
        <v>0.00216251025134906</v>
      </c>
      <c r="FO56" s="150" t="n">
        <f aca="false">IF(FO$19&gt;$FJ56,"",MAX(0,IF(FO$19=$FJ56,$S56^2*FO$15,FO55*INDEX($T$20:$T$91,$FJ56-FO$19)^2/INDEX($U$20:$U$91,$FJ56-FO$19))))</f>
        <v>0.0022526961801078</v>
      </c>
      <c r="FP56" s="150" t="n">
        <f aca="false">IF(FP$19&gt;$FJ56,"",MAX(0,IF(FP$19=$FJ56,$S56^2*FP$15,FP55*INDEX($T$20:$T$91,$FJ56-FP$19)^2/INDEX($U$20:$U$91,$FJ56-FP$19))))</f>
        <v>0.00250058789887553</v>
      </c>
      <c r="FQ56" s="150" t="n">
        <f aca="false">IF(FQ$19&gt;$FJ56,"",MAX(0,IF(FQ$19=$FJ56,$S56^2*FQ$15,FQ55*INDEX($T$20:$T$91,$FJ56-FQ$19)^2/INDEX($U$20:$U$91,$FJ56-FQ$19))))</f>
        <v>0.00202863347669486</v>
      </c>
      <c r="FR56" s="150" t="n">
        <f aca="false">IF(FR$19&gt;$FJ56,"",MAX(0,IF(FR$19=$FJ56,$S56^2*FR$15,FR55*INDEX($T$20:$T$91,$FJ56-FR$19)^2/INDEX($U$20:$U$91,$FJ56-FR$19))))</f>
        <v>0.00207915383699289</v>
      </c>
      <c r="FS56" s="150" t="n">
        <f aca="false">IF(FS$19&gt;$FJ56,"",MAX(0,IF(FS$19=$FJ56,$S56^2*FS$15,FS55*INDEX($T$20:$T$91,$FJ56-FS$19)^2/INDEX($U$20:$U$91,$FJ56-FS$19))))</f>
        <v>0.00234961930800332</v>
      </c>
      <c r="FT56" s="150" t="n">
        <f aca="false">IF(FT$19&gt;$FJ56,"",MAX(0,IF(FT$19=$FJ56,$S56^2*FT$15,FT55*INDEX($T$20:$T$91,$FJ56-FT$19)^2/INDEX($U$20:$U$91,$FJ56-FT$19))))</f>
        <v>0.00212739480671775</v>
      </c>
      <c r="FU56" s="150" t="n">
        <f aca="false">IF(FU$19&gt;$FJ56,"",MAX(0,IF(FU$19=$FJ56,$S56^2*FU$15,FU55*INDEX($T$20:$T$91,$FJ56-FU$19)^2/INDEX($U$20:$U$91,$FJ56-FU$19))))</f>
        <v>0.0020530381924205</v>
      </c>
      <c r="FV56" s="150" t="n">
        <f aca="false">IF(FV$19&gt;$FJ56,"",MAX(0,IF(FV$19=$FJ56,$S56^2*FV$15,FV55*INDEX($T$20:$T$91,$FJ56-FV$19)^2/INDEX($U$20:$U$91,$FJ56-FV$19))))</f>
        <v>0.0022661977832729</v>
      </c>
      <c r="FW56" s="150" t="n">
        <f aca="false">IF(FW$19&gt;$FJ56,"",MAX(0,IF(FW$19=$FJ56,$S56^2*FW$15,FW55*INDEX($T$20:$T$91,$FJ56-FW$19)^2/INDEX($U$20:$U$91,$FJ56-FW$19))))</f>
        <v>0.00212910052326005</v>
      </c>
      <c r="FX56" s="150" t="n">
        <f aca="false">IF(FX$19&gt;$FJ56,"",MAX(0,IF(FX$19=$FJ56,$S56^2*FX$15,FX55*INDEX($T$20:$T$91,$FJ56-FX$19)^2/INDEX($U$20:$U$91,$FJ56-FX$19))))</f>
        <v>0.00227969105857871</v>
      </c>
      <c r="FY56" s="150" t="n">
        <f aca="false">IF(FY$19&gt;$FJ56,"",MAX(0,IF(FY$19=$FJ56,$S56^2*FY$15,FY55*INDEX($T$20:$T$91,$FJ56-FY$19)^2/INDEX($U$20:$U$91,$FJ56-FY$19))))</f>
        <v>0.00214884487125672</v>
      </c>
      <c r="FZ56" s="150" t="n">
        <f aca="false">IF(FZ$19&gt;$FJ56,"",MAX(0,IF(FZ$19=$FJ56,$S56^2*FZ$15,FZ55*INDEX($T$20:$T$91,$FJ56-FZ$19)^2/INDEX($U$20:$U$91,$FJ56-FZ$19))))</f>
        <v>0.00201985865254081</v>
      </c>
      <c r="GA56" s="150" t="n">
        <f aca="false">IF(GA$19&gt;$FJ56,"",MAX(0,IF(GA$19=$FJ56,$S56^2*GA$15,GA55*INDEX($T$20:$T$91,$FJ56-GA$19)^2/INDEX($U$20:$U$91,$FJ56-GA$19))))</f>
        <v>0.00218337482420446</v>
      </c>
      <c r="GB56" s="150" t="n">
        <f aca="false">IF(GB$19&gt;$FJ56,"",MAX(0,IF(GB$19=$FJ56,$S56^2*GB$15,GB55*INDEX($T$20:$T$91,$FJ56-GB$19)^2/INDEX($U$20:$U$91,$FJ56-GB$19))))</f>
        <v>0.00242773412040759</v>
      </c>
      <c r="GC56" s="150" t="n">
        <f aca="false">IF(GC$19&gt;$FJ56,"",MAX(0,IF(GC$19=$FJ56,$S56^2*GC$15,GC55*INDEX($T$20:$T$91,$FJ56-GC$19)^2/INDEX($U$20:$U$91,$FJ56-GC$19))))</f>
        <v>0.00216122410738575</v>
      </c>
      <c r="GD56" s="150" t="n">
        <f aca="false">IF(GD$19&gt;$FJ56,"",MAX(0,IF(GD$19=$FJ56,$S56^2*GD$15,GD55*INDEX($T$20:$T$91,$FJ56-GD$19)^2/INDEX($U$20:$U$91,$FJ56-GD$19))))</f>
        <v>0.00219470329376506</v>
      </c>
      <c r="GE56" s="150" t="n">
        <f aca="false">IF(GE$19&gt;$FJ56,"",MAX(0,IF(GE$19=$FJ56,$S56^2*GE$15,GE55*INDEX($T$20:$T$91,$FJ56-GE$19)^2/INDEX($U$20:$U$91,$FJ56-GE$19))))</f>
        <v>0.00254323675580061</v>
      </c>
      <c r="GF56" s="150" t="n">
        <f aca="false">IF(GF$19&gt;$FJ56,"",MAX(0,IF(GF$19=$FJ56,$S56^2*GF$15,GF55*INDEX($T$20:$T$91,$FJ56-GF$19)^2/INDEX($U$20:$U$91,$FJ56-GF$19))))</f>
        <v>0.00228337208662733</v>
      </c>
      <c r="GG56" s="150" t="n">
        <f aca="false">IF(GG$19&gt;$FJ56,"",MAX(0,IF(GG$19=$FJ56,$S56^2*GG$15,GG55*INDEX($T$20:$T$91,$FJ56-GG$19)^2/INDEX($U$20:$U$91,$FJ56-GG$19))))</f>
        <v>0.00258390104882395</v>
      </c>
      <c r="GH56" s="150" t="n">
        <f aca="false">IF(GH$19&gt;$FJ56,"",MAX(0,IF(GH$19=$FJ56,$S56^2*GH$15,GH55*INDEX($T$20:$T$91,$FJ56-GH$19)^2/INDEX($U$20:$U$91,$FJ56-GH$19))))</f>
        <v>0.00249523278327955</v>
      </c>
      <c r="GI56" s="150" t="n">
        <f aca="false">IF(GI$19&gt;$FJ56,"",MAX(0,IF(GI$19=$FJ56,$S56^2*GI$15,GI55*INDEX($T$20:$T$91,$FJ56-GI$19)^2/INDEX($U$20:$U$91,$FJ56-GI$19))))</f>
        <v>0.00249744557679914</v>
      </c>
      <c r="GJ56" s="150" t="n">
        <f aca="false">IF(GJ$19&gt;$FJ56,"",MAX(0,IF(GJ$19=$FJ56,$S56^2*GJ$15,GJ55*INDEX($T$20:$T$91,$FJ56-GJ$19)^2/INDEX($U$20:$U$91,$FJ56-GJ$19))))</f>
        <v>0.00296042262918733</v>
      </c>
      <c r="GK56" s="150" t="n">
        <f aca="false">IF(GK$19&gt;$FJ56,"",MAX(0,IF(GK$19=$FJ56,$S56^2*GK$15,GK55*INDEX($T$20:$T$91,$FJ56-GK$19)^2/INDEX($U$20:$U$91,$FJ56-GK$19))))</f>
        <v>0.00282357044935264</v>
      </c>
      <c r="GL56" s="150" t="n">
        <f aca="false">IF(GL$19&gt;$FJ56,"",MAX(0,IF(GL$19=$FJ56,$S56^2*GL$15,GL55*INDEX($T$20:$T$91,$FJ56-GL$19)^2/INDEX($U$20:$U$91,$FJ56-GL$19))))</f>
        <v>0.00288774304949964</v>
      </c>
      <c r="GM56" s="150" t="n">
        <f aca="false">IF(GM$19&gt;$FJ56,"",MAX(0,IF(GM$19=$FJ56,$S56^2*GM$15,GM55*INDEX($T$20:$T$91,$FJ56-GM$19)^2/INDEX($U$20:$U$91,$FJ56-GM$19))))</f>
        <v>0.00329841864557933</v>
      </c>
      <c r="GN56" s="150" t="n">
        <f aca="false">IF(GN$19&gt;$FJ56,"",MAX(0,IF(GN$19=$FJ56,$S56^2*GN$15,GN55*INDEX($T$20:$T$91,$FJ56-GN$19)^2/INDEX($U$20:$U$91,$FJ56-GN$19))))</f>
        <v>0.00356591985083859</v>
      </c>
      <c r="GO56" s="150" t="n">
        <f aca="false">IF(GO$19&gt;$FJ56,"",MAX(0,IF(GO$19=$FJ56,$S56^2*GO$15,GO55*INDEX($T$20:$T$91,$FJ56-GO$19)^2/INDEX($U$20:$U$91,$FJ56-GO$19))))</f>
        <v>0.00390891723726295</v>
      </c>
      <c r="GP56" s="150" t="n">
        <f aca="false">IF(GP$19&gt;$FJ56,"",MAX(0,IF(GP$19=$FJ56,$S56^2*GP$15,GP55*INDEX($T$20:$T$91,$FJ56-GP$19)^2/INDEX($U$20:$U$91,$FJ56-GP$19))))</f>
        <v>0.00393444909082934</v>
      </c>
      <c r="GQ56" s="150" t="n">
        <f aca="false">IF(GQ$19&gt;$FJ56,"",MAX(0,IF(GQ$19=$FJ56,$S56^2*GQ$15,GQ55*INDEX($T$20:$T$91,$FJ56-GQ$19)^2/INDEX($U$20:$U$91,$FJ56-GQ$19))))</f>
        <v>0.00495025940948569</v>
      </c>
      <c r="GR56" s="150" t="n">
        <f aca="false">IF(GR$19&gt;$FJ56,"",MAX(0,IF(GR$19=$FJ56,$S56^2*GR$15,GR55*INDEX($T$20:$T$91,$FJ56-GR$19)^2/INDEX($U$20:$U$91,$FJ56-GR$19))))</f>
        <v>0.00557308675990562</v>
      </c>
      <c r="GS56" s="150" t="n">
        <f aca="false">IF(GS$19&gt;$FJ56,"",MAX(0,IF(GS$19=$FJ56,$S56^2*GS$15,GS55*INDEX($T$20:$T$91,$FJ56-GS$19)^2/INDEX($U$20:$U$91,$FJ56-GS$19))))</f>
        <v>0.00689043204122665</v>
      </c>
      <c r="GT56" s="150" t="n">
        <f aca="false">IF(GT$19&gt;$FJ56,"",MAX(0,IF(GT$19=$FJ56,$S56^2*GT$15,GT55*INDEX($T$20:$T$91,$FJ56-GT$19)^2/INDEX($U$20:$U$91,$FJ56-GT$19))))</f>
        <v>0.00825346155216921</v>
      </c>
      <c r="GU56" s="150" t="n">
        <f aca="false">IF(GU$19&gt;$FJ56,"",MAX(0,IF(GU$19=$FJ56,$S56^2*GU$15,GU55*INDEX($T$20:$T$91,$FJ56-GU$19)^2/INDEX($U$20:$U$91,$FJ56-GU$19))))</f>
        <v>0.0109996929103223</v>
      </c>
      <c r="GV56" s="150" t="str">
        <f aca="false">IF(GV$19&gt;$FJ56,"",MAX(0,IF(GV$19=$FJ56,$S56^2*GV$15,GV55*INDEX($T$20:$T$91,$FJ56-GV$19)^2/INDEX($U$20:$U$91,$FJ56-GV$19))))</f>
        <v/>
      </c>
      <c r="GW56" s="150" t="str">
        <f aca="false">IF(GW$19&gt;$FJ56,"",MAX(0,IF(GW$19=$FJ56,$S56^2*GW$15,GW55*INDEX($T$20:$T$91,$FJ56-GW$19)^2/INDEX($U$20:$U$91,$FJ56-GW$19))))</f>
        <v/>
      </c>
      <c r="GX56" s="150" t="str">
        <f aca="false">IF(GX$19&gt;$FJ56,"",MAX(0,IF(GX$19=$FJ56,$S56^2*GX$15,GX55*INDEX($T$20:$T$91,$FJ56-GX$19)^2/INDEX($U$20:$U$91,$FJ56-GX$19))))</f>
        <v/>
      </c>
      <c r="GY56" s="150" t="str">
        <f aca="false">IF(GY$19&gt;$FJ56,"",MAX(0,IF(GY$19=$FJ56,$S56^2*GY$15,GY55*INDEX($T$20:$T$91,$FJ56-GY$19)^2/INDEX($U$20:$U$91,$FJ56-GY$19))))</f>
        <v/>
      </c>
      <c r="GZ56" s="150" t="str">
        <f aca="false">IF(GZ$19&gt;$FJ56,"",MAX(0,IF(GZ$19=$FJ56,$S56^2*GZ$15,GZ55*INDEX($T$20:$T$91,$FJ56-GZ$19)^2/INDEX($U$20:$U$91,$FJ56-GZ$19))))</f>
        <v/>
      </c>
      <c r="HA56" s="150" t="str">
        <f aca="false">IF(HA$19&gt;$FJ56,"",MAX(0,IF(HA$19=$FJ56,$S56^2*HA$15,HA55*INDEX($T$20:$T$91,$FJ56-HA$19)^2/INDEX($U$20:$U$91,$FJ56-HA$19))))</f>
        <v/>
      </c>
      <c r="HB56" s="150" t="str">
        <f aca="false">IF(HB$19&gt;$FJ56,"",MAX(0,IF(HB$19=$FJ56,$S56^2*HB$15,HB55*INDEX($T$20:$T$91,$FJ56-HB$19)^2/INDEX($U$20:$U$91,$FJ56-HB$19))))</f>
        <v/>
      </c>
      <c r="HC56" s="150" t="str">
        <f aca="false">IF(HC$19&gt;$FJ56,"",MAX(0,IF(HC$19=$FJ56,$S56^2*HC$15,HC55*INDEX($T$20:$T$91,$FJ56-HC$19)^2/INDEX($U$20:$U$91,$FJ56-HC$19))))</f>
        <v/>
      </c>
      <c r="HD56" s="150" t="str">
        <f aca="false">IF(HD$19&gt;$FJ56,"",MAX(0,IF(HD$19=$FJ56,$S56^2*HD$15,HD55*INDEX($T$20:$T$91,$FJ56-HD$19)^2/INDEX($U$20:$U$91,$FJ56-HD$19))))</f>
        <v/>
      </c>
      <c r="HE56" s="150" t="str">
        <f aca="false">IF(HE$19&gt;$FJ56,"",MAX(0,IF(HE$19=$FJ56,$S56^2*HE$15,HE55*INDEX($T$20:$T$91,$FJ56-HE$19)^2/INDEX($U$20:$U$91,$FJ56-HE$19))))</f>
        <v/>
      </c>
      <c r="HF56" s="150" t="str">
        <f aca="false">IF(HF$19&gt;$FJ56,"",MAX(0,IF(HF$19=$FJ56,$S56^2*HF$15,HF55*INDEX($T$20:$T$91,$FJ56-HF$19)^2/INDEX($U$20:$U$91,$FJ56-HF$19))))</f>
        <v/>
      </c>
      <c r="HG56" s="150" t="str">
        <f aca="false">IF(HG$19&gt;$FJ56,"",MAX(0,IF(HG$19=$FJ56,$S56^2*HG$15,HG55*INDEX($T$20:$T$91,$FJ56-HG$19)^2/INDEX($U$20:$U$91,$FJ56-HG$19))))</f>
        <v/>
      </c>
      <c r="HH56" s="150" t="str">
        <f aca="false">IF(HH$19&gt;$FJ56,"",MAX(0,IF(HH$19=$FJ56,$S56^2*HH$15,HH55*INDEX($T$20:$T$91,$FJ56-HH$19)^2/INDEX($U$20:$U$91,$FJ56-HH$19))))</f>
        <v/>
      </c>
      <c r="HI56" s="150" t="str">
        <f aca="false">IF(HI$19&gt;$FJ56,"",MAX(0,IF(HI$19=$FJ56,$S56^2*HI$15,HI55*INDEX($T$20:$T$91,$FJ56-HI$19)^2/INDEX($U$20:$U$91,$FJ56-HI$19))))</f>
        <v/>
      </c>
      <c r="HJ56" s="150" t="str">
        <f aca="false">IF(HJ$19&gt;$FJ56,"",MAX(0,IF(HJ$19=$FJ56,$S56^2*HJ$15,HJ55*INDEX($T$20:$T$91,$FJ56-HJ$19)^2/INDEX($U$20:$U$91,$FJ56-HJ$19))))</f>
        <v/>
      </c>
      <c r="HK56" s="150" t="str">
        <f aca="false">IF(HK$19&gt;$FJ56,"",MAX(0,IF(HK$19=$FJ56,$S56^2*HK$15,HK55*INDEX($T$20:$T$91,$FJ56-HK$19)^2/INDEX($U$20:$U$91,$FJ56-HK$19))))</f>
        <v/>
      </c>
      <c r="HL56" s="150" t="str">
        <f aca="false">IF(HL$19&gt;$FJ56,"",MAX(0,IF(HL$19=$FJ56,$S56^2*HL$15,HL55*INDEX($T$20:$T$91,$FJ56-HL$19)^2/INDEX($U$20:$U$91,$FJ56-HL$19))))</f>
        <v/>
      </c>
      <c r="HM56" s="150" t="str">
        <f aca="false">IF(HM$19&gt;$FJ56,"",MAX(0,IF(HM$19=$FJ56,$S56^2*HM$15,HM55*INDEX($T$20:$T$91,$FJ56-HM$19)^2/INDEX($U$20:$U$91,$FJ56-HM$19))))</f>
        <v/>
      </c>
      <c r="HN56" s="150" t="str">
        <f aca="false">IF(HN$19&gt;$FJ56,"",MAX(0,IF(HN$19=$FJ56,$S56^2*HN$15,HN55*INDEX($T$20:$T$91,$FJ56-HN$19)^2/INDEX($U$20:$U$91,$FJ56-HN$19))))</f>
        <v/>
      </c>
      <c r="HO56" s="150" t="str">
        <f aca="false">IF(HO$19&gt;$FJ56,"",MAX(0,IF(HO$19=$FJ56,$S56^2*HO$15,HO55*INDEX($T$20:$T$91,$FJ56-HO$19)^2/INDEX($U$20:$U$91,$FJ56-HO$19))))</f>
        <v/>
      </c>
      <c r="HP56" s="150" t="str">
        <f aca="false">IF(HP$19&gt;$FJ56,"",MAX(0,IF(HP$19=$FJ56,$S56^2*HP$15,HP55*INDEX($T$20:$T$91,$FJ56-HP$19)^2/INDEX($U$20:$U$91,$FJ56-HP$19))))</f>
        <v/>
      </c>
      <c r="HQ56" s="150" t="str">
        <f aca="false">IF(HQ$19&gt;$FJ56,"",MAX(0,IF(HQ$19=$FJ56,$S56^2*HQ$15,HQ55*INDEX($T$20:$T$91,$FJ56-HQ$19)^2/INDEX($U$20:$U$91,$FJ56-HQ$19))))</f>
        <v/>
      </c>
      <c r="HR56" s="150" t="str">
        <f aca="false">IF(HR$19&gt;$FJ56,"",MAX(0,IF(HR$19=$FJ56,$S56^2*HR$15,HR55*INDEX($T$20:$T$91,$FJ56-HR$19)^2/INDEX($U$20:$U$91,$FJ56-HR$19))))</f>
        <v/>
      </c>
      <c r="HS56" s="150" t="str">
        <f aca="false">IF(HS$19&gt;$FJ56,"",MAX(0,IF(HS$19=$FJ56,$S56^2*HS$15,HS55*INDEX($T$20:$T$91,$FJ56-HS$19)^2/INDEX($U$20:$U$91,$FJ56-HS$19))))</f>
        <v/>
      </c>
      <c r="HT56" s="150" t="str">
        <f aca="false">IF(HT$19&gt;$FJ56,"",MAX(0,IF(HT$19=$FJ56,$S56^2*HT$15,HT55*INDEX($T$20:$T$91,$FJ56-HT$19)^2/INDEX($U$20:$U$91,$FJ56-HT$19))))</f>
        <v/>
      </c>
      <c r="HU56" s="150" t="str">
        <f aca="false">IF(HU$19&gt;$FJ56,"",MAX(0,IF(HU$19=$FJ56,$S56^2*HU$15,HU55*INDEX($T$20:$T$91,$FJ56-HU$19)^2/INDEX($U$20:$U$91,$FJ56-HU$19))))</f>
        <v/>
      </c>
      <c r="HV56" s="150" t="str">
        <f aca="false">IF(HV$19&gt;$FJ56,"",MAX(0,IF(HV$19=$FJ56,$S56^2*HV$15,HV55*INDEX($T$20:$T$91,$FJ56-HV$19)^2/INDEX($U$20:$U$91,$FJ56-HV$19))))</f>
        <v/>
      </c>
      <c r="HW56" s="150" t="str">
        <f aca="false">IF(HW$19&gt;$FJ56,"",MAX(0,IF(HW$19=$FJ56,$S56^2*HW$15,HW55*INDEX($T$20:$T$91,$FJ56-HW$19)^2/INDEX($U$20:$U$91,$FJ56-HW$19))))</f>
        <v/>
      </c>
      <c r="HX56" s="150" t="str">
        <f aca="false">IF(HX$19&gt;$FJ56,"",MAX(0,IF(HX$19=$FJ56,$S56^2*HX$15,HX55*INDEX($T$20:$T$91,$FJ56-HX$19)^2/INDEX($U$20:$U$91,$FJ56-HX$19))))</f>
        <v/>
      </c>
      <c r="HY56" s="150" t="str">
        <f aca="false">IF(HY$19&gt;$FJ56,"",MAX(0,IF(HY$19=$FJ56,$S56^2*HY$15,HY55*INDEX($T$20:$T$91,$FJ56-HY$19)^2/INDEX($U$20:$U$91,$FJ56-HY$19))))</f>
        <v/>
      </c>
      <c r="HZ56" s="150" t="str">
        <f aca="false">IF(HZ$19&gt;$FJ56,"",MAX(0,IF(HZ$19=$FJ56,$S56^2*HZ$15,HZ55*INDEX($T$20:$T$91,$FJ56-HZ$19)^2/INDEX($U$20:$U$91,$FJ56-HZ$19))))</f>
        <v/>
      </c>
      <c r="IA56" s="150" t="str">
        <f aca="false">IF(IA$19&gt;$FJ56,"",MAX(0,IF(IA$19=$FJ56,$S56^2*IA$15,IA55*INDEX($T$20:$T$91,$FJ56-IA$19)^2/INDEX($U$20:$U$91,$FJ56-IA$19))))</f>
        <v/>
      </c>
      <c r="IB56" s="150" t="str">
        <f aca="false">IF(IB$19&gt;$FJ56,"",MAX(0,IF(IB$19=$FJ56,$S56^2*IB$15,IB55*INDEX($T$20:$T$91,$FJ56-IB$19)^2/INDEX($U$20:$U$91,$FJ56-IB$19))))</f>
        <v/>
      </c>
      <c r="IC56" s="150" t="str">
        <f aca="false">IF(IC$19&gt;$FJ56,"",MAX(0,IF(IC$19=$FJ56,$S56^2*IC$15,IC55*INDEX($T$20:$T$91,$FJ56-IC$19)^2/INDEX($U$20:$U$91,$FJ56-IC$19))))</f>
        <v/>
      </c>
      <c r="ID56" s="572" t="str">
        <f aca="false">IF(ID$19&gt;$FJ56,"",MAX(0,IF(ID$19=$FJ56,$S56^2*ID$15,ID55*INDEX($T$20:$T$91,$FJ56-ID$19)^2/INDEX($U$20:$U$91,$FJ56-ID$19))))</f>
        <v/>
      </c>
      <c r="IE56" s="129"/>
    </row>
    <row r="57" customFormat="false" ht="12.75" hidden="false" customHeight="false" outlineLevel="0" collapsed="false">
      <c r="A57" s="219"/>
      <c r="B57" s="219"/>
      <c r="C57" s="219"/>
      <c r="D57" s="219"/>
      <c r="E57" s="219"/>
      <c r="F57" s="219"/>
      <c r="G57" s="219"/>
      <c r="H57" s="219" t="n">
        <f aca="false">VLOOKUP(I57,$EJ$20:$EL$54,3)</f>
        <v>0</v>
      </c>
      <c r="I57" s="511" t="n">
        <f aca="false">EOMONTH(I56,0)+1</f>
        <v>37895</v>
      </c>
      <c r="J57" s="512"/>
      <c r="K57" s="513" t="s">
        <v>250</v>
      </c>
      <c r="L57" s="514" t="e">
        <f aca="false">IF(ISNUMBER(K57),J57+K57/100,IF(K57="extra",L56+VLOOKUP(BF57,PriceSpreadTable,2)/12,IF(K57="inter",interpolateprices($K$19:$L$200,ROW(K57)-ROW(FirstPricingMonth)+1),interpolatechanges($J$19:$K$200,ROW(K57)-ROW(FirstPricingMonth)+1))))</f>
        <v>#VALUE!</v>
      </c>
      <c r="M57" s="515"/>
      <c r="N57" s="516" t="n">
        <v>0</v>
      </c>
      <c r="O57" s="515" t="n">
        <f aca="false">M57+N57</f>
        <v>0</v>
      </c>
      <c r="P57" s="512"/>
      <c r="Q57" s="513" t="s">
        <v>280</v>
      </c>
      <c r="R57" s="512" t="e">
        <f aca="false">IF(ISNUMBER(Q57),P57+Q57/100,IF(Q57="extra",(Z55*AL55-R56*AM55)/AN55,IF(Q57="inter",interpolateprices($Q$19:$R$260,ROW(Q57)-ROW(FirstPricingMonth)+1),interpolatechanges($P$19:$Q$260,ROW(Q57)-ROW(FirstPricingMonth)+1))))</f>
        <v>#VALUE!</v>
      </c>
      <c r="S57" s="597" t="n">
        <f aca="false">S$19+(S56-S$19)*S$18</f>
        <v>0.360001271351013</v>
      </c>
      <c r="T57" s="575" t="n">
        <f aca="false">SQRT((1-(1-T56^2/U56)*T$18)*U57)</f>
        <v>0.99965838656686</v>
      </c>
      <c r="U57" s="576" t="n">
        <f aca="false">1-(1-U56)*U$18</f>
        <v>0.999999642432528</v>
      </c>
      <c r="V57" s="521" t="n">
        <v>0</v>
      </c>
      <c r="W57" s="577" t="n">
        <f aca="false">(J58*AJ57+J59*AK57)/AI57</f>
        <v>0</v>
      </c>
      <c r="X57" s="578" t="e">
        <f aca="false">(L58*AJ57+L59*AK57)/AI57</f>
        <v>#VALUE!</v>
      </c>
      <c r="Y57" s="579" t="n">
        <f aca="false">IF(Q59="extra",W57-AA57,(P58*AM57+P59*AN57)/AL57)</f>
        <v>-1.1349</v>
      </c>
      <c r="Z57" s="579" t="e">
        <f aca="false">IF(Q59="extra",X57-AB57,(R58*AM57+R59*AN57)/AL57)</f>
        <v>#VALUE!</v>
      </c>
      <c r="AA57" s="523" t="n">
        <f aca="false">IF(Q59="extra",INDEX(BrentSeasonalityTable,INT((BG57-1)/3)+1)*VLOOKUP(MAX(BF57,$AB$4),PriceSpreadTable,3),W57-Y57)</f>
        <v>1.1349</v>
      </c>
      <c r="AB57" s="524" t="n">
        <f aca="false">IF(Q59="extra",INDEX(BrentSeasonalityTable,INT((BG57-1)/3)+1)*VLOOKUP(MAX(BF57,$AB$4),PriceSpreadTable,3),X57-Z57)</f>
        <v>1.1349</v>
      </c>
      <c r="AC57" s="525" t="n">
        <v>37884</v>
      </c>
      <c r="AD57" s="646" t="n">
        <v>37880</v>
      </c>
      <c r="AE57" s="646" t="n">
        <v>37879</v>
      </c>
      <c r="AF57" s="646" t="n">
        <v>37875</v>
      </c>
      <c r="AG57" s="438" t="s">
        <v>247</v>
      </c>
      <c r="AH57" s="439" t="s">
        <v>278</v>
      </c>
      <c r="AI57" s="528" t="n">
        <v>23</v>
      </c>
      <c r="AJ57" s="529" t="n">
        <v>14</v>
      </c>
      <c r="AK57" s="529" t="n">
        <v>9</v>
      </c>
      <c r="AL57" s="530" t="n">
        <v>23</v>
      </c>
      <c r="AM57" s="529" t="n">
        <v>10</v>
      </c>
      <c r="AN57" s="531" t="n">
        <v>13</v>
      </c>
      <c r="AO57" s="532"/>
      <c r="AP57" s="465" t="n">
        <f aca="false">(1+AO57/2)^(-2*BL57)</f>
        <v>1</v>
      </c>
      <c r="AQ57" s="532"/>
      <c r="AR57" s="465" t="n">
        <f aca="false">(1+AQ57/2)^(-2*BH57/365.25)</f>
        <v>1</v>
      </c>
      <c r="AS57" s="580" t="n">
        <f aca="false">(O58*AJ57+O59*AK57)/AI57</f>
        <v>0</v>
      </c>
      <c r="AT57" s="468" t="n">
        <f aca="false">O57*VLOOKUP(BF57,BrentVolTable,2)+VLOOKUP(BF57,BrentVolTable,3)</f>
        <v>0</v>
      </c>
      <c r="AU57" s="468" t="n">
        <f aca="false">(AT58*AM57+AT59*AN57)/AL57</f>
        <v>0</v>
      </c>
      <c r="AV57" s="595" t="n">
        <f aca="false">SQRT(MAX(0.000000000001,(O57^2*BH57-S57^2*(BH57-BH56))/BH56))</f>
        <v>0.0223042038800697</v>
      </c>
      <c r="AW57" s="451" t="n">
        <f aca="false">IF($I57-DateToday+15&gt;=$T$8,"",IF($I57-DateToday+15&lt;$T$5,1,MATCH($I57-DateToday+15,$T$5:$T$8)))</f>
        <v>1</v>
      </c>
      <c r="AX57" s="468" t="n">
        <f aca="false">IF($AW57="",AX56^2/AX55,INDEX(U$5:U$8,$AW57)^((INDEX($T$5:$T$8,$AW57+1)-($I57-DateToday+15))/(INDEX($T$5:$T$8,$AW57+1)-INDEX($T$5:$T$8,$AW57)))/INDEX(U$5:U$8,$AW57+1)^((INDEX($T$5:$T$8,$AW57)-($I57-DateToday+15))/(INDEX($T$5:$T$8,$AW57+1)-INDEX($T$5:$T$8,$AW57))))</f>
        <v>5.69458119119605</v>
      </c>
      <c r="AY57" s="468" t="n">
        <f aca="false">IF($AW57="",AY56^2/AY55,INDEX(V$5:V$8,$AW57)^((INDEX($T$5:$T$8,$AW57+1)-($I57-DateToday+15))/(INDEX($T$5:$T$8,$AW57+1)-INDEX($T$5:$T$8,$AW57)))/INDEX(V$5:V$8,$AW57+1)^((INDEX($T$5:$T$8,$AW57)-($I57-DateToday+15))/(INDEX($T$5:$T$8,$AW57+1)-INDEX($T$5:$T$8,$AW57))))</f>
        <v>1099.49797688653</v>
      </c>
      <c r="AZ57" s="468" t="n">
        <f aca="false">IF($AW57="",AZ56^2/AZ55,INDEX(W$5:W$8,$AW57)^((INDEX($T$5:$T$8,$AW57+1)-($I57-DateToday+15))/(INDEX($T$5:$T$8,$AW57+1)-INDEX($T$5:$T$8,$AW57)))/INDEX(W$5:W$8,$AW57+1)^((INDEX($T$5:$T$8,$AW57)-($I57-DateToday+15))/(INDEX($T$5:$T$8,$AW57+1)-INDEX($T$5:$T$8,$AW57))))</f>
        <v>33474675.9698044</v>
      </c>
      <c r="BA57" s="468" t="n">
        <f aca="false">IF($AW57="",BA56^2/BA55,INDEX(X$5:X$8,$AW57)^((INDEX($T$5:$T$8,$AW57+1)-($I57-DateToday+15))/(INDEX($T$5:$T$8,$AW57+1)-INDEX($T$5:$T$8,$AW57)))/INDEX(X$5:X$8,$AW57+1)^((INDEX($T$5:$T$8,$AW57)-($I57-DateToday+15))/(INDEX($T$5:$T$8,$AW57+1)-INDEX($T$5:$T$8,$AW57))))</f>
        <v>1985669376.65656</v>
      </c>
      <c r="BB57" s="468" t="n">
        <f aca="false">IF($AW57="",BB56^2/BB55,INDEX(Y$5:Y$8,$AW57)^((INDEX($T$5:$T$8,$AW57+1)-($I57-DateToday+15))/(INDEX($T$5:$T$8,$AW57+1)-INDEX($T$5:$T$8,$AW57)))/INDEX(Y$5:Y$8,$AW57+1)^((INDEX($T$5:$T$8,$AW57)-($I57-DateToday+15))/(INDEX($T$5:$T$8,$AW57+1)-INDEX($T$5:$T$8,$AW57))))</f>
        <v>38074041231.8531</v>
      </c>
      <c r="BC57" s="468" t="n">
        <f aca="false">IF($AW57="",BC56^2/BC55,INDEX(Z$5:Z$8,$AW57)^((INDEX($T$5:$T$8,$AW57+1)-($I57-DateToday+15))/(INDEX($T$5:$T$8,$AW57+1)-INDEX($T$5:$T$8,$AW57)))/INDEX(Z$5:Z$8,$AW57+1)^((INDEX($T$5:$T$8,$AW57)-($I57-DateToday+15))/(INDEX($T$5:$T$8,$AW57+1)-INDEX($T$5:$T$8,$AW57))))</f>
        <v>221834805652.78</v>
      </c>
      <c r="BD57" s="535" t="n">
        <f aca="false">IF(OR(DateStart&gt;=I58,DateEnd&lt;I57),0,IF(VolumeOverrideFlag,V57,Volume))</f>
        <v>0</v>
      </c>
      <c r="BE57" s="536" t="n">
        <f aca="false">IF(OR(DateStart2&gt;=I58,DateEnd2&lt;I57),0,IF(VolumeOverrideFlag,V57,VolumeSwaption))</f>
        <v>0</v>
      </c>
      <c r="BF57" s="537" t="n">
        <f aca="false">YEAR(I57)</f>
        <v>2003</v>
      </c>
      <c r="BG57" s="538" t="n">
        <f aca="false">MONTH(I57)</f>
        <v>10</v>
      </c>
      <c r="BH57" s="539" t="n">
        <f aca="false">AD57-DateToday+1</f>
        <v>-8045</v>
      </c>
      <c r="BI57" s="540" t="n">
        <f aca="false">(I57-DateToday+1)/365.25</f>
        <v>-21.9849418206708</v>
      </c>
      <c r="BJ57" s="541" t="n">
        <f aca="false">BI57+(BL57-BI57)*CHOOSE(Underlying,AJ57/AI57,AM57/AL57)</f>
        <v>-21.9349462845579</v>
      </c>
      <c r="BK57" s="541" t="n">
        <f aca="false">BJ57+1/365.25</f>
        <v>-21.9322084337708</v>
      </c>
      <c r="BL57" s="541" t="n">
        <f aca="false">(I58-DateToday)/365.25</f>
        <v>-21.9028062970568</v>
      </c>
      <c r="BM57" s="542" t="e">
        <f aca="false">MAX(BI57-(BJ57-BI57)*(S58^2/O58^2-1),0)</f>
        <v>#DIV/0!</v>
      </c>
      <c r="BN57" s="541" t="e">
        <f aca="false">MAX(BL57+(BL57-BK57)*(S59^2/O59^2-1),0)</f>
        <v>#DIV/0!</v>
      </c>
      <c r="BO57" s="530" t="n">
        <f aca="false">CHOOSE(Underlying,AI57,AL57)</f>
        <v>23</v>
      </c>
      <c r="BP57" s="529" t="n">
        <f aca="false">CHOOSE(Underlying,AJ57,AM57)</f>
        <v>14</v>
      </c>
      <c r="BQ57" s="529" t="n">
        <f aca="false">CHOOSE(Underlying,AK57,AN57)</f>
        <v>9</v>
      </c>
      <c r="BR57" s="463" t="str">
        <f aca="false">IF(BD57,IF(Underlying=1,X57,Z57)+UnderlyingPriceAsian-SwapPriceCurve,"")</f>
        <v/>
      </c>
      <c r="BS57" s="463" t="str">
        <f aca="false">IF(BD57,Strike1/BR57-1,"")</f>
        <v/>
      </c>
      <c r="BT57" s="464" t="str">
        <f aca="false">IF(BD57,Strike2/BR57-1,"")</f>
        <v/>
      </c>
      <c r="BU57" s="465" t="str">
        <f aca="false">IF(BD57,IF(Underlying=1,L58,R58)+UnderlyingPriceAsian-SwapPriceCurve,"")</f>
        <v/>
      </c>
      <c r="BV57" s="465" t="str">
        <f aca="false">IF(BD57,IF(Underlying=1,L59,R59)+UnderlyingPriceAsian-SwapPriceCurve,"")</f>
        <v/>
      </c>
      <c r="BW57" s="466" t="str">
        <f aca="false">IF(BD57,IF(Underlying=1,O58,AT58),"")</f>
        <v/>
      </c>
      <c r="BX57" s="467" t="str">
        <f aca="false">IF(BD57,IF(Underlying=1,O59,AT59),"")</f>
        <v/>
      </c>
      <c r="BY57" s="466" t="str">
        <f aca="false">IF(BD57,IF(BS57&gt;0,IF(BS57&gt;0.2,BC57-BB57,IF(BS57&gt;0.1,BB57-BA57,BA57)),IF(BS57&lt;-0.2,AX57-AY57,IF(BS57&lt;-0.1,AY57-AZ57,AZ57))),"")</f>
        <v/>
      </c>
      <c r="BZ57" s="467" t="str">
        <f aca="false">IF(BD57,IF(BT57&gt;0,IF(BT57&gt;0.2,BC57-BB57,IF(BT57&gt;0.1,BB57-BA57,BA57)),IF(BT57&lt;-0.2,AX57-AY57,IF(BT57&lt;-0.1,AY57-AZ57,AZ57))),"")</f>
        <v/>
      </c>
      <c r="CA57" s="468" t="str">
        <f aca="false">IF($BD57,$BW57+IF(VolSkewFlag=1,IF(BS57&gt;0,$BA57*MIN(BS57/10%,1)+($BB57-$BA57)*MAX(0,MIN(BS57/10%-1,1))+($BC57-$BB57)*MAX(0,BS57/10%-2),$AZ57*MIN(-BS57/10%,1)+($AY57-$AZ57)*MAX(0,MIN(-BS57/10%-1,1))+($AX57-$AY57)*MAX(0,-BS57/10%-2)),0),"")</f>
        <v/>
      </c>
      <c r="CB57" s="468" t="str">
        <f aca="false">IF($BD57,$BX57+IF(VolSkewFlag=1,IF(BS57&gt;0,$BA57*MIN(BS57/10%,1)+($BB57-$BA57)*MAX(0,MIN(BS57/10%-1,1))+($BC57-$BB57)*MAX(0,BS57/10%-2),$AZ57*MIN(-BS57/10%,1)+($AY57-$AZ57)*MAX(0,MIN(-BS57/10%-1,1))+($AX57-$AY57)*MAX(0,-BS57/10%-2)),0),"")</f>
        <v/>
      </c>
      <c r="CC57" s="468" t="str">
        <f aca="false">IF($BD57,$BW57+IF(VolSkewFlag=1,IF(BT57&gt;0,$BA57*MIN(BT57/10%,1)+($BB57-$BA57)*MAX(0,MIN(BT57/10%-1,1))+($BC57-$BB57)*MAX(0,BT57/10%-2),$AZ57*MIN(-BT57/10%,1)+($AY57-$AZ57)*MAX(0,MIN(-BT57/10%-1,1))+($AX57-$AY57)*MAX(0,-BT57/10%-2)),0),"")</f>
        <v/>
      </c>
      <c r="CD57" s="468" t="str">
        <f aca="false">IF($BD57,$BX57+IF(VolSkewFlag=1,IF(BT57&gt;0,$BA57*MIN(BT57/10%,1)+($BB57-$BA57)*MAX(0,MIN(BT57/10%-1,1))+($BC57-$BB57)*MAX(0,BT57/10%-2),$AZ57*MIN(-BT57/10%,1)+($AY57-$AZ57)*MAX(0,MIN(-BT57/10%-1,1))+($AX57-$AY57)*MAX(0,-BT57/10%-2)),0),"")</f>
        <v/>
      </c>
      <c r="CE57" s="469" t="n">
        <v>1</v>
      </c>
      <c r="CF57" s="470" t="n">
        <f aca="false">IF(BD57,xCrudeAPO(BU57,BV57,CA57,CB57,S58,S59,BI57,BL57,BP57,BQ57,0,Strike1,AO57,CE57,0,BL57,IF(OptControl=4,0,1),0,1),0)</f>
        <v>0</v>
      </c>
      <c r="CG57" s="470" t="n">
        <f aca="false">IF(BD57,xCrudeAPO(BU57,BV57,CA57,CB57,S58,S59,BI57,BL57,BP57,BQ57,0,Strike1,AO57,CE57,0,BL57,IF(OptControl=4,0,1),1,1)+xCrudeAPO(BU57,BV57,CA57,CB57,S58,S59,BI57,BL57,BP57,BQ57,0,Strike1,AO57,CE57,0,BL57,IF(OptControl=4,0,1),1,2)+IF(OR(VolSkewFlag=2,ABS(BS57)&lt;0.0001),0,IF(BS57&gt;0,-1,1)*CH57*Strike1/BR57^2*BY57/10%),0)</f>
        <v>0</v>
      </c>
      <c r="CH57" s="470" t="n">
        <f aca="false">IF(BD57,(xCrudeAPO(BU57,BV57,CA57,CB57,S58,S59,BI57,BL57,BP57,BQ57,0,Strike1,AO57,CE57,0,BL57,IF(OptControl=4,0,1),3,1)+xCrudeAPO(BU57,BV57,CA57,CB57,S58,S59,BI57,BL57,BP57,BQ57,0,Strike1,AO57,CE57,0,BL57,IF(OptControl=4,0,1),3,2))/100,0)</f>
        <v>0</v>
      </c>
      <c r="CI57" s="470" t="n">
        <f aca="false">IF(BD57,xCrudeAPO(BU57,BV57,CA57,CB57,S58,S59,BI57-DaysForThetaCalculation/365.25,BL57-DaysForThetaCalculation/365.25,BP57,BQ57,0,Strike1,AO57,CE57,0,BL57,IF(OptControl=4,0,1),0,1)-xCrudeAPO(BU57,BV57,CA57,CB57,S58,S59,BI57,BL57,BP57,BQ57,0,Strike1,AO57,CE57,0,BL57,IF(OptControl=4,0,1),0,1),0)</f>
        <v>0</v>
      </c>
      <c r="CJ57" s="471" t="n">
        <f aca="false">IF(BD57,xCrudeAPO(BU57,BV57,CC57,CD57,S58,S59,BI57,BL57,BP57,BQ57,0,Strike2,AO57,CE57,0,BL57,IF(OptControl=3,1,0),0,1),0)</f>
        <v>0</v>
      </c>
      <c r="CK57" s="470" t="n">
        <f aca="false">IF(BD57,xCrudeAPO(BU57,BV57,CC57,CD57,S58,S59,BI57,BL57,BP57,BQ57,0,Strike2,AO57,CE57,0,BL57,IF(OptControl=3,1,0),1,1)+xCrudeAPO(BU57,BV57,CC57,CD57,S58,S59,BI57,BL57,BP57,BQ57,0,Strike2,AO57,CE57,0,BL57,IF(OptControl=3,1,0),1,2)+IF(OR(VolSkewFlag=2,ABS(BT57)&lt;0.0001),0,IF(BT57&gt;0,-1,1)*CL57*Strike2/BR57^2*BZ57/10%),0)</f>
        <v>0</v>
      </c>
      <c r="CL57" s="470" t="n">
        <f aca="false">IF(BD57,(xCrudeAPO(BU57,BV57,CC57,CD57,S58,S59,BI57,BL57,BP57,BQ57,0,Strike2,AO57,CE57,0,BL57,IF(OptControl=3,1,0),3,1)+xCrudeAPO(BU57,BV57,CC57,CD57,S58,S59,BI57,BL57,BP57,BQ57,0,Strike2,AO57,CE57,0,BL57,IF(OptControl=3,1,0),3,2))/100,0)</f>
        <v>0</v>
      </c>
      <c r="CM57" s="472" t="n">
        <f aca="false">IF(BD57,xCrudeAPO(BU57,BV57,CC57,CD57,S58,S59,BI57-DaysForThetaCalculation/365.25,BL57-DaysForThetaCalculation/365.25,BP57,BQ57,0,Strike2,AO57,CE57,0,BL57,IF(OptControl=3,1,0),0,1)-xCrudeAPO(BU57,BV57,CC57,CD57,S58,S59,BI57,BL57,BP57,BQ57,0,Strike2,AO57,CE57,0,BL57,IF(OptControl=3,1,0),0,1),0)</f>
        <v>0</v>
      </c>
      <c r="CN57" s="3"/>
      <c r="CO57" s="543" t="str">
        <f aca="false">IF(BD57,CHOOSE(Underlying,AD57,AF57)-DateToday+1,"")</f>
        <v/>
      </c>
      <c r="CP57" s="582" t="str">
        <f aca="false">IF(BD57,CHOOSE(Underlying,L57,R57),"")</f>
        <v/>
      </c>
      <c r="CQ57" s="544" t="str">
        <f aca="false">IF(BD57,Strike1/CP57-1,"")</f>
        <v/>
      </c>
      <c r="CR57" s="544" t="str">
        <f aca="false">IF(BD57,Strike2/CP57-1,"")</f>
        <v/>
      </c>
      <c r="CS57" s="544" t="str">
        <f aca="false">IF(BD57,IF(CQ57&gt;0,IF(CQ57&gt;0.2,BC56-BB56,IF(CQ57&gt;0.1,BB56-BA56,BA56)),IF(CQ57&lt;-0.2,AX56-AY56,IF(CQ57&lt;-0.1,AY56-AZ56,AZ56))),"")</f>
        <v/>
      </c>
      <c r="CT57" s="544" t="str">
        <f aca="false">IF(BD57,IF(CR57&gt;0,IF(CR57&gt;0.2,BC56-BB56,IF(CR57&gt;0.1,BB56-BA56,BA56)),IF(CR57&lt;-0.2,AX56-AY56,IF(CR57&lt;-0.1,AY56-AZ56,AZ56))),"")</f>
        <v/>
      </c>
      <c r="CU57" s="545" t="str">
        <f aca="false">IF(BD57,CHOOSE(Underlying,O57,AT57),"")</f>
        <v/>
      </c>
      <c r="CV57" s="545" t="str">
        <f aca="false">IF(BD57,CU57+IF(VolSkewFlag=1,IF(CQ57&gt;0,BA56*MIN(CQ57/10%,1)+(BB56-BA56)*MAX(0,MIN(CQ57/10%-1,1))+(BC56-BB56)*MAX(0,CQ57/10%-2),AZ56*MIN(-CQ57/10%,1)+(AY56-AZ56)*MAX(0,MIN(-CQ57/10%-1,1))+(AX56-AY56)*MAX(0,-CQ57/10%-2)),0),"")</f>
        <v/>
      </c>
      <c r="CW57" s="545" t="str">
        <f aca="false">IF(BD57,CU57+IF(VolSkewFlag=1,IF(CR57&gt;0,BA56*MIN(CR57/10%,1)+(BB56-BA56)*MAX(0,MIN(CR57/10%-1,1))+(BC56-BB56)*MAX(0,CR57/10%-2),AZ56*MIN(-CR57/10%,1)+(AY56-AZ56)*MAX(0,MIN(-CR57/10%-1,1))+(AX56-AY56)*MAX(0,-CR57/10%-2)),0),"")</f>
        <v/>
      </c>
      <c r="CX57" s="470" t="n">
        <f aca="false">IF(BD57,EURO(CP57,Strike1,AO57,AO57,CV57,CO57,IF(OptControl=4,0,1),0),0)</f>
        <v>0</v>
      </c>
      <c r="CY57" s="470" t="n">
        <f aca="false">IF(BD57,EURO(CP57,Strike1,AO57,AO57,CV57,CO57,IF(OptControl=4,0,1),1)+IF(OR(VolSkewFlag=2,ABS(CQ57)&lt;0.0001),0,IF(CQ57&gt;0,-1,1)*CZ57*100*Strike1/CP57^2*CS57/10%),0)</f>
        <v>0</v>
      </c>
      <c r="CZ57" s="470" t="n">
        <f aca="false">IF(BD57,EURO(CP57,Strike1,AO57,AO57,CV57,CO57,IF(OptControl=4,0,1),3)/100,0)</f>
        <v>0</v>
      </c>
      <c r="DA57" s="470" t="n">
        <f aca="false">IF(BD57,EURO(CP57,Strike1,AO57,AO57,CV57,CO57,IF(OptControl=4,0,1),0)-EURO(CP57,Strike1,AO57,AO57,CV57,CO57-1,IF(OptControl=4,0,1),0),0)</f>
        <v>0</v>
      </c>
      <c r="DB57" s="470" t="n">
        <f aca="false">IF(BD57,EURO(CP57,Strike2,AO57,AO57,CW57,CO57,IF(OptControl=3,1,0),0),0)</f>
        <v>0</v>
      </c>
      <c r="DC57" s="470" t="n">
        <f aca="false">IF(BD57,EURO(CP57,Strike2,AO57,AO57,CW57,CO57,IF(OptControl=3,1,0),1)+IF(OR(VolSkewFlag=2,ABS(CR57)&lt;0.0001),0,IF(CR57&gt;0,-1,1)*DD57*100*Strike2/CP57^2*CT57/10%),0)</f>
        <v>0</v>
      </c>
      <c r="DD57" s="470" t="n">
        <f aca="false">IF(BD57,EURO(CP57,Strike2,AO57,AO57,CW57,CO57,IF(OptControl=3,1,0),3)/100,0)</f>
        <v>0</v>
      </c>
      <c r="DE57" s="472" t="n">
        <f aca="false">IF(BD57,EURO(CP57,Strike2,AO57,AO57,CW57,CO57,IF(OptControl=3,1,0),0)-EURO(CP57,Strike2,AO57,AO57,CW57,CO57-1,IF(OptControl=3,1,0),0),0)</f>
        <v>0</v>
      </c>
      <c r="DG57" s="481" t="n">
        <f aca="false">EOMONTH(DG56,0)+1</f>
        <v>46813</v>
      </c>
      <c r="DH57" s="478" t="n">
        <v>18.87</v>
      </c>
      <c r="DI57" s="479" t="n">
        <v>18.8033333333333</v>
      </c>
      <c r="DJ57" s="480" t="n">
        <f aca="false">DG57</f>
        <v>46813</v>
      </c>
      <c r="DK57" s="478" t="n">
        <v>17.7650229043166</v>
      </c>
      <c r="DL57" s="479" t="n">
        <v>17.7298333333333</v>
      </c>
      <c r="DM57" s="481" t="n">
        <f aca="false">DG57</f>
        <v>46813</v>
      </c>
      <c r="DN57" s="482" t="n">
        <f aca="false">DK57+BrentPhyBrentSpread</f>
        <v>17.8150229043166</v>
      </c>
      <c r="DO57" s="481" t="n">
        <f aca="false">DG57</f>
        <v>46813</v>
      </c>
      <c r="DP57" s="483" t="n">
        <f aca="false">DL57+DQ57</f>
        <v>17.7298333333333</v>
      </c>
      <c r="DQ57" s="546" t="n">
        <v>0</v>
      </c>
      <c r="DR57" s="480" t="n">
        <f aca="false">DG57</f>
        <v>46813</v>
      </c>
      <c r="DS57" s="485" t="n">
        <v>0.212175316367228</v>
      </c>
      <c r="DT57" s="486" t="n">
        <v>0.21060492387109</v>
      </c>
      <c r="DU57" s="480" t="n">
        <f aca="false">DG57</f>
        <v>46813</v>
      </c>
      <c r="DV57" s="485" t="n">
        <v>0.212175316367228</v>
      </c>
      <c r="DW57" s="486" t="n">
        <v>0.21060492387109</v>
      </c>
      <c r="DX57" s="481" t="n">
        <f aca="false">DG57</f>
        <v>46813</v>
      </c>
      <c r="DY57" s="486" t="n">
        <v>0.350000000001164</v>
      </c>
      <c r="DZ57" s="481" t="n">
        <f aca="false">DR57</f>
        <v>46813</v>
      </c>
      <c r="EA57" s="486" t="n">
        <f aca="false">DT57</f>
        <v>0.21060492387109</v>
      </c>
      <c r="EB57" s="195"/>
      <c r="EC57" s="547" t="str">
        <f aca="false">IF(BD57,IF(Underlying=1,AS57,AU57),"")</f>
        <v/>
      </c>
      <c r="ED57" s="548" t="str">
        <f aca="false">IF($BD57,$EC57+IF(VolSkewFlag=1,IF(BS57&gt;0,$BA57*MIN(BS57/10%,1)+($BB57-$BA57)*MAX(0,MIN(BS57/10%-1,1))+($BC57-$BB57)*MAX(0,BS57/10%-2),$AZ57*MIN(-BS57/10%,1)+($AY57-$AZ57)*MAX(0,MIN(-BS57/10%-1,1))+($AX57-$AY57)*MAX(0,-BS57/10%-2)),0),"")</f>
        <v/>
      </c>
      <c r="EE57" s="549" t="str">
        <f aca="false">IF($BD57,$EC57+IF(VolSkewFlag=1,IF(BT57&gt;0,$BA57*MIN(BT57/10%,1)+($BB57-$BA57)*MAX(0,MIN(BT57/10%-1,1))+($BC57-$BB57)*MAX(0,BT57/10%-2),$AZ57*MIN(-BT57/10%,1)+($AY57-$AZ57)*MAX(0,MIN(-BT57/10%-1,1))+($AX57-$AY57)*MAX(0,-BT57/10%-2)),0),"")</f>
        <v/>
      </c>
      <c r="EF57" s="550" t="n">
        <f aca="false">IF(BD57,xASN(BR57,Strike1,AO57,ED57,0,BO57,0,BI57,BL57,IF(OptControl=4,0,1),0),0)</f>
        <v>0</v>
      </c>
      <c r="EG57" s="551" t="n">
        <f aca="false">IF(BD57,xASN(BR57,Strike2,AO57,EE57,0,BO57,0,BI57,BL57,IF(OptControl=3,1,0),0),0)</f>
        <v>0</v>
      </c>
      <c r="EL57" s="1"/>
      <c r="EM57" s="195"/>
      <c r="EN57" s="556" t="n">
        <v>40179</v>
      </c>
      <c r="EO57" s="557" t="n">
        <v>43459</v>
      </c>
      <c r="EP57" s="195"/>
      <c r="EQ57" s="407" t="s">
        <v>283</v>
      </c>
      <c r="ES57" s="587" t="n">
        <v>38</v>
      </c>
      <c r="ET57" s="559" t="n">
        <f aca="false">BH57/365.25</f>
        <v>-22.0260095824778</v>
      </c>
      <c r="EU57" s="560" t="n">
        <f aca="false">O57^2*ET57</f>
        <v>-0</v>
      </c>
      <c r="EV57" s="588" t="e">
        <f aca="false">SQRT(SUM(FK57:ID57)/ET57)</f>
        <v>#VALUE!</v>
      </c>
      <c r="EW57" s="589" t="str">
        <f aca="false">IF(OR(DateStart2&gt;I56,DateEnd2&lt;I55),"",IF(DateStart2&lt;I56,AK55/AI55*AP55*BE55*SwaptionNumOfMonths/$D$33,0)+IF(DateEnd2&gt;I55,AJ56/AI56*AP56*BE56*SwaptionNumOfMonths/$D$33,0))</f>
        <v/>
      </c>
      <c r="EX57" s="590" t="str">
        <f aca="false">IF(EW57="","",SQRT(SUM(FK362:ID362)/SwaptionYearsToExp))</f>
        <v/>
      </c>
      <c r="EY57" s="129" t="n">
        <v>0</v>
      </c>
      <c r="EZ57" s="591" t="str">
        <f aca="false">IF(OR(EW57="",EW58=""),"",SQRT(SUM(INDEX(FK57:ID57,SwaptionFirstMonthPosition+1):INDEX(FK57:ID57,FJ57))/SUM(INDEX($FK$15:$ID$15,SwaptionFirstMonthPosition+1):INDEX($FK$15:$ID$15,FJ57))))</f>
        <v/>
      </c>
      <c r="FA57" s="592" t="str">
        <f aca="false">IF(OR(EW57="",EW56=""),"",SQRT(SUM(INDEX(FK57:ID57,SwaptionFirstMonthPosition+1):INDEX(FK57:ID57,FJ57-1))/SUM(INDEX($FK$15:$ID$15,SwaptionFirstMonthPosition+1):INDEX($FK$15:$ID$15,FJ57-1))))</f>
        <v/>
      </c>
      <c r="FB57" s="593" t="str">
        <f aca="false">IF(BE57,2/3*EZ58+1/3*FA59,"")</f>
        <v/>
      </c>
      <c r="FC57" s="596" t="str">
        <f aca="false">IF(BE57,(I58+I57-1)/2-DateToday,"")</f>
        <v/>
      </c>
      <c r="FD57" s="483" t="str">
        <f aca="false">IF(BE57,CHOOSE(Underlying,X57,Z57)+SwaptionUnderlyingPrice-$D$26,"")</f>
        <v/>
      </c>
      <c r="FE57" s="483" t="str">
        <f aca="false">IF(BE57,CollartionFloor/FD57-1,"")</f>
        <v/>
      </c>
      <c r="FF57" s="483" t="str">
        <f aca="false">IF(BE57,CollartionCap/FD57-1,"")</f>
        <v/>
      </c>
      <c r="FG57" s="485" t="str">
        <f aca="false">IF(BE57,IF(VolSkewFlag=1,IF(FE57&gt;0,$BA57*MIN(FE57/10%,1)+($BB57-$BA57)*MAX(0,MIN(FE57/10%-1,1))+($BC57-$BB57)*MAX(0,FE57/10%-2),$AZ57*MIN(-FE57/10%,1)+($AY57-$AZ57)*MAX(0,MIN(-FE57/10%-1,1))+($AX57-$AY57)*MAX(0,-FE57/10%-2)),0),"")</f>
        <v/>
      </c>
      <c r="FH57" s="486" t="str">
        <f aca="false">IF(BE57,IF(VolSkewFlag=1,IF(FF57&gt;0,$BA57*MIN(FF57/10%,1)+($BB57-$BA57)*MAX(0,MIN(FF57/10%-1,1))+($BC57-$BB57)*MAX(0,FF57/10%-2),$AZ57*MIN(-FF57/10%,1)+($AY57-$AZ57)*MAX(0,MIN(-FF57/10%-1,1))+($AX57-$AY57)*MAX(0,-FF57/10%-2)),0),"")</f>
        <v/>
      </c>
      <c r="FI57" s="129"/>
      <c r="FJ57" s="571" t="n">
        <v>38</v>
      </c>
      <c r="FK57" s="150" t="n">
        <f aca="false">IF(FK$19&gt;$FJ57,"",MAX(0,IF(FK$19=$FJ57,$S57^2*FK$15,FK56*INDEX($T$20:$T$91,$FJ57-FK$19)^2/INDEX($U$20:$U$91,$FJ57-FK$19))))</f>
        <v>0</v>
      </c>
      <c r="FL57" s="150" t="n">
        <f aca="false">IF(FL$19&gt;$FJ57,"",MAX(0,IF(FL$19=$FJ57,$S57^2*FL$15,FL56*INDEX($T$20:$T$91,$FJ57-FL$19)^2/INDEX($U$20:$U$91,$FJ57-FL$19))))</f>
        <v>0</v>
      </c>
      <c r="FM57" s="150" t="n">
        <f aca="false">IF(FM$19&gt;$FJ57,"",MAX(0,IF(FM$19=$FJ57,$S57^2*FM$15,FM56*INDEX($T$20:$T$91,$FJ57-FM$19)^2/INDEX($U$20:$U$91,$FJ57-FM$19))))</f>
        <v>0.0025632240998103</v>
      </c>
      <c r="FN57" s="150" t="n">
        <f aca="false">IF(FN$19&gt;$FJ57,"",MAX(0,IF(FN$19=$FJ57,$S57^2*FN$15,FN56*INDEX($T$20:$T$91,$FJ57-FN$19)^2/INDEX($U$20:$U$91,$FJ57-FN$19))))</f>
        <v>0.00215974740181723</v>
      </c>
      <c r="FO57" s="150" t="n">
        <f aca="false">IF(FO$19&gt;$FJ57,"",MAX(0,IF(FO$19=$FJ57,$S57^2*FO$15,FO56*INDEX($T$20:$T$91,$FJ57-FO$19)^2/INDEX($U$20:$U$91,$FJ57-FO$19))))</f>
        <v>0.00224933001381909</v>
      </c>
      <c r="FP57" s="150" t="n">
        <f aca="false">IF(FP$19&gt;$FJ57,"",MAX(0,IF(FP$19=$FJ57,$S57^2*FP$15,FP56*INDEX($T$20:$T$91,$FJ57-FP$19)^2/INDEX($U$20:$U$91,$FJ57-FP$19))))</f>
        <v>0.00249621762198076</v>
      </c>
      <c r="FQ57" s="150" t="n">
        <f aca="false">IF(FQ$19&gt;$FJ57,"",MAX(0,IF(FQ$19=$FJ57,$S57^2*FQ$15,FQ56*INDEX($T$20:$T$91,$FJ57-FQ$19)^2/INDEX($U$20:$U$91,$FJ57-FQ$19))))</f>
        <v>0.00202448676060146</v>
      </c>
      <c r="FR57" s="150" t="n">
        <f aca="false">IF(FR$19&gt;$FJ57,"",MAX(0,IF(FR$19=$FJ57,$S57^2*FR$15,FR56*INDEX($T$20:$T$91,$FJ57-FR$19)^2/INDEX($U$20:$U$91,$FJ57-FR$19))))</f>
        <v>0.00207418309497735</v>
      </c>
      <c r="FS57" s="150" t="n">
        <f aca="false">IF(FS$19&gt;$FJ57,"",MAX(0,IF(FS$19=$FJ57,$S57^2*FS$15,FS56*INDEX($T$20:$T$91,$FJ57-FS$19)^2/INDEX($U$20:$U$91,$FJ57-FS$19))))</f>
        <v>0.00234304929866046</v>
      </c>
      <c r="FT57" s="150" t="n">
        <f aca="false">IF(FT$19&gt;$FJ57,"",MAX(0,IF(FT$19=$FJ57,$S57^2*FT$15,FT56*INDEX($T$20:$T$91,$FJ57-FT$19)^2/INDEX($U$20:$U$91,$FJ57-FT$19))))</f>
        <v>0.0021204373507765</v>
      </c>
      <c r="FU57" s="150" t="n">
        <f aca="false">IF(FU$19&gt;$FJ57,"",MAX(0,IF(FU$19=$FJ57,$S57^2*FU$15,FU56*INDEX($T$20:$T$91,$FJ57-FU$19)^2/INDEX($U$20:$U$91,$FJ57-FU$19))))</f>
        <v>0.00204518523425417</v>
      </c>
      <c r="FV57" s="150" t="n">
        <f aca="false">IF(FV$19&gt;$FJ57,"",MAX(0,IF(FV$19=$FJ57,$S57^2*FV$15,FV56*INDEX($T$20:$T$91,$FJ57-FV$19)^2/INDEX($U$20:$U$91,$FJ57-FV$19))))</f>
        <v>0.00225605941760907</v>
      </c>
      <c r="FW57" s="150" t="n">
        <f aca="false">IF(FW$19&gt;$FJ57,"",MAX(0,IF(FW$19=$FJ57,$S57^2*FW$15,FW56*INDEX($T$20:$T$91,$FJ57-FW$19)^2/INDEX($U$20:$U$91,$FJ57-FW$19))))</f>
        <v>0.00211796013844694</v>
      </c>
      <c r="FX57" s="150" t="n">
        <f aca="false">IF(FX$19&gt;$FJ57,"",MAX(0,IF(FX$19=$FJ57,$S57^2*FX$15,FX56*INDEX($T$20:$T$91,$FJ57-FX$19)^2/INDEX($U$20:$U$91,$FJ57-FX$19))))</f>
        <v>0.00226573978333381</v>
      </c>
      <c r="FY57" s="150" t="n">
        <f aca="false">IF(FY$19&gt;$FJ57,"",MAX(0,IF(FY$19=$FJ57,$S57^2*FY$15,FY56*INDEX($T$20:$T$91,$FJ57-FY$19)^2/INDEX($U$20:$U$91,$FJ57-FY$19))))</f>
        <v>0.00213346414436727</v>
      </c>
      <c r="FZ57" s="150" t="n">
        <f aca="false">IF(FZ$19&gt;$FJ57,"",MAX(0,IF(FZ$19=$FJ57,$S57^2*FZ$15,FZ56*INDEX($T$20:$T$91,$FJ57-FZ$19)^2/INDEX($U$20:$U$91,$FJ57-FZ$19))))</f>
        <v>0.00200294931238171</v>
      </c>
      <c r="GA57" s="150" t="n">
        <f aca="false">IF(GA$19&gt;$FJ57,"",MAX(0,IF(GA$19=$FJ57,$S57^2*GA$15,GA56*INDEX($T$20:$T$91,$FJ57-GA$19)^2/INDEX($U$20:$U$91,$FJ57-GA$19))))</f>
        <v>0.0021619967851924</v>
      </c>
      <c r="GB57" s="150" t="n">
        <f aca="false">IF(GB$19&gt;$FJ57,"",MAX(0,IF(GB$19=$FJ57,$S57^2*GB$15,GB56*INDEX($T$20:$T$91,$FJ57-GB$19)^2/INDEX($U$20:$U$91,$FJ57-GB$19))))</f>
        <v>0.00239993221416796</v>
      </c>
      <c r="GC57" s="150" t="n">
        <f aca="false">IF(GC$19&gt;$FJ57,"",MAX(0,IF(GC$19=$FJ57,$S57^2*GC$15,GC56*INDEX($T$20:$T$91,$FJ57-GC$19)^2/INDEX($U$20:$U$91,$FJ57-GC$19))))</f>
        <v>0.00213227686879178</v>
      </c>
      <c r="GD57" s="150" t="n">
        <f aca="false">IF(GD$19&gt;$FJ57,"",MAX(0,IF(GD$19=$FJ57,$S57^2*GD$15,GD56*INDEX($T$20:$T$91,$FJ57-GD$19)^2/INDEX($U$20:$U$91,$FJ57-GD$19))))</f>
        <v>0.00216032240983163</v>
      </c>
      <c r="GE57" s="150" t="n">
        <f aca="false">IF(GE$19&gt;$FJ57,"",MAX(0,IF(GE$19=$FJ57,$S57^2*GE$15,GE56*INDEX($T$20:$T$91,$FJ57-GE$19)^2/INDEX($U$20:$U$91,$FJ57-GE$19))))</f>
        <v>0.00249663933277422</v>
      </c>
      <c r="GF57" s="150" t="n">
        <f aca="false">IF(GF$19&gt;$FJ57,"",MAX(0,IF(GF$19=$FJ57,$S57^2*GF$15,GF56*INDEX($T$20:$T$91,$FJ57-GF$19)^2/INDEX($U$20:$U$91,$FJ57-GF$19))))</f>
        <v>0.00223444090754193</v>
      </c>
      <c r="GG57" s="150" t="n">
        <f aca="false">IF(GG$19&gt;$FJ57,"",MAX(0,IF(GG$19=$FJ57,$S57^2*GG$15,GG56*INDEX($T$20:$T$91,$FJ57-GG$19)^2/INDEX($U$20:$U$91,$FJ57-GG$19))))</f>
        <v>0.00251913927182923</v>
      </c>
      <c r="GH57" s="150" t="n">
        <f aca="false">IF(GH$19&gt;$FJ57,"",MAX(0,IF(GH$19=$FJ57,$S57^2*GH$15,GH56*INDEX($T$20:$T$91,$FJ57-GH$19)^2/INDEX($U$20:$U$91,$FJ57-GH$19))))</f>
        <v>0.00242208724645773</v>
      </c>
      <c r="GI57" s="150" t="n">
        <f aca="false">IF(GI$19&gt;$FJ57,"",MAX(0,IF(GI$19=$FJ57,$S57^2*GI$15,GI56*INDEX($T$20:$T$91,$FJ57-GI$19)^2/INDEX($U$20:$U$91,$FJ57-GI$19))))</f>
        <v>0.00241181937457453</v>
      </c>
      <c r="GJ57" s="150" t="n">
        <f aca="false">IF(GJ$19&gt;$FJ57,"",MAX(0,IF(GJ$19=$FJ57,$S57^2*GJ$15,GJ56*INDEX($T$20:$T$91,$FJ57-GJ$19)^2/INDEX($U$20:$U$91,$FJ57-GJ$19))))</f>
        <v>0.00284170963752871</v>
      </c>
      <c r="GK57" s="150" t="n">
        <f aca="false">IF(GK$19&gt;$FJ57,"",MAX(0,IF(GK$19=$FJ57,$S57^2*GK$15,GK56*INDEX($T$20:$T$91,$FJ57-GK$19)^2/INDEX($U$20:$U$91,$FJ57-GK$19))))</f>
        <v>0.0026911432947296</v>
      </c>
      <c r="GL57" s="150" t="n">
        <f aca="false">IF(GL$19&gt;$FJ57,"",MAX(0,IF(GL$19=$FJ57,$S57^2*GL$15,GL56*INDEX($T$20:$T$91,$FJ57-GL$19)^2/INDEX($U$20:$U$91,$FJ57-GL$19))))</f>
        <v>0.00272933733228433</v>
      </c>
      <c r="GM57" s="150" t="n">
        <f aca="false">IF(GM$19&gt;$FJ57,"",MAX(0,IF(GM$19=$FJ57,$S57^2*GM$15,GM56*INDEX($T$20:$T$91,$FJ57-GM$19)^2/INDEX($U$20:$U$91,$FJ57-GM$19))))</f>
        <v>0.00308680095670093</v>
      </c>
      <c r="GN57" s="150" t="n">
        <f aca="false">IF(GN$19&gt;$FJ57,"",MAX(0,IF(GN$19=$FJ57,$S57^2*GN$15,GN56*INDEX($T$20:$T$91,$FJ57-GN$19)^2/INDEX($U$20:$U$91,$FJ57-GN$19))))</f>
        <v>0.00329834108082809</v>
      </c>
      <c r="GO57" s="150" t="n">
        <f aca="false">IF(GO$19&gt;$FJ57,"",MAX(0,IF(GO$19=$FJ57,$S57^2*GO$15,GO56*INDEX($T$20:$T$91,$FJ57-GO$19)^2/INDEX($U$20:$U$91,$FJ57-GO$19))))</f>
        <v>0.00356585695857691</v>
      </c>
      <c r="GP57" s="150" t="n">
        <f aca="false">IF(GP$19&gt;$FJ57,"",MAX(0,IF(GP$19=$FJ57,$S57^2*GP$15,GP56*INDEX($T$20:$T$91,$FJ57-GP$19)^2/INDEX($U$20:$U$91,$FJ57-GP$19))))</f>
        <v>0.00353058822106098</v>
      </c>
      <c r="GQ57" s="150" t="n">
        <f aca="false">IF(GQ$19&gt;$FJ57,"",MAX(0,IF(GQ$19=$FJ57,$S57^2*GQ$15,GQ56*INDEX($T$20:$T$91,$FJ57-GQ$19)^2/INDEX($U$20:$U$91,$FJ57-GQ$19))))</f>
        <v>0.00435595399183053</v>
      </c>
      <c r="GR57" s="150" t="n">
        <f aca="false">IF(GR$19&gt;$FJ57,"",MAX(0,IF(GR$19=$FJ57,$S57^2*GR$15,GR56*INDEX($T$20:$T$91,$FJ57-GR$19)^2/INDEX($U$20:$U$91,$FJ57-GR$19))))</f>
        <v>0.00479053797640266</v>
      </c>
      <c r="GS57" s="150" t="n">
        <f aca="false">IF(GS$19&gt;$FJ57,"",MAX(0,IF(GS$19=$FJ57,$S57^2*GS$15,GS56*INDEX($T$20:$T$91,$FJ57-GS$19)^2/INDEX($U$20:$U$91,$FJ57-GS$19))))</f>
        <v>0.00575882418057892</v>
      </c>
      <c r="GT57" s="150" t="n">
        <f aca="false">IF(GT$19&gt;$FJ57,"",MAX(0,IF(GT$19=$FJ57,$S57^2*GT$15,GT56*INDEX($T$20:$T$91,$FJ57-GT$19)^2/INDEX($U$20:$U$91,$FJ57-GT$19))))</f>
        <v>0.00666813213045754</v>
      </c>
      <c r="GU57" s="150" t="n">
        <f aca="false">IF(GU$19&gt;$FJ57,"",MAX(0,IF(GU$19=$FJ57,$S57^2*GU$15,GU56*INDEX($T$20:$T$91,$FJ57-GU$19)^2/INDEX($U$20:$U$91,$FJ57-GU$19))))</f>
        <v>0.00852855016504798</v>
      </c>
      <c r="GV57" s="150" t="n">
        <f aca="false">IF(GV$19&gt;$FJ57,"",MAX(0,IF(GV$19=$FJ57,$S57^2*GV$15,GV56*INDEX($T$20:$T$91,$FJ57-GV$19)^2/INDEX($U$20:$U$91,$FJ57-GV$19))))</f>
        <v>0.0109996670132915</v>
      </c>
      <c r="GW57" s="150" t="str">
        <f aca="false">IF(GW$19&gt;$FJ57,"",MAX(0,IF(GW$19=$FJ57,$S57^2*GW$15,GW56*INDEX($T$20:$T$91,$FJ57-GW$19)^2/INDEX($U$20:$U$91,$FJ57-GW$19))))</f>
        <v/>
      </c>
      <c r="GX57" s="150" t="str">
        <f aca="false">IF(GX$19&gt;$FJ57,"",MAX(0,IF(GX$19=$FJ57,$S57^2*GX$15,GX56*INDEX($T$20:$T$91,$FJ57-GX$19)^2/INDEX($U$20:$U$91,$FJ57-GX$19))))</f>
        <v/>
      </c>
      <c r="GY57" s="150" t="str">
        <f aca="false">IF(GY$19&gt;$FJ57,"",MAX(0,IF(GY$19=$FJ57,$S57^2*GY$15,GY56*INDEX($T$20:$T$91,$FJ57-GY$19)^2/INDEX($U$20:$U$91,$FJ57-GY$19))))</f>
        <v/>
      </c>
      <c r="GZ57" s="150" t="str">
        <f aca="false">IF(GZ$19&gt;$FJ57,"",MAX(0,IF(GZ$19=$FJ57,$S57^2*GZ$15,GZ56*INDEX($T$20:$T$91,$FJ57-GZ$19)^2/INDEX($U$20:$U$91,$FJ57-GZ$19))))</f>
        <v/>
      </c>
      <c r="HA57" s="150" t="str">
        <f aca="false">IF(HA$19&gt;$FJ57,"",MAX(0,IF(HA$19=$FJ57,$S57^2*HA$15,HA56*INDEX($T$20:$T$91,$FJ57-HA$19)^2/INDEX($U$20:$U$91,$FJ57-HA$19))))</f>
        <v/>
      </c>
      <c r="HB57" s="150" t="str">
        <f aca="false">IF(HB$19&gt;$FJ57,"",MAX(0,IF(HB$19=$FJ57,$S57^2*HB$15,HB56*INDEX($T$20:$T$91,$FJ57-HB$19)^2/INDEX($U$20:$U$91,$FJ57-HB$19))))</f>
        <v/>
      </c>
      <c r="HC57" s="150" t="str">
        <f aca="false">IF(HC$19&gt;$FJ57,"",MAX(0,IF(HC$19=$FJ57,$S57^2*HC$15,HC56*INDEX($T$20:$T$91,$FJ57-HC$19)^2/INDEX($U$20:$U$91,$FJ57-HC$19))))</f>
        <v/>
      </c>
      <c r="HD57" s="150" t="str">
        <f aca="false">IF(HD$19&gt;$FJ57,"",MAX(0,IF(HD$19=$FJ57,$S57^2*HD$15,HD56*INDEX($T$20:$T$91,$FJ57-HD$19)^2/INDEX($U$20:$U$91,$FJ57-HD$19))))</f>
        <v/>
      </c>
      <c r="HE57" s="150" t="str">
        <f aca="false">IF(HE$19&gt;$FJ57,"",MAX(0,IF(HE$19=$FJ57,$S57^2*HE$15,HE56*INDEX($T$20:$T$91,$FJ57-HE$19)^2/INDEX($U$20:$U$91,$FJ57-HE$19))))</f>
        <v/>
      </c>
      <c r="HF57" s="150" t="str">
        <f aca="false">IF(HF$19&gt;$FJ57,"",MAX(0,IF(HF$19=$FJ57,$S57^2*HF$15,HF56*INDEX($T$20:$T$91,$FJ57-HF$19)^2/INDEX($U$20:$U$91,$FJ57-HF$19))))</f>
        <v/>
      </c>
      <c r="HG57" s="150" t="str">
        <f aca="false">IF(HG$19&gt;$FJ57,"",MAX(0,IF(HG$19=$FJ57,$S57^2*HG$15,HG56*INDEX($T$20:$T$91,$FJ57-HG$19)^2/INDEX($U$20:$U$91,$FJ57-HG$19))))</f>
        <v/>
      </c>
      <c r="HH57" s="150" t="str">
        <f aca="false">IF(HH$19&gt;$FJ57,"",MAX(0,IF(HH$19=$FJ57,$S57^2*HH$15,HH56*INDEX($T$20:$T$91,$FJ57-HH$19)^2/INDEX($U$20:$U$91,$FJ57-HH$19))))</f>
        <v/>
      </c>
      <c r="HI57" s="150" t="str">
        <f aca="false">IF(HI$19&gt;$FJ57,"",MAX(0,IF(HI$19=$FJ57,$S57^2*HI$15,HI56*INDEX($T$20:$T$91,$FJ57-HI$19)^2/INDEX($U$20:$U$91,$FJ57-HI$19))))</f>
        <v/>
      </c>
      <c r="HJ57" s="150" t="str">
        <f aca="false">IF(HJ$19&gt;$FJ57,"",MAX(0,IF(HJ$19=$FJ57,$S57^2*HJ$15,HJ56*INDEX($T$20:$T$91,$FJ57-HJ$19)^2/INDEX($U$20:$U$91,$FJ57-HJ$19))))</f>
        <v/>
      </c>
      <c r="HK57" s="150" t="str">
        <f aca="false">IF(HK$19&gt;$FJ57,"",MAX(0,IF(HK$19=$FJ57,$S57^2*HK$15,HK56*INDEX($T$20:$T$91,$FJ57-HK$19)^2/INDEX($U$20:$U$91,$FJ57-HK$19))))</f>
        <v/>
      </c>
      <c r="HL57" s="150" t="str">
        <f aca="false">IF(HL$19&gt;$FJ57,"",MAX(0,IF(HL$19=$FJ57,$S57^2*HL$15,HL56*INDEX($T$20:$T$91,$FJ57-HL$19)^2/INDEX($U$20:$U$91,$FJ57-HL$19))))</f>
        <v/>
      </c>
      <c r="HM57" s="150" t="str">
        <f aca="false">IF(HM$19&gt;$FJ57,"",MAX(0,IF(HM$19=$FJ57,$S57^2*HM$15,HM56*INDEX($T$20:$T$91,$FJ57-HM$19)^2/INDEX($U$20:$U$91,$FJ57-HM$19))))</f>
        <v/>
      </c>
      <c r="HN57" s="150" t="str">
        <f aca="false">IF(HN$19&gt;$FJ57,"",MAX(0,IF(HN$19=$FJ57,$S57^2*HN$15,HN56*INDEX($T$20:$T$91,$FJ57-HN$19)^2/INDEX($U$20:$U$91,$FJ57-HN$19))))</f>
        <v/>
      </c>
      <c r="HO57" s="150" t="str">
        <f aca="false">IF(HO$19&gt;$FJ57,"",MAX(0,IF(HO$19=$FJ57,$S57^2*HO$15,HO56*INDEX($T$20:$T$91,$FJ57-HO$19)^2/INDEX($U$20:$U$91,$FJ57-HO$19))))</f>
        <v/>
      </c>
      <c r="HP57" s="150" t="str">
        <f aca="false">IF(HP$19&gt;$FJ57,"",MAX(0,IF(HP$19=$FJ57,$S57^2*HP$15,HP56*INDEX($T$20:$T$91,$FJ57-HP$19)^2/INDEX($U$20:$U$91,$FJ57-HP$19))))</f>
        <v/>
      </c>
      <c r="HQ57" s="150" t="str">
        <f aca="false">IF(HQ$19&gt;$FJ57,"",MAX(0,IF(HQ$19=$FJ57,$S57^2*HQ$15,HQ56*INDEX($T$20:$T$91,$FJ57-HQ$19)^2/INDEX($U$20:$U$91,$FJ57-HQ$19))))</f>
        <v/>
      </c>
      <c r="HR57" s="150" t="str">
        <f aca="false">IF(HR$19&gt;$FJ57,"",MAX(0,IF(HR$19=$FJ57,$S57^2*HR$15,HR56*INDEX($T$20:$T$91,$FJ57-HR$19)^2/INDEX($U$20:$U$91,$FJ57-HR$19))))</f>
        <v/>
      </c>
      <c r="HS57" s="150" t="str">
        <f aca="false">IF(HS$19&gt;$FJ57,"",MAX(0,IF(HS$19=$FJ57,$S57^2*HS$15,HS56*INDEX($T$20:$T$91,$FJ57-HS$19)^2/INDEX($U$20:$U$91,$FJ57-HS$19))))</f>
        <v/>
      </c>
      <c r="HT57" s="150" t="str">
        <f aca="false">IF(HT$19&gt;$FJ57,"",MAX(0,IF(HT$19=$FJ57,$S57^2*HT$15,HT56*INDEX($T$20:$T$91,$FJ57-HT$19)^2/INDEX($U$20:$U$91,$FJ57-HT$19))))</f>
        <v/>
      </c>
      <c r="HU57" s="150" t="str">
        <f aca="false">IF(HU$19&gt;$FJ57,"",MAX(0,IF(HU$19=$FJ57,$S57^2*HU$15,HU56*INDEX($T$20:$T$91,$FJ57-HU$19)^2/INDEX($U$20:$U$91,$FJ57-HU$19))))</f>
        <v/>
      </c>
      <c r="HV57" s="150" t="str">
        <f aca="false">IF(HV$19&gt;$FJ57,"",MAX(0,IF(HV$19=$FJ57,$S57^2*HV$15,HV56*INDEX($T$20:$T$91,$FJ57-HV$19)^2/INDEX($U$20:$U$91,$FJ57-HV$19))))</f>
        <v/>
      </c>
      <c r="HW57" s="150" t="str">
        <f aca="false">IF(HW$19&gt;$FJ57,"",MAX(0,IF(HW$19=$FJ57,$S57^2*HW$15,HW56*INDEX($T$20:$T$91,$FJ57-HW$19)^2/INDEX($U$20:$U$91,$FJ57-HW$19))))</f>
        <v/>
      </c>
      <c r="HX57" s="150" t="str">
        <f aca="false">IF(HX$19&gt;$FJ57,"",MAX(0,IF(HX$19=$FJ57,$S57^2*HX$15,HX56*INDEX($T$20:$T$91,$FJ57-HX$19)^2/INDEX($U$20:$U$91,$FJ57-HX$19))))</f>
        <v/>
      </c>
      <c r="HY57" s="150" t="str">
        <f aca="false">IF(HY$19&gt;$FJ57,"",MAX(0,IF(HY$19=$FJ57,$S57^2*HY$15,HY56*INDEX($T$20:$T$91,$FJ57-HY$19)^2/INDEX($U$20:$U$91,$FJ57-HY$19))))</f>
        <v/>
      </c>
      <c r="HZ57" s="150" t="str">
        <f aca="false">IF(HZ$19&gt;$FJ57,"",MAX(0,IF(HZ$19=$FJ57,$S57^2*HZ$15,HZ56*INDEX($T$20:$T$91,$FJ57-HZ$19)^2/INDEX($U$20:$U$91,$FJ57-HZ$19))))</f>
        <v/>
      </c>
      <c r="IA57" s="150" t="str">
        <f aca="false">IF(IA$19&gt;$FJ57,"",MAX(0,IF(IA$19=$FJ57,$S57^2*IA$15,IA56*INDEX($T$20:$T$91,$FJ57-IA$19)^2/INDEX($U$20:$U$91,$FJ57-IA$19))))</f>
        <v/>
      </c>
      <c r="IB57" s="150" t="str">
        <f aca="false">IF(IB$19&gt;$FJ57,"",MAX(0,IF(IB$19=$FJ57,$S57^2*IB$15,IB56*INDEX($T$20:$T$91,$FJ57-IB$19)^2/INDEX($U$20:$U$91,$FJ57-IB$19))))</f>
        <v/>
      </c>
      <c r="IC57" s="150" t="str">
        <f aca="false">IF(IC$19&gt;$FJ57,"",MAX(0,IF(IC$19=$FJ57,$S57^2*IC$15,IC56*INDEX($T$20:$T$91,$FJ57-IC$19)^2/INDEX($U$20:$U$91,$FJ57-IC$19))))</f>
        <v/>
      </c>
      <c r="ID57" s="572" t="str">
        <f aca="false">IF(ID$19&gt;$FJ57,"",MAX(0,IF(ID$19=$FJ57,$S57^2*ID$15,ID56*INDEX($T$20:$T$91,$FJ57-ID$19)^2/INDEX($U$20:$U$91,$FJ57-ID$19))))</f>
        <v/>
      </c>
      <c r="IE57" s="129"/>
    </row>
    <row r="58" customFormat="false" ht="12.75" hidden="false" customHeight="false" outlineLevel="0" collapsed="false">
      <c r="A58" s="219"/>
      <c r="B58" s="219"/>
      <c r="C58" s="219"/>
      <c r="D58" s="219"/>
      <c r="E58" s="219"/>
      <c r="F58" s="219"/>
      <c r="G58" s="219"/>
      <c r="H58" s="219" t="n">
        <f aca="false">VLOOKUP(I58,$EJ$20:$EL$54,3)</f>
        <v>0</v>
      </c>
      <c r="I58" s="511" t="n">
        <f aca="false">EOMONTH(I57,0)+1</f>
        <v>37926</v>
      </c>
      <c r="J58" s="512"/>
      <c r="K58" s="513" t="s">
        <v>250</v>
      </c>
      <c r="L58" s="514" t="e">
        <f aca="false">IF(ISNUMBER(K58),J58+K58/100,IF(K58="extra",L57+VLOOKUP(BF58,PriceSpreadTable,2)/12,IF(K58="inter",interpolateprices($K$19:$L$200,ROW(K58)-ROW(FirstPricingMonth)+1),interpolatechanges($J$19:$K$200,ROW(K58)-ROW(FirstPricingMonth)+1))))</f>
        <v>#VALUE!</v>
      </c>
      <c r="M58" s="515"/>
      <c r="N58" s="516" t="n">
        <v>0</v>
      </c>
      <c r="O58" s="515" t="n">
        <f aca="false">M58+N58</f>
        <v>0</v>
      </c>
      <c r="P58" s="512"/>
      <c r="Q58" s="513" t="s">
        <v>280</v>
      </c>
      <c r="R58" s="512" t="e">
        <f aca="false">IF(ISNUMBER(Q58),P58+Q58/100,IF(Q58="extra",(Z56*AL56-R57*AM56)/AN56,IF(Q58="inter",interpolateprices($Q$19:$R$260,ROW(Q58)-ROW(FirstPricingMonth)+1),interpolatechanges($P$19:$Q$260,ROW(Q58)-ROW(FirstPricingMonth)+1))))</f>
        <v>#VALUE!</v>
      </c>
      <c r="S58" s="597" t="n">
        <f aca="false">S$19+(S57-S$19)*S$18</f>
        <v>0.36000095351326</v>
      </c>
      <c r="T58" s="575" t="n">
        <f aca="false">SQRT((1-(1-T57^2/U57)*T$18)*U58)</f>
        <v>0.999707946502382</v>
      </c>
      <c r="U58" s="576" t="n">
        <f aca="false">1-(1-U57)*U$18</f>
        <v>0.999999731824396</v>
      </c>
      <c r="V58" s="521" t="n">
        <v>0</v>
      </c>
      <c r="W58" s="577" t="n">
        <f aca="false">(J59*AJ58+J60*AK58)/AI58</f>
        <v>0</v>
      </c>
      <c r="X58" s="578" t="e">
        <f aca="false">(L59*AJ58+L60*AK58)/AI58</f>
        <v>#VALUE!</v>
      </c>
      <c r="Y58" s="579" t="n">
        <f aca="false">IF(Q60="extra",W58-AA58,(P59*AM58+P60*AN58)/AL58)</f>
        <v>-1.1349</v>
      </c>
      <c r="Z58" s="579" t="e">
        <f aca="false">IF(Q60="extra",X58-AB58,(R59*AM58+R60*AN58)/AL58)</f>
        <v>#VALUE!</v>
      </c>
      <c r="AA58" s="523" t="n">
        <f aca="false">IF(Q60="extra",INDEX(BrentSeasonalityTable,INT((BG58-1)/3)+1)*VLOOKUP(MAX(BF58,$AB$4),PriceSpreadTable,3),W58-Y58)</f>
        <v>1.1349</v>
      </c>
      <c r="AB58" s="524" t="n">
        <f aca="false">IF(Q60="extra",INDEX(BrentSeasonalityTable,INT((BG58-1)/3)+1)*VLOOKUP(MAX(BF58,$AB$4),PriceSpreadTable,3),X58-Z58)</f>
        <v>1.1349</v>
      </c>
      <c r="AC58" s="525" t="n">
        <v>37914</v>
      </c>
      <c r="AD58" s="646" t="n">
        <v>37910</v>
      </c>
      <c r="AE58" s="646" t="n">
        <v>37909</v>
      </c>
      <c r="AF58" s="646" t="n">
        <v>37905</v>
      </c>
      <c r="AG58" s="438" t="s">
        <v>247</v>
      </c>
      <c r="AH58" s="439" t="s">
        <v>278</v>
      </c>
      <c r="AI58" s="528" t="n">
        <v>20</v>
      </c>
      <c r="AJ58" s="529" t="n">
        <v>14</v>
      </c>
      <c r="AK58" s="529" t="n">
        <v>6</v>
      </c>
      <c r="AL58" s="530" t="n">
        <v>20</v>
      </c>
      <c r="AM58" s="529" t="n">
        <v>10</v>
      </c>
      <c r="AN58" s="531" t="n">
        <v>10</v>
      </c>
      <c r="AO58" s="532"/>
      <c r="AP58" s="465" t="n">
        <f aca="false">(1+AO58/2)^(-2*BL58)</f>
        <v>1</v>
      </c>
      <c r="AQ58" s="532"/>
      <c r="AR58" s="465" t="n">
        <f aca="false">(1+AQ58/2)^(-2*BH58/365.25)</f>
        <v>1</v>
      </c>
      <c r="AS58" s="580" t="n">
        <f aca="false">(O59*AJ58+O60*AK58)/AI58</f>
        <v>0</v>
      </c>
      <c r="AT58" s="468" t="n">
        <f aca="false">O58*VLOOKUP(BF58,BrentVolTable,2)+VLOOKUP(BF58,BrentVolTable,3)</f>
        <v>0</v>
      </c>
      <c r="AU58" s="468" t="n">
        <f aca="false">(AT59*AM58+AT60*AN58)/AL58</f>
        <v>0</v>
      </c>
      <c r="AV58" s="595" t="n">
        <f aca="false">SQRT(MAX(0.000000000001,(O58^2*BH58-S58^2*(BH58-BH57))/BH57))</f>
        <v>0.0219837235567301</v>
      </c>
      <c r="AW58" s="451" t="n">
        <f aca="false">IF($I58-DateToday+15&gt;=$T$8,"",IF($I58-DateToday+15&lt;$T$5,1,MATCH($I58-DateToday+15,$T$5:$T$8)))</f>
        <v>1</v>
      </c>
      <c r="AX58" s="468" t="n">
        <f aca="false">IF($AW58="",AX57^2/AX56,INDEX(U$5:U$8,$AW58)^((INDEX($T$5:$T$8,$AW58+1)-($I58-DateToday+15))/(INDEX($T$5:$T$8,$AW58+1)-INDEX($T$5:$T$8,$AW58)))/INDEX(U$5:U$8,$AW58+1)^((INDEX($T$5:$T$8,$AW58)-($I58-DateToday+15))/(INDEX($T$5:$T$8,$AW58+1)-INDEX($T$5:$T$8,$AW58))))</f>
        <v>5.57192473376975</v>
      </c>
      <c r="AY58" s="468" t="n">
        <f aca="false">IF($AW58="",AY57^2/AY56,INDEX(V$5:V$8,$AW58)^((INDEX($T$5:$T$8,$AW58+1)-($I58-DateToday+15))/(INDEX($T$5:$T$8,$AW58+1)-INDEX($T$5:$T$8,$AW58)))/INDEX(V$5:V$8,$AW58+1)^((INDEX($T$5:$T$8,$AW58)-($I58-DateToday+15))/(INDEX($T$5:$T$8,$AW58+1)-INDEX($T$5:$T$8,$AW58))))</f>
        <v>1053.31418039179</v>
      </c>
      <c r="AZ58" s="468" t="n">
        <f aca="false">IF($AW58="",AZ57^2/AZ56,INDEX(W$5:W$8,$AW58)^((INDEX($T$5:$T$8,$AW58+1)-($I58-DateToday+15))/(INDEX($T$5:$T$8,$AW58+1)-INDEX($T$5:$T$8,$AW58)))/INDEX(W$5:W$8,$AW58+1)^((INDEX($T$5:$T$8,$AW58)-($I58-DateToday+15))/(INDEX($T$5:$T$8,$AW58+1)-INDEX($T$5:$T$8,$AW58))))</f>
        <v>30783938.8919082</v>
      </c>
      <c r="BA58" s="468" t="n">
        <f aca="false">IF($AW58="",BA57^2/BA56,INDEX(X$5:X$8,$AW58)^((INDEX($T$5:$T$8,$AW58+1)-($I58-DateToday+15))/(INDEX($T$5:$T$8,$AW58+1)-INDEX($T$5:$T$8,$AW58)))/INDEX(X$5:X$8,$AW58+1)^((INDEX($T$5:$T$8,$AW58)-($I58-DateToday+15))/(INDEX($T$5:$T$8,$AW58+1)-INDEX($T$5:$T$8,$AW58))))</f>
        <v>1786726984.52791</v>
      </c>
      <c r="BB58" s="468" t="n">
        <f aca="false">IF($AW58="",BB57^2/BB56,INDEX(Y$5:Y$8,$AW58)^((INDEX($T$5:$T$8,$AW58+1)-($I58-DateToday+15))/(INDEX($T$5:$T$8,$AW58+1)-INDEX($T$5:$T$8,$AW58)))/INDEX(Y$5:Y$8,$AW58+1)^((INDEX($T$5:$T$8,$AW58)-($I58-DateToday+15))/(INDEX($T$5:$T$8,$AW58+1)-INDEX($T$5:$T$8,$AW58))))</f>
        <v>33915725568.9308</v>
      </c>
      <c r="BC58" s="468" t="n">
        <f aca="false">IF($AW58="",BC57^2/BC56,INDEX(Z$5:Z$8,$AW58)^((INDEX($T$5:$T$8,$AW58+1)-($I58-DateToday+15))/(INDEX($T$5:$T$8,$AW58+1)-INDEX($T$5:$T$8,$AW58)))/INDEX(Z$5:Z$8,$AW58+1)^((INDEX($T$5:$T$8,$AW58)-($I58-DateToday+15))/(INDEX($T$5:$T$8,$AW58+1)-INDEX($T$5:$T$8,$AW58))))</f>
        <v>196459651716.85</v>
      </c>
      <c r="BD58" s="535" t="n">
        <f aca="false">IF(OR(DateStart&gt;=I59,DateEnd&lt;I58),0,IF(VolumeOverrideFlag,V58,Volume))</f>
        <v>0</v>
      </c>
      <c r="BE58" s="536" t="n">
        <f aca="false">IF(OR(DateStart2&gt;=I59,DateEnd2&lt;I58),0,IF(VolumeOverrideFlag,V58,VolumeSwaption))</f>
        <v>0</v>
      </c>
      <c r="BF58" s="537" t="n">
        <f aca="false">YEAR(I58)</f>
        <v>2003</v>
      </c>
      <c r="BG58" s="538" t="n">
        <f aca="false">MONTH(I58)</f>
        <v>11</v>
      </c>
      <c r="BH58" s="539" t="n">
        <f aca="false">AD58-DateToday+1</f>
        <v>-8015</v>
      </c>
      <c r="BI58" s="540" t="n">
        <f aca="false">(I58-DateToday+1)/365.25</f>
        <v>-21.9000684462697</v>
      </c>
      <c r="BJ58" s="541" t="n">
        <f aca="false">BI58+(BL58-BI58)*CHOOSE(Underlying,AJ58/AI58,AM58/AL58)</f>
        <v>-21.8444900752909</v>
      </c>
      <c r="BK58" s="541" t="n">
        <f aca="false">BJ58+1/365.25</f>
        <v>-21.8417522245038</v>
      </c>
      <c r="BL58" s="541" t="n">
        <f aca="false">(I59-DateToday)/365.25</f>
        <v>-21.8206707734429</v>
      </c>
      <c r="BM58" s="542" t="e">
        <f aca="false">MAX(BI58-(BJ58-BI58)*(S59^2/O59^2-1),0)</f>
        <v>#DIV/0!</v>
      </c>
      <c r="BN58" s="541" t="e">
        <f aca="false">MAX(BL58+(BL58-BK58)*(S60^2/O60^2-1),0)</f>
        <v>#DIV/0!</v>
      </c>
      <c r="BO58" s="530" t="n">
        <f aca="false">CHOOSE(Underlying,AI58,AL58)</f>
        <v>20</v>
      </c>
      <c r="BP58" s="529" t="n">
        <f aca="false">CHOOSE(Underlying,AJ58,AM58)</f>
        <v>14</v>
      </c>
      <c r="BQ58" s="529" t="n">
        <f aca="false">CHOOSE(Underlying,AK58,AN58)</f>
        <v>6</v>
      </c>
      <c r="BR58" s="463" t="str">
        <f aca="false">IF(BD58,IF(Underlying=1,X58,Z58)+UnderlyingPriceAsian-SwapPriceCurve,"")</f>
        <v/>
      </c>
      <c r="BS58" s="463" t="str">
        <f aca="false">IF(BD58,Strike1/BR58-1,"")</f>
        <v/>
      </c>
      <c r="BT58" s="464" t="str">
        <f aca="false">IF(BD58,Strike2/BR58-1,"")</f>
        <v/>
      </c>
      <c r="BU58" s="465" t="str">
        <f aca="false">IF(BD58,IF(Underlying=1,L59,R59)+UnderlyingPriceAsian-SwapPriceCurve,"")</f>
        <v/>
      </c>
      <c r="BV58" s="465" t="str">
        <f aca="false">IF(BD58,IF(Underlying=1,L60,R60)+UnderlyingPriceAsian-SwapPriceCurve,"")</f>
        <v/>
      </c>
      <c r="BW58" s="466" t="str">
        <f aca="false">IF(BD58,IF(Underlying=1,O59,AT59),"")</f>
        <v/>
      </c>
      <c r="BX58" s="467" t="str">
        <f aca="false">IF(BD58,IF(Underlying=1,O60,AT60),"")</f>
        <v/>
      </c>
      <c r="BY58" s="466" t="str">
        <f aca="false">IF(BD58,IF(BS58&gt;0,IF(BS58&gt;0.2,BC58-BB58,IF(BS58&gt;0.1,BB58-BA58,BA58)),IF(BS58&lt;-0.2,AX58-AY58,IF(BS58&lt;-0.1,AY58-AZ58,AZ58))),"")</f>
        <v/>
      </c>
      <c r="BZ58" s="467" t="str">
        <f aca="false">IF(BD58,IF(BT58&gt;0,IF(BT58&gt;0.2,BC58-BB58,IF(BT58&gt;0.1,BB58-BA58,BA58)),IF(BT58&lt;-0.2,AX58-AY58,IF(BT58&lt;-0.1,AY58-AZ58,AZ58))),"")</f>
        <v/>
      </c>
      <c r="CA58" s="468" t="str">
        <f aca="false">IF($BD58,$BW58+IF(VolSkewFlag=1,IF(BS58&gt;0,$BA58*MIN(BS58/10%,1)+($BB58-$BA58)*MAX(0,MIN(BS58/10%-1,1))+($BC58-$BB58)*MAX(0,BS58/10%-2),$AZ58*MIN(-BS58/10%,1)+($AY58-$AZ58)*MAX(0,MIN(-BS58/10%-1,1))+($AX58-$AY58)*MAX(0,-BS58/10%-2)),0),"")</f>
        <v/>
      </c>
      <c r="CB58" s="468" t="str">
        <f aca="false">IF($BD58,$BX58+IF(VolSkewFlag=1,IF(BS58&gt;0,$BA58*MIN(BS58/10%,1)+($BB58-$BA58)*MAX(0,MIN(BS58/10%-1,1))+($BC58-$BB58)*MAX(0,BS58/10%-2),$AZ58*MIN(-BS58/10%,1)+($AY58-$AZ58)*MAX(0,MIN(-BS58/10%-1,1))+($AX58-$AY58)*MAX(0,-BS58/10%-2)),0),"")</f>
        <v/>
      </c>
      <c r="CC58" s="468" t="str">
        <f aca="false">IF($BD58,$BW58+IF(VolSkewFlag=1,IF(BT58&gt;0,$BA58*MIN(BT58/10%,1)+($BB58-$BA58)*MAX(0,MIN(BT58/10%-1,1))+($BC58-$BB58)*MAX(0,BT58/10%-2),$AZ58*MIN(-BT58/10%,1)+($AY58-$AZ58)*MAX(0,MIN(-BT58/10%-1,1))+($AX58-$AY58)*MAX(0,-BT58/10%-2)),0),"")</f>
        <v/>
      </c>
      <c r="CD58" s="468" t="str">
        <f aca="false">IF($BD58,$BX58+IF(VolSkewFlag=1,IF(BT58&gt;0,$BA58*MIN(BT58/10%,1)+($BB58-$BA58)*MAX(0,MIN(BT58/10%-1,1))+($BC58-$BB58)*MAX(0,BT58/10%-2),$AZ58*MIN(-BT58/10%,1)+($AY58-$AZ58)*MAX(0,MIN(-BT58/10%-1,1))+($AX58-$AY58)*MAX(0,-BT58/10%-2)),0),"")</f>
        <v/>
      </c>
      <c r="CE58" s="469" t="n">
        <v>1</v>
      </c>
      <c r="CF58" s="470" t="n">
        <f aca="false">IF(BD58,xCrudeAPO(BU58,BV58,CA58,CB58,S59,S60,BI58,BL58,BP58,BQ58,0,Strike1,AO58,CE58,0,BL58,IF(OptControl=4,0,1),0,1),0)</f>
        <v>0</v>
      </c>
      <c r="CG58" s="470" t="n">
        <f aca="false">IF(BD58,xCrudeAPO(BU58,BV58,CA58,CB58,S59,S60,BI58,BL58,BP58,BQ58,0,Strike1,AO58,CE58,0,BL58,IF(OptControl=4,0,1),1,1)+xCrudeAPO(BU58,BV58,CA58,CB58,S59,S60,BI58,BL58,BP58,BQ58,0,Strike1,AO58,CE58,0,BL58,IF(OptControl=4,0,1),1,2)+IF(OR(VolSkewFlag=2,ABS(BS58)&lt;0.0001),0,IF(BS58&gt;0,-1,1)*CH58*Strike1/BR58^2*BY58/10%),0)</f>
        <v>0</v>
      </c>
      <c r="CH58" s="470" t="n">
        <f aca="false">IF(BD58,(xCrudeAPO(BU58,BV58,CA58,CB58,S59,S60,BI58,BL58,BP58,BQ58,0,Strike1,AO58,CE58,0,BL58,IF(OptControl=4,0,1),3,1)+xCrudeAPO(BU58,BV58,CA58,CB58,S59,S60,BI58,BL58,BP58,BQ58,0,Strike1,AO58,CE58,0,BL58,IF(OptControl=4,0,1),3,2))/100,0)</f>
        <v>0</v>
      </c>
      <c r="CI58" s="470" t="n">
        <f aca="false">IF(BD58,xCrudeAPO(BU58,BV58,CA58,CB58,S59,S60,BI58-DaysForThetaCalculation/365.25,BL58-DaysForThetaCalculation/365.25,BP58,BQ58,0,Strike1,AO58,CE58,0,BL58,IF(OptControl=4,0,1),0,1)-xCrudeAPO(BU58,BV58,CA58,CB58,S59,S60,BI58,BL58,BP58,BQ58,0,Strike1,AO58,CE58,0,BL58,IF(OptControl=4,0,1),0,1),0)</f>
        <v>0</v>
      </c>
      <c r="CJ58" s="471" t="n">
        <f aca="false">IF(BD58,xCrudeAPO(BU58,BV58,CC58,CD58,S59,S60,BI58,BL58,BP58,BQ58,0,Strike2,AO58,CE58,0,BL58,IF(OptControl=3,1,0),0,1),0)</f>
        <v>0</v>
      </c>
      <c r="CK58" s="470" t="n">
        <f aca="false">IF(BD58,xCrudeAPO(BU58,BV58,CC58,CD58,S59,S60,BI58,BL58,BP58,BQ58,0,Strike2,AO58,CE58,0,BL58,IF(OptControl=3,1,0),1,1)+xCrudeAPO(BU58,BV58,CC58,CD58,S59,S60,BI58,BL58,BP58,BQ58,0,Strike2,AO58,CE58,0,BL58,IF(OptControl=3,1,0),1,2)+IF(OR(VolSkewFlag=2,ABS(BT58)&lt;0.0001),0,IF(BT58&gt;0,-1,1)*CL58*Strike2/BR58^2*BZ58/10%),0)</f>
        <v>0</v>
      </c>
      <c r="CL58" s="470" t="n">
        <f aca="false">IF(BD58,(xCrudeAPO(BU58,BV58,CC58,CD58,S59,S60,BI58,BL58,BP58,BQ58,0,Strike2,AO58,CE58,0,BL58,IF(OptControl=3,1,0),3,1)+xCrudeAPO(BU58,BV58,CC58,CD58,S59,S60,BI58,BL58,BP58,BQ58,0,Strike2,AO58,CE58,0,BL58,IF(OptControl=3,1,0),3,2))/100,0)</f>
        <v>0</v>
      </c>
      <c r="CM58" s="472" t="n">
        <f aca="false">IF(BD58,xCrudeAPO(BU58,BV58,CC58,CD58,S59,S60,BI58-DaysForThetaCalculation/365.25,BL58-DaysForThetaCalculation/365.25,BP58,BQ58,0,Strike2,AO58,CE58,0,BL58,IF(OptControl=3,1,0),0,1)-xCrudeAPO(BU58,BV58,CC58,CD58,S59,S60,BI58,BL58,BP58,BQ58,0,Strike2,AO58,CE58,0,BL58,IF(OptControl=3,1,0),0,1),0)</f>
        <v>0</v>
      </c>
      <c r="CN58" s="3"/>
      <c r="CO58" s="543" t="str">
        <f aca="false">IF(BD58,CHOOSE(Underlying,AD58,AF58)-DateToday+1,"")</f>
        <v/>
      </c>
      <c r="CP58" s="582" t="str">
        <f aca="false">IF(BD58,CHOOSE(Underlying,L58,R58),"")</f>
        <v/>
      </c>
      <c r="CQ58" s="544" t="str">
        <f aca="false">IF(BD58,Strike1/CP58-1,"")</f>
        <v/>
      </c>
      <c r="CR58" s="544" t="str">
        <f aca="false">IF(BD58,Strike2/CP58-1,"")</f>
        <v/>
      </c>
      <c r="CS58" s="544" t="str">
        <f aca="false">IF(BD58,IF(CQ58&gt;0,IF(CQ58&gt;0.2,BC57-BB57,IF(CQ58&gt;0.1,BB57-BA57,BA57)),IF(CQ58&lt;-0.2,AX57-AY57,IF(CQ58&lt;-0.1,AY57-AZ57,AZ57))),"")</f>
        <v/>
      </c>
      <c r="CT58" s="544" t="str">
        <f aca="false">IF(BD58,IF(CR58&gt;0,IF(CR58&gt;0.2,BC57-BB57,IF(CR58&gt;0.1,BB57-BA57,BA57)),IF(CR58&lt;-0.2,AX57-AY57,IF(CR58&lt;-0.1,AY57-AZ57,AZ57))),"")</f>
        <v/>
      </c>
      <c r="CU58" s="545" t="str">
        <f aca="false">IF(BD58,CHOOSE(Underlying,O58,AT58),"")</f>
        <v/>
      </c>
      <c r="CV58" s="545" t="str">
        <f aca="false">IF(BD58,CU58+IF(VolSkewFlag=1,IF(CQ58&gt;0,BA57*MIN(CQ58/10%,1)+(BB57-BA57)*MAX(0,MIN(CQ58/10%-1,1))+(BC57-BB57)*MAX(0,CQ58/10%-2),AZ57*MIN(-CQ58/10%,1)+(AY57-AZ57)*MAX(0,MIN(-CQ58/10%-1,1))+(AX57-AY57)*MAX(0,-CQ58/10%-2)),0),"")</f>
        <v/>
      </c>
      <c r="CW58" s="545" t="str">
        <f aca="false">IF(BD58,CU58+IF(VolSkewFlag=1,IF(CR58&gt;0,BA57*MIN(CR58/10%,1)+(BB57-BA57)*MAX(0,MIN(CR58/10%-1,1))+(BC57-BB57)*MAX(0,CR58/10%-2),AZ57*MIN(-CR58/10%,1)+(AY57-AZ57)*MAX(0,MIN(-CR58/10%-1,1))+(AX57-AY57)*MAX(0,-CR58/10%-2)),0),"")</f>
        <v/>
      </c>
      <c r="CX58" s="470" t="n">
        <f aca="false">IF(BD58,EURO(CP58,Strike1,AO58,AO58,CV58,CO58,IF(OptControl=4,0,1),0),0)</f>
        <v>0</v>
      </c>
      <c r="CY58" s="470" t="n">
        <f aca="false">IF(BD58,EURO(CP58,Strike1,AO58,AO58,CV58,CO58,IF(OptControl=4,0,1),1)+IF(OR(VolSkewFlag=2,ABS(CQ58)&lt;0.0001),0,IF(CQ58&gt;0,-1,1)*CZ58*100*Strike1/CP58^2*CS58/10%),0)</f>
        <v>0</v>
      </c>
      <c r="CZ58" s="470" t="n">
        <f aca="false">IF(BD58,EURO(CP58,Strike1,AO58,AO58,CV58,CO58,IF(OptControl=4,0,1),3)/100,0)</f>
        <v>0</v>
      </c>
      <c r="DA58" s="470" t="n">
        <f aca="false">IF(BD58,EURO(CP58,Strike1,AO58,AO58,CV58,CO58,IF(OptControl=4,0,1),0)-EURO(CP58,Strike1,AO58,AO58,CV58,CO58-1,IF(OptControl=4,0,1),0),0)</f>
        <v>0</v>
      </c>
      <c r="DB58" s="470" t="n">
        <f aca="false">IF(BD58,EURO(CP58,Strike2,AO58,AO58,CW58,CO58,IF(OptControl=3,1,0),0),0)</f>
        <v>0</v>
      </c>
      <c r="DC58" s="470" t="n">
        <f aca="false">IF(BD58,EURO(CP58,Strike2,AO58,AO58,CW58,CO58,IF(OptControl=3,1,0),1)+IF(OR(VolSkewFlag=2,ABS(CR58)&lt;0.0001),0,IF(CR58&gt;0,-1,1)*DD58*100*Strike2/CP58^2*CT58/10%),0)</f>
        <v>0</v>
      </c>
      <c r="DD58" s="470" t="n">
        <f aca="false">IF(BD58,EURO(CP58,Strike2,AO58,AO58,CW58,CO58,IF(OptControl=3,1,0),3)/100,0)</f>
        <v>0</v>
      </c>
      <c r="DE58" s="472" t="n">
        <f aca="false">IF(BD58,EURO(CP58,Strike2,AO58,AO58,CW58,CO58,IF(OptControl=3,1,0),0)-EURO(CP58,Strike2,AO58,AO58,CW58,CO58-1,IF(OptControl=3,1,0),0),0)</f>
        <v>0</v>
      </c>
      <c r="DG58" s="481" t="n">
        <f aca="false">EOMONTH(DG57,0)+1</f>
        <v>46844</v>
      </c>
      <c r="DH58" s="478" t="n">
        <v>18.82</v>
      </c>
      <c r="DI58" s="479" t="n">
        <v>18.7518181818182</v>
      </c>
      <c r="DJ58" s="480" t="n">
        <f aca="false">DG58</f>
        <v>46844</v>
      </c>
      <c r="DK58" s="478" t="n">
        <v>17.7979770956834</v>
      </c>
      <c r="DL58" s="479" t="n">
        <v>17.5653181818182</v>
      </c>
      <c r="DM58" s="481" t="n">
        <f aca="false">DG58</f>
        <v>46844</v>
      </c>
      <c r="DN58" s="482" t="n">
        <f aca="false">DK58+BrentPhyBrentSpread</f>
        <v>17.8479770956834</v>
      </c>
      <c r="DO58" s="481" t="n">
        <f aca="false">DG58</f>
        <v>46844</v>
      </c>
      <c r="DP58" s="483" t="n">
        <f aca="false">DL58+DQ58</f>
        <v>17.5653181818182</v>
      </c>
      <c r="DQ58" s="546" t="n">
        <v>0</v>
      </c>
      <c r="DR58" s="480" t="n">
        <f aca="false">DG58</f>
        <v>46844</v>
      </c>
      <c r="DS58" s="485" t="n">
        <v>0.21094180138501</v>
      </c>
      <c r="DT58" s="486" t="n">
        <v>0.209485601378348</v>
      </c>
      <c r="DU58" s="480" t="n">
        <f aca="false">DG58</f>
        <v>46844</v>
      </c>
      <c r="DV58" s="485" t="n">
        <v>0.21094180138501</v>
      </c>
      <c r="DW58" s="486" t="n">
        <v>0.209485601378348</v>
      </c>
      <c r="DX58" s="481" t="n">
        <f aca="false">DG58</f>
        <v>46844</v>
      </c>
      <c r="DY58" s="486" t="n">
        <v>0.350000000000582</v>
      </c>
      <c r="DZ58" s="481" t="n">
        <f aca="false">DR58</f>
        <v>46844</v>
      </c>
      <c r="EA58" s="486" t="n">
        <f aca="false">DT58</f>
        <v>0.209485601378348</v>
      </c>
      <c r="EB58" s="195"/>
      <c r="EC58" s="547" t="str">
        <f aca="false">IF(BD58,IF(Underlying=1,AS58,AU58),"")</f>
        <v/>
      </c>
      <c r="ED58" s="548" t="str">
        <f aca="false">IF($BD58,$EC58+IF(VolSkewFlag=1,IF(BS58&gt;0,$BA58*MIN(BS58/10%,1)+($BB58-$BA58)*MAX(0,MIN(BS58/10%-1,1))+($BC58-$BB58)*MAX(0,BS58/10%-2),$AZ58*MIN(-BS58/10%,1)+($AY58-$AZ58)*MAX(0,MIN(-BS58/10%-1,1))+($AX58-$AY58)*MAX(0,-BS58/10%-2)),0),"")</f>
        <v/>
      </c>
      <c r="EE58" s="549" t="str">
        <f aca="false">IF($BD58,$EC58+IF(VolSkewFlag=1,IF(BT58&gt;0,$BA58*MIN(BT58/10%,1)+($BB58-$BA58)*MAX(0,MIN(BT58/10%-1,1))+($BC58-$BB58)*MAX(0,BT58/10%-2),$AZ58*MIN(-BT58/10%,1)+($AY58-$AZ58)*MAX(0,MIN(-BT58/10%-1,1))+($AX58-$AY58)*MAX(0,-BT58/10%-2)),0),"")</f>
        <v/>
      </c>
      <c r="EF58" s="550" t="n">
        <f aca="false">IF(BD58,xASN(BR58,Strike1,AO58,ED58,0,BO58,0,BI58,BL58,IF(OptControl=4,0,1),0),0)</f>
        <v>0</v>
      </c>
      <c r="EG58" s="551" t="n">
        <f aca="false">IF(BD58,xASN(BR58,Strike2,AO58,EE58,0,BO58,0,BI58,BL58,IF(OptControl=3,1,0),0),0)</f>
        <v>0</v>
      </c>
      <c r="EL58" s="1"/>
      <c r="EM58" s="195"/>
      <c r="EN58" s="556" t="n">
        <v>40363</v>
      </c>
      <c r="EO58" s="557" t="n">
        <v>43466</v>
      </c>
      <c r="EP58" s="195"/>
      <c r="EQ58" s="407" t="s">
        <v>284</v>
      </c>
      <c r="ES58" s="587" t="n">
        <v>39</v>
      </c>
      <c r="ET58" s="559" t="n">
        <f aca="false">BH58/365.25</f>
        <v>-21.9438740588638</v>
      </c>
      <c r="EU58" s="560" t="n">
        <f aca="false">O58^2*ET58</f>
        <v>-0</v>
      </c>
      <c r="EV58" s="588" t="e">
        <f aca="false">SQRT(SUM(FK58:ID58)/ET58)</f>
        <v>#VALUE!</v>
      </c>
      <c r="EW58" s="589" t="str">
        <f aca="false">IF(OR(DateStart2&gt;I57,DateEnd2&lt;I56),"",IF(DateStart2&lt;I57,AK56/AI56*AP56*BE56*SwaptionNumOfMonths/$D$33,0)+IF(DateEnd2&gt;I56,AJ57/AI57*AP57*BE57*SwaptionNumOfMonths/$D$33,0))</f>
        <v/>
      </c>
      <c r="EX58" s="590" t="str">
        <f aca="false">IF(EW58="","",SQRT(SUM(FK363:ID363)/SwaptionYearsToExp))</f>
        <v/>
      </c>
      <c r="EY58" s="129" t="n">
        <v>0</v>
      </c>
      <c r="EZ58" s="591" t="str">
        <f aca="false">IF(OR(EW58="",EW59=""),"",SQRT(SUM(INDEX(FK58:ID58,SwaptionFirstMonthPosition+1):INDEX(FK58:ID58,FJ58))/SUM(INDEX($FK$15:$ID$15,SwaptionFirstMonthPosition+1):INDEX($FK$15:$ID$15,FJ58))))</f>
        <v/>
      </c>
      <c r="FA58" s="592" t="str">
        <f aca="false">IF(OR(EW58="",EW57=""),"",SQRT(SUM(INDEX(FK58:ID58,SwaptionFirstMonthPosition+1):INDEX(FK58:ID58,FJ58-1))/SUM(INDEX($FK$15:$ID$15,SwaptionFirstMonthPosition+1):INDEX($FK$15:$ID$15,FJ58-1))))</f>
        <v/>
      </c>
      <c r="FB58" s="593" t="str">
        <f aca="false">IF(BE58,2/3*EZ59+1/3*FA60,"")</f>
        <v/>
      </c>
      <c r="FC58" s="596" t="str">
        <f aca="false">IF(BE58,(I59+I58-1)/2-DateToday,"")</f>
        <v/>
      </c>
      <c r="FD58" s="483" t="str">
        <f aca="false">IF(BE58,CHOOSE(Underlying,X58,Z58)+SwaptionUnderlyingPrice-$D$26,"")</f>
        <v/>
      </c>
      <c r="FE58" s="483" t="str">
        <f aca="false">IF(BE58,CollartionFloor/FD58-1,"")</f>
        <v/>
      </c>
      <c r="FF58" s="483" t="str">
        <f aca="false">IF(BE58,CollartionCap/FD58-1,"")</f>
        <v/>
      </c>
      <c r="FG58" s="485" t="str">
        <f aca="false">IF(BE58,IF(VolSkewFlag=1,IF(FE58&gt;0,$BA58*MIN(FE58/10%,1)+($BB58-$BA58)*MAX(0,MIN(FE58/10%-1,1))+($BC58-$BB58)*MAX(0,FE58/10%-2),$AZ58*MIN(-FE58/10%,1)+($AY58-$AZ58)*MAX(0,MIN(-FE58/10%-1,1))+($AX58-$AY58)*MAX(0,-FE58/10%-2)),0),"")</f>
        <v/>
      </c>
      <c r="FH58" s="486" t="str">
        <f aca="false">IF(BE58,IF(VolSkewFlag=1,IF(FF58&gt;0,$BA58*MIN(FF58/10%,1)+($BB58-$BA58)*MAX(0,MIN(FF58/10%-1,1))+($BC58-$BB58)*MAX(0,FF58/10%-2),$AZ58*MIN(-FF58/10%,1)+($AY58-$AZ58)*MAX(0,MIN(-FF58/10%-1,1))+($AX58-$AY58)*MAX(0,-FF58/10%-2)),0),"")</f>
        <v/>
      </c>
      <c r="FI58" s="129"/>
      <c r="FJ58" s="571" t="n">
        <v>39</v>
      </c>
      <c r="FK58" s="150" t="n">
        <f aca="false">IF(FK$19&gt;$FJ58,"",MAX(0,IF(FK$19=$FJ58,$S58^2*FK$15,FK57*INDEX($T$20:$T$91,$FJ58-FK$19)^2/INDEX($U$20:$U$91,$FJ58-FK$19))))</f>
        <v>0</v>
      </c>
      <c r="FL58" s="150" t="n">
        <f aca="false">IF(FL$19&gt;$FJ58,"",MAX(0,IF(FL$19=$FJ58,$S58^2*FL$15,FL57*INDEX($T$20:$T$91,$FJ58-FL$19)^2/INDEX($U$20:$U$91,$FJ58-FL$19))))</f>
        <v>0</v>
      </c>
      <c r="FM58" s="150" t="n">
        <f aca="false">IF(FM$19&gt;$FJ58,"",MAX(0,IF(FM$19=$FJ58,$S58^2*FM$15,FM57*INDEX($T$20:$T$91,$FJ58-FM$19)^2/INDEX($U$20:$U$91,$FJ58-FM$19))))</f>
        <v>0.00256083013443031</v>
      </c>
      <c r="FN58" s="150" t="n">
        <f aca="false">IF(FN$19&gt;$FJ58,"",MAX(0,IF(FN$19=$FJ58,$S58^2*FN$15,FN57*INDEX($T$20:$T$91,$FJ58-FN$19)^2/INDEX($U$20:$U$91,$FJ58-FN$19))))</f>
        <v>0.00215738818348956</v>
      </c>
      <c r="FO58" s="150" t="n">
        <f aca="false">IF(FO$19&gt;$FJ58,"",MAX(0,IF(FO$19=$FJ58,$S58^2*FO$15,FO57*INDEX($T$20:$T$91,$FJ58-FO$19)^2/INDEX($U$20:$U$91,$FJ58-FO$19))))</f>
        <v>0.00224645624229743</v>
      </c>
      <c r="FP58" s="150" t="n">
        <f aca="false">IF(FP$19&gt;$FJ58,"",MAX(0,IF(FP$19=$FJ58,$S58^2*FP$15,FP57*INDEX($T$20:$T$91,$FJ58-FP$19)^2/INDEX($U$20:$U$91,$FJ58-FP$19))))</f>
        <v>0.00249248756566752</v>
      </c>
      <c r="FQ58" s="150" t="n">
        <f aca="false">IF(FQ$19&gt;$FJ58,"",MAX(0,IF(FQ$19=$FJ58,$S58^2*FQ$15,FQ57*INDEX($T$20:$T$91,$FJ58-FQ$19)^2/INDEX($U$20:$U$91,$FJ58-FQ$19))))</f>
        <v>0.00202094856555636</v>
      </c>
      <c r="FR58" s="150" t="n">
        <f aca="false">IF(FR$19&gt;$FJ58,"",MAX(0,IF(FR$19=$FJ58,$S58^2*FR$15,FR57*INDEX($T$20:$T$91,$FJ58-FR$19)^2/INDEX($U$20:$U$91,$FJ58-FR$19))))</f>
        <v>0.00206994327121451</v>
      </c>
      <c r="FS58" s="150" t="n">
        <f aca="false">IF(FS$19&gt;$FJ58,"",MAX(0,IF(FS$19=$FJ58,$S58^2*FS$15,FS57*INDEX($T$20:$T$91,$FJ58-FS$19)^2/INDEX($U$20:$U$91,$FJ58-FS$19))))</f>
        <v>0.00233744764793789</v>
      </c>
      <c r="FT58" s="150" t="n">
        <f aca="false">IF(FT$19&gt;$FJ58,"",MAX(0,IF(FT$19=$FJ58,$S58^2*FT$15,FT57*INDEX($T$20:$T$91,$FJ58-FT$19)^2/INDEX($U$20:$U$91,$FJ58-FT$19))))</f>
        <v>0.00211450818039639</v>
      </c>
      <c r="FU58" s="150" t="n">
        <f aca="false">IF(FU$19&gt;$FJ58,"",MAX(0,IF(FU$19=$FJ58,$S58^2*FU$15,FU57*INDEX($T$20:$T$91,$FJ58-FU$19)^2/INDEX($U$20:$U$91,$FJ58-FU$19))))</f>
        <v>0.00203849663742481</v>
      </c>
      <c r="FV58" s="150" t="n">
        <f aca="false">IF(FV$19&gt;$FJ58,"",MAX(0,IF(FV$19=$FJ58,$S58^2*FV$15,FV57*INDEX($T$20:$T$91,$FJ58-FV$19)^2/INDEX($U$20:$U$91,$FJ58-FV$19))))</f>
        <v>0.00224742989464518</v>
      </c>
      <c r="FW58" s="150" t="n">
        <f aca="false">IF(FW$19&gt;$FJ58,"",MAX(0,IF(FW$19=$FJ58,$S58^2*FW$15,FW57*INDEX($T$20:$T$91,$FJ58-FW$19)^2/INDEX($U$20:$U$91,$FJ58-FW$19))))</f>
        <v>0.00210848494854803</v>
      </c>
      <c r="FX58" s="150" t="n">
        <f aca="false">IF(FX$19&gt;$FJ58,"",MAX(0,IF(FX$19=$FJ58,$S58^2*FX$15,FX57*INDEX($T$20:$T$91,$FJ58-FX$19)^2/INDEX($U$20:$U$91,$FJ58-FX$19))))</f>
        <v>0.00225388444217122</v>
      </c>
      <c r="FY58" s="150" t="n">
        <f aca="false">IF(FY$19&gt;$FJ58,"",MAX(0,IF(FY$19=$FJ58,$S58^2*FY$15,FY57*INDEX($T$20:$T$91,$FJ58-FY$19)^2/INDEX($U$20:$U$91,$FJ58-FY$19))))</f>
        <v>0.00212040774999699</v>
      </c>
      <c r="FZ58" s="150" t="n">
        <f aca="false">IF(FZ$19&gt;$FJ58,"",MAX(0,IF(FZ$19=$FJ58,$S58^2*FZ$15,FZ57*INDEX($T$20:$T$91,$FJ58-FZ$19)^2/INDEX($U$20:$U$91,$FJ58-FZ$19))))</f>
        <v>0.00198861285805723</v>
      </c>
      <c r="GA58" s="150" t="n">
        <f aca="false">IF(GA$19&gt;$FJ58,"",MAX(0,IF(GA$19=$FJ58,$S58^2*GA$15,GA57*INDEX($T$20:$T$91,$FJ58-GA$19)^2/INDEX($U$20:$U$91,$FJ58-GA$19))))</f>
        <v>0.00214389752907975</v>
      </c>
      <c r="GB58" s="150" t="n">
        <f aca="false">IF(GB$19&gt;$FJ58,"",MAX(0,IF(GB$19=$FJ58,$S58^2*GB$15,GB57*INDEX($T$20:$T$91,$FJ58-GB$19)^2/INDEX($U$20:$U$91,$FJ58-GB$19))))</f>
        <v>0.00237643380064226</v>
      </c>
      <c r="GC58" s="150" t="n">
        <f aca="false">IF(GC$19&gt;$FJ58,"",MAX(0,IF(GC$19=$FJ58,$S58^2*GC$15,GC57*INDEX($T$20:$T$91,$FJ58-GC$19)^2/INDEX($U$20:$U$91,$FJ58-GC$19))))</f>
        <v>0.00210785847755002</v>
      </c>
      <c r="GD58" s="150" t="n">
        <f aca="false">IF(GD$19&gt;$FJ58,"",MAX(0,IF(GD$19=$FJ58,$S58^2*GD$15,GD57*INDEX($T$20:$T$91,$FJ58-GD$19)^2/INDEX($U$20:$U$91,$FJ58-GD$19))))</f>
        <v>0.00213138724849247</v>
      </c>
      <c r="GE58" s="150" t="n">
        <f aca="false">IF(GE$19&gt;$FJ58,"",MAX(0,IF(GE$19=$FJ58,$S58^2*GE$15,GE57*INDEX($T$20:$T$91,$FJ58-GE$19)^2/INDEX($U$20:$U$91,$FJ58-GE$19))))</f>
        <v>0.00245752850291052</v>
      </c>
      <c r="GF58" s="150" t="n">
        <f aca="false">IF(GF$19&gt;$FJ58,"",MAX(0,IF(GF$19=$FJ58,$S58^2*GF$15,GF57*INDEX($T$20:$T$91,$FJ58-GF$19)^2/INDEX($U$20:$U$91,$FJ58-GF$19))))</f>
        <v>0.00219350127108901</v>
      </c>
      <c r="GG58" s="150" t="n">
        <f aca="false">IF(GG$19&gt;$FJ58,"",MAX(0,IF(GG$19=$FJ58,$S58^2*GG$15,GG57*INDEX($T$20:$T$91,$FJ58-GG$19)^2/INDEX($U$20:$U$91,$FJ58-GG$19))))</f>
        <v>0.0024651557552693</v>
      </c>
      <c r="GH58" s="150" t="n">
        <f aca="false">IF(GH$19&gt;$FJ58,"",MAX(0,IF(GH$19=$FJ58,$S58^2*GH$15,GH57*INDEX($T$20:$T$91,$FJ58-GH$19)^2/INDEX($U$20:$U$91,$FJ58-GH$19))))</f>
        <v>0.00236138110053614</v>
      </c>
      <c r="GI58" s="150" t="n">
        <f aca="false">IF(GI$19&gt;$FJ58,"",MAX(0,IF(GI$19=$FJ58,$S58^2*GI$15,GI57*INDEX($T$20:$T$91,$FJ58-GI$19)^2/INDEX($U$20:$U$91,$FJ58-GI$19))))</f>
        <v>0.00234111902787635</v>
      </c>
      <c r="GJ58" s="150" t="n">
        <f aca="false">IF(GJ$19&gt;$FJ58,"",MAX(0,IF(GJ$19=$FJ58,$S58^2*GJ$15,GJ57*INDEX($T$20:$T$91,$FJ58-GJ$19)^2/INDEX($U$20:$U$91,$FJ58-GJ$19))))</f>
        <v>0.00274428016545248</v>
      </c>
      <c r="GK58" s="150" t="n">
        <f aca="false">IF(GK$19&gt;$FJ58,"",MAX(0,IF(GK$19=$FJ58,$S58^2*GK$15,GK57*INDEX($T$20:$T$91,$FJ58-GK$19)^2/INDEX($U$20:$U$91,$FJ58-GK$19))))</f>
        <v>0.00258322840840572</v>
      </c>
      <c r="GL58" s="150" t="n">
        <f aca="false">IF(GL$19&gt;$FJ58,"",MAX(0,IF(GL$19=$FJ58,$S58^2*GL$15,GL57*INDEX($T$20:$T$91,$FJ58-GL$19)^2/INDEX($U$20:$U$91,$FJ58-GL$19))))</f>
        <v>0.00260132976760545</v>
      </c>
      <c r="GM58" s="150" t="n">
        <f aca="false">IF(GM$19&gt;$FJ58,"",MAX(0,IF(GM$19=$FJ58,$S58^2*GM$15,GM57*INDEX($T$20:$T$91,$FJ58-GM$19)^2/INDEX($U$20:$U$91,$FJ58-GM$19))))</f>
        <v>0.00291747601640478</v>
      </c>
      <c r="GN58" s="150" t="n">
        <f aca="false">IF(GN$19&gt;$FJ58,"",MAX(0,IF(GN$19=$FJ58,$S58^2*GN$15,GN57*INDEX($T$20:$T$91,$FJ58-GN$19)^2/INDEX($U$20:$U$91,$FJ58-GN$19))))</f>
        <v>0.00308672836829598</v>
      </c>
      <c r="GO58" s="150" t="n">
        <f aca="false">IF(GO$19&gt;$FJ58,"",MAX(0,IF(GO$19=$FJ58,$S58^2*GO$15,GO57*INDEX($T$20:$T$91,$FJ58-GO$19)^2/INDEX($U$20:$U$91,$FJ58-GO$19))))</f>
        <v>0.00329828290786317</v>
      </c>
      <c r="GP58" s="150" t="n">
        <f aca="false">IF(GP$19&gt;$FJ58,"",MAX(0,IF(GP$19=$FJ58,$S58^2*GP$15,GP57*INDEX($T$20:$T$91,$FJ58-GP$19)^2/INDEX($U$20:$U$91,$FJ58-GP$19))))</f>
        <v>0.00322073142299509</v>
      </c>
      <c r="GQ58" s="150" t="n">
        <f aca="false">IF(GQ$19&gt;$FJ58,"",MAX(0,IF(GQ$19=$FJ58,$S58^2*GQ$15,GQ57*INDEX($T$20:$T$91,$FJ58-GQ$19)^2/INDEX($U$20:$U$91,$FJ58-GQ$19))))</f>
        <v>0.00390882675058294</v>
      </c>
      <c r="GR58" s="150" t="n">
        <f aca="false">IF(GR$19&gt;$FJ58,"",MAX(0,IF(GR$19=$FJ58,$S58^2*GR$15,GR57*INDEX($T$20:$T$91,$FJ58-GR$19)^2/INDEX($U$20:$U$91,$FJ58-GR$19))))</f>
        <v>0.00421540798070923</v>
      </c>
      <c r="GS58" s="150" t="n">
        <f aca="false">IF(GS$19&gt;$FJ58,"",MAX(0,IF(GS$19=$FJ58,$S58^2*GS$15,GS57*INDEX($T$20:$T$91,$FJ58-GS$19)^2/INDEX($U$20:$U$91,$FJ58-GS$19))))</f>
        <v>0.00495019495030371</v>
      </c>
      <c r="GT58" s="150" t="n">
        <f aca="false">IF(GT$19&gt;$FJ58,"",MAX(0,IF(GT$19=$FJ58,$S58^2*GT$15,GT57*INDEX($T$20:$T$91,$FJ58-GT$19)^2/INDEX($U$20:$U$91,$FJ58-GT$19))))</f>
        <v>0.00557303233272118</v>
      </c>
      <c r="GU58" s="150" t="n">
        <f aca="false">IF(GU$19&gt;$FJ58,"",MAX(0,IF(GU$19=$FJ58,$S58^2*GU$15,GU57*INDEX($T$20:$T$91,$FJ58-GU$19)^2/INDEX($U$20:$U$91,$FJ58-GU$19))))</f>
        <v>0.00689038157169687</v>
      </c>
      <c r="GV58" s="150" t="n">
        <f aca="false">IF(GV$19&gt;$FJ58,"",MAX(0,IF(GV$19=$FJ58,$S58^2*GV$15,GV57*INDEX($T$20:$T$91,$FJ58-GV$19)^2/INDEX($U$20:$U$91,$FJ58-GV$19))))</f>
        <v>0.00852853008593047</v>
      </c>
      <c r="GW58" s="150" t="n">
        <f aca="false">IF(GW$19&gt;$FJ58,"",MAX(0,IF(GW$19=$FJ58,$S58^2*GW$15,GW57*INDEX($T$20:$T$91,$FJ58-GW$19)^2/INDEX($U$20:$U$91,$FJ58-GW$19))))</f>
        <v>0.0106448202489082</v>
      </c>
      <c r="GX58" s="150" t="str">
        <f aca="false">IF(GX$19&gt;$FJ58,"",MAX(0,IF(GX$19=$FJ58,$S58^2*GX$15,GX57*INDEX($T$20:$T$91,$FJ58-GX$19)^2/INDEX($U$20:$U$91,$FJ58-GX$19))))</f>
        <v/>
      </c>
      <c r="GY58" s="150" t="str">
        <f aca="false">IF(GY$19&gt;$FJ58,"",MAX(0,IF(GY$19=$FJ58,$S58^2*GY$15,GY57*INDEX($T$20:$T$91,$FJ58-GY$19)^2/INDEX($U$20:$U$91,$FJ58-GY$19))))</f>
        <v/>
      </c>
      <c r="GZ58" s="150" t="str">
        <f aca="false">IF(GZ$19&gt;$FJ58,"",MAX(0,IF(GZ$19=$FJ58,$S58^2*GZ$15,GZ57*INDEX($T$20:$T$91,$FJ58-GZ$19)^2/INDEX($U$20:$U$91,$FJ58-GZ$19))))</f>
        <v/>
      </c>
      <c r="HA58" s="150" t="str">
        <f aca="false">IF(HA$19&gt;$FJ58,"",MAX(0,IF(HA$19=$FJ58,$S58^2*HA$15,HA57*INDEX($T$20:$T$91,$FJ58-HA$19)^2/INDEX($U$20:$U$91,$FJ58-HA$19))))</f>
        <v/>
      </c>
      <c r="HB58" s="150" t="str">
        <f aca="false">IF(HB$19&gt;$FJ58,"",MAX(0,IF(HB$19=$FJ58,$S58^2*HB$15,HB57*INDEX($T$20:$T$91,$FJ58-HB$19)^2/INDEX($U$20:$U$91,$FJ58-HB$19))))</f>
        <v/>
      </c>
      <c r="HC58" s="150" t="str">
        <f aca="false">IF(HC$19&gt;$FJ58,"",MAX(0,IF(HC$19=$FJ58,$S58^2*HC$15,HC57*INDEX($T$20:$T$91,$FJ58-HC$19)^2/INDEX($U$20:$U$91,$FJ58-HC$19))))</f>
        <v/>
      </c>
      <c r="HD58" s="150" t="str">
        <f aca="false">IF(HD$19&gt;$FJ58,"",MAX(0,IF(HD$19=$FJ58,$S58^2*HD$15,HD57*INDEX($T$20:$T$91,$FJ58-HD$19)^2/INDEX($U$20:$U$91,$FJ58-HD$19))))</f>
        <v/>
      </c>
      <c r="HE58" s="150" t="str">
        <f aca="false">IF(HE$19&gt;$FJ58,"",MAX(0,IF(HE$19=$FJ58,$S58^2*HE$15,HE57*INDEX($T$20:$T$91,$FJ58-HE$19)^2/INDEX($U$20:$U$91,$FJ58-HE$19))))</f>
        <v/>
      </c>
      <c r="HF58" s="150" t="str">
        <f aca="false">IF(HF$19&gt;$FJ58,"",MAX(0,IF(HF$19=$FJ58,$S58^2*HF$15,HF57*INDEX($T$20:$T$91,$FJ58-HF$19)^2/INDEX($U$20:$U$91,$FJ58-HF$19))))</f>
        <v/>
      </c>
      <c r="HG58" s="150" t="str">
        <f aca="false">IF(HG$19&gt;$FJ58,"",MAX(0,IF(HG$19=$FJ58,$S58^2*HG$15,HG57*INDEX($T$20:$T$91,$FJ58-HG$19)^2/INDEX($U$20:$U$91,$FJ58-HG$19))))</f>
        <v/>
      </c>
      <c r="HH58" s="150" t="str">
        <f aca="false">IF(HH$19&gt;$FJ58,"",MAX(0,IF(HH$19=$FJ58,$S58^2*HH$15,HH57*INDEX($T$20:$T$91,$FJ58-HH$19)^2/INDEX($U$20:$U$91,$FJ58-HH$19))))</f>
        <v/>
      </c>
      <c r="HI58" s="150" t="str">
        <f aca="false">IF(HI$19&gt;$FJ58,"",MAX(0,IF(HI$19=$FJ58,$S58^2*HI$15,HI57*INDEX($T$20:$T$91,$FJ58-HI$19)^2/INDEX($U$20:$U$91,$FJ58-HI$19))))</f>
        <v/>
      </c>
      <c r="HJ58" s="150" t="str">
        <f aca="false">IF(HJ$19&gt;$FJ58,"",MAX(0,IF(HJ$19=$FJ58,$S58^2*HJ$15,HJ57*INDEX($T$20:$T$91,$FJ58-HJ$19)^2/INDEX($U$20:$U$91,$FJ58-HJ$19))))</f>
        <v/>
      </c>
      <c r="HK58" s="150" t="str">
        <f aca="false">IF(HK$19&gt;$FJ58,"",MAX(0,IF(HK$19=$FJ58,$S58^2*HK$15,HK57*INDEX($T$20:$T$91,$FJ58-HK$19)^2/INDEX($U$20:$U$91,$FJ58-HK$19))))</f>
        <v/>
      </c>
      <c r="HL58" s="150" t="str">
        <f aca="false">IF(HL$19&gt;$FJ58,"",MAX(0,IF(HL$19=$FJ58,$S58^2*HL$15,HL57*INDEX($T$20:$T$91,$FJ58-HL$19)^2/INDEX($U$20:$U$91,$FJ58-HL$19))))</f>
        <v/>
      </c>
      <c r="HM58" s="150" t="str">
        <f aca="false">IF(HM$19&gt;$FJ58,"",MAX(0,IF(HM$19=$FJ58,$S58^2*HM$15,HM57*INDEX($T$20:$T$91,$FJ58-HM$19)^2/INDEX($U$20:$U$91,$FJ58-HM$19))))</f>
        <v/>
      </c>
      <c r="HN58" s="150" t="str">
        <f aca="false">IF(HN$19&gt;$FJ58,"",MAX(0,IF(HN$19=$FJ58,$S58^2*HN$15,HN57*INDEX($T$20:$T$91,$FJ58-HN$19)^2/INDEX($U$20:$U$91,$FJ58-HN$19))))</f>
        <v/>
      </c>
      <c r="HO58" s="150" t="str">
        <f aca="false">IF(HO$19&gt;$FJ58,"",MAX(0,IF(HO$19=$FJ58,$S58^2*HO$15,HO57*INDEX($T$20:$T$91,$FJ58-HO$19)^2/INDEX($U$20:$U$91,$FJ58-HO$19))))</f>
        <v/>
      </c>
      <c r="HP58" s="150" t="str">
        <f aca="false">IF(HP$19&gt;$FJ58,"",MAX(0,IF(HP$19=$FJ58,$S58^2*HP$15,HP57*INDEX($T$20:$T$91,$FJ58-HP$19)^2/INDEX($U$20:$U$91,$FJ58-HP$19))))</f>
        <v/>
      </c>
      <c r="HQ58" s="150" t="str">
        <f aca="false">IF(HQ$19&gt;$FJ58,"",MAX(0,IF(HQ$19=$FJ58,$S58^2*HQ$15,HQ57*INDEX($T$20:$T$91,$FJ58-HQ$19)^2/INDEX($U$20:$U$91,$FJ58-HQ$19))))</f>
        <v/>
      </c>
      <c r="HR58" s="150" t="str">
        <f aca="false">IF(HR$19&gt;$FJ58,"",MAX(0,IF(HR$19=$FJ58,$S58^2*HR$15,HR57*INDEX($T$20:$T$91,$FJ58-HR$19)^2/INDEX($U$20:$U$91,$FJ58-HR$19))))</f>
        <v/>
      </c>
      <c r="HS58" s="150" t="str">
        <f aca="false">IF(HS$19&gt;$FJ58,"",MAX(0,IF(HS$19=$FJ58,$S58^2*HS$15,HS57*INDEX($T$20:$T$91,$FJ58-HS$19)^2/INDEX($U$20:$U$91,$FJ58-HS$19))))</f>
        <v/>
      </c>
      <c r="HT58" s="150" t="str">
        <f aca="false">IF(HT$19&gt;$FJ58,"",MAX(0,IF(HT$19=$FJ58,$S58^2*HT$15,HT57*INDEX($T$20:$T$91,$FJ58-HT$19)^2/INDEX($U$20:$U$91,$FJ58-HT$19))))</f>
        <v/>
      </c>
      <c r="HU58" s="150" t="str">
        <f aca="false">IF(HU$19&gt;$FJ58,"",MAX(0,IF(HU$19=$FJ58,$S58^2*HU$15,HU57*INDEX($T$20:$T$91,$FJ58-HU$19)^2/INDEX($U$20:$U$91,$FJ58-HU$19))))</f>
        <v/>
      </c>
      <c r="HV58" s="150" t="str">
        <f aca="false">IF(HV$19&gt;$FJ58,"",MAX(0,IF(HV$19=$FJ58,$S58^2*HV$15,HV57*INDEX($T$20:$T$91,$FJ58-HV$19)^2/INDEX($U$20:$U$91,$FJ58-HV$19))))</f>
        <v/>
      </c>
      <c r="HW58" s="150" t="str">
        <f aca="false">IF(HW$19&gt;$FJ58,"",MAX(0,IF(HW$19=$FJ58,$S58^2*HW$15,HW57*INDEX($T$20:$T$91,$FJ58-HW$19)^2/INDEX($U$20:$U$91,$FJ58-HW$19))))</f>
        <v/>
      </c>
      <c r="HX58" s="150" t="str">
        <f aca="false">IF(HX$19&gt;$FJ58,"",MAX(0,IF(HX$19=$FJ58,$S58^2*HX$15,HX57*INDEX($T$20:$T$91,$FJ58-HX$19)^2/INDEX($U$20:$U$91,$FJ58-HX$19))))</f>
        <v/>
      </c>
      <c r="HY58" s="150" t="str">
        <f aca="false">IF(HY$19&gt;$FJ58,"",MAX(0,IF(HY$19=$FJ58,$S58^2*HY$15,HY57*INDEX($T$20:$T$91,$FJ58-HY$19)^2/INDEX($U$20:$U$91,$FJ58-HY$19))))</f>
        <v/>
      </c>
      <c r="HZ58" s="150" t="str">
        <f aca="false">IF(HZ$19&gt;$FJ58,"",MAX(0,IF(HZ$19=$FJ58,$S58^2*HZ$15,HZ57*INDEX($T$20:$T$91,$FJ58-HZ$19)^2/INDEX($U$20:$U$91,$FJ58-HZ$19))))</f>
        <v/>
      </c>
      <c r="IA58" s="150" t="str">
        <f aca="false">IF(IA$19&gt;$FJ58,"",MAX(0,IF(IA$19=$FJ58,$S58^2*IA$15,IA57*INDEX($T$20:$T$91,$FJ58-IA$19)^2/INDEX($U$20:$U$91,$FJ58-IA$19))))</f>
        <v/>
      </c>
      <c r="IB58" s="150" t="str">
        <f aca="false">IF(IB$19&gt;$FJ58,"",MAX(0,IF(IB$19=$FJ58,$S58^2*IB$15,IB57*INDEX($T$20:$T$91,$FJ58-IB$19)^2/INDEX($U$20:$U$91,$FJ58-IB$19))))</f>
        <v/>
      </c>
      <c r="IC58" s="150" t="str">
        <f aca="false">IF(IC$19&gt;$FJ58,"",MAX(0,IF(IC$19=$FJ58,$S58^2*IC$15,IC57*INDEX($T$20:$T$91,$FJ58-IC$19)^2/INDEX($U$20:$U$91,$FJ58-IC$19))))</f>
        <v/>
      </c>
      <c r="ID58" s="572" t="str">
        <f aca="false">IF(ID$19&gt;$FJ58,"",MAX(0,IF(ID$19=$FJ58,$S58^2*ID$15,ID57*INDEX($T$20:$T$91,$FJ58-ID$19)^2/INDEX($U$20:$U$91,$FJ58-ID$19))))</f>
        <v/>
      </c>
      <c r="IE58" s="129"/>
    </row>
    <row r="59" customFormat="false" ht="12.75" hidden="false" customHeight="false" outlineLevel="0" collapsed="false">
      <c r="A59" s="219"/>
      <c r="B59" s="219"/>
      <c r="C59" s="219"/>
      <c r="D59" s="219"/>
      <c r="E59" s="219"/>
      <c r="F59" s="219"/>
      <c r="G59" s="219"/>
      <c r="H59" s="219" t="n">
        <f aca="false">VLOOKUP(I59,$EJ$20:$EL$54,3)</f>
        <v>0</v>
      </c>
      <c r="I59" s="511" t="n">
        <f aca="false">EOMONTH(I58,0)+1</f>
        <v>37956</v>
      </c>
      <c r="J59" s="512"/>
      <c r="K59" s="513" t="s">
        <v>250</v>
      </c>
      <c r="L59" s="514" t="e">
        <f aca="false">IF(ISNUMBER(K59),J59+K59/100,IF(K59="extra",L58+VLOOKUP(BF59,PriceSpreadTable,2)/12,IF(K59="inter",interpolateprices($K$19:$L$200,ROW(K59)-ROW(FirstPricingMonth)+1),interpolatechanges($J$19:$K$200,ROW(K59)-ROW(FirstPricingMonth)+1))))</f>
        <v>#VALUE!</v>
      </c>
      <c r="M59" s="515"/>
      <c r="N59" s="516" t="n">
        <v>0</v>
      </c>
      <c r="O59" s="515" t="n">
        <f aca="false">M59+N59</f>
        <v>0</v>
      </c>
      <c r="P59" s="512"/>
      <c r="Q59" s="513" t="s">
        <v>280</v>
      </c>
      <c r="R59" s="512" t="e">
        <f aca="false">IF(ISNUMBER(Q59),P59+Q59/100,IF(Q59="extra",(Z57*AL57-R58*AM57)/AN57,IF(Q59="inter",interpolateprices($Q$19:$R$260,ROW(Q59)-ROW(FirstPricingMonth)+1),interpolatechanges($P$19:$Q$260,ROW(Q59)-ROW(FirstPricingMonth)+1))))</f>
        <v>#VALUE!</v>
      </c>
      <c r="S59" s="597" t="n">
        <f aca="false">S$19+(S58-S$19)*S$18</f>
        <v>0.360000715134945</v>
      </c>
      <c r="T59" s="575" t="n">
        <f aca="false">SQRT((1-(1-T58^2/U58)*T$18)*U59)</f>
        <v>0.999750313614096</v>
      </c>
      <c r="U59" s="576" t="n">
        <f aca="false">1-(1-U58)*U$18</f>
        <v>0.999999798868297</v>
      </c>
      <c r="V59" s="521" t="n">
        <v>0</v>
      </c>
      <c r="W59" s="577" t="n">
        <f aca="false">(J60*AJ59+J61*AK59)/AI59</f>
        <v>0</v>
      </c>
      <c r="X59" s="578" t="e">
        <f aca="false">(L60*AJ59+L61*AK59)/AI59</f>
        <v>#VALUE!</v>
      </c>
      <c r="Y59" s="579" t="n">
        <f aca="false">IF(Q61="extra",W59-AA59,(P60*AM59+P61*AN59)/AL59)</f>
        <v>-1.1349</v>
      </c>
      <c r="Z59" s="579" t="e">
        <f aca="false">IF(Q61="extra",X59-AB59,(R60*AM59+R61*AN59)/AL59)</f>
        <v>#VALUE!</v>
      </c>
      <c r="AA59" s="523" t="n">
        <f aca="false">IF(Q61="extra",INDEX(BrentSeasonalityTable,INT((BG59-1)/3)+1)*VLOOKUP(MAX(BF59,$AB$4),PriceSpreadTable,3),W59-Y59)</f>
        <v>1.1349</v>
      </c>
      <c r="AB59" s="524" t="n">
        <f aca="false">IF(Q61="extra",INDEX(BrentSeasonalityTable,INT((BG59-1)/3)+1)*VLOOKUP(MAX(BF59,$AB$4),PriceSpreadTable,3),X59-Z59)</f>
        <v>1.1349</v>
      </c>
      <c r="AC59" s="525" t="n">
        <v>37945</v>
      </c>
      <c r="AD59" s="646" t="n">
        <v>37941</v>
      </c>
      <c r="AE59" s="646" t="n">
        <v>37940</v>
      </c>
      <c r="AF59" s="646" t="n">
        <v>37936</v>
      </c>
      <c r="AG59" s="438" t="s">
        <v>217</v>
      </c>
      <c r="AH59" s="439" t="s">
        <v>278</v>
      </c>
      <c r="AI59" s="528" t="n">
        <v>22</v>
      </c>
      <c r="AJ59" s="529" t="n">
        <v>15</v>
      </c>
      <c r="AK59" s="529" t="n">
        <v>7</v>
      </c>
      <c r="AL59" s="530" t="n">
        <v>22</v>
      </c>
      <c r="AM59" s="529" t="n">
        <v>10</v>
      </c>
      <c r="AN59" s="531" t="n">
        <v>12</v>
      </c>
      <c r="AO59" s="532"/>
      <c r="AP59" s="465" t="n">
        <f aca="false">(1+AO59/2)^(-2*BL59)</f>
        <v>1</v>
      </c>
      <c r="AQ59" s="532"/>
      <c r="AR59" s="465" t="n">
        <f aca="false">(1+AQ59/2)^(-2*BH59/365.25)</f>
        <v>1</v>
      </c>
      <c r="AS59" s="580" t="n">
        <f aca="false">(O60*AJ59+O61*AK59)/AI59</f>
        <v>0</v>
      </c>
      <c r="AT59" s="468" t="n">
        <f aca="false">O59*VLOOKUP(BF59,BrentVolTable,2)+VLOOKUP(BF59,BrentVolTable,3)</f>
        <v>0</v>
      </c>
      <c r="AU59" s="468" t="n">
        <f aca="false">(AT60*AM59+AT61*AN59)/AL59</f>
        <v>0</v>
      </c>
      <c r="AV59" s="595" t="n">
        <f aca="false">SQRT(MAX(0.000000000001,(O59^2*BH59-S59^2*(BH59-BH58))/BH58))</f>
        <v>0.0223888840440317</v>
      </c>
      <c r="AW59" s="451" t="n">
        <f aca="false">IF($I59-DateToday+15&gt;=$T$8,"",IF($I59-DateToday+15&lt;$T$5,1,MATCH($I59-DateToday+15,$T$5:$T$8)))</f>
        <v>1</v>
      </c>
      <c r="AX59" s="468" t="n">
        <f aca="false">IF($AW59="",AX58^2/AX57,INDEX(U$5:U$8,$AW59)^((INDEX($T$5:$T$8,$AW59+1)-($I59-DateToday+15))/(INDEX($T$5:$T$8,$AW59+1)-INDEX($T$5:$T$8,$AW59)))/INDEX(U$5:U$8,$AW59+1)^((INDEX($T$5:$T$8,$AW59)-($I59-DateToday+15))/(INDEX($T$5:$T$8,$AW59+1)-INDEX($T$5:$T$8,$AW59))))</f>
        <v>5.45574097826927</v>
      </c>
      <c r="AY59" s="468" t="n">
        <f aca="false">IF($AW59="",AY58^2/AY57,INDEX(V$5:V$8,$AW59)^((INDEX($T$5:$T$8,$AW59+1)-($I59-DateToday+15))/(INDEX($T$5:$T$8,$AW59+1)-INDEX($T$5:$T$8,$AW59)))/INDEX(V$5:V$8,$AW59+1)^((INDEX($T$5:$T$8,$AW59)-($I59-DateToday+15))/(INDEX($T$5:$T$8,$AW59+1)-INDEX($T$5:$T$8,$AW59))))</f>
        <v>1010.46809373973</v>
      </c>
      <c r="AZ59" s="468" t="n">
        <f aca="false">IF($AW59="",AZ58^2/AZ57,INDEX(W$5:W$8,$AW59)^((INDEX($T$5:$T$8,$AW59+1)-($I59-DateToday+15))/(INDEX($T$5:$T$8,$AW59+1)-INDEX($T$5:$T$8,$AW59)))/INDEX(W$5:W$8,$AW59+1)^((INDEX($T$5:$T$8,$AW59)-($I59-DateToday+15))/(INDEX($T$5:$T$8,$AW59+1)-INDEX($T$5:$T$8,$AW59))))</f>
        <v>28386113.5987987</v>
      </c>
      <c r="BA59" s="468" t="n">
        <f aca="false">IF($AW59="",BA58^2/BA57,INDEX(X$5:X$8,$AW59)^((INDEX($T$5:$T$8,$AW59+1)-($I59-DateToday+15))/(INDEX($T$5:$T$8,$AW59+1)-INDEX($T$5:$T$8,$AW59)))/INDEX(X$5:X$8,$AW59+1)^((INDEX($T$5:$T$8,$AW59)-($I59-DateToday+15))/(INDEX($T$5:$T$8,$AW59+1)-INDEX($T$5:$T$8,$AW59))))</f>
        <v>1613200866.40387</v>
      </c>
      <c r="BB59" s="468" t="n">
        <f aca="false">IF($AW59="",BB58^2/BB57,INDEX(Y$5:Y$8,$AW59)^((INDEX($T$5:$T$8,$AW59+1)-($I59-DateToday+15))/(INDEX($T$5:$T$8,$AW59+1)-INDEX($T$5:$T$8,$AW59)))/INDEX(Y$5:Y$8,$AW59+1)^((INDEX($T$5:$T$8,$AW59)-($I59-DateToday+15))/(INDEX($T$5:$T$8,$AW59+1)-INDEX($T$5:$T$8,$AW59))))</f>
        <v>30324489801.3003</v>
      </c>
      <c r="BC59" s="468" t="n">
        <f aca="false">IF($AW59="",BC58^2/BC57,INDEX(Z$5:Z$8,$AW59)^((INDEX($T$5:$T$8,$AW59+1)-($I59-DateToday+15))/(INDEX($T$5:$T$8,$AW59+1)-INDEX($T$5:$T$8,$AW59)))/INDEX(Z$5:Z$8,$AW59+1)^((INDEX($T$5:$T$8,$AW59)-($I59-DateToday+15))/(INDEX($T$5:$T$8,$AW59+1)-INDEX($T$5:$T$8,$AW59))))</f>
        <v>174670220613.628</v>
      </c>
      <c r="BD59" s="535" t="n">
        <f aca="false">IF(OR(DateStart&gt;=I60,DateEnd&lt;I59),0,IF(VolumeOverrideFlag,V59,Volume))</f>
        <v>0</v>
      </c>
      <c r="BE59" s="536" t="n">
        <f aca="false">IF(OR(DateStart2&gt;=I60,DateEnd2&lt;I59),0,IF(VolumeOverrideFlag,V59,VolumeSwaption))</f>
        <v>0</v>
      </c>
      <c r="BF59" s="537" t="n">
        <f aca="false">YEAR(I59)</f>
        <v>2003</v>
      </c>
      <c r="BG59" s="538" t="n">
        <f aca="false">MONTH(I59)</f>
        <v>12</v>
      </c>
      <c r="BH59" s="539" t="n">
        <f aca="false">AD59-DateToday+1</f>
        <v>-7984</v>
      </c>
      <c r="BI59" s="540" t="n">
        <f aca="false">(I59-DateToday+1)/365.25</f>
        <v>-21.8179329226557</v>
      </c>
      <c r="BJ59" s="541" t="n">
        <f aca="false">BI59+(BL59-BI59)*CHOOSE(Underlying,AJ59/AI59,AM59/AL59)</f>
        <v>-21.7619314292826</v>
      </c>
      <c r="BK59" s="541" t="n">
        <f aca="false">BJ59+1/365.25</f>
        <v>-21.7591935784954</v>
      </c>
      <c r="BL59" s="541" t="n">
        <f aca="false">(I60-DateToday)/365.25</f>
        <v>-21.7357973990418</v>
      </c>
      <c r="BM59" s="542" t="e">
        <f aca="false">MAX(BI59-(BJ59-BI59)*(S60^2/O60^2-1),0)</f>
        <v>#DIV/0!</v>
      </c>
      <c r="BN59" s="541" t="e">
        <f aca="false">MAX(BL59+(BL59-BK59)*(S61^2/O61^2-1),0)</f>
        <v>#DIV/0!</v>
      </c>
      <c r="BO59" s="530" t="n">
        <f aca="false">CHOOSE(Underlying,AI59,AL59)</f>
        <v>22</v>
      </c>
      <c r="BP59" s="529" t="n">
        <f aca="false">CHOOSE(Underlying,AJ59,AM59)</f>
        <v>15</v>
      </c>
      <c r="BQ59" s="529" t="n">
        <f aca="false">CHOOSE(Underlying,AK59,AN59)</f>
        <v>7</v>
      </c>
      <c r="BR59" s="463" t="str">
        <f aca="false">IF(BD59,IF(Underlying=1,X59,Z59)+UnderlyingPriceAsian-SwapPriceCurve,"")</f>
        <v/>
      </c>
      <c r="BS59" s="463" t="str">
        <f aca="false">IF(BD59,Strike1/BR59-1,"")</f>
        <v/>
      </c>
      <c r="BT59" s="464" t="str">
        <f aca="false">IF(BD59,Strike2/BR59-1,"")</f>
        <v/>
      </c>
      <c r="BU59" s="465" t="str">
        <f aca="false">IF(BD59,IF(Underlying=1,L60,R60)+UnderlyingPriceAsian-SwapPriceCurve,"")</f>
        <v/>
      </c>
      <c r="BV59" s="465" t="str">
        <f aca="false">IF(BD59,IF(Underlying=1,L61,R61)+UnderlyingPriceAsian-SwapPriceCurve,"")</f>
        <v/>
      </c>
      <c r="BW59" s="466" t="str">
        <f aca="false">IF(BD59,IF(Underlying=1,O60,AT60),"")</f>
        <v/>
      </c>
      <c r="BX59" s="467" t="str">
        <f aca="false">IF(BD59,IF(Underlying=1,O61,AT61),"")</f>
        <v/>
      </c>
      <c r="BY59" s="466" t="str">
        <f aca="false">IF(BD59,IF(BS59&gt;0,IF(BS59&gt;0.2,BC59-BB59,IF(BS59&gt;0.1,BB59-BA59,BA59)),IF(BS59&lt;-0.2,AX59-AY59,IF(BS59&lt;-0.1,AY59-AZ59,AZ59))),"")</f>
        <v/>
      </c>
      <c r="BZ59" s="467" t="str">
        <f aca="false">IF(BD59,IF(BT59&gt;0,IF(BT59&gt;0.2,BC59-BB59,IF(BT59&gt;0.1,BB59-BA59,BA59)),IF(BT59&lt;-0.2,AX59-AY59,IF(BT59&lt;-0.1,AY59-AZ59,AZ59))),"")</f>
        <v/>
      </c>
      <c r="CA59" s="468" t="str">
        <f aca="false">IF($BD59,$BW59+IF(VolSkewFlag=1,IF(BS59&gt;0,$BA59*MIN(BS59/10%,1)+($BB59-$BA59)*MAX(0,MIN(BS59/10%-1,1))+($BC59-$BB59)*MAX(0,BS59/10%-2),$AZ59*MIN(-BS59/10%,1)+($AY59-$AZ59)*MAX(0,MIN(-BS59/10%-1,1))+($AX59-$AY59)*MAX(0,-BS59/10%-2)),0),"")</f>
        <v/>
      </c>
      <c r="CB59" s="468" t="str">
        <f aca="false">IF($BD59,$BX59+IF(VolSkewFlag=1,IF(BS59&gt;0,$BA59*MIN(BS59/10%,1)+($BB59-$BA59)*MAX(0,MIN(BS59/10%-1,1))+($BC59-$BB59)*MAX(0,BS59/10%-2),$AZ59*MIN(-BS59/10%,1)+($AY59-$AZ59)*MAX(0,MIN(-BS59/10%-1,1))+($AX59-$AY59)*MAX(0,-BS59/10%-2)),0),"")</f>
        <v/>
      </c>
      <c r="CC59" s="468" t="str">
        <f aca="false">IF($BD59,$BW59+IF(VolSkewFlag=1,IF(BT59&gt;0,$BA59*MIN(BT59/10%,1)+($BB59-$BA59)*MAX(0,MIN(BT59/10%-1,1))+($BC59-$BB59)*MAX(0,BT59/10%-2),$AZ59*MIN(-BT59/10%,1)+($AY59-$AZ59)*MAX(0,MIN(-BT59/10%-1,1))+($AX59-$AY59)*MAX(0,-BT59/10%-2)),0),"")</f>
        <v/>
      </c>
      <c r="CD59" s="468" t="str">
        <f aca="false">IF($BD59,$BX59+IF(VolSkewFlag=1,IF(BT59&gt;0,$BA59*MIN(BT59/10%,1)+($BB59-$BA59)*MAX(0,MIN(BT59/10%-1,1))+($BC59-$BB59)*MAX(0,BT59/10%-2),$AZ59*MIN(-BT59/10%,1)+($AY59-$AZ59)*MAX(0,MIN(-BT59/10%-1,1))+($AX59-$AY59)*MAX(0,-BT59/10%-2)),0),"")</f>
        <v/>
      </c>
      <c r="CE59" s="469" t="n">
        <v>1</v>
      </c>
      <c r="CF59" s="470" t="n">
        <f aca="false">IF(BD59,xCrudeAPO(BU59,BV59,CA59,CB59,S60,S61,BI59,BL59,BP59,BQ59,0,Strike1,AO59,CE59,0,BL59,IF(OptControl=4,0,1),0,1),0)</f>
        <v>0</v>
      </c>
      <c r="CG59" s="470" t="n">
        <f aca="false">IF(BD59,xCrudeAPO(BU59,BV59,CA59,CB59,S60,S61,BI59,BL59,BP59,BQ59,0,Strike1,AO59,CE59,0,BL59,IF(OptControl=4,0,1),1,1)+xCrudeAPO(BU59,BV59,CA59,CB59,S60,S61,BI59,BL59,BP59,BQ59,0,Strike1,AO59,CE59,0,BL59,IF(OptControl=4,0,1),1,2)+IF(OR(VolSkewFlag=2,ABS(BS59)&lt;0.0001),0,IF(BS59&gt;0,-1,1)*CH59*Strike1/BR59^2*BY59/10%),0)</f>
        <v>0</v>
      </c>
      <c r="CH59" s="470" t="n">
        <f aca="false">IF(BD59,(xCrudeAPO(BU59,BV59,CA59,CB59,S60,S61,BI59,BL59,BP59,BQ59,0,Strike1,AO59,CE59,0,BL59,IF(OptControl=4,0,1),3,1)+xCrudeAPO(BU59,BV59,CA59,CB59,S60,S61,BI59,BL59,BP59,BQ59,0,Strike1,AO59,CE59,0,BL59,IF(OptControl=4,0,1),3,2))/100,0)</f>
        <v>0</v>
      </c>
      <c r="CI59" s="470" t="n">
        <f aca="false">IF(BD59,xCrudeAPO(BU59,BV59,CA59,CB59,S60,S61,BI59-DaysForThetaCalculation/365.25,BL59-DaysForThetaCalculation/365.25,BP59,BQ59,0,Strike1,AO59,CE59,0,BL59,IF(OptControl=4,0,1),0,1)-xCrudeAPO(BU59,BV59,CA59,CB59,S60,S61,BI59,BL59,BP59,BQ59,0,Strike1,AO59,CE59,0,BL59,IF(OptControl=4,0,1),0,1),0)</f>
        <v>0</v>
      </c>
      <c r="CJ59" s="471" t="n">
        <f aca="false">IF(BD59,xCrudeAPO(BU59,BV59,CC59,CD59,S60,S61,BI59,BL59,BP59,BQ59,0,Strike2,AO59,CE59,0,BL59,IF(OptControl=3,1,0),0,1),0)</f>
        <v>0</v>
      </c>
      <c r="CK59" s="470" t="n">
        <f aca="false">IF(BD59,xCrudeAPO(BU59,BV59,CC59,CD59,S60,S61,BI59,BL59,BP59,BQ59,0,Strike2,AO59,CE59,0,BL59,IF(OptControl=3,1,0),1,1)+xCrudeAPO(BU59,BV59,CC59,CD59,S60,S61,BI59,BL59,BP59,BQ59,0,Strike2,AO59,CE59,0,BL59,IF(OptControl=3,1,0),1,2)+IF(OR(VolSkewFlag=2,ABS(BT59)&lt;0.0001),0,IF(BT59&gt;0,-1,1)*CL59*Strike2/BR59^2*BZ59/10%),0)</f>
        <v>0</v>
      </c>
      <c r="CL59" s="470" t="n">
        <f aca="false">IF(BD59,(xCrudeAPO(BU59,BV59,CC59,CD59,S60,S61,BI59,BL59,BP59,BQ59,0,Strike2,AO59,CE59,0,BL59,IF(OptControl=3,1,0),3,1)+xCrudeAPO(BU59,BV59,CC59,CD59,S60,S61,BI59,BL59,BP59,BQ59,0,Strike2,AO59,CE59,0,BL59,IF(OptControl=3,1,0),3,2))/100,0)</f>
        <v>0</v>
      </c>
      <c r="CM59" s="472" t="n">
        <f aca="false">IF(BD59,xCrudeAPO(BU59,BV59,CC59,CD59,S60,S61,BI59-DaysForThetaCalculation/365.25,BL59-DaysForThetaCalculation/365.25,BP59,BQ59,0,Strike2,AO59,CE59,0,BL59,IF(OptControl=3,1,0),0,1)-xCrudeAPO(BU59,BV59,CC59,CD59,S60,S61,BI59,BL59,BP59,BQ59,0,Strike2,AO59,CE59,0,BL59,IF(OptControl=3,1,0),0,1),0)</f>
        <v>0</v>
      </c>
      <c r="CN59" s="3"/>
      <c r="CO59" s="543" t="str">
        <f aca="false">IF(BD59,CHOOSE(Underlying,AD59,AF59)-DateToday+1,"")</f>
        <v/>
      </c>
      <c r="CP59" s="582" t="str">
        <f aca="false">IF(BD59,CHOOSE(Underlying,L59,R59),"")</f>
        <v/>
      </c>
      <c r="CQ59" s="544" t="str">
        <f aca="false">IF(BD59,Strike1/CP59-1,"")</f>
        <v/>
      </c>
      <c r="CR59" s="544" t="str">
        <f aca="false">IF(BD59,Strike2/CP59-1,"")</f>
        <v/>
      </c>
      <c r="CS59" s="544" t="str">
        <f aca="false">IF(BD59,IF(CQ59&gt;0,IF(CQ59&gt;0.2,BC58-BB58,IF(CQ59&gt;0.1,BB58-BA58,BA58)),IF(CQ59&lt;-0.2,AX58-AY58,IF(CQ59&lt;-0.1,AY58-AZ58,AZ58))),"")</f>
        <v/>
      </c>
      <c r="CT59" s="544" t="str">
        <f aca="false">IF(BD59,IF(CR59&gt;0,IF(CR59&gt;0.2,BC58-BB58,IF(CR59&gt;0.1,BB58-BA58,BA58)),IF(CR59&lt;-0.2,AX58-AY58,IF(CR59&lt;-0.1,AY58-AZ58,AZ58))),"")</f>
        <v/>
      </c>
      <c r="CU59" s="545" t="str">
        <f aca="false">IF(BD59,CHOOSE(Underlying,O59,AT59),"")</f>
        <v/>
      </c>
      <c r="CV59" s="545" t="str">
        <f aca="false">IF(BD59,CU59+IF(VolSkewFlag=1,IF(CQ59&gt;0,BA58*MIN(CQ59/10%,1)+(BB58-BA58)*MAX(0,MIN(CQ59/10%-1,1))+(BC58-BB58)*MAX(0,CQ59/10%-2),AZ58*MIN(-CQ59/10%,1)+(AY58-AZ58)*MAX(0,MIN(-CQ59/10%-1,1))+(AX58-AY58)*MAX(0,-CQ59/10%-2)),0),"")</f>
        <v/>
      </c>
      <c r="CW59" s="545" t="str">
        <f aca="false">IF(BD59,CU59+IF(VolSkewFlag=1,IF(CR59&gt;0,BA58*MIN(CR59/10%,1)+(BB58-BA58)*MAX(0,MIN(CR59/10%-1,1))+(BC58-BB58)*MAX(0,CR59/10%-2),AZ58*MIN(-CR59/10%,1)+(AY58-AZ58)*MAX(0,MIN(-CR59/10%-1,1))+(AX58-AY58)*MAX(0,-CR59/10%-2)),0),"")</f>
        <v/>
      </c>
      <c r="CX59" s="470" t="n">
        <f aca="false">IF(BD59,EURO(CP59,Strike1,AO59,AO59,CV59,CO59,IF(OptControl=4,0,1),0),0)</f>
        <v>0</v>
      </c>
      <c r="CY59" s="470" t="n">
        <f aca="false">IF(BD59,EURO(CP59,Strike1,AO59,AO59,CV59,CO59,IF(OptControl=4,0,1),1)+IF(OR(VolSkewFlag=2,ABS(CQ59)&lt;0.0001),0,IF(CQ59&gt;0,-1,1)*CZ59*100*Strike1/CP59^2*CS59/10%),0)</f>
        <v>0</v>
      </c>
      <c r="CZ59" s="470" t="n">
        <f aca="false">IF(BD59,EURO(CP59,Strike1,AO59,AO59,CV59,CO59,IF(OptControl=4,0,1),3)/100,0)</f>
        <v>0</v>
      </c>
      <c r="DA59" s="470" t="n">
        <f aca="false">IF(BD59,EURO(CP59,Strike1,AO59,AO59,CV59,CO59,IF(OptControl=4,0,1),0)-EURO(CP59,Strike1,AO59,AO59,CV59,CO59-1,IF(OptControl=4,0,1),0),0)</f>
        <v>0</v>
      </c>
      <c r="DB59" s="470" t="n">
        <f aca="false">IF(BD59,EURO(CP59,Strike2,AO59,AO59,CW59,CO59,IF(OptControl=3,1,0),0),0)</f>
        <v>0</v>
      </c>
      <c r="DC59" s="470" t="n">
        <f aca="false">IF(BD59,EURO(CP59,Strike2,AO59,AO59,CW59,CO59,IF(OptControl=3,1,0),1)+IF(OR(VolSkewFlag=2,ABS(CR59)&lt;0.0001),0,IF(CR59&gt;0,-1,1)*DD59*100*Strike2/CP59^2*CT59/10%),0)</f>
        <v>0</v>
      </c>
      <c r="DD59" s="470" t="n">
        <f aca="false">IF(BD59,EURO(CP59,Strike2,AO59,AO59,CW59,CO59,IF(OptControl=3,1,0),3)/100,0)</f>
        <v>0</v>
      </c>
      <c r="DE59" s="472" t="n">
        <f aca="false">IF(BD59,EURO(CP59,Strike2,AO59,AO59,CW59,CO59,IF(OptControl=3,1,0),0)-EURO(CP59,Strike2,AO59,AO59,CW59,CO59-1,IF(OptControl=3,1,0),0),0)</f>
        <v>0</v>
      </c>
      <c r="DG59" s="481" t="n">
        <f aca="false">EOMONTH(DG58,0)+1</f>
        <v>46874</v>
      </c>
      <c r="DH59" s="478" t="n">
        <v>18.77</v>
      </c>
      <c r="DI59" s="479" t="n">
        <v>18.7018181818182</v>
      </c>
      <c r="DJ59" s="480" t="n">
        <f aca="false">DG59</f>
        <v>46874</v>
      </c>
      <c r="DK59" s="478" t="n">
        <v>17.6678844584697</v>
      </c>
      <c r="DL59" s="479" t="n">
        <v>17.5153181818182</v>
      </c>
      <c r="DM59" s="481" t="n">
        <f aca="false">DG59</f>
        <v>46874</v>
      </c>
      <c r="DN59" s="482" t="n">
        <f aca="false">DK59+BrentPhyBrentSpread</f>
        <v>17.7178844584697</v>
      </c>
      <c r="DO59" s="481" t="n">
        <f aca="false">DG59</f>
        <v>46874</v>
      </c>
      <c r="DP59" s="483" t="n">
        <f aca="false">DL59+DQ59</f>
        <v>17.5153181818182</v>
      </c>
      <c r="DQ59" s="546" t="n">
        <v>0</v>
      </c>
      <c r="DR59" s="480" t="n">
        <f aca="false">DG59</f>
        <v>46874</v>
      </c>
      <c r="DS59" s="485" t="n">
        <v>0.209931168843249</v>
      </c>
      <c r="DT59" s="486" t="n">
        <v>0.208405085919179</v>
      </c>
      <c r="DU59" s="480" t="n">
        <f aca="false">DG59</f>
        <v>46874</v>
      </c>
      <c r="DV59" s="485" t="n">
        <v>0.209931168843249</v>
      </c>
      <c r="DW59" s="486" t="n">
        <v>0.208405085919179</v>
      </c>
      <c r="DX59" s="481" t="n">
        <f aca="false">DG59</f>
        <v>46874</v>
      </c>
      <c r="DY59" s="486" t="n">
        <v>0.350000000000291</v>
      </c>
      <c r="DZ59" s="481" t="n">
        <f aca="false">DR59</f>
        <v>46874</v>
      </c>
      <c r="EA59" s="486" t="n">
        <f aca="false">DT59</f>
        <v>0.208405085919179</v>
      </c>
      <c r="EB59" s="195"/>
      <c r="EC59" s="547" t="str">
        <f aca="false">IF(BD59,IF(Underlying=1,AS59,AU59),"")</f>
        <v/>
      </c>
      <c r="ED59" s="548" t="str">
        <f aca="false">IF($BD59,$EC59+IF(VolSkewFlag=1,IF(BS59&gt;0,$BA59*MIN(BS59/10%,1)+($BB59-$BA59)*MAX(0,MIN(BS59/10%-1,1))+($BC59-$BB59)*MAX(0,BS59/10%-2),$AZ59*MIN(-BS59/10%,1)+($AY59-$AZ59)*MAX(0,MIN(-BS59/10%-1,1))+($AX59-$AY59)*MAX(0,-BS59/10%-2)),0),"")</f>
        <v/>
      </c>
      <c r="EE59" s="549" t="str">
        <f aca="false">IF($BD59,$EC59+IF(VolSkewFlag=1,IF(BT59&gt;0,$BA59*MIN(BT59/10%,1)+($BB59-$BA59)*MAX(0,MIN(BT59/10%-1,1))+($BC59-$BB59)*MAX(0,BT59/10%-2),$AZ59*MIN(-BT59/10%,1)+($AY59-$AZ59)*MAX(0,MIN(-BT59/10%-1,1))+($AX59-$AY59)*MAX(0,-BT59/10%-2)),0),"")</f>
        <v/>
      </c>
      <c r="EF59" s="550" t="n">
        <f aca="false">IF(BD59,xASN(BR59,Strike1,AO59,ED59,0,BO59,0,BI59,BL59,IF(OptControl=4,0,1),0),0)</f>
        <v>0</v>
      </c>
      <c r="EG59" s="551" t="n">
        <f aca="false">IF(BD59,xASN(BR59,Strike2,AO59,EE59,0,BO59,0,BI59,BL59,IF(OptControl=3,1,0),0),0)</f>
        <v>0</v>
      </c>
      <c r="EL59" s="1"/>
      <c r="EM59" s="195"/>
      <c r="EN59" s="556" t="n">
        <v>40537</v>
      </c>
      <c r="EO59" s="557" t="n">
        <v>43824</v>
      </c>
      <c r="EP59" s="195"/>
      <c r="EQ59" s="407" t="s">
        <v>285</v>
      </c>
      <c r="ES59" s="587" t="n">
        <v>40</v>
      </c>
      <c r="ET59" s="559" t="n">
        <f aca="false">BH59/365.25</f>
        <v>-21.8590006844627</v>
      </c>
      <c r="EU59" s="560" t="n">
        <f aca="false">O59^2*ET59</f>
        <v>-0</v>
      </c>
      <c r="EV59" s="588" t="e">
        <f aca="false">SQRT(SUM(FK59:ID59)/ET59)</f>
        <v>#VALUE!</v>
      </c>
      <c r="EW59" s="589" t="str">
        <f aca="false">IF(OR(DateStart2&gt;I58,DateEnd2&lt;I57),"",IF(DateStart2&lt;I58,AK57/AI57*AP57*BE57*SwaptionNumOfMonths/$D$33,0)+IF(DateEnd2&gt;I57,AJ58/AI58*AP58*BE58*SwaptionNumOfMonths/$D$33,0))</f>
        <v/>
      </c>
      <c r="EX59" s="590" t="str">
        <f aca="false">IF(EW59="","",SQRT(SUM(FK364:ID364)/SwaptionYearsToExp))</f>
        <v/>
      </c>
      <c r="EY59" s="129" t="n">
        <v>0</v>
      </c>
      <c r="EZ59" s="591" t="str">
        <f aca="false">IF(OR(EW59="",EW60=""),"",SQRT(SUM(INDEX(FK59:ID59,SwaptionFirstMonthPosition+1):INDEX(FK59:ID59,FJ59))/SUM(INDEX($FK$15:$ID$15,SwaptionFirstMonthPosition+1):INDEX($FK$15:$ID$15,FJ59))))</f>
        <v/>
      </c>
      <c r="FA59" s="592" t="str">
        <f aca="false">IF(OR(EW59="",EW58=""),"",SQRT(SUM(INDEX(FK59:ID59,SwaptionFirstMonthPosition+1):INDEX(FK59:ID59,FJ59-1))/SUM(INDEX($FK$15:$ID$15,SwaptionFirstMonthPosition+1):INDEX($FK$15:$ID$15,FJ59-1))))</f>
        <v/>
      </c>
      <c r="FB59" s="593" t="str">
        <f aca="false">IF(BE59,2/3*EZ60+1/3*FA61,"")</f>
        <v/>
      </c>
      <c r="FC59" s="596" t="str">
        <f aca="false">IF(BE59,(I60+I59-1)/2-DateToday,"")</f>
        <v/>
      </c>
      <c r="FD59" s="483" t="str">
        <f aca="false">IF(BE59,CHOOSE(Underlying,X59,Z59)+SwaptionUnderlyingPrice-$D$26,"")</f>
        <v/>
      </c>
      <c r="FE59" s="483" t="str">
        <f aca="false">IF(BE59,CollartionFloor/FD59-1,"")</f>
        <v/>
      </c>
      <c r="FF59" s="483" t="str">
        <f aca="false">IF(BE59,CollartionCap/FD59-1,"")</f>
        <v/>
      </c>
      <c r="FG59" s="485" t="str">
        <f aca="false">IF(BE59,IF(VolSkewFlag=1,IF(FE59&gt;0,$BA59*MIN(FE59/10%,1)+($BB59-$BA59)*MAX(0,MIN(FE59/10%-1,1))+($BC59-$BB59)*MAX(0,FE59/10%-2),$AZ59*MIN(-FE59/10%,1)+($AY59-$AZ59)*MAX(0,MIN(-FE59/10%-1,1))+($AX59-$AY59)*MAX(0,-FE59/10%-2)),0),"")</f>
        <v/>
      </c>
      <c r="FH59" s="486" t="str">
        <f aca="false">IF(BE59,IF(VolSkewFlag=1,IF(FF59&gt;0,$BA59*MIN(FF59/10%,1)+($BB59-$BA59)*MAX(0,MIN(FF59/10%-1,1))+($BC59-$BB59)*MAX(0,FF59/10%-2),$AZ59*MIN(-FF59/10%,1)+($AY59-$AZ59)*MAX(0,MIN(-FF59/10%-1,1))+($AX59-$AY59)*MAX(0,-FF59/10%-2)),0),"")</f>
        <v/>
      </c>
      <c r="FI59" s="129"/>
      <c r="FJ59" s="571" t="n">
        <v>40</v>
      </c>
      <c r="FK59" s="150" t="n">
        <f aca="false">IF(FK$19&gt;$FJ59,"",MAX(0,IF(FK$19=$FJ59,$S59^2*FK$15,FK58*INDEX($T$20:$T$91,$FJ59-FK$19)^2/INDEX($U$20:$U$91,$FJ59-FK$19))))</f>
        <v>0</v>
      </c>
      <c r="FL59" s="150" t="n">
        <f aca="false">IF(FL$19&gt;$FJ59,"",MAX(0,IF(FL$19=$FJ59,$S59^2*FL$15,FL58*INDEX($T$20:$T$91,$FJ59-FL$19)^2/INDEX($U$20:$U$91,$FJ59-FL$19))))</f>
        <v>0</v>
      </c>
      <c r="FM59" s="150" t="n">
        <f aca="false">IF(FM$19&gt;$FJ59,"",MAX(0,IF(FM$19=$FJ59,$S59^2*FM$15,FM58*INDEX($T$20:$T$91,$FJ59-FM$19)^2/INDEX($U$20:$U$91,$FJ59-FM$19))))</f>
        <v>0.00255878520571074</v>
      </c>
      <c r="FN59" s="150" t="n">
        <f aca="false">IF(FN$19&gt;$FJ59,"",MAX(0,IF(FN$19=$FJ59,$S59^2*FN$15,FN58*INDEX($T$20:$T$91,$FJ59-FN$19)^2/INDEX($U$20:$U$91,$FJ59-FN$19))))</f>
        <v>0.00215537325525022</v>
      </c>
      <c r="FO59" s="150" t="n">
        <f aca="false">IF(FO$19&gt;$FJ59,"",MAX(0,IF(FO$19=$FJ59,$S59^2*FO$15,FO58*INDEX($T$20:$T$91,$FJ59-FO$19)^2/INDEX($U$20:$U$91,$FJ59-FO$19))))</f>
        <v>0.00224400230683503</v>
      </c>
      <c r="FP59" s="150" t="n">
        <f aca="false">IF(FP$19&gt;$FJ59,"",MAX(0,IF(FP$19=$FJ59,$S59^2*FP$15,FP58*INDEX($T$20:$T$91,$FJ59-FP$19)^2/INDEX($U$20:$U$91,$FJ59-FP$19))))</f>
        <v>0.00248930313308525</v>
      </c>
      <c r="FQ59" s="150" t="n">
        <f aca="false">IF(FQ$19&gt;$FJ59,"",MAX(0,IF(FQ$19=$FJ59,$S59^2*FQ$15,FQ58*INDEX($T$20:$T$91,$FJ59-FQ$19)^2/INDEX($U$20:$U$91,$FJ59-FQ$19))))</f>
        <v>0.00201792869585859</v>
      </c>
      <c r="FR59" s="150" t="n">
        <f aca="false">IF(FR$19&gt;$FJ59,"",MAX(0,IF(FR$19=$FJ59,$S59^2*FR$15,FR58*INDEX($T$20:$T$91,$FJ59-FR$19)^2/INDEX($U$20:$U$91,$FJ59-FR$19))))</f>
        <v>0.00206632563183629</v>
      </c>
      <c r="FS59" s="150" t="n">
        <f aca="false">IF(FS$19&gt;$FJ59,"",MAX(0,IF(FS$19=$FJ59,$S59^2*FS$15,FS58*INDEX($T$20:$T$91,$FJ59-FS$19)^2/INDEX($U$20:$U$91,$FJ59-FS$19))))</f>
        <v>0.00233266968686679</v>
      </c>
      <c r="FT59" s="150" t="n">
        <f aca="false">IF(FT$19&gt;$FJ59,"",MAX(0,IF(FT$19=$FJ59,$S59^2*FT$15,FT58*INDEX($T$20:$T$91,$FJ59-FT$19)^2/INDEX($U$20:$U$91,$FJ59-FT$19))))</f>
        <v>0.00210945291489968</v>
      </c>
      <c r="FU59" s="150" t="n">
        <f aca="false">IF(FU$19&gt;$FJ59,"",MAX(0,IF(FU$19=$FJ59,$S59^2*FU$15,FU58*INDEX($T$20:$T$91,$FJ59-FU$19)^2/INDEX($U$20:$U$91,$FJ59-FU$19))))</f>
        <v>0.00203279658980107</v>
      </c>
      <c r="FV59" s="150" t="n">
        <f aca="false">IF(FV$19&gt;$FJ59,"",MAX(0,IF(FV$19=$FJ59,$S59^2*FV$15,FV58*INDEX($T$20:$T$91,$FJ59-FV$19)^2/INDEX($U$20:$U$91,$FJ59-FV$19))))</f>
        <v>0.00224007987460016</v>
      </c>
      <c r="FW59" s="150" t="n">
        <f aca="false">IF(FW$19&gt;$FJ59,"",MAX(0,IF(FW$19=$FJ59,$S59^2*FW$15,FW58*INDEX($T$20:$T$91,$FJ59-FW$19)^2/INDEX($U$20:$U$91,$FJ59-FW$19))))</f>
        <v>0.00210041990418772</v>
      </c>
      <c r="FX59" s="150" t="n">
        <f aca="false">IF(FX$19&gt;$FJ59,"",MAX(0,IF(FX$19=$FJ59,$S59^2*FX$15,FX58*INDEX($T$20:$T$91,$FJ59-FX$19)^2/INDEX($U$20:$U$91,$FJ59-FX$19))))</f>
        <v>0.0022438011631179</v>
      </c>
      <c r="FY59" s="150" t="n">
        <f aca="false">IF(FY$19&gt;$FJ59,"",MAX(0,IF(FY$19=$FJ59,$S59^2*FY$15,FY58*INDEX($T$20:$T$91,$FJ59-FY$19)^2/INDEX($U$20:$U$91,$FJ59-FY$19))))</f>
        <v>0.00210931284957421</v>
      </c>
      <c r="FZ59" s="150" t="n">
        <f aca="false">IF(FZ$19&gt;$FJ59,"",MAX(0,IF(FZ$19=$FJ59,$S59^2*FZ$15,FZ58*INDEX($T$20:$T$91,$FJ59-FZ$19)^2/INDEX($U$20:$U$91,$FJ59-FZ$19))))</f>
        <v>0.00197644292598073</v>
      </c>
      <c r="GA59" s="150" t="n">
        <f aca="false">IF(GA$19&gt;$FJ59,"",MAX(0,IF(GA$19=$FJ59,$S59^2*GA$15,GA58*INDEX($T$20:$T$91,$FJ59-GA$19)^2/INDEX($U$20:$U$91,$FJ59-GA$19))))</f>
        <v>0.00212855221364315</v>
      </c>
      <c r="GB59" s="150" t="n">
        <f aca="false">IF(GB$19&gt;$FJ59,"",MAX(0,IF(GB$19=$FJ59,$S59^2*GB$15,GB58*INDEX($T$20:$T$91,$FJ59-GB$19)^2/INDEX($U$20:$U$91,$FJ59-GB$19))))</f>
        <v>0.00235653937513377</v>
      </c>
      <c r="GC59" s="150" t="n">
        <f aca="false">IF(GC$19&gt;$FJ59,"",MAX(0,IF(GC$19=$FJ59,$S59^2*GC$15,GC58*INDEX($T$20:$T$91,$FJ59-GC$19)^2/INDEX($U$20:$U$91,$FJ59-GC$19))))</f>
        <v>0.00208721984039739</v>
      </c>
      <c r="GD59" s="150" t="n">
        <f aca="false">IF(GD$19&gt;$FJ59,"",MAX(0,IF(GD$19=$FJ59,$S59^2*GD$15,GD58*INDEX($T$20:$T$91,$FJ59-GD$19)^2/INDEX($U$20:$U$91,$FJ59-GD$19))))</f>
        <v>0.00210697904499736</v>
      </c>
      <c r="GE59" s="150" t="n">
        <f aca="false">IF(GE$19&gt;$FJ59,"",MAX(0,IF(GE$19=$FJ59,$S59^2*GE$15,GE58*INDEX($T$20:$T$91,$FJ59-GE$19)^2/INDEX($U$20:$U$91,$FJ59-GE$19))))</f>
        <v>0.00242461259026541</v>
      </c>
      <c r="GF59" s="150" t="n">
        <f aca="false">IF(GF$19&gt;$FJ59,"",MAX(0,IF(GF$19=$FJ59,$S59^2*GF$15,GF58*INDEX($T$20:$T$91,$FJ59-GF$19)^2/INDEX($U$20:$U$91,$FJ59-GF$19))))</f>
        <v>0.00215913921731008</v>
      </c>
      <c r="GG59" s="150" t="n">
        <f aca="false">IF(GG$19&gt;$FJ59,"",MAX(0,IF(GG$19=$FJ59,$S59^2*GG$15,GG58*INDEX($T$20:$T$91,$FJ59-GG$19)^2/INDEX($U$20:$U$91,$FJ59-GG$19))))</f>
        <v>0.00241998893967802</v>
      </c>
      <c r="GH59" s="150" t="n">
        <f aca="false">IF(GH$19&gt;$FJ59,"",MAX(0,IF(GH$19=$FJ59,$S59^2*GH$15,GH58*INDEX($T$20:$T$91,$FJ59-GH$19)^2/INDEX($U$20:$U$91,$FJ59-GH$19))))</f>
        <v>0.00231077823900696</v>
      </c>
      <c r="GI59" s="150" t="n">
        <f aca="false">IF(GI$19&gt;$FJ59,"",MAX(0,IF(GI$19=$FJ59,$S59^2*GI$15,GI58*INDEX($T$20:$T$91,$FJ59-GI$19)^2/INDEX($U$20:$U$91,$FJ59-GI$19))))</f>
        <v>0.00228244223432405</v>
      </c>
      <c r="GJ59" s="150" t="n">
        <f aca="false">IF(GJ$19&gt;$FJ59,"",MAX(0,IF(GJ$19=$FJ59,$S59^2*GJ$15,GJ58*INDEX($T$20:$T$91,$FJ59-GJ$19)^2/INDEX($U$20:$U$91,$FJ59-GJ$19))))</f>
        <v>0.00266383402542234</v>
      </c>
      <c r="GK59" s="150" t="n">
        <f aca="false">IF(GK$19&gt;$FJ59,"",MAX(0,IF(GK$19=$FJ59,$S59^2*GK$15,GK58*INDEX($T$20:$T$91,$FJ59-GK$19)^2/INDEX($U$20:$U$91,$FJ59-GK$19))))</f>
        <v>0.00249466109781232</v>
      </c>
      <c r="GL59" s="150" t="n">
        <f aca="false">IF(GL$19&gt;$FJ59,"",MAX(0,IF(GL$19=$FJ59,$S59^2*GL$15,GL58*INDEX($T$20:$T$91,$FJ59-GL$19)^2/INDEX($U$20:$U$91,$FJ59-GL$19))))</f>
        <v>0.00249701640506105</v>
      </c>
      <c r="GM59" s="150" t="n">
        <f aca="false">IF(GM$19&gt;$FJ59,"",MAX(0,IF(GM$19=$FJ59,$S59^2*GM$15,GM58*INDEX($T$20:$T$91,$FJ59-GM$19)^2/INDEX($U$20:$U$91,$FJ59-GM$19))))</f>
        <v>0.0027806446341306</v>
      </c>
      <c r="GN59" s="150" t="n">
        <f aca="false">IF(GN$19&gt;$FJ59,"",MAX(0,IF(GN$19=$FJ59,$S59^2*GN$15,GN58*INDEX($T$20:$T$91,$FJ59-GN$19)^2/INDEX($U$20:$U$91,$FJ59-GN$19))))</f>
        <v>0.0029174074098009</v>
      </c>
      <c r="GO59" s="150" t="n">
        <f aca="false">IF(GO$19&gt;$FJ59,"",MAX(0,IF(GO$19=$FJ59,$S59^2*GO$15,GO58*INDEX($T$20:$T$91,$FJ59-GO$19)^2/INDEX($U$20:$U$91,$FJ59-GO$19))))</f>
        <v>0.00308667392755238</v>
      </c>
      <c r="GP59" s="150" t="n">
        <f aca="false">IF(GP$19&gt;$FJ59,"",MAX(0,IF(GP$19=$FJ59,$S59^2*GP$15,GP58*INDEX($T$20:$T$91,$FJ59-GP$19)^2/INDEX($U$20:$U$91,$FJ59-GP$19))))</f>
        <v>0.00297905483217196</v>
      </c>
      <c r="GQ59" s="150" t="n">
        <f aca="false">IF(GQ$19&gt;$FJ59,"",MAX(0,IF(GQ$19=$FJ59,$S59^2*GQ$15,GQ58*INDEX($T$20:$T$91,$FJ59-GQ$19)^2/INDEX($U$20:$U$91,$FJ59-GQ$19))))</f>
        <v>0.00356577441332512</v>
      </c>
      <c r="GR59" s="150" t="n">
        <f aca="false">IF(GR$19&gt;$FJ59,"",MAX(0,IF(GR$19=$FJ59,$S59^2*GR$15,GR58*INDEX($T$20:$T$91,$FJ59-GR$19)^2/INDEX($U$20:$U$91,$FJ59-GR$19))))</f>
        <v>0.00378270741851722</v>
      </c>
      <c r="GS59" s="150" t="n">
        <f aca="false">IF(GS$19&gt;$FJ59,"",MAX(0,IF(GS$19=$FJ59,$S59^2*GS$15,GS58*INDEX($T$20:$T$91,$FJ59-GS$19)^2/INDEX($U$20:$U$91,$FJ59-GS$19))))</f>
        <v>0.004355897271322</v>
      </c>
      <c r="GT59" s="150" t="n">
        <f aca="false">IF(GT$19&gt;$FJ59,"",MAX(0,IF(GT$19=$FJ59,$S59^2*GT$15,GT58*INDEX($T$20:$T$91,$FJ59-GT$19)^2/INDEX($U$20:$U$91,$FJ59-GT$19))))</f>
        <v>0.00479049119164849</v>
      </c>
      <c r="GU59" s="150" t="n">
        <f aca="false">IF(GU$19&gt;$FJ59,"",MAX(0,IF(GU$19=$FJ59,$S59^2*GU$15,GU58*INDEX($T$20:$T$91,$FJ59-GU$19)^2/INDEX($U$20:$U$91,$FJ59-GU$19))))</f>
        <v>0.00575878199960293</v>
      </c>
      <c r="GV59" s="150" t="n">
        <f aca="false">IF(GV$19&gt;$FJ59,"",MAX(0,IF(GV$19=$FJ59,$S59^2*GV$15,GV58*INDEX($T$20:$T$91,$FJ59-GV$19)^2/INDEX($U$20:$U$91,$FJ59-GV$19))))</f>
        <v>0.00689036534938727</v>
      </c>
      <c r="GW59" s="150" t="n">
        <f aca="false">IF(GW$19&gt;$FJ59,"",MAX(0,IF(GW$19=$FJ59,$S59^2*GW$15,GW58*INDEX($T$20:$T$91,$FJ59-GW$19)^2/INDEX($U$20:$U$91,$FJ59-GW$19))))</f>
        <v>0.00825340163865285</v>
      </c>
      <c r="GX59" s="150" t="n">
        <f aca="false">IF(GX$19&gt;$FJ59,"",MAX(0,IF(GX$19=$FJ59,$S59^2*GX$15,GX58*INDEX($T$20:$T$91,$FJ59-GX$19)^2/INDEX($U$20:$U$91,$FJ59-GX$19))))</f>
        <v>0.0109996330234848</v>
      </c>
      <c r="GY59" s="150" t="str">
        <f aca="false">IF(GY$19&gt;$FJ59,"",MAX(0,IF(GY$19=$FJ59,$S59^2*GY$15,GY58*INDEX($T$20:$T$91,$FJ59-GY$19)^2/INDEX($U$20:$U$91,$FJ59-GY$19))))</f>
        <v/>
      </c>
      <c r="GZ59" s="150" t="str">
        <f aca="false">IF(GZ$19&gt;$FJ59,"",MAX(0,IF(GZ$19=$FJ59,$S59^2*GZ$15,GZ58*INDEX($T$20:$T$91,$FJ59-GZ$19)^2/INDEX($U$20:$U$91,$FJ59-GZ$19))))</f>
        <v/>
      </c>
      <c r="HA59" s="150" t="str">
        <f aca="false">IF(HA$19&gt;$FJ59,"",MAX(0,IF(HA$19=$FJ59,$S59^2*HA$15,HA58*INDEX($T$20:$T$91,$FJ59-HA$19)^2/INDEX($U$20:$U$91,$FJ59-HA$19))))</f>
        <v/>
      </c>
      <c r="HB59" s="150" t="str">
        <f aca="false">IF(HB$19&gt;$FJ59,"",MAX(0,IF(HB$19=$FJ59,$S59^2*HB$15,HB58*INDEX($T$20:$T$91,$FJ59-HB$19)^2/INDEX($U$20:$U$91,$FJ59-HB$19))))</f>
        <v/>
      </c>
      <c r="HC59" s="150" t="str">
        <f aca="false">IF(HC$19&gt;$FJ59,"",MAX(0,IF(HC$19=$FJ59,$S59^2*HC$15,HC58*INDEX($T$20:$T$91,$FJ59-HC$19)^2/INDEX($U$20:$U$91,$FJ59-HC$19))))</f>
        <v/>
      </c>
      <c r="HD59" s="150" t="str">
        <f aca="false">IF(HD$19&gt;$FJ59,"",MAX(0,IF(HD$19=$FJ59,$S59^2*HD$15,HD58*INDEX($T$20:$T$91,$FJ59-HD$19)^2/INDEX($U$20:$U$91,$FJ59-HD$19))))</f>
        <v/>
      </c>
      <c r="HE59" s="150" t="str">
        <f aca="false">IF(HE$19&gt;$FJ59,"",MAX(0,IF(HE$19=$FJ59,$S59^2*HE$15,HE58*INDEX($T$20:$T$91,$FJ59-HE$19)^2/INDEX($U$20:$U$91,$FJ59-HE$19))))</f>
        <v/>
      </c>
      <c r="HF59" s="150" t="str">
        <f aca="false">IF(HF$19&gt;$FJ59,"",MAX(0,IF(HF$19=$FJ59,$S59^2*HF$15,HF58*INDEX($T$20:$T$91,$FJ59-HF$19)^2/INDEX($U$20:$U$91,$FJ59-HF$19))))</f>
        <v/>
      </c>
      <c r="HG59" s="150" t="str">
        <f aca="false">IF(HG$19&gt;$FJ59,"",MAX(0,IF(HG$19=$FJ59,$S59^2*HG$15,HG58*INDEX($T$20:$T$91,$FJ59-HG$19)^2/INDEX($U$20:$U$91,$FJ59-HG$19))))</f>
        <v/>
      </c>
      <c r="HH59" s="150" t="str">
        <f aca="false">IF(HH$19&gt;$FJ59,"",MAX(0,IF(HH$19=$FJ59,$S59^2*HH$15,HH58*INDEX($T$20:$T$91,$FJ59-HH$19)^2/INDEX($U$20:$U$91,$FJ59-HH$19))))</f>
        <v/>
      </c>
      <c r="HI59" s="150" t="str">
        <f aca="false">IF(HI$19&gt;$FJ59,"",MAX(0,IF(HI$19=$FJ59,$S59^2*HI$15,HI58*INDEX($T$20:$T$91,$FJ59-HI$19)^2/INDEX($U$20:$U$91,$FJ59-HI$19))))</f>
        <v/>
      </c>
      <c r="HJ59" s="150" t="str">
        <f aca="false">IF(HJ$19&gt;$FJ59,"",MAX(0,IF(HJ$19=$FJ59,$S59^2*HJ$15,HJ58*INDEX($T$20:$T$91,$FJ59-HJ$19)^2/INDEX($U$20:$U$91,$FJ59-HJ$19))))</f>
        <v/>
      </c>
      <c r="HK59" s="150" t="str">
        <f aca="false">IF(HK$19&gt;$FJ59,"",MAX(0,IF(HK$19=$FJ59,$S59^2*HK$15,HK58*INDEX($T$20:$T$91,$FJ59-HK$19)^2/INDEX($U$20:$U$91,$FJ59-HK$19))))</f>
        <v/>
      </c>
      <c r="HL59" s="150" t="str">
        <f aca="false">IF(HL$19&gt;$FJ59,"",MAX(0,IF(HL$19=$FJ59,$S59^2*HL$15,HL58*INDEX($T$20:$T$91,$FJ59-HL$19)^2/INDEX($U$20:$U$91,$FJ59-HL$19))))</f>
        <v/>
      </c>
      <c r="HM59" s="150" t="str">
        <f aca="false">IF(HM$19&gt;$FJ59,"",MAX(0,IF(HM$19=$FJ59,$S59^2*HM$15,HM58*INDEX($T$20:$T$91,$FJ59-HM$19)^2/INDEX($U$20:$U$91,$FJ59-HM$19))))</f>
        <v/>
      </c>
      <c r="HN59" s="150" t="str">
        <f aca="false">IF(HN$19&gt;$FJ59,"",MAX(0,IF(HN$19=$FJ59,$S59^2*HN$15,HN58*INDEX($T$20:$T$91,$FJ59-HN$19)^2/INDEX($U$20:$U$91,$FJ59-HN$19))))</f>
        <v/>
      </c>
      <c r="HO59" s="150" t="str">
        <f aca="false">IF(HO$19&gt;$FJ59,"",MAX(0,IF(HO$19=$FJ59,$S59^2*HO$15,HO58*INDEX($T$20:$T$91,$FJ59-HO$19)^2/INDEX($U$20:$U$91,$FJ59-HO$19))))</f>
        <v/>
      </c>
      <c r="HP59" s="150" t="str">
        <f aca="false">IF(HP$19&gt;$FJ59,"",MAX(0,IF(HP$19=$FJ59,$S59^2*HP$15,HP58*INDEX($T$20:$T$91,$FJ59-HP$19)^2/INDEX($U$20:$U$91,$FJ59-HP$19))))</f>
        <v/>
      </c>
      <c r="HQ59" s="150" t="str">
        <f aca="false">IF(HQ$19&gt;$FJ59,"",MAX(0,IF(HQ$19=$FJ59,$S59^2*HQ$15,HQ58*INDEX($T$20:$T$91,$FJ59-HQ$19)^2/INDEX($U$20:$U$91,$FJ59-HQ$19))))</f>
        <v/>
      </c>
      <c r="HR59" s="150" t="str">
        <f aca="false">IF(HR$19&gt;$FJ59,"",MAX(0,IF(HR$19=$FJ59,$S59^2*HR$15,HR58*INDEX($T$20:$T$91,$FJ59-HR$19)^2/INDEX($U$20:$U$91,$FJ59-HR$19))))</f>
        <v/>
      </c>
      <c r="HS59" s="150" t="str">
        <f aca="false">IF(HS$19&gt;$FJ59,"",MAX(0,IF(HS$19=$FJ59,$S59^2*HS$15,HS58*INDEX($T$20:$T$91,$FJ59-HS$19)^2/INDEX($U$20:$U$91,$FJ59-HS$19))))</f>
        <v/>
      </c>
      <c r="HT59" s="150" t="str">
        <f aca="false">IF(HT$19&gt;$FJ59,"",MAX(0,IF(HT$19=$FJ59,$S59^2*HT$15,HT58*INDEX($T$20:$T$91,$FJ59-HT$19)^2/INDEX($U$20:$U$91,$FJ59-HT$19))))</f>
        <v/>
      </c>
      <c r="HU59" s="150" t="str">
        <f aca="false">IF(HU$19&gt;$FJ59,"",MAX(0,IF(HU$19=$FJ59,$S59^2*HU$15,HU58*INDEX($T$20:$T$91,$FJ59-HU$19)^2/INDEX($U$20:$U$91,$FJ59-HU$19))))</f>
        <v/>
      </c>
      <c r="HV59" s="150" t="str">
        <f aca="false">IF(HV$19&gt;$FJ59,"",MAX(0,IF(HV$19=$FJ59,$S59^2*HV$15,HV58*INDEX($T$20:$T$91,$FJ59-HV$19)^2/INDEX($U$20:$U$91,$FJ59-HV$19))))</f>
        <v/>
      </c>
      <c r="HW59" s="150" t="str">
        <f aca="false">IF(HW$19&gt;$FJ59,"",MAX(0,IF(HW$19=$FJ59,$S59^2*HW$15,HW58*INDEX($T$20:$T$91,$FJ59-HW$19)^2/INDEX($U$20:$U$91,$FJ59-HW$19))))</f>
        <v/>
      </c>
      <c r="HX59" s="150" t="str">
        <f aca="false">IF(HX$19&gt;$FJ59,"",MAX(0,IF(HX$19=$FJ59,$S59^2*HX$15,HX58*INDEX($T$20:$T$91,$FJ59-HX$19)^2/INDEX($U$20:$U$91,$FJ59-HX$19))))</f>
        <v/>
      </c>
      <c r="HY59" s="150" t="str">
        <f aca="false">IF(HY$19&gt;$FJ59,"",MAX(0,IF(HY$19=$FJ59,$S59^2*HY$15,HY58*INDEX($T$20:$T$91,$FJ59-HY$19)^2/INDEX($U$20:$U$91,$FJ59-HY$19))))</f>
        <v/>
      </c>
      <c r="HZ59" s="150" t="str">
        <f aca="false">IF(HZ$19&gt;$FJ59,"",MAX(0,IF(HZ$19=$FJ59,$S59^2*HZ$15,HZ58*INDEX($T$20:$T$91,$FJ59-HZ$19)^2/INDEX($U$20:$U$91,$FJ59-HZ$19))))</f>
        <v/>
      </c>
      <c r="IA59" s="150" t="str">
        <f aca="false">IF(IA$19&gt;$FJ59,"",MAX(0,IF(IA$19=$FJ59,$S59^2*IA$15,IA58*INDEX($T$20:$T$91,$FJ59-IA$19)^2/INDEX($U$20:$U$91,$FJ59-IA$19))))</f>
        <v/>
      </c>
      <c r="IB59" s="150" t="str">
        <f aca="false">IF(IB$19&gt;$FJ59,"",MAX(0,IF(IB$19=$FJ59,$S59^2*IB$15,IB58*INDEX($T$20:$T$91,$FJ59-IB$19)^2/INDEX($U$20:$U$91,$FJ59-IB$19))))</f>
        <v/>
      </c>
      <c r="IC59" s="150" t="str">
        <f aca="false">IF(IC$19&gt;$FJ59,"",MAX(0,IF(IC$19=$FJ59,$S59^2*IC$15,IC58*INDEX($T$20:$T$91,$FJ59-IC$19)^2/INDEX($U$20:$U$91,$FJ59-IC$19))))</f>
        <v/>
      </c>
      <c r="ID59" s="572" t="str">
        <f aca="false">IF(ID$19&gt;$FJ59,"",MAX(0,IF(ID$19=$FJ59,$S59^2*ID$15,ID58*INDEX($T$20:$T$91,$FJ59-ID$19)^2/INDEX($U$20:$U$91,$FJ59-ID$19))))</f>
        <v/>
      </c>
      <c r="IE59" s="129"/>
    </row>
    <row r="60" customFormat="false" ht="12.75" hidden="false" customHeight="false" outlineLevel="0" collapsed="false">
      <c r="A60" s="219"/>
      <c r="B60" s="219"/>
      <c r="C60" s="219"/>
      <c r="D60" s="219"/>
      <c r="E60" s="219"/>
      <c r="F60" s="219"/>
      <c r="G60" s="219"/>
      <c r="H60" s="219" t="n">
        <f aca="false">VLOOKUP(I60,$EJ$20:$EL$54,3)</f>
        <v>0</v>
      </c>
      <c r="I60" s="511" t="n">
        <f aca="false">EOMONTH(I59,0)+1</f>
        <v>37987</v>
      </c>
      <c r="J60" s="512"/>
      <c r="K60" s="513" t="n">
        <v>0</v>
      </c>
      <c r="L60" s="514" t="n">
        <f aca="false">IF(ISNUMBER(K60),J60+K60/100,IF(K60="extra",L59+VLOOKUP(BF60,PriceSpreadTable,2)/12,IF(K60="inter",interpolateprices($K$19:$L$200,ROW(K60)-ROW(FirstPricingMonth)+1),interpolatechanges($J$19:$K$200,ROW(K60)-ROW(FirstPricingMonth)+1))))</f>
        <v>0</v>
      </c>
      <c r="M60" s="515"/>
      <c r="N60" s="516" t="n">
        <v>0</v>
      </c>
      <c r="O60" s="515" t="n">
        <f aca="false">M60+N60</f>
        <v>0</v>
      </c>
      <c r="P60" s="512"/>
      <c r="Q60" s="513" t="s">
        <v>280</v>
      </c>
      <c r="R60" s="512" t="e">
        <f aca="false">IF(ISNUMBER(Q60),P60+Q60/100,IF(Q60="extra",(Z58*AL58-R59*AM58)/AN58,IF(Q60="inter",interpolateprices($Q$19:$R$260,ROW(Q60)-ROW(FirstPricingMonth)+1),interpolatechanges($P$19:$Q$260,ROW(Q60)-ROW(FirstPricingMonth)+1))))</f>
        <v>#VALUE!</v>
      </c>
      <c r="S60" s="597" t="n">
        <f aca="false">S$19+(S59-S$19)*S$18</f>
        <v>0.360000536351209</v>
      </c>
      <c r="T60" s="575" t="n">
        <f aca="false">SQRT((1-(1-T59^2/U59)*T$18)*U60)</f>
        <v>0.99978653255632</v>
      </c>
      <c r="U60" s="576" t="n">
        <f aca="false">1-(1-U59)*U$18</f>
        <v>0.999999849151223</v>
      </c>
      <c r="V60" s="521" t="n">
        <v>0</v>
      </c>
      <c r="W60" s="577" t="n">
        <f aca="false">(J61*AJ60+J62*AK60)/AI60</f>
        <v>0</v>
      </c>
      <c r="X60" s="578" t="e">
        <f aca="false">(L61*AJ60+L62*AK60)/AI60</f>
        <v>#VALUE!</v>
      </c>
      <c r="Y60" s="579" t="n">
        <f aca="false">IF(Q62="extra",W60-AA60,(P61*AM60+P62*AN60)/AL60)</f>
        <v>-1.1115</v>
      </c>
      <c r="Z60" s="579" t="e">
        <f aca="false">IF(Q62="extra",X60-AB60,(R61*AM60+R62*AN60)/AL60)</f>
        <v>#VALUE!</v>
      </c>
      <c r="AA60" s="523" t="n">
        <f aca="false">IF(Q62="extra",INDEX(BrentSeasonalityTable,INT((BG60-1)/3)+1)*VLOOKUP(MAX(BF60,$AB$4),PriceSpreadTable,3),W60-Y60)</f>
        <v>1.1115</v>
      </c>
      <c r="AB60" s="524" t="n">
        <f aca="false">IF(Q62="extra",INDEX(BrentSeasonalityTable,INT((BG60-1)/3)+1)*VLOOKUP(MAX(BF60,$AB$4),PriceSpreadTable,3),X60-Z60)</f>
        <v>1.1115</v>
      </c>
      <c r="AC60" s="525" t="n">
        <v>37975</v>
      </c>
      <c r="AD60" s="646" t="n">
        <v>37971</v>
      </c>
      <c r="AE60" s="646" t="n">
        <v>37970</v>
      </c>
      <c r="AF60" s="646" t="n">
        <v>37966</v>
      </c>
      <c r="AG60" s="438" t="s">
        <v>247</v>
      </c>
      <c r="AH60" s="439" t="s">
        <v>278</v>
      </c>
      <c r="AI60" s="528" t="n">
        <v>21</v>
      </c>
      <c r="AJ60" s="529" t="n">
        <v>13</v>
      </c>
      <c r="AK60" s="529" t="n">
        <v>8</v>
      </c>
      <c r="AL60" s="530" t="n">
        <v>21</v>
      </c>
      <c r="AM60" s="529" t="n">
        <v>9</v>
      </c>
      <c r="AN60" s="531" t="n">
        <v>12</v>
      </c>
      <c r="AO60" s="532"/>
      <c r="AP60" s="465" t="n">
        <f aca="false">(1+AO60/2)^(-2*BL60)</f>
        <v>1</v>
      </c>
      <c r="AQ60" s="532"/>
      <c r="AR60" s="465" t="n">
        <f aca="false">(1+AQ60/2)^(-2*BH60/365.25)</f>
        <v>1</v>
      </c>
      <c r="AS60" s="580" t="n">
        <f aca="false">(O61*AJ60+O62*AK60)/AI60</f>
        <v>0</v>
      </c>
      <c r="AT60" s="468" t="n">
        <f aca="false">O60*VLOOKUP(BF60,BrentVolTable,2)+VLOOKUP(BF60,BrentVolTable,3)</f>
        <v>0</v>
      </c>
      <c r="AU60" s="468" t="n">
        <f aca="false">(AT61*AM60+AT62*AN60)/AL60</f>
        <v>0</v>
      </c>
      <c r="AV60" s="595" t="n">
        <f aca="false">SQRT(MAX(0.000000000001,(O60^2*BH60-S60^2*(BH60-BH59))/BH59))</f>
        <v>0.0220675190936189</v>
      </c>
      <c r="AW60" s="451" t="n">
        <f aca="false">IF($I60-DateToday+15&gt;=$T$8,"",IF($I60-DateToday+15&lt;$T$5,1,MATCH($I60-DateToday+15,$T$5:$T$8)))</f>
        <v>1</v>
      </c>
      <c r="AX60" s="468" t="n">
        <f aca="false">IF($AW60="",AX59^2/AX58,INDEX(U$5:U$8,$AW60)^((INDEX($T$5:$T$8,$AW60+1)-($I60-DateToday+15))/(INDEX($T$5:$T$8,$AW60+1)-INDEX($T$5:$T$8,$AW60)))/INDEX(U$5:U$8,$AW60+1)^((INDEX($T$5:$T$8,$AW60)-($I60-DateToday+15))/(INDEX($T$5:$T$8,$AW60+1)-INDEX($T$5:$T$8,$AW60))))</f>
        <v>5.33822893681053</v>
      </c>
      <c r="AY60" s="468" t="n">
        <f aca="false">IF($AW60="",AY59^2/AY58,INDEX(V$5:V$8,$AW60)^((INDEX($T$5:$T$8,$AW60+1)-($I60-DateToday+15))/(INDEX($T$5:$T$8,$AW60+1)-INDEX($T$5:$T$8,$AW60)))/INDEX(V$5:V$8,$AW60+1)^((INDEX($T$5:$T$8,$AW60)-($I60-DateToday+15))/(INDEX($T$5:$T$8,$AW60+1)-INDEX($T$5:$T$8,$AW60))))</f>
        <v>968.023947605092</v>
      </c>
      <c r="AZ60" s="468" t="n">
        <f aca="false">IF($AW60="",AZ59^2/AZ58,INDEX(W$5:W$8,$AW60)^((INDEX($T$5:$T$8,$AW60+1)-($I60-DateToday+15))/(INDEX($T$5:$T$8,$AW60+1)-INDEX($T$5:$T$8,$AW60)))/INDEX(W$5:W$8,$AW60+1)^((INDEX($T$5:$T$8,$AW60)-($I60-DateToday+15))/(INDEX($T$5:$T$8,$AW60+1)-INDEX($T$5:$T$8,$AW60))))</f>
        <v>26104401.6435714</v>
      </c>
      <c r="BA60" s="468" t="n">
        <f aca="false">IF($AW60="",BA59^2/BA58,INDEX(X$5:X$8,$AW60)^((INDEX($T$5:$T$8,$AW60+1)-($I60-DateToday+15))/(INDEX($T$5:$T$8,$AW60+1)-INDEX($T$5:$T$8,$AW60)))/INDEX(X$5:X$8,$AW60+1)^((INDEX($T$5:$T$8,$AW60)-($I60-DateToday+15))/(INDEX($T$5:$T$8,$AW60+1)-INDEX($T$5:$T$8,$AW60))))</f>
        <v>1451575752.41497</v>
      </c>
      <c r="BB60" s="468" t="n">
        <f aca="false">IF($AW60="",BB59^2/BB58,INDEX(Y$5:Y$8,$AW60)^((INDEX($T$5:$T$8,$AW60+1)-($I60-DateToday+15))/(INDEX($T$5:$T$8,$AW60+1)-INDEX($T$5:$T$8,$AW60)))/INDEX(Y$5:Y$8,$AW60+1)^((INDEX($T$5:$T$8,$AW60)-($I60-DateToday+15))/(INDEX($T$5:$T$8,$AW60+1)-INDEX($T$5:$T$8,$AW60))))</f>
        <v>27012553457.5066</v>
      </c>
      <c r="BC60" s="468" t="n">
        <f aca="false">IF($AW60="",BC59^2/BC58,INDEX(Z$5:Z$8,$AW60)^((INDEX($T$5:$T$8,$AW60+1)-($I60-DateToday+15))/(INDEX($T$5:$T$8,$AW60+1)-INDEX($T$5:$T$8,$AW60)))/INDEX(Z$5:Z$8,$AW60+1)^((INDEX($T$5:$T$8,$AW60)-($I60-DateToday+15))/(INDEX($T$5:$T$8,$AW60+1)-INDEX($T$5:$T$8,$AW60))))</f>
        <v>154690110986.326</v>
      </c>
      <c r="BD60" s="535" t="n">
        <f aca="false">IF(OR(DateStart&gt;=I61,DateEnd&lt;I60),0,IF(VolumeOverrideFlag,V60,Volume))</f>
        <v>0</v>
      </c>
      <c r="BE60" s="536" t="n">
        <f aca="false">IF(OR(DateStart2&gt;=I61,DateEnd2&lt;I60),0,IF(VolumeOverrideFlag,V60,VolumeSwaption))</f>
        <v>0</v>
      </c>
      <c r="BF60" s="537" t="n">
        <f aca="false">YEAR(I60)</f>
        <v>2004</v>
      </c>
      <c r="BG60" s="538" t="n">
        <f aca="false">MONTH(I60)</f>
        <v>1</v>
      </c>
      <c r="BH60" s="539" t="n">
        <f aca="false">AD60-DateToday+1</f>
        <v>-7954</v>
      </c>
      <c r="BI60" s="540" t="n">
        <f aca="false">(I60-DateToday+1)/365.25</f>
        <v>-21.7330595482546</v>
      </c>
      <c r="BJ60" s="541" t="n">
        <f aca="false">BI60+(BL60-BI60)*CHOOSE(Underlying,AJ60/AI60,AM60/AL60)</f>
        <v>-21.6822137479222</v>
      </c>
      <c r="BK60" s="541" t="n">
        <f aca="false">BJ60+1/365.25</f>
        <v>-21.679475897135</v>
      </c>
      <c r="BL60" s="541" t="n">
        <f aca="false">(I61-DateToday)/365.25</f>
        <v>-21.6509240246407</v>
      </c>
      <c r="BM60" s="542" t="e">
        <f aca="false">MAX(BI60-(BJ60-BI60)*(S61^2/O61^2-1),0)</f>
        <v>#DIV/0!</v>
      </c>
      <c r="BN60" s="541" t="e">
        <f aca="false">MAX(BL60+(BL60-BK60)*(S62^2/O62^2-1),0)</f>
        <v>#DIV/0!</v>
      </c>
      <c r="BO60" s="530" t="n">
        <f aca="false">CHOOSE(Underlying,AI60,AL60)</f>
        <v>21</v>
      </c>
      <c r="BP60" s="529" t="n">
        <f aca="false">CHOOSE(Underlying,AJ60,AM60)</f>
        <v>13</v>
      </c>
      <c r="BQ60" s="529" t="n">
        <f aca="false">CHOOSE(Underlying,AK60,AN60)</f>
        <v>8</v>
      </c>
      <c r="BR60" s="463" t="str">
        <f aca="false">IF(BD60,IF(Underlying=1,X60,Z60)+UnderlyingPriceAsian-SwapPriceCurve,"")</f>
        <v/>
      </c>
      <c r="BS60" s="463" t="str">
        <f aca="false">IF(BD60,Strike1/BR60-1,"")</f>
        <v/>
      </c>
      <c r="BT60" s="464" t="str">
        <f aca="false">IF(BD60,Strike2/BR60-1,"")</f>
        <v/>
      </c>
      <c r="BU60" s="465" t="str">
        <f aca="false">IF(BD60,IF(Underlying=1,L61,R61)+UnderlyingPriceAsian-SwapPriceCurve,"")</f>
        <v/>
      </c>
      <c r="BV60" s="465" t="str">
        <f aca="false">IF(BD60,IF(Underlying=1,L62,R62)+UnderlyingPriceAsian-SwapPriceCurve,"")</f>
        <v/>
      </c>
      <c r="BW60" s="466" t="str">
        <f aca="false">IF(BD60,IF(Underlying=1,O61,AT61),"")</f>
        <v/>
      </c>
      <c r="BX60" s="467" t="str">
        <f aca="false">IF(BD60,IF(Underlying=1,O62,AT62),"")</f>
        <v/>
      </c>
      <c r="BY60" s="466" t="str">
        <f aca="false">IF(BD60,IF(BS60&gt;0,IF(BS60&gt;0.2,BC60-BB60,IF(BS60&gt;0.1,BB60-BA60,BA60)),IF(BS60&lt;-0.2,AX60-AY60,IF(BS60&lt;-0.1,AY60-AZ60,AZ60))),"")</f>
        <v/>
      </c>
      <c r="BZ60" s="467" t="str">
        <f aca="false">IF(BD60,IF(BT60&gt;0,IF(BT60&gt;0.2,BC60-BB60,IF(BT60&gt;0.1,BB60-BA60,BA60)),IF(BT60&lt;-0.2,AX60-AY60,IF(BT60&lt;-0.1,AY60-AZ60,AZ60))),"")</f>
        <v/>
      </c>
      <c r="CA60" s="468" t="str">
        <f aca="false">IF($BD60,$BW60+IF(VolSkewFlag=1,IF(BS60&gt;0,$BA60*MIN(BS60/10%,1)+($BB60-$BA60)*MAX(0,MIN(BS60/10%-1,1))+($BC60-$BB60)*MAX(0,BS60/10%-2),$AZ60*MIN(-BS60/10%,1)+($AY60-$AZ60)*MAX(0,MIN(-BS60/10%-1,1))+($AX60-$AY60)*MAX(0,-BS60/10%-2)),0),"")</f>
        <v/>
      </c>
      <c r="CB60" s="468" t="str">
        <f aca="false">IF($BD60,$BX60+IF(VolSkewFlag=1,IF(BS60&gt;0,$BA60*MIN(BS60/10%,1)+($BB60-$BA60)*MAX(0,MIN(BS60/10%-1,1))+($BC60-$BB60)*MAX(0,BS60/10%-2),$AZ60*MIN(-BS60/10%,1)+($AY60-$AZ60)*MAX(0,MIN(-BS60/10%-1,1))+($AX60-$AY60)*MAX(0,-BS60/10%-2)),0),"")</f>
        <v/>
      </c>
      <c r="CC60" s="468" t="str">
        <f aca="false">IF($BD60,$BW60+IF(VolSkewFlag=1,IF(BT60&gt;0,$BA60*MIN(BT60/10%,1)+($BB60-$BA60)*MAX(0,MIN(BT60/10%-1,1))+($BC60-$BB60)*MAX(0,BT60/10%-2),$AZ60*MIN(-BT60/10%,1)+($AY60-$AZ60)*MAX(0,MIN(-BT60/10%-1,1))+($AX60-$AY60)*MAX(0,-BT60/10%-2)),0),"")</f>
        <v/>
      </c>
      <c r="CD60" s="468" t="str">
        <f aca="false">IF($BD60,$BX60+IF(VolSkewFlag=1,IF(BT60&gt;0,$BA60*MIN(BT60/10%,1)+($BB60-$BA60)*MAX(0,MIN(BT60/10%-1,1))+($BC60-$BB60)*MAX(0,BT60/10%-2),$AZ60*MIN(-BT60/10%,1)+($AY60-$AZ60)*MAX(0,MIN(-BT60/10%-1,1))+($AX60-$AY60)*MAX(0,-BT60/10%-2)),0),"")</f>
        <v/>
      </c>
      <c r="CE60" s="469" t="n">
        <v>1</v>
      </c>
      <c r="CF60" s="470" t="n">
        <f aca="false">IF(BD60,xCrudeAPO(BU60,BV60,CA60,CB60,S61,S62,BI60,BL60,BP60,BQ60,0,Strike1,AO60,CE60,0,BL60,IF(OptControl=4,0,1),0,1),0)</f>
        <v>0</v>
      </c>
      <c r="CG60" s="470" t="n">
        <f aca="false">IF(BD60,xCrudeAPO(BU60,BV60,CA60,CB60,S61,S62,BI60,BL60,BP60,BQ60,0,Strike1,AO60,CE60,0,BL60,IF(OptControl=4,0,1),1,1)+xCrudeAPO(BU60,BV60,CA60,CB60,S61,S62,BI60,BL60,BP60,BQ60,0,Strike1,AO60,CE60,0,BL60,IF(OptControl=4,0,1),1,2)+IF(OR(VolSkewFlag=2,ABS(BS60)&lt;0.0001),0,IF(BS60&gt;0,-1,1)*CH60*Strike1/BR60^2*BY60/10%),0)</f>
        <v>0</v>
      </c>
      <c r="CH60" s="470" t="n">
        <f aca="false">IF(BD60,(xCrudeAPO(BU60,BV60,CA60,CB60,S61,S62,BI60,BL60,BP60,BQ60,0,Strike1,AO60,CE60,0,BL60,IF(OptControl=4,0,1),3,1)+xCrudeAPO(BU60,BV60,CA60,CB60,S61,S62,BI60,BL60,BP60,BQ60,0,Strike1,AO60,CE60,0,BL60,IF(OptControl=4,0,1),3,2))/100,0)</f>
        <v>0</v>
      </c>
      <c r="CI60" s="470" t="n">
        <f aca="false">IF(BD60,xCrudeAPO(BU60,BV60,CA60,CB60,S61,S62,BI60-DaysForThetaCalculation/365.25,BL60-DaysForThetaCalculation/365.25,BP60,BQ60,0,Strike1,AO60,CE60,0,BL60,IF(OptControl=4,0,1),0,1)-xCrudeAPO(BU60,BV60,CA60,CB60,S61,S62,BI60,BL60,BP60,BQ60,0,Strike1,AO60,CE60,0,BL60,IF(OptControl=4,0,1),0,1),0)</f>
        <v>0</v>
      </c>
      <c r="CJ60" s="471" t="n">
        <f aca="false">IF(BD60,xCrudeAPO(BU60,BV60,CC60,CD60,S61,S62,BI60,BL60,BP60,BQ60,0,Strike2,AO60,CE60,0,BL60,IF(OptControl=3,1,0),0,1),0)</f>
        <v>0</v>
      </c>
      <c r="CK60" s="470" t="n">
        <f aca="false">IF(BD60,xCrudeAPO(BU60,BV60,CC60,CD60,S61,S62,BI60,BL60,BP60,BQ60,0,Strike2,AO60,CE60,0,BL60,IF(OptControl=3,1,0),1,1)+xCrudeAPO(BU60,BV60,CC60,CD60,S61,S62,BI60,BL60,BP60,BQ60,0,Strike2,AO60,CE60,0,BL60,IF(OptControl=3,1,0),1,2)+IF(OR(VolSkewFlag=2,ABS(BT60)&lt;0.0001),0,IF(BT60&gt;0,-1,1)*CL60*Strike2/BR60^2*BZ60/10%),0)</f>
        <v>0</v>
      </c>
      <c r="CL60" s="470" t="n">
        <f aca="false">IF(BD60,(xCrudeAPO(BU60,BV60,CC60,CD60,S61,S62,BI60,BL60,BP60,BQ60,0,Strike2,AO60,CE60,0,BL60,IF(OptControl=3,1,0),3,1)+xCrudeAPO(BU60,BV60,CC60,CD60,S61,S62,BI60,BL60,BP60,BQ60,0,Strike2,AO60,CE60,0,BL60,IF(OptControl=3,1,0),3,2))/100,0)</f>
        <v>0</v>
      </c>
      <c r="CM60" s="472" t="n">
        <f aca="false">IF(BD60,xCrudeAPO(BU60,BV60,CC60,CD60,S61,S62,BI60-DaysForThetaCalculation/365.25,BL60-DaysForThetaCalculation/365.25,BP60,BQ60,0,Strike2,AO60,CE60,0,BL60,IF(OptControl=3,1,0),0,1)-xCrudeAPO(BU60,BV60,CC60,CD60,S61,S62,BI60,BL60,BP60,BQ60,0,Strike2,AO60,CE60,0,BL60,IF(OptControl=3,1,0),0,1),0)</f>
        <v>0</v>
      </c>
      <c r="CN60" s="3"/>
      <c r="CO60" s="543" t="str">
        <f aca="false">IF(BD60,CHOOSE(Underlying,AD60,AF60)-DateToday+1,"")</f>
        <v/>
      </c>
      <c r="CP60" s="582" t="str">
        <f aca="false">IF(BD60,CHOOSE(Underlying,L60,R60),"")</f>
        <v/>
      </c>
      <c r="CQ60" s="544" t="str">
        <f aca="false">IF(BD60,Strike1/CP60-1,"")</f>
        <v/>
      </c>
      <c r="CR60" s="544" t="str">
        <f aca="false">IF(BD60,Strike2/CP60-1,"")</f>
        <v/>
      </c>
      <c r="CS60" s="544" t="str">
        <f aca="false">IF(BD60,IF(CQ60&gt;0,IF(CQ60&gt;0.2,BC59-BB59,IF(CQ60&gt;0.1,BB59-BA59,BA59)),IF(CQ60&lt;-0.2,AX59-AY59,IF(CQ60&lt;-0.1,AY59-AZ59,AZ59))),"")</f>
        <v/>
      </c>
      <c r="CT60" s="544" t="str">
        <f aca="false">IF(BD60,IF(CR60&gt;0,IF(CR60&gt;0.2,BC59-BB59,IF(CR60&gt;0.1,BB59-BA59,BA59)),IF(CR60&lt;-0.2,AX59-AY59,IF(CR60&lt;-0.1,AY59-AZ59,AZ59))),"")</f>
        <v/>
      </c>
      <c r="CU60" s="545" t="str">
        <f aca="false">IF(BD60,CHOOSE(Underlying,O60,AT60),"")</f>
        <v/>
      </c>
      <c r="CV60" s="545" t="str">
        <f aca="false">IF(BD60,CU60+IF(VolSkewFlag=1,IF(CQ60&gt;0,BA59*MIN(CQ60/10%,1)+(BB59-BA59)*MAX(0,MIN(CQ60/10%-1,1))+(BC59-BB59)*MAX(0,CQ60/10%-2),AZ59*MIN(-CQ60/10%,1)+(AY59-AZ59)*MAX(0,MIN(-CQ60/10%-1,1))+(AX59-AY59)*MAX(0,-CQ60/10%-2)),0),"")</f>
        <v/>
      </c>
      <c r="CW60" s="545" t="str">
        <f aca="false">IF(BD60,CU60+IF(VolSkewFlag=1,IF(CR60&gt;0,BA59*MIN(CR60/10%,1)+(BB59-BA59)*MAX(0,MIN(CR60/10%-1,1))+(BC59-BB59)*MAX(0,CR60/10%-2),AZ59*MIN(-CR60/10%,1)+(AY59-AZ59)*MAX(0,MIN(-CR60/10%-1,1))+(AX59-AY59)*MAX(0,-CR60/10%-2)),0),"")</f>
        <v/>
      </c>
      <c r="CX60" s="470" t="n">
        <f aca="false">IF(BD60,EURO(CP60,Strike1,AO60,AO60,CV60,CO60,IF(OptControl=4,0,1),0),0)</f>
        <v>0</v>
      </c>
      <c r="CY60" s="470" t="n">
        <f aca="false">IF(BD60,EURO(CP60,Strike1,AO60,AO60,CV60,CO60,IF(OptControl=4,0,1),1)+IF(OR(VolSkewFlag=2,ABS(CQ60)&lt;0.0001),0,IF(CQ60&gt;0,-1,1)*CZ60*100*Strike1/CP60^2*CS60/10%),0)</f>
        <v>0</v>
      </c>
      <c r="CZ60" s="470" t="n">
        <f aca="false">IF(BD60,EURO(CP60,Strike1,AO60,AO60,CV60,CO60,IF(OptControl=4,0,1),3)/100,0)</f>
        <v>0</v>
      </c>
      <c r="DA60" s="470" t="n">
        <f aca="false">IF(BD60,EURO(CP60,Strike1,AO60,AO60,CV60,CO60,IF(OptControl=4,0,1),0)-EURO(CP60,Strike1,AO60,AO60,CV60,CO60-1,IF(OptControl=4,0,1),0),0)</f>
        <v>0</v>
      </c>
      <c r="DB60" s="470" t="n">
        <f aca="false">IF(BD60,EURO(CP60,Strike2,AO60,AO60,CW60,CO60,IF(OptControl=3,1,0),0),0)</f>
        <v>0</v>
      </c>
      <c r="DC60" s="470" t="n">
        <f aca="false">IF(BD60,EURO(CP60,Strike2,AO60,AO60,CW60,CO60,IF(OptControl=3,1,0),1)+IF(OR(VolSkewFlag=2,ABS(CR60)&lt;0.0001),0,IF(CR60&gt;0,-1,1)*DD60*100*Strike2/CP60^2*CT60/10%),0)</f>
        <v>0</v>
      </c>
      <c r="DD60" s="470" t="n">
        <f aca="false">IF(BD60,EURO(CP60,Strike2,AO60,AO60,CW60,CO60,IF(OptControl=3,1,0),3)/100,0)</f>
        <v>0</v>
      </c>
      <c r="DE60" s="472" t="n">
        <f aca="false">IF(BD60,EURO(CP60,Strike2,AO60,AO60,CW60,CO60,IF(OptControl=3,1,0),0)-EURO(CP60,Strike2,AO60,AO60,CW60,CO60-1,IF(OptControl=3,1,0),0),0)</f>
        <v>0</v>
      </c>
      <c r="DG60" s="481" t="n">
        <f aca="false">EOMONTH(DG59,0)+1</f>
        <v>46905</v>
      </c>
      <c r="DH60" s="478" t="n">
        <v>18.72</v>
      </c>
      <c r="DI60" s="479" t="n">
        <v>18.6557142857143</v>
      </c>
      <c r="DJ60" s="480" t="n">
        <f aca="false">DG60</f>
        <v>46905</v>
      </c>
      <c r="DK60" s="478" t="n">
        <v>17.4798462846086</v>
      </c>
      <c r="DL60" s="479" t="n">
        <v>17.4692142857143</v>
      </c>
      <c r="DM60" s="481" t="n">
        <f aca="false">DG60</f>
        <v>46905</v>
      </c>
      <c r="DN60" s="482" t="n">
        <f aca="false">DK60+BrentPhyBrentSpread</f>
        <v>17.5298462846086</v>
      </c>
      <c r="DO60" s="481" t="n">
        <f aca="false">DG60</f>
        <v>46905</v>
      </c>
      <c r="DP60" s="483" t="n">
        <f aca="false">DL60+DQ60</f>
        <v>17.4692142857143</v>
      </c>
      <c r="DQ60" s="546" t="n">
        <v>0</v>
      </c>
      <c r="DR60" s="480" t="n">
        <f aca="false">DG60</f>
        <v>46905</v>
      </c>
      <c r="DS60" s="485" t="n">
        <v>0.20870585831477</v>
      </c>
      <c r="DT60" s="486" t="n">
        <v>0.207711579098196</v>
      </c>
      <c r="DU60" s="480" t="n">
        <f aca="false">DG60</f>
        <v>46905</v>
      </c>
      <c r="DV60" s="485" t="n">
        <v>0.20870585831477</v>
      </c>
      <c r="DW60" s="486" t="n">
        <v>0.207711579098196</v>
      </c>
      <c r="DX60" s="481" t="n">
        <f aca="false">DG60</f>
        <v>46905</v>
      </c>
      <c r="DY60" s="486" t="n">
        <v>0.350000000000146</v>
      </c>
      <c r="DZ60" s="481" t="n">
        <f aca="false">DR60</f>
        <v>46905</v>
      </c>
      <c r="EA60" s="486" t="n">
        <f aca="false">DT60</f>
        <v>0.207711579098196</v>
      </c>
      <c r="EB60" s="195"/>
      <c r="EC60" s="547" t="str">
        <f aca="false">IF(BD60,IF(Underlying=1,AS60,AU60),"")</f>
        <v/>
      </c>
      <c r="ED60" s="548" t="str">
        <f aca="false">IF($BD60,$EC60+IF(VolSkewFlag=1,IF(BS60&gt;0,$BA60*MIN(BS60/10%,1)+($BB60-$BA60)*MAX(0,MIN(BS60/10%-1,1))+($BC60-$BB60)*MAX(0,BS60/10%-2),$AZ60*MIN(-BS60/10%,1)+($AY60-$AZ60)*MAX(0,MIN(-BS60/10%-1,1))+($AX60-$AY60)*MAX(0,-BS60/10%-2)),0),"")</f>
        <v/>
      </c>
      <c r="EE60" s="549" t="str">
        <f aca="false">IF($BD60,$EC60+IF(VolSkewFlag=1,IF(BT60&gt;0,$BA60*MIN(BT60/10%,1)+($BB60-$BA60)*MAX(0,MIN(BT60/10%-1,1))+($BC60-$BB60)*MAX(0,BT60/10%-2),$AZ60*MIN(-BT60/10%,1)+($AY60-$AZ60)*MAX(0,MIN(-BT60/10%-1,1))+($AX60-$AY60)*MAX(0,-BT60/10%-2)),0),"")</f>
        <v/>
      </c>
      <c r="EF60" s="550" t="n">
        <f aca="false">IF(BD60,xASN(BR60,Strike1,AO60,ED60,0,BO60,0,BI60,BL60,IF(OptControl=4,0,1),0),0)</f>
        <v>0</v>
      </c>
      <c r="EG60" s="551" t="n">
        <f aca="false">IF(BD60,xASN(BR60,Strike2,AO60,EE60,0,BO60,0,BI60,BL60,IF(OptControl=3,1,0),0),0)</f>
        <v>0</v>
      </c>
      <c r="EL60" s="1"/>
      <c r="EM60" s="195"/>
      <c r="EN60" s="556" t="n">
        <v>40544</v>
      </c>
      <c r="EO60" s="557" t="n">
        <v>43831</v>
      </c>
      <c r="EP60" s="195"/>
      <c r="EQ60" s="407" t="s">
        <v>286</v>
      </c>
      <c r="ES60" s="587" t="n">
        <v>41</v>
      </c>
      <c r="ET60" s="559" t="n">
        <f aca="false">BH60/365.25</f>
        <v>-21.7768651608487</v>
      </c>
      <c r="EU60" s="560" t="n">
        <f aca="false">O60^2*ET60</f>
        <v>-0</v>
      </c>
      <c r="EV60" s="588" t="e">
        <f aca="false">SQRT(SUM(FK60:ID60)/ET60)</f>
        <v>#VALUE!</v>
      </c>
      <c r="EW60" s="589" t="str">
        <f aca="false">IF(OR(DateStart2&gt;I59,DateEnd2&lt;I58),"",IF(DateStart2&lt;I59,AK58/AI58*AP58*BE58*SwaptionNumOfMonths/$D$33,0)+IF(DateEnd2&gt;I58,AJ59/AI59*AP59*BE59*SwaptionNumOfMonths/$D$33,0))</f>
        <v/>
      </c>
      <c r="EX60" s="590" t="str">
        <f aca="false">IF(EW60="","",SQRT(SUM(FK365:ID365)/SwaptionYearsToExp))</f>
        <v/>
      </c>
      <c r="EY60" s="129" t="n">
        <v>0</v>
      </c>
      <c r="EZ60" s="591" t="str">
        <f aca="false">IF(OR(EW60="",EW61=""),"",SQRT(SUM(INDEX(FK60:ID60,SwaptionFirstMonthPosition+1):INDEX(FK60:ID60,FJ60))/SUM(INDEX($FK$15:$ID$15,SwaptionFirstMonthPosition+1):INDEX($FK$15:$ID$15,FJ60))))</f>
        <v/>
      </c>
      <c r="FA60" s="592" t="str">
        <f aca="false">IF(OR(EW60="",EW59=""),"",SQRT(SUM(INDEX(FK60:ID60,SwaptionFirstMonthPosition+1):INDEX(FK60:ID60,FJ60-1))/SUM(INDEX($FK$15:$ID$15,SwaptionFirstMonthPosition+1):INDEX($FK$15:$ID$15,FJ60-1))))</f>
        <v/>
      </c>
      <c r="FB60" s="593" t="str">
        <f aca="false">IF(BE60,2/3*EZ61+1/3*FA62,"")</f>
        <v/>
      </c>
      <c r="FC60" s="596" t="str">
        <f aca="false">IF(BE60,(I61+I60-1)/2-DateToday,"")</f>
        <v/>
      </c>
      <c r="FD60" s="483" t="str">
        <f aca="false">IF(BE60,CHOOSE(Underlying,X60,Z60)+SwaptionUnderlyingPrice-$D$26,"")</f>
        <v/>
      </c>
      <c r="FE60" s="483" t="str">
        <f aca="false">IF(BE60,CollartionFloor/FD60-1,"")</f>
        <v/>
      </c>
      <c r="FF60" s="483" t="str">
        <f aca="false">IF(BE60,CollartionCap/FD60-1,"")</f>
        <v/>
      </c>
      <c r="FG60" s="485" t="str">
        <f aca="false">IF(BE60,IF(VolSkewFlag=1,IF(FE60&gt;0,$BA60*MIN(FE60/10%,1)+($BB60-$BA60)*MAX(0,MIN(FE60/10%-1,1))+($BC60-$BB60)*MAX(0,FE60/10%-2),$AZ60*MIN(-FE60/10%,1)+($AY60-$AZ60)*MAX(0,MIN(-FE60/10%-1,1))+($AX60-$AY60)*MAX(0,-FE60/10%-2)),0),"")</f>
        <v/>
      </c>
      <c r="FH60" s="486" t="str">
        <f aca="false">IF(BE60,IF(VolSkewFlag=1,IF(FF60&gt;0,$BA60*MIN(FF60/10%,1)+($BB60-$BA60)*MAX(0,MIN(FF60/10%-1,1))+($BC60-$BB60)*MAX(0,FF60/10%-2),$AZ60*MIN(-FF60/10%,1)+($AY60-$AZ60)*MAX(0,MIN(-FF60/10%-1,1))+($AX60-$AY60)*MAX(0,-FF60/10%-2)),0),"")</f>
        <v/>
      </c>
      <c r="FI60" s="129"/>
      <c r="FJ60" s="571" t="n">
        <v>41</v>
      </c>
      <c r="FK60" s="150" t="n">
        <f aca="false">IF(FK$19&gt;$FJ60,"",MAX(0,IF(FK$19=$FJ60,$S60^2*FK$15,FK59*INDEX($T$20:$T$91,$FJ60-FK$19)^2/INDEX($U$20:$U$91,$FJ60-FK$19))))</f>
        <v>0</v>
      </c>
      <c r="FL60" s="150" t="n">
        <f aca="false">IF(FL$19&gt;$FJ60,"",MAX(0,IF(FL$19=$FJ60,$S60^2*FL$15,FL59*INDEX($T$20:$T$91,$FJ60-FL$19)^2/INDEX($U$20:$U$91,$FJ60-FL$19))))</f>
        <v>0</v>
      </c>
      <c r="FM60" s="150" t="n">
        <f aca="false">IF(FM$19&gt;$FJ60,"",MAX(0,IF(FM$19=$FJ60,$S60^2*FM$15,FM59*INDEX($T$20:$T$91,$FJ60-FM$19)^2/INDEX($U$20:$U$91,$FJ60-FM$19))))</f>
        <v>0.00255703818783641</v>
      </c>
      <c r="FN60" s="150" t="n">
        <f aca="false">IF(FN$19&gt;$FJ60,"",MAX(0,IF(FN$19=$FJ60,$S60^2*FN$15,FN59*INDEX($T$20:$T$91,$FJ60-FN$19)^2/INDEX($U$20:$U$91,$FJ60-FN$19))))</f>
        <v>0.00215365210060908</v>
      </c>
      <c r="FO60" s="150" t="n">
        <f aca="false">IF(FO$19&gt;$FJ60,"",MAX(0,IF(FO$19=$FJ60,$S60^2*FO$15,FO59*INDEX($T$20:$T$91,$FJ60-FO$19)^2/INDEX($U$20:$U$91,$FJ60-FO$19))))</f>
        <v>0.00224190648390813</v>
      </c>
      <c r="FP60" s="150" t="n">
        <f aca="false">IF(FP$19&gt;$FJ60,"",MAX(0,IF(FP$19=$FJ60,$S60^2*FP$15,FP59*INDEX($T$20:$T$91,$FJ60-FP$19)^2/INDEX($U$20:$U$91,$FJ60-FP$19))))</f>
        <v>0.00248658392176925</v>
      </c>
      <c r="FQ60" s="150" t="n">
        <f aca="false">IF(FQ$19&gt;$FJ60,"",MAX(0,IF(FQ$19=$FJ60,$S60^2*FQ$15,FQ59*INDEX($T$20:$T$91,$FJ60-FQ$19)^2/INDEX($U$20:$U$91,$FJ60-FQ$19))))</f>
        <v>0.00201535056548943</v>
      </c>
      <c r="FR60" s="150" t="n">
        <f aca="false">IF(FR$19&gt;$FJ60,"",MAX(0,IF(FR$19=$FJ60,$S60^2*FR$15,FR59*INDEX($T$20:$T$91,$FJ60-FR$19)^2/INDEX($U$20:$U$91,$FJ60-FR$19))))</f>
        <v>0.00206323795594603</v>
      </c>
      <c r="FS60" s="150" t="n">
        <f aca="false">IF(FS$19&gt;$FJ60,"",MAX(0,IF(FS$19=$FJ60,$S60^2*FS$15,FS59*INDEX($T$20:$T$91,$FJ60-FS$19)^2/INDEX($U$20:$U$91,$FJ60-FS$19))))</f>
        <v>0.00232859288059246</v>
      </c>
      <c r="FT60" s="150" t="n">
        <f aca="false">IF(FT$19&gt;$FJ60,"",MAX(0,IF(FT$19=$FJ60,$S60^2*FT$15,FT59*INDEX($T$20:$T$91,$FJ60-FT$19)^2/INDEX($U$20:$U$91,$FJ60-FT$19))))</f>
        <v>0.00210514099633432</v>
      </c>
      <c r="FU60" s="150" t="n">
        <f aca="false">IF(FU$19&gt;$FJ60,"",MAX(0,IF(FU$19=$FJ60,$S60^2*FU$15,FU59*INDEX($T$20:$T$91,$FJ60-FU$19)^2/INDEX($U$20:$U$91,$FJ60-FU$19))))</f>
        <v>0.00202793667648529</v>
      </c>
      <c r="FV60" s="150" t="n">
        <f aca="false">IF(FV$19&gt;$FJ60,"",MAX(0,IF(FV$19=$FJ60,$S60^2*FV$15,FV59*INDEX($T$20:$T$91,$FJ60-FV$19)^2/INDEX($U$20:$U$91,$FJ60-FV$19))))</f>
        <v>0.00223381615959972</v>
      </c>
      <c r="FW60" s="150" t="n">
        <f aca="false">IF(FW$19&gt;$FJ60,"",MAX(0,IF(FW$19=$FJ60,$S60^2*FW$15,FW59*INDEX($T$20:$T$91,$FJ60-FW$19)^2/INDEX($U$20:$U$91,$FJ60-FW$19))))</f>
        <v>0.00209355066727158</v>
      </c>
      <c r="FX60" s="150" t="n">
        <f aca="false">IF(FX$19&gt;$FJ60,"",MAX(0,IF(FX$19=$FJ60,$S60^2*FX$15,FX59*INDEX($T$20:$T$91,$FJ60-FX$19)^2/INDEX($U$20:$U$91,$FJ60-FX$19))))</f>
        <v>0.00223521852849737</v>
      </c>
      <c r="FY60" s="150" t="n">
        <f aca="false">IF(FY$19&gt;$FJ60,"",MAX(0,IF(FY$19=$FJ60,$S60^2*FY$15,FY59*INDEX($T$20:$T$91,$FJ60-FY$19)^2/INDEX($U$20:$U$91,$FJ60-FY$19))))</f>
        <v>0.00209987634534397</v>
      </c>
      <c r="FZ60" s="150" t="n">
        <f aca="false">IF(FZ$19&gt;$FJ60,"",MAX(0,IF(FZ$19=$FJ60,$S60^2*FZ$15,FZ59*INDEX($T$20:$T$91,$FJ60-FZ$19)^2/INDEX($U$20:$U$91,$FJ60-FZ$19))))</f>
        <v>0.00196610131246083</v>
      </c>
      <c r="GA60" s="150" t="n">
        <f aca="false">IF(GA$19&gt;$FJ60,"",MAX(0,IF(GA$19=$FJ60,$S60^2*GA$15,GA59*INDEX($T$20:$T$91,$FJ60-GA$19)^2/INDEX($U$20:$U$91,$FJ60-GA$19))))</f>
        <v>0.00211552587935372</v>
      </c>
      <c r="GB60" s="150" t="n">
        <f aca="false">IF(GB$19&gt;$FJ60,"",MAX(0,IF(GB$19=$FJ60,$S60^2*GB$15,GB59*INDEX($T$20:$T$91,$FJ60-GB$19)^2/INDEX($U$20:$U$91,$FJ60-GB$19))))</f>
        <v>0.00233967203909757</v>
      </c>
      <c r="GC60" s="150" t="n">
        <f aca="false">IF(GC$19&gt;$FJ60,"",MAX(0,IF(GC$19=$FJ60,$S60^2*GC$15,GC59*INDEX($T$20:$T$91,$FJ60-GC$19)^2/INDEX($U$20:$U$91,$FJ60-GC$19))))</f>
        <v>0.00206974658293766</v>
      </c>
      <c r="GD60" s="150" t="n">
        <f aca="false">IF(GD$19&gt;$FJ60,"",MAX(0,IF(GD$19=$FJ60,$S60^2*GD$15,GD59*INDEX($T$20:$T$91,$FJ60-GD$19)^2/INDEX($U$20:$U$91,$FJ60-GD$19))))</f>
        <v>0.00208634901861701</v>
      </c>
      <c r="GE60" s="150" t="n">
        <f aca="false">IF(GE$19&gt;$FJ60,"",MAX(0,IF(GE$19=$FJ60,$S60^2*GE$15,GE59*INDEX($T$20:$T$91,$FJ60-GE$19)^2/INDEX($U$20:$U$91,$FJ60-GE$19))))</f>
        <v>0.00239684643113976</v>
      </c>
      <c r="GF60" s="150" t="n">
        <f aca="false">IF(GF$19&gt;$FJ60,"",MAX(0,IF(GF$19=$FJ60,$S60^2*GF$15,GF59*INDEX($T$20:$T$91,$FJ60-GF$19)^2/INDEX($U$20:$U$91,$FJ60-GF$19))))</f>
        <v>0.00213021990354365</v>
      </c>
      <c r="GG60" s="150" t="n">
        <f aca="false">IF(GG$19&gt;$FJ60,"",MAX(0,IF(GG$19=$FJ60,$S60^2*GG$15,GG59*INDEX($T$20:$T$91,$FJ60-GG$19)^2/INDEX($U$20:$U$91,$FJ60-GG$19))))</f>
        <v>0.00238207886814734</v>
      </c>
      <c r="GH60" s="150" t="n">
        <f aca="false">IF(GH$19&gt;$FJ60,"",MAX(0,IF(GH$19=$FJ60,$S60^2*GH$15,GH59*INDEX($T$20:$T$91,$FJ60-GH$19)^2/INDEX($U$20:$U$91,$FJ60-GH$19))))</f>
        <v>0.00226843994278755</v>
      </c>
      <c r="GI60" s="150" t="n">
        <f aca="false">IF(GI$19&gt;$FJ60,"",MAX(0,IF(GI$19=$FJ60,$S60^2*GI$15,GI59*INDEX($T$20:$T$91,$FJ60-GI$19)^2/INDEX($U$20:$U$91,$FJ60-GI$19))))</f>
        <v>0.00223353098136889</v>
      </c>
      <c r="GJ60" s="150" t="n">
        <f aca="false">IF(GJ$19&gt;$FJ60,"",MAX(0,IF(GJ$19=$FJ60,$S60^2*GJ$15,GJ59*INDEX($T$20:$T$91,$FJ60-GJ$19)^2/INDEX($U$20:$U$91,$FJ60-GJ$19))))</f>
        <v>0.00259706884291512</v>
      </c>
      <c r="GK60" s="150" t="n">
        <f aca="false">IF(GK$19&gt;$FJ60,"",MAX(0,IF(GK$19=$FJ60,$S60^2*GK$15,GK59*INDEX($T$20:$T$91,$FJ60-GK$19)^2/INDEX($U$20:$U$91,$FJ60-GK$19))))</f>
        <v>0.00242153231944312</v>
      </c>
      <c r="GL60" s="150" t="n">
        <f aca="false">IF(GL$19&gt;$FJ60,"",MAX(0,IF(GL$19=$FJ60,$S60^2*GL$15,GL59*INDEX($T$20:$T$91,$FJ60-GL$19)^2/INDEX($U$20:$U$91,$FJ60-GL$19))))</f>
        <v>0.00241140491720955</v>
      </c>
      <c r="GM60" s="150" t="n">
        <f aca="false">IF(GM$19&gt;$FJ60,"",MAX(0,IF(GM$19=$FJ60,$S60^2*GM$15,GM59*INDEX($T$20:$T$91,$FJ60-GM$19)^2/INDEX($U$20:$U$91,$FJ60-GM$19))))</f>
        <v>0.0026691407427596</v>
      </c>
      <c r="GN60" s="150" t="n">
        <f aca="false">IF(GN$19&gt;$FJ60,"",MAX(0,IF(GN$19=$FJ60,$S60^2*GN$15,GN59*INDEX($T$20:$T$91,$FJ60-GN$19)^2/INDEX($U$20:$U$91,$FJ60-GN$19))))</f>
        <v>0.00278057924521776</v>
      </c>
      <c r="GO60" s="150" t="n">
        <f aca="false">IF(GO$19&gt;$FJ60,"",MAX(0,IF(GO$19=$FJ60,$S60^2*GO$15,GO59*INDEX($T$20:$T$91,$FJ60-GO$19)^2/INDEX($U$20:$U$91,$FJ60-GO$19))))</f>
        <v>0.00291735595537738</v>
      </c>
      <c r="GP60" s="150" t="n">
        <f aca="false">IF(GP$19&gt;$FJ60,"",MAX(0,IF(GP$19=$FJ60,$S60^2*GP$15,GP59*INDEX($T$20:$T$91,$FJ60-GP$19)^2/INDEX($U$20:$U$91,$FJ60-GP$19))))</f>
        <v>0.0027879266685378</v>
      </c>
      <c r="GQ60" s="150" t="n">
        <f aca="false">IF(GQ$19&gt;$FJ60,"",MAX(0,IF(GQ$19=$FJ60,$S60^2*GQ$15,GQ59*INDEX($T$20:$T$91,$FJ60-GQ$19)^2/INDEX($U$20:$U$91,$FJ60-GQ$19))))</f>
        <v>0.00329820655662523</v>
      </c>
      <c r="GR60" s="150" t="n">
        <f aca="false">IF(GR$19&gt;$FJ60,"",MAX(0,IF(GR$19=$FJ60,$S60^2*GR$15,GR59*INDEX($T$20:$T$91,$FJ60-GR$19)^2/INDEX($U$20:$U$91,$FJ60-GR$19))))</f>
        <v>0.0034507237559281</v>
      </c>
      <c r="GS60" s="150" t="n">
        <f aca="false">IF(GS$19&gt;$FJ60,"",MAX(0,IF(GS$19=$FJ60,$S60^2*GS$15,GS59*INDEX($T$20:$T$91,$FJ60-GS$19)^2/INDEX($U$20:$U$91,$FJ60-GS$19))))</f>
        <v>0.0039087758522857</v>
      </c>
      <c r="GT60" s="150" t="n">
        <f aca="false">IF(GT$19&gt;$FJ60,"",MAX(0,IF(GT$19=$FJ60,$S60^2*GT$15,GT59*INDEX($T$20:$T$91,$FJ60-GT$19)^2/INDEX($U$20:$U$91,$FJ60-GT$19))))</f>
        <v>0.00421536681271785</v>
      </c>
      <c r="GU60" s="150" t="n">
        <f aca="false">IF(GU$19&gt;$FJ60,"",MAX(0,IF(GU$19=$FJ60,$S60^2*GU$15,GU59*INDEX($T$20:$T$91,$FJ60-GU$19)^2/INDEX($U$20:$U$91,$FJ60-GU$19))))</f>
        <v>0.00495015869219827</v>
      </c>
      <c r="GV60" s="150" t="n">
        <f aca="false">IF(GV$19&gt;$FJ60,"",MAX(0,IF(GV$19=$FJ60,$S60^2*GV$15,GV59*INDEX($T$20:$T$91,$FJ60-GV$19)^2/INDEX($U$20:$U$91,$FJ60-GV$19))))</f>
        <v>0.00575876844146489</v>
      </c>
      <c r="GW60" s="150" t="n">
        <f aca="false">IF(GW$19&gt;$FJ60,"",MAX(0,IF(GW$19=$FJ60,$S60^2*GW$15,GW59*INDEX($T$20:$T$91,$FJ60-GW$19)^2/INDEX($U$20:$U$91,$FJ60-GW$19))))</f>
        <v>0.00666808372516226</v>
      </c>
      <c r="GX60" s="150" t="n">
        <f aca="false">IF(GX$19&gt;$FJ60,"",MAX(0,IF(GX$19=$FJ60,$S60^2*GX$15,GX59*INDEX($T$20:$T$91,$FJ60-GX$19)^2/INDEX($U$20:$U$91,$FJ60-GX$19))))</f>
        <v>0.00852850373212461</v>
      </c>
      <c r="GY60" s="150" t="n">
        <f aca="false">IF(GY$19&gt;$FJ60,"",MAX(0,IF(GY$19=$FJ60,$S60^2*GY$15,GY59*INDEX($T$20:$T$91,$FJ60-GY$19)^2/INDEX($U$20:$U$91,$FJ60-GY$19))))</f>
        <v>0.0106447955789042</v>
      </c>
      <c r="GZ60" s="150" t="str">
        <f aca="false">IF(GZ$19&gt;$FJ60,"",MAX(0,IF(GZ$19=$FJ60,$S60^2*GZ$15,GZ59*INDEX($T$20:$T$91,$FJ60-GZ$19)^2/INDEX($U$20:$U$91,$FJ60-GZ$19))))</f>
        <v/>
      </c>
      <c r="HA60" s="150" t="str">
        <f aca="false">IF(HA$19&gt;$FJ60,"",MAX(0,IF(HA$19=$FJ60,$S60^2*HA$15,HA59*INDEX($T$20:$T$91,$FJ60-HA$19)^2/INDEX($U$20:$U$91,$FJ60-HA$19))))</f>
        <v/>
      </c>
      <c r="HB60" s="150" t="str">
        <f aca="false">IF(HB$19&gt;$FJ60,"",MAX(0,IF(HB$19=$FJ60,$S60^2*HB$15,HB59*INDEX($T$20:$T$91,$FJ60-HB$19)^2/INDEX($U$20:$U$91,$FJ60-HB$19))))</f>
        <v/>
      </c>
      <c r="HC60" s="150" t="str">
        <f aca="false">IF(HC$19&gt;$FJ60,"",MAX(0,IF(HC$19=$FJ60,$S60^2*HC$15,HC59*INDEX($T$20:$T$91,$FJ60-HC$19)^2/INDEX($U$20:$U$91,$FJ60-HC$19))))</f>
        <v/>
      </c>
      <c r="HD60" s="150" t="str">
        <f aca="false">IF(HD$19&gt;$FJ60,"",MAX(0,IF(HD$19=$FJ60,$S60^2*HD$15,HD59*INDEX($T$20:$T$91,$FJ60-HD$19)^2/INDEX($U$20:$U$91,$FJ60-HD$19))))</f>
        <v/>
      </c>
      <c r="HE60" s="150" t="str">
        <f aca="false">IF(HE$19&gt;$FJ60,"",MAX(0,IF(HE$19=$FJ60,$S60^2*HE$15,HE59*INDEX($T$20:$T$91,$FJ60-HE$19)^2/INDEX($U$20:$U$91,$FJ60-HE$19))))</f>
        <v/>
      </c>
      <c r="HF60" s="150" t="str">
        <f aca="false">IF(HF$19&gt;$FJ60,"",MAX(0,IF(HF$19=$FJ60,$S60^2*HF$15,HF59*INDEX($T$20:$T$91,$FJ60-HF$19)^2/INDEX($U$20:$U$91,$FJ60-HF$19))))</f>
        <v/>
      </c>
      <c r="HG60" s="150" t="str">
        <f aca="false">IF(HG$19&gt;$FJ60,"",MAX(0,IF(HG$19=$FJ60,$S60^2*HG$15,HG59*INDEX($T$20:$T$91,$FJ60-HG$19)^2/INDEX($U$20:$U$91,$FJ60-HG$19))))</f>
        <v/>
      </c>
      <c r="HH60" s="150" t="str">
        <f aca="false">IF(HH$19&gt;$FJ60,"",MAX(0,IF(HH$19=$FJ60,$S60^2*HH$15,HH59*INDEX($T$20:$T$91,$FJ60-HH$19)^2/INDEX($U$20:$U$91,$FJ60-HH$19))))</f>
        <v/>
      </c>
      <c r="HI60" s="150" t="str">
        <f aca="false">IF(HI$19&gt;$FJ60,"",MAX(0,IF(HI$19=$FJ60,$S60^2*HI$15,HI59*INDEX($T$20:$T$91,$FJ60-HI$19)^2/INDEX($U$20:$U$91,$FJ60-HI$19))))</f>
        <v/>
      </c>
      <c r="HJ60" s="150" t="str">
        <f aca="false">IF(HJ$19&gt;$FJ60,"",MAX(0,IF(HJ$19=$FJ60,$S60^2*HJ$15,HJ59*INDEX($T$20:$T$91,$FJ60-HJ$19)^2/INDEX($U$20:$U$91,$FJ60-HJ$19))))</f>
        <v/>
      </c>
      <c r="HK60" s="150" t="str">
        <f aca="false">IF(HK$19&gt;$FJ60,"",MAX(0,IF(HK$19=$FJ60,$S60^2*HK$15,HK59*INDEX($T$20:$T$91,$FJ60-HK$19)^2/INDEX($U$20:$U$91,$FJ60-HK$19))))</f>
        <v/>
      </c>
      <c r="HL60" s="150" t="str">
        <f aca="false">IF(HL$19&gt;$FJ60,"",MAX(0,IF(HL$19=$FJ60,$S60^2*HL$15,HL59*INDEX($T$20:$T$91,$FJ60-HL$19)^2/INDEX($U$20:$U$91,$FJ60-HL$19))))</f>
        <v/>
      </c>
      <c r="HM60" s="150" t="str">
        <f aca="false">IF(HM$19&gt;$FJ60,"",MAX(0,IF(HM$19=$FJ60,$S60^2*HM$15,HM59*INDEX($T$20:$T$91,$FJ60-HM$19)^2/INDEX($U$20:$U$91,$FJ60-HM$19))))</f>
        <v/>
      </c>
      <c r="HN60" s="150" t="str">
        <f aca="false">IF(HN$19&gt;$FJ60,"",MAX(0,IF(HN$19=$FJ60,$S60^2*HN$15,HN59*INDEX($T$20:$T$91,$FJ60-HN$19)^2/INDEX($U$20:$U$91,$FJ60-HN$19))))</f>
        <v/>
      </c>
      <c r="HO60" s="150" t="str">
        <f aca="false">IF(HO$19&gt;$FJ60,"",MAX(0,IF(HO$19=$FJ60,$S60^2*HO$15,HO59*INDEX($T$20:$T$91,$FJ60-HO$19)^2/INDEX($U$20:$U$91,$FJ60-HO$19))))</f>
        <v/>
      </c>
      <c r="HP60" s="150" t="str">
        <f aca="false">IF(HP$19&gt;$FJ60,"",MAX(0,IF(HP$19=$FJ60,$S60^2*HP$15,HP59*INDEX($T$20:$T$91,$FJ60-HP$19)^2/INDEX($U$20:$U$91,$FJ60-HP$19))))</f>
        <v/>
      </c>
      <c r="HQ60" s="150" t="str">
        <f aca="false">IF(HQ$19&gt;$FJ60,"",MAX(0,IF(HQ$19=$FJ60,$S60^2*HQ$15,HQ59*INDEX($T$20:$T$91,$FJ60-HQ$19)^2/INDEX($U$20:$U$91,$FJ60-HQ$19))))</f>
        <v/>
      </c>
      <c r="HR60" s="150" t="str">
        <f aca="false">IF(HR$19&gt;$FJ60,"",MAX(0,IF(HR$19=$FJ60,$S60^2*HR$15,HR59*INDEX($T$20:$T$91,$FJ60-HR$19)^2/INDEX($U$20:$U$91,$FJ60-HR$19))))</f>
        <v/>
      </c>
      <c r="HS60" s="150" t="str">
        <f aca="false">IF(HS$19&gt;$FJ60,"",MAX(0,IF(HS$19=$FJ60,$S60^2*HS$15,HS59*INDEX($T$20:$T$91,$FJ60-HS$19)^2/INDEX($U$20:$U$91,$FJ60-HS$19))))</f>
        <v/>
      </c>
      <c r="HT60" s="150" t="str">
        <f aca="false">IF(HT$19&gt;$FJ60,"",MAX(0,IF(HT$19=$FJ60,$S60^2*HT$15,HT59*INDEX($T$20:$T$91,$FJ60-HT$19)^2/INDEX($U$20:$U$91,$FJ60-HT$19))))</f>
        <v/>
      </c>
      <c r="HU60" s="150" t="str">
        <f aca="false">IF(HU$19&gt;$FJ60,"",MAX(0,IF(HU$19=$FJ60,$S60^2*HU$15,HU59*INDEX($T$20:$T$91,$FJ60-HU$19)^2/INDEX($U$20:$U$91,$FJ60-HU$19))))</f>
        <v/>
      </c>
      <c r="HV60" s="150" t="str">
        <f aca="false">IF(HV$19&gt;$FJ60,"",MAX(0,IF(HV$19=$FJ60,$S60^2*HV$15,HV59*INDEX($T$20:$T$91,$FJ60-HV$19)^2/INDEX($U$20:$U$91,$FJ60-HV$19))))</f>
        <v/>
      </c>
      <c r="HW60" s="150" t="str">
        <f aca="false">IF(HW$19&gt;$FJ60,"",MAX(0,IF(HW$19=$FJ60,$S60^2*HW$15,HW59*INDEX($T$20:$T$91,$FJ60-HW$19)^2/INDEX($U$20:$U$91,$FJ60-HW$19))))</f>
        <v/>
      </c>
      <c r="HX60" s="150" t="str">
        <f aca="false">IF(HX$19&gt;$FJ60,"",MAX(0,IF(HX$19=$FJ60,$S60^2*HX$15,HX59*INDEX($T$20:$T$91,$FJ60-HX$19)^2/INDEX($U$20:$U$91,$FJ60-HX$19))))</f>
        <v/>
      </c>
      <c r="HY60" s="150" t="str">
        <f aca="false">IF(HY$19&gt;$FJ60,"",MAX(0,IF(HY$19=$FJ60,$S60^2*HY$15,HY59*INDEX($T$20:$T$91,$FJ60-HY$19)^2/INDEX($U$20:$U$91,$FJ60-HY$19))))</f>
        <v/>
      </c>
      <c r="HZ60" s="150" t="str">
        <f aca="false">IF(HZ$19&gt;$FJ60,"",MAX(0,IF(HZ$19=$FJ60,$S60^2*HZ$15,HZ59*INDEX($T$20:$T$91,$FJ60-HZ$19)^2/INDEX($U$20:$U$91,$FJ60-HZ$19))))</f>
        <v/>
      </c>
      <c r="IA60" s="150" t="str">
        <f aca="false">IF(IA$19&gt;$FJ60,"",MAX(0,IF(IA$19=$FJ60,$S60^2*IA$15,IA59*INDEX($T$20:$T$91,$FJ60-IA$19)^2/INDEX($U$20:$U$91,$FJ60-IA$19))))</f>
        <v/>
      </c>
      <c r="IB60" s="150" t="str">
        <f aca="false">IF(IB$19&gt;$FJ60,"",MAX(0,IF(IB$19=$FJ60,$S60^2*IB$15,IB59*INDEX($T$20:$T$91,$FJ60-IB$19)^2/INDEX($U$20:$U$91,$FJ60-IB$19))))</f>
        <v/>
      </c>
      <c r="IC60" s="150" t="str">
        <f aca="false">IF(IC$19&gt;$FJ60,"",MAX(0,IF(IC$19=$FJ60,$S60^2*IC$15,IC59*INDEX($T$20:$T$91,$FJ60-IC$19)^2/INDEX($U$20:$U$91,$FJ60-IC$19))))</f>
        <v/>
      </c>
      <c r="ID60" s="572" t="str">
        <f aca="false">IF(ID$19&gt;$FJ60,"",MAX(0,IF(ID$19=$FJ60,$S60^2*ID$15,ID59*INDEX($T$20:$T$91,$FJ60-ID$19)^2/INDEX($U$20:$U$91,$FJ60-ID$19))))</f>
        <v/>
      </c>
      <c r="IE60" s="129"/>
    </row>
    <row r="61" customFormat="false" ht="12.75" hidden="false" customHeight="false" outlineLevel="0" collapsed="false">
      <c r="A61" s="219"/>
      <c r="B61" s="219"/>
      <c r="C61" s="219"/>
      <c r="D61" s="219"/>
      <c r="E61" s="219"/>
      <c r="F61" s="219"/>
      <c r="G61" s="219"/>
      <c r="H61" s="219" t="n">
        <f aca="false">VLOOKUP(I61,$EJ$20:$EL$54,3)</f>
        <v>0</v>
      </c>
      <c r="I61" s="511" t="n">
        <f aca="false">EOMONTH(I60,0)+1</f>
        <v>38018</v>
      </c>
      <c r="J61" s="512"/>
      <c r="K61" s="513" t="s">
        <v>250</v>
      </c>
      <c r="L61" s="514" t="e">
        <f aca="false">IF(ISNUMBER(K61),J61+K61/100,IF(K61="extra",L60+VLOOKUP(BF61,PriceSpreadTable,2)/12,IF(K61="inter",interpolateprices($K$19:$L$200,ROW(K61)-ROW(FirstPricingMonth)+1),interpolatechanges($J$19:$K$200,ROW(K61)-ROW(FirstPricingMonth)+1))))</f>
        <v>#VALUE!</v>
      </c>
      <c r="M61" s="515"/>
      <c r="N61" s="516" t="n">
        <v>0</v>
      </c>
      <c r="O61" s="515" t="n">
        <f aca="false">M61+N61</f>
        <v>0</v>
      </c>
      <c r="P61" s="512"/>
      <c r="Q61" s="513" t="s">
        <v>280</v>
      </c>
      <c r="R61" s="512" t="e">
        <f aca="false">IF(ISNUMBER(Q61),P61+Q61/100,IF(Q61="extra",(Z59*AL59-R60*AM59)/AN59,IF(Q61="inter",interpolateprices($Q$19:$R$260,ROW(Q61)-ROW(FirstPricingMonth)+1),interpolatechanges($P$19:$Q$260,ROW(Q61)-ROW(FirstPricingMonth)+1))))</f>
        <v>#VALUE!</v>
      </c>
      <c r="S61" s="597" t="n">
        <f aca="false">S$19+(S60-S$19)*S$18</f>
        <v>0.360000402263406</v>
      </c>
      <c r="T61" s="575" t="n">
        <f aca="false">SQRT((1-(1-T60^2/U60)*T$18)*U61)</f>
        <v>0.999817496074963</v>
      </c>
      <c r="U61" s="576" t="n">
        <f aca="false">1-(1-U60)*U$18</f>
        <v>0.999999886863417</v>
      </c>
      <c r="V61" s="521" t="n">
        <v>0</v>
      </c>
      <c r="W61" s="577" t="n">
        <f aca="false">(J62*AJ61+J63*AK61)/AI61</f>
        <v>0</v>
      </c>
      <c r="X61" s="578" t="e">
        <f aca="false">(L62*AJ61+L63*AK61)/AI61</f>
        <v>#VALUE!</v>
      </c>
      <c r="Y61" s="579" t="n">
        <f aca="false">IF(Q63="extra",W61-AA61,(P62*AM61+P63*AN61)/AL61)</f>
        <v>-1.1115</v>
      </c>
      <c r="Z61" s="579" t="e">
        <f aca="false">IF(Q63="extra",X61-AB61,(R62*AM61+R63*AN61)/AL61)</f>
        <v>#VALUE!</v>
      </c>
      <c r="AA61" s="523" t="n">
        <f aca="false">IF(Q63="extra",INDEX(BrentSeasonalityTable,INT((BG61-1)/3)+1)*VLOOKUP(MAX(BF61,$AB$4),PriceSpreadTable,3),W61-Y61)</f>
        <v>1.1115</v>
      </c>
      <c r="AB61" s="524" t="n">
        <f aca="false">IF(Q63="extra",INDEX(BrentSeasonalityTable,INT((BG61-1)/3)+1)*VLOOKUP(MAX(BF61,$AB$4),PriceSpreadTable,3),X61-Z61)</f>
        <v>1.1115</v>
      </c>
      <c r="AC61" s="646" t="n">
        <v>38006</v>
      </c>
      <c r="AD61" s="646" t="n">
        <v>38002</v>
      </c>
      <c r="AE61" s="646" t="n">
        <v>38001</v>
      </c>
      <c r="AF61" s="646" t="n">
        <v>37997</v>
      </c>
      <c r="AG61" s="438" t="s">
        <v>247</v>
      </c>
      <c r="AH61" s="439" t="s">
        <v>278</v>
      </c>
      <c r="AI61" s="528" t="n">
        <v>20</v>
      </c>
      <c r="AJ61" s="529" t="n">
        <v>15</v>
      </c>
      <c r="AK61" s="529" t="n">
        <v>5</v>
      </c>
      <c r="AL61" s="530" t="n">
        <v>20</v>
      </c>
      <c r="AM61" s="529" t="n">
        <v>10</v>
      </c>
      <c r="AN61" s="531" t="n">
        <v>10</v>
      </c>
      <c r="AO61" s="532"/>
      <c r="AP61" s="465" t="n">
        <f aca="false">(1+AO61/2)^(-2*BL61)</f>
        <v>1</v>
      </c>
      <c r="AQ61" s="532"/>
      <c r="AR61" s="465" t="n">
        <f aca="false">(1+AQ61/2)^(-2*BH61/365.25)</f>
        <v>1</v>
      </c>
      <c r="AS61" s="580" t="n">
        <f aca="false">(O62*AJ61+O63*AK61)/AI61</f>
        <v>0</v>
      </c>
      <c r="AT61" s="468" t="n">
        <f aca="false">O61*VLOOKUP(BF61,BrentVolTable,2)+VLOOKUP(BF61,BrentVolTable,3)</f>
        <v>0</v>
      </c>
      <c r="AU61" s="468" t="n">
        <f aca="false">(AT62*AM61+AT63*AN61)/AL61</f>
        <v>0</v>
      </c>
      <c r="AV61" s="595" t="n">
        <f aca="false">SQRT(MAX(0.000000000001,(O61^2*BH61-S61^2*(BH61-BH60))/BH60))</f>
        <v>0.0224745518046242</v>
      </c>
      <c r="AW61" s="451" t="n">
        <f aca="false">IF($I61-DateToday+15&gt;=$T$8,"",IF($I61-DateToday+15&lt;$T$5,1,MATCH($I61-DateToday+15,$T$5:$T$8)))</f>
        <v>1</v>
      </c>
      <c r="AX61" s="468" t="n">
        <f aca="false">IF($AW61="",AX60^2/AX59,INDEX(U$5:U$8,$AW61)^((INDEX($T$5:$T$8,$AW61+1)-($I61-DateToday+15))/(INDEX($T$5:$T$8,$AW61+1)-INDEX($T$5:$T$8,$AW61)))/INDEX(U$5:U$8,$AW61+1)^((INDEX($T$5:$T$8,$AW61)-($I61-DateToday+15))/(INDEX($T$5:$T$8,$AW61+1)-INDEX($T$5:$T$8,$AW61))))</f>
        <v>5.22324800523087</v>
      </c>
      <c r="AY61" s="468" t="n">
        <f aca="false">IF($AW61="",AY60^2/AY59,INDEX(V$5:V$8,$AW61)^((INDEX($T$5:$T$8,$AW61+1)-($I61-DateToday+15))/(INDEX($T$5:$T$8,$AW61+1)-INDEX($T$5:$T$8,$AW61)))/INDEX(V$5:V$8,$AW61+1)^((INDEX($T$5:$T$8,$AW61)-($I61-DateToday+15))/(INDEX($T$5:$T$8,$AW61+1)-INDEX($T$5:$T$8,$AW61))))</f>
        <v>927.362644048329</v>
      </c>
      <c r="AZ61" s="468" t="n">
        <f aca="false">IF($AW61="",AZ60^2/AZ59,INDEX(W$5:W$8,$AW61)^((INDEX($T$5:$T$8,$AW61+1)-($I61-DateToday+15))/(INDEX($T$5:$T$8,$AW61+1)-INDEX($T$5:$T$8,$AW61)))/INDEX(W$5:W$8,$AW61+1)^((INDEX($T$5:$T$8,$AW61)-($I61-DateToday+15))/(INDEX($T$5:$T$8,$AW61+1)-INDEX($T$5:$T$8,$AW61))))</f>
        <v>24006096.6006187</v>
      </c>
      <c r="BA61" s="468" t="n">
        <f aca="false">IF($AW61="",BA60^2/BA59,INDEX(X$5:X$8,$AW61)^((INDEX($T$5:$T$8,$AW61+1)-($I61-DateToday+15))/(INDEX($T$5:$T$8,$AW61+1)-INDEX($T$5:$T$8,$AW61)))/INDEX(X$5:X$8,$AW61+1)^((INDEX($T$5:$T$8,$AW61)-($I61-DateToday+15))/(INDEX($T$5:$T$8,$AW61+1)-INDEX($T$5:$T$8,$AW61))))</f>
        <v>1306143710.23501</v>
      </c>
      <c r="BB61" s="468" t="n">
        <f aca="false">IF($AW61="",BB60^2/BB59,INDEX(Y$5:Y$8,$AW61)^((INDEX($T$5:$T$8,$AW61+1)-($I61-DateToday+15))/(INDEX($T$5:$T$8,$AW61+1)-INDEX($T$5:$T$8,$AW61)))/INDEX(Y$5:Y$8,$AW61+1)^((INDEX($T$5:$T$8,$AW61)-($I61-DateToday+15))/(INDEX($T$5:$T$8,$AW61+1)-INDEX($T$5:$T$8,$AW61))))</f>
        <v>24062335395.4455</v>
      </c>
      <c r="BC61" s="468" t="n">
        <f aca="false">IF($AW61="",BC60^2/BC59,INDEX(Z$5:Z$8,$AW61)^((INDEX($T$5:$T$8,$AW61+1)-($I61-DateToday+15))/(INDEX($T$5:$T$8,$AW61+1)-INDEX($T$5:$T$8,$AW61)))/INDEX(Z$5:Z$8,$AW61+1)^((INDEX($T$5:$T$8,$AW61)-($I61-DateToday+15))/(INDEX($T$5:$T$8,$AW61+1)-INDEX($T$5:$T$8,$AW61))))</f>
        <v>136995478410.102</v>
      </c>
      <c r="BD61" s="535" t="n">
        <f aca="false">IF(OR(DateStart&gt;=I62,DateEnd&lt;I61),0,IF(VolumeOverrideFlag,V61,Volume))</f>
        <v>0</v>
      </c>
      <c r="BE61" s="536" t="n">
        <f aca="false">IF(OR(DateStart2&gt;=I62,DateEnd2&lt;I61),0,IF(VolumeOverrideFlag,V61,VolumeSwaption))</f>
        <v>0</v>
      </c>
      <c r="BF61" s="537" t="n">
        <f aca="false">YEAR(I61)</f>
        <v>2004</v>
      </c>
      <c r="BG61" s="538" t="n">
        <f aca="false">MONTH(I61)</f>
        <v>2</v>
      </c>
      <c r="BH61" s="539" t="n">
        <f aca="false">AD61-DateToday+1</f>
        <v>-7923</v>
      </c>
      <c r="BI61" s="540" t="n">
        <f aca="false">(I61-DateToday+1)/365.25</f>
        <v>-21.6481861738535</v>
      </c>
      <c r="BJ61" s="541" t="n">
        <f aca="false">BI61+(BL61-BI61)*CHOOSE(Underlying,AJ61/AI61,AM61/AL61)</f>
        <v>-21.5906913073238</v>
      </c>
      <c r="BK61" s="541" t="n">
        <f aca="false">BJ61+1/365.25</f>
        <v>-21.5879534565366</v>
      </c>
      <c r="BL61" s="541" t="n">
        <f aca="false">(I62-DateToday)/365.25</f>
        <v>-21.5715263518138</v>
      </c>
      <c r="BM61" s="542" t="e">
        <f aca="false">MAX(BI61-(BJ61-BI61)*(S62^2/O62^2-1),0)</f>
        <v>#DIV/0!</v>
      </c>
      <c r="BN61" s="541" t="e">
        <f aca="false">MAX(BL61+(BL61-BK61)*(S63^2/O63^2-1),0)</f>
        <v>#DIV/0!</v>
      </c>
      <c r="BO61" s="530" t="n">
        <f aca="false">CHOOSE(Underlying,AI61,AL61)</f>
        <v>20</v>
      </c>
      <c r="BP61" s="529" t="n">
        <f aca="false">CHOOSE(Underlying,AJ61,AM61)</f>
        <v>15</v>
      </c>
      <c r="BQ61" s="529" t="n">
        <f aca="false">CHOOSE(Underlying,AK61,AN61)</f>
        <v>5</v>
      </c>
      <c r="BR61" s="463" t="str">
        <f aca="false">IF(BD61,IF(Underlying=1,X61,Z61)+UnderlyingPriceAsian-SwapPriceCurve,"")</f>
        <v/>
      </c>
      <c r="BS61" s="463" t="str">
        <f aca="false">IF(BD61,Strike1/BR61-1,"")</f>
        <v/>
      </c>
      <c r="BT61" s="464" t="str">
        <f aca="false">IF(BD61,Strike2/BR61-1,"")</f>
        <v/>
      </c>
      <c r="BU61" s="465" t="str">
        <f aca="false">IF(BD61,IF(Underlying=1,L62,R62)+UnderlyingPriceAsian-SwapPriceCurve,"")</f>
        <v/>
      </c>
      <c r="BV61" s="465" t="str">
        <f aca="false">IF(BD61,IF(Underlying=1,L63,R63)+UnderlyingPriceAsian-SwapPriceCurve,"")</f>
        <v/>
      </c>
      <c r="BW61" s="466" t="str">
        <f aca="false">IF(BD61,IF(Underlying=1,O62,AT62),"")</f>
        <v/>
      </c>
      <c r="BX61" s="467" t="str">
        <f aca="false">IF(BD61,IF(Underlying=1,O63,AT63),"")</f>
        <v/>
      </c>
      <c r="BY61" s="466" t="str">
        <f aca="false">IF(BD61,IF(BS61&gt;0,IF(BS61&gt;0.2,BC61-BB61,IF(BS61&gt;0.1,BB61-BA61,BA61)),IF(BS61&lt;-0.2,AX61-AY61,IF(BS61&lt;-0.1,AY61-AZ61,AZ61))),"")</f>
        <v/>
      </c>
      <c r="BZ61" s="467" t="str">
        <f aca="false">IF(BD61,IF(BT61&gt;0,IF(BT61&gt;0.2,BC61-BB61,IF(BT61&gt;0.1,BB61-BA61,BA61)),IF(BT61&lt;-0.2,AX61-AY61,IF(BT61&lt;-0.1,AY61-AZ61,AZ61))),"")</f>
        <v/>
      </c>
      <c r="CA61" s="468" t="str">
        <f aca="false">IF($BD61,$BW61+IF(VolSkewFlag=1,IF(BS61&gt;0,$BA61*MIN(BS61/10%,1)+($BB61-$BA61)*MAX(0,MIN(BS61/10%-1,1))+($BC61-$BB61)*MAX(0,BS61/10%-2),$AZ61*MIN(-BS61/10%,1)+($AY61-$AZ61)*MAX(0,MIN(-BS61/10%-1,1))+($AX61-$AY61)*MAX(0,-BS61/10%-2)),0),"")</f>
        <v/>
      </c>
      <c r="CB61" s="468" t="str">
        <f aca="false">IF($BD61,$BX61+IF(VolSkewFlag=1,IF(BS61&gt;0,$BA61*MIN(BS61/10%,1)+($BB61-$BA61)*MAX(0,MIN(BS61/10%-1,1))+($BC61-$BB61)*MAX(0,BS61/10%-2),$AZ61*MIN(-BS61/10%,1)+($AY61-$AZ61)*MAX(0,MIN(-BS61/10%-1,1))+($AX61-$AY61)*MAX(0,-BS61/10%-2)),0),"")</f>
        <v/>
      </c>
      <c r="CC61" s="468" t="str">
        <f aca="false">IF($BD61,$BW61+IF(VolSkewFlag=1,IF(BT61&gt;0,$BA61*MIN(BT61/10%,1)+($BB61-$BA61)*MAX(0,MIN(BT61/10%-1,1))+($BC61-$BB61)*MAX(0,BT61/10%-2),$AZ61*MIN(-BT61/10%,1)+($AY61-$AZ61)*MAX(0,MIN(-BT61/10%-1,1))+($AX61-$AY61)*MAX(0,-BT61/10%-2)),0),"")</f>
        <v/>
      </c>
      <c r="CD61" s="468" t="str">
        <f aca="false">IF($BD61,$BX61+IF(VolSkewFlag=1,IF(BT61&gt;0,$BA61*MIN(BT61/10%,1)+($BB61-$BA61)*MAX(0,MIN(BT61/10%-1,1))+($BC61-$BB61)*MAX(0,BT61/10%-2),$AZ61*MIN(-BT61/10%,1)+($AY61-$AZ61)*MAX(0,MIN(-BT61/10%-1,1))+($AX61-$AY61)*MAX(0,-BT61/10%-2)),0),"")</f>
        <v/>
      </c>
      <c r="CE61" s="469" t="n">
        <v>1</v>
      </c>
      <c r="CF61" s="470" t="n">
        <f aca="false">IF(BD61,xCrudeAPO(BU61,BV61,CA61,CB61,S62,S63,BI61,BL61,BP61,BQ61,0,Strike1,AO61,CE61,0,BL61,IF(OptControl=4,0,1),0,1),0)</f>
        <v>0</v>
      </c>
      <c r="CG61" s="470" t="n">
        <f aca="false">IF(BD61,xCrudeAPO(BU61,BV61,CA61,CB61,S62,S63,BI61,BL61,BP61,BQ61,0,Strike1,AO61,CE61,0,BL61,IF(OptControl=4,0,1),1,1)+xCrudeAPO(BU61,BV61,CA61,CB61,S62,S63,BI61,BL61,BP61,BQ61,0,Strike1,AO61,CE61,0,BL61,IF(OptControl=4,0,1),1,2)+IF(OR(VolSkewFlag=2,ABS(BS61)&lt;0.0001),0,IF(BS61&gt;0,-1,1)*CH61*Strike1/BR61^2*BY61/10%),0)</f>
        <v>0</v>
      </c>
      <c r="CH61" s="470" t="n">
        <f aca="false">IF(BD61,(xCrudeAPO(BU61,BV61,CA61,CB61,S62,S63,BI61,BL61,BP61,BQ61,0,Strike1,AO61,CE61,0,BL61,IF(OptControl=4,0,1),3,1)+xCrudeAPO(BU61,BV61,CA61,CB61,S62,S63,BI61,BL61,BP61,BQ61,0,Strike1,AO61,CE61,0,BL61,IF(OptControl=4,0,1),3,2))/100,0)</f>
        <v>0</v>
      </c>
      <c r="CI61" s="470" t="n">
        <f aca="false">IF(BD61,xCrudeAPO(BU61,BV61,CA61,CB61,S62,S63,BI61-DaysForThetaCalculation/365.25,BL61-DaysForThetaCalculation/365.25,BP61,BQ61,0,Strike1,AO61,CE61,0,BL61,IF(OptControl=4,0,1),0,1)-xCrudeAPO(BU61,BV61,CA61,CB61,S62,S63,BI61,BL61,BP61,BQ61,0,Strike1,AO61,CE61,0,BL61,IF(OptControl=4,0,1),0,1),0)</f>
        <v>0</v>
      </c>
      <c r="CJ61" s="471" t="n">
        <f aca="false">IF(BD61,xCrudeAPO(BU61,BV61,CC61,CD61,S62,S63,BI61,BL61,BP61,BQ61,0,Strike2,AO61,CE61,0,BL61,IF(OptControl=3,1,0),0,1),0)</f>
        <v>0</v>
      </c>
      <c r="CK61" s="470" t="n">
        <f aca="false">IF(BD61,xCrudeAPO(BU61,BV61,CC61,CD61,S62,S63,BI61,BL61,BP61,BQ61,0,Strike2,AO61,CE61,0,BL61,IF(OptControl=3,1,0),1,1)+xCrudeAPO(BU61,BV61,CC61,CD61,S62,S63,BI61,BL61,BP61,BQ61,0,Strike2,AO61,CE61,0,BL61,IF(OptControl=3,1,0),1,2)+IF(OR(VolSkewFlag=2,ABS(BT61)&lt;0.0001),0,IF(BT61&gt;0,-1,1)*CL61*Strike2/BR61^2*BZ61/10%),0)</f>
        <v>0</v>
      </c>
      <c r="CL61" s="470" t="n">
        <f aca="false">IF(BD61,(xCrudeAPO(BU61,BV61,CC61,CD61,S62,S63,BI61,BL61,BP61,BQ61,0,Strike2,AO61,CE61,0,BL61,IF(OptControl=3,1,0),3,1)+xCrudeAPO(BU61,BV61,CC61,CD61,S62,S63,BI61,BL61,BP61,BQ61,0,Strike2,AO61,CE61,0,BL61,IF(OptControl=3,1,0),3,2))/100,0)</f>
        <v>0</v>
      </c>
      <c r="CM61" s="472" t="n">
        <f aca="false">IF(BD61,xCrudeAPO(BU61,BV61,CC61,CD61,S62,S63,BI61-DaysForThetaCalculation/365.25,BL61-DaysForThetaCalculation/365.25,BP61,BQ61,0,Strike2,AO61,CE61,0,BL61,IF(OptControl=3,1,0),0,1)-xCrudeAPO(BU61,BV61,CC61,CD61,S62,S63,BI61,BL61,BP61,BQ61,0,Strike2,AO61,CE61,0,BL61,IF(OptControl=3,1,0),0,1),0)</f>
        <v>0</v>
      </c>
      <c r="CN61" s="3"/>
      <c r="CO61" s="543" t="str">
        <f aca="false">IF(BD61,CHOOSE(Underlying,AD61,AF61)-DateToday+1,"")</f>
        <v/>
      </c>
      <c r="CP61" s="582" t="str">
        <f aca="false">IF(BD61,CHOOSE(Underlying,L61,R61),"")</f>
        <v/>
      </c>
      <c r="CQ61" s="544" t="str">
        <f aca="false">IF(BD61,Strike1/CP61-1,"")</f>
        <v/>
      </c>
      <c r="CR61" s="544" t="str">
        <f aca="false">IF(BD61,Strike2/CP61-1,"")</f>
        <v/>
      </c>
      <c r="CS61" s="544" t="str">
        <f aca="false">IF(BD61,IF(CQ61&gt;0,IF(CQ61&gt;0.2,BC60-BB60,IF(CQ61&gt;0.1,BB60-BA60,BA60)),IF(CQ61&lt;-0.2,AX60-AY60,IF(CQ61&lt;-0.1,AY60-AZ60,AZ60))),"")</f>
        <v/>
      </c>
      <c r="CT61" s="544" t="str">
        <f aca="false">IF(BD61,IF(CR61&gt;0,IF(CR61&gt;0.2,BC60-BB60,IF(CR61&gt;0.1,BB60-BA60,BA60)),IF(CR61&lt;-0.2,AX60-AY60,IF(CR61&lt;-0.1,AY60-AZ60,AZ60))),"")</f>
        <v/>
      </c>
      <c r="CU61" s="545" t="str">
        <f aca="false">IF(BD61,CHOOSE(Underlying,O61,AT61),"")</f>
        <v/>
      </c>
      <c r="CV61" s="545" t="str">
        <f aca="false">IF(BD61,CU61+IF(VolSkewFlag=1,IF(CQ61&gt;0,BA60*MIN(CQ61/10%,1)+(BB60-BA60)*MAX(0,MIN(CQ61/10%-1,1))+(BC60-BB60)*MAX(0,CQ61/10%-2),AZ60*MIN(-CQ61/10%,1)+(AY60-AZ60)*MAX(0,MIN(-CQ61/10%-1,1))+(AX60-AY60)*MAX(0,-CQ61/10%-2)),0),"")</f>
        <v/>
      </c>
      <c r="CW61" s="545" t="str">
        <f aca="false">IF(BD61,CU61+IF(VolSkewFlag=1,IF(CR61&gt;0,BA60*MIN(CR61/10%,1)+(BB60-BA60)*MAX(0,MIN(CR61/10%-1,1))+(BC60-BB60)*MAX(0,CR61/10%-2),AZ60*MIN(-CR61/10%,1)+(AY60-AZ60)*MAX(0,MIN(-CR61/10%-1,1))+(AX60-AY60)*MAX(0,-CR61/10%-2)),0),"")</f>
        <v/>
      </c>
      <c r="CX61" s="470" t="n">
        <f aca="false">IF(BD61,EURO(CP61,Strike1,AO61,AO61,CV61,CO61,IF(OptControl=4,0,1),0),0)</f>
        <v>0</v>
      </c>
      <c r="CY61" s="470" t="n">
        <f aca="false">IF(BD61,EURO(CP61,Strike1,AO61,AO61,CV61,CO61,IF(OptControl=4,0,1),1)+IF(OR(VolSkewFlag=2,ABS(CQ61)&lt;0.0001),0,IF(CQ61&gt;0,-1,1)*CZ61*100*Strike1/CP61^2*CS61/10%),0)</f>
        <v>0</v>
      </c>
      <c r="CZ61" s="470" t="n">
        <f aca="false">IF(BD61,EURO(CP61,Strike1,AO61,AO61,CV61,CO61,IF(OptControl=4,0,1),3)/100,0)</f>
        <v>0</v>
      </c>
      <c r="DA61" s="470" t="n">
        <f aca="false">IF(BD61,EURO(CP61,Strike1,AO61,AO61,CV61,CO61,IF(OptControl=4,0,1),0)-EURO(CP61,Strike1,AO61,AO61,CV61,CO61-1,IF(OptControl=4,0,1),0),0)</f>
        <v>0</v>
      </c>
      <c r="DB61" s="470" t="n">
        <f aca="false">IF(BD61,EURO(CP61,Strike2,AO61,AO61,CW61,CO61,IF(OptControl=3,1,0),0),0)</f>
        <v>0</v>
      </c>
      <c r="DC61" s="470" t="n">
        <f aca="false">IF(BD61,EURO(CP61,Strike2,AO61,AO61,CW61,CO61,IF(OptControl=3,1,0),1)+IF(OR(VolSkewFlag=2,ABS(CR61)&lt;0.0001),0,IF(CR61&gt;0,-1,1)*DD61*100*Strike2/CP61^2*CT61/10%),0)</f>
        <v>0</v>
      </c>
      <c r="DD61" s="470" t="n">
        <f aca="false">IF(BD61,EURO(CP61,Strike2,AO61,AO61,CW61,CO61,IF(OptControl=3,1,0),3)/100,0)</f>
        <v>0</v>
      </c>
      <c r="DE61" s="472" t="n">
        <f aca="false">IF(BD61,EURO(CP61,Strike2,AO61,AO61,CW61,CO61,IF(OptControl=3,1,0),0)-EURO(CP61,Strike2,AO61,AO61,CW61,CO61-1,IF(OptControl=3,1,0),0),0)</f>
        <v>0</v>
      </c>
      <c r="DG61" s="481" t="n">
        <f aca="false">EOMONTH(DG60,0)+1</f>
        <v>46935</v>
      </c>
      <c r="DH61" s="478" t="n">
        <v>18.67</v>
      </c>
      <c r="DI61" s="479" t="n">
        <v>18.5995454545455</v>
      </c>
      <c r="DJ61" s="480" t="n">
        <f aca="false">DG61</f>
        <v>46935</v>
      </c>
      <c r="DK61" s="478" t="n">
        <v>17.5448780961595</v>
      </c>
      <c r="DL61" s="479" t="n">
        <v>17.4356454545455</v>
      </c>
      <c r="DM61" s="481" t="n">
        <f aca="false">DG61</f>
        <v>46935</v>
      </c>
      <c r="DN61" s="482" t="n">
        <f aca="false">DK61+BrentPhyBrentSpread</f>
        <v>17.5948780961595</v>
      </c>
      <c r="DO61" s="481" t="n">
        <f aca="false">DG61</f>
        <v>46935</v>
      </c>
      <c r="DP61" s="483" t="n">
        <f aca="false">DL61+DQ61</f>
        <v>17.4356454545455</v>
      </c>
      <c r="DQ61" s="546" t="n">
        <v>0</v>
      </c>
      <c r="DR61" s="480" t="n">
        <f aca="false">DG61</f>
        <v>46935</v>
      </c>
      <c r="DS61" s="485" t="n">
        <v>0.207878734226895</v>
      </c>
      <c r="DT61" s="486" t="n">
        <v>0.206972567727144</v>
      </c>
      <c r="DU61" s="480" t="n">
        <f aca="false">DG61</f>
        <v>46935</v>
      </c>
      <c r="DV61" s="485" t="n">
        <v>0.207878734226895</v>
      </c>
      <c r="DW61" s="486" t="n">
        <v>0.206972567727144</v>
      </c>
      <c r="DX61" s="481" t="n">
        <f aca="false">DG61</f>
        <v>46935</v>
      </c>
      <c r="DY61" s="486" t="n">
        <v>0.350000000000073</v>
      </c>
      <c r="DZ61" s="481" t="n">
        <f aca="false">DR61</f>
        <v>46935</v>
      </c>
      <c r="EA61" s="486" t="n">
        <f aca="false">DT61</f>
        <v>0.206972567727144</v>
      </c>
      <c r="EB61" s="195"/>
      <c r="EC61" s="547" t="str">
        <f aca="false">IF(BD61,IF(Underlying=1,AS61,AU61),"")</f>
        <v/>
      </c>
      <c r="ED61" s="548" t="str">
        <f aca="false">IF($BD61,$EC61+IF(VolSkewFlag=1,IF(BS61&gt;0,$BA61*MIN(BS61/10%,1)+($BB61-$BA61)*MAX(0,MIN(BS61/10%-1,1))+($BC61-$BB61)*MAX(0,BS61/10%-2),$AZ61*MIN(-BS61/10%,1)+($AY61-$AZ61)*MAX(0,MIN(-BS61/10%-1,1))+($AX61-$AY61)*MAX(0,-BS61/10%-2)),0),"")</f>
        <v/>
      </c>
      <c r="EE61" s="549" t="str">
        <f aca="false">IF($BD61,$EC61+IF(VolSkewFlag=1,IF(BT61&gt;0,$BA61*MIN(BT61/10%,1)+($BB61-$BA61)*MAX(0,MIN(BT61/10%-1,1))+($BC61-$BB61)*MAX(0,BT61/10%-2),$AZ61*MIN(-BT61/10%,1)+($AY61-$AZ61)*MAX(0,MIN(-BT61/10%-1,1))+($AX61-$AY61)*MAX(0,-BT61/10%-2)),0),"")</f>
        <v/>
      </c>
      <c r="EF61" s="550" t="n">
        <f aca="false">IF(BD61,xASN(BR61,Strike1,AO61,ED61,0,BO61,0,BI61,BL61,IF(OptControl=4,0,1),0),0)</f>
        <v>0</v>
      </c>
      <c r="EG61" s="551" t="n">
        <f aca="false">IF(BD61,xASN(BR61,Strike2,AO61,EE61,0,BO61,0,BI61,BL61,IF(OptControl=3,1,0),0),0)</f>
        <v>0</v>
      </c>
      <c r="EL61" s="1"/>
      <c r="EM61" s="195"/>
      <c r="EN61" s="556" t="n">
        <v>40728</v>
      </c>
      <c r="EO61" s="557" t="n">
        <v>44190</v>
      </c>
      <c r="EP61" s="195"/>
      <c r="EQ61" s="407" t="s">
        <v>287</v>
      </c>
      <c r="ES61" s="587" t="n">
        <v>42</v>
      </c>
      <c r="ET61" s="559" t="n">
        <f aca="false">BH61/365.25</f>
        <v>-21.6919917864476</v>
      </c>
      <c r="EU61" s="560" t="n">
        <f aca="false">O61^2*ET61</f>
        <v>-0</v>
      </c>
      <c r="EV61" s="588" t="e">
        <f aca="false">SQRT(SUM(FK61:ID61)/ET61)</f>
        <v>#VALUE!</v>
      </c>
      <c r="EW61" s="589" t="str">
        <f aca="false">IF(OR(DateStart2&gt;I60,DateEnd2&lt;I59),"",IF(DateStart2&lt;I60,AK59/AI59*AP59*BE59*SwaptionNumOfMonths/$D$33,0)+IF(DateEnd2&gt;I59,AJ60/AI60*AP60*BE60*SwaptionNumOfMonths/$D$33,0))</f>
        <v/>
      </c>
      <c r="EX61" s="590" t="str">
        <f aca="false">IF(EW61="","",SQRT(SUM(FK366:ID366)/SwaptionYearsToExp))</f>
        <v/>
      </c>
      <c r="EY61" s="129" t="n">
        <v>0</v>
      </c>
      <c r="EZ61" s="591" t="str">
        <f aca="false">IF(OR(EW61="",EW62=""),"",SQRT(SUM(INDEX(FK61:ID61,SwaptionFirstMonthPosition+1):INDEX(FK61:ID61,FJ61))/SUM(INDEX($FK$15:$ID$15,SwaptionFirstMonthPosition+1):INDEX($FK$15:$ID$15,FJ61))))</f>
        <v/>
      </c>
      <c r="FA61" s="592" t="str">
        <f aca="false">IF(OR(EW61="",EW60=""),"",SQRT(SUM(INDEX(FK61:ID61,SwaptionFirstMonthPosition+1):INDEX(FK61:ID61,FJ61-1))/SUM(INDEX($FK$15:$ID$15,SwaptionFirstMonthPosition+1):INDEX($FK$15:$ID$15,FJ61-1))))</f>
        <v/>
      </c>
      <c r="FB61" s="593" t="str">
        <f aca="false">IF(BE61,2/3*EZ62+1/3*FA63,"")</f>
        <v/>
      </c>
      <c r="FC61" s="596" t="str">
        <f aca="false">IF(BE61,(I62+I61-1)/2-DateToday,"")</f>
        <v/>
      </c>
      <c r="FD61" s="483" t="str">
        <f aca="false">IF(BE61,CHOOSE(Underlying,X61,Z61)+SwaptionUnderlyingPrice-$D$26,"")</f>
        <v/>
      </c>
      <c r="FE61" s="483" t="str">
        <f aca="false">IF(BE61,CollartionFloor/FD61-1,"")</f>
        <v/>
      </c>
      <c r="FF61" s="483" t="str">
        <f aca="false">IF(BE61,CollartionCap/FD61-1,"")</f>
        <v/>
      </c>
      <c r="FG61" s="485" t="str">
        <f aca="false">IF(BE61,IF(VolSkewFlag=1,IF(FE61&gt;0,$BA61*MIN(FE61/10%,1)+($BB61-$BA61)*MAX(0,MIN(FE61/10%-1,1))+($BC61-$BB61)*MAX(0,FE61/10%-2),$AZ61*MIN(-FE61/10%,1)+($AY61-$AZ61)*MAX(0,MIN(-FE61/10%-1,1))+($AX61-$AY61)*MAX(0,-FE61/10%-2)),0),"")</f>
        <v/>
      </c>
      <c r="FH61" s="486" t="str">
        <f aca="false">IF(BE61,IF(VolSkewFlag=1,IF(FF61&gt;0,$BA61*MIN(FF61/10%,1)+($BB61-$BA61)*MAX(0,MIN(FF61/10%-1,1))+($BC61-$BB61)*MAX(0,FF61/10%-2),$AZ61*MIN(-FF61/10%,1)+($AY61-$AZ61)*MAX(0,MIN(-FF61/10%-1,1))+($AX61-$AY61)*MAX(0,-FF61/10%-2)),0),"")</f>
        <v/>
      </c>
      <c r="FI61" s="129"/>
      <c r="FJ61" s="571" t="n">
        <v>42</v>
      </c>
      <c r="FK61" s="150" t="n">
        <f aca="false">IF(FK$19&gt;$FJ61,"",MAX(0,IF(FK$19=$FJ61,$S61^2*FK$15,FK60*INDEX($T$20:$T$91,$FJ61-FK$19)^2/INDEX($U$20:$U$91,$FJ61-FK$19))))</f>
        <v>0</v>
      </c>
      <c r="FL61" s="150" t="n">
        <f aca="false">IF(FL$19&gt;$FJ61,"",MAX(0,IF(FL$19=$FJ61,$S61^2*FL$15,FL60*INDEX($T$20:$T$91,$FJ61-FL$19)^2/INDEX($U$20:$U$91,$FJ61-FL$19))))</f>
        <v>0</v>
      </c>
      <c r="FM61" s="150" t="n">
        <f aca="false">IF(FM$19&gt;$FJ61,"",MAX(0,IF(FM$19=$FJ61,$S61^2*FM$15,FM60*INDEX($T$20:$T$91,$FJ61-FM$19)^2/INDEX($U$20:$U$91,$FJ61-FM$19))))</f>
        <v>0.00255554550738197</v>
      </c>
      <c r="FN61" s="150" t="n">
        <f aca="false">IF(FN$19&gt;$FJ61,"",MAX(0,IF(FN$19=$FJ61,$S61^2*FN$15,FN60*INDEX($T$20:$T$91,$FJ61-FN$19)^2/INDEX($U$20:$U$91,$FJ61-FN$19))))</f>
        <v>0.00215218168851412</v>
      </c>
      <c r="FO61" s="150" t="n">
        <f aca="false">IF(FO$19&gt;$FJ61,"",MAX(0,IF(FO$19=$FJ61,$S61^2*FO$15,FO60*INDEX($T$20:$T$91,$FJ61-FO$19)^2/INDEX($U$20:$U$91,$FJ61-FO$19))))</f>
        <v>0.00224011622890687</v>
      </c>
      <c r="FP61" s="150" t="n">
        <f aca="false">IF(FP$19&gt;$FJ61,"",MAX(0,IF(FP$19=$FJ61,$S61^2*FP$15,FP60*INDEX($T$20:$T$91,$FJ61-FP$19)^2/INDEX($U$20:$U$91,$FJ61-FP$19))))</f>
        <v>0.00248426153574628</v>
      </c>
      <c r="FQ61" s="150" t="n">
        <f aca="false">IF(FQ$19&gt;$FJ61,"",MAX(0,IF(FQ$19=$FJ61,$S61^2*FQ$15,FQ60*INDEX($T$20:$T$91,$FJ61-FQ$19)^2/INDEX($U$20:$U$91,$FJ61-FQ$19))))</f>
        <v>0.00201314908026629</v>
      </c>
      <c r="FR61" s="150" t="n">
        <f aca="false">IF(FR$19&gt;$FJ61,"",MAX(0,IF(FR$19=$FJ61,$S61^2*FR$15,FR60*INDEX($T$20:$T$91,$FJ61-FR$19)^2/INDEX($U$20:$U$91,$FJ61-FR$19))))</f>
        <v>0.00206060193791231</v>
      </c>
      <c r="FS61" s="150" t="n">
        <f aca="false">IF(FS$19&gt;$FJ61,"",MAX(0,IF(FS$19=$FJ61,$S61^2*FS$15,FS60*INDEX($T$20:$T$91,$FJ61-FS$19)^2/INDEX($U$20:$U$91,$FJ61-FS$19))))</f>
        <v>0.00232511330313146</v>
      </c>
      <c r="FT61" s="150" t="n">
        <f aca="false">IF(FT$19&gt;$FJ61,"",MAX(0,IF(FT$19=$FJ61,$S61^2*FT$15,FT60*INDEX($T$20:$T$91,$FJ61-FT$19)^2/INDEX($U$20:$U$91,$FJ61-FT$19))))</f>
        <v>0.00210146184190001</v>
      </c>
      <c r="FU61" s="150" t="n">
        <f aca="false">IF(FU$19&gt;$FJ61,"",MAX(0,IF(FU$19=$FJ61,$S61^2*FU$15,FU60*INDEX($T$20:$T$91,$FJ61-FU$19)^2/INDEX($U$20:$U$91,$FJ61-FU$19))))</f>
        <v>0.00202379138471653</v>
      </c>
      <c r="FV61" s="150" t="n">
        <f aca="false">IF(FV$19&gt;$FJ61,"",MAX(0,IF(FV$19=$FJ61,$S61^2*FV$15,FV60*INDEX($T$20:$T$91,$FJ61-FV$19)^2/INDEX($U$20:$U$91,$FJ61-FV$19))))</f>
        <v>0.00222847565826597</v>
      </c>
      <c r="FW61" s="150" t="n">
        <f aca="false">IF(FW$19&gt;$FJ61,"",MAX(0,IF(FW$19=$FJ61,$S61^2*FW$15,FW60*INDEX($T$20:$T$91,$FJ61-FW$19)^2/INDEX($U$20:$U$91,$FJ61-FW$19))))</f>
        <v>0.00208769667747976</v>
      </c>
      <c r="FX61" s="150" t="n">
        <f aca="false">IF(FX$19&gt;$FJ61,"",MAX(0,IF(FX$19=$FJ61,$S61^2*FX$15,FX60*INDEX($T$20:$T$91,$FJ61-FX$19)^2/INDEX($U$20:$U$91,$FJ61-FX$19))))</f>
        <v>0.00222790844464177</v>
      </c>
      <c r="FY61" s="150" t="n">
        <f aca="false">IF(FY$19&gt;$FJ61,"",MAX(0,IF(FY$19=$FJ61,$S61^2*FY$15,FY60*INDEX($T$20:$T$91,$FJ61-FY$19)^2/INDEX($U$20:$U$91,$FJ61-FY$19))))</f>
        <v>0.00209184422925605</v>
      </c>
      <c r="FZ61" s="150" t="n">
        <f aca="false">IF(FZ$19&gt;$FJ61,"",MAX(0,IF(FZ$19=$FJ61,$S61^2*FZ$15,FZ60*INDEX($T$20:$T$91,$FJ61-FZ$19)^2/INDEX($U$20:$U$91,$FJ61-FZ$19))))</f>
        <v>0.00195730549852747</v>
      </c>
      <c r="GA61" s="150" t="n">
        <f aca="false">IF(GA$19&gt;$FJ61,"",MAX(0,IF(GA$19=$FJ61,$S61^2*GA$15,GA60*INDEX($T$20:$T$91,$FJ61-GA$19)^2/INDEX($U$20:$U$91,$FJ61-GA$19))))</f>
        <v>0.00210445652301257</v>
      </c>
      <c r="GB61" s="150" t="n">
        <f aca="false">IF(GB$19&gt;$FJ61,"",MAX(0,IF(GB$19=$FJ61,$S61^2*GB$15,GB60*INDEX($T$20:$T$91,$FJ61-GB$19)^2/INDEX($U$20:$U$91,$FJ61-GB$19))))</f>
        <v>0.00232535369167175</v>
      </c>
      <c r="GC61" s="150" t="n">
        <f aca="false">IF(GC$19&gt;$FJ61,"",MAX(0,IF(GC$19=$FJ61,$S61^2*GC$15,GC60*INDEX($T$20:$T$91,$FJ61-GC$19)^2/INDEX($U$20:$U$91,$FJ61-GC$19))))</f>
        <v>0.00205493201565626</v>
      </c>
      <c r="GD61" s="150" t="n">
        <f aca="false">IF(GD$19&gt;$FJ61,"",MAX(0,IF(GD$19=$FJ61,$S61^2*GD$15,GD60*INDEX($T$20:$T$91,$FJ61-GD$19)^2/INDEX($U$20:$U$91,$FJ61-GD$19))))</f>
        <v>0.0020688830512821</v>
      </c>
      <c r="GE61" s="150" t="n">
        <f aca="false">IF(GE$19&gt;$FJ61,"",MAX(0,IF(GE$19=$FJ61,$S61^2*GE$15,GE60*INDEX($T$20:$T$91,$FJ61-GE$19)^2/INDEX($U$20:$U$91,$FJ61-GE$19))))</f>
        <v>0.00237337823138644</v>
      </c>
      <c r="GF61" s="150" t="n">
        <f aca="false">IF(GF$19&gt;$FJ61,"",MAX(0,IF(GF$19=$FJ61,$S61^2*GF$15,GF60*INDEX($T$20:$T$91,$FJ61-GF$19)^2/INDEX($U$20:$U$91,$FJ61-GF$19))))</f>
        <v>0.00210582506824011</v>
      </c>
      <c r="GG61" s="150" t="n">
        <f aca="false">IF(GG$19&gt;$FJ61,"",MAX(0,IF(GG$19=$FJ61,$S61^2*GG$15,GG60*INDEX($T$20:$T$91,$FJ61-GG$19)^2/INDEX($U$20:$U$91,$FJ61-GG$19))))</f>
        <v>0.00235017352102935</v>
      </c>
      <c r="GH61" s="150" t="n">
        <f aca="false">IF(GH$19&gt;$FJ61,"",MAX(0,IF(GH$19=$FJ61,$S61^2*GH$15,GH60*INDEX($T$20:$T$91,$FJ61-GH$19)^2/INDEX($U$20:$U$91,$FJ61-GH$19))))</f>
        <v>0.00223290394545958</v>
      </c>
      <c r="GI61" s="150" t="n">
        <f aca="false">IF(GI$19&gt;$FJ61,"",MAX(0,IF(GI$19=$FJ61,$S61^2*GI$15,GI60*INDEX($T$20:$T$91,$FJ61-GI$19)^2/INDEX($U$20:$U$91,$FJ61-GI$19))))</f>
        <v>0.00219260801666888</v>
      </c>
      <c r="GJ61" s="150" t="n">
        <f aca="false">IF(GJ$19&gt;$FJ61,"",MAX(0,IF(GJ$19=$FJ61,$S61^2*GJ$15,GJ60*INDEX($T$20:$T$91,$FJ61-GJ$19)^2/INDEX($U$20:$U$91,$FJ61-GJ$19))))</f>
        <v>0.00254141534631944</v>
      </c>
      <c r="GK61" s="150" t="n">
        <f aca="false">IF(GK$19&gt;$FJ61,"",MAX(0,IF(GK$19=$FJ61,$S61^2*GK$15,GK60*INDEX($T$20:$T$91,$FJ61-GK$19)^2/INDEX($U$20:$U$91,$FJ61-GK$19))))</f>
        <v>0.00236084008197193</v>
      </c>
      <c r="GL61" s="150" t="n">
        <f aca="false">IF(GL$19&gt;$FJ61,"",MAX(0,IF(GL$19=$FJ61,$S61^2*GL$15,GL60*INDEX($T$20:$T$91,$FJ61-GL$19)^2/INDEX($U$20:$U$91,$FJ61-GL$19))))</f>
        <v>0.00234071671996158</v>
      </c>
      <c r="GM61" s="150" t="n">
        <f aca="false">IF(GM$19&gt;$FJ61,"",MAX(0,IF(GM$19=$FJ61,$S61^2*GM$15,GM60*INDEX($T$20:$T$91,$FJ61-GM$19)^2/INDEX($U$20:$U$91,$FJ61-GM$19))))</f>
        <v>0.00257762788372931</v>
      </c>
      <c r="GN61" s="150" t="n">
        <f aca="false">IF(GN$19&gt;$FJ61,"",MAX(0,IF(GN$19=$FJ61,$S61^2*GN$15,GN60*INDEX($T$20:$T$91,$FJ61-GN$19)^2/INDEX($U$20:$U$91,$FJ61-GN$19))))</f>
        <v>0.00266907797594315</v>
      </c>
      <c r="GO61" s="150" t="n">
        <f aca="false">IF(GO$19&gt;$FJ61,"",MAX(0,IF(GO$19=$FJ61,$S61^2*GO$15,GO60*INDEX($T$20:$T$91,$FJ61-GO$19)^2/INDEX($U$20:$U$91,$FJ61-GO$19))))</f>
        <v>0.00278053020403769</v>
      </c>
      <c r="GP61" s="150" t="n">
        <f aca="false">IF(GP$19&gt;$FJ61,"",MAX(0,IF(GP$19=$FJ61,$S61^2*GP$15,GP60*INDEX($T$20:$T$91,$FJ61-GP$19)^2/INDEX($U$20:$U$91,$FJ61-GP$19))))</f>
        <v>0.00263499632954869</v>
      </c>
      <c r="GQ61" s="150" t="n">
        <f aca="false">IF(GQ$19&gt;$FJ61,"",MAX(0,IF(GQ$19=$FJ61,$S61^2*GQ$15,GQ60*INDEX($T$20:$T$91,$FJ61-GQ$19)^2/INDEX($U$20:$U$91,$FJ61-GQ$19))))</f>
        <v>0.00308660247480498</v>
      </c>
      <c r="GR61" s="150" t="n">
        <f aca="false">IF(GR$19&gt;$FJ61,"",MAX(0,IF(GR$19=$FJ61,$S61^2*GR$15,GR60*INDEX($T$20:$T$91,$FJ61-GR$19)^2/INDEX($U$20:$U$91,$FJ61-GR$19))))</f>
        <v>0.00319178904710672</v>
      </c>
      <c r="GS61" s="150" t="n">
        <f aca="false">IF(GS$19&gt;$FJ61,"",MAX(0,IF(GS$19=$FJ61,$S61^2*GS$15,GS60*INDEX($T$20:$T$91,$FJ61-GS$19)^2/INDEX($U$20:$U$91,$FJ61-GS$19))))</f>
        <v>0.00356572798204085</v>
      </c>
      <c r="GT61" s="150" t="n">
        <f aca="false">IF(GT$19&gt;$FJ61,"",MAX(0,IF(GT$19=$FJ61,$S61^2*GT$15,GT60*INDEX($T$20:$T$91,$FJ61-GT$19)^2/INDEX($U$20:$U$91,$FJ61-GT$19))))</f>
        <v>0.00378267047631208</v>
      </c>
      <c r="GU61" s="150" t="n">
        <f aca="false">IF(GU$19&gt;$FJ61,"",MAX(0,IF(GU$19=$FJ61,$S61^2*GU$15,GU60*INDEX($T$20:$T$91,$FJ61-GU$19)^2/INDEX($U$20:$U$91,$FJ61-GU$19))))</f>
        <v>0.00435586536619824</v>
      </c>
      <c r="GV61" s="150" t="n">
        <f aca="false">IF(GV$19&gt;$FJ61,"",MAX(0,IF(GV$19=$FJ61,$S61^2*GV$15,GV60*INDEX($T$20:$T$91,$FJ61-GV$19)^2/INDEX($U$20:$U$91,$FJ61-GV$19))))</f>
        <v>0.00495014703783543</v>
      </c>
      <c r="GW61" s="150" t="n">
        <f aca="false">IF(GW$19&gt;$FJ61,"",MAX(0,IF(GW$19=$FJ61,$S61^2*GW$15,GW60*INDEX($T$20:$T$91,$FJ61-GW$19)^2/INDEX($U$20:$U$91,$FJ61-GW$19))))</f>
        <v>0.0055729918769728</v>
      </c>
      <c r="GX61" s="150" t="n">
        <f aca="false">IF(GX$19&gt;$FJ61,"",MAX(0,IF(GX$19=$FJ61,$S61^2*GX$15,GX60*INDEX($T$20:$T$91,$FJ61-GX$19)^2/INDEX($U$20:$U$91,$FJ61-GX$19))))</f>
        <v>0.00689034405763489</v>
      </c>
      <c r="GY61" s="150" t="n">
        <f aca="false">IF(GY$19&gt;$FJ61,"",MAX(0,IF(GY$19=$FJ61,$S61^2*GY$15,GY60*INDEX($T$20:$T$91,$FJ61-GY$19)^2/INDEX($U$20:$U$91,$FJ61-GY$19))))</f>
        <v>0.00825338251090372</v>
      </c>
      <c r="GZ61" s="150" t="n">
        <f aca="false">IF(GZ$19&gt;$FJ61,"",MAX(0,IF(GZ$19=$FJ61,$S61^2*GZ$15,GZ60*INDEX($T$20:$T$91,$FJ61-GZ$19)^2/INDEX($U$20:$U$91,$FJ61-GZ$19))))</f>
        <v>0.0109996139042416</v>
      </c>
      <c r="HA61" s="150" t="str">
        <f aca="false">IF(HA$19&gt;$FJ61,"",MAX(0,IF(HA$19=$FJ61,$S61^2*HA$15,HA60*INDEX($T$20:$T$91,$FJ61-HA$19)^2/INDEX($U$20:$U$91,$FJ61-HA$19))))</f>
        <v/>
      </c>
      <c r="HB61" s="150" t="str">
        <f aca="false">IF(HB$19&gt;$FJ61,"",MAX(0,IF(HB$19=$FJ61,$S61^2*HB$15,HB60*INDEX($T$20:$T$91,$FJ61-HB$19)^2/INDEX($U$20:$U$91,$FJ61-HB$19))))</f>
        <v/>
      </c>
      <c r="HC61" s="150" t="str">
        <f aca="false">IF(HC$19&gt;$FJ61,"",MAX(0,IF(HC$19=$FJ61,$S61^2*HC$15,HC60*INDEX($T$20:$T$91,$FJ61-HC$19)^2/INDEX($U$20:$U$91,$FJ61-HC$19))))</f>
        <v/>
      </c>
      <c r="HD61" s="150" t="str">
        <f aca="false">IF(HD$19&gt;$FJ61,"",MAX(0,IF(HD$19=$FJ61,$S61^2*HD$15,HD60*INDEX($T$20:$T$91,$FJ61-HD$19)^2/INDEX($U$20:$U$91,$FJ61-HD$19))))</f>
        <v/>
      </c>
      <c r="HE61" s="150" t="str">
        <f aca="false">IF(HE$19&gt;$FJ61,"",MAX(0,IF(HE$19=$FJ61,$S61^2*HE$15,HE60*INDEX($T$20:$T$91,$FJ61-HE$19)^2/INDEX($U$20:$U$91,$FJ61-HE$19))))</f>
        <v/>
      </c>
      <c r="HF61" s="150" t="str">
        <f aca="false">IF(HF$19&gt;$FJ61,"",MAX(0,IF(HF$19=$FJ61,$S61^2*HF$15,HF60*INDEX($T$20:$T$91,$FJ61-HF$19)^2/INDEX($U$20:$U$91,$FJ61-HF$19))))</f>
        <v/>
      </c>
      <c r="HG61" s="150" t="str">
        <f aca="false">IF(HG$19&gt;$FJ61,"",MAX(0,IF(HG$19=$FJ61,$S61^2*HG$15,HG60*INDEX($T$20:$T$91,$FJ61-HG$19)^2/INDEX($U$20:$U$91,$FJ61-HG$19))))</f>
        <v/>
      </c>
      <c r="HH61" s="150" t="str">
        <f aca="false">IF(HH$19&gt;$FJ61,"",MAX(0,IF(HH$19=$FJ61,$S61^2*HH$15,HH60*INDEX($T$20:$T$91,$FJ61-HH$19)^2/INDEX($U$20:$U$91,$FJ61-HH$19))))</f>
        <v/>
      </c>
      <c r="HI61" s="150" t="str">
        <f aca="false">IF(HI$19&gt;$FJ61,"",MAX(0,IF(HI$19=$FJ61,$S61^2*HI$15,HI60*INDEX($T$20:$T$91,$FJ61-HI$19)^2/INDEX($U$20:$U$91,$FJ61-HI$19))))</f>
        <v/>
      </c>
      <c r="HJ61" s="150" t="str">
        <f aca="false">IF(HJ$19&gt;$FJ61,"",MAX(0,IF(HJ$19=$FJ61,$S61^2*HJ$15,HJ60*INDEX($T$20:$T$91,$FJ61-HJ$19)^2/INDEX($U$20:$U$91,$FJ61-HJ$19))))</f>
        <v/>
      </c>
      <c r="HK61" s="150" t="str">
        <f aca="false">IF(HK$19&gt;$FJ61,"",MAX(0,IF(HK$19=$FJ61,$S61^2*HK$15,HK60*INDEX($T$20:$T$91,$FJ61-HK$19)^2/INDEX($U$20:$U$91,$FJ61-HK$19))))</f>
        <v/>
      </c>
      <c r="HL61" s="150" t="str">
        <f aca="false">IF(HL$19&gt;$FJ61,"",MAX(0,IF(HL$19=$FJ61,$S61^2*HL$15,HL60*INDEX($T$20:$T$91,$FJ61-HL$19)^2/INDEX($U$20:$U$91,$FJ61-HL$19))))</f>
        <v/>
      </c>
      <c r="HM61" s="150" t="str">
        <f aca="false">IF(HM$19&gt;$FJ61,"",MAX(0,IF(HM$19=$FJ61,$S61^2*HM$15,HM60*INDEX($T$20:$T$91,$FJ61-HM$19)^2/INDEX($U$20:$U$91,$FJ61-HM$19))))</f>
        <v/>
      </c>
      <c r="HN61" s="150" t="str">
        <f aca="false">IF(HN$19&gt;$FJ61,"",MAX(0,IF(HN$19=$FJ61,$S61^2*HN$15,HN60*INDEX($T$20:$T$91,$FJ61-HN$19)^2/INDEX($U$20:$U$91,$FJ61-HN$19))))</f>
        <v/>
      </c>
      <c r="HO61" s="150" t="str">
        <f aca="false">IF(HO$19&gt;$FJ61,"",MAX(0,IF(HO$19=$FJ61,$S61^2*HO$15,HO60*INDEX($T$20:$T$91,$FJ61-HO$19)^2/INDEX($U$20:$U$91,$FJ61-HO$19))))</f>
        <v/>
      </c>
      <c r="HP61" s="150" t="str">
        <f aca="false">IF(HP$19&gt;$FJ61,"",MAX(0,IF(HP$19=$FJ61,$S61^2*HP$15,HP60*INDEX($T$20:$T$91,$FJ61-HP$19)^2/INDEX($U$20:$U$91,$FJ61-HP$19))))</f>
        <v/>
      </c>
      <c r="HQ61" s="150" t="str">
        <f aca="false">IF(HQ$19&gt;$FJ61,"",MAX(0,IF(HQ$19=$FJ61,$S61^2*HQ$15,HQ60*INDEX($T$20:$T$91,$FJ61-HQ$19)^2/INDEX($U$20:$U$91,$FJ61-HQ$19))))</f>
        <v/>
      </c>
      <c r="HR61" s="150" t="str">
        <f aca="false">IF(HR$19&gt;$FJ61,"",MAX(0,IF(HR$19=$FJ61,$S61^2*HR$15,HR60*INDEX($T$20:$T$91,$FJ61-HR$19)^2/INDEX($U$20:$U$91,$FJ61-HR$19))))</f>
        <v/>
      </c>
      <c r="HS61" s="150" t="str">
        <f aca="false">IF(HS$19&gt;$FJ61,"",MAX(0,IF(HS$19=$FJ61,$S61^2*HS$15,HS60*INDEX($T$20:$T$91,$FJ61-HS$19)^2/INDEX($U$20:$U$91,$FJ61-HS$19))))</f>
        <v/>
      </c>
      <c r="HT61" s="150" t="str">
        <f aca="false">IF(HT$19&gt;$FJ61,"",MAX(0,IF(HT$19=$FJ61,$S61^2*HT$15,HT60*INDEX($T$20:$T$91,$FJ61-HT$19)^2/INDEX($U$20:$U$91,$FJ61-HT$19))))</f>
        <v/>
      </c>
      <c r="HU61" s="150" t="str">
        <f aca="false">IF(HU$19&gt;$FJ61,"",MAX(0,IF(HU$19=$FJ61,$S61^2*HU$15,HU60*INDEX($T$20:$T$91,$FJ61-HU$19)^2/INDEX($U$20:$U$91,$FJ61-HU$19))))</f>
        <v/>
      </c>
      <c r="HV61" s="150" t="str">
        <f aca="false">IF(HV$19&gt;$FJ61,"",MAX(0,IF(HV$19=$FJ61,$S61^2*HV$15,HV60*INDEX($T$20:$T$91,$FJ61-HV$19)^2/INDEX($U$20:$U$91,$FJ61-HV$19))))</f>
        <v/>
      </c>
      <c r="HW61" s="150" t="str">
        <f aca="false">IF(HW$19&gt;$FJ61,"",MAX(0,IF(HW$19=$FJ61,$S61^2*HW$15,HW60*INDEX($T$20:$T$91,$FJ61-HW$19)^2/INDEX($U$20:$U$91,$FJ61-HW$19))))</f>
        <v/>
      </c>
      <c r="HX61" s="150" t="str">
        <f aca="false">IF(HX$19&gt;$FJ61,"",MAX(0,IF(HX$19=$FJ61,$S61^2*HX$15,HX60*INDEX($T$20:$T$91,$FJ61-HX$19)^2/INDEX($U$20:$U$91,$FJ61-HX$19))))</f>
        <v/>
      </c>
      <c r="HY61" s="150" t="str">
        <f aca="false">IF(HY$19&gt;$FJ61,"",MAX(0,IF(HY$19=$FJ61,$S61^2*HY$15,HY60*INDEX($T$20:$T$91,$FJ61-HY$19)^2/INDEX($U$20:$U$91,$FJ61-HY$19))))</f>
        <v/>
      </c>
      <c r="HZ61" s="150" t="str">
        <f aca="false">IF(HZ$19&gt;$FJ61,"",MAX(0,IF(HZ$19=$FJ61,$S61^2*HZ$15,HZ60*INDEX($T$20:$T$91,$FJ61-HZ$19)^2/INDEX($U$20:$U$91,$FJ61-HZ$19))))</f>
        <v/>
      </c>
      <c r="IA61" s="150" t="str">
        <f aca="false">IF(IA$19&gt;$FJ61,"",MAX(0,IF(IA$19=$FJ61,$S61^2*IA$15,IA60*INDEX($T$20:$T$91,$FJ61-IA$19)^2/INDEX($U$20:$U$91,$FJ61-IA$19))))</f>
        <v/>
      </c>
      <c r="IB61" s="150" t="str">
        <f aca="false">IF(IB$19&gt;$FJ61,"",MAX(0,IF(IB$19=$FJ61,$S61^2*IB$15,IB60*INDEX($T$20:$T$91,$FJ61-IB$19)^2/INDEX($U$20:$U$91,$FJ61-IB$19))))</f>
        <v/>
      </c>
      <c r="IC61" s="150" t="str">
        <f aca="false">IF(IC$19&gt;$FJ61,"",MAX(0,IF(IC$19=$FJ61,$S61^2*IC$15,IC60*INDEX($T$20:$T$91,$FJ61-IC$19)^2/INDEX($U$20:$U$91,$FJ61-IC$19))))</f>
        <v/>
      </c>
      <c r="ID61" s="572" t="str">
        <f aca="false">IF(ID$19&gt;$FJ61,"",MAX(0,IF(ID$19=$FJ61,$S61^2*ID$15,ID60*INDEX($T$20:$T$91,$FJ61-ID$19)^2/INDEX($U$20:$U$91,$FJ61-ID$19))))</f>
        <v/>
      </c>
      <c r="IE61" s="129"/>
    </row>
    <row r="62" customFormat="false" ht="12.75" hidden="false" customHeight="false" outlineLevel="0" collapsed="false">
      <c r="A62" s="219"/>
      <c r="B62" s="219"/>
      <c r="C62" s="219"/>
      <c r="D62" s="219"/>
      <c r="E62" s="219"/>
      <c r="F62" s="219"/>
      <c r="G62" s="219"/>
      <c r="H62" s="219" t="n">
        <f aca="false">VLOOKUP(I62,$EJ$20:$EL$54,3)</f>
        <v>0</v>
      </c>
      <c r="I62" s="511" t="n">
        <f aca="false">EOMONTH(I61,0)+1</f>
        <v>38047</v>
      </c>
      <c r="J62" s="512"/>
      <c r="K62" s="513" t="s">
        <v>250</v>
      </c>
      <c r="L62" s="514" t="e">
        <f aca="false">IF(ISNUMBER(K62),J62+K62/100,IF(K62="extra",L61+VLOOKUP(BF62,PriceSpreadTable,2)/12,IF(K62="inter",interpolateprices($K$19:$L$200,ROW(K62)-ROW(FirstPricingMonth)+1),interpolatechanges($J$19:$K$200,ROW(K62)-ROW(FirstPricingMonth)+1))))</f>
        <v>#VALUE!</v>
      </c>
      <c r="M62" s="515"/>
      <c r="N62" s="516" t="n">
        <v>0</v>
      </c>
      <c r="O62" s="515" t="n">
        <f aca="false">M62+N62</f>
        <v>0</v>
      </c>
      <c r="P62" s="512"/>
      <c r="Q62" s="513" t="s">
        <v>280</v>
      </c>
      <c r="R62" s="512" t="e">
        <f aca="false">IF(ISNUMBER(Q62),P62+Q62/100,IF(Q62="extra",(Z60*AL60-R61*AM60)/AN60,IF(Q62="inter",interpolateprices($Q$19:$R$260,ROW(Q62)-ROW(FirstPricingMonth)+1),interpolatechanges($P$19:$Q$260,ROW(Q62)-ROW(FirstPricingMonth)+1))))</f>
        <v>#VALUE!</v>
      </c>
      <c r="S62" s="597" t="n">
        <f aca="false">S$19+(S61-S$19)*S$18</f>
        <v>0.360000301697555</v>
      </c>
      <c r="T62" s="575" t="n">
        <f aca="false">SQRT((1-(1-T61^2/U61)*T$18)*U62)</f>
        <v>0.999843967145261</v>
      </c>
      <c r="U62" s="576" t="n">
        <f aca="false">1-(1-U61)*U$18</f>
        <v>0.999999915147563</v>
      </c>
      <c r="V62" s="521" t="n">
        <v>0</v>
      </c>
      <c r="W62" s="577" t="n">
        <f aca="false">(J63*AJ62+J64*AK62)/AI62</f>
        <v>0</v>
      </c>
      <c r="X62" s="578" t="e">
        <f aca="false">(L63*AJ62+L64*AK62)/AI62</f>
        <v>#VALUE!</v>
      </c>
      <c r="Y62" s="579" t="n">
        <f aca="false">IF(Q64="extra",W62-AA62,(P63*AM62+P64*AN62)/AL62)</f>
        <v>-1.1115</v>
      </c>
      <c r="Z62" s="579" t="e">
        <f aca="false">IF(Q64="extra",X62-AB62,(R63*AM62+R64*AN62)/AL62)</f>
        <v>#VALUE!</v>
      </c>
      <c r="AA62" s="523" t="n">
        <f aca="false">IF(Q64="extra",INDEX(BrentSeasonalityTable,INT((BG62-1)/3)+1)*VLOOKUP(MAX(BF62,$AB$4),PriceSpreadTable,3),W62-Y62)</f>
        <v>1.1115</v>
      </c>
      <c r="AB62" s="524" t="n">
        <f aca="false">IF(Q64="extra",INDEX(BrentSeasonalityTable,INT((BG62-1)/3)+1)*VLOOKUP(MAX(BF62,$AB$4),PriceSpreadTable,3),X62-Z62)</f>
        <v>1.1115</v>
      </c>
      <c r="AC62" s="646" t="n">
        <v>38037</v>
      </c>
      <c r="AD62" s="646" t="n">
        <v>38033</v>
      </c>
      <c r="AE62" s="646" t="n">
        <v>38032</v>
      </c>
      <c r="AF62" s="646" t="n">
        <v>38028</v>
      </c>
      <c r="AG62" s="438" t="s">
        <v>247</v>
      </c>
      <c r="AH62" s="439" t="s">
        <v>278</v>
      </c>
      <c r="AI62" s="528" t="n">
        <v>23</v>
      </c>
      <c r="AJ62" s="529" t="n">
        <v>15</v>
      </c>
      <c r="AK62" s="529" t="n">
        <v>8</v>
      </c>
      <c r="AL62" s="530" t="n">
        <v>23</v>
      </c>
      <c r="AM62" s="529" t="n">
        <v>10</v>
      </c>
      <c r="AN62" s="531" t="n">
        <v>13</v>
      </c>
      <c r="AO62" s="532"/>
      <c r="AP62" s="465" t="n">
        <f aca="false">(1+AO62/2)^(-2*BL62)</f>
        <v>1</v>
      </c>
      <c r="AQ62" s="532"/>
      <c r="AR62" s="465" t="n">
        <f aca="false">(1+AQ62/2)^(-2*BH62/365.25)</f>
        <v>1</v>
      </c>
      <c r="AS62" s="580" t="n">
        <f aca="false">(O63*AJ62+O64*AK62)/AI62</f>
        <v>0</v>
      </c>
      <c r="AT62" s="468" t="n">
        <f aca="false">O62*VLOOKUP(BF62,BrentVolTable,2)+VLOOKUP(BF62,BrentVolTable,3)</f>
        <v>0</v>
      </c>
      <c r="AU62" s="468" t="n">
        <f aca="false">(AT63*AM62+AT64*AN62)/AL62</f>
        <v>0</v>
      </c>
      <c r="AV62" s="595" t="n">
        <f aca="false">SQRT(MAX(0.000000000001,(O62^2*BH62-S62^2*(BH62-BH61))/BH61))</f>
        <v>0.0225184702230289</v>
      </c>
      <c r="AW62" s="451" t="n">
        <f aca="false">IF($I62-DateToday+15&gt;=$T$8,"",IF($I62-DateToday+15&lt;$T$5,1,MATCH($I62-DateToday+15,$T$5:$T$8)))</f>
        <v>1</v>
      </c>
      <c r="AX62" s="468" t="n">
        <f aca="false">IF($AW62="",AX61^2/AX60,INDEX(U$5:U$8,$AW62)^((INDEX($T$5:$T$8,$AW62+1)-($I62-DateToday+15))/(INDEX($T$5:$T$8,$AW62+1)-INDEX($T$5:$T$8,$AW62)))/INDEX(U$5:U$8,$AW62+1)^((INDEX($T$5:$T$8,$AW62)-($I62-DateToday+15))/(INDEX($T$5:$T$8,$AW62+1)-INDEX($T$5:$T$8,$AW62))))</f>
        <v>5.11792831875002</v>
      </c>
      <c r="AY62" s="468" t="n">
        <f aca="false">IF($AW62="",AY61^2/AY60,INDEX(V$5:V$8,$AW62)^((INDEX($T$5:$T$8,$AW62+1)-($I62-DateToday+15))/(INDEX($T$5:$T$8,$AW62+1)-INDEX($T$5:$T$8,$AW62)))/INDEX(V$5:V$8,$AW62+1)^((INDEX($T$5:$T$8,$AW62)-($I62-DateToday+15))/(INDEX($T$5:$T$8,$AW62+1)-INDEX($T$5:$T$8,$AW62))))</f>
        <v>890.872286843155</v>
      </c>
      <c r="AZ62" s="468" t="n">
        <f aca="false">IF($AW62="",AZ61^2/AZ60,INDEX(W$5:W$8,$AW62)^((INDEX($T$5:$T$8,$AW62+1)-($I62-DateToday+15))/(INDEX($T$5:$T$8,$AW62+1)-INDEX($T$5:$T$8,$AW62)))/INDEX(W$5:W$8,$AW62+1)^((INDEX($T$5:$T$8,$AW62)-($I62-DateToday+15))/(INDEX($T$5:$T$8,$AW62+1)-INDEX($T$5:$T$8,$AW62))))</f>
        <v>22196128.9535915</v>
      </c>
      <c r="BA62" s="468" t="n">
        <f aca="false">IF($AW62="",BA61^2/BA60,INDEX(X$5:X$8,$AW62)^((INDEX($T$5:$T$8,$AW62+1)-($I62-DateToday+15))/(INDEX($T$5:$T$8,$AW62+1)-INDEX($T$5:$T$8,$AW62)))/INDEX(X$5:X$8,$AW62+1)^((INDEX($T$5:$T$8,$AW62)-($I62-DateToday+15))/(INDEX($T$5:$T$8,$AW62+1)-INDEX($T$5:$T$8,$AW62))))</f>
        <v>1183314551.43971</v>
      </c>
      <c r="BB62" s="468" t="n">
        <f aca="false">IF($AW62="",BB61^2/BB60,INDEX(Y$5:Y$8,$AW62)^((INDEX($T$5:$T$8,$AW62+1)-($I62-DateToday+15))/(INDEX($T$5:$T$8,$AW62+1)-INDEX($T$5:$T$8,$AW62)))/INDEX(Y$5:Y$8,$AW62+1)^((INDEX($T$5:$T$8,$AW62)-($I62-DateToday+15))/(INDEX($T$5:$T$8,$AW62+1)-INDEX($T$5:$T$8,$AW62))))</f>
        <v>21594861344.0393</v>
      </c>
      <c r="BC62" s="468" t="n">
        <f aca="false">IF($AW62="",BC61^2/BC60,INDEX(Z$5:Z$8,$AW62)^((INDEX($T$5:$T$8,$AW62+1)-($I62-DateToday+15))/(INDEX($T$5:$T$8,$AW62+1)-INDEX($T$5:$T$8,$AW62)))/INDEX(Z$5:Z$8,$AW62+1)^((INDEX($T$5:$T$8,$AW62)-($I62-DateToday+15))/(INDEX($T$5:$T$8,$AW62+1)-INDEX($T$5:$T$8,$AW62))))</f>
        <v>122279470374.748</v>
      </c>
      <c r="BD62" s="535" t="n">
        <f aca="false">IF(OR(DateStart&gt;=I63,DateEnd&lt;I62),0,IF(VolumeOverrideFlag,V62,Volume))</f>
        <v>0</v>
      </c>
      <c r="BE62" s="536" t="n">
        <f aca="false">IF(OR(DateStart2&gt;=I63,DateEnd2&lt;I62),0,IF(VolumeOverrideFlag,V62,VolumeSwaption))</f>
        <v>0</v>
      </c>
      <c r="BF62" s="537" t="n">
        <f aca="false">YEAR(I62)</f>
        <v>2004</v>
      </c>
      <c r="BG62" s="538" t="n">
        <f aca="false">MONTH(I62)</f>
        <v>3</v>
      </c>
      <c r="BH62" s="539" t="n">
        <f aca="false">AD62-DateToday+1</f>
        <v>-7892</v>
      </c>
      <c r="BI62" s="540" t="n">
        <f aca="false">(I62-DateToday+1)/365.25</f>
        <v>-21.5687885010267</v>
      </c>
      <c r="BJ62" s="541" t="n">
        <f aca="false">BI62+(BL62-BI62)*CHOOSE(Underlying,AJ62/AI62,AM62/AL62)</f>
        <v>-21.5152218551915</v>
      </c>
      <c r="BK62" s="541" t="n">
        <f aca="false">BJ62+1/365.25</f>
        <v>-21.5124840044044</v>
      </c>
      <c r="BL62" s="541" t="n">
        <f aca="false">(I63-DateToday)/365.25</f>
        <v>-21.4866529774127</v>
      </c>
      <c r="BM62" s="542" t="e">
        <f aca="false">MAX(BI62-(BJ62-BI62)*(S63^2/O63^2-1),0)</f>
        <v>#DIV/0!</v>
      </c>
      <c r="BN62" s="541" t="e">
        <f aca="false">MAX(BL62+(BL62-BK62)*(S64^2/O64^2-1),0)</f>
        <v>#DIV/0!</v>
      </c>
      <c r="BO62" s="530" t="n">
        <f aca="false">CHOOSE(Underlying,AI62,AL62)</f>
        <v>23</v>
      </c>
      <c r="BP62" s="529" t="n">
        <f aca="false">CHOOSE(Underlying,AJ62,AM62)</f>
        <v>15</v>
      </c>
      <c r="BQ62" s="529" t="n">
        <f aca="false">CHOOSE(Underlying,AK62,AN62)</f>
        <v>8</v>
      </c>
      <c r="BR62" s="463" t="str">
        <f aca="false">IF(BD62,IF(Underlying=1,X62,Z62)+UnderlyingPriceAsian-SwapPriceCurve,"")</f>
        <v/>
      </c>
      <c r="BS62" s="463" t="str">
        <f aca="false">IF(BD62,Strike1/BR62-1,"")</f>
        <v/>
      </c>
      <c r="BT62" s="464" t="str">
        <f aca="false">IF(BD62,Strike2/BR62-1,"")</f>
        <v/>
      </c>
      <c r="BU62" s="465" t="str">
        <f aca="false">IF(BD62,IF(Underlying=1,L63,R63)+UnderlyingPriceAsian-SwapPriceCurve,"")</f>
        <v/>
      </c>
      <c r="BV62" s="465" t="str">
        <f aca="false">IF(BD62,IF(Underlying=1,L64,R64)+UnderlyingPriceAsian-SwapPriceCurve,"")</f>
        <v/>
      </c>
      <c r="BW62" s="466" t="str">
        <f aca="false">IF(BD62,IF(Underlying=1,O63,AT63),"")</f>
        <v/>
      </c>
      <c r="BX62" s="467" t="str">
        <f aca="false">IF(BD62,IF(Underlying=1,O64,AT64),"")</f>
        <v/>
      </c>
      <c r="BY62" s="466" t="str">
        <f aca="false">IF(BD62,IF(BS62&gt;0,IF(BS62&gt;0.2,BC62-BB62,IF(BS62&gt;0.1,BB62-BA62,BA62)),IF(BS62&lt;-0.2,AX62-AY62,IF(BS62&lt;-0.1,AY62-AZ62,AZ62))),"")</f>
        <v/>
      </c>
      <c r="BZ62" s="467" t="str">
        <f aca="false">IF(BD62,IF(BT62&gt;0,IF(BT62&gt;0.2,BC62-BB62,IF(BT62&gt;0.1,BB62-BA62,BA62)),IF(BT62&lt;-0.2,AX62-AY62,IF(BT62&lt;-0.1,AY62-AZ62,AZ62))),"")</f>
        <v/>
      </c>
      <c r="CA62" s="468" t="str">
        <f aca="false">IF($BD62,$BW62+IF(VolSkewFlag=1,IF(BS62&gt;0,$BA62*MIN(BS62/10%,1)+($BB62-$BA62)*MAX(0,MIN(BS62/10%-1,1))+($BC62-$BB62)*MAX(0,BS62/10%-2),$AZ62*MIN(-BS62/10%,1)+($AY62-$AZ62)*MAX(0,MIN(-BS62/10%-1,1))+($AX62-$AY62)*MAX(0,-BS62/10%-2)),0),"")</f>
        <v/>
      </c>
      <c r="CB62" s="468" t="str">
        <f aca="false">IF($BD62,$BX62+IF(VolSkewFlag=1,IF(BS62&gt;0,$BA62*MIN(BS62/10%,1)+($BB62-$BA62)*MAX(0,MIN(BS62/10%-1,1))+($BC62-$BB62)*MAX(0,BS62/10%-2),$AZ62*MIN(-BS62/10%,1)+($AY62-$AZ62)*MAX(0,MIN(-BS62/10%-1,1))+($AX62-$AY62)*MAX(0,-BS62/10%-2)),0),"")</f>
        <v/>
      </c>
      <c r="CC62" s="468" t="str">
        <f aca="false">IF($BD62,$BW62+IF(VolSkewFlag=1,IF(BT62&gt;0,$BA62*MIN(BT62/10%,1)+($BB62-$BA62)*MAX(0,MIN(BT62/10%-1,1))+($BC62-$BB62)*MAX(0,BT62/10%-2),$AZ62*MIN(-BT62/10%,1)+($AY62-$AZ62)*MAX(0,MIN(-BT62/10%-1,1))+($AX62-$AY62)*MAX(0,-BT62/10%-2)),0),"")</f>
        <v/>
      </c>
      <c r="CD62" s="468" t="str">
        <f aca="false">IF($BD62,$BX62+IF(VolSkewFlag=1,IF(BT62&gt;0,$BA62*MIN(BT62/10%,1)+($BB62-$BA62)*MAX(0,MIN(BT62/10%-1,1))+($BC62-$BB62)*MAX(0,BT62/10%-2),$AZ62*MIN(-BT62/10%,1)+($AY62-$AZ62)*MAX(0,MIN(-BT62/10%-1,1))+($AX62-$AY62)*MAX(0,-BT62/10%-2)),0),"")</f>
        <v/>
      </c>
      <c r="CE62" s="469" t="n">
        <v>1</v>
      </c>
      <c r="CF62" s="470" t="n">
        <f aca="false">IF(BD62,xCrudeAPO(BU62,BV62,CA62,CB62,S63,S64,BI62,BL62,BP62,BQ62,0,Strike1,AO62,CE62,0,BL62,IF(OptControl=4,0,1),0,1),0)</f>
        <v>0</v>
      </c>
      <c r="CG62" s="470" t="n">
        <f aca="false">IF(BD62,xCrudeAPO(BU62,BV62,CA62,CB62,S63,S64,BI62,BL62,BP62,BQ62,0,Strike1,AO62,CE62,0,BL62,IF(OptControl=4,0,1),1,1)+xCrudeAPO(BU62,BV62,CA62,CB62,S63,S64,BI62,BL62,BP62,BQ62,0,Strike1,AO62,CE62,0,BL62,IF(OptControl=4,0,1),1,2)+IF(OR(VolSkewFlag=2,ABS(BS62)&lt;0.0001),0,IF(BS62&gt;0,-1,1)*CH62*Strike1/BR62^2*BY62/10%),0)</f>
        <v>0</v>
      </c>
      <c r="CH62" s="470" t="n">
        <f aca="false">IF(BD62,(xCrudeAPO(BU62,BV62,CA62,CB62,S63,S64,BI62,BL62,BP62,BQ62,0,Strike1,AO62,CE62,0,BL62,IF(OptControl=4,0,1),3,1)+xCrudeAPO(BU62,BV62,CA62,CB62,S63,S64,BI62,BL62,BP62,BQ62,0,Strike1,AO62,CE62,0,BL62,IF(OptControl=4,0,1),3,2))/100,0)</f>
        <v>0</v>
      </c>
      <c r="CI62" s="470" t="n">
        <f aca="false">IF(BD62,xCrudeAPO(BU62,BV62,CA62,CB62,S63,S64,BI62-DaysForThetaCalculation/365.25,BL62-DaysForThetaCalculation/365.25,BP62,BQ62,0,Strike1,AO62,CE62,0,BL62,IF(OptControl=4,0,1),0,1)-xCrudeAPO(BU62,BV62,CA62,CB62,S63,S64,BI62,BL62,BP62,BQ62,0,Strike1,AO62,CE62,0,BL62,IF(OptControl=4,0,1),0,1),0)</f>
        <v>0</v>
      </c>
      <c r="CJ62" s="471" t="n">
        <f aca="false">IF(BD62,xCrudeAPO(BU62,BV62,CC62,CD62,S63,S64,BI62,BL62,BP62,BQ62,0,Strike2,AO62,CE62,0,BL62,IF(OptControl=3,1,0),0,1),0)</f>
        <v>0</v>
      </c>
      <c r="CK62" s="470" t="n">
        <f aca="false">IF(BD62,xCrudeAPO(BU62,BV62,CC62,CD62,S63,S64,BI62,BL62,BP62,BQ62,0,Strike2,AO62,CE62,0,BL62,IF(OptControl=3,1,0),1,1)+xCrudeAPO(BU62,BV62,CC62,CD62,S63,S64,BI62,BL62,BP62,BQ62,0,Strike2,AO62,CE62,0,BL62,IF(OptControl=3,1,0),1,2)+IF(OR(VolSkewFlag=2,ABS(BT62)&lt;0.0001),0,IF(BT62&gt;0,-1,1)*CL62*Strike2/BR62^2*BZ62/10%),0)</f>
        <v>0</v>
      </c>
      <c r="CL62" s="470" t="n">
        <f aca="false">IF(BD62,(xCrudeAPO(BU62,BV62,CC62,CD62,S63,S64,BI62,BL62,BP62,BQ62,0,Strike2,AO62,CE62,0,BL62,IF(OptControl=3,1,0),3,1)+xCrudeAPO(BU62,BV62,CC62,CD62,S63,S64,BI62,BL62,BP62,BQ62,0,Strike2,AO62,CE62,0,BL62,IF(OptControl=3,1,0),3,2))/100,0)</f>
        <v>0</v>
      </c>
      <c r="CM62" s="472" t="n">
        <f aca="false">IF(BD62,xCrudeAPO(BU62,BV62,CC62,CD62,S63,S64,BI62-DaysForThetaCalculation/365.25,BL62-DaysForThetaCalculation/365.25,BP62,BQ62,0,Strike2,AO62,CE62,0,BL62,IF(OptControl=3,1,0),0,1)-xCrudeAPO(BU62,BV62,CC62,CD62,S63,S64,BI62,BL62,BP62,BQ62,0,Strike2,AO62,CE62,0,BL62,IF(OptControl=3,1,0),0,1),0)</f>
        <v>0</v>
      </c>
      <c r="CN62" s="3"/>
      <c r="CO62" s="543" t="str">
        <f aca="false">IF(BD62,CHOOSE(Underlying,AD62,AF62)-DateToday+1,"")</f>
        <v/>
      </c>
      <c r="CP62" s="582" t="str">
        <f aca="false">IF(BD62,CHOOSE(Underlying,L62,R62),"")</f>
        <v/>
      </c>
      <c r="CQ62" s="544" t="str">
        <f aca="false">IF(BD62,Strike1/CP62-1,"")</f>
        <v/>
      </c>
      <c r="CR62" s="544" t="str">
        <f aca="false">IF(BD62,Strike2/CP62-1,"")</f>
        <v/>
      </c>
      <c r="CS62" s="544" t="str">
        <f aca="false">IF(BD62,IF(CQ62&gt;0,IF(CQ62&gt;0.2,BC61-BB61,IF(CQ62&gt;0.1,BB61-BA61,BA61)),IF(CQ62&lt;-0.2,AX61-AY61,IF(CQ62&lt;-0.1,AY61-AZ61,AZ61))),"")</f>
        <v/>
      </c>
      <c r="CT62" s="544" t="str">
        <f aca="false">IF(BD62,IF(CR62&gt;0,IF(CR62&gt;0.2,BC61-BB61,IF(CR62&gt;0.1,BB61-BA61,BA61)),IF(CR62&lt;-0.2,AX61-AY61,IF(CR62&lt;-0.1,AY61-AZ61,AZ61))),"")</f>
        <v/>
      </c>
      <c r="CU62" s="545" t="str">
        <f aca="false">IF(BD62,CHOOSE(Underlying,O62,AT62),"")</f>
        <v/>
      </c>
      <c r="CV62" s="545" t="str">
        <f aca="false">IF(BD62,CU62+IF(VolSkewFlag=1,IF(CQ62&gt;0,BA61*MIN(CQ62/10%,1)+(BB61-BA61)*MAX(0,MIN(CQ62/10%-1,1))+(BC61-BB61)*MAX(0,CQ62/10%-2),AZ61*MIN(-CQ62/10%,1)+(AY61-AZ61)*MAX(0,MIN(-CQ62/10%-1,1))+(AX61-AY61)*MAX(0,-CQ62/10%-2)),0),"")</f>
        <v/>
      </c>
      <c r="CW62" s="545" t="str">
        <f aca="false">IF(BD62,CU62+IF(VolSkewFlag=1,IF(CR62&gt;0,BA61*MIN(CR62/10%,1)+(BB61-BA61)*MAX(0,MIN(CR62/10%-1,1))+(BC61-BB61)*MAX(0,CR62/10%-2),AZ61*MIN(-CR62/10%,1)+(AY61-AZ61)*MAX(0,MIN(-CR62/10%-1,1))+(AX61-AY61)*MAX(0,-CR62/10%-2)),0),"")</f>
        <v/>
      </c>
      <c r="CX62" s="470" t="n">
        <f aca="false">IF(BD62,EURO(CP62,Strike1,AO62,AO62,CV62,CO62,IF(OptControl=4,0,1),0),0)</f>
        <v>0</v>
      </c>
      <c r="CY62" s="470" t="n">
        <f aca="false">IF(BD62,EURO(CP62,Strike1,AO62,AO62,CV62,CO62,IF(OptControl=4,0,1),1)+IF(OR(VolSkewFlag=2,ABS(CQ62)&lt;0.0001),0,IF(CQ62&gt;0,-1,1)*CZ62*100*Strike1/CP62^2*CS62/10%),0)</f>
        <v>0</v>
      </c>
      <c r="CZ62" s="470" t="n">
        <f aca="false">IF(BD62,EURO(CP62,Strike1,AO62,AO62,CV62,CO62,IF(OptControl=4,0,1),3)/100,0)</f>
        <v>0</v>
      </c>
      <c r="DA62" s="470" t="n">
        <f aca="false">IF(BD62,EURO(CP62,Strike1,AO62,AO62,CV62,CO62,IF(OptControl=4,0,1),0)-EURO(CP62,Strike1,AO62,AO62,CV62,CO62-1,IF(OptControl=4,0,1),0),0)</f>
        <v>0</v>
      </c>
      <c r="DB62" s="470" t="n">
        <f aca="false">IF(BD62,EURO(CP62,Strike2,AO62,AO62,CW62,CO62,IF(OptControl=3,1,0),0),0)</f>
        <v>0</v>
      </c>
      <c r="DC62" s="470" t="n">
        <f aca="false">IF(BD62,EURO(CP62,Strike2,AO62,AO62,CW62,CO62,IF(OptControl=3,1,0),1)+IF(OR(VolSkewFlag=2,ABS(CR62)&lt;0.0001),0,IF(CR62&gt;0,-1,1)*DD62*100*Strike2/CP62^2*CT62/10%),0)</f>
        <v>0</v>
      </c>
      <c r="DD62" s="470" t="n">
        <f aca="false">IF(BD62,EURO(CP62,Strike2,AO62,AO62,CW62,CO62,IF(OptControl=3,1,0),3)/100,0)</f>
        <v>0</v>
      </c>
      <c r="DE62" s="472" t="n">
        <f aca="false">IF(BD62,EURO(CP62,Strike2,AO62,AO62,CW62,CO62,IF(OptControl=3,1,0),0)-EURO(CP62,Strike2,AO62,AO62,CW62,CO62-1,IF(OptControl=3,1,0),0),0)</f>
        <v>0</v>
      </c>
      <c r="DG62" s="481" t="n">
        <f aca="false">EOMONTH(DG61,0)+1</f>
        <v>46966</v>
      </c>
      <c r="DH62" s="478" t="n">
        <v>18.62</v>
      </c>
      <c r="DI62" s="479" t="n">
        <v>18.5533333333333</v>
      </c>
      <c r="DJ62" s="480" t="n">
        <f aca="false">DG62</f>
        <v>46966</v>
      </c>
      <c r="DK62" s="478" t="n">
        <v>17.4004290034914</v>
      </c>
      <c r="DL62" s="479" t="n">
        <v>17.3894333333333</v>
      </c>
      <c r="DM62" s="481" t="n">
        <f aca="false">DG62</f>
        <v>46966</v>
      </c>
      <c r="DN62" s="482" t="n">
        <f aca="false">DK62+BrentPhyBrentSpread</f>
        <v>17.4504290034914</v>
      </c>
      <c r="DO62" s="481" t="n">
        <f aca="false">DG62</f>
        <v>46966</v>
      </c>
      <c r="DP62" s="483" t="n">
        <f aca="false">DL62+DQ62</f>
        <v>17.3894333333333</v>
      </c>
      <c r="DQ62" s="546" t="n">
        <v>0</v>
      </c>
      <c r="DR62" s="480" t="n">
        <f aca="false">DG62</f>
        <v>46966</v>
      </c>
      <c r="DS62" s="485" t="n">
        <v>0.207293691276448</v>
      </c>
      <c r="DT62" s="486" t="n">
        <v>0.206126870227935</v>
      </c>
      <c r="DU62" s="480" t="n">
        <f aca="false">DG62</f>
        <v>46966</v>
      </c>
      <c r="DV62" s="485" t="n">
        <v>0.207293691276448</v>
      </c>
      <c r="DW62" s="486" t="n">
        <v>0.206126870227935</v>
      </c>
      <c r="DX62" s="481" t="n">
        <f aca="false">DG62</f>
        <v>46966</v>
      </c>
      <c r="DY62" s="486" t="n">
        <v>0.350000000000036</v>
      </c>
      <c r="DZ62" s="481" t="n">
        <f aca="false">DR62</f>
        <v>46966</v>
      </c>
      <c r="EA62" s="486" t="n">
        <f aca="false">DT62</f>
        <v>0.206126870227935</v>
      </c>
      <c r="EB62" s="195"/>
      <c r="EC62" s="547" t="str">
        <f aca="false">IF(BD62,IF(Underlying=1,AS62,AU62),"")</f>
        <v/>
      </c>
      <c r="ED62" s="548" t="str">
        <f aca="false">IF($BD62,$EC62+IF(VolSkewFlag=1,IF(BS62&gt;0,$BA62*MIN(BS62/10%,1)+($BB62-$BA62)*MAX(0,MIN(BS62/10%-1,1))+($BC62-$BB62)*MAX(0,BS62/10%-2),$AZ62*MIN(-BS62/10%,1)+($AY62-$AZ62)*MAX(0,MIN(-BS62/10%-1,1))+($AX62-$AY62)*MAX(0,-BS62/10%-2)),0),"")</f>
        <v/>
      </c>
      <c r="EE62" s="549" t="str">
        <f aca="false">IF($BD62,$EC62+IF(VolSkewFlag=1,IF(BT62&gt;0,$BA62*MIN(BT62/10%,1)+($BB62-$BA62)*MAX(0,MIN(BT62/10%-1,1))+($BC62-$BB62)*MAX(0,BT62/10%-2),$AZ62*MIN(-BT62/10%,1)+($AY62-$AZ62)*MAX(0,MIN(-BT62/10%-1,1))+($AX62-$AY62)*MAX(0,-BT62/10%-2)),0),"")</f>
        <v/>
      </c>
      <c r="EF62" s="550" t="n">
        <f aca="false">IF(BD62,xASN(BR62,Strike1,AO62,ED62,0,BO62,0,BI62,BL62,IF(OptControl=4,0,1),0),0)</f>
        <v>0</v>
      </c>
      <c r="EG62" s="551" t="n">
        <f aca="false">IF(BD62,xASN(BR62,Strike2,AO62,EE62,0,BO62,0,BI62,BL62,IF(OptControl=3,1,0),0),0)</f>
        <v>0</v>
      </c>
      <c r="EL62" s="1"/>
      <c r="EM62" s="195"/>
      <c r="EN62" s="556" t="n">
        <v>40902</v>
      </c>
      <c r="EO62" s="557" t="n">
        <v>44197</v>
      </c>
      <c r="EP62" s="195"/>
      <c r="EQ62" s="407" t="s">
        <v>288</v>
      </c>
      <c r="ES62" s="587" t="n">
        <v>43</v>
      </c>
      <c r="ET62" s="559" t="n">
        <f aca="false">BH62/365.25</f>
        <v>-21.6071184120465</v>
      </c>
      <c r="EU62" s="560" t="n">
        <f aca="false">O62^2*ET62</f>
        <v>-0</v>
      </c>
      <c r="EV62" s="588" t="e">
        <f aca="false">SQRT(SUM(FK62:ID62)/ET62)</f>
        <v>#VALUE!</v>
      </c>
      <c r="EW62" s="589" t="str">
        <f aca="false">IF(OR(DateStart2&gt;I61,DateEnd2&lt;I60),"",IF(DateStart2&lt;I61,AK60/AI60*AP60*BE60*SwaptionNumOfMonths/$D$33,0)+IF(DateEnd2&gt;I60,AJ61/AI61*AP61*BE61*SwaptionNumOfMonths/$D$33,0))</f>
        <v/>
      </c>
      <c r="EX62" s="590" t="str">
        <f aca="false">IF(EW62="","",SQRT(SUM(FK367:ID367)/SwaptionYearsToExp))</f>
        <v/>
      </c>
      <c r="EY62" s="129" t="n">
        <v>0</v>
      </c>
      <c r="EZ62" s="591" t="str">
        <f aca="false">IF(OR(EW62="",EW63=""),"",SQRT(SUM(INDEX(FK62:ID62,SwaptionFirstMonthPosition+1):INDEX(FK62:ID62,FJ62))/SUM(INDEX($FK$15:$ID$15,SwaptionFirstMonthPosition+1):INDEX($FK$15:$ID$15,FJ62))))</f>
        <v/>
      </c>
      <c r="FA62" s="592" t="str">
        <f aca="false">IF(OR(EW62="",EW61=""),"",SQRT(SUM(INDEX(FK62:ID62,SwaptionFirstMonthPosition+1):INDEX(FK62:ID62,FJ62-1))/SUM(INDEX($FK$15:$ID$15,SwaptionFirstMonthPosition+1):INDEX($FK$15:$ID$15,FJ62-1))))</f>
        <v/>
      </c>
      <c r="FB62" s="593" t="str">
        <f aca="false">IF(BE62,2/3*EZ63+1/3*FA64,"")</f>
        <v/>
      </c>
      <c r="FC62" s="596" t="str">
        <f aca="false">IF(BE62,(I63+I62-1)/2-DateToday,"")</f>
        <v/>
      </c>
      <c r="FD62" s="483" t="str">
        <f aca="false">IF(BE62,CHOOSE(Underlying,X62,Z62)+SwaptionUnderlyingPrice-$D$26,"")</f>
        <v/>
      </c>
      <c r="FE62" s="483" t="str">
        <f aca="false">IF(BE62,CollartionFloor/FD62-1,"")</f>
        <v/>
      </c>
      <c r="FF62" s="483" t="str">
        <f aca="false">IF(BE62,CollartionCap/FD62-1,"")</f>
        <v/>
      </c>
      <c r="FG62" s="485" t="str">
        <f aca="false">IF(BE62,IF(VolSkewFlag=1,IF(FE62&gt;0,$BA62*MIN(FE62/10%,1)+($BB62-$BA62)*MAX(0,MIN(FE62/10%-1,1))+($BC62-$BB62)*MAX(0,FE62/10%-2),$AZ62*MIN(-FE62/10%,1)+($AY62-$AZ62)*MAX(0,MIN(-FE62/10%-1,1))+($AX62-$AY62)*MAX(0,-FE62/10%-2)),0),"")</f>
        <v/>
      </c>
      <c r="FH62" s="486" t="str">
        <f aca="false">IF(BE62,IF(VolSkewFlag=1,IF(FF62&gt;0,$BA62*MIN(FF62/10%,1)+($BB62-$BA62)*MAX(0,MIN(FF62/10%-1,1))+($BC62-$BB62)*MAX(0,FF62/10%-2),$AZ62*MIN(-FF62/10%,1)+($AY62-$AZ62)*MAX(0,MIN(-FF62/10%-1,1))+($AX62-$AY62)*MAX(0,-FF62/10%-2)),0),"")</f>
        <v/>
      </c>
      <c r="FI62" s="129"/>
      <c r="FJ62" s="571" t="n">
        <v>43</v>
      </c>
      <c r="FK62" s="150" t="n">
        <f aca="false">IF(FK$19&gt;$FJ62,"",MAX(0,IF(FK$19=$FJ62,$S62^2*FK$15,FK61*INDEX($T$20:$T$91,$FJ62-FK$19)^2/INDEX($U$20:$U$91,$FJ62-FK$19))))</f>
        <v>0</v>
      </c>
      <c r="FL62" s="150" t="n">
        <f aca="false">IF(FL$19&gt;$FJ62,"",MAX(0,IF(FL$19=$FJ62,$S62^2*FL$15,FL61*INDEX($T$20:$T$91,$FJ62-FL$19)^2/INDEX($U$20:$U$91,$FJ62-FL$19))))</f>
        <v>0</v>
      </c>
      <c r="FM62" s="150" t="n">
        <f aca="false">IF(FM$19&gt;$FJ62,"",MAX(0,IF(FM$19=$FJ62,$S62^2*FM$15,FM61*INDEX($T$20:$T$91,$FJ62-FM$19)^2/INDEX($U$20:$U$91,$FJ62-FM$19))))</f>
        <v>0.00255427001060426</v>
      </c>
      <c r="FN62" s="150" t="n">
        <f aca="false">IF(FN$19&gt;$FJ62,"",MAX(0,IF(FN$19=$FJ62,$S62^2*FN$15,FN61*INDEX($T$20:$T$91,$FJ62-FN$19)^2/INDEX($U$20:$U$91,$FJ62-FN$19))))</f>
        <v>0.00215092534453141</v>
      </c>
      <c r="FO62" s="150" t="n">
        <f aca="false">IF(FO$19&gt;$FJ62,"",MAX(0,IF(FO$19=$FJ62,$S62^2*FO$15,FO61*INDEX($T$20:$T$91,$FJ62-FO$19)^2/INDEX($U$20:$U$91,$FJ62-FO$19))))</f>
        <v>0.00223858678318249</v>
      </c>
      <c r="FP62" s="150" t="n">
        <f aca="false">IF(FP$19&gt;$FJ62,"",MAX(0,IF(FP$19=$FJ62,$S62^2*FP$15,FP61*INDEX($T$20:$T$91,$FJ62-FP$19)^2/INDEX($U$20:$U$91,$FJ62-FP$19))))</f>
        <v>0.00248227775021788</v>
      </c>
      <c r="FQ62" s="150" t="n">
        <f aca="false">IF(FQ$19&gt;$FJ62,"",MAX(0,IF(FQ$19=$FJ62,$S62^2*FQ$15,FQ61*INDEX($T$20:$T$91,$FJ62-FQ$19)^2/INDEX($U$20:$U$91,$FJ62-FQ$19))))</f>
        <v>0.00201126886651391</v>
      </c>
      <c r="FR62" s="150" t="n">
        <f aca="false">IF(FR$19&gt;$FJ62,"",MAX(0,IF(FR$19=$FJ62,$S62^2*FR$15,FR61*INDEX($T$20:$T$91,$FJ62-FR$19)^2/INDEX($U$20:$U$91,$FJ62-FR$19))))</f>
        <v>0.00205835102197007</v>
      </c>
      <c r="FS62" s="150" t="n">
        <f aca="false">IF(FS$19&gt;$FJ62,"",MAX(0,IF(FS$19=$FJ62,$S62^2*FS$15,FS61*INDEX($T$20:$T$91,$FJ62-FS$19)^2/INDEX($U$20:$U$91,$FJ62-FS$19))))</f>
        <v>0.00232214270995299</v>
      </c>
      <c r="FT62" s="150" t="n">
        <f aca="false">IF(FT$19&gt;$FJ62,"",MAX(0,IF(FT$19=$FJ62,$S62^2*FT$15,FT61*INDEX($T$20:$T$91,$FJ62-FT$19)^2/INDEX($U$20:$U$91,$FJ62-FT$19))))</f>
        <v>0.00209832166255772</v>
      </c>
      <c r="FU62" s="150" t="n">
        <f aca="false">IF(FU$19&gt;$FJ62,"",MAX(0,IF(FU$19=$FJ62,$S62^2*FU$15,FU61*INDEX($T$20:$T$91,$FJ62-FU$19)^2/INDEX($U$20:$U$91,$FJ62-FU$19))))</f>
        <v>0.00202025440497971</v>
      </c>
      <c r="FV62" s="150" t="n">
        <f aca="false">IF(FV$19&gt;$FJ62,"",MAX(0,IF(FV$19=$FJ62,$S62^2*FV$15,FV61*INDEX($T$20:$T$91,$FJ62-FV$19)^2/INDEX($U$20:$U$91,$FJ62-FV$19))))</f>
        <v>0.00222392044610861</v>
      </c>
      <c r="FW62" s="150" t="n">
        <f aca="false">IF(FW$19&gt;$FJ62,"",MAX(0,IF(FW$19=$FJ62,$S62^2*FW$15,FW61*INDEX($T$20:$T$91,$FJ62-FW$19)^2/INDEX($U$20:$U$91,$FJ62-FW$19))))</f>
        <v>0.00208270551164786</v>
      </c>
      <c r="FX62" s="150" t="n">
        <f aca="false">IF(FX$19&gt;$FJ62,"",MAX(0,IF(FX$19=$FJ62,$S62^2*FX$15,FX61*INDEX($T$20:$T$91,$FJ62-FX$19)^2/INDEX($U$20:$U$91,$FJ62-FX$19))))</f>
        <v>0.00222167876341363</v>
      </c>
      <c r="FY62" s="150" t="n">
        <f aca="false">IF(FY$19&gt;$FJ62,"",MAX(0,IF(FY$19=$FJ62,$S62^2*FY$15,FY61*INDEX($T$20:$T$91,$FJ62-FY$19)^2/INDEX($U$20:$U$91,$FJ62-FY$19))))</f>
        <v>0.00208500303832382</v>
      </c>
      <c r="FZ62" s="150" t="n">
        <f aca="false">IF(FZ$19&gt;$FJ62,"",MAX(0,IF(FZ$19=$FJ62,$S62^2*FZ$15,FZ61*INDEX($T$20:$T$91,$FJ62-FZ$19)^2/INDEX($U$20:$U$91,$FJ62-FZ$19))))</f>
        <v>0.00194981872197581</v>
      </c>
      <c r="GA62" s="150" t="n">
        <f aca="false">IF(GA$19&gt;$FJ62,"",MAX(0,IF(GA$19=$FJ62,$S62^2*GA$15,GA61*INDEX($T$20:$T$91,$FJ62-GA$19)^2/INDEX($U$20:$U$91,$FJ62-GA$19))))</f>
        <v>0.00209504174469471</v>
      </c>
      <c r="GB62" s="150" t="n">
        <f aca="false">IF(GB$19&gt;$FJ62,"",MAX(0,IF(GB$19=$FJ62,$S62^2*GB$15,GB61*INDEX($T$20:$T$91,$FJ62-GB$19)^2/INDEX($U$20:$U$91,$FJ62-GB$19))))</f>
        <v>0.00231318642447662</v>
      </c>
      <c r="GC62" s="150" t="n">
        <f aca="false">IF(GC$19&gt;$FJ62,"",MAX(0,IF(GC$19=$FJ62,$S62^2*GC$15,GC61*INDEX($T$20:$T$91,$FJ62-GC$19)^2/INDEX($U$20:$U$91,$FJ62-GC$19))))</f>
        <v>0.00204235622296185</v>
      </c>
      <c r="GD62" s="150" t="n">
        <f aca="false">IF(GD$19&gt;$FJ62,"",MAX(0,IF(GD$19=$FJ62,$S62^2*GD$15,GD61*INDEX($T$20:$T$91,$FJ62-GD$19)^2/INDEX($U$20:$U$91,$FJ62-GD$19))))</f>
        <v>0.0020540746648771</v>
      </c>
      <c r="GE62" s="150" t="n">
        <f aca="false">IF(GE$19&gt;$FJ62,"",MAX(0,IF(GE$19=$FJ62,$S62^2*GE$15,GE61*INDEX($T$20:$T$91,$FJ62-GE$19)^2/INDEX($U$20:$U$91,$FJ62-GE$19))))</f>
        <v>0.00235350938571735</v>
      </c>
      <c r="GF62" s="150" t="n">
        <f aca="false">IF(GF$19&gt;$FJ62,"",MAX(0,IF(GF$19=$FJ62,$S62^2*GF$15,GF61*INDEX($T$20:$T$91,$FJ62-GF$19)^2/INDEX($U$20:$U$91,$FJ62-GF$19))))</f>
        <v>0.00208520634077182</v>
      </c>
      <c r="GG62" s="150" t="n">
        <f aca="false">IF(GG$19&gt;$FJ62,"",MAX(0,IF(GG$19=$FJ62,$S62^2*GG$15,GG61*INDEX($T$20:$T$91,$FJ62-GG$19)^2/INDEX($U$20:$U$91,$FJ62-GG$19))))</f>
        <v>0.00232325982264315</v>
      </c>
      <c r="GH62" s="150" t="n">
        <f aca="false">IF(GH$19&gt;$FJ62,"",MAX(0,IF(GH$19=$FJ62,$S62^2*GH$15,GH61*INDEX($T$20:$T$91,$FJ62-GH$19)^2/INDEX($U$20:$U$91,$FJ62-GH$19))))</f>
        <v>0.00220299663365154</v>
      </c>
      <c r="GI62" s="150" t="n">
        <f aca="false">IF(GI$19&gt;$FJ62,"",MAX(0,IF(GI$19=$FJ62,$S62^2*GI$15,GI61*INDEX($T$20:$T$91,$FJ62-GI$19)^2/INDEX($U$20:$U$91,$FJ62-GI$19))))</f>
        <v>0.00215825995606918</v>
      </c>
      <c r="GJ62" s="150" t="n">
        <f aca="false">IF(GJ$19&gt;$FJ62,"",MAX(0,IF(GJ$19=$FJ62,$S62^2*GJ$15,GJ61*INDEX($T$20:$T$91,$FJ62-GJ$19)^2/INDEX($U$20:$U$91,$FJ62-GJ$19))))</f>
        <v>0.00249485129532887</v>
      </c>
      <c r="GK62" s="150" t="n">
        <f aca="false">IF(GK$19&gt;$FJ62,"",MAX(0,IF(GK$19=$FJ62,$S62^2*GK$15,GK61*INDEX($T$20:$T$91,$FJ62-GK$19)^2/INDEX($U$20:$U$91,$FJ62-GK$19))))</f>
        <v>0.00231024881411879</v>
      </c>
      <c r="GL62" s="150" t="n">
        <f aca="false">IF(GL$19&gt;$FJ62,"",MAX(0,IF(GL$19=$FJ62,$S62^2*GL$15,GL61*INDEX($T$20:$T$91,$FJ62-GL$19)^2/INDEX($U$20:$U$91,$FJ62-GL$19))))</f>
        <v>0.00228205000968065</v>
      </c>
      <c r="GM62" s="150" t="n">
        <f aca="false">IF(GM$19&gt;$FJ62,"",MAX(0,IF(GM$19=$FJ62,$S62^2*GM$15,GM61*INDEX($T$20:$T$91,$FJ62-GM$19)^2/INDEX($U$20:$U$91,$FJ62-GM$19))))</f>
        <v>0.00250206700758753</v>
      </c>
      <c r="GN62" s="150" t="n">
        <f aca="false">IF(GN$19&gt;$FJ62,"",MAX(0,IF(GN$19=$FJ62,$S62^2*GN$15,GN61*INDEX($T$20:$T$91,$FJ62-GN$19)^2/INDEX($U$20:$U$91,$FJ62-GN$19))))</f>
        <v>0.00257756726890534</v>
      </c>
      <c r="GO62" s="150" t="n">
        <f aca="false">IF(GO$19&gt;$FJ62,"",MAX(0,IF(GO$19=$FJ62,$S62^2*GO$15,GO61*INDEX($T$20:$T$91,$FJ62-GO$19)^2/INDEX($U$20:$U$91,$FJ62-GO$19))))</f>
        <v>0.00266903090131513</v>
      </c>
      <c r="GP62" s="150" t="n">
        <f aca="false">IF(GP$19&gt;$FJ62,"",MAX(0,IF(GP$19=$FJ62,$S62^2*GP$15,GP61*INDEX($T$20:$T$91,$FJ62-GP$19)^2/INDEX($U$20:$U$91,$FJ62-GP$19))))</f>
        <v>0.00251141341471676</v>
      </c>
      <c r="GQ62" s="150" t="n">
        <f aca="false">IF(GQ$19&gt;$FJ62,"",MAX(0,IF(GQ$19=$FJ62,$S62^2*GQ$15,GQ61*INDEX($T$20:$T$91,$FJ62-GQ$19)^2/INDEX($U$20:$U$91,$FJ62-GQ$19))))</f>
        <v>0.0029172884221351</v>
      </c>
      <c r="GR62" s="150" t="n">
        <f aca="false">IF(GR$19&gt;$FJ62,"",MAX(0,IF(GR$19=$FJ62,$S62^2*GR$15,GR61*INDEX($T$20:$T$91,$FJ62-GR$19)^2/INDEX($U$20:$U$91,$FJ62-GR$19))))</f>
        <v>0.00298701242712206</v>
      </c>
      <c r="GS62" s="150" t="n">
        <f aca="false">IF(GS$19&gt;$FJ62,"",MAX(0,IF(GS$19=$FJ62,$S62^2*GS$15,GS61*INDEX($T$20:$T$91,$FJ62-GS$19)^2/INDEX($U$20:$U$91,$FJ62-GS$19))))</f>
        <v>0.00329816360944225</v>
      </c>
      <c r="GT62" s="150" t="n">
        <f aca="false">IF(GT$19&gt;$FJ62,"",MAX(0,IF(GT$19=$FJ62,$S62^2*GT$15,GT61*INDEX($T$20:$T$91,$FJ62-GT$19)^2/INDEX($U$20:$U$91,$FJ62-GT$19))))</f>
        <v>0.00345069005590038</v>
      </c>
      <c r="GU62" s="150" t="n">
        <f aca="false">IF(GU$19&gt;$FJ62,"",MAX(0,IF(GU$19=$FJ62,$S62^2*GU$15,GU61*INDEX($T$20:$T$91,$FJ62-GU$19)^2/INDEX($U$20:$U$91,$FJ62-GU$19))))</f>
        <v>0.00390874722213912</v>
      </c>
      <c r="GV62" s="150" t="n">
        <f aca="false">IF(GV$19&gt;$FJ62,"",MAX(0,IF(GV$19=$FJ62,$S62^2*GV$15,GV61*INDEX($T$20:$T$91,$FJ62-GV$19)^2/INDEX($U$20:$U$91,$FJ62-GV$19))))</f>
        <v>0.0043558551110047</v>
      </c>
      <c r="GW62" s="150" t="n">
        <f aca="false">IF(GW$19&gt;$FJ62,"",MAX(0,IF(GW$19=$FJ62,$S62^2*GW$15,GW61*INDEX($T$20:$T$91,$FJ62-GW$19)^2/INDEX($U$20:$U$91,$FJ62-GW$19))))</f>
        <v>0.00479045641652165</v>
      </c>
      <c r="GX62" s="150" t="n">
        <f aca="false">IF(GX$19&gt;$FJ62,"",MAX(0,IF(GX$19=$FJ62,$S62^2*GX$15,GX61*INDEX($T$20:$T$91,$FJ62-GX$19)^2/INDEX($U$20:$U$91,$FJ62-GX$19))))</f>
        <v>0.00575875064643292</v>
      </c>
      <c r="GY62" s="150" t="n">
        <f aca="false">IF(GY$19&gt;$FJ62,"",MAX(0,IF(GY$19=$FJ62,$S62^2*GY$15,GY61*INDEX($T$20:$T$91,$FJ62-GY$19)^2/INDEX($U$20:$U$91,$FJ62-GY$19))))</f>
        <v>0.00666806827148168</v>
      </c>
      <c r="GZ62" s="150" t="n">
        <f aca="false">IF(GZ$19&gt;$FJ62,"",MAX(0,IF(GZ$19=$FJ62,$S62^2*GZ$15,GZ61*INDEX($T$20:$T$91,$FJ62-GZ$19)^2/INDEX($U$20:$U$91,$FJ62-GZ$19))))</f>
        <v>0.0085284889081267</v>
      </c>
      <c r="HA62" s="150" t="n">
        <f aca="false">IF(HA$19&gt;$FJ62,"",MAX(0,IF(HA$19=$FJ62,$S62^2*HA$15,HA61*INDEX($T$20:$T$91,$FJ62-HA$19)^2/INDEX($U$20:$U$91,$FJ62-HA$19))))</f>
        <v>0.0109996077587741</v>
      </c>
      <c r="HB62" s="150" t="str">
        <f aca="false">IF(HB$19&gt;$FJ62,"",MAX(0,IF(HB$19=$FJ62,$S62^2*HB$15,HB61*INDEX($T$20:$T$91,$FJ62-HB$19)^2/INDEX($U$20:$U$91,$FJ62-HB$19))))</f>
        <v/>
      </c>
      <c r="HC62" s="150" t="str">
        <f aca="false">IF(HC$19&gt;$FJ62,"",MAX(0,IF(HC$19=$FJ62,$S62^2*HC$15,HC61*INDEX($T$20:$T$91,$FJ62-HC$19)^2/INDEX($U$20:$U$91,$FJ62-HC$19))))</f>
        <v/>
      </c>
      <c r="HD62" s="150" t="str">
        <f aca="false">IF(HD$19&gt;$FJ62,"",MAX(0,IF(HD$19=$FJ62,$S62^2*HD$15,HD61*INDEX($T$20:$T$91,$FJ62-HD$19)^2/INDEX($U$20:$U$91,$FJ62-HD$19))))</f>
        <v/>
      </c>
      <c r="HE62" s="150" t="str">
        <f aca="false">IF(HE$19&gt;$FJ62,"",MAX(0,IF(HE$19=$FJ62,$S62^2*HE$15,HE61*INDEX($T$20:$T$91,$FJ62-HE$19)^2/INDEX($U$20:$U$91,$FJ62-HE$19))))</f>
        <v/>
      </c>
      <c r="HF62" s="150" t="str">
        <f aca="false">IF(HF$19&gt;$FJ62,"",MAX(0,IF(HF$19=$FJ62,$S62^2*HF$15,HF61*INDEX($T$20:$T$91,$FJ62-HF$19)^2/INDEX($U$20:$U$91,$FJ62-HF$19))))</f>
        <v/>
      </c>
      <c r="HG62" s="150" t="str">
        <f aca="false">IF(HG$19&gt;$FJ62,"",MAX(0,IF(HG$19=$FJ62,$S62^2*HG$15,HG61*INDEX($T$20:$T$91,$FJ62-HG$19)^2/INDEX($U$20:$U$91,$FJ62-HG$19))))</f>
        <v/>
      </c>
      <c r="HH62" s="150" t="str">
        <f aca="false">IF(HH$19&gt;$FJ62,"",MAX(0,IF(HH$19=$FJ62,$S62^2*HH$15,HH61*INDEX($T$20:$T$91,$FJ62-HH$19)^2/INDEX($U$20:$U$91,$FJ62-HH$19))))</f>
        <v/>
      </c>
      <c r="HI62" s="150" t="str">
        <f aca="false">IF(HI$19&gt;$FJ62,"",MAX(0,IF(HI$19=$FJ62,$S62^2*HI$15,HI61*INDEX($T$20:$T$91,$FJ62-HI$19)^2/INDEX($U$20:$U$91,$FJ62-HI$19))))</f>
        <v/>
      </c>
      <c r="HJ62" s="150" t="str">
        <f aca="false">IF(HJ$19&gt;$FJ62,"",MAX(0,IF(HJ$19=$FJ62,$S62^2*HJ$15,HJ61*INDEX($T$20:$T$91,$FJ62-HJ$19)^2/INDEX($U$20:$U$91,$FJ62-HJ$19))))</f>
        <v/>
      </c>
      <c r="HK62" s="150" t="str">
        <f aca="false">IF(HK$19&gt;$FJ62,"",MAX(0,IF(HK$19=$FJ62,$S62^2*HK$15,HK61*INDEX($T$20:$T$91,$FJ62-HK$19)^2/INDEX($U$20:$U$91,$FJ62-HK$19))))</f>
        <v/>
      </c>
      <c r="HL62" s="150" t="str">
        <f aca="false">IF(HL$19&gt;$FJ62,"",MAX(0,IF(HL$19=$FJ62,$S62^2*HL$15,HL61*INDEX($T$20:$T$91,$FJ62-HL$19)^2/INDEX($U$20:$U$91,$FJ62-HL$19))))</f>
        <v/>
      </c>
      <c r="HM62" s="150" t="str">
        <f aca="false">IF(HM$19&gt;$FJ62,"",MAX(0,IF(HM$19=$FJ62,$S62^2*HM$15,HM61*INDEX($T$20:$T$91,$FJ62-HM$19)^2/INDEX($U$20:$U$91,$FJ62-HM$19))))</f>
        <v/>
      </c>
      <c r="HN62" s="150" t="str">
        <f aca="false">IF(HN$19&gt;$FJ62,"",MAX(0,IF(HN$19=$FJ62,$S62^2*HN$15,HN61*INDEX($T$20:$T$91,$FJ62-HN$19)^2/INDEX($U$20:$U$91,$FJ62-HN$19))))</f>
        <v/>
      </c>
      <c r="HO62" s="150" t="str">
        <f aca="false">IF(HO$19&gt;$FJ62,"",MAX(0,IF(HO$19=$FJ62,$S62^2*HO$15,HO61*INDEX($T$20:$T$91,$FJ62-HO$19)^2/INDEX($U$20:$U$91,$FJ62-HO$19))))</f>
        <v/>
      </c>
      <c r="HP62" s="150" t="str">
        <f aca="false">IF(HP$19&gt;$FJ62,"",MAX(0,IF(HP$19=$FJ62,$S62^2*HP$15,HP61*INDEX($T$20:$T$91,$FJ62-HP$19)^2/INDEX($U$20:$U$91,$FJ62-HP$19))))</f>
        <v/>
      </c>
      <c r="HQ62" s="150" t="str">
        <f aca="false">IF(HQ$19&gt;$FJ62,"",MAX(0,IF(HQ$19=$FJ62,$S62^2*HQ$15,HQ61*INDEX($T$20:$T$91,$FJ62-HQ$19)^2/INDEX($U$20:$U$91,$FJ62-HQ$19))))</f>
        <v/>
      </c>
      <c r="HR62" s="150" t="str">
        <f aca="false">IF(HR$19&gt;$FJ62,"",MAX(0,IF(HR$19=$FJ62,$S62^2*HR$15,HR61*INDEX($T$20:$T$91,$FJ62-HR$19)^2/INDEX($U$20:$U$91,$FJ62-HR$19))))</f>
        <v/>
      </c>
      <c r="HS62" s="150" t="str">
        <f aca="false">IF(HS$19&gt;$FJ62,"",MAX(0,IF(HS$19=$FJ62,$S62^2*HS$15,HS61*INDEX($T$20:$T$91,$FJ62-HS$19)^2/INDEX($U$20:$U$91,$FJ62-HS$19))))</f>
        <v/>
      </c>
      <c r="HT62" s="150" t="str">
        <f aca="false">IF(HT$19&gt;$FJ62,"",MAX(0,IF(HT$19=$FJ62,$S62^2*HT$15,HT61*INDEX($T$20:$T$91,$FJ62-HT$19)^2/INDEX($U$20:$U$91,$FJ62-HT$19))))</f>
        <v/>
      </c>
      <c r="HU62" s="150" t="str">
        <f aca="false">IF(HU$19&gt;$FJ62,"",MAX(0,IF(HU$19=$FJ62,$S62^2*HU$15,HU61*INDEX($T$20:$T$91,$FJ62-HU$19)^2/INDEX($U$20:$U$91,$FJ62-HU$19))))</f>
        <v/>
      </c>
      <c r="HV62" s="150" t="str">
        <f aca="false">IF(HV$19&gt;$FJ62,"",MAX(0,IF(HV$19=$FJ62,$S62^2*HV$15,HV61*INDEX($T$20:$T$91,$FJ62-HV$19)^2/INDEX($U$20:$U$91,$FJ62-HV$19))))</f>
        <v/>
      </c>
      <c r="HW62" s="150" t="str">
        <f aca="false">IF(HW$19&gt;$FJ62,"",MAX(0,IF(HW$19=$FJ62,$S62^2*HW$15,HW61*INDEX($T$20:$T$91,$FJ62-HW$19)^2/INDEX($U$20:$U$91,$FJ62-HW$19))))</f>
        <v/>
      </c>
      <c r="HX62" s="150" t="str">
        <f aca="false">IF(HX$19&gt;$FJ62,"",MAX(0,IF(HX$19=$FJ62,$S62^2*HX$15,HX61*INDEX($T$20:$T$91,$FJ62-HX$19)^2/INDEX($U$20:$U$91,$FJ62-HX$19))))</f>
        <v/>
      </c>
      <c r="HY62" s="150" t="str">
        <f aca="false">IF(HY$19&gt;$FJ62,"",MAX(0,IF(HY$19=$FJ62,$S62^2*HY$15,HY61*INDEX($T$20:$T$91,$FJ62-HY$19)^2/INDEX($U$20:$U$91,$FJ62-HY$19))))</f>
        <v/>
      </c>
      <c r="HZ62" s="150" t="str">
        <f aca="false">IF(HZ$19&gt;$FJ62,"",MAX(0,IF(HZ$19=$FJ62,$S62^2*HZ$15,HZ61*INDEX($T$20:$T$91,$FJ62-HZ$19)^2/INDEX($U$20:$U$91,$FJ62-HZ$19))))</f>
        <v/>
      </c>
      <c r="IA62" s="150" t="str">
        <f aca="false">IF(IA$19&gt;$FJ62,"",MAX(0,IF(IA$19=$FJ62,$S62^2*IA$15,IA61*INDEX($T$20:$T$91,$FJ62-IA$19)^2/INDEX($U$20:$U$91,$FJ62-IA$19))))</f>
        <v/>
      </c>
      <c r="IB62" s="150" t="str">
        <f aca="false">IF(IB$19&gt;$FJ62,"",MAX(0,IF(IB$19=$FJ62,$S62^2*IB$15,IB61*INDEX($T$20:$T$91,$FJ62-IB$19)^2/INDEX($U$20:$U$91,$FJ62-IB$19))))</f>
        <v/>
      </c>
      <c r="IC62" s="150" t="str">
        <f aca="false">IF(IC$19&gt;$FJ62,"",MAX(0,IF(IC$19=$FJ62,$S62^2*IC$15,IC61*INDEX($T$20:$T$91,$FJ62-IC$19)^2/INDEX($U$20:$U$91,$FJ62-IC$19))))</f>
        <v/>
      </c>
      <c r="ID62" s="572" t="str">
        <f aca="false">IF(ID$19&gt;$FJ62,"",MAX(0,IF(ID$19=$FJ62,$S62^2*ID$15,ID61*INDEX($T$20:$T$91,$FJ62-ID$19)^2/INDEX($U$20:$U$91,$FJ62-ID$19))))</f>
        <v/>
      </c>
      <c r="IE62" s="129"/>
    </row>
    <row r="63" customFormat="false" ht="12.75" hidden="false" customHeight="false" outlineLevel="0" collapsed="false">
      <c r="A63" s="219"/>
      <c r="B63" s="219"/>
      <c r="C63" s="219"/>
      <c r="D63" s="219"/>
      <c r="E63" s="219"/>
      <c r="F63" s="219"/>
      <c r="G63" s="219"/>
      <c r="H63" s="219" t="n">
        <f aca="false">VLOOKUP(I63,$EJ$20:$EL$54,3)</f>
        <v>0</v>
      </c>
      <c r="I63" s="511" t="n">
        <f aca="false">EOMONTH(I62,0)+1</f>
        <v>38078</v>
      </c>
      <c r="J63" s="512"/>
      <c r="K63" s="513" t="s">
        <v>250</v>
      </c>
      <c r="L63" s="514" t="e">
        <f aca="false">IF(ISNUMBER(K63),J63+K63/100,IF(K63="extra",L62+VLOOKUP(BF63,PriceSpreadTable,2)/12,IF(K63="inter",interpolateprices($K$19:$L$200,ROW(K63)-ROW(FirstPricingMonth)+1),interpolatechanges($J$19:$K$200,ROW(K63)-ROW(FirstPricingMonth)+1))))</f>
        <v>#VALUE!</v>
      </c>
      <c r="M63" s="515"/>
      <c r="N63" s="516" t="n">
        <v>0</v>
      </c>
      <c r="O63" s="515" t="n">
        <f aca="false">M63+N63</f>
        <v>0</v>
      </c>
      <c r="P63" s="512"/>
      <c r="Q63" s="513" t="s">
        <v>280</v>
      </c>
      <c r="R63" s="512" t="e">
        <f aca="false">IF(ISNUMBER(Q63),P63+Q63/100,IF(Q63="extra",(Z61*AL61-R62*AM61)/AN61,IF(Q63="inter",interpolateprices($Q$19:$R$260,ROW(Q63)-ROW(FirstPricingMonth)+1),interpolatechanges($P$19:$Q$260,ROW(Q63)-ROW(FirstPricingMonth)+1))))</f>
        <v>#VALUE!</v>
      </c>
      <c r="S63" s="597" t="n">
        <f aca="false">S$19+(S62-S$19)*S$18</f>
        <v>0.360000226273166</v>
      </c>
      <c r="T63" s="575" t="n">
        <f aca="false">SQRT((1-(1-T62^2/U62)*T$18)*U63)</f>
        <v>0.99986659787108</v>
      </c>
      <c r="U63" s="576" t="n">
        <f aca="false">1-(1-U62)*U$18</f>
        <v>0.999999936360672</v>
      </c>
      <c r="V63" s="521" t="n">
        <v>0</v>
      </c>
      <c r="W63" s="577" t="n">
        <f aca="false">(J64*AJ63+J65*AK63)/AI63</f>
        <v>0</v>
      </c>
      <c r="X63" s="578" t="e">
        <f aca="false">(L64*AJ63+L65*AK63)/AI63</f>
        <v>#VALUE!</v>
      </c>
      <c r="Y63" s="579" t="n">
        <f aca="false">IF(Q65="extra",W63-AA63,(P64*AM63+P65*AN63)/AL63)</f>
        <v>-1.2285</v>
      </c>
      <c r="Z63" s="579" t="e">
        <f aca="false">IF(Q65="extra",X63-AB63,(R64*AM63+R65*AN63)/AL63)</f>
        <v>#VALUE!</v>
      </c>
      <c r="AA63" s="523" t="n">
        <f aca="false">IF(Q65="extra",INDEX(BrentSeasonalityTable,INT((BG63-1)/3)+1)*VLOOKUP(MAX(BF63,$AB$4),PriceSpreadTable,3),W63-Y63)</f>
        <v>1.2285</v>
      </c>
      <c r="AB63" s="524" t="n">
        <f aca="false">IF(Q65="extra",INDEX(BrentSeasonalityTable,INT((BG63-1)/3)+1)*VLOOKUP(MAX(BF63,$AB$4),PriceSpreadTable,3),X63-Z63)</f>
        <v>1.2285</v>
      </c>
      <c r="AC63" s="646" t="n">
        <v>38066</v>
      </c>
      <c r="AD63" s="646" t="n">
        <v>38062</v>
      </c>
      <c r="AE63" s="646" t="n">
        <v>38061</v>
      </c>
      <c r="AF63" s="646" t="n">
        <v>38057</v>
      </c>
      <c r="AG63" s="438" t="s">
        <v>247</v>
      </c>
      <c r="AH63" s="439" t="s">
        <v>278</v>
      </c>
      <c r="AI63" s="528" t="n">
        <v>22</v>
      </c>
      <c r="AJ63" s="529" t="n">
        <v>14</v>
      </c>
      <c r="AK63" s="529" t="n">
        <v>8</v>
      </c>
      <c r="AL63" s="530" t="n">
        <v>22</v>
      </c>
      <c r="AM63" s="529" t="n">
        <v>10</v>
      </c>
      <c r="AN63" s="531" t="n">
        <v>12</v>
      </c>
      <c r="AO63" s="532"/>
      <c r="AP63" s="465" t="n">
        <f aca="false">(1+AO63/2)^(-2*BL63)</f>
        <v>1</v>
      </c>
      <c r="AQ63" s="532"/>
      <c r="AR63" s="465" t="n">
        <f aca="false">(1+AQ63/2)^(-2*BH63/365.25)</f>
        <v>1</v>
      </c>
      <c r="AS63" s="580" t="n">
        <f aca="false">(O64*AJ63+O65*AK63)/AI63</f>
        <v>0</v>
      </c>
      <c r="AT63" s="468" t="n">
        <f aca="false">O63*VLOOKUP(BF63,BrentVolTable,2)+VLOOKUP(BF63,BrentVolTable,3)</f>
        <v>0</v>
      </c>
      <c r="AU63" s="468" t="n">
        <f aca="false">(AT64*AM63+AT65*AN63)/AL63</f>
        <v>0</v>
      </c>
      <c r="AV63" s="595" t="n">
        <f aca="false">SQRT(MAX(0.000000000001,(O63^2*BH63-S63^2*(BH63-BH62))/BH62))</f>
        <v>0.0218226875385949</v>
      </c>
      <c r="AW63" s="451" t="n">
        <f aca="false">IF($I63-DateToday+15&gt;=$T$8,"",IF($I63-DateToday+15&lt;$T$5,1,MATCH($I63-DateToday+15,$T$5:$T$8)))</f>
        <v>1</v>
      </c>
      <c r="AX63" s="468" t="n">
        <f aca="false">IF($AW63="",AX62^2/AX61,INDEX(U$5:U$8,$AW63)^((INDEX($T$5:$T$8,$AW63+1)-($I63-DateToday+15))/(INDEX($T$5:$T$8,$AW63+1)-INDEX($T$5:$T$8,$AW63)))/INDEX(U$5:U$8,$AW63+1)^((INDEX($T$5:$T$8,$AW63)-($I63-DateToday+15))/(INDEX($T$5:$T$8,$AW63+1)-INDEX($T$5:$T$8,$AW63))))</f>
        <v>5.00769247596142</v>
      </c>
      <c r="AY63" s="468" t="n">
        <f aca="false">IF($AW63="",AY62^2/AY61,INDEX(V$5:V$8,$AW63)^((INDEX($T$5:$T$8,$AW63+1)-($I63-DateToday+15))/(INDEX($T$5:$T$8,$AW63+1)-INDEX($T$5:$T$8,$AW63)))/INDEX(V$5:V$8,$AW63+1)^((INDEX($T$5:$T$8,$AW63)-($I63-DateToday+15))/(INDEX($T$5:$T$8,$AW63+1)-INDEX($T$5:$T$8,$AW63))))</f>
        <v>853.451695570329</v>
      </c>
      <c r="AZ63" s="468" t="n">
        <f aca="false">IF($AW63="",AZ62^2/AZ61,INDEX(W$5:W$8,$AW63)^((INDEX($T$5:$T$8,$AW63+1)-($I63-DateToday+15))/(INDEX($T$5:$T$8,$AW63+1)-INDEX($T$5:$T$8,$AW63)))/INDEX(W$5:W$8,$AW63+1)^((INDEX($T$5:$T$8,$AW63)-($I63-DateToday+15))/(INDEX($T$5:$T$8,$AW63+1)-INDEX($T$5:$T$8,$AW63))))</f>
        <v>20411975.8458791</v>
      </c>
      <c r="BA63" s="468" t="n">
        <f aca="false">IF($AW63="",BA62^2/BA61,INDEX(X$5:X$8,$AW63)^((INDEX($T$5:$T$8,$AW63+1)-($I63-DateToday+15))/(INDEX($T$5:$T$8,$AW63+1)-INDEX($T$5:$T$8,$AW63)))/INDEX(X$5:X$8,$AW63+1)^((INDEX($T$5:$T$8,$AW63)-($I63-DateToday+15))/(INDEX($T$5:$T$8,$AW63+1)-INDEX($T$5:$T$8,$AW63))))</f>
        <v>1064759352.73869</v>
      </c>
      <c r="BB63" s="468" t="n">
        <f aca="false">IF($AW63="",BB62^2/BB61,INDEX(Y$5:Y$8,$AW63)^((INDEX($T$5:$T$8,$AW63+1)-($I63-DateToday+15))/(INDEX($T$5:$T$8,$AW63+1)-INDEX($T$5:$T$8,$AW63)))/INDEX(Y$5:Y$8,$AW63+1)^((INDEX($T$5:$T$8,$AW63)-($I63-DateToday+15))/(INDEX($T$5:$T$8,$AW63+1)-INDEX($T$5:$T$8,$AW63))))</f>
        <v>19236344957.0154</v>
      </c>
      <c r="BC63" s="468" t="n">
        <f aca="false">IF($AW63="",BC62^2/BC61,INDEX(Z$5:Z$8,$AW63)^((INDEX($T$5:$T$8,$AW63+1)-($I63-DateToday+15))/(INDEX($T$5:$T$8,$AW63+1)-INDEX($T$5:$T$8,$AW63)))/INDEX(Z$5:Z$8,$AW63+1)^((INDEX($T$5:$T$8,$AW63)-($I63-DateToday+15))/(INDEX($T$5:$T$8,$AW63+1)-INDEX($T$5:$T$8,$AW63))))</f>
        <v>108292213619.287</v>
      </c>
      <c r="BD63" s="535" t="n">
        <f aca="false">IF(OR(DateStart&gt;=I64,DateEnd&lt;I63),0,IF(VolumeOverrideFlag,V63,Volume))</f>
        <v>0</v>
      </c>
      <c r="BE63" s="536" t="n">
        <f aca="false">IF(OR(DateStart2&gt;=I64,DateEnd2&lt;I63),0,IF(VolumeOverrideFlag,V63,VolumeSwaption))</f>
        <v>0</v>
      </c>
      <c r="BF63" s="537" t="n">
        <f aca="false">YEAR(I63)</f>
        <v>2004</v>
      </c>
      <c r="BG63" s="538" t="n">
        <f aca="false">MONTH(I63)</f>
        <v>4</v>
      </c>
      <c r="BH63" s="539" t="n">
        <f aca="false">AD63-DateToday+1</f>
        <v>-7863</v>
      </c>
      <c r="BI63" s="540" t="n">
        <f aca="false">(I63-DateToday+1)/365.25</f>
        <v>-21.4839151266256</v>
      </c>
      <c r="BJ63" s="541" t="n">
        <f aca="false">BI63+(BL63-BI63)*CHOOSE(Underlying,AJ63/AI63,AM63/AL63)</f>
        <v>-21.4333893348267</v>
      </c>
      <c r="BK63" s="541" t="n">
        <f aca="false">BJ63+1/365.25</f>
        <v>-21.4306514840396</v>
      </c>
      <c r="BL63" s="541" t="n">
        <f aca="false">(I64-DateToday)/365.25</f>
        <v>-21.4045174537988</v>
      </c>
      <c r="BM63" s="542" t="e">
        <f aca="false">MAX(BI63-(BJ63-BI63)*(S64^2/O64^2-1),0)</f>
        <v>#DIV/0!</v>
      </c>
      <c r="BN63" s="541" t="e">
        <f aca="false">MAX(BL63+(BL63-BK63)*(S65^2/O65^2-1),0)</f>
        <v>#DIV/0!</v>
      </c>
      <c r="BO63" s="530" t="n">
        <f aca="false">CHOOSE(Underlying,AI63,AL63)</f>
        <v>22</v>
      </c>
      <c r="BP63" s="529" t="n">
        <f aca="false">CHOOSE(Underlying,AJ63,AM63)</f>
        <v>14</v>
      </c>
      <c r="BQ63" s="529" t="n">
        <f aca="false">CHOOSE(Underlying,AK63,AN63)</f>
        <v>8</v>
      </c>
      <c r="BR63" s="463" t="str">
        <f aca="false">IF(BD63,IF(Underlying=1,X63,Z63)+UnderlyingPriceAsian-SwapPriceCurve,"")</f>
        <v/>
      </c>
      <c r="BS63" s="463" t="str">
        <f aca="false">IF(BD63,Strike1/BR63-1,"")</f>
        <v/>
      </c>
      <c r="BT63" s="464" t="str">
        <f aca="false">IF(BD63,Strike2/BR63-1,"")</f>
        <v/>
      </c>
      <c r="BU63" s="465" t="str">
        <f aca="false">IF(BD63,IF(Underlying=1,L64,R64)+UnderlyingPriceAsian-SwapPriceCurve,"")</f>
        <v/>
      </c>
      <c r="BV63" s="465" t="str">
        <f aca="false">IF(BD63,IF(Underlying=1,L65,R65)+UnderlyingPriceAsian-SwapPriceCurve,"")</f>
        <v/>
      </c>
      <c r="BW63" s="466" t="str">
        <f aca="false">IF(BD63,IF(Underlying=1,O64,AT64),"")</f>
        <v/>
      </c>
      <c r="BX63" s="467" t="str">
        <f aca="false">IF(BD63,IF(Underlying=1,O65,AT65),"")</f>
        <v/>
      </c>
      <c r="BY63" s="466" t="str">
        <f aca="false">IF(BD63,IF(BS63&gt;0,IF(BS63&gt;0.2,BC63-BB63,IF(BS63&gt;0.1,BB63-BA63,BA63)),IF(BS63&lt;-0.2,AX63-AY63,IF(BS63&lt;-0.1,AY63-AZ63,AZ63))),"")</f>
        <v/>
      </c>
      <c r="BZ63" s="467" t="str">
        <f aca="false">IF(BD63,IF(BT63&gt;0,IF(BT63&gt;0.2,BC63-BB63,IF(BT63&gt;0.1,BB63-BA63,BA63)),IF(BT63&lt;-0.2,AX63-AY63,IF(BT63&lt;-0.1,AY63-AZ63,AZ63))),"")</f>
        <v/>
      </c>
      <c r="CA63" s="468" t="str">
        <f aca="false">IF($BD63,$BW63+IF(VolSkewFlag=1,IF(BS63&gt;0,$BA63*MIN(BS63/10%,1)+($BB63-$BA63)*MAX(0,MIN(BS63/10%-1,1))+($BC63-$BB63)*MAX(0,BS63/10%-2),$AZ63*MIN(-BS63/10%,1)+($AY63-$AZ63)*MAX(0,MIN(-BS63/10%-1,1))+($AX63-$AY63)*MAX(0,-BS63/10%-2)),0),"")</f>
        <v/>
      </c>
      <c r="CB63" s="468" t="str">
        <f aca="false">IF($BD63,$BX63+IF(VolSkewFlag=1,IF(BS63&gt;0,$BA63*MIN(BS63/10%,1)+($BB63-$BA63)*MAX(0,MIN(BS63/10%-1,1))+($BC63-$BB63)*MAX(0,BS63/10%-2),$AZ63*MIN(-BS63/10%,1)+($AY63-$AZ63)*MAX(0,MIN(-BS63/10%-1,1))+($AX63-$AY63)*MAX(0,-BS63/10%-2)),0),"")</f>
        <v/>
      </c>
      <c r="CC63" s="468" t="str">
        <f aca="false">IF($BD63,$BW63+IF(VolSkewFlag=1,IF(BT63&gt;0,$BA63*MIN(BT63/10%,1)+($BB63-$BA63)*MAX(0,MIN(BT63/10%-1,1))+($BC63-$BB63)*MAX(0,BT63/10%-2),$AZ63*MIN(-BT63/10%,1)+($AY63-$AZ63)*MAX(0,MIN(-BT63/10%-1,1))+($AX63-$AY63)*MAX(0,-BT63/10%-2)),0),"")</f>
        <v/>
      </c>
      <c r="CD63" s="468" t="str">
        <f aca="false">IF($BD63,$BX63+IF(VolSkewFlag=1,IF(BT63&gt;0,$BA63*MIN(BT63/10%,1)+($BB63-$BA63)*MAX(0,MIN(BT63/10%-1,1))+($BC63-$BB63)*MAX(0,BT63/10%-2),$AZ63*MIN(-BT63/10%,1)+($AY63-$AZ63)*MAX(0,MIN(-BT63/10%-1,1))+($AX63-$AY63)*MAX(0,-BT63/10%-2)),0),"")</f>
        <v/>
      </c>
      <c r="CE63" s="469" t="n">
        <v>1</v>
      </c>
      <c r="CF63" s="470" t="n">
        <f aca="false">IF(BD63,xCrudeAPO(BU63,BV63,CA63,CB63,S64,S65,BI63,BL63,BP63,BQ63,0,Strike1,AO63,CE63,0,BL63,IF(OptControl=4,0,1),0,1),0)</f>
        <v>0</v>
      </c>
      <c r="CG63" s="470" t="n">
        <f aca="false">IF(BD63,xCrudeAPO(BU63,BV63,CA63,CB63,S64,S65,BI63,BL63,BP63,BQ63,0,Strike1,AO63,CE63,0,BL63,IF(OptControl=4,0,1),1,1)+xCrudeAPO(BU63,BV63,CA63,CB63,S64,S65,BI63,BL63,BP63,BQ63,0,Strike1,AO63,CE63,0,BL63,IF(OptControl=4,0,1),1,2)+IF(OR(VolSkewFlag=2,ABS(BS63)&lt;0.0001),0,IF(BS63&gt;0,-1,1)*CH63*Strike1/BR63^2*BY63/10%),0)</f>
        <v>0</v>
      </c>
      <c r="CH63" s="470" t="n">
        <f aca="false">IF(BD63,(xCrudeAPO(BU63,BV63,CA63,CB63,S64,S65,BI63,BL63,BP63,BQ63,0,Strike1,AO63,CE63,0,BL63,IF(OptControl=4,0,1),3,1)+xCrudeAPO(BU63,BV63,CA63,CB63,S64,S65,BI63,BL63,BP63,BQ63,0,Strike1,AO63,CE63,0,BL63,IF(OptControl=4,0,1),3,2))/100,0)</f>
        <v>0</v>
      </c>
      <c r="CI63" s="470" t="n">
        <f aca="false">IF(BD63,xCrudeAPO(BU63,BV63,CA63,CB63,S64,S65,BI63-DaysForThetaCalculation/365.25,BL63-DaysForThetaCalculation/365.25,BP63,BQ63,0,Strike1,AO63,CE63,0,BL63,IF(OptControl=4,0,1),0,1)-xCrudeAPO(BU63,BV63,CA63,CB63,S64,S65,BI63,BL63,BP63,BQ63,0,Strike1,AO63,CE63,0,BL63,IF(OptControl=4,0,1),0,1),0)</f>
        <v>0</v>
      </c>
      <c r="CJ63" s="471" t="n">
        <f aca="false">IF(BD63,xCrudeAPO(BU63,BV63,CC63,CD63,S64,S65,BI63,BL63,BP63,BQ63,0,Strike2,AO63,CE63,0,BL63,IF(OptControl=3,1,0),0,1),0)</f>
        <v>0</v>
      </c>
      <c r="CK63" s="470" t="n">
        <f aca="false">IF(BD63,xCrudeAPO(BU63,BV63,CC63,CD63,S64,S65,BI63,BL63,BP63,BQ63,0,Strike2,AO63,CE63,0,BL63,IF(OptControl=3,1,0),1,1)+xCrudeAPO(BU63,BV63,CC63,CD63,S64,S65,BI63,BL63,BP63,BQ63,0,Strike2,AO63,CE63,0,BL63,IF(OptControl=3,1,0),1,2)+IF(OR(VolSkewFlag=2,ABS(BT63)&lt;0.0001),0,IF(BT63&gt;0,-1,1)*CL63*Strike2/BR63^2*BZ63/10%),0)</f>
        <v>0</v>
      </c>
      <c r="CL63" s="470" t="n">
        <f aca="false">IF(BD63,(xCrudeAPO(BU63,BV63,CC63,CD63,S64,S65,BI63,BL63,BP63,BQ63,0,Strike2,AO63,CE63,0,BL63,IF(OptControl=3,1,0),3,1)+xCrudeAPO(BU63,BV63,CC63,CD63,S64,S65,BI63,BL63,BP63,BQ63,0,Strike2,AO63,CE63,0,BL63,IF(OptControl=3,1,0),3,2))/100,0)</f>
        <v>0</v>
      </c>
      <c r="CM63" s="472" t="n">
        <f aca="false">IF(BD63,xCrudeAPO(BU63,BV63,CC63,CD63,S64,S65,BI63-DaysForThetaCalculation/365.25,BL63-DaysForThetaCalculation/365.25,BP63,BQ63,0,Strike2,AO63,CE63,0,BL63,IF(OptControl=3,1,0),0,1)-xCrudeAPO(BU63,BV63,CC63,CD63,S64,S65,BI63,BL63,BP63,BQ63,0,Strike2,AO63,CE63,0,BL63,IF(OptControl=3,1,0),0,1),0)</f>
        <v>0</v>
      </c>
      <c r="CN63" s="3"/>
      <c r="CO63" s="543" t="str">
        <f aca="false">IF(BD63,CHOOSE(Underlying,AD63,AF63)-DateToday+1,"")</f>
        <v/>
      </c>
      <c r="CP63" s="582" t="str">
        <f aca="false">IF(BD63,CHOOSE(Underlying,L63,R63),"")</f>
        <v/>
      </c>
      <c r="CQ63" s="544" t="str">
        <f aca="false">IF(BD63,Strike1/CP63-1,"")</f>
        <v/>
      </c>
      <c r="CR63" s="544" t="str">
        <f aca="false">IF(BD63,Strike2/CP63-1,"")</f>
        <v/>
      </c>
      <c r="CS63" s="544" t="str">
        <f aca="false">IF(BD63,IF(CQ63&gt;0,IF(CQ63&gt;0.2,BC62-BB62,IF(CQ63&gt;0.1,BB62-BA62,BA62)),IF(CQ63&lt;-0.2,AX62-AY62,IF(CQ63&lt;-0.1,AY62-AZ62,AZ62))),"")</f>
        <v/>
      </c>
      <c r="CT63" s="544" t="str">
        <f aca="false">IF(BD63,IF(CR63&gt;0,IF(CR63&gt;0.2,BC62-BB62,IF(CR63&gt;0.1,BB62-BA62,BA62)),IF(CR63&lt;-0.2,AX62-AY62,IF(CR63&lt;-0.1,AY62-AZ62,AZ62))),"")</f>
        <v/>
      </c>
      <c r="CU63" s="545" t="str">
        <f aca="false">IF(BD63,CHOOSE(Underlying,O63,AT63),"")</f>
        <v/>
      </c>
      <c r="CV63" s="545" t="str">
        <f aca="false">IF(BD63,CU63+IF(VolSkewFlag=1,IF(CQ63&gt;0,BA62*MIN(CQ63/10%,1)+(BB62-BA62)*MAX(0,MIN(CQ63/10%-1,1))+(BC62-BB62)*MAX(0,CQ63/10%-2),AZ62*MIN(-CQ63/10%,1)+(AY62-AZ62)*MAX(0,MIN(-CQ63/10%-1,1))+(AX62-AY62)*MAX(0,-CQ63/10%-2)),0),"")</f>
        <v/>
      </c>
      <c r="CW63" s="545" t="str">
        <f aca="false">IF(BD63,CU63+IF(VolSkewFlag=1,IF(CR63&gt;0,BA62*MIN(CR63/10%,1)+(BB62-BA62)*MAX(0,MIN(CR63/10%-1,1))+(BC62-BB62)*MAX(0,CR63/10%-2),AZ62*MIN(-CR63/10%,1)+(AY62-AZ62)*MAX(0,MIN(-CR63/10%-1,1))+(AX62-AY62)*MAX(0,-CR63/10%-2)),0),"")</f>
        <v/>
      </c>
      <c r="CX63" s="470" t="n">
        <f aca="false">IF(BD63,EURO(CP63,Strike1,AO63,AO63,CV63,CO63,IF(OptControl=4,0,1),0),0)</f>
        <v>0</v>
      </c>
      <c r="CY63" s="470" t="n">
        <f aca="false">IF(BD63,EURO(CP63,Strike1,AO63,AO63,CV63,CO63,IF(OptControl=4,0,1),1)+IF(OR(VolSkewFlag=2,ABS(CQ63)&lt;0.0001),0,IF(CQ63&gt;0,-1,1)*CZ63*100*Strike1/CP63^2*CS63/10%),0)</f>
        <v>0</v>
      </c>
      <c r="CZ63" s="470" t="n">
        <f aca="false">IF(BD63,EURO(CP63,Strike1,AO63,AO63,CV63,CO63,IF(OptControl=4,0,1),3)/100,0)</f>
        <v>0</v>
      </c>
      <c r="DA63" s="470" t="n">
        <f aca="false">IF(BD63,EURO(CP63,Strike1,AO63,AO63,CV63,CO63,IF(OptControl=4,0,1),0)-EURO(CP63,Strike1,AO63,AO63,CV63,CO63-1,IF(OptControl=4,0,1),0),0)</f>
        <v>0</v>
      </c>
      <c r="DB63" s="470" t="n">
        <f aca="false">IF(BD63,EURO(CP63,Strike2,AO63,AO63,CW63,CO63,IF(OptControl=3,1,0),0),0)</f>
        <v>0</v>
      </c>
      <c r="DC63" s="470" t="n">
        <f aca="false">IF(BD63,EURO(CP63,Strike2,AO63,AO63,CW63,CO63,IF(OptControl=3,1,0),1)+IF(OR(VolSkewFlag=2,ABS(CR63)&lt;0.0001),0,IF(CR63&gt;0,-1,1)*DD63*100*Strike2/CP63^2*CT63/10%),0)</f>
        <v>0</v>
      </c>
      <c r="DD63" s="470" t="n">
        <f aca="false">IF(BD63,EURO(CP63,Strike2,AO63,AO63,CW63,CO63,IF(OptControl=3,1,0),3)/100,0)</f>
        <v>0</v>
      </c>
      <c r="DE63" s="472" t="n">
        <f aca="false">IF(BD63,EURO(CP63,Strike2,AO63,AO63,CW63,CO63,IF(OptControl=3,1,0),0)-EURO(CP63,Strike2,AO63,AO63,CW63,CO63-1,IF(OptControl=3,1,0),0),0)</f>
        <v>0</v>
      </c>
      <c r="DG63" s="481" t="n">
        <f aca="false">EOMONTH(DG62,0)+1</f>
        <v>46997</v>
      </c>
      <c r="DH63" s="478" t="n">
        <v>18.57</v>
      </c>
      <c r="DI63" s="479" t="n">
        <v>18.5040909090909</v>
      </c>
      <c r="DJ63" s="480" t="n">
        <f aca="false">DG63</f>
        <v>46997</v>
      </c>
      <c r="DK63" s="478" t="n">
        <v>17.4627350322794</v>
      </c>
      <c r="DL63" s="479" t="n">
        <v>17.3401909090909</v>
      </c>
      <c r="DM63" s="481" t="n">
        <f aca="false">DG63</f>
        <v>46997</v>
      </c>
      <c r="DN63" s="482" t="n">
        <f aca="false">DK63+BrentPhyBrentSpread</f>
        <v>17.5127350322794</v>
      </c>
      <c r="DO63" s="481" t="n">
        <f aca="false">DG63</f>
        <v>46997</v>
      </c>
      <c r="DP63" s="483" t="n">
        <f aca="false">DL63+DQ63</f>
        <v>17.3401909090909</v>
      </c>
      <c r="DQ63" s="546" t="n">
        <v>0</v>
      </c>
      <c r="DR63" s="480" t="n">
        <f aca="false">DG63</f>
        <v>46997</v>
      </c>
      <c r="DS63" s="485" t="n">
        <v>0.206508722600371</v>
      </c>
      <c r="DT63" s="486" t="n">
        <v>0.205260155205264</v>
      </c>
      <c r="DU63" s="480" t="n">
        <f aca="false">DG63</f>
        <v>46997</v>
      </c>
      <c r="DV63" s="485" t="n">
        <v>0.206508722600371</v>
      </c>
      <c r="DW63" s="486" t="n">
        <v>0.205260155205264</v>
      </c>
      <c r="DX63" s="481" t="n">
        <f aca="false">DG63</f>
        <v>46997</v>
      </c>
      <c r="DY63" s="486" t="n">
        <v>0.350000000000018</v>
      </c>
      <c r="DZ63" s="481" t="n">
        <f aca="false">DR63</f>
        <v>46997</v>
      </c>
      <c r="EA63" s="486" t="n">
        <f aca="false">DT63</f>
        <v>0.205260155205264</v>
      </c>
      <c r="EB63" s="195"/>
      <c r="EC63" s="547" t="str">
        <f aca="false">IF(BD63,IF(Underlying=1,AS63,AU63),"")</f>
        <v/>
      </c>
      <c r="ED63" s="548" t="str">
        <f aca="false">IF($BD63,$EC63+IF(VolSkewFlag=1,IF(BS63&gt;0,$BA63*MIN(BS63/10%,1)+($BB63-$BA63)*MAX(0,MIN(BS63/10%-1,1))+($BC63-$BB63)*MAX(0,BS63/10%-2),$AZ63*MIN(-BS63/10%,1)+($AY63-$AZ63)*MAX(0,MIN(-BS63/10%-1,1))+($AX63-$AY63)*MAX(0,-BS63/10%-2)),0),"")</f>
        <v/>
      </c>
      <c r="EE63" s="549" t="str">
        <f aca="false">IF($BD63,$EC63+IF(VolSkewFlag=1,IF(BT63&gt;0,$BA63*MIN(BT63/10%,1)+($BB63-$BA63)*MAX(0,MIN(BT63/10%-1,1))+($BC63-$BB63)*MAX(0,BT63/10%-2),$AZ63*MIN(-BT63/10%,1)+($AY63-$AZ63)*MAX(0,MIN(-BT63/10%-1,1))+($AX63-$AY63)*MAX(0,-BT63/10%-2)),0),"")</f>
        <v/>
      </c>
      <c r="EF63" s="550" t="n">
        <f aca="false">IF(BD63,xASN(BR63,Strike1,AO63,ED63,0,BO63,0,BI63,BL63,IF(OptControl=4,0,1),0),0)</f>
        <v>0</v>
      </c>
      <c r="EG63" s="551" t="n">
        <f aca="false">IF(BD63,xASN(BR63,Strike2,AO63,EE63,0,BO63,0,BI63,BL63,IF(OptControl=3,1,0),0),0)</f>
        <v>0</v>
      </c>
      <c r="EL63" s="1"/>
      <c r="EM63" s="195"/>
      <c r="EN63" s="556" t="n">
        <v>40909</v>
      </c>
      <c r="EO63" s="557" t="n">
        <v>44555</v>
      </c>
      <c r="EP63" s="195"/>
      <c r="EQ63" s="407" t="s">
        <v>289</v>
      </c>
      <c r="ES63" s="587" t="n">
        <v>44</v>
      </c>
      <c r="ET63" s="559" t="n">
        <f aca="false">BH63/365.25</f>
        <v>-21.5277207392197</v>
      </c>
      <c r="EU63" s="560" t="n">
        <f aca="false">O63^2*ET63</f>
        <v>-0</v>
      </c>
      <c r="EV63" s="588" t="e">
        <f aca="false">SQRT(SUM(FK63:ID63)/ET63)</f>
        <v>#VALUE!</v>
      </c>
      <c r="EW63" s="589" t="str">
        <f aca="false">IF(OR(DateStart2&gt;I62,DateEnd2&lt;I61),"",IF(DateStart2&lt;I62,AK61/AI61*AP61*BE61*SwaptionNumOfMonths/$D$33,0)+IF(DateEnd2&gt;I61,AJ62/AI62*AP62*BE62*SwaptionNumOfMonths/$D$33,0))</f>
        <v/>
      </c>
      <c r="EX63" s="590" t="str">
        <f aca="false">IF(EW63="","",SQRT(SUM(FK368:ID368)/SwaptionYearsToExp))</f>
        <v/>
      </c>
      <c r="EY63" s="129" t="n">
        <v>0</v>
      </c>
      <c r="EZ63" s="591" t="str">
        <f aca="false">IF(OR(EW63="",EW64=""),"",SQRT(SUM(INDEX(FK63:ID63,SwaptionFirstMonthPosition+1):INDEX(FK63:ID63,FJ63))/SUM(INDEX($FK$15:$ID$15,SwaptionFirstMonthPosition+1):INDEX($FK$15:$ID$15,FJ63))))</f>
        <v/>
      </c>
      <c r="FA63" s="592" t="str">
        <f aca="false">IF(OR(EW63="",EW62=""),"",SQRT(SUM(INDEX(FK63:ID63,SwaptionFirstMonthPosition+1):INDEX(FK63:ID63,FJ63-1))/SUM(INDEX($FK$15:$ID$15,SwaptionFirstMonthPosition+1):INDEX($FK$15:$ID$15,FJ63-1))))</f>
        <v/>
      </c>
      <c r="FB63" s="593" t="str">
        <f aca="false">IF(BE63,2/3*EZ64+1/3*FA65,"")</f>
        <v/>
      </c>
      <c r="FC63" s="596" t="str">
        <f aca="false">IF(BE63,(I64+I63-1)/2-DateToday,"")</f>
        <v/>
      </c>
      <c r="FD63" s="483" t="str">
        <f aca="false">IF(BE63,CHOOSE(Underlying,X63,Z63)+SwaptionUnderlyingPrice-$D$26,"")</f>
        <v/>
      </c>
      <c r="FE63" s="483" t="str">
        <f aca="false">IF(BE63,CollartionFloor/FD63-1,"")</f>
        <v/>
      </c>
      <c r="FF63" s="483" t="str">
        <f aca="false">IF(BE63,CollartionCap/FD63-1,"")</f>
        <v/>
      </c>
      <c r="FG63" s="485" t="str">
        <f aca="false">IF(BE63,IF(VolSkewFlag=1,IF(FE63&gt;0,$BA63*MIN(FE63/10%,1)+($BB63-$BA63)*MAX(0,MIN(FE63/10%-1,1))+($BC63-$BB63)*MAX(0,FE63/10%-2),$AZ63*MIN(-FE63/10%,1)+($AY63-$AZ63)*MAX(0,MIN(-FE63/10%-1,1))+($AX63-$AY63)*MAX(0,-FE63/10%-2)),0),"")</f>
        <v/>
      </c>
      <c r="FH63" s="486" t="str">
        <f aca="false">IF(BE63,IF(VolSkewFlag=1,IF(FF63&gt;0,$BA63*MIN(FF63/10%,1)+($BB63-$BA63)*MAX(0,MIN(FF63/10%-1,1))+($BC63-$BB63)*MAX(0,FF63/10%-2),$AZ63*MIN(-FF63/10%,1)+($AY63-$AZ63)*MAX(0,MIN(-FF63/10%-1,1))+($AX63-$AY63)*MAX(0,-FF63/10%-2)),0),"")</f>
        <v/>
      </c>
      <c r="FI63" s="129"/>
      <c r="FJ63" s="571" t="n">
        <v>44</v>
      </c>
      <c r="FK63" s="150" t="n">
        <f aca="false">IF(FK$19&gt;$FJ63,"",MAX(0,IF(FK$19=$FJ63,$S63^2*FK$15,FK62*INDEX($T$20:$T$91,$FJ63-FK$19)^2/INDEX($U$20:$U$91,$FJ63-FK$19))))</f>
        <v>0</v>
      </c>
      <c r="FL63" s="150" t="n">
        <f aca="false">IF(FL$19&gt;$FJ63,"",MAX(0,IF(FL$19=$FJ63,$S63^2*FL$15,FL62*INDEX($T$20:$T$91,$FJ63-FL$19)^2/INDEX($U$20:$U$91,$FJ63-FL$19))))</f>
        <v>0</v>
      </c>
      <c r="FM63" s="150" t="n">
        <f aca="false">IF(FM$19&gt;$FJ63,"",MAX(0,IF(FM$19=$FJ63,$S63^2*FM$15,FM62*INDEX($T$20:$T$91,$FJ63-FM$19)^2/INDEX($U$20:$U$91,$FJ63-FM$19))))</f>
        <v>0.00255318000516295</v>
      </c>
      <c r="FN63" s="150" t="n">
        <f aca="false">IF(FN$19&gt;$FJ63,"",MAX(0,IF(FN$19=$FJ63,$S63^2*FN$15,FN62*INDEX($T$20:$T$91,$FJ63-FN$19)^2/INDEX($U$20:$U$91,$FJ63-FN$19))))</f>
        <v>0.00214985179747928</v>
      </c>
      <c r="FO63" s="150" t="n">
        <f aca="false">IF(FO$19&gt;$FJ63,"",MAX(0,IF(FO$19=$FJ63,$S63^2*FO$15,FO62*INDEX($T$20:$T$91,$FJ63-FO$19)^2/INDEX($U$20:$U$91,$FJ63-FO$19))))</f>
        <v>0.00223727999990771</v>
      </c>
      <c r="FP63" s="150" t="n">
        <f aca="false">IF(FP$19&gt;$FJ63,"",MAX(0,IF(FP$19=$FJ63,$S63^2*FP$15,FP62*INDEX($T$20:$T$91,$FJ63-FP$19)^2/INDEX($U$20:$U$91,$FJ63-FP$19))))</f>
        <v>0.00248058296802631</v>
      </c>
      <c r="FQ63" s="150" t="n">
        <f aca="false">IF(FQ$19&gt;$FJ63,"",MAX(0,IF(FQ$19=$FJ63,$S63^2*FQ$15,FQ62*INDEX($T$20:$T$91,$FJ63-FQ$19)^2/INDEX($U$20:$U$91,$FJ63-FQ$19))))</f>
        <v>0.00200966278518403</v>
      </c>
      <c r="FR63" s="150" t="n">
        <f aca="false">IF(FR$19&gt;$FJ63,"",MAX(0,IF(FR$19=$FJ63,$S63^2*FR$15,FR62*INDEX($T$20:$T$91,$FJ63-FR$19)^2/INDEX($U$20:$U$91,$FJ63-FR$19))))</f>
        <v>0.00205642859111948</v>
      </c>
      <c r="FS63" s="150" t="n">
        <f aca="false">IF(FS$19&gt;$FJ63,"",MAX(0,IF(FS$19=$FJ63,$S63^2*FS$15,FS62*INDEX($T$20:$T$91,$FJ63-FS$19)^2/INDEX($U$20:$U$91,$FJ63-FS$19))))</f>
        <v>0.00231960609773797</v>
      </c>
      <c r="FT63" s="150" t="n">
        <f aca="false">IF(FT$19&gt;$FJ63,"",MAX(0,IF(FT$19=$FJ63,$S63^2*FT$15,FT62*INDEX($T$20:$T$91,$FJ63-FT$19)^2/INDEX($U$20:$U$91,$FJ63-FT$19))))</f>
        <v>0.00209564082115158</v>
      </c>
      <c r="FU63" s="150" t="n">
        <f aca="false">IF(FU$19&gt;$FJ63,"",MAX(0,IF(FU$19=$FJ63,$S63^2*FU$15,FU62*INDEX($T$20:$T$91,$FJ63-FU$19)^2/INDEX($U$20:$U$91,$FJ63-FU$19))))</f>
        <v>0.00201723557255449</v>
      </c>
      <c r="FV63" s="150" t="n">
        <f aca="false">IF(FV$19&gt;$FJ63,"",MAX(0,IF(FV$19=$FJ63,$S63^2*FV$15,FV62*INDEX($T$20:$T$91,$FJ63-FV$19)^2/INDEX($U$20:$U$91,$FJ63-FV$19))))</f>
        <v>0.0022200337008573</v>
      </c>
      <c r="FW63" s="150" t="n">
        <f aca="false">IF(FW$19&gt;$FJ63,"",MAX(0,IF(FW$19=$FJ63,$S63^2*FW$15,FW62*INDEX($T$20:$T$91,$FJ63-FW$19)^2/INDEX($U$20:$U$91,$FJ63-FW$19))))</f>
        <v>0.00207844826727022</v>
      </c>
      <c r="FX63" s="150" t="n">
        <f aca="false">IF(FX$19&gt;$FJ63,"",MAX(0,IF(FX$19=$FJ63,$S63^2*FX$15,FX62*INDEX($T$20:$T$91,$FJ63-FX$19)^2/INDEX($U$20:$U$91,$FJ63-FX$19))))</f>
        <v>0.00221636727958889</v>
      </c>
      <c r="FY63" s="150" t="n">
        <f aca="false">IF(FY$19&gt;$FJ63,"",MAX(0,IF(FY$19=$FJ63,$S63^2*FY$15,FY62*INDEX($T$20:$T$91,$FJ63-FY$19)^2/INDEX($U$20:$U$91,$FJ63-FY$19))))</f>
        <v>0.002079172949426</v>
      </c>
      <c r="FZ63" s="150" t="n">
        <f aca="false">IF(FZ$19&gt;$FJ63,"",MAX(0,IF(FZ$19=$FJ63,$S63^2*FZ$15,FZ62*INDEX($T$20:$T$91,$FJ63-FZ$19)^2/INDEX($U$20:$U$91,$FJ63-FZ$19))))</f>
        <v>0.00194344201286252</v>
      </c>
      <c r="GA63" s="150" t="n">
        <f aca="false">IF(GA$19&gt;$FJ63,"",MAX(0,IF(GA$19=$FJ63,$S63^2*GA$15,GA62*INDEX($T$20:$T$91,$FJ63-GA$19)^2/INDEX($U$20:$U$91,$FJ63-GA$19))))</f>
        <v>0.00208702812115933</v>
      </c>
      <c r="GB63" s="150" t="n">
        <f aca="false">IF(GB$19&gt;$FJ63,"",MAX(0,IF(GB$19=$FJ63,$S63^2*GB$15,GB62*INDEX($T$20:$T$91,$FJ63-GB$19)^2/INDEX($U$20:$U$91,$FJ63-GB$19))))</f>
        <v>0.00230283784413952</v>
      </c>
      <c r="GC63" s="150" t="n">
        <f aca="false">IF(GC$19&gt;$FJ63,"",MAX(0,IF(GC$19=$FJ63,$S63^2*GC$15,GC62*INDEX($T$20:$T$91,$FJ63-GC$19)^2/INDEX($U$20:$U$91,$FJ63-GC$19))))</f>
        <v>0.00203166972225384</v>
      </c>
      <c r="GD63" s="150" t="n">
        <f aca="false">IF(GD$19&gt;$FJ63,"",MAX(0,IF(GD$19=$FJ63,$S63^2*GD$15,GD62*INDEX($T$20:$T$91,$FJ63-GD$19)^2/INDEX($U$20:$U$91,$FJ63-GD$19))))</f>
        <v>0.00204150411900623</v>
      </c>
      <c r="GE63" s="150" t="n">
        <f aca="false">IF(GE$19&gt;$FJ63,"",MAX(0,IF(GE$19=$FJ63,$S63^2*GE$15,GE62*INDEX($T$20:$T$91,$FJ63-GE$19)^2/INDEX($U$20:$U$91,$FJ63-GE$19))))</f>
        <v>0.00233666373735172</v>
      </c>
      <c r="GF63" s="150" t="n">
        <f aca="false">IF(GF$19&gt;$FJ63,"",MAX(0,IF(GF$19=$FJ63,$S63^2*GF$15,GF62*INDEX($T$20:$T$91,$FJ63-GF$19)^2/INDEX($U$20:$U$91,$FJ63-GF$19))))</f>
        <v>0.00206774993941736</v>
      </c>
      <c r="GG63" s="150" t="n">
        <f aca="false">IF(GG$19&gt;$FJ63,"",MAX(0,IF(GG$19=$FJ63,$S63^2*GG$15,GG62*INDEX($T$20:$T$91,$FJ63-GG$19)^2/INDEX($U$20:$U$91,$FJ63-GG$19))))</f>
        <v>0.00230051213013841</v>
      </c>
      <c r="GH63" s="150" t="n">
        <f aca="false">IF(GH$19&gt;$FJ63,"",MAX(0,IF(GH$19=$FJ63,$S63^2*GH$15,GH62*INDEX($T$20:$T$91,$FJ63-GH$19)^2/INDEX($U$20:$U$91,$FJ63-GH$19))))</f>
        <v>0.00217776837437053</v>
      </c>
      <c r="GI63" s="150" t="n">
        <f aca="false">IF(GI$19&gt;$FJ63,"",MAX(0,IF(GI$19=$FJ63,$S63^2*GI$15,GI62*INDEX($T$20:$T$91,$FJ63-GI$19)^2/INDEX($U$20:$U$91,$FJ63-GI$19))))</f>
        <v>0.00212935241904762</v>
      </c>
      <c r="GJ63" s="150" t="n">
        <f aca="false">IF(GJ$19&gt;$FJ63,"",MAX(0,IF(GJ$19=$FJ63,$S63^2*GJ$15,GJ62*INDEX($T$20:$T$91,$FJ63-GJ$19)^2/INDEX($U$20:$U$91,$FJ63-GJ$19))))</f>
        <v>0.00245576847576982</v>
      </c>
      <c r="GK63" s="150" t="n">
        <f aca="false">IF(GK$19&gt;$FJ63,"",MAX(0,IF(GK$19=$FJ63,$S63^2*GK$15,GK62*INDEX($T$20:$T$91,$FJ63-GK$19)^2/INDEX($U$20:$U$91,$FJ63-GK$19))))</f>
        <v>0.00226792021807197</v>
      </c>
      <c r="GL63" s="150" t="n">
        <f aca="false">IF(GL$19&gt;$FJ63,"",MAX(0,IF(GL$19=$FJ63,$S63^2*GL$15,GL62*INDEX($T$20:$T$91,$FJ63-GL$19)^2/INDEX($U$20:$U$91,$FJ63-GL$19))))</f>
        <v>0.00223314716184455</v>
      </c>
      <c r="GM63" s="150" t="n">
        <f aca="false">IF(GM$19&gt;$FJ63,"",MAX(0,IF(GM$19=$FJ63,$S63^2*GM$15,GM62*INDEX($T$20:$T$91,$FJ63-GM$19)^2/INDEX($U$20:$U$91,$FJ63-GM$19))))</f>
        <v>0.0024393562835662</v>
      </c>
      <c r="GN63" s="150" t="n">
        <f aca="false">IF(GN$19&gt;$FJ63,"",MAX(0,IF(GN$19=$FJ63,$S63^2*GN$15,GN62*INDEX($T$20:$T$91,$FJ63-GN$19)^2/INDEX($U$20:$U$91,$FJ63-GN$19))))</f>
        <v>0.00250200816963339</v>
      </c>
      <c r="GO63" s="150" t="n">
        <f aca="false">IF(GO$19&gt;$FJ63,"",MAX(0,IF(GO$19=$FJ63,$S63^2*GO$15,GO62*INDEX($T$20:$T$91,$FJ63-GO$19)^2/INDEX($U$20:$U$91,$FJ63-GO$19))))</f>
        <v>0.00257752180825508</v>
      </c>
      <c r="GP63" s="150" t="n">
        <f aca="false">IF(GP$19&gt;$FJ63,"",MAX(0,IF(GP$19=$FJ63,$S63^2*GP$15,GP62*INDEX($T$20:$T$91,$FJ63-GP$19)^2/INDEX($U$20:$U$91,$FJ63-GP$19))))</f>
        <v>0.00241070569926653</v>
      </c>
      <c r="GQ63" s="150" t="n">
        <f aca="false">IF(GQ$19&gt;$FJ63,"",MAX(0,IF(GQ$19=$FJ63,$S63^2*GQ$15,GQ62*INDEX($T$20:$T$91,$FJ63-GQ$19)^2/INDEX($U$20:$U$91,$FJ63-GQ$19))))</f>
        <v>0.00278046583814515</v>
      </c>
      <c r="GR63" s="150" t="n">
        <f aca="false">IF(GR$19&gt;$FJ63,"",MAX(0,IF(GR$19=$FJ63,$S63^2*GR$15,GR62*INDEX($T$20:$T$91,$FJ63-GR$19)^2/INDEX($U$20:$U$91,$FJ63-GR$19))))</f>
        <v>0.00282316133727828</v>
      </c>
      <c r="GS63" s="150" t="n">
        <f aca="false">IF(GS$19&gt;$FJ63,"",MAX(0,IF(GS$19=$FJ63,$S63^2*GS$15,GS62*INDEX($T$20:$T$91,$FJ63-GS$19)^2/INDEX($U$20:$U$91,$FJ63-GS$19))))</f>
        <v>0.00308656228299801</v>
      </c>
      <c r="GT63" s="150" t="n">
        <f aca="false">IF(GT$19&gt;$FJ63,"",MAX(0,IF(GT$19=$FJ63,$S63^2*GT$15,GT62*INDEX($T$20:$T$91,$FJ63-GT$19)^2/INDEX($U$20:$U$91,$FJ63-GT$19))))</f>
        <v>0.00319175787585484</v>
      </c>
      <c r="GU63" s="150" t="n">
        <f aca="false">IF(GU$19&gt;$FJ63,"",MAX(0,IF(GU$19=$FJ63,$S63^2*GU$15,GU62*INDEX($T$20:$T$91,$FJ63-GU$19)^2/INDEX($U$20:$U$91,$FJ63-GU$19))))</f>
        <v>0.0035657018645763</v>
      </c>
      <c r="GV63" s="150" t="n">
        <f aca="false">IF(GV$19&gt;$FJ63,"",MAX(0,IF(GV$19=$FJ63,$S63^2*GV$15,GV62*INDEX($T$20:$T$91,$FJ63-GV$19)^2/INDEX($U$20:$U$91,$FJ63-GV$19))))</f>
        <v>0.00390873801961428</v>
      </c>
      <c r="GW63" s="150" t="n">
        <f aca="false">IF(GW$19&gt;$FJ63,"",MAX(0,IF(GW$19=$FJ63,$S63^2*GW$15,GW62*INDEX($T$20:$T$91,$FJ63-GW$19)^2/INDEX($U$20:$U$91,$FJ63-GW$19))))</f>
        <v>0.00421533621253308</v>
      </c>
      <c r="GX63" s="150" t="n">
        <f aca="false">IF(GX$19&gt;$FJ63,"",MAX(0,IF(GX$19=$FJ63,$S63^2*GX$15,GX62*INDEX($T$20:$T$91,$FJ63-GX$19)^2/INDEX($U$20:$U$91,$FJ63-GX$19))))</f>
        <v>0.00495013174150503</v>
      </c>
      <c r="GY63" s="150" t="n">
        <f aca="false">IF(GY$19&gt;$FJ63,"",MAX(0,IF(GY$19=$FJ63,$S63^2*GY$15,GY62*INDEX($T$20:$T$91,$FJ63-GY$19)^2/INDEX($U$20:$U$91,$FJ63-GY$19))))</f>
        <v>0.0055729789612327</v>
      </c>
      <c r="GZ63" s="150" t="n">
        <f aca="false">IF(GZ$19&gt;$FJ63,"",MAX(0,IF(GZ$19=$FJ63,$S63^2*GZ$15,GZ62*INDEX($T$20:$T$91,$FJ63-GZ$19)^2/INDEX($U$20:$U$91,$FJ63-GZ$19))))</f>
        <v>0.00689033208103863</v>
      </c>
      <c r="HA63" s="150" t="n">
        <f aca="false">IF(HA$19&gt;$FJ63,"",MAX(0,IF(HA$19=$FJ63,$S63^2*HA$15,HA62*INDEX($T$20:$T$91,$FJ63-HA$19)^2/INDEX($U$20:$U$91,$FJ63-HA$19))))</f>
        <v>0.00852848414327297</v>
      </c>
      <c r="HB63" s="150" t="n">
        <f aca="false">IF(HB$19&gt;$FJ63,"",MAX(0,IF(HB$19=$FJ63,$S63^2*HB$15,HB62*INDEX($T$20:$T$91,$FJ63-HB$19)^2/INDEX($U$20:$U$91,$FJ63-HB$19))))</f>
        <v>0.0102899513335663</v>
      </c>
      <c r="HC63" s="150" t="str">
        <f aca="false">IF(HC$19&gt;$FJ63,"",MAX(0,IF(HC$19=$FJ63,$S63^2*HC$15,HC62*INDEX($T$20:$T$91,$FJ63-HC$19)^2/INDEX($U$20:$U$91,$FJ63-HC$19))))</f>
        <v/>
      </c>
      <c r="HD63" s="150" t="str">
        <f aca="false">IF(HD$19&gt;$FJ63,"",MAX(0,IF(HD$19=$FJ63,$S63^2*HD$15,HD62*INDEX($T$20:$T$91,$FJ63-HD$19)^2/INDEX($U$20:$U$91,$FJ63-HD$19))))</f>
        <v/>
      </c>
      <c r="HE63" s="150" t="str">
        <f aca="false">IF(HE$19&gt;$FJ63,"",MAX(0,IF(HE$19=$FJ63,$S63^2*HE$15,HE62*INDEX($T$20:$T$91,$FJ63-HE$19)^2/INDEX($U$20:$U$91,$FJ63-HE$19))))</f>
        <v/>
      </c>
      <c r="HF63" s="150" t="str">
        <f aca="false">IF(HF$19&gt;$FJ63,"",MAX(0,IF(HF$19=$FJ63,$S63^2*HF$15,HF62*INDEX($T$20:$T$91,$FJ63-HF$19)^2/INDEX($U$20:$U$91,$FJ63-HF$19))))</f>
        <v/>
      </c>
      <c r="HG63" s="150" t="str">
        <f aca="false">IF(HG$19&gt;$FJ63,"",MAX(0,IF(HG$19=$FJ63,$S63^2*HG$15,HG62*INDEX($T$20:$T$91,$FJ63-HG$19)^2/INDEX($U$20:$U$91,$FJ63-HG$19))))</f>
        <v/>
      </c>
      <c r="HH63" s="150" t="str">
        <f aca="false">IF(HH$19&gt;$FJ63,"",MAX(0,IF(HH$19=$FJ63,$S63^2*HH$15,HH62*INDEX($T$20:$T$91,$FJ63-HH$19)^2/INDEX($U$20:$U$91,$FJ63-HH$19))))</f>
        <v/>
      </c>
      <c r="HI63" s="150" t="str">
        <f aca="false">IF(HI$19&gt;$FJ63,"",MAX(0,IF(HI$19=$FJ63,$S63^2*HI$15,HI62*INDEX($T$20:$T$91,$FJ63-HI$19)^2/INDEX($U$20:$U$91,$FJ63-HI$19))))</f>
        <v/>
      </c>
      <c r="HJ63" s="150" t="str">
        <f aca="false">IF(HJ$19&gt;$FJ63,"",MAX(0,IF(HJ$19=$FJ63,$S63^2*HJ$15,HJ62*INDEX($T$20:$T$91,$FJ63-HJ$19)^2/INDEX($U$20:$U$91,$FJ63-HJ$19))))</f>
        <v/>
      </c>
      <c r="HK63" s="150" t="str">
        <f aca="false">IF(HK$19&gt;$FJ63,"",MAX(0,IF(HK$19=$FJ63,$S63^2*HK$15,HK62*INDEX($T$20:$T$91,$FJ63-HK$19)^2/INDEX($U$20:$U$91,$FJ63-HK$19))))</f>
        <v/>
      </c>
      <c r="HL63" s="150" t="str">
        <f aca="false">IF(HL$19&gt;$FJ63,"",MAX(0,IF(HL$19=$FJ63,$S63^2*HL$15,HL62*INDEX($T$20:$T$91,$FJ63-HL$19)^2/INDEX($U$20:$U$91,$FJ63-HL$19))))</f>
        <v/>
      </c>
      <c r="HM63" s="150" t="str">
        <f aca="false">IF(HM$19&gt;$FJ63,"",MAX(0,IF(HM$19=$FJ63,$S63^2*HM$15,HM62*INDEX($T$20:$T$91,$FJ63-HM$19)^2/INDEX($U$20:$U$91,$FJ63-HM$19))))</f>
        <v/>
      </c>
      <c r="HN63" s="150" t="str">
        <f aca="false">IF(HN$19&gt;$FJ63,"",MAX(0,IF(HN$19=$FJ63,$S63^2*HN$15,HN62*INDEX($T$20:$T$91,$FJ63-HN$19)^2/INDEX($U$20:$U$91,$FJ63-HN$19))))</f>
        <v/>
      </c>
      <c r="HO63" s="150" t="str">
        <f aca="false">IF(HO$19&gt;$FJ63,"",MAX(0,IF(HO$19=$FJ63,$S63^2*HO$15,HO62*INDEX($T$20:$T$91,$FJ63-HO$19)^2/INDEX($U$20:$U$91,$FJ63-HO$19))))</f>
        <v/>
      </c>
      <c r="HP63" s="150" t="str">
        <f aca="false">IF(HP$19&gt;$FJ63,"",MAX(0,IF(HP$19=$FJ63,$S63^2*HP$15,HP62*INDEX($T$20:$T$91,$FJ63-HP$19)^2/INDEX($U$20:$U$91,$FJ63-HP$19))))</f>
        <v/>
      </c>
      <c r="HQ63" s="150" t="str">
        <f aca="false">IF(HQ$19&gt;$FJ63,"",MAX(0,IF(HQ$19=$FJ63,$S63^2*HQ$15,HQ62*INDEX($T$20:$T$91,$FJ63-HQ$19)^2/INDEX($U$20:$U$91,$FJ63-HQ$19))))</f>
        <v/>
      </c>
      <c r="HR63" s="150" t="str">
        <f aca="false">IF(HR$19&gt;$FJ63,"",MAX(0,IF(HR$19=$FJ63,$S63^2*HR$15,HR62*INDEX($T$20:$T$91,$FJ63-HR$19)^2/INDEX($U$20:$U$91,$FJ63-HR$19))))</f>
        <v/>
      </c>
      <c r="HS63" s="150" t="str">
        <f aca="false">IF(HS$19&gt;$FJ63,"",MAX(0,IF(HS$19=$FJ63,$S63^2*HS$15,HS62*INDEX($T$20:$T$91,$FJ63-HS$19)^2/INDEX($U$20:$U$91,$FJ63-HS$19))))</f>
        <v/>
      </c>
      <c r="HT63" s="150" t="str">
        <f aca="false">IF(HT$19&gt;$FJ63,"",MAX(0,IF(HT$19=$FJ63,$S63^2*HT$15,HT62*INDEX($T$20:$T$91,$FJ63-HT$19)^2/INDEX($U$20:$U$91,$FJ63-HT$19))))</f>
        <v/>
      </c>
      <c r="HU63" s="150" t="str">
        <f aca="false">IF(HU$19&gt;$FJ63,"",MAX(0,IF(HU$19=$FJ63,$S63^2*HU$15,HU62*INDEX($T$20:$T$91,$FJ63-HU$19)^2/INDEX($U$20:$U$91,$FJ63-HU$19))))</f>
        <v/>
      </c>
      <c r="HV63" s="150" t="str">
        <f aca="false">IF(HV$19&gt;$FJ63,"",MAX(0,IF(HV$19=$FJ63,$S63^2*HV$15,HV62*INDEX($T$20:$T$91,$FJ63-HV$19)^2/INDEX($U$20:$U$91,$FJ63-HV$19))))</f>
        <v/>
      </c>
      <c r="HW63" s="150" t="str">
        <f aca="false">IF(HW$19&gt;$FJ63,"",MAX(0,IF(HW$19=$FJ63,$S63^2*HW$15,HW62*INDEX($T$20:$T$91,$FJ63-HW$19)^2/INDEX($U$20:$U$91,$FJ63-HW$19))))</f>
        <v/>
      </c>
      <c r="HX63" s="150" t="str">
        <f aca="false">IF(HX$19&gt;$FJ63,"",MAX(0,IF(HX$19=$FJ63,$S63^2*HX$15,HX62*INDEX($T$20:$T$91,$FJ63-HX$19)^2/INDEX($U$20:$U$91,$FJ63-HX$19))))</f>
        <v/>
      </c>
      <c r="HY63" s="150" t="str">
        <f aca="false">IF(HY$19&gt;$FJ63,"",MAX(0,IF(HY$19=$FJ63,$S63^2*HY$15,HY62*INDEX($T$20:$T$91,$FJ63-HY$19)^2/INDEX($U$20:$U$91,$FJ63-HY$19))))</f>
        <v/>
      </c>
      <c r="HZ63" s="150" t="str">
        <f aca="false">IF(HZ$19&gt;$FJ63,"",MAX(0,IF(HZ$19=$FJ63,$S63^2*HZ$15,HZ62*INDEX($T$20:$T$91,$FJ63-HZ$19)^2/INDEX($U$20:$U$91,$FJ63-HZ$19))))</f>
        <v/>
      </c>
      <c r="IA63" s="150" t="str">
        <f aca="false">IF(IA$19&gt;$FJ63,"",MAX(0,IF(IA$19=$FJ63,$S63^2*IA$15,IA62*INDEX($T$20:$T$91,$FJ63-IA$19)^2/INDEX($U$20:$U$91,$FJ63-IA$19))))</f>
        <v/>
      </c>
      <c r="IB63" s="150" t="str">
        <f aca="false">IF(IB$19&gt;$FJ63,"",MAX(0,IF(IB$19=$FJ63,$S63^2*IB$15,IB62*INDEX($T$20:$T$91,$FJ63-IB$19)^2/INDEX($U$20:$U$91,$FJ63-IB$19))))</f>
        <v/>
      </c>
      <c r="IC63" s="150" t="str">
        <f aca="false">IF(IC$19&gt;$FJ63,"",MAX(0,IF(IC$19=$FJ63,$S63^2*IC$15,IC62*INDEX($T$20:$T$91,$FJ63-IC$19)^2/INDEX($U$20:$U$91,$FJ63-IC$19))))</f>
        <v/>
      </c>
      <c r="ID63" s="572" t="str">
        <f aca="false">IF(ID$19&gt;$FJ63,"",MAX(0,IF(ID$19=$FJ63,$S63^2*ID$15,ID62*INDEX($T$20:$T$91,$FJ63-ID$19)^2/INDEX($U$20:$U$91,$FJ63-ID$19))))</f>
        <v/>
      </c>
      <c r="IE63" s="129"/>
    </row>
    <row r="64" customFormat="false" ht="12.75" hidden="false" customHeight="false" outlineLevel="0" collapsed="false">
      <c r="A64" s="3"/>
      <c r="F64" s="3"/>
      <c r="G64" s="3"/>
      <c r="H64" s="219" t="n">
        <f aca="false">VLOOKUP(I64,$EJ$20:$EL$54,3)</f>
        <v>0</v>
      </c>
      <c r="I64" s="511" t="n">
        <f aca="false">EOMONTH(I63,0)+1</f>
        <v>38108</v>
      </c>
      <c r="J64" s="512"/>
      <c r="K64" s="513" t="s">
        <v>250</v>
      </c>
      <c r="L64" s="514" t="e">
        <f aca="false">IF(ISNUMBER(K64),J64+K64/100,IF(K64="extra",L63+VLOOKUP(BF64,PriceSpreadTable,2)/12,IF(K64="inter",interpolateprices($K$19:$L$200,ROW(K64)-ROW(FirstPricingMonth)+1),interpolatechanges($J$19:$K$200,ROW(K64)-ROW(FirstPricingMonth)+1))))</f>
        <v>#VALUE!</v>
      </c>
      <c r="M64" s="515"/>
      <c r="N64" s="516" t="n">
        <v>0</v>
      </c>
      <c r="O64" s="515" t="n">
        <f aca="false">M64+N64</f>
        <v>0</v>
      </c>
      <c r="P64" s="512"/>
      <c r="Q64" s="513" t="s">
        <v>280</v>
      </c>
      <c r="R64" s="512" t="e">
        <f aca="false">IF(ISNUMBER(Q64),P64+Q64/100,IF(Q64="extra",(Z62*AL62-R63*AM62)/AN62,IF(Q64="inter",interpolateprices($Q$19:$R$260,ROW(Q64)-ROW(FirstPricingMonth)+1),interpolatechanges($P$19:$Q$260,ROW(Q64)-ROW(FirstPricingMonth)+1))))</f>
        <v>#VALUE!</v>
      </c>
      <c r="S64" s="597" t="n">
        <f aca="false">S$19+(S63-S$19)*S$18</f>
        <v>0.360000169704875</v>
      </c>
      <c r="T64" s="575" t="n">
        <f aca="false">SQRT((1-(1-T63^2/U63)*T$18)*U64)</f>
        <v>0.999885945622669</v>
      </c>
      <c r="U64" s="576" t="n">
        <f aca="false">1-(1-U63)*U$18</f>
        <v>0.999999952270504</v>
      </c>
      <c r="V64" s="521" t="n">
        <v>0</v>
      </c>
      <c r="W64" s="577" t="n">
        <f aca="false">(J65*AJ64+J66*AK64)/AI64</f>
        <v>0</v>
      </c>
      <c r="X64" s="578" t="e">
        <f aca="false">(L65*AJ64+L66*AK64)/AI64</f>
        <v>#VALUE!</v>
      </c>
      <c r="Y64" s="579" t="n">
        <f aca="false">IF(Q66="extra",W64-AA64,(P65*AM64+P66*AN64)/AL64)</f>
        <v>-1.2285</v>
      </c>
      <c r="Z64" s="579" t="e">
        <f aca="false">IF(Q66="extra",X64-AB64,(R65*AM64+R66*AN64)/AL64)</f>
        <v>#VALUE!</v>
      </c>
      <c r="AA64" s="523" t="n">
        <f aca="false">IF(Q66="extra",INDEX(BrentSeasonalityTable,INT((BG64-1)/3)+1)*VLOOKUP(MAX(BF64,$AB$4),PriceSpreadTable,3),W64-Y64)</f>
        <v>1.2285</v>
      </c>
      <c r="AB64" s="524" t="n">
        <f aca="false">IF(Q66="extra",INDEX(BrentSeasonalityTable,INT((BG64-1)/3)+1)*VLOOKUP(MAX(BF64,$AB$4),PriceSpreadTable,3),X64-Z64)</f>
        <v>1.2285</v>
      </c>
      <c r="AC64" s="646" t="n">
        <v>38097</v>
      </c>
      <c r="AD64" s="646" t="n">
        <v>38093</v>
      </c>
      <c r="AE64" s="646" t="n">
        <v>38092</v>
      </c>
      <c r="AF64" s="646" t="n">
        <v>38088</v>
      </c>
      <c r="AG64" s="438" t="s">
        <v>247</v>
      </c>
      <c r="AH64" s="439" t="s">
        <v>278</v>
      </c>
      <c r="AI64" s="528" t="n">
        <v>21</v>
      </c>
      <c r="AJ64" s="529" t="n">
        <v>14</v>
      </c>
      <c r="AK64" s="529" t="n">
        <v>7</v>
      </c>
      <c r="AL64" s="530" t="n">
        <v>21</v>
      </c>
      <c r="AM64" s="529" t="n">
        <v>10</v>
      </c>
      <c r="AN64" s="531" t="n">
        <v>11</v>
      </c>
      <c r="AO64" s="532"/>
      <c r="AP64" s="465" t="n">
        <f aca="false">(1+AO64/2)^(-2*BL64)</f>
        <v>1</v>
      </c>
      <c r="AQ64" s="532"/>
      <c r="AR64" s="465" t="n">
        <f aca="false">(1+AQ64/2)^(-2*BH64/365.25)</f>
        <v>1</v>
      </c>
      <c r="AS64" s="580" t="n">
        <f aca="false">(O65*AJ64+O66*AK64)/AI64</f>
        <v>0</v>
      </c>
      <c r="AT64" s="468" t="n">
        <f aca="false">O64*VLOOKUP(BF64,BrentVolTable,2)+VLOOKUP(BF64,BrentVolTable,3)</f>
        <v>0</v>
      </c>
      <c r="AU64" s="468" t="n">
        <f aca="false">(AT65*AM64+AT66*AN64)/AL64</f>
        <v>0</v>
      </c>
      <c r="AV64" s="595" t="n">
        <f aca="false">SQRT(MAX(0.000000000001,(O64^2*BH64-S64^2*(BH64-BH63))/BH63))</f>
        <v>0.0226042142266207</v>
      </c>
      <c r="AW64" s="451" t="n">
        <f aca="false">IF($I64-DateToday+15&gt;=$T$8,"",IF($I64-DateToday+15&lt;$T$5,1,MATCH($I64-DateToday+15,$T$5:$T$8)))</f>
        <v>1</v>
      </c>
      <c r="AX64" s="468" t="n">
        <f aca="false">IF($AW64="",AX63^2/AX62,INDEX(U$5:U$8,$AW64)^((INDEX($T$5:$T$8,$AW64+1)-($I64-DateToday+15))/(INDEX($T$5:$T$8,$AW64+1)-INDEX($T$5:$T$8,$AW64)))/INDEX(U$5:U$8,$AW64+1)^((INDEX($T$5:$T$8,$AW64)-($I64-DateToday+15))/(INDEX($T$5:$T$8,$AW64+1)-INDEX($T$5:$T$8,$AW64))))</f>
        <v>4.90327388704501</v>
      </c>
      <c r="AY64" s="468" t="n">
        <f aca="false">IF($AW64="",AY63^2/AY62,INDEX(V$5:V$8,$AW64)^((INDEX($T$5:$T$8,$AW64+1)-($I64-DateToday+15))/(INDEX($T$5:$T$8,$AW64+1)-INDEX($T$5:$T$8,$AW64)))/INDEX(V$5:V$8,$AW64+1)^((INDEX($T$5:$T$8,$AW64)-($I64-DateToday+15))/(INDEX($T$5:$T$8,$AW64+1)-INDEX($T$5:$T$8,$AW64))))</f>
        <v>818.735495995237</v>
      </c>
      <c r="AZ64" s="468" t="n">
        <f aca="false">IF($AW64="",AZ63^2/AZ62,INDEX(W$5:W$8,$AW64)^((INDEX($T$5:$T$8,$AW64+1)-($I64-DateToday+15))/(INDEX($T$5:$T$8,$AW64+1)-INDEX($T$5:$T$8,$AW64)))/INDEX(W$5:W$8,$AW64+1)^((INDEX($T$5:$T$8,$AW64)-($I64-DateToday+15))/(INDEX($T$5:$T$8,$AW64+1)-INDEX($T$5:$T$8,$AW64))))</f>
        <v>18822044.416459</v>
      </c>
      <c r="BA64" s="468" t="n">
        <f aca="false">IF($AW64="",BA63^2/BA62,INDEX(X$5:X$8,$AW64)^((INDEX($T$5:$T$8,$AW64+1)-($I64-DateToday+15))/(INDEX($T$5:$T$8,$AW64+1)-INDEX($T$5:$T$8,$AW64)))/INDEX(X$5:X$8,$AW64+1)^((INDEX($T$5:$T$8,$AW64)-($I64-DateToday+15))/(INDEX($T$5:$T$8,$AW64+1)-INDEX($T$5:$T$8,$AW64))))</f>
        <v>961350405.083588</v>
      </c>
      <c r="BB64" s="468" t="n">
        <f aca="false">IF($AW64="",BB63^2/BB62,INDEX(Y$5:Y$8,$AW64)^((INDEX($T$5:$T$8,$AW64+1)-($I64-DateToday+15))/(INDEX($T$5:$T$8,$AW64+1)-INDEX($T$5:$T$8,$AW64)))/INDEX(Y$5:Y$8,$AW64+1)^((INDEX($T$5:$T$8,$AW64)-($I64-DateToday+15))/(INDEX($T$5:$T$8,$AW64+1)-INDEX($T$5:$T$8,$AW64))))</f>
        <v>17199465341.7552</v>
      </c>
      <c r="BC64" s="468" t="n">
        <f aca="false">IF($AW64="",BC63^2/BC62,INDEX(Z$5:Z$8,$AW64)^((INDEX($T$5:$T$8,$AW64+1)-($I64-DateToday+15))/(INDEX($T$5:$T$8,$AW64+1)-INDEX($T$5:$T$8,$AW64)))/INDEX(Z$5:Z$8,$AW64+1)^((INDEX($T$5:$T$8,$AW64)-($I64-DateToday+15))/(INDEX($T$5:$T$8,$AW64+1)-INDEX($T$5:$T$8,$AW64))))</f>
        <v>96281473973.501</v>
      </c>
      <c r="BD64" s="535" t="n">
        <f aca="false">IF(OR(DateStart&gt;=I65,DateEnd&lt;I64),0,IF(VolumeOverrideFlag,V64,Volume))</f>
        <v>0</v>
      </c>
      <c r="BE64" s="536" t="n">
        <f aca="false">IF(OR(DateStart2&gt;=I65,DateEnd2&lt;I64),0,IF(VolumeOverrideFlag,V64,VolumeSwaption))</f>
        <v>0</v>
      </c>
      <c r="BF64" s="537" t="n">
        <f aca="false">YEAR(I64)</f>
        <v>2004</v>
      </c>
      <c r="BG64" s="538" t="n">
        <f aca="false">MONTH(I64)</f>
        <v>5</v>
      </c>
      <c r="BH64" s="539" t="n">
        <f aca="false">AD64-DateToday+1</f>
        <v>-7832</v>
      </c>
      <c r="BI64" s="540" t="n">
        <f aca="false">(I64-DateToday+1)/365.25</f>
        <v>-21.4017796030116</v>
      </c>
      <c r="BJ64" s="541" t="n">
        <f aca="false">BI64+(BL64-BI64)*CHOOSE(Underlying,AJ64/AI64,AM64/AL64)</f>
        <v>-21.347022587269</v>
      </c>
      <c r="BK64" s="541" t="n">
        <f aca="false">BJ64+1/365.25</f>
        <v>-21.3442847364819</v>
      </c>
      <c r="BL64" s="541" t="n">
        <f aca="false">(I65-DateToday)/365.25</f>
        <v>-21.3196440793977</v>
      </c>
      <c r="BM64" s="542" t="e">
        <f aca="false">MAX(BI64-(BJ64-BI64)*(S65^2/O65^2-1),0)</f>
        <v>#DIV/0!</v>
      </c>
      <c r="BN64" s="541" t="e">
        <f aca="false">MAX(BL64+(BL64-BK64)*(S66^2/O66^2-1),0)</f>
        <v>#DIV/0!</v>
      </c>
      <c r="BO64" s="530" t="n">
        <f aca="false">CHOOSE(Underlying,AI64,AL64)</f>
        <v>21</v>
      </c>
      <c r="BP64" s="529" t="n">
        <f aca="false">CHOOSE(Underlying,AJ64,AM64)</f>
        <v>14</v>
      </c>
      <c r="BQ64" s="529" t="n">
        <f aca="false">CHOOSE(Underlying,AK64,AN64)</f>
        <v>7</v>
      </c>
      <c r="BR64" s="463" t="str">
        <f aca="false">IF(BD64,IF(Underlying=1,X64,Z64)+UnderlyingPriceAsian-SwapPriceCurve,"")</f>
        <v/>
      </c>
      <c r="BS64" s="463" t="str">
        <f aca="false">IF(BD64,Strike1/BR64-1,"")</f>
        <v/>
      </c>
      <c r="BT64" s="464" t="str">
        <f aca="false">IF(BD64,Strike2/BR64-1,"")</f>
        <v/>
      </c>
      <c r="BU64" s="465" t="str">
        <f aca="false">IF(BD64,IF(Underlying=1,L65,R65)+UnderlyingPriceAsian-SwapPriceCurve,"")</f>
        <v/>
      </c>
      <c r="BV64" s="465" t="str">
        <f aca="false">IF(BD64,IF(Underlying=1,L66,R66)+UnderlyingPriceAsian-SwapPriceCurve,"")</f>
        <v/>
      </c>
      <c r="BW64" s="466" t="str">
        <f aca="false">IF(BD64,IF(Underlying=1,O65,AT65),"")</f>
        <v/>
      </c>
      <c r="BX64" s="467" t="str">
        <f aca="false">IF(BD64,IF(Underlying=1,O66,AT66),"")</f>
        <v/>
      </c>
      <c r="BY64" s="466" t="str">
        <f aca="false">IF(BD64,IF(BS64&gt;0,IF(BS64&gt;0.2,BC64-BB64,IF(BS64&gt;0.1,BB64-BA64,BA64)),IF(BS64&lt;-0.2,AX64-AY64,IF(BS64&lt;-0.1,AY64-AZ64,AZ64))),"")</f>
        <v/>
      </c>
      <c r="BZ64" s="467" t="str">
        <f aca="false">IF(BD64,IF(BT64&gt;0,IF(BT64&gt;0.2,BC64-BB64,IF(BT64&gt;0.1,BB64-BA64,BA64)),IF(BT64&lt;-0.2,AX64-AY64,IF(BT64&lt;-0.1,AY64-AZ64,AZ64))),"")</f>
        <v/>
      </c>
      <c r="CA64" s="468" t="str">
        <f aca="false">IF($BD64,$BW64+IF(VolSkewFlag=1,IF(BS64&gt;0,$BA64*MIN(BS64/10%,1)+($BB64-$BA64)*MAX(0,MIN(BS64/10%-1,1))+($BC64-$BB64)*MAX(0,BS64/10%-2),$AZ64*MIN(-BS64/10%,1)+($AY64-$AZ64)*MAX(0,MIN(-BS64/10%-1,1))+($AX64-$AY64)*MAX(0,-BS64/10%-2)),0),"")</f>
        <v/>
      </c>
      <c r="CB64" s="468" t="str">
        <f aca="false">IF($BD64,$BX64+IF(VolSkewFlag=1,IF(BS64&gt;0,$BA64*MIN(BS64/10%,1)+($BB64-$BA64)*MAX(0,MIN(BS64/10%-1,1))+($BC64-$BB64)*MAX(0,BS64/10%-2),$AZ64*MIN(-BS64/10%,1)+($AY64-$AZ64)*MAX(0,MIN(-BS64/10%-1,1))+($AX64-$AY64)*MAX(0,-BS64/10%-2)),0),"")</f>
        <v/>
      </c>
      <c r="CC64" s="468" t="str">
        <f aca="false">IF($BD64,$BW64+IF(VolSkewFlag=1,IF(BT64&gt;0,$BA64*MIN(BT64/10%,1)+($BB64-$BA64)*MAX(0,MIN(BT64/10%-1,1))+($BC64-$BB64)*MAX(0,BT64/10%-2),$AZ64*MIN(-BT64/10%,1)+($AY64-$AZ64)*MAX(0,MIN(-BT64/10%-1,1))+($AX64-$AY64)*MAX(0,-BT64/10%-2)),0),"")</f>
        <v/>
      </c>
      <c r="CD64" s="468" t="str">
        <f aca="false">IF($BD64,$BX64+IF(VolSkewFlag=1,IF(BT64&gt;0,$BA64*MIN(BT64/10%,1)+($BB64-$BA64)*MAX(0,MIN(BT64/10%-1,1))+($BC64-$BB64)*MAX(0,BT64/10%-2),$AZ64*MIN(-BT64/10%,1)+($AY64-$AZ64)*MAX(0,MIN(-BT64/10%-1,1))+($AX64-$AY64)*MAX(0,-BT64/10%-2)),0),"")</f>
        <v/>
      </c>
      <c r="CE64" s="469" t="n">
        <v>1</v>
      </c>
      <c r="CF64" s="470" t="n">
        <f aca="false">IF(BD64,xCrudeAPO(BU64,BV64,CA64,CB64,S65,S66,BI64,BL64,BP64,BQ64,0,Strike1,AO64,CE64,0,BL64,IF(OptControl=4,0,1),0,1),0)</f>
        <v>0</v>
      </c>
      <c r="CG64" s="470" t="n">
        <f aca="false">IF(BD64,xCrudeAPO(BU64,BV64,CA64,CB64,S65,S66,BI64,BL64,BP64,BQ64,0,Strike1,AO64,CE64,0,BL64,IF(OptControl=4,0,1),1,1)+xCrudeAPO(BU64,BV64,CA64,CB64,S65,S66,BI64,BL64,BP64,BQ64,0,Strike1,AO64,CE64,0,BL64,IF(OptControl=4,0,1),1,2)+IF(OR(VolSkewFlag=2,ABS(BS64)&lt;0.0001),0,IF(BS64&gt;0,-1,1)*CH64*Strike1/BR64^2*BY64/10%),0)</f>
        <v>0</v>
      </c>
      <c r="CH64" s="470" t="n">
        <f aca="false">IF(BD64,(xCrudeAPO(BU64,BV64,CA64,CB64,S65,S66,BI64,BL64,BP64,BQ64,0,Strike1,AO64,CE64,0,BL64,IF(OptControl=4,0,1),3,1)+xCrudeAPO(BU64,BV64,CA64,CB64,S65,S66,BI64,BL64,BP64,BQ64,0,Strike1,AO64,CE64,0,BL64,IF(OptControl=4,0,1),3,2))/100,0)</f>
        <v>0</v>
      </c>
      <c r="CI64" s="470" t="n">
        <f aca="false">IF(BD64,xCrudeAPO(BU64,BV64,CA64,CB64,S65,S66,BI64-DaysForThetaCalculation/365.25,BL64-DaysForThetaCalculation/365.25,BP64,BQ64,0,Strike1,AO64,CE64,0,BL64,IF(OptControl=4,0,1),0,1)-xCrudeAPO(BU64,BV64,CA64,CB64,S65,S66,BI64,BL64,BP64,BQ64,0,Strike1,AO64,CE64,0,BL64,IF(OptControl=4,0,1),0,1),0)</f>
        <v>0</v>
      </c>
      <c r="CJ64" s="471" t="n">
        <f aca="false">IF(BD64,xCrudeAPO(BU64,BV64,CC64,CD64,S65,S66,BI64,BL64,BP64,BQ64,0,Strike2,AO64,CE64,0,BL64,IF(OptControl=3,1,0),0,1),0)</f>
        <v>0</v>
      </c>
      <c r="CK64" s="470" t="n">
        <f aca="false">IF(BD64,xCrudeAPO(BU64,BV64,CC64,CD64,S65,S66,BI64,BL64,BP64,BQ64,0,Strike2,AO64,CE64,0,BL64,IF(OptControl=3,1,0),1,1)+xCrudeAPO(BU64,BV64,CC64,CD64,S65,S66,BI64,BL64,BP64,BQ64,0,Strike2,AO64,CE64,0,BL64,IF(OptControl=3,1,0),1,2)+IF(OR(VolSkewFlag=2,ABS(BT64)&lt;0.0001),0,IF(BT64&gt;0,-1,1)*CL64*Strike2/BR64^2*BZ64/10%),0)</f>
        <v>0</v>
      </c>
      <c r="CL64" s="470" t="n">
        <f aca="false">IF(BD64,(xCrudeAPO(BU64,BV64,CC64,CD64,S65,S66,BI64,BL64,BP64,BQ64,0,Strike2,AO64,CE64,0,BL64,IF(OptControl=3,1,0),3,1)+xCrudeAPO(BU64,BV64,CC64,CD64,S65,S66,BI64,BL64,BP64,BQ64,0,Strike2,AO64,CE64,0,BL64,IF(OptControl=3,1,0),3,2))/100,0)</f>
        <v>0</v>
      </c>
      <c r="CM64" s="472" t="n">
        <f aca="false">IF(BD64,xCrudeAPO(BU64,BV64,CC64,CD64,S65,S66,BI64-DaysForThetaCalculation/365.25,BL64-DaysForThetaCalculation/365.25,BP64,BQ64,0,Strike2,AO64,CE64,0,BL64,IF(OptControl=3,1,0),0,1)-xCrudeAPO(BU64,BV64,CC64,CD64,S65,S66,BI64,BL64,BP64,BQ64,0,Strike2,AO64,CE64,0,BL64,IF(OptControl=3,1,0),0,1),0)</f>
        <v>0</v>
      </c>
      <c r="CN64" s="3"/>
      <c r="CO64" s="543" t="str">
        <f aca="false">IF(BD64,CHOOSE(Underlying,AD64,AF64)-DateToday+1,"")</f>
        <v/>
      </c>
      <c r="CP64" s="582" t="str">
        <f aca="false">IF(BD64,CHOOSE(Underlying,L64,R64),"")</f>
        <v/>
      </c>
      <c r="CQ64" s="544" t="str">
        <f aca="false">IF(BD64,Strike1/CP64-1,"")</f>
        <v/>
      </c>
      <c r="CR64" s="544" t="str">
        <f aca="false">IF(BD64,Strike2/CP64-1,"")</f>
        <v/>
      </c>
      <c r="CS64" s="544" t="str">
        <f aca="false">IF(BD64,IF(CQ64&gt;0,IF(CQ64&gt;0.2,BC63-BB63,IF(CQ64&gt;0.1,BB63-BA63,BA63)),IF(CQ64&lt;-0.2,AX63-AY63,IF(CQ64&lt;-0.1,AY63-AZ63,AZ63))),"")</f>
        <v/>
      </c>
      <c r="CT64" s="544" t="str">
        <f aca="false">IF(BD64,IF(CR64&gt;0,IF(CR64&gt;0.2,BC63-BB63,IF(CR64&gt;0.1,BB63-BA63,BA63)),IF(CR64&lt;-0.2,AX63-AY63,IF(CR64&lt;-0.1,AY63-AZ63,AZ63))),"")</f>
        <v/>
      </c>
      <c r="CU64" s="545" t="str">
        <f aca="false">IF(BD64,CHOOSE(Underlying,O64,AT64),"")</f>
        <v/>
      </c>
      <c r="CV64" s="545" t="str">
        <f aca="false">IF(BD64,CU64+IF(VolSkewFlag=1,IF(CQ64&gt;0,BA63*MIN(CQ64/10%,1)+(BB63-BA63)*MAX(0,MIN(CQ64/10%-1,1))+(BC63-BB63)*MAX(0,CQ64/10%-2),AZ63*MIN(-CQ64/10%,1)+(AY63-AZ63)*MAX(0,MIN(-CQ64/10%-1,1))+(AX63-AY63)*MAX(0,-CQ64/10%-2)),0),"")</f>
        <v/>
      </c>
      <c r="CW64" s="545" t="str">
        <f aca="false">IF(BD64,CU64+IF(VolSkewFlag=1,IF(CR64&gt;0,BA63*MIN(CR64/10%,1)+(BB63-BA63)*MAX(0,MIN(CR64/10%-1,1))+(BC63-BB63)*MAX(0,CR64/10%-2),AZ63*MIN(-CR64/10%,1)+(AY63-AZ63)*MAX(0,MIN(-CR64/10%-1,1))+(AX63-AY63)*MAX(0,-CR64/10%-2)),0),"")</f>
        <v/>
      </c>
      <c r="CX64" s="470" t="n">
        <f aca="false">IF(BD64,EURO(CP64,Strike1,AO64,AO64,CV64,CO64,IF(OptControl=4,0,1),0),0)</f>
        <v>0</v>
      </c>
      <c r="CY64" s="470" t="n">
        <f aca="false">IF(BD64,EURO(CP64,Strike1,AO64,AO64,CV64,CO64,IF(OptControl=4,0,1),1)+IF(OR(VolSkewFlag=2,ABS(CQ64)&lt;0.0001),0,IF(CQ64&gt;0,-1,1)*CZ64*100*Strike1/CP64^2*CS64/10%),0)</f>
        <v>0</v>
      </c>
      <c r="CZ64" s="470" t="n">
        <f aca="false">IF(BD64,EURO(CP64,Strike1,AO64,AO64,CV64,CO64,IF(OptControl=4,0,1),3)/100,0)</f>
        <v>0</v>
      </c>
      <c r="DA64" s="470" t="n">
        <f aca="false">IF(BD64,EURO(CP64,Strike1,AO64,AO64,CV64,CO64,IF(OptControl=4,0,1),0)-EURO(CP64,Strike1,AO64,AO64,CV64,CO64-1,IF(OptControl=4,0,1),0),0)</f>
        <v>0</v>
      </c>
      <c r="DB64" s="470" t="n">
        <f aca="false">IF(BD64,EURO(CP64,Strike2,AO64,AO64,CW64,CO64,IF(OptControl=3,1,0),0),0)</f>
        <v>0</v>
      </c>
      <c r="DC64" s="470" t="n">
        <f aca="false">IF(BD64,EURO(CP64,Strike2,AO64,AO64,CW64,CO64,IF(OptControl=3,1,0),1)+IF(OR(VolSkewFlag=2,ABS(CR64)&lt;0.0001),0,IF(CR64&gt;0,-1,1)*DD64*100*Strike2/CP64^2*CT64/10%),0)</f>
        <v>0</v>
      </c>
      <c r="DD64" s="470" t="n">
        <f aca="false">IF(BD64,EURO(CP64,Strike2,AO64,AO64,CW64,CO64,IF(OptControl=3,1,0),3)/100,0)</f>
        <v>0</v>
      </c>
      <c r="DE64" s="472" t="n">
        <f aca="false">IF(BD64,EURO(CP64,Strike2,AO64,AO64,CW64,CO64,IF(OptControl=3,1,0),0)-EURO(CP64,Strike2,AO64,AO64,CW64,CO64-1,IF(OptControl=3,1,0),0),0)</f>
        <v>0</v>
      </c>
      <c r="DG64" s="481" t="n">
        <f aca="false">EOMONTH(DG63,0)+1</f>
        <v>47027</v>
      </c>
      <c r="DH64" s="478" t="n">
        <v>18.52</v>
      </c>
      <c r="DI64" s="479" t="n">
        <v>18.4504347826087</v>
      </c>
      <c r="DJ64" s="480" t="n">
        <f aca="false">DG64</f>
        <v>47027</v>
      </c>
      <c r="DK64" s="478" t="n">
        <v>17.3227954252006</v>
      </c>
      <c r="DL64" s="479" t="n">
        <v>17.3543347826087</v>
      </c>
      <c r="DM64" s="481" t="n">
        <f aca="false">DG64</f>
        <v>47027</v>
      </c>
      <c r="DN64" s="482" t="n">
        <f aca="false">DK64+BrentPhyBrentSpread</f>
        <v>17.3727954252006</v>
      </c>
      <c r="DO64" s="481" t="n">
        <f aca="false">DG64</f>
        <v>47027</v>
      </c>
      <c r="DP64" s="483" t="n">
        <f aca="false">DL64+DQ64</f>
        <v>17.3543347826087</v>
      </c>
      <c r="DQ64" s="546" t="n">
        <v>0</v>
      </c>
      <c r="DR64" s="480" t="n">
        <f aca="false">DG64</f>
        <v>47027</v>
      </c>
      <c r="DS64" s="485" t="n">
        <v>0.205363165483062</v>
      </c>
      <c r="DT64" s="486" t="n">
        <v>0.204493776387895</v>
      </c>
      <c r="DU64" s="480" t="n">
        <f aca="false">DG64</f>
        <v>47027</v>
      </c>
      <c r="DV64" s="485" t="n">
        <v>0.205363165483062</v>
      </c>
      <c r="DW64" s="486" t="n">
        <v>0.204493776387895</v>
      </c>
      <c r="DX64" s="481" t="n">
        <f aca="false">DG64</f>
        <v>47027</v>
      </c>
      <c r="DY64" s="486" t="n">
        <v>0.350000000000009</v>
      </c>
      <c r="DZ64" s="481" t="n">
        <f aca="false">DR64</f>
        <v>47027</v>
      </c>
      <c r="EA64" s="486" t="n">
        <f aca="false">DT64</f>
        <v>0.204493776387895</v>
      </c>
      <c r="EB64" s="195"/>
      <c r="EC64" s="547" t="str">
        <f aca="false">IF(BD64,IF(Underlying=1,AS64,AU64),"")</f>
        <v/>
      </c>
      <c r="ED64" s="548" t="str">
        <f aca="false">IF($BD64,$EC64+IF(VolSkewFlag=1,IF(BS64&gt;0,$BA64*MIN(BS64/10%,1)+($BB64-$BA64)*MAX(0,MIN(BS64/10%-1,1))+($BC64-$BB64)*MAX(0,BS64/10%-2),$AZ64*MIN(-BS64/10%,1)+($AY64-$AZ64)*MAX(0,MIN(-BS64/10%-1,1))+($AX64-$AY64)*MAX(0,-BS64/10%-2)),0),"")</f>
        <v/>
      </c>
      <c r="EE64" s="549" t="str">
        <f aca="false">IF($BD64,$EC64+IF(VolSkewFlag=1,IF(BT64&gt;0,$BA64*MIN(BT64/10%,1)+($BB64-$BA64)*MAX(0,MIN(BT64/10%-1,1))+($BC64-$BB64)*MAX(0,BT64/10%-2),$AZ64*MIN(-BT64/10%,1)+($AY64-$AZ64)*MAX(0,MIN(-BT64/10%-1,1))+($AX64-$AY64)*MAX(0,-BT64/10%-2)),0),"")</f>
        <v/>
      </c>
      <c r="EF64" s="550" t="n">
        <f aca="false">IF(BD64,xASN(BR64,Strike1,AO64,ED64,0,BO64,0,BI64,BL64,IF(OptControl=4,0,1),0),0)</f>
        <v>0</v>
      </c>
      <c r="EG64" s="551" t="n">
        <f aca="false">IF(BD64,xASN(BR64,Strike2,AO64,EE64,0,BO64,0,BI64,BL64,IF(OptControl=3,1,0),0),0)</f>
        <v>0</v>
      </c>
      <c r="EL64" s="1"/>
      <c r="EM64" s="195"/>
      <c r="EN64" s="556" t="n">
        <v>41094</v>
      </c>
      <c r="EO64" s="557" t="n">
        <v>44562</v>
      </c>
      <c r="EP64" s="195"/>
      <c r="EQ64" s="407" t="s">
        <v>290</v>
      </c>
      <c r="ES64" s="587" t="n">
        <v>45</v>
      </c>
      <c r="ET64" s="559" t="n">
        <f aca="false">BH64/365.25</f>
        <v>-21.4428473648186</v>
      </c>
      <c r="EU64" s="560" t="n">
        <f aca="false">O64^2*ET64</f>
        <v>-0</v>
      </c>
      <c r="EV64" s="588" t="e">
        <f aca="false">SQRT(SUM(FK64:ID64)/ET64)</f>
        <v>#VALUE!</v>
      </c>
      <c r="EW64" s="589" t="str">
        <f aca="false">IF(OR(DateStart2&gt;I63,DateEnd2&lt;I62),"",IF(DateStart2&lt;I63,AK62/AI62*AP62*BE62*SwaptionNumOfMonths/$D$33,0)+IF(DateEnd2&gt;I62,AJ63/AI63*AP63*BE63*SwaptionNumOfMonths/$D$33,0))</f>
        <v/>
      </c>
      <c r="EX64" s="590" t="str">
        <f aca="false">IF(EW64="","",SQRT(SUM(FK369:ID369)/SwaptionYearsToExp))</f>
        <v/>
      </c>
      <c r="EY64" s="129" t="n">
        <v>0</v>
      </c>
      <c r="EZ64" s="591" t="str">
        <f aca="false">IF(OR(EW64="",EW65=""),"",SQRT(SUM(INDEX(FK64:ID64,SwaptionFirstMonthPosition+1):INDEX(FK64:ID64,FJ64))/SUM(INDEX($FK$15:$ID$15,SwaptionFirstMonthPosition+1):INDEX($FK$15:$ID$15,FJ64))))</f>
        <v/>
      </c>
      <c r="FA64" s="592" t="str">
        <f aca="false">IF(OR(EW64="",EW63=""),"",SQRT(SUM(INDEX(FK64:ID64,SwaptionFirstMonthPosition+1):INDEX(FK64:ID64,FJ64-1))/SUM(INDEX($FK$15:$ID$15,SwaptionFirstMonthPosition+1):INDEX($FK$15:$ID$15,FJ64-1))))</f>
        <v/>
      </c>
      <c r="FB64" s="593" t="str">
        <f aca="false">IF(BE64,2/3*EZ65+1/3*FA66,"")</f>
        <v/>
      </c>
      <c r="FC64" s="596" t="str">
        <f aca="false">IF(BE64,(I65+I64-1)/2-DateToday,"")</f>
        <v/>
      </c>
      <c r="FD64" s="483" t="str">
        <f aca="false">IF(BE64,CHOOSE(Underlying,X64,Z64)+SwaptionUnderlyingPrice-$D$26,"")</f>
        <v/>
      </c>
      <c r="FE64" s="483" t="str">
        <f aca="false">IF(BE64,CollartionFloor/FD64-1,"")</f>
        <v/>
      </c>
      <c r="FF64" s="483" t="str">
        <f aca="false">IF(BE64,CollartionCap/FD64-1,"")</f>
        <v/>
      </c>
      <c r="FG64" s="485" t="str">
        <f aca="false">IF(BE64,IF(VolSkewFlag=1,IF(FE64&gt;0,$BA64*MIN(FE64/10%,1)+($BB64-$BA64)*MAX(0,MIN(FE64/10%-1,1))+($BC64-$BB64)*MAX(0,FE64/10%-2),$AZ64*MIN(-FE64/10%,1)+($AY64-$AZ64)*MAX(0,MIN(-FE64/10%-1,1))+($AX64-$AY64)*MAX(0,-FE64/10%-2)),0),"")</f>
        <v/>
      </c>
      <c r="FH64" s="486" t="str">
        <f aca="false">IF(BE64,IF(VolSkewFlag=1,IF(FF64&gt;0,$BA64*MIN(FF64/10%,1)+($BB64-$BA64)*MAX(0,MIN(FF64/10%-1,1))+($BC64-$BB64)*MAX(0,FF64/10%-2),$AZ64*MIN(-FF64/10%,1)+($AY64-$AZ64)*MAX(0,MIN(-FF64/10%-1,1))+($AX64-$AY64)*MAX(0,-FF64/10%-2)),0),"")</f>
        <v/>
      </c>
      <c r="FI64" s="129"/>
      <c r="FJ64" s="571" t="n">
        <v>45</v>
      </c>
      <c r="FK64" s="150" t="n">
        <f aca="false">IF(FK$19&gt;$FJ64,"",MAX(0,IF(FK$19=$FJ64,$S64^2*FK$15,FK63*INDEX($T$20:$T$91,$FJ64-FK$19)^2/INDEX($U$20:$U$91,$FJ64-FK$19))))</f>
        <v>0</v>
      </c>
      <c r="FL64" s="150" t="n">
        <f aca="false">IF(FL$19&gt;$FJ64,"",MAX(0,IF(FL$19=$FJ64,$S64^2*FL$15,FL63*INDEX($T$20:$T$91,$FJ64-FL$19)^2/INDEX($U$20:$U$91,$FJ64-FL$19))))</f>
        <v>0</v>
      </c>
      <c r="FM64" s="150" t="n">
        <f aca="false">IF(FM$19&gt;$FJ64,"",MAX(0,IF(FM$19=$FJ64,$S64^2*FM$15,FM63*INDEX($T$20:$T$91,$FJ64-FM$19)^2/INDEX($U$20:$U$91,$FJ64-FM$19))))</f>
        <v>0.00255224844821159</v>
      </c>
      <c r="FN64" s="150" t="n">
        <f aca="false">IF(FN$19&gt;$FJ64,"",MAX(0,IF(FN$19=$FJ64,$S64^2*FN$15,FN63*INDEX($T$20:$T$91,$FJ64-FN$19)^2/INDEX($U$20:$U$91,$FJ64-FN$19))))</f>
        <v>0.0021489343728736</v>
      </c>
      <c r="FO64" s="150" t="n">
        <f aca="false">IF(FO$19&gt;$FJ64,"",MAX(0,IF(FO$19=$FJ64,$S64^2*FO$15,FO63*INDEX($T$20:$T$91,$FJ64-FO$19)^2/INDEX($U$20:$U$91,$FJ64-FO$19))))</f>
        <v>0.00223616335243559</v>
      </c>
      <c r="FP64" s="150" t="n">
        <f aca="false">IF(FP$19&gt;$FJ64,"",MAX(0,IF(FP$19=$FJ64,$S64^2*FP$15,FP63*INDEX($T$20:$T$91,$FJ64-FP$19)^2/INDEX($U$20:$U$91,$FJ64-FP$19))))</f>
        <v>0.00247913491858786</v>
      </c>
      <c r="FQ64" s="150" t="n">
        <f aca="false">IF(FQ$19&gt;$FJ64,"",MAX(0,IF(FQ$19=$FJ64,$S64^2*FQ$15,FQ63*INDEX($T$20:$T$91,$FJ64-FQ$19)^2/INDEX($U$20:$U$91,$FJ64-FQ$19))))</f>
        <v>0.00200829068220357</v>
      </c>
      <c r="FR64" s="150" t="n">
        <f aca="false">IF(FR$19&gt;$FJ64,"",MAX(0,IF(FR$19=$FJ64,$S64^2*FR$15,FR63*INDEX($T$20:$T$91,$FJ64-FR$19)^2/INDEX($U$20:$U$91,$FJ64-FR$19))))</f>
        <v>0.00205478644788273</v>
      </c>
      <c r="FS64" s="150" t="n">
        <f aca="false">IF(FS$19&gt;$FJ64,"",MAX(0,IF(FS$19=$FJ64,$S64^2*FS$15,FS63*INDEX($T$20:$T$91,$FJ64-FS$19)^2/INDEX($U$20:$U$91,$FJ64-FS$19))))</f>
        <v>0.0023174396634049</v>
      </c>
      <c r="FT64" s="150" t="n">
        <f aca="false">IF(FT$19&gt;$FJ64,"",MAX(0,IF(FT$19=$FJ64,$S64^2*FT$15,FT63*INDEX($T$20:$T$91,$FJ64-FT$19)^2/INDEX($U$20:$U$91,$FJ64-FT$19))))</f>
        <v>0.00209335163018909</v>
      </c>
      <c r="FU64" s="150" t="n">
        <f aca="false">IF(FU$19&gt;$FJ64,"",MAX(0,IF(FU$19=$FJ64,$S64^2*FU$15,FU63*INDEX($T$20:$T$91,$FJ64-FU$19)^2/INDEX($U$20:$U$91,$FJ64-FU$19))))</f>
        <v>0.00201465832772814</v>
      </c>
      <c r="FV64" s="150" t="n">
        <f aca="false">IF(FV$19&gt;$FJ64,"",MAX(0,IF(FV$19=$FJ64,$S64^2*FV$15,FV63*INDEX($T$20:$T$91,$FJ64-FV$19)^2/INDEX($U$20:$U$91,$FJ64-FV$19))))</f>
        <v>0.00221671634156596</v>
      </c>
      <c r="FW64" s="150" t="n">
        <f aca="false">IF(FW$19&gt;$FJ64,"",MAX(0,IF(FW$19=$FJ64,$S64^2*FW$15,FW63*INDEX($T$20:$T$91,$FJ64-FW$19)^2/INDEX($U$20:$U$91,$FJ64-FW$19))))</f>
        <v>0.00207481576371235</v>
      </c>
      <c r="FX64" s="150" t="n">
        <f aca="false">IF(FX$19&gt;$FJ64,"",MAX(0,IF(FX$19=$FJ64,$S64^2*FX$15,FX63*INDEX($T$20:$T$91,$FJ64-FX$19)^2/INDEX($U$20:$U$91,$FJ64-FX$19))))</f>
        <v>0.00221183681808723</v>
      </c>
      <c r="FY64" s="150" t="n">
        <f aca="false">IF(FY$19&gt;$FJ64,"",MAX(0,IF(FY$19=$FJ64,$S64^2*FY$15,FY63*INDEX($T$20:$T$91,$FJ64-FY$19)^2/INDEX($U$20:$U$91,$FJ64-FY$19))))</f>
        <v>0.00207420216171737</v>
      </c>
      <c r="FZ64" s="150" t="n">
        <f aca="false">IF(FZ$19&gt;$FJ64,"",MAX(0,IF(FZ$19=$FJ64,$S64^2*FZ$15,FZ63*INDEX($T$20:$T$91,$FJ64-FZ$19)^2/INDEX($U$20:$U$91,$FJ64-FZ$19))))</f>
        <v>0.00193800775713508</v>
      </c>
      <c r="GA64" s="150" t="n">
        <f aca="false">IF(GA$19&gt;$FJ64,"",MAX(0,IF(GA$19=$FJ64,$S64^2*GA$15,GA63*INDEX($T$20:$T$91,$FJ64-GA$19)^2/INDEX($U$20:$U$91,$FJ64-GA$19))))</f>
        <v>0.00208020268088127</v>
      </c>
      <c r="GB64" s="150" t="n">
        <f aca="false">IF(GB$19&gt;$FJ64,"",MAX(0,IF(GB$19=$FJ64,$S64^2*GB$15,GB63*INDEX($T$20:$T$91,$FJ64-GB$19)^2/INDEX($U$20:$U$91,$FJ64-GB$19))))</f>
        <v>0.00229402939171002</v>
      </c>
      <c r="GC64" s="150" t="n">
        <f aca="false">IF(GC$19&gt;$FJ64,"",MAX(0,IF(GC$19=$FJ64,$S64^2*GC$15,GC63*INDEX($T$20:$T$91,$FJ64-GC$19)^2/INDEX($U$20:$U$91,$FJ64-GC$19))))</f>
        <v>0.00202258057270812</v>
      </c>
      <c r="GD64" s="150" t="n">
        <f aca="false">IF(GD$19&gt;$FJ64,"",MAX(0,IF(GD$19=$FJ64,$S64^2*GD$15,GD63*INDEX($T$20:$T$91,$FJ64-GD$19)^2/INDEX($U$20:$U$91,$FJ64-GD$19))))</f>
        <v>0.00203082207687867</v>
      </c>
      <c r="GE64" s="150" t="n">
        <f aca="false">IF(GE$19&gt;$FJ64,"",MAX(0,IF(GE$19=$FJ64,$S64^2*GE$15,GE63*INDEX($T$20:$T$91,$FJ64-GE$19)^2/INDEX($U$20:$U$91,$FJ64-GE$19))))</f>
        <v>0.00232236380015984</v>
      </c>
      <c r="GF64" s="150" t="n">
        <f aca="false">IF(GF$19&gt;$FJ64,"",MAX(0,IF(GF$19=$FJ64,$S64^2*GF$15,GF63*INDEX($T$20:$T$91,$FJ64-GF$19)^2/INDEX($U$20:$U$91,$FJ64-GF$19))))</f>
        <v>0.00205294966345549</v>
      </c>
      <c r="GG64" s="150" t="n">
        <f aca="false">IF(GG$19&gt;$FJ64,"",MAX(0,IF(GG$19=$FJ64,$S64^2*GG$15,GG63*INDEX($T$20:$T$91,$FJ64-GG$19)^2/INDEX($U$20:$U$91,$FJ64-GG$19))))</f>
        <v>0.00228125328640708</v>
      </c>
      <c r="GH64" s="150" t="n">
        <f aca="false">IF(GH$19&gt;$FJ64,"",MAX(0,IF(GH$19=$FJ64,$S64^2*GH$15,GH63*INDEX($T$20:$T$91,$FJ64-GH$19)^2/INDEX($U$20:$U$91,$FJ64-GH$19))))</f>
        <v>0.00215644522969083</v>
      </c>
      <c r="GI64" s="150" t="n">
        <f aca="false">IF(GI$19&gt;$FJ64,"",MAX(0,IF(GI$19=$FJ64,$S64^2*GI$15,GI63*INDEX($T$20:$T$91,$FJ64-GI$19)^2/INDEX($U$20:$U$91,$FJ64-GI$19))))</f>
        <v>0.00210496751799612</v>
      </c>
      <c r="GJ64" s="150" t="n">
        <f aca="false">IF(GJ$19&gt;$FJ64,"",MAX(0,IF(GJ$19=$FJ64,$S64^2*GJ$15,GJ63*INDEX($T$20:$T$91,$FJ64-GJ$19)^2/INDEX($U$20:$U$91,$FJ64-GJ$19))))</f>
        <v>0.00242287613676771</v>
      </c>
      <c r="GK64" s="150" t="n">
        <f aca="false">IF(GK$19&gt;$FJ64,"",MAX(0,IF(GK$19=$FJ64,$S64^2*GK$15,GK63*INDEX($T$20:$T$91,$FJ64-GK$19)^2/INDEX($U$20:$U$91,$FJ64-GK$19))))</f>
        <v>0.00223239236243457</v>
      </c>
      <c r="GL64" s="150" t="n">
        <f aca="false">IF(GL$19&gt;$FJ64,"",MAX(0,IF(GL$19=$FJ64,$S64^2*GL$15,GL63*INDEX($T$20:$T$91,$FJ64-GL$19)^2/INDEX($U$20:$U$91,$FJ64-GL$19))))</f>
        <v>0.00219223122952197</v>
      </c>
      <c r="GM64" s="150" t="n">
        <f aca="false">IF(GM$19&gt;$FJ64,"",MAX(0,IF(GM$19=$FJ64,$S64^2*GM$15,GM63*INDEX($T$20:$T$91,$FJ64-GM$19)^2/INDEX($U$20:$U$91,$FJ64-GM$19))))</f>
        <v>0.00238708246456697</v>
      </c>
      <c r="GN64" s="150" t="n">
        <f aca="false">IF(GN$19&gt;$FJ64,"",MAX(0,IF(GN$19=$FJ64,$S64^2*GN$15,GN63*INDEX($T$20:$T$91,$FJ64-GN$19)^2/INDEX($U$20:$U$91,$FJ64-GN$19))))</f>
        <v>0.00243929892030106</v>
      </c>
      <c r="GO64" s="150" t="n">
        <f aca="false">IF(GO$19&gt;$FJ64,"",MAX(0,IF(GO$19=$FJ64,$S64^2*GO$15,GO63*INDEX($T$20:$T$91,$FJ64-GO$19)^2/INDEX($U$20:$U$91,$FJ64-GO$19))))</f>
        <v>0.00250196404162178</v>
      </c>
      <c r="GP64" s="150" t="n">
        <f aca="false">IF(GP$19&gt;$FJ64,"",MAX(0,IF(GP$19=$FJ64,$S64^2*GP$15,GP63*INDEX($T$20:$T$91,$FJ64-GP$19)^2/INDEX($U$20:$U$91,$FJ64-GP$19))))</f>
        <v>0.00232805341822104</v>
      </c>
      <c r="GQ64" s="150" t="n">
        <f aca="false">IF(GQ$19&gt;$FJ64,"",MAX(0,IF(GQ$19=$FJ64,$S64^2*GQ$15,GQ63*INDEX($T$20:$T$91,$FJ64-GQ$19)^2/INDEX($U$20:$U$91,$FJ64-GQ$19))))</f>
        <v>0.00266896911649584</v>
      </c>
      <c r="GR64" s="150" t="n">
        <f aca="false">IF(GR$19&gt;$FJ64,"",MAX(0,IF(GR$19=$FJ64,$S64^2*GR$15,GR63*INDEX($T$20:$T$91,$FJ64-GR$19)^2/INDEX($U$20:$U$91,$FJ64-GR$19))))</f>
        <v>0.00269075337025792</v>
      </c>
      <c r="GS64" s="150" t="n">
        <f aca="false">IF(GS$19&gt;$FJ64,"",MAX(0,IF(GS$19=$FJ64,$S64^2*GS$15,GS63*INDEX($T$20:$T$91,$FJ64-GS$19)^2/INDEX($U$20:$U$91,$FJ64-GS$19))))</f>
        <v>0.00291725043502983</v>
      </c>
      <c r="GT64" s="150" t="n">
        <f aca="false">IF(GT$19&gt;$FJ64,"",MAX(0,IF(GT$19=$FJ64,$S64^2*GT$15,GT63*INDEX($T$20:$T$91,$FJ64-GT$19)^2/INDEX($U$20:$U$91,$FJ64-GT$19))))</f>
        <v>0.00298698325573405</v>
      </c>
      <c r="GU64" s="150" t="n">
        <f aca="false">IF(GU$19&gt;$FJ64,"",MAX(0,IF(GU$19=$FJ64,$S64^2*GU$15,GU63*INDEX($T$20:$T$91,$FJ64-GU$19)^2/INDEX($U$20:$U$91,$FJ64-GU$19))))</f>
        <v>0.0032981394517747</v>
      </c>
      <c r="GV64" s="150" t="n">
        <f aca="false">IF(GV$19&gt;$FJ64,"",MAX(0,IF(GV$19=$FJ64,$S64^2*GV$15,GV63*INDEX($T$20:$T$91,$FJ64-GV$19)^2/INDEX($U$20:$U$91,$FJ64-GV$19))))</f>
        <v>0.00356569346969729</v>
      </c>
      <c r="GW64" s="150" t="n">
        <f aca="false">IF(GW$19&gt;$FJ64,"",MAX(0,IF(GW$19=$FJ64,$S64^2*GW$15,GW63*INDEX($T$20:$T$91,$FJ64-GW$19)^2/INDEX($U$20:$U$91,$FJ64-GW$19))))</f>
        <v>0.00378264301715593</v>
      </c>
      <c r="GX64" s="150" t="n">
        <f aca="false">IF(GX$19&gt;$FJ64,"",MAX(0,IF(GX$19=$FJ64,$S64^2*GX$15,GX63*INDEX($T$20:$T$91,$FJ64-GX$19)^2/INDEX($U$20:$U$91,$FJ64-GX$19))))</f>
        <v>0.0043558416510815</v>
      </c>
      <c r="GY64" s="150" t="n">
        <f aca="false">IF(GY$19&gt;$FJ64,"",MAX(0,IF(GY$19=$FJ64,$S64^2*GY$15,GY63*INDEX($T$20:$T$91,$FJ64-GY$19)^2/INDEX($U$20:$U$91,$FJ64-GY$19))))</f>
        <v>0.00479044531435401</v>
      </c>
      <c r="GZ64" s="150" t="n">
        <f aca="false">IF(GZ$19&gt;$FJ64,"",MAX(0,IF(GZ$19=$FJ64,$S64^2*GZ$15,GZ63*INDEX($T$20:$T$91,$FJ64-GZ$19)^2/INDEX($U$20:$U$91,$FJ64-GZ$19))))</f>
        <v>0.00575874063673952</v>
      </c>
      <c r="HA64" s="150" t="n">
        <f aca="false">IF(HA$19&gt;$FJ64,"",MAX(0,IF(HA$19=$FJ64,$S64^2*HA$15,HA63*INDEX($T$20:$T$91,$FJ64-HA$19)^2/INDEX($U$20:$U$91,$FJ64-HA$19))))</f>
        <v>0.00689032823142062</v>
      </c>
      <c r="HB64" s="150" t="n">
        <f aca="false">IF(HB$19&gt;$FJ64,"",MAX(0,IF(HB$19=$FJ64,$S64^2*HB$15,HB63*INDEX($T$20:$T$91,$FJ64-HB$19)^2/INDEX($U$20:$U$91,$FJ64-HB$19))))</f>
        <v>0.00797825601675378</v>
      </c>
      <c r="HC64" s="150" t="n">
        <f aca="false">IF(HC$19&gt;$FJ64,"",MAX(0,IF(HC$19=$FJ64,$S64^2*HC$15,HC63*INDEX($T$20:$T$91,$FJ64-HC$19)^2/INDEX($U$20:$U$91,$FJ64-HC$19))))</f>
        <v>0.0109995996928506</v>
      </c>
      <c r="HD64" s="150" t="str">
        <f aca="false">IF(HD$19&gt;$FJ64,"",MAX(0,IF(HD$19=$FJ64,$S64^2*HD$15,HD63*INDEX($T$20:$T$91,$FJ64-HD$19)^2/INDEX($U$20:$U$91,$FJ64-HD$19))))</f>
        <v/>
      </c>
      <c r="HE64" s="150" t="str">
        <f aca="false">IF(HE$19&gt;$FJ64,"",MAX(0,IF(HE$19=$FJ64,$S64^2*HE$15,HE63*INDEX($T$20:$T$91,$FJ64-HE$19)^2/INDEX($U$20:$U$91,$FJ64-HE$19))))</f>
        <v/>
      </c>
      <c r="HF64" s="150" t="str">
        <f aca="false">IF(HF$19&gt;$FJ64,"",MAX(0,IF(HF$19=$FJ64,$S64^2*HF$15,HF63*INDEX($T$20:$T$91,$FJ64-HF$19)^2/INDEX($U$20:$U$91,$FJ64-HF$19))))</f>
        <v/>
      </c>
      <c r="HG64" s="150" t="str">
        <f aca="false">IF(HG$19&gt;$FJ64,"",MAX(0,IF(HG$19=$FJ64,$S64^2*HG$15,HG63*INDEX($T$20:$T$91,$FJ64-HG$19)^2/INDEX($U$20:$U$91,$FJ64-HG$19))))</f>
        <v/>
      </c>
      <c r="HH64" s="150" t="str">
        <f aca="false">IF(HH$19&gt;$FJ64,"",MAX(0,IF(HH$19=$FJ64,$S64^2*HH$15,HH63*INDEX($T$20:$T$91,$FJ64-HH$19)^2/INDEX($U$20:$U$91,$FJ64-HH$19))))</f>
        <v/>
      </c>
      <c r="HI64" s="150" t="str">
        <f aca="false">IF(HI$19&gt;$FJ64,"",MAX(0,IF(HI$19=$FJ64,$S64^2*HI$15,HI63*INDEX($T$20:$T$91,$FJ64-HI$19)^2/INDEX($U$20:$U$91,$FJ64-HI$19))))</f>
        <v/>
      </c>
      <c r="HJ64" s="150" t="str">
        <f aca="false">IF(HJ$19&gt;$FJ64,"",MAX(0,IF(HJ$19=$FJ64,$S64^2*HJ$15,HJ63*INDEX($T$20:$T$91,$FJ64-HJ$19)^2/INDEX($U$20:$U$91,$FJ64-HJ$19))))</f>
        <v/>
      </c>
      <c r="HK64" s="150" t="str">
        <f aca="false">IF(HK$19&gt;$FJ64,"",MAX(0,IF(HK$19=$FJ64,$S64^2*HK$15,HK63*INDEX($T$20:$T$91,$FJ64-HK$19)^2/INDEX($U$20:$U$91,$FJ64-HK$19))))</f>
        <v/>
      </c>
      <c r="HL64" s="150" t="str">
        <f aca="false">IF(HL$19&gt;$FJ64,"",MAX(0,IF(HL$19=$FJ64,$S64^2*HL$15,HL63*INDEX($T$20:$T$91,$FJ64-HL$19)^2/INDEX($U$20:$U$91,$FJ64-HL$19))))</f>
        <v/>
      </c>
      <c r="HM64" s="150" t="str">
        <f aca="false">IF(HM$19&gt;$FJ64,"",MAX(0,IF(HM$19=$FJ64,$S64^2*HM$15,HM63*INDEX($T$20:$T$91,$FJ64-HM$19)^2/INDEX($U$20:$U$91,$FJ64-HM$19))))</f>
        <v/>
      </c>
      <c r="HN64" s="150" t="str">
        <f aca="false">IF(HN$19&gt;$FJ64,"",MAX(0,IF(HN$19=$FJ64,$S64^2*HN$15,HN63*INDEX($T$20:$T$91,$FJ64-HN$19)^2/INDEX($U$20:$U$91,$FJ64-HN$19))))</f>
        <v/>
      </c>
      <c r="HO64" s="150" t="str">
        <f aca="false">IF(HO$19&gt;$FJ64,"",MAX(0,IF(HO$19=$FJ64,$S64^2*HO$15,HO63*INDEX($T$20:$T$91,$FJ64-HO$19)^2/INDEX($U$20:$U$91,$FJ64-HO$19))))</f>
        <v/>
      </c>
      <c r="HP64" s="150" t="str">
        <f aca="false">IF(HP$19&gt;$FJ64,"",MAX(0,IF(HP$19=$FJ64,$S64^2*HP$15,HP63*INDEX($T$20:$T$91,$FJ64-HP$19)^2/INDEX($U$20:$U$91,$FJ64-HP$19))))</f>
        <v/>
      </c>
      <c r="HQ64" s="150" t="str">
        <f aca="false">IF(HQ$19&gt;$FJ64,"",MAX(0,IF(HQ$19=$FJ64,$S64^2*HQ$15,HQ63*INDEX($T$20:$T$91,$FJ64-HQ$19)^2/INDEX($U$20:$U$91,$FJ64-HQ$19))))</f>
        <v/>
      </c>
      <c r="HR64" s="150" t="str">
        <f aca="false">IF(HR$19&gt;$FJ64,"",MAX(0,IF(HR$19=$FJ64,$S64^2*HR$15,HR63*INDEX($T$20:$T$91,$FJ64-HR$19)^2/INDEX($U$20:$U$91,$FJ64-HR$19))))</f>
        <v/>
      </c>
      <c r="HS64" s="150" t="str">
        <f aca="false">IF(HS$19&gt;$FJ64,"",MAX(0,IF(HS$19=$FJ64,$S64^2*HS$15,HS63*INDEX($T$20:$T$91,$FJ64-HS$19)^2/INDEX($U$20:$U$91,$FJ64-HS$19))))</f>
        <v/>
      </c>
      <c r="HT64" s="150" t="str">
        <f aca="false">IF(HT$19&gt;$FJ64,"",MAX(0,IF(HT$19=$FJ64,$S64^2*HT$15,HT63*INDEX($T$20:$T$91,$FJ64-HT$19)^2/INDEX($U$20:$U$91,$FJ64-HT$19))))</f>
        <v/>
      </c>
      <c r="HU64" s="150" t="str">
        <f aca="false">IF(HU$19&gt;$FJ64,"",MAX(0,IF(HU$19=$FJ64,$S64^2*HU$15,HU63*INDEX($T$20:$T$91,$FJ64-HU$19)^2/INDEX($U$20:$U$91,$FJ64-HU$19))))</f>
        <v/>
      </c>
      <c r="HV64" s="150" t="str">
        <f aca="false">IF(HV$19&gt;$FJ64,"",MAX(0,IF(HV$19=$FJ64,$S64^2*HV$15,HV63*INDEX($T$20:$T$91,$FJ64-HV$19)^2/INDEX($U$20:$U$91,$FJ64-HV$19))))</f>
        <v/>
      </c>
      <c r="HW64" s="150" t="str">
        <f aca="false">IF(HW$19&gt;$FJ64,"",MAX(0,IF(HW$19=$FJ64,$S64^2*HW$15,HW63*INDEX($T$20:$T$91,$FJ64-HW$19)^2/INDEX($U$20:$U$91,$FJ64-HW$19))))</f>
        <v/>
      </c>
      <c r="HX64" s="150" t="str">
        <f aca="false">IF(HX$19&gt;$FJ64,"",MAX(0,IF(HX$19=$FJ64,$S64^2*HX$15,HX63*INDEX($T$20:$T$91,$FJ64-HX$19)^2/INDEX($U$20:$U$91,$FJ64-HX$19))))</f>
        <v/>
      </c>
      <c r="HY64" s="150" t="str">
        <f aca="false">IF(HY$19&gt;$FJ64,"",MAX(0,IF(HY$19=$FJ64,$S64^2*HY$15,HY63*INDEX($T$20:$T$91,$FJ64-HY$19)^2/INDEX($U$20:$U$91,$FJ64-HY$19))))</f>
        <v/>
      </c>
      <c r="HZ64" s="150" t="str">
        <f aca="false">IF(HZ$19&gt;$FJ64,"",MAX(0,IF(HZ$19=$FJ64,$S64^2*HZ$15,HZ63*INDEX($T$20:$T$91,$FJ64-HZ$19)^2/INDEX($U$20:$U$91,$FJ64-HZ$19))))</f>
        <v/>
      </c>
      <c r="IA64" s="150" t="str">
        <f aca="false">IF(IA$19&gt;$FJ64,"",MAX(0,IF(IA$19=$FJ64,$S64^2*IA$15,IA63*INDEX($T$20:$T$91,$FJ64-IA$19)^2/INDEX($U$20:$U$91,$FJ64-IA$19))))</f>
        <v/>
      </c>
      <c r="IB64" s="150" t="str">
        <f aca="false">IF(IB$19&gt;$FJ64,"",MAX(0,IF(IB$19=$FJ64,$S64^2*IB$15,IB63*INDEX($T$20:$T$91,$FJ64-IB$19)^2/INDEX($U$20:$U$91,$FJ64-IB$19))))</f>
        <v/>
      </c>
      <c r="IC64" s="150" t="str">
        <f aca="false">IF(IC$19&gt;$FJ64,"",MAX(0,IF(IC$19=$FJ64,$S64^2*IC$15,IC63*INDEX($T$20:$T$91,$FJ64-IC$19)^2/INDEX($U$20:$U$91,$FJ64-IC$19))))</f>
        <v/>
      </c>
      <c r="ID64" s="572" t="str">
        <f aca="false">IF(ID$19&gt;$FJ64,"",MAX(0,IF(ID$19=$FJ64,$S64^2*ID$15,ID63*INDEX($T$20:$T$91,$FJ64-ID$19)^2/INDEX($U$20:$U$91,$FJ64-ID$19))))</f>
        <v/>
      </c>
      <c r="IE64" s="129"/>
    </row>
    <row r="65" customFormat="false" ht="12.75" hidden="false" customHeight="false" outlineLevel="0" collapsed="false">
      <c r="A65" s="3"/>
      <c r="F65" s="3"/>
      <c r="G65" s="3"/>
      <c r="H65" s="219" t="n">
        <f aca="false">VLOOKUP(I65,$EJ$20:$EL$54,3)</f>
        <v>0</v>
      </c>
      <c r="I65" s="511" t="n">
        <f aca="false">EOMONTH(I64,0)+1</f>
        <v>38139</v>
      </c>
      <c r="J65" s="512"/>
      <c r="K65" s="513" t="s">
        <v>250</v>
      </c>
      <c r="L65" s="514" t="e">
        <f aca="false">IF(ISNUMBER(K65),J65+K65/100,IF(K65="extra",L64+VLOOKUP(BF65,PriceSpreadTable,2)/12,IF(K65="inter",interpolateprices($K$19:$L$200,ROW(K65)-ROW(FirstPricingMonth)+1),interpolatechanges($J$19:$K$200,ROW(K65)-ROW(FirstPricingMonth)+1))))</f>
        <v>#VALUE!</v>
      </c>
      <c r="M65" s="515"/>
      <c r="N65" s="516" t="n">
        <v>0</v>
      </c>
      <c r="O65" s="515" t="n">
        <f aca="false">M65+N65</f>
        <v>0</v>
      </c>
      <c r="P65" s="512"/>
      <c r="Q65" s="513" t="s">
        <v>280</v>
      </c>
      <c r="R65" s="512" t="e">
        <f aca="false">IF(ISNUMBER(Q65),P65+Q65/100,IF(Q65="extra",(Z63*AL63-R64*AM63)/AN63,IF(Q65="inter",interpolateprices($Q$19:$R$260,ROW(Q65)-ROW(FirstPricingMonth)+1),interpolatechanges($P$19:$Q$260,ROW(Q65)-ROW(FirstPricingMonth)+1))))</f>
        <v>#VALUE!</v>
      </c>
      <c r="S65" s="597" t="n">
        <f aca="false">S$19+(S64-S$19)*S$18</f>
        <v>0.360000127278656</v>
      </c>
      <c r="T65" s="575" t="n">
        <f aca="false">SQRT((1-(1-T64^2/U64)*T$18)*U65)</f>
        <v>0.999902486818698</v>
      </c>
      <c r="U65" s="576" t="n">
        <f aca="false">1-(1-U64)*U$18</f>
        <v>0.999999964202878</v>
      </c>
      <c r="V65" s="521" t="n">
        <v>0</v>
      </c>
      <c r="W65" s="577" t="n">
        <f aca="false">(J66*AJ65+J67*AK65)/AI65</f>
        <v>0</v>
      </c>
      <c r="X65" s="578" t="e">
        <f aca="false">(L66*AJ65+L67*AK65)/AI65</f>
        <v>#VALUE!</v>
      </c>
      <c r="Y65" s="579" t="n">
        <f aca="false">IF(Q67="extra",W65-AA65,(P66*AM65+P67*AN65)/AL65)</f>
        <v>-1.2285</v>
      </c>
      <c r="Z65" s="579" t="e">
        <f aca="false">IF(Q67="extra",X65-AB65,(R66*AM65+R67*AN65)/AL65)</f>
        <v>#VALUE!</v>
      </c>
      <c r="AA65" s="523" t="n">
        <f aca="false">IF(Q67="extra",INDEX(BrentSeasonalityTable,INT((BG65-1)/3)+1)*VLOOKUP(MAX(BF65,$AB$4),PriceSpreadTable,3),W65-Y65)</f>
        <v>1.2285</v>
      </c>
      <c r="AB65" s="524" t="n">
        <f aca="false">IF(Q67="extra",INDEX(BrentSeasonalityTable,INT((BG65-1)/3)+1)*VLOOKUP(MAX(BF65,$AB$4),PriceSpreadTable,3),X65-Z65)</f>
        <v>1.2285</v>
      </c>
      <c r="AC65" s="646" t="n">
        <v>38127</v>
      </c>
      <c r="AD65" s="646" t="n">
        <v>38123</v>
      </c>
      <c r="AE65" s="646" t="n">
        <v>38122</v>
      </c>
      <c r="AF65" s="646" t="n">
        <v>38118</v>
      </c>
      <c r="AG65" s="438" t="s">
        <v>247</v>
      </c>
      <c r="AH65" s="439" t="s">
        <v>278</v>
      </c>
      <c r="AI65" s="528" t="n">
        <v>22</v>
      </c>
      <c r="AJ65" s="529" t="n">
        <v>14</v>
      </c>
      <c r="AK65" s="529" t="n">
        <v>8</v>
      </c>
      <c r="AL65" s="530" t="n">
        <v>22</v>
      </c>
      <c r="AM65" s="529" t="n">
        <v>10</v>
      </c>
      <c r="AN65" s="531" t="n">
        <v>12</v>
      </c>
      <c r="AO65" s="532"/>
      <c r="AP65" s="465" t="n">
        <f aca="false">(1+AO65/2)^(-2*BL65)</f>
        <v>1</v>
      </c>
      <c r="AQ65" s="532"/>
      <c r="AR65" s="465" t="n">
        <f aca="false">(1+AQ65/2)^(-2*BH65/365.25)</f>
        <v>1</v>
      </c>
      <c r="AS65" s="580" t="n">
        <f aca="false">(O66*AJ65+O67*AK65)/AI65</f>
        <v>0</v>
      </c>
      <c r="AT65" s="468" t="n">
        <f aca="false">O65*VLOOKUP(BF65,BrentVolTable,2)+VLOOKUP(BF65,BrentVolTable,3)</f>
        <v>0</v>
      </c>
      <c r="AU65" s="468" t="n">
        <f aca="false">(AT66*AM65+AT67*AN65)/AL65</f>
        <v>0</v>
      </c>
      <c r="AV65" s="595" t="n">
        <f aca="false">SQRT(MAX(0.000000000001,(O65^2*BH65-S65^2*(BH65-BH64))/BH64))</f>
        <v>0.0222806030981019</v>
      </c>
      <c r="AW65" s="451" t="n">
        <f aca="false">IF($I65-DateToday+15&gt;=$T$8,"",IF($I65-DateToday+15&lt;$T$5,1,MATCH($I65-DateToday+15,$T$5:$T$8)))</f>
        <v>1</v>
      </c>
      <c r="AX65" s="468" t="n">
        <f aca="false">IF($AW65="",AX64^2/AX63,INDEX(U$5:U$8,$AW65)^((INDEX($T$5:$T$8,$AW65+1)-($I65-DateToday+15))/(INDEX($T$5:$T$8,$AW65+1)-INDEX($T$5:$T$8,$AW65)))/INDEX(U$5:U$8,$AW65+1)^((INDEX($T$5:$T$8,$AW65)-($I65-DateToday+15))/(INDEX($T$5:$T$8,$AW65+1)-INDEX($T$5:$T$8,$AW65))))</f>
        <v>4.79766151897383</v>
      </c>
      <c r="AY65" s="468" t="n">
        <f aca="false">IF($AW65="",AY64^2/AY63,INDEX(V$5:V$8,$AW65)^((INDEX($T$5:$T$8,$AW65+1)-($I65-DateToday+15))/(INDEX($T$5:$T$8,$AW65+1)-INDEX($T$5:$T$8,$AW65)))/INDEX(V$5:V$8,$AW65+1)^((INDEX($T$5:$T$8,$AW65)-($I65-DateToday+15))/(INDEX($T$5:$T$8,$AW65+1)-INDEX($T$5:$T$8,$AW65))))</f>
        <v>784.344970205331</v>
      </c>
      <c r="AZ65" s="468" t="n">
        <f aca="false">IF($AW65="",AZ64^2/AZ63,INDEX(W$5:W$8,$AW65)^((INDEX($T$5:$T$8,$AW65+1)-($I65-DateToday+15))/(INDEX($T$5:$T$8,$AW65+1)-INDEX($T$5:$T$8,$AW65)))/INDEX(W$5:W$8,$AW65+1)^((INDEX($T$5:$T$8,$AW65)-($I65-DateToday+15))/(INDEX($T$5:$T$8,$AW65+1)-INDEX($T$5:$T$8,$AW65))))</f>
        <v>17309104.5200771</v>
      </c>
      <c r="BA65" s="468" t="n">
        <f aca="false">IF($AW65="",BA64^2/BA63,INDEX(X$5:X$8,$AW65)^((INDEX($T$5:$T$8,$AW65+1)-($I65-DateToday+15))/(INDEX($T$5:$T$8,$AW65+1)-INDEX($T$5:$T$8,$AW65)))/INDEX(X$5:X$8,$AW65+1)^((INDEX($T$5:$T$8,$AW65)-($I65-DateToday+15))/(INDEX($T$5:$T$8,$AW65+1)-INDEX($T$5:$T$8,$AW65))))</f>
        <v>865033590.456976</v>
      </c>
      <c r="BB65" s="468" t="n">
        <f aca="false">IF($AW65="",BB64^2/BB63,INDEX(Y$5:Y$8,$AW65)^((INDEX($T$5:$T$8,$AW65+1)-($I65-DateToday+15))/(INDEX($T$5:$T$8,$AW65+1)-INDEX($T$5:$T$8,$AW65)))/INDEX(Y$5:Y$8,$AW65+1)^((INDEX($T$5:$T$8,$AW65)-($I65-DateToday+15))/(INDEX($T$5:$T$8,$AW65+1)-INDEX($T$5:$T$8,$AW65))))</f>
        <v>15320998969.1162</v>
      </c>
      <c r="BC65" s="468" t="n">
        <f aca="false">IF($AW65="",BC64^2/BC63,INDEX(Z$5:Z$8,$AW65)^((INDEX($T$5:$T$8,$AW65+1)-($I65-DateToday+15))/(INDEX($T$5:$T$8,$AW65+1)-INDEX($T$5:$T$8,$AW65)))/INDEX(Z$5:Z$8,$AW65+1)^((INDEX($T$5:$T$8,$AW65)-($I65-DateToday+15))/(INDEX($T$5:$T$8,$AW65+1)-INDEX($T$5:$T$8,$AW65))))</f>
        <v>85268065973.4964</v>
      </c>
      <c r="BD65" s="535" t="n">
        <f aca="false">IF(OR(DateStart&gt;=I66,DateEnd&lt;I65),0,IF(VolumeOverrideFlag,V65,Volume))</f>
        <v>0</v>
      </c>
      <c r="BE65" s="536" t="n">
        <f aca="false">IF(OR(DateStart2&gt;=I66,DateEnd2&lt;I65),0,IF(VolumeOverrideFlag,V65,VolumeSwaption))</f>
        <v>0</v>
      </c>
      <c r="BF65" s="537" t="n">
        <f aca="false">YEAR(I65)</f>
        <v>2004</v>
      </c>
      <c r="BG65" s="538" t="n">
        <f aca="false">MONTH(I65)</f>
        <v>6</v>
      </c>
      <c r="BH65" s="539" t="n">
        <f aca="false">AD65-DateToday+1</f>
        <v>-7802</v>
      </c>
      <c r="BI65" s="540" t="n">
        <f aca="false">(I65-DateToday+1)/365.25</f>
        <v>-21.3169062286105</v>
      </c>
      <c r="BJ65" s="541" t="n">
        <f aca="false">BI65+(BL65-BI65)*CHOOSE(Underlying,AJ65/AI65,AM65/AL65)</f>
        <v>-21.2663804368116</v>
      </c>
      <c r="BK65" s="541" t="n">
        <f aca="false">BJ65+1/365.25</f>
        <v>-21.2636425860245</v>
      </c>
      <c r="BL65" s="541" t="n">
        <f aca="false">(I66-DateToday)/365.25</f>
        <v>-21.2375085557837</v>
      </c>
      <c r="BM65" s="542" t="e">
        <f aca="false">MAX(BI65-(BJ65-BI65)*(S66^2/O66^2-1),0)</f>
        <v>#DIV/0!</v>
      </c>
      <c r="BN65" s="541" t="e">
        <f aca="false">MAX(BL65+(BL65-BK65)*(S67^2/O67^2-1),0)</f>
        <v>#DIV/0!</v>
      </c>
      <c r="BO65" s="530" t="n">
        <f aca="false">CHOOSE(Underlying,AI65,AL65)</f>
        <v>22</v>
      </c>
      <c r="BP65" s="529" t="n">
        <f aca="false">CHOOSE(Underlying,AJ65,AM65)</f>
        <v>14</v>
      </c>
      <c r="BQ65" s="529" t="n">
        <f aca="false">CHOOSE(Underlying,AK65,AN65)</f>
        <v>8</v>
      </c>
      <c r="BR65" s="463" t="str">
        <f aca="false">IF(BD65,IF(Underlying=1,X65,Z65)+UnderlyingPriceAsian-SwapPriceCurve,"")</f>
        <v/>
      </c>
      <c r="BS65" s="463" t="str">
        <f aca="false">IF(BD65,Strike1/BR65-1,"")</f>
        <v/>
      </c>
      <c r="BT65" s="464" t="str">
        <f aca="false">IF(BD65,Strike2/BR65-1,"")</f>
        <v/>
      </c>
      <c r="BU65" s="465" t="str">
        <f aca="false">IF(BD65,IF(Underlying=1,L66,R66)+UnderlyingPriceAsian-SwapPriceCurve,"")</f>
        <v/>
      </c>
      <c r="BV65" s="465" t="str">
        <f aca="false">IF(BD65,IF(Underlying=1,L67,R67)+UnderlyingPriceAsian-SwapPriceCurve,"")</f>
        <v/>
      </c>
      <c r="BW65" s="466" t="str">
        <f aca="false">IF(BD65,IF(Underlying=1,O66,AT66),"")</f>
        <v/>
      </c>
      <c r="BX65" s="467" t="str">
        <f aca="false">IF(BD65,IF(Underlying=1,O67,AT67),"")</f>
        <v/>
      </c>
      <c r="BY65" s="466" t="str">
        <f aca="false">IF(BD65,IF(BS65&gt;0,IF(BS65&gt;0.2,BC65-BB65,IF(BS65&gt;0.1,BB65-BA65,BA65)),IF(BS65&lt;-0.2,AX65-AY65,IF(BS65&lt;-0.1,AY65-AZ65,AZ65))),"")</f>
        <v/>
      </c>
      <c r="BZ65" s="467" t="str">
        <f aca="false">IF(BD65,IF(BT65&gt;0,IF(BT65&gt;0.2,BC65-BB65,IF(BT65&gt;0.1,BB65-BA65,BA65)),IF(BT65&lt;-0.2,AX65-AY65,IF(BT65&lt;-0.1,AY65-AZ65,AZ65))),"")</f>
        <v/>
      </c>
      <c r="CA65" s="468" t="str">
        <f aca="false">IF($BD65,$BW65+IF(VolSkewFlag=1,IF(BS65&gt;0,$BA65*MIN(BS65/10%,1)+($BB65-$BA65)*MAX(0,MIN(BS65/10%-1,1))+($BC65-$BB65)*MAX(0,BS65/10%-2),$AZ65*MIN(-BS65/10%,1)+($AY65-$AZ65)*MAX(0,MIN(-BS65/10%-1,1))+($AX65-$AY65)*MAX(0,-BS65/10%-2)),0),"")</f>
        <v/>
      </c>
      <c r="CB65" s="468" t="str">
        <f aca="false">IF($BD65,$BX65+IF(VolSkewFlag=1,IF(BS65&gt;0,$BA65*MIN(BS65/10%,1)+($BB65-$BA65)*MAX(0,MIN(BS65/10%-1,1))+($BC65-$BB65)*MAX(0,BS65/10%-2),$AZ65*MIN(-BS65/10%,1)+($AY65-$AZ65)*MAX(0,MIN(-BS65/10%-1,1))+($AX65-$AY65)*MAX(0,-BS65/10%-2)),0),"")</f>
        <v/>
      </c>
      <c r="CC65" s="468" t="str">
        <f aca="false">IF($BD65,$BW65+IF(VolSkewFlag=1,IF(BT65&gt;0,$BA65*MIN(BT65/10%,1)+($BB65-$BA65)*MAX(0,MIN(BT65/10%-1,1))+($BC65-$BB65)*MAX(0,BT65/10%-2),$AZ65*MIN(-BT65/10%,1)+($AY65-$AZ65)*MAX(0,MIN(-BT65/10%-1,1))+($AX65-$AY65)*MAX(0,-BT65/10%-2)),0),"")</f>
        <v/>
      </c>
      <c r="CD65" s="468" t="str">
        <f aca="false">IF($BD65,$BX65+IF(VolSkewFlag=1,IF(BT65&gt;0,$BA65*MIN(BT65/10%,1)+($BB65-$BA65)*MAX(0,MIN(BT65/10%-1,1))+($BC65-$BB65)*MAX(0,BT65/10%-2),$AZ65*MIN(-BT65/10%,1)+($AY65-$AZ65)*MAX(0,MIN(-BT65/10%-1,1))+($AX65-$AY65)*MAX(0,-BT65/10%-2)),0),"")</f>
        <v/>
      </c>
      <c r="CE65" s="469" t="n">
        <v>1</v>
      </c>
      <c r="CF65" s="470" t="n">
        <f aca="false">IF(BD65,xCrudeAPO(BU65,BV65,CA65,CB65,S66,S67,BI65,BL65,BP65,BQ65,0,Strike1,AO65,CE65,0,BL65,IF(OptControl=4,0,1),0,1),0)</f>
        <v>0</v>
      </c>
      <c r="CG65" s="470" t="n">
        <f aca="false">IF(BD65,xCrudeAPO(BU65,BV65,CA65,CB65,S66,S67,BI65,BL65,BP65,BQ65,0,Strike1,AO65,CE65,0,BL65,IF(OptControl=4,0,1),1,1)+xCrudeAPO(BU65,BV65,CA65,CB65,S66,S67,BI65,BL65,BP65,BQ65,0,Strike1,AO65,CE65,0,BL65,IF(OptControl=4,0,1),1,2)+IF(OR(VolSkewFlag=2,ABS(BS65)&lt;0.0001),0,IF(BS65&gt;0,-1,1)*CH65*Strike1/BR65^2*BY65/10%),0)</f>
        <v>0</v>
      </c>
      <c r="CH65" s="470" t="n">
        <f aca="false">IF(BD65,(xCrudeAPO(BU65,BV65,CA65,CB65,S66,S67,BI65,BL65,BP65,BQ65,0,Strike1,AO65,CE65,0,BL65,IF(OptControl=4,0,1),3,1)+xCrudeAPO(BU65,BV65,CA65,CB65,S66,S67,BI65,BL65,BP65,BQ65,0,Strike1,AO65,CE65,0,BL65,IF(OptControl=4,0,1),3,2))/100,0)</f>
        <v>0</v>
      </c>
      <c r="CI65" s="470" t="n">
        <f aca="false">IF(BD65,xCrudeAPO(BU65,BV65,CA65,CB65,S66,S67,BI65-DaysForThetaCalculation/365.25,BL65-DaysForThetaCalculation/365.25,BP65,BQ65,0,Strike1,AO65,CE65,0,BL65,IF(OptControl=4,0,1),0,1)-xCrudeAPO(BU65,BV65,CA65,CB65,S66,S67,BI65,BL65,BP65,BQ65,0,Strike1,AO65,CE65,0,BL65,IF(OptControl=4,0,1),0,1),0)</f>
        <v>0</v>
      </c>
      <c r="CJ65" s="471" t="n">
        <f aca="false">IF(BD65,xCrudeAPO(BU65,BV65,CC65,CD65,S66,S67,BI65,BL65,BP65,BQ65,0,Strike2,AO65,CE65,0,BL65,IF(OptControl=3,1,0),0,1),0)</f>
        <v>0</v>
      </c>
      <c r="CK65" s="470" t="n">
        <f aca="false">IF(BD65,xCrudeAPO(BU65,BV65,CC65,CD65,S66,S67,BI65,BL65,BP65,BQ65,0,Strike2,AO65,CE65,0,BL65,IF(OptControl=3,1,0),1,1)+xCrudeAPO(BU65,BV65,CC65,CD65,S66,S67,BI65,BL65,BP65,BQ65,0,Strike2,AO65,CE65,0,BL65,IF(OptControl=3,1,0),1,2)+IF(OR(VolSkewFlag=2,ABS(BT65)&lt;0.0001),0,IF(BT65&gt;0,-1,1)*CL65*Strike2/BR65^2*BZ65/10%),0)</f>
        <v>0</v>
      </c>
      <c r="CL65" s="470" t="n">
        <f aca="false">IF(BD65,(xCrudeAPO(BU65,BV65,CC65,CD65,S66,S67,BI65,BL65,BP65,BQ65,0,Strike2,AO65,CE65,0,BL65,IF(OptControl=3,1,0),3,1)+xCrudeAPO(BU65,BV65,CC65,CD65,S66,S67,BI65,BL65,BP65,BQ65,0,Strike2,AO65,CE65,0,BL65,IF(OptControl=3,1,0),3,2))/100,0)</f>
        <v>0</v>
      </c>
      <c r="CM65" s="472" t="n">
        <f aca="false">IF(BD65,xCrudeAPO(BU65,BV65,CC65,CD65,S66,S67,BI65-DaysForThetaCalculation/365.25,BL65-DaysForThetaCalculation/365.25,BP65,BQ65,0,Strike2,AO65,CE65,0,BL65,IF(OptControl=3,1,0),0,1)-xCrudeAPO(BU65,BV65,CC65,CD65,S66,S67,BI65,BL65,BP65,BQ65,0,Strike2,AO65,CE65,0,BL65,IF(OptControl=3,1,0),0,1),0)</f>
        <v>0</v>
      </c>
      <c r="CN65" s="3"/>
      <c r="CO65" s="543" t="str">
        <f aca="false">IF(BD65,CHOOSE(Underlying,AD65,AF65)-DateToday+1,"")</f>
        <v/>
      </c>
      <c r="CP65" s="582" t="str">
        <f aca="false">IF(BD65,CHOOSE(Underlying,L65,R65),"")</f>
        <v/>
      </c>
      <c r="CQ65" s="544" t="str">
        <f aca="false">IF(BD65,Strike1/CP65-1,"")</f>
        <v/>
      </c>
      <c r="CR65" s="544" t="str">
        <f aca="false">IF(BD65,Strike2/CP65-1,"")</f>
        <v/>
      </c>
      <c r="CS65" s="544" t="str">
        <f aca="false">IF(BD65,IF(CQ65&gt;0,IF(CQ65&gt;0.2,BC64-BB64,IF(CQ65&gt;0.1,BB64-BA64,BA64)),IF(CQ65&lt;-0.2,AX64-AY64,IF(CQ65&lt;-0.1,AY64-AZ64,AZ64))),"")</f>
        <v/>
      </c>
      <c r="CT65" s="544" t="str">
        <f aca="false">IF(BD65,IF(CR65&gt;0,IF(CR65&gt;0.2,BC64-BB64,IF(CR65&gt;0.1,BB64-BA64,BA64)),IF(CR65&lt;-0.2,AX64-AY64,IF(CR65&lt;-0.1,AY64-AZ64,AZ64))),"")</f>
        <v/>
      </c>
      <c r="CU65" s="545" t="str">
        <f aca="false">IF(BD65,CHOOSE(Underlying,O65,AT65),"")</f>
        <v/>
      </c>
      <c r="CV65" s="545" t="str">
        <f aca="false">IF(BD65,CU65+IF(VolSkewFlag=1,IF(CQ65&gt;0,BA64*MIN(CQ65/10%,1)+(BB64-BA64)*MAX(0,MIN(CQ65/10%-1,1))+(BC64-BB64)*MAX(0,CQ65/10%-2),AZ64*MIN(-CQ65/10%,1)+(AY64-AZ64)*MAX(0,MIN(-CQ65/10%-1,1))+(AX64-AY64)*MAX(0,-CQ65/10%-2)),0),"")</f>
        <v/>
      </c>
      <c r="CW65" s="545" t="str">
        <f aca="false">IF(BD65,CU65+IF(VolSkewFlag=1,IF(CR65&gt;0,BA64*MIN(CR65/10%,1)+(BB64-BA64)*MAX(0,MIN(CR65/10%-1,1))+(BC64-BB64)*MAX(0,CR65/10%-2),AZ64*MIN(-CR65/10%,1)+(AY64-AZ64)*MAX(0,MIN(-CR65/10%-1,1))+(AX64-AY64)*MAX(0,-CR65/10%-2)),0),"")</f>
        <v/>
      </c>
      <c r="CX65" s="470" t="n">
        <f aca="false">IF(BD65,EURO(CP65,Strike1,AO65,AO65,CV65,CO65,IF(OptControl=4,0,1),0),0)</f>
        <v>0</v>
      </c>
      <c r="CY65" s="470" t="n">
        <f aca="false">IF(BD65,EURO(CP65,Strike1,AO65,AO65,CV65,CO65,IF(OptControl=4,0,1),1)+IF(OR(VolSkewFlag=2,ABS(CQ65)&lt;0.0001),0,IF(CQ65&gt;0,-1,1)*CZ65*100*Strike1/CP65^2*CS65/10%),0)</f>
        <v>0</v>
      </c>
      <c r="CZ65" s="470" t="n">
        <f aca="false">IF(BD65,EURO(CP65,Strike1,AO65,AO65,CV65,CO65,IF(OptControl=4,0,1),3)/100,0)</f>
        <v>0</v>
      </c>
      <c r="DA65" s="470" t="n">
        <f aca="false">IF(BD65,EURO(CP65,Strike1,AO65,AO65,CV65,CO65,IF(OptControl=4,0,1),0)-EURO(CP65,Strike1,AO65,AO65,CV65,CO65-1,IF(OptControl=4,0,1),0),0)</f>
        <v>0</v>
      </c>
      <c r="DB65" s="470" t="n">
        <f aca="false">IF(BD65,EURO(CP65,Strike2,AO65,AO65,CW65,CO65,IF(OptControl=3,1,0),0),0)</f>
        <v>0</v>
      </c>
      <c r="DC65" s="470" t="n">
        <f aca="false">IF(BD65,EURO(CP65,Strike2,AO65,AO65,CW65,CO65,IF(OptControl=3,1,0),1)+IF(OR(VolSkewFlag=2,ABS(CR65)&lt;0.0001),0,IF(CR65&gt;0,-1,1)*DD65*100*Strike2/CP65^2*CT65/10%),0)</f>
        <v>0</v>
      </c>
      <c r="DD65" s="470" t="n">
        <f aca="false">IF(BD65,EURO(CP65,Strike2,AO65,AO65,CW65,CO65,IF(OptControl=3,1,0),3)/100,0)</f>
        <v>0</v>
      </c>
      <c r="DE65" s="472" t="n">
        <f aca="false">IF(BD65,EURO(CP65,Strike2,AO65,AO65,CW65,CO65,IF(OptControl=3,1,0),0)-EURO(CP65,Strike2,AO65,AO65,CW65,CO65-1,IF(OptControl=3,1,0),0),0)</f>
        <v>0</v>
      </c>
      <c r="DG65" s="481" t="n">
        <f aca="false">EOMONTH(DG64,0)+1</f>
        <v>47058</v>
      </c>
      <c r="DH65" s="478" t="n">
        <v>18.47</v>
      </c>
      <c r="DI65" s="479" t="n">
        <v>18.4185</v>
      </c>
      <c r="DJ65" s="480" t="n">
        <f aca="false">DG65</f>
        <v>47058</v>
      </c>
      <c r="DK65" s="478" t="n">
        <v>17.3546871456662</v>
      </c>
      <c r="DL65" s="479" t="n">
        <v>17.3224</v>
      </c>
      <c r="DM65" s="481" t="n">
        <f aca="false">DG65</f>
        <v>47058</v>
      </c>
      <c r="DN65" s="482" t="n">
        <f aca="false">DK65+BrentPhyBrentSpread</f>
        <v>17.4046871456662</v>
      </c>
      <c r="DO65" s="481" t="n">
        <f aca="false">DG65</f>
        <v>47058</v>
      </c>
      <c r="DP65" s="483" t="n">
        <f aca="false">DL65+DQ65</f>
        <v>17.3224</v>
      </c>
      <c r="DQ65" s="546" t="n">
        <v>0</v>
      </c>
      <c r="DR65" s="480" t="n">
        <f aca="false">DG65</f>
        <v>47058</v>
      </c>
      <c r="DS65" s="485" t="n">
        <v>0.205039418895698</v>
      </c>
      <c r="DT65" s="486" t="n">
        <v>0.202967391008156</v>
      </c>
      <c r="DU65" s="480" t="n">
        <f aca="false">DG65</f>
        <v>47058</v>
      </c>
      <c r="DV65" s="485" t="n">
        <v>0.205039418895698</v>
      </c>
      <c r="DW65" s="486" t="n">
        <v>0.202967391008156</v>
      </c>
      <c r="DX65" s="481" t="n">
        <f aca="false">DG65</f>
        <v>47058</v>
      </c>
      <c r="DY65" s="486" t="n">
        <v>0.350000000000005</v>
      </c>
      <c r="DZ65" s="481" t="n">
        <f aca="false">DR65</f>
        <v>47058</v>
      </c>
      <c r="EA65" s="486" t="n">
        <f aca="false">DT65</f>
        <v>0.202967391008156</v>
      </c>
      <c r="EB65" s="195"/>
      <c r="EC65" s="547" t="str">
        <f aca="false">IF(BD65,IF(Underlying=1,AS65,AU65),"")</f>
        <v/>
      </c>
      <c r="ED65" s="548" t="str">
        <f aca="false">IF($BD65,$EC65+IF(VolSkewFlag=1,IF(BS65&gt;0,$BA65*MIN(BS65/10%,1)+($BB65-$BA65)*MAX(0,MIN(BS65/10%-1,1))+($BC65-$BB65)*MAX(0,BS65/10%-2),$AZ65*MIN(-BS65/10%,1)+($AY65-$AZ65)*MAX(0,MIN(-BS65/10%-1,1))+($AX65-$AY65)*MAX(0,-BS65/10%-2)),0),"")</f>
        <v/>
      </c>
      <c r="EE65" s="549" t="str">
        <f aca="false">IF($BD65,$EC65+IF(VolSkewFlag=1,IF(BT65&gt;0,$BA65*MIN(BT65/10%,1)+($BB65-$BA65)*MAX(0,MIN(BT65/10%-1,1))+($BC65-$BB65)*MAX(0,BT65/10%-2),$AZ65*MIN(-BT65/10%,1)+($AY65-$AZ65)*MAX(0,MIN(-BT65/10%-1,1))+($AX65-$AY65)*MAX(0,-BT65/10%-2)),0),"")</f>
        <v/>
      </c>
      <c r="EF65" s="550" t="n">
        <f aca="false">IF(BD65,xASN(BR65,Strike1,AO65,ED65,0,BO65,0,BI65,BL65,IF(OptControl=4,0,1),0),0)</f>
        <v>0</v>
      </c>
      <c r="EG65" s="551" t="n">
        <f aca="false">IF(BD65,xASN(BR65,Strike2,AO65,EE65,0,BO65,0,BI65,BL65,IF(OptControl=3,1,0),0),0)</f>
        <v>0</v>
      </c>
      <c r="EL65" s="1"/>
      <c r="EM65" s="195"/>
      <c r="EN65" s="556" t="n">
        <v>41268</v>
      </c>
      <c r="EO65" s="557" t="n">
        <v>44920</v>
      </c>
      <c r="EP65" s="195"/>
      <c r="EQ65" s="407" t="s">
        <v>291</v>
      </c>
      <c r="ES65" s="587" t="n">
        <v>46</v>
      </c>
      <c r="ET65" s="559" t="n">
        <f aca="false">BH65/365.25</f>
        <v>-21.3607118412047</v>
      </c>
      <c r="EU65" s="560" t="n">
        <f aca="false">O65^2*ET65</f>
        <v>-0</v>
      </c>
      <c r="EV65" s="588" t="e">
        <f aca="false">SQRT(SUM(FK65:ID65)/ET65)</f>
        <v>#VALUE!</v>
      </c>
      <c r="EW65" s="589" t="str">
        <f aca="false">IF(OR(DateStart2&gt;I64,DateEnd2&lt;I63),"",IF(DateStart2&lt;I64,AK63/AI63*AP63*BE63*SwaptionNumOfMonths/$D$33,0)+IF(DateEnd2&gt;I63,AJ64/AI64*AP64*BE64*SwaptionNumOfMonths/$D$33,0))</f>
        <v/>
      </c>
      <c r="EX65" s="590" t="str">
        <f aca="false">IF(EW65="","",SQRT(SUM(FK370:ID370)/SwaptionYearsToExp))</f>
        <v/>
      </c>
      <c r="EY65" s="129" t="n">
        <v>0</v>
      </c>
      <c r="EZ65" s="591" t="str">
        <f aca="false">IF(OR(EW65="",EW66=""),"",SQRT(SUM(INDEX(FK65:ID65,SwaptionFirstMonthPosition+1):INDEX(FK65:ID65,FJ65))/SUM(INDEX($FK$15:$ID$15,SwaptionFirstMonthPosition+1):INDEX($FK$15:$ID$15,FJ65))))</f>
        <v/>
      </c>
      <c r="FA65" s="592" t="str">
        <f aca="false">IF(OR(EW65="",EW64=""),"",SQRT(SUM(INDEX(FK65:ID65,SwaptionFirstMonthPosition+1):INDEX(FK65:ID65,FJ65-1))/SUM(INDEX($FK$15:$ID$15,SwaptionFirstMonthPosition+1):INDEX($FK$15:$ID$15,FJ65-1))))</f>
        <v/>
      </c>
      <c r="FB65" s="593" t="str">
        <f aca="false">IF(BE65,2/3*EZ66+1/3*FA67,"")</f>
        <v/>
      </c>
      <c r="FC65" s="596" t="str">
        <f aca="false">IF(BE65,(I66+I65-1)/2-DateToday,"")</f>
        <v/>
      </c>
      <c r="FD65" s="483" t="str">
        <f aca="false">IF(BE65,CHOOSE(Underlying,X65,Z65)+SwaptionUnderlyingPrice-$D$26,"")</f>
        <v/>
      </c>
      <c r="FE65" s="483" t="str">
        <f aca="false">IF(BE65,CollartionFloor/FD65-1,"")</f>
        <v/>
      </c>
      <c r="FF65" s="483" t="str">
        <f aca="false">IF(BE65,CollartionCap/FD65-1,"")</f>
        <v/>
      </c>
      <c r="FG65" s="485" t="str">
        <f aca="false">IF(BE65,IF(VolSkewFlag=1,IF(FE65&gt;0,$BA65*MIN(FE65/10%,1)+($BB65-$BA65)*MAX(0,MIN(FE65/10%-1,1))+($BC65-$BB65)*MAX(0,FE65/10%-2),$AZ65*MIN(-FE65/10%,1)+($AY65-$AZ65)*MAX(0,MIN(-FE65/10%-1,1))+($AX65-$AY65)*MAX(0,-FE65/10%-2)),0),"")</f>
        <v/>
      </c>
      <c r="FH65" s="486" t="str">
        <f aca="false">IF(BE65,IF(VolSkewFlag=1,IF(FF65&gt;0,$BA65*MIN(FF65/10%,1)+($BB65-$BA65)*MAX(0,MIN(FF65/10%-1,1))+($BC65-$BB65)*MAX(0,FF65/10%-2),$AZ65*MIN(-FF65/10%,1)+($AY65-$AZ65)*MAX(0,MIN(-FF65/10%-1,1))+($AX65-$AY65)*MAX(0,-FF65/10%-2)),0),"")</f>
        <v/>
      </c>
      <c r="FI65" s="129"/>
      <c r="FJ65" s="571" t="n">
        <v>46</v>
      </c>
      <c r="FK65" s="150" t="n">
        <f aca="false">IF(FK$19&gt;$FJ65,"",MAX(0,IF(FK$19=$FJ65,$S65^2*FK$15,FK64*INDEX($T$20:$T$91,$FJ65-FK$19)^2/INDEX($U$20:$U$91,$FJ65-FK$19))))</f>
        <v>0</v>
      </c>
      <c r="FL65" s="150" t="n">
        <f aca="false">IF(FL$19&gt;$FJ65,"",MAX(0,IF(FL$19=$FJ65,$S65^2*FL$15,FL64*INDEX($T$20:$T$91,$FJ65-FL$19)^2/INDEX($U$20:$U$91,$FJ65-FL$19))))</f>
        <v>0</v>
      </c>
      <c r="FM65" s="150" t="n">
        <f aca="false">IF(FM$19&gt;$FJ65,"",MAX(0,IF(FM$19=$FJ65,$S65^2*FM$15,FM64*INDEX($T$20:$T$91,$FJ65-FM$19)^2/INDEX($U$20:$U$91,$FJ65-FM$19))))</f>
        <v>0.00255145225762345</v>
      </c>
      <c r="FN65" s="150" t="n">
        <f aca="false">IF(FN$19&gt;$FJ65,"",MAX(0,IF(FN$19=$FJ65,$S65^2*FN$15,FN64*INDEX($T$20:$T$91,$FJ65-FN$19)^2/INDEX($U$20:$U$91,$FJ65-FN$19))))</f>
        <v>0.00214815030956862</v>
      </c>
      <c r="FO65" s="150" t="n">
        <f aca="false">IF(FO$19&gt;$FJ65,"",MAX(0,IF(FO$19=$FJ65,$S65^2*FO$15,FO64*INDEX($T$20:$T$91,$FJ65-FO$19)^2/INDEX($U$20:$U$91,$FJ65-FO$19))))</f>
        <v>0.00223520909536343</v>
      </c>
      <c r="FP65" s="150" t="n">
        <f aca="false">IF(FP$19&gt;$FJ65,"",MAX(0,IF(FP$19=$FJ65,$S65^2*FP$15,FP64*INDEX($T$20:$T$91,$FJ65-FP$19)^2/INDEX($U$20:$U$91,$FJ65-FP$19))))</f>
        <v>0.00247789755905307</v>
      </c>
      <c r="FQ65" s="150" t="n">
        <f aca="false">IF(FQ$19&gt;$FJ65,"",MAX(0,IF(FQ$19=$FJ65,$S65^2*FQ$15,FQ64*INDEX($T$20:$T$91,$FJ65-FQ$19)^2/INDEX($U$20:$U$91,$FJ65-FQ$19))))</f>
        <v>0.00200711833512545</v>
      </c>
      <c r="FR65" s="150" t="n">
        <f aca="false">IF(FR$19&gt;$FJ65,"",MAX(0,IF(FR$19=$FJ65,$S65^2*FR$15,FR64*INDEX($T$20:$T$91,$FJ65-FR$19)^2/INDEX($U$20:$U$91,$FJ65-FR$19))))</f>
        <v>0.00205338353659327</v>
      </c>
      <c r="FS65" s="150" t="n">
        <f aca="false">IF(FS$19&gt;$FJ65,"",MAX(0,IF(FS$19=$FJ65,$S65^2*FS$15,FS64*INDEX($T$20:$T$91,$FJ65-FS$19)^2/INDEX($U$20:$U$91,$FJ65-FS$19))))</f>
        <v>0.0023155890920375</v>
      </c>
      <c r="FT65" s="150" t="n">
        <f aca="false">IF(FT$19&gt;$FJ65,"",MAX(0,IF(FT$19=$FJ65,$S65^2*FT$15,FT64*INDEX($T$20:$T$91,$FJ65-FT$19)^2/INDEX($U$20:$U$91,$FJ65-FT$19))))</f>
        <v>0.00209139650994379</v>
      </c>
      <c r="FU65" s="150" t="n">
        <f aca="false">IF(FU$19&gt;$FJ65,"",MAX(0,IF(FU$19=$FJ65,$S65^2*FU$15,FU64*INDEX($T$20:$T$91,$FJ65-FU$19)^2/INDEX($U$20:$U$91,$FJ65-FU$19))))</f>
        <v>0.00201245759867677</v>
      </c>
      <c r="FV65" s="150" t="n">
        <f aca="false">IF(FV$19&gt;$FJ65,"",MAX(0,IF(FV$19=$FJ65,$S65^2*FV$15,FV64*INDEX($T$20:$T$91,$FJ65-FV$19)^2/INDEX($U$20:$U$91,$FJ65-FV$19))))</f>
        <v>0.00221388423767065</v>
      </c>
      <c r="FW65" s="150" t="n">
        <f aca="false">IF(FW$19&gt;$FJ65,"",MAX(0,IF(FW$19=$FJ65,$S65^2*FW$15,FW64*INDEX($T$20:$T$91,$FJ65-FW$19)^2/INDEX($U$20:$U$91,$FJ65-FW$19))))</f>
        <v>0.00207171540115979</v>
      </c>
      <c r="FX65" s="150" t="n">
        <f aca="false">IF(FX$19&gt;$FJ65,"",MAX(0,IF(FX$19=$FJ65,$S65^2*FX$15,FX64*INDEX($T$20:$T$91,$FJ65-FX$19)^2/INDEX($U$20:$U$91,$FJ65-FX$19))))</f>
        <v>0.00220797119138983</v>
      </c>
      <c r="FY65" s="150" t="n">
        <f aca="false">IF(FY$19&gt;$FJ65,"",MAX(0,IF(FY$19=$FJ65,$S65^2*FY$15,FY64*INDEX($T$20:$T$91,$FJ65-FY$19)^2/INDEX($U$20:$U$91,$FJ65-FY$19))))</f>
        <v>0.00206996229898032</v>
      </c>
      <c r="FZ65" s="150" t="n">
        <f aca="false">IF(FZ$19&gt;$FJ65,"",MAX(0,IF(FZ$19=$FJ65,$S65^2*FZ$15,FZ64*INDEX($T$20:$T$91,$FJ65-FZ$19)^2/INDEX($U$20:$U$91,$FJ65-FZ$19))))</f>
        <v>0.00193337446044802</v>
      </c>
      <c r="GA65" s="150" t="n">
        <f aca="false">IF(GA$19&gt;$FJ65,"",MAX(0,IF(GA$19=$FJ65,$S65^2*GA$15,GA64*INDEX($T$20:$T$91,$FJ65-GA$19)^2/INDEX($U$20:$U$91,$FJ65-GA$19))))</f>
        <v>0.00207438601475077</v>
      </c>
      <c r="GB65" s="150" t="n">
        <f aca="false">IF(GB$19&gt;$FJ65,"",MAX(0,IF(GB$19=$FJ65,$S65^2*GB$15,GB64*INDEX($T$20:$T$91,$FJ65-GB$19)^2/INDEX($U$20:$U$91,$FJ65-GB$19))))</f>
        <v>0.00228652697214486</v>
      </c>
      <c r="GC65" s="150" t="n">
        <f aca="false">IF(GC$19&gt;$FJ65,"",MAX(0,IF(GC$19=$FJ65,$S65^2*GC$15,GC64*INDEX($T$20:$T$91,$FJ65-GC$19)^2/INDEX($U$20:$U$91,$FJ65-GC$19))))</f>
        <v>0.00201484411622906</v>
      </c>
      <c r="GD65" s="150" t="n">
        <f aca="false">IF(GD$19&gt;$FJ65,"",MAX(0,IF(GD$19=$FJ65,$S65^2*GD$15,GD64*INDEX($T$20:$T$91,$FJ65-GD$19)^2/INDEX($U$20:$U$91,$FJ65-GD$19))))</f>
        <v>0.00202173671947273</v>
      </c>
      <c r="GE65" s="150" t="n">
        <f aca="false">IF(GE$19&gt;$FJ65,"",MAX(0,IF(GE$19=$FJ65,$S65^2*GE$15,GE64*INDEX($T$20:$T$91,$FJ65-GE$19)^2/INDEX($U$20:$U$91,$FJ65-GE$19))))</f>
        <v>0.00231021217738432</v>
      </c>
      <c r="GF65" s="150" t="n">
        <f aca="false">IF(GF$19&gt;$FJ65,"",MAX(0,IF(GF$19=$FJ65,$S65^2*GF$15,GF64*INDEX($T$20:$T$91,$FJ65-GF$19)^2/INDEX($U$20:$U$91,$FJ65-GF$19))))</f>
        <v>0.00204038600237913</v>
      </c>
      <c r="GG65" s="150" t="n">
        <f aca="false">IF(GG$19&gt;$FJ65,"",MAX(0,IF(GG$19=$FJ65,$S65^2*GG$15,GG64*INDEX($T$20:$T$91,$FJ65-GG$19)^2/INDEX($U$20:$U$91,$FJ65-GG$19))))</f>
        <v>0.00226492482350442</v>
      </c>
      <c r="GH65" s="150" t="n">
        <f aca="false">IF(GH$19&gt;$FJ65,"",MAX(0,IF(GH$19=$FJ65,$S65^2*GH$15,GH64*INDEX($T$20:$T$91,$FJ65-GH$19)^2/INDEX($U$20:$U$91,$FJ65-GH$19))))</f>
        <v>0.0021383924486819</v>
      </c>
      <c r="GI65" s="150" t="n">
        <f aca="false">IF(GI$19&gt;$FJ65,"",MAX(0,IF(GI$19=$FJ65,$S65^2*GI$15,GI64*INDEX($T$20:$T$91,$FJ65-GI$19)^2/INDEX($U$20:$U$91,$FJ65-GI$19))))</f>
        <v>0.00208435718704426</v>
      </c>
      <c r="GJ65" s="150" t="n">
        <f aca="false">IF(GJ$19&gt;$FJ65,"",MAX(0,IF(GJ$19=$FJ65,$S65^2*GJ$15,GJ64*INDEX($T$20:$T$91,$FJ65-GJ$19)^2/INDEX($U$20:$U$91,$FJ65-GJ$19))))</f>
        <v>0.00239512986314639</v>
      </c>
      <c r="GK65" s="150" t="n">
        <f aca="false">IF(GK$19&gt;$FJ65,"",MAX(0,IF(GK$19=$FJ65,$S65^2*GK$15,GK64*INDEX($T$20:$T$91,$FJ65-GK$19)^2/INDEX($U$20:$U$91,$FJ65-GK$19))))</f>
        <v>0.00220249190272292</v>
      </c>
      <c r="GL65" s="150" t="n">
        <f aca="false">IF(GL$19&gt;$FJ65,"",MAX(0,IF(GL$19=$FJ65,$S65^2*GL$15,GL64*INDEX($T$20:$T$91,$FJ65-GL$19)^2/INDEX($U$20:$U$91,$FJ65-GL$19))))</f>
        <v>0.00215788907144003</v>
      </c>
      <c r="GM65" s="150" t="n">
        <f aca="false">IF(GM$19&gt;$FJ65,"",MAX(0,IF(GM$19=$FJ65,$S65^2*GM$15,GM64*INDEX($T$20:$T$91,$FJ65-GM$19)^2/INDEX($U$20:$U$91,$FJ65-GM$19))))</f>
        <v>0.00234334611515058</v>
      </c>
      <c r="GN65" s="150" t="n">
        <f aca="false">IF(GN$19&gt;$FJ65,"",MAX(0,IF(GN$19=$FJ65,$S65^2*GN$15,GN64*INDEX($T$20:$T$91,$FJ65-GN$19)^2/INDEX($U$20:$U$91,$FJ65-GN$19))))</f>
        <v>0.0023870263305593</v>
      </c>
      <c r="GO65" s="150" t="n">
        <f aca="false">IF(GO$19&gt;$FJ65,"",MAX(0,IF(GO$19=$FJ65,$S65^2*GO$15,GO64*INDEX($T$20:$T$91,$FJ65-GO$19)^2/INDEX($U$20:$U$91,$FJ65-GO$19))))</f>
        <v>0.00243925589829483</v>
      </c>
      <c r="GP65" s="150" t="n">
        <f aca="false">IF(GP$19&gt;$FJ65,"",MAX(0,IF(GP$19=$FJ65,$S65^2*GP$15,GP64*INDEX($T$20:$T$91,$FJ65-GP$19)^2/INDEX($U$20:$U$91,$FJ65-GP$19))))</f>
        <v>0.00225980859626826</v>
      </c>
      <c r="GQ65" s="150" t="n">
        <f aca="false">IF(GQ$19&gt;$FJ65,"",MAX(0,IF(GQ$19=$FJ65,$S65^2*GQ$15,GQ64*INDEX($T$20:$T$91,$FJ65-GQ$19)^2/INDEX($U$20:$U$91,$FJ65-GQ$19))))</f>
        <v>0.00257746214176</v>
      </c>
      <c r="GR65" s="150" t="n">
        <f aca="false">IF(GR$19&gt;$FJ65,"",MAX(0,IF(GR$19=$FJ65,$S65^2*GR$15,GR64*INDEX($T$20:$T$91,$FJ65-GR$19)^2/INDEX($U$20:$U$91,$FJ65-GR$19))))</f>
        <v>0.00258285411991118</v>
      </c>
      <c r="GS65" s="150" t="n">
        <f aca="false">IF(GS$19&gt;$FJ65,"",MAX(0,IF(GS$19=$FJ65,$S65^2*GS$15,GS64*INDEX($T$20:$T$91,$FJ65-GS$19)^2/INDEX($U$20:$U$91,$FJ65-GS$19))))</f>
        <v>0.00278042963265799</v>
      </c>
      <c r="GT65" s="150" t="n">
        <f aca="false">IF(GT$19&gt;$FJ65,"",MAX(0,IF(GT$19=$FJ65,$S65^2*GT$15,GT64*INDEX($T$20:$T$91,$FJ65-GT$19)^2/INDEX($U$20:$U$91,$FJ65-GT$19))))</f>
        <v>0.00282313376607233</v>
      </c>
      <c r="GU65" s="150" t="n">
        <f aca="false">IF(GU$19&gt;$FJ65,"",MAX(0,IF(GU$19=$FJ65,$S65^2*GU$15,GU64*INDEX($T$20:$T$91,$FJ65-GU$19)^2/INDEX($U$20:$U$91,$FJ65-GU$19))))</f>
        <v>0.00308653967522158</v>
      </c>
      <c r="GV65" s="150" t="n">
        <f aca="false">IF(GV$19&gt;$FJ65,"",MAX(0,IF(GV$19=$FJ65,$S65^2*GV$15,GV64*INDEX($T$20:$T$91,$FJ65-GV$19)^2/INDEX($U$20:$U$91,$FJ65-GV$19))))</f>
        <v>0.00329813168682892</v>
      </c>
      <c r="GW65" s="150" t="n">
        <f aca="false">IF(GW$19&gt;$FJ65,"",MAX(0,IF(GW$19=$FJ65,$S65^2*GW$15,GW64*INDEX($T$20:$T$91,$FJ65-GW$19)^2/INDEX($U$20:$U$91,$FJ65-GW$19))))</f>
        <v>0.00345066500665603</v>
      </c>
      <c r="GX65" s="150" t="n">
        <f aca="false">IF(GX$19&gt;$FJ65,"",MAX(0,IF(GX$19=$FJ65,$S65^2*GX$15,GX64*INDEX($T$20:$T$91,$FJ65-GX$19)^2/INDEX($U$20:$U$91,$FJ65-GX$19))))</f>
        <v>0.00390872594131686</v>
      </c>
      <c r="GY65" s="150" t="n">
        <f aca="false">IF(GY$19&gt;$FJ65,"",MAX(0,IF(GY$19=$FJ65,$S65^2*GY$15,GY64*INDEX($T$20:$T$91,$FJ65-GY$19)^2/INDEX($U$20:$U$91,$FJ65-GY$19))))</f>
        <v>0.00421532644324072</v>
      </c>
      <c r="GZ65" s="150" t="n">
        <f aca="false">IF(GZ$19&gt;$FJ65,"",MAX(0,IF(GZ$19=$FJ65,$S65^2*GZ$15,GZ64*INDEX($T$20:$T$91,$FJ65-GZ$19)^2/INDEX($U$20:$U$91,$FJ65-GZ$19))))</f>
        <v>0.00495012313732957</v>
      </c>
      <c r="HA65" s="150" t="n">
        <f aca="false">IF(HA$19&gt;$FJ65,"",MAX(0,IF(HA$19=$FJ65,$S65^2*HA$15,HA64*INDEX($T$20:$T$91,$FJ65-HA$19)^2/INDEX($U$20:$U$91,$FJ65-HA$19))))</f>
        <v>0.00575873741933992</v>
      </c>
      <c r="HB65" s="150" t="n">
        <f aca="false">IF(HB$19&gt;$FJ65,"",MAX(0,IF(HB$19=$FJ65,$S65^2*HB$15,HB64*INDEX($T$20:$T$91,$FJ65-HB$19)^2/INDEX($U$20:$U$91,$FJ65-HB$19))))</f>
        <v>0.00644578822522652</v>
      </c>
      <c r="HC65" s="150" t="n">
        <f aca="false">IF(HC$19&gt;$FJ65,"",MAX(0,IF(HC$19=$FJ65,$S65^2*HC$15,HC64*INDEX($T$20:$T$91,$FJ65-HC$19)^2/INDEX($U$20:$U$91,$FJ65-HC$19))))</f>
        <v>0.00852847788940446</v>
      </c>
      <c r="HD65" s="150" t="n">
        <f aca="false">IF(HD$19&gt;$FJ65,"",MAX(0,IF(HD$19=$FJ65,$S65^2*HD$15,HD64*INDEX($T$20:$T$91,$FJ65-HD$19)^2/INDEX($U$20:$U$91,$FJ65-HD$19))))</f>
        <v>0.0106447713873224</v>
      </c>
      <c r="HE65" s="150" t="str">
        <f aca="false">IF(HE$19&gt;$FJ65,"",MAX(0,IF(HE$19=$FJ65,$S65^2*HE$15,HE64*INDEX($T$20:$T$91,$FJ65-HE$19)^2/INDEX($U$20:$U$91,$FJ65-HE$19))))</f>
        <v/>
      </c>
      <c r="HF65" s="150" t="str">
        <f aca="false">IF(HF$19&gt;$FJ65,"",MAX(0,IF(HF$19=$FJ65,$S65^2*HF$15,HF64*INDEX($T$20:$T$91,$FJ65-HF$19)^2/INDEX($U$20:$U$91,$FJ65-HF$19))))</f>
        <v/>
      </c>
      <c r="HG65" s="150" t="str">
        <f aca="false">IF(HG$19&gt;$FJ65,"",MAX(0,IF(HG$19=$FJ65,$S65^2*HG$15,HG64*INDEX($T$20:$T$91,$FJ65-HG$19)^2/INDEX($U$20:$U$91,$FJ65-HG$19))))</f>
        <v/>
      </c>
      <c r="HH65" s="150" t="str">
        <f aca="false">IF(HH$19&gt;$FJ65,"",MAX(0,IF(HH$19=$FJ65,$S65^2*HH$15,HH64*INDEX($T$20:$T$91,$FJ65-HH$19)^2/INDEX($U$20:$U$91,$FJ65-HH$19))))</f>
        <v/>
      </c>
      <c r="HI65" s="150" t="str">
        <f aca="false">IF(HI$19&gt;$FJ65,"",MAX(0,IF(HI$19=$FJ65,$S65^2*HI$15,HI64*INDEX($T$20:$T$91,$FJ65-HI$19)^2/INDEX($U$20:$U$91,$FJ65-HI$19))))</f>
        <v/>
      </c>
      <c r="HJ65" s="150" t="str">
        <f aca="false">IF(HJ$19&gt;$FJ65,"",MAX(0,IF(HJ$19=$FJ65,$S65^2*HJ$15,HJ64*INDEX($T$20:$T$91,$FJ65-HJ$19)^2/INDEX($U$20:$U$91,$FJ65-HJ$19))))</f>
        <v/>
      </c>
      <c r="HK65" s="150" t="str">
        <f aca="false">IF(HK$19&gt;$FJ65,"",MAX(0,IF(HK$19=$FJ65,$S65^2*HK$15,HK64*INDEX($T$20:$T$91,$FJ65-HK$19)^2/INDEX($U$20:$U$91,$FJ65-HK$19))))</f>
        <v/>
      </c>
      <c r="HL65" s="150" t="str">
        <f aca="false">IF(HL$19&gt;$FJ65,"",MAX(0,IF(HL$19=$FJ65,$S65^2*HL$15,HL64*INDEX($T$20:$T$91,$FJ65-HL$19)^2/INDEX($U$20:$U$91,$FJ65-HL$19))))</f>
        <v/>
      </c>
      <c r="HM65" s="150" t="str">
        <f aca="false">IF(HM$19&gt;$FJ65,"",MAX(0,IF(HM$19=$FJ65,$S65^2*HM$15,HM64*INDEX($T$20:$T$91,$FJ65-HM$19)^2/INDEX($U$20:$U$91,$FJ65-HM$19))))</f>
        <v/>
      </c>
      <c r="HN65" s="150" t="str">
        <f aca="false">IF(HN$19&gt;$FJ65,"",MAX(0,IF(HN$19=$FJ65,$S65^2*HN$15,HN64*INDEX($T$20:$T$91,$FJ65-HN$19)^2/INDEX($U$20:$U$91,$FJ65-HN$19))))</f>
        <v/>
      </c>
      <c r="HO65" s="150" t="str">
        <f aca="false">IF(HO$19&gt;$FJ65,"",MAX(0,IF(HO$19=$FJ65,$S65^2*HO$15,HO64*INDEX($T$20:$T$91,$FJ65-HO$19)^2/INDEX($U$20:$U$91,$FJ65-HO$19))))</f>
        <v/>
      </c>
      <c r="HP65" s="150" t="str">
        <f aca="false">IF(HP$19&gt;$FJ65,"",MAX(0,IF(HP$19=$FJ65,$S65^2*HP$15,HP64*INDEX($T$20:$T$91,$FJ65-HP$19)^2/INDEX($U$20:$U$91,$FJ65-HP$19))))</f>
        <v/>
      </c>
      <c r="HQ65" s="150" t="str">
        <f aca="false">IF(HQ$19&gt;$FJ65,"",MAX(0,IF(HQ$19=$FJ65,$S65^2*HQ$15,HQ64*INDEX($T$20:$T$91,$FJ65-HQ$19)^2/INDEX($U$20:$U$91,$FJ65-HQ$19))))</f>
        <v/>
      </c>
      <c r="HR65" s="150" t="str">
        <f aca="false">IF(HR$19&gt;$FJ65,"",MAX(0,IF(HR$19=$FJ65,$S65^2*HR$15,HR64*INDEX($T$20:$T$91,$FJ65-HR$19)^2/INDEX($U$20:$U$91,$FJ65-HR$19))))</f>
        <v/>
      </c>
      <c r="HS65" s="150" t="str">
        <f aca="false">IF(HS$19&gt;$FJ65,"",MAX(0,IF(HS$19=$FJ65,$S65^2*HS$15,HS64*INDEX($T$20:$T$91,$FJ65-HS$19)^2/INDEX($U$20:$U$91,$FJ65-HS$19))))</f>
        <v/>
      </c>
      <c r="HT65" s="150" t="str">
        <f aca="false">IF(HT$19&gt;$FJ65,"",MAX(0,IF(HT$19=$FJ65,$S65^2*HT$15,HT64*INDEX($T$20:$T$91,$FJ65-HT$19)^2/INDEX($U$20:$U$91,$FJ65-HT$19))))</f>
        <v/>
      </c>
      <c r="HU65" s="150" t="str">
        <f aca="false">IF(HU$19&gt;$FJ65,"",MAX(0,IF(HU$19=$FJ65,$S65^2*HU$15,HU64*INDEX($T$20:$T$91,$FJ65-HU$19)^2/INDEX($U$20:$U$91,$FJ65-HU$19))))</f>
        <v/>
      </c>
      <c r="HV65" s="150" t="str">
        <f aca="false">IF(HV$19&gt;$FJ65,"",MAX(0,IF(HV$19=$FJ65,$S65^2*HV$15,HV64*INDEX($T$20:$T$91,$FJ65-HV$19)^2/INDEX($U$20:$U$91,$FJ65-HV$19))))</f>
        <v/>
      </c>
      <c r="HW65" s="150" t="str">
        <f aca="false">IF(HW$19&gt;$FJ65,"",MAX(0,IF(HW$19=$FJ65,$S65^2*HW$15,HW64*INDEX($T$20:$T$91,$FJ65-HW$19)^2/INDEX($U$20:$U$91,$FJ65-HW$19))))</f>
        <v/>
      </c>
      <c r="HX65" s="150" t="str">
        <f aca="false">IF(HX$19&gt;$FJ65,"",MAX(0,IF(HX$19=$FJ65,$S65^2*HX$15,HX64*INDEX($T$20:$T$91,$FJ65-HX$19)^2/INDEX($U$20:$U$91,$FJ65-HX$19))))</f>
        <v/>
      </c>
      <c r="HY65" s="150" t="str">
        <f aca="false">IF(HY$19&gt;$FJ65,"",MAX(0,IF(HY$19=$FJ65,$S65^2*HY$15,HY64*INDEX($T$20:$T$91,$FJ65-HY$19)^2/INDEX($U$20:$U$91,$FJ65-HY$19))))</f>
        <v/>
      </c>
      <c r="HZ65" s="150" t="str">
        <f aca="false">IF(HZ$19&gt;$FJ65,"",MAX(0,IF(HZ$19=$FJ65,$S65^2*HZ$15,HZ64*INDEX($T$20:$T$91,$FJ65-HZ$19)^2/INDEX($U$20:$U$91,$FJ65-HZ$19))))</f>
        <v/>
      </c>
      <c r="IA65" s="150" t="str">
        <f aca="false">IF(IA$19&gt;$FJ65,"",MAX(0,IF(IA$19=$FJ65,$S65^2*IA$15,IA64*INDEX($T$20:$T$91,$FJ65-IA$19)^2/INDEX($U$20:$U$91,$FJ65-IA$19))))</f>
        <v/>
      </c>
      <c r="IB65" s="150" t="str">
        <f aca="false">IF(IB$19&gt;$FJ65,"",MAX(0,IF(IB$19=$FJ65,$S65^2*IB$15,IB64*INDEX($T$20:$T$91,$FJ65-IB$19)^2/INDEX($U$20:$U$91,$FJ65-IB$19))))</f>
        <v/>
      </c>
      <c r="IC65" s="150" t="str">
        <f aca="false">IF(IC$19&gt;$FJ65,"",MAX(0,IF(IC$19=$FJ65,$S65^2*IC$15,IC64*INDEX($T$20:$T$91,$FJ65-IC$19)^2/INDEX($U$20:$U$91,$FJ65-IC$19))))</f>
        <v/>
      </c>
      <c r="ID65" s="572" t="str">
        <f aca="false">IF(ID$19&gt;$FJ65,"",MAX(0,IF(ID$19=$FJ65,$S65^2*ID$15,ID64*INDEX($T$20:$T$91,$FJ65-ID$19)^2/INDEX($U$20:$U$91,$FJ65-ID$19))))</f>
        <v/>
      </c>
      <c r="IE65" s="129"/>
    </row>
    <row r="66" customFormat="false" ht="12.75" hidden="false" customHeight="false" outlineLevel="0" collapsed="false">
      <c r="A66" s="3"/>
      <c r="F66" s="3"/>
      <c r="G66" s="3"/>
      <c r="H66" s="219" t="n">
        <f aca="false">VLOOKUP(I66,$EJ$20:$EL$54,3)</f>
        <v>0</v>
      </c>
      <c r="I66" s="511" t="n">
        <f aca="false">EOMONTH(I65,0)+1</f>
        <v>38169</v>
      </c>
      <c r="J66" s="512"/>
      <c r="K66" s="513" t="s">
        <v>250</v>
      </c>
      <c r="L66" s="514" t="e">
        <f aca="false">IF(ISNUMBER(K66),J66+K66/100,IF(K66="extra",L65+VLOOKUP(BF66,PriceSpreadTable,2)/12,IF(K66="inter",interpolateprices($K$19:$L$200,ROW(K66)-ROW(FirstPricingMonth)+1),interpolatechanges($J$19:$K$200,ROW(K66)-ROW(FirstPricingMonth)+1))))</f>
        <v>#VALUE!</v>
      </c>
      <c r="M66" s="515"/>
      <c r="N66" s="516" t="n">
        <v>0</v>
      </c>
      <c r="O66" s="515" t="n">
        <f aca="false">M66+N66</f>
        <v>0</v>
      </c>
      <c r="P66" s="512"/>
      <c r="Q66" s="513" t="s">
        <v>280</v>
      </c>
      <c r="R66" s="512" t="e">
        <f aca="false">IF(ISNUMBER(Q66),P66+Q66/100,IF(Q66="extra",(Z64*AL64-R65*AM64)/AN64,IF(Q66="inter",interpolateprices($Q$19:$R$260,ROW(Q66)-ROW(FirstPricingMonth)+1),interpolatechanges($P$19:$Q$260,ROW(Q66)-ROW(FirstPricingMonth)+1))))</f>
        <v>#VALUE!</v>
      </c>
      <c r="S66" s="597" t="n">
        <f aca="false">S$19+(S65-S$19)*S$18</f>
        <v>0.360000095458992</v>
      </c>
      <c r="T66" s="575" t="n">
        <f aca="false">SQRT((1-(1-T65^2/U65)*T$18)*U66)</f>
        <v>0.999916628698224</v>
      </c>
      <c r="U66" s="576" t="n">
        <f aca="false">1-(1-U65)*U$18</f>
        <v>0.999999973152159</v>
      </c>
      <c r="V66" s="521" t="n">
        <v>0</v>
      </c>
      <c r="W66" s="577" t="n">
        <f aca="false">(J67*AJ66+J68*AK66)/AI66</f>
        <v>0</v>
      </c>
      <c r="X66" s="578" t="e">
        <f aca="false">(L67*AJ66+L68*AK66)/AI66</f>
        <v>#VALUE!</v>
      </c>
      <c r="Y66" s="579" t="n">
        <f aca="false">IF(Q68="extra",W66-AA66,(P67*AM66+P68*AN66)/AL66)</f>
        <v>-1.2051</v>
      </c>
      <c r="Z66" s="579" t="e">
        <f aca="false">IF(Q68="extra",X66-AB66,(R67*AM66+R68*AN66)/AL66)</f>
        <v>#VALUE!</v>
      </c>
      <c r="AA66" s="523" t="n">
        <f aca="false">IF(Q68="extra",INDEX(BrentSeasonalityTable,INT((BG66-1)/3)+1)*VLOOKUP(MAX(BF66,$AB$4),PriceSpreadTable,3),W66-Y66)</f>
        <v>1.2051</v>
      </c>
      <c r="AB66" s="524" t="n">
        <f aca="false">IF(Q68="extra",INDEX(BrentSeasonalityTable,INT((BG66-1)/3)+1)*VLOOKUP(MAX(BF66,$AB$4),PriceSpreadTable,3),X66-Z66)</f>
        <v>1.2051</v>
      </c>
      <c r="AC66" s="646" t="n">
        <v>38158</v>
      </c>
      <c r="AD66" s="646" t="n">
        <v>38154</v>
      </c>
      <c r="AE66" s="646" t="n">
        <v>38153</v>
      </c>
      <c r="AF66" s="646" t="n">
        <v>38149</v>
      </c>
      <c r="AG66" s="438" t="s">
        <v>247</v>
      </c>
      <c r="AH66" s="439" t="s">
        <v>278</v>
      </c>
      <c r="AI66" s="528" t="n">
        <v>22</v>
      </c>
      <c r="AJ66" s="529" t="n">
        <v>14</v>
      </c>
      <c r="AK66" s="529" t="n">
        <v>8</v>
      </c>
      <c r="AL66" s="530" t="n">
        <v>22</v>
      </c>
      <c r="AM66" s="529" t="n">
        <v>10</v>
      </c>
      <c r="AN66" s="531" t="n">
        <v>12</v>
      </c>
      <c r="AO66" s="532"/>
      <c r="AP66" s="465" t="n">
        <f aca="false">(1+AO66/2)^(-2*BL66)</f>
        <v>1</v>
      </c>
      <c r="AQ66" s="532"/>
      <c r="AR66" s="465" t="n">
        <f aca="false">(1+AQ66/2)^(-2*BH66/365.25)</f>
        <v>1</v>
      </c>
      <c r="AS66" s="580" t="n">
        <f aca="false">(O67*AJ66+O68*AK66)/AI66</f>
        <v>0</v>
      </c>
      <c r="AT66" s="468" t="n">
        <f aca="false">O66*VLOOKUP(BF66,BrentVolTable,2)+VLOOKUP(BF66,BrentVolTable,3)</f>
        <v>0</v>
      </c>
      <c r="AU66" s="468" t="n">
        <f aca="false">(AT67*AM66+AT68*AN66)/AL66</f>
        <v>0</v>
      </c>
      <c r="AV66" s="595" t="n">
        <f aca="false">SQRT(MAX(0.000000000001,(O66^2*BH66-S66^2*(BH66-BH65))/BH65))</f>
        <v>0.0226924031124135</v>
      </c>
      <c r="AW66" s="451" t="n">
        <f aca="false">IF($I66-DateToday+15&gt;=$T$8,"",IF($I66-DateToday+15&lt;$T$5,1,MATCH($I66-DateToday+15,$T$5:$T$8)))</f>
        <v>1</v>
      </c>
      <c r="AX66" s="468" t="n">
        <f aca="false">IF($AW66="",AX65^2/AX64,INDEX(U$5:U$8,$AW66)^((INDEX($T$5:$T$8,$AW66+1)-($I66-DateToday+15))/(INDEX($T$5:$T$8,$AW66+1)-INDEX($T$5:$T$8,$AW66)))/INDEX(U$5:U$8,$AW66+1)^((INDEX($T$5:$T$8,$AW66)-($I66-DateToday+15))/(INDEX($T$5:$T$8,$AW66+1)-INDEX($T$5:$T$8,$AW66))))</f>
        <v>4.6976224194655</v>
      </c>
      <c r="AY66" s="468" t="n">
        <f aca="false">IF($AW66="",AY65^2/AY64,INDEX(V$5:V$8,$AW66)^((INDEX($T$5:$T$8,$AW66+1)-($I66-DateToday+15))/(INDEX($T$5:$T$8,$AW66+1)-INDEX($T$5:$T$8,$AW66)))/INDEX(V$5:V$8,$AW66+1)^((INDEX($T$5:$T$8,$AW66)-($I66-DateToday+15))/(INDEX($T$5:$T$8,$AW66+1)-INDEX($T$5:$T$8,$AW66))))</f>
        <v>752.439852829976</v>
      </c>
      <c r="AZ66" s="468" t="n">
        <f aca="false">IF($AW66="",AZ65^2/AZ64,INDEX(W$5:W$8,$AW66)^((INDEX($T$5:$T$8,$AW66+1)-($I66-DateToday+15))/(INDEX($T$5:$T$8,$AW66+1)-INDEX($T$5:$T$8,$AW66)))/INDEX(W$5:W$8,$AW66+1)^((INDEX($T$5:$T$8,$AW66)-($I66-DateToday+15))/(INDEX($T$5:$T$8,$AW66+1)-INDEX($T$5:$T$8,$AW66))))</f>
        <v>15960862.2186273</v>
      </c>
      <c r="BA66" s="468" t="n">
        <f aca="false">IF($AW66="",BA65^2/BA64,INDEX(X$5:X$8,$AW66)^((INDEX($T$5:$T$8,$AW66+1)-($I66-DateToday+15))/(INDEX($T$5:$T$8,$AW66+1)-INDEX($T$5:$T$8,$AW66)))/INDEX(X$5:X$8,$AW66+1)^((INDEX($T$5:$T$8,$AW66)-($I66-DateToday+15))/(INDEX($T$5:$T$8,$AW66+1)-INDEX($T$5:$T$8,$AW66))))</f>
        <v>781021918.668989</v>
      </c>
      <c r="BB66" s="468" t="n">
        <f aca="false">IF($AW66="",BB65^2/BB64,INDEX(Y$5:Y$8,$AW66)^((INDEX($T$5:$T$8,$AW66+1)-($I66-DateToday+15))/(INDEX($T$5:$T$8,$AW66+1)-INDEX($T$5:$T$8,$AW66)))/INDEX(Y$5:Y$8,$AW66+1)^((INDEX($T$5:$T$8,$AW66)-($I66-DateToday+15))/(INDEX($T$5:$T$8,$AW66+1)-INDEX($T$5:$T$8,$AW66))))</f>
        <v>13698703748.5143</v>
      </c>
      <c r="BC66" s="468" t="n">
        <f aca="false">IF($AW66="",BC65^2/BC64,INDEX(Z$5:Z$8,$AW66)^((INDEX($T$5:$T$8,$AW66+1)-($I66-DateToday+15))/(INDEX($T$5:$T$8,$AW66+1)-INDEX($T$5:$T$8,$AW66)))/INDEX(Z$5:Z$8,$AW66+1)^((INDEX($T$5:$T$8,$AW66)-($I66-DateToday+15))/(INDEX($T$5:$T$8,$AW66+1)-INDEX($T$5:$T$8,$AW66))))</f>
        <v>75810945223.2656</v>
      </c>
      <c r="BD66" s="535" t="n">
        <f aca="false">IF(OR(DateStart&gt;=I67,DateEnd&lt;I66),0,IF(VolumeOverrideFlag,V66,Volume))</f>
        <v>0</v>
      </c>
      <c r="BE66" s="536" t="n">
        <f aca="false">IF(OR(DateStart2&gt;=I67,DateEnd2&lt;I66),0,IF(VolumeOverrideFlag,V66,VolumeSwaption))</f>
        <v>0</v>
      </c>
      <c r="BF66" s="537" t="n">
        <f aca="false">YEAR(I66)</f>
        <v>2004</v>
      </c>
      <c r="BG66" s="538" t="n">
        <f aca="false">MONTH(I66)</f>
        <v>7</v>
      </c>
      <c r="BH66" s="539" t="n">
        <f aca="false">AD66-DateToday+1</f>
        <v>-7771</v>
      </c>
      <c r="BI66" s="540" t="n">
        <f aca="false">(I66-DateToday+1)/365.25</f>
        <v>-21.2347707049966</v>
      </c>
      <c r="BJ66" s="541" t="n">
        <f aca="false">BI66+(BL66-BI66)*CHOOSE(Underlying,AJ66/AI66,AM66/AL66)</f>
        <v>-21.182502644515</v>
      </c>
      <c r="BK66" s="541" t="n">
        <f aca="false">BJ66+1/365.25</f>
        <v>-21.1797647937278</v>
      </c>
      <c r="BL66" s="541" t="n">
        <f aca="false">(I67-DateToday)/365.25</f>
        <v>-21.1526351813826</v>
      </c>
      <c r="BM66" s="542" t="e">
        <f aca="false">MAX(BI66-(BJ66-BI66)*(S67^2/O67^2-1),0)</f>
        <v>#DIV/0!</v>
      </c>
      <c r="BN66" s="541" t="e">
        <f aca="false">MAX(BL66+(BL66-BK66)*(S68^2/O68^2-1),0)</f>
        <v>#DIV/0!</v>
      </c>
      <c r="BO66" s="530" t="n">
        <f aca="false">CHOOSE(Underlying,AI66,AL66)</f>
        <v>22</v>
      </c>
      <c r="BP66" s="529" t="n">
        <f aca="false">CHOOSE(Underlying,AJ66,AM66)</f>
        <v>14</v>
      </c>
      <c r="BQ66" s="529" t="n">
        <f aca="false">CHOOSE(Underlying,AK66,AN66)</f>
        <v>8</v>
      </c>
      <c r="BR66" s="463" t="str">
        <f aca="false">IF(BD66,IF(Underlying=1,X66,Z66)+UnderlyingPriceAsian-SwapPriceCurve,"")</f>
        <v/>
      </c>
      <c r="BS66" s="463" t="str">
        <f aca="false">IF(BD66,Strike1/BR66-1,"")</f>
        <v/>
      </c>
      <c r="BT66" s="464" t="str">
        <f aca="false">IF(BD66,Strike2/BR66-1,"")</f>
        <v/>
      </c>
      <c r="BU66" s="465" t="str">
        <f aca="false">IF(BD66,IF(Underlying=1,L67,R67)+UnderlyingPriceAsian-SwapPriceCurve,"")</f>
        <v/>
      </c>
      <c r="BV66" s="465" t="str">
        <f aca="false">IF(BD66,IF(Underlying=1,L68,R68)+UnderlyingPriceAsian-SwapPriceCurve,"")</f>
        <v/>
      </c>
      <c r="BW66" s="466" t="str">
        <f aca="false">IF(BD66,IF(Underlying=1,O67,AT67),"")</f>
        <v/>
      </c>
      <c r="BX66" s="467" t="str">
        <f aca="false">IF(BD66,IF(Underlying=1,O68,AT68),"")</f>
        <v/>
      </c>
      <c r="BY66" s="466" t="str">
        <f aca="false">IF(BD66,IF(BS66&gt;0,IF(BS66&gt;0.2,BC66-BB66,IF(BS66&gt;0.1,BB66-BA66,BA66)),IF(BS66&lt;-0.2,AX66-AY66,IF(BS66&lt;-0.1,AY66-AZ66,AZ66))),"")</f>
        <v/>
      </c>
      <c r="BZ66" s="467" t="str">
        <f aca="false">IF(BD66,IF(BT66&gt;0,IF(BT66&gt;0.2,BC66-BB66,IF(BT66&gt;0.1,BB66-BA66,BA66)),IF(BT66&lt;-0.2,AX66-AY66,IF(BT66&lt;-0.1,AY66-AZ66,AZ66))),"")</f>
        <v/>
      </c>
      <c r="CA66" s="468" t="str">
        <f aca="false">IF($BD66,$BW66+IF(VolSkewFlag=1,IF(BS66&gt;0,$BA66*MIN(BS66/10%,1)+($BB66-$BA66)*MAX(0,MIN(BS66/10%-1,1))+($BC66-$BB66)*MAX(0,BS66/10%-2),$AZ66*MIN(-BS66/10%,1)+($AY66-$AZ66)*MAX(0,MIN(-BS66/10%-1,1))+($AX66-$AY66)*MAX(0,-BS66/10%-2)),0),"")</f>
        <v/>
      </c>
      <c r="CB66" s="468" t="str">
        <f aca="false">IF($BD66,$BX66+IF(VolSkewFlag=1,IF(BS66&gt;0,$BA66*MIN(BS66/10%,1)+($BB66-$BA66)*MAX(0,MIN(BS66/10%-1,1))+($BC66-$BB66)*MAX(0,BS66/10%-2),$AZ66*MIN(-BS66/10%,1)+($AY66-$AZ66)*MAX(0,MIN(-BS66/10%-1,1))+($AX66-$AY66)*MAX(0,-BS66/10%-2)),0),"")</f>
        <v/>
      </c>
      <c r="CC66" s="468" t="str">
        <f aca="false">IF($BD66,$BW66+IF(VolSkewFlag=1,IF(BT66&gt;0,$BA66*MIN(BT66/10%,1)+($BB66-$BA66)*MAX(0,MIN(BT66/10%-1,1))+($BC66-$BB66)*MAX(0,BT66/10%-2),$AZ66*MIN(-BT66/10%,1)+($AY66-$AZ66)*MAX(0,MIN(-BT66/10%-1,1))+($AX66-$AY66)*MAX(0,-BT66/10%-2)),0),"")</f>
        <v/>
      </c>
      <c r="CD66" s="468" t="str">
        <f aca="false">IF($BD66,$BX66+IF(VolSkewFlag=1,IF(BT66&gt;0,$BA66*MIN(BT66/10%,1)+($BB66-$BA66)*MAX(0,MIN(BT66/10%-1,1))+($BC66-$BB66)*MAX(0,BT66/10%-2),$AZ66*MIN(-BT66/10%,1)+($AY66-$AZ66)*MAX(0,MIN(-BT66/10%-1,1))+($AX66-$AY66)*MAX(0,-BT66/10%-2)),0),"")</f>
        <v/>
      </c>
      <c r="CE66" s="469" t="n">
        <v>1</v>
      </c>
      <c r="CF66" s="470" t="n">
        <f aca="false">IF(BD66,xCrudeAPO(BU66,BV66,CA66,CB66,S67,S68,BI66,BL66,BP66,BQ66,0,Strike1,AO66,CE66,0,BL66,IF(OptControl=4,0,1),0,1),0)</f>
        <v>0</v>
      </c>
      <c r="CG66" s="470" t="n">
        <f aca="false">IF(BD66,xCrudeAPO(BU66,BV66,CA66,CB66,S67,S68,BI66,BL66,BP66,BQ66,0,Strike1,AO66,CE66,0,BL66,IF(OptControl=4,0,1),1,1)+xCrudeAPO(BU66,BV66,CA66,CB66,S67,S68,BI66,BL66,BP66,BQ66,0,Strike1,AO66,CE66,0,BL66,IF(OptControl=4,0,1),1,2)+IF(OR(VolSkewFlag=2,ABS(BS66)&lt;0.0001),0,IF(BS66&gt;0,-1,1)*CH66*Strike1/BR66^2*BY66/10%),0)</f>
        <v>0</v>
      </c>
      <c r="CH66" s="470" t="n">
        <f aca="false">IF(BD66,(xCrudeAPO(BU66,BV66,CA66,CB66,S67,S68,BI66,BL66,BP66,BQ66,0,Strike1,AO66,CE66,0,BL66,IF(OptControl=4,0,1),3,1)+xCrudeAPO(BU66,BV66,CA66,CB66,S67,S68,BI66,BL66,BP66,BQ66,0,Strike1,AO66,CE66,0,BL66,IF(OptControl=4,0,1),3,2))/100,0)</f>
        <v>0</v>
      </c>
      <c r="CI66" s="470" t="n">
        <f aca="false">IF(BD66,xCrudeAPO(BU66,BV66,CA66,CB66,S67,S68,BI66-DaysForThetaCalculation/365.25,BL66-DaysForThetaCalculation/365.25,BP66,BQ66,0,Strike1,AO66,CE66,0,BL66,IF(OptControl=4,0,1),0,1)-xCrudeAPO(BU66,BV66,CA66,CB66,S67,S68,BI66,BL66,BP66,BQ66,0,Strike1,AO66,CE66,0,BL66,IF(OptControl=4,0,1),0,1),0)</f>
        <v>0</v>
      </c>
      <c r="CJ66" s="471" t="n">
        <f aca="false">IF(BD66,xCrudeAPO(BU66,BV66,CC66,CD66,S67,S68,BI66,BL66,BP66,BQ66,0,Strike2,AO66,CE66,0,BL66,IF(OptControl=3,1,0),0,1),0)</f>
        <v>0</v>
      </c>
      <c r="CK66" s="470" t="n">
        <f aca="false">IF(BD66,xCrudeAPO(BU66,BV66,CC66,CD66,S67,S68,BI66,BL66,BP66,BQ66,0,Strike2,AO66,CE66,0,BL66,IF(OptControl=3,1,0),1,1)+xCrudeAPO(BU66,BV66,CC66,CD66,S67,S68,BI66,BL66,BP66,BQ66,0,Strike2,AO66,CE66,0,BL66,IF(OptControl=3,1,0),1,2)+IF(OR(VolSkewFlag=2,ABS(BT66)&lt;0.0001),0,IF(BT66&gt;0,-1,1)*CL66*Strike2/BR66^2*BZ66/10%),0)</f>
        <v>0</v>
      </c>
      <c r="CL66" s="470" t="n">
        <f aca="false">IF(BD66,(xCrudeAPO(BU66,BV66,CC66,CD66,S67,S68,BI66,BL66,BP66,BQ66,0,Strike2,AO66,CE66,0,BL66,IF(OptControl=3,1,0),3,1)+xCrudeAPO(BU66,BV66,CC66,CD66,S67,S68,BI66,BL66,BP66,BQ66,0,Strike2,AO66,CE66,0,BL66,IF(OptControl=3,1,0),3,2))/100,0)</f>
        <v>0</v>
      </c>
      <c r="CM66" s="472" t="n">
        <f aca="false">IF(BD66,xCrudeAPO(BU66,BV66,CC66,CD66,S67,S68,BI66-DaysForThetaCalculation/365.25,BL66-DaysForThetaCalculation/365.25,BP66,BQ66,0,Strike2,AO66,CE66,0,BL66,IF(OptControl=3,1,0),0,1)-xCrudeAPO(BU66,BV66,CC66,CD66,S67,S68,BI66,BL66,BP66,BQ66,0,Strike2,AO66,CE66,0,BL66,IF(OptControl=3,1,0),0,1),0)</f>
        <v>0</v>
      </c>
      <c r="CN66" s="3"/>
      <c r="CO66" s="543" t="str">
        <f aca="false">IF(BD66,CHOOSE(Underlying,AD66,AF66)-DateToday+1,"")</f>
        <v/>
      </c>
      <c r="CP66" s="582" t="str">
        <f aca="false">IF(BD66,CHOOSE(Underlying,L66,R66),"")</f>
        <v/>
      </c>
      <c r="CQ66" s="544" t="str">
        <f aca="false">IF(BD66,Strike1/CP66-1,"")</f>
        <v/>
      </c>
      <c r="CR66" s="544" t="str">
        <f aca="false">IF(BD66,Strike2/CP66-1,"")</f>
        <v/>
      </c>
      <c r="CS66" s="544" t="str">
        <f aca="false">IF(BD66,IF(CQ66&gt;0,IF(CQ66&gt;0.2,BC65-BB65,IF(CQ66&gt;0.1,BB65-BA65,BA65)),IF(CQ66&lt;-0.2,AX65-AY65,IF(CQ66&lt;-0.1,AY65-AZ65,AZ65))),"")</f>
        <v/>
      </c>
      <c r="CT66" s="544" t="str">
        <f aca="false">IF(BD66,IF(CR66&gt;0,IF(CR66&gt;0.2,BC65-BB65,IF(CR66&gt;0.1,BB65-BA65,BA65)),IF(CR66&lt;-0.2,AX65-AY65,IF(CR66&lt;-0.1,AY65-AZ65,AZ65))),"")</f>
        <v/>
      </c>
      <c r="CU66" s="545" t="str">
        <f aca="false">IF(BD66,CHOOSE(Underlying,O66,AT66),"")</f>
        <v/>
      </c>
      <c r="CV66" s="545" t="str">
        <f aca="false">IF(BD66,CU66+IF(VolSkewFlag=1,IF(CQ66&gt;0,BA65*MIN(CQ66/10%,1)+(BB65-BA65)*MAX(0,MIN(CQ66/10%-1,1))+(BC65-BB65)*MAX(0,CQ66/10%-2),AZ65*MIN(-CQ66/10%,1)+(AY65-AZ65)*MAX(0,MIN(-CQ66/10%-1,1))+(AX65-AY65)*MAX(0,-CQ66/10%-2)),0),"")</f>
        <v/>
      </c>
      <c r="CW66" s="545" t="str">
        <f aca="false">IF(BD66,CU66+IF(VolSkewFlag=1,IF(CR66&gt;0,BA65*MIN(CR66/10%,1)+(BB65-BA65)*MAX(0,MIN(CR66/10%-1,1))+(BC65-BB65)*MAX(0,CR66/10%-2),AZ65*MIN(-CR66/10%,1)+(AY65-AZ65)*MAX(0,MIN(-CR66/10%-1,1))+(AX65-AY65)*MAX(0,-CR66/10%-2)),0),"")</f>
        <v/>
      </c>
      <c r="CX66" s="470" t="n">
        <f aca="false">IF(BD66,EURO(CP66,Strike1,AO66,AO66,CV66,CO66,IF(OptControl=4,0,1),0),0)</f>
        <v>0</v>
      </c>
      <c r="CY66" s="470" t="n">
        <f aca="false">IF(BD66,EURO(CP66,Strike1,AO66,AO66,CV66,CO66,IF(OptControl=4,0,1),1)+IF(OR(VolSkewFlag=2,ABS(CQ66)&lt;0.0001),0,IF(CQ66&gt;0,-1,1)*CZ66*100*Strike1/CP66^2*CS66/10%),0)</f>
        <v>0</v>
      </c>
      <c r="CZ66" s="470" t="n">
        <f aca="false">IF(BD66,EURO(CP66,Strike1,AO66,AO66,CV66,CO66,IF(OptControl=4,0,1),3)/100,0)</f>
        <v>0</v>
      </c>
      <c r="DA66" s="470" t="n">
        <f aca="false">IF(BD66,EURO(CP66,Strike1,AO66,AO66,CV66,CO66,IF(OptControl=4,0,1),0)-EURO(CP66,Strike1,AO66,AO66,CV66,CO66-1,IF(OptControl=4,0,1),0),0)</f>
        <v>0</v>
      </c>
      <c r="DB66" s="470" t="n">
        <f aca="false">IF(BD66,EURO(CP66,Strike2,AO66,AO66,CW66,CO66,IF(OptControl=3,1,0),0),0)</f>
        <v>0</v>
      </c>
      <c r="DC66" s="470" t="n">
        <f aca="false">IF(BD66,EURO(CP66,Strike2,AO66,AO66,CW66,CO66,IF(OptControl=3,1,0),1)+IF(OR(VolSkewFlag=2,ABS(CR66)&lt;0.0001),0,IF(CR66&gt;0,-1,1)*DD66*100*Strike2/CP66^2*CT66/10%),0)</f>
        <v>0</v>
      </c>
      <c r="DD66" s="470" t="n">
        <f aca="false">IF(BD66,EURO(CP66,Strike2,AO66,AO66,CW66,CO66,IF(OptControl=3,1,0),3)/100,0)</f>
        <v>0</v>
      </c>
      <c r="DE66" s="472" t="n">
        <f aca="false">IF(BD66,EURO(CP66,Strike2,AO66,AO66,CW66,CO66,IF(OptControl=3,1,0),0)-EURO(CP66,Strike2,AO66,AO66,CW66,CO66-1,IF(OptControl=3,1,0),0),0)</f>
        <v>0</v>
      </c>
      <c r="DG66" s="481" t="n">
        <f aca="false">EOMONTH(DG65,0)+1</f>
        <v>47088</v>
      </c>
      <c r="DH66" s="478" t="n">
        <v>18.42</v>
      </c>
      <c r="DI66" s="479" t="n">
        <v>18.4134090909091</v>
      </c>
      <c r="DJ66" s="480" t="n">
        <f aca="false">DG66</f>
        <v>47088</v>
      </c>
      <c r="DK66" s="478" t="n">
        <v>17.3540637341029</v>
      </c>
      <c r="DL66" s="479" t="n">
        <v>17.3173090909091</v>
      </c>
      <c r="DM66" s="481" t="n">
        <f aca="false">DG66</f>
        <v>47088</v>
      </c>
      <c r="DN66" s="482" t="n">
        <f aca="false">DK66+BrentPhyBrentSpread</f>
        <v>17.4040637341029</v>
      </c>
      <c r="DO66" s="481" t="n">
        <f aca="false">DG66</f>
        <v>47088</v>
      </c>
      <c r="DP66" s="483" t="n">
        <f aca="false">DL66+DQ66</f>
        <v>17.3173090909091</v>
      </c>
      <c r="DQ66" s="546" t="n">
        <v>0</v>
      </c>
      <c r="DR66" s="480" t="n">
        <f aca="false">DG66</f>
        <v>47088</v>
      </c>
      <c r="DS66" s="485" t="n">
        <v>0.203644999153535</v>
      </c>
      <c r="DT66" s="486" t="n">
        <v>0.201718015621923</v>
      </c>
      <c r="DU66" s="480" t="n">
        <f aca="false">DG66</f>
        <v>47088</v>
      </c>
      <c r="DV66" s="485" t="n">
        <v>0.203644999153535</v>
      </c>
      <c r="DW66" s="486" t="n">
        <v>0.201718015621923</v>
      </c>
      <c r="DX66" s="481" t="n">
        <f aca="false">DG66</f>
        <v>47088</v>
      </c>
      <c r="DY66" s="486" t="n">
        <v>0.350000000000002</v>
      </c>
      <c r="DZ66" s="481" t="n">
        <f aca="false">DR66</f>
        <v>47088</v>
      </c>
      <c r="EA66" s="486" t="n">
        <f aca="false">DT66</f>
        <v>0.201718015621923</v>
      </c>
      <c r="EB66" s="195"/>
      <c r="EC66" s="547" t="str">
        <f aca="false">IF(BD66,IF(Underlying=1,AS66,AU66),"")</f>
        <v/>
      </c>
      <c r="ED66" s="548" t="str">
        <f aca="false">IF($BD66,$EC66+IF(VolSkewFlag=1,IF(BS66&gt;0,$BA66*MIN(BS66/10%,1)+($BB66-$BA66)*MAX(0,MIN(BS66/10%-1,1))+($BC66-$BB66)*MAX(0,BS66/10%-2),$AZ66*MIN(-BS66/10%,1)+($AY66-$AZ66)*MAX(0,MIN(-BS66/10%-1,1))+($AX66-$AY66)*MAX(0,-BS66/10%-2)),0),"")</f>
        <v/>
      </c>
      <c r="EE66" s="549" t="str">
        <f aca="false">IF($BD66,$EC66+IF(VolSkewFlag=1,IF(BT66&gt;0,$BA66*MIN(BT66/10%,1)+($BB66-$BA66)*MAX(0,MIN(BT66/10%-1,1))+($BC66-$BB66)*MAX(0,BT66/10%-2),$AZ66*MIN(-BT66/10%,1)+($AY66-$AZ66)*MAX(0,MIN(-BT66/10%-1,1))+($AX66-$AY66)*MAX(0,-BT66/10%-2)),0),"")</f>
        <v/>
      </c>
      <c r="EF66" s="550" t="n">
        <f aca="false">IF(BD66,xASN(BR66,Strike1,AO66,ED66,0,BO66,0,BI66,BL66,IF(OptControl=4,0,1),0),0)</f>
        <v>0</v>
      </c>
      <c r="EG66" s="551" t="n">
        <f aca="false">IF(BD66,xASN(BR66,Strike2,AO66,EE66,0,BO66,0,BI66,BL66,IF(OptControl=3,1,0),0),0)</f>
        <v>0</v>
      </c>
      <c r="EL66" s="1"/>
      <c r="EM66" s="195"/>
      <c r="EN66" s="556" t="n">
        <v>41275</v>
      </c>
      <c r="EO66" s="557" t="n">
        <v>44927</v>
      </c>
      <c r="EP66" s="195"/>
      <c r="EQ66" s="407" t="s">
        <v>292</v>
      </c>
      <c r="ES66" s="587" t="n">
        <v>47</v>
      </c>
      <c r="ET66" s="559" t="n">
        <f aca="false">BH66/365.25</f>
        <v>-21.2758384668036</v>
      </c>
      <c r="EU66" s="560" t="n">
        <f aca="false">O66^2*ET66</f>
        <v>-0</v>
      </c>
      <c r="EV66" s="588" t="e">
        <f aca="false">SQRT(SUM(FK66:ID66)/ET66)</f>
        <v>#VALUE!</v>
      </c>
      <c r="EW66" s="589" t="str">
        <f aca="false">IF(OR(DateStart2&gt;I65,DateEnd2&lt;I64),"",IF(DateStart2&lt;I65,AK64/AI64*AP64*BE64*SwaptionNumOfMonths/$D$33,0)+IF(DateEnd2&gt;I64,AJ65/AI65*AP65*BE65*SwaptionNumOfMonths/$D$33,0))</f>
        <v/>
      </c>
      <c r="EX66" s="590" t="str">
        <f aca="false">IF(EW66="","",SQRT(SUM(FK371:ID371)/SwaptionYearsToExp))</f>
        <v/>
      </c>
      <c r="EY66" s="129" t="n">
        <v>0</v>
      </c>
      <c r="EZ66" s="591" t="str">
        <f aca="false">IF(OR(EW66="",EW67=""),"",SQRT(SUM(INDEX(FK66:ID66,SwaptionFirstMonthPosition+1):INDEX(FK66:ID66,FJ66))/SUM(INDEX($FK$15:$ID$15,SwaptionFirstMonthPosition+1):INDEX($FK$15:$ID$15,FJ66))))</f>
        <v/>
      </c>
      <c r="FA66" s="592" t="str">
        <f aca="false">IF(OR(EW66="",EW65=""),"",SQRT(SUM(INDEX(FK66:ID66,SwaptionFirstMonthPosition+1):INDEX(FK66:ID66,FJ66-1))/SUM(INDEX($FK$15:$ID$15,SwaptionFirstMonthPosition+1):INDEX($FK$15:$ID$15,FJ66-1))))</f>
        <v/>
      </c>
      <c r="FB66" s="593" t="str">
        <f aca="false">IF(BE66,2/3*EZ67+1/3*FA68,"")</f>
        <v/>
      </c>
      <c r="FC66" s="596" t="str">
        <f aca="false">IF(BE66,(I67+I66-1)/2-DateToday,"")</f>
        <v/>
      </c>
      <c r="FD66" s="483" t="str">
        <f aca="false">IF(BE66,CHOOSE(Underlying,X66,Z66)+SwaptionUnderlyingPrice-$D$26,"")</f>
        <v/>
      </c>
      <c r="FE66" s="483" t="str">
        <f aca="false">IF(BE66,CollartionFloor/FD66-1,"")</f>
        <v/>
      </c>
      <c r="FF66" s="483" t="str">
        <f aca="false">IF(BE66,CollartionCap/FD66-1,"")</f>
        <v/>
      </c>
      <c r="FG66" s="485" t="str">
        <f aca="false">IF(BE66,IF(VolSkewFlag=1,IF(FE66&gt;0,$BA66*MIN(FE66/10%,1)+($BB66-$BA66)*MAX(0,MIN(FE66/10%-1,1))+($BC66-$BB66)*MAX(0,FE66/10%-2),$AZ66*MIN(-FE66/10%,1)+($AY66-$AZ66)*MAX(0,MIN(-FE66/10%-1,1))+($AX66-$AY66)*MAX(0,-FE66/10%-2)),0),"")</f>
        <v/>
      </c>
      <c r="FH66" s="486" t="str">
        <f aca="false">IF(BE66,IF(VolSkewFlag=1,IF(FF66&gt;0,$BA66*MIN(FF66/10%,1)+($BB66-$BA66)*MAX(0,MIN(FF66/10%-1,1))+($BC66-$BB66)*MAX(0,FF66/10%-2),$AZ66*MIN(-FF66/10%,1)+($AY66-$AZ66)*MAX(0,MIN(-FF66/10%-1,1))+($AX66-$AY66)*MAX(0,-FF66/10%-2)),0),"")</f>
        <v/>
      </c>
      <c r="FI66" s="129"/>
      <c r="FJ66" s="571" t="n">
        <v>47</v>
      </c>
      <c r="FK66" s="150" t="n">
        <f aca="false">IF(FK$19&gt;$FJ66,"",MAX(0,IF(FK$19=$FJ66,$S66^2*FK$15,FK65*INDEX($T$20:$T$91,$FJ66-FK$19)^2/INDEX($U$20:$U$91,$FJ66-FK$19))))</f>
        <v>0</v>
      </c>
      <c r="FL66" s="150" t="n">
        <f aca="false">IF(FL$19&gt;$FJ66,"",MAX(0,IF(FL$19=$FJ66,$S66^2*FL$15,FL65*INDEX($T$20:$T$91,$FJ66-FL$19)^2/INDEX($U$20:$U$91,$FJ66-FL$19))))</f>
        <v>0</v>
      </c>
      <c r="FM66" s="150" t="n">
        <f aca="false">IF(FM$19&gt;$FJ66,"",MAX(0,IF(FM$19=$FJ66,$S66^2*FM$15,FM65*INDEX($T$20:$T$91,$FJ66-FM$19)^2/INDEX($U$20:$U$91,$FJ66-FM$19))))</f>
        <v>0.00255077172703282</v>
      </c>
      <c r="FN66" s="150" t="n">
        <f aca="false">IF(FN$19&gt;$FJ66,"",MAX(0,IF(FN$19=$FJ66,$S66^2*FN$15,FN65*INDEX($T$20:$T$91,$FJ66-FN$19)^2/INDEX($U$20:$U$91,$FJ66-FN$19))))</f>
        <v>0.00214748018003653</v>
      </c>
      <c r="FO66" s="150" t="n">
        <f aca="false">IF(FO$19&gt;$FJ66,"",MAX(0,IF(FO$19=$FJ66,$S66^2*FO$15,FO65*INDEX($T$20:$T$91,$FJ66-FO$19)^2/INDEX($U$20:$U$91,$FJ66-FO$19))))</f>
        <v>0.00223439355373835</v>
      </c>
      <c r="FP66" s="150" t="n">
        <f aca="false">IF(FP$19&gt;$FJ66,"",MAX(0,IF(FP$19=$FJ66,$S66^2*FP$15,FP65*INDEX($T$20:$T$91,$FJ66-FP$19)^2/INDEX($U$20:$U$91,$FJ66-FP$19))))</f>
        <v>0.00247684014467981</v>
      </c>
      <c r="FQ66" s="150" t="n">
        <f aca="false">IF(FQ$19&gt;$FJ66,"",MAX(0,IF(FQ$19=$FJ66,$S66^2*FQ$15,FQ65*INDEX($T$20:$T$91,$FJ66-FQ$19)^2/INDEX($U$20:$U$91,$FJ66-FQ$19))))</f>
        <v>0.00200611656350309</v>
      </c>
      <c r="FR66" s="150" t="n">
        <f aca="false">IF(FR$19&gt;$FJ66,"",MAX(0,IF(FR$19=$FJ66,$S66^2*FR$15,FR65*INDEX($T$20:$T$91,$FJ66-FR$19)^2/INDEX($U$20:$U$91,$FJ66-FR$19))))</f>
        <v>0.00205218486639541</v>
      </c>
      <c r="FS66" s="150" t="n">
        <f aca="false">IF(FS$19&gt;$FJ66,"",MAX(0,IF(FS$19=$FJ66,$S66^2*FS$15,FS65*INDEX($T$20:$T$91,$FJ66-FS$19)^2/INDEX($U$20:$U$91,$FJ66-FS$19))))</f>
        <v>0.00231400811700123</v>
      </c>
      <c r="FT66" s="150" t="n">
        <f aca="false">IF(FT$19&gt;$FJ66,"",MAX(0,IF(FT$19=$FJ66,$S66^2*FT$15,FT65*INDEX($T$20:$T$91,$FJ66-FT$19)^2/INDEX($U$20:$U$91,$FJ66-FT$19))))</f>
        <v>0.00208972644337838</v>
      </c>
      <c r="FU66" s="150" t="n">
        <f aca="false">IF(FU$19&gt;$FJ66,"",MAX(0,IF(FU$19=$FJ66,$S66^2*FU$15,FU65*INDEX($T$20:$T$91,$FJ66-FU$19)^2/INDEX($U$20:$U$91,$FJ66-FU$19))))</f>
        <v>0.00201057803074501</v>
      </c>
      <c r="FV66" s="150" t="n">
        <f aca="false">IF(FV$19&gt;$FJ66,"",MAX(0,IF(FV$19=$FJ66,$S66^2*FV$15,FV65*INDEX($T$20:$T$91,$FJ66-FV$19)^2/INDEX($U$20:$U$91,$FJ66-FV$19))))</f>
        <v>0.00221146588251279</v>
      </c>
      <c r="FW66" s="150" t="n">
        <f aca="false">IF(FW$19&gt;$FJ66,"",MAX(0,IF(FW$19=$FJ66,$S66^2*FW$15,FW65*INDEX($T$20:$T$91,$FJ66-FW$19)^2/INDEX($U$20:$U$91,$FJ66-FW$19))))</f>
        <v>0.00206906855223844</v>
      </c>
      <c r="FX66" s="150" t="n">
        <f aca="false">IF(FX$19&gt;$FJ66,"",MAX(0,IF(FX$19=$FJ66,$S66^2*FX$15,FX65*INDEX($T$20:$T$91,$FJ66-FX$19)^2/INDEX($U$20:$U$91,$FJ66-FX$19))))</f>
        <v>0.00220467185690498</v>
      </c>
      <c r="FY66" s="150" t="n">
        <f aca="false">IF(FY$19&gt;$FJ66,"",MAX(0,IF(FY$19=$FJ66,$S66^2*FY$15,FY65*INDEX($T$20:$T$91,$FJ66-FY$19)^2/INDEX($U$20:$U$91,$FJ66-FY$19))))</f>
        <v>0.00206634462634728</v>
      </c>
      <c r="FZ66" s="150" t="n">
        <f aca="false">IF(FZ$19&gt;$FJ66,"",MAX(0,IF(FZ$19=$FJ66,$S66^2*FZ$15,FZ65*INDEX($T$20:$T$91,$FJ66-FZ$19)^2/INDEX($U$20:$U$91,$FJ66-FZ$19))))</f>
        <v>0.00192942246267129</v>
      </c>
      <c r="GA66" s="150" t="n">
        <f aca="false">IF(GA$19&gt;$FJ66,"",MAX(0,IF(GA$19=$FJ66,$S66^2*GA$15,GA65*INDEX($T$20:$T$91,$FJ66-GA$19)^2/INDEX($U$20:$U$91,$FJ66-GA$19))))</f>
        <v>0.00206942667141768</v>
      </c>
      <c r="GB66" s="150" t="n">
        <f aca="false">IF(GB$19&gt;$FJ66,"",MAX(0,IF(GB$19=$FJ66,$S66^2*GB$15,GB65*INDEX($T$20:$T$91,$FJ66-GB$19)^2/INDEX($U$20:$U$91,$FJ66-GB$19))))</f>
        <v>0.00228013338169447</v>
      </c>
      <c r="GC66" s="150" t="n">
        <f aca="false">IF(GC$19&gt;$FJ66,"",MAX(0,IF(GC$19=$FJ66,$S66^2*GC$15,GC65*INDEX($T$20:$T$91,$FJ66-GC$19)^2/INDEX($U$20:$U$91,$FJ66-GC$19))))</f>
        <v>0.00200825474733388</v>
      </c>
      <c r="GD66" s="150" t="n">
        <f aca="false">IF(GD$19&gt;$FJ66,"",MAX(0,IF(GD$19=$FJ66,$S66^2*GD$15,GD65*INDEX($T$20:$T$91,$FJ66-GD$19)^2/INDEX($U$20:$U$91,$FJ66-GD$19))))</f>
        <v>0.00201400349076808</v>
      </c>
      <c r="GE66" s="150" t="n">
        <f aca="false">IF(GE$19&gt;$FJ66,"",MAX(0,IF(GE$19=$FJ66,$S66^2*GE$15,GE65*INDEX($T$20:$T$91,$FJ66-GE$19)^2/INDEX($U$20:$U$91,$FJ66-GE$19))))</f>
        <v>0.00229987690303702</v>
      </c>
      <c r="GF66" s="150" t="n">
        <f aca="false">IF(GF$19&gt;$FJ66,"",MAX(0,IF(GF$19=$FJ66,$S66^2*GF$15,GF65*INDEX($T$20:$T$91,$FJ66-GF$19)^2/INDEX($U$20:$U$91,$FJ66-GF$19))))</f>
        <v>0.00202970981072662</v>
      </c>
      <c r="GG66" s="150" t="n">
        <f aca="false">IF(GG$19&gt;$FJ66,"",MAX(0,IF(GG$19=$FJ66,$S66^2*GG$15,GG65*INDEX($T$20:$T$91,$FJ66-GG$19)^2/INDEX($U$20:$U$91,$FJ66-GG$19))))</f>
        <v>0.00225106391480682</v>
      </c>
      <c r="GH66" s="150" t="n">
        <f aca="false">IF(GH$19&gt;$FJ66,"",MAX(0,IF(GH$19=$FJ66,$S66^2*GH$15,GH65*INDEX($T$20:$T$91,$FJ66-GH$19)^2/INDEX($U$20:$U$91,$FJ66-GH$19))))</f>
        <v>0.00212308653680544</v>
      </c>
      <c r="GI66" s="150" t="n">
        <f aca="false">IF(GI$19&gt;$FJ66,"",MAX(0,IF(GI$19=$FJ66,$S66^2*GI$15,GI65*INDEX($T$20:$T$91,$FJ66-GI$19)^2/INDEX($U$20:$U$91,$FJ66-GI$19))))</f>
        <v>0.00206690789441952</v>
      </c>
      <c r="GJ66" s="150" t="n">
        <f aca="false">IF(GJ$19&gt;$FJ66,"",MAX(0,IF(GJ$19=$FJ66,$S66^2*GJ$15,GJ65*INDEX($T$20:$T$91,$FJ66-GJ$19)^2/INDEX($U$20:$U$91,$FJ66-GJ$19))))</f>
        <v>0.00237167847079467</v>
      </c>
      <c r="GK66" s="150" t="n">
        <f aca="false">IF(GK$19&gt;$FJ66,"",MAX(0,IF(GK$19=$FJ66,$S66^2*GK$15,GK65*INDEX($T$20:$T$91,$FJ66-GK$19)^2/INDEX($U$20:$U$91,$FJ66-GK$19))))</f>
        <v>0.00217726942351553</v>
      </c>
      <c r="GL66" s="150" t="n">
        <f aca="false">IF(GL$19&gt;$FJ66,"",MAX(0,IF(GL$19=$FJ66,$S66^2*GL$15,GL65*INDEX($T$20:$T$91,$FJ66-GL$19)^2/INDEX($U$20:$U$91,$FJ66-GL$19))))</f>
        <v>0.00212898650201337</v>
      </c>
      <c r="GM66" s="150" t="n">
        <f aca="false">IF(GM$19&gt;$FJ66,"",MAX(0,IF(GM$19=$FJ66,$S66^2*GM$15,GM65*INDEX($T$20:$T$91,$FJ66-GM$19)^2/INDEX($U$20:$U$91,$FJ66-GM$19))))</f>
        <v>0.00230663668338833</v>
      </c>
      <c r="GN66" s="150" t="n">
        <f aca="false">IF(GN$19&gt;$FJ66,"",MAX(0,IF(GN$19=$FJ66,$S66^2*GN$15,GN65*INDEX($T$20:$T$91,$FJ66-GN$19)^2/INDEX($U$20:$U$91,$FJ66-GN$19))))</f>
        <v>0.00234329100963548</v>
      </c>
      <c r="GO66" s="150" t="n">
        <f aca="false">IF(GO$19&gt;$FJ66,"",MAX(0,IF(GO$19=$FJ66,$S66^2*GO$15,GO65*INDEX($T$20:$T$91,$FJ66-GO$19)^2/INDEX($U$20:$U$91,$FJ66-GO$19))))</f>
        <v>0.00238698423048669</v>
      </c>
      <c r="GP66" s="150" t="n">
        <f aca="false">IF(GP$19&gt;$FJ66,"",MAX(0,IF(GP$19=$FJ66,$S66^2*GP$15,GP65*INDEX($T$20:$T$91,$FJ66-GP$19)^2/INDEX($U$20:$U$91,$FJ66-GP$19))))</f>
        <v>0.00220316973216436</v>
      </c>
      <c r="GQ66" s="150" t="n">
        <f aca="false">IF(GQ$19&gt;$FJ66,"",MAX(0,IF(GQ$19=$FJ66,$S66^2*GQ$15,GQ65*INDEX($T$20:$T$91,$FJ66-GQ$19)^2/INDEX($U$20:$U$91,$FJ66-GQ$19))))</f>
        <v>0.00250190612419711</v>
      </c>
      <c r="GR66" s="150" t="n">
        <f aca="false">IF(GR$19&gt;$FJ66,"",MAX(0,IF(GR$19=$FJ66,$S66^2*GR$15,GR65*INDEX($T$20:$T$91,$FJ66-GR$19)^2/INDEX($U$20:$U$91,$FJ66-GR$19))))</f>
        <v>0.00249429964199073</v>
      </c>
      <c r="GS66" s="150" t="n">
        <f aca="false">IF(GS$19&gt;$FJ66,"",MAX(0,IF(GS$19=$FJ66,$S66^2*GS$15,GS65*INDEX($T$20:$T$91,$FJ66-GS$19)^2/INDEX($U$20:$U$91,$FJ66-GS$19))))</f>
        <v>0.00266893436284926</v>
      </c>
      <c r="GT66" s="150" t="n">
        <f aca="false">IF(GT$19&gt;$FJ66,"",MAX(0,IF(GT$19=$FJ66,$S66^2*GT$15,GT65*INDEX($T$20:$T$91,$FJ66-GT$19)^2/INDEX($U$20:$U$91,$FJ66-GT$19))))</f>
        <v>0.00269072709215813</v>
      </c>
      <c r="GU66" s="150" t="n">
        <f aca="false">IF(GU$19&gt;$FJ66,"",MAX(0,IF(GU$19=$FJ66,$S66^2*GU$15,GU65*INDEX($T$20:$T$91,$FJ66-GU$19)^2/INDEX($U$20:$U$91,$FJ66-GU$19))))</f>
        <v>0.0029172290673918</v>
      </c>
      <c r="GV66" s="150" t="n">
        <f aca="false">IF(GV$19&gt;$FJ66,"",MAX(0,IF(GV$19=$FJ66,$S66^2*GV$15,GV65*INDEX($T$20:$T$91,$FJ66-GV$19)^2/INDEX($U$20:$U$91,$FJ66-GV$19))))</f>
        <v>0.00308653240845389</v>
      </c>
      <c r="GW66" s="150" t="n">
        <f aca="false">IF(GW$19&gt;$FJ66,"",MAX(0,IF(GW$19=$FJ66,$S66^2*GW$15,GW65*INDEX($T$20:$T$91,$FJ66-GW$19)^2/INDEX($U$20:$U$91,$FJ66-GW$19))))</f>
        <v>0.0031917347062506</v>
      </c>
      <c r="GX66" s="150" t="n">
        <f aca="false">IF(GX$19&gt;$FJ66,"",MAX(0,IF(GX$19=$FJ66,$S66^2*GX$15,GX65*INDEX($T$20:$T$91,$FJ66-GX$19)^2/INDEX($U$20:$U$91,$FJ66-GX$19))))</f>
        <v>0.00356568245143359</v>
      </c>
      <c r="GY66" s="150" t="n">
        <f aca="false">IF(GY$19&gt;$FJ66,"",MAX(0,IF(GY$19=$FJ66,$S66^2*GY$15,GY65*INDEX($T$20:$T$91,$FJ66-GY$19)^2/INDEX($U$20:$U$91,$FJ66-GY$19))))</f>
        <v>0.00378263425065579</v>
      </c>
      <c r="GZ66" s="150" t="n">
        <f aca="false">IF(GZ$19&gt;$FJ66,"",MAX(0,IF(GZ$19=$FJ66,$S66^2*GZ$15,GZ65*INDEX($T$20:$T$91,$FJ66-GZ$19)^2/INDEX($U$20:$U$91,$FJ66-GZ$19))))</f>
        <v>0.00435583407988384</v>
      </c>
      <c r="HA66" s="150" t="n">
        <f aca="false">IF(HA$19&gt;$FJ66,"",MAX(0,IF(HA$19=$FJ66,$S66^2*HA$15,HA65*INDEX($T$20:$T$91,$FJ66-HA$19)^2/INDEX($U$20:$U$91,$FJ66-HA$19))))</f>
        <v>0.00495012037170333</v>
      </c>
      <c r="HB66" s="150" t="n">
        <f aca="false">IF(HB$19&gt;$FJ66,"",MAX(0,IF(HB$19=$FJ66,$S66^2*HB$15,HB65*INDEX($T$20:$T$91,$FJ66-HB$19)^2/INDEX($U$20:$U$91,$FJ66-HB$19))))</f>
        <v>0.00538720371556225</v>
      </c>
      <c r="HC66" s="150" t="n">
        <f aca="false">IF(HC$19&gt;$FJ66,"",MAX(0,IF(HC$19=$FJ66,$S66^2*HC$15,HC65*INDEX($T$20:$T$91,$FJ66-HC$19)^2/INDEX($U$20:$U$91,$FJ66-HC$19))))</f>
        <v>0.00689032317879861</v>
      </c>
      <c r="HD66" s="150" t="n">
        <f aca="false">IF(HD$19&gt;$FJ66,"",MAX(0,IF(HD$19=$FJ66,$S66^2*HD$15,HD65*INDEX($T$20:$T$91,$FJ66-HD$19)^2/INDEX($U$20:$U$91,$FJ66-HD$19))))</f>
        <v>0.00825336375409648</v>
      </c>
      <c r="HE66" s="150" t="n">
        <f aca="false">IF(HE$19&gt;$FJ66,"",MAX(0,IF(HE$19=$FJ66,$S66^2*HE$15,HE65*INDEX($T$20:$T$91,$FJ66-HE$19)^2/INDEX($U$20:$U$91,$FJ66-HE$19))))</f>
        <v>0.01099959515577</v>
      </c>
      <c r="HF66" s="150" t="str">
        <f aca="false">IF(HF$19&gt;$FJ66,"",MAX(0,IF(HF$19=$FJ66,$S66^2*HF$15,HF65*INDEX($T$20:$T$91,$FJ66-HF$19)^2/INDEX($U$20:$U$91,$FJ66-HF$19))))</f>
        <v/>
      </c>
      <c r="HG66" s="150" t="str">
        <f aca="false">IF(HG$19&gt;$FJ66,"",MAX(0,IF(HG$19=$FJ66,$S66^2*HG$15,HG65*INDEX($T$20:$T$91,$FJ66-HG$19)^2/INDEX($U$20:$U$91,$FJ66-HG$19))))</f>
        <v/>
      </c>
      <c r="HH66" s="150" t="str">
        <f aca="false">IF(HH$19&gt;$FJ66,"",MAX(0,IF(HH$19=$FJ66,$S66^2*HH$15,HH65*INDEX($T$20:$T$91,$FJ66-HH$19)^2/INDEX($U$20:$U$91,$FJ66-HH$19))))</f>
        <v/>
      </c>
      <c r="HI66" s="150" t="str">
        <f aca="false">IF(HI$19&gt;$FJ66,"",MAX(0,IF(HI$19=$FJ66,$S66^2*HI$15,HI65*INDEX($T$20:$T$91,$FJ66-HI$19)^2/INDEX($U$20:$U$91,$FJ66-HI$19))))</f>
        <v/>
      </c>
      <c r="HJ66" s="150" t="str">
        <f aca="false">IF(HJ$19&gt;$FJ66,"",MAX(0,IF(HJ$19=$FJ66,$S66^2*HJ$15,HJ65*INDEX($T$20:$T$91,$FJ66-HJ$19)^2/INDEX($U$20:$U$91,$FJ66-HJ$19))))</f>
        <v/>
      </c>
      <c r="HK66" s="150" t="str">
        <f aca="false">IF(HK$19&gt;$FJ66,"",MAX(0,IF(HK$19=$FJ66,$S66^2*HK$15,HK65*INDEX($T$20:$T$91,$FJ66-HK$19)^2/INDEX($U$20:$U$91,$FJ66-HK$19))))</f>
        <v/>
      </c>
      <c r="HL66" s="150" t="str">
        <f aca="false">IF(HL$19&gt;$FJ66,"",MAX(0,IF(HL$19=$FJ66,$S66^2*HL$15,HL65*INDEX($T$20:$T$91,$FJ66-HL$19)^2/INDEX($U$20:$U$91,$FJ66-HL$19))))</f>
        <v/>
      </c>
      <c r="HM66" s="150" t="str">
        <f aca="false">IF(HM$19&gt;$FJ66,"",MAX(0,IF(HM$19=$FJ66,$S66^2*HM$15,HM65*INDEX($T$20:$T$91,$FJ66-HM$19)^2/INDEX($U$20:$U$91,$FJ66-HM$19))))</f>
        <v/>
      </c>
      <c r="HN66" s="150" t="str">
        <f aca="false">IF(HN$19&gt;$FJ66,"",MAX(0,IF(HN$19=$FJ66,$S66^2*HN$15,HN65*INDEX($T$20:$T$91,$FJ66-HN$19)^2/INDEX($U$20:$U$91,$FJ66-HN$19))))</f>
        <v/>
      </c>
      <c r="HO66" s="150" t="str">
        <f aca="false">IF(HO$19&gt;$FJ66,"",MAX(0,IF(HO$19=$FJ66,$S66^2*HO$15,HO65*INDEX($T$20:$T$91,$FJ66-HO$19)^2/INDEX($U$20:$U$91,$FJ66-HO$19))))</f>
        <v/>
      </c>
      <c r="HP66" s="150" t="str">
        <f aca="false">IF(HP$19&gt;$FJ66,"",MAX(0,IF(HP$19=$FJ66,$S66^2*HP$15,HP65*INDEX($T$20:$T$91,$FJ66-HP$19)^2/INDEX($U$20:$U$91,$FJ66-HP$19))))</f>
        <v/>
      </c>
      <c r="HQ66" s="150" t="str">
        <f aca="false">IF(HQ$19&gt;$FJ66,"",MAX(0,IF(HQ$19=$FJ66,$S66^2*HQ$15,HQ65*INDEX($T$20:$T$91,$FJ66-HQ$19)^2/INDEX($U$20:$U$91,$FJ66-HQ$19))))</f>
        <v/>
      </c>
      <c r="HR66" s="150" t="str">
        <f aca="false">IF(HR$19&gt;$FJ66,"",MAX(0,IF(HR$19=$FJ66,$S66^2*HR$15,HR65*INDEX($T$20:$T$91,$FJ66-HR$19)^2/INDEX($U$20:$U$91,$FJ66-HR$19))))</f>
        <v/>
      </c>
      <c r="HS66" s="150" t="str">
        <f aca="false">IF(HS$19&gt;$FJ66,"",MAX(0,IF(HS$19=$FJ66,$S66^2*HS$15,HS65*INDEX($T$20:$T$91,$FJ66-HS$19)^2/INDEX($U$20:$U$91,$FJ66-HS$19))))</f>
        <v/>
      </c>
      <c r="HT66" s="150" t="str">
        <f aca="false">IF(HT$19&gt;$FJ66,"",MAX(0,IF(HT$19=$FJ66,$S66^2*HT$15,HT65*INDEX($T$20:$T$91,$FJ66-HT$19)^2/INDEX($U$20:$U$91,$FJ66-HT$19))))</f>
        <v/>
      </c>
      <c r="HU66" s="150" t="str">
        <f aca="false">IF(HU$19&gt;$FJ66,"",MAX(0,IF(HU$19=$FJ66,$S66^2*HU$15,HU65*INDEX($T$20:$T$91,$FJ66-HU$19)^2/INDEX($U$20:$U$91,$FJ66-HU$19))))</f>
        <v/>
      </c>
      <c r="HV66" s="150" t="str">
        <f aca="false">IF(HV$19&gt;$FJ66,"",MAX(0,IF(HV$19=$FJ66,$S66^2*HV$15,HV65*INDEX($T$20:$T$91,$FJ66-HV$19)^2/INDEX($U$20:$U$91,$FJ66-HV$19))))</f>
        <v/>
      </c>
      <c r="HW66" s="150" t="str">
        <f aca="false">IF(HW$19&gt;$FJ66,"",MAX(0,IF(HW$19=$FJ66,$S66^2*HW$15,HW65*INDEX($T$20:$T$91,$FJ66-HW$19)^2/INDEX($U$20:$U$91,$FJ66-HW$19))))</f>
        <v/>
      </c>
      <c r="HX66" s="150" t="str">
        <f aca="false">IF(HX$19&gt;$FJ66,"",MAX(0,IF(HX$19=$FJ66,$S66^2*HX$15,HX65*INDEX($T$20:$T$91,$FJ66-HX$19)^2/INDEX($U$20:$U$91,$FJ66-HX$19))))</f>
        <v/>
      </c>
      <c r="HY66" s="150" t="str">
        <f aca="false">IF(HY$19&gt;$FJ66,"",MAX(0,IF(HY$19=$FJ66,$S66^2*HY$15,HY65*INDEX($T$20:$T$91,$FJ66-HY$19)^2/INDEX($U$20:$U$91,$FJ66-HY$19))))</f>
        <v/>
      </c>
      <c r="HZ66" s="150" t="str">
        <f aca="false">IF(HZ$19&gt;$FJ66,"",MAX(0,IF(HZ$19=$FJ66,$S66^2*HZ$15,HZ65*INDEX($T$20:$T$91,$FJ66-HZ$19)^2/INDEX($U$20:$U$91,$FJ66-HZ$19))))</f>
        <v/>
      </c>
      <c r="IA66" s="150" t="str">
        <f aca="false">IF(IA$19&gt;$FJ66,"",MAX(0,IF(IA$19=$FJ66,$S66^2*IA$15,IA65*INDEX($T$20:$T$91,$FJ66-IA$19)^2/INDEX($U$20:$U$91,$FJ66-IA$19))))</f>
        <v/>
      </c>
      <c r="IB66" s="150" t="str">
        <f aca="false">IF(IB$19&gt;$FJ66,"",MAX(0,IF(IB$19=$FJ66,$S66^2*IB$15,IB65*INDEX($T$20:$T$91,$FJ66-IB$19)^2/INDEX($U$20:$U$91,$FJ66-IB$19))))</f>
        <v/>
      </c>
      <c r="IC66" s="150" t="str">
        <f aca="false">IF(IC$19&gt;$FJ66,"",MAX(0,IF(IC$19=$FJ66,$S66^2*IC$15,IC65*INDEX($T$20:$T$91,$FJ66-IC$19)^2/INDEX($U$20:$U$91,$FJ66-IC$19))))</f>
        <v/>
      </c>
      <c r="ID66" s="572" t="str">
        <f aca="false">IF(ID$19&gt;$FJ66,"",MAX(0,IF(ID$19=$FJ66,$S66^2*ID$15,ID65*INDEX($T$20:$T$91,$FJ66-ID$19)^2/INDEX($U$20:$U$91,$FJ66-ID$19))))</f>
        <v/>
      </c>
      <c r="IE66" s="129"/>
    </row>
    <row r="67" customFormat="false" ht="12.75" hidden="false" customHeight="false" outlineLevel="0" collapsed="false">
      <c r="A67" s="3"/>
      <c r="E67" s="667"/>
      <c r="F67" s="3"/>
      <c r="G67" s="3"/>
      <c r="H67" s="219" t="n">
        <f aca="false">VLOOKUP(I67,$EJ$20:$EL$54,3)</f>
        <v>0</v>
      </c>
      <c r="I67" s="511" t="n">
        <f aca="false">EOMONTH(I66,0)+1</f>
        <v>38200</v>
      </c>
      <c r="J67" s="512"/>
      <c r="K67" s="513" t="s">
        <v>250</v>
      </c>
      <c r="L67" s="514" t="e">
        <f aca="false">IF(ISNUMBER(K67),J67+K67/100,IF(K67="extra",L66+VLOOKUP(BF67,PriceSpreadTable,2)/12,IF(K67="inter",interpolateprices($K$19:$L$200,ROW(K67)-ROW(FirstPricingMonth)+1),interpolatechanges($J$19:$K$200,ROW(K67)-ROW(FirstPricingMonth)+1))))</f>
        <v>#VALUE!</v>
      </c>
      <c r="M67" s="515"/>
      <c r="N67" s="516" t="n">
        <v>0</v>
      </c>
      <c r="O67" s="515" t="n">
        <f aca="false">M67+N67</f>
        <v>0</v>
      </c>
      <c r="P67" s="512"/>
      <c r="Q67" s="513" t="s">
        <v>280</v>
      </c>
      <c r="R67" s="512" t="e">
        <f aca="false">IF(ISNUMBER(Q67),P67+Q67/100,IF(Q67="extra",(Z65*AL65-R66*AM65)/AN65,IF(Q67="inter",interpolateprices($Q$19:$R$260,ROW(Q67)-ROW(FirstPricingMonth)+1),interpolatechanges($P$19:$Q$260,ROW(Q67)-ROW(FirstPricingMonth)+1))))</f>
        <v>#VALUE!</v>
      </c>
      <c r="S67" s="597" t="n">
        <f aca="false">S$19+(S66-S$19)*S$18</f>
        <v>0.360000071594244</v>
      </c>
      <c r="T67" s="575" t="n">
        <f aca="false">SQRT((1-(1-T66^2/U66)*T$18)*U67)</f>
        <v>0.999928719377007</v>
      </c>
      <c r="U67" s="576" t="n">
        <f aca="false">1-(1-U66)*U$18</f>
        <v>0.999999979864119</v>
      </c>
      <c r="V67" s="521" t="n">
        <v>0</v>
      </c>
      <c r="W67" s="577" t="n">
        <f aca="false">(J68*AJ67+J69*AK67)/AI67</f>
        <v>0</v>
      </c>
      <c r="X67" s="578" t="e">
        <f aca="false">(L68*AJ67+L69*AK67)/AI67</f>
        <v>#VALUE!</v>
      </c>
      <c r="Y67" s="579" t="n">
        <f aca="false">IF(Q69="extra",W67-AA67,(P68*AM67+P69*AN67)/AL67)</f>
        <v>-1.2051</v>
      </c>
      <c r="Z67" s="579" t="e">
        <f aca="false">IF(Q69="extra",X67-AB67,(R68*AM67+R69*AN67)/AL67)</f>
        <v>#VALUE!</v>
      </c>
      <c r="AA67" s="523" t="n">
        <f aca="false">IF(Q69="extra",INDEX(BrentSeasonalityTable,INT((BG67-1)/3)+1)*VLOOKUP(MAX(BF67,$AB$4),PriceSpreadTable,3),W67-Y67)</f>
        <v>1.2051</v>
      </c>
      <c r="AB67" s="524" t="n">
        <f aca="false">IF(Q69="extra",INDEX(BrentSeasonalityTable,INT((BG67-1)/3)+1)*VLOOKUP(MAX(BF67,$AB$4),PriceSpreadTable,3),X67-Z67)</f>
        <v>1.2051</v>
      </c>
      <c r="AC67" s="646" t="n">
        <v>38188</v>
      </c>
      <c r="AD67" s="646" t="n">
        <v>38184</v>
      </c>
      <c r="AE67" s="646" t="n">
        <v>38183</v>
      </c>
      <c r="AF67" s="646" t="n">
        <v>38179</v>
      </c>
      <c r="AG67" s="438" t="s">
        <v>247</v>
      </c>
      <c r="AH67" s="439" t="s">
        <v>278</v>
      </c>
      <c r="AI67" s="528" t="n">
        <v>22</v>
      </c>
      <c r="AJ67" s="529" t="n">
        <v>15</v>
      </c>
      <c r="AK67" s="529" t="n">
        <v>7</v>
      </c>
      <c r="AL67" s="530" t="n">
        <v>22</v>
      </c>
      <c r="AM67" s="529" t="n">
        <v>10</v>
      </c>
      <c r="AN67" s="531" t="n">
        <v>12</v>
      </c>
      <c r="AO67" s="532"/>
      <c r="AP67" s="465" t="n">
        <f aca="false">(1+AO67/2)^(-2*BL67)</f>
        <v>1</v>
      </c>
      <c r="AQ67" s="532"/>
      <c r="AR67" s="465" t="n">
        <f aca="false">(1+AQ67/2)^(-2*BH67/365.25)</f>
        <v>1</v>
      </c>
      <c r="AS67" s="580" t="n">
        <f aca="false">(O68*AJ67+O69*AK67)/AI67</f>
        <v>0</v>
      </c>
      <c r="AT67" s="468" t="n">
        <f aca="false">O67*VLOOKUP(BF67,BrentVolTable,2)+VLOOKUP(BF67,BrentVolTable,3)</f>
        <v>0</v>
      </c>
      <c r="AU67" s="468" t="n">
        <f aca="false">(AT68*AM67+AT69*AN67)/AL67</f>
        <v>0</v>
      </c>
      <c r="AV67" s="595" t="n">
        <f aca="false">SQRT(MAX(0.000000000001,(O67^2*BH67-S67^2*(BH67-BH66))/BH66))</f>
        <v>0.0223678766966972</v>
      </c>
      <c r="AW67" s="451" t="n">
        <f aca="false">IF($I67-DateToday+15&gt;=$T$8,"",IF($I67-DateToday+15&lt;$T$5,1,MATCH($I67-DateToday+15,$T$5:$T$8)))</f>
        <v>1</v>
      </c>
      <c r="AX67" s="468" t="n">
        <f aca="false">IF($AW67="",AX66^2/AX65,INDEX(U$5:U$8,$AW67)^((INDEX($T$5:$T$8,$AW67+1)-($I67-DateToday+15))/(INDEX($T$5:$T$8,$AW67+1)-INDEX($T$5:$T$8,$AW67)))/INDEX(U$5:U$8,$AW67+1)^((INDEX($T$5:$T$8,$AW67)-($I67-DateToday+15))/(INDEX($T$5:$T$8,$AW67+1)-INDEX($T$5:$T$8,$AW67))))</f>
        <v>4.59643960988702</v>
      </c>
      <c r="AY67" s="468" t="n">
        <f aca="false">IF($AW67="",AY66^2/AY65,INDEX(V$5:V$8,$AW67)^((INDEX($T$5:$T$8,$AW67+1)-($I67-DateToday+15))/(INDEX($T$5:$T$8,$AW67+1)-INDEX($T$5:$T$8,$AW67)))/INDEX(V$5:V$8,$AW67+1)^((INDEX($T$5:$T$8,$AW67)-($I67-DateToday+15))/(INDEX($T$5:$T$8,$AW67+1)-INDEX($T$5:$T$8,$AW67))))</f>
        <v>720.834038387245</v>
      </c>
      <c r="AZ67" s="468" t="n">
        <f aca="false">IF($AW67="",AZ66^2/AZ65,INDEX(W$5:W$8,$AW67)^((INDEX($T$5:$T$8,$AW67+1)-($I67-DateToday+15))/(INDEX($T$5:$T$8,$AW67+1)-INDEX($T$5:$T$8,$AW67)))/INDEX(W$5:W$8,$AW67+1)^((INDEX($T$5:$T$8,$AW67)-($I67-DateToday+15))/(INDEX($T$5:$T$8,$AW67+1)-INDEX($T$5:$T$8,$AW67))))</f>
        <v>14677907.7904622</v>
      </c>
      <c r="BA67" s="468" t="n">
        <f aca="false">IF($AW67="",BA66^2/BA65,INDEX(X$5:X$8,$AW67)^((INDEX($T$5:$T$8,$AW67+1)-($I67-DateToday+15))/(INDEX($T$5:$T$8,$AW67+1)-INDEX($T$5:$T$8,$AW67)))/INDEX(X$5:X$8,$AW67+1)^((INDEX($T$5:$T$8,$AW67)-($I67-DateToday+15))/(INDEX($T$5:$T$8,$AW67+1)-INDEX($T$5:$T$8,$AW67))))</f>
        <v>702772049.56614</v>
      </c>
      <c r="BB67" s="468" t="n">
        <f aca="false">IF($AW67="",BB66^2/BB65,INDEX(Y$5:Y$8,$AW67)^((INDEX($T$5:$T$8,$AW67+1)-($I67-DateToday+15))/(INDEX($T$5:$T$8,$AW67+1)-INDEX($T$5:$T$8,$AW67)))/INDEX(Y$5:Y$8,$AW67+1)^((INDEX($T$5:$T$8,$AW67)-($I67-DateToday+15))/(INDEX($T$5:$T$8,$AW67+1)-INDEX($T$5:$T$8,$AW67))))</f>
        <v>12202578501.0709</v>
      </c>
      <c r="BC67" s="468" t="n">
        <f aca="false">IF($AW67="",BC66^2/BC65,INDEX(Z$5:Z$8,$AW67)^((INDEX($T$5:$T$8,$AW67+1)-($I67-DateToday+15))/(INDEX($T$5:$T$8,$AW67+1)-INDEX($T$5:$T$8,$AW67)))/INDEX(Z$5:Z$8,$AW67+1)^((INDEX($T$5:$T$8,$AW67)-($I67-DateToday+15))/(INDEX($T$5:$T$8,$AW67+1)-INDEX($T$5:$T$8,$AW67))))</f>
        <v>67139112147.2617</v>
      </c>
      <c r="BD67" s="535" t="n">
        <f aca="false">IF(OR(DateStart&gt;=I68,DateEnd&lt;I67),0,IF(VolumeOverrideFlag,V67,Volume))</f>
        <v>0</v>
      </c>
      <c r="BE67" s="536" t="n">
        <f aca="false">IF(OR(DateStart2&gt;=I68,DateEnd2&lt;I67),0,IF(VolumeOverrideFlag,V67,VolumeSwaption))</f>
        <v>0</v>
      </c>
      <c r="BF67" s="537" t="n">
        <f aca="false">YEAR(I67)</f>
        <v>2004</v>
      </c>
      <c r="BG67" s="538" t="n">
        <f aca="false">MONTH(I67)</f>
        <v>8</v>
      </c>
      <c r="BH67" s="539" t="n">
        <f aca="false">AD67-DateToday+1</f>
        <v>-7741</v>
      </c>
      <c r="BI67" s="540" t="n">
        <f aca="false">(I67-DateToday+1)/365.25</f>
        <v>-21.1498973305955</v>
      </c>
      <c r="BJ67" s="541" t="n">
        <f aca="false">BI67+(BL67-BI67)*CHOOSE(Underlying,AJ67/AI67,AM67/AL67)</f>
        <v>-21.0938958372223</v>
      </c>
      <c r="BK67" s="541" t="n">
        <f aca="false">BJ67+1/365.25</f>
        <v>-21.0911579864352</v>
      </c>
      <c r="BL67" s="541" t="n">
        <f aca="false">(I68-DateToday)/365.25</f>
        <v>-21.0677618069815</v>
      </c>
      <c r="BM67" s="542" t="e">
        <f aca="false">MAX(BI67-(BJ67-BI67)*(S68^2/O68^2-1),0)</f>
        <v>#DIV/0!</v>
      </c>
      <c r="BN67" s="541" t="e">
        <f aca="false">MAX(BL67+(BL67-BK67)*(S69^2/O69^2-1),0)</f>
        <v>#DIV/0!</v>
      </c>
      <c r="BO67" s="530" t="n">
        <f aca="false">CHOOSE(Underlying,AI67,AL67)</f>
        <v>22</v>
      </c>
      <c r="BP67" s="529" t="n">
        <f aca="false">CHOOSE(Underlying,AJ67,AM67)</f>
        <v>15</v>
      </c>
      <c r="BQ67" s="529" t="n">
        <f aca="false">CHOOSE(Underlying,AK67,AN67)</f>
        <v>7</v>
      </c>
      <c r="BR67" s="463" t="str">
        <f aca="false">IF(BD67,IF(Underlying=1,X67,Z67)+UnderlyingPriceAsian-SwapPriceCurve,"")</f>
        <v/>
      </c>
      <c r="BS67" s="463" t="str">
        <f aca="false">IF(BD67,Strike1/BR67-1,"")</f>
        <v/>
      </c>
      <c r="BT67" s="464" t="str">
        <f aca="false">IF(BD67,Strike2/BR67-1,"")</f>
        <v/>
      </c>
      <c r="BU67" s="465" t="str">
        <f aca="false">IF(BD67,IF(Underlying=1,L68,R68)+UnderlyingPriceAsian-SwapPriceCurve,"")</f>
        <v/>
      </c>
      <c r="BV67" s="465" t="str">
        <f aca="false">IF(BD67,IF(Underlying=1,L69,R69)+UnderlyingPriceAsian-SwapPriceCurve,"")</f>
        <v/>
      </c>
      <c r="BW67" s="466" t="str">
        <f aca="false">IF(BD67,IF(Underlying=1,O68,AT68),"")</f>
        <v/>
      </c>
      <c r="BX67" s="467" t="str">
        <f aca="false">IF(BD67,IF(Underlying=1,O69,AT69),"")</f>
        <v/>
      </c>
      <c r="BY67" s="466" t="str">
        <f aca="false">IF(BD67,IF(BS67&gt;0,IF(BS67&gt;0.2,BC67-BB67,IF(BS67&gt;0.1,BB67-BA67,BA67)),IF(BS67&lt;-0.2,AX67-AY67,IF(BS67&lt;-0.1,AY67-AZ67,AZ67))),"")</f>
        <v/>
      </c>
      <c r="BZ67" s="467" t="str">
        <f aca="false">IF(BD67,IF(BT67&gt;0,IF(BT67&gt;0.2,BC67-BB67,IF(BT67&gt;0.1,BB67-BA67,BA67)),IF(BT67&lt;-0.2,AX67-AY67,IF(BT67&lt;-0.1,AY67-AZ67,AZ67))),"")</f>
        <v/>
      </c>
      <c r="CA67" s="468" t="str">
        <f aca="false">IF($BD67,$BW67+IF(VolSkewFlag=1,IF(BS67&gt;0,$BA67*MIN(BS67/10%,1)+($BB67-$BA67)*MAX(0,MIN(BS67/10%-1,1))+($BC67-$BB67)*MAX(0,BS67/10%-2),$AZ67*MIN(-BS67/10%,1)+($AY67-$AZ67)*MAX(0,MIN(-BS67/10%-1,1))+($AX67-$AY67)*MAX(0,-BS67/10%-2)),0),"")</f>
        <v/>
      </c>
      <c r="CB67" s="468" t="str">
        <f aca="false">IF($BD67,$BX67+IF(VolSkewFlag=1,IF(BS67&gt;0,$BA67*MIN(BS67/10%,1)+($BB67-$BA67)*MAX(0,MIN(BS67/10%-1,1))+($BC67-$BB67)*MAX(0,BS67/10%-2),$AZ67*MIN(-BS67/10%,1)+($AY67-$AZ67)*MAX(0,MIN(-BS67/10%-1,1))+($AX67-$AY67)*MAX(0,-BS67/10%-2)),0),"")</f>
        <v/>
      </c>
      <c r="CC67" s="468" t="str">
        <f aca="false">IF($BD67,$BW67+IF(VolSkewFlag=1,IF(BT67&gt;0,$BA67*MIN(BT67/10%,1)+($BB67-$BA67)*MAX(0,MIN(BT67/10%-1,1))+($BC67-$BB67)*MAX(0,BT67/10%-2),$AZ67*MIN(-BT67/10%,1)+($AY67-$AZ67)*MAX(0,MIN(-BT67/10%-1,1))+($AX67-$AY67)*MAX(0,-BT67/10%-2)),0),"")</f>
        <v/>
      </c>
      <c r="CD67" s="468" t="str">
        <f aca="false">IF($BD67,$BX67+IF(VolSkewFlag=1,IF(BT67&gt;0,$BA67*MIN(BT67/10%,1)+($BB67-$BA67)*MAX(0,MIN(BT67/10%-1,1))+($BC67-$BB67)*MAX(0,BT67/10%-2),$AZ67*MIN(-BT67/10%,1)+($AY67-$AZ67)*MAX(0,MIN(-BT67/10%-1,1))+($AX67-$AY67)*MAX(0,-BT67/10%-2)),0),"")</f>
        <v/>
      </c>
      <c r="CE67" s="469" t="n">
        <v>1</v>
      </c>
      <c r="CF67" s="470" t="n">
        <f aca="false">IF(BD67,xCrudeAPO(BU67,BV67,CA67,CB67,S68,S69,BI67,BL67,BP67,BQ67,0,Strike1,AO67,CE67,0,BL67,IF(OptControl=4,0,1),0,1),0)</f>
        <v>0</v>
      </c>
      <c r="CG67" s="470" t="n">
        <f aca="false">IF(BD67,xCrudeAPO(BU67,BV67,CA67,CB67,S68,S69,BI67,BL67,BP67,BQ67,0,Strike1,AO67,CE67,0,BL67,IF(OptControl=4,0,1),1,1)+xCrudeAPO(BU67,BV67,CA67,CB67,S68,S69,BI67,BL67,BP67,BQ67,0,Strike1,AO67,CE67,0,BL67,IF(OptControl=4,0,1),1,2)+IF(OR(VolSkewFlag=2,ABS(BS67)&lt;0.0001),0,IF(BS67&gt;0,-1,1)*CH67*Strike1/BR67^2*BY67/10%),0)</f>
        <v>0</v>
      </c>
      <c r="CH67" s="470" t="n">
        <f aca="false">IF(BD67,(xCrudeAPO(BU67,BV67,CA67,CB67,S68,S69,BI67,BL67,BP67,BQ67,0,Strike1,AO67,CE67,0,BL67,IF(OptControl=4,0,1),3,1)+xCrudeAPO(BU67,BV67,CA67,CB67,S68,S69,BI67,BL67,BP67,BQ67,0,Strike1,AO67,CE67,0,BL67,IF(OptControl=4,0,1),3,2))/100,0)</f>
        <v>0</v>
      </c>
      <c r="CI67" s="470" t="n">
        <f aca="false">IF(BD67,xCrudeAPO(BU67,BV67,CA67,CB67,S68,S69,BI67-DaysForThetaCalculation/365.25,BL67-DaysForThetaCalculation/365.25,BP67,BQ67,0,Strike1,AO67,CE67,0,BL67,IF(OptControl=4,0,1),0,1)-xCrudeAPO(BU67,BV67,CA67,CB67,S68,S69,BI67,BL67,BP67,BQ67,0,Strike1,AO67,CE67,0,BL67,IF(OptControl=4,0,1),0,1),0)</f>
        <v>0</v>
      </c>
      <c r="CJ67" s="471" t="n">
        <f aca="false">IF(BD67,xCrudeAPO(BU67,BV67,CC67,CD67,S68,S69,BI67,BL67,BP67,BQ67,0,Strike2,AO67,CE67,0,BL67,IF(OptControl=3,1,0),0,1),0)</f>
        <v>0</v>
      </c>
      <c r="CK67" s="470" t="n">
        <f aca="false">IF(BD67,xCrudeAPO(BU67,BV67,CC67,CD67,S68,S69,BI67,BL67,BP67,BQ67,0,Strike2,AO67,CE67,0,BL67,IF(OptControl=3,1,0),1,1)+xCrudeAPO(BU67,BV67,CC67,CD67,S68,S69,BI67,BL67,BP67,BQ67,0,Strike2,AO67,CE67,0,BL67,IF(OptControl=3,1,0),1,2)+IF(OR(VolSkewFlag=2,ABS(BT67)&lt;0.0001),0,IF(BT67&gt;0,-1,1)*CL67*Strike2/BR67^2*BZ67/10%),0)</f>
        <v>0</v>
      </c>
      <c r="CL67" s="470" t="n">
        <f aca="false">IF(BD67,(xCrudeAPO(BU67,BV67,CC67,CD67,S68,S69,BI67,BL67,BP67,BQ67,0,Strike2,AO67,CE67,0,BL67,IF(OptControl=3,1,0),3,1)+xCrudeAPO(BU67,BV67,CC67,CD67,S68,S69,BI67,BL67,BP67,BQ67,0,Strike2,AO67,CE67,0,BL67,IF(OptControl=3,1,0),3,2))/100,0)</f>
        <v>0</v>
      </c>
      <c r="CM67" s="472" t="n">
        <f aca="false">IF(BD67,xCrudeAPO(BU67,BV67,CC67,CD67,S68,S69,BI67-DaysForThetaCalculation/365.25,BL67-DaysForThetaCalculation/365.25,BP67,BQ67,0,Strike2,AO67,CE67,0,BL67,IF(OptControl=3,1,0),0,1)-xCrudeAPO(BU67,BV67,CC67,CD67,S68,S69,BI67,BL67,BP67,BQ67,0,Strike2,AO67,CE67,0,BL67,IF(OptControl=3,1,0),0,1),0)</f>
        <v>0</v>
      </c>
      <c r="CN67" s="3"/>
      <c r="CO67" s="543" t="str">
        <f aca="false">IF(BD67,CHOOSE(Underlying,AD67,AF67)-DateToday+1,"")</f>
        <v/>
      </c>
      <c r="CP67" s="582" t="str">
        <f aca="false">IF(BD67,CHOOSE(Underlying,L67,R67),"")</f>
        <v/>
      </c>
      <c r="CQ67" s="544" t="str">
        <f aca="false">IF(BD67,Strike1/CP67-1,"")</f>
        <v/>
      </c>
      <c r="CR67" s="544" t="str">
        <f aca="false">IF(BD67,Strike2/CP67-1,"")</f>
        <v/>
      </c>
      <c r="CS67" s="544" t="str">
        <f aca="false">IF(BD67,IF(CQ67&gt;0,IF(CQ67&gt;0.2,BC66-BB66,IF(CQ67&gt;0.1,BB66-BA66,BA66)),IF(CQ67&lt;-0.2,AX66-AY66,IF(CQ67&lt;-0.1,AY66-AZ66,AZ66))),"")</f>
        <v/>
      </c>
      <c r="CT67" s="544" t="str">
        <f aca="false">IF(BD67,IF(CR67&gt;0,IF(CR67&gt;0.2,BC66-BB66,IF(CR67&gt;0.1,BB66-BA66,BA66)),IF(CR67&lt;-0.2,AX66-AY66,IF(CR67&lt;-0.1,AY66-AZ66,AZ66))),"")</f>
        <v/>
      </c>
      <c r="CU67" s="545" t="str">
        <f aca="false">IF(BD67,CHOOSE(Underlying,O67,AT67),"")</f>
        <v/>
      </c>
      <c r="CV67" s="545" t="str">
        <f aca="false">IF(BD67,CU67+IF(VolSkewFlag=1,IF(CQ67&gt;0,BA66*MIN(CQ67/10%,1)+(BB66-BA66)*MAX(0,MIN(CQ67/10%-1,1))+(BC66-BB66)*MAX(0,CQ67/10%-2),AZ66*MIN(-CQ67/10%,1)+(AY66-AZ66)*MAX(0,MIN(-CQ67/10%-1,1))+(AX66-AY66)*MAX(0,-CQ67/10%-2)),0),"")</f>
        <v/>
      </c>
      <c r="CW67" s="545" t="str">
        <f aca="false">IF(BD67,CU67+IF(VolSkewFlag=1,IF(CR67&gt;0,BA66*MIN(CR67/10%,1)+(BB66-BA66)*MAX(0,MIN(CR67/10%-1,1))+(BC66-BB66)*MAX(0,CR67/10%-2),AZ66*MIN(-CR67/10%,1)+(AY66-AZ66)*MAX(0,MIN(-CR67/10%-1,1))+(AX66-AY66)*MAX(0,-CR67/10%-2)),0),"")</f>
        <v/>
      </c>
      <c r="CX67" s="470" t="n">
        <f aca="false">IF(BD67,EURO(CP67,Strike1,AO67,AO67,CV67,CO67,IF(OptControl=4,0,1),0),0)</f>
        <v>0</v>
      </c>
      <c r="CY67" s="470" t="n">
        <f aca="false">IF(BD67,EURO(CP67,Strike1,AO67,AO67,CV67,CO67,IF(OptControl=4,0,1),1)+IF(OR(VolSkewFlag=2,ABS(CQ67)&lt;0.0001),0,IF(CQ67&gt;0,-1,1)*CZ67*100*Strike1/CP67^2*CS67/10%),0)</f>
        <v>0</v>
      </c>
      <c r="CZ67" s="470" t="n">
        <f aca="false">IF(BD67,EURO(CP67,Strike1,AO67,AO67,CV67,CO67,IF(OptControl=4,0,1),3)/100,0)</f>
        <v>0</v>
      </c>
      <c r="DA67" s="470" t="n">
        <f aca="false">IF(BD67,EURO(CP67,Strike1,AO67,AO67,CV67,CO67,IF(OptControl=4,0,1),0)-EURO(CP67,Strike1,AO67,AO67,CV67,CO67-1,IF(OptControl=4,0,1),0),0)</f>
        <v>0</v>
      </c>
      <c r="DB67" s="470" t="n">
        <f aca="false">IF(BD67,EURO(CP67,Strike2,AO67,AO67,CW67,CO67,IF(OptControl=3,1,0),0),0)</f>
        <v>0</v>
      </c>
      <c r="DC67" s="470" t="n">
        <f aca="false">IF(BD67,EURO(CP67,Strike2,AO67,AO67,CW67,CO67,IF(OptControl=3,1,0),1)+IF(OR(VolSkewFlag=2,ABS(CR67)&lt;0.0001),0,IF(CR67&gt;0,-1,1)*DD67*100*Strike2/CP67^2*CT67/10%),0)</f>
        <v>0</v>
      </c>
      <c r="DD67" s="470" t="n">
        <f aca="false">IF(BD67,EURO(CP67,Strike2,AO67,AO67,CW67,CO67,IF(OptControl=3,1,0),3)/100,0)</f>
        <v>0</v>
      </c>
      <c r="DE67" s="472" t="n">
        <f aca="false">IF(BD67,EURO(CP67,Strike2,AO67,AO67,CW67,CO67,IF(OptControl=3,1,0),0)-EURO(CP67,Strike2,AO67,AO67,CW67,CO67-1,IF(OptControl=3,1,0),0),0)</f>
        <v>0</v>
      </c>
      <c r="DG67" s="481" t="n">
        <f aca="false">EOMONTH(DG66,0)+1</f>
        <v>47119</v>
      </c>
      <c r="DH67" s="478" t="n">
        <v>18.415</v>
      </c>
      <c r="DI67" s="479" t="n">
        <v>18.4080952380952</v>
      </c>
      <c r="DJ67" s="480" t="n">
        <f aca="false">DG67</f>
        <v>47119</v>
      </c>
      <c r="DK67" s="478" t="n">
        <v>17.2907362658971</v>
      </c>
      <c r="DL67" s="479" t="n">
        <v>17.2870952380952</v>
      </c>
      <c r="DM67" s="481" t="n">
        <f aca="false">DG67</f>
        <v>47119</v>
      </c>
      <c r="DN67" s="482" t="n">
        <f aca="false">DK67+BrentPhyBrentSpread</f>
        <v>17.3407362658971</v>
      </c>
      <c r="DO67" s="481" t="n">
        <f aca="false">DG67</f>
        <v>47119</v>
      </c>
      <c r="DP67" s="483" t="n">
        <f aca="false">DL67+DQ67</f>
        <v>17.2870952380952</v>
      </c>
      <c r="DQ67" s="546" t="n">
        <v>0</v>
      </c>
      <c r="DR67" s="480" t="n">
        <f aca="false">DG67</f>
        <v>47119</v>
      </c>
      <c r="DS67" s="485" t="n">
        <v>0.201386305335605</v>
      </c>
      <c r="DT67" s="486" t="n">
        <v>0.202619106419749</v>
      </c>
      <c r="DU67" s="480" t="n">
        <f aca="false">DG67</f>
        <v>47119</v>
      </c>
      <c r="DV67" s="485" t="n">
        <v>0.201386305335605</v>
      </c>
      <c r="DW67" s="486" t="n">
        <v>0.202619106419749</v>
      </c>
      <c r="DX67" s="481" t="n">
        <f aca="false">DG67</f>
        <v>47119</v>
      </c>
      <c r="DY67" s="486" t="n">
        <v>0.350000000000001</v>
      </c>
      <c r="DZ67" s="481" t="n">
        <f aca="false">DR67</f>
        <v>47119</v>
      </c>
      <c r="EA67" s="486" t="n">
        <f aca="false">DT67</f>
        <v>0.202619106419749</v>
      </c>
      <c r="EB67" s="195"/>
      <c r="EC67" s="547" t="str">
        <f aca="false">IF(BD67,IF(Underlying=1,AS67,AU67),"")</f>
        <v/>
      </c>
      <c r="ED67" s="548" t="str">
        <f aca="false">IF($BD67,$EC67+IF(VolSkewFlag=1,IF(BS67&gt;0,$BA67*MIN(BS67/10%,1)+($BB67-$BA67)*MAX(0,MIN(BS67/10%-1,1))+($BC67-$BB67)*MAX(0,BS67/10%-2),$AZ67*MIN(-BS67/10%,1)+($AY67-$AZ67)*MAX(0,MIN(-BS67/10%-1,1))+($AX67-$AY67)*MAX(0,-BS67/10%-2)),0),"")</f>
        <v/>
      </c>
      <c r="EE67" s="549" t="str">
        <f aca="false">IF($BD67,$EC67+IF(VolSkewFlag=1,IF(BT67&gt;0,$BA67*MIN(BT67/10%,1)+($BB67-$BA67)*MAX(0,MIN(BT67/10%-1,1))+($BC67-$BB67)*MAX(0,BT67/10%-2),$AZ67*MIN(-BT67/10%,1)+($AY67-$AZ67)*MAX(0,MIN(-BT67/10%-1,1))+($AX67-$AY67)*MAX(0,-BT67/10%-2)),0),"")</f>
        <v/>
      </c>
      <c r="EF67" s="550" t="n">
        <f aca="false">IF(BD67,xASN(BR67,Strike1,AO67,ED67,0,BO67,0,BI67,BL67,IF(OptControl=4,0,1),0),0)</f>
        <v>0</v>
      </c>
      <c r="EG67" s="551" t="n">
        <f aca="false">IF(BD67,xASN(BR67,Strike2,AO67,EE67,0,BO67,0,BI67,BL67,IF(OptControl=3,1,0),0),0)</f>
        <v>0</v>
      </c>
      <c r="EL67" s="1"/>
      <c r="EM67" s="195"/>
      <c r="EN67" s="556" t="n">
        <v>41459</v>
      </c>
      <c r="EO67" s="557" t="n">
        <v>45285</v>
      </c>
      <c r="EP67" s="195"/>
      <c r="EQ67" s="407" t="s">
        <v>293</v>
      </c>
      <c r="ES67" s="587" t="n">
        <v>48</v>
      </c>
      <c r="ET67" s="559" t="n">
        <f aca="false">BH67/365.25</f>
        <v>-21.1937029431896</v>
      </c>
      <c r="EU67" s="560" t="n">
        <f aca="false">O67^2*ET67</f>
        <v>-0</v>
      </c>
      <c r="EV67" s="588" t="e">
        <f aca="false">SQRT(SUM(FK67:ID67)/ET67)</f>
        <v>#VALUE!</v>
      </c>
      <c r="EW67" s="589" t="str">
        <f aca="false">IF(OR(DateStart2&gt;I66,DateEnd2&lt;I65),"",IF(DateStart2&lt;I66,AK65/AI65*AP65*BE65*SwaptionNumOfMonths/$D$33,0)+IF(DateEnd2&gt;I65,AJ66/AI66*AP66*BE66*SwaptionNumOfMonths/$D$33,0))</f>
        <v/>
      </c>
      <c r="EX67" s="590" t="str">
        <f aca="false">IF(EW67="","",SQRT(SUM(FK372:ID372)/SwaptionYearsToExp))</f>
        <v/>
      </c>
      <c r="EY67" s="129" t="n">
        <v>0</v>
      </c>
      <c r="EZ67" s="591" t="str">
        <f aca="false">IF(OR(EW67="",EW68=""),"",SQRT(SUM(INDEX(FK67:ID67,SwaptionFirstMonthPosition+1):INDEX(FK67:ID67,FJ67))/SUM(INDEX($FK$15:$ID$15,SwaptionFirstMonthPosition+1):INDEX($FK$15:$ID$15,FJ67))))</f>
        <v/>
      </c>
      <c r="FA67" s="592" t="str">
        <f aca="false">IF(OR(EW67="",EW66=""),"",SQRT(SUM(INDEX(FK67:ID67,SwaptionFirstMonthPosition+1):INDEX(FK67:ID67,FJ67-1))/SUM(INDEX($FK$15:$ID$15,SwaptionFirstMonthPosition+1):INDEX($FK$15:$ID$15,FJ67-1))))</f>
        <v/>
      </c>
      <c r="FB67" s="593" t="str">
        <f aca="false">IF(BE67,2/3*EZ68+1/3*FA69,"")</f>
        <v/>
      </c>
      <c r="FC67" s="596" t="str">
        <f aca="false">IF(BE67,(I68+I67-1)/2-DateToday,"")</f>
        <v/>
      </c>
      <c r="FD67" s="483" t="str">
        <f aca="false">IF(BE67,CHOOSE(Underlying,X67,Z67)+SwaptionUnderlyingPrice-$D$26,"")</f>
        <v/>
      </c>
      <c r="FE67" s="483" t="str">
        <f aca="false">IF(BE67,CollartionFloor/FD67-1,"")</f>
        <v/>
      </c>
      <c r="FF67" s="483" t="str">
        <f aca="false">IF(BE67,CollartionCap/FD67-1,"")</f>
        <v/>
      </c>
      <c r="FG67" s="485" t="str">
        <f aca="false">IF(BE67,IF(VolSkewFlag=1,IF(FE67&gt;0,$BA67*MIN(FE67/10%,1)+($BB67-$BA67)*MAX(0,MIN(FE67/10%-1,1))+($BC67-$BB67)*MAX(0,FE67/10%-2),$AZ67*MIN(-FE67/10%,1)+($AY67-$AZ67)*MAX(0,MIN(-FE67/10%-1,1))+($AX67-$AY67)*MAX(0,-FE67/10%-2)),0),"")</f>
        <v/>
      </c>
      <c r="FH67" s="486" t="str">
        <f aca="false">IF(BE67,IF(VolSkewFlag=1,IF(FF67&gt;0,$BA67*MIN(FF67/10%,1)+($BB67-$BA67)*MAX(0,MIN(FF67/10%-1,1))+($BC67-$BB67)*MAX(0,FF67/10%-2),$AZ67*MIN(-FF67/10%,1)+($AY67-$AZ67)*MAX(0,MIN(-FF67/10%-1,1))+($AX67-$AY67)*MAX(0,-FF67/10%-2)),0),"")</f>
        <v/>
      </c>
      <c r="FI67" s="129"/>
      <c r="FJ67" s="571" t="n">
        <v>48</v>
      </c>
      <c r="FK67" s="150" t="n">
        <f aca="false">IF(FK$19&gt;$FJ67,"",MAX(0,IF(FK$19=$FJ67,$S67^2*FK$15,FK66*INDEX($T$20:$T$91,$FJ67-FK$19)^2/INDEX($U$20:$U$91,$FJ67-FK$19))))</f>
        <v>0</v>
      </c>
      <c r="FL67" s="150" t="n">
        <f aca="false">IF(FL$19&gt;$FJ67,"",MAX(0,IF(FL$19=$FJ67,$S67^2*FL$15,FL66*INDEX($T$20:$T$91,$FJ67-FL$19)^2/INDEX($U$20:$U$91,$FJ67-FL$19))))</f>
        <v>0</v>
      </c>
      <c r="FM67" s="150" t="n">
        <f aca="false">IF(FM$19&gt;$FJ67,"",MAX(0,IF(FM$19=$FJ67,$S67^2*FM$15,FM66*INDEX($T$20:$T$91,$FJ67-FM$19)^2/INDEX($U$20:$U$91,$FJ67-FM$19))))</f>
        <v>0.00255019002857148</v>
      </c>
      <c r="FN67" s="150" t="n">
        <f aca="false">IF(FN$19&gt;$FJ67,"",MAX(0,IF(FN$19=$FJ67,$S67^2*FN$15,FN66*INDEX($T$20:$T$91,$FJ67-FN$19)^2/INDEX($U$20:$U$91,$FJ67-FN$19))))</f>
        <v>0.00214690739802545</v>
      </c>
      <c r="FO67" s="150" t="n">
        <f aca="false">IF(FO$19&gt;$FJ67,"",MAX(0,IF(FO$19=$FJ67,$S67^2*FO$15,FO66*INDEX($T$20:$T$91,$FJ67-FO$19)^2/INDEX($U$20:$U$91,$FJ67-FO$19))))</f>
        <v>0.00223369652006245</v>
      </c>
      <c r="FP67" s="150" t="n">
        <f aca="false">IF(FP$19&gt;$FJ67,"",MAX(0,IF(FP$19=$FJ67,$S67^2*FP$15,FP66*INDEX($T$20:$T$91,$FJ67-FP$19)^2/INDEX($U$20:$U$91,$FJ67-FP$19))))</f>
        <v>0.00247593644120042</v>
      </c>
      <c r="FQ67" s="150" t="n">
        <f aca="false">IF(FQ$19&gt;$FJ67,"",MAX(0,IF(FQ$19=$FJ67,$S67^2*FQ$15,FQ66*INDEX($T$20:$T$91,$FJ67-FQ$19)^2/INDEX($U$20:$U$91,$FJ67-FQ$19))))</f>
        <v>0.00200526047626054</v>
      </c>
      <c r="FR67" s="150" t="n">
        <f aca="false">IF(FR$19&gt;$FJ67,"",MAX(0,IF(FR$19=$FJ67,$S67^2*FR$15,FR66*INDEX($T$20:$T$91,$FJ67-FR$19)^2/INDEX($U$20:$U$91,$FJ67-FR$19))))</f>
        <v>0.0020511606016438</v>
      </c>
      <c r="FS67" s="150" t="n">
        <f aca="false">IF(FS$19&gt;$FJ67,"",MAX(0,IF(FS$19=$FJ67,$S67^2*FS$15,FS66*INDEX($T$20:$T$91,$FJ67-FS$19)^2/INDEX($U$20:$U$91,$FJ67-FS$19))))</f>
        <v>0.00231265730624521</v>
      </c>
      <c r="FT67" s="150" t="n">
        <f aca="false">IF(FT$19&gt;$FJ67,"",MAX(0,IF(FT$19=$FJ67,$S67^2*FT$15,FT66*INDEX($T$20:$T$91,$FJ67-FT$19)^2/INDEX($U$20:$U$91,$FJ67-FT$19))))</f>
        <v>0.00208829967670766</v>
      </c>
      <c r="FU67" s="150" t="n">
        <f aca="false">IF(FU$19&gt;$FJ67,"",MAX(0,IF(FU$19=$FJ67,$S67^2*FU$15,FU66*INDEX($T$20:$T$91,$FJ67-FU$19)^2/INDEX($U$20:$U$91,$FJ67-FU$19))))</f>
        <v>0.00200897250107605</v>
      </c>
      <c r="FV67" s="150" t="n">
        <f aca="false">IF(FV$19&gt;$FJ67,"",MAX(0,IF(FV$19=$FJ67,$S67^2*FV$15,FV66*INDEX($T$20:$T$91,$FJ67-FV$19)^2/INDEX($U$20:$U$91,$FJ67-FV$19))))</f>
        <v>0.00220940044751546</v>
      </c>
      <c r="FW67" s="150" t="n">
        <f aca="false">IF(FW$19&gt;$FJ67,"",MAX(0,IF(FW$19=$FJ67,$S67^2*FW$15,FW66*INDEX($T$20:$T$91,$FJ67-FW$19)^2/INDEX($U$20:$U$91,$FJ67-FW$19))))</f>
        <v>0.00206680838771848</v>
      </c>
      <c r="FX67" s="150" t="n">
        <f aca="false">IF(FX$19&gt;$FJ67,"",MAX(0,IF(FX$19=$FJ67,$S67^2*FX$15,FX66*INDEX($T$20:$T$91,$FJ67-FX$19)^2/INDEX($U$20:$U$91,$FJ67-FX$19))))</f>
        <v>0.0022018551411905</v>
      </c>
      <c r="FY67" s="150" t="n">
        <f aca="false">IF(FY$19&gt;$FJ67,"",MAX(0,IF(FY$19=$FJ67,$S67^2*FY$15,FY66*INDEX($T$20:$T$91,$FJ67-FY$19)^2/INDEX($U$20:$U$91,$FJ67-FY$19))))</f>
        <v>0.00206325692207384</v>
      </c>
      <c r="FZ67" s="150" t="n">
        <f aca="false">IF(FZ$19&gt;$FJ67,"",MAX(0,IF(FZ$19=$FJ67,$S67^2*FZ$15,FZ66*INDEX($T$20:$T$91,$FJ67-FZ$19)^2/INDEX($U$20:$U$91,$FJ67-FZ$19))))</f>
        <v>0.00192605041147778</v>
      </c>
      <c r="GA67" s="150" t="n">
        <f aca="false">IF(GA$19&gt;$FJ67,"",MAX(0,IF(GA$19=$FJ67,$S67^2*GA$15,GA66*INDEX($T$20:$T$91,$FJ67-GA$19)^2/INDEX($U$20:$U$91,$FJ67-GA$19))))</f>
        <v>0.00206519657022835</v>
      </c>
      <c r="GB67" s="150" t="n">
        <f aca="false">IF(GB$19&gt;$FJ67,"",MAX(0,IF(GB$19=$FJ67,$S67^2*GB$15,GB66*INDEX($T$20:$T$91,$FJ67-GB$19)^2/INDEX($U$20:$U$91,$FJ67-GB$19))))</f>
        <v>0.00227468214735107</v>
      </c>
      <c r="GC67" s="150" t="n">
        <f aca="false">IF(GC$19&gt;$FJ67,"",MAX(0,IF(GC$19=$FJ67,$S67^2*GC$15,GC66*INDEX($T$20:$T$91,$FJ67-GC$19)^2/INDEX($U$20:$U$91,$FJ67-GC$19))))</f>
        <v>0.00200263926213256</v>
      </c>
      <c r="GD67" s="150" t="n">
        <f aca="false">IF(GD$19&gt;$FJ67,"",MAX(0,IF(GD$19=$FJ67,$S67^2*GD$15,GD66*INDEX($T$20:$T$91,$FJ67-GD$19)^2/INDEX($U$20:$U$91,$FJ67-GD$19))))</f>
        <v>0.00200741687106389</v>
      </c>
      <c r="GE67" s="150" t="n">
        <f aca="false">IF(GE$19&gt;$FJ67,"",MAX(0,IF(GE$19=$FJ67,$S67^2*GE$15,GE66*INDEX($T$20:$T$91,$FJ67-GE$19)^2/INDEX($U$20:$U$91,$FJ67-GE$19))))</f>
        <v>0.00229107977633283</v>
      </c>
      <c r="GF67" s="150" t="n">
        <f aca="false">IF(GF$19&gt;$FJ67,"",MAX(0,IF(GF$19=$FJ67,$S67^2*GF$15,GF66*INDEX($T$20:$T$91,$FJ67-GF$19)^2/INDEX($U$20:$U$91,$FJ67-GF$19))))</f>
        <v>0.00202062942930338</v>
      </c>
      <c r="GG67" s="150" t="n">
        <f aca="false">IF(GG$19&gt;$FJ67,"",MAX(0,IF(GG$19=$FJ67,$S67^2*GG$15,GG66*INDEX($T$20:$T$91,$FJ67-GG$19)^2/INDEX($U$20:$U$91,$FJ67-GG$19))))</f>
        <v>0.00223928536420487</v>
      </c>
      <c r="GH67" s="150" t="n">
        <f aca="false">IF(GH$19&gt;$FJ67,"",MAX(0,IF(GH$19=$FJ67,$S67^2*GH$15,GH66*INDEX($T$20:$T$91,$FJ67-GH$19)^2/INDEX($U$20:$U$91,$FJ67-GH$19))))</f>
        <v>0.00211009365141764</v>
      </c>
      <c r="GI67" s="150" t="n">
        <f aca="false">IF(GI$19&gt;$FJ67,"",MAX(0,IF(GI$19=$FJ67,$S67^2*GI$15,GI66*INDEX($T$20:$T$91,$FJ67-GI$19)^2/INDEX($U$20:$U$91,$FJ67-GI$19))))</f>
        <v>0.0020521136455396</v>
      </c>
      <c r="GJ67" s="150" t="n">
        <f aca="false">IF(GJ$19&gt;$FJ67,"",MAX(0,IF(GJ$19=$FJ67,$S67^2*GJ$15,GJ66*INDEX($T$20:$T$91,$FJ67-GJ$19)^2/INDEX($U$20:$U$91,$FJ67-GJ$19))))</f>
        <v>0.00235182385475001</v>
      </c>
      <c r="GK67" s="150" t="n">
        <f aca="false">IF(GK$19&gt;$FJ67,"",MAX(0,IF(GK$19=$FJ67,$S67^2*GK$15,GK66*INDEX($T$20:$T$91,$FJ67-GK$19)^2/INDEX($U$20:$U$91,$FJ67-GK$19))))</f>
        <v>0.00215595116420445</v>
      </c>
      <c r="GL67" s="150" t="n">
        <f aca="false">IF(GL$19&gt;$FJ67,"",MAX(0,IF(GL$19=$FJ67,$S67^2*GL$15,GL66*INDEX($T$20:$T$91,$FJ67-GL$19)^2/INDEX($U$20:$U$91,$FJ67-GL$19))))</f>
        <v>0.00210460579136764</v>
      </c>
      <c r="GM67" s="150" t="n">
        <f aca="false">IF(GM$19&gt;$FJ67,"",MAX(0,IF(GM$19=$FJ67,$S67^2*GM$15,GM66*INDEX($T$20:$T$91,$FJ67-GM$19)^2/INDEX($U$20:$U$91,$FJ67-GM$19))))</f>
        <v>0.00227574180201279</v>
      </c>
      <c r="GN67" s="150" t="n">
        <f aca="false">IF(GN$19&gt;$FJ67,"",MAX(0,IF(GN$19=$FJ67,$S67^2*GN$15,GN66*INDEX($T$20:$T$91,$FJ67-GN$19)^2/INDEX($U$20:$U$91,$FJ67-GN$19))))</f>
        <v>0.00230658244112264</v>
      </c>
      <c r="GO67" s="150" t="n">
        <f aca="false">IF(GO$19&gt;$FJ67,"",MAX(0,IF(GO$19=$FJ67,$S67^2*GO$15,GO66*INDEX($T$20:$T$91,$FJ67-GO$19)^2/INDEX($U$20:$U$91,$FJ67-GO$19))))</f>
        <v>0.00234324968092436</v>
      </c>
      <c r="GP67" s="150" t="n">
        <f aca="false">IF(GP$19&gt;$FJ67,"",MAX(0,IF(GP$19=$FJ67,$S67^2*GP$15,GP66*INDEX($T$20:$T$91,$FJ67-GP$19)^2/INDEX($U$20:$U$91,$FJ67-GP$19))))</f>
        <v>0.00215595723738463</v>
      </c>
      <c r="GQ67" s="150" t="n">
        <f aca="false">IF(GQ$19&gt;$FJ67,"",MAX(0,IF(GQ$19=$FJ67,$S67^2*GQ$15,GQ66*INDEX($T$20:$T$91,$FJ67-GQ$19)^2/INDEX($U$20:$U$91,$FJ67-GQ$19))))</f>
        <v>0.00243919943248742</v>
      </c>
      <c r="GR67" s="150" t="n">
        <f aca="false">IF(GR$19&gt;$FJ67,"",MAX(0,IF(GR$19=$FJ67,$S67^2*GR$15,GR66*INDEX($T$20:$T$91,$FJ67-GR$19)^2/INDEX($U$20:$U$91,$FJ67-GR$19))))</f>
        <v>0.00242118145937849</v>
      </c>
      <c r="GS67" s="150" t="n">
        <f aca="false">IF(GS$19&gt;$FJ67,"",MAX(0,IF(GS$19=$FJ67,$S67^2*GS$15,GS66*INDEX($T$20:$T$91,$FJ67-GS$19)^2/INDEX($U$20:$U$91,$FJ67-GS$19))))</f>
        <v>0.00257742857966002</v>
      </c>
      <c r="GT67" s="150" t="n">
        <f aca="false">IF(GT$19&gt;$FJ67,"",MAX(0,IF(GT$19=$FJ67,$S67^2*GT$15,GT66*INDEX($T$20:$T$91,$FJ67-GT$19)^2/INDEX($U$20:$U$91,$FJ67-GT$19))))</f>
        <v>0.00258282889556359</v>
      </c>
      <c r="GU67" s="150" t="n">
        <f aca="false">IF(GU$19&gt;$FJ67,"",MAX(0,IF(GU$19=$FJ67,$S67^2*GU$15,GU66*INDEX($T$20:$T$91,$FJ67-GU$19)^2/INDEX($U$20:$U$91,$FJ67-GU$19))))</f>
        <v>0.00278040926717506</v>
      </c>
      <c r="GV67" s="150" t="n">
        <f aca="false">IF(GV$19&gt;$FJ67,"",MAX(0,IF(GV$19=$FJ67,$S67^2*GV$15,GV66*INDEX($T$20:$T$91,$FJ67-GV$19)^2/INDEX($U$20:$U$91,$FJ67-GV$19))))</f>
        <v>0.00291722219923906</v>
      </c>
      <c r="GW67" s="150" t="n">
        <f aca="false">IF(GW$19&gt;$FJ67,"",MAX(0,IF(GW$19=$FJ67,$S67^2*GW$15,GW66*INDEX($T$20:$T$91,$FJ67-GW$19)^2/INDEX($U$20:$U$91,$FJ67-GW$19))))</f>
        <v>0.00298696157262945</v>
      </c>
      <c r="GX67" s="150" t="n">
        <f aca="false">IF(GX$19&gt;$FJ67,"",MAX(0,IF(GX$19=$FJ67,$S67^2*GX$15,GX66*INDEX($T$20:$T$91,$FJ67-GX$19)^2/INDEX($U$20:$U$91,$FJ67-GX$19))))</f>
        <v>0.00329812149535146</v>
      </c>
      <c r="GY67" s="150" t="n">
        <f aca="false">IF(GY$19&gt;$FJ67,"",MAX(0,IF(GY$19=$FJ67,$S67^2*GY$15,GY66*INDEX($T$20:$T$91,$FJ67-GY$19)^2/INDEX($U$20:$U$91,$FJ67-GY$19))))</f>
        <v>0.00345065700953467</v>
      </c>
      <c r="GZ67" s="150" t="n">
        <f aca="false">IF(GZ$19&gt;$FJ67,"",MAX(0,IF(GZ$19=$FJ67,$S67^2*GZ$15,GZ66*INDEX($T$20:$T$91,$FJ67-GZ$19)^2/INDEX($U$20:$U$91,$FJ67-GZ$19))))</f>
        <v>0.00390871914728276</v>
      </c>
      <c r="HA67" s="150" t="n">
        <f aca="false">IF(HA$19&gt;$FJ67,"",MAX(0,IF(HA$19=$FJ67,$S67^2*HA$15,HA66*INDEX($T$20:$T$91,$FJ67-HA$19)^2/INDEX($U$20:$U$91,$FJ67-HA$19))))</f>
        <v>0.00435583164628599</v>
      </c>
      <c r="HB67" s="150" t="n">
        <f aca="false">IF(HB$19&gt;$FJ67,"",MAX(0,IF(HB$19=$FJ67,$S67^2*HB$15,HB66*INDEX($T$20:$T$91,$FJ67-HB$19)^2/INDEX($U$20:$U$91,$FJ67-HB$19))))</f>
        <v>0.00463075582667863</v>
      </c>
      <c r="HC67" s="150" t="n">
        <f aca="false">IF(HC$19&gt;$FJ67,"",MAX(0,IF(HC$19=$FJ67,$S67^2*HC$15,HC66*INDEX($T$20:$T$91,$FJ67-HC$19)^2/INDEX($U$20:$U$91,$FJ67-HC$19))))</f>
        <v>0.0057587331965043</v>
      </c>
      <c r="HD67" s="150" t="n">
        <f aca="false">IF(HD$19&gt;$FJ67,"",MAX(0,IF(HD$19=$FJ67,$S67^2*HD$15,HD66*INDEX($T$20:$T$91,$FJ67-HD$19)^2/INDEX($U$20:$U$91,$FJ67-HD$19))))</f>
        <v>0.00666805311749226</v>
      </c>
      <c r="HE67" s="150" t="n">
        <f aca="false">IF(HE$19&gt;$FJ67,"",MAX(0,IF(HE$19=$FJ67,$S67^2*HE$15,HE66*INDEX($T$20:$T$91,$FJ67-HE$19)^2/INDEX($U$20:$U$91,$FJ67-HE$19))))</f>
        <v>0.00852847437160444</v>
      </c>
      <c r="HF67" s="150" t="n">
        <f aca="false">IF(HF$19&gt;$FJ67,"",MAX(0,IF(HF$19=$FJ67,$S67^2*HF$15,HF66*INDEX($T$20:$T$91,$FJ67-HF$19)^2/INDEX($U$20:$U$91,$FJ67-HF$19))))</f>
        <v>0.0106447680942802</v>
      </c>
      <c r="HG67" s="150" t="str">
        <f aca="false">IF(HG$19&gt;$FJ67,"",MAX(0,IF(HG$19=$FJ67,$S67^2*HG$15,HG66*INDEX($T$20:$T$91,$FJ67-HG$19)^2/INDEX($U$20:$U$91,$FJ67-HG$19))))</f>
        <v/>
      </c>
      <c r="HH67" s="150" t="str">
        <f aca="false">IF(HH$19&gt;$FJ67,"",MAX(0,IF(HH$19=$FJ67,$S67^2*HH$15,HH66*INDEX($T$20:$T$91,$FJ67-HH$19)^2/INDEX($U$20:$U$91,$FJ67-HH$19))))</f>
        <v/>
      </c>
      <c r="HI67" s="150" t="str">
        <f aca="false">IF(HI$19&gt;$FJ67,"",MAX(0,IF(HI$19=$FJ67,$S67^2*HI$15,HI66*INDEX($T$20:$T$91,$FJ67-HI$19)^2/INDEX($U$20:$U$91,$FJ67-HI$19))))</f>
        <v/>
      </c>
      <c r="HJ67" s="150" t="str">
        <f aca="false">IF(HJ$19&gt;$FJ67,"",MAX(0,IF(HJ$19=$FJ67,$S67^2*HJ$15,HJ66*INDEX($T$20:$T$91,$FJ67-HJ$19)^2/INDEX($U$20:$U$91,$FJ67-HJ$19))))</f>
        <v/>
      </c>
      <c r="HK67" s="150" t="str">
        <f aca="false">IF(HK$19&gt;$FJ67,"",MAX(0,IF(HK$19=$FJ67,$S67^2*HK$15,HK66*INDEX($T$20:$T$91,$FJ67-HK$19)^2/INDEX($U$20:$U$91,$FJ67-HK$19))))</f>
        <v/>
      </c>
      <c r="HL67" s="150" t="str">
        <f aca="false">IF(HL$19&gt;$FJ67,"",MAX(0,IF(HL$19=$FJ67,$S67^2*HL$15,HL66*INDEX($T$20:$T$91,$FJ67-HL$19)^2/INDEX($U$20:$U$91,$FJ67-HL$19))))</f>
        <v/>
      </c>
      <c r="HM67" s="150" t="str">
        <f aca="false">IF(HM$19&gt;$FJ67,"",MAX(0,IF(HM$19=$FJ67,$S67^2*HM$15,HM66*INDEX($T$20:$T$91,$FJ67-HM$19)^2/INDEX($U$20:$U$91,$FJ67-HM$19))))</f>
        <v/>
      </c>
      <c r="HN67" s="150" t="str">
        <f aca="false">IF(HN$19&gt;$FJ67,"",MAX(0,IF(HN$19=$FJ67,$S67^2*HN$15,HN66*INDEX($T$20:$T$91,$FJ67-HN$19)^2/INDEX($U$20:$U$91,$FJ67-HN$19))))</f>
        <v/>
      </c>
      <c r="HO67" s="150" t="str">
        <f aca="false">IF(HO$19&gt;$FJ67,"",MAX(0,IF(HO$19=$FJ67,$S67^2*HO$15,HO66*INDEX($T$20:$T$91,$FJ67-HO$19)^2/INDEX($U$20:$U$91,$FJ67-HO$19))))</f>
        <v/>
      </c>
      <c r="HP67" s="150" t="str">
        <f aca="false">IF(HP$19&gt;$FJ67,"",MAX(0,IF(HP$19=$FJ67,$S67^2*HP$15,HP66*INDEX($T$20:$T$91,$FJ67-HP$19)^2/INDEX($U$20:$U$91,$FJ67-HP$19))))</f>
        <v/>
      </c>
      <c r="HQ67" s="150" t="str">
        <f aca="false">IF(HQ$19&gt;$FJ67,"",MAX(0,IF(HQ$19=$FJ67,$S67^2*HQ$15,HQ66*INDEX($T$20:$T$91,$FJ67-HQ$19)^2/INDEX($U$20:$U$91,$FJ67-HQ$19))))</f>
        <v/>
      </c>
      <c r="HR67" s="150" t="str">
        <f aca="false">IF(HR$19&gt;$FJ67,"",MAX(0,IF(HR$19=$FJ67,$S67^2*HR$15,HR66*INDEX($T$20:$T$91,$FJ67-HR$19)^2/INDEX($U$20:$U$91,$FJ67-HR$19))))</f>
        <v/>
      </c>
      <c r="HS67" s="150" t="str">
        <f aca="false">IF(HS$19&gt;$FJ67,"",MAX(0,IF(HS$19=$FJ67,$S67^2*HS$15,HS66*INDEX($T$20:$T$91,$FJ67-HS$19)^2/INDEX($U$20:$U$91,$FJ67-HS$19))))</f>
        <v/>
      </c>
      <c r="HT67" s="150" t="str">
        <f aca="false">IF(HT$19&gt;$FJ67,"",MAX(0,IF(HT$19=$FJ67,$S67^2*HT$15,HT66*INDEX($T$20:$T$91,$FJ67-HT$19)^2/INDEX($U$20:$U$91,$FJ67-HT$19))))</f>
        <v/>
      </c>
      <c r="HU67" s="150" t="str">
        <f aca="false">IF(HU$19&gt;$FJ67,"",MAX(0,IF(HU$19=$FJ67,$S67^2*HU$15,HU66*INDEX($T$20:$T$91,$FJ67-HU$19)^2/INDEX($U$20:$U$91,$FJ67-HU$19))))</f>
        <v/>
      </c>
      <c r="HV67" s="150" t="str">
        <f aca="false">IF(HV$19&gt;$FJ67,"",MAX(0,IF(HV$19=$FJ67,$S67^2*HV$15,HV66*INDEX($T$20:$T$91,$FJ67-HV$19)^2/INDEX($U$20:$U$91,$FJ67-HV$19))))</f>
        <v/>
      </c>
      <c r="HW67" s="150" t="str">
        <f aca="false">IF(HW$19&gt;$FJ67,"",MAX(0,IF(HW$19=$FJ67,$S67^2*HW$15,HW66*INDEX($T$20:$T$91,$FJ67-HW$19)^2/INDEX($U$20:$U$91,$FJ67-HW$19))))</f>
        <v/>
      </c>
      <c r="HX67" s="150" t="str">
        <f aca="false">IF(HX$19&gt;$FJ67,"",MAX(0,IF(HX$19=$FJ67,$S67^2*HX$15,HX66*INDEX($T$20:$T$91,$FJ67-HX$19)^2/INDEX($U$20:$U$91,$FJ67-HX$19))))</f>
        <v/>
      </c>
      <c r="HY67" s="150" t="str">
        <f aca="false">IF(HY$19&gt;$FJ67,"",MAX(0,IF(HY$19=$FJ67,$S67^2*HY$15,HY66*INDEX($T$20:$T$91,$FJ67-HY$19)^2/INDEX($U$20:$U$91,$FJ67-HY$19))))</f>
        <v/>
      </c>
      <c r="HZ67" s="150" t="str">
        <f aca="false">IF(HZ$19&gt;$FJ67,"",MAX(0,IF(HZ$19=$FJ67,$S67^2*HZ$15,HZ66*INDEX($T$20:$T$91,$FJ67-HZ$19)^2/INDEX($U$20:$U$91,$FJ67-HZ$19))))</f>
        <v/>
      </c>
      <c r="IA67" s="150" t="str">
        <f aca="false">IF(IA$19&gt;$FJ67,"",MAX(0,IF(IA$19=$FJ67,$S67^2*IA$15,IA66*INDEX($T$20:$T$91,$FJ67-IA$19)^2/INDEX($U$20:$U$91,$FJ67-IA$19))))</f>
        <v/>
      </c>
      <c r="IB67" s="150" t="str">
        <f aca="false">IF(IB$19&gt;$FJ67,"",MAX(0,IF(IB$19=$FJ67,$S67^2*IB$15,IB66*INDEX($T$20:$T$91,$FJ67-IB$19)^2/INDEX($U$20:$U$91,$FJ67-IB$19))))</f>
        <v/>
      </c>
      <c r="IC67" s="150" t="str">
        <f aca="false">IF(IC$19&gt;$FJ67,"",MAX(0,IF(IC$19=$FJ67,$S67^2*IC$15,IC66*INDEX($T$20:$T$91,$FJ67-IC$19)^2/INDEX($U$20:$U$91,$FJ67-IC$19))))</f>
        <v/>
      </c>
      <c r="ID67" s="572" t="str">
        <f aca="false">IF(ID$19&gt;$FJ67,"",MAX(0,IF(ID$19=$FJ67,$S67^2*ID$15,ID66*INDEX($T$20:$T$91,$FJ67-ID$19)^2/INDEX($U$20:$U$91,$FJ67-ID$19))))</f>
        <v/>
      </c>
      <c r="IE67" s="129"/>
    </row>
    <row r="68" customFormat="false" ht="12.75" hidden="false" customHeight="false" outlineLevel="0" collapsed="false">
      <c r="A68" s="3"/>
      <c r="F68" s="3"/>
      <c r="G68" s="3"/>
      <c r="H68" s="219" t="n">
        <f aca="false">VLOOKUP(I68,$EJ$20:$EL$54,3)</f>
        <v>0</v>
      </c>
      <c r="I68" s="511" t="n">
        <f aca="false">EOMONTH(I67,0)+1</f>
        <v>38231</v>
      </c>
      <c r="J68" s="512"/>
      <c r="K68" s="513" t="s">
        <v>250</v>
      </c>
      <c r="L68" s="514" t="e">
        <f aca="false">IF(ISNUMBER(K68),J68+K68/100,IF(K68="extra",L67+VLOOKUP(BF68,PriceSpreadTable,2)/12,IF(K68="inter",interpolateprices($K$19:$L$200,ROW(K68)-ROW(FirstPricingMonth)+1),interpolatechanges($J$19:$K$200,ROW(K68)-ROW(FirstPricingMonth)+1))))</f>
        <v>#VALUE!</v>
      </c>
      <c r="M68" s="515"/>
      <c r="N68" s="516" t="n">
        <v>0</v>
      </c>
      <c r="O68" s="515" t="n">
        <f aca="false">M68+N68</f>
        <v>0</v>
      </c>
      <c r="P68" s="512"/>
      <c r="Q68" s="513" t="s">
        <v>280</v>
      </c>
      <c r="R68" s="512" t="e">
        <f aca="false">IF(ISNUMBER(Q68),P68+Q68/100,IF(Q68="extra",(Z66*AL66-R67*AM66)/AN66,IF(Q68="inter",interpolateprices($Q$19:$R$260,ROW(Q68)-ROW(FirstPricingMonth)+1),interpolatechanges($P$19:$Q$260,ROW(Q68)-ROW(FirstPricingMonth)+1))))</f>
        <v>#VALUE!</v>
      </c>
      <c r="S68" s="597" t="n">
        <f aca="false">S$19+(S67-S$19)*S$18</f>
        <v>0.360000053695683</v>
      </c>
      <c r="T68" s="575" t="n">
        <f aca="false">SQRT((1-(1-T67^2/U67)*T$18)*U68)</f>
        <v>0.999939056439205</v>
      </c>
      <c r="U68" s="576" t="n">
        <f aca="false">1-(1-U67)*U$18</f>
        <v>0.999999984898089</v>
      </c>
      <c r="V68" s="521" t="n">
        <v>0</v>
      </c>
      <c r="W68" s="577" t="n">
        <f aca="false">(J69*AJ68+J70*AK68)/AI68</f>
        <v>0</v>
      </c>
      <c r="X68" s="578" t="e">
        <f aca="false">(L69*AJ68+L70*AK68)/AI68</f>
        <v>#VALUE!</v>
      </c>
      <c r="Y68" s="579" t="n">
        <f aca="false">IF(Q70="extra",W68-AA68,(P69*AM68+P70*AN68)/AL68)</f>
        <v>-1.2051</v>
      </c>
      <c r="Z68" s="579" t="e">
        <f aca="false">IF(Q70="extra",X68-AB68,(R69*AM68+R70*AN68)/AL68)</f>
        <v>#VALUE!</v>
      </c>
      <c r="AA68" s="523" t="n">
        <f aca="false">IF(Q70="extra",INDEX(BrentSeasonalityTable,INT((BG68-1)/3)+1)*VLOOKUP(MAX(BF68,$AB$4),PriceSpreadTable,3),W68-Y68)</f>
        <v>1.2051</v>
      </c>
      <c r="AB68" s="524" t="n">
        <f aca="false">IF(Q70="extra",INDEX(BrentSeasonalityTable,INT((BG68-1)/3)+1)*VLOOKUP(MAX(BF68,$AB$4),PriceSpreadTable,3),X68-Z68)</f>
        <v>1.2051</v>
      </c>
      <c r="AC68" s="646" t="n">
        <v>38219</v>
      </c>
      <c r="AD68" s="646" t="n">
        <v>38215</v>
      </c>
      <c r="AE68" s="646" t="n">
        <v>38214</v>
      </c>
      <c r="AF68" s="646" t="n">
        <v>38210</v>
      </c>
      <c r="AG68" s="438" t="s">
        <v>247</v>
      </c>
      <c r="AH68" s="439" t="s">
        <v>278</v>
      </c>
      <c r="AI68" s="528" t="n">
        <v>22</v>
      </c>
      <c r="AJ68" s="529" t="n">
        <v>14</v>
      </c>
      <c r="AK68" s="529" t="n">
        <v>8</v>
      </c>
      <c r="AL68" s="530" t="n">
        <v>22</v>
      </c>
      <c r="AM68" s="529" t="n">
        <v>10</v>
      </c>
      <c r="AN68" s="531" t="n">
        <v>12</v>
      </c>
      <c r="AO68" s="532"/>
      <c r="AP68" s="465" t="n">
        <f aca="false">(1+AO68/2)^(-2*BL68)</f>
        <v>1</v>
      </c>
      <c r="AQ68" s="532"/>
      <c r="AR68" s="465" t="n">
        <f aca="false">(1+AQ68/2)^(-2*BH68/365.25)</f>
        <v>1</v>
      </c>
      <c r="AS68" s="580" t="n">
        <f aca="false">(O69*AJ68+O70*AK68)/AI68</f>
        <v>0</v>
      </c>
      <c r="AT68" s="468" t="n">
        <f aca="false">O68*VLOOKUP(BF68,BrentVolTable,2)+VLOOKUP(BF68,BrentVolTable,3)</f>
        <v>0</v>
      </c>
      <c r="AU68" s="468" t="n">
        <f aca="false">(AT69*AM68+AT70*AN68)/AL68</f>
        <v>0</v>
      </c>
      <c r="AV68" s="595" t="n">
        <f aca="false">SQRT(MAX(0.000000000001,(O68^2*BH68-S68^2*(BH68-BH67))/BH67))</f>
        <v>0.0227816344376599</v>
      </c>
      <c r="AW68" s="451" t="n">
        <f aca="false">IF($I68-DateToday+15&gt;=$T$8,"",IF($I68-DateToday+15&lt;$T$5,1,MATCH($I68-DateToday+15,$T$5:$T$8)))</f>
        <v>1</v>
      </c>
      <c r="AX68" s="468" t="n">
        <f aca="false">IF($AW68="",AX67^2/AX66,INDEX(U$5:U$8,$AW68)^((INDEX($T$5:$T$8,$AW68+1)-($I68-DateToday+15))/(INDEX($T$5:$T$8,$AW68+1)-INDEX($T$5:$T$8,$AW68)))/INDEX(U$5:U$8,$AW68+1)^((INDEX($T$5:$T$8,$AW68)-($I68-DateToday+15))/(INDEX($T$5:$T$8,$AW68+1)-INDEX($T$5:$T$8,$AW68))))</f>
        <v>4.49743619235839</v>
      </c>
      <c r="AY68" s="468" t="n">
        <f aca="false">IF($AW68="",AY67^2/AY66,INDEX(V$5:V$8,$AW68)^((INDEX($T$5:$T$8,$AW68+1)-($I68-DateToday+15))/(INDEX($T$5:$T$8,$AW68+1)-INDEX($T$5:$T$8,$AW68)))/INDEX(V$5:V$8,$AW68+1)^((INDEX($T$5:$T$8,$AW68)-($I68-DateToday+15))/(INDEX($T$5:$T$8,$AW68+1)-INDEX($T$5:$T$8,$AW68))))</f>
        <v>690.555808472142</v>
      </c>
      <c r="AZ68" s="468" t="n">
        <f aca="false">IF($AW68="",AZ67^2/AZ66,INDEX(W$5:W$8,$AW68)^((INDEX($T$5:$T$8,$AW68+1)-($I68-DateToday+15))/(INDEX($T$5:$T$8,$AW68+1)-INDEX($T$5:$T$8,$AW68)))/INDEX(W$5:W$8,$AW68+1)^((INDEX($T$5:$T$8,$AW68)-($I68-DateToday+15))/(INDEX($T$5:$T$8,$AW68+1)-INDEX($T$5:$T$8,$AW68))))</f>
        <v>13498078.8728242</v>
      </c>
      <c r="BA68" s="468" t="n">
        <f aca="false">IF($AW68="",BA67^2/BA66,INDEX(X$5:X$8,$AW68)^((INDEX($T$5:$T$8,$AW68+1)-($I68-DateToday+15))/(INDEX($T$5:$T$8,$AW68+1)-INDEX($T$5:$T$8,$AW68)))/INDEX(X$5:X$8,$AW68+1)^((INDEX($T$5:$T$8,$AW68)-($I68-DateToday+15))/(INDEX($T$5:$T$8,$AW68+1)-INDEX($T$5:$T$8,$AW68))))</f>
        <v>632361963.020285</v>
      </c>
      <c r="BB68" s="468" t="n">
        <f aca="false">IF($AW68="",BB67^2/BB66,INDEX(Y$5:Y$8,$AW68)^((INDEX($T$5:$T$8,$AW68+1)-($I68-DateToday+15))/(INDEX($T$5:$T$8,$AW68+1)-INDEX($T$5:$T$8,$AW68)))/INDEX(Y$5:Y$8,$AW68+1)^((INDEX($T$5:$T$8,$AW68)-($I68-DateToday+15))/(INDEX($T$5:$T$8,$AW68+1)-INDEX($T$5:$T$8,$AW68))))</f>
        <v>10869854900.7563</v>
      </c>
      <c r="BC68" s="468" t="n">
        <f aca="false">IF($AW68="",BC67^2/BC66,INDEX(Z$5:Z$8,$AW68)^((INDEX($T$5:$T$8,$AW68+1)-($I68-DateToday+15))/(INDEX($T$5:$T$8,$AW68+1)-INDEX($T$5:$T$8,$AW68)))/INDEX(Z$5:Z$8,$AW68+1)^((INDEX($T$5:$T$8,$AW68)-($I68-DateToday+15))/(INDEX($T$5:$T$8,$AW68+1)-INDEX($T$5:$T$8,$AW68))))</f>
        <v>59459229358.602</v>
      </c>
      <c r="BD68" s="535" t="n">
        <f aca="false">IF(OR(DateStart&gt;=I69,DateEnd&lt;I68),0,IF(VolumeOverrideFlag,V68,Volume))</f>
        <v>0</v>
      </c>
      <c r="BE68" s="536" t="n">
        <f aca="false">IF(OR(DateStart2&gt;=I69,DateEnd2&lt;I68),0,IF(VolumeOverrideFlag,V68,VolumeSwaption))</f>
        <v>0</v>
      </c>
      <c r="BF68" s="537" t="n">
        <f aca="false">YEAR(I68)</f>
        <v>2004</v>
      </c>
      <c r="BG68" s="538" t="n">
        <f aca="false">MONTH(I68)</f>
        <v>9</v>
      </c>
      <c r="BH68" s="539" t="n">
        <f aca="false">AD68-DateToday+1</f>
        <v>-7710</v>
      </c>
      <c r="BI68" s="540" t="n">
        <f aca="false">(I68-DateToday+1)/365.25</f>
        <v>-21.0650239561944</v>
      </c>
      <c r="BJ68" s="541" t="n">
        <f aca="false">BI68+(BL68-BI68)*CHOOSE(Underlying,AJ68/AI68,AM68/AL68)</f>
        <v>-21.0144981643955</v>
      </c>
      <c r="BK68" s="541" t="n">
        <f aca="false">BJ68+1/365.25</f>
        <v>-21.0117603136084</v>
      </c>
      <c r="BL68" s="541" t="n">
        <f aca="false">(I69-DateToday)/365.25</f>
        <v>-20.9856262833676</v>
      </c>
      <c r="BM68" s="542" t="e">
        <f aca="false">MAX(BI68-(BJ68-BI68)*(S69^2/O69^2-1),0)</f>
        <v>#DIV/0!</v>
      </c>
      <c r="BN68" s="541" t="e">
        <f aca="false">MAX(BL68+(BL68-BK68)*(S70^2/O70^2-1),0)</f>
        <v>#DIV/0!</v>
      </c>
      <c r="BO68" s="530" t="n">
        <f aca="false">CHOOSE(Underlying,AI68,AL68)</f>
        <v>22</v>
      </c>
      <c r="BP68" s="529" t="n">
        <f aca="false">CHOOSE(Underlying,AJ68,AM68)</f>
        <v>14</v>
      </c>
      <c r="BQ68" s="529" t="n">
        <f aca="false">CHOOSE(Underlying,AK68,AN68)</f>
        <v>8</v>
      </c>
      <c r="BR68" s="463" t="str">
        <f aca="false">IF(BD68,IF(Underlying=1,X68,Z68)+UnderlyingPriceAsian-SwapPriceCurve,"")</f>
        <v/>
      </c>
      <c r="BS68" s="463" t="str">
        <f aca="false">IF(BD68,Strike1/BR68-1,"")</f>
        <v/>
      </c>
      <c r="BT68" s="464" t="str">
        <f aca="false">IF(BD68,Strike2/BR68-1,"")</f>
        <v/>
      </c>
      <c r="BU68" s="465" t="str">
        <f aca="false">IF(BD68,IF(Underlying=1,L69,R69)+UnderlyingPriceAsian-SwapPriceCurve,"")</f>
        <v/>
      </c>
      <c r="BV68" s="465" t="str">
        <f aca="false">IF(BD68,IF(Underlying=1,L70,R70)+UnderlyingPriceAsian-SwapPriceCurve,"")</f>
        <v/>
      </c>
      <c r="BW68" s="466" t="str">
        <f aca="false">IF(BD68,IF(Underlying=1,O69,AT69),"")</f>
        <v/>
      </c>
      <c r="BX68" s="467" t="str">
        <f aca="false">IF(BD68,IF(Underlying=1,O70,AT70),"")</f>
        <v/>
      </c>
      <c r="BY68" s="466" t="str">
        <f aca="false">IF(BD68,IF(BS68&gt;0,IF(BS68&gt;0.2,BC68-BB68,IF(BS68&gt;0.1,BB68-BA68,BA68)),IF(BS68&lt;-0.2,AX68-AY68,IF(BS68&lt;-0.1,AY68-AZ68,AZ68))),"")</f>
        <v/>
      </c>
      <c r="BZ68" s="467" t="str">
        <f aca="false">IF(BD68,IF(BT68&gt;0,IF(BT68&gt;0.2,BC68-BB68,IF(BT68&gt;0.1,BB68-BA68,BA68)),IF(BT68&lt;-0.2,AX68-AY68,IF(BT68&lt;-0.1,AY68-AZ68,AZ68))),"")</f>
        <v/>
      </c>
      <c r="CA68" s="468" t="str">
        <f aca="false">IF($BD68,$BW68+IF(VolSkewFlag=1,IF(BS68&gt;0,$BA68*MIN(BS68/10%,1)+($BB68-$BA68)*MAX(0,MIN(BS68/10%-1,1))+($BC68-$BB68)*MAX(0,BS68/10%-2),$AZ68*MIN(-BS68/10%,1)+($AY68-$AZ68)*MAX(0,MIN(-BS68/10%-1,1))+($AX68-$AY68)*MAX(0,-BS68/10%-2)),0),"")</f>
        <v/>
      </c>
      <c r="CB68" s="468" t="str">
        <f aca="false">IF($BD68,$BX68+IF(VolSkewFlag=1,IF(BS68&gt;0,$BA68*MIN(BS68/10%,1)+($BB68-$BA68)*MAX(0,MIN(BS68/10%-1,1))+($BC68-$BB68)*MAX(0,BS68/10%-2),$AZ68*MIN(-BS68/10%,1)+($AY68-$AZ68)*MAX(0,MIN(-BS68/10%-1,1))+($AX68-$AY68)*MAX(0,-BS68/10%-2)),0),"")</f>
        <v/>
      </c>
      <c r="CC68" s="468" t="str">
        <f aca="false">IF($BD68,$BW68+IF(VolSkewFlag=1,IF(BT68&gt;0,$BA68*MIN(BT68/10%,1)+($BB68-$BA68)*MAX(0,MIN(BT68/10%-1,1))+($BC68-$BB68)*MAX(0,BT68/10%-2),$AZ68*MIN(-BT68/10%,1)+($AY68-$AZ68)*MAX(0,MIN(-BT68/10%-1,1))+($AX68-$AY68)*MAX(0,-BT68/10%-2)),0),"")</f>
        <v/>
      </c>
      <c r="CD68" s="468" t="str">
        <f aca="false">IF($BD68,$BX68+IF(VolSkewFlag=1,IF(BT68&gt;0,$BA68*MIN(BT68/10%,1)+($BB68-$BA68)*MAX(0,MIN(BT68/10%-1,1))+($BC68-$BB68)*MAX(0,BT68/10%-2),$AZ68*MIN(-BT68/10%,1)+($AY68-$AZ68)*MAX(0,MIN(-BT68/10%-1,1))+($AX68-$AY68)*MAX(0,-BT68/10%-2)),0),"")</f>
        <v/>
      </c>
      <c r="CE68" s="469" t="n">
        <v>1</v>
      </c>
      <c r="CF68" s="470" t="n">
        <f aca="false">IF(BD68,xCrudeAPO(BU68,BV68,CA68,CB68,S69,S70,BI68,BL68,BP68,BQ68,0,Strike1,AO68,CE68,0,BL68,IF(OptControl=4,0,1),0,1),0)</f>
        <v>0</v>
      </c>
      <c r="CG68" s="470" t="n">
        <f aca="false">IF(BD68,xCrudeAPO(BU68,BV68,CA68,CB68,S69,S70,BI68,BL68,BP68,BQ68,0,Strike1,AO68,CE68,0,BL68,IF(OptControl=4,0,1),1,1)+xCrudeAPO(BU68,BV68,CA68,CB68,S69,S70,BI68,BL68,BP68,BQ68,0,Strike1,AO68,CE68,0,BL68,IF(OptControl=4,0,1),1,2)+IF(OR(VolSkewFlag=2,ABS(BS68)&lt;0.0001),0,IF(BS68&gt;0,-1,1)*CH68*Strike1/BR68^2*BY68/10%),0)</f>
        <v>0</v>
      </c>
      <c r="CH68" s="470" t="n">
        <f aca="false">IF(BD68,(xCrudeAPO(BU68,BV68,CA68,CB68,S69,S70,BI68,BL68,BP68,BQ68,0,Strike1,AO68,CE68,0,BL68,IF(OptControl=4,0,1),3,1)+xCrudeAPO(BU68,BV68,CA68,CB68,S69,S70,BI68,BL68,BP68,BQ68,0,Strike1,AO68,CE68,0,BL68,IF(OptControl=4,0,1),3,2))/100,0)</f>
        <v>0</v>
      </c>
      <c r="CI68" s="470" t="n">
        <f aca="false">IF(BD68,xCrudeAPO(BU68,BV68,CA68,CB68,S69,S70,BI68-DaysForThetaCalculation/365.25,BL68-DaysForThetaCalculation/365.25,BP68,BQ68,0,Strike1,AO68,CE68,0,BL68,IF(OptControl=4,0,1),0,1)-xCrudeAPO(BU68,BV68,CA68,CB68,S69,S70,BI68,BL68,BP68,BQ68,0,Strike1,AO68,CE68,0,BL68,IF(OptControl=4,0,1),0,1),0)</f>
        <v>0</v>
      </c>
      <c r="CJ68" s="471" t="n">
        <f aca="false">IF(BD68,xCrudeAPO(BU68,BV68,CC68,CD68,S69,S70,BI68,BL68,BP68,BQ68,0,Strike2,AO68,CE68,0,BL68,IF(OptControl=3,1,0),0,1),0)</f>
        <v>0</v>
      </c>
      <c r="CK68" s="470" t="n">
        <f aca="false">IF(BD68,xCrudeAPO(BU68,BV68,CC68,CD68,S69,S70,BI68,BL68,BP68,BQ68,0,Strike2,AO68,CE68,0,BL68,IF(OptControl=3,1,0),1,1)+xCrudeAPO(BU68,BV68,CC68,CD68,S69,S70,BI68,BL68,BP68,BQ68,0,Strike2,AO68,CE68,0,BL68,IF(OptControl=3,1,0),1,2)+IF(OR(VolSkewFlag=2,ABS(BT68)&lt;0.0001),0,IF(BT68&gt;0,-1,1)*CL68*Strike2/BR68^2*BZ68/10%),0)</f>
        <v>0</v>
      </c>
      <c r="CL68" s="470" t="n">
        <f aca="false">IF(BD68,(xCrudeAPO(BU68,BV68,CC68,CD68,S69,S70,BI68,BL68,BP68,BQ68,0,Strike2,AO68,CE68,0,BL68,IF(OptControl=3,1,0),3,1)+xCrudeAPO(BU68,BV68,CC68,CD68,S69,S70,BI68,BL68,BP68,BQ68,0,Strike2,AO68,CE68,0,BL68,IF(OptControl=3,1,0),3,2))/100,0)</f>
        <v>0</v>
      </c>
      <c r="CM68" s="472" t="n">
        <f aca="false">IF(BD68,xCrudeAPO(BU68,BV68,CC68,CD68,S69,S70,BI68-DaysForThetaCalculation/365.25,BL68-DaysForThetaCalculation/365.25,BP68,BQ68,0,Strike2,AO68,CE68,0,BL68,IF(OptControl=3,1,0),0,1)-xCrudeAPO(BU68,BV68,CC68,CD68,S69,S70,BI68,BL68,BP68,BQ68,0,Strike2,AO68,CE68,0,BL68,IF(OptControl=3,1,0),0,1),0)</f>
        <v>0</v>
      </c>
      <c r="CN68" s="3"/>
      <c r="CO68" s="543" t="str">
        <f aca="false">IF(BD68,CHOOSE(Underlying,AD68,AF68)-DateToday+1,"")</f>
        <v/>
      </c>
      <c r="CP68" s="582" t="str">
        <f aca="false">IF(BD68,CHOOSE(Underlying,L68,R68),"")</f>
        <v/>
      </c>
      <c r="CQ68" s="544" t="str">
        <f aca="false">IF(BD68,Strike1/CP68-1,"")</f>
        <v/>
      </c>
      <c r="CR68" s="544" t="str">
        <f aca="false">IF(BD68,Strike2/CP68-1,"")</f>
        <v/>
      </c>
      <c r="CS68" s="544" t="str">
        <f aca="false">IF(BD68,IF(CQ68&gt;0,IF(CQ68&gt;0.2,BC67-BB67,IF(CQ68&gt;0.1,BB67-BA67,BA67)),IF(CQ68&lt;-0.2,AX67-AY67,IF(CQ68&lt;-0.1,AY67-AZ67,AZ67))),"")</f>
        <v/>
      </c>
      <c r="CT68" s="544" t="str">
        <f aca="false">IF(BD68,IF(CR68&gt;0,IF(CR68&gt;0.2,BC67-BB67,IF(CR68&gt;0.1,BB67-BA67,BA67)),IF(CR68&lt;-0.2,AX67-AY67,IF(CR68&lt;-0.1,AY67-AZ67,AZ67))),"")</f>
        <v/>
      </c>
      <c r="CU68" s="545" t="str">
        <f aca="false">IF(BD68,CHOOSE(Underlying,O68,AT68),"")</f>
        <v/>
      </c>
      <c r="CV68" s="545" t="str">
        <f aca="false">IF(BD68,CU68+IF(VolSkewFlag=1,IF(CQ68&gt;0,BA67*MIN(CQ68/10%,1)+(BB67-BA67)*MAX(0,MIN(CQ68/10%-1,1))+(BC67-BB67)*MAX(0,CQ68/10%-2),AZ67*MIN(-CQ68/10%,1)+(AY67-AZ67)*MAX(0,MIN(-CQ68/10%-1,1))+(AX67-AY67)*MAX(0,-CQ68/10%-2)),0),"")</f>
        <v/>
      </c>
      <c r="CW68" s="545" t="str">
        <f aca="false">IF(BD68,CU68+IF(VolSkewFlag=1,IF(CR68&gt;0,BA67*MIN(CR68/10%,1)+(BB67-BA67)*MAX(0,MIN(CR68/10%-1,1))+(BC67-BB67)*MAX(0,CR68/10%-2),AZ67*MIN(-CR68/10%,1)+(AY67-AZ67)*MAX(0,MIN(-CR68/10%-1,1))+(AX67-AY67)*MAX(0,-CR68/10%-2)),0),"")</f>
        <v/>
      </c>
      <c r="CX68" s="470" t="n">
        <f aca="false">IF(BD68,EURO(CP68,Strike1,AO68,AO68,CV68,CO68,IF(OptControl=4,0,1),0),0)</f>
        <v>0</v>
      </c>
      <c r="CY68" s="470" t="n">
        <f aca="false">IF(BD68,EURO(CP68,Strike1,AO68,AO68,CV68,CO68,IF(OptControl=4,0,1),1)+IF(OR(VolSkewFlag=2,ABS(CQ68)&lt;0.0001),0,IF(CQ68&gt;0,-1,1)*CZ68*100*Strike1/CP68^2*CS68/10%),0)</f>
        <v>0</v>
      </c>
      <c r="CZ68" s="470" t="n">
        <f aca="false">IF(BD68,EURO(CP68,Strike1,AO68,AO68,CV68,CO68,IF(OptControl=4,0,1),3)/100,0)</f>
        <v>0</v>
      </c>
      <c r="DA68" s="470" t="n">
        <f aca="false">IF(BD68,EURO(CP68,Strike1,AO68,AO68,CV68,CO68,IF(OptControl=4,0,1),0)-EURO(CP68,Strike1,AO68,AO68,CV68,CO68-1,IF(OptControl=4,0,1),0),0)</f>
        <v>0</v>
      </c>
      <c r="DB68" s="470" t="n">
        <f aca="false">IF(BD68,EURO(CP68,Strike2,AO68,AO68,CW68,CO68,IF(OptControl=3,1,0),0),0)</f>
        <v>0</v>
      </c>
      <c r="DC68" s="470" t="n">
        <f aca="false">IF(BD68,EURO(CP68,Strike2,AO68,AO68,CW68,CO68,IF(OptControl=3,1,0),1)+IF(OR(VolSkewFlag=2,ABS(CR68)&lt;0.0001),0,IF(CR68&gt;0,-1,1)*DD68*100*Strike2/CP68^2*CT68/10%),0)</f>
        <v>0</v>
      </c>
      <c r="DD68" s="470" t="n">
        <f aca="false">IF(BD68,EURO(CP68,Strike2,AO68,AO68,CW68,CO68,IF(OptControl=3,1,0),3)/100,0)</f>
        <v>0</v>
      </c>
      <c r="DE68" s="472" t="n">
        <f aca="false">IF(BD68,EURO(CP68,Strike2,AO68,AO68,CW68,CO68,IF(OptControl=3,1,0),0)-EURO(CP68,Strike2,AO68,AO68,CW68,CO68-1,IF(OptControl=3,1,0),0),0)</f>
        <v>0</v>
      </c>
      <c r="DG68" s="481" t="n">
        <f aca="false">EOMONTH(DG67,0)+1</f>
        <v>47150</v>
      </c>
      <c r="DH68" s="478" t="n">
        <v>18.41</v>
      </c>
      <c r="DI68" s="479" t="n">
        <v>18.40375</v>
      </c>
      <c r="DJ68" s="480" t="n">
        <f aca="false">DG68</f>
        <v>47150</v>
      </c>
      <c r="DK68" s="478" t="n">
        <v>17.3394531117525</v>
      </c>
      <c r="DL68" s="479" t="n">
        <v>17.28275</v>
      </c>
      <c r="DM68" s="481" t="n">
        <f aca="false">DG68</f>
        <v>47150</v>
      </c>
      <c r="DN68" s="482" t="n">
        <f aca="false">DK68+BrentPhyBrentSpread</f>
        <v>17.3894531117525</v>
      </c>
      <c r="DO68" s="481" t="n">
        <f aca="false">DG68</f>
        <v>47150</v>
      </c>
      <c r="DP68" s="483" t="n">
        <f aca="false">DL68+DQ68</f>
        <v>17.28275</v>
      </c>
      <c r="DQ68" s="546" t="n">
        <v>0</v>
      </c>
      <c r="DR68" s="480" t="n">
        <f aca="false">DG68</f>
        <v>47150</v>
      </c>
      <c r="DS68" s="485" t="n">
        <v>0.202428823378317</v>
      </c>
      <c r="DT68" s="486" t="n">
        <v>0.20276141131147</v>
      </c>
      <c r="DU68" s="480" t="n">
        <f aca="false">DG68</f>
        <v>47150</v>
      </c>
      <c r="DV68" s="485" t="n">
        <v>0.202428823378317</v>
      </c>
      <c r="DW68" s="486" t="n">
        <v>0.20276141131147</v>
      </c>
      <c r="DX68" s="481" t="n">
        <f aca="false">DG68</f>
        <v>47150</v>
      </c>
      <c r="DY68" s="486" t="n">
        <v>0.350000000000001</v>
      </c>
      <c r="DZ68" s="481" t="n">
        <f aca="false">DR68</f>
        <v>47150</v>
      </c>
      <c r="EA68" s="486" t="n">
        <f aca="false">DT68</f>
        <v>0.20276141131147</v>
      </c>
      <c r="EB68" s="195"/>
      <c r="EC68" s="547" t="str">
        <f aca="false">IF(BD68,IF(Underlying=1,AS68,AU68),"")</f>
        <v/>
      </c>
      <c r="ED68" s="548" t="str">
        <f aca="false">IF($BD68,$EC68+IF(VolSkewFlag=1,IF(BS68&gt;0,$BA68*MIN(BS68/10%,1)+($BB68-$BA68)*MAX(0,MIN(BS68/10%-1,1))+($BC68-$BB68)*MAX(0,BS68/10%-2),$AZ68*MIN(-BS68/10%,1)+($AY68-$AZ68)*MAX(0,MIN(-BS68/10%-1,1))+($AX68-$AY68)*MAX(0,-BS68/10%-2)),0),"")</f>
        <v/>
      </c>
      <c r="EE68" s="549" t="str">
        <f aca="false">IF($BD68,$EC68+IF(VolSkewFlag=1,IF(BT68&gt;0,$BA68*MIN(BT68/10%,1)+($BB68-$BA68)*MAX(0,MIN(BT68/10%-1,1))+($BC68-$BB68)*MAX(0,BT68/10%-2),$AZ68*MIN(-BT68/10%,1)+($AY68-$AZ68)*MAX(0,MIN(-BT68/10%-1,1))+($AX68-$AY68)*MAX(0,-BT68/10%-2)),0),"")</f>
        <v/>
      </c>
      <c r="EF68" s="550" t="n">
        <f aca="false">IF(BD68,xASN(BR68,Strike1,AO68,ED68,0,BO68,0,BI68,BL68,IF(OptControl=4,0,1),0),0)</f>
        <v>0</v>
      </c>
      <c r="EG68" s="551" t="n">
        <f aca="false">IF(BD68,xASN(BR68,Strike2,AO68,EE68,0,BO68,0,BI68,BL68,IF(OptControl=3,1,0),0),0)</f>
        <v>0</v>
      </c>
      <c r="EL68" s="1"/>
      <c r="EM68" s="195"/>
      <c r="EN68" s="556" t="n">
        <v>41633</v>
      </c>
      <c r="EO68" s="557" t="n">
        <v>45292</v>
      </c>
      <c r="EP68" s="195"/>
      <c r="EQ68" s="407" t="s">
        <v>294</v>
      </c>
      <c r="ES68" s="587" t="n">
        <v>49</v>
      </c>
      <c r="ET68" s="559" t="n">
        <f aca="false">BH68/365.25</f>
        <v>-21.1088295687885</v>
      </c>
      <c r="EU68" s="560" t="n">
        <f aca="false">O68^2*ET68</f>
        <v>-0</v>
      </c>
      <c r="EV68" s="588" t="e">
        <f aca="false">SQRT(SUM(FK68:ID68)/ET68)</f>
        <v>#VALUE!</v>
      </c>
      <c r="EW68" s="589" t="str">
        <f aca="false">IF(OR(DateStart2&gt;I67,DateEnd2&lt;I66),"",IF(DateStart2&lt;I67,AK66/AI66*AP66*BE66*SwaptionNumOfMonths/$D$33,0)+IF(DateEnd2&gt;I66,AJ67/AI67*AP67*BE67*SwaptionNumOfMonths/$D$33,0))</f>
        <v/>
      </c>
      <c r="EX68" s="590" t="str">
        <f aca="false">IF(EW68="","",SQRT(SUM(FK373:ID373)/SwaptionYearsToExp))</f>
        <v/>
      </c>
      <c r="EY68" s="129" t="n">
        <v>0</v>
      </c>
      <c r="EZ68" s="591" t="str">
        <f aca="false">IF(OR(EW68="",EW69=""),"",SQRT(SUM(INDEX(FK68:ID68,SwaptionFirstMonthPosition+1):INDEX(FK68:ID68,FJ68))/SUM(INDEX($FK$15:$ID$15,SwaptionFirstMonthPosition+1):INDEX($FK$15:$ID$15,FJ68))))</f>
        <v/>
      </c>
      <c r="FA68" s="592" t="str">
        <f aca="false">IF(OR(EW68="",EW67=""),"",SQRT(SUM(INDEX(FK68:ID68,SwaptionFirstMonthPosition+1):INDEX(FK68:ID68,FJ68-1))/SUM(INDEX($FK$15:$ID$15,SwaptionFirstMonthPosition+1):INDEX($FK$15:$ID$15,FJ68-1))))</f>
        <v/>
      </c>
      <c r="FB68" s="593" t="str">
        <f aca="false">IF(BE68,2/3*EZ69+1/3*FA70,"")</f>
        <v/>
      </c>
      <c r="FC68" s="596" t="str">
        <f aca="false">IF(BE68,(I69+I68-1)/2-DateToday,"")</f>
        <v/>
      </c>
      <c r="FD68" s="483" t="str">
        <f aca="false">IF(BE68,CHOOSE(Underlying,X68,Z68)+SwaptionUnderlyingPrice-$D$26,"")</f>
        <v/>
      </c>
      <c r="FE68" s="483" t="str">
        <f aca="false">IF(BE68,CollartionFloor/FD68-1,"")</f>
        <v/>
      </c>
      <c r="FF68" s="483" t="str">
        <f aca="false">IF(BE68,CollartionCap/FD68-1,"")</f>
        <v/>
      </c>
      <c r="FG68" s="485" t="str">
        <f aca="false">IF(BE68,IF(VolSkewFlag=1,IF(FE68&gt;0,$BA68*MIN(FE68/10%,1)+($BB68-$BA68)*MAX(0,MIN(FE68/10%-1,1))+($BC68-$BB68)*MAX(0,FE68/10%-2),$AZ68*MIN(-FE68/10%,1)+($AY68-$AZ68)*MAX(0,MIN(-FE68/10%-1,1))+($AX68-$AY68)*MAX(0,-FE68/10%-2)),0),"")</f>
        <v/>
      </c>
      <c r="FH68" s="486" t="str">
        <f aca="false">IF(BE68,IF(VolSkewFlag=1,IF(FF68&gt;0,$BA68*MIN(FF68/10%,1)+($BB68-$BA68)*MAX(0,MIN(FF68/10%-1,1))+($BC68-$BB68)*MAX(0,FF68/10%-2),$AZ68*MIN(-FF68/10%,1)+($AY68-$AZ68)*MAX(0,MIN(-FF68/10%-1,1))+($AX68-$AY68)*MAX(0,-FF68/10%-2)),0),"")</f>
        <v/>
      </c>
      <c r="FI68" s="129"/>
      <c r="FJ68" s="571" t="n">
        <v>49</v>
      </c>
      <c r="FK68" s="150" t="n">
        <f aca="false">IF(FK$19&gt;$FJ68,"",MAX(0,IF(FK$19=$FJ68,$S68^2*FK$15,FK67*INDEX($T$20:$T$91,$FJ68-FK$19)^2/INDEX($U$20:$U$91,$FJ68-FK$19))))</f>
        <v>0</v>
      </c>
      <c r="FL68" s="150" t="n">
        <f aca="false">IF(FL$19&gt;$FJ68,"",MAX(0,IF(FL$19=$FJ68,$S68^2*FL$15,FL67*INDEX($T$20:$T$91,$FJ68-FL$19)^2/INDEX($U$20:$U$91,$FJ68-FL$19))))</f>
        <v>0</v>
      </c>
      <c r="FM68" s="150" t="n">
        <f aca="false">IF(FM$19&gt;$FJ68,"",MAX(0,IF(FM$19=$FJ68,$S68^2*FM$15,FM67*INDEX($T$20:$T$91,$FJ68-FM$19)^2/INDEX($U$20:$U$91,$FJ68-FM$19))))</f>
        <v>0.00254969278980722</v>
      </c>
      <c r="FN68" s="150" t="n">
        <f aca="false">IF(FN$19&gt;$FJ68,"",MAX(0,IF(FN$19=$FJ68,$S68^2*FN$15,FN67*INDEX($T$20:$T$91,$FJ68-FN$19)^2/INDEX($U$20:$U$91,$FJ68-FN$19))))</f>
        <v>0.00214641780002778</v>
      </c>
      <c r="FO68" s="150" t="n">
        <f aca="false">IF(FO$19&gt;$FJ68,"",MAX(0,IF(FO$19=$FJ68,$S68^2*FO$15,FO67*INDEX($T$20:$T$91,$FJ68-FO$19)^2/INDEX($U$20:$U$91,$FJ68-FO$19))))</f>
        <v>0.00223310074218436</v>
      </c>
      <c r="FP68" s="150" t="n">
        <f aca="false">IF(FP$19&gt;$FJ68,"",MAX(0,IF(FP$19=$FJ68,$S68^2*FP$15,FP67*INDEX($T$20:$T$91,$FJ68-FP$19)^2/INDEX($U$20:$U$91,$FJ68-FP$19))))</f>
        <v>0.00247516405664175</v>
      </c>
      <c r="FQ68" s="150" t="n">
        <f aca="false">IF(FQ$19&gt;$FJ68,"",MAX(0,IF(FQ$19=$FJ68,$S68^2*FQ$15,FQ67*INDEX($T$20:$T$91,$FJ68-FQ$19)^2/INDEX($U$20:$U$91,$FJ68-FQ$19))))</f>
        <v>0.00200452883402138</v>
      </c>
      <c r="FR68" s="150" t="n">
        <f aca="false">IF(FR$19&gt;$FJ68,"",MAX(0,IF(FR$19=$FJ68,$S68^2*FR$15,FR67*INDEX($T$20:$T$91,$FJ68-FR$19)^2/INDEX($U$20:$U$91,$FJ68-FR$19))))</f>
        <v>0.00205028529237442</v>
      </c>
      <c r="FS68" s="150" t="n">
        <f aca="false">IF(FS$19&gt;$FJ68,"",MAX(0,IF(FS$19=$FJ68,$S68^2*FS$15,FS67*INDEX($T$20:$T$91,$FJ68-FS$19)^2/INDEX($U$20:$U$91,$FJ68-FS$19))))</f>
        <v>0.00231150303725116</v>
      </c>
      <c r="FT68" s="150" t="n">
        <f aca="false">IF(FT$19&gt;$FJ68,"",MAX(0,IF(FT$19=$FJ68,$S68^2*FT$15,FT67*INDEX($T$20:$T$91,$FJ68-FT$19)^2/INDEX($U$20:$U$91,$FJ68-FT$19))))</f>
        <v>0.00208708062408448</v>
      </c>
      <c r="FU68" s="150" t="n">
        <f aca="false">IF(FU$19&gt;$FJ68,"",MAX(0,IF(FU$19=$FJ68,$S68^2*FU$15,FU67*INDEX($T$20:$T$91,$FJ68-FU$19)^2/INDEX($U$20:$U$91,$FJ68-FU$19))))</f>
        <v>0.00200760086938903</v>
      </c>
      <c r="FV68" s="150" t="n">
        <f aca="false">IF(FV$19&gt;$FJ68,"",MAX(0,IF(FV$19=$FJ68,$S68^2*FV$15,FV67*INDEX($T$20:$T$91,$FJ68-FV$19)^2/INDEX($U$20:$U$91,$FJ68-FV$19))))</f>
        <v>0.00220763614992796</v>
      </c>
      <c r="FW68" s="150" t="n">
        <f aca="false">IF(FW$19&gt;$FJ68,"",MAX(0,IF(FW$19=$FJ68,$S68^2*FW$15,FW67*INDEX($T$20:$T$91,$FJ68-FW$19)^2/INDEX($U$20:$U$91,$FJ68-FW$19))))</f>
        <v>0.00206487805797181</v>
      </c>
      <c r="FX68" s="150" t="n">
        <f aca="false">IF(FX$19&gt;$FJ68,"",MAX(0,IF(FX$19=$FJ68,$S68^2*FX$15,FX67*INDEX($T$20:$T$91,$FJ68-FX$19)^2/INDEX($U$20:$U$91,$FJ68-FX$19))))</f>
        <v>0.00219944992611784</v>
      </c>
      <c r="FY68" s="150" t="n">
        <f aca="false">IF(FY$19&gt;$FJ68,"",MAX(0,IF(FY$19=$FJ68,$S68^2*FY$15,FY67*INDEX($T$20:$T$91,$FJ68-FY$19)^2/INDEX($U$20:$U$91,$FJ68-FY$19))))</f>
        <v>0.00206062087980877</v>
      </c>
      <c r="FZ68" s="150" t="n">
        <f aca="false">IF(FZ$19&gt;$FJ68,"",MAX(0,IF(FZ$19=$FJ68,$S68^2*FZ$15,FZ67*INDEX($T$20:$T$91,$FJ68-FZ$19)^2/INDEX($U$20:$U$91,$FJ68-FZ$19))))</f>
        <v>0.00192317234650713</v>
      </c>
      <c r="GA68" s="150" t="n">
        <f aca="false">IF(GA$19&gt;$FJ68,"",MAX(0,IF(GA$19=$FJ68,$S68^2*GA$15,GA67*INDEX($T$20:$T$91,$FJ68-GA$19)^2/INDEX($U$20:$U$91,$FJ68-GA$19))))</f>
        <v>0.00206158722665835</v>
      </c>
      <c r="GB68" s="150" t="n">
        <f aca="false">IF(GB$19&gt;$FJ68,"",MAX(0,IF(GB$19=$FJ68,$S68^2*GB$15,GB67*INDEX($T$20:$T$91,$FJ68-GB$19)^2/INDEX($U$20:$U$91,$FJ68-GB$19))))</f>
        <v>0.00227003248481905</v>
      </c>
      <c r="GC68" s="150" t="n">
        <f aca="false">IF(GC$19&gt;$FJ68,"",MAX(0,IF(GC$19=$FJ68,$S68^2*GC$15,GC67*INDEX($T$20:$T$91,$FJ68-GC$19)^2/INDEX($U$20:$U$91,$FJ68-GC$19))))</f>
        <v>0.00199785144752013</v>
      </c>
      <c r="GD68" s="150" t="n">
        <f aca="false">IF(GD$19&gt;$FJ68,"",MAX(0,IF(GD$19=$FJ68,$S68^2*GD$15,GD67*INDEX($T$20:$T$91,$FJ68-GD$19)^2/INDEX($U$20:$U$91,$FJ68-GD$19))))</f>
        <v>0.00200180372873356</v>
      </c>
      <c r="GE68" s="150" t="n">
        <f aca="false">IF(GE$19&gt;$FJ68,"",MAX(0,IF(GE$19=$FJ68,$S68^2*GE$15,GE67*INDEX($T$20:$T$91,$FJ68-GE$19)^2/INDEX($U$20:$U$91,$FJ68-GE$19))))</f>
        <v>0.00228358700322302</v>
      </c>
      <c r="GF68" s="150" t="n">
        <f aca="false">IF(GF$19&gt;$FJ68,"",MAX(0,IF(GF$19=$FJ68,$S68^2*GF$15,GF67*INDEX($T$20:$T$91,$FJ68-GF$19)^2/INDEX($U$20:$U$91,$FJ68-GF$19))))</f>
        <v>0.0020129004360306</v>
      </c>
      <c r="GG68" s="150" t="n">
        <f aca="false">IF(GG$19&gt;$FJ68,"",MAX(0,IF(GG$19=$FJ68,$S68^2*GG$15,GG67*INDEX($T$20:$T$91,$FJ68-GG$19)^2/INDEX($U$20:$U$91,$FJ68-GG$19))))</f>
        <v>0.00222926739754037</v>
      </c>
      <c r="GH68" s="150" t="n">
        <f aca="false">IF(GH$19&gt;$FJ68,"",MAX(0,IF(GH$19=$FJ68,$S68^2*GH$15,GH67*INDEX($T$20:$T$91,$FJ68-GH$19)^2/INDEX($U$20:$U$91,$FJ68-GH$19))))</f>
        <v>0.00209905271886811</v>
      </c>
      <c r="GI68" s="150" t="n">
        <f aca="false">IF(GI$19&gt;$FJ68,"",MAX(0,IF(GI$19=$FJ68,$S68^2*GI$15,GI67*INDEX($T$20:$T$91,$FJ68-GI$19)^2/INDEX($U$20:$U$91,$FJ68-GI$19))))</f>
        <v>0.00203955510073371</v>
      </c>
      <c r="GJ68" s="150" t="n">
        <f aca="false">IF(GJ$19&gt;$FJ68,"",MAX(0,IF(GJ$19=$FJ68,$S68^2*GJ$15,GJ67*INDEX($T$20:$T$91,$FJ68-GJ$19)^2/INDEX($U$20:$U$91,$FJ68-GJ$19))))</f>
        <v>0.00233499027086229</v>
      </c>
      <c r="GK68" s="150" t="n">
        <f aca="false">IF(GK$19&gt;$FJ68,"",MAX(0,IF(GK$19=$FJ68,$S68^2*GK$15,GK67*INDEX($T$20:$T$91,$FJ68-GK$19)^2/INDEX($U$20:$U$91,$FJ68-GK$19))))</f>
        <v>0.0021379025192876</v>
      </c>
      <c r="GL68" s="150" t="n">
        <f aca="false">IF(GL$19&gt;$FJ68,"",MAX(0,IF(GL$19=$FJ68,$S68^2*GL$15,GL67*INDEX($T$20:$T$91,$FJ68-GL$19)^2/INDEX($U$20:$U$91,$FJ68-GL$19))))</f>
        <v>0.00208399900218327</v>
      </c>
      <c r="GM68" s="150" t="n">
        <f aca="false">IF(GM$19&gt;$FJ68,"",MAX(0,IF(GM$19=$FJ68,$S68^2*GM$15,GM67*INDEX($T$20:$T$91,$FJ68-GM$19)^2/INDEX($U$20:$U$91,$FJ68-GM$19))))</f>
        <v>0.00224968048019286</v>
      </c>
      <c r="GN68" s="150" t="n">
        <f aca="false">IF(GN$19&gt;$FJ68,"",MAX(0,IF(GN$19=$FJ68,$S68^2*GN$15,GN67*INDEX($T$20:$T$91,$FJ68-GN$19)^2/INDEX($U$20:$U$91,$FJ68-GN$19))))</f>
        <v>0.00227568828626306</v>
      </c>
      <c r="GO68" s="150" t="n">
        <f aca="false">IF(GO$19&gt;$FJ68,"",MAX(0,IF(GO$19=$FJ68,$S68^2*GO$15,GO67*INDEX($T$20:$T$91,$FJ68-GO$19)^2/INDEX($U$20:$U$91,$FJ68-GO$19))))</f>
        <v>0.00230654175984191</v>
      </c>
      <c r="GP68" s="150" t="n">
        <f aca="false">IF(GP$19&gt;$FJ68,"",MAX(0,IF(GP$19=$FJ68,$S68^2*GP$15,GP67*INDEX($T$20:$T$91,$FJ68-GP$19)^2/INDEX($U$20:$U$91,$FJ68-GP$19))))</f>
        <v>0.00211645558611757</v>
      </c>
      <c r="GQ68" s="150" t="n">
        <f aca="false">IF(GQ$19&gt;$FJ68,"",MAX(0,IF(GQ$19=$FJ68,$S68^2*GQ$15,GQ67*INDEX($T$20:$T$91,$FJ68-GQ$19)^2/INDEX($U$20:$U$91,$FJ68-GQ$19))))</f>
        <v>0.00238692897470481</v>
      </c>
      <c r="GR68" s="150" t="n">
        <f aca="false">IF(GR$19&gt;$FJ68,"",MAX(0,IF(GR$19=$FJ68,$S68^2*GR$15,GR67*INDEX($T$20:$T$91,$FJ68-GR$19)^2/INDEX($U$20:$U$91,$FJ68-GR$19))))</f>
        <v>0.00236049801571203</v>
      </c>
      <c r="GS68" s="150" t="n">
        <f aca="false">IF(GS$19&gt;$FJ68,"",MAX(0,IF(GS$19=$FJ68,$S68^2*GS$15,GS67*INDEX($T$20:$T$91,$FJ68-GS$19)^2/INDEX($U$20:$U$91,$FJ68-GS$19))))</f>
        <v>0.00250187354594033</v>
      </c>
      <c r="GT68" s="150" t="n">
        <f aca="false">IF(GT$19&gt;$FJ68,"",MAX(0,IF(GT$19=$FJ68,$S68^2*GT$15,GT67*INDEX($T$20:$T$91,$FJ68-GT$19)^2/INDEX($U$20:$U$91,$FJ68-GT$19))))</f>
        <v>0.00249427528247284</v>
      </c>
      <c r="GU68" s="150" t="n">
        <f aca="false">IF(GU$19&gt;$FJ68,"",MAX(0,IF(GU$19=$FJ68,$S68^2*GU$15,GU67*INDEX($T$20:$T$91,$FJ68-GU$19)^2/INDEX($U$20:$U$91,$FJ68-GU$19))))</f>
        <v>0.0026689148140225</v>
      </c>
      <c r="GV68" s="150" t="n">
        <f aca="false">IF(GV$19&gt;$FJ68,"",MAX(0,IF(GV$19=$FJ68,$S68^2*GV$15,GV67*INDEX($T$20:$T$91,$FJ68-GV$19)^2/INDEX($U$20:$U$91,$FJ68-GV$19))))</f>
        <v>0.00278040272114281</v>
      </c>
      <c r="GW68" s="150" t="n">
        <f aca="false">IF(GW$19&gt;$FJ68,"",MAX(0,IF(GW$19=$FJ68,$S68^2*GW$15,GW67*INDEX($T$20:$T$91,$FJ68-GW$19)^2/INDEX($U$20:$U$91,$FJ68-GW$19))))</f>
        <v>0.00282311327238371</v>
      </c>
      <c r="GX68" s="150" t="n">
        <f aca="false">IF(GX$19&gt;$FJ68,"",MAX(0,IF(GX$19=$FJ68,$S68^2*GX$15,GX67*INDEX($T$20:$T$91,$FJ68-GX$19)^2/INDEX($U$20:$U$91,$FJ68-GX$19))))</f>
        <v>0.00308652287083427</v>
      </c>
      <c r="GY68" s="150" t="n">
        <f aca="false">IF(GY$19&gt;$FJ68,"",MAX(0,IF(GY$19=$FJ68,$S68^2*GY$15,GY67*INDEX($T$20:$T$91,$FJ68-GY$19)^2/INDEX($U$20:$U$91,$FJ68-GY$19))))</f>
        <v>0.00319172730921561</v>
      </c>
      <c r="GZ68" s="150" t="n">
        <f aca="false">IF(GZ$19&gt;$FJ68,"",MAX(0,IF(GZ$19=$FJ68,$S68^2*GZ$15,GZ67*INDEX($T$20:$T$91,$FJ68-GZ$19)^2/INDEX($U$20:$U$91,$FJ68-GZ$19))))</f>
        <v>0.00356567625366774</v>
      </c>
      <c r="HA68" s="150" t="n">
        <f aca="false">IF(HA$19&gt;$FJ68,"",MAX(0,IF(HA$19=$FJ68,$S68^2*HA$15,HA67*INDEX($T$20:$T$91,$FJ68-HA$19)^2/INDEX($U$20:$U$91,$FJ68-HA$19))))</f>
        <v>0.00390871696348734</v>
      </c>
      <c r="HB68" s="150" t="n">
        <f aca="false">IF(HB$19&gt;$FJ68,"",MAX(0,IF(HB$19=$FJ68,$S68^2*HB$15,HB67*INDEX($T$20:$T$91,$FJ68-HB$19)^2/INDEX($U$20:$U$91,$FJ68-HB$19))))</f>
        <v>0.00407480854230808</v>
      </c>
      <c r="HC68" s="150" t="n">
        <f aca="false">IF(HC$19&gt;$FJ68,"",MAX(0,IF(HC$19=$FJ68,$S68^2*HC$15,HC67*INDEX($T$20:$T$91,$FJ68-HC$19)^2/INDEX($U$20:$U$91,$FJ68-HC$19))))</f>
        <v>0.00495011674182006</v>
      </c>
      <c r="HD68" s="150" t="n">
        <f aca="false">IF(HD$19&gt;$FJ68,"",MAX(0,IF(HD$19=$FJ68,$S68^2*HD$15,HD67*INDEX($T$20:$T$91,$FJ68-HD$19)^2/INDEX($U$20:$U$91,$FJ68-HD$19))))</f>
        <v>0.00557296629596582</v>
      </c>
      <c r="HE68" s="150" t="n">
        <f aca="false">IF(HE$19&gt;$FJ68,"",MAX(0,IF(HE$19=$FJ68,$S68^2*HE$15,HE67*INDEX($T$20:$T$91,$FJ68-HE$19)^2/INDEX($U$20:$U$91,$FJ68-HE$19))))</f>
        <v>0.00689032033669954</v>
      </c>
      <c r="HF68" s="150" t="n">
        <f aca="false">IF(HF$19&gt;$FJ68,"",MAX(0,IF(HF$19=$FJ68,$S68^2*HF$15,HF67*INDEX($T$20:$T$91,$FJ68-HF$19)^2/INDEX($U$20:$U$91,$FJ68-HF$19))))</f>
        <v>0.00825336120085476</v>
      </c>
      <c r="HG68" s="150" t="n">
        <f aca="false">IF(HG$19&gt;$FJ68,"",MAX(0,IF(HG$19=$FJ68,$S68^2*HG$15,HG67*INDEX($T$20:$T$91,$FJ68-HG$19)^2/INDEX($U$20:$U$91,$FJ68-HG$19))))</f>
        <v>0.0109995926036625</v>
      </c>
      <c r="HH68" s="150" t="str">
        <f aca="false">IF(HH$19&gt;$FJ68,"",MAX(0,IF(HH$19=$FJ68,$S68^2*HH$15,HH67*INDEX($T$20:$T$91,$FJ68-HH$19)^2/INDEX($U$20:$U$91,$FJ68-HH$19))))</f>
        <v/>
      </c>
      <c r="HI68" s="150" t="str">
        <f aca="false">IF(HI$19&gt;$FJ68,"",MAX(0,IF(HI$19=$FJ68,$S68^2*HI$15,HI67*INDEX($T$20:$T$91,$FJ68-HI$19)^2/INDEX($U$20:$U$91,$FJ68-HI$19))))</f>
        <v/>
      </c>
      <c r="HJ68" s="150" t="str">
        <f aca="false">IF(HJ$19&gt;$FJ68,"",MAX(0,IF(HJ$19=$FJ68,$S68^2*HJ$15,HJ67*INDEX($T$20:$T$91,$FJ68-HJ$19)^2/INDEX($U$20:$U$91,$FJ68-HJ$19))))</f>
        <v/>
      </c>
      <c r="HK68" s="150" t="str">
        <f aca="false">IF(HK$19&gt;$FJ68,"",MAX(0,IF(HK$19=$FJ68,$S68^2*HK$15,HK67*INDEX($T$20:$T$91,$FJ68-HK$19)^2/INDEX($U$20:$U$91,$FJ68-HK$19))))</f>
        <v/>
      </c>
      <c r="HL68" s="150" t="str">
        <f aca="false">IF(HL$19&gt;$FJ68,"",MAX(0,IF(HL$19=$FJ68,$S68^2*HL$15,HL67*INDEX($T$20:$T$91,$FJ68-HL$19)^2/INDEX($U$20:$U$91,$FJ68-HL$19))))</f>
        <v/>
      </c>
      <c r="HM68" s="150" t="str">
        <f aca="false">IF(HM$19&gt;$FJ68,"",MAX(0,IF(HM$19=$FJ68,$S68^2*HM$15,HM67*INDEX($T$20:$T$91,$FJ68-HM$19)^2/INDEX($U$20:$U$91,$FJ68-HM$19))))</f>
        <v/>
      </c>
      <c r="HN68" s="150" t="str">
        <f aca="false">IF(HN$19&gt;$FJ68,"",MAX(0,IF(HN$19=$FJ68,$S68^2*HN$15,HN67*INDEX($T$20:$T$91,$FJ68-HN$19)^2/INDEX($U$20:$U$91,$FJ68-HN$19))))</f>
        <v/>
      </c>
      <c r="HO68" s="150" t="str">
        <f aca="false">IF(HO$19&gt;$FJ68,"",MAX(0,IF(HO$19=$FJ68,$S68^2*HO$15,HO67*INDEX($T$20:$T$91,$FJ68-HO$19)^2/INDEX($U$20:$U$91,$FJ68-HO$19))))</f>
        <v/>
      </c>
      <c r="HP68" s="150" t="str">
        <f aca="false">IF(HP$19&gt;$FJ68,"",MAX(0,IF(HP$19=$FJ68,$S68^2*HP$15,HP67*INDEX($T$20:$T$91,$FJ68-HP$19)^2/INDEX($U$20:$U$91,$FJ68-HP$19))))</f>
        <v/>
      </c>
      <c r="HQ68" s="150" t="str">
        <f aca="false">IF(HQ$19&gt;$FJ68,"",MAX(0,IF(HQ$19=$FJ68,$S68^2*HQ$15,HQ67*INDEX($T$20:$T$91,$FJ68-HQ$19)^2/INDEX($U$20:$U$91,$FJ68-HQ$19))))</f>
        <v/>
      </c>
      <c r="HR68" s="150" t="str">
        <f aca="false">IF(HR$19&gt;$FJ68,"",MAX(0,IF(HR$19=$FJ68,$S68^2*HR$15,HR67*INDEX($T$20:$T$91,$FJ68-HR$19)^2/INDEX($U$20:$U$91,$FJ68-HR$19))))</f>
        <v/>
      </c>
      <c r="HS68" s="150" t="str">
        <f aca="false">IF(HS$19&gt;$FJ68,"",MAX(0,IF(HS$19=$FJ68,$S68^2*HS$15,HS67*INDEX($T$20:$T$91,$FJ68-HS$19)^2/INDEX($U$20:$U$91,$FJ68-HS$19))))</f>
        <v/>
      </c>
      <c r="HT68" s="150" t="str">
        <f aca="false">IF(HT$19&gt;$FJ68,"",MAX(0,IF(HT$19=$FJ68,$S68^2*HT$15,HT67*INDEX($T$20:$T$91,$FJ68-HT$19)^2/INDEX($U$20:$U$91,$FJ68-HT$19))))</f>
        <v/>
      </c>
      <c r="HU68" s="150" t="str">
        <f aca="false">IF(HU$19&gt;$FJ68,"",MAX(0,IF(HU$19=$FJ68,$S68^2*HU$15,HU67*INDEX($T$20:$T$91,$FJ68-HU$19)^2/INDEX($U$20:$U$91,$FJ68-HU$19))))</f>
        <v/>
      </c>
      <c r="HV68" s="150" t="str">
        <f aca="false">IF(HV$19&gt;$FJ68,"",MAX(0,IF(HV$19=$FJ68,$S68^2*HV$15,HV67*INDEX($T$20:$T$91,$FJ68-HV$19)^2/INDEX($U$20:$U$91,$FJ68-HV$19))))</f>
        <v/>
      </c>
      <c r="HW68" s="150" t="str">
        <f aca="false">IF(HW$19&gt;$FJ68,"",MAX(0,IF(HW$19=$FJ68,$S68^2*HW$15,HW67*INDEX($T$20:$T$91,$FJ68-HW$19)^2/INDEX($U$20:$U$91,$FJ68-HW$19))))</f>
        <v/>
      </c>
      <c r="HX68" s="150" t="str">
        <f aca="false">IF(HX$19&gt;$FJ68,"",MAX(0,IF(HX$19=$FJ68,$S68^2*HX$15,HX67*INDEX($T$20:$T$91,$FJ68-HX$19)^2/INDEX($U$20:$U$91,$FJ68-HX$19))))</f>
        <v/>
      </c>
      <c r="HY68" s="150" t="str">
        <f aca="false">IF(HY$19&gt;$FJ68,"",MAX(0,IF(HY$19=$FJ68,$S68^2*HY$15,HY67*INDEX($T$20:$T$91,$FJ68-HY$19)^2/INDEX($U$20:$U$91,$FJ68-HY$19))))</f>
        <v/>
      </c>
      <c r="HZ68" s="150" t="str">
        <f aca="false">IF(HZ$19&gt;$FJ68,"",MAX(0,IF(HZ$19=$FJ68,$S68^2*HZ$15,HZ67*INDEX($T$20:$T$91,$FJ68-HZ$19)^2/INDEX($U$20:$U$91,$FJ68-HZ$19))))</f>
        <v/>
      </c>
      <c r="IA68" s="150" t="str">
        <f aca="false">IF(IA$19&gt;$FJ68,"",MAX(0,IF(IA$19=$FJ68,$S68^2*IA$15,IA67*INDEX($T$20:$T$91,$FJ68-IA$19)^2/INDEX($U$20:$U$91,$FJ68-IA$19))))</f>
        <v/>
      </c>
      <c r="IB68" s="150" t="str">
        <f aca="false">IF(IB$19&gt;$FJ68,"",MAX(0,IF(IB$19=$FJ68,$S68^2*IB$15,IB67*INDEX($T$20:$T$91,$FJ68-IB$19)^2/INDEX($U$20:$U$91,$FJ68-IB$19))))</f>
        <v/>
      </c>
      <c r="IC68" s="150" t="str">
        <f aca="false">IF(IC$19&gt;$FJ68,"",MAX(0,IF(IC$19=$FJ68,$S68^2*IC$15,IC67*INDEX($T$20:$T$91,$FJ68-IC$19)^2/INDEX($U$20:$U$91,$FJ68-IC$19))))</f>
        <v/>
      </c>
      <c r="ID68" s="572" t="str">
        <f aca="false">IF(ID$19&gt;$FJ68,"",MAX(0,IF(ID$19=$FJ68,$S68^2*ID$15,ID67*INDEX($T$20:$T$91,$FJ68-ID$19)^2/INDEX($U$20:$U$91,$FJ68-ID$19))))</f>
        <v/>
      </c>
      <c r="IE68" s="129"/>
    </row>
    <row r="69" customFormat="false" ht="12.75" hidden="false" customHeight="false" outlineLevel="0" collapsed="false">
      <c r="A69" s="3"/>
      <c r="F69" s="3"/>
      <c r="G69" s="3"/>
      <c r="H69" s="219" t="n">
        <f aca="false">VLOOKUP(I69,$EJ$20:$EL$54,3)</f>
        <v>0</v>
      </c>
      <c r="I69" s="511" t="n">
        <f aca="false">EOMONTH(I68,0)+1</f>
        <v>38261</v>
      </c>
      <c r="J69" s="512"/>
      <c r="K69" s="513" t="s">
        <v>250</v>
      </c>
      <c r="L69" s="514" t="e">
        <f aca="false">IF(ISNUMBER(K69),J69+K69/100,IF(K69="extra",L68+VLOOKUP(BF69,PriceSpreadTable,2)/12,IF(K69="inter",interpolateprices($K$19:$L$200,ROW(K69)-ROW(FirstPricingMonth)+1),interpolatechanges($J$19:$K$200,ROW(K69)-ROW(FirstPricingMonth)+1))))</f>
        <v>#VALUE!</v>
      </c>
      <c r="M69" s="515"/>
      <c r="N69" s="516" t="n">
        <v>0</v>
      </c>
      <c r="O69" s="515" t="n">
        <f aca="false">M69+N69</f>
        <v>0</v>
      </c>
      <c r="P69" s="512"/>
      <c r="Q69" s="513" t="s">
        <v>280</v>
      </c>
      <c r="R69" s="512" t="e">
        <f aca="false">IF(ISNUMBER(Q69),P69+Q69/100,IF(Q69="extra",(Z67*AL67-R68*AM67)/AN67,IF(Q69="inter",interpolateprices($Q$19:$R$260,ROW(Q69)-ROW(FirstPricingMonth)+1),interpolatechanges($P$19:$Q$260,ROW(Q69)-ROW(FirstPricingMonth)+1))))</f>
        <v>#VALUE!</v>
      </c>
      <c r="S69" s="597" t="n">
        <f aca="false">S$19+(S68-S$19)*S$18</f>
        <v>0.360000040271762</v>
      </c>
      <c r="T69" s="575" t="n">
        <f aca="false">SQRT((1-(1-T68^2/U68)*T$18)*U69)</f>
        <v>0.999947894278456</v>
      </c>
      <c r="U69" s="576" t="n">
        <f aca="false">1-(1-U68)*U$18</f>
        <v>0.999999988673567</v>
      </c>
      <c r="V69" s="521" t="n">
        <v>0</v>
      </c>
      <c r="W69" s="577" t="n">
        <f aca="false">(J70*AJ69+J71*AK69)/AI69</f>
        <v>0</v>
      </c>
      <c r="X69" s="578" t="e">
        <f aca="false">(L70*AJ69+L71*AK69)/AI69</f>
        <v>#VALUE!</v>
      </c>
      <c r="Y69" s="579" t="n">
        <f aca="false">IF(Q71="extra",W69-AA69,(P70*AM69+P71*AN69)/AL69)</f>
        <v>-1.1349</v>
      </c>
      <c r="Z69" s="579" t="e">
        <f aca="false">IF(Q71="extra",X69-AB69,(R70*AM69+R71*AN69)/AL69)</f>
        <v>#VALUE!</v>
      </c>
      <c r="AA69" s="523" t="n">
        <f aca="false">IF(Q71="extra",INDEX(BrentSeasonalityTable,INT((BG69-1)/3)+1)*VLOOKUP(MAX(BF69,$AB$4),PriceSpreadTable,3),W69-Y69)</f>
        <v>1.1349</v>
      </c>
      <c r="AB69" s="524" t="n">
        <f aca="false">IF(Q71="extra",INDEX(BrentSeasonalityTable,INT((BG69-1)/3)+1)*VLOOKUP(MAX(BF69,$AB$4),PriceSpreadTable,3),X69-Z69)</f>
        <v>1.1349</v>
      </c>
      <c r="AC69" s="646" t="n">
        <v>38250</v>
      </c>
      <c r="AD69" s="646" t="n">
        <v>38246</v>
      </c>
      <c r="AE69" s="646" t="n">
        <v>38245</v>
      </c>
      <c r="AF69" s="646" t="n">
        <v>38241</v>
      </c>
      <c r="AG69" s="438" t="s">
        <v>247</v>
      </c>
      <c r="AH69" s="439" t="s">
        <v>278</v>
      </c>
      <c r="AI69" s="528" t="n">
        <v>21</v>
      </c>
      <c r="AJ69" s="529" t="n">
        <v>14</v>
      </c>
      <c r="AK69" s="529" t="n">
        <v>7</v>
      </c>
      <c r="AL69" s="530" t="n">
        <v>21</v>
      </c>
      <c r="AM69" s="529" t="n">
        <v>10</v>
      </c>
      <c r="AN69" s="531" t="n">
        <v>11</v>
      </c>
      <c r="AO69" s="532"/>
      <c r="AP69" s="465" t="n">
        <f aca="false">(1+AO69/2)^(-2*BL69)</f>
        <v>1</v>
      </c>
      <c r="AQ69" s="532"/>
      <c r="AR69" s="465" t="n">
        <f aca="false">(1+AQ69/2)^(-2*BH69/365.25)</f>
        <v>1</v>
      </c>
      <c r="AS69" s="580" t="n">
        <f aca="false">(O70*AJ69+O71*AK69)/AI69</f>
        <v>0</v>
      </c>
      <c r="AT69" s="468" t="n">
        <f aca="false">O69*VLOOKUP(BF69,BrentVolTable,2)+VLOOKUP(BF69,BrentVolTable,3)</f>
        <v>0</v>
      </c>
      <c r="AU69" s="468" t="n">
        <f aca="false">(AT70*AM69+AT71*AN69)/AL69</f>
        <v>0</v>
      </c>
      <c r="AV69" s="595" t="n">
        <f aca="false">SQRT(MAX(0.000000000001,(O69^2*BH69-S69^2*(BH69-BH68))/BH68))</f>
        <v>0.0228273872956988</v>
      </c>
      <c r="AW69" s="451" t="n">
        <f aca="false">IF($I69-DateToday+15&gt;=$T$8,"",IF($I69-DateToday+15&lt;$T$5,1,MATCH($I69-DateToday+15,$T$5:$T$8)))</f>
        <v>1</v>
      </c>
      <c r="AX69" s="468" t="n">
        <f aca="false">IF($AW69="",AX68^2/AX67,INDEX(U$5:U$8,$AW69)^((INDEX($T$5:$T$8,$AW69+1)-($I69-DateToday+15))/(INDEX($T$5:$T$8,$AW69+1)-INDEX($T$5:$T$8,$AW69)))/INDEX(U$5:U$8,$AW69+1)^((INDEX($T$5:$T$8,$AW69)-($I69-DateToday+15))/(INDEX($T$5:$T$8,$AW69+1)-INDEX($T$5:$T$8,$AW69))))</f>
        <v>4.40365728257071</v>
      </c>
      <c r="AY69" s="468" t="n">
        <f aca="false">IF($AW69="",AY68^2/AY67,INDEX(V$5:V$8,$AW69)^((INDEX($T$5:$T$8,$AW69+1)-($I69-DateToday+15))/(INDEX($T$5:$T$8,$AW69+1)-INDEX($T$5:$T$8,$AW69)))/INDEX(V$5:V$8,$AW69+1)^((INDEX($T$5:$T$8,$AW69)-($I69-DateToday+15))/(INDEX($T$5:$T$8,$AW69+1)-INDEX($T$5:$T$8,$AW69))))</f>
        <v>662.465790737001</v>
      </c>
      <c r="AZ69" s="468" t="n">
        <f aca="false">IF($AW69="",AZ68^2/AZ67,INDEX(W$5:W$8,$AW69)^((INDEX($T$5:$T$8,$AW69+1)-($I69-DateToday+15))/(INDEX($T$5:$T$8,$AW69+1)-INDEX($T$5:$T$8,$AW69)))/INDEX(W$5:W$8,$AW69+1)^((INDEX($T$5:$T$8,$AW69)-($I69-DateToday+15))/(INDEX($T$5:$T$8,$AW69+1)-INDEX($T$5:$T$8,$AW69))))</f>
        <v>12446685.3184356</v>
      </c>
      <c r="BA69" s="468" t="n">
        <f aca="false">IF($AW69="",BA68^2/BA67,INDEX(X$5:X$8,$AW69)^((INDEX($T$5:$T$8,$AW69+1)-($I69-DateToday+15))/(INDEX($T$5:$T$8,$AW69+1)-INDEX($T$5:$T$8,$AW69)))/INDEX(X$5:X$8,$AW69+1)^((INDEX($T$5:$T$8,$AW69)-($I69-DateToday+15))/(INDEX($T$5:$T$8,$AW69+1)-INDEX($T$5:$T$8,$AW69))))</f>
        <v>570947254.649942</v>
      </c>
      <c r="BB69" s="468" t="n">
        <f aca="false">IF($AW69="",BB68^2/BB67,INDEX(Y$5:Y$8,$AW69)^((INDEX($T$5:$T$8,$AW69+1)-($I69-DateToday+15))/(INDEX($T$5:$T$8,$AW69+1)-INDEX($T$5:$T$8,$AW69)))/INDEX(Y$5:Y$8,$AW69+1)^((INDEX($T$5:$T$8,$AW69)-($I69-DateToday+15))/(INDEX($T$5:$T$8,$AW69+1)-INDEX($T$5:$T$8,$AW69))))</f>
        <v>9718878147.23787</v>
      </c>
      <c r="BC69" s="468" t="n">
        <f aca="false">IF($AW69="",BC68^2/BC67,INDEX(Z$5:Z$8,$AW69)^((INDEX($T$5:$T$8,$AW69+1)-($I69-DateToday+15))/(INDEX($T$5:$T$8,$AW69+1)-INDEX($T$5:$T$8,$AW69)))/INDEX(Z$5:Z$8,$AW69+1)^((INDEX($T$5:$T$8,$AW69)-($I69-DateToday+15))/(INDEX($T$5:$T$8,$AW69+1)-INDEX($T$5:$T$8,$AW69))))</f>
        <v>52864578649.2176</v>
      </c>
      <c r="BD69" s="535" t="n">
        <f aca="false">IF(OR(DateStart&gt;=I70,DateEnd&lt;I69),0,IF(VolumeOverrideFlag,V69,Volume))</f>
        <v>0</v>
      </c>
      <c r="BE69" s="536" t="n">
        <f aca="false">IF(OR(DateStart2&gt;=I70,DateEnd2&lt;I69),0,IF(VolumeOverrideFlag,V69,VolumeSwaption))</f>
        <v>0</v>
      </c>
      <c r="BF69" s="537" t="n">
        <f aca="false">YEAR(I69)</f>
        <v>2004</v>
      </c>
      <c r="BG69" s="538" t="n">
        <f aca="false">MONTH(I69)</f>
        <v>10</v>
      </c>
      <c r="BH69" s="539" t="n">
        <f aca="false">AD69-DateToday+1</f>
        <v>-7679</v>
      </c>
      <c r="BI69" s="540" t="n">
        <f aca="false">(I69-DateToday+1)/365.25</f>
        <v>-20.9828884325804</v>
      </c>
      <c r="BJ69" s="541" t="n">
        <f aca="false">BI69+(BL69-BI69)*CHOOSE(Underlying,AJ69/AI69,AM69/AL69)</f>
        <v>-20.9281314168378</v>
      </c>
      <c r="BK69" s="541" t="n">
        <f aca="false">BJ69+1/365.25</f>
        <v>-20.9253935660507</v>
      </c>
      <c r="BL69" s="541" t="n">
        <f aca="false">(I70-DateToday)/365.25</f>
        <v>-20.9007529089665</v>
      </c>
      <c r="BM69" s="542" t="e">
        <f aca="false">MAX(BI69-(BJ69-BI69)*(S70^2/O70^2-1),0)</f>
        <v>#DIV/0!</v>
      </c>
      <c r="BN69" s="541" t="e">
        <f aca="false">MAX(BL69+(BL69-BK69)*(S71^2/O71^2-1),0)</f>
        <v>#DIV/0!</v>
      </c>
      <c r="BO69" s="530" t="n">
        <f aca="false">CHOOSE(Underlying,AI69,AL69)</f>
        <v>21</v>
      </c>
      <c r="BP69" s="529" t="n">
        <f aca="false">CHOOSE(Underlying,AJ69,AM69)</f>
        <v>14</v>
      </c>
      <c r="BQ69" s="529" t="n">
        <f aca="false">CHOOSE(Underlying,AK69,AN69)</f>
        <v>7</v>
      </c>
      <c r="BR69" s="463" t="str">
        <f aca="false">IF(BD69,IF(Underlying=1,X69,Z69)+UnderlyingPriceAsian-SwapPriceCurve,"")</f>
        <v/>
      </c>
      <c r="BS69" s="463" t="str">
        <f aca="false">IF(BD69,Strike1/BR69-1,"")</f>
        <v/>
      </c>
      <c r="BT69" s="464" t="str">
        <f aca="false">IF(BD69,Strike2/BR69-1,"")</f>
        <v/>
      </c>
      <c r="BU69" s="465" t="str">
        <f aca="false">IF(BD69,IF(Underlying=1,L70,R70)+UnderlyingPriceAsian-SwapPriceCurve,"")</f>
        <v/>
      </c>
      <c r="BV69" s="465" t="str">
        <f aca="false">IF(BD69,IF(Underlying=1,L71,R71)+UnderlyingPriceAsian-SwapPriceCurve,"")</f>
        <v/>
      </c>
      <c r="BW69" s="466" t="str">
        <f aca="false">IF(BD69,IF(Underlying=1,O70,AT70),"")</f>
        <v/>
      </c>
      <c r="BX69" s="467" t="str">
        <f aca="false">IF(BD69,IF(Underlying=1,O71,AT71),"")</f>
        <v/>
      </c>
      <c r="BY69" s="466" t="str">
        <f aca="false">IF(BD69,IF(BS69&gt;0,IF(BS69&gt;0.2,BC69-BB69,IF(BS69&gt;0.1,BB69-BA69,BA69)),IF(BS69&lt;-0.2,AX69-AY69,IF(BS69&lt;-0.1,AY69-AZ69,AZ69))),"")</f>
        <v/>
      </c>
      <c r="BZ69" s="467" t="str">
        <f aca="false">IF(BD69,IF(BT69&gt;0,IF(BT69&gt;0.2,BC69-BB69,IF(BT69&gt;0.1,BB69-BA69,BA69)),IF(BT69&lt;-0.2,AX69-AY69,IF(BT69&lt;-0.1,AY69-AZ69,AZ69))),"")</f>
        <v/>
      </c>
      <c r="CA69" s="468" t="str">
        <f aca="false">IF($BD69,$BW69+IF(VolSkewFlag=1,IF(BS69&gt;0,$BA69*MIN(BS69/10%,1)+($BB69-$BA69)*MAX(0,MIN(BS69/10%-1,1))+($BC69-$BB69)*MAX(0,BS69/10%-2),$AZ69*MIN(-BS69/10%,1)+($AY69-$AZ69)*MAX(0,MIN(-BS69/10%-1,1))+($AX69-$AY69)*MAX(0,-BS69/10%-2)),0),"")</f>
        <v/>
      </c>
      <c r="CB69" s="468" t="str">
        <f aca="false">IF($BD69,$BX69+IF(VolSkewFlag=1,IF(BS69&gt;0,$BA69*MIN(BS69/10%,1)+($BB69-$BA69)*MAX(0,MIN(BS69/10%-1,1))+($BC69-$BB69)*MAX(0,BS69/10%-2),$AZ69*MIN(-BS69/10%,1)+($AY69-$AZ69)*MAX(0,MIN(-BS69/10%-1,1))+($AX69-$AY69)*MAX(0,-BS69/10%-2)),0),"")</f>
        <v/>
      </c>
      <c r="CC69" s="468" t="str">
        <f aca="false">IF($BD69,$BW69+IF(VolSkewFlag=1,IF(BT69&gt;0,$BA69*MIN(BT69/10%,1)+($BB69-$BA69)*MAX(0,MIN(BT69/10%-1,1))+($BC69-$BB69)*MAX(0,BT69/10%-2),$AZ69*MIN(-BT69/10%,1)+($AY69-$AZ69)*MAX(0,MIN(-BT69/10%-1,1))+($AX69-$AY69)*MAX(0,-BT69/10%-2)),0),"")</f>
        <v/>
      </c>
      <c r="CD69" s="468" t="str">
        <f aca="false">IF($BD69,$BX69+IF(VolSkewFlag=1,IF(BT69&gt;0,$BA69*MIN(BT69/10%,1)+($BB69-$BA69)*MAX(0,MIN(BT69/10%-1,1))+($BC69-$BB69)*MAX(0,BT69/10%-2),$AZ69*MIN(-BT69/10%,1)+($AY69-$AZ69)*MAX(0,MIN(-BT69/10%-1,1))+($AX69-$AY69)*MAX(0,-BT69/10%-2)),0),"")</f>
        <v/>
      </c>
      <c r="CE69" s="469" t="n">
        <v>1</v>
      </c>
      <c r="CF69" s="470" t="n">
        <f aca="false">IF(BD69,xCrudeAPO(BU69,BV69,CA69,CB69,S70,S71,BI69,BL69,BP69,BQ69,0,Strike1,AO69,CE69,0,BL69,IF(OptControl=4,0,1),0,1),0)</f>
        <v>0</v>
      </c>
      <c r="CG69" s="470" t="n">
        <f aca="false">IF(BD69,xCrudeAPO(BU69,BV69,CA69,CB69,S70,S71,BI69,BL69,BP69,BQ69,0,Strike1,AO69,CE69,0,BL69,IF(OptControl=4,0,1),1,1)+xCrudeAPO(BU69,BV69,CA69,CB69,S70,S71,BI69,BL69,BP69,BQ69,0,Strike1,AO69,CE69,0,BL69,IF(OptControl=4,0,1),1,2)+IF(OR(VolSkewFlag=2,ABS(BS69)&lt;0.0001),0,IF(BS69&gt;0,-1,1)*CH69*Strike1/BR69^2*BY69/10%),0)</f>
        <v>0</v>
      </c>
      <c r="CH69" s="470" t="n">
        <f aca="false">IF(BD69,(xCrudeAPO(BU69,BV69,CA69,CB69,S70,S71,BI69,BL69,BP69,BQ69,0,Strike1,AO69,CE69,0,BL69,IF(OptControl=4,0,1),3,1)+xCrudeAPO(BU69,BV69,CA69,CB69,S70,S71,BI69,BL69,BP69,BQ69,0,Strike1,AO69,CE69,0,BL69,IF(OptControl=4,0,1),3,2))/100,0)</f>
        <v>0</v>
      </c>
      <c r="CI69" s="470" t="n">
        <f aca="false">IF(BD69,xCrudeAPO(BU69,BV69,CA69,CB69,S70,S71,BI69-DaysForThetaCalculation/365.25,BL69-DaysForThetaCalculation/365.25,BP69,BQ69,0,Strike1,AO69,CE69,0,BL69,IF(OptControl=4,0,1),0,1)-xCrudeAPO(BU69,BV69,CA69,CB69,S70,S71,BI69,BL69,BP69,BQ69,0,Strike1,AO69,CE69,0,BL69,IF(OptControl=4,0,1),0,1),0)</f>
        <v>0</v>
      </c>
      <c r="CJ69" s="471" t="n">
        <f aca="false">IF(BD69,xCrudeAPO(BU69,BV69,CC69,CD69,S70,S71,BI69,BL69,BP69,BQ69,0,Strike2,AO69,CE69,0,BL69,IF(OptControl=3,1,0),0,1),0)</f>
        <v>0</v>
      </c>
      <c r="CK69" s="470" t="n">
        <f aca="false">IF(BD69,xCrudeAPO(BU69,BV69,CC69,CD69,S70,S71,BI69,BL69,BP69,BQ69,0,Strike2,AO69,CE69,0,BL69,IF(OptControl=3,1,0),1,1)+xCrudeAPO(BU69,BV69,CC69,CD69,S70,S71,BI69,BL69,BP69,BQ69,0,Strike2,AO69,CE69,0,BL69,IF(OptControl=3,1,0),1,2)+IF(OR(VolSkewFlag=2,ABS(BT69)&lt;0.0001),0,IF(BT69&gt;0,-1,1)*CL69*Strike2/BR69^2*BZ69/10%),0)</f>
        <v>0</v>
      </c>
      <c r="CL69" s="470" t="n">
        <f aca="false">IF(BD69,(xCrudeAPO(BU69,BV69,CC69,CD69,S70,S71,BI69,BL69,BP69,BQ69,0,Strike2,AO69,CE69,0,BL69,IF(OptControl=3,1,0),3,1)+xCrudeAPO(BU69,BV69,CC69,CD69,S70,S71,BI69,BL69,BP69,BQ69,0,Strike2,AO69,CE69,0,BL69,IF(OptControl=3,1,0),3,2))/100,0)</f>
        <v>0</v>
      </c>
      <c r="CM69" s="472" t="n">
        <f aca="false">IF(BD69,xCrudeAPO(BU69,BV69,CC69,CD69,S70,S71,BI69-DaysForThetaCalculation/365.25,BL69-DaysForThetaCalculation/365.25,BP69,BQ69,0,Strike2,AO69,CE69,0,BL69,IF(OptControl=3,1,0),0,1)-xCrudeAPO(BU69,BV69,CC69,CD69,S70,S71,BI69,BL69,BP69,BQ69,0,Strike2,AO69,CE69,0,BL69,IF(OptControl=3,1,0),0,1),0)</f>
        <v>0</v>
      </c>
      <c r="CN69" s="3"/>
      <c r="CO69" s="543" t="str">
        <f aca="false">IF(BD69,CHOOSE(Underlying,AD69,AF69)-DateToday+1,"")</f>
        <v/>
      </c>
      <c r="CP69" s="582" t="str">
        <f aca="false">IF(BD69,CHOOSE(Underlying,L69,R69),"")</f>
        <v/>
      </c>
      <c r="CQ69" s="544" t="str">
        <f aca="false">IF(BD69,Strike1/CP69-1,"")</f>
        <v/>
      </c>
      <c r="CR69" s="544" t="str">
        <f aca="false">IF(BD69,Strike2/CP69-1,"")</f>
        <v/>
      </c>
      <c r="CS69" s="544" t="str">
        <f aca="false">IF(BD69,IF(CQ69&gt;0,IF(CQ69&gt;0.2,BC68-BB68,IF(CQ69&gt;0.1,BB68-BA68,BA68)),IF(CQ69&lt;-0.2,AX68-AY68,IF(CQ69&lt;-0.1,AY68-AZ68,AZ68))),"")</f>
        <v/>
      </c>
      <c r="CT69" s="544" t="str">
        <f aca="false">IF(BD69,IF(CR69&gt;0,IF(CR69&gt;0.2,BC68-BB68,IF(CR69&gt;0.1,BB68-BA68,BA68)),IF(CR69&lt;-0.2,AX68-AY68,IF(CR69&lt;-0.1,AY68-AZ68,AZ68))),"")</f>
        <v/>
      </c>
      <c r="CU69" s="545" t="str">
        <f aca="false">IF(BD69,CHOOSE(Underlying,O69,AT69),"")</f>
        <v/>
      </c>
      <c r="CV69" s="545" t="str">
        <f aca="false">IF(BD69,CU69+IF(VolSkewFlag=1,IF(CQ69&gt;0,BA68*MIN(CQ69/10%,1)+(BB68-BA68)*MAX(0,MIN(CQ69/10%-1,1))+(BC68-BB68)*MAX(0,CQ69/10%-2),AZ68*MIN(-CQ69/10%,1)+(AY68-AZ68)*MAX(0,MIN(-CQ69/10%-1,1))+(AX68-AY68)*MAX(0,-CQ69/10%-2)),0),"")</f>
        <v/>
      </c>
      <c r="CW69" s="545" t="str">
        <f aca="false">IF(BD69,CU69+IF(VolSkewFlag=1,IF(CR69&gt;0,BA68*MIN(CR69/10%,1)+(BB68-BA68)*MAX(0,MIN(CR69/10%-1,1))+(BC68-BB68)*MAX(0,CR69/10%-2),AZ68*MIN(-CR69/10%,1)+(AY68-AZ68)*MAX(0,MIN(-CR69/10%-1,1))+(AX68-AY68)*MAX(0,-CR69/10%-2)),0),"")</f>
        <v/>
      </c>
      <c r="CX69" s="470" t="n">
        <f aca="false">IF(BD69,EURO(CP69,Strike1,AO69,AO69,CV69,CO69,IF(OptControl=4,0,1),0),0)</f>
        <v>0</v>
      </c>
      <c r="CY69" s="470" t="n">
        <f aca="false">IF(BD69,EURO(CP69,Strike1,AO69,AO69,CV69,CO69,IF(OptControl=4,0,1),1)+IF(OR(VolSkewFlag=2,ABS(CQ69)&lt;0.0001),0,IF(CQ69&gt;0,-1,1)*CZ69*100*Strike1/CP69^2*CS69/10%),0)</f>
        <v>0</v>
      </c>
      <c r="CZ69" s="470" t="n">
        <f aca="false">IF(BD69,EURO(CP69,Strike1,AO69,AO69,CV69,CO69,IF(OptControl=4,0,1),3)/100,0)</f>
        <v>0</v>
      </c>
      <c r="DA69" s="470" t="n">
        <f aca="false">IF(BD69,EURO(CP69,Strike1,AO69,AO69,CV69,CO69,IF(OptControl=4,0,1),0)-EURO(CP69,Strike1,AO69,AO69,CV69,CO69-1,IF(OptControl=4,0,1),0),0)</f>
        <v>0</v>
      </c>
      <c r="DB69" s="470" t="n">
        <f aca="false">IF(BD69,EURO(CP69,Strike2,AO69,AO69,CW69,CO69,IF(OptControl=3,1,0),0),0)</f>
        <v>0</v>
      </c>
      <c r="DC69" s="470" t="n">
        <f aca="false">IF(BD69,EURO(CP69,Strike2,AO69,AO69,CW69,CO69,IF(OptControl=3,1,0),1)+IF(OR(VolSkewFlag=2,ABS(CR69)&lt;0.0001),0,IF(CR69&gt;0,-1,1)*DD69*100*Strike2/CP69^2*CT69/10%),0)</f>
        <v>0</v>
      </c>
      <c r="DD69" s="470" t="n">
        <f aca="false">IF(BD69,EURO(CP69,Strike2,AO69,AO69,CW69,CO69,IF(OptControl=3,1,0),3)/100,0)</f>
        <v>0</v>
      </c>
      <c r="DE69" s="472" t="n">
        <f aca="false">IF(BD69,EURO(CP69,Strike2,AO69,AO69,CW69,CO69,IF(OptControl=3,1,0),0)-EURO(CP69,Strike2,AO69,AO69,CW69,CO69-1,IF(OptControl=3,1,0),0),0)</f>
        <v>0</v>
      </c>
      <c r="DG69" s="481" t="n">
        <f aca="false">EOMONTH(DG68,0)+1</f>
        <v>47178</v>
      </c>
      <c r="DH69" s="478" t="n">
        <v>18.405</v>
      </c>
      <c r="DI69" s="479" t="n">
        <v>18.3982608695652</v>
      </c>
      <c r="DJ69" s="480" t="n">
        <f aca="false">DG69</f>
        <v>47178</v>
      </c>
      <c r="DK69" s="478" t="n">
        <v>17.2478268328523</v>
      </c>
      <c r="DL69" s="479" t="n">
        <v>17.2772608695652</v>
      </c>
      <c r="DM69" s="481" t="n">
        <f aca="false">DG69</f>
        <v>47178</v>
      </c>
      <c r="DN69" s="482" t="n">
        <f aca="false">DK69+BrentPhyBrentSpread</f>
        <v>17.2978268328523</v>
      </c>
      <c r="DO69" s="481" t="n">
        <f aca="false">DG69</f>
        <v>47178</v>
      </c>
      <c r="DP69" s="483" t="n">
        <f aca="false">DL69+DQ69</f>
        <v>17.2772608695652</v>
      </c>
      <c r="DQ69" s="546" t="n">
        <v>0</v>
      </c>
      <c r="DR69" s="480" t="n">
        <f aca="false">DG69</f>
        <v>47178</v>
      </c>
      <c r="DS69" s="485" t="n">
        <v>0.202928316362077</v>
      </c>
      <c r="DT69" s="486" t="n">
        <v>0.202135132206366</v>
      </c>
      <c r="DU69" s="480" t="n">
        <f aca="false">DG69</f>
        <v>47178</v>
      </c>
      <c r="DV69" s="485" t="n">
        <v>0.202928316362077</v>
      </c>
      <c r="DW69" s="486" t="n">
        <v>0.202135132206366</v>
      </c>
      <c r="DX69" s="481" t="n">
        <f aca="false">DG69</f>
        <v>47178</v>
      </c>
      <c r="DY69" s="486" t="n">
        <v>0.35</v>
      </c>
      <c r="DZ69" s="481" t="n">
        <f aca="false">DR69</f>
        <v>47178</v>
      </c>
      <c r="EA69" s="486" t="n">
        <f aca="false">DT69</f>
        <v>0.202135132206366</v>
      </c>
      <c r="EB69" s="195"/>
      <c r="EC69" s="547" t="str">
        <f aca="false">IF(BD69,IF(Underlying=1,AS69,AU69),"")</f>
        <v/>
      </c>
      <c r="ED69" s="548" t="str">
        <f aca="false">IF($BD69,$EC69+IF(VolSkewFlag=1,IF(BS69&gt;0,$BA69*MIN(BS69/10%,1)+($BB69-$BA69)*MAX(0,MIN(BS69/10%-1,1))+($BC69-$BB69)*MAX(0,BS69/10%-2),$AZ69*MIN(-BS69/10%,1)+($AY69-$AZ69)*MAX(0,MIN(-BS69/10%-1,1))+($AX69-$AY69)*MAX(0,-BS69/10%-2)),0),"")</f>
        <v/>
      </c>
      <c r="EE69" s="549" t="str">
        <f aca="false">IF($BD69,$EC69+IF(VolSkewFlag=1,IF(BT69&gt;0,$BA69*MIN(BT69/10%,1)+($BB69-$BA69)*MAX(0,MIN(BT69/10%-1,1))+($BC69-$BB69)*MAX(0,BT69/10%-2),$AZ69*MIN(-BT69/10%,1)+($AY69-$AZ69)*MAX(0,MIN(-BT69/10%-1,1))+($AX69-$AY69)*MAX(0,-BT69/10%-2)),0),"")</f>
        <v/>
      </c>
      <c r="EF69" s="550" t="n">
        <f aca="false">IF(BD69,xASN(BR69,Strike1,AO69,ED69,0,BO69,0,BI69,BL69,IF(OptControl=4,0,1),0),0)</f>
        <v>0</v>
      </c>
      <c r="EG69" s="551" t="n">
        <f aca="false">IF(BD69,xASN(BR69,Strike2,AO69,EE69,0,BO69,0,BI69,BL69,IF(OptControl=3,1,0),0),0)</f>
        <v>0</v>
      </c>
      <c r="EL69" s="1"/>
      <c r="EM69" s="195"/>
      <c r="EN69" s="556" t="n">
        <v>41640</v>
      </c>
      <c r="EO69" s="557" t="n">
        <v>45651</v>
      </c>
      <c r="EP69" s="195"/>
      <c r="EQ69" s="407" t="s">
        <v>295</v>
      </c>
      <c r="ES69" s="587" t="n">
        <v>50</v>
      </c>
      <c r="ET69" s="559" t="n">
        <f aca="false">BH69/365.25</f>
        <v>-21.0239561943874</v>
      </c>
      <c r="EU69" s="560" t="n">
        <f aca="false">O69^2*ET69</f>
        <v>-0</v>
      </c>
      <c r="EV69" s="588" t="e">
        <f aca="false">SQRT(SUM(FK69:ID69)/ET69)</f>
        <v>#VALUE!</v>
      </c>
      <c r="EW69" s="589" t="str">
        <f aca="false">IF(OR(DateStart2&gt;I68,DateEnd2&lt;I67),"",IF(DateStart2&lt;I68,AK67/AI67*AP67*BE67*SwaptionNumOfMonths/$D$33,0)+IF(DateEnd2&gt;I67,AJ68/AI68*AP68*BE68*SwaptionNumOfMonths/$D$33,0))</f>
        <v/>
      </c>
      <c r="EX69" s="590" t="str">
        <f aca="false">IF(EW69="","",SQRT(SUM(FK374:ID374)/SwaptionYearsToExp))</f>
        <v/>
      </c>
      <c r="EY69" s="129" t="n">
        <v>0</v>
      </c>
      <c r="EZ69" s="591" t="str">
        <f aca="false">IF(OR(EW69="",EW70=""),"",SQRT(SUM(INDEX(FK69:ID69,SwaptionFirstMonthPosition+1):INDEX(FK69:ID69,FJ69))/SUM(INDEX($FK$15:$ID$15,SwaptionFirstMonthPosition+1):INDEX($FK$15:$ID$15,FJ69))))</f>
        <v/>
      </c>
      <c r="FA69" s="592" t="str">
        <f aca="false">IF(OR(EW69="",EW68=""),"",SQRT(SUM(INDEX(FK69:ID69,SwaptionFirstMonthPosition+1):INDEX(FK69:ID69,FJ69-1))/SUM(INDEX($FK$15:$ID$15,SwaptionFirstMonthPosition+1):INDEX($FK$15:$ID$15,FJ69-1))))</f>
        <v/>
      </c>
      <c r="FB69" s="593" t="str">
        <f aca="false">IF(BE69,2/3*EZ70+1/3*FA71,"")</f>
        <v/>
      </c>
      <c r="FC69" s="596" t="str">
        <f aca="false">IF(BE69,(I70+I69-1)/2-DateToday,"")</f>
        <v/>
      </c>
      <c r="FD69" s="483" t="str">
        <f aca="false">IF(BE69,CHOOSE(Underlying,X69,Z69)+SwaptionUnderlyingPrice-$D$26,"")</f>
        <v/>
      </c>
      <c r="FE69" s="483" t="str">
        <f aca="false">IF(BE69,CollartionFloor/FD69-1,"")</f>
        <v/>
      </c>
      <c r="FF69" s="483" t="str">
        <f aca="false">IF(BE69,CollartionCap/FD69-1,"")</f>
        <v/>
      </c>
      <c r="FG69" s="485" t="str">
        <f aca="false">IF(BE69,IF(VolSkewFlag=1,IF(FE69&gt;0,$BA69*MIN(FE69/10%,1)+($BB69-$BA69)*MAX(0,MIN(FE69/10%-1,1))+($BC69-$BB69)*MAX(0,FE69/10%-2),$AZ69*MIN(-FE69/10%,1)+($AY69-$AZ69)*MAX(0,MIN(-FE69/10%-1,1))+($AX69-$AY69)*MAX(0,-FE69/10%-2)),0),"")</f>
        <v/>
      </c>
      <c r="FH69" s="486" t="str">
        <f aca="false">IF(BE69,IF(VolSkewFlag=1,IF(FF69&gt;0,$BA69*MIN(FF69/10%,1)+($BB69-$BA69)*MAX(0,MIN(FF69/10%-1,1))+($BC69-$BB69)*MAX(0,FF69/10%-2),$AZ69*MIN(-FF69/10%,1)+($AY69-$AZ69)*MAX(0,MIN(-FF69/10%-1,1))+($AX69-$AY69)*MAX(0,-FF69/10%-2)),0),"")</f>
        <v/>
      </c>
      <c r="FI69" s="129"/>
      <c r="FJ69" s="571" t="n">
        <v>50</v>
      </c>
      <c r="FK69" s="150" t="n">
        <f aca="false">IF(FK$19&gt;$FJ69,"",MAX(0,IF(FK$19=$FJ69,$S69^2*FK$15,FK68*INDEX($T$20:$T$91,$FJ69-FK$19)^2/INDEX($U$20:$U$91,$FJ69-FK$19))))</f>
        <v>0</v>
      </c>
      <c r="FL69" s="150" t="n">
        <f aca="false">IF(FL$19&gt;$FJ69,"",MAX(0,IF(FL$19=$FJ69,$S69^2*FL$15,FL68*INDEX($T$20:$T$91,$FJ69-FL$19)^2/INDEX($U$20:$U$91,$FJ69-FL$19))))</f>
        <v>0</v>
      </c>
      <c r="FM69" s="150" t="n">
        <f aca="false">IF(FM$19&gt;$FJ69,"",MAX(0,IF(FM$19=$FJ69,$S69^2*FM$15,FM68*INDEX($T$20:$T$91,$FJ69-FM$19)^2/INDEX($U$20:$U$91,$FJ69-FM$19))))</f>
        <v>0.00254926773355786</v>
      </c>
      <c r="FN69" s="150" t="n">
        <f aca="false">IF(FN$19&gt;$FJ69,"",MAX(0,IF(FN$19=$FJ69,$S69^2*FN$15,FN68*INDEX($T$20:$T$91,$FJ69-FN$19)^2/INDEX($U$20:$U$91,$FJ69-FN$19))))</f>
        <v>0.00214599928920211</v>
      </c>
      <c r="FO69" s="150" t="n">
        <f aca="false">IF(FO$19&gt;$FJ69,"",MAX(0,IF(FO$19=$FJ69,$S69^2*FO$15,FO68*INDEX($T$20:$T$91,$FJ69-FO$19)^2/INDEX($U$20:$U$91,$FJ69-FO$19))))</f>
        <v>0.00223259148796456</v>
      </c>
      <c r="FP69" s="150" t="n">
        <f aca="false">IF(FP$19&gt;$FJ69,"",MAX(0,IF(FP$19=$FJ69,$S69^2*FP$15,FP68*INDEX($T$20:$T$91,$FJ69-FP$19)^2/INDEX($U$20:$U$91,$FJ69-FP$19))))</f>
        <v>0.00247450387385668</v>
      </c>
      <c r="FQ69" s="150" t="n">
        <f aca="false">IF(FQ$19&gt;$FJ69,"",MAX(0,IF(FQ$19=$FJ69,$S69^2*FQ$15,FQ68*INDEX($T$20:$T$91,$FJ69-FQ$19)^2/INDEX($U$20:$U$91,$FJ69-FQ$19))))</f>
        <v>0.00200390350814748</v>
      </c>
      <c r="FR69" s="150" t="n">
        <f aca="false">IF(FR$19&gt;$FJ69,"",MAX(0,IF(FR$19=$FJ69,$S69^2*FR$15,FR68*INDEX($T$20:$T$91,$FJ69-FR$19)^2/INDEX($U$20:$U$91,$FJ69-FR$19))))</f>
        <v>0.0020495372223157</v>
      </c>
      <c r="FS69" s="150" t="n">
        <f aca="false">IF(FS$19&gt;$FJ69,"",MAX(0,IF(FS$19=$FJ69,$S69^2*FS$15,FS68*INDEX($T$20:$T$91,$FJ69-FS$19)^2/INDEX($U$20:$U$91,$FJ69-FS$19))))</f>
        <v>0.00231051662983231</v>
      </c>
      <c r="FT69" s="150" t="n">
        <f aca="false">IF(FT$19&gt;$FJ69,"",MAX(0,IF(FT$19=$FJ69,$S69^2*FT$15,FT68*INDEX($T$20:$T$91,$FJ69-FT$19)^2/INDEX($U$20:$U$91,$FJ69-FT$19))))</f>
        <v>0.00208603894253229</v>
      </c>
      <c r="FU69" s="150" t="n">
        <f aca="false">IF(FU$19&gt;$FJ69,"",MAX(0,IF(FU$19=$FJ69,$S69^2*FU$15,FU68*INDEX($T$20:$T$91,$FJ69-FU$19)^2/INDEX($U$20:$U$91,$FJ69-FU$19))))</f>
        <v>0.00200642892499168</v>
      </c>
      <c r="FV69" s="150" t="n">
        <f aca="false">IF(FV$19&gt;$FJ69,"",MAX(0,IF(FV$19=$FJ69,$S69^2*FV$15,FV68*INDEX($T$20:$T$91,$FJ69-FV$19)^2/INDEX($U$20:$U$91,$FJ69-FV$19))))</f>
        <v>0.00220612888006985</v>
      </c>
      <c r="FW69" s="150" t="n">
        <f aca="false">IF(FW$19&gt;$FJ69,"",MAX(0,IF(FW$19=$FJ69,$S69^2*FW$15,FW68*INDEX($T$20:$T$91,$FJ69-FW$19)^2/INDEX($U$20:$U$91,$FJ69-FW$19))))</f>
        <v>0.0020632291674865</v>
      </c>
      <c r="FX69" s="150" t="n">
        <f aca="false">IF(FX$19&gt;$FJ69,"",MAX(0,IF(FX$19=$FJ69,$S69^2*FX$15,FX68*INDEX($T$20:$T$91,$FJ69-FX$19)^2/INDEX($U$20:$U$91,$FJ69-FX$19))))</f>
        <v>0.00219739571362096</v>
      </c>
      <c r="FY69" s="150" t="n">
        <f aca="false">IF(FY$19&gt;$FJ69,"",MAX(0,IF(FY$19=$FJ69,$S69^2*FY$15,FY68*INDEX($T$20:$T$91,$FJ69-FY$19)^2/INDEX($U$20:$U$91,$FJ69-FY$19))))</f>
        <v>0.00205836994317519</v>
      </c>
      <c r="FZ69" s="150" t="n">
        <f aca="false">IF(FZ$19&gt;$FJ69,"",MAX(0,IF(FZ$19=$FJ69,$S69^2*FZ$15,FZ68*INDEX($T$20:$T$91,$FJ69-FZ$19)^2/INDEX($U$20:$U$91,$FJ69-FZ$19))))</f>
        <v>0.00192071527800821</v>
      </c>
      <c r="GA69" s="150" t="n">
        <f aca="false">IF(GA$19&gt;$FJ69,"",MAX(0,IF(GA$19=$FJ69,$S69^2*GA$15,GA68*INDEX($T$20:$T$91,$FJ69-GA$19)^2/INDEX($U$20:$U$91,$FJ69-GA$19))))</f>
        <v>0.00205850663128783</v>
      </c>
      <c r="GB69" s="150" t="n">
        <f aca="false">IF(GB$19&gt;$FJ69,"",MAX(0,IF(GB$19=$FJ69,$S69^2*GB$15,GB68*INDEX($T$20:$T$91,$FJ69-GB$19)^2/INDEX($U$20:$U$91,$FJ69-GB$19))))</f>
        <v>0.00226606514956831</v>
      </c>
      <c r="GC69" s="150" t="n">
        <f aca="false">IF(GC$19&gt;$FJ69,"",MAX(0,IF(GC$19=$FJ69,$S69^2*GC$15,GC68*INDEX($T$20:$T$91,$FJ69-GC$19)^2/INDEX($U$20:$U$91,$FJ69-GC$19))))</f>
        <v>0.00199376765276626</v>
      </c>
      <c r="GD69" s="150" t="n">
        <f aca="false">IF(GD$19&gt;$FJ69,"",MAX(0,IF(GD$19=$FJ69,$S69^2*GD$15,GD68*INDEX($T$20:$T$91,$FJ69-GD$19)^2/INDEX($U$20:$U$91,$FJ69-GD$19))))</f>
        <v>0.0019970179116746</v>
      </c>
      <c r="GE69" s="150" t="n">
        <f aca="false">IF(GE$19&gt;$FJ69,"",MAX(0,IF(GE$19=$FJ69,$S69^2*GE$15,GE68*INDEX($T$20:$T$91,$FJ69-GE$19)^2/INDEX($U$20:$U$91,$FJ69-GE$19))))</f>
        <v>0.00227720163351853</v>
      </c>
      <c r="GF69" s="150" t="n">
        <f aca="false">IF(GF$19&gt;$FJ69,"",MAX(0,IF(GF$19=$FJ69,$S69^2*GF$15,GF68*INDEX($T$20:$T$91,$FJ69-GF$19)^2/INDEX($U$20:$U$91,$FJ69-GF$19))))</f>
        <v>0.00200631742376904</v>
      </c>
      <c r="GG69" s="150" t="n">
        <f aca="false">IF(GG$19&gt;$FJ69,"",MAX(0,IF(GG$19=$FJ69,$S69^2*GG$15,GG68*INDEX($T$20:$T$91,$FJ69-GG$19)^2/INDEX($U$20:$U$91,$FJ69-GG$19))))</f>
        <v>0.00222074035518963</v>
      </c>
      <c r="GH69" s="150" t="n">
        <f aca="false">IF(GH$19&gt;$FJ69,"",MAX(0,IF(GH$19=$FJ69,$S69^2*GH$15,GH68*INDEX($T$20:$T$91,$FJ69-GH$19)^2/INDEX($U$20:$U$91,$FJ69-GH$19))))</f>
        <v>0.0020896621157316</v>
      </c>
      <c r="GI69" s="150" t="n">
        <f aca="false">IF(GI$19&gt;$FJ69,"",MAX(0,IF(GI$19=$FJ69,$S69^2*GI$15,GI68*INDEX($T$20:$T$91,$FJ69-GI$19)^2/INDEX($U$20:$U$91,$FJ69-GI$19))))</f>
        <v>0.00202888325672189</v>
      </c>
      <c r="GJ69" s="150" t="n">
        <f aca="false">IF(GJ$19&gt;$FJ69,"",MAX(0,IF(GJ$19=$FJ69,$S69^2*GJ$15,GJ68*INDEX($T$20:$T$91,$FJ69-GJ$19)^2/INDEX($U$20:$U$91,$FJ69-GJ$19))))</f>
        <v>0.00232070057496671</v>
      </c>
      <c r="GK69" s="150" t="n">
        <f aca="false">IF(GK$19&gt;$FJ69,"",MAX(0,IF(GK$19=$FJ69,$S69^2*GK$15,GK68*INDEX($T$20:$T$91,$FJ69-GK$19)^2/INDEX($U$20:$U$91,$FJ69-GK$19))))</f>
        <v>0.00212260011416507</v>
      </c>
      <c r="GL69" s="150" t="n">
        <f aca="false">IF(GL$19&gt;$FJ69,"",MAX(0,IF(GL$19=$FJ69,$S69^2*GL$15,GL68*INDEX($T$20:$T$91,$FJ69-GL$19)^2/INDEX($U$20:$U$91,$FJ69-GL$19))))</f>
        <v>0.00206655270811966</v>
      </c>
      <c r="GM69" s="150" t="n">
        <f aca="false">IF(GM$19&gt;$FJ69,"",MAX(0,IF(GM$19=$FJ69,$S69^2*GM$15,GM68*INDEX($T$20:$T$91,$FJ69-GM$19)^2/INDEX($U$20:$U$91,$FJ69-GM$19))))</f>
        <v>0.00222765322379278</v>
      </c>
      <c r="GN69" s="150" t="n">
        <f aca="false">IF(GN$19&gt;$FJ69,"",MAX(0,IF(GN$19=$FJ69,$S69^2*GN$15,GN68*INDEX($T$20:$T$91,$FJ69-GN$19)^2/INDEX($U$20:$U$91,$FJ69-GN$19))))</f>
        <v>0.00224962757729436</v>
      </c>
      <c r="GO69" s="150" t="n">
        <f aca="false">IF(GO$19&gt;$FJ69,"",MAX(0,IF(GO$19=$FJ69,$S69^2*GO$15,GO68*INDEX($T$20:$T$91,$FJ69-GO$19)^2/INDEX($U$20:$U$91,$FJ69-GO$19))))</f>
        <v>0.0022756481498637</v>
      </c>
      <c r="GP69" s="150" t="n">
        <f aca="false">IF(GP$19&gt;$FJ69,"",MAX(0,IF(GP$19=$FJ69,$S69^2*GP$15,GP68*INDEX($T$20:$T$91,$FJ69-GP$19)^2/INDEX($U$20:$U$91,$FJ69-GP$19))))</f>
        <v>0.00208330048307322</v>
      </c>
      <c r="GQ69" s="150" t="n">
        <f aca="false">IF(GQ$19&gt;$FJ69,"",MAX(0,IF(GQ$19=$FJ69,$S69^2*GQ$15,GQ68*INDEX($T$20:$T$91,$FJ69-GQ$19)^2/INDEX($U$20:$U$91,$FJ69-GQ$19))))</f>
        <v>0.00234319543754411</v>
      </c>
      <c r="GR69" s="150" t="n">
        <f aca="false">IF(GR$19&gt;$FJ69,"",MAX(0,IF(GR$19=$FJ69,$S69^2*GR$15,GR68*INDEX($T$20:$T$91,$FJ69-GR$19)^2/INDEX($U$20:$U$91,$FJ69-GR$19))))</f>
        <v>0.00230991407811641</v>
      </c>
      <c r="GS69" s="150" t="n">
        <f aca="false">IF(GS$19&gt;$FJ69,"",MAX(0,IF(GS$19=$FJ69,$S69^2*GS$15,GS68*INDEX($T$20:$T$91,$FJ69-GS$19)^2/INDEX($U$20:$U$91,$FJ69-GS$19))))</f>
        <v>0.00243916767075796</v>
      </c>
      <c r="GT69" s="150" t="n">
        <f aca="false">IF(GT$19&gt;$FJ69,"",MAX(0,IF(GT$19=$FJ69,$S69^2*GT$15,GT68*INDEX($T$20:$T$91,$FJ69-GT$19)^2/INDEX($U$20:$U$91,$FJ69-GT$19))))</f>
        <v>0.00242115781393826</v>
      </c>
      <c r="GU69" s="150" t="n">
        <f aca="false">IF(GU$19&gt;$FJ69,"",MAX(0,IF(GU$19=$FJ69,$S69^2*GU$15,GU68*INDEX($T$20:$T$91,$FJ69-GU$19)^2/INDEX($U$20:$U$91,$FJ69-GU$19))))</f>
        <v>0.0025774097010748</v>
      </c>
      <c r="GV69" s="150" t="n">
        <f aca="false">IF(GV$19&gt;$FJ69,"",MAX(0,IF(GV$19=$FJ69,$S69^2*GV$15,GV68*INDEX($T$20:$T$91,$FJ69-GV$19)^2/INDEX($U$20:$U$91,$FJ69-GV$19))))</f>
        <v>0.00266890853048624</v>
      </c>
      <c r="GW69" s="150" t="n">
        <f aca="false">IF(GW$19&gt;$FJ69,"",MAX(0,IF(GW$19=$FJ69,$S69^2*GW$15,GW68*INDEX($T$20:$T$91,$FJ69-GW$19)^2/INDEX($U$20:$U$91,$FJ69-GW$19))))</f>
        <v>0.00269070755963585</v>
      </c>
      <c r="GX69" s="150" t="n">
        <f aca="false">IF(GX$19&gt;$FJ69,"",MAX(0,IF(GX$19=$FJ69,$S69^2*GX$15,GX68*INDEX($T$20:$T$91,$FJ69-GX$19)^2/INDEX($U$20:$U$91,$FJ69-GX$19))))</f>
        <v>0.00291721318480085</v>
      </c>
      <c r="GY69" s="150" t="n">
        <f aca="false">IF(GY$19&gt;$FJ69,"",MAX(0,IF(GY$19=$FJ69,$S69^2*GY$15,GY68*INDEX($T$20:$T$91,$FJ69-GY$19)^2/INDEX($U$20:$U$91,$FJ69-GY$19))))</f>
        <v>0.00298695465016837</v>
      </c>
      <c r="GZ69" s="150" t="n">
        <f aca="false">IF(GZ$19&gt;$FJ69,"",MAX(0,IF(GZ$19=$FJ69,$S69^2*GZ$15,GZ68*INDEX($T$20:$T$91,$FJ69-GZ$19)^2/INDEX($U$20:$U$91,$FJ69-GZ$19))))</f>
        <v>0.0032981157626523</v>
      </c>
      <c r="HA69" s="150" t="n">
        <f aca="false">IF(HA$19&gt;$FJ69,"",MAX(0,IF(HA$19=$FJ69,$S69^2*HA$15,HA68*INDEX($T$20:$T$91,$FJ69-HA$19)^2/INDEX($U$20:$U$91,$FJ69-HA$19))))</f>
        <v>0.00356567426152986</v>
      </c>
      <c r="HB69" s="150" t="n">
        <f aca="false">IF(HB$19&gt;$FJ69,"",MAX(0,IF(HB$19=$FJ69,$S69^2*HB$15,HB68*INDEX($T$20:$T$91,$FJ69-HB$19)^2/INDEX($U$20:$U$91,$FJ69-HB$19))))</f>
        <v>0.00365654014334166</v>
      </c>
      <c r="HC69" s="150" t="n">
        <f aca="false">IF(HC$19&gt;$FJ69,"",MAX(0,IF(HC$19=$FJ69,$S69^2*HC$15,HC68*INDEX($T$20:$T$91,$FJ69-HC$19)^2/INDEX($U$20:$U$91,$FJ69-HC$19))))</f>
        <v>0.00435582845218984</v>
      </c>
      <c r="HD69" s="150" t="n">
        <f aca="false">IF(HD$19&gt;$FJ69,"",MAX(0,IF(HD$19=$FJ69,$S69^2*HD$15,HD68*INDEX($T$20:$T$91,$FJ69-HD$19)^2/INDEX($U$20:$U$91,$FJ69-HD$19))))</f>
        <v>0.00479043442748923</v>
      </c>
      <c r="HE69" s="150" t="n">
        <f aca="false">IF(HE$19&gt;$FJ69,"",MAX(0,IF(HE$19=$FJ69,$S69^2*HE$15,HE68*INDEX($T$20:$T$91,$FJ69-HE$19)^2/INDEX($U$20:$U$91,$FJ69-HE$19))))</f>
        <v>0.00575873082115995</v>
      </c>
      <c r="HF69" s="150" t="n">
        <f aca="false">IF(HF$19&gt;$FJ69,"",MAX(0,IF(HF$19=$FJ69,$S69^2*HF$15,HF68*INDEX($T$20:$T$91,$FJ69-HF$19)^2/INDEX($U$20:$U$91,$FJ69-HF$19))))</f>
        <v>0.00666805105467861</v>
      </c>
      <c r="HG69" s="150" t="n">
        <f aca="false">IF(HG$19&gt;$FJ69,"",MAX(0,IF(HG$19=$FJ69,$S69^2*HG$15,HG68*INDEX($T$20:$T$91,$FJ69-HG$19)^2/INDEX($U$20:$U$91,$FJ69-HG$19))))</f>
        <v>0.00852847239284225</v>
      </c>
      <c r="HH69" s="150" t="n">
        <f aca="false">IF(HH$19&gt;$FJ69,"",MAX(0,IF(HH$19=$FJ69,$S69^2*HH$15,HH68*INDEX($T$20:$T$91,$FJ69-HH$19)^2/INDEX($U$20:$U$91,$FJ69-HH$19))))</f>
        <v>0.0109995917833423</v>
      </c>
      <c r="HI69" s="150" t="str">
        <f aca="false">IF(HI$19&gt;$FJ69,"",MAX(0,IF(HI$19=$FJ69,$S69^2*HI$15,HI68*INDEX($T$20:$T$91,$FJ69-HI$19)^2/INDEX($U$20:$U$91,$FJ69-HI$19))))</f>
        <v/>
      </c>
      <c r="HJ69" s="150" t="str">
        <f aca="false">IF(HJ$19&gt;$FJ69,"",MAX(0,IF(HJ$19=$FJ69,$S69^2*HJ$15,HJ68*INDEX($T$20:$T$91,$FJ69-HJ$19)^2/INDEX($U$20:$U$91,$FJ69-HJ$19))))</f>
        <v/>
      </c>
      <c r="HK69" s="150" t="str">
        <f aca="false">IF(HK$19&gt;$FJ69,"",MAX(0,IF(HK$19=$FJ69,$S69^2*HK$15,HK68*INDEX($T$20:$T$91,$FJ69-HK$19)^2/INDEX($U$20:$U$91,$FJ69-HK$19))))</f>
        <v/>
      </c>
      <c r="HL69" s="150" t="str">
        <f aca="false">IF(HL$19&gt;$FJ69,"",MAX(0,IF(HL$19=$FJ69,$S69^2*HL$15,HL68*INDEX($T$20:$T$91,$FJ69-HL$19)^2/INDEX($U$20:$U$91,$FJ69-HL$19))))</f>
        <v/>
      </c>
      <c r="HM69" s="150" t="str">
        <f aca="false">IF(HM$19&gt;$FJ69,"",MAX(0,IF(HM$19=$FJ69,$S69^2*HM$15,HM68*INDEX($T$20:$T$91,$FJ69-HM$19)^2/INDEX($U$20:$U$91,$FJ69-HM$19))))</f>
        <v/>
      </c>
      <c r="HN69" s="150" t="str">
        <f aca="false">IF(HN$19&gt;$FJ69,"",MAX(0,IF(HN$19=$FJ69,$S69^2*HN$15,HN68*INDEX($T$20:$T$91,$FJ69-HN$19)^2/INDEX($U$20:$U$91,$FJ69-HN$19))))</f>
        <v/>
      </c>
      <c r="HO69" s="150" t="str">
        <f aca="false">IF(HO$19&gt;$FJ69,"",MAX(0,IF(HO$19=$FJ69,$S69^2*HO$15,HO68*INDEX($T$20:$T$91,$FJ69-HO$19)^2/INDEX($U$20:$U$91,$FJ69-HO$19))))</f>
        <v/>
      </c>
      <c r="HP69" s="150" t="str">
        <f aca="false">IF(HP$19&gt;$FJ69,"",MAX(0,IF(HP$19=$FJ69,$S69^2*HP$15,HP68*INDEX($T$20:$T$91,$FJ69-HP$19)^2/INDEX($U$20:$U$91,$FJ69-HP$19))))</f>
        <v/>
      </c>
      <c r="HQ69" s="150" t="str">
        <f aca="false">IF(HQ$19&gt;$FJ69,"",MAX(0,IF(HQ$19=$FJ69,$S69^2*HQ$15,HQ68*INDEX($T$20:$T$91,$FJ69-HQ$19)^2/INDEX($U$20:$U$91,$FJ69-HQ$19))))</f>
        <v/>
      </c>
      <c r="HR69" s="150" t="str">
        <f aca="false">IF(HR$19&gt;$FJ69,"",MAX(0,IF(HR$19=$FJ69,$S69^2*HR$15,HR68*INDEX($T$20:$T$91,$FJ69-HR$19)^2/INDEX($U$20:$U$91,$FJ69-HR$19))))</f>
        <v/>
      </c>
      <c r="HS69" s="150" t="str">
        <f aca="false">IF(HS$19&gt;$FJ69,"",MAX(0,IF(HS$19=$FJ69,$S69^2*HS$15,HS68*INDEX($T$20:$T$91,$FJ69-HS$19)^2/INDEX($U$20:$U$91,$FJ69-HS$19))))</f>
        <v/>
      </c>
      <c r="HT69" s="150" t="str">
        <f aca="false">IF(HT$19&gt;$FJ69,"",MAX(0,IF(HT$19=$FJ69,$S69^2*HT$15,HT68*INDEX($T$20:$T$91,$FJ69-HT$19)^2/INDEX($U$20:$U$91,$FJ69-HT$19))))</f>
        <v/>
      </c>
      <c r="HU69" s="150" t="str">
        <f aca="false">IF(HU$19&gt;$FJ69,"",MAX(0,IF(HU$19=$FJ69,$S69^2*HU$15,HU68*INDEX($T$20:$T$91,$FJ69-HU$19)^2/INDEX($U$20:$U$91,$FJ69-HU$19))))</f>
        <v/>
      </c>
      <c r="HV69" s="150" t="str">
        <f aca="false">IF(HV$19&gt;$FJ69,"",MAX(0,IF(HV$19=$FJ69,$S69^2*HV$15,HV68*INDEX($T$20:$T$91,$FJ69-HV$19)^2/INDEX($U$20:$U$91,$FJ69-HV$19))))</f>
        <v/>
      </c>
      <c r="HW69" s="150" t="str">
        <f aca="false">IF(HW$19&gt;$FJ69,"",MAX(0,IF(HW$19=$FJ69,$S69^2*HW$15,HW68*INDEX($T$20:$T$91,$FJ69-HW$19)^2/INDEX($U$20:$U$91,$FJ69-HW$19))))</f>
        <v/>
      </c>
      <c r="HX69" s="150" t="str">
        <f aca="false">IF(HX$19&gt;$FJ69,"",MAX(0,IF(HX$19=$FJ69,$S69^2*HX$15,HX68*INDEX($T$20:$T$91,$FJ69-HX$19)^2/INDEX($U$20:$U$91,$FJ69-HX$19))))</f>
        <v/>
      </c>
      <c r="HY69" s="150" t="str">
        <f aca="false">IF(HY$19&gt;$FJ69,"",MAX(0,IF(HY$19=$FJ69,$S69^2*HY$15,HY68*INDEX($T$20:$T$91,$FJ69-HY$19)^2/INDEX($U$20:$U$91,$FJ69-HY$19))))</f>
        <v/>
      </c>
      <c r="HZ69" s="150" t="str">
        <f aca="false">IF(HZ$19&gt;$FJ69,"",MAX(0,IF(HZ$19=$FJ69,$S69^2*HZ$15,HZ68*INDEX($T$20:$T$91,$FJ69-HZ$19)^2/INDEX($U$20:$U$91,$FJ69-HZ$19))))</f>
        <v/>
      </c>
      <c r="IA69" s="150" t="str">
        <f aca="false">IF(IA$19&gt;$FJ69,"",MAX(0,IF(IA$19=$FJ69,$S69^2*IA$15,IA68*INDEX($T$20:$T$91,$FJ69-IA$19)^2/INDEX($U$20:$U$91,$FJ69-IA$19))))</f>
        <v/>
      </c>
      <c r="IB69" s="150" t="str">
        <f aca="false">IF(IB$19&gt;$FJ69,"",MAX(0,IF(IB$19=$FJ69,$S69^2*IB$15,IB68*INDEX($T$20:$T$91,$FJ69-IB$19)^2/INDEX($U$20:$U$91,$FJ69-IB$19))))</f>
        <v/>
      </c>
      <c r="IC69" s="150" t="str">
        <f aca="false">IF(IC$19&gt;$FJ69,"",MAX(0,IF(IC$19=$FJ69,$S69^2*IC$15,IC68*INDEX($T$20:$T$91,$FJ69-IC$19)^2/INDEX($U$20:$U$91,$FJ69-IC$19))))</f>
        <v/>
      </c>
      <c r="ID69" s="572" t="str">
        <f aca="false">IF(ID$19&gt;$FJ69,"",MAX(0,IF(ID$19=$FJ69,$S69^2*ID$15,ID68*INDEX($T$20:$T$91,$FJ69-ID$19)^2/INDEX($U$20:$U$91,$FJ69-ID$19))))</f>
        <v/>
      </c>
      <c r="IE69" s="129"/>
    </row>
    <row r="70" customFormat="false" ht="12.75" hidden="false" customHeight="false" outlineLevel="0" collapsed="false">
      <c r="A70" s="3"/>
      <c r="F70" s="3"/>
      <c r="G70" s="3"/>
      <c r="H70" s="219" t="n">
        <f aca="false">VLOOKUP(I70,$EJ$20:$EL$54,3)</f>
        <v>0</v>
      </c>
      <c r="I70" s="511" t="n">
        <f aca="false">EOMONTH(I69,0)+1</f>
        <v>38292</v>
      </c>
      <c r="J70" s="512"/>
      <c r="K70" s="513" t="s">
        <v>250</v>
      </c>
      <c r="L70" s="514" t="e">
        <f aca="false">IF(ISNUMBER(K70),J70+K70/100,IF(K70="extra",L69+VLOOKUP(BF70,PriceSpreadTable,2)/12,IF(K70="inter",interpolateprices($K$19:$L$200,ROW(K70)-ROW(FirstPricingMonth)+1),interpolatechanges($J$19:$K$200,ROW(K70)-ROW(FirstPricingMonth)+1))))</f>
        <v>#VALUE!</v>
      </c>
      <c r="M70" s="515"/>
      <c r="N70" s="516" t="n">
        <v>0</v>
      </c>
      <c r="O70" s="515" t="n">
        <f aca="false">M70+N70</f>
        <v>0</v>
      </c>
      <c r="P70" s="512"/>
      <c r="Q70" s="513" t="s">
        <v>280</v>
      </c>
      <c r="R70" s="512" t="e">
        <f aca="false">IF(ISNUMBER(Q70),P70+Q70/100,IF(Q70="extra",(Z68*AL68-R69*AM68)/AN68,IF(Q70="inter",interpolateprices($Q$19:$R$260,ROW(Q70)-ROW(FirstPricingMonth)+1),interpolatechanges($P$19:$Q$260,ROW(Q70)-ROW(FirstPricingMonth)+1))))</f>
        <v>#VALUE!</v>
      </c>
      <c r="S70" s="597" t="n">
        <f aca="false">S$19+(S69-S$19)*S$18</f>
        <v>0.360000030203822</v>
      </c>
      <c r="T70" s="575" t="n">
        <f aca="false">SQRT((1-(1-T69^2/U69)*T$18)*U70)</f>
        <v>0.999955450370922</v>
      </c>
      <c r="U70" s="576" t="n">
        <f aca="false">1-(1-U69)*U$18</f>
        <v>0.999999991505175</v>
      </c>
      <c r="V70" s="521" t="n">
        <v>0</v>
      </c>
      <c r="W70" s="577" t="n">
        <f aca="false">(J71*AJ70+J72*AK70)/AI70</f>
        <v>0</v>
      </c>
      <c r="X70" s="578" t="e">
        <f aca="false">(L71*AJ70+L72*AK70)/AI70</f>
        <v>#VALUE!</v>
      </c>
      <c r="Y70" s="579" t="n">
        <f aca="false">IF(Q72="extra",W70-AA70,(P71*AM70+P72*AN70)/AL70)</f>
        <v>-1.1349</v>
      </c>
      <c r="Z70" s="579" t="e">
        <f aca="false">IF(Q72="extra",X70-AB70,(R71*AM70+R72*AN70)/AL70)</f>
        <v>#VALUE!</v>
      </c>
      <c r="AA70" s="523" t="n">
        <f aca="false">IF(Q72="extra",INDEX(BrentSeasonalityTable,INT((BG70-1)/3)+1)*VLOOKUP(MAX(BF70,$AB$4),PriceSpreadTable,3),W70-Y70)</f>
        <v>1.1349</v>
      </c>
      <c r="AB70" s="524" t="n">
        <f aca="false">IF(Q72="extra",INDEX(BrentSeasonalityTable,INT((BG70-1)/3)+1)*VLOOKUP(MAX(BF70,$AB$4),PriceSpreadTable,3),X70-Z70)</f>
        <v>1.1349</v>
      </c>
      <c r="AC70" s="646" t="n">
        <v>38280</v>
      </c>
      <c r="AD70" s="646" t="n">
        <v>38276</v>
      </c>
      <c r="AE70" s="646" t="n">
        <v>38275</v>
      </c>
      <c r="AF70" s="646" t="n">
        <v>38271</v>
      </c>
      <c r="AG70" s="438" t="s">
        <v>247</v>
      </c>
      <c r="AH70" s="439" t="s">
        <v>278</v>
      </c>
      <c r="AI70" s="528" t="n">
        <v>22</v>
      </c>
      <c r="AJ70" s="529" t="n">
        <v>15</v>
      </c>
      <c r="AK70" s="529" t="n">
        <v>7</v>
      </c>
      <c r="AL70" s="530" t="n">
        <v>22</v>
      </c>
      <c r="AM70" s="529" t="n">
        <v>10</v>
      </c>
      <c r="AN70" s="531" t="n">
        <v>12</v>
      </c>
      <c r="AO70" s="532"/>
      <c r="AP70" s="465" t="n">
        <f aca="false">(1+AO70/2)^(-2*BL70)</f>
        <v>1</v>
      </c>
      <c r="AQ70" s="532"/>
      <c r="AR70" s="465" t="n">
        <f aca="false">(1+AQ70/2)^(-2*BH70/365.25)</f>
        <v>1</v>
      </c>
      <c r="AS70" s="580" t="n">
        <f aca="false">(O71*AJ70+O72*AK70)/AI70</f>
        <v>0</v>
      </c>
      <c r="AT70" s="468" t="n">
        <f aca="false">O70*VLOOKUP(BF70,BrentVolTable,2)+VLOOKUP(BF70,BrentVolTable,3)</f>
        <v>0</v>
      </c>
      <c r="AU70" s="468" t="n">
        <f aca="false">(AT71*AM70+AT72*AN70)/AL70</f>
        <v>0</v>
      </c>
      <c r="AV70" s="595" t="n">
        <f aca="false">SQRT(MAX(0.000000000001,(O70^2*BH70-S70^2*(BH70-BH69))/BH69))</f>
        <v>0.0225014668746784</v>
      </c>
      <c r="AW70" s="451" t="n">
        <f aca="false">IF($I70-DateToday+15&gt;=$T$8,"",IF($I70-DateToday+15&lt;$T$5,1,MATCH($I70-DateToday+15,$T$5:$T$8)))</f>
        <v>1</v>
      </c>
      <c r="AX70" s="468" t="n">
        <f aca="false">IF($AW70="",AX69^2/AX68,INDEX(U$5:U$8,$AW70)^((INDEX($T$5:$T$8,$AW70+1)-($I70-DateToday+15))/(INDEX($T$5:$T$8,$AW70+1)-INDEX($T$5:$T$8,$AW70)))/INDEX(U$5:U$8,$AW70+1)^((INDEX($T$5:$T$8,$AW70)-($I70-DateToday+15))/(INDEX($T$5:$T$8,$AW70+1)-INDEX($T$5:$T$8,$AW70))))</f>
        <v>4.30880623314942</v>
      </c>
      <c r="AY70" s="468" t="n">
        <f aca="false">IF($AW70="",AY69^2/AY68,INDEX(V$5:V$8,$AW70)^((INDEX($T$5:$T$8,$AW70+1)-($I70-DateToday+15))/(INDEX($T$5:$T$8,$AW70+1)-INDEX($T$5:$T$8,$AW70)))/INDEX(V$5:V$8,$AW70+1)^((INDEX($T$5:$T$8,$AW70)-($I70-DateToday+15))/(INDEX($T$5:$T$8,$AW70+1)-INDEX($T$5:$T$8,$AW70))))</f>
        <v>634.63928636201</v>
      </c>
      <c r="AZ70" s="468" t="n">
        <f aca="false">IF($AW70="",AZ69^2/AZ68,INDEX(W$5:W$8,$AW70)^((INDEX($T$5:$T$8,$AW70+1)-($I70-DateToday+15))/(INDEX($T$5:$T$8,$AW70+1)-INDEX($T$5:$T$8,$AW70)))/INDEX(W$5:W$8,$AW70+1)^((INDEX($T$5:$T$8,$AW70)-($I70-DateToday+15))/(INDEX($T$5:$T$8,$AW70+1)-INDEX($T$5:$T$8,$AW70))))</f>
        <v>11446204.9041239</v>
      </c>
      <c r="BA70" s="468" t="n">
        <f aca="false">IF($AW70="",BA69^2/BA68,INDEX(X$5:X$8,$AW70)^((INDEX($T$5:$T$8,$AW70+1)-($I70-DateToday+15))/(INDEX($T$5:$T$8,$AW70+1)-INDEX($T$5:$T$8,$AW70)))/INDEX(X$5:X$8,$AW70+1)^((INDEX($T$5:$T$8,$AW70)-($I70-DateToday+15))/(INDEX($T$5:$T$8,$AW70+1)-INDEX($T$5:$T$8,$AW70))))</f>
        <v>513744573.299938</v>
      </c>
      <c r="BB70" s="468" t="n">
        <f aca="false">IF($AW70="",BB69^2/BB68,INDEX(Y$5:Y$8,$AW70)^((INDEX($T$5:$T$8,$AW70+1)-($I70-DateToday+15))/(INDEX($T$5:$T$8,$AW70+1)-INDEX($T$5:$T$8,$AW70)))/INDEX(Y$5:Y$8,$AW70+1)^((INDEX($T$5:$T$8,$AW70)-($I70-DateToday+15))/(INDEX($T$5:$T$8,$AW70+1)-INDEX($T$5:$T$8,$AW70))))</f>
        <v>8657415746.13395</v>
      </c>
      <c r="BC70" s="468" t="n">
        <f aca="false">IF($AW70="",BC69^2/BC68,INDEX(Z$5:Z$8,$AW70)^((INDEX($T$5:$T$8,$AW70+1)-($I70-DateToday+15))/(INDEX($T$5:$T$8,$AW70+1)-INDEX($T$5:$T$8,$AW70)))/INDEX(Z$5:Z$8,$AW70+1)^((INDEX($T$5:$T$8,$AW70)-($I70-DateToday+15))/(INDEX($T$5:$T$8,$AW70+1)-INDEX($T$5:$T$8,$AW70))))</f>
        <v>46817525676.468</v>
      </c>
      <c r="BD70" s="535" t="n">
        <f aca="false">IF(OR(DateStart&gt;=I71,DateEnd&lt;I70),0,IF(VolumeOverrideFlag,V70,Volume))</f>
        <v>0</v>
      </c>
      <c r="BE70" s="536" t="n">
        <f aca="false">IF(OR(DateStart2&gt;=I71,DateEnd2&lt;I70),0,IF(VolumeOverrideFlag,V70,VolumeSwaption))</f>
        <v>0</v>
      </c>
      <c r="BF70" s="537" t="n">
        <f aca="false">YEAR(I70)</f>
        <v>2004</v>
      </c>
      <c r="BG70" s="538" t="n">
        <f aca="false">MONTH(I70)</f>
        <v>11</v>
      </c>
      <c r="BH70" s="539" t="n">
        <f aca="false">AD70-DateToday+1</f>
        <v>-7649</v>
      </c>
      <c r="BI70" s="540" t="n">
        <f aca="false">(I70-DateToday+1)/365.25</f>
        <v>-20.8980150581793</v>
      </c>
      <c r="BJ70" s="541" t="n">
        <f aca="false">BI70+(BL70-BI70)*CHOOSE(Underlying,AJ70/AI70,AM70/AL70)</f>
        <v>-20.8438802812519</v>
      </c>
      <c r="BK70" s="541" t="n">
        <f aca="false">BJ70+1/365.25</f>
        <v>-20.8411424304648</v>
      </c>
      <c r="BL70" s="541" t="n">
        <f aca="false">(I71-DateToday)/365.25</f>
        <v>-20.8186173853525</v>
      </c>
      <c r="BM70" s="542" t="e">
        <f aca="false">MAX(BI70-(BJ70-BI70)*(S71^2/O71^2-1),0)</f>
        <v>#DIV/0!</v>
      </c>
      <c r="BN70" s="541" t="e">
        <f aca="false">MAX(BL70+(BL70-BK70)*(S72^2/O72^2-1),0)</f>
        <v>#DIV/0!</v>
      </c>
      <c r="BO70" s="530" t="n">
        <f aca="false">CHOOSE(Underlying,AI70,AL70)</f>
        <v>22</v>
      </c>
      <c r="BP70" s="529" t="n">
        <f aca="false">CHOOSE(Underlying,AJ70,AM70)</f>
        <v>15</v>
      </c>
      <c r="BQ70" s="529" t="n">
        <f aca="false">CHOOSE(Underlying,AK70,AN70)</f>
        <v>7</v>
      </c>
      <c r="BR70" s="463" t="str">
        <f aca="false">IF(BD70,IF(Underlying=1,X70,Z70)+UnderlyingPriceAsian-SwapPriceCurve,"")</f>
        <v/>
      </c>
      <c r="BS70" s="463" t="str">
        <f aca="false">IF(BD70,Strike1/BR70-1,"")</f>
        <v/>
      </c>
      <c r="BT70" s="464" t="str">
        <f aca="false">IF(BD70,Strike2/BR70-1,"")</f>
        <v/>
      </c>
      <c r="BU70" s="465" t="str">
        <f aca="false">IF(BD70,IF(Underlying=1,L71,R71)+UnderlyingPriceAsian-SwapPriceCurve,"")</f>
        <v/>
      </c>
      <c r="BV70" s="465" t="str">
        <f aca="false">IF(BD70,IF(Underlying=1,L72,R72)+UnderlyingPriceAsian-SwapPriceCurve,"")</f>
        <v/>
      </c>
      <c r="BW70" s="466" t="str">
        <f aca="false">IF(BD70,IF(Underlying=1,O71,AT71),"")</f>
        <v/>
      </c>
      <c r="BX70" s="467" t="str">
        <f aca="false">IF(BD70,IF(Underlying=1,O72,AT72),"")</f>
        <v/>
      </c>
      <c r="BY70" s="466" t="str">
        <f aca="false">IF(BD70,IF(BS70&gt;0,IF(BS70&gt;0.2,BC70-BB70,IF(BS70&gt;0.1,BB70-BA70,BA70)),IF(BS70&lt;-0.2,AX70-AY70,IF(BS70&lt;-0.1,AY70-AZ70,AZ70))),"")</f>
        <v/>
      </c>
      <c r="BZ70" s="467" t="str">
        <f aca="false">IF(BD70,IF(BT70&gt;0,IF(BT70&gt;0.2,BC70-BB70,IF(BT70&gt;0.1,BB70-BA70,BA70)),IF(BT70&lt;-0.2,AX70-AY70,IF(BT70&lt;-0.1,AY70-AZ70,AZ70))),"")</f>
        <v/>
      </c>
      <c r="CA70" s="468" t="str">
        <f aca="false">IF($BD70,$BW70+IF(VolSkewFlag=1,IF(BS70&gt;0,$BA70*MIN(BS70/10%,1)+($BB70-$BA70)*MAX(0,MIN(BS70/10%-1,1))+($BC70-$BB70)*MAX(0,BS70/10%-2),$AZ70*MIN(-BS70/10%,1)+($AY70-$AZ70)*MAX(0,MIN(-BS70/10%-1,1))+($AX70-$AY70)*MAX(0,-BS70/10%-2)),0),"")</f>
        <v/>
      </c>
      <c r="CB70" s="468" t="str">
        <f aca="false">IF($BD70,$BX70+IF(VolSkewFlag=1,IF(BS70&gt;0,$BA70*MIN(BS70/10%,1)+($BB70-$BA70)*MAX(0,MIN(BS70/10%-1,1))+($BC70-$BB70)*MAX(0,BS70/10%-2),$AZ70*MIN(-BS70/10%,1)+($AY70-$AZ70)*MAX(0,MIN(-BS70/10%-1,1))+($AX70-$AY70)*MAX(0,-BS70/10%-2)),0),"")</f>
        <v/>
      </c>
      <c r="CC70" s="468" t="str">
        <f aca="false">IF($BD70,$BW70+IF(VolSkewFlag=1,IF(BT70&gt;0,$BA70*MIN(BT70/10%,1)+($BB70-$BA70)*MAX(0,MIN(BT70/10%-1,1))+($BC70-$BB70)*MAX(0,BT70/10%-2),$AZ70*MIN(-BT70/10%,1)+($AY70-$AZ70)*MAX(0,MIN(-BT70/10%-1,1))+($AX70-$AY70)*MAX(0,-BT70/10%-2)),0),"")</f>
        <v/>
      </c>
      <c r="CD70" s="468" t="str">
        <f aca="false">IF($BD70,$BX70+IF(VolSkewFlag=1,IF(BT70&gt;0,$BA70*MIN(BT70/10%,1)+($BB70-$BA70)*MAX(0,MIN(BT70/10%-1,1))+($BC70-$BB70)*MAX(0,BT70/10%-2),$AZ70*MIN(-BT70/10%,1)+($AY70-$AZ70)*MAX(0,MIN(-BT70/10%-1,1))+($AX70-$AY70)*MAX(0,-BT70/10%-2)),0),"")</f>
        <v/>
      </c>
      <c r="CE70" s="469" t="n">
        <v>1</v>
      </c>
      <c r="CF70" s="470" t="n">
        <f aca="false">IF(BD70,xCrudeAPO(BU70,BV70,CA70,CB70,S71,S72,BI70,BL70,BP70,BQ70,0,Strike1,AO70,CE70,0,BL70,IF(OptControl=4,0,1),0,1),0)</f>
        <v>0</v>
      </c>
      <c r="CG70" s="470" t="n">
        <f aca="false">IF(BD70,xCrudeAPO(BU70,BV70,CA70,CB70,S71,S72,BI70,BL70,BP70,BQ70,0,Strike1,AO70,CE70,0,BL70,IF(OptControl=4,0,1),1,1)+xCrudeAPO(BU70,BV70,CA70,CB70,S71,S72,BI70,BL70,BP70,BQ70,0,Strike1,AO70,CE70,0,BL70,IF(OptControl=4,0,1),1,2)+IF(OR(VolSkewFlag=2,ABS(BS70)&lt;0.0001),0,IF(BS70&gt;0,-1,1)*CH70*Strike1/BR70^2*BY70/10%),0)</f>
        <v>0</v>
      </c>
      <c r="CH70" s="470" t="n">
        <f aca="false">IF(BD70,(xCrudeAPO(BU70,BV70,CA70,CB70,S71,S72,BI70,BL70,BP70,BQ70,0,Strike1,AO70,CE70,0,BL70,IF(OptControl=4,0,1),3,1)+xCrudeAPO(BU70,BV70,CA70,CB70,S71,S72,BI70,BL70,BP70,BQ70,0,Strike1,AO70,CE70,0,BL70,IF(OptControl=4,0,1),3,2))/100,0)</f>
        <v>0</v>
      </c>
      <c r="CI70" s="470" t="n">
        <f aca="false">IF(BD70,xCrudeAPO(BU70,BV70,CA70,CB70,S71,S72,BI70-DaysForThetaCalculation/365.25,BL70-DaysForThetaCalculation/365.25,BP70,BQ70,0,Strike1,AO70,CE70,0,BL70,IF(OptControl=4,0,1),0,1)-xCrudeAPO(BU70,BV70,CA70,CB70,S71,S72,BI70,BL70,BP70,BQ70,0,Strike1,AO70,CE70,0,BL70,IF(OptControl=4,0,1),0,1),0)</f>
        <v>0</v>
      </c>
      <c r="CJ70" s="471" t="n">
        <f aca="false">IF(BD70,xCrudeAPO(BU70,BV70,CC70,CD70,S71,S72,BI70,BL70,BP70,BQ70,0,Strike2,AO70,CE70,0,BL70,IF(OptControl=3,1,0),0,1),0)</f>
        <v>0</v>
      </c>
      <c r="CK70" s="470" t="n">
        <f aca="false">IF(BD70,xCrudeAPO(BU70,BV70,CC70,CD70,S71,S72,BI70,BL70,BP70,BQ70,0,Strike2,AO70,CE70,0,BL70,IF(OptControl=3,1,0),1,1)+xCrudeAPO(BU70,BV70,CC70,CD70,S71,S72,BI70,BL70,BP70,BQ70,0,Strike2,AO70,CE70,0,BL70,IF(OptControl=3,1,0),1,2)+IF(OR(VolSkewFlag=2,ABS(BT70)&lt;0.0001),0,IF(BT70&gt;0,-1,1)*CL70*Strike2/BR70^2*BZ70/10%),0)</f>
        <v>0</v>
      </c>
      <c r="CL70" s="470" t="n">
        <f aca="false">IF(BD70,(xCrudeAPO(BU70,BV70,CC70,CD70,S71,S72,BI70,BL70,BP70,BQ70,0,Strike2,AO70,CE70,0,BL70,IF(OptControl=3,1,0),3,1)+xCrudeAPO(BU70,BV70,CC70,CD70,S71,S72,BI70,BL70,BP70,BQ70,0,Strike2,AO70,CE70,0,BL70,IF(OptControl=3,1,0),3,2))/100,0)</f>
        <v>0</v>
      </c>
      <c r="CM70" s="472" t="n">
        <f aca="false">IF(BD70,xCrudeAPO(BU70,BV70,CC70,CD70,S71,S72,BI70-DaysForThetaCalculation/365.25,BL70-DaysForThetaCalculation/365.25,BP70,BQ70,0,Strike2,AO70,CE70,0,BL70,IF(OptControl=3,1,0),0,1)-xCrudeAPO(BU70,BV70,CC70,CD70,S71,S72,BI70,BL70,BP70,BQ70,0,Strike2,AO70,CE70,0,BL70,IF(OptControl=3,1,0),0,1),0)</f>
        <v>0</v>
      </c>
      <c r="CN70" s="3"/>
      <c r="CO70" s="543" t="str">
        <f aca="false">IF(BD70,CHOOSE(Underlying,AD70,AF70)-DateToday+1,"")</f>
        <v/>
      </c>
      <c r="CP70" s="582" t="str">
        <f aca="false">IF(BD70,CHOOSE(Underlying,L70,R70),"")</f>
        <v/>
      </c>
      <c r="CQ70" s="544" t="str">
        <f aca="false">IF(BD70,Strike1/CP70-1,"")</f>
        <v/>
      </c>
      <c r="CR70" s="544" t="str">
        <f aca="false">IF(BD70,Strike2/CP70-1,"")</f>
        <v/>
      </c>
      <c r="CS70" s="544" t="str">
        <f aca="false">IF(BD70,IF(CQ70&gt;0,IF(CQ70&gt;0.2,BC69-BB69,IF(CQ70&gt;0.1,BB69-BA69,BA69)),IF(CQ70&lt;-0.2,AX69-AY69,IF(CQ70&lt;-0.1,AY69-AZ69,AZ69))),"")</f>
        <v/>
      </c>
      <c r="CT70" s="544" t="str">
        <f aca="false">IF(BD70,IF(CR70&gt;0,IF(CR70&gt;0.2,BC69-BB69,IF(CR70&gt;0.1,BB69-BA69,BA69)),IF(CR70&lt;-0.2,AX69-AY69,IF(CR70&lt;-0.1,AY69-AZ69,AZ69))),"")</f>
        <v/>
      </c>
      <c r="CU70" s="545" t="str">
        <f aca="false">IF(BD70,CHOOSE(Underlying,O70,AT70),"")</f>
        <v/>
      </c>
      <c r="CV70" s="545" t="str">
        <f aca="false">IF(BD70,CU70+IF(VolSkewFlag=1,IF(CQ70&gt;0,BA69*MIN(CQ70/10%,1)+(BB69-BA69)*MAX(0,MIN(CQ70/10%-1,1))+(BC69-BB69)*MAX(0,CQ70/10%-2),AZ69*MIN(-CQ70/10%,1)+(AY69-AZ69)*MAX(0,MIN(-CQ70/10%-1,1))+(AX69-AY69)*MAX(0,-CQ70/10%-2)),0),"")</f>
        <v/>
      </c>
      <c r="CW70" s="545" t="str">
        <f aca="false">IF(BD70,CU70+IF(VolSkewFlag=1,IF(CR70&gt;0,BA69*MIN(CR70/10%,1)+(BB69-BA69)*MAX(0,MIN(CR70/10%-1,1))+(BC69-BB69)*MAX(0,CR70/10%-2),AZ69*MIN(-CR70/10%,1)+(AY69-AZ69)*MAX(0,MIN(-CR70/10%-1,1))+(AX69-AY69)*MAX(0,-CR70/10%-2)),0),"")</f>
        <v/>
      </c>
      <c r="CX70" s="470" t="n">
        <f aca="false">IF(BD70,EURO(CP70,Strike1,AO70,AO70,CV70,CO70,IF(OptControl=4,0,1),0),0)</f>
        <v>0</v>
      </c>
      <c r="CY70" s="470" t="n">
        <f aca="false">IF(BD70,EURO(CP70,Strike1,AO70,AO70,CV70,CO70,IF(OptControl=4,0,1),1)+IF(OR(VolSkewFlag=2,ABS(CQ70)&lt;0.0001),0,IF(CQ70&gt;0,-1,1)*CZ70*100*Strike1/CP70^2*CS70/10%),0)</f>
        <v>0</v>
      </c>
      <c r="CZ70" s="470" t="n">
        <f aca="false">IF(BD70,EURO(CP70,Strike1,AO70,AO70,CV70,CO70,IF(OptControl=4,0,1),3)/100,0)</f>
        <v>0</v>
      </c>
      <c r="DA70" s="470" t="n">
        <f aca="false">IF(BD70,EURO(CP70,Strike1,AO70,AO70,CV70,CO70,IF(OptControl=4,0,1),0)-EURO(CP70,Strike1,AO70,AO70,CV70,CO70-1,IF(OptControl=4,0,1),0),0)</f>
        <v>0</v>
      </c>
      <c r="DB70" s="470" t="n">
        <f aca="false">IF(BD70,EURO(CP70,Strike2,AO70,AO70,CW70,CO70,IF(OptControl=3,1,0),0),0)</f>
        <v>0</v>
      </c>
      <c r="DC70" s="470" t="n">
        <f aca="false">IF(BD70,EURO(CP70,Strike2,AO70,AO70,CW70,CO70,IF(OptControl=3,1,0),1)+IF(OR(VolSkewFlag=2,ABS(CR70)&lt;0.0001),0,IF(CR70&gt;0,-1,1)*DD70*100*Strike2/CP70^2*CT70/10%),0)</f>
        <v>0</v>
      </c>
      <c r="DD70" s="470" t="n">
        <f aca="false">IF(BD70,EURO(CP70,Strike2,AO70,AO70,CW70,CO70,IF(OptControl=3,1,0),3)/100,0)</f>
        <v>0</v>
      </c>
      <c r="DE70" s="472" t="n">
        <f aca="false">IF(BD70,EURO(CP70,Strike2,AO70,AO70,CW70,CO70,IF(OptControl=3,1,0),0)-EURO(CP70,Strike2,AO70,AO70,CW70,CO70-1,IF(OptControl=3,1,0),0),0)</f>
        <v>0</v>
      </c>
      <c r="DG70" s="481" t="n">
        <f aca="false">EOMONTH(DG69,0)+1</f>
        <v>47209</v>
      </c>
      <c r="DH70" s="478" t="n">
        <v>18.4</v>
      </c>
      <c r="DI70" s="479" t="n">
        <v>18.3931818181818</v>
      </c>
      <c r="DJ70" s="480" t="n">
        <f aca="false">DG70</f>
        <v>47209</v>
      </c>
      <c r="DK70" s="478" t="n">
        <v>17.3176731671477</v>
      </c>
      <c r="DL70" s="479" t="n">
        <v>17.1541818181818</v>
      </c>
      <c r="DM70" s="481" t="n">
        <f aca="false">DG70</f>
        <v>47209</v>
      </c>
      <c r="DN70" s="482" t="n">
        <f aca="false">DK70+BrentPhyBrentSpread</f>
        <v>17.3676731671477</v>
      </c>
      <c r="DO70" s="481" t="n">
        <f aca="false">DG70</f>
        <v>47209</v>
      </c>
      <c r="DP70" s="483" t="n">
        <f aca="false">DL70+DQ70</f>
        <v>17.1541818181818</v>
      </c>
      <c r="DQ70" s="546" t="n">
        <v>0</v>
      </c>
      <c r="DR70" s="480" t="n">
        <f aca="false">DG70</f>
        <v>47209</v>
      </c>
      <c r="DS70" s="485" t="n">
        <v>0.202260696159647</v>
      </c>
      <c r="DT70" s="486" t="n">
        <v>0.201215166554656</v>
      </c>
      <c r="DU70" s="480" t="n">
        <f aca="false">DG70</f>
        <v>47209</v>
      </c>
      <c r="DV70" s="485" t="n">
        <v>0.202260696159647</v>
      </c>
      <c r="DW70" s="486" t="n">
        <v>0.201215166554656</v>
      </c>
      <c r="DX70" s="481" t="n">
        <f aca="false">DG70</f>
        <v>47209</v>
      </c>
      <c r="DY70" s="486" t="n">
        <v>0.35</v>
      </c>
      <c r="DZ70" s="481" t="n">
        <f aca="false">DR70</f>
        <v>47209</v>
      </c>
      <c r="EA70" s="486" t="n">
        <f aca="false">DT70</f>
        <v>0.201215166554656</v>
      </c>
      <c r="EB70" s="195"/>
      <c r="EC70" s="547" t="str">
        <f aca="false">IF(BD70,IF(Underlying=1,AS70,AU70),"")</f>
        <v/>
      </c>
      <c r="ED70" s="548" t="str">
        <f aca="false">IF($BD70,$EC70+IF(VolSkewFlag=1,IF(BS70&gt;0,$BA70*MIN(BS70/10%,1)+($BB70-$BA70)*MAX(0,MIN(BS70/10%-1,1))+($BC70-$BB70)*MAX(0,BS70/10%-2),$AZ70*MIN(-BS70/10%,1)+($AY70-$AZ70)*MAX(0,MIN(-BS70/10%-1,1))+($AX70-$AY70)*MAX(0,-BS70/10%-2)),0),"")</f>
        <v/>
      </c>
      <c r="EE70" s="549" t="str">
        <f aca="false">IF($BD70,$EC70+IF(VolSkewFlag=1,IF(BT70&gt;0,$BA70*MIN(BT70/10%,1)+($BB70-$BA70)*MAX(0,MIN(BT70/10%-1,1))+($BC70-$BB70)*MAX(0,BT70/10%-2),$AZ70*MIN(-BT70/10%,1)+($AY70-$AZ70)*MAX(0,MIN(-BT70/10%-1,1))+($AX70-$AY70)*MAX(0,-BT70/10%-2)),0),"")</f>
        <v/>
      </c>
      <c r="EF70" s="550" t="n">
        <f aca="false">IF(BD70,xASN(BR70,Strike1,AO70,ED70,0,BO70,0,BI70,BL70,IF(OptControl=4,0,1),0),0)</f>
        <v>0</v>
      </c>
      <c r="EG70" s="551" t="n">
        <f aca="false">IF(BD70,xASN(BR70,Strike2,AO70,EE70,0,BO70,0,BI70,BL70,IF(OptControl=3,1,0),0),0)</f>
        <v>0</v>
      </c>
      <c r="EL70" s="1"/>
      <c r="EM70" s="195"/>
      <c r="EN70" s="556" t="n">
        <v>41824</v>
      </c>
      <c r="EO70" s="557" t="n">
        <v>45658</v>
      </c>
      <c r="EP70" s="195"/>
      <c r="EQ70" s="407" t="s">
        <v>296</v>
      </c>
      <c r="ES70" s="587" t="n">
        <v>51</v>
      </c>
      <c r="ET70" s="559" t="n">
        <f aca="false">BH70/365.25</f>
        <v>-20.9418206707734</v>
      </c>
      <c r="EU70" s="560" t="n">
        <f aca="false">O70^2*ET70</f>
        <v>-0</v>
      </c>
      <c r="EV70" s="588" t="e">
        <f aca="false">SQRT(SUM(FK70:ID70)/ET70)</f>
        <v>#VALUE!</v>
      </c>
      <c r="EW70" s="589" t="str">
        <f aca="false">IF(OR(DateStart2&gt;I69,DateEnd2&lt;I68),"",IF(DateStart2&lt;I69,AK68/AI68*AP68*BE68*SwaptionNumOfMonths/$D$33,0)+IF(DateEnd2&gt;I68,AJ69/AI69*AP69*BE69*SwaptionNumOfMonths/$D$33,0))</f>
        <v/>
      </c>
      <c r="EX70" s="590" t="str">
        <f aca="false">IF(EW70="","",SQRT(SUM(FK375:ID375)/SwaptionYearsToExp))</f>
        <v/>
      </c>
      <c r="EY70" s="129" t="n">
        <v>0</v>
      </c>
      <c r="EZ70" s="591" t="str">
        <f aca="false">IF(OR(EW70="",EW71=""),"",SQRT(SUM(INDEX(FK70:ID70,SwaptionFirstMonthPosition+1):INDEX(FK70:ID70,FJ70))/SUM(INDEX($FK$15:$ID$15,SwaptionFirstMonthPosition+1):INDEX($FK$15:$ID$15,FJ70))))</f>
        <v/>
      </c>
      <c r="FA70" s="592" t="str">
        <f aca="false">IF(OR(EW70="",EW69=""),"",SQRT(SUM(INDEX(FK70:ID70,SwaptionFirstMonthPosition+1):INDEX(FK70:ID70,FJ70-1))/SUM(INDEX($FK$15:$ID$15,SwaptionFirstMonthPosition+1):INDEX($FK$15:$ID$15,FJ70-1))))</f>
        <v/>
      </c>
      <c r="FB70" s="593" t="str">
        <f aca="false">IF(BE70,2/3*EZ71+1/3*FA72,"")</f>
        <v/>
      </c>
      <c r="FC70" s="596" t="str">
        <f aca="false">IF(BE70,(I71+I70-1)/2-DateToday,"")</f>
        <v/>
      </c>
      <c r="FD70" s="483" t="str">
        <f aca="false">IF(BE70,CHOOSE(Underlying,X70,Z70)+SwaptionUnderlyingPrice-$D$26,"")</f>
        <v/>
      </c>
      <c r="FE70" s="483" t="str">
        <f aca="false">IF(BE70,CollartionFloor/FD70-1,"")</f>
        <v/>
      </c>
      <c r="FF70" s="483" t="str">
        <f aca="false">IF(BE70,CollartionCap/FD70-1,"")</f>
        <v/>
      </c>
      <c r="FG70" s="485" t="str">
        <f aca="false">IF(BE70,IF(VolSkewFlag=1,IF(FE70&gt;0,$BA70*MIN(FE70/10%,1)+($BB70-$BA70)*MAX(0,MIN(FE70/10%-1,1))+($BC70-$BB70)*MAX(0,FE70/10%-2),$AZ70*MIN(-FE70/10%,1)+($AY70-$AZ70)*MAX(0,MIN(-FE70/10%-1,1))+($AX70-$AY70)*MAX(0,-FE70/10%-2)),0),"")</f>
        <v/>
      </c>
      <c r="FH70" s="486" t="str">
        <f aca="false">IF(BE70,IF(VolSkewFlag=1,IF(FF70&gt;0,$BA70*MIN(FF70/10%,1)+($BB70-$BA70)*MAX(0,MIN(FF70/10%-1,1))+($BC70-$BB70)*MAX(0,FF70/10%-2),$AZ70*MIN(-FF70/10%,1)+($AY70-$AZ70)*MAX(0,MIN(-FF70/10%-1,1))+($AX70-$AY70)*MAX(0,-FF70/10%-2)),0),"")</f>
        <v/>
      </c>
      <c r="FI70" s="129"/>
      <c r="FJ70" s="571" t="n">
        <v>51</v>
      </c>
      <c r="FK70" s="150" t="n">
        <f aca="false">IF(FK$19&gt;$FJ70,"",MAX(0,IF(FK$19=$FJ70,$S70^2*FK$15,FK69*INDEX($T$20:$T$91,$FJ70-FK$19)^2/INDEX($U$20:$U$91,$FJ70-FK$19))))</f>
        <v>0</v>
      </c>
      <c r="FL70" s="150" t="n">
        <f aca="false">IF(FL$19&gt;$FJ70,"",MAX(0,IF(FL$19=$FJ70,$S70^2*FL$15,FL69*INDEX($T$20:$T$91,$FJ70-FL$19)^2/INDEX($U$20:$U$91,$FJ70-FL$19))))</f>
        <v>0</v>
      </c>
      <c r="FM70" s="150" t="n">
        <f aca="false">IF(FM$19&gt;$FJ70,"",MAX(0,IF(FM$19=$FJ70,$S70^2*FM$15,FM69*INDEX($T$20:$T$91,$FJ70-FM$19)^2/INDEX($U$20:$U$91,$FJ70-FM$19))))</f>
        <v>0.00254890437105049</v>
      </c>
      <c r="FN70" s="150" t="n">
        <f aca="false">IF(FN$19&gt;$FJ70,"",MAX(0,IF(FN$19=$FJ70,$S70^2*FN$15,FN69*INDEX($T$20:$T$91,$FJ70-FN$19)^2/INDEX($U$20:$U$91,$FJ70-FN$19))))</f>
        <v>0.00214564153221561</v>
      </c>
      <c r="FO70" s="150" t="n">
        <f aca="false">IF(FO$19&gt;$FJ70,"",MAX(0,IF(FO$19=$FJ70,$S70^2*FO$15,FO69*INDEX($T$20:$T$91,$FJ70-FO$19)^2/INDEX($U$20:$U$91,$FJ70-FO$19))))</f>
        <v>0.00223215617490156</v>
      </c>
      <c r="FP70" s="150" t="n">
        <f aca="false">IF(FP$19&gt;$FJ70,"",MAX(0,IF(FP$19=$FJ70,$S70^2*FP$15,FP69*INDEX($T$20:$T$91,$FJ70-FP$19)^2/INDEX($U$20:$U$91,$FJ70-FP$19))))</f>
        <v>0.00247393956812884</v>
      </c>
      <c r="FQ70" s="150" t="n">
        <f aca="false">IF(FQ$19&gt;$FJ70,"",MAX(0,IF(FQ$19=$FJ70,$S70^2*FQ$15,FQ69*INDEX($T$20:$T$91,$FJ70-FQ$19)^2/INDEX($U$20:$U$91,$FJ70-FQ$19))))</f>
        <v>0.00200336902131399</v>
      </c>
      <c r="FR70" s="150" t="n">
        <f aca="false">IF(FR$19&gt;$FJ70,"",MAX(0,IF(FR$19=$FJ70,$S70^2*FR$15,FR69*INDEX($T$20:$T$91,$FJ70-FR$19)^2/INDEX($U$20:$U$91,$FJ70-FR$19))))</f>
        <v>0.00204889785578084</v>
      </c>
      <c r="FS70" s="150" t="n">
        <f aca="false">IF(FS$19&gt;$FJ70,"",MAX(0,IF(FS$19=$FJ70,$S70^2*FS$15,FS69*INDEX($T$20:$T$91,$FJ70-FS$19)^2/INDEX($U$20:$U$91,$FJ70-FS$19))))</f>
        <v>0.00230967361139123</v>
      </c>
      <c r="FT70" s="150" t="n">
        <f aca="false">IF(FT$19&gt;$FJ70,"",MAX(0,IF(FT$19=$FJ70,$S70^2*FT$15,FT69*INDEX($T$20:$T$91,$FJ70-FT$19)^2/INDEX($U$20:$U$91,$FJ70-FT$19))))</f>
        <v>0.00208514874933082</v>
      </c>
      <c r="FU70" s="150" t="n">
        <f aca="false">IF(FU$19&gt;$FJ70,"",MAX(0,IF(FU$19=$FJ70,$S70^2*FU$15,FU69*INDEX($T$20:$T$91,$FJ70-FU$19)^2/INDEX($U$20:$U$91,$FJ70-FU$19))))</f>
        <v>0.0020054274974604</v>
      </c>
      <c r="FV70" s="150" t="n">
        <f aca="false">IF(FV$19&gt;$FJ70,"",MAX(0,IF(FV$19=$FJ70,$S70^2*FV$15,FV69*INDEX($T$20:$T$91,$FJ70-FV$19)^2/INDEX($U$20:$U$91,$FJ70-FV$19))))</f>
        <v>0.00220484104421549</v>
      </c>
      <c r="FW70" s="150" t="n">
        <f aca="false">IF(FW$19&gt;$FJ70,"",MAX(0,IF(FW$19=$FJ70,$S70^2*FW$15,FW69*INDEX($T$20:$T$91,$FJ70-FW$19)^2/INDEX($U$20:$U$91,$FJ70-FW$19))))</f>
        <v>0.00206182049190622</v>
      </c>
      <c r="FX70" s="150" t="n">
        <f aca="false">IF(FX$19&gt;$FJ70,"",MAX(0,IF(FX$19=$FJ70,$S70^2*FX$15,FX69*INDEX($T$20:$T$91,$FJ70-FX$19)^2/INDEX($U$20:$U$91,$FJ70-FX$19))))</f>
        <v>0.00219564100230973</v>
      </c>
      <c r="FY70" s="150" t="n">
        <f aca="false">IF(FY$19&gt;$FJ70,"",MAX(0,IF(FY$19=$FJ70,$S70^2*FY$15,FY69*INDEX($T$20:$T$91,$FJ70-FY$19)^2/INDEX($U$20:$U$91,$FJ70-FY$19))))</f>
        <v>0.00205644749465283</v>
      </c>
      <c r="FZ70" s="150" t="n">
        <f aca="false">IF(FZ$19&gt;$FJ70,"",MAX(0,IF(FZ$19=$FJ70,$S70^2*FZ$15,FZ69*INDEX($T$20:$T$91,$FJ70-FZ$19)^2/INDEX($U$20:$U$91,$FJ70-FZ$19))))</f>
        <v>0.00191861716844118</v>
      </c>
      <c r="GA70" s="150" t="n">
        <f aca="false">IF(GA$19&gt;$FJ70,"",MAX(0,IF(GA$19=$FJ70,$S70^2*GA$15,GA69*INDEX($T$20:$T$91,$FJ70-GA$19)^2/INDEX($U$20:$U$91,$FJ70-GA$19))))</f>
        <v>0.00205587665805234</v>
      </c>
      <c r="GB70" s="150" t="n">
        <f aca="false">IF(GB$19&gt;$FJ70,"",MAX(0,IF(GB$19=$FJ70,$S70^2*GB$15,GB69*INDEX($T$20:$T$91,$FJ70-GB$19)^2/INDEX($U$20:$U$91,$FJ70-GB$19))))</f>
        <v>0.00226267900625175</v>
      </c>
      <c r="GC70" s="150" t="n">
        <f aca="false">IF(GC$19&gt;$FJ70,"",MAX(0,IF(GC$19=$FJ70,$S70^2*GC$15,GC69*INDEX($T$20:$T$91,$FJ70-GC$19)^2/INDEX($U$20:$U$91,$FJ70-GC$19))))</f>
        <v>0.00199028314549885</v>
      </c>
      <c r="GD70" s="150" t="n">
        <f aca="false">IF(GD$19&gt;$FJ70,"",MAX(0,IF(GD$19=$FJ70,$S70^2*GD$15,GD69*INDEX($T$20:$T$91,$FJ70-GD$19)^2/INDEX($U$20:$U$91,$FJ70-GD$19))))</f>
        <v>0.00199293582074577</v>
      </c>
      <c r="GE70" s="150" t="n">
        <f aca="false">IF(GE$19&gt;$FJ70,"",MAX(0,IF(GE$19=$FJ70,$S70^2*GE$15,GE69*INDEX($T$20:$T$91,$FJ70-GE$19)^2/INDEX($U$20:$U$91,$FJ70-GE$19))))</f>
        <v>0.00227175740825911</v>
      </c>
      <c r="GF70" s="150" t="n">
        <f aca="false">IF(GF$19&gt;$FJ70,"",MAX(0,IF(GF$19=$FJ70,$S70^2*GF$15,GF69*INDEX($T$20:$T$91,$FJ70-GF$19)^2/INDEX($U$20:$U$91,$FJ70-GF$19))))</f>
        <v>0.00200070735571503</v>
      </c>
      <c r="GG70" s="150" t="n">
        <f aca="false">IF(GG$19&gt;$FJ70,"",MAX(0,IF(GG$19=$FJ70,$S70^2*GG$15,GG69*INDEX($T$20:$T$91,$FJ70-GG$19)^2/INDEX($U$20:$U$91,$FJ70-GG$19))))</f>
        <v>0.00221347762091511</v>
      </c>
      <c r="GH70" s="150" t="n">
        <f aca="false">IF(GH$19&gt;$FJ70,"",MAX(0,IF(GH$19=$FJ70,$S70^2*GH$15,GH69*INDEX($T$20:$T$91,$FJ70-GH$19)^2/INDEX($U$20:$U$91,$FJ70-GH$19))))</f>
        <v>0.00208166906950518</v>
      </c>
      <c r="GI70" s="150" t="n">
        <f aca="false">IF(GI$19&gt;$FJ70,"",MAX(0,IF(GI$19=$FJ70,$S70^2*GI$15,GI69*INDEX($T$20:$T$91,$FJ70-GI$19)^2/INDEX($U$20:$U$91,$FJ70-GI$19))))</f>
        <v>0.00201980657308125</v>
      </c>
      <c r="GJ70" s="150" t="n">
        <f aca="false">IF(GJ$19&gt;$FJ70,"",MAX(0,IF(GJ$19=$FJ70,$S70^2*GJ$15,GJ69*INDEX($T$20:$T$91,$FJ70-GJ$19)^2/INDEX($U$20:$U$91,$FJ70-GJ$19))))</f>
        <v>0.00230855765491259</v>
      </c>
      <c r="GK70" s="150" t="n">
        <f aca="false">IF(GK$19&gt;$FJ70,"",MAX(0,IF(GK$19=$FJ70,$S70^2*GK$15,GK69*INDEX($T$20:$T$91,$FJ70-GK$19)^2/INDEX($U$20:$U$91,$FJ70-GK$19))))</f>
        <v>0.00210961020559122</v>
      </c>
      <c r="GL70" s="150" t="n">
        <f aca="false">IF(GL$19&gt;$FJ70,"",MAX(0,IF(GL$19=$FJ70,$S70^2*GL$15,GL69*INDEX($T$20:$T$91,$FJ70-GL$19)^2/INDEX($U$20:$U$91,$FJ70-GL$19))))</f>
        <v>0.0020517610015468</v>
      </c>
      <c r="GM70" s="150" t="n">
        <f aca="false">IF(GM$19&gt;$FJ70,"",MAX(0,IF(GM$19=$FJ70,$S70^2*GM$15,GM69*INDEX($T$20:$T$91,$FJ70-GM$19)^2/INDEX($U$20:$U$91,$FJ70-GM$19))))</f>
        <v>0.00220900432176677</v>
      </c>
      <c r="GN70" s="150" t="n">
        <f aca="false">IF(GN$19&gt;$FJ70,"",MAX(0,IF(GN$19=$FJ70,$S70^2*GN$15,GN69*INDEX($T$20:$T$91,$FJ70-GN$19)^2/INDEX($U$20:$U$91,$FJ70-GN$19))))</f>
        <v>0.00222760083888149</v>
      </c>
      <c r="GO70" s="150" t="n">
        <f aca="false">IF(GO$19&gt;$FJ70,"",MAX(0,IF(GO$19=$FJ70,$S70^2*GO$15,GO69*INDEX($T$20:$T$91,$FJ70-GO$19)^2/INDEX($U$20:$U$91,$FJ70-GO$19))))</f>
        <v>0.0022495879005287</v>
      </c>
      <c r="GP70" s="150" t="n">
        <f aca="false">IF(GP$19&gt;$FJ70,"",MAX(0,IF(GP$19=$FJ70,$S70^2*GP$15,GP69*INDEX($T$20:$T$91,$FJ70-GP$19)^2/INDEX($U$20:$U$91,$FJ70-GP$19))))</f>
        <v>0.00205539694639677</v>
      </c>
      <c r="GQ70" s="150" t="n">
        <f aca="false">IF(GQ$19&gt;$FJ70,"",MAX(0,IF(GQ$19=$FJ70,$S70^2*GQ$15,GQ69*INDEX($T$20:$T$91,$FJ70-GQ$19)^2/INDEX($U$20:$U$91,$FJ70-GQ$19))))</f>
        <v>0.0023064883662054</v>
      </c>
      <c r="GR70" s="150" t="n">
        <f aca="false">IF(GR$19&gt;$FJ70,"",MAX(0,IF(GR$19=$FJ70,$S70^2*GR$15,GR69*INDEX($T$20:$T$91,$FJ70-GR$19)^2/INDEX($U$20:$U$91,$FJ70-GR$19))))</f>
        <v>0.00226759161513411</v>
      </c>
      <c r="GS70" s="150" t="n">
        <f aca="false">IF(GS$19&gt;$FJ70,"",MAX(0,IF(GS$19=$FJ70,$S70^2*GS$15,GS69*INDEX($T$20:$T$91,$FJ70-GS$19)^2/INDEX($U$20:$U$91,$FJ70-GS$19))))</f>
        <v>0.00238689789360856</v>
      </c>
      <c r="GT70" s="150" t="n">
        <f aca="false">IF(GT$19&gt;$FJ70,"",MAX(0,IF(GT$19=$FJ70,$S70^2*GT$15,GT69*INDEX($T$20:$T$91,$FJ70-GT$19)^2/INDEX($U$20:$U$91,$FJ70-GT$19))))</f>
        <v>0.00236047496291088</v>
      </c>
      <c r="GU70" s="150" t="n">
        <f aca="false">IF(GU$19&gt;$FJ70,"",MAX(0,IF(GU$19=$FJ70,$S70^2*GU$15,GU69*INDEX($T$20:$T$91,$FJ70-GU$19)^2/INDEX($U$20:$U$91,$FJ70-GU$19))))</f>
        <v>0.00250185522076411</v>
      </c>
      <c r="GV70" s="150" t="n">
        <f aca="false">IF(GV$19&gt;$FJ70,"",MAX(0,IF(GV$19=$FJ70,$S70^2*GV$15,GV69*INDEX($T$20:$T$91,$FJ70-GV$19)^2/INDEX($U$20:$U$91,$FJ70-GV$19))))</f>
        <v>0.00257740363297281</v>
      </c>
      <c r="GW70" s="150" t="n">
        <f aca="false">IF(GW$19&gt;$FJ70,"",MAX(0,IF(GW$19=$FJ70,$S70^2*GW$15,GW69*INDEX($T$20:$T$91,$FJ70-GW$19)^2/INDEX($U$20:$U$91,$FJ70-GW$19))))</f>
        <v>0.00258281014629574</v>
      </c>
      <c r="GX70" s="150" t="n">
        <f aca="false">IF(GX$19&gt;$FJ70,"",MAX(0,IF(GX$19=$FJ70,$S70^2*GX$15,GX69*INDEX($T$20:$T$91,$FJ70-GX$19)^2/INDEX($U$20:$U$91,$FJ70-GX$19))))</f>
        <v>0.00278039412948718</v>
      </c>
      <c r="GY70" s="150" t="n">
        <f aca="false">IF(GY$19&gt;$FJ70,"",MAX(0,IF(GY$19=$FJ70,$S70^2*GY$15,GY69*INDEX($T$20:$T$91,$FJ70-GY$19)^2/INDEX($U$20:$U$91,$FJ70-GY$19))))</f>
        <v>0.00282310672965081</v>
      </c>
      <c r="GZ70" s="150" t="n">
        <f aca="false">IF(GZ$19&gt;$FJ70,"",MAX(0,IF(GZ$19=$FJ70,$S70^2*GZ$15,GZ69*INDEX($T$20:$T$91,$FJ70-GZ$19)^2/INDEX($U$20:$U$91,$FJ70-GZ$19))))</f>
        <v>0.00308651750592971</v>
      </c>
      <c r="HA70" s="150" t="n">
        <f aca="false">IF(HA$19&gt;$FJ70,"",MAX(0,IF(HA$19=$FJ70,$S70^2*HA$15,HA69*INDEX($T$20:$T$91,$FJ70-HA$19)^2/INDEX($U$20:$U$91,$FJ70-HA$19))))</f>
        <v>0.00329811392000006</v>
      </c>
      <c r="HB70" s="150" t="n">
        <f aca="false">IF(HB$19&gt;$FJ70,"",MAX(0,IF(HB$19=$FJ70,$S70^2*HB$15,HB69*INDEX($T$20:$T$91,$FJ70-HB$19)^2/INDEX($U$20:$U$91,$FJ70-HB$19))))</f>
        <v>0.00333562936307663</v>
      </c>
      <c r="HC70" s="150" t="n">
        <f aca="false">IF(HC$19&gt;$FJ70,"",MAX(0,IF(HC$19=$FJ70,$S70^2*HC$15,HC69*INDEX($T$20:$T$91,$FJ70-HC$19)^2/INDEX($U$20:$U$91,$FJ70-HC$19))))</f>
        <v>0.00390871409725678</v>
      </c>
      <c r="HD70" s="150" t="n">
        <f aca="false">IF(HD$19&gt;$FJ70,"",MAX(0,IF(HD$19=$FJ70,$S70^2*HD$15,HD69*INDEX($T$20:$T$91,$FJ70-HD$19)^2/INDEX($U$20:$U$91,$FJ70-HD$19))))</f>
        <v>0.00421531686340295</v>
      </c>
      <c r="HE70" s="150" t="n">
        <f aca="false">IF(HE$19&gt;$FJ70,"",MAX(0,IF(HE$19=$FJ70,$S70^2*HE$15,HE69*INDEX($T$20:$T$91,$FJ70-HE$19)^2/INDEX($U$20:$U$91,$FJ70-HE$19))))</f>
        <v>0.00495011470001131</v>
      </c>
      <c r="HF70" s="150" t="n">
        <f aca="false">IF(HF$19&gt;$FJ70,"",MAX(0,IF(HF$19=$FJ70,$S70^2*HF$15,HF69*INDEX($T$20:$T$91,$FJ70-HF$19)^2/INDEX($U$20:$U$91,$FJ70-HF$19))))</f>
        <v>0.00557296457192572</v>
      </c>
      <c r="HG70" s="150" t="n">
        <f aca="false">IF(HG$19&gt;$FJ70,"",MAX(0,IF(HG$19=$FJ70,$S70^2*HG$15,HG69*INDEX($T$20:$T$91,$FJ70-HG$19)^2/INDEX($U$20:$U$91,$FJ70-HG$19))))</f>
        <v>0.00689031873801907</v>
      </c>
      <c r="HH70" s="150" t="n">
        <f aca="false">IF(HH$19&gt;$FJ70,"",MAX(0,IF(HH$19=$FJ70,$S70^2*HH$15,HH69*INDEX($T$20:$T$91,$FJ70-HH$19)^2/INDEX($U$20:$U$91,$FJ70-HH$19))))</f>
        <v>0.00852847175681159</v>
      </c>
      <c r="HI70" s="150" t="n">
        <f aca="false">IF(HI$19&gt;$FJ70,"",MAX(0,IF(HI$19=$FJ70,$S70^2*HI$15,HI69*INDEX($T$20:$T$91,$FJ70-HI$19)^2/INDEX($U$20:$U$91,$FJ70-HI$19))))</f>
        <v>0.0106447656465506</v>
      </c>
      <c r="HJ70" s="150" t="str">
        <f aca="false">IF(HJ$19&gt;$FJ70,"",MAX(0,IF(HJ$19=$FJ70,$S70^2*HJ$15,HJ69*INDEX($T$20:$T$91,$FJ70-HJ$19)^2/INDEX($U$20:$U$91,$FJ70-HJ$19))))</f>
        <v/>
      </c>
      <c r="HK70" s="150" t="str">
        <f aca="false">IF(HK$19&gt;$FJ70,"",MAX(0,IF(HK$19=$FJ70,$S70^2*HK$15,HK69*INDEX($T$20:$T$91,$FJ70-HK$19)^2/INDEX($U$20:$U$91,$FJ70-HK$19))))</f>
        <v/>
      </c>
      <c r="HL70" s="150" t="str">
        <f aca="false">IF(HL$19&gt;$FJ70,"",MAX(0,IF(HL$19=$FJ70,$S70^2*HL$15,HL69*INDEX($T$20:$T$91,$FJ70-HL$19)^2/INDEX($U$20:$U$91,$FJ70-HL$19))))</f>
        <v/>
      </c>
      <c r="HM70" s="150" t="str">
        <f aca="false">IF(HM$19&gt;$FJ70,"",MAX(0,IF(HM$19=$FJ70,$S70^2*HM$15,HM69*INDEX($T$20:$T$91,$FJ70-HM$19)^2/INDEX($U$20:$U$91,$FJ70-HM$19))))</f>
        <v/>
      </c>
      <c r="HN70" s="150" t="str">
        <f aca="false">IF(HN$19&gt;$FJ70,"",MAX(0,IF(HN$19=$FJ70,$S70^2*HN$15,HN69*INDEX($T$20:$T$91,$FJ70-HN$19)^2/INDEX($U$20:$U$91,$FJ70-HN$19))))</f>
        <v/>
      </c>
      <c r="HO70" s="150" t="str">
        <f aca="false">IF(HO$19&gt;$FJ70,"",MAX(0,IF(HO$19=$FJ70,$S70^2*HO$15,HO69*INDEX($T$20:$T$91,$FJ70-HO$19)^2/INDEX($U$20:$U$91,$FJ70-HO$19))))</f>
        <v/>
      </c>
      <c r="HP70" s="150" t="str">
        <f aca="false">IF(HP$19&gt;$FJ70,"",MAX(0,IF(HP$19=$FJ70,$S70^2*HP$15,HP69*INDEX($T$20:$T$91,$FJ70-HP$19)^2/INDEX($U$20:$U$91,$FJ70-HP$19))))</f>
        <v/>
      </c>
      <c r="HQ70" s="150" t="str">
        <f aca="false">IF(HQ$19&gt;$FJ70,"",MAX(0,IF(HQ$19=$FJ70,$S70^2*HQ$15,HQ69*INDEX($T$20:$T$91,$FJ70-HQ$19)^2/INDEX($U$20:$U$91,$FJ70-HQ$19))))</f>
        <v/>
      </c>
      <c r="HR70" s="150" t="str">
        <f aca="false">IF(HR$19&gt;$FJ70,"",MAX(0,IF(HR$19=$FJ70,$S70^2*HR$15,HR69*INDEX($T$20:$T$91,$FJ70-HR$19)^2/INDEX($U$20:$U$91,$FJ70-HR$19))))</f>
        <v/>
      </c>
      <c r="HS70" s="150" t="str">
        <f aca="false">IF(HS$19&gt;$FJ70,"",MAX(0,IF(HS$19=$FJ70,$S70^2*HS$15,HS69*INDEX($T$20:$T$91,$FJ70-HS$19)^2/INDEX($U$20:$U$91,$FJ70-HS$19))))</f>
        <v/>
      </c>
      <c r="HT70" s="150" t="str">
        <f aca="false">IF(HT$19&gt;$FJ70,"",MAX(0,IF(HT$19=$FJ70,$S70^2*HT$15,HT69*INDEX($T$20:$T$91,$FJ70-HT$19)^2/INDEX($U$20:$U$91,$FJ70-HT$19))))</f>
        <v/>
      </c>
      <c r="HU70" s="150" t="str">
        <f aca="false">IF(HU$19&gt;$FJ70,"",MAX(0,IF(HU$19=$FJ70,$S70^2*HU$15,HU69*INDEX($T$20:$T$91,$FJ70-HU$19)^2/INDEX($U$20:$U$91,$FJ70-HU$19))))</f>
        <v/>
      </c>
      <c r="HV70" s="150" t="str">
        <f aca="false">IF(HV$19&gt;$FJ70,"",MAX(0,IF(HV$19=$FJ70,$S70^2*HV$15,HV69*INDEX($T$20:$T$91,$FJ70-HV$19)^2/INDEX($U$20:$U$91,$FJ70-HV$19))))</f>
        <v/>
      </c>
      <c r="HW70" s="150" t="str">
        <f aca="false">IF(HW$19&gt;$FJ70,"",MAX(0,IF(HW$19=$FJ70,$S70^2*HW$15,HW69*INDEX($T$20:$T$91,$FJ70-HW$19)^2/INDEX($U$20:$U$91,$FJ70-HW$19))))</f>
        <v/>
      </c>
      <c r="HX70" s="150" t="str">
        <f aca="false">IF(HX$19&gt;$FJ70,"",MAX(0,IF(HX$19=$FJ70,$S70^2*HX$15,HX69*INDEX($T$20:$T$91,$FJ70-HX$19)^2/INDEX($U$20:$U$91,$FJ70-HX$19))))</f>
        <v/>
      </c>
      <c r="HY70" s="150" t="str">
        <f aca="false">IF(HY$19&gt;$FJ70,"",MAX(0,IF(HY$19=$FJ70,$S70^2*HY$15,HY69*INDEX($T$20:$T$91,$FJ70-HY$19)^2/INDEX($U$20:$U$91,$FJ70-HY$19))))</f>
        <v/>
      </c>
      <c r="HZ70" s="150" t="str">
        <f aca="false">IF(HZ$19&gt;$FJ70,"",MAX(0,IF(HZ$19=$FJ70,$S70^2*HZ$15,HZ69*INDEX($T$20:$T$91,$FJ70-HZ$19)^2/INDEX($U$20:$U$91,$FJ70-HZ$19))))</f>
        <v/>
      </c>
      <c r="IA70" s="150" t="str">
        <f aca="false">IF(IA$19&gt;$FJ70,"",MAX(0,IF(IA$19=$FJ70,$S70^2*IA$15,IA69*INDEX($T$20:$T$91,$FJ70-IA$19)^2/INDEX($U$20:$U$91,$FJ70-IA$19))))</f>
        <v/>
      </c>
      <c r="IB70" s="150" t="str">
        <f aca="false">IF(IB$19&gt;$FJ70,"",MAX(0,IF(IB$19=$FJ70,$S70^2*IB$15,IB69*INDEX($T$20:$T$91,$FJ70-IB$19)^2/INDEX($U$20:$U$91,$FJ70-IB$19))))</f>
        <v/>
      </c>
      <c r="IC70" s="150" t="str">
        <f aca="false">IF(IC$19&gt;$FJ70,"",MAX(0,IF(IC$19=$FJ70,$S70^2*IC$15,IC69*INDEX($T$20:$T$91,$FJ70-IC$19)^2/INDEX($U$20:$U$91,$FJ70-IC$19))))</f>
        <v/>
      </c>
      <c r="ID70" s="572" t="str">
        <f aca="false">IF(ID$19&gt;$FJ70,"",MAX(0,IF(ID$19=$FJ70,$S70^2*ID$15,ID69*INDEX($T$20:$T$91,$FJ70-ID$19)^2/INDEX($U$20:$U$91,$FJ70-ID$19))))</f>
        <v/>
      </c>
      <c r="IE70" s="129"/>
    </row>
    <row r="71" customFormat="false" ht="12.75" hidden="false" customHeight="false" outlineLevel="0" collapsed="false">
      <c r="A71" s="3"/>
      <c r="F71" s="3"/>
      <c r="G71" s="3"/>
      <c r="H71" s="219" t="n">
        <f aca="false">VLOOKUP(I71,$EJ$20:$EL$54,3)</f>
        <v>0</v>
      </c>
      <c r="I71" s="511" t="n">
        <f aca="false">EOMONTH(I70,0)+1</f>
        <v>38322</v>
      </c>
      <c r="J71" s="512"/>
      <c r="K71" s="513" t="s">
        <v>250</v>
      </c>
      <c r="L71" s="514" t="e">
        <f aca="false">IF(ISNUMBER(K71),J71+K71/100,IF(K71="extra",L70+VLOOKUP(BF71,PriceSpreadTable,2)/12,IF(K71="inter",interpolateprices($K$19:$L$200,ROW(K71)-ROW(FirstPricingMonth)+1),interpolatechanges($J$19:$K$200,ROW(K71)-ROW(FirstPricingMonth)+1))))</f>
        <v>#VALUE!</v>
      </c>
      <c r="M71" s="515"/>
      <c r="N71" s="516" t="n">
        <v>0</v>
      </c>
      <c r="O71" s="515" t="n">
        <f aca="false">M71+N71</f>
        <v>0</v>
      </c>
      <c r="P71" s="512"/>
      <c r="Q71" s="513" t="s">
        <v>280</v>
      </c>
      <c r="R71" s="512" t="e">
        <f aca="false">IF(ISNUMBER(Q71),P71+Q71/100,IF(Q71="extra",(Z69*AL69-R70*AM69)/AN69,IF(Q71="inter",interpolateprices($Q$19:$R$260,ROW(Q71)-ROW(FirstPricingMonth)+1),interpolatechanges($P$19:$Q$260,ROW(Q71)-ROW(FirstPricingMonth)+1))))</f>
        <v>#VALUE!</v>
      </c>
      <c r="S71" s="597" t="n">
        <f aca="false">S$19+(S70-S$19)*S$18</f>
        <v>0.360000022652866</v>
      </c>
      <c r="T71" s="575" t="n">
        <f aca="false">SQRT((1-(1-T70^2/U70)*T$18)*U71)</f>
        <v>0.999961910636082</v>
      </c>
      <c r="U71" s="576" t="n">
        <f aca="false">1-(1-U70)*U$18</f>
        <v>0.999999993628881</v>
      </c>
      <c r="V71" s="521" t="n">
        <v>0</v>
      </c>
      <c r="W71" s="577" t="n">
        <f aca="false">(J72*AJ71+J73*AK71)/AI71</f>
        <v>0</v>
      </c>
      <c r="X71" s="578" t="e">
        <f aca="false">(L72*AJ71+L73*AK71)/AI71</f>
        <v>#VALUE!</v>
      </c>
      <c r="Y71" s="579" t="n">
        <f aca="false">IF(Q73="extra",W71-AA71,(P72*AM71+P73*AN71)/AL71)</f>
        <v>-1.1349</v>
      </c>
      <c r="Z71" s="579" t="e">
        <f aca="false">IF(Q73="extra",X71-AB71,(R72*AM71+R73*AN71)/AL71)</f>
        <v>#VALUE!</v>
      </c>
      <c r="AA71" s="523" t="n">
        <f aca="false">IF(Q73="extra",INDEX(BrentSeasonalityTable,INT((BG71-1)/3)+1)*VLOOKUP(MAX(BF71,$AB$4),PriceSpreadTable,3),W71-Y71)</f>
        <v>1.1349</v>
      </c>
      <c r="AB71" s="524" t="n">
        <f aca="false">IF(Q73="extra",INDEX(BrentSeasonalityTable,INT((BG71-1)/3)+1)*VLOOKUP(MAX(BF71,$AB$4),PriceSpreadTable,3),X71-Z71)</f>
        <v>1.1349</v>
      </c>
      <c r="AC71" s="646" t="n">
        <v>38311</v>
      </c>
      <c r="AD71" s="646" t="n">
        <v>38307</v>
      </c>
      <c r="AE71" s="646" t="n">
        <v>38306</v>
      </c>
      <c r="AF71" s="646" t="n">
        <v>38302</v>
      </c>
      <c r="AG71" s="438" t="s">
        <v>217</v>
      </c>
      <c r="AH71" s="439" t="s">
        <v>278</v>
      </c>
      <c r="AI71" s="528" t="n">
        <v>23</v>
      </c>
      <c r="AJ71" s="529" t="n">
        <v>14</v>
      </c>
      <c r="AK71" s="529" t="n">
        <v>9</v>
      </c>
      <c r="AL71" s="530" t="n">
        <v>23</v>
      </c>
      <c r="AM71" s="529" t="n">
        <v>10</v>
      </c>
      <c r="AN71" s="531" t="n">
        <v>13</v>
      </c>
      <c r="AO71" s="532"/>
      <c r="AP71" s="465" t="n">
        <f aca="false">(1+AO71/2)^(-2*BL71)</f>
        <v>1</v>
      </c>
      <c r="AQ71" s="532"/>
      <c r="AR71" s="465" t="n">
        <f aca="false">(1+AQ71/2)^(-2*BH71/365.25)</f>
        <v>1</v>
      </c>
      <c r="AS71" s="580" t="n">
        <f aca="false">(O72*AJ71+O73*AK71)/AI71</f>
        <v>0</v>
      </c>
      <c r="AT71" s="468" t="n">
        <f aca="false">O71*VLOOKUP(BF71,BrentVolTable,2)+VLOOKUP(BF71,BrentVolTable,3)</f>
        <v>0</v>
      </c>
      <c r="AU71" s="468" t="n">
        <f aca="false">(AT72*AM71+AT73*AN71)/AL71</f>
        <v>0</v>
      </c>
      <c r="AV71" s="595" t="n">
        <f aca="false">SQRT(MAX(0.000000000001,(O71^2*BH71-S71^2*(BH71-BH70))/BH70))</f>
        <v>0.0229182284695845</v>
      </c>
      <c r="AW71" s="451" t="n">
        <f aca="false">IF($I71-DateToday+15&gt;=$T$8,"",IF($I71-DateToday+15&lt;$T$5,1,MATCH($I71-DateToday+15,$T$5:$T$8)))</f>
        <v>1</v>
      </c>
      <c r="AX71" s="468" t="n">
        <f aca="false">IF($AW71="",AX70^2/AX69,INDEX(U$5:U$8,$AW71)^((INDEX($T$5:$T$8,$AW71+1)-($I71-DateToday+15))/(INDEX($T$5:$T$8,$AW71+1)-INDEX($T$5:$T$8,$AW71)))/INDEX(U$5:U$8,$AW71+1)^((INDEX($T$5:$T$8,$AW71)-($I71-DateToday+15))/(INDEX($T$5:$T$8,$AW71+1)-INDEX($T$5:$T$8,$AW71))))</f>
        <v>4.21896056691903</v>
      </c>
      <c r="AY71" s="468" t="n">
        <f aca="false">IF($AW71="",AY70^2/AY69,INDEX(V$5:V$8,$AW71)^((INDEX($T$5:$T$8,$AW71+1)-($I71-DateToday+15))/(INDEX($T$5:$T$8,$AW71+1)-INDEX($T$5:$T$8,$AW71)))/INDEX(V$5:V$8,$AW71+1)^((INDEX($T$5:$T$8,$AW71)-($I71-DateToday+15))/(INDEX($T$5:$T$8,$AW71+1)-INDEX($T$5:$T$8,$AW71))))</f>
        <v>608.823807597494</v>
      </c>
      <c r="AZ71" s="468" t="n">
        <f aca="false">IF($AW71="",AZ70^2/AZ69,INDEX(W$5:W$8,$AW71)^((INDEX($T$5:$T$8,$AW71+1)-($I71-DateToday+15))/(INDEX($T$5:$T$8,$AW71+1)-INDEX($T$5:$T$8,$AW71)))/INDEX(W$5:W$8,$AW71+1)^((INDEX($T$5:$T$8,$AW71)-($I71-DateToday+15))/(INDEX($T$5:$T$8,$AW71+1)-INDEX($T$5:$T$8,$AW71))))</f>
        <v>10554636.0985336</v>
      </c>
      <c r="BA71" s="468" t="n">
        <f aca="false">IF($AW71="",BA70^2/BA69,INDEX(X$5:X$8,$AW71)^((INDEX($T$5:$T$8,$AW71+1)-($I71-DateToday+15))/(INDEX($T$5:$T$8,$AW71+1)-INDEX($T$5:$T$8,$AW71)))/INDEX(X$5:X$8,$AW71+1)^((INDEX($T$5:$T$8,$AW71)-($I71-DateToday+15))/(INDEX($T$5:$T$8,$AW71+1)-INDEX($T$5:$T$8,$AW71))))</f>
        <v>463849932.269719</v>
      </c>
      <c r="BB71" s="468" t="n">
        <f aca="false">IF($AW71="",BB70^2/BB69,INDEX(Y$5:Y$8,$AW71)^((INDEX($T$5:$T$8,$AW71+1)-($I71-DateToday+15))/(INDEX($T$5:$T$8,$AW71+1)-INDEX($T$5:$T$8,$AW71)))/INDEX(Y$5:Y$8,$AW71+1)^((INDEX($T$5:$T$8,$AW71)-($I71-DateToday+15))/(INDEX($T$5:$T$8,$AW71+1)-INDEX($T$5:$T$8,$AW71))))</f>
        <v>7740707624.42287</v>
      </c>
      <c r="BC71" s="468" t="n">
        <f aca="false">IF($AW71="",BC70^2/BC69,INDEX(Z$5:Z$8,$AW71)^((INDEX($T$5:$T$8,$AW71+1)-($I71-DateToday+15))/(INDEX($T$5:$T$8,$AW71+1)-INDEX($T$5:$T$8,$AW71)))/INDEX(Z$5:Z$8,$AW71+1)^((INDEX($T$5:$T$8,$AW71)-($I71-DateToday+15))/(INDEX($T$5:$T$8,$AW71+1)-INDEX($T$5:$T$8,$AW71))))</f>
        <v>41624972186.5484</v>
      </c>
      <c r="BD71" s="535" t="n">
        <f aca="false">IF(OR(DateStart&gt;=I72,DateEnd&lt;I71),0,IF(VolumeOverrideFlag,V71,Volume))</f>
        <v>0</v>
      </c>
      <c r="BE71" s="536" t="n">
        <f aca="false">IF(OR(DateStart2&gt;=I72,DateEnd2&lt;I71),0,IF(VolumeOverrideFlag,V71,VolumeSwaption))</f>
        <v>0</v>
      </c>
      <c r="BF71" s="537" t="n">
        <f aca="false">YEAR(I71)</f>
        <v>2004</v>
      </c>
      <c r="BG71" s="538" t="n">
        <f aca="false">MONTH(I71)</f>
        <v>12</v>
      </c>
      <c r="BH71" s="539" t="n">
        <f aca="false">AD71-DateToday+1</f>
        <v>-7618</v>
      </c>
      <c r="BI71" s="540" t="n">
        <f aca="false">(I71-DateToday+1)/365.25</f>
        <v>-20.8158795345654</v>
      </c>
      <c r="BJ71" s="541" t="n">
        <f aca="false">BI71+(BL71-BI71)*CHOOSE(Underlying,AJ71/AI71,AM71/AL71)</f>
        <v>-20.7658839984525</v>
      </c>
      <c r="BK71" s="541" t="n">
        <f aca="false">BJ71+1/365.25</f>
        <v>-20.7631461476654</v>
      </c>
      <c r="BL71" s="541" t="n">
        <f aca="false">(I72-DateToday)/365.25</f>
        <v>-20.7337440109514</v>
      </c>
      <c r="BM71" s="542" t="e">
        <f aca="false">MAX(BI71-(BJ71-BI71)*(S72^2/O72^2-1),0)</f>
        <v>#DIV/0!</v>
      </c>
      <c r="BN71" s="541" t="e">
        <f aca="false">MAX(BL71+(BL71-BK71)*(S73^2/O73^2-1),0)</f>
        <v>#DIV/0!</v>
      </c>
      <c r="BO71" s="530" t="n">
        <f aca="false">CHOOSE(Underlying,AI71,AL71)</f>
        <v>23</v>
      </c>
      <c r="BP71" s="529" t="n">
        <f aca="false">CHOOSE(Underlying,AJ71,AM71)</f>
        <v>14</v>
      </c>
      <c r="BQ71" s="529" t="n">
        <f aca="false">CHOOSE(Underlying,AK71,AN71)</f>
        <v>9</v>
      </c>
      <c r="BR71" s="463" t="str">
        <f aca="false">IF(BD71,IF(Underlying=1,X71,Z71)+UnderlyingPriceAsian-SwapPriceCurve,"")</f>
        <v/>
      </c>
      <c r="BS71" s="463" t="str">
        <f aca="false">IF(BD71,Strike1/BR71-1,"")</f>
        <v/>
      </c>
      <c r="BT71" s="464" t="str">
        <f aca="false">IF(BD71,Strike2/BR71-1,"")</f>
        <v/>
      </c>
      <c r="BU71" s="465" t="str">
        <f aca="false">IF(BD71,IF(Underlying=1,L72,R72)+UnderlyingPriceAsian-SwapPriceCurve,"")</f>
        <v/>
      </c>
      <c r="BV71" s="465" t="str">
        <f aca="false">IF(BD71,IF(Underlying=1,L73,R73)+UnderlyingPriceAsian-SwapPriceCurve,"")</f>
        <v/>
      </c>
      <c r="BW71" s="466" t="str">
        <f aca="false">IF(BD71,IF(Underlying=1,O72,AT72),"")</f>
        <v/>
      </c>
      <c r="BX71" s="467" t="str">
        <f aca="false">IF(BD71,IF(Underlying=1,O73,AT73),"")</f>
        <v/>
      </c>
      <c r="BY71" s="466" t="str">
        <f aca="false">IF(BD71,IF(BS71&gt;0,IF(BS71&gt;0.2,BC71-BB71,IF(BS71&gt;0.1,BB71-BA71,BA71)),IF(BS71&lt;-0.2,AX71-AY71,IF(BS71&lt;-0.1,AY71-AZ71,AZ71))),"")</f>
        <v/>
      </c>
      <c r="BZ71" s="467" t="str">
        <f aca="false">IF(BD71,IF(BT71&gt;0,IF(BT71&gt;0.2,BC71-BB71,IF(BT71&gt;0.1,BB71-BA71,BA71)),IF(BT71&lt;-0.2,AX71-AY71,IF(BT71&lt;-0.1,AY71-AZ71,AZ71))),"")</f>
        <v/>
      </c>
      <c r="CA71" s="468" t="str">
        <f aca="false">IF($BD71,$BW71+IF(VolSkewFlag=1,IF(BS71&gt;0,$BA71*MIN(BS71/10%,1)+($BB71-$BA71)*MAX(0,MIN(BS71/10%-1,1))+($BC71-$BB71)*MAX(0,BS71/10%-2),$AZ71*MIN(-BS71/10%,1)+($AY71-$AZ71)*MAX(0,MIN(-BS71/10%-1,1))+($AX71-$AY71)*MAX(0,-BS71/10%-2)),0),"")</f>
        <v/>
      </c>
      <c r="CB71" s="468" t="str">
        <f aca="false">IF($BD71,$BX71+IF(VolSkewFlag=1,IF(BS71&gt;0,$BA71*MIN(BS71/10%,1)+($BB71-$BA71)*MAX(0,MIN(BS71/10%-1,1))+($BC71-$BB71)*MAX(0,BS71/10%-2),$AZ71*MIN(-BS71/10%,1)+($AY71-$AZ71)*MAX(0,MIN(-BS71/10%-1,1))+($AX71-$AY71)*MAX(0,-BS71/10%-2)),0),"")</f>
        <v/>
      </c>
      <c r="CC71" s="468" t="str">
        <f aca="false">IF($BD71,$BW71+IF(VolSkewFlag=1,IF(BT71&gt;0,$BA71*MIN(BT71/10%,1)+($BB71-$BA71)*MAX(0,MIN(BT71/10%-1,1))+($BC71-$BB71)*MAX(0,BT71/10%-2),$AZ71*MIN(-BT71/10%,1)+($AY71-$AZ71)*MAX(0,MIN(-BT71/10%-1,1))+($AX71-$AY71)*MAX(0,-BT71/10%-2)),0),"")</f>
        <v/>
      </c>
      <c r="CD71" s="468" t="str">
        <f aca="false">IF($BD71,$BX71+IF(VolSkewFlag=1,IF(BT71&gt;0,$BA71*MIN(BT71/10%,1)+($BB71-$BA71)*MAX(0,MIN(BT71/10%-1,1))+($BC71-$BB71)*MAX(0,BT71/10%-2),$AZ71*MIN(-BT71/10%,1)+($AY71-$AZ71)*MAX(0,MIN(-BT71/10%-1,1))+($AX71-$AY71)*MAX(0,-BT71/10%-2)),0),"")</f>
        <v/>
      </c>
      <c r="CE71" s="469" t="n">
        <v>1</v>
      </c>
      <c r="CF71" s="470" t="n">
        <f aca="false">IF(BD71,xCrudeAPO(BU71,BV71,CA71,CB71,S72,S73,BI71,BL71,BP71,BQ71,0,Strike1,AO71,CE71,0,BL71,IF(OptControl=4,0,1),0,1),0)</f>
        <v>0</v>
      </c>
      <c r="CG71" s="470" t="n">
        <f aca="false">IF(BD71,xCrudeAPO(BU71,BV71,CA71,CB71,S72,S73,BI71,BL71,BP71,BQ71,0,Strike1,AO71,CE71,0,BL71,IF(OptControl=4,0,1),1,1)+xCrudeAPO(BU71,BV71,CA71,CB71,S72,S73,BI71,BL71,BP71,BQ71,0,Strike1,AO71,CE71,0,BL71,IF(OptControl=4,0,1),1,2)+IF(OR(VolSkewFlag=2,ABS(BS71)&lt;0.0001),0,IF(BS71&gt;0,-1,1)*CH71*Strike1/BR71^2*BY71/10%),0)</f>
        <v>0</v>
      </c>
      <c r="CH71" s="470" t="n">
        <f aca="false">IF(BD71,(xCrudeAPO(BU71,BV71,CA71,CB71,S72,S73,BI71,BL71,BP71,BQ71,0,Strike1,AO71,CE71,0,BL71,IF(OptControl=4,0,1),3,1)+xCrudeAPO(BU71,BV71,CA71,CB71,S72,S73,BI71,BL71,BP71,BQ71,0,Strike1,AO71,CE71,0,BL71,IF(OptControl=4,0,1),3,2))/100,0)</f>
        <v>0</v>
      </c>
      <c r="CI71" s="470" t="n">
        <f aca="false">IF(BD71,xCrudeAPO(BU71,BV71,CA71,CB71,S72,S73,BI71-DaysForThetaCalculation/365.25,BL71-DaysForThetaCalculation/365.25,BP71,BQ71,0,Strike1,AO71,CE71,0,BL71,IF(OptControl=4,0,1),0,1)-xCrudeAPO(BU71,BV71,CA71,CB71,S72,S73,BI71,BL71,BP71,BQ71,0,Strike1,AO71,CE71,0,BL71,IF(OptControl=4,0,1),0,1),0)</f>
        <v>0</v>
      </c>
      <c r="CJ71" s="471" t="n">
        <f aca="false">IF(BD71,xCrudeAPO(BU71,BV71,CC71,CD71,S72,S73,BI71,BL71,BP71,BQ71,0,Strike2,AO71,CE71,0,BL71,IF(OptControl=3,1,0),0,1),0)</f>
        <v>0</v>
      </c>
      <c r="CK71" s="470" t="n">
        <f aca="false">IF(BD71,xCrudeAPO(BU71,BV71,CC71,CD71,S72,S73,BI71,BL71,BP71,BQ71,0,Strike2,AO71,CE71,0,BL71,IF(OptControl=3,1,0),1,1)+xCrudeAPO(BU71,BV71,CC71,CD71,S72,S73,BI71,BL71,BP71,BQ71,0,Strike2,AO71,CE71,0,BL71,IF(OptControl=3,1,0),1,2)+IF(OR(VolSkewFlag=2,ABS(BT71)&lt;0.0001),0,IF(BT71&gt;0,-1,1)*CL71*Strike2/BR71^2*BZ71/10%),0)</f>
        <v>0</v>
      </c>
      <c r="CL71" s="470" t="n">
        <f aca="false">IF(BD71,(xCrudeAPO(BU71,BV71,CC71,CD71,S72,S73,BI71,BL71,BP71,BQ71,0,Strike2,AO71,CE71,0,BL71,IF(OptControl=3,1,0),3,1)+xCrudeAPO(BU71,BV71,CC71,CD71,S72,S73,BI71,BL71,BP71,BQ71,0,Strike2,AO71,CE71,0,BL71,IF(OptControl=3,1,0),3,2))/100,0)</f>
        <v>0</v>
      </c>
      <c r="CM71" s="472" t="n">
        <f aca="false">IF(BD71,xCrudeAPO(BU71,BV71,CC71,CD71,S72,S73,BI71-DaysForThetaCalculation/365.25,BL71-DaysForThetaCalculation/365.25,BP71,BQ71,0,Strike2,AO71,CE71,0,BL71,IF(OptControl=3,1,0),0,1)-xCrudeAPO(BU71,BV71,CC71,CD71,S72,S73,BI71,BL71,BP71,BQ71,0,Strike2,AO71,CE71,0,BL71,IF(OptControl=3,1,0),0,1),0)</f>
        <v>0</v>
      </c>
      <c r="CN71" s="3"/>
      <c r="CO71" s="543" t="str">
        <f aca="false">IF(BD71,CHOOSE(Underlying,AD71,AF71)-DateToday+1,"")</f>
        <v/>
      </c>
      <c r="CP71" s="582" t="str">
        <f aca="false">IF(BD71,CHOOSE(Underlying,L71,R71),"")</f>
        <v/>
      </c>
      <c r="CQ71" s="544" t="str">
        <f aca="false">IF(BD71,Strike1/CP71-1,"")</f>
        <v/>
      </c>
      <c r="CR71" s="544" t="str">
        <f aca="false">IF(BD71,Strike2/CP71-1,"")</f>
        <v/>
      </c>
      <c r="CS71" s="544" t="str">
        <f aca="false">IF(BD71,IF(CQ71&gt;0,IF(CQ71&gt;0.2,BC70-BB70,IF(CQ71&gt;0.1,BB70-BA70,BA70)),IF(CQ71&lt;-0.2,AX70-AY70,IF(CQ71&lt;-0.1,AY70-AZ70,AZ70))),"")</f>
        <v/>
      </c>
      <c r="CT71" s="544" t="str">
        <f aca="false">IF(BD71,IF(CR71&gt;0,IF(CR71&gt;0.2,BC70-BB70,IF(CR71&gt;0.1,BB70-BA70,BA70)),IF(CR71&lt;-0.2,AX70-AY70,IF(CR71&lt;-0.1,AY70-AZ70,AZ70))),"")</f>
        <v/>
      </c>
      <c r="CU71" s="545" t="str">
        <f aca="false">IF(BD71,CHOOSE(Underlying,O71,AT71),"")</f>
        <v/>
      </c>
      <c r="CV71" s="545" t="str">
        <f aca="false">IF(BD71,CU71+IF(VolSkewFlag=1,IF(CQ71&gt;0,BA70*MIN(CQ71/10%,1)+(BB70-BA70)*MAX(0,MIN(CQ71/10%-1,1))+(BC70-BB70)*MAX(0,CQ71/10%-2),AZ70*MIN(-CQ71/10%,1)+(AY70-AZ70)*MAX(0,MIN(-CQ71/10%-1,1))+(AX70-AY70)*MAX(0,-CQ71/10%-2)),0),"")</f>
        <v/>
      </c>
      <c r="CW71" s="545" t="str">
        <f aca="false">IF(BD71,CU71+IF(VolSkewFlag=1,IF(CR71&gt;0,BA70*MIN(CR71/10%,1)+(BB70-BA70)*MAX(0,MIN(CR71/10%-1,1))+(BC70-BB70)*MAX(0,CR71/10%-2),AZ70*MIN(-CR71/10%,1)+(AY70-AZ70)*MAX(0,MIN(-CR71/10%-1,1))+(AX70-AY70)*MAX(0,-CR71/10%-2)),0),"")</f>
        <v/>
      </c>
      <c r="CX71" s="470" t="n">
        <f aca="false">IF(BD71,EURO(CP71,Strike1,AO71,AO71,CV71,CO71,IF(OptControl=4,0,1),0),0)</f>
        <v>0</v>
      </c>
      <c r="CY71" s="470" t="n">
        <f aca="false">IF(BD71,EURO(CP71,Strike1,AO71,AO71,CV71,CO71,IF(OptControl=4,0,1),1)+IF(OR(VolSkewFlag=2,ABS(CQ71)&lt;0.0001),0,IF(CQ71&gt;0,-1,1)*CZ71*100*Strike1/CP71^2*CS71/10%),0)</f>
        <v>0</v>
      </c>
      <c r="CZ71" s="470" t="n">
        <f aca="false">IF(BD71,EURO(CP71,Strike1,AO71,AO71,CV71,CO71,IF(OptControl=4,0,1),3)/100,0)</f>
        <v>0</v>
      </c>
      <c r="DA71" s="470" t="n">
        <f aca="false">IF(BD71,EURO(CP71,Strike1,AO71,AO71,CV71,CO71,IF(OptControl=4,0,1),0)-EURO(CP71,Strike1,AO71,AO71,CV71,CO71-1,IF(OptControl=4,0,1),0),0)</f>
        <v>0</v>
      </c>
      <c r="DB71" s="470" t="n">
        <f aca="false">IF(BD71,EURO(CP71,Strike2,AO71,AO71,CW71,CO71,IF(OptControl=3,1,0),0),0)</f>
        <v>0</v>
      </c>
      <c r="DC71" s="470" t="n">
        <f aca="false">IF(BD71,EURO(CP71,Strike2,AO71,AO71,CW71,CO71,IF(OptControl=3,1,0),1)+IF(OR(VolSkewFlag=2,ABS(CR71)&lt;0.0001),0,IF(CR71&gt;0,-1,1)*DD71*100*Strike2/CP71^2*CT71/10%),0)</f>
        <v>0</v>
      </c>
      <c r="DD71" s="470" t="n">
        <f aca="false">IF(BD71,EURO(CP71,Strike2,AO71,AO71,CW71,CO71,IF(OptControl=3,1,0),3)/100,0)</f>
        <v>0</v>
      </c>
      <c r="DE71" s="472" t="n">
        <f aca="false">IF(BD71,EURO(CP71,Strike2,AO71,AO71,CW71,CO71,IF(OptControl=3,1,0),0)-EURO(CP71,Strike2,AO71,AO71,CW71,CO71-1,IF(OptControl=3,1,0),0),0)</f>
        <v>0</v>
      </c>
      <c r="DG71" s="481" t="n">
        <f aca="false">EOMONTH(DG70,0)+1</f>
        <v>47239</v>
      </c>
      <c r="DH71" s="478" t="n">
        <v>18.395</v>
      </c>
      <c r="DI71" s="479" t="n">
        <v>18.3883333333333</v>
      </c>
      <c r="DJ71" s="480" t="n">
        <f aca="false">DG71</f>
        <v>47239</v>
      </c>
      <c r="DK71" s="478" t="n">
        <v>17.2461744868095</v>
      </c>
      <c r="DL71" s="479" t="n">
        <v>17.1493333333333</v>
      </c>
      <c r="DM71" s="481" t="n">
        <f aca="false">DG71</f>
        <v>47239</v>
      </c>
      <c r="DN71" s="482" t="n">
        <f aca="false">DK71+BrentPhyBrentSpread</f>
        <v>17.2961744868095</v>
      </c>
      <c r="DO71" s="481" t="n">
        <f aca="false">DG71</f>
        <v>47239</v>
      </c>
      <c r="DP71" s="483" t="n">
        <f aca="false">DL71+DQ71</f>
        <v>17.1493333333333</v>
      </c>
      <c r="DQ71" s="546" t="n">
        <v>0</v>
      </c>
      <c r="DR71" s="480" t="n">
        <f aca="false">DG71</f>
        <v>47239</v>
      </c>
      <c r="DS71" s="485" t="n">
        <v>0.201899699793964</v>
      </c>
      <c r="DT71" s="486" t="n">
        <v>0.199843092215924</v>
      </c>
      <c r="DU71" s="480" t="n">
        <f aca="false">DG71</f>
        <v>47239</v>
      </c>
      <c r="DV71" s="485" t="n">
        <v>0.201899699793964</v>
      </c>
      <c r="DW71" s="486" t="n">
        <v>0.199843092215924</v>
      </c>
      <c r="DX71" s="481" t="n">
        <f aca="false">DG71</f>
        <v>47239</v>
      </c>
      <c r="DY71" s="486" t="n">
        <v>0.35</v>
      </c>
      <c r="DZ71" s="481" t="n">
        <f aca="false">DR71</f>
        <v>47239</v>
      </c>
      <c r="EA71" s="486" t="n">
        <f aca="false">DT71</f>
        <v>0.199843092215924</v>
      </c>
      <c r="EB71" s="195"/>
      <c r="EC71" s="547" t="str">
        <f aca="false">IF(BD71,IF(Underlying=1,AS71,AU71),"")</f>
        <v/>
      </c>
      <c r="ED71" s="548" t="str">
        <f aca="false">IF($BD71,$EC71+IF(VolSkewFlag=1,IF(BS71&gt;0,$BA71*MIN(BS71/10%,1)+($BB71-$BA71)*MAX(0,MIN(BS71/10%-1,1))+($BC71-$BB71)*MAX(0,BS71/10%-2),$AZ71*MIN(-BS71/10%,1)+($AY71-$AZ71)*MAX(0,MIN(-BS71/10%-1,1))+($AX71-$AY71)*MAX(0,-BS71/10%-2)),0),"")</f>
        <v/>
      </c>
      <c r="EE71" s="549" t="str">
        <f aca="false">IF($BD71,$EC71+IF(VolSkewFlag=1,IF(BT71&gt;0,$BA71*MIN(BT71/10%,1)+($BB71-$BA71)*MAX(0,MIN(BT71/10%-1,1))+($BC71-$BB71)*MAX(0,BT71/10%-2),$AZ71*MIN(-BT71/10%,1)+($AY71-$AZ71)*MAX(0,MIN(-BT71/10%-1,1))+($AX71-$AY71)*MAX(0,-BT71/10%-2)),0),"")</f>
        <v/>
      </c>
      <c r="EF71" s="550" t="n">
        <f aca="false">IF(BD71,xASN(BR71,Strike1,AO71,ED71,0,BO71,0,BI71,BL71,IF(OptControl=4,0,1),0),0)</f>
        <v>0</v>
      </c>
      <c r="EG71" s="551" t="n">
        <f aca="false">IF(BD71,xASN(BR71,Strike2,AO71,EE71,0,BO71,0,BI71,BL71,IF(OptControl=3,1,0),0),0)</f>
        <v>0</v>
      </c>
      <c r="EL71" s="1"/>
      <c r="EM71" s="195"/>
      <c r="EN71" s="556" t="n">
        <v>41998</v>
      </c>
      <c r="EO71" s="557" t="n">
        <v>46016</v>
      </c>
      <c r="EP71" s="195"/>
      <c r="EQ71" s="407" t="s">
        <v>297</v>
      </c>
      <c r="ES71" s="587" t="n">
        <v>52</v>
      </c>
      <c r="ET71" s="559" t="n">
        <f aca="false">BH71/365.25</f>
        <v>-20.8569472963723</v>
      </c>
      <c r="EU71" s="560" t="n">
        <f aca="false">O71^2*ET71</f>
        <v>-0</v>
      </c>
      <c r="EV71" s="588" t="e">
        <f aca="false">SQRT(SUM(FK71:ID71)/ET71)</f>
        <v>#VALUE!</v>
      </c>
      <c r="EW71" s="589" t="str">
        <f aca="false">IF(OR(DateStart2&gt;I70,DateEnd2&lt;I69),"",IF(DateStart2&lt;I70,AK69/AI69*AP69*BE69*SwaptionNumOfMonths/$D$33,0)+IF(DateEnd2&gt;I69,AJ70/AI70*AP70*BE70*SwaptionNumOfMonths/$D$33,0))</f>
        <v/>
      </c>
      <c r="EX71" s="590" t="str">
        <f aca="false">IF(EW71="","",SQRT(SUM(FK376:ID376)/SwaptionYearsToExp))</f>
        <v/>
      </c>
      <c r="EY71" s="129" t="n">
        <v>0</v>
      </c>
      <c r="EZ71" s="591" t="str">
        <f aca="false">IF(OR(EW71="",EW72=""),"",SQRT(SUM(INDEX(FK71:ID71,SwaptionFirstMonthPosition+1):INDEX(FK71:ID71,FJ71))/SUM(INDEX($FK$15:$ID$15,SwaptionFirstMonthPosition+1):INDEX($FK$15:$ID$15,FJ71))))</f>
        <v/>
      </c>
      <c r="FA71" s="592" t="str">
        <f aca="false">IF(OR(EW71="",EW70=""),"",SQRT(SUM(INDEX(FK71:ID71,SwaptionFirstMonthPosition+1):INDEX(FK71:ID71,FJ71-1))/SUM(INDEX($FK$15:$ID$15,SwaptionFirstMonthPosition+1):INDEX($FK$15:$ID$15,FJ71-1))))</f>
        <v/>
      </c>
      <c r="FB71" s="593" t="str">
        <f aca="false">IF(BE71,2/3*EZ72+1/3*FA73,"")</f>
        <v/>
      </c>
      <c r="FC71" s="596" t="str">
        <f aca="false">IF(BE71,(I72+I71-1)/2-DateToday,"")</f>
        <v/>
      </c>
      <c r="FD71" s="483" t="str">
        <f aca="false">IF(BE71,CHOOSE(Underlying,X71,Z71)+SwaptionUnderlyingPrice-$D$26,"")</f>
        <v/>
      </c>
      <c r="FE71" s="483" t="str">
        <f aca="false">IF(BE71,CollartionFloor/FD71-1,"")</f>
        <v/>
      </c>
      <c r="FF71" s="483" t="str">
        <f aca="false">IF(BE71,CollartionCap/FD71-1,"")</f>
        <v/>
      </c>
      <c r="FG71" s="485" t="str">
        <f aca="false">IF(BE71,IF(VolSkewFlag=1,IF(FE71&gt;0,$BA71*MIN(FE71/10%,1)+($BB71-$BA71)*MAX(0,MIN(FE71/10%-1,1))+($BC71-$BB71)*MAX(0,FE71/10%-2),$AZ71*MIN(-FE71/10%,1)+($AY71-$AZ71)*MAX(0,MIN(-FE71/10%-1,1))+($AX71-$AY71)*MAX(0,-FE71/10%-2)),0),"")</f>
        <v/>
      </c>
      <c r="FH71" s="486" t="str">
        <f aca="false">IF(BE71,IF(VolSkewFlag=1,IF(FF71&gt;0,$BA71*MIN(FF71/10%,1)+($BB71-$BA71)*MAX(0,MIN(FF71/10%-1,1))+($BC71-$BB71)*MAX(0,FF71/10%-2),$AZ71*MIN(-FF71/10%,1)+($AY71-$AZ71)*MAX(0,MIN(-FF71/10%-1,1))+($AX71-$AY71)*MAX(0,-FF71/10%-2)),0),"")</f>
        <v/>
      </c>
      <c r="FI71" s="129"/>
      <c r="FJ71" s="571" t="n">
        <v>52</v>
      </c>
      <c r="FK71" s="150" t="n">
        <f aca="false">IF(FK$19&gt;$FJ71,"",MAX(0,IF(FK$19=$FJ71,$S71^2*FK$15,FK70*INDEX($T$20:$T$91,$FJ71-FK$19)^2/INDEX($U$20:$U$91,$FJ71-FK$19))))</f>
        <v>0</v>
      </c>
      <c r="FL71" s="150" t="n">
        <f aca="false">IF(FL$19&gt;$FJ71,"",MAX(0,IF(FL$19=$FJ71,$S71^2*FL$15,FL70*INDEX($T$20:$T$91,$FJ71-FL$19)^2/INDEX($U$20:$U$91,$FJ71-FL$19))))</f>
        <v>0</v>
      </c>
      <c r="FM71" s="150" t="n">
        <f aca="false">IF(FM$19&gt;$FJ71,"",MAX(0,IF(FM$19=$FJ71,$S71^2*FM$15,FM70*INDEX($T$20:$T$91,$FJ71-FM$19)^2/INDEX($U$20:$U$91,$FJ71-FM$19))))</f>
        <v>0.00254859374038907</v>
      </c>
      <c r="FN71" s="150" t="n">
        <f aca="false">IF(FN$19&gt;$FJ71,"",MAX(0,IF(FN$19=$FJ71,$S71^2*FN$15,FN70*INDEX($T$20:$T$91,$FJ71-FN$19)^2/INDEX($U$20:$U$91,$FJ71-FN$19))))</f>
        <v>0.00214533570098541</v>
      </c>
      <c r="FO71" s="150" t="n">
        <f aca="false">IF(FO$19&gt;$FJ71,"",MAX(0,IF(FO$19=$FJ71,$S71^2*FO$15,FO70*INDEX($T$20:$T$91,$FJ71-FO$19)^2/INDEX($U$20:$U$91,$FJ71-FO$19))))</f>
        <v>0.00223178405480322</v>
      </c>
      <c r="FP71" s="150" t="n">
        <f aca="false">IF(FP$19&gt;$FJ71,"",MAX(0,IF(FP$19=$FJ71,$S71^2*FP$15,FP70*INDEX($T$20:$T$91,$FJ71-FP$19)^2/INDEX($U$20:$U$91,$FJ71-FP$19))))</f>
        <v>0.00247345719676046</v>
      </c>
      <c r="FQ71" s="150" t="n">
        <f aca="false">IF(FQ$19&gt;$FJ71,"",MAX(0,IF(FQ$19=$FJ71,$S71^2*FQ$15,FQ70*INDEX($T$20:$T$91,$FJ71-FQ$19)^2/INDEX($U$20:$U$91,$FJ71-FQ$19))))</f>
        <v>0.00200291215696002</v>
      </c>
      <c r="FR71" s="150" t="n">
        <f aca="false">IF(FR$19&gt;$FJ71,"",MAX(0,IF(FR$19=$FJ71,$S71^2*FR$15,FR70*INDEX($T$20:$T$91,$FJ71-FR$19)^2/INDEX($U$20:$U$91,$FJ71-FR$19))))</f>
        <v>0.00204835136792719</v>
      </c>
      <c r="FS71" s="150" t="n">
        <f aca="false">IF(FS$19&gt;$FJ71,"",MAX(0,IF(FS$19=$FJ71,$S71^2*FS$15,FS70*INDEX($T$20:$T$91,$FJ71-FS$19)^2/INDEX($U$20:$U$91,$FJ71-FS$19))))</f>
        <v>0.00230895309360922</v>
      </c>
      <c r="FT71" s="150" t="n">
        <f aca="false">IF(FT$19&gt;$FJ71,"",MAX(0,IF(FT$19=$FJ71,$S71^2*FT$15,FT70*INDEX($T$20:$T$91,$FJ71-FT$19)^2/INDEX($U$20:$U$91,$FJ71-FT$19))))</f>
        <v>0.00208438795894075</v>
      </c>
      <c r="FU71" s="150" t="n">
        <f aca="false">IF(FU$19&gt;$FJ71,"",MAX(0,IF(FU$19=$FJ71,$S71^2*FU$15,FU70*INDEX($T$20:$T$91,$FJ71-FU$19)^2/INDEX($U$20:$U$91,$FJ71-FU$19))))</f>
        <v>0.00200457170426887</v>
      </c>
      <c r="FV71" s="150" t="n">
        <f aca="false">IF(FV$19&gt;$FJ71,"",MAX(0,IF(FV$19=$FJ71,$S71^2*FV$15,FV70*INDEX($T$20:$T$91,$FJ71-FV$19)^2/INDEX($U$20:$U$91,$FJ71-FV$19))))</f>
        <v>0.00220374058733099</v>
      </c>
      <c r="FW71" s="150" t="n">
        <f aca="false">IF(FW$19&gt;$FJ71,"",MAX(0,IF(FW$19=$FJ71,$S71^2*FW$15,FW70*INDEX($T$20:$T$91,$FJ71-FW$19)^2/INDEX($U$20:$U$91,$FJ71-FW$19))))</f>
        <v>0.00206061689660465</v>
      </c>
      <c r="FX71" s="150" t="n">
        <f aca="false">IF(FX$19&gt;$FJ71,"",MAX(0,IF(FX$19=$FJ71,$S71^2*FX$15,FX70*INDEX($T$20:$T$91,$FJ71-FX$19)^2/INDEX($U$20:$U$91,$FJ71-FX$19))))</f>
        <v>0.00219414192217275</v>
      </c>
      <c r="FY71" s="150" t="n">
        <f aca="false">IF(FY$19&gt;$FJ71,"",MAX(0,IF(FY$19=$FJ71,$S71^2*FY$15,FY70*INDEX($T$20:$T$91,$FJ71-FY$19)^2/INDEX($U$20:$U$91,$FJ71-FY$19))))</f>
        <v>0.00205480533632082</v>
      </c>
      <c r="FZ71" s="150" t="n">
        <f aca="false">IF(FZ$19&gt;$FJ71,"",MAX(0,IF(FZ$19=$FJ71,$S71^2*FZ$15,FZ70*INDEX($T$20:$T$91,$FJ71-FZ$19)^2/INDEX($U$20:$U$91,$FJ71-FZ$19))))</f>
        <v>0.00191682524432537</v>
      </c>
      <c r="GA71" s="150" t="n">
        <f aca="false">IF(GA$19&gt;$FJ71,"",MAX(0,IF(GA$19=$FJ71,$S71^2*GA$15,GA70*INDEX($T$20:$T$91,$FJ71-GA$19)^2/INDEX($U$20:$U$91,$FJ71-GA$19))))</f>
        <v>0.00205363090380948</v>
      </c>
      <c r="GB71" s="150" t="n">
        <f aca="false">IF(GB$19&gt;$FJ71,"",MAX(0,IF(GB$19=$FJ71,$S71^2*GB$15,GB70*INDEX($T$20:$T$91,$FJ71-GB$19)^2/INDEX($U$20:$U$91,$FJ71-GB$19))))</f>
        <v>0.00225978817989419</v>
      </c>
      <c r="GC71" s="150" t="n">
        <f aca="false">IF(GC$19&gt;$FJ71,"",MAX(0,IF(GC$19=$FJ71,$S71^2*GC$15,GC70*INDEX($T$20:$T$91,$FJ71-GC$19)^2/INDEX($U$20:$U$91,$FJ71-GC$19))))</f>
        <v>0.00198730909862624</v>
      </c>
      <c r="GD71" s="150" t="n">
        <f aca="false">IF(GD$19&gt;$FJ71,"",MAX(0,IF(GD$19=$FJ71,$S71^2*GD$15,GD70*INDEX($T$20:$T$91,$FJ71-GD$19)^2/INDEX($U$20:$U$91,$FJ71-GD$19))))</f>
        <v>0.00198945276727099</v>
      </c>
      <c r="GE71" s="150" t="n">
        <f aca="false">IF(GE$19&gt;$FJ71,"",MAX(0,IF(GE$19=$FJ71,$S71^2*GE$15,GE70*INDEX($T$20:$T$91,$FJ71-GE$19)^2/INDEX($U$20:$U$91,$FJ71-GE$19))))</f>
        <v>0.00226711372416667</v>
      </c>
      <c r="GF71" s="150" t="n">
        <f aca="false">IF(GF$19&gt;$FJ71,"",MAX(0,IF(GF$19=$FJ71,$S71^2*GF$15,GF70*INDEX($T$20:$T$91,$FJ71-GF$19)^2/INDEX($U$20:$U$91,$FJ71-GF$19))))</f>
        <v>0.0019959241598125</v>
      </c>
      <c r="GG71" s="150" t="n">
        <f aca="false">IF(GG$19&gt;$FJ71,"",MAX(0,IF(GG$19=$FJ71,$S71^2*GG$15,GG70*INDEX($T$20:$T$91,$FJ71-GG$19)^2/INDEX($U$20:$U$91,$FJ71-GG$19))))</f>
        <v>0.00220728829117983</v>
      </c>
      <c r="GH71" s="150" t="n">
        <f aca="false">IF(GH$19&gt;$FJ71,"",MAX(0,IF(GH$19=$FJ71,$S71^2*GH$15,GH70*INDEX($T$20:$T$91,$FJ71-GH$19)^2/INDEX($U$20:$U$91,$FJ71-GH$19))))</f>
        <v>0.00207486115553002</v>
      </c>
      <c r="GI71" s="150" t="n">
        <f aca="false">IF(GI$19&gt;$FJ71,"",MAX(0,IF(GI$19=$FJ71,$S71^2*GI$15,GI70*INDEX($T$20:$T$91,$FJ71-GI$19)^2/INDEX($U$20:$U$91,$FJ71-GI$19))))</f>
        <v>0.00201208072726843</v>
      </c>
      <c r="GJ71" s="150" t="n">
        <f aca="false">IF(GJ$19&gt;$FJ71,"",MAX(0,IF(GJ$19=$FJ71,$S71^2*GJ$15,GJ70*INDEX($T$20:$T$91,$FJ71-GJ$19)^2/INDEX($U$20:$U$91,$FJ71-GJ$19))))</f>
        <v>0.00229822978245842</v>
      </c>
      <c r="GK71" s="150" t="n">
        <f aca="false">IF(GK$19&gt;$FJ71,"",MAX(0,IF(GK$19=$FJ71,$S71^2*GK$15,GK70*INDEX($T$20:$T$91,$FJ71-GK$19)^2/INDEX($U$20:$U$91,$FJ71-GK$19))))</f>
        <v>0.00209857180264162</v>
      </c>
      <c r="GL71" s="150" t="n">
        <f aca="false">IF(GL$19&gt;$FJ71,"",MAX(0,IF(GL$19=$FJ71,$S71^2*GL$15,GL70*INDEX($T$20:$T$91,$FJ71-GL$19)^2/INDEX($U$20:$U$91,$FJ71-GL$19))))</f>
        <v>0.00203920461485501</v>
      </c>
      <c r="GM71" s="150" t="n">
        <f aca="false">IF(GM$19&gt;$FJ71,"",MAX(0,IF(GM$19=$FJ71,$S71^2*GM$15,GM70*INDEX($T$20:$T$91,$FJ71-GM$19)^2/INDEX($U$20:$U$91,$FJ71-GM$19))))</f>
        <v>0.00219319299325945</v>
      </c>
      <c r="GN71" s="150" t="n">
        <f aca="false">IF(GN$19&gt;$FJ71,"",MAX(0,IF(GN$19=$FJ71,$S71^2*GN$15,GN70*INDEX($T$20:$T$91,$FJ71-GN$19)^2/INDEX($U$20:$U$91,$FJ71-GN$19))))</f>
        <v>0.00220895237539819</v>
      </c>
      <c r="GO71" s="150" t="n">
        <f aca="false">IF(GO$19&gt;$FJ71,"",MAX(0,IF(GO$19=$FJ71,$S71^2*GO$15,GO70*INDEX($T$20:$T$91,$FJ71-GO$19)^2/INDEX($U$20:$U$91,$FJ71-GO$19))))</f>
        <v>0.00222756155060224</v>
      </c>
      <c r="GP71" s="150" t="n">
        <f aca="false">IF(GP$19&gt;$FJ71,"",MAX(0,IF(GP$19=$FJ71,$S71^2*GP$15,GP70*INDEX($T$20:$T$91,$FJ71-GP$19)^2/INDEX($U$20:$U$91,$FJ71-GP$19))))</f>
        <v>0.0020318589680372</v>
      </c>
      <c r="GQ71" s="150" t="n">
        <f aca="false">IF(GQ$19&gt;$FJ71,"",MAX(0,IF(GQ$19=$FJ71,$S71^2*GQ$15,GQ70*INDEX($T$20:$T$91,$FJ71-GQ$19)^2/INDEX($U$20:$U$91,$FJ71-GQ$19))))</f>
        <v>0.00227559547137667</v>
      </c>
      <c r="GR71" s="150" t="n">
        <f aca="false">IF(GR$19&gt;$FJ71,"",MAX(0,IF(GR$19=$FJ71,$S71^2*GR$15,GR70*INDEX($T$20:$T$91,$FJ71-GR$19)^2/INDEX($U$20:$U$91,$FJ71-GR$19))))</f>
        <v>0.00223206890719002</v>
      </c>
      <c r="GS71" s="150" t="n">
        <f aca="false">IF(GS$19&gt;$FJ71,"",MAX(0,IF(GS$19=$FJ71,$S71^2*GS$15,GS70*INDEX($T$20:$T$91,$FJ71-GS$19)^2/INDEX($U$20:$U$91,$FJ71-GS$19))))</f>
        <v>0.00234316492591863</v>
      </c>
      <c r="GT71" s="150" t="n">
        <f aca="false">IF(GT$19&gt;$FJ71,"",MAX(0,IF(GT$19=$FJ71,$S71^2*GT$15,GT70*INDEX($T$20:$T$91,$FJ71-GT$19)^2/INDEX($U$20:$U$91,$FJ71-GT$19))))</f>
        <v>0.0023098915193218</v>
      </c>
      <c r="GU71" s="150" t="n">
        <f aca="false">IF(GU$19&gt;$FJ71,"",MAX(0,IF(GU$19=$FJ71,$S71^2*GU$15,GU70*INDEX($T$20:$T$91,$FJ71-GU$19)^2/INDEX($U$20:$U$91,$FJ71-GU$19))))</f>
        <v>0.00243914980487601</v>
      </c>
      <c r="GV71" s="150" t="n">
        <f aca="false">IF(GV$19&gt;$FJ71,"",MAX(0,IF(GV$19=$FJ71,$S71^2*GV$15,GV70*INDEX($T$20:$T$91,$FJ71-GV$19)^2/INDEX($U$20:$U$91,$FJ71-GV$19))))</f>
        <v>0.00250184933054314</v>
      </c>
      <c r="GW71" s="150" t="n">
        <f aca="false">IF(GW$19&gt;$FJ71,"",MAX(0,IF(GW$19=$FJ71,$S71^2*GW$15,GW70*INDEX($T$20:$T$91,$FJ71-GW$19)^2/INDEX($U$20:$U$91,$FJ71-GW$19))))</f>
        <v>0.00249425717603325</v>
      </c>
      <c r="GX71" s="150" t="n">
        <f aca="false">IF(GX$19&gt;$FJ71,"",MAX(0,IF(GX$19=$FJ71,$S71^2*GX$15,GX70*INDEX($T$20:$T$91,$FJ71-GX$19)^2/INDEX($U$20:$U$91,$FJ71-GX$19))))</f>
        <v>0.00266890028335613</v>
      </c>
      <c r="GY71" s="150" t="n">
        <f aca="false">IF(GY$19&gt;$FJ71,"",MAX(0,IF(GY$19=$FJ71,$S71^2*GY$15,GY70*INDEX($T$20:$T$91,$FJ71-GY$19)^2/INDEX($U$20:$U$91,$FJ71-GY$19))))</f>
        <v>0.00269070132376107</v>
      </c>
      <c r="GZ71" s="150" t="n">
        <f aca="false">IF(GZ$19&gt;$FJ71,"",MAX(0,IF(GZ$19=$FJ71,$S71^2*GZ$15,GZ70*INDEX($T$20:$T$91,$FJ71-GZ$19)^2/INDEX($U$20:$U$91,$FJ71-GZ$19))))</f>
        <v>0.00291720811418547</v>
      </c>
      <c r="HA71" s="150" t="n">
        <f aca="false">IF(HA$19&gt;$FJ71,"",MAX(0,IF(HA$19=$FJ71,$S71^2*HA$15,HA70*INDEX($T$20:$T$91,$FJ71-HA$19)^2/INDEX($U$20:$U$91,$FJ71-HA$19))))</f>
        <v>0.00308651578149708</v>
      </c>
      <c r="HB71" s="150" t="n">
        <f aca="false">IF(HB$19&gt;$FJ71,"",MAX(0,IF(HB$19=$FJ71,$S71^2*HB$15,HB70*INDEX($T$20:$T$91,$FJ71-HB$19)^2/INDEX($U$20:$U$91,$FJ71-HB$19))))</f>
        <v>0.00308533108394591</v>
      </c>
      <c r="HC71" s="150" t="n">
        <f aca="false">IF(HC$19&gt;$FJ71,"",MAX(0,IF(HC$19=$FJ71,$S71^2*HC$15,HC70*INDEX($T$20:$T$91,$FJ71-HC$19)^2/INDEX($U$20:$U$91,$FJ71-HC$19))))</f>
        <v>0.00356567164684974</v>
      </c>
      <c r="HD71" s="150" t="n">
        <f aca="false">IF(HD$19&gt;$FJ71,"",MAX(0,IF(HD$19=$FJ71,$S71^2*HD$15,HD70*INDEX($T$20:$T$91,$FJ71-HD$19)^2/INDEX($U$20:$U$91,$FJ71-HD$19))))</f>
        <v>0.00378262565416321</v>
      </c>
      <c r="HE71" s="150" t="n">
        <f aca="false">IF(HE$19&gt;$FJ71,"",MAX(0,IF(HE$19=$FJ71,$S71^2*HE$15,HE70*INDEX($T$20:$T$91,$FJ71-HE$19)^2/INDEX($U$20:$U$91,$FJ71-HE$19))))</f>
        <v>0.00435582665551127</v>
      </c>
      <c r="HF71" s="150" t="n">
        <f aca="false">IF(HF$19&gt;$FJ71,"",MAX(0,IF(HF$19=$FJ71,$S71^2*HF$15,HF70*INDEX($T$20:$T$91,$FJ71-HF$19)^2/INDEX($U$20:$U$91,$FJ71-HF$19))))</f>
        <v>0.0047904329455314</v>
      </c>
      <c r="HG71" s="150" t="n">
        <f aca="false">IF(HG$19&gt;$FJ71,"",MAX(0,IF(HG$19=$FJ71,$S71^2*HG$15,HG70*INDEX($T$20:$T$91,$FJ71-HG$19)^2/INDEX($U$20:$U$91,$FJ71-HG$19))))</f>
        <v>0.00575872948502897</v>
      </c>
      <c r="HH71" s="150" t="n">
        <f aca="false">IF(HH$19&gt;$FJ71,"",MAX(0,IF(HH$19=$FJ71,$S71^2*HH$15,HH70*INDEX($T$20:$T$91,$FJ71-HH$19)^2/INDEX($U$20:$U$91,$FJ71-HH$19))))</f>
        <v>0.00689031822415753</v>
      </c>
      <c r="HI71" s="150" t="n">
        <f aca="false">IF(HI$19&gt;$FJ71,"",MAX(0,IF(HI$19=$FJ71,$S71^2*HI$15,HI70*INDEX($T$20:$T$91,$FJ71-HI$19)^2/INDEX($U$20:$U$91,$FJ71-HI$19))))</f>
        <v>0.00825335930302133</v>
      </c>
      <c r="HJ71" s="150" t="n">
        <f aca="false">IF(HJ$19&gt;$FJ71,"",MAX(0,IF(HJ$19=$FJ71,$S71^2*HJ$15,HJ70*INDEX($T$20:$T$91,$FJ71-HJ$19)^2/INDEX($U$20:$U$91,$FJ71-HJ$19))))</f>
        <v>0.0109995907066721</v>
      </c>
      <c r="HK71" s="150" t="str">
        <f aca="false">IF(HK$19&gt;$FJ71,"",MAX(0,IF(HK$19=$FJ71,$S71^2*HK$15,HK70*INDEX($T$20:$T$91,$FJ71-HK$19)^2/INDEX($U$20:$U$91,$FJ71-HK$19))))</f>
        <v/>
      </c>
      <c r="HL71" s="150" t="str">
        <f aca="false">IF(HL$19&gt;$FJ71,"",MAX(0,IF(HL$19=$FJ71,$S71^2*HL$15,HL70*INDEX($T$20:$T$91,$FJ71-HL$19)^2/INDEX($U$20:$U$91,$FJ71-HL$19))))</f>
        <v/>
      </c>
      <c r="HM71" s="150" t="str">
        <f aca="false">IF(HM$19&gt;$FJ71,"",MAX(0,IF(HM$19=$FJ71,$S71^2*HM$15,HM70*INDEX($T$20:$T$91,$FJ71-HM$19)^2/INDEX($U$20:$U$91,$FJ71-HM$19))))</f>
        <v/>
      </c>
      <c r="HN71" s="150" t="str">
        <f aca="false">IF(HN$19&gt;$FJ71,"",MAX(0,IF(HN$19=$FJ71,$S71^2*HN$15,HN70*INDEX($T$20:$T$91,$FJ71-HN$19)^2/INDEX($U$20:$U$91,$FJ71-HN$19))))</f>
        <v/>
      </c>
      <c r="HO71" s="150" t="str">
        <f aca="false">IF(HO$19&gt;$FJ71,"",MAX(0,IF(HO$19=$FJ71,$S71^2*HO$15,HO70*INDEX($T$20:$T$91,$FJ71-HO$19)^2/INDEX($U$20:$U$91,$FJ71-HO$19))))</f>
        <v/>
      </c>
      <c r="HP71" s="150" t="str">
        <f aca="false">IF(HP$19&gt;$FJ71,"",MAX(0,IF(HP$19=$FJ71,$S71^2*HP$15,HP70*INDEX($T$20:$T$91,$FJ71-HP$19)^2/INDEX($U$20:$U$91,$FJ71-HP$19))))</f>
        <v/>
      </c>
      <c r="HQ71" s="150" t="str">
        <f aca="false">IF(HQ$19&gt;$FJ71,"",MAX(0,IF(HQ$19=$FJ71,$S71^2*HQ$15,HQ70*INDEX($T$20:$T$91,$FJ71-HQ$19)^2/INDEX($U$20:$U$91,$FJ71-HQ$19))))</f>
        <v/>
      </c>
      <c r="HR71" s="150" t="str">
        <f aca="false">IF(HR$19&gt;$FJ71,"",MAX(0,IF(HR$19=$FJ71,$S71^2*HR$15,HR70*INDEX($T$20:$T$91,$FJ71-HR$19)^2/INDEX($U$20:$U$91,$FJ71-HR$19))))</f>
        <v/>
      </c>
      <c r="HS71" s="150" t="str">
        <f aca="false">IF(HS$19&gt;$FJ71,"",MAX(0,IF(HS$19=$FJ71,$S71^2*HS$15,HS70*INDEX($T$20:$T$91,$FJ71-HS$19)^2/INDEX($U$20:$U$91,$FJ71-HS$19))))</f>
        <v/>
      </c>
      <c r="HT71" s="150" t="str">
        <f aca="false">IF(HT$19&gt;$FJ71,"",MAX(0,IF(HT$19=$FJ71,$S71^2*HT$15,HT70*INDEX($T$20:$T$91,$FJ71-HT$19)^2/INDEX($U$20:$U$91,$FJ71-HT$19))))</f>
        <v/>
      </c>
      <c r="HU71" s="150" t="str">
        <f aca="false">IF(HU$19&gt;$FJ71,"",MAX(0,IF(HU$19=$FJ71,$S71^2*HU$15,HU70*INDEX($T$20:$T$91,$FJ71-HU$19)^2/INDEX($U$20:$U$91,$FJ71-HU$19))))</f>
        <v/>
      </c>
      <c r="HV71" s="150" t="str">
        <f aca="false">IF(HV$19&gt;$FJ71,"",MAX(0,IF(HV$19=$FJ71,$S71^2*HV$15,HV70*INDEX($T$20:$T$91,$FJ71-HV$19)^2/INDEX($U$20:$U$91,$FJ71-HV$19))))</f>
        <v/>
      </c>
      <c r="HW71" s="150" t="str">
        <f aca="false">IF(HW$19&gt;$FJ71,"",MAX(0,IF(HW$19=$FJ71,$S71^2*HW$15,HW70*INDEX($T$20:$T$91,$FJ71-HW$19)^2/INDEX($U$20:$U$91,$FJ71-HW$19))))</f>
        <v/>
      </c>
      <c r="HX71" s="150" t="str">
        <f aca="false">IF(HX$19&gt;$FJ71,"",MAX(0,IF(HX$19=$FJ71,$S71^2*HX$15,HX70*INDEX($T$20:$T$91,$FJ71-HX$19)^2/INDEX($U$20:$U$91,$FJ71-HX$19))))</f>
        <v/>
      </c>
      <c r="HY71" s="150" t="str">
        <f aca="false">IF(HY$19&gt;$FJ71,"",MAX(0,IF(HY$19=$FJ71,$S71^2*HY$15,HY70*INDEX($T$20:$T$91,$FJ71-HY$19)^2/INDEX($U$20:$U$91,$FJ71-HY$19))))</f>
        <v/>
      </c>
      <c r="HZ71" s="150" t="str">
        <f aca="false">IF(HZ$19&gt;$FJ71,"",MAX(0,IF(HZ$19=$FJ71,$S71^2*HZ$15,HZ70*INDEX($T$20:$T$91,$FJ71-HZ$19)^2/INDEX($U$20:$U$91,$FJ71-HZ$19))))</f>
        <v/>
      </c>
      <c r="IA71" s="150" t="str">
        <f aca="false">IF(IA$19&gt;$FJ71,"",MAX(0,IF(IA$19=$FJ71,$S71^2*IA$15,IA70*INDEX($T$20:$T$91,$FJ71-IA$19)^2/INDEX($U$20:$U$91,$FJ71-IA$19))))</f>
        <v/>
      </c>
      <c r="IB71" s="150" t="str">
        <f aca="false">IF(IB$19&gt;$FJ71,"",MAX(0,IF(IB$19=$FJ71,$S71^2*IB$15,IB70*INDEX($T$20:$T$91,$FJ71-IB$19)^2/INDEX($U$20:$U$91,$FJ71-IB$19))))</f>
        <v/>
      </c>
      <c r="IC71" s="150" t="str">
        <f aca="false">IF(IC$19&gt;$FJ71,"",MAX(0,IF(IC$19=$FJ71,$S71^2*IC$15,IC70*INDEX($T$20:$T$91,$FJ71-IC$19)^2/INDEX($U$20:$U$91,$FJ71-IC$19))))</f>
        <v/>
      </c>
      <c r="ID71" s="572" t="str">
        <f aca="false">IF(ID$19&gt;$FJ71,"",MAX(0,IF(ID$19=$FJ71,$S71^2*ID$15,ID70*INDEX($T$20:$T$91,$FJ71-ID$19)^2/INDEX($U$20:$U$91,$FJ71-ID$19))))</f>
        <v/>
      </c>
      <c r="IE71" s="129"/>
    </row>
    <row r="72" customFormat="false" ht="12.75" hidden="false" customHeight="false" outlineLevel="0" collapsed="false">
      <c r="A72" s="3"/>
      <c r="F72" s="3"/>
      <c r="G72" s="3"/>
      <c r="H72" s="219" t="n">
        <f aca="false">VLOOKUP(I72,$EJ$20:$EL$54,3)</f>
        <v>0</v>
      </c>
      <c r="I72" s="511" t="n">
        <f aca="false">EOMONTH(I71,0)+1</f>
        <v>38353</v>
      </c>
      <c r="J72" s="512"/>
      <c r="K72" s="513" t="n">
        <v>0</v>
      </c>
      <c r="L72" s="514" t="n">
        <f aca="false">IF(ISNUMBER(K72),J72+K72/100,IF(K72="extra",L71+VLOOKUP(BF72,PriceSpreadTable,2)/12,IF(K72="inter",interpolateprices($K$19:$L$200,ROW(K72)-ROW(FirstPricingMonth)+1),interpolatechanges($J$19:$K$200,ROW(K72)-ROW(FirstPricingMonth)+1))))</f>
        <v>0</v>
      </c>
      <c r="M72" s="515"/>
      <c r="N72" s="516" t="n">
        <v>0</v>
      </c>
      <c r="O72" s="515" t="n">
        <f aca="false">M72+N72</f>
        <v>0</v>
      </c>
      <c r="P72" s="512"/>
      <c r="Q72" s="513" t="s">
        <v>280</v>
      </c>
      <c r="R72" s="512" t="e">
        <f aca="false">IF(ISNUMBER(Q72),P72+Q72/100,IF(Q72="extra",(Z70*AL70-R71*AM70)/AN70,IF(Q72="inter",interpolateprices($Q$19:$R$260,ROW(Q72)-ROW(FirstPricingMonth)+1),interpolatechanges($P$19:$Q$260,ROW(Q72)-ROW(FirstPricingMonth)+1))))</f>
        <v>#VALUE!</v>
      </c>
      <c r="S72" s="597" t="n">
        <f aca="false">S$19+(S71-S$19)*S$18</f>
        <v>0.36000001698965</v>
      </c>
      <c r="T72" s="575" t="n">
        <f aca="false">SQRT((1-(1-T71^2/U71)*T$18)*U72)</f>
        <v>0.999967434018228</v>
      </c>
      <c r="U72" s="576" t="n">
        <f aca="false">1-(1-U71)*U$18</f>
        <v>0.999999995221661</v>
      </c>
      <c r="V72" s="521" t="n">
        <v>0</v>
      </c>
      <c r="W72" s="577" t="n">
        <f aca="false">(J73*AJ72+J74*AK72)/AI72</f>
        <v>0</v>
      </c>
      <c r="X72" s="578" t="e">
        <f aca="false">(L73*AJ72+L74*AK72)/AI72</f>
        <v>#VALUE!</v>
      </c>
      <c r="Y72" s="579" t="n">
        <f aca="false">IF(Q74="extra",W72-AA72,(P73*AM72+P74*AN72)/AL72)</f>
        <v>-1.121</v>
      </c>
      <c r="Z72" s="579" t="e">
        <f aca="false">IF(Q74="extra",X72-AB72,(R73*AM72+R74*AN72)/AL72)</f>
        <v>#VALUE!</v>
      </c>
      <c r="AA72" s="523" t="n">
        <f aca="false">IF(Q74="extra",INDEX(BrentSeasonalityTable,INT((BG72-1)/3)+1)*VLOOKUP(MAX(BF72,$AB$4),PriceSpreadTable,3),W72-Y72)</f>
        <v>1.121</v>
      </c>
      <c r="AB72" s="524" t="n">
        <f aca="false">IF(Q74="extra",INDEX(BrentSeasonalityTable,INT((BG72-1)/3)+1)*VLOOKUP(MAX(BF72,$AB$4),PriceSpreadTable,3),X72-Z72)</f>
        <v>1.121</v>
      </c>
      <c r="AC72" s="646" t="n">
        <v>38341</v>
      </c>
      <c r="AD72" s="646" t="n">
        <v>38337</v>
      </c>
      <c r="AE72" s="646" t="n">
        <v>38336</v>
      </c>
      <c r="AF72" s="646" t="n">
        <v>38332</v>
      </c>
      <c r="AG72" s="438" t="s">
        <v>247</v>
      </c>
      <c r="AH72" s="439" t="s">
        <v>278</v>
      </c>
      <c r="AI72" s="528" t="n">
        <v>21</v>
      </c>
      <c r="AJ72" s="529" t="n">
        <v>14</v>
      </c>
      <c r="AK72" s="529" t="n">
        <v>7</v>
      </c>
      <c r="AL72" s="530" t="n">
        <v>21</v>
      </c>
      <c r="AM72" s="529" t="n">
        <v>10</v>
      </c>
      <c r="AN72" s="531" t="n">
        <v>11</v>
      </c>
      <c r="AO72" s="532"/>
      <c r="AP72" s="465" t="n">
        <f aca="false">(1+AO72/2)^(-2*BL72)</f>
        <v>1</v>
      </c>
      <c r="AQ72" s="532"/>
      <c r="AR72" s="465" t="n">
        <f aca="false">(1+AQ72/2)^(-2*BH72/365.25)</f>
        <v>1</v>
      </c>
      <c r="AS72" s="580" t="n">
        <f aca="false">(O73*AJ72+O74*AK72)/AI72</f>
        <v>0</v>
      </c>
      <c r="AT72" s="468" t="n">
        <f aca="false">O72*VLOOKUP(BF72,BrentVolTable,2)+VLOOKUP(BF72,BrentVolTable,3)</f>
        <v>0</v>
      </c>
      <c r="AU72" s="468" t="n">
        <f aca="false">(AT73*AM72+AT74*AN72)/AL72</f>
        <v>0</v>
      </c>
      <c r="AV72" s="595" t="n">
        <f aca="false">SQRT(MAX(0.000000000001,(O72^2*BH72-S72^2*(BH72-BH71))/BH71))</f>
        <v>0.0225913749929363</v>
      </c>
      <c r="AW72" s="451" t="n">
        <f aca="false">IF($I72-DateToday+15&gt;=$T$8,"",IF($I72-DateToday+15&lt;$T$5,1,MATCH($I72-DateToday+15,$T$5:$T$8)))</f>
        <v>1</v>
      </c>
      <c r="AX72" s="468" t="n">
        <f aca="false">IF($AW72="",AX71^2/AX70,INDEX(U$5:U$8,$AW72)^((INDEX($T$5:$T$8,$AW72+1)-($I72-DateToday+15))/(INDEX($T$5:$T$8,$AW72+1)-INDEX($T$5:$T$8,$AW72)))/INDEX(U$5:U$8,$AW72+1)^((INDEX($T$5:$T$8,$AW72)-($I72-DateToday+15))/(INDEX($T$5:$T$8,$AW72+1)-INDEX($T$5:$T$8,$AW72))))</f>
        <v>4.12808772837568</v>
      </c>
      <c r="AY72" s="468" t="n">
        <f aca="false">IF($AW72="",AY71^2/AY70,INDEX(V$5:V$8,$AW72)^((INDEX($T$5:$T$8,$AW72+1)-($I72-DateToday+15))/(INDEX($T$5:$T$8,$AW72+1)-INDEX($T$5:$T$8,$AW72)))/INDEX(V$5:V$8,$AW72+1)^((INDEX($T$5:$T$8,$AW72)-($I72-DateToday+15))/(INDEX($T$5:$T$8,$AW72+1)-INDEX($T$5:$T$8,$AW72))))</f>
        <v>583.250504669862</v>
      </c>
      <c r="AZ72" s="468" t="n">
        <f aca="false">IF($AW72="",AZ71^2/AZ70,INDEX(W$5:W$8,$AW72)^((INDEX($T$5:$T$8,$AW72+1)-($I72-DateToday+15))/(INDEX($T$5:$T$8,$AW72+1)-INDEX($T$5:$T$8,$AW72)))/INDEX(W$5:W$8,$AW72+1)^((INDEX($T$5:$T$8,$AW72)-($I72-DateToday+15))/(INDEX($T$5:$T$8,$AW72+1)-INDEX($T$5:$T$8,$AW72))))</f>
        <v>9706241.00967168</v>
      </c>
      <c r="BA72" s="468" t="n">
        <f aca="false">IF($AW72="",BA71^2/BA70,INDEX(X$5:X$8,$AW72)^((INDEX($T$5:$T$8,$AW72+1)-($I72-DateToday+15))/(INDEX($T$5:$T$8,$AW72+1)-INDEX($T$5:$T$8,$AW72)))/INDEX(X$5:X$8,$AW72+1)^((INDEX($T$5:$T$8,$AW72)-($I72-DateToday+15))/(INDEX($T$5:$T$8,$AW72+1)-INDEX($T$5:$T$8,$AW72))))</f>
        <v>417377233.340439</v>
      </c>
      <c r="BB72" s="468" t="n">
        <f aca="false">IF($AW72="",BB71^2/BB70,INDEX(Y$5:Y$8,$AW72)^((INDEX($T$5:$T$8,$AW72+1)-($I72-DateToday+15))/(INDEX($T$5:$T$8,$AW72+1)-INDEX($T$5:$T$8,$AW72)))/INDEX(Y$5:Y$8,$AW72+1)^((INDEX($T$5:$T$8,$AW72)-($I72-DateToday+15))/(INDEX($T$5:$T$8,$AW72+1)-INDEX($T$5:$T$8,$AW72))))</f>
        <v>6895294195.34324</v>
      </c>
      <c r="BC72" s="468" t="n">
        <f aca="false">IF($AW72="",BC71^2/BC70,INDEX(Z$5:Z$8,$AW72)^((INDEX($T$5:$T$8,$AW72+1)-($I72-DateToday+15))/(INDEX($T$5:$T$8,$AW72+1)-INDEX($T$5:$T$8,$AW72)))/INDEX(Z$5:Z$8,$AW72+1)^((INDEX($T$5:$T$8,$AW72)-($I72-DateToday+15))/(INDEX($T$5:$T$8,$AW72+1)-INDEX($T$5:$T$8,$AW72))))</f>
        <v>36863590969.9969</v>
      </c>
      <c r="BD72" s="535" t="n">
        <f aca="false">IF(OR(DateStart&gt;=I73,DateEnd&lt;I72),0,IF(VolumeOverrideFlag,V72,Volume))</f>
        <v>0</v>
      </c>
      <c r="BE72" s="536" t="n">
        <f aca="false">IF(OR(DateStart2&gt;=I73,DateEnd2&lt;I72),0,IF(VolumeOverrideFlag,V72,VolumeSwaption))</f>
        <v>0</v>
      </c>
      <c r="BF72" s="537" t="n">
        <f aca="false">YEAR(I72)</f>
        <v>2005</v>
      </c>
      <c r="BG72" s="538" t="n">
        <f aca="false">MONTH(I72)</f>
        <v>1</v>
      </c>
      <c r="BH72" s="539" t="n">
        <f aca="false">AD72-DateToday+1</f>
        <v>-7588</v>
      </c>
      <c r="BI72" s="540" t="n">
        <f aca="false">(I72-DateToday+1)/365.25</f>
        <v>-20.7310061601643</v>
      </c>
      <c r="BJ72" s="541" t="n">
        <f aca="false">BI72+(BL72-BI72)*CHOOSE(Underlying,AJ72/AI72,AM72/AL72)</f>
        <v>-20.6762491444216</v>
      </c>
      <c r="BK72" s="541" t="n">
        <f aca="false">BJ72+1/365.25</f>
        <v>-20.6735112936345</v>
      </c>
      <c r="BL72" s="541" t="n">
        <f aca="false">(I73-DateToday)/365.25</f>
        <v>-20.6488706365503</v>
      </c>
      <c r="BM72" s="542" t="e">
        <f aca="false">MAX(BI72-(BJ72-BI72)*(S73^2/O73^2-1),0)</f>
        <v>#DIV/0!</v>
      </c>
      <c r="BN72" s="541" t="e">
        <f aca="false">MAX(BL72+(BL72-BK72)*(S74^2/O74^2-1),0)</f>
        <v>#DIV/0!</v>
      </c>
      <c r="BO72" s="530" t="n">
        <f aca="false">CHOOSE(Underlying,AI72,AL72)</f>
        <v>21</v>
      </c>
      <c r="BP72" s="529" t="n">
        <f aca="false">CHOOSE(Underlying,AJ72,AM72)</f>
        <v>14</v>
      </c>
      <c r="BQ72" s="529" t="n">
        <f aca="false">CHOOSE(Underlying,AK72,AN72)</f>
        <v>7</v>
      </c>
      <c r="BR72" s="463" t="str">
        <f aca="false">IF(BD72,IF(Underlying=1,X72,Z72)+UnderlyingPriceAsian-SwapPriceCurve,"")</f>
        <v/>
      </c>
      <c r="BS72" s="463" t="str">
        <f aca="false">IF(BD72,Strike1/BR72-1,"")</f>
        <v/>
      </c>
      <c r="BT72" s="464" t="str">
        <f aca="false">IF(BD72,Strike2/BR72-1,"")</f>
        <v/>
      </c>
      <c r="BU72" s="465" t="str">
        <f aca="false">IF(BD72,IF(Underlying=1,L73,R73)+UnderlyingPriceAsian-SwapPriceCurve,"")</f>
        <v/>
      </c>
      <c r="BV72" s="465" t="str">
        <f aca="false">IF(BD72,IF(Underlying=1,L74,R74)+UnderlyingPriceAsian-SwapPriceCurve,"")</f>
        <v/>
      </c>
      <c r="BW72" s="466" t="str">
        <f aca="false">IF(BD72,IF(Underlying=1,O73,AT73),"")</f>
        <v/>
      </c>
      <c r="BX72" s="467" t="str">
        <f aca="false">IF(BD72,IF(Underlying=1,O74,AT74),"")</f>
        <v/>
      </c>
      <c r="BY72" s="466" t="str">
        <f aca="false">IF(BD72,IF(BS72&gt;0,IF(BS72&gt;0.2,BC72-BB72,IF(BS72&gt;0.1,BB72-BA72,BA72)),IF(BS72&lt;-0.2,AX72-AY72,IF(BS72&lt;-0.1,AY72-AZ72,AZ72))),"")</f>
        <v/>
      </c>
      <c r="BZ72" s="467" t="str">
        <f aca="false">IF(BD72,IF(BT72&gt;0,IF(BT72&gt;0.2,BC72-BB72,IF(BT72&gt;0.1,BB72-BA72,BA72)),IF(BT72&lt;-0.2,AX72-AY72,IF(BT72&lt;-0.1,AY72-AZ72,AZ72))),"")</f>
        <v/>
      </c>
      <c r="CA72" s="468" t="str">
        <f aca="false">IF($BD72,$BW72+IF(VolSkewFlag=1,IF(BS72&gt;0,$BA72*MIN(BS72/10%,1)+($BB72-$BA72)*MAX(0,MIN(BS72/10%-1,1))+($BC72-$BB72)*MAX(0,BS72/10%-2),$AZ72*MIN(-BS72/10%,1)+($AY72-$AZ72)*MAX(0,MIN(-BS72/10%-1,1))+($AX72-$AY72)*MAX(0,-BS72/10%-2)),0),"")</f>
        <v/>
      </c>
      <c r="CB72" s="468" t="str">
        <f aca="false">IF($BD72,$BX72+IF(VolSkewFlag=1,IF(BS72&gt;0,$BA72*MIN(BS72/10%,1)+($BB72-$BA72)*MAX(0,MIN(BS72/10%-1,1))+($BC72-$BB72)*MAX(0,BS72/10%-2),$AZ72*MIN(-BS72/10%,1)+($AY72-$AZ72)*MAX(0,MIN(-BS72/10%-1,1))+($AX72-$AY72)*MAX(0,-BS72/10%-2)),0),"")</f>
        <v/>
      </c>
      <c r="CC72" s="468" t="str">
        <f aca="false">IF($BD72,$BW72+IF(VolSkewFlag=1,IF(BT72&gt;0,$BA72*MIN(BT72/10%,1)+($BB72-$BA72)*MAX(0,MIN(BT72/10%-1,1))+($BC72-$BB72)*MAX(0,BT72/10%-2),$AZ72*MIN(-BT72/10%,1)+($AY72-$AZ72)*MAX(0,MIN(-BT72/10%-1,1))+($AX72-$AY72)*MAX(0,-BT72/10%-2)),0),"")</f>
        <v/>
      </c>
      <c r="CD72" s="468" t="str">
        <f aca="false">IF($BD72,$BX72+IF(VolSkewFlag=1,IF(BT72&gt;0,$BA72*MIN(BT72/10%,1)+($BB72-$BA72)*MAX(0,MIN(BT72/10%-1,1))+($BC72-$BB72)*MAX(0,BT72/10%-2),$AZ72*MIN(-BT72/10%,1)+($AY72-$AZ72)*MAX(0,MIN(-BT72/10%-1,1))+($AX72-$AY72)*MAX(0,-BT72/10%-2)),0),"")</f>
        <v/>
      </c>
      <c r="CE72" s="469" t="n">
        <v>1</v>
      </c>
      <c r="CF72" s="470" t="n">
        <f aca="false">IF(BD72,xCrudeAPO(BU72,BV72,CA72,CB72,S73,S74,BI72,BL72,BP72,BQ72,0,Strike1,AO72,CE72,0,BL72,IF(OptControl=4,0,1),0,1),0)</f>
        <v>0</v>
      </c>
      <c r="CG72" s="470" t="n">
        <f aca="false">IF(BD72,xCrudeAPO(BU72,BV72,CA72,CB72,S73,S74,BI72,BL72,BP72,BQ72,0,Strike1,AO72,CE72,0,BL72,IF(OptControl=4,0,1),1,1)+xCrudeAPO(BU72,BV72,CA72,CB72,S73,S74,BI72,BL72,BP72,BQ72,0,Strike1,AO72,CE72,0,BL72,IF(OptControl=4,0,1),1,2)+IF(OR(VolSkewFlag=2,ABS(BS72)&lt;0.0001),0,IF(BS72&gt;0,-1,1)*CH72*Strike1/BR72^2*BY72/10%),0)</f>
        <v>0</v>
      </c>
      <c r="CH72" s="470" t="n">
        <f aca="false">IF(BD72,(xCrudeAPO(BU72,BV72,CA72,CB72,S73,S74,BI72,BL72,BP72,BQ72,0,Strike1,AO72,CE72,0,BL72,IF(OptControl=4,0,1),3,1)+xCrudeAPO(BU72,BV72,CA72,CB72,S73,S74,BI72,BL72,BP72,BQ72,0,Strike1,AO72,CE72,0,BL72,IF(OptControl=4,0,1),3,2))/100,0)</f>
        <v>0</v>
      </c>
      <c r="CI72" s="470" t="n">
        <f aca="false">IF(BD72,xCrudeAPO(BU72,BV72,CA72,CB72,S73,S74,BI72-DaysForThetaCalculation/365.25,BL72-DaysForThetaCalculation/365.25,BP72,BQ72,0,Strike1,AO72,CE72,0,BL72,IF(OptControl=4,0,1),0,1)-xCrudeAPO(BU72,BV72,CA72,CB72,S73,S74,BI72,BL72,BP72,BQ72,0,Strike1,AO72,CE72,0,BL72,IF(OptControl=4,0,1),0,1),0)</f>
        <v>0</v>
      </c>
      <c r="CJ72" s="471" t="n">
        <f aca="false">IF(BD72,xCrudeAPO(BU72,BV72,CC72,CD72,S73,S74,BI72,BL72,BP72,BQ72,0,Strike2,AO72,CE72,0,BL72,IF(OptControl=3,1,0),0,1),0)</f>
        <v>0</v>
      </c>
      <c r="CK72" s="470" t="n">
        <f aca="false">IF(BD72,xCrudeAPO(BU72,BV72,CC72,CD72,S73,S74,BI72,BL72,BP72,BQ72,0,Strike2,AO72,CE72,0,BL72,IF(OptControl=3,1,0),1,1)+xCrudeAPO(BU72,BV72,CC72,CD72,S73,S74,BI72,BL72,BP72,BQ72,0,Strike2,AO72,CE72,0,BL72,IF(OptControl=3,1,0),1,2)+IF(OR(VolSkewFlag=2,ABS(BT72)&lt;0.0001),0,IF(BT72&gt;0,-1,1)*CL72*Strike2/BR72^2*BZ72/10%),0)</f>
        <v>0</v>
      </c>
      <c r="CL72" s="470" t="n">
        <f aca="false">IF(BD72,(xCrudeAPO(BU72,BV72,CC72,CD72,S73,S74,BI72,BL72,BP72,BQ72,0,Strike2,AO72,CE72,0,BL72,IF(OptControl=3,1,0),3,1)+xCrudeAPO(BU72,BV72,CC72,CD72,S73,S74,BI72,BL72,BP72,BQ72,0,Strike2,AO72,CE72,0,BL72,IF(OptControl=3,1,0),3,2))/100,0)</f>
        <v>0</v>
      </c>
      <c r="CM72" s="472" t="n">
        <f aca="false">IF(BD72,xCrudeAPO(BU72,BV72,CC72,CD72,S73,S74,BI72-DaysForThetaCalculation/365.25,BL72-DaysForThetaCalculation/365.25,BP72,BQ72,0,Strike2,AO72,CE72,0,BL72,IF(OptControl=3,1,0),0,1)-xCrudeAPO(BU72,BV72,CC72,CD72,S73,S74,BI72,BL72,BP72,BQ72,0,Strike2,AO72,CE72,0,BL72,IF(OptControl=3,1,0),0,1),0)</f>
        <v>0</v>
      </c>
      <c r="CN72" s="3"/>
      <c r="CO72" s="543" t="str">
        <f aca="false">IF(BD72,CHOOSE(Underlying,AD72,AF72)-DateToday+1,"")</f>
        <v/>
      </c>
      <c r="CP72" s="582" t="str">
        <f aca="false">IF(BD72,CHOOSE(Underlying,L72,R72),"")</f>
        <v/>
      </c>
      <c r="CQ72" s="544" t="str">
        <f aca="false">IF(BD72,Strike1/CP72-1,"")</f>
        <v/>
      </c>
      <c r="CR72" s="544" t="str">
        <f aca="false">IF(BD72,Strike2/CP72-1,"")</f>
        <v/>
      </c>
      <c r="CS72" s="544" t="str">
        <f aca="false">IF(BD72,IF(CQ72&gt;0,IF(CQ72&gt;0.2,BC71-BB71,IF(CQ72&gt;0.1,BB71-BA71,BA71)),IF(CQ72&lt;-0.2,AX71-AY71,IF(CQ72&lt;-0.1,AY71-AZ71,AZ71))),"")</f>
        <v/>
      </c>
      <c r="CT72" s="544" t="str">
        <f aca="false">IF(BD72,IF(CR72&gt;0,IF(CR72&gt;0.2,BC71-BB71,IF(CR72&gt;0.1,BB71-BA71,BA71)),IF(CR72&lt;-0.2,AX71-AY71,IF(CR72&lt;-0.1,AY71-AZ71,AZ71))),"")</f>
        <v/>
      </c>
      <c r="CU72" s="545" t="str">
        <f aca="false">IF(BD72,CHOOSE(Underlying,O72,AT72),"")</f>
        <v/>
      </c>
      <c r="CV72" s="545" t="str">
        <f aca="false">IF(BD72,CU72+IF(VolSkewFlag=1,IF(CQ72&gt;0,BA71*MIN(CQ72/10%,1)+(BB71-BA71)*MAX(0,MIN(CQ72/10%-1,1))+(BC71-BB71)*MAX(0,CQ72/10%-2),AZ71*MIN(-CQ72/10%,1)+(AY71-AZ71)*MAX(0,MIN(-CQ72/10%-1,1))+(AX71-AY71)*MAX(0,-CQ72/10%-2)),0),"")</f>
        <v/>
      </c>
      <c r="CW72" s="545" t="str">
        <f aca="false">IF(BD72,CU72+IF(VolSkewFlag=1,IF(CR72&gt;0,BA71*MIN(CR72/10%,1)+(BB71-BA71)*MAX(0,MIN(CR72/10%-1,1))+(BC71-BB71)*MAX(0,CR72/10%-2),AZ71*MIN(-CR72/10%,1)+(AY71-AZ71)*MAX(0,MIN(-CR72/10%-1,1))+(AX71-AY71)*MAX(0,-CR72/10%-2)),0),"")</f>
        <v/>
      </c>
      <c r="CX72" s="470" t="n">
        <f aca="false">IF(BD72,EURO(CP72,Strike1,AO72,AO72,CV72,CO72,IF(OptControl=4,0,1),0),0)</f>
        <v>0</v>
      </c>
      <c r="CY72" s="470" t="n">
        <f aca="false">IF(BD72,EURO(CP72,Strike1,AO72,AO72,CV72,CO72,IF(OptControl=4,0,1),1)+IF(OR(VolSkewFlag=2,ABS(CQ72)&lt;0.0001),0,IF(CQ72&gt;0,-1,1)*CZ72*100*Strike1/CP72^2*CS72/10%),0)</f>
        <v>0</v>
      </c>
      <c r="CZ72" s="470" t="n">
        <f aca="false">IF(BD72,EURO(CP72,Strike1,AO72,AO72,CV72,CO72,IF(OptControl=4,0,1),3)/100,0)</f>
        <v>0</v>
      </c>
      <c r="DA72" s="470" t="n">
        <f aca="false">IF(BD72,EURO(CP72,Strike1,AO72,AO72,CV72,CO72,IF(OptControl=4,0,1),0)-EURO(CP72,Strike1,AO72,AO72,CV72,CO72-1,IF(OptControl=4,0,1),0),0)</f>
        <v>0</v>
      </c>
      <c r="DB72" s="470" t="n">
        <f aca="false">IF(BD72,EURO(CP72,Strike2,AO72,AO72,CW72,CO72,IF(OptControl=3,1,0),0),0)</f>
        <v>0</v>
      </c>
      <c r="DC72" s="470" t="n">
        <f aca="false">IF(BD72,EURO(CP72,Strike2,AO72,AO72,CW72,CO72,IF(OptControl=3,1,0),1)+IF(OR(VolSkewFlag=2,ABS(CR72)&lt;0.0001),0,IF(CR72&gt;0,-1,1)*DD72*100*Strike2/CP72^2*CT72/10%),0)</f>
        <v>0</v>
      </c>
      <c r="DD72" s="470" t="n">
        <f aca="false">IF(BD72,EURO(CP72,Strike2,AO72,AO72,CW72,CO72,IF(OptControl=3,1,0),3)/100,0)</f>
        <v>0</v>
      </c>
      <c r="DE72" s="472" t="n">
        <f aca="false">IF(BD72,EURO(CP72,Strike2,AO72,AO72,CW72,CO72,IF(OptControl=3,1,0),0)-EURO(CP72,Strike2,AO72,AO72,CW72,CO72-1,IF(OptControl=3,1,0),0),0)</f>
        <v>0</v>
      </c>
      <c r="DG72" s="481" t="n">
        <f aca="false">EOMONTH(DG71,0)+1</f>
        <v>47270</v>
      </c>
      <c r="DH72" s="478" t="n">
        <v>18.39</v>
      </c>
      <c r="DI72" s="479" t="n">
        <v>18.3831818181818</v>
      </c>
      <c r="DJ72" s="480" t="n">
        <f aca="false">DG72</f>
        <v>47270</v>
      </c>
      <c r="DK72" s="478" t="n">
        <v>17.0775212609921</v>
      </c>
      <c r="DL72" s="479" t="n">
        <v>17.1441818181818</v>
      </c>
      <c r="DM72" s="481" t="n">
        <f aca="false">DG72</f>
        <v>47270</v>
      </c>
      <c r="DN72" s="482" t="n">
        <f aca="false">DK72+BrentPhyBrentSpread</f>
        <v>17.1275212609921</v>
      </c>
      <c r="DO72" s="481" t="n">
        <f aca="false">DG72</f>
        <v>47270</v>
      </c>
      <c r="DP72" s="483" t="n">
        <f aca="false">DL72+DQ72</f>
        <v>17.1441818181818</v>
      </c>
      <c r="DQ72" s="546" t="n">
        <v>0</v>
      </c>
      <c r="DR72" s="480" t="n">
        <f aca="false">DG72</f>
        <v>47270</v>
      </c>
      <c r="DS72" s="485" t="n">
        <v>0.200017233385867</v>
      </c>
      <c r="DT72" s="486" t="n">
        <v>0.199382580908819</v>
      </c>
      <c r="DU72" s="480" t="n">
        <f aca="false">DG72</f>
        <v>47270</v>
      </c>
      <c r="DV72" s="485" t="n">
        <v>0.200017233385867</v>
      </c>
      <c r="DW72" s="486" t="n">
        <v>0.199382580908819</v>
      </c>
      <c r="DX72" s="481" t="n">
        <f aca="false">DG72</f>
        <v>47270</v>
      </c>
      <c r="DY72" s="486" t="n">
        <v>0.35</v>
      </c>
      <c r="DZ72" s="481" t="n">
        <f aca="false">DR72</f>
        <v>47270</v>
      </c>
      <c r="EA72" s="486" t="n">
        <f aca="false">DT72</f>
        <v>0.199382580908819</v>
      </c>
      <c r="EB72" s="195"/>
      <c r="EC72" s="547" t="str">
        <f aca="false">IF(BD72,IF(Underlying=1,AS72,AU72),"")</f>
        <v/>
      </c>
      <c r="ED72" s="548" t="str">
        <f aca="false">IF($BD72,$EC72+IF(VolSkewFlag=1,IF(BS72&gt;0,$BA72*MIN(BS72/10%,1)+($BB72-$BA72)*MAX(0,MIN(BS72/10%-1,1))+($BC72-$BB72)*MAX(0,BS72/10%-2),$AZ72*MIN(-BS72/10%,1)+($AY72-$AZ72)*MAX(0,MIN(-BS72/10%-1,1))+($AX72-$AY72)*MAX(0,-BS72/10%-2)),0),"")</f>
        <v/>
      </c>
      <c r="EE72" s="549" t="str">
        <f aca="false">IF($BD72,$EC72+IF(VolSkewFlag=1,IF(BT72&gt;0,$BA72*MIN(BT72/10%,1)+($BB72-$BA72)*MAX(0,MIN(BT72/10%-1,1))+($BC72-$BB72)*MAX(0,BT72/10%-2),$AZ72*MIN(-BT72/10%,1)+($AY72-$AZ72)*MAX(0,MIN(-BT72/10%-1,1))+($AX72-$AY72)*MAX(0,-BT72/10%-2)),0),"")</f>
        <v/>
      </c>
      <c r="EF72" s="550" t="n">
        <f aca="false">IF(BD72,xASN(BR72,Strike1,AO72,ED72,0,BO72,0,BI72,BL72,IF(OptControl=4,0,1),0),0)</f>
        <v>0</v>
      </c>
      <c r="EG72" s="551" t="n">
        <f aca="false">IF(BD72,xASN(BR72,Strike2,AO72,EE72,0,BO72,0,BI72,BL72,IF(OptControl=3,1,0),0),0)</f>
        <v>0</v>
      </c>
      <c r="EL72" s="1"/>
      <c r="EM72" s="195"/>
      <c r="EN72" s="556" t="n">
        <v>42005</v>
      </c>
      <c r="EO72" s="557" t="n">
        <v>46023</v>
      </c>
      <c r="EP72" s="195"/>
      <c r="EQ72" s="407" t="s">
        <v>298</v>
      </c>
      <c r="ES72" s="587" t="n">
        <v>53</v>
      </c>
      <c r="ET72" s="559" t="n">
        <f aca="false">BH72/365.25</f>
        <v>-20.7748117727584</v>
      </c>
      <c r="EU72" s="560" t="n">
        <f aca="false">O72^2*ET72</f>
        <v>-0</v>
      </c>
      <c r="EV72" s="588" t="e">
        <f aca="false">SQRT(SUM(FK72:ID72)/ET72)</f>
        <v>#VALUE!</v>
      </c>
      <c r="EW72" s="589" t="str">
        <f aca="false">IF(OR(DateStart2&gt;I71,DateEnd2&lt;I70),"",IF(DateStart2&lt;I71,AK70/AI70*AP70*BE70*SwaptionNumOfMonths/$D$33,0)+IF(DateEnd2&gt;I70,AJ71/AI71*AP71*BE71*SwaptionNumOfMonths/$D$33,0))</f>
        <v/>
      </c>
      <c r="EX72" s="590" t="str">
        <f aca="false">IF(EW72="","",SQRT(SUM(FK377:ID377)/SwaptionYearsToExp))</f>
        <v/>
      </c>
      <c r="EY72" s="129" t="n">
        <v>0</v>
      </c>
      <c r="EZ72" s="591" t="str">
        <f aca="false">IF(OR(EW72="",EW73=""),"",SQRT(SUM(INDEX(FK72:ID72,SwaptionFirstMonthPosition+1):INDEX(FK72:ID72,FJ72))/SUM(INDEX($FK$15:$ID$15,SwaptionFirstMonthPosition+1):INDEX($FK$15:$ID$15,FJ72))))</f>
        <v/>
      </c>
      <c r="FA72" s="592" t="str">
        <f aca="false">IF(OR(EW72="",EW71=""),"",SQRT(SUM(INDEX(FK72:ID72,SwaptionFirstMonthPosition+1):INDEX(FK72:ID72,FJ72-1))/SUM(INDEX($FK$15:$ID$15,SwaptionFirstMonthPosition+1):INDEX($FK$15:$ID$15,FJ72-1))))</f>
        <v/>
      </c>
      <c r="FB72" s="593" t="str">
        <f aca="false">IF(BE72,2/3*EZ73+1/3*FA74,"")</f>
        <v/>
      </c>
      <c r="FC72" s="596" t="str">
        <f aca="false">IF(BE72,(I73+I72-1)/2-DateToday,"")</f>
        <v/>
      </c>
      <c r="FD72" s="483" t="str">
        <f aca="false">IF(BE72,CHOOSE(Underlying,X72,Z72)+SwaptionUnderlyingPrice-$D$26,"")</f>
        <v/>
      </c>
      <c r="FE72" s="483" t="str">
        <f aca="false">IF(BE72,CollartionFloor/FD72-1,"")</f>
        <v/>
      </c>
      <c r="FF72" s="483" t="str">
        <f aca="false">IF(BE72,CollartionCap/FD72-1,"")</f>
        <v/>
      </c>
      <c r="FG72" s="485" t="str">
        <f aca="false">IF(BE72,IF(VolSkewFlag=1,IF(FE72&gt;0,$BA72*MIN(FE72/10%,1)+($BB72-$BA72)*MAX(0,MIN(FE72/10%-1,1))+($BC72-$BB72)*MAX(0,FE72/10%-2),$AZ72*MIN(-FE72/10%,1)+($AY72-$AZ72)*MAX(0,MIN(-FE72/10%-1,1))+($AX72-$AY72)*MAX(0,-FE72/10%-2)),0),"")</f>
        <v/>
      </c>
      <c r="FH72" s="486" t="str">
        <f aca="false">IF(BE72,IF(VolSkewFlag=1,IF(FF72&gt;0,$BA72*MIN(FF72/10%,1)+($BB72-$BA72)*MAX(0,MIN(FF72/10%-1,1))+($BC72-$BB72)*MAX(0,FF72/10%-2),$AZ72*MIN(-FF72/10%,1)+($AY72-$AZ72)*MAX(0,MIN(-FF72/10%-1,1))+($AX72-$AY72)*MAX(0,-FF72/10%-2)),0),"")</f>
        <v/>
      </c>
      <c r="FI72" s="129"/>
      <c r="FJ72" s="571" t="n">
        <v>53</v>
      </c>
      <c r="FK72" s="150" t="n">
        <f aca="false">IF(FK$19&gt;$FJ72,"",MAX(0,IF(FK$19=$FJ72,$S72^2*FK$15,FK71*INDEX($T$20:$T$91,$FJ72-FK$19)^2/INDEX($U$20:$U$91,$FJ72-FK$19))))</f>
        <v>0</v>
      </c>
      <c r="FL72" s="150" t="n">
        <f aca="false">IF(FL$19&gt;$FJ72,"",MAX(0,IF(FL$19=$FJ72,$S72^2*FL$15,FL71*INDEX($T$20:$T$91,$FJ72-FL$19)^2/INDEX($U$20:$U$91,$FJ72-FL$19))))</f>
        <v>0</v>
      </c>
      <c r="FM72" s="150" t="n">
        <f aca="false">IF(FM$19&gt;$FJ72,"",MAX(0,IF(FM$19=$FJ72,$S72^2*FM$15,FM71*INDEX($T$20:$T$91,$FJ72-FM$19)^2/INDEX($U$20:$U$91,$FJ72-FM$19))))</f>
        <v>0.00254832818354045</v>
      </c>
      <c r="FN72" s="150" t="n">
        <f aca="false">IF(FN$19&gt;$FJ72,"",MAX(0,IF(FN$19=$FJ72,$S72^2*FN$15,FN71*INDEX($T$20:$T$91,$FJ72-FN$19)^2/INDEX($U$20:$U$91,$FJ72-FN$19))))</f>
        <v>0.00214507425255472</v>
      </c>
      <c r="FO72" s="150" t="n">
        <f aca="false">IF(FO$19&gt;$FJ72,"",MAX(0,IF(FO$19=$FJ72,$S72^2*FO$15,FO71*INDEX($T$20:$T$91,$FJ72-FO$19)^2/INDEX($U$20:$U$91,$FJ72-FO$19))))</f>
        <v>0.00223146594515965</v>
      </c>
      <c r="FP72" s="150" t="n">
        <f aca="false">IF(FP$19&gt;$FJ72,"",MAX(0,IF(FP$19=$FJ72,$S72^2*FP$15,FP71*INDEX($T$20:$T$91,$FJ72-FP$19)^2/INDEX($U$20:$U$91,$FJ72-FP$19))))</f>
        <v>0.00247304484965605</v>
      </c>
      <c r="FQ72" s="150" t="n">
        <f aca="false">IF(FQ$19&gt;$FJ72,"",MAX(0,IF(FQ$19=$FJ72,$S72^2*FQ$15,FQ71*INDEX($T$20:$T$91,$FJ72-FQ$19)^2/INDEX($U$20:$U$91,$FJ72-FQ$19))))</f>
        <v>0.00200252162701728</v>
      </c>
      <c r="FR72" s="150" t="n">
        <f aca="false">IF(FR$19&gt;$FJ72,"",MAX(0,IF(FR$19=$FJ72,$S72^2*FR$15,FR71*INDEX($T$20:$T$91,$FJ72-FR$19)^2/INDEX($U$20:$U$91,$FJ72-FR$19))))</f>
        <v>0.0020478842454378</v>
      </c>
      <c r="FS72" s="150" t="n">
        <f aca="false">IF(FS$19&gt;$FJ72,"",MAX(0,IF(FS$19=$FJ72,$S72^2*FS$15,FS71*INDEX($T$20:$T$91,$FJ72-FS$19)^2/INDEX($U$20:$U$91,$FJ72-FS$19))))</f>
        <v>0.00230833724308415</v>
      </c>
      <c r="FT72" s="150" t="n">
        <f aca="false">IF(FT$19&gt;$FJ72,"",MAX(0,IF(FT$19=$FJ72,$S72^2*FT$15,FT71*INDEX($T$20:$T$91,$FJ72-FT$19)^2/INDEX($U$20:$U$91,$FJ72-FT$19))))</f>
        <v>0.00208373772049077</v>
      </c>
      <c r="FU72" s="150" t="n">
        <f aca="false">IF(FU$19&gt;$FJ72,"",MAX(0,IF(FU$19=$FJ72,$S72^2*FU$15,FU71*INDEX($T$20:$T$91,$FJ72-FU$19)^2/INDEX($U$20:$U$91,$FJ72-FU$19))))</f>
        <v>0.00200384031333606</v>
      </c>
      <c r="FV72" s="150" t="n">
        <f aca="false">IF(FV$19&gt;$FJ72,"",MAX(0,IF(FV$19=$FJ72,$S72^2*FV$15,FV71*INDEX($T$20:$T$91,$FJ72-FV$19)^2/INDEX($U$20:$U$91,$FJ72-FV$19))))</f>
        <v>0.0022028001663021</v>
      </c>
      <c r="FW72" s="150" t="n">
        <f aca="false">IF(FW$19&gt;$FJ72,"",MAX(0,IF(FW$19=$FJ72,$S72^2*FW$15,FW71*INDEX($T$20:$T$91,$FJ72-FW$19)^2/INDEX($U$20:$U$91,$FJ72-FW$19))))</f>
        <v>0.00205958842334752</v>
      </c>
      <c r="FX72" s="150" t="n">
        <f aca="false">IF(FX$19&gt;$FJ72,"",MAX(0,IF(FX$19=$FJ72,$S72^2*FX$15,FX71*INDEX($T$20:$T$91,$FJ72-FX$19)^2/INDEX($U$20:$U$91,$FJ72-FX$19))))</f>
        <v>0.00219286108374919</v>
      </c>
      <c r="FY72" s="150" t="n">
        <f aca="false">IF(FY$19&gt;$FJ72,"",MAX(0,IF(FY$19=$FJ72,$S72^2*FY$15,FY71*INDEX($T$20:$T$91,$FJ72-FY$19)^2/INDEX($U$20:$U$91,$FJ72-FY$19))))</f>
        <v>0.00205340241213523</v>
      </c>
      <c r="FZ72" s="150" t="n">
        <f aca="false">IF(FZ$19&gt;$FJ72,"",MAX(0,IF(FZ$19=$FJ72,$S72^2*FZ$15,FZ71*INDEX($T$20:$T$91,$FJ72-FZ$19)^2/INDEX($U$20:$U$91,$FJ72-FZ$19))))</f>
        <v>0.00191529458013182</v>
      </c>
      <c r="GA72" s="150" t="n">
        <f aca="false">IF(GA$19&gt;$FJ72,"",MAX(0,IF(GA$19=$FJ72,$S72^2*GA$15,GA71*INDEX($T$20:$T$91,$FJ72-GA$19)^2/INDEX($U$20:$U$91,$FJ72-GA$19))))</f>
        <v>0.00205171288139102</v>
      </c>
      <c r="GB72" s="150" t="n">
        <f aca="false">IF(GB$19&gt;$FJ72,"",MAX(0,IF(GB$19=$FJ72,$S72^2*GB$15,GB71*INDEX($T$20:$T$91,$FJ72-GB$19)^2/INDEX($U$20:$U$91,$FJ72-GB$19))))</f>
        <v>0.00225731968117707</v>
      </c>
      <c r="GC72" s="150" t="n">
        <f aca="false">IF(GC$19&gt;$FJ72,"",MAX(0,IF(GC$19=$FJ72,$S72^2*GC$15,GC71*INDEX($T$20:$T$91,$FJ72-GC$19)^2/INDEX($U$20:$U$91,$FJ72-GC$19))))</f>
        <v>0.0019847700882288</v>
      </c>
      <c r="GD72" s="150" t="n">
        <f aca="false">IF(GD$19&gt;$FJ72,"",MAX(0,IF(GD$19=$FJ72,$S72^2*GD$15,GD71*INDEX($T$20:$T$91,$FJ72-GD$19)^2/INDEX($U$20:$U$91,$FJ72-GD$19))))</f>
        <v>0.0019864799612187</v>
      </c>
      <c r="GE72" s="150" t="n">
        <f aca="false">IF(GE$19&gt;$FJ72,"",MAX(0,IF(GE$19=$FJ72,$S72^2*GE$15,GE71*INDEX($T$20:$T$91,$FJ72-GE$19)^2/INDEX($U$20:$U$91,$FJ72-GE$19))))</f>
        <v>0.00226315149003325</v>
      </c>
      <c r="GF72" s="150" t="n">
        <f aca="false">IF(GF$19&gt;$FJ72,"",MAX(0,IF(GF$19=$FJ72,$S72^2*GF$15,GF71*INDEX($T$20:$T$91,$FJ72-GF$19)^2/INDEX($U$20:$U$91,$FJ72-GF$19))))</f>
        <v>0.00199184430461451</v>
      </c>
      <c r="GG72" s="150" t="n">
        <f aca="false">IF(GG$19&gt;$FJ72,"",MAX(0,IF(GG$19=$FJ72,$S72^2*GG$15,GG71*INDEX($T$20:$T$91,$FJ72-GG$19)^2/INDEX($U$20:$U$91,$FJ72-GG$19))))</f>
        <v>0.00220201121141105</v>
      </c>
      <c r="GH72" s="150" t="n">
        <f aca="false">IF(GH$19&gt;$FJ72,"",MAX(0,IF(GH$19=$FJ72,$S72^2*GH$15,GH71*INDEX($T$20:$T$91,$FJ72-GH$19)^2/INDEX($U$20:$U$91,$FJ72-GH$19))))</f>
        <v>0.00206905942538143</v>
      </c>
      <c r="GI72" s="150" t="n">
        <f aca="false">IF(GI$19&gt;$FJ72,"",MAX(0,IF(GI$19=$FJ72,$S72^2*GI$15,GI71*INDEX($T$20:$T$91,$FJ72-GI$19)^2/INDEX($U$20:$U$91,$FJ72-GI$19))))</f>
        <v>0.00200550039579164</v>
      </c>
      <c r="GJ72" s="150" t="n">
        <f aca="false">IF(GJ$19&gt;$FJ72,"",MAX(0,IF(GJ$19=$FJ72,$S72^2*GJ$15,GJ71*INDEX($T$20:$T$91,$FJ72-GJ$19)^2/INDEX($U$20:$U$91,$FJ72-GJ$19))))</f>
        <v>0.00228943895606031</v>
      </c>
      <c r="GK72" s="150" t="n">
        <f aca="false">IF(GK$19&gt;$FJ72,"",MAX(0,IF(GK$19=$FJ72,$S72^2*GK$15,GK71*INDEX($T$20:$T$91,$FJ72-GK$19)^2/INDEX($U$20:$U$91,$FJ72-GK$19))))</f>
        <v>0.0020891833509963</v>
      </c>
      <c r="GL72" s="150" t="n">
        <f aca="false">IF(GL$19&gt;$FJ72,"",MAX(0,IF(GL$19=$FJ72,$S72^2*GL$15,GL71*INDEX($T$20:$T$91,$FJ72-GL$19)^2/INDEX($U$20:$U$91,$FJ72-GL$19))))</f>
        <v>0.00202853460473854</v>
      </c>
      <c r="GM72" s="150" t="n">
        <f aca="false">IF(GM$19&gt;$FJ72,"",MAX(0,IF(GM$19=$FJ72,$S72^2*GM$15,GM71*INDEX($T$20:$T$91,$FJ72-GM$19)^2/INDEX($U$20:$U$91,$FJ72-GM$19))))</f>
        <v>0.00217977106970582</v>
      </c>
      <c r="GN72" s="150" t="n">
        <f aca="false">IF(GN$19&gt;$FJ72,"",MAX(0,IF(GN$19=$FJ72,$S72^2*GN$15,GN71*INDEX($T$20:$T$91,$FJ72-GN$19)^2/INDEX($U$20:$U$91,$FJ72-GN$19))))</f>
        <v>0.00219314141870594</v>
      </c>
      <c r="GO72" s="150" t="n">
        <f aca="false">IF(GO$19&gt;$FJ72,"",MAX(0,IF(GO$19=$FJ72,$S72^2*GO$15,GO71*INDEX($T$20:$T$91,$FJ72-GO$19)^2/INDEX($U$20:$U$91,$FJ72-GO$19))))</f>
        <v>0.00220891341602258</v>
      </c>
      <c r="GP72" s="150" t="n">
        <f aca="false">IF(GP$19&gt;$FJ72,"",MAX(0,IF(GP$19=$FJ72,$S72^2*GP$15,GP71*INDEX($T$20:$T$91,$FJ72-GP$19)^2/INDEX($U$20:$U$91,$FJ72-GP$19))))</f>
        <v>0.00201196446352787</v>
      </c>
      <c r="GQ72" s="150" t="n">
        <f aca="false">IF(GQ$19&gt;$FJ72,"",MAX(0,IF(GQ$19=$FJ72,$S72^2*GQ$15,GQ71*INDEX($T$20:$T$91,$FJ72-GQ$19)^2/INDEX($U$20:$U$91,$FJ72-GQ$19))))</f>
        <v>0.00224953582530476</v>
      </c>
      <c r="GR72" s="150" t="n">
        <f aca="false">IF(GR$19&gt;$FJ72,"",MAX(0,IF(GR$19=$FJ72,$S72^2*GR$15,GR71*INDEX($T$20:$T$91,$FJ72-GR$19)^2/INDEX($U$20:$U$91,$FJ72-GR$19))))</f>
        <v>0.00220217277980841</v>
      </c>
      <c r="GS72" s="150" t="n">
        <f aca="false">IF(GS$19&gt;$FJ72,"",MAX(0,IF(GS$19=$FJ72,$S72^2*GS$15,GS71*INDEX($T$20:$T$91,$FJ72-GS$19)^2/INDEX($U$20:$U$91,$FJ72-GS$19))))</f>
        <v>0.00230645833255644</v>
      </c>
      <c r="GT72" s="150" t="n">
        <f aca="false">IF(GT$19&gt;$FJ72,"",MAX(0,IF(GT$19=$FJ72,$S72^2*GT$15,GT71*INDEX($T$20:$T$91,$FJ72-GT$19)^2/INDEX($U$20:$U$91,$FJ72-GT$19))))</f>
        <v>0.00226756946966386</v>
      </c>
      <c r="GU72" s="150" t="n">
        <f aca="false">IF(GU$19&gt;$FJ72,"",MAX(0,IF(GU$19=$FJ72,$S72^2*GU$15,GU71*INDEX($T$20:$T$91,$FJ72-GU$19)^2/INDEX($U$20:$U$91,$FJ72-GU$19))))</f>
        <v>0.00238688041058085</v>
      </c>
      <c r="GV72" s="150" t="n">
        <f aca="false">IF(GV$19&gt;$FJ72,"",MAX(0,IF(GV$19=$FJ72,$S72^2*GV$15,GV71*INDEX($T$20:$T$91,$FJ72-GV$19)^2/INDEX($U$20:$U$91,$FJ72-GV$19))))</f>
        <v>0.002439144062285</v>
      </c>
      <c r="GW72" s="150" t="n">
        <f aca="false">IF(GW$19&gt;$FJ72,"",MAX(0,IF(GW$19=$FJ72,$S72^2*GW$15,GW71*INDEX($T$20:$T$91,$FJ72-GW$19)^2/INDEX($U$20:$U$91,$FJ72-GW$19))))</f>
        <v>0.0024211402382729</v>
      </c>
      <c r="GX72" s="150" t="n">
        <f aca="false">IF(GX$19&gt;$FJ72,"",MAX(0,IF(GX$19=$FJ72,$S72^2*GX$15,GX71*INDEX($T$20:$T$91,$FJ72-GX$19)^2/INDEX($U$20:$U$91,$FJ72-GX$19))))</f>
        <v>0.00257739566859978</v>
      </c>
      <c r="GY72" s="150" t="n">
        <f aca="false">IF(GY$19&gt;$FJ72,"",MAX(0,IF(GY$19=$FJ72,$S72^2*GY$15,GY71*INDEX($T$20:$T$91,$FJ72-GY$19)^2/INDEX($U$20:$U$91,$FJ72-GY$19))))</f>
        <v>0.00258280416047963</v>
      </c>
      <c r="GZ72" s="150" t="n">
        <f aca="false">IF(GZ$19&gt;$FJ72,"",MAX(0,IF(GZ$19=$FJ72,$S72^2*GZ$15,GZ71*INDEX($T$20:$T$91,$FJ72-GZ$19)^2/INDEX($U$20:$U$91,$FJ72-GZ$19))))</f>
        <v>0.00278038929668672</v>
      </c>
      <c r="HA72" s="150" t="n">
        <f aca="false">IF(HA$19&gt;$FJ72,"",MAX(0,IF(HA$19=$FJ72,$S72^2*HA$15,HA71*INDEX($T$20:$T$91,$FJ72-HA$19)^2/INDEX($U$20:$U$91,$FJ72-HA$19))))</f>
        <v>0.00291720648434575</v>
      </c>
      <c r="HB72" s="150" t="n">
        <f aca="false">IF(HB$19&gt;$FJ72,"",MAX(0,IF(HB$19=$FJ72,$S72^2*HB$15,HB71*INDEX($T$20:$T$91,$FJ72-HB$19)^2/INDEX($U$20:$U$91,$FJ72-HB$19))))</f>
        <v>0.00288738452119398</v>
      </c>
      <c r="HC72" s="150" t="n">
        <f aca="false">IF(HC$19&gt;$FJ72,"",MAX(0,IF(HC$19=$FJ72,$S72^2*HC$15,HC71*INDEX($T$20:$T$91,$FJ72-HC$19)^2/INDEX($U$20:$U$91,$FJ72-HC$19))))</f>
        <v>0.00329811150151978</v>
      </c>
      <c r="HD72" s="150" t="n">
        <f aca="false">IF(HD$19&gt;$FJ72,"",MAX(0,IF(HD$19=$FJ72,$S72^2*HD$15,HD71*INDEX($T$20:$T$91,$FJ72-HD$19)^2/INDEX($U$20:$U$91,$FJ72-HD$19))))</f>
        <v>0.00345064916750041</v>
      </c>
      <c r="HE72" s="150" t="n">
        <f aca="false">IF(HE$19&gt;$FJ72,"",MAX(0,IF(HE$19=$FJ72,$S72^2*HE$15,HE71*INDEX($T$20:$T$91,$FJ72-HE$19)^2/INDEX($U$20:$U$91,$FJ72-HE$19))))</f>
        <v>0.00390871248500255</v>
      </c>
      <c r="HF72" s="150" t="n">
        <f aca="false">IF(HF$19&gt;$FJ72,"",MAX(0,IF(HF$19=$FJ72,$S72^2*HF$15,HF71*INDEX($T$20:$T$91,$FJ72-HF$19)^2/INDEX($U$20:$U$91,$FJ72-HF$19))))</f>
        <v>0.00421531555936217</v>
      </c>
      <c r="HG72" s="150" t="n">
        <f aca="false">IF(HG$19&gt;$FJ72,"",MAX(0,IF(HG$19=$FJ72,$S72^2*HG$15,HG71*INDEX($T$20:$T$91,$FJ72-HG$19)^2/INDEX($U$20:$U$91,$FJ72-HG$19))))</f>
        <v>0.00495011355149407</v>
      </c>
      <c r="HH72" s="150" t="n">
        <f aca="false">IF(HH$19&gt;$FJ72,"",MAX(0,IF(HH$19=$FJ72,$S72^2*HH$15,HH71*INDEX($T$20:$T$91,$FJ72-HH$19)^2/INDEX($U$20:$U$91,$FJ72-HH$19))))</f>
        <v>0.00575872905555833</v>
      </c>
      <c r="HI72" s="150" t="n">
        <f aca="false">IF(HI$19&gt;$FJ72,"",MAX(0,IF(HI$19=$FJ72,$S72^2*HI$15,HI71*INDEX($T$20:$T$91,$FJ72-HI$19)^2/INDEX($U$20:$U$91,$FJ72-HI$19))))</f>
        <v>0.00666804952138206</v>
      </c>
      <c r="HJ72" s="150" t="n">
        <f aca="false">IF(HJ$19&gt;$FJ72,"",MAX(0,IF(HJ$19=$FJ72,$S72^2*HJ$15,HJ71*INDEX($T$20:$T$91,$FJ72-HJ$19)^2/INDEX($U$20:$U$91,$FJ72-HJ$19))))</f>
        <v>0.00852847092202138</v>
      </c>
      <c r="HK72" s="150" t="n">
        <f aca="false">IF(HK$19&gt;$FJ72,"",MAX(0,IF(HK$19=$FJ72,$S72^2*HK$15,HK71*INDEX($T$20:$T$91,$FJ72-HK$19)^2/INDEX($U$20:$U$91,$FJ72-HK$19))))</f>
        <v>0.0106447648650964</v>
      </c>
      <c r="HL72" s="150" t="str">
        <f aca="false">IF(HL$19&gt;$FJ72,"",MAX(0,IF(HL$19=$FJ72,$S72^2*HL$15,HL71*INDEX($T$20:$T$91,$FJ72-HL$19)^2/INDEX($U$20:$U$91,$FJ72-HL$19))))</f>
        <v/>
      </c>
      <c r="HM72" s="150" t="str">
        <f aca="false">IF(HM$19&gt;$FJ72,"",MAX(0,IF(HM$19=$FJ72,$S72^2*HM$15,HM71*INDEX($T$20:$T$91,$FJ72-HM$19)^2/INDEX($U$20:$U$91,$FJ72-HM$19))))</f>
        <v/>
      </c>
      <c r="HN72" s="150" t="str">
        <f aca="false">IF(HN$19&gt;$FJ72,"",MAX(0,IF(HN$19=$FJ72,$S72^2*HN$15,HN71*INDEX($T$20:$T$91,$FJ72-HN$19)^2/INDEX($U$20:$U$91,$FJ72-HN$19))))</f>
        <v/>
      </c>
      <c r="HO72" s="150" t="str">
        <f aca="false">IF(HO$19&gt;$FJ72,"",MAX(0,IF(HO$19=$FJ72,$S72^2*HO$15,HO71*INDEX($T$20:$T$91,$FJ72-HO$19)^2/INDEX($U$20:$U$91,$FJ72-HO$19))))</f>
        <v/>
      </c>
      <c r="HP72" s="150" t="str">
        <f aca="false">IF(HP$19&gt;$FJ72,"",MAX(0,IF(HP$19=$FJ72,$S72^2*HP$15,HP71*INDEX($T$20:$T$91,$FJ72-HP$19)^2/INDEX($U$20:$U$91,$FJ72-HP$19))))</f>
        <v/>
      </c>
      <c r="HQ72" s="150" t="str">
        <f aca="false">IF(HQ$19&gt;$FJ72,"",MAX(0,IF(HQ$19=$FJ72,$S72^2*HQ$15,HQ71*INDEX($T$20:$T$91,$FJ72-HQ$19)^2/INDEX($U$20:$U$91,$FJ72-HQ$19))))</f>
        <v/>
      </c>
      <c r="HR72" s="150" t="str">
        <f aca="false">IF(HR$19&gt;$FJ72,"",MAX(0,IF(HR$19=$FJ72,$S72^2*HR$15,HR71*INDEX($T$20:$T$91,$FJ72-HR$19)^2/INDEX($U$20:$U$91,$FJ72-HR$19))))</f>
        <v/>
      </c>
      <c r="HS72" s="150" t="str">
        <f aca="false">IF(HS$19&gt;$FJ72,"",MAX(0,IF(HS$19=$FJ72,$S72^2*HS$15,HS71*INDEX($T$20:$T$91,$FJ72-HS$19)^2/INDEX($U$20:$U$91,$FJ72-HS$19))))</f>
        <v/>
      </c>
      <c r="HT72" s="150" t="str">
        <f aca="false">IF(HT$19&gt;$FJ72,"",MAX(0,IF(HT$19=$FJ72,$S72^2*HT$15,HT71*INDEX($T$20:$T$91,$FJ72-HT$19)^2/INDEX($U$20:$U$91,$FJ72-HT$19))))</f>
        <v/>
      </c>
      <c r="HU72" s="150" t="str">
        <f aca="false">IF(HU$19&gt;$FJ72,"",MAX(0,IF(HU$19=$FJ72,$S72^2*HU$15,HU71*INDEX($T$20:$T$91,$FJ72-HU$19)^2/INDEX($U$20:$U$91,$FJ72-HU$19))))</f>
        <v/>
      </c>
      <c r="HV72" s="150" t="str">
        <f aca="false">IF(HV$19&gt;$FJ72,"",MAX(0,IF(HV$19=$FJ72,$S72^2*HV$15,HV71*INDEX($T$20:$T$91,$FJ72-HV$19)^2/INDEX($U$20:$U$91,$FJ72-HV$19))))</f>
        <v/>
      </c>
      <c r="HW72" s="150" t="str">
        <f aca="false">IF(HW$19&gt;$FJ72,"",MAX(0,IF(HW$19=$FJ72,$S72^2*HW$15,HW71*INDEX($T$20:$T$91,$FJ72-HW$19)^2/INDEX($U$20:$U$91,$FJ72-HW$19))))</f>
        <v/>
      </c>
      <c r="HX72" s="150" t="str">
        <f aca="false">IF(HX$19&gt;$FJ72,"",MAX(0,IF(HX$19=$FJ72,$S72^2*HX$15,HX71*INDEX($T$20:$T$91,$FJ72-HX$19)^2/INDEX($U$20:$U$91,$FJ72-HX$19))))</f>
        <v/>
      </c>
      <c r="HY72" s="150" t="str">
        <f aca="false">IF(HY$19&gt;$FJ72,"",MAX(0,IF(HY$19=$FJ72,$S72^2*HY$15,HY71*INDEX($T$20:$T$91,$FJ72-HY$19)^2/INDEX($U$20:$U$91,$FJ72-HY$19))))</f>
        <v/>
      </c>
      <c r="HZ72" s="150" t="str">
        <f aca="false">IF(HZ$19&gt;$FJ72,"",MAX(0,IF(HZ$19=$FJ72,$S72^2*HZ$15,HZ71*INDEX($T$20:$T$91,$FJ72-HZ$19)^2/INDEX($U$20:$U$91,$FJ72-HZ$19))))</f>
        <v/>
      </c>
      <c r="IA72" s="150" t="str">
        <f aca="false">IF(IA$19&gt;$FJ72,"",MAX(0,IF(IA$19=$FJ72,$S72^2*IA$15,IA71*INDEX($T$20:$T$91,$FJ72-IA$19)^2/INDEX($U$20:$U$91,$FJ72-IA$19))))</f>
        <v/>
      </c>
      <c r="IB72" s="150" t="str">
        <f aca="false">IF(IB$19&gt;$FJ72,"",MAX(0,IF(IB$19=$FJ72,$S72^2*IB$15,IB71*INDEX($T$20:$T$91,$FJ72-IB$19)^2/INDEX($U$20:$U$91,$FJ72-IB$19))))</f>
        <v/>
      </c>
      <c r="IC72" s="150" t="str">
        <f aca="false">IF(IC$19&gt;$FJ72,"",MAX(0,IF(IC$19=$FJ72,$S72^2*IC$15,IC71*INDEX($T$20:$T$91,$FJ72-IC$19)^2/INDEX($U$20:$U$91,$FJ72-IC$19))))</f>
        <v/>
      </c>
      <c r="ID72" s="572" t="str">
        <f aca="false">IF(ID$19&gt;$FJ72,"",MAX(0,IF(ID$19=$FJ72,$S72^2*ID$15,ID71*INDEX($T$20:$T$91,$FJ72-ID$19)^2/INDEX($U$20:$U$91,$FJ72-ID$19))))</f>
        <v/>
      </c>
      <c r="IE72" s="129"/>
    </row>
    <row r="73" customFormat="false" ht="12.75" hidden="false" customHeight="false" outlineLevel="0" collapsed="false">
      <c r="A73" s="3"/>
      <c r="F73" s="3"/>
      <c r="G73" s="3"/>
      <c r="H73" s="219" t="n">
        <f aca="false">VLOOKUP(I73,$EJ$20:$EL$54,3)</f>
        <v>0</v>
      </c>
      <c r="I73" s="511" t="n">
        <f aca="false">EOMONTH(I72,0)+1</f>
        <v>38384</v>
      </c>
      <c r="J73" s="512"/>
      <c r="K73" s="513" t="s">
        <v>250</v>
      </c>
      <c r="L73" s="514" t="e">
        <f aca="false">IF(ISNUMBER(K73),J73+K73/100,IF(K73="extra",L72+VLOOKUP(BF73,PriceSpreadTable,2)/12,IF(K73="inter",interpolateprices($K$19:$L$200,ROW(K73)-ROW(FirstPricingMonth)+1),interpolatechanges($J$19:$K$200,ROW(K73)-ROW(FirstPricingMonth)+1))))</f>
        <v>#VALUE!</v>
      </c>
      <c r="M73" s="515"/>
      <c r="N73" s="516" t="n">
        <v>0</v>
      </c>
      <c r="O73" s="515" t="n">
        <f aca="false">M73+N73</f>
        <v>0</v>
      </c>
      <c r="P73" s="512"/>
      <c r="Q73" s="513" t="s">
        <v>280</v>
      </c>
      <c r="R73" s="512" t="e">
        <f aca="false">IF(ISNUMBER(Q73),P73+Q73/100,IF(Q73="extra",(Z71*AL71-R72*AM71)/AN71,IF(Q73="inter",interpolateprices($Q$19:$R$260,ROW(Q73)-ROW(FirstPricingMonth)+1),interpolatechanges($P$19:$Q$260,ROW(Q73)-ROW(FirstPricingMonth)+1))))</f>
        <v>#VALUE!</v>
      </c>
      <c r="S73" s="597" t="n">
        <f aca="false">S$19+(S72-S$19)*S$18</f>
        <v>0.360000012742237</v>
      </c>
      <c r="T73" s="575" t="n">
        <f aca="false">SQRT((1-(1-T72^2/U72)*T$18)*U73)</f>
        <v>0.999972156402163</v>
      </c>
      <c r="U73" s="576" t="n">
        <f aca="false">1-(1-U72)*U$18</f>
        <v>0.999999996416246</v>
      </c>
      <c r="V73" s="521" t="n">
        <v>0</v>
      </c>
      <c r="W73" s="577" t="n">
        <f aca="false">(J74*AJ73+J75*AK73)/AI73</f>
        <v>0</v>
      </c>
      <c r="X73" s="578" t="e">
        <f aca="false">(L74*AJ73+L75*AK73)/AI73</f>
        <v>#VALUE!</v>
      </c>
      <c r="Y73" s="579" t="n">
        <f aca="false">IF(Q75="extra",W73-AA73,(P74*AM73+P75*AN73)/AL73)</f>
        <v>-1.121</v>
      </c>
      <c r="Z73" s="579" t="e">
        <f aca="false">IF(Q75="extra",X73-AB73,(R74*AM73+R75*AN73)/AL73)</f>
        <v>#VALUE!</v>
      </c>
      <c r="AA73" s="523" t="n">
        <f aca="false">IF(Q75="extra",INDEX(BrentSeasonalityTable,INT((BG73-1)/3)+1)*VLOOKUP(MAX(BF73,$AB$4),PriceSpreadTable,3),W73-Y73)</f>
        <v>1.121</v>
      </c>
      <c r="AB73" s="524" t="n">
        <f aca="false">IF(Q75="extra",INDEX(BrentSeasonalityTable,INT((BG73-1)/3)+1)*VLOOKUP(MAX(BF73,$AB$4),PriceSpreadTable,3),X73-Z73)</f>
        <v>1.121</v>
      </c>
      <c r="AC73" s="646" t="n">
        <v>38372</v>
      </c>
      <c r="AD73" s="646" t="n">
        <v>38368</v>
      </c>
      <c r="AE73" s="646" t="n">
        <v>38367</v>
      </c>
      <c r="AF73" s="646" t="n">
        <v>38363</v>
      </c>
      <c r="AG73" s="438" t="s">
        <v>247</v>
      </c>
      <c r="AH73" s="439" t="s">
        <v>278</v>
      </c>
      <c r="AI73" s="528" t="n">
        <v>20</v>
      </c>
      <c r="AJ73" s="529" t="n">
        <v>14</v>
      </c>
      <c r="AK73" s="529" t="n">
        <v>6</v>
      </c>
      <c r="AL73" s="530" t="n">
        <v>20</v>
      </c>
      <c r="AM73" s="529" t="n">
        <v>10</v>
      </c>
      <c r="AN73" s="531" t="n">
        <v>10</v>
      </c>
      <c r="AO73" s="532"/>
      <c r="AP73" s="465" t="n">
        <f aca="false">(1+AO73/2)^(-2*BL73)</f>
        <v>1</v>
      </c>
      <c r="AQ73" s="532"/>
      <c r="AR73" s="465" t="n">
        <f aca="false">(1+AQ73/2)^(-2*BH73/365.25)</f>
        <v>1</v>
      </c>
      <c r="AS73" s="580" t="n">
        <f aca="false">(O74*AJ73+O75*AK73)/AI73</f>
        <v>0</v>
      </c>
      <c r="AT73" s="468" t="n">
        <f aca="false">O73*VLOOKUP(BF73,BrentVolTable,2)+VLOOKUP(BF73,BrentVolTable,3)</f>
        <v>0</v>
      </c>
      <c r="AU73" s="468" t="n">
        <f aca="false">(AT74*AM73+AT75*AN73)/AL73</f>
        <v>0</v>
      </c>
      <c r="AV73" s="595" t="n">
        <f aca="false">SQRT(MAX(0.000000000001,(O73^2*BH73-S73^2*(BH73-BH72))/BH72))</f>
        <v>0.0230101633603764</v>
      </c>
      <c r="AW73" s="451" t="n">
        <f aca="false">IF($I73-DateToday+15&gt;=$T$8,"",IF($I73-DateToday+15&lt;$T$5,1,MATCH($I73-DateToday+15,$T$5:$T$8)))</f>
        <v>1</v>
      </c>
      <c r="AX73" s="468" t="n">
        <f aca="false">IF($AW73="",AX72^2/AX71,INDEX(U$5:U$8,$AW73)^((INDEX($T$5:$T$8,$AW73+1)-($I73-DateToday+15))/(INDEX($T$5:$T$8,$AW73+1)-INDEX($T$5:$T$8,$AW73)))/INDEX(U$5:U$8,$AW73+1)^((INDEX($T$5:$T$8,$AW73)-($I73-DateToday+15))/(INDEX($T$5:$T$8,$AW73+1)-INDEX($T$5:$T$8,$AW73))))</f>
        <v>4.03917221383523</v>
      </c>
      <c r="AY73" s="468" t="n">
        <f aca="false">IF($AW73="",AY72^2/AY71,INDEX(V$5:V$8,$AW73)^((INDEX($T$5:$T$8,$AW73+1)-($I73-DateToday+15))/(INDEX($T$5:$T$8,$AW73+1)-INDEX($T$5:$T$8,$AW73)))/INDEX(V$5:V$8,$AW73+1)^((INDEX($T$5:$T$8,$AW73)-($I73-DateToday+15))/(INDEX($T$5:$T$8,$AW73+1)-INDEX($T$5:$T$8,$AW73))))</f>
        <v>558.75139400355</v>
      </c>
      <c r="AZ73" s="468" t="n">
        <f aca="false">IF($AW73="",AZ72^2/AZ71,INDEX(W$5:W$8,$AW73)^((INDEX($T$5:$T$8,$AW73+1)-($I73-DateToday+15))/(INDEX($T$5:$T$8,$AW73+1)-INDEX($T$5:$T$8,$AW73)))/INDEX(W$5:W$8,$AW73+1)^((INDEX($T$5:$T$8,$AW73)-($I73-DateToday+15))/(INDEX($T$5:$T$8,$AW73+1)-INDEX($T$5:$T$8,$AW73))))</f>
        <v>8926040.9983175</v>
      </c>
      <c r="BA73" s="468" t="n">
        <f aca="false">IF($AW73="",BA72^2/BA71,INDEX(X$5:X$8,$AW73)^((INDEX($T$5:$T$8,$AW73+1)-($I73-DateToday+15))/(INDEX($T$5:$T$8,$AW73+1)-INDEX($T$5:$T$8,$AW73)))/INDEX(X$5:X$8,$AW73+1)^((INDEX($T$5:$T$8,$AW73)-($I73-DateToday+15))/(INDEX($T$5:$T$8,$AW73+1)-INDEX($T$5:$T$8,$AW73))))</f>
        <v>375560591.457895</v>
      </c>
      <c r="BB73" s="468" t="n">
        <f aca="false">IF($AW73="",BB72^2/BB71,INDEX(Y$5:Y$8,$AW73)^((INDEX($T$5:$T$8,$AW73+1)-($I73-DateToday+15))/(INDEX($T$5:$T$8,$AW73+1)-INDEX($T$5:$T$8,$AW73)))/INDEX(Y$5:Y$8,$AW73+1)^((INDEX($T$5:$T$8,$AW73)-($I73-DateToday+15))/(INDEX($T$5:$T$8,$AW73+1)-INDEX($T$5:$T$8,$AW73))))</f>
        <v>6142213909.52992</v>
      </c>
      <c r="BC73" s="468" t="n">
        <f aca="false">IF($AW73="",BC72^2/BC71,INDEX(Z$5:Z$8,$AW73)^((INDEX($T$5:$T$8,$AW73+1)-($I73-DateToday+15))/(INDEX($T$5:$T$8,$AW73+1)-INDEX($T$5:$T$8,$AW73)))/INDEX(Z$5:Z$8,$AW73+1)^((INDEX($T$5:$T$8,$AW73)-($I73-DateToday+15))/(INDEX($T$5:$T$8,$AW73+1)-INDEX($T$5:$T$8,$AW73))))</f>
        <v>32646852786.1839</v>
      </c>
      <c r="BD73" s="535" t="n">
        <f aca="false">IF(OR(DateStart&gt;=I74,DateEnd&lt;I73),0,IF(VolumeOverrideFlag,V73,Volume))</f>
        <v>0</v>
      </c>
      <c r="BE73" s="536" t="n">
        <f aca="false">IF(OR(DateStart2&gt;=I74,DateEnd2&lt;I73),0,IF(VolumeOverrideFlag,V73,VolumeSwaption))</f>
        <v>0</v>
      </c>
      <c r="BF73" s="537" t="n">
        <f aca="false">YEAR(I73)</f>
        <v>2005</v>
      </c>
      <c r="BG73" s="538" t="n">
        <f aca="false">MONTH(I73)</f>
        <v>2</v>
      </c>
      <c r="BH73" s="539" t="n">
        <f aca="false">AD73-DateToday+1</f>
        <v>-7557</v>
      </c>
      <c r="BI73" s="540" t="n">
        <f aca="false">(I73-DateToday+1)/365.25</f>
        <v>-20.6461327857632</v>
      </c>
      <c r="BJ73" s="541" t="n">
        <f aca="false">BI73+(BL73-BI73)*CHOOSE(Underlying,AJ73/AI73,AM73/AL73)</f>
        <v>-20.5943874058864</v>
      </c>
      <c r="BK73" s="541" t="n">
        <f aca="false">BJ73+1/365.25</f>
        <v>-20.5916495550993</v>
      </c>
      <c r="BL73" s="541" t="n">
        <f aca="false">(I74-DateToday)/365.25</f>
        <v>-20.5722108145106</v>
      </c>
      <c r="BM73" s="542" t="e">
        <f aca="false">MAX(BI73-(BJ73-BI73)*(S74^2/O74^2-1),0)</f>
        <v>#DIV/0!</v>
      </c>
      <c r="BN73" s="541" t="e">
        <f aca="false">MAX(BL73+(BL73-BK73)*(S75^2/O75^2-1),0)</f>
        <v>#DIV/0!</v>
      </c>
      <c r="BO73" s="530" t="n">
        <f aca="false">CHOOSE(Underlying,AI73,AL73)</f>
        <v>20</v>
      </c>
      <c r="BP73" s="529" t="n">
        <f aca="false">CHOOSE(Underlying,AJ73,AM73)</f>
        <v>14</v>
      </c>
      <c r="BQ73" s="529" t="n">
        <f aca="false">CHOOSE(Underlying,AK73,AN73)</f>
        <v>6</v>
      </c>
      <c r="BR73" s="463" t="str">
        <f aca="false">IF(BD73,IF(Underlying=1,X73,Z73)+UnderlyingPriceAsian-SwapPriceCurve,"")</f>
        <v/>
      </c>
      <c r="BS73" s="463" t="str">
        <f aca="false">IF(BD73,Strike1/BR73-1,"")</f>
        <v/>
      </c>
      <c r="BT73" s="464" t="str">
        <f aca="false">IF(BD73,Strike2/BR73-1,"")</f>
        <v/>
      </c>
      <c r="BU73" s="465" t="str">
        <f aca="false">IF(BD73,IF(Underlying=1,L74,R74)+UnderlyingPriceAsian-SwapPriceCurve,"")</f>
        <v/>
      </c>
      <c r="BV73" s="465" t="str">
        <f aca="false">IF(BD73,IF(Underlying=1,L75,R75)+UnderlyingPriceAsian-SwapPriceCurve,"")</f>
        <v/>
      </c>
      <c r="BW73" s="466" t="str">
        <f aca="false">IF(BD73,IF(Underlying=1,O74,AT74),"")</f>
        <v/>
      </c>
      <c r="BX73" s="467" t="str">
        <f aca="false">IF(BD73,IF(Underlying=1,O75,AT75),"")</f>
        <v/>
      </c>
      <c r="BY73" s="466" t="str">
        <f aca="false">IF(BD73,IF(BS73&gt;0,IF(BS73&gt;0.2,BC73-BB73,IF(BS73&gt;0.1,BB73-BA73,BA73)),IF(BS73&lt;-0.2,AX73-AY73,IF(BS73&lt;-0.1,AY73-AZ73,AZ73))),"")</f>
        <v/>
      </c>
      <c r="BZ73" s="467" t="str">
        <f aca="false">IF(BD73,IF(BT73&gt;0,IF(BT73&gt;0.2,BC73-BB73,IF(BT73&gt;0.1,BB73-BA73,BA73)),IF(BT73&lt;-0.2,AX73-AY73,IF(BT73&lt;-0.1,AY73-AZ73,AZ73))),"")</f>
        <v/>
      </c>
      <c r="CA73" s="468" t="str">
        <f aca="false">IF($BD73,$BW73+IF(VolSkewFlag=1,IF(BS73&gt;0,$BA73*MIN(BS73/10%,1)+($BB73-$BA73)*MAX(0,MIN(BS73/10%-1,1))+($BC73-$BB73)*MAX(0,BS73/10%-2),$AZ73*MIN(-BS73/10%,1)+($AY73-$AZ73)*MAX(0,MIN(-BS73/10%-1,1))+($AX73-$AY73)*MAX(0,-BS73/10%-2)),0),"")</f>
        <v/>
      </c>
      <c r="CB73" s="468" t="str">
        <f aca="false">IF($BD73,$BX73+IF(VolSkewFlag=1,IF(BS73&gt;0,$BA73*MIN(BS73/10%,1)+($BB73-$BA73)*MAX(0,MIN(BS73/10%-1,1))+($BC73-$BB73)*MAX(0,BS73/10%-2),$AZ73*MIN(-BS73/10%,1)+($AY73-$AZ73)*MAX(0,MIN(-BS73/10%-1,1))+($AX73-$AY73)*MAX(0,-BS73/10%-2)),0),"")</f>
        <v/>
      </c>
      <c r="CC73" s="468" t="str">
        <f aca="false">IF($BD73,$BW73+IF(VolSkewFlag=1,IF(BT73&gt;0,$BA73*MIN(BT73/10%,1)+($BB73-$BA73)*MAX(0,MIN(BT73/10%-1,1))+($BC73-$BB73)*MAX(0,BT73/10%-2),$AZ73*MIN(-BT73/10%,1)+($AY73-$AZ73)*MAX(0,MIN(-BT73/10%-1,1))+($AX73-$AY73)*MAX(0,-BT73/10%-2)),0),"")</f>
        <v/>
      </c>
      <c r="CD73" s="468" t="str">
        <f aca="false">IF($BD73,$BX73+IF(VolSkewFlag=1,IF(BT73&gt;0,$BA73*MIN(BT73/10%,1)+($BB73-$BA73)*MAX(0,MIN(BT73/10%-1,1))+($BC73-$BB73)*MAX(0,BT73/10%-2),$AZ73*MIN(-BT73/10%,1)+($AY73-$AZ73)*MAX(0,MIN(-BT73/10%-1,1))+($AX73-$AY73)*MAX(0,-BT73/10%-2)),0),"")</f>
        <v/>
      </c>
      <c r="CE73" s="469" t="n">
        <v>1</v>
      </c>
      <c r="CF73" s="470" t="n">
        <f aca="false">IF(BD73,xCrudeAPO(BU73,BV73,CA73,CB73,S74,S75,BI73,BL73,BP73,BQ73,0,Strike1,AO73,CE73,0,BL73,IF(OptControl=4,0,1),0,1),0)</f>
        <v>0</v>
      </c>
      <c r="CG73" s="470" t="n">
        <f aca="false">IF(BD73,xCrudeAPO(BU73,BV73,CA73,CB73,S74,S75,BI73,BL73,BP73,BQ73,0,Strike1,AO73,CE73,0,BL73,IF(OptControl=4,0,1),1,1)+xCrudeAPO(BU73,BV73,CA73,CB73,S74,S75,BI73,BL73,BP73,BQ73,0,Strike1,AO73,CE73,0,BL73,IF(OptControl=4,0,1),1,2)+IF(OR(VolSkewFlag=2,ABS(BS73)&lt;0.0001),0,IF(BS73&gt;0,-1,1)*CH73*Strike1/BR73^2*BY73/10%),0)</f>
        <v>0</v>
      </c>
      <c r="CH73" s="470" t="n">
        <f aca="false">IF(BD73,(xCrudeAPO(BU73,BV73,CA73,CB73,S74,S75,BI73,BL73,BP73,BQ73,0,Strike1,AO73,CE73,0,BL73,IF(OptControl=4,0,1),3,1)+xCrudeAPO(BU73,BV73,CA73,CB73,S74,S75,BI73,BL73,BP73,BQ73,0,Strike1,AO73,CE73,0,BL73,IF(OptControl=4,0,1),3,2))/100,0)</f>
        <v>0</v>
      </c>
      <c r="CI73" s="470" t="n">
        <f aca="false">IF(BD73,xCrudeAPO(BU73,BV73,CA73,CB73,S74,S75,BI73-DaysForThetaCalculation/365.25,BL73-DaysForThetaCalculation/365.25,BP73,BQ73,0,Strike1,AO73,CE73,0,BL73,IF(OptControl=4,0,1),0,1)-xCrudeAPO(BU73,BV73,CA73,CB73,S74,S75,BI73,BL73,BP73,BQ73,0,Strike1,AO73,CE73,0,BL73,IF(OptControl=4,0,1),0,1),0)</f>
        <v>0</v>
      </c>
      <c r="CJ73" s="471" t="n">
        <f aca="false">IF(BD73,xCrudeAPO(BU73,BV73,CC73,CD73,S74,S75,BI73,BL73,BP73,BQ73,0,Strike2,AO73,CE73,0,BL73,IF(OptControl=3,1,0),0,1),0)</f>
        <v>0</v>
      </c>
      <c r="CK73" s="470" t="n">
        <f aca="false">IF(BD73,xCrudeAPO(BU73,BV73,CC73,CD73,S74,S75,BI73,BL73,BP73,BQ73,0,Strike2,AO73,CE73,0,BL73,IF(OptControl=3,1,0),1,1)+xCrudeAPO(BU73,BV73,CC73,CD73,S74,S75,BI73,BL73,BP73,BQ73,0,Strike2,AO73,CE73,0,BL73,IF(OptControl=3,1,0),1,2)+IF(OR(VolSkewFlag=2,ABS(BT73)&lt;0.0001),0,IF(BT73&gt;0,-1,1)*CL73*Strike2/BR73^2*BZ73/10%),0)</f>
        <v>0</v>
      </c>
      <c r="CL73" s="470" t="n">
        <f aca="false">IF(BD73,(xCrudeAPO(BU73,BV73,CC73,CD73,S74,S75,BI73,BL73,BP73,BQ73,0,Strike2,AO73,CE73,0,BL73,IF(OptControl=3,1,0),3,1)+xCrudeAPO(BU73,BV73,CC73,CD73,S74,S75,BI73,BL73,BP73,BQ73,0,Strike2,AO73,CE73,0,BL73,IF(OptControl=3,1,0),3,2))/100,0)</f>
        <v>0</v>
      </c>
      <c r="CM73" s="472" t="n">
        <f aca="false">IF(BD73,xCrudeAPO(BU73,BV73,CC73,CD73,S74,S75,BI73-DaysForThetaCalculation/365.25,BL73-DaysForThetaCalculation/365.25,BP73,BQ73,0,Strike2,AO73,CE73,0,BL73,IF(OptControl=3,1,0),0,1)-xCrudeAPO(BU73,BV73,CC73,CD73,S74,S75,BI73,BL73,BP73,BQ73,0,Strike2,AO73,CE73,0,BL73,IF(OptControl=3,1,0),0,1),0)</f>
        <v>0</v>
      </c>
      <c r="CN73" s="3"/>
      <c r="CO73" s="543" t="str">
        <f aca="false">IF(BD73,CHOOSE(Underlying,AD73,AF73)-DateToday+1,"")</f>
        <v/>
      </c>
      <c r="CP73" s="582" t="str">
        <f aca="false">IF(BD73,CHOOSE(Underlying,L73,R73),"")</f>
        <v/>
      </c>
      <c r="CQ73" s="544" t="str">
        <f aca="false">IF(BD73,Strike1/CP73-1,"")</f>
        <v/>
      </c>
      <c r="CR73" s="544" t="str">
        <f aca="false">IF(BD73,Strike2/CP73-1,"")</f>
        <v/>
      </c>
      <c r="CS73" s="544" t="str">
        <f aca="false">IF(BD73,IF(CQ73&gt;0,IF(CQ73&gt;0.2,BC72-BB72,IF(CQ73&gt;0.1,BB72-BA72,BA72)),IF(CQ73&lt;-0.2,AX72-AY72,IF(CQ73&lt;-0.1,AY72-AZ72,AZ72))),"")</f>
        <v/>
      </c>
      <c r="CT73" s="544" t="str">
        <f aca="false">IF(BD73,IF(CR73&gt;0,IF(CR73&gt;0.2,BC72-BB72,IF(CR73&gt;0.1,BB72-BA72,BA72)),IF(CR73&lt;-0.2,AX72-AY72,IF(CR73&lt;-0.1,AY72-AZ72,AZ72))),"")</f>
        <v/>
      </c>
      <c r="CU73" s="545" t="str">
        <f aca="false">IF(BD73,CHOOSE(Underlying,O73,AT73),"")</f>
        <v/>
      </c>
      <c r="CV73" s="545" t="str">
        <f aca="false">IF(BD73,CU73+IF(VolSkewFlag=1,IF(CQ73&gt;0,BA72*MIN(CQ73/10%,1)+(BB72-BA72)*MAX(0,MIN(CQ73/10%-1,1))+(BC72-BB72)*MAX(0,CQ73/10%-2),AZ72*MIN(-CQ73/10%,1)+(AY72-AZ72)*MAX(0,MIN(-CQ73/10%-1,1))+(AX72-AY72)*MAX(0,-CQ73/10%-2)),0),"")</f>
        <v/>
      </c>
      <c r="CW73" s="545" t="str">
        <f aca="false">IF(BD73,CU73+IF(VolSkewFlag=1,IF(CR73&gt;0,BA72*MIN(CR73/10%,1)+(BB72-BA72)*MAX(0,MIN(CR73/10%-1,1))+(BC72-BB72)*MAX(0,CR73/10%-2),AZ72*MIN(-CR73/10%,1)+(AY72-AZ72)*MAX(0,MIN(-CR73/10%-1,1))+(AX72-AY72)*MAX(0,-CR73/10%-2)),0),"")</f>
        <v/>
      </c>
      <c r="CX73" s="470" t="n">
        <f aca="false">IF(BD73,EURO(CP73,Strike1,AO73,AO73,CV73,CO73,IF(OptControl=4,0,1),0),0)</f>
        <v>0</v>
      </c>
      <c r="CY73" s="470" t="n">
        <f aca="false">IF(BD73,EURO(CP73,Strike1,AO73,AO73,CV73,CO73,IF(OptControl=4,0,1),1)+IF(OR(VolSkewFlag=2,ABS(CQ73)&lt;0.0001),0,IF(CQ73&gt;0,-1,1)*CZ73*100*Strike1/CP73^2*CS73/10%),0)</f>
        <v>0</v>
      </c>
      <c r="CZ73" s="470" t="n">
        <f aca="false">IF(BD73,EURO(CP73,Strike1,AO73,AO73,CV73,CO73,IF(OptControl=4,0,1),3)/100,0)</f>
        <v>0</v>
      </c>
      <c r="DA73" s="470" t="n">
        <f aca="false">IF(BD73,EURO(CP73,Strike1,AO73,AO73,CV73,CO73,IF(OptControl=4,0,1),0)-EURO(CP73,Strike1,AO73,AO73,CV73,CO73-1,IF(OptControl=4,0,1),0),0)</f>
        <v>0</v>
      </c>
      <c r="DB73" s="470" t="n">
        <f aca="false">IF(BD73,EURO(CP73,Strike2,AO73,AO73,CW73,CO73,IF(OptControl=3,1,0),0),0)</f>
        <v>0</v>
      </c>
      <c r="DC73" s="470" t="n">
        <f aca="false">IF(BD73,EURO(CP73,Strike2,AO73,AO73,CW73,CO73,IF(OptControl=3,1,0),1)+IF(OR(VolSkewFlag=2,ABS(CR73)&lt;0.0001),0,IF(CR73&gt;0,-1,1)*DD73*100*Strike2/CP73^2*CT73/10%),0)</f>
        <v>0</v>
      </c>
      <c r="DD73" s="470" t="n">
        <f aca="false">IF(BD73,EURO(CP73,Strike2,AO73,AO73,CW73,CO73,IF(OptControl=3,1,0),3)/100,0)</f>
        <v>0</v>
      </c>
      <c r="DE73" s="472" t="n">
        <f aca="false">IF(BD73,EURO(CP73,Strike2,AO73,AO73,CW73,CO73,IF(OptControl=3,1,0),0)-EURO(CP73,Strike2,AO73,AO73,CW73,CO73-1,IF(OptControl=3,1,0),0),0)</f>
        <v>0</v>
      </c>
      <c r="DG73" s="481" t="n">
        <f aca="false">EOMONTH(DG72,0)+1</f>
        <v>47300</v>
      </c>
      <c r="DH73" s="478" t="n">
        <v>18.385</v>
      </c>
      <c r="DI73" s="479" t="n">
        <v>18.3781818181818</v>
      </c>
      <c r="DJ73" s="480" t="n">
        <f aca="false">DG73</f>
        <v>47300</v>
      </c>
      <c r="DK73" s="478" t="n">
        <v>17.2146170354617</v>
      </c>
      <c r="DL73" s="479" t="n">
        <v>17.1627818181818</v>
      </c>
      <c r="DM73" s="481" t="n">
        <f aca="false">DG73</f>
        <v>47300</v>
      </c>
      <c r="DN73" s="482" t="n">
        <f aca="false">DK73+BrentPhyBrentSpread</f>
        <v>17.2646170354617</v>
      </c>
      <c r="DO73" s="481" t="n">
        <f aca="false">DG73</f>
        <v>47300</v>
      </c>
      <c r="DP73" s="483" t="n">
        <f aca="false">DL73+DQ73</f>
        <v>17.1627818181818</v>
      </c>
      <c r="DQ73" s="546" t="n">
        <v>0</v>
      </c>
      <c r="DR73" s="480" t="n">
        <f aca="false">DG73</f>
        <v>47300</v>
      </c>
      <c r="DS73" s="485" t="n">
        <v>0.199494809876039</v>
      </c>
      <c r="DT73" s="486" t="n">
        <v>0.198901716834156</v>
      </c>
      <c r="DU73" s="480" t="n">
        <f aca="false">DG73</f>
        <v>47300</v>
      </c>
      <c r="DV73" s="485" t="n">
        <v>0.199494809876039</v>
      </c>
      <c r="DW73" s="486" t="n">
        <v>0.198901716834156</v>
      </c>
      <c r="DX73" s="481" t="n">
        <f aca="false">DG73</f>
        <v>47300</v>
      </c>
      <c r="DY73" s="486" t="n">
        <v>0.35</v>
      </c>
      <c r="DZ73" s="481" t="n">
        <f aca="false">DR73</f>
        <v>47300</v>
      </c>
      <c r="EA73" s="486" t="n">
        <f aca="false">DT73</f>
        <v>0.198901716834156</v>
      </c>
      <c r="EB73" s="195"/>
      <c r="EC73" s="547" t="str">
        <f aca="false">IF(BD73,IF(Underlying=1,AS73,AU73),"")</f>
        <v/>
      </c>
      <c r="ED73" s="548" t="str">
        <f aca="false">IF($BD73,$EC73+IF(VolSkewFlag=1,IF(BS73&gt;0,$BA73*MIN(BS73/10%,1)+($BB73-$BA73)*MAX(0,MIN(BS73/10%-1,1))+($BC73-$BB73)*MAX(0,BS73/10%-2),$AZ73*MIN(-BS73/10%,1)+($AY73-$AZ73)*MAX(0,MIN(-BS73/10%-1,1))+($AX73-$AY73)*MAX(0,-BS73/10%-2)),0),"")</f>
        <v/>
      </c>
      <c r="EE73" s="549" t="str">
        <f aca="false">IF($BD73,$EC73+IF(VolSkewFlag=1,IF(BT73&gt;0,$BA73*MIN(BT73/10%,1)+($BB73-$BA73)*MAX(0,MIN(BT73/10%-1,1))+($BC73-$BB73)*MAX(0,BT73/10%-2),$AZ73*MIN(-BT73/10%,1)+($AY73-$AZ73)*MAX(0,MIN(-BT73/10%-1,1))+($AX73-$AY73)*MAX(0,-BT73/10%-2)),0),"")</f>
        <v/>
      </c>
      <c r="EF73" s="550" t="n">
        <f aca="false">IF(BD73,xASN(BR73,Strike1,AO73,ED73,0,BO73,0,BI73,BL73,IF(OptControl=4,0,1),0),0)</f>
        <v>0</v>
      </c>
      <c r="EG73" s="551" t="n">
        <f aca="false">IF(BD73,xASN(BR73,Strike2,AO73,EE73,0,BO73,0,BI73,BL73,IF(OptControl=3,1,0),0),0)</f>
        <v>0</v>
      </c>
      <c r="EL73" s="1"/>
      <c r="EM73" s="195"/>
      <c r="EN73" s="556" t="n">
        <v>42189</v>
      </c>
      <c r="EO73" s="557" t="n">
        <v>46381</v>
      </c>
      <c r="EP73" s="195"/>
      <c r="EQ73" s="407" t="s">
        <v>299</v>
      </c>
      <c r="ES73" s="587" t="n">
        <v>54</v>
      </c>
      <c r="ET73" s="559" t="n">
        <f aca="false">BH73/365.25</f>
        <v>-20.6899383983573</v>
      </c>
      <c r="EU73" s="560" t="n">
        <f aca="false">O73^2*ET73</f>
        <v>-0</v>
      </c>
      <c r="EV73" s="588" t="e">
        <f aca="false">SQRT(SUM(FK73:ID73)/ET73)</f>
        <v>#VALUE!</v>
      </c>
      <c r="EW73" s="589" t="str">
        <f aca="false">IF(OR(DateStart2&gt;I72,DateEnd2&lt;I71),"",IF(DateStart2&lt;I72,AK71/AI71*AP71*BE71*SwaptionNumOfMonths/$D$33,0)+IF(DateEnd2&gt;I71,AJ72/AI72*AP72*BE72*SwaptionNumOfMonths/$D$33,0))</f>
        <v/>
      </c>
      <c r="EX73" s="590" t="str">
        <f aca="false">IF(EW73="","",SQRT(SUM(FK378:ID378)/SwaptionYearsToExp))</f>
        <v/>
      </c>
      <c r="EY73" s="129" t="n">
        <v>0</v>
      </c>
      <c r="EZ73" s="591" t="str">
        <f aca="false">IF(OR(EW73="",EW74=""),"",SQRT(SUM(INDEX(FK73:ID73,SwaptionFirstMonthPosition+1):INDEX(FK73:ID73,FJ73))/SUM(INDEX($FK$15:$ID$15,SwaptionFirstMonthPosition+1):INDEX($FK$15:$ID$15,FJ73))))</f>
        <v/>
      </c>
      <c r="FA73" s="592" t="str">
        <f aca="false">IF(OR(EW73="",EW72=""),"",SQRT(SUM(INDEX(FK73:ID73,SwaptionFirstMonthPosition+1):INDEX(FK73:ID73,FJ73-1))/SUM(INDEX($FK$15:$ID$15,SwaptionFirstMonthPosition+1):INDEX($FK$15:$ID$15,FJ73-1))))</f>
        <v/>
      </c>
      <c r="FB73" s="593" t="str">
        <f aca="false">IF(BE73,2/3*EZ74+1/3*FA75,"")</f>
        <v/>
      </c>
      <c r="FC73" s="596" t="str">
        <f aca="false">IF(BE73,(I74+I73-1)/2-DateToday,"")</f>
        <v/>
      </c>
      <c r="FD73" s="483" t="str">
        <f aca="false">IF(BE73,CHOOSE(Underlying,X73,Z73)+SwaptionUnderlyingPrice-$D$26,"")</f>
        <v/>
      </c>
      <c r="FE73" s="483" t="str">
        <f aca="false">IF(BE73,CollartionFloor/FD73-1,"")</f>
        <v/>
      </c>
      <c r="FF73" s="483" t="str">
        <f aca="false">IF(BE73,CollartionCap/FD73-1,"")</f>
        <v/>
      </c>
      <c r="FG73" s="485" t="str">
        <f aca="false">IF(BE73,IF(VolSkewFlag=1,IF(FE73&gt;0,$BA73*MIN(FE73/10%,1)+($BB73-$BA73)*MAX(0,MIN(FE73/10%-1,1))+($BC73-$BB73)*MAX(0,FE73/10%-2),$AZ73*MIN(-FE73/10%,1)+($AY73-$AZ73)*MAX(0,MIN(-FE73/10%-1,1))+($AX73-$AY73)*MAX(0,-FE73/10%-2)),0),"")</f>
        <v/>
      </c>
      <c r="FH73" s="486" t="str">
        <f aca="false">IF(BE73,IF(VolSkewFlag=1,IF(FF73&gt;0,$BA73*MIN(FF73/10%,1)+($BB73-$BA73)*MAX(0,MIN(FF73/10%-1,1))+($BC73-$BB73)*MAX(0,FF73/10%-2),$AZ73*MIN(-FF73/10%,1)+($AY73-$AZ73)*MAX(0,MIN(-FF73/10%-1,1))+($AX73-$AY73)*MAX(0,-FF73/10%-2)),0),"")</f>
        <v/>
      </c>
      <c r="FI73" s="129"/>
      <c r="FJ73" s="571" t="n">
        <v>54</v>
      </c>
      <c r="FK73" s="150" t="n">
        <f aca="false">IF(FK$19&gt;$FJ73,"",MAX(0,IF(FK$19=$FJ73,$S73^2*FK$15,FK72*INDEX($T$20:$T$91,$FJ73-FK$19)^2/INDEX($U$20:$U$91,$FJ73-FK$19))))</f>
        <v>0</v>
      </c>
      <c r="FL73" s="150" t="n">
        <f aca="false">IF(FL$19&gt;$FJ73,"",MAX(0,IF(FL$19=$FJ73,$S73^2*FL$15,FL72*INDEX($T$20:$T$91,$FJ73-FL$19)^2/INDEX($U$20:$U$91,$FJ73-FL$19))))</f>
        <v>0</v>
      </c>
      <c r="FM73" s="150" t="n">
        <f aca="false">IF(FM$19&gt;$FJ73,"",MAX(0,IF(FM$19=$FJ73,$S73^2*FM$15,FM72*INDEX($T$20:$T$91,$FJ73-FM$19)^2/INDEX($U$20:$U$91,$FJ73-FM$19))))</f>
        <v>0.00254810115609302</v>
      </c>
      <c r="FN73" s="150" t="n">
        <f aca="false">IF(FN$19&gt;$FJ73,"",MAX(0,IF(FN$19=$FJ73,$S73^2*FN$15,FN72*INDEX($T$20:$T$91,$FJ73-FN$19)^2/INDEX($U$20:$U$91,$FJ73-FN$19))))</f>
        <v>0.00214485074138873</v>
      </c>
      <c r="FO73" s="150" t="n">
        <f aca="false">IF(FO$19&gt;$FJ73,"",MAX(0,IF(FO$19=$FJ73,$S73^2*FO$15,FO72*INDEX($T$20:$T$91,$FJ73-FO$19)^2/INDEX($U$20:$U$91,$FJ73-FO$19))))</f>
        <v>0.00223119400018189</v>
      </c>
      <c r="FP73" s="150" t="n">
        <f aca="false">IF(FP$19&gt;$FJ73,"",MAX(0,IF(FP$19=$FJ73,$S73^2*FP$15,FP72*INDEX($T$20:$T$91,$FJ73-FP$19)^2/INDEX($U$20:$U$91,$FJ73-FP$19))))</f>
        <v>0.0024726923516561</v>
      </c>
      <c r="FQ73" s="150" t="n">
        <f aca="false">IF(FQ$19&gt;$FJ73,"",MAX(0,IF(FQ$19=$FJ73,$S73^2*FQ$15,FQ72*INDEX($T$20:$T$91,$FJ73-FQ$19)^2/INDEX($U$20:$U$91,$FJ73-FQ$19))))</f>
        <v>0.00200218778902101</v>
      </c>
      <c r="FR73" s="150" t="n">
        <f aca="false">IF(FR$19&gt;$FJ73,"",MAX(0,IF(FR$19=$FJ73,$S73^2*FR$15,FR72*INDEX($T$20:$T$91,$FJ73-FR$19)^2/INDEX($U$20:$U$91,$FJ73-FR$19))))</f>
        <v>0.00204748494678941</v>
      </c>
      <c r="FS73" s="150" t="n">
        <f aca="false">IF(FS$19&gt;$FJ73,"",MAX(0,IF(FS$19=$FJ73,$S73^2*FS$15,FS72*INDEX($T$20:$T$91,$FJ73-FS$19)^2/INDEX($U$20:$U$91,$FJ73-FS$19))))</f>
        <v>0.00230781083132871</v>
      </c>
      <c r="FT73" s="150" t="n">
        <f aca="false">IF(FT$19&gt;$FJ73,"",MAX(0,IF(FT$19=$FJ73,$S73^2*FT$15,FT72*INDEX($T$20:$T$91,$FJ73-FT$19)^2/INDEX($U$20:$U$91,$FJ73-FT$19))))</f>
        <v>0.00208318194004948</v>
      </c>
      <c r="FU73" s="150" t="n">
        <f aca="false">IF(FU$19&gt;$FJ73,"",MAX(0,IF(FU$19=$FJ73,$S73^2*FU$15,FU72*INDEX($T$20:$T$91,$FJ73-FU$19)^2/INDEX($U$20:$U$91,$FJ73-FU$19))))</f>
        <v>0.00200321520225069</v>
      </c>
      <c r="FV73" s="150" t="n">
        <f aca="false">IF(FV$19&gt;$FJ73,"",MAX(0,IF(FV$19=$FJ73,$S73^2*FV$15,FV72*INDEX($T$20:$T$91,$FJ73-FV$19)^2/INDEX($U$20:$U$91,$FJ73-FV$19))))</f>
        <v>0.00220199644944578</v>
      </c>
      <c r="FW73" s="150" t="n">
        <f aca="false">IF(FW$19&gt;$FJ73,"",MAX(0,IF(FW$19=$FJ73,$S73^2*FW$15,FW72*INDEX($T$20:$T$91,$FJ73-FW$19)^2/INDEX($U$20:$U$91,$FJ73-FW$19))))</f>
        <v>0.00205870951760185</v>
      </c>
      <c r="FX73" s="150" t="n">
        <f aca="false">IF(FX$19&gt;$FJ73,"",MAX(0,IF(FX$19=$FJ73,$S73^2*FX$15,FX72*INDEX($T$20:$T$91,$FJ73-FX$19)^2/INDEX($U$20:$U$91,$FJ73-FX$19))))</f>
        <v>0.00219176660617554</v>
      </c>
      <c r="FY73" s="150" t="n">
        <f aca="false">IF(FY$19&gt;$FJ73,"",MAX(0,IF(FY$19=$FJ73,$S73^2*FY$15,FY72*INDEX($T$20:$T$91,$FJ73-FY$19)^2/INDEX($U$20:$U$91,$FJ73-FY$19))))</f>
        <v>0.0020522037309187</v>
      </c>
      <c r="FZ73" s="150" t="n">
        <f aca="false">IF(FZ$19&gt;$FJ73,"",MAX(0,IF(FZ$19=$FJ73,$S73^2*FZ$15,FZ72*INDEX($T$20:$T$91,$FJ73-FZ$19)^2/INDEX($U$20:$U$91,$FJ73-FZ$19))))</f>
        <v>0.00191398690731167</v>
      </c>
      <c r="GA73" s="150" t="n">
        <f aca="false">IF(GA$19&gt;$FJ73,"",MAX(0,IF(GA$19=$FJ73,$S73^2*GA$15,GA72*INDEX($T$20:$T$91,$FJ73-GA$19)^2/INDEX($U$20:$U$91,$FJ73-GA$19))))</f>
        <v>0.00205007450384342</v>
      </c>
      <c r="GB73" s="150" t="n">
        <f aca="false">IF(GB$19&gt;$FJ73,"",MAX(0,IF(GB$19=$FJ73,$S73^2*GB$15,GB72*INDEX($T$20:$T$91,$FJ73-GB$19)^2/INDEX($U$20:$U$91,$FJ73-GB$19))))</f>
        <v>0.00225521142026899</v>
      </c>
      <c r="GC73" s="150" t="n">
        <f aca="false">IF(GC$19&gt;$FJ73,"",MAX(0,IF(GC$19=$FJ73,$S73^2*GC$15,GC72*INDEX($T$20:$T$91,$FJ73-GC$19)^2/INDEX($U$20:$U$91,$FJ73-GC$19))))</f>
        <v>0.00198260200784846</v>
      </c>
      <c r="GD73" s="150" t="n">
        <f aca="false">IF(GD$19&gt;$FJ73,"",MAX(0,IF(GD$19=$FJ73,$S73^2*GD$15,GD72*INDEX($T$20:$T$91,$FJ73-GD$19)^2/INDEX($U$20:$U$91,$FJ73-GD$19))))</f>
        <v>0.00198394201013735</v>
      </c>
      <c r="GE73" s="150" t="n">
        <f aca="false">IF(GE$19&gt;$FJ73,"",MAX(0,IF(GE$19=$FJ73,$S73^2*GE$15,GE72*INDEX($T$20:$T$91,$FJ73-GE$19)^2/INDEX($U$20:$U$91,$FJ73-GE$19))))</f>
        <v>0.00225976970054948</v>
      </c>
      <c r="GF73" s="150" t="n">
        <f aca="false">IF(GF$19&gt;$FJ73,"",MAX(0,IF(GF$19=$FJ73,$S73^2*GF$15,GF72*INDEX($T$20:$T$91,$FJ73-GF$19)^2/INDEX($U$20:$U$91,$FJ73-GF$19))))</f>
        <v>0.00198836315878223</v>
      </c>
      <c r="GG73" s="150" t="n">
        <f aca="false">IF(GG$19&gt;$FJ73,"",MAX(0,IF(GG$19=$FJ73,$S73^2*GG$15,GG72*INDEX($T$20:$T$91,$FJ73-GG$19)^2/INDEX($U$20:$U$91,$FJ73-GG$19))))</f>
        <v>0.00219751009505213</v>
      </c>
      <c r="GH73" s="150" t="n">
        <f aca="false">IF(GH$19&gt;$FJ73,"",MAX(0,IF(GH$19=$FJ73,$S73^2*GH$15,GH72*INDEX($T$20:$T$91,$FJ73-GH$19)^2/INDEX($U$20:$U$91,$FJ73-GH$19))))</f>
        <v>0.00206411281660462</v>
      </c>
      <c r="GI73" s="150" t="n">
        <f aca="false">IF(GI$19&gt;$FJ73,"",MAX(0,IF(GI$19=$FJ73,$S73^2*GI$15,GI72*INDEX($T$20:$T$91,$FJ73-GI$19)^2/INDEX($U$20:$U$91,$FJ73-GI$19))))</f>
        <v>0.00199989261231259</v>
      </c>
      <c r="GJ73" s="150" t="n">
        <f aca="false">IF(GJ$19&gt;$FJ73,"",MAX(0,IF(GJ$19=$FJ73,$S73^2*GJ$15,GJ72*INDEX($T$20:$T$91,$FJ73-GJ$19)^2/INDEX($U$20:$U$91,$FJ73-GJ$19))))</f>
        <v>0.00228195154910761</v>
      </c>
      <c r="GK73" s="150" t="n">
        <f aca="false">IF(GK$19&gt;$FJ73,"",MAX(0,IF(GK$19=$FJ73,$S73^2*GK$15,GK72*INDEX($T$20:$T$91,$FJ73-GK$19)^2/INDEX($U$20:$U$91,$FJ73-GK$19))))</f>
        <v>0.0020811921360653</v>
      </c>
      <c r="GL73" s="150" t="n">
        <f aca="false">IF(GL$19&gt;$FJ73,"",MAX(0,IF(GL$19=$FJ73,$S73^2*GL$15,GL72*INDEX($T$20:$T$91,$FJ73-GL$19)^2/INDEX($U$20:$U$91,$FJ73-GL$19))))</f>
        <v>0.00201945948087407</v>
      </c>
      <c r="GM73" s="150" t="n">
        <f aca="false">IF(GM$19&gt;$FJ73,"",MAX(0,IF(GM$19=$FJ73,$S73^2*GM$15,GM72*INDEX($T$20:$T$91,$FJ73-GM$19)^2/INDEX($U$20:$U$91,$FJ73-GM$19))))</f>
        <v>0.00216836555443976</v>
      </c>
      <c r="GN73" s="150" t="n">
        <f aca="false">IF(GN$19&gt;$FJ73,"",MAX(0,IF(GN$19=$FJ73,$S73^2*GN$15,GN72*INDEX($T$20:$T$91,$FJ73-GN$19)^2/INDEX($U$20:$U$91,$FJ73-GN$19))))</f>
        <v>0.00217971981077876</v>
      </c>
      <c r="GO73" s="150" t="n">
        <f aca="false">IF(GO$19&gt;$FJ73,"",MAX(0,IF(GO$19=$FJ73,$S73^2*GO$15,GO72*INDEX($T$20:$T$91,$FJ73-GO$19)^2/INDEX($U$20:$U$91,$FJ73-GO$19))))</f>
        <v>0.00219310273818877</v>
      </c>
      <c r="GP73" s="150" t="n">
        <f aca="false">IF(GP$19&gt;$FJ73,"",MAX(0,IF(GP$19=$FJ73,$S73^2*GP$15,GP72*INDEX($T$20:$T$91,$FJ73-GP$19)^2/INDEX($U$20:$U$91,$FJ73-GP$19))))</f>
        <v>0.00199512120993732</v>
      </c>
      <c r="GQ73" s="150" t="n">
        <f aca="false">IF(GQ$19&gt;$FJ73,"",MAX(0,IF(GQ$19=$FJ73,$S73^2*GQ$15,GQ72*INDEX($T$20:$T$91,$FJ73-GQ$19)^2/INDEX($U$20:$U$91,$FJ73-GQ$19))))</f>
        <v>0.00222750998526151</v>
      </c>
      <c r="GR73" s="150" t="n">
        <f aca="false">IF(GR$19&gt;$FJ73,"",MAX(0,IF(GR$19=$FJ73,$S73^2*GR$15,GR72*INDEX($T$20:$T$91,$FJ73-GR$19)^2/INDEX($U$20:$U$91,$FJ73-GR$19))))</f>
        <v>0.00217695395513027</v>
      </c>
      <c r="GS73" s="150" t="n">
        <f aca="false">IF(GS$19&gt;$FJ73,"",MAX(0,IF(GS$19=$FJ73,$S73^2*GS$15,GS72*INDEX($T$20:$T$91,$FJ73-GS$19)^2/INDEX($U$20:$U$91,$FJ73-GS$19))))</f>
        <v>0.00227556583999567</v>
      </c>
      <c r="GT73" s="150" t="n">
        <f aca="false">IF(GT$19&gt;$FJ73,"",MAX(0,IF(GT$19=$FJ73,$S73^2*GT$15,GT72*INDEX($T$20:$T$91,$FJ73-GT$19)^2/INDEX($U$20:$U$91,$FJ73-GT$19))))</f>
        <v>0.0022320471086372</v>
      </c>
      <c r="GU73" s="150" t="n">
        <f aca="false">IF(GU$19&gt;$FJ73,"",MAX(0,IF(GU$19=$FJ73,$S73^2*GU$15,GU72*INDEX($T$20:$T$91,$FJ73-GU$19)^2/INDEX($U$20:$U$91,$FJ73-GU$19))))</f>
        <v>0.00234314776321659</v>
      </c>
      <c r="GV73" s="150" t="n">
        <f aca="false">IF(GV$19&gt;$FJ73,"",MAX(0,IF(GV$19=$FJ73,$S73^2*GV$15,GV72*INDEX($T$20:$T$91,$FJ73-GV$19)^2/INDEX($U$20:$U$91,$FJ73-GV$19))))</f>
        <v>0.00238687479104982</v>
      </c>
      <c r="GW73" s="150" t="n">
        <f aca="false">IF(GW$19&gt;$FJ73,"",MAX(0,IF(GW$19=$FJ73,$S73^2*GW$15,GW72*INDEX($T$20:$T$91,$FJ73-GW$19)^2/INDEX($U$20:$U$91,$FJ73-GW$19))))</f>
        <v>0.00236045782775438</v>
      </c>
      <c r="GX73" s="150" t="n">
        <f aca="false">IF(GX$19&gt;$FJ73,"",MAX(0,IF(GX$19=$FJ73,$S73^2*GX$15,GX72*INDEX($T$20:$T$91,$FJ73-GX$19)^2/INDEX($U$20:$U$91,$FJ73-GX$19))))</f>
        <v>0.00250184159963865</v>
      </c>
      <c r="GY73" s="150" t="n">
        <f aca="false">IF(GY$19&gt;$FJ73,"",MAX(0,IF(GY$19=$FJ73,$S73^2*GY$15,GY72*INDEX($T$20:$T$91,$FJ73-GY$19)^2/INDEX($U$20:$U$91,$FJ73-GY$19))))</f>
        <v>0.00249425139544391</v>
      </c>
      <c r="GZ73" s="150" t="n">
        <f aca="false">IF(GZ$19&gt;$FJ73,"",MAX(0,IF(GZ$19=$FJ73,$S73^2*GZ$15,GZ72*INDEX($T$20:$T$91,$FJ73-GZ$19)^2/INDEX($U$20:$U$91,$FJ73-GZ$19))))</f>
        <v>0.00266889564435104</v>
      </c>
      <c r="HA73" s="150" t="n">
        <f aca="false">IF(HA$19&gt;$FJ73,"",MAX(0,IF(HA$19=$FJ73,$S73^2*HA$15,HA72*INDEX($T$20:$T$91,$FJ73-HA$19)^2/INDEX($U$20:$U$91,$FJ73-HA$19))))</f>
        <v>0.00278038774328747</v>
      </c>
      <c r="HB73" s="150" t="n">
        <f aca="false">IF(HB$19&gt;$FJ73,"",MAX(0,IF(HB$19=$FJ73,$S73^2*HB$15,HB72*INDEX($T$20:$T$91,$FJ73-HB$19)^2/INDEX($U$20:$U$91,$FJ73-HB$19))))</f>
        <v>0.0027289984708716</v>
      </c>
      <c r="HC73" s="150" t="n">
        <f aca="false">IF(HC$19&gt;$FJ73,"",MAX(0,IF(HC$19=$FJ73,$S73^2*HC$15,HC72*INDEX($T$20:$T$91,$FJ73-HC$19)^2/INDEX($U$20:$U$91,$FJ73-HC$19))))</f>
        <v>0.00308651351818</v>
      </c>
      <c r="HD73" s="150" t="n">
        <f aca="false">IF(HD$19&gt;$FJ73,"",MAX(0,IF(HD$19=$FJ73,$S73^2*HD$15,HD72*INDEX($T$20:$T$91,$FJ73-HD$19)^2/INDEX($U$20:$U$91,$FJ73-HD$19))))</f>
        <v>0.00319172005563033</v>
      </c>
      <c r="HE73" s="150" t="n">
        <f aca="false">IF(HE$19&gt;$FJ73,"",MAX(0,IF(HE$19=$FJ73,$S73^2*HE$15,HE72*INDEX($T$20:$T$91,$FJ73-HE$19)^2/INDEX($U$20:$U$91,$FJ73-HE$19))))</f>
        <v>0.00356567017609259</v>
      </c>
      <c r="HF73" s="150" t="n">
        <f aca="false">IF(HF$19&gt;$FJ73,"",MAX(0,IF(HF$19=$FJ73,$S73^2*HF$15,HF72*INDEX($T$20:$T$91,$FJ73-HF$19)^2/INDEX($U$20:$U$91,$FJ73-HF$19))))</f>
        <v>0.00378262448397879</v>
      </c>
      <c r="HG73" s="150" t="n">
        <f aca="false">IF(HG$19&gt;$FJ73,"",MAX(0,IF(HG$19=$FJ73,$S73^2*HG$15,HG72*INDEX($T$20:$T$91,$FJ73-HG$19)^2/INDEX($U$20:$U$91,$FJ73-HG$19))))</f>
        <v>0.00435582564487974</v>
      </c>
      <c r="HH73" s="150" t="n">
        <f aca="false">IF(HH$19&gt;$FJ73,"",MAX(0,IF(HH$19=$FJ73,$S73^2*HH$15,HH72*INDEX($T$20:$T$91,$FJ73-HH$19)^2/INDEX($U$20:$U$91,$FJ73-HH$19))))</f>
        <v>0.00495011318232785</v>
      </c>
      <c r="HI73" s="150" t="n">
        <f aca="false">IF(HI$19&gt;$FJ73,"",MAX(0,IF(HI$19=$FJ73,$S73^2*HI$15,HI72*INDEX($T$20:$T$91,$FJ73-HI$19)^2/INDEX($U$20:$U$91,$FJ73-HI$19))))</f>
        <v>0.00557296329044073</v>
      </c>
      <c r="HJ73" s="150" t="n">
        <f aca="false">IF(HJ$19&gt;$FJ73,"",MAX(0,IF(HJ$19=$FJ73,$S73^2*HJ$15,HJ72*INDEX($T$20:$T$91,$FJ73-HJ$19)^2/INDEX($U$20:$U$91,$FJ73-HJ$19))))</f>
        <v>0.00689031754971429</v>
      </c>
      <c r="HK73" s="150" t="n">
        <f aca="false">IF(HK$19&gt;$FJ73,"",MAX(0,IF(HK$19=$FJ73,$S73^2*HK$15,HK72*INDEX($T$20:$T$91,$FJ73-HK$19)^2/INDEX($U$20:$U$91,$FJ73-HK$19))))</f>
        <v>0.00825335869712522</v>
      </c>
      <c r="HL73" s="150" t="n">
        <f aca="false">IF(HL$19&gt;$FJ73,"",MAX(0,IF(HL$19=$FJ73,$S73^2*HL$15,HL72*INDEX($T$20:$T$91,$FJ73-HL$19)^2/INDEX($U$20:$U$91,$FJ73-HL$19))))</f>
        <v>0.0109995901010451</v>
      </c>
      <c r="HM73" s="150" t="str">
        <f aca="false">IF(HM$19&gt;$FJ73,"",MAX(0,IF(HM$19=$FJ73,$S73^2*HM$15,HM72*INDEX($T$20:$T$91,$FJ73-HM$19)^2/INDEX($U$20:$U$91,$FJ73-HM$19))))</f>
        <v/>
      </c>
      <c r="HN73" s="150" t="str">
        <f aca="false">IF(HN$19&gt;$FJ73,"",MAX(0,IF(HN$19=$FJ73,$S73^2*HN$15,HN72*INDEX($T$20:$T$91,$FJ73-HN$19)^2/INDEX($U$20:$U$91,$FJ73-HN$19))))</f>
        <v/>
      </c>
      <c r="HO73" s="150" t="str">
        <f aca="false">IF(HO$19&gt;$FJ73,"",MAX(0,IF(HO$19=$FJ73,$S73^2*HO$15,HO72*INDEX($T$20:$T$91,$FJ73-HO$19)^2/INDEX($U$20:$U$91,$FJ73-HO$19))))</f>
        <v/>
      </c>
      <c r="HP73" s="150" t="str">
        <f aca="false">IF(HP$19&gt;$FJ73,"",MAX(0,IF(HP$19=$FJ73,$S73^2*HP$15,HP72*INDEX($T$20:$T$91,$FJ73-HP$19)^2/INDEX($U$20:$U$91,$FJ73-HP$19))))</f>
        <v/>
      </c>
      <c r="HQ73" s="150" t="str">
        <f aca="false">IF(HQ$19&gt;$FJ73,"",MAX(0,IF(HQ$19=$FJ73,$S73^2*HQ$15,HQ72*INDEX($T$20:$T$91,$FJ73-HQ$19)^2/INDEX($U$20:$U$91,$FJ73-HQ$19))))</f>
        <v/>
      </c>
      <c r="HR73" s="150" t="str">
        <f aca="false">IF(HR$19&gt;$FJ73,"",MAX(0,IF(HR$19=$FJ73,$S73^2*HR$15,HR72*INDEX($T$20:$T$91,$FJ73-HR$19)^2/INDEX($U$20:$U$91,$FJ73-HR$19))))</f>
        <v/>
      </c>
      <c r="HS73" s="150" t="str">
        <f aca="false">IF(HS$19&gt;$FJ73,"",MAX(0,IF(HS$19=$FJ73,$S73^2*HS$15,HS72*INDEX($T$20:$T$91,$FJ73-HS$19)^2/INDEX($U$20:$U$91,$FJ73-HS$19))))</f>
        <v/>
      </c>
      <c r="HT73" s="150" t="str">
        <f aca="false">IF(HT$19&gt;$FJ73,"",MAX(0,IF(HT$19=$FJ73,$S73^2*HT$15,HT72*INDEX($T$20:$T$91,$FJ73-HT$19)^2/INDEX($U$20:$U$91,$FJ73-HT$19))))</f>
        <v/>
      </c>
      <c r="HU73" s="150" t="str">
        <f aca="false">IF(HU$19&gt;$FJ73,"",MAX(0,IF(HU$19=$FJ73,$S73^2*HU$15,HU72*INDEX($T$20:$T$91,$FJ73-HU$19)^2/INDEX($U$20:$U$91,$FJ73-HU$19))))</f>
        <v/>
      </c>
      <c r="HV73" s="150" t="str">
        <f aca="false">IF(HV$19&gt;$FJ73,"",MAX(0,IF(HV$19=$FJ73,$S73^2*HV$15,HV72*INDEX($T$20:$T$91,$FJ73-HV$19)^2/INDEX($U$20:$U$91,$FJ73-HV$19))))</f>
        <v/>
      </c>
      <c r="HW73" s="150" t="str">
        <f aca="false">IF(HW$19&gt;$FJ73,"",MAX(0,IF(HW$19=$FJ73,$S73^2*HW$15,HW72*INDEX($T$20:$T$91,$FJ73-HW$19)^2/INDEX($U$20:$U$91,$FJ73-HW$19))))</f>
        <v/>
      </c>
      <c r="HX73" s="150" t="str">
        <f aca="false">IF(HX$19&gt;$FJ73,"",MAX(0,IF(HX$19=$FJ73,$S73^2*HX$15,HX72*INDEX($T$20:$T$91,$FJ73-HX$19)^2/INDEX($U$20:$U$91,$FJ73-HX$19))))</f>
        <v/>
      </c>
      <c r="HY73" s="150" t="str">
        <f aca="false">IF(HY$19&gt;$FJ73,"",MAX(0,IF(HY$19=$FJ73,$S73^2*HY$15,HY72*INDEX($T$20:$T$91,$FJ73-HY$19)^2/INDEX($U$20:$U$91,$FJ73-HY$19))))</f>
        <v/>
      </c>
      <c r="HZ73" s="150" t="str">
        <f aca="false">IF(HZ$19&gt;$FJ73,"",MAX(0,IF(HZ$19=$FJ73,$S73^2*HZ$15,HZ72*INDEX($T$20:$T$91,$FJ73-HZ$19)^2/INDEX($U$20:$U$91,$FJ73-HZ$19))))</f>
        <v/>
      </c>
      <c r="IA73" s="150" t="str">
        <f aca="false">IF(IA$19&gt;$FJ73,"",MAX(0,IF(IA$19=$FJ73,$S73^2*IA$15,IA72*INDEX($T$20:$T$91,$FJ73-IA$19)^2/INDEX($U$20:$U$91,$FJ73-IA$19))))</f>
        <v/>
      </c>
      <c r="IB73" s="150" t="str">
        <f aca="false">IF(IB$19&gt;$FJ73,"",MAX(0,IF(IB$19=$FJ73,$S73^2*IB$15,IB72*INDEX($T$20:$T$91,$FJ73-IB$19)^2/INDEX($U$20:$U$91,$FJ73-IB$19))))</f>
        <v/>
      </c>
      <c r="IC73" s="150" t="str">
        <f aca="false">IF(IC$19&gt;$FJ73,"",MAX(0,IF(IC$19=$FJ73,$S73^2*IC$15,IC72*INDEX($T$20:$T$91,$FJ73-IC$19)^2/INDEX($U$20:$U$91,$FJ73-IC$19))))</f>
        <v/>
      </c>
      <c r="ID73" s="572" t="str">
        <f aca="false">IF(ID$19&gt;$FJ73,"",MAX(0,IF(ID$19=$FJ73,$S73^2*ID$15,ID72*INDEX($T$20:$T$91,$FJ73-ID$19)^2/INDEX($U$20:$U$91,$FJ73-ID$19))))</f>
        <v/>
      </c>
      <c r="IE73" s="129"/>
    </row>
    <row r="74" customFormat="false" ht="12.75" hidden="false" customHeight="false" outlineLevel="0" collapsed="false">
      <c r="A74" s="3"/>
      <c r="F74" s="3"/>
      <c r="G74" s="3"/>
      <c r="H74" s="219" t="n">
        <f aca="false">VLOOKUP(I74,$EJ$20:$EL$54,3)</f>
        <v>0</v>
      </c>
      <c r="I74" s="511" t="n">
        <f aca="false">EOMONTH(I73,0)+1</f>
        <v>38412</v>
      </c>
      <c r="J74" s="512"/>
      <c r="K74" s="513" t="s">
        <v>250</v>
      </c>
      <c r="L74" s="514" t="e">
        <f aca="false">IF(ISNUMBER(K74),J74+K74/100,IF(K74="extra",L73+VLOOKUP(BF74,PriceSpreadTable,2)/12,IF(K74="inter",interpolateprices($K$19:$L$200,ROW(K74)-ROW(FirstPricingMonth)+1),interpolatechanges($J$19:$K$200,ROW(K74)-ROW(FirstPricingMonth)+1))))</f>
        <v>#VALUE!</v>
      </c>
      <c r="M74" s="515"/>
      <c r="N74" s="516" t="n">
        <v>0</v>
      </c>
      <c r="O74" s="515" t="n">
        <f aca="false">M74+N74</f>
        <v>0</v>
      </c>
      <c r="P74" s="512"/>
      <c r="Q74" s="513" t="s">
        <v>280</v>
      </c>
      <c r="R74" s="512" t="e">
        <f aca="false">IF(ISNUMBER(Q74),P74+Q74/100,IF(Q74="extra",(Z72*AL72-R73*AM72)/AN72,IF(Q74="inter",interpolateprices($Q$19:$R$260,ROW(Q74)-ROW(FirstPricingMonth)+1),interpolatechanges($P$19:$Q$260,ROW(Q74)-ROW(FirstPricingMonth)+1))))</f>
        <v>#VALUE!</v>
      </c>
      <c r="S74" s="597" t="n">
        <f aca="false">S$19+(S73-S$19)*S$18</f>
        <v>0.360000009556678</v>
      </c>
      <c r="T74" s="575" t="n">
        <f aca="false">SQRT((1-(1-T73^2/U73)*T$18)*U74)</f>
        <v>0.999976193960038</v>
      </c>
      <c r="U74" s="576" t="n">
        <f aca="false">1-(1-U73)*U$18</f>
        <v>0.999999997312184</v>
      </c>
      <c r="V74" s="521" t="n">
        <v>0</v>
      </c>
      <c r="W74" s="577" t="n">
        <f aca="false">(J75*AJ74+J76*AK74)/AI74</f>
        <v>0</v>
      </c>
      <c r="X74" s="578" t="e">
        <f aca="false">(L75*AJ74+L76*AK74)/AI74</f>
        <v>#VALUE!</v>
      </c>
      <c r="Y74" s="579" t="n">
        <f aca="false">IF(Q76="extra",W74-AA74,(P75*AM74+P76*AN74)/AL74)</f>
        <v>-1.121</v>
      </c>
      <c r="Z74" s="579" t="e">
        <f aca="false">IF(Q76="extra",X74-AB74,(R75*AM74+R76*AN74)/AL74)</f>
        <v>#VALUE!</v>
      </c>
      <c r="AA74" s="523" t="n">
        <f aca="false">IF(Q76="extra",INDEX(BrentSeasonalityTable,INT((BG74-1)/3)+1)*VLOOKUP(MAX(BF74,$AB$4),PriceSpreadTable,3),W74-Y74)</f>
        <v>1.121</v>
      </c>
      <c r="AB74" s="524" t="n">
        <f aca="false">IF(Q76="extra",INDEX(BrentSeasonalityTable,INT((BG74-1)/3)+1)*VLOOKUP(MAX(BF74,$AB$4),PriceSpreadTable,3),X74-Z74)</f>
        <v>1.121</v>
      </c>
      <c r="AC74" s="646" t="n">
        <v>38403</v>
      </c>
      <c r="AD74" s="646" t="n">
        <v>38399</v>
      </c>
      <c r="AE74" s="646" t="n">
        <v>38398</v>
      </c>
      <c r="AF74" s="646" t="n">
        <v>38394</v>
      </c>
      <c r="AG74" s="438" t="s">
        <v>247</v>
      </c>
      <c r="AH74" s="439" t="s">
        <v>278</v>
      </c>
      <c r="AI74" s="528" t="n">
        <v>23</v>
      </c>
      <c r="AJ74" s="529" t="n">
        <v>14</v>
      </c>
      <c r="AK74" s="529" t="n">
        <v>9</v>
      </c>
      <c r="AL74" s="530" t="n">
        <v>23</v>
      </c>
      <c r="AM74" s="529" t="n">
        <v>10</v>
      </c>
      <c r="AN74" s="531" t="n">
        <v>13</v>
      </c>
      <c r="AO74" s="532"/>
      <c r="AP74" s="465" t="n">
        <f aca="false">(1+AO74/2)^(-2*BL74)</f>
        <v>1</v>
      </c>
      <c r="AQ74" s="532"/>
      <c r="AR74" s="465" t="n">
        <f aca="false">(1+AQ74/2)^(-2*BH74/365.25)</f>
        <v>1</v>
      </c>
      <c r="AS74" s="580" t="n">
        <f aca="false">(O75*AJ74+O76*AK74)/AI74</f>
        <v>0</v>
      </c>
      <c r="AT74" s="468" t="n">
        <f aca="false">O74*VLOOKUP(BF74,BrentVolTable,2)+VLOOKUP(BF74,BrentVolTable,3)</f>
        <v>0</v>
      </c>
      <c r="AU74" s="468" t="n">
        <f aca="false">(AT75*AM74+AT76*AN74)/AL74</f>
        <v>0</v>
      </c>
      <c r="AV74" s="595" t="n">
        <f aca="false">SQRT(MAX(0.000000000001,(O74^2*BH74-S74^2*(BH74-BH73))/BH73))</f>
        <v>0.0230573105050428</v>
      </c>
      <c r="AW74" s="451" t="n">
        <f aca="false">IF($I74-DateToday+15&gt;=$T$8,"",IF($I74-DateToday+15&lt;$T$5,1,MATCH($I74-DateToday+15,$T$5:$T$8)))</f>
        <v>1</v>
      </c>
      <c r="AX74" s="468" t="n">
        <f aca="false">IF($AW74="",AX73^2/AX72,INDEX(U$5:U$8,$AW74)^((INDEX($T$5:$T$8,$AW74+1)-($I74-DateToday+15))/(INDEX($T$5:$T$8,$AW74+1)-INDEX($T$5:$T$8,$AW74)))/INDEX(U$5:U$8,$AW74+1)^((INDEX($T$5:$T$8,$AW74)-($I74-DateToday+15))/(INDEX($T$5:$T$8,$AW74+1)-INDEX($T$5:$T$8,$AW74))))</f>
        <v>3.96050870215808</v>
      </c>
      <c r="AY74" s="468" t="n">
        <f aca="false">IF($AW74="",AY73^2/AY72,INDEX(V$5:V$8,$AW74)^((INDEX($T$5:$T$8,$AW74+1)-($I74-DateToday+15))/(INDEX($T$5:$T$8,$AW74+1)-INDEX($T$5:$T$8,$AW74)))/INDEX(V$5:V$8,$AW74+1)^((INDEX($T$5:$T$8,$AW74)-($I74-DateToday+15))/(INDEX($T$5:$T$8,$AW74+1)-INDEX($T$5:$T$8,$AW74))))</f>
        <v>537.508886395327</v>
      </c>
      <c r="AZ74" s="468" t="n">
        <f aca="false">IF($AW74="",AZ73^2/AZ72,INDEX(W$5:W$8,$AW74)^((INDEX($T$5:$T$8,$AW74+1)-($I74-DateToday+15))/(INDEX($T$5:$T$8,$AW74+1)-INDEX($T$5:$T$8,$AW74)))/INDEX(W$5:W$8,$AW74+1)^((INDEX($T$5:$T$8,$AW74)-($I74-DateToday+15))/(INDEX($T$5:$T$8,$AW74+1)-INDEX($T$5:$T$8,$AW74))))</f>
        <v>8275390.73724466</v>
      </c>
      <c r="BA74" s="468" t="n">
        <f aca="false">IF($AW74="",BA73^2/BA72,INDEX(X$5:X$8,$AW74)^((INDEX($T$5:$T$8,$AW74+1)-($I74-DateToday+15))/(INDEX($T$5:$T$8,$AW74+1)-INDEX($T$5:$T$8,$AW74)))/INDEX(X$5:X$8,$AW74+1)^((INDEX($T$5:$T$8,$AW74)-($I74-DateToday+15))/(INDEX($T$5:$T$8,$AW74+1)-INDEX($T$5:$T$8,$AW74))))</f>
        <v>341403719.04808</v>
      </c>
      <c r="BB74" s="468" t="n">
        <f aca="false">IF($AW74="",BB73^2/BB72,INDEX(Y$5:Y$8,$AW74)^((INDEX($T$5:$T$8,$AW74+1)-($I74-DateToday+15))/(INDEX($T$5:$T$8,$AW74+1)-INDEX($T$5:$T$8,$AW74)))/INDEX(Y$5:Y$8,$AW74+1)^((INDEX($T$5:$T$8,$AW74)-($I74-DateToday+15))/(INDEX($T$5:$T$8,$AW74+1)-INDEX($T$5:$T$8,$AW74))))</f>
        <v>5532963875.65612</v>
      </c>
      <c r="BC74" s="468" t="n">
        <f aca="false">IF($AW74="",BC73^2/BC72,INDEX(Z$5:Z$8,$AW74)^((INDEX($T$5:$T$8,$AW74+1)-($I74-DateToday+15))/(INDEX($T$5:$T$8,$AW74+1)-INDEX($T$5:$T$8,$AW74)))/INDEX(Z$5:Z$8,$AW74+1)^((INDEX($T$5:$T$8,$AW74)-($I74-DateToday+15))/(INDEX($T$5:$T$8,$AW74+1)-INDEX($T$5:$T$8,$AW74))))</f>
        <v>29254350017.5209</v>
      </c>
      <c r="BD74" s="535" t="n">
        <f aca="false">IF(OR(DateStart&gt;=I75,DateEnd&lt;I74),0,IF(VolumeOverrideFlag,V74,Volume))</f>
        <v>0</v>
      </c>
      <c r="BE74" s="536" t="n">
        <f aca="false">IF(OR(DateStart2&gt;=I75,DateEnd2&lt;I74),0,IF(VolumeOverrideFlag,V74,VolumeSwaption))</f>
        <v>0</v>
      </c>
      <c r="BF74" s="537" t="n">
        <f aca="false">YEAR(I74)</f>
        <v>2005</v>
      </c>
      <c r="BG74" s="538" t="n">
        <f aca="false">MONTH(I74)</f>
        <v>3</v>
      </c>
      <c r="BH74" s="539" t="n">
        <f aca="false">AD74-DateToday+1</f>
        <v>-7526</v>
      </c>
      <c r="BI74" s="540" t="n">
        <f aca="false">(I74-DateToday+1)/365.25</f>
        <v>-20.5694729637235</v>
      </c>
      <c r="BJ74" s="541" t="n">
        <f aca="false">BI74+(BL74-BI74)*CHOOSE(Underlying,AJ74/AI74,AM74/AL74)</f>
        <v>-20.5194774276106</v>
      </c>
      <c r="BK74" s="541" t="n">
        <f aca="false">BJ74+1/365.25</f>
        <v>-20.5167395768235</v>
      </c>
      <c r="BL74" s="541" t="n">
        <f aca="false">(I75-DateToday)/365.25</f>
        <v>-20.4873374401095</v>
      </c>
      <c r="BM74" s="542" t="e">
        <f aca="false">MAX(BI74-(BJ74-BI74)*(S75^2/O75^2-1),0)</f>
        <v>#DIV/0!</v>
      </c>
      <c r="BN74" s="541" t="e">
        <f aca="false">MAX(BL74+(BL74-BK74)*(S76^2/O76^2-1),0)</f>
        <v>#DIV/0!</v>
      </c>
      <c r="BO74" s="530" t="n">
        <f aca="false">CHOOSE(Underlying,AI74,AL74)</f>
        <v>23</v>
      </c>
      <c r="BP74" s="529" t="n">
        <f aca="false">CHOOSE(Underlying,AJ74,AM74)</f>
        <v>14</v>
      </c>
      <c r="BQ74" s="529" t="n">
        <f aca="false">CHOOSE(Underlying,AK74,AN74)</f>
        <v>9</v>
      </c>
      <c r="BR74" s="463" t="str">
        <f aca="false">IF(BD74,IF(Underlying=1,X74,Z74)+UnderlyingPriceAsian-SwapPriceCurve,"")</f>
        <v/>
      </c>
      <c r="BS74" s="463" t="str">
        <f aca="false">IF(BD74,Strike1/BR74-1,"")</f>
        <v/>
      </c>
      <c r="BT74" s="464" t="str">
        <f aca="false">IF(BD74,Strike2/BR74-1,"")</f>
        <v/>
      </c>
      <c r="BU74" s="465" t="str">
        <f aca="false">IF(BD74,IF(Underlying=1,L75,R75)+UnderlyingPriceAsian-SwapPriceCurve,"")</f>
        <v/>
      </c>
      <c r="BV74" s="465" t="str">
        <f aca="false">IF(BD74,IF(Underlying=1,L76,R76)+UnderlyingPriceAsian-SwapPriceCurve,"")</f>
        <v/>
      </c>
      <c r="BW74" s="466" t="str">
        <f aca="false">IF(BD74,IF(Underlying=1,O75,AT75),"")</f>
        <v/>
      </c>
      <c r="BX74" s="467" t="str">
        <f aca="false">IF(BD74,IF(Underlying=1,O76,AT76),"")</f>
        <v/>
      </c>
      <c r="BY74" s="466" t="str">
        <f aca="false">IF(BD74,IF(BS74&gt;0,IF(BS74&gt;0.2,BC74-BB74,IF(BS74&gt;0.1,BB74-BA74,BA74)),IF(BS74&lt;-0.2,AX74-AY74,IF(BS74&lt;-0.1,AY74-AZ74,AZ74))),"")</f>
        <v/>
      </c>
      <c r="BZ74" s="467" t="str">
        <f aca="false">IF(BD74,IF(BT74&gt;0,IF(BT74&gt;0.2,BC74-BB74,IF(BT74&gt;0.1,BB74-BA74,BA74)),IF(BT74&lt;-0.2,AX74-AY74,IF(BT74&lt;-0.1,AY74-AZ74,AZ74))),"")</f>
        <v/>
      </c>
      <c r="CA74" s="468" t="str">
        <f aca="false">IF($BD74,$BW74+IF(VolSkewFlag=1,IF(BS74&gt;0,$BA74*MIN(BS74/10%,1)+($BB74-$BA74)*MAX(0,MIN(BS74/10%-1,1))+($BC74-$BB74)*MAX(0,BS74/10%-2),$AZ74*MIN(-BS74/10%,1)+($AY74-$AZ74)*MAX(0,MIN(-BS74/10%-1,1))+($AX74-$AY74)*MAX(0,-BS74/10%-2)),0),"")</f>
        <v/>
      </c>
      <c r="CB74" s="468" t="str">
        <f aca="false">IF($BD74,$BX74+IF(VolSkewFlag=1,IF(BS74&gt;0,$BA74*MIN(BS74/10%,1)+($BB74-$BA74)*MAX(0,MIN(BS74/10%-1,1))+($BC74-$BB74)*MAX(0,BS74/10%-2),$AZ74*MIN(-BS74/10%,1)+($AY74-$AZ74)*MAX(0,MIN(-BS74/10%-1,1))+($AX74-$AY74)*MAX(0,-BS74/10%-2)),0),"")</f>
        <v/>
      </c>
      <c r="CC74" s="468" t="str">
        <f aca="false">IF($BD74,$BW74+IF(VolSkewFlag=1,IF(BT74&gt;0,$BA74*MIN(BT74/10%,1)+($BB74-$BA74)*MAX(0,MIN(BT74/10%-1,1))+($BC74-$BB74)*MAX(0,BT74/10%-2),$AZ74*MIN(-BT74/10%,1)+($AY74-$AZ74)*MAX(0,MIN(-BT74/10%-1,1))+($AX74-$AY74)*MAX(0,-BT74/10%-2)),0),"")</f>
        <v/>
      </c>
      <c r="CD74" s="468" t="str">
        <f aca="false">IF($BD74,$BX74+IF(VolSkewFlag=1,IF(BT74&gt;0,$BA74*MIN(BT74/10%,1)+($BB74-$BA74)*MAX(0,MIN(BT74/10%-1,1))+($BC74-$BB74)*MAX(0,BT74/10%-2),$AZ74*MIN(-BT74/10%,1)+($AY74-$AZ74)*MAX(0,MIN(-BT74/10%-1,1))+($AX74-$AY74)*MAX(0,-BT74/10%-2)),0),"")</f>
        <v/>
      </c>
      <c r="CE74" s="469" t="n">
        <v>1</v>
      </c>
      <c r="CF74" s="470" t="n">
        <f aca="false">IF(BD74,xCrudeAPO(BU74,BV74,CA74,CB74,S75,S76,BI74,BL74,BP74,BQ74,0,Strike1,AO74,CE74,0,BL74,IF(OptControl=4,0,1),0,1),0)</f>
        <v>0</v>
      </c>
      <c r="CG74" s="470" t="n">
        <f aca="false">IF(BD74,xCrudeAPO(BU74,BV74,CA74,CB74,S75,S76,BI74,BL74,BP74,BQ74,0,Strike1,AO74,CE74,0,BL74,IF(OptControl=4,0,1),1,1)+xCrudeAPO(BU74,BV74,CA74,CB74,S75,S76,BI74,BL74,BP74,BQ74,0,Strike1,AO74,CE74,0,BL74,IF(OptControl=4,0,1),1,2)+IF(OR(VolSkewFlag=2,ABS(BS74)&lt;0.0001),0,IF(BS74&gt;0,-1,1)*CH74*Strike1/BR74^2*BY74/10%),0)</f>
        <v>0</v>
      </c>
      <c r="CH74" s="470" t="n">
        <f aca="false">IF(BD74,(xCrudeAPO(BU74,BV74,CA74,CB74,S75,S76,BI74,BL74,BP74,BQ74,0,Strike1,AO74,CE74,0,BL74,IF(OptControl=4,0,1),3,1)+xCrudeAPO(BU74,BV74,CA74,CB74,S75,S76,BI74,BL74,BP74,BQ74,0,Strike1,AO74,CE74,0,BL74,IF(OptControl=4,0,1),3,2))/100,0)</f>
        <v>0</v>
      </c>
      <c r="CI74" s="470" t="n">
        <f aca="false">IF(BD74,xCrudeAPO(BU74,BV74,CA74,CB74,S75,S76,BI74-DaysForThetaCalculation/365.25,BL74-DaysForThetaCalculation/365.25,BP74,BQ74,0,Strike1,AO74,CE74,0,BL74,IF(OptControl=4,0,1),0,1)-xCrudeAPO(BU74,BV74,CA74,CB74,S75,S76,BI74,BL74,BP74,BQ74,0,Strike1,AO74,CE74,0,BL74,IF(OptControl=4,0,1),0,1),0)</f>
        <v>0</v>
      </c>
      <c r="CJ74" s="471" t="n">
        <f aca="false">IF(BD74,xCrudeAPO(BU74,BV74,CC74,CD74,S75,S76,BI74,BL74,BP74,BQ74,0,Strike2,AO74,CE74,0,BL74,IF(OptControl=3,1,0),0,1),0)</f>
        <v>0</v>
      </c>
      <c r="CK74" s="470" t="n">
        <f aca="false">IF(BD74,xCrudeAPO(BU74,BV74,CC74,CD74,S75,S76,BI74,BL74,BP74,BQ74,0,Strike2,AO74,CE74,0,BL74,IF(OptControl=3,1,0),1,1)+xCrudeAPO(BU74,BV74,CC74,CD74,S75,S76,BI74,BL74,BP74,BQ74,0,Strike2,AO74,CE74,0,BL74,IF(OptControl=3,1,0),1,2)+IF(OR(VolSkewFlag=2,ABS(BT74)&lt;0.0001),0,IF(BT74&gt;0,-1,1)*CL74*Strike2/BR74^2*BZ74/10%),0)</f>
        <v>0</v>
      </c>
      <c r="CL74" s="470" t="n">
        <f aca="false">IF(BD74,(xCrudeAPO(BU74,BV74,CC74,CD74,S75,S76,BI74,BL74,BP74,BQ74,0,Strike2,AO74,CE74,0,BL74,IF(OptControl=3,1,0),3,1)+xCrudeAPO(BU74,BV74,CC74,CD74,S75,S76,BI74,BL74,BP74,BQ74,0,Strike2,AO74,CE74,0,BL74,IF(OptControl=3,1,0),3,2))/100,0)</f>
        <v>0</v>
      </c>
      <c r="CM74" s="472" t="n">
        <f aca="false">IF(BD74,xCrudeAPO(BU74,BV74,CC74,CD74,S75,S76,BI74-DaysForThetaCalculation/365.25,BL74-DaysForThetaCalculation/365.25,BP74,BQ74,0,Strike2,AO74,CE74,0,BL74,IF(OptControl=3,1,0),0,1)-xCrudeAPO(BU74,BV74,CC74,CD74,S75,S76,BI74,BL74,BP74,BQ74,0,Strike2,AO74,CE74,0,BL74,IF(OptControl=3,1,0),0,1),0)</f>
        <v>0</v>
      </c>
      <c r="CN74" s="3"/>
      <c r="CO74" s="543" t="str">
        <f aca="false">IF(BD74,CHOOSE(Underlying,AD74,AF74)-DateToday+1,"")</f>
        <v/>
      </c>
      <c r="CP74" s="582" t="str">
        <f aca="false">IF(BD74,CHOOSE(Underlying,L74,R74),"")</f>
        <v/>
      </c>
      <c r="CQ74" s="544" t="str">
        <f aca="false">IF(BD74,Strike1/CP74-1,"")</f>
        <v/>
      </c>
      <c r="CR74" s="544" t="str">
        <f aca="false">IF(BD74,Strike2/CP74-1,"")</f>
        <v/>
      </c>
      <c r="CS74" s="544" t="str">
        <f aca="false">IF(BD74,IF(CQ74&gt;0,IF(CQ74&gt;0.2,BC73-BB73,IF(CQ74&gt;0.1,BB73-BA73,BA73)),IF(CQ74&lt;-0.2,AX73-AY73,IF(CQ74&lt;-0.1,AY73-AZ73,AZ73))),"")</f>
        <v/>
      </c>
      <c r="CT74" s="544" t="str">
        <f aca="false">IF(BD74,IF(CR74&gt;0,IF(CR74&gt;0.2,BC73-BB73,IF(CR74&gt;0.1,BB73-BA73,BA73)),IF(CR74&lt;-0.2,AX73-AY73,IF(CR74&lt;-0.1,AY73-AZ73,AZ73))),"")</f>
        <v/>
      </c>
      <c r="CU74" s="545" t="str">
        <f aca="false">IF(BD74,CHOOSE(Underlying,O74,AT74),"")</f>
        <v/>
      </c>
      <c r="CV74" s="545" t="str">
        <f aca="false">IF(BD74,CU74+IF(VolSkewFlag=1,IF(CQ74&gt;0,BA73*MIN(CQ74/10%,1)+(BB73-BA73)*MAX(0,MIN(CQ74/10%-1,1))+(BC73-BB73)*MAX(0,CQ74/10%-2),AZ73*MIN(-CQ74/10%,1)+(AY73-AZ73)*MAX(0,MIN(-CQ74/10%-1,1))+(AX73-AY73)*MAX(0,-CQ74/10%-2)),0),"")</f>
        <v/>
      </c>
      <c r="CW74" s="545" t="str">
        <f aca="false">IF(BD74,CU74+IF(VolSkewFlag=1,IF(CR74&gt;0,BA73*MIN(CR74/10%,1)+(BB73-BA73)*MAX(0,MIN(CR74/10%-1,1))+(BC73-BB73)*MAX(0,CR74/10%-2),AZ73*MIN(-CR74/10%,1)+(AY73-AZ73)*MAX(0,MIN(-CR74/10%-1,1))+(AX73-AY73)*MAX(0,-CR74/10%-2)),0),"")</f>
        <v/>
      </c>
      <c r="CX74" s="470" t="n">
        <f aca="false">IF(BD74,EURO(CP74,Strike1,AO74,AO74,CV74,CO74,IF(OptControl=4,0,1),0),0)</f>
        <v>0</v>
      </c>
      <c r="CY74" s="470" t="n">
        <f aca="false">IF(BD74,EURO(CP74,Strike1,AO74,AO74,CV74,CO74,IF(OptControl=4,0,1),1)+IF(OR(VolSkewFlag=2,ABS(CQ74)&lt;0.0001),0,IF(CQ74&gt;0,-1,1)*CZ74*100*Strike1/CP74^2*CS74/10%),0)</f>
        <v>0</v>
      </c>
      <c r="CZ74" s="470" t="n">
        <f aca="false">IF(BD74,EURO(CP74,Strike1,AO74,AO74,CV74,CO74,IF(OptControl=4,0,1),3)/100,0)</f>
        <v>0</v>
      </c>
      <c r="DA74" s="470" t="n">
        <f aca="false">IF(BD74,EURO(CP74,Strike1,AO74,AO74,CV74,CO74,IF(OptControl=4,0,1),0)-EURO(CP74,Strike1,AO74,AO74,CV74,CO74-1,IF(OptControl=4,0,1),0),0)</f>
        <v>0</v>
      </c>
      <c r="DB74" s="470" t="n">
        <f aca="false">IF(BD74,EURO(CP74,Strike2,AO74,AO74,CW74,CO74,IF(OptControl=3,1,0),0),0)</f>
        <v>0</v>
      </c>
      <c r="DC74" s="470" t="n">
        <f aca="false">IF(BD74,EURO(CP74,Strike2,AO74,AO74,CW74,CO74,IF(OptControl=3,1,0),1)+IF(OR(VolSkewFlag=2,ABS(CR74)&lt;0.0001),0,IF(CR74&gt;0,-1,1)*DD74*100*Strike2/CP74^2*CT74/10%),0)</f>
        <v>0</v>
      </c>
      <c r="DD74" s="470" t="n">
        <f aca="false">IF(BD74,EURO(CP74,Strike2,AO74,AO74,CW74,CO74,IF(OptControl=3,1,0),3)/100,0)</f>
        <v>0</v>
      </c>
      <c r="DE74" s="472" t="n">
        <f aca="false">IF(BD74,EURO(CP74,Strike2,AO74,AO74,CW74,CO74,IF(OptControl=3,1,0),0)-EURO(CP74,Strike2,AO74,AO74,CW74,CO74-1,IF(OptControl=3,1,0),0),0)</f>
        <v>0</v>
      </c>
      <c r="DG74" s="481" t="n">
        <f aca="false">EOMONTH(DG73,0)+1</f>
        <v>47331</v>
      </c>
      <c r="DH74" s="478" t="n">
        <v>18.38</v>
      </c>
      <c r="DI74" s="479" t="n">
        <v>18.3734090909091</v>
      </c>
      <c r="DJ74" s="480" t="n">
        <f aca="false">DG74</f>
        <v>47331</v>
      </c>
      <c r="DK74" s="478" t="n">
        <v>17.0854858037819</v>
      </c>
      <c r="DL74" s="479" t="n">
        <v>17.1580090909091</v>
      </c>
      <c r="DM74" s="481" t="n">
        <f aca="false">DG74</f>
        <v>47331</v>
      </c>
      <c r="DN74" s="482" t="n">
        <f aca="false">DK74+BrentPhyBrentSpread</f>
        <v>17.1354858037819</v>
      </c>
      <c r="DO74" s="481" t="n">
        <f aca="false">DG74</f>
        <v>47331</v>
      </c>
      <c r="DP74" s="483" t="n">
        <f aca="false">DL74+DQ74</f>
        <v>17.1580090909091</v>
      </c>
      <c r="DQ74" s="546" t="n">
        <v>0</v>
      </c>
      <c r="DR74" s="480" t="n">
        <f aca="false">DG74</f>
        <v>47331</v>
      </c>
      <c r="DS74" s="485" t="n">
        <v>0.199186180216185</v>
      </c>
      <c r="DT74" s="486" t="n">
        <v>0.198106552767412</v>
      </c>
      <c r="DU74" s="480" t="n">
        <f aca="false">DG74</f>
        <v>47331</v>
      </c>
      <c r="DV74" s="485" t="n">
        <v>0.199186180216185</v>
      </c>
      <c r="DW74" s="486" t="n">
        <v>0.198106552767412</v>
      </c>
      <c r="DX74" s="481" t="n">
        <f aca="false">DG74</f>
        <v>47331</v>
      </c>
      <c r="DY74" s="486" t="n">
        <v>0.35</v>
      </c>
      <c r="DZ74" s="481" t="n">
        <f aca="false">DR74</f>
        <v>47331</v>
      </c>
      <c r="EA74" s="486" t="n">
        <f aca="false">DT74</f>
        <v>0.198106552767412</v>
      </c>
      <c r="EB74" s="195"/>
      <c r="EC74" s="547" t="str">
        <f aca="false">IF(BD74,IF(Underlying=1,AS74,AU74),"")</f>
        <v/>
      </c>
      <c r="ED74" s="548" t="str">
        <f aca="false">IF($BD74,$EC74+IF(VolSkewFlag=1,IF(BS74&gt;0,$BA74*MIN(BS74/10%,1)+($BB74-$BA74)*MAX(0,MIN(BS74/10%-1,1))+($BC74-$BB74)*MAX(0,BS74/10%-2),$AZ74*MIN(-BS74/10%,1)+($AY74-$AZ74)*MAX(0,MIN(-BS74/10%-1,1))+($AX74-$AY74)*MAX(0,-BS74/10%-2)),0),"")</f>
        <v/>
      </c>
      <c r="EE74" s="549" t="str">
        <f aca="false">IF($BD74,$EC74+IF(VolSkewFlag=1,IF(BT74&gt;0,$BA74*MIN(BT74/10%,1)+($BB74-$BA74)*MAX(0,MIN(BT74/10%-1,1))+($BC74-$BB74)*MAX(0,BT74/10%-2),$AZ74*MIN(-BT74/10%,1)+($AY74-$AZ74)*MAX(0,MIN(-BT74/10%-1,1))+($AX74-$AY74)*MAX(0,-BT74/10%-2)),0),"")</f>
        <v/>
      </c>
      <c r="EF74" s="550" t="n">
        <f aca="false">IF(BD74,xASN(BR74,Strike1,AO74,ED74,0,BO74,0,BI74,BL74,IF(OptControl=4,0,1),0),0)</f>
        <v>0</v>
      </c>
      <c r="EG74" s="551" t="n">
        <f aca="false">IF(BD74,xASN(BR74,Strike2,AO74,EE74,0,BO74,0,BI74,BL74,IF(OptControl=3,1,0),0),0)</f>
        <v>0</v>
      </c>
      <c r="EL74" s="1"/>
      <c r="EM74" s="195"/>
      <c r="EN74" s="556" t="n">
        <v>42363</v>
      </c>
      <c r="EO74" s="557" t="n">
        <v>46388</v>
      </c>
      <c r="EP74" s="195"/>
      <c r="EQ74" s="407" t="s">
        <v>300</v>
      </c>
      <c r="ES74" s="587" t="n">
        <v>55</v>
      </c>
      <c r="ET74" s="559" t="n">
        <f aca="false">BH74/365.25</f>
        <v>-20.6050650239562</v>
      </c>
      <c r="EU74" s="560" t="n">
        <f aca="false">O74^2*ET74</f>
        <v>-0</v>
      </c>
      <c r="EV74" s="588" t="e">
        <f aca="false">SQRT(SUM(FK74:ID74)/ET74)</f>
        <v>#VALUE!</v>
      </c>
      <c r="EW74" s="589" t="str">
        <f aca="false">IF(OR(DateStart2&gt;I73,DateEnd2&lt;I72),"",IF(DateStart2&lt;I73,AK72/AI72*AP72*BE72*SwaptionNumOfMonths/$D$33,0)+IF(DateEnd2&gt;I72,AJ73/AI73*AP73*BE73*SwaptionNumOfMonths/$D$33,0))</f>
        <v/>
      </c>
      <c r="EX74" s="590" t="str">
        <f aca="false">IF(EW74="","",SQRT(SUM(FK379:ID379)/SwaptionYearsToExp))</f>
        <v/>
      </c>
      <c r="EY74" s="129" t="n">
        <v>0</v>
      </c>
      <c r="EZ74" s="591" t="str">
        <f aca="false">IF(OR(EW74="",EW75=""),"",SQRT(SUM(INDEX(FK74:ID74,SwaptionFirstMonthPosition+1):INDEX(FK74:ID74,FJ74))/SUM(INDEX($FK$15:$ID$15,SwaptionFirstMonthPosition+1):INDEX($FK$15:$ID$15,FJ74))))</f>
        <v/>
      </c>
      <c r="FA74" s="592" t="str">
        <f aca="false">IF(OR(EW74="",EW73=""),"",SQRT(SUM(INDEX(FK74:ID74,SwaptionFirstMonthPosition+1):INDEX(FK74:ID74,FJ74-1))/SUM(INDEX($FK$15:$ID$15,SwaptionFirstMonthPosition+1):INDEX($FK$15:$ID$15,FJ74-1))))</f>
        <v/>
      </c>
      <c r="FB74" s="593" t="str">
        <f aca="false">IF(BE74,2/3*EZ75+1/3*FA76,"")</f>
        <v/>
      </c>
      <c r="FC74" s="596" t="str">
        <f aca="false">IF(BE74,(I75+I74-1)/2-DateToday,"")</f>
        <v/>
      </c>
      <c r="FD74" s="483" t="str">
        <f aca="false">IF(BE74,CHOOSE(Underlying,X74,Z74)+SwaptionUnderlyingPrice-$D$26,"")</f>
        <v/>
      </c>
      <c r="FE74" s="483" t="str">
        <f aca="false">IF(BE74,CollartionFloor/FD74-1,"")</f>
        <v/>
      </c>
      <c r="FF74" s="483" t="str">
        <f aca="false">IF(BE74,CollartionCap/FD74-1,"")</f>
        <v/>
      </c>
      <c r="FG74" s="485" t="str">
        <f aca="false">IF(BE74,IF(VolSkewFlag=1,IF(FE74&gt;0,$BA74*MIN(FE74/10%,1)+($BB74-$BA74)*MAX(0,MIN(FE74/10%-1,1))+($BC74-$BB74)*MAX(0,FE74/10%-2),$AZ74*MIN(-FE74/10%,1)+($AY74-$AZ74)*MAX(0,MIN(-FE74/10%-1,1))+($AX74-$AY74)*MAX(0,-FE74/10%-2)),0),"")</f>
        <v/>
      </c>
      <c r="FH74" s="486" t="str">
        <f aca="false">IF(BE74,IF(VolSkewFlag=1,IF(FF74&gt;0,$BA74*MIN(FF74/10%,1)+($BB74-$BA74)*MAX(0,MIN(FF74/10%-1,1))+($BC74-$BB74)*MAX(0,FF74/10%-2),$AZ74*MIN(-FF74/10%,1)+($AY74-$AZ74)*MAX(0,MIN(-FF74/10%-1,1))+($AX74-$AY74)*MAX(0,-FF74/10%-2)),0),"")</f>
        <v/>
      </c>
      <c r="FI74" s="129"/>
      <c r="FJ74" s="571" t="n">
        <v>55</v>
      </c>
      <c r="FK74" s="150" t="n">
        <f aca="false">IF(FK$19&gt;$FJ74,"",MAX(0,IF(FK$19=$FJ74,$S74^2*FK$15,FK73*INDEX($T$20:$T$91,$FJ74-FK$19)^2/INDEX($U$20:$U$91,$FJ74-FK$19))))</f>
        <v>0</v>
      </c>
      <c r="FL74" s="150" t="n">
        <f aca="false">IF(FL$19&gt;$FJ74,"",MAX(0,IF(FL$19=$FJ74,$S74^2*FL$15,FL73*INDEX($T$20:$T$91,$FJ74-FL$19)^2/INDEX($U$20:$U$91,$FJ74-FL$19))))</f>
        <v>0</v>
      </c>
      <c r="FM74" s="150" t="n">
        <f aca="false">IF(FM$19&gt;$FJ74,"",MAX(0,IF(FM$19=$FJ74,$S74^2*FM$15,FM73*INDEX($T$20:$T$91,$FJ74-FM$19)^2/INDEX($U$20:$U$91,$FJ74-FM$19))))</f>
        <v>0.00254790706491836</v>
      </c>
      <c r="FN74" s="150" t="n">
        <f aca="false">IF(FN$19&gt;$FJ74,"",MAX(0,IF(FN$19=$FJ74,$S74^2*FN$15,FN73*INDEX($T$20:$T$91,$FJ74-FN$19)^2/INDEX($U$20:$U$91,$FJ74-FN$19))))</f>
        <v>0.00214465965925415</v>
      </c>
      <c r="FO74" s="150" t="n">
        <f aca="false">IF(FO$19&gt;$FJ74,"",MAX(0,IF(FO$19=$FJ74,$S74^2*FO$15,FO73*INDEX($T$20:$T$91,$FJ74-FO$19)^2/INDEX($U$20:$U$91,$FJ74-FO$19))))</f>
        <v>0.00223096151556187</v>
      </c>
      <c r="FP74" s="150" t="n">
        <f aca="false">IF(FP$19&gt;$FJ74,"",MAX(0,IF(FP$19=$FJ74,$S74^2*FP$15,FP73*INDEX($T$20:$T$91,$FJ74-FP$19)^2/INDEX($U$20:$U$91,$FJ74-FP$19))))</f>
        <v>0.00247239100882448</v>
      </c>
      <c r="FQ74" s="150" t="n">
        <f aca="false">IF(FQ$19&gt;$FJ74,"",MAX(0,IF(FQ$19=$FJ74,$S74^2*FQ$15,FQ73*INDEX($T$20:$T$91,$FJ74-FQ$19)^2/INDEX($U$20:$U$91,$FJ74-FQ$19))))</f>
        <v>0.00200190240511815</v>
      </c>
      <c r="FR74" s="150" t="n">
        <f aca="false">IF(FR$19&gt;$FJ74,"",MAX(0,IF(FR$19=$FJ74,$S74^2*FR$15,FR73*INDEX($T$20:$T$91,$FJ74-FR$19)^2/INDEX($U$20:$U$91,$FJ74-FR$19))))</f>
        <v>0.00204714361301164</v>
      </c>
      <c r="FS74" s="150" t="n">
        <f aca="false">IF(FS$19&gt;$FJ74,"",MAX(0,IF(FS$19=$FJ74,$S74^2*FS$15,FS73*INDEX($T$20:$T$91,$FJ74-FS$19)^2/INDEX($U$20:$U$91,$FJ74-FS$19))))</f>
        <v>0.00230736085191814</v>
      </c>
      <c r="FT74" s="150" t="n">
        <f aca="false">IF(FT$19&gt;$FJ74,"",MAX(0,IF(FT$19=$FJ74,$S74^2*FT$15,FT73*INDEX($T$20:$T$91,$FJ74-FT$19)^2/INDEX($U$20:$U$91,$FJ74-FT$19))))</f>
        <v>0.00208270687451682</v>
      </c>
      <c r="FU74" s="150" t="n">
        <f aca="false">IF(FU$19&gt;$FJ74,"",MAX(0,IF(FU$19=$FJ74,$S74^2*FU$15,FU73*INDEX($T$20:$T$91,$FJ74-FU$19)^2/INDEX($U$20:$U$91,$FJ74-FU$19))))</f>
        <v>0.0020026808990041</v>
      </c>
      <c r="FV74" s="150" t="n">
        <f aca="false">IF(FV$19&gt;$FJ74,"",MAX(0,IF(FV$19=$FJ74,$S74^2*FV$15,FV73*INDEX($T$20:$T$91,$FJ74-FV$19)^2/INDEX($U$20:$U$91,$FJ74-FV$19))))</f>
        <v>0.00220130952225835</v>
      </c>
      <c r="FW74" s="150" t="n">
        <f aca="false">IF(FW$19&gt;$FJ74,"",MAX(0,IF(FW$19=$FJ74,$S74^2*FW$15,FW73*INDEX($T$20:$T$91,$FJ74-FW$19)^2/INDEX($U$20:$U$91,$FJ74-FW$19))))</f>
        <v>0.00205795837386813</v>
      </c>
      <c r="FX74" s="150" t="n">
        <f aca="false">IF(FX$19&gt;$FJ74,"",MAX(0,IF(FX$19=$FJ74,$S74^2*FX$15,FX73*INDEX($T$20:$T$91,$FJ74-FX$19)^2/INDEX($U$20:$U$91,$FJ74-FX$19))))</f>
        <v>0.00219083129490582</v>
      </c>
      <c r="FY74" s="150" t="n">
        <f aca="false">IF(FY$19&gt;$FJ74,"",MAX(0,IF(FY$19=$FJ74,$S74^2*FY$15,FY73*INDEX($T$20:$T$91,$FJ74-FY$19)^2/INDEX($U$20:$U$91,$FJ74-FY$19))))</f>
        <v>0.00205117945675163</v>
      </c>
      <c r="FZ74" s="150" t="n">
        <f aca="false">IF(FZ$19&gt;$FJ74,"",MAX(0,IF(FZ$19=$FJ74,$S74^2*FZ$15,FZ73*INDEX($T$20:$T$91,$FJ74-FZ$19)^2/INDEX($U$20:$U$91,$FJ74-FZ$19))))</f>
        <v>0.00191286961040927</v>
      </c>
      <c r="GA74" s="150" t="n">
        <f aca="false">IF(GA$19&gt;$FJ74,"",MAX(0,IF(GA$19=$FJ74,$S74^2*GA$15,GA73*INDEX($T$20:$T$91,$FJ74-GA$19)^2/INDEX($U$20:$U$91,$FJ74-GA$19))))</f>
        <v>0.00204867480964715</v>
      </c>
      <c r="GB74" s="150" t="n">
        <f aca="false">IF(GB$19&gt;$FJ74,"",MAX(0,IF(GB$19=$FJ74,$S74^2*GB$15,GB73*INDEX($T$20:$T$91,$FJ74-GB$19)^2/INDEX($U$20:$U$91,$FJ74-GB$19))))</f>
        <v>0.00225341054072606</v>
      </c>
      <c r="GC74" s="150" t="n">
        <f aca="false">IF(GC$19&gt;$FJ74,"",MAX(0,IF(GC$19=$FJ74,$S74^2*GC$15,GC73*INDEX($T$20:$T$91,$FJ74-GC$19)^2/INDEX($U$20:$U$91,$FJ74-GC$19))))</f>
        <v>0.00198075032403766</v>
      </c>
      <c r="GD74" s="150" t="n">
        <f aca="false">IF(GD$19&gt;$FJ74,"",MAX(0,IF(GD$19=$FJ74,$S74^2*GD$15,GD73*INDEX($T$20:$T$91,$FJ74-GD$19)^2/INDEX($U$20:$U$91,$FJ74-GD$19))))</f>
        <v>0.00198177483431511</v>
      </c>
      <c r="GE74" s="150" t="n">
        <f aca="false">IF(GE$19&gt;$FJ74,"",MAX(0,IF(GE$19=$FJ74,$S74^2*GE$15,GE73*INDEX($T$20:$T$91,$FJ74-GE$19)^2/INDEX($U$20:$U$91,$FJ74-GE$19))))</f>
        <v>0.00225688259115644</v>
      </c>
      <c r="GF74" s="150" t="n">
        <f aca="false">IF(GF$19&gt;$FJ74,"",MAX(0,IF(GF$19=$FJ74,$S74^2*GF$15,GF73*INDEX($T$20:$T$91,$FJ74-GF$19)^2/INDEX($U$20:$U$91,$FJ74-GF$19))))</f>
        <v>0.00198539198091371</v>
      </c>
      <c r="GG74" s="150" t="n">
        <f aca="false">IF(GG$19&gt;$FJ74,"",MAX(0,IF(GG$19=$FJ74,$S74^2*GG$15,GG73*INDEX($T$20:$T$91,$FJ74-GG$19)^2/INDEX($U$20:$U$91,$FJ74-GG$19))))</f>
        <v>0.00219366950716528</v>
      </c>
      <c r="GH74" s="150" t="n">
        <f aca="false">IF(GH$19&gt;$FJ74,"",MAX(0,IF(GH$19=$FJ74,$S74^2*GH$15,GH73*INDEX($T$20:$T$91,$FJ74-GH$19)^2/INDEX($U$20:$U$91,$FJ74-GH$19))))</f>
        <v>0.0020598935774303</v>
      </c>
      <c r="GI74" s="150" t="n">
        <f aca="false">IF(GI$19&gt;$FJ74,"",MAX(0,IF(GI$19=$FJ74,$S74^2*GI$15,GI73*INDEX($T$20:$T$91,$FJ74-GI$19)^2/INDEX($U$20:$U$91,$FJ74-GI$19))))</f>
        <v>0.0019951113642598</v>
      </c>
      <c r="GJ74" s="150" t="n">
        <f aca="false">IF(GJ$19&gt;$FJ74,"",MAX(0,IF(GJ$19=$FJ74,$S74^2*GJ$15,GJ73*INDEX($T$20:$T$91,$FJ74-GJ$19)^2/INDEX($U$20:$U$91,$FJ74-GJ$19))))</f>
        <v>0.00227557075246258</v>
      </c>
      <c r="GK74" s="150" t="n">
        <f aca="false">IF(GK$19&gt;$FJ74,"",MAX(0,IF(GK$19=$FJ74,$S74^2*GK$15,GK73*INDEX($T$20:$T$91,$FJ74-GK$19)^2/INDEX($U$20:$U$91,$FJ74-GK$19))))</f>
        <v>0.00207438578185864</v>
      </c>
      <c r="GL74" s="150" t="n">
        <f aca="false">IF(GL$19&gt;$FJ74,"",MAX(0,IF(GL$19=$FJ74,$S74^2*GL$15,GL73*INDEX($T$20:$T$91,$FJ74-GL$19)^2/INDEX($U$20:$U$91,$FJ74-GL$19))))</f>
        <v>0.00201173496270366</v>
      </c>
      <c r="GM74" s="150" t="n">
        <f aca="false">IF(GM$19&gt;$FJ74,"",MAX(0,IF(GM$19=$FJ74,$S74^2*GM$15,GM73*INDEX($T$20:$T$91,$FJ74-GM$19)^2/INDEX($U$20:$U$91,$FJ74-GM$19))))</f>
        <v>0.00215866486412666</v>
      </c>
      <c r="GN74" s="150" t="n">
        <f aca="false">IF(GN$19&gt;$FJ74,"",MAX(0,IF(GN$19=$FJ74,$S74^2*GN$15,GN73*INDEX($T$20:$T$91,$FJ74-GN$19)^2/INDEX($U$20:$U$91,$FJ74-GN$19))))</f>
        <v>0.00216831456372182</v>
      </c>
      <c r="GO74" s="150" t="n">
        <f aca="false">IF(GO$19&gt;$FJ74,"",MAX(0,IF(GO$19=$FJ74,$S74^2*GO$15,GO73*INDEX($T$20:$T$91,$FJ74-GO$19)^2/INDEX($U$20:$U$91,$FJ74-GO$19))))</f>
        <v>0.00217968136697898</v>
      </c>
      <c r="GP74" s="150" t="n">
        <f aca="false">IF(GP$19&gt;$FJ74,"",MAX(0,IF(GP$19=$FJ74,$S74^2*GP$15,GP73*INDEX($T$20:$T$91,$FJ74-GP$19)^2/INDEX($U$20:$U$91,$FJ74-GP$19))))</f>
        <v>0.00198084078660297</v>
      </c>
      <c r="GQ74" s="150" t="n">
        <f aca="false">IF(GQ$19&gt;$FJ74,"",MAX(0,IF(GQ$19=$FJ74,$S74^2*GQ$15,GQ73*INDEX($T$20:$T$91,$FJ74-GQ$19)^2/INDEX($U$20:$U$91,$FJ74-GQ$19))))</f>
        <v>0.00220886228236349</v>
      </c>
      <c r="GR74" s="150" t="n">
        <f aca="false">IF(GR$19&gt;$FJ74,"",MAX(0,IF(GR$19=$FJ74,$S74^2*GR$15,GR73*INDEX($T$20:$T$91,$FJ74-GR$19)^2/INDEX($U$20:$U$91,$FJ74-GR$19))))</f>
        <v>0.00215563878465918</v>
      </c>
      <c r="GS74" s="150" t="n">
        <f aca="false">IF(GS$19&gt;$FJ74,"",MAX(0,IF(GS$19=$FJ74,$S74^2*GS$15,GS73*INDEX($T$20:$T$91,$FJ74-GS$19)^2/INDEX($U$20:$U$91,$FJ74-GS$19))))</f>
        <v>0.00224950653325617</v>
      </c>
      <c r="GT74" s="150" t="n">
        <f aca="false">IF(GT$19&gt;$FJ74,"",MAX(0,IF(GT$19=$FJ74,$S74^2*GT$15,GT73*INDEX($T$20:$T$91,$FJ74-GT$19)^2/INDEX($U$20:$U$91,$FJ74-GT$19))))</f>
        <v>0.00220215127322342</v>
      </c>
      <c r="GU74" s="150" t="n">
        <f aca="false">IF(GU$19&gt;$FJ74,"",MAX(0,IF(GU$19=$FJ74,$S74^2*GU$15,GU73*INDEX($T$20:$T$91,$FJ74-GU$19)^2/INDEX($U$20:$U$91,$FJ74-GU$19))))</f>
        <v>0.00230644143871483</v>
      </c>
      <c r="GV74" s="150" t="n">
        <f aca="false">IF(GV$19&gt;$FJ74,"",MAX(0,IF(GV$19=$FJ74,$S74^2*GV$15,GV73*INDEX($T$20:$T$91,$FJ74-GV$19)^2/INDEX($U$20:$U$91,$FJ74-GV$19))))</f>
        <v>0.00234314224664715</v>
      </c>
      <c r="GW74" s="150" t="n">
        <f aca="false">IF(GW$19&gt;$FJ74,"",MAX(0,IF(GW$19=$FJ74,$S74^2*GW$15,GW73*INDEX($T$20:$T$91,$FJ74-GW$19)^2/INDEX($U$20:$U$91,$FJ74-GW$19))))</f>
        <v>0.00230987475136057</v>
      </c>
      <c r="GX74" s="150" t="n">
        <f aca="false">IF(GX$19&gt;$FJ74,"",MAX(0,IF(GX$19=$FJ74,$S74^2*GX$15,GX73*INDEX($T$20:$T$91,$FJ74-GX$19)^2/INDEX($U$20:$U$91,$FJ74-GX$19))))</f>
        <v>0.00243913652514455</v>
      </c>
      <c r="GY74" s="150" t="n">
        <f aca="false">IF(GY$19&gt;$FJ74,"",MAX(0,IF(GY$19=$FJ74,$S74^2*GY$15,GY73*INDEX($T$20:$T$91,$FJ74-GY$19)^2/INDEX($U$20:$U$91,$FJ74-GY$19))))</f>
        <v>0.00242113462713641</v>
      </c>
      <c r="GZ74" s="150" t="n">
        <f aca="false">IF(GZ$19&gt;$FJ74,"",MAX(0,IF(GZ$19=$FJ74,$S74^2*GZ$15,GZ73*INDEX($T$20:$T$91,$FJ74-GZ$19)^2/INDEX($U$20:$U$91,$FJ74-GZ$19))))</f>
        <v>0.00257739118864536</v>
      </c>
      <c r="HA74" s="150" t="n">
        <f aca="false">IF(HA$19&gt;$FJ74,"",MAX(0,IF(HA$19=$FJ74,$S74^2*HA$15,HA73*INDEX($T$20:$T$91,$FJ74-HA$19)^2/INDEX($U$20:$U$91,$FJ74-HA$19))))</f>
        <v>0.00266889415324312</v>
      </c>
      <c r="HB74" s="150" t="n">
        <f aca="false">IF(HB$19&gt;$FJ74,"",MAX(0,IF(HB$19=$FJ74,$S74^2*HB$15,HB73*INDEX($T$20:$T$91,$FJ74-HB$19)^2/INDEX($U$20:$U$91,$FJ74-HB$19))))</f>
        <v>0.00260100679899707</v>
      </c>
      <c r="HC74" s="150" t="n">
        <f aca="false">IF(HC$19&gt;$FJ74,"",MAX(0,IF(HC$19=$FJ74,$S74^2*HC$15,HC73*INDEX($T$20:$T$91,$FJ74-HC$19)^2/INDEX($U$20:$U$91,$FJ74-HC$19))))</f>
        <v>0.00291720434518181</v>
      </c>
      <c r="HD74" s="150" t="n">
        <f aca="false">IF(HD$19&gt;$FJ74,"",MAX(0,IF(HD$19=$FJ74,$S74^2*HD$15,HD73*INDEX($T$20:$T$91,$FJ74-HD$19)^2/INDEX($U$20:$U$91,$FJ74-HD$19))))</f>
        <v>0.00298694786195365</v>
      </c>
      <c r="HE74" s="150" t="n">
        <f aca="false">IF(HE$19&gt;$FJ74,"",MAX(0,IF(HE$19=$FJ74,$S74^2*HE$15,HE73*INDEX($T$20:$T$91,$FJ74-HE$19)^2/INDEX($U$20:$U$91,$FJ74-HE$19))))</f>
        <v>0.00329811014112501</v>
      </c>
      <c r="HF74" s="150" t="n">
        <f aca="false">IF(HF$19&gt;$FJ74,"",MAX(0,IF(HF$19=$FJ74,$S74^2*HF$15,HF73*INDEX($T$20:$T$91,$FJ74-HF$19)^2/INDEX($U$20:$U$91,$FJ74-HF$19))))</f>
        <v>0.00345064810001548</v>
      </c>
      <c r="HG74" s="150" t="n">
        <f aca="false">IF(HG$19&gt;$FJ74,"",MAX(0,IF(HG$19=$FJ74,$S74^2*HG$15,HG73*INDEX($T$20:$T$91,$FJ74-HG$19)^2/INDEX($U$20:$U$91,$FJ74-HG$19))))</f>
        <v>0.00390871157810969</v>
      </c>
      <c r="HH74" s="150" t="n">
        <f aca="false">IF(HH$19&gt;$FJ74,"",MAX(0,IF(HH$19=$FJ74,$S74^2*HH$15,HH73*INDEX($T$20:$T$91,$FJ74-HH$19)^2/INDEX($U$20:$U$91,$FJ74-HH$19))))</f>
        <v>0.00435582532003392</v>
      </c>
      <c r="HI74" s="150" t="n">
        <f aca="false">IF(HI$19&gt;$FJ74,"",MAX(0,IF(HI$19=$FJ74,$S74^2*HI$15,HI73*INDEX($T$20:$T$91,$FJ74-HI$19)^2/INDEX($U$20:$U$91,$FJ74-HI$19))))</f>
        <v>0.004790431843987</v>
      </c>
      <c r="HJ74" s="150" t="n">
        <f aca="false">IF(HJ$19&gt;$FJ74,"",MAX(0,IF(HJ$19=$FJ74,$S74^2*HJ$15,HJ73*INDEX($T$20:$T$91,$FJ74-HJ$19)^2/INDEX($U$20:$U$91,$FJ74-HJ$19))))</f>
        <v>0.00575872849187814</v>
      </c>
      <c r="HK74" s="150" t="n">
        <f aca="false">IF(HK$19&gt;$FJ74,"",MAX(0,IF(HK$19=$FJ74,$S74^2*HK$15,HK73*INDEX($T$20:$T$91,$FJ74-HK$19)^2/INDEX($U$20:$U$91,$FJ74-HK$19))))</f>
        <v>0.00666804903186682</v>
      </c>
      <c r="HL74" s="150" t="n">
        <f aca="false">IF(HL$19&gt;$FJ74,"",MAX(0,IF(HL$19=$FJ74,$S74^2*HL$15,HL73*INDEX($T$20:$T$91,$FJ74-HL$19)^2/INDEX($U$20:$U$91,$FJ74-HL$19))))</f>
        <v>0.00852847045245191</v>
      </c>
      <c r="HM74" s="150" t="n">
        <f aca="false">IF(HM$19&gt;$FJ74,"",MAX(0,IF(HM$19=$FJ74,$S74^2*HM$15,HM73*INDEX($T$20:$T$91,$FJ74-HM$19)^2/INDEX($U$20:$U$91,$FJ74-HM$19))))</f>
        <v>0.0109995899063793</v>
      </c>
      <c r="HN74" s="150" t="str">
        <f aca="false">IF(HN$19&gt;$FJ74,"",MAX(0,IF(HN$19=$FJ74,$S74^2*HN$15,HN73*INDEX($T$20:$T$91,$FJ74-HN$19)^2/INDEX($U$20:$U$91,$FJ74-HN$19))))</f>
        <v/>
      </c>
      <c r="HO74" s="150" t="str">
        <f aca="false">IF(HO$19&gt;$FJ74,"",MAX(0,IF(HO$19=$FJ74,$S74^2*HO$15,HO73*INDEX($T$20:$T$91,$FJ74-HO$19)^2/INDEX($U$20:$U$91,$FJ74-HO$19))))</f>
        <v/>
      </c>
      <c r="HP74" s="150" t="str">
        <f aca="false">IF(HP$19&gt;$FJ74,"",MAX(0,IF(HP$19=$FJ74,$S74^2*HP$15,HP73*INDEX($T$20:$T$91,$FJ74-HP$19)^2/INDEX($U$20:$U$91,$FJ74-HP$19))))</f>
        <v/>
      </c>
      <c r="HQ74" s="150" t="str">
        <f aca="false">IF(HQ$19&gt;$FJ74,"",MAX(0,IF(HQ$19=$FJ74,$S74^2*HQ$15,HQ73*INDEX($T$20:$T$91,$FJ74-HQ$19)^2/INDEX($U$20:$U$91,$FJ74-HQ$19))))</f>
        <v/>
      </c>
      <c r="HR74" s="150" t="str">
        <f aca="false">IF(HR$19&gt;$FJ74,"",MAX(0,IF(HR$19=$FJ74,$S74^2*HR$15,HR73*INDEX($T$20:$T$91,$FJ74-HR$19)^2/INDEX($U$20:$U$91,$FJ74-HR$19))))</f>
        <v/>
      </c>
      <c r="HS74" s="150" t="str">
        <f aca="false">IF(HS$19&gt;$FJ74,"",MAX(0,IF(HS$19=$FJ74,$S74^2*HS$15,HS73*INDEX($T$20:$T$91,$FJ74-HS$19)^2/INDEX($U$20:$U$91,$FJ74-HS$19))))</f>
        <v/>
      </c>
      <c r="HT74" s="150" t="str">
        <f aca="false">IF(HT$19&gt;$FJ74,"",MAX(0,IF(HT$19=$FJ74,$S74^2*HT$15,HT73*INDEX($T$20:$T$91,$FJ74-HT$19)^2/INDEX($U$20:$U$91,$FJ74-HT$19))))</f>
        <v/>
      </c>
      <c r="HU74" s="150" t="str">
        <f aca="false">IF(HU$19&gt;$FJ74,"",MAX(0,IF(HU$19=$FJ74,$S74^2*HU$15,HU73*INDEX($T$20:$T$91,$FJ74-HU$19)^2/INDEX($U$20:$U$91,$FJ74-HU$19))))</f>
        <v/>
      </c>
      <c r="HV74" s="150" t="str">
        <f aca="false">IF(HV$19&gt;$FJ74,"",MAX(0,IF(HV$19=$FJ74,$S74^2*HV$15,HV73*INDEX($T$20:$T$91,$FJ74-HV$19)^2/INDEX($U$20:$U$91,$FJ74-HV$19))))</f>
        <v/>
      </c>
      <c r="HW74" s="150" t="str">
        <f aca="false">IF(HW$19&gt;$FJ74,"",MAX(0,IF(HW$19=$FJ74,$S74^2*HW$15,HW73*INDEX($T$20:$T$91,$FJ74-HW$19)^2/INDEX($U$20:$U$91,$FJ74-HW$19))))</f>
        <v/>
      </c>
      <c r="HX74" s="150" t="str">
        <f aca="false">IF(HX$19&gt;$FJ74,"",MAX(0,IF(HX$19=$FJ74,$S74^2*HX$15,HX73*INDEX($T$20:$T$91,$FJ74-HX$19)^2/INDEX($U$20:$U$91,$FJ74-HX$19))))</f>
        <v/>
      </c>
      <c r="HY74" s="150" t="str">
        <f aca="false">IF(HY$19&gt;$FJ74,"",MAX(0,IF(HY$19=$FJ74,$S74^2*HY$15,HY73*INDEX($T$20:$T$91,$FJ74-HY$19)^2/INDEX($U$20:$U$91,$FJ74-HY$19))))</f>
        <v/>
      </c>
      <c r="HZ74" s="150" t="str">
        <f aca="false">IF(HZ$19&gt;$FJ74,"",MAX(0,IF(HZ$19=$FJ74,$S74^2*HZ$15,HZ73*INDEX($T$20:$T$91,$FJ74-HZ$19)^2/INDEX($U$20:$U$91,$FJ74-HZ$19))))</f>
        <v/>
      </c>
      <c r="IA74" s="150" t="str">
        <f aca="false">IF(IA$19&gt;$FJ74,"",MAX(0,IF(IA$19=$FJ74,$S74^2*IA$15,IA73*INDEX($T$20:$T$91,$FJ74-IA$19)^2/INDEX($U$20:$U$91,$FJ74-IA$19))))</f>
        <v/>
      </c>
      <c r="IB74" s="150" t="str">
        <f aca="false">IF(IB$19&gt;$FJ74,"",MAX(0,IF(IB$19=$FJ74,$S74^2*IB$15,IB73*INDEX($T$20:$T$91,$FJ74-IB$19)^2/INDEX($U$20:$U$91,$FJ74-IB$19))))</f>
        <v/>
      </c>
      <c r="IC74" s="150" t="str">
        <f aca="false">IF(IC$19&gt;$FJ74,"",MAX(0,IF(IC$19=$FJ74,$S74^2*IC$15,IC73*INDEX($T$20:$T$91,$FJ74-IC$19)^2/INDEX($U$20:$U$91,$FJ74-IC$19))))</f>
        <v/>
      </c>
      <c r="ID74" s="572" t="str">
        <f aca="false">IF(ID$19&gt;$FJ74,"",MAX(0,IF(ID$19=$FJ74,$S74^2*ID$15,ID73*INDEX($T$20:$T$91,$FJ74-ID$19)^2/INDEX($U$20:$U$91,$FJ74-ID$19))))</f>
        <v/>
      </c>
      <c r="IE74" s="129"/>
    </row>
    <row r="75" customFormat="false" ht="12.75" hidden="false" customHeight="false" outlineLevel="0" collapsed="false">
      <c r="A75" s="3"/>
      <c r="F75" s="3"/>
      <c r="G75" s="3"/>
      <c r="H75" s="219" t="n">
        <f aca="false">VLOOKUP(I75,$EJ$20:$EL$54,3)</f>
        <v>0</v>
      </c>
      <c r="I75" s="511" t="n">
        <f aca="false">EOMONTH(I74,0)+1</f>
        <v>38443</v>
      </c>
      <c r="J75" s="512"/>
      <c r="K75" s="513" t="s">
        <v>250</v>
      </c>
      <c r="L75" s="514" t="e">
        <f aca="false">IF(ISNUMBER(K75),J75+K75/100,IF(K75="extra",L74+VLOOKUP(BF75,PriceSpreadTable,2)/12,IF(K75="inter",interpolateprices($K$19:$L$200,ROW(K75)-ROW(FirstPricingMonth)+1),interpolatechanges($J$19:$K$200,ROW(K75)-ROW(FirstPricingMonth)+1))))</f>
        <v>#VALUE!</v>
      </c>
      <c r="M75" s="515"/>
      <c r="N75" s="516" t="n">
        <v>0</v>
      </c>
      <c r="O75" s="515" t="n">
        <f aca="false">M75+N75</f>
        <v>0</v>
      </c>
      <c r="P75" s="512"/>
      <c r="Q75" s="513" t="s">
        <v>280</v>
      </c>
      <c r="R75" s="512" t="e">
        <f aca="false">IF(ISNUMBER(Q75),P75+Q75/100,IF(Q75="extra",(Z73*AL73-R74*AM73)/AN73,IF(Q75="inter",interpolateprices($Q$19:$R$260,ROW(Q75)-ROW(FirstPricingMonth)+1),interpolatechanges($P$19:$Q$260,ROW(Q75)-ROW(FirstPricingMonth)+1))))</f>
        <v>#VALUE!</v>
      </c>
      <c r="S75" s="597" t="n">
        <f aca="false">S$19+(S74-S$19)*S$18</f>
        <v>0.360000007167508</v>
      </c>
      <c r="T75" s="575" t="n">
        <f aca="false">SQRT((1-(1-T74^2/U74)*T$18)*U75)</f>
        <v>0.999979646012063</v>
      </c>
      <c r="U75" s="576" t="n">
        <f aca="false">1-(1-U74)*U$18</f>
        <v>0.999999997984138</v>
      </c>
      <c r="V75" s="521" t="n">
        <v>0</v>
      </c>
      <c r="W75" s="577" t="n">
        <f aca="false">(J76*AJ75+J77*AK75)/AI75</f>
        <v>0</v>
      </c>
      <c r="X75" s="578" t="e">
        <f aca="false">(L76*AJ75+L77*AK75)/AI75</f>
        <v>#VALUE!</v>
      </c>
      <c r="Y75" s="579" t="n">
        <f aca="false">IF(Q77="extra",W75-AA75,(P76*AM75+P77*AN75)/AL75)</f>
        <v>-1.239</v>
      </c>
      <c r="Z75" s="579" t="e">
        <f aca="false">IF(Q77="extra",X75-AB75,(R76*AM75+R77*AN75)/AL75)</f>
        <v>#VALUE!</v>
      </c>
      <c r="AA75" s="523" t="n">
        <f aca="false">IF(Q77="extra",INDEX(BrentSeasonalityTable,INT((BG75-1)/3)+1)*VLOOKUP(MAX(BF75,$AB$4),PriceSpreadTable,3),W75-Y75)</f>
        <v>1.239</v>
      </c>
      <c r="AB75" s="524" t="n">
        <f aca="false">IF(Q77="extra",INDEX(BrentSeasonalityTable,INT((BG75-1)/3)+1)*VLOOKUP(MAX(BF75,$AB$4),PriceSpreadTable,3),X75-Z75)</f>
        <v>1.239</v>
      </c>
      <c r="AC75" s="646" t="n">
        <v>38431</v>
      </c>
      <c r="AD75" s="646" t="n">
        <v>38427</v>
      </c>
      <c r="AE75" s="646" t="n">
        <v>38426</v>
      </c>
      <c r="AF75" s="646" t="n">
        <v>38422</v>
      </c>
      <c r="AG75" s="438" t="s">
        <v>247</v>
      </c>
      <c r="AH75" s="439" t="s">
        <v>278</v>
      </c>
      <c r="AI75" s="528" t="n">
        <v>21</v>
      </c>
      <c r="AJ75" s="529" t="n">
        <v>14</v>
      </c>
      <c r="AK75" s="529" t="n">
        <v>7</v>
      </c>
      <c r="AL75" s="530" t="n">
        <v>21</v>
      </c>
      <c r="AM75" s="529" t="n">
        <v>10</v>
      </c>
      <c r="AN75" s="531" t="n">
        <v>11</v>
      </c>
      <c r="AO75" s="532"/>
      <c r="AP75" s="465" t="n">
        <f aca="false">(1+AO75/2)^(-2*BL75)</f>
        <v>1</v>
      </c>
      <c r="AQ75" s="532"/>
      <c r="AR75" s="465" t="n">
        <f aca="false">(1+AQ75/2)^(-2*BH75/365.25)</f>
        <v>1</v>
      </c>
      <c r="AS75" s="580" t="n">
        <f aca="false">(O76*AJ75+O77*AK75)/AI75</f>
        <v>0</v>
      </c>
      <c r="AT75" s="468" t="n">
        <f aca="false">O75*VLOOKUP(BF75,BrentVolTable,2)+VLOOKUP(BF75,BrentVolTable,3)</f>
        <v>0</v>
      </c>
      <c r="AU75" s="468" t="n">
        <f aca="false">(AT76*AM75+AT77*AN75)/AL75</f>
        <v>0</v>
      </c>
      <c r="AV75" s="595" t="n">
        <f aca="false">SQRT(MAX(0.000000000001,(O75^2*BH75-S75^2*(BH75-BH74))/BH74))</f>
        <v>0.0219583355879579</v>
      </c>
      <c r="AW75" s="451" t="n">
        <f aca="false">IF($I75-DateToday+15&gt;=$T$8,"",IF($I75-DateToday+15&lt;$T$5,1,MATCH($I75-DateToday+15,$T$5:$T$8)))</f>
        <v>1</v>
      </c>
      <c r="AX75" s="468" t="n">
        <f aca="false">IF($AW75="",AX74^2/AX73,INDEX(U$5:U$8,$AW75)^((INDEX($T$5:$T$8,$AW75+1)-($I75-DateToday+15))/(INDEX($T$5:$T$8,$AW75+1)-INDEX($T$5:$T$8,$AW75)))/INDEX(U$5:U$8,$AW75+1)^((INDEX($T$5:$T$8,$AW75)-($I75-DateToday+15))/(INDEX($T$5:$T$8,$AW75+1)-INDEX($T$5:$T$8,$AW75))))</f>
        <v>3.87520269795819</v>
      </c>
      <c r="AY75" s="468" t="n">
        <f aca="false">IF($AW75="",AY74^2/AY73,INDEX(V$5:V$8,$AW75)^((INDEX($T$5:$T$8,$AW75+1)-($I75-DateToday+15))/(INDEX($T$5:$T$8,$AW75+1)-INDEX($T$5:$T$8,$AW75)))/INDEX(V$5:V$8,$AW75+1)^((INDEX($T$5:$T$8,$AW75)-($I75-DateToday+15))/(INDEX($T$5:$T$8,$AW75+1)-INDEX($T$5:$T$8,$AW75))))</f>
        <v>514.93112677662</v>
      </c>
      <c r="AZ75" s="468" t="n">
        <f aca="false">IF($AW75="",AZ74^2/AZ73,INDEX(W$5:W$8,$AW75)^((INDEX($T$5:$T$8,$AW75+1)-($I75-DateToday+15))/(INDEX($T$5:$T$8,$AW75+1)-INDEX($T$5:$T$8,$AW75)))/INDEX(W$5:W$8,$AW75+1)^((INDEX($T$5:$T$8,$AW75)-($I75-DateToday+15))/(INDEX($T$5:$T$8,$AW75+1)-INDEX($T$5:$T$8,$AW75))))</f>
        <v>7610204.29269571</v>
      </c>
      <c r="BA75" s="468" t="n">
        <f aca="false">IF($AW75="",BA74^2/BA73,INDEX(X$5:X$8,$AW75)^((INDEX($T$5:$T$8,$AW75+1)-($I75-DateToday+15))/(INDEX($T$5:$T$8,$AW75+1)-INDEX($T$5:$T$8,$AW75)))/INDEX(X$5:X$8,$AW75+1)^((INDEX($T$5:$T$8,$AW75)-($I75-DateToday+15))/(INDEX($T$5:$T$8,$AW75+1)-INDEX($T$5:$T$8,$AW75))))</f>
        <v>307198793.823617</v>
      </c>
      <c r="BB75" s="468" t="n">
        <f aca="false">IF($AW75="",BB74^2/BB73,INDEX(Y$5:Y$8,$AW75)^((INDEX($T$5:$T$8,$AW75+1)-($I75-DateToday+15))/(INDEX($T$5:$T$8,$AW75+1)-INDEX($T$5:$T$8,$AW75)))/INDEX(Y$5:Y$8,$AW75+1)^((INDEX($T$5:$T$8,$AW75)-($I75-DateToday+15))/(INDEX($T$5:$T$8,$AW75+1)-INDEX($T$5:$T$8,$AW75))))</f>
        <v>4928672615.72872</v>
      </c>
      <c r="BC75" s="468" t="n">
        <f aca="false">IF($AW75="",BC74^2/BC73,INDEX(Z$5:Z$8,$AW75)^((INDEX($T$5:$T$8,$AW75+1)-($I75-DateToday+15))/(INDEX($T$5:$T$8,$AW75+1)-INDEX($T$5:$T$8,$AW75)))/INDEX(Z$5:Z$8,$AW75+1)^((INDEX($T$5:$T$8,$AW75)-($I75-DateToday+15))/(INDEX($T$5:$T$8,$AW75+1)-INDEX($T$5:$T$8,$AW75))))</f>
        <v>25908014744.2722</v>
      </c>
      <c r="BD75" s="535" t="n">
        <f aca="false">IF(OR(DateStart&gt;=I76,DateEnd&lt;I75),0,IF(VolumeOverrideFlag,V75,Volume))</f>
        <v>0</v>
      </c>
      <c r="BE75" s="536" t="n">
        <f aca="false">IF(OR(DateStart2&gt;=I76,DateEnd2&lt;I75),0,IF(VolumeOverrideFlag,V75,VolumeSwaption))</f>
        <v>0</v>
      </c>
      <c r="BF75" s="537" t="n">
        <f aca="false">YEAR(I75)</f>
        <v>2005</v>
      </c>
      <c r="BG75" s="538" t="n">
        <f aca="false">MONTH(I75)</f>
        <v>4</v>
      </c>
      <c r="BH75" s="539" t="n">
        <f aca="false">AD75-DateToday+1</f>
        <v>-7498</v>
      </c>
      <c r="BI75" s="540" t="n">
        <f aca="false">(I75-DateToday+1)/365.25</f>
        <v>-20.4845995893224</v>
      </c>
      <c r="BJ75" s="541" t="n">
        <f aca="false">BI75+(BL75-BI75)*CHOOSE(Underlying,AJ75/AI75,AM75/AL75)</f>
        <v>-20.4316678074378</v>
      </c>
      <c r="BK75" s="541" t="n">
        <f aca="false">BJ75+1/365.25</f>
        <v>-20.4289299566507</v>
      </c>
      <c r="BL75" s="541" t="n">
        <f aca="false">(I76-DateToday)/365.25</f>
        <v>-20.4052019164956</v>
      </c>
      <c r="BM75" s="542" t="e">
        <f aca="false">MAX(BI75-(BJ75-BI75)*(S76^2/O76^2-1),0)</f>
        <v>#DIV/0!</v>
      </c>
      <c r="BN75" s="541" t="e">
        <f aca="false">MAX(BL75+(BL75-BK75)*(S77^2/O77^2-1),0)</f>
        <v>#DIV/0!</v>
      </c>
      <c r="BO75" s="530" t="n">
        <f aca="false">CHOOSE(Underlying,AI75,AL75)</f>
        <v>21</v>
      </c>
      <c r="BP75" s="529" t="n">
        <f aca="false">CHOOSE(Underlying,AJ75,AM75)</f>
        <v>14</v>
      </c>
      <c r="BQ75" s="529" t="n">
        <f aca="false">CHOOSE(Underlying,AK75,AN75)</f>
        <v>7</v>
      </c>
      <c r="BR75" s="463" t="str">
        <f aca="false">IF(BD75,IF(Underlying=1,X75,Z75)+UnderlyingPriceAsian-SwapPriceCurve,"")</f>
        <v/>
      </c>
      <c r="BS75" s="463" t="str">
        <f aca="false">IF(BD75,Strike1/BR75-1,"")</f>
        <v/>
      </c>
      <c r="BT75" s="464" t="str">
        <f aca="false">IF(BD75,Strike2/BR75-1,"")</f>
        <v/>
      </c>
      <c r="BU75" s="465" t="str">
        <f aca="false">IF(BD75,IF(Underlying=1,L76,R76)+UnderlyingPriceAsian-SwapPriceCurve,"")</f>
        <v/>
      </c>
      <c r="BV75" s="465" t="str">
        <f aca="false">IF(BD75,IF(Underlying=1,L77,R77)+UnderlyingPriceAsian-SwapPriceCurve,"")</f>
        <v/>
      </c>
      <c r="BW75" s="466" t="str">
        <f aca="false">IF(BD75,IF(Underlying=1,O76,AT76),"")</f>
        <v/>
      </c>
      <c r="BX75" s="467" t="str">
        <f aca="false">IF(BD75,IF(Underlying=1,O77,AT77),"")</f>
        <v/>
      </c>
      <c r="BY75" s="466" t="str">
        <f aca="false">IF(BD75,IF(BS75&gt;0,IF(BS75&gt;0.2,BC75-BB75,IF(BS75&gt;0.1,BB75-BA75,BA75)),IF(BS75&lt;-0.2,AX75-AY75,IF(BS75&lt;-0.1,AY75-AZ75,AZ75))),"")</f>
        <v/>
      </c>
      <c r="BZ75" s="467" t="str">
        <f aca="false">IF(BD75,IF(BT75&gt;0,IF(BT75&gt;0.2,BC75-BB75,IF(BT75&gt;0.1,BB75-BA75,BA75)),IF(BT75&lt;-0.2,AX75-AY75,IF(BT75&lt;-0.1,AY75-AZ75,AZ75))),"")</f>
        <v/>
      </c>
      <c r="CA75" s="468" t="str">
        <f aca="false">IF($BD75,$BW75+IF(VolSkewFlag=1,IF(BS75&gt;0,$BA75*MIN(BS75/10%,1)+($BB75-$BA75)*MAX(0,MIN(BS75/10%-1,1))+($BC75-$BB75)*MAX(0,BS75/10%-2),$AZ75*MIN(-BS75/10%,1)+($AY75-$AZ75)*MAX(0,MIN(-BS75/10%-1,1))+($AX75-$AY75)*MAX(0,-BS75/10%-2)),0),"")</f>
        <v/>
      </c>
      <c r="CB75" s="468" t="str">
        <f aca="false">IF($BD75,$BX75+IF(VolSkewFlag=1,IF(BS75&gt;0,$BA75*MIN(BS75/10%,1)+($BB75-$BA75)*MAX(0,MIN(BS75/10%-1,1))+($BC75-$BB75)*MAX(0,BS75/10%-2),$AZ75*MIN(-BS75/10%,1)+($AY75-$AZ75)*MAX(0,MIN(-BS75/10%-1,1))+($AX75-$AY75)*MAX(0,-BS75/10%-2)),0),"")</f>
        <v/>
      </c>
      <c r="CC75" s="468" t="str">
        <f aca="false">IF($BD75,$BW75+IF(VolSkewFlag=1,IF(BT75&gt;0,$BA75*MIN(BT75/10%,1)+($BB75-$BA75)*MAX(0,MIN(BT75/10%-1,1))+($BC75-$BB75)*MAX(0,BT75/10%-2),$AZ75*MIN(-BT75/10%,1)+($AY75-$AZ75)*MAX(0,MIN(-BT75/10%-1,1))+($AX75-$AY75)*MAX(0,-BT75/10%-2)),0),"")</f>
        <v/>
      </c>
      <c r="CD75" s="468" t="str">
        <f aca="false">IF($BD75,$BX75+IF(VolSkewFlag=1,IF(BT75&gt;0,$BA75*MIN(BT75/10%,1)+($BB75-$BA75)*MAX(0,MIN(BT75/10%-1,1))+($BC75-$BB75)*MAX(0,BT75/10%-2),$AZ75*MIN(-BT75/10%,1)+($AY75-$AZ75)*MAX(0,MIN(-BT75/10%-1,1))+($AX75-$AY75)*MAX(0,-BT75/10%-2)),0),"")</f>
        <v/>
      </c>
      <c r="CE75" s="469" t="n">
        <v>1</v>
      </c>
      <c r="CF75" s="470" t="n">
        <f aca="false">IF(BD75,xCrudeAPO(BU75,BV75,CA75,CB75,S76,S77,BI75,BL75,BP75,BQ75,0,Strike1,AO75,CE75,0,BL75,IF(OptControl=4,0,1),0,1),0)</f>
        <v>0</v>
      </c>
      <c r="CG75" s="470" t="n">
        <f aca="false">IF(BD75,xCrudeAPO(BU75,BV75,CA75,CB75,S76,S77,BI75,BL75,BP75,BQ75,0,Strike1,AO75,CE75,0,BL75,IF(OptControl=4,0,1),1,1)+xCrudeAPO(BU75,BV75,CA75,CB75,S76,S77,BI75,BL75,BP75,BQ75,0,Strike1,AO75,CE75,0,BL75,IF(OptControl=4,0,1),1,2)+IF(OR(VolSkewFlag=2,ABS(BS75)&lt;0.0001),0,IF(BS75&gt;0,-1,1)*CH75*Strike1/BR75^2*BY75/10%),0)</f>
        <v>0</v>
      </c>
      <c r="CH75" s="470" t="n">
        <f aca="false">IF(BD75,(xCrudeAPO(BU75,BV75,CA75,CB75,S76,S77,BI75,BL75,BP75,BQ75,0,Strike1,AO75,CE75,0,BL75,IF(OptControl=4,0,1),3,1)+xCrudeAPO(BU75,BV75,CA75,CB75,S76,S77,BI75,BL75,BP75,BQ75,0,Strike1,AO75,CE75,0,BL75,IF(OptControl=4,0,1),3,2))/100,0)</f>
        <v>0</v>
      </c>
      <c r="CI75" s="470" t="n">
        <f aca="false">IF(BD75,xCrudeAPO(BU75,BV75,CA75,CB75,S76,S77,BI75-DaysForThetaCalculation/365.25,BL75-DaysForThetaCalculation/365.25,BP75,BQ75,0,Strike1,AO75,CE75,0,BL75,IF(OptControl=4,0,1),0,1)-xCrudeAPO(BU75,BV75,CA75,CB75,S76,S77,BI75,BL75,BP75,BQ75,0,Strike1,AO75,CE75,0,BL75,IF(OptControl=4,0,1),0,1),0)</f>
        <v>0</v>
      </c>
      <c r="CJ75" s="471" t="n">
        <f aca="false">IF(BD75,xCrudeAPO(BU75,BV75,CC75,CD75,S76,S77,BI75,BL75,BP75,BQ75,0,Strike2,AO75,CE75,0,BL75,IF(OptControl=3,1,0),0,1),0)</f>
        <v>0</v>
      </c>
      <c r="CK75" s="470" t="n">
        <f aca="false">IF(BD75,xCrudeAPO(BU75,BV75,CC75,CD75,S76,S77,BI75,BL75,BP75,BQ75,0,Strike2,AO75,CE75,0,BL75,IF(OptControl=3,1,0),1,1)+xCrudeAPO(BU75,BV75,CC75,CD75,S76,S77,BI75,BL75,BP75,BQ75,0,Strike2,AO75,CE75,0,BL75,IF(OptControl=3,1,0),1,2)+IF(OR(VolSkewFlag=2,ABS(BT75)&lt;0.0001),0,IF(BT75&gt;0,-1,1)*CL75*Strike2/BR75^2*BZ75/10%),0)</f>
        <v>0</v>
      </c>
      <c r="CL75" s="470" t="n">
        <f aca="false">IF(BD75,(xCrudeAPO(BU75,BV75,CC75,CD75,S76,S77,BI75,BL75,BP75,BQ75,0,Strike2,AO75,CE75,0,BL75,IF(OptControl=3,1,0),3,1)+xCrudeAPO(BU75,BV75,CC75,CD75,S76,S77,BI75,BL75,BP75,BQ75,0,Strike2,AO75,CE75,0,BL75,IF(OptControl=3,1,0),3,2))/100,0)</f>
        <v>0</v>
      </c>
      <c r="CM75" s="472" t="n">
        <f aca="false">IF(BD75,xCrudeAPO(BU75,BV75,CC75,CD75,S76,S77,BI75-DaysForThetaCalculation/365.25,BL75-DaysForThetaCalculation/365.25,BP75,BQ75,0,Strike2,AO75,CE75,0,BL75,IF(OptControl=3,1,0),0,1)-xCrudeAPO(BU75,BV75,CC75,CD75,S76,S77,BI75,BL75,BP75,BQ75,0,Strike2,AO75,CE75,0,BL75,IF(OptControl=3,1,0),0,1),0)</f>
        <v>0</v>
      </c>
      <c r="CN75" s="3"/>
      <c r="CO75" s="543" t="str">
        <f aca="false">IF(BD75,CHOOSE(Underlying,AD75,AF75)-DateToday+1,"")</f>
        <v/>
      </c>
      <c r="CP75" s="582" t="str">
        <f aca="false">IF(BD75,CHOOSE(Underlying,L75,R75),"")</f>
        <v/>
      </c>
      <c r="CQ75" s="544" t="str">
        <f aca="false">IF(BD75,Strike1/CP75-1,"")</f>
        <v/>
      </c>
      <c r="CR75" s="544" t="str">
        <f aca="false">IF(BD75,Strike2/CP75-1,"")</f>
        <v/>
      </c>
      <c r="CS75" s="544" t="str">
        <f aca="false">IF(BD75,IF(CQ75&gt;0,IF(CQ75&gt;0.2,BC74-BB74,IF(CQ75&gt;0.1,BB74-BA74,BA74)),IF(CQ75&lt;-0.2,AX74-AY74,IF(CQ75&lt;-0.1,AY74-AZ74,AZ74))),"")</f>
        <v/>
      </c>
      <c r="CT75" s="544" t="str">
        <f aca="false">IF(BD75,IF(CR75&gt;0,IF(CR75&gt;0.2,BC74-BB74,IF(CR75&gt;0.1,BB74-BA74,BA74)),IF(CR75&lt;-0.2,AX74-AY74,IF(CR75&lt;-0.1,AY74-AZ74,AZ74))),"")</f>
        <v/>
      </c>
      <c r="CU75" s="545" t="str">
        <f aca="false">IF(BD75,CHOOSE(Underlying,O75,AT75),"")</f>
        <v/>
      </c>
      <c r="CV75" s="545" t="str">
        <f aca="false">IF(BD75,CU75+IF(VolSkewFlag=1,IF(CQ75&gt;0,BA74*MIN(CQ75/10%,1)+(BB74-BA74)*MAX(0,MIN(CQ75/10%-1,1))+(BC74-BB74)*MAX(0,CQ75/10%-2),AZ74*MIN(-CQ75/10%,1)+(AY74-AZ74)*MAX(0,MIN(-CQ75/10%-1,1))+(AX74-AY74)*MAX(0,-CQ75/10%-2)),0),"")</f>
        <v/>
      </c>
      <c r="CW75" s="545" t="str">
        <f aca="false">IF(BD75,CU75+IF(VolSkewFlag=1,IF(CR75&gt;0,BA74*MIN(CR75/10%,1)+(BB74-BA74)*MAX(0,MIN(CR75/10%-1,1))+(BC74-BB74)*MAX(0,CR75/10%-2),AZ74*MIN(-CR75/10%,1)+(AY74-AZ74)*MAX(0,MIN(-CR75/10%-1,1))+(AX74-AY74)*MAX(0,-CR75/10%-2)),0),"")</f>
        <v/>
      </c>
      <c r="CX75" s="470" t="n">
        <f aca="false">IF(BD75,EURO(CP75,Strike1,AO75,AO75,CV75,CO75,IF(OptControl=4,0,1),0),0)</f>
        <v>0</v>
      </c>
      <c r="CY75" s="470" t="n">
        <f aca="false">IF(BD75,EURO(CP75,Strike1,AO75,AO75,CV75,CO75,IF(OptControl=4,0,1),1)+IF(OR(VolSkewFlag=2,ABS(CQ75)&lt;0.0001),0,IF(CQ75&gt;0,-1,1)*CZ75*100*Strike1/CP75^2*CS75/10%),0)</f>
        <v>0</v>
      </c>
      <c r="CZ75" s="470" t="n">
        <f aca="false">IF(BD75,EURO(CP75,Strike1,AO75,AO75,CV75,CO75,IF(OptControl=4,0,1),3)/100,0)</f>
        <v>0</v>
      </c>
      <c r="DA75" s="470" t="n">
        <f aca="false">IF(BD75,EURO(CP75,Strike1,AO75,AO75,CV75,CO75,IF(OptControl=4,0,1),0)-EURO(CP75,Strike1,AO75,AO75,CV75,CO75-1,IF(OptControl=4,0,1),0),0)</f>
        <v>0</v>
      </c>
      <c r="DB75" s="470" t="n">
        <f aca="false">IF(BD75,EURO(CP75,Strike2,AO75,AO75,CW75,CO75,IF(OptControl=3,1,0),0),0)</f>
        <v>0</v>
      </c>
      <c r="DC75" s="470" t="n">
        <f aca="false">IF(BD75,EURO(CP75,Strike2,AO75,AO75,CW75,CO75,IF(OptControl=3,1,0),1)+IF(OR(VolSkewFlag=2,ABS(CR75)&lt;0.0001),0,IF(CR75&gt;0,-1,1)*DD75*100*Strike2/CP75^2*CT75/10%),0)</f>
        <v>0</v>
      </c>
      <c r="DD75" s="470" t="n">
        <f aca="false">IF(BD75,EURO(CP75,Strike2,AO75,AO75,CW75,CO75,IF(OptControl=3,1,0),3)/100,0)</f>
        <v>0</v>
      </c>
      <c r="DE75" s="472" t="n">
        <f aca="false">IF(BD75,EURO(CP75,Strike2,AO75,AO75,CW75,CO75,IF(OptControl=3,1,0),0)-EURO(CP75,Strike2,AO75,AO75,CW75,CO75-1,IF(OptControl=3,1,0),0),0)</f>
        <v>0</v>
      </c>
      <c r="DG75" s="481" t="n">
        <f aca="false">EOMONTH(DG74,0)+1</f>
        <v>47362</v>
      </c>
      <c r="DH75" s="478" t="n">
        <v>18.375</v>
      </c>
      <c r="DI75" s="479" t="n">
        <v>18.3681818181818</v>
      </c>
      <c r="DJ75" s="480" t="n">
        <f aca="false">DG75</f>
        <v>47362</v>
      </c>
      <c r="DK75" s="478" t="n">
        <v>17.2271951635151</v>
      </c>
      <c r="DL75" s="479" t="n">
        <v>17.1527818181818</v>
      </c>
      <c r="DM75" s="481" t="n">
        <f aca="false">DG75</f>
        <v>47362</v>
      </c>
      <c r="DN75" s="482" t="n">
        <f aca="false">DK75+BrentPhyBrentSpread</f>
        <v>17.2771951635151</v>
      </c>
      <c r="DO75" s="481" t="n">
        <f aca="false">DG75</f>
        <v>47362</v>
      </c>
      <c r="DP75" s="483" t="n">
        <f aca="false">DL75+DQ75</f>
        <v>17.1527818181818</v>
      </c>
      <c r="DQ75" s="546" t="n">
        <v>0</v>
      </c>
      <c r="DR75" s="480" t="n">
        <f aca="false">DG75</f>
        <v>47362</v>
      </c>
      <c r="DS75" s="485" t="n">
        <v>0.198403905915605</v>
      </c>
      <c r="DT75" s="486" t="n">
        <v>0.197402841115623</v>
      </c>
      <c r="DU75" s="480" t="n">
        <f aca="false">DG75</f>
        <v>47362</v>
      </c>
      <c r="DV75" s="485" t="n">
        <v>0.198403905915605</v>
      </c>
      <c r="DW75" s="486" t="n">
        <v>0.197402841115623</v>
      </c>
      <c r="DX75" s="481" t="n">
        <f aca="false">DG75</f>
        <v>47362</v>
      </c>
      <c r="DY75" s="486" t="n">
        <v>0.35</v>
      </c>
      <c r="DZ75" s="481" t="n">
        <f aca="false">DR75</f>
        <v>47362</v>
      </c>
      <c r="EA75" s="486" t="n">
        <f aca="false">DT75</f>
        <v>0.197402841115623</v>
      </c>
      <c r="EB75" s="195"/>
      <c r="EC75" s="547" t="str">
        <f aca="false">IF(BD75,IF(Underlying=1,AS75,AU75),"")</f>
        <v/>
      </c>
      <c r="ED75" s="548" t="str">
        <f aca="false">IF($BD75,$EC75+IF(VolSkewFlag=1,IF(BS75&gt;0,$BA75*MIN(BS75/10%,1)+($BB75-$BA75)*MAX(0,MIN(BS75/10%-1,1))+($BC75-$BB75)*MAX(0,BS75/10%-2),$AZ75*MIN(-BS75/10%,1)+($AY75-$AZ75)*MAX(0,MIN(-BS75/10%-1,1))+($AX75-$AY75)*MAX(0,-BS75/10%-2)),0),"")</f>
        <v/>
      </c>
      <c r="EE75" s="549" t="str">
        <f aca="false">IF($BD75,$EC75+IF(VolSkewFlag=1,IF(BT75&gt;0,$BA75*MIN(BT75/10%,1)+($BB75-$BA75)*MAX(0,MIN(BT75/10%-1,1))+($BC75-$BB75)*MAX(0,BT75/10%-2),$AZ75*MIN(-BT75/10%,1)+($AY75-$AZ75)*MAX(0,MIN(-BT75/10%-1,1))+($AX75-$AY75)*MAX(0,-BT75/10%-2)),0),"")</f>
        <v/>
      </c>
      <c r="EF75" s="550" t="n">
        <f aca="false">IF(BD75,xASN(BR75,Strike1,AO75,ED75,0,BO75,0,BI75,BL75,IF(OptControl=4,0,1),0),0)</f>
        <v>0</v>
      </c>
      <c r="EG75" s="551" t="n">
        <f aca="false">IF(BD75,xASN(BR75,Strike2,AO75,EE75,0,BO75,0,BI75,BL75,IF(OptControl=3,1,0),0),0)</f>
        <v>0</v>
      </c>
      <c r="EL75" s="1"/>
      <c r="EM75" s="195"/>
      <c r="EN75" s="556" t="n">
        <v>42370</v>
      </c>
      <c r="EO75" s="557" t="n">
        <v>46746</v>
      </c>
      <c r="EP75" s="195"/>
      <c r="EQ75" s="407" t="s">
        <v>301</v>
      </c>
      <c r="ES75" s="587" t="n">
        <v>56</v>
      </c>
      <c r="ET75" s="559" t="n">
        <f aca="false">BH75/365.25</f>
        <v>-20.5284052019165</v>
      </c>
      <c r="EU75" s="560" t="n">
        <f aca="false">O75^2*ET75</f>
        <v>-0</v>
      </c>
      <c r="EV75" s="588" t="e">
        <f aca="false">SQRT(SUM(FK75:ID75)/ET75)</f>
        <v>#VALUE!</v>
      </c>
      <c r="EW75" s="589" t="str">
        <f aca="false">IF(OR(DateStart2&gt;I74,DateEnd2&lt;I73),"",IF(DateStart2&lt;I74,AK73/AI73*AP73*BE73*SwaptionNumOfMonths/$D$33,0)+IF(DateEnd2&gt;I73,AJ74/AI74*AP74*BE74*SwaptionNumOfMonths/$D$33,0))</f>
        <v/>
      </c>
      <c r="EX75" s="590" t="str">
        <f aca="false">IF(EW75="","",SQRT(SUM(FK380:ID380)/SwaptionYearsToExp))</f>
        <v/>
      </c>
      <c r="EY75" s="129" t="n">
        <v>0</v>
      </c>
      <c r="EZ75" s="591" t="str">
        <f aca="false">IF(OR(EW75="",EW76=""),"",SQRT(SUM(INDEX(FK75:ID75,SwaptionFirstMonthPosition+1):INDEX(FK75:ID75,FJ75))/SUM(INDEX($FK$15:$ID$15,SwaptionFirstMonthPosition+1):INDEX($FK$15:$ID$15,FJ75))))</f>
        <v/>
      </c>
      <c r="FA75" s="592" t="str">
        <f aca="false">IF(OR(EW75="",EW74=""),"",SQRT(SUM(INDEX(FK75:ID75,SwaptionFirstMonthPosition+1):INDEX(FK75:ID75,FJ75-1))/SUM(INDEX($FK$15:$ID$15,SwaptionFirstMonthPosition+1):INDEX($FK$15:$ID$15,FJ75-1))))</f>
        <v/>
      </c>
      <c r="FB75" s="593" t="str">
        <f aca="false">IF(BE75,2/3*EZ76+1/3*FA77,"")</f>
        <v/>
      </c>
      <c r="FC75" s="596" t="str">
        <f aca="false">IF(BE75,(I76+I75-1)/2-DateToday,"")</f>
        <v/>
      </c>
      <c r="FD75" s="483" t="str">
        <f aca="false">IF(BE75,CHOOSE(Underlying,X75,Z75)+SwaptionUnderlyingPrice-$D$26,"")</f>
        <v/>
      </c>
      <c r="FE75" s="483" t="str">
        <f aca="false">IF(BE75,CollartionFloor/FD75-1,"")</f>
        <v/>
      </c>
      <c r="FF75" s="483" t="str">
        <f aca="false">IF(BE75,CollartionCap/FD75-1,"")</f>
        <v/>
      </c>
      <c r="FG75" s="485" t="str">
        <f aca="false">IF(BE75,IF(VolSkewFlag=1,IF(FE75&gt;0,$BA75*MIN(FE75/10%,1)+($BB75-$BA75)*MAX(0,MIN(FE75/10%-1,1))+($BC75-$BB75)*MAX(0,FE75/10%-2),$AZ75*MIN(-FE75/10%,1)+($AY75-$AZ75)*MAX(0,MIN(-FE75/10%-1,1))+($AX75-$AY75)*MAX(0,-FE75/10%-2)),0),"")</f>
        <v/>
      </c>
      <c r="FH75" s="486" t="str">
        <f aca="false">IF(BE75,IF(VolSkewFlag=1,IF(FF75&gt;0,$BA75*MIN(FF75/10%,1)+($BB75-$BA75)*MAX(0,MIN(FF75/10%-1,1))+($BC75-$BB75)*MAX(0,FF75/10%-2),$AZ75*MIN(-FF75/10%,1)+($AY75-$AZ75)*MAX(0,MIN(-FF75/10%-1,1))+($AX75-$AY75)*MAX(0,-FF75/10%-2)),0),"")</f>
        <v/>
      </c>
      <c r="FI75" s="129"/>
      <c r="FJ75" s="571" t="n">
        <v>56</v>
      </c>
      <c r="FK75" s="150" t="n">
        <f aca="false">IF(FK$19&gt;$FJ75,"",MAX(0,IF(FK$19=$FJ75,$S75^2*FK$15,FK74*INDEX($T$20:$T$91,$FJ75-FK$19)^2/INDEX($U$20:$U$91,$FJ75-FK$19))))</f>
        <v>0</v>
      </c>
      <c r="FL75" s="150" t="n">
        <f aca="false">IF(FL$19&gt;$FJ75,"",MAX(0,IF(FL$19=$FJ75,$S75^2*FL$15,FL74*INDEX($T$20:$T$91,$FJ75-FL$19)^2/INDEX($U$20:$U$91,$FJ75-FL$19))))</f>
        <v>0</v>
      </c>
      <c r="FM75" s="150" t="n">
        <f aca="false">IF(FM$19&gt;$FJ75,"",MAX(0,IF(FM$19=$FJ75,$S75^2*FM$15,FM74*INDEX($T$20:$T$91,$FJ75-FM$19)^2/INDEX($U$20:$U$91,$FJ75-FM$19))))</f>
        <v>0.00254774112960443</v>
      </c>
      <c r="FN75" s="150" t="n">
        <f aca="false">IF(FN$19&gt;$FJ75,"",MAX(0,IF(FN$19=$FJ75,$S75^2*FN$15,FN74*INDEX($T$20:$T$91,$FJ75-FN$19)^2/INDEX($U$20:$U$91,$FJ75-FN$19))))</f>
        <v>0.00214449629858398</v>
      </c>
      <c r="FO75" s="150" t="n">
        <f aca="false">IF(FO$19&gt;$FJ75,"",MAX(0,IF(FO$19=$FJ75,$S75^2*FO$15,FO74*INDEX($T$20:$T$91,$FJ75-FO$19)^2/INDEX($U$20:$U$91,$FJ75-FO$19))))</f>
        <v>0.00223076276192352</v>
      </c>
      <c r="FP75" s="150" t="n">
        <f aca="false">IF(FP$19&gt;$FJ75,"",MAX(0,IF(FP$19=$FJ75,$S75^2*FP$15,FP74*INDEX($T$20:$T$91,$FJ75-FP$19)^2/INDEX($U$20:$U$91,$FJ75-FP$19))))</f>
        <v>0.00247213339210259</v>
      </c>
      <c r="FQ75" s="150" t="n">
        <f aca="false">IF(FQ$19&gt;$FJ75,"",MAX(0,IF(FQ$19=$FJ75,$S75^2*FQ$15,FQ74*INDEX($T$20:$T$91,$FJ75-FQ$19)^2/INDEX($U$20:$U$91,$FJ75-FQ$19))))</f>
        <v>0.00200165843666046</v>
      </c>
      <c r="FR75" s="150" t="n">
        <f aca="false">IF(FR$19&gt;$FJ75,"",MAX(0,IF(FR$19=$FJ75,$S75^2*FR$15,FR74*INDEX($T$20:$T$91,$FJ75-FR$19)^2/INDEX($U$20:$U$91,$FJ75-FR$19))))</f>
        <v>0.00204685182128401</v>
      </c>
      <c r="FS75" s="150" t="n">
        <f aca="false">IF(FS$19&gt;$FJ75,"",MAX(0,IF(FS$19=$FJ75,$S75^2*FS$15,FS74*INDEX($T$20:$T$91,$FJ75-FS$19)^2/INDEX($U$20:$U$91,$FJ75-FS$19))))</f>
        <v>0.00230697619453763</v>
      </c>
      <c r="FT75" s="150" t="n">
        <f aca="false">IF(FT$19&gt;$FJ75,"",MAX(0,IF(FT$19=$FJ75,$S75^2*FT$15,FT74*INDEX($T$20:$T$91,$FJ75-FT$19)^2/INDEX($U$20:$U$91,$FJ75-FT$19))))</f>
        <v>0.00208230078611517</v>
      </c>
      <c r="FU75" s="150" t="n">
        <f aca="false">IF(FU$19&gt;$FJ75,"",MAX(0,IF(FU$19=$FJ75,$S75^2*FU$15,FU74*INDEX($T$20:$T$91,$FJ75-FU$19)^2/INDEX($U$20:$U$91,$FJ75-FU$19))))</f>
        <v>0.00200222419157507</v>
      </c>
      <c r="FV75" s="150" t="n">
        <f aca="false">IF(FV$19&gt;$FJ75,"",MAX(0,IF(FV$19=$FJ75,$S75^2*FV$15,FV74*INDEX($T$20:$T$91,$FJ75-FV$19)^2/INDEX($U$20:$U$91,$FJ75-FV$19))))</f>
        <v>0.00220072238273227</v>
      </c>
      <c r="FW75" s="150" t="n">
        <f aca="false">IF(FW$19&gt;$FJ75,"",MAX(0,IF(FW$19=$FJ75,$S75^2*FW$15,FW74*INDEX($T$20:$T$91,$FJ75-FW$19)^2/INDEX($U$20:$U$91,$FJ75-FW$19))))</f>
        <v>0.00205731638029999</v>
      </c>
      <c r="FX75" s="150" t="n">
        <f aca="false">IF(FX$19&gt;$FJ75,"",MAX(0,IF(FX$19=$FJ75,$S75^2*FX$15,FX74*INDEX($T$20:$T$91,$FJ75-FX$19)^2/INDEX($U$20:$U$91,$FJ75-FX$19))))</f>
        <v>0.00219003194502924</v>
      </c>
      <c r="FY75" s="150" t="n">
        <f aca="false">IF(FY$19&gt;$FJ75,"",MAX(0,IF(FY$19=$FJ75,$S75^2*FY$15,FY74*INDEX($T$20:$T$91,$FJ75-FY$19)^2/INDEX($U$20:$U$91,$FJ75-FY$19))))</f>
        <v>0.00205030413943605</v>
      </c>
      <c r="FZ75" s="150" t="n">
        <f aca="false">IF(FZ$19&gt;$FJ75,"",MAX(0,IF(FZ$19=$FJ75,$S75^2*FZ$15,FZ74*INDEX($T$20:$T$91,$FJ75-FZ$19)^2/INDEX($U$20:$U$91,$FJ75-FZ$19))))</f>
        <v>0.00191191487921109</v>
      </c>
      <c r="GA75" s="150" t="n">
        <f aca="false">IF(GA$19&gt;$FJ75,"",MAX(0,IF(GA$19=$FJ75,$S75^2*GA$15,GA74*INDEX($T$20:$T$91,$FJ75-GA$19)^2/INDEX($U$20:$U$91,$FJ75-GA$19))))</f>
        <v>0.00204747888818598</v>
      </c>
      <c r="GB75" s="150" t="n">
        <f aca="false">IF(GB$19&gt;$FJ75,"",MAX(0,IF(GB$19=$FJ75,$S75^2*GB$15,GB74*INDEX($T$20:$T$91,$FJ75-GB$19)^2/INDEX($U$20:$U$91,$FJ75-GB$19))))</f>
        <v>0.00225187201827248</v>
      </c>
      <c r="GC75" s="150" t="n">
        <f aca="false">IF(GC$19&gt;$FJ75,"",MAX(0,IF(GC$19=$FJ75,$S75^2*GC$15,GC74*INDEX($T$20:$T$91,$FJ75-GC$19)^2/INDEX($U$20:$U$91,$FJ75-GC$19))))</f>
        <v>0.00197916861302549</v>
      </c>
      <c r="GD75" s="150" t="n">
        <f aca="false">IF(GD$19&gt;$FJ75,"",MAX(0,IF(GD$19=$FJ75,$S75^2*GD$15,GD74*INDEX($T$20:$T$91,$FJ75-GD$19)^2/INDEX($U$20:$U$91,$FJ75-GD$19))))</f>
        <v>0.00197992392305666</v>
      </c>
      <c r="GE75" s="150" t="n">
        <f aca="false">IF(GE$19&gt;$FJ75,"",MAX(0,IF(GE$19=$FJ75,$S75^2*GE$15,GE74*INDEX($T$20:$T$91,$FJ75-GE$19)^2/INDEX($U$20:$U$91,$FJ75-GE$19))))</f>
        <v>0.00225441726638374</v>
      </c>
      <c r="GF75" s="150" t="n">
        <f aca="false">IF(GF$19&gt;$FJ75,"",MAX(0,IF(GF$19=$FJ75,$S75^2*GF$15,GF74*INDEX($T$20:$T$91,$FJ75-GF$19)^2/INDEX($U$20:$U$91,$FJ75-GF$19))))</f>
        <v>0.0019828554198493</v>
      </c>
      <c r="GG75" s="150" t="n">
        <f aca="false">IF(GG$19&gt;$FJ75,"",MAX(0,IF(GG$19=$FJ75,$S75^2*GG$15,GG74*INDEX($T$20:$T$91,$FJ75-GG$19)^2/INDEX($U$20:$U$91,$FJ75-GG$19))))</f>
        <v>0.00219039154344837</v>
      </c>
      <c r="GH75" s="150" t="n">
        <f aca="false">IF(GH$19&gt;$FJ75,"",MAX(0,IF(GH$19=$FJ75,$S75^2*GH$15,GH74*INDEX($T$20:$T$91,$FJ75-GH$19)^2/INDEX($U$20:$U$91,$FJ75-GH$19))))</f>
        <v>0.00205629350189959</v>
      </c>
      <c r="GI75" s="150" t="n">
        <f aca="false">IF(GI$19&gt;$FJ75,"",MAX(0,IF(GI$19=$FJ75,$S75^2*GI$15,GI74*INDEX($T$20:$T$91,$FJ75-GI$19)^2/INDEX($U$20:$U$91,$FJ75-GI$19))))</f>
        <v>0.00199103317049175</v>
      </c>
      <c r="GJ75" s="150" t="n">
        <f aca="false">IF(GJ$19&gt;$FJ75,"",MAX(0,IF(GJ$19=$FJ75,$S75^2*GJ$15,GJ74*INDEX($T$20:$T$91,$FJ75-GJ$19)^2/INDEX($U$20:$U$91,$FJ75-GJ$19))))</f>
        <v>0.00227013042623595</v>
      </c>
      <c r="GK75" s="150" t="n">
        <f aca="false">IF(GK$19&gt;$FJ75,"",MAX(0,IF(GK$19=$FJ75,$S75^2*GK$15,GK74*INDEX($T$20:$T$91,$FJ75-GK$19)^2/INDEX($U$20:$U$91,$FJ75-GK$19))))</f>
        <v>0.00206858538095067</v>
      </c>
      <c r="GL75" s="150" t="n">
        <f aca="false">IF(GL$19&gt;$FJ75,"",MAX(0,IF(GL$19=$FJ75,$S75^2*GL$15,GL74*INDEX($T$20:$T$91,$FJ75-GL$19)^2/INDEX($U$20:$U$91,$FJ75-GL$19))))</f>
        <v>0.0020051557620192</v>
      </c>
      <c r="GM75" s="150" t="n">
        <f aca="false">IF(GM$19&gt;$FJ75,"",MAX(0,IF(GM$19=$FJ75,$S75^2*GM$15,GM74*INDEX($T$20:$T$91,$FJ75-GM$19)^2/INDEX($U$20:$U$91,$FJ75-GM$19))))</f>
        <v>0.00215040787946086</v>
      </c>
      <c r="GN75" s="150" t="n">
        <f aca="false">IF(GN$19&gt;$FJ75,"",MAX(0,IF(GN$19=$FJ75,$S75^2*GN$15,GN74*INDEX($T$20:$T$91,$FJ75-GN$19)^2/INDEX($U$20:$U$91,$FJ75-GN$19))))</f>
        <v>0.00215861410152761</v>
      </c>
      <c r="GO75" s="150" t="n">
        <f aca="false">IF(GO$19&gt;$FJ75,"",MAX(0,IF(GO$19=$FJ75,$S75^2*GO$15,GO74*INDEX($T$20:$T$91,$FJ75-GO$19)^2/INDEX($U$20:$U$91,$FJ75-GO$19))))</f>
        <v>0.00216827632107682</v>
      </c>
      <c r="GP75" s="150" t="n">
        <f aca="false">IF(GP$19&gt;$FJ75,"",MAX(0,IF(GP$19=$FJ75,$S75^2*GP$15,GP74*INDEX($T$20:$T$91,$FJ75-GP$19)^2/INDEX($U$20:$U$91,$FJ75-GP$19))))</f>
        <v>0.00196871841812404</v>
      </c>
      <c r="GQ75" s="150" t="n">
        <f aca="false">IF(GQ$19&gt;$FJ75,"",MAX(0,IF(GQ$19=$FJ75,$S75^2*GQ$15,GQ74*INDEX($T$20:$T$91,$FJ75-GQ$19)^2/INDEX($U$20:$U$91,$FJ75-GQ$19))))</f>
        <v>0.00219305197052764</v>
      </c>
      <c r="GR75" s="150" t="n">
        <f aca="false">IF(GR$19&gt;$FJ75,"",MAX(0,IF(GR$19=$FJ75,$S75^2*GR$15,GR74*INDEX($T$20:$T$91,$FJ75-GR$19)^2/INDEX($U$20:$U$91,$FJ75-GR$19))))</f>
        <v>0.00213759275484214</v>
      </c>
      <c r="GS75" s="150" t="n">
        <f aca="false">IF(GS$19&gt;$FJ75,"",MAX(0,IF(GS$19=$FJ75,$S75^2*GS$15,GS74*INDEX($T$20:$T$91,$FJ75-GS$19)^2/INDEX($U$20:$U$91,$FJ75-GS$19))))</f>
        <v>0.00222748098001963</v>
      </c>
      <c r="GT75" s="150" t="n">
        <f aca="false">IF(GT$19&gt;$FJ75,"",MAX(0,IF(GT$19=$FJ75,$S75^2*GT$15,GT74*INDEX($T$20:$T$91,$FJ75-GT$19)^2/INDEX($U$20:$U$91,$FJ75-GT$19))))</f>
        <v>0.00217693269483422</v>
      </c>
      <c r="GU75" s="150" t="n">
        <f aca="false">IF(GU$19&gt;$FJ75,"",MAX(0,IF(GU$19=$FJ75,$S75^2*GU$15,GU74*INDEX($T$20:$T$91,$FJ75-GU$19)^2/INDEX($U$20:$U$91,$FJ75-GU$19))))</f>
        <v>0.00227554917242864</v>
      </c>
      <c r="GV75" s="150" t="n">
        <f aca="false">IF(GV$19&gt;$FJ75,"",MAX(0,IF(GV$19=$FJ75,$S75^2*GV$15,GV74*INDEX($T$20:$T$91,$FJ75-GV$19)^2/INDEX($U$20:$U$91,$FJ75-GV$19))))</f>
        <v>0.0023064360085646</v>
      </c>
      <c r="GW75" s="150" t="n">
        <f aca="false">IF(GW$19&gt;$FJ75,"",MAX(0,IF(GW$19=$FJ75,$S75^2*GW$15,GW74*INDEX($T$20:$T$91,$FJ75-GW$19)^2/INDEX($U$20:$U$91,$FJ75-GW$19))))</f>
        <v>0.00226755300892679</v>
      </c>
      <c r="GX75" s="150" t="n">
        <f aca="false">IF(GX$19&gt;$FJ75,"",MAX(0,IF(GX$19=$FJ75,$S75^2*GX$15,GX74*INDEX($T$20:$T$91,$FJ75-GX$19)^2/INDEX($U$20:$U$91,$FJ75-GX$19))))</f>
        <v>0.00238686741542539</v>
      </c>
      <c r="GY75" s="150" t="n">
        <f aca="false">IF(GY$19&gt;$FJ75,"",MAX(0,IF(GY$19=$FJ75,$S75^2*GY$15,GY74*INDEX($T$20:$T$91,$FJ75-GY$19)^2/INDEX($U$20:$U$91,$FJ75-GY$19))))</f>
        <v>0.00236045235725299</v>
      </c>
      <c r="GZ75" s="150" t="n">
        <f aca="false">IF(GZ$19&gt;$FJ75,"",MAX(0,IF(GZ$19=$FJ75,$S75^2*GZ$15,GZ74*INDEX($T$20:$T$91,$FJ75-GZ$19)^2/INDEX($U$20:$U$91,$FJ75-GZ$19))))</f>
        <v>0.00250183725101012</v>
      </c>
      <c r="HA75" s="150" t="n">
        <f aca="false">IF(HA$19&gt;$FJ75,"",MAX(0,IF(HA$19=$FJ75,$S75^2*HA$15,HA74*INDEX($T$20:$T$91,$FJ75-HA$19)^2/INDEX($U$20:$U$91,$FJ75-HA$19))))</f>
        <v>0.00257738974866084</v>
      </c>
      <c r="HB75" s="150" t="n">
        <f aca="false">IF(HB$19&gt;$FJ75,"",MAX(0,IF(HB$19=$FJ75,$S75^2*HB$15,HB74*INDEX($T$20:$T$91,$FJ75-HB$19)^2/INDEX($U$20:$U$91,$FJ75-HB$19))))</f>
        <v>0.00249670638749869</v>
      </c>
      <c r="HC75" s="150" t="n">
        <f aca="false">IF(HC$19&gt;$FJ75,"",MAX(0,IF(HC$19=$FJ75,$S75^2*HC$15,HC74*INDEX($T$20:$T$91,$FJ75-HC$19)^2/INDEX($U$20:$U$91,$FJ75-HC$19))))</f>
        <v>0.0027803857044516</v>
      </c>
      <c r="HD75" s="150" t="n">
        <f aca="false">IF(HD$19&gt;$FJ75,"",MAX(0,IF(HD$19=$FJ75,$S75^2*HD$15,HD74*INDEX($T$20:$T$91,$FJ75-HD$19)^2/INDEX($U$20:$U$91,$FJ75-HD$19))))</f>
        <v>0.00282310031380026</v>
      </c>
      <c r="HE75" s="150" t="n">
        <f aca="false">IF(HE$19&gt;$FJ75,"",MAX(0,IF(HE$19=$FJ75,$S75^2*HE$15,HE74*INDEX($T$20:$T$91,$FJ75-HE$19)^2/INDEX($U$20:$U$91,$FJ75-HE$19))))</f>
        <v>0.00308651224506451</v>
      </c>
      <c r="HF75" s="150" t="n">
        <f aca="false">IF(HF$19&gt;$FJ75,"",MAX(0,IF(HF$19=$FJ75,$S75^2*HF$15,HF74*INDEX($T$20:$T$91,$FJ75-HF$19)^2/INDEX($U$20:$U$91,$FJ75-HF$19))))</f>
        <v>0.00319171906824712</v>
      </c>
      <c r="HG75" s="150" t="n">
        <f aca="false">IF(HG$19&gt;$FJ75,"",MAX(0,IF(HG$19=$FJ75,$S75^2*HG$15,HG74*INDEX($T$20:$T$91,$FJ75-HG$19)^2/INDEX($U$20:$U$91,$FJ75-HG$19))))</f>
        <v>0.00356566934879183</v>
      </c>
      <c r="HH75" s="150" t="n">
        <f aca="false">IF(HH$19&gt;$FJ75,"",MAX(0,IF(HH$19=$FJ75,$S75^2*HH$15,HH74*INDEX($T$20:$T$91,$FJ75-HH$19)^2/INDEX($U$20:$U$91,$FJ75-HH$19))))</f>
        <v>0.00390871128660844</v>
      </c>
      <c r="HI75" s="150" t="n">
        <f aca="false">IF(HI$19&gt;$FJ75,"",MAX(0,IF(HI$19=$FJ75,$S75^2*HI$15,HI74*INDEX($T$20:$T$91,$FJ75-HI$19)^2/INDEX($U$20:$U$91,$FJ75-HI$19))))</f>
        <v>0.00421531459006413</v>
      </c>
      <c r="HJ75" s="150" t="n">
        <f aca="false">IF(HJ$19&gt;$FJ75,"",MAX(0,IF(HJ$19=$FJ75,$S75^2*HJ$15,HJ74*INDEX($T$20:$T$91,$FJ75-HJ$19)^2/INDEX($U$20:$U$91,$FJ75-HJ$19))))</f>
        <v>0.00495011269779719</v>
      </c>
      <c r="HK75" s="150" t="n">
        <f aca="false">IF(HK$19&gt;$FJ75,"",MAX(0,IF(HK$19=$FJ75,$S75^2*HK$15,HK74*INDEX($T$20:$T$91,$FJ75-HK$19)^2/INDEX($U$20:$U$91,$FJ75-HK$19))))</f>
        <v>0.00557296288131802</v>
      </c>
      <c r="HL75" s="150" t="n">
        <f aca="false">IF(HL$19&gt;$FJ75,"",MAX(0,IF(HL$19=$FJ75,$S75^2*HL$15,HL74*INDEX($T$20:$T$91,$FJ75-HL$19)^2/INDEX($U$20:$U$91,$FJ75-HL$19))))</f>
        <v>0.00689031717033998</v>
      </c>
      <c r="HM75" s="150" t="n">
        <f aca="false">IF(HM$19&gt;$FJ75,"",MAX(0,IF(HM$19=$FJ75,$S75^2*HM$15,HM74*INDEX($T$20:$T$91,$FJ75-HM$19)^2/INDEX($U$20:$U$91,$FJ75-HM$19))))</f>
        <v>0.00852847030151887</v>
      </c>
      <c r="HN75" s="150" t="n">
        <f aca="false">IF(HN$19&gt;$FJ75,"",MAX(0,IF(HN$19=$FJ75,$S75^2*HN$15,HN74*INDEX($T$20:$T$91,$FJ75-HN$19)^2/INDEX($U$20:$U$91,$FJ75-HN$19))))</f>
        <v>0.009935113331956</v>
      </c>
      <c r="HO75" s="150" t="str">
        <f aca="false">IF(HO$19&gt;$FJ75,"",MAX(0,IF(HO$19=$FJ75,$S75^2*HO$15,HO74*INDEX($T$20:$T$91,$FJ75-HO$19)^2/INDEX($U$20:$U$91,$FJ75-HO$19))))</f>
        <v/>
      </c>
      <c r="HP75" s="150" t="str">
        <f aca="false">IF(HP$19&gt;$FJ75,"",MAX(0,IF(HP$19=$FJ75,$S75^2*HP$15,HP74*INDEX($T$20:$T$91,$FJ75-HP$19)^2/INDEX($U$20:$U$91,$FJ75-HP$19))))</f>
        <v/>
      </c>
      <c r="HQ75" s="150" t="str">
        <f aca="false">IF(HQ$19&gt;$FJ75,"",MAX(0,IF(HQ$19=$FJ75,$S75^2*HQ$15,HQ74*INDEX($T$20:$T$91,$FJ75-HQ$19)^2/INDEX($U$20:$U$91,$FJ75-HQ$19))))</f>
        <v/>
      </c>
      <c r="HR75" s="150" t="str">
        <f aca="false">IF(HR$19&gt;$FJ75,"",MAX(0,IF(HR$19=$FJ75,$S75^2*HR$15,HR74*INDEX($T$20:$T$91,$FJ75-HR$19)^2/INDEX($U$20:$U$91,$FJ75-HR$19))))</f>
        <v/>
      </c>
      <c r="HS75" s="150" t="str">
        <f aca="false">IF(HS$19&gt;$FJ75,"",MAX(0,IF(HS$19=$FJ75,$S75^2*HS$15,HS74*INDEX($T$20:$T$91,$FJ75-HS$19)^2/INDEX($U$20:$U$91,$FJ75-HS$19))))</f>
        <v/>
      </c>
      <c r="HT75" s="150" t="str">
        <f aca="false">IF(HT$19&gt;$FJ75,"",MAX(0,IF(HT$19=$FJ75,$S75^2*HT$15,HT74*INDEX($T$20:$T$91,$FJ75-HT$19)^2/INDEX($U$20:$U$91,$FJ75-HT$19))))</f>
        <v/>
      </c>
      <c r="HU75" s="150" t="str">
        <f aca="false">IF(HU$19&gt;$FJ75,"",MAX(0,IF(HU$19=$FJ75,$S75^2*HU$15,HU74*INDEX($T$20:$T$91,$FJ75-HU$19)^2/INDEX($U$20:$U$91,$FJ75-HU$19))))</f>
        <v/>
      </c>
      <c r="HV75" s="150" t="str">
        <f aca="false">IF(HV$19&gt;$FJ75,"",MAX(0,IF(HV$19=$FJ75,$S75^2*HV$15,HV74*INDEX($T$20:$T$91,$FJ75-HV$19)^2/INDEX($U$20:$U$91,$FJ75-HV$19))))</f>
        <v/>
      </c>
      <c r="HW75" s="150" t="str">
        <f aca="false">IF(HW$19&gt;$FJ75,"",MAX(0,IF(HW$19=$FJ75,$S75^2*HW$15,HW74*INDEX($T$20:$T$91,$FJ75-HW$19)^2/INDEX($U$20:$U$91,$FJ75-HW$19))))</f>
        <v/>
      </c>
      <c r="HX75" s="150" t="str">
        <f aca="false">IF(HX$19&gt;$FJ75,"",MAX(0,IF(HX$19=$FJ75,$S75^2*HX$15,HX74*INDEX($T$20:$T$91,$FJ75-HX$19)^2/INDEX($U$20:$U$91,$FJ75-HX$19))))</f>
        <v/>
      </c>
      <c r="HY75" s="150" t="str">
        <f aca="false">IF(HY$19&gt;$FJ75,"",MAX(0,IF(HY$19=$FJ75,$S75^2*HY$15,HY74*INDEX($T$20:$T$91,$FJ75-HY$19)^2/INDEX($U$20:$U$91,$FJ75-HY$19))))</f>
        <v/>
      </c>
      <c r="HZ75" s="150" t="str">
        <f aca="false">IF(HZ$19&gt;$FJ75,"",MAX(0,IF(HZ$19=$FJ75,$S75^2*HZ$15,HZ74*INDEX($T$20:$T$91,$FJ75-HZ$19)^2/INDEX($U$20:$U$91,$FJ75-HZ$19))))</f>
        <v/>
      </c>
      <c r="IA75" s="150" t="str">
        <f aca="false">IF(IA$19&gt;$FJ75,"",MAX(0,IF(IA$19=$FJ75,$S75^2*IA$15,IA74*INDEX($T$20:$T$91,$FJ75-IA$19)^2/INDEX($U$20:$U$91,$FJ75-IA$19))))</f>
        <v/>
      </c>
      <c r="IB75" s="150" t="str">
        <f aca="false">IF(IB$19&gt;$FJ75,"",MAX(0,IF(IB$19=$FJ75,$S75^2*IB$15,IB74*INDEX($T$20:$T$91,$FJ75-IB$19)^2/INDEX($U$20:$U$91,$FJ75-IB$19))))</f>
        <v/>
      </c>
      <c r="IC75" s="150" t="str">
        <f aca="false">IF(IC$19&gt;$FJ75,"",MAX(0,IF(IC$19=$FJ75,$S75^2*IC$15,IC74*INDEX($T$20:$T$91,$FJ75-IC$19)^2/INDEX($U$20:$U$91,$FJ75-IC$19))))</f>
        <v/>
      </c>
      <c r="ID75" s="572" t="str">
        <f aca="false">IF(ID$19&gt;$FJ75,"",MAX(0,IF(ID$19=$FJ75,$S75^2*ID$15,ID74*INDEX($T$20:$T$91,$FJ75-ID$19)^2/INDEX($U$20:$U$91,$FJ75-ID$19))))</f>
        <v/>
      </c>
      <c r="IE75" s="129"/>
    </row>
    <row r="76" customFormat="false" ht="12.75" hidden="false" customHeight="false" outlineLevel="0" collapsed="false">
      <c r="A76" s="3"/>
      <c r="F76" s="3"/>
      <c r="G76" s="3"/>
      <c r="H76" s="219" t="n">
        <f aca="false">VLOOKUP(I76,$EJ$20:$EL$54,3)</f>
        <v>0</v>
      </c>
      <c r="I76" s="511" t="n">
        <f aca="false">EOMONTH(I75,0)+1</f>
        <v>38473</v>
      </c>
      <c r="J76" s="512"/>
      <c r="K76" s="513" t="s">
        <v>250</v>
      </c>
      <c r="L76" s="514" t="e">
        <f aca="false">IF(ISNUMBER(K76),J76+K76/100,IF(K76="extra",L75+VLOOKUP(BF76,PriceSpreadTable,2)/12,IF(K76="inter",interpolateprices($K$19:$L$200,ROW(K76)-ROW(FirstPricingMonth)+1),interpolatechanges($J$19:$K$200,ROW(K76)-ROW(FirstPricingMonth)+1))))</f>
        <v>#VALUE!</v>
      </c>
      <c r="M76" s="515"/>
      <c r="N76" s="516" t="n">
        <v>0</v>
      </c>
      <c r="O76" s="515" t="n">
        <f aca="false">M76+N76</f>
        <v>0</v>
      </c>
      <c r="P76" s="512"/>
      <c r="Q76" s="513" t="s">
        <v>280</v>
      </c>
      <c r="R76" s="512" t="e">
        <f aca="false">IF(ISNUMBER(Q76),P76+Q76/100,IF(Q76="extra",(Z74*AL74-R75*AM74)/AN74,IF(Q76="inter",interpolateprices($Q$19:$R$260,ROW(Q76)-ROW(FirstPricingMonth)+1),interpolatechanges($P$19:$Q$260,ROW(Q76)-ROW(FirstPricingMonth)+1))))</f>
        <v>#VALUE!</v>
      </c>
      <c r="S76" s="597" t="n">
        <f aca="false">S$19+(S75-S$19)*S$18</f>
        <v>0.360000005375631</v>
      </c>
      <c r="T76" s="575" t="n">
        <f aca="false">SQRT((1-(1-T75^2/U75)*T$18)*U76)</f>
        <v>0.99998259747182</v>
      </c>
      <c r="U76" s="576" t="n">
        <f aca="false">1-(1-U75)*U$18</f>
        <v>0.999999998488104</v>
      </c>
      <c r="V76" s="521" t="n">
        <v>0</v>
      </c>
      <c r="W76" s="577" t="n">
        <f aca="false">(J77*AJ76+J78*AK76)/AI76</f>
        <v>0</v>
      </c>
      <c r="X76" s="578" t="e">
        <f aca="false">(L77*AJ76+L78*AK76)/AI76</f>
        <v>#VALUE!</v>
      </c>
      <c r="Y76" s="579" t="n">
        <f aca="false">IF(Q78="extra",W76-AA76,(P77*AM76+P78*AN76)/AL76)</f>
        <v>-1.239</v>
      </c>
      <c r="Z76" s="579" t="e">
        <f aca="false">IF(Q78="extra",X76-AB76,(R77*AM76+R78*AN76)/AL76)</f>
        <v>#VALUE!</v>
      </c>
      <c r="AA76" s="523" t="n">
        <f aca="false">IF(Q78="extra",INDEX(BrentSeasonalityTable,INT((BG76-1)/3)+1)*VLOOKUP(MAX(BF76,$AB$4),PriceSpreadTable,3),W76-Y76)</f>
        <v>1.239</v>
      </c>
      <c r="AB76" s="524" t="n">
        <f aca="false">IF(Q78="extra",INDEX(BrentSeasonalityTable,INT((BG76-1)/3)+1)*VLOOKUP(MAX(BF76,$AB$4),PriceSpreadTable,3),X76-Z76)</f>
        <v>1.239</v>
      </c>
      <c r="AC76" s="646" t="n">
        <v>38462</v>
      </c>
      <c r="AD76" s="646" t="n">
        <v>38458</v>
      </c>
      <c r="AE76" s="646" t="n">
        <v>38457</v>
      </c>
      <c r="AF76" s="646" t="n">
        <v>38453</v>
      </c>
      <c r="AG76" s="438" t="s">
        <v>247</v>
      </c>
      <c r="AH76" s="439" t="s">
        <v>278</v>
      </c>
      <c r="AI76" s="528" t="n">
        <v>22</v>
      </c>
      <c r="AJ76" s="529" t="n">
        <v>15</v>
      </c>
      <c r="AK76" s="529" t="n">
        <v>7</v>
      </c>
      <c r="AL76" s="530" t="n">
        <v>22</v>
      </c>
      <c r="AM76" s="529" t="n">
        <v>10</v>
      </c>
      <c r="AN76" s="531" t="n">
        <v>12</v>
      </c>
      <c r="AO76" s="532"/>
      <c r="AP76" s="465" t="n">
        <f aca="false">(1+AO76/2)^(-2*BL76)</f>
        <v>1</v>
      </c>
      <c r="AQ76" s="532"/>
      <c r="AR76" s="465" t="n">
        <f aca="false">(1+AQ76/2)^(-2*BH76/365.25)</f>
        <v>1</v>
      </c>
      <c r="AS76" s="580" t="n">
        <f aca="false">(O77*AJ76+O78*AK76)/AI76</f>
        <v>0</v>
      </c>
      <c r="AT76" s="468" t="n">
        <f aca="false">O76*VLOOKUP(BF76,BrentVolTable,2)+VLOOKUP(BF76,BrentVolTable,3)</f>
        <v>0</v>
      </c>
      <c r="AU76" s="468" t="n">
        <f aca="false">(AT77*AM76+AT78*AN76)/AL76</f>
        <v>0</v>
      </c>
      <c r="AV76" s="595" t="n">
        <f aca="false">SQRT(MAX(0.000000000001,(O76^2*BH76-S76^2*(BH76-BH75))/BH75))</f>
        <v>0.0231478487576083</v>
      </c>
      <c r="AW76" s="451" t="n">
        <f aca="false">IF($I76-DateToday+15&gt;=$T$8,"",IF($I76-DateToday+15&lt;$T$5,1,MATCH($I76-DateToday+15,$T$5:$T$8)))</f>
        <v>1</v>
      </c>
      <c r="AX76" s="468" t="n">
        <f aca="false">IF($AW76="",AX75^2/AX74,INDEX(U$5:U$8,$AW76)^((INDEX($T$5:$T$8,$AW76+1)-($I76-DateToday+15))/(INDEX($T$5:$T$8,$AW76+1)-INDEX($T$5:$T$8,$AW76)))/INDEX(U$5:U$8,$AW76+1)^((INDEX($T$5:$T$8,$AW76)-($I76-DateToday+15))/(INDEX($T$5:$T$8,$AW76+1)-INDEX($T$5:$T$8,$AW76))))</f>
        <v>3.79439837552261</v>
      </c>
      <c r="AY76" s="468" t="n">
        <f aca="false">IF($AW76="",AY75^2/AY74,INDEX(V$5:V$8,$AW76)^((INDEX($T$5:$T$8,$AW76+1)-($I76-DateToday+15))/(INDEX($T$5:$T$8,$AW76+1)-INDEX($T$5:$T$8,$AW76)))/INDEX(V$5:V$8,$AW76+1)^((INDEX($T$5:$T$8,$AW76)-($I76-DateToday+15))/(INDEX($T$5:$T$8,$AW76+1)-INDEX($T$5:$T$8,$AW76))))</f>
        <v>493.985065204082</v>
      </c>
      <c r="AZ76" s="468" t="n">
        <f aca="false">IF($AW76="",AZ75^2/AZ74,INDEX(W$5:W$8,$AW76)^((INDEX($T$5:$T$8,$AW76+1)-($I76-DateToday+15))/(INDEX($T$5:$T$8,$AW76+1)-INDEX($T$5:$T$8,$AW76)))/INDEX(W$5:W$8,$AW76+1)^((INDEX($T$5:$T$8,$AW76)-($I76-DateToday+15))/(INDEX($T$5:$T$8,$AW76+1)-INDEX($T$5:$T$8,$AW76))))</f>
        <v>7017429.58628693</v>
      </c>
      <c r="BA76" s="468" t="n">
        <f aca="false">IF($AW76="",BA75^2/BA74,INDEX(X$5:X$8,$AW76)^((INDEX($T$5:$T$8,$AW76+1)-($I76-DateToday+15))/(INDEX($T$5:$T$8,$AW76+1)-INDEX($T$5:$T$8,$AW76)))/INDEX(X$5:X$8,$AW76+1)^((INDEX($T$5:$T$8,$AW76)-($I76-DateToday+15))/(INDEX($T$5:$T$8,$AW76+1)-INDEX($T$5:$T$8,$AW76))))</f>
        <v>277363785.651576</v>
      </c>
      <c r="BB76" s="468" t="n">
        <f aca="false">IF($AW76="",BB75^2/BB74,INDEX(Y$5:Y$8,$AW76)^((INDEX($T$5:$T$8,$AW76+1)-($I76-DateToday+15))/(INDEX($T$5:$T$8,$AW76+1)-INDEX($T$5:$T$8,$AW76)))/INDEX(Y$5:Y$8,$AW76+1)^((INDEX($T$5:$T$8,$AW76)-($I76-DateToday+15))/(INDEX($T$5:$T$8,$AW76+1)-INDEX($T$5:$T$8,$AW76))))</f>
        <v>4406790064.56313</v>
      </c>
      <c r="BC76" s="468" t="n">
        <f aca="false">IF($AW76="",BC75^2/BC74,INDEX(Z$5:Z$8,$AW76)^((INDEX($T$5:$T$8,$AW76+1)-($I76-DateToday+15))/(INDEX($T$5:$T$8,$AW76+1)-INDEX($T$5:$T$8,$AW76)))/INDEX(Z$5:Z$8,$AW76+1)^((INDEX($T$5:$T$8,$AW76)-($I76-DateToday+15))/(INDEX($T$5:$T$8,$AW76+1)-INDEX($T$5:$T$8,$AW76))))</f>
        <v>23034544811.0912</v>
      </c>
      <c r="BD76" s="535" t="n">
        <f aca="false">IF(OR(DateStart&gt;=I77,DateEnd&lt;I76),0,IF(VolumeOverrideFlag,V76,Volume))</f>
        <v>0</v>
      </c>
      <c r="BE76" s="536" t="n">
        <f aca="false">IF(OR(DateStart2&gt;=I77,DateEnd2&lt;I76),0,IF(VolumeOverrideFlag,V76,VolumeSwaption))</f>
        <v>0</v>
      </c>
      <c r="BF76" s="537" t="n">
        <f aca="false">YEAR(I76)</f>
        <v>2005</v>
      </c>
      <c r="BG76" s="538" t="n">
        <f aca="false">MONTH(I76)</f>
        <v>5</v>
      </c>
      <c r="BH76" s="539" t="n">
        <f aca="false">AD76-DateToday+1</f>
        <v>-7467</v>
      </c>
      <c r="BI76" s="540" t="n">
        <f aca="false">(I76-DateToday+1)/365.25</f>
        <v>-20.4024640657084</v>
      </c>
      <c r="BJ76" s="541" t="n">
        <f aca="false">BI76+(BL76-BI76)*CHOOSE(Underlying,AJ76/AI76,AM76/AL76)</f>
        <v>-20.3464625723353</v>
      </c>
      <c r="BK76" s="541" t="n">
        <f aca="false">BJ76+1/365.25</f>
        <v>-20.3437247215481</v>
      </c>
      <c r="BL76" s="541" t="n">
        <f aca="false">(I77-DateToday)/365.25</f>
        <v>-20.3203285420945</v>
      </c>
      <c r="BM76" s="542" t="e">
        <f aca="false">MAX(BI76-(BJ76-BI76)*(S77^2/O77^2-1),0)</f>
        <v>#DIV/0!</v>
      </c>
      <c r="BN76" s="541" t="e">
        <f aca="false">MAX(BL76+(BL76-BK76)*(S78^2/O78^2-1),0)</f>
        <v>#DIV/0!</v>
      </c>
      <c r="BO76" s="530" t="n">
        <f aca="false">CHOOSE(Underlying,AI76,AL76)</f>
        <v>22</v>
      </c>
      <c r="BP76" s="529" t="n">
        <f aca="false">CHOOSE(Underlying,AJ76,AM76)</f>
        <v>15</v>
      </c>
      <c r="BQ76" s="529" t="n">
        <f aca="false">CHOOSE(Underlying,AK76,AN76)</f>
        <v>7</v>
      </c>
      <c r="BR76" s="463" t="str">
        <f aca="false">IF(BD76,IF(Underlying=1,X76,Z76)+UnderlyingPriceAsian-SwapPriceCurve,"")</f>
        <v/>
      </c>
      <c r="BS76" s="463" t="str">
        <f aca="false">IF(BD76,Strike1/BR76-1,"")</f>
        <v/>
      </c>
      <c r="BT76" s="464" t="str">
        <f aca="false">IF(BD76,Strike2/BR76-1,"")</f>
        <v/>
      </c>
      <c r="BU76" s="465" t="str">
        <f aca="false">IF(BD76,IF(Underlying=1,L77,R77)+UnderlyingPriceAsian-SwapPriceCurve,"")</f>
        <v/>
      </c>
      <c r="BV76" s="465" t="str">
        <f aca="false">IF(BD76,IF(Underlying=1,L78,R78)+UnderlyingPriceAsian-SwapPriceCurve,"")</f>
        <v/>
      </c>
      <c r="BW76" s="466" t="str">
        <f aca="false">IF(BD76,IF(Underlying=1,O77,AT77),"")</f>
        <v/>
      </c>
      <c r="BX76" s="467" t="str">
        <f aca="false">IF(BD76,IF(Underlying=1,O78,AT78),"")</f>
        <v/>
      </c>
      <c r="BY76" s="466" t="str">
        <f aca="false">IF(BD76,IF(BS76&gt;0,IF(BS76&gt;0.2,BC76-BB76,IF(BS76&gt;0.1,BB76-BA76,BA76)),IF(BS76&lt;-0.2,AX76-AY76,IF(BS76&lt;-0.1,AY76-AZ76,AZ76))),"")</f>
        <v/>
      </c>
      <c r="BZ76" s="467" t="str">
        <f aca="false">IF(BD76,IF(BT76&gt;0,IF(BT76&gt;0.2,BC76-BB76,IF(BT76&gt;0.1,BB76-BA76,BA76)),IF(BT76&lt;-0.2,AX76-AY76,IF(BT76&lt;-0.1,AY76-AZ76,AZ76))),"")</f>
        <v/>
      </c>
      <c r="CA76" s="468" t="str">
        <f aca="false">IF($BD76,$BW76+IF(VolSkewFlag=1,IF(BS76&gt;0,$BA76*MIN(BS76/10%,1)+($BB76-$BA76)*MAX(0,MIN(BS76/10%-1,1))+($BC76-$BB76)*MAX(0,BS76/10%-2),$AZ76*MIN(-BS76/10%,1)+($AY76-$AZ76)*MAX(0,MIN(-BS76/10%-1,1))+($AX76-$AY76)*MAX(0,-BS76/10%-2)),0),"")</f>
        <v/>
      </c>
      <c r="CB76" s="468" t="str">
        <f aca="false">IF($BD76,$BX76+IF(VolSkewFlag=1,IF(BS76&gt;0,$BA76*MIN(BS76/10%,1)+($BB76-$BA76)*MAX(0,MIN(BS76/10%-1,1))+($BC76-$BB76)*MAX(0,BS76/10%-2),$AZ76*MIN(-BS76/10%,1)+($AY76-$AZ76)*MAX(0,MIN(-BS76/10%-1,1))+($AX76-$AY76)*MAX(0,-BS76/10%-2)),0),"")</f>
        <v/>
      </c>
      <c r="CC76" s="468" t="str">
        <f aca="false">IF($BD76,$BW76+IF(VolSkewFlag=1,IF(BT76&gt;0,$BA76*MIN(BT76/10%,1)+($BB76-$BA76)*MAX(0,MIN(BT76/10%-1,1))+($BC76-$BB76)*MAX(0,BT76/10%-2),$AZ76*MIN(-BT76/10%,1)+($AY76-$AZ76)*MAX(0,MIN(-BT76/10%-1,1))+($AX76-$AY76)*MAX(0,-BT76/10%-2)),0),"")</f>
        <v/>
      </c>
      <c r="CD76" s="468" t="str">
        <f aca="false">IF($BD76,$BX76+IF(VolSkewFlag=1,IF(BT76&gt;0,$BA76*MIN(BT76/10%,1)+($BB76-$BA76)*MAX(0,MIN(BT76/10%-1,1))+($BC76-$BB76)*MAX(0,BT76/10%-2),$AZ76*MIN(-BT76/10%,1)+($AY76-$AZ76)*MAX(0,MIN(-BT76/10%-1,1))+($AX76-$AY76)*MAX(0,-BT76/10%-2)),0),"")</f>
        <v/>
      </c>
      <c r="CE76" s="469" t="n">
        <v>1</v>
      </c>
      <c r="CF76" s="470" t="n">
        <f aca="false">IF(BD76,xCrudeAPO(BU76,BV76,CA76,CB76,S77,S78,BI76,BL76,BP76,BQ76,0,Strike1,AO76,CE76,0,BL76,IF(OptControl=4,0,1),0,1),0)</f>
        <v>0</v>
      </c>
      <c r="CG76" s="470" t="n">
        <f aca="false">IF(BD76,xCrudeAPO(BU76,BV76,CA76,CB76,S77,S78,BI76,BL76,BP76,BQ76,0,Strike1,AO76,CE76,0,BL76,IF(OptControl=4,0,1),1,1)+xCrudeAPO(BU76,BV76,CA76,CB76,S77,S78,BI76,BL76,BP76,BQ76,0,Strike1,AO76,CE76,0,BL76,IF(OptControl=4,0,1),1,2)+IF(OR(VolSkewFlag=2,ABS(BS76)&lt;0.0001),0,IF(BS76&gt;0,-1,1)*CH76*Strike1/BR76^2*BY76/10%),0)</f>
        <v>0</v>
      </c>
      <c r="CH76" s="470" t="n">
        <f aca="false">IF(BD76,(xCrudeAPO(BU76,BV76,CA76,CB76,S77,S78,BI76,BL76,BP76,BQ76,0,Strike1,AO76,CE76,0,BL76,IF(OptControl=4,0,1),3,1)+xCrudeAPO(BU76,BV76,CA76,CB76,S77,S78,BI76,BL76,BP76,BQ76,0,Strike1,AO76,CE76,0,BL76,IF(OptControl=4,0,1),3,2))/100,0)</f>
        <v>0</v>
      </c>
      <c r="CI76" s="470" t="n">
        <f aca="false">IF(BD76,xCrudeAPO(BU76,BV76,CA76,CB76,S77,S78,BI76-DaysForThetaCalculation/365.25,BL76-DaysForThetaCalculation/365.25,BP76,BQ76,0,Strike1,AO76,CE76,0,BL76,IF(OptControl=4,0,1),0,1)-xCrudeAPO(BU76,BV76,CA76,CB76,S77,S78,BI76,BL76,BP76,BQ76,0,Strike1,AO76,CE76,0,BL76,IF(OptControl=4,0,1),0,1),0)</f>
        <v>0</v>
      </c>
      <c r="CJ76" s="471" t="n">
        <f aca="false">IF(BD76,xCrudeAPO(BU76,BV76,CC76,CD76,S77,S78,BI76,BL76,BP76,BQ76,0,Strike2,AO76,CE76,0,BL76,IF(OptControl=3,1,0),0,1),0)</f>
        <v>0</v>
      </c>
      <c r="CK76" s="470" t="n">
        <f aca="false">IF(BD76,xCrudeAPO(BU76,BV76,CC76,CD76,S77,S78,BI76,BL76,BP76,BQ76,0,Strike2,AO76,CE76,0,BL76,IF(OptControl=3,1,0),1,1)+xCrudeAPO(BU76,BV76,CC76,CD76,S77,S78,BI76,BL76,BP76,BQ76,0,Strike2,AO76,CE76,0,BL76,IF(OptControl=3,1,0),1,2)+IF(OR(VolSkewFlag=2,ABS(BT76)&lt;0.0001),0,IF(BT76&gt;0,-1,1)*CL76*Strike2/BR76^2*BZ76/10%),0)</f>
        <v>0</v>
      </c>
      <c r="CL76" s="470" t="n">
        <f aca="false">IF(BD76,(xCrudeAPO(BU76,BV76,CC76,CD76,S77,S78,BI76,BL76,BP76,BQ76,0,Strike2,AO76,CE76,0,BL76,IF(OptControl=3,1,0),3,1)+xCrudeAPO(BU76,BV76,CC76,CD76,S77,S78,BI76,BL76,BP76,BQ76,0,Strike2,AO76,CE76,0,BL76,IF(OptControl=3,1,0),3,2))/100,0)</f>
        <v>0</v>
      </c>
      <c r="CM76" s="472" t="n">
        <f aca="false">IF(BD76,xCrudeAPO(BU76,BV76,CC76,CD76,S77,S78,BI76-DaysForThetaCalculation/365.25,BL76-DaysForThetaCalculation/365.25,BP76,BQ76,0,Strike2,AO76,CE76,0,BL76,IF(OptControl=3,1,0),0,1)-xCrudeAPO(BU76,BV76,CC76,CD76,S77,S78,BI76,BL76,BP76,BQ76,0,Strike2,AO76,CE76,0,BL76,IF(OptControl=3,1,0),0,1),0)</f>
        <v>0</v>
      </c>
      <c r="CN76" s="3"/>
      <c r="CO76" s="543" t="str">
        <f aca="false">IF(BD76,CHOOSE(Underlying,AD76,AF76)-DateToday+1,"")</f>
        <v/>
      </c>
      <c r="CP76" s="582" t="str">
        <f aca="false">IF(BD76,CHOOSE(Underlying,L76,R76),"")</f>
        <v/>
      </c>
      <c r="CQ76" s="544" t="str">
        <f aca="false">IF(BD76,Strike1/CP76-1,"")</f>
        <v/>
      </c>
      <c r="CR76" s="544" t="str">
        <f aca="false">IF(BD76,Strike2/CP76-1,"")</f>
        <v/>
      </c>
      <c r="CS76" s="544" t="str">
        <f aca="false">IF(BD76,IF(CQ76&gt;0,IF(CQ76&gt;0.2,BC75-BB75,IF(CQ76&gt;0.1,BB75-BA75,BA75)),IF(CQ76&lt;-0.2,AX75-AY75,IF(CQ76&lt;-0.1,AY75-AZ75,AZ75))),"")</f>
        <v/>
      </c>
      <c r="CT76" s="544" t="str">
        <f aca="false">IF(BD76,IF(CR76&gt;0,IF(CR76&gt;0.2,BC75-BB75,IF(CR76&gt;0.1,BB75-BA75,BA75)),IF(CR76&lt;-0.2,AX75-AY75,IF(CR76&lt;-0.1,AY75-AZ75,AZ75))),"")</f>
        <v/>
      </c>
      <c r="CU76" s="545" t="str">
        <f aca="false">IF(BD76,CHOOSE(Underlying,O76,AT76),"")</f>
        <v/>
      </c>
      <c r="CV76" s="545" t="str">
        <f aca="false">IF(BD76,CU76+IF(VolSkewFlag=1,IF(CQ76&gt;0,BA75*MIN(CQ76/10%,1)+(BB75-BA75)*MAX(0,MIN(CQ76/10%-1,1))+(BC75-BB75)*MAX(0,CQ76/10%-2),AZ75*MIN(-CQ76/10%,1)+(AY75-AZ75)*MAX(0,MIN(-CQ76/10%-1,1))+(AX75-AY75)*MAX(0,-CQ76/10%-2)),0),"")</f>
        <v/>
      </c>
      <c r="CW76" s="545" t="str">
        <f aca="false">IF(BD76,CU76+IF(VolSkewFlag=1,IF(CR76&gt;0,BA75*MIN(CR76/10%,1)+(BB75-BA75)*MAX(0,MIN(CR76/10%-1,1))+(BC75-BB75)*MAX(0,CR76/10%-2),AZ75*MIN(-CR76/10%,1)+(AY75-AZ75)*MAX(0,MIN(-CR76/10%-1,1))+(AX75-AY75)*MAX(0,-CR76/10%-2)),0),"")</f>
        <v/>
      </c>
      <c r="CX76" s="470" t="n">
        <f aca="false">IF(BD76,EURO(CP76,Strike1,AO76,AO76,CV76,CO76,IF(OptControl=4,0,1),0),0)</f>
        <v>0</v>
      </c>
      <c r="CY76" s="470" t="n">
        <f aca="false">IF(BD76,EURO(CP76,Strike1,AO76,AO76,CV76,CO76,IF(OptControl=4,0,1),1)+IF(OR(VolSkewFlag=2,ABS(CQ76)&lt;0.0001),0,IF(CQ76&gt;0,-1,1)*CZ76*100*Strike1/CP76^2*CS76/10%),0)</f>
        <v>0</v>
      </c>
      <c r="CZ76" s="470" t="n">
        <f aca="false">IF(BD76,EURO(CP76,Strike1,AO76,AO76,CV76,CO76,IF(OptControl=4,0,1),3)/100,0)</f>
        <v>0</v>
      </c>
      <c r="DA76" s="470" t="n">
        <f aca="false">IF(BD76,EURO(CP76,Strike1,AO76,AO76,CV76,CO76,IF(OptControl=4,0,1),0)-EURO(CP76,Strike1,AO76,AO76,CV76,CO76-1,IF(OptControl=4,0,1),0),0)</f>
        <v>0</v>
      </c>
      <c r="DB76" s="470" t="n">
        <f aca="false">IF(BD76,EURO(CP76,Strike2,AO76,AO76,CW76,CO76,IF(OptControl=3,1,0),0),0)</f>
        <v>0</v>
      </c>
      <c r="DC76" s="470" t="n">
        <f aca="false">IF(BD76,EURO(CP76,Strike2,AO76,AO76,CW76,CO76,IF(OptControl=3,1,0),1)+IF(OR(VolSkewFlag=2,ABS(CR76)&lt;0.0001),0,IF(CR76&gt;0,-1,1)*DD76*100*Strike2/CP76^2*CT76/10%),0)</f>
        <v>0</v>
      </c>
      <c r="DD76" s="470" t="n">
        <f aca="false">IF(BD76,EURO(CP76,Strike2,AO76,AO76,CW76,CO76,IF(OptControl=3,1,0),3)/100,0)</f>
        <v>0</v>
      </c>
      <c r="DE76" s="472" t="n">
        <f aca="false">IF(BD76,EURO(CP76,Strike2,AO76,AO76,CW76,CO76,IF(OptControl=3,1,0),0)-EURO(CP76,Strike2,AO76,AO76,CW76,CO76-1,IF(OptControl=3,1,0),0),0)</f>
        <v>0</v>
      </c>
      <c r="DG76" s="481" t="n">
        <f aca="false">EOMONTH(DG75,0)+1</f>
        <v>47392</v>
      </c>
      <c r="DH76" s="478" t="n">
        <v>18.37</v>
      </c>
      <c r="DI76" s="479" t="n">
        <v>18.3633333333333</v>
      </c>
      <c r="DJ76" s="480" t="n">
        <f aca="false">DG76</f>
        <v>47392</v>
      </c>
      <c r="DK76" s="478" t="n">
        <v>17.1003540304041</v>
      </c>
      <c r="DL76" s="479" t="n">
        <v>17.2187333333333</v>
      </c>
      <c r="DM76" s="481" t="n">
        <f aca="false">DG76</f>
        <v>47392</v>
      </c>
      <c r="DN76" s="482" t="n">
        <f aca="false">DK76+BrentPhyBrentSpread</f>
        <v>17.1503540304041</v>
      </c>
      <c r="DO76" s="481" t="n">
        <f aca="false">DG76</f>
        <v>47392</v>
      </c>
      <c r="DP76" s="483" t="n">
        <f aca="false">DL76+DQ76</f>
        <v>17.2187333333333</v>
      </c>
      <c r="DQ76" s="546" t="n">
        <v>0</v>
      </c>
      <c r="DR76" s="480" t="n">
        <f aca="false">DG76</f>
        <v>47392</v>
      </c>
      <c r="DS76" s="485" t="n">
        <v>0.197469367449856</v>
      </c>
      <c r="DT76" s="486" t="n">
        <v>0.197243020153453</v>
      </c>
      <c r="DU76" s="480" t="n">
        <f aca="false">DG76</f>
        <v>47392</v>
      </c>
      <c r="DV76" s="485" t="n">
        <v>0.197469367449856</v>
      </c>
      <c r="DW76" s="486" t="n">
        <v>0.197243020153453</v>
      </c>
      <c r="DX76" s="481" t="n">
        <f aca="false">DG76</f>
        <v>47392</v>
      </c>
      <c r="DY76" s="486" t="n">
        <v>0.35</v>
      </c>
      <c r="DZ76" s="481" t="n">
        <f aca="false">DR76</f>
        <v>47392</v>
      </c>
      <c r="EA76" s="486" t="n">
        <f aca="false">DT76</f>
        <v>0.197243020153453</v>
      </c>
      <c r="EB76" s="195"/>
      <c r="EC76" s="547" t="str">
        <f aca="false">IF(BD76,IF(Underlying=1,AS76,AU76),"")</f>
        <v/>
      </c>
      <c r="ED76" s="548" t="str">
        <f aca="false">IF($BD76,$EC76+IF(VolSkewFlag=1,IF(BS76&gt;0,$BA76*MIN(BS76/10%,1)+($BB76-$BA76)*MAX(0,MIN(BS76/10%-1,1))+($BC76-$BB76)*MAX(0,BS76/10%-2),$AZ76*MIN(-BS76/10%,1)+($AY76-$AZ76)*MAX(0,MIN(-BS76/10%-1,1))+($AX76-$AY76)*MAX(0,-BS76/10%-2)),0),"")</f>
        <v/>
      </c>
      <c r="EE76" s="549" t="str">
        <f aca="false">IF($BD76,$EC76+IF(VolSkewFlag=1,IF(BT76&gt;0,$BA76*MIN(BT76/10%,1)+($BB76-$BA76)*MAX(0,MIN(BT76/10%-1,1))+($BC76-$BB76)*MAX(0,BT76/10%-2),$AZ76*MIN(-BT76/10%,1)+($AY76-$AZ76)*MAX(0,MIN(-BT76/10%-1,1))+($AX76-$AY76)*MAX(0,-BT76/10%-2)),0),"")</f>
        <v/>
      </c>
      <c r="EF76" s="550" t="n">
        <f aca="false">IF(BD76,xASN(BR76,Strike1,AO76,ED76,0,BO76,0,BI76,BL76,IF(OptControl=4,0,1),0),0)</f>
        <v>0</v>
      </c>
      <c r="EG76" s="551" t="n">
        <f aca="false">IF(BD76,xASN(BR76,Strike2,AO76,EE76,0,BO76,0,BI76,BL76,IF(OptControl=3,1,0),0),0)</f>
        <v>0</v>
      </c>
      <c r="EL76" s="1"/>
      <c r="EM76" s="195"/>
      <c r="EN76" s="556" t="n">
        <v>42555</v>
      </c>
      <c r="EO76" s="557" t="n">
        <v>46753</v>
      </c>
      <c r="EP76" s="195"/>
      <c r="EQ76" s="407" t="s">
        <v>302</v>
      </c>
      <c r="ES76" s="587" t="n">
        <v>57</v>
      </c>
      <c r="ET76" s="559" t="n">
        <f aca="false">BH76/365.25</f>
        <v>-20.4435318275154</v>
      </c>
      <c r="EU76" s="560" t="n">
        <f aca="false">O76^2*ET76</f>
        <v>-0</v>
      </c>
      <c r="EV76" s="588" t="e">
        <f aca="false">SQRT(SUM(FK76:ID76)/ET76)</f>
        <v>#VALUE!</v>
      </c>
      <c r="EW76" s="589" t="str">
        <f aca="false">IF(OR(DateStart2&gt;I75,DateEnd2&lt;I74),"",IF(DateStart2&lt;I75,AK74/AI74*AP74*BE74*SwaptionNumOfMonths/$D$33,0)+IF(DateEnd2&gt;I74,AJ75/AI75*AP75*BE75*SwaptionNumOfMonths/$D$33,0))</f>
        <v/>
      </c>
      <c r="EX76" s="590" t="str">
        <f aca="false">IF(EW76="","",SQRT(SUM(FK381:ID381)/SwaptionYearsToExp))</f>
        <v/>
      </c>
      <c r="EY76" s="129" t="n">
        <v>0</v>
      </c>
      <c r="EZ76" s="591" t="str">
        <f aca="false">IF(OR(EW76="",EW77=""),"",SQRT(SUM(INDEX(FK76:ID76,SwaptionFirstMonthPosition+1):INDEX(FK76:ID76,FJ76))/SUM(INDEX($FK$15:$ID$15,SwaptionFirstMonthPosition+1):INDEX($FK$15:$ID$15,FJ76))))</f>
        <v/>
      </c>
      <c r="FA76" s="592" t="str">
        <f aca="false">IF(OR(EW76="",EW75=""),"",SQRT(SUM(INDEX(FK76:ID76,SwaptionFirstMonthPosition+1):INDEX(FK76:ID76,FJ76-1))/SUM(INDEX($FK$15:$ID$15,SwaptionFirstMonthPosition+1):INDEX($FK$15:$ID$15,FJ76-1))))</f>
        <v/>
      </c>
      <c r="FB76" s="593" t="str">
        <f aca="false">IF(BE76,2/3*EZ77+1/3*FA78,"")</f>
        <v/>
      </c>
      <c r="FC76" s="596" t="str">
        <f aca="false">IF(BE76,(I77+I76-1)/2-DateToday,"")</f>
        <v/>
      </c>
      <c r="FD76" s="483" t="str">
        <f aca="false">IF(BE76,CHOOSE(Underlying,X76,Z76)+SwaptionUnderlyingPrice-$D$26,"")</f>
        <v/>
      </c>
      <c r="FE76" s="483" t="str">
        <f aca="false">IF(BE76,CollartionFloor/FD76-1,"")</f>
        <v/>
      </c>
      <c r="FF76" s="483" t="str">
        <f aca="false">IF(BE76,CollartionCap/FD76-1,"")</f>
        <v/>
      </c>
      <c r="FG76" s="485" t="str">
        <f aca="false">IF(BE76,IF(VolSkewFlag=1,IF(FE76&gt;0,$BA76*MIN(FE76/10%,1)+($BB76-$BA76)*MAX(0,MIN(FE76/10%-1,1))+($BC76-$BB76)*MAX(0,FE76/10%-2),$AZ76*MIN(-FE76/10%,1)+($AY76-$AZ76)*MAX(0,MIN(-FE76/10%-1,1))+($AX76-$AY76)*MAX(0,-FE76/10%-2)),0),"")</f>
        <v/>
      </c>
      <c r="FH76" s="486" t="str">
        <f aca="false">IF(BE76,IF(VolSkewFlag=1,IF(FF76&gt;0,$BA76*MIN(FF76/10%,1)+($BB76-$BA76)*MAX(0,MIN(FF76/10%-1,1))+($BC76-$BB76)*MAX(0,FF76/10%-2),$AZ76*MIN(-FF76/10%,1)+($AY76-$AZ76)*MAX(0,MIN(-FF76/10%-1,1))+($AX76-$AY76)*MAX(0,-FF76/10%-2)),0),"")</f>
        <v/>
      </c>
      <c r="FI76" s="129"/>
      <c r="FJ76" s="571" t="n">
        <v>57</v>
      </c>
      <c r="FK76" s="150" t="n">
        <f aca="false">IF(FK$19&gt;$FJ76,"",MAX(0,IF(FK$19=$FJ76,$S76^2*FK$15,FK75*INDEX($T$20:$T$91,$FJ76-FK$19)^2/INDEX($U$20:$U$91,$FJ76-FK$19))))</f>
        <v>0</v>
      </c>
      <c r="FL76" s="150" t="n">
        <f aca="false">IF(FL$19&gt;$FJ76,"",MAX(0,IF(FL$19=$FJ76,$S76^2*FL$15,FL75*INDEX($T$20:$T$91,$FJ76-FL$19)^2/INDEX($U$20:$U$91,$FJ76-FL$19))))</f>
        <v>0</v>
      </c>
      <c r="FM76" s="150" t="n">
        <f aca="false">IF(FM$19&gt;$FJ76,"",MAX(0,IF(FM$19=$FJ76,$S76^2*FM$15,FM75*INDEX($T$20:$T$91,$FJ76-FM$19)^2/INDEX($U$20:$U$91,$FJ76-FM$19))))</f>
        <v>0.00254759926415076</v>
      </c>
      <c r="FN76" s="150" t="n">
        <f aca="false">IF(FN$19&gt;$FJ76,"",MAX(0,IF(FN$19=$FJ76,$S76^2*FN$15,FN75*INDEX($T$20:$T$91,$FJ76-FN$19)^2/INDEX($U$20:$U$91,$FJ76-FN$19))))</f>
        <v>0.00214435663585003</v>
      </c>
      <c r="FO76" s="150" t="n">
        <f aca="false">IF(FO$19&gt;$FJ76,"",MAX(0,IF(FO$19=$FJ76,$S76^2*FO$15,FO75*INDEX($T$20:$T$91,$FJ76-FO$19)^2/INDEX($U$20:$U$91,$FJ76-FO$19))))</f>
        <v>0.00223059284270197</v>
      </c>
      <c r="FP76" s="150" t="n">
        <f aca="false">IF(FP$19&gt;$FJ76,"",MAX(0,IF(FP$19=$FJ76,$S76^2*FP$15,FP75*INDEX($T$20:$T$91,$FJ76-FP$19)^2/INDEX($U$20:$U$91,$FJ76-FP$19))))</f>
        <v>0.00247191315275613</v>
      </c>
      <c r="FQ76" s="150" t="n">
        <f aca="false">IF(FQ$19&gt;$FJ76,"",MAX(0,IF(FQ$19=$FJ76,$S76^2*FQ$15,FQ75*INDEX($T$20:$T$91,$FJ76-FQ$19)^2/INDEX($U$20:$U$91,$FJ76-FQ$19))))</f>
        <v>0.00200144986905001</v>
      </c>
      <c r="FR76" s="150" t="n">
        <f aca="false">IF(FR$19&gt;$FJ76,"",MAX(0,IF(FR$19=$FJ76,$S76^2*FR$15,FR75*INDEX($T$20:$T$91,$FJ76-FR$19)^2/INDEX($U$20:$U$91,$FJ76-FR$19))))</f>
        <v>0.00204660237491705</v>
      </c>
      <c r="FS76" s="150" t="n">
        <f aca="false">IF(FS$19&gt;$FJ76,"",MAX(0,IF(FS$19=$FJ76,$S76^2*FS$15,FS75*INDEX($T$20:$T$91,$FJ76-FS$19)^2/INDEX($U$20:$U$91,$FJ76-FS$19))))</f>
        <v>0.00230664736730483</v>
      </c>
      <c r="FT76" s="150" t="n">
        <f aca="false">IF(FT$19&gt;$FJ76,"",MAX(0,IF(FT$19=$FJ76,$S76^2*FT$15,FT75*INDEX($T$20:$T$91,$FJ76-FT$19)^2/INDEX($U$20:$U$91,$FJ76-FT$19))))</f>
        <v>0.00208195364823028</v>
      </c>
      <c r="FU76" s="150" t="n">
        <f aca="false">IF(FU$19&gt;$FJ76,"",MAX(0,IF(FU$19=$FJ76,$S76^2*FU$15,FU75*INDEX($T$20:$T$91,$FJ76-FU$19)^2/INDEX($U$20:$U$91,$FJ76-FU$19))))</f>
        <v>0.00200183379577255</v>
      </c>
      <c r="FV76" s="150" t="n">
        <f aca="false">IF(FV$19&gt;$FJ76,"",MAX(0,IF(FV$19=$FJ76,$S76^2*FV$15,FV75*INDEX($T$20:$T$91,$FJ76-FV$19)^2/INDEX($U$20:$U$91,$FJ76-FV$19))))</f>
        <v>0.00220022051233348</v>
      </c>
      <c r="FW76" s="150" t="n">
        <f aca="false">IF(FW$19&gt;$FJ76,"",MAX(0,IF(FW$19=$FJ76,$S76^2*FW$15,FW75*INDEX($T$20:$T$91,$FJ76-FW$19)^2/INDEX($U$20:$U$91,$FJ76-FW$19))))</f>
        <v>0.00205676764703358</v>
      </c>
      <c r="FX76" s="150" t="n">
        <f aca="false">IF(FX$19&gt;$FJ76,"",MAX(0,IF(FX$19=$FJ76,$S76^2*FX$15,FX75*INDEX($T$20:$T$91,$FJ76-FX$19)^2/INDEX($U$20:$U$91,$FJ76-FX$19))))</f>
        <v>0.00218934875024718</v>
      </c>
      <c r="FY76" s="150" t="n">
        <f aca="false">IF(FY$19&gt;$FJ76,"",MAX(0,IF(FY$19=$FJ76,$S76^2*FY$15,FY75*INDEX($T$20:$T$91,$FJ76-FY$19)^2/INDEX($U$20:$U$91,$FJ76-FY$19))))</f>
        <v>0.00204955606250076</v>
      </c>
      <c r="FZ76" s="150" t="n">
        <f aca="false">IF(FZ$19&gt;$FJ76,"",MAX(0,IF(FZ$19=$FJ76,$S76^2*FZ$15,FZ75*INDEX($T$20:$T$91,$FJ76-FZ$19)^2/INDEX($U$20:$U$91,$FJ76-FZ$19))))</f>
        <v>0.00191109899145725</v>
      </c>
      <c r="GA76" s="150" t="n">
        <f aca="false">IF(GA$19&gt;$FJ76,"",MAX(0,IF(GA$19=$FJ76,$S76^2*GA$15,GA75*INDEX($T$20:$T$91,$FJ76-GA$19)^2/INDEX($U$20:$U$91,$FJ76-GA$19))))</f>
        <v>0.00204645697223232</v>
      </c>
      <c r="GB76" s="150" t="n">
        <f aca="false">IF(GB$19&gt;$FJ76,"",MAX(0,IF(GB$19=$FJ76,$S76^2*GB$15,GB75*INDEX($T$20:$T$91,$FJ76-GB$19)^2/INDEX($U$20:$U$91,$FJ76-GB$19))))</f>
        <v>0.00225055747969282</v>
      </c>
      <c r="GC76" s="150" t="n">
        <f aca="false">IF(GC$19&gt;$FJ76,"",MAX(0,IF(GC$19=$FJ76,$S76^2*GC$15,GC75*INDEX($T$20:$T$91,$FJ76-GC$19)^2/INDEX($U$20:$U$91,$FJ76-GC$19))))</f>
        <v>0.00197781733002778</v>
      </c>
      <c r="GD76" s="150" t="n">
        <f aca="false">IF(GD$19&gt;$FJ76,"",MAX(0,IF(GD$19=$FJ76,$S76^2*GD$15,GD75*INDEX($T$20:$T$91,$FJ76-GD$19)^2/INDEX($U$20:$U$91,$FJ76-GD$19))))</f>
        <v>0.00197834287195984</v>
      </c>
      <c r="GE76" s="150" t="n">
        <f aca="false">IF(GE$19&gt;$FJ76,"",MAX(0,IF(GE$19=$FJ76,$S76^2*GE$15,GE75*INDEX($T$20:$T$91,$FJ76-GE$19)^2/INDEX($U$20:$U$91,$FJ76-GE$19))))</f>
        <v>0.00225231171623377</v>
      </c>
      <c r="GF76" s="150" t="n">
        <f aca="false">IF(GF$19&gt;$FJ76,"",MAX(0,IF(GF$19=$FJ76,$S76^2*GF$15,GF75*INDEX($T$20:$T$91,$FJ76-GF$19)^2/INDEX($U$20:$U$91,$FJ76-GF$19))))</f>
        <v>0.00198068943097314</v>
      </c>
      <c r="GG76" s="150" t="n">
        <f aca="false">IF(GG$19&gt;$FJ76,"",MAX(0,IF(GG$19=$FJ76,$S76^2*GG$15,GG75*INDEX($T$20:$T$91,$FJ76-GG$19)^2/INDEX($U$20:$U$91,$FJ76-GG$19))))</f>
        <v>0.00218759307243693</v>
      </c>
      <c r="GH76" s="150" t="n">
        <f aca="false">IF(GH$19&gt;$FJ76,"",MAX(0,IF(GH$19=$FJ76,$S76^2*GH$15,GH75*INDEX($T$20:$T$91,$FJ76-GH$19)^2/INDEX($U$20:$U$91,$FJ76-GH$19))))</f>
        <v>0.00205322081685359</v>
      </c>
      <c r="GI76" s="150" t="n">
        <f aca="false">IF(GI$19&gt;$FJ76,"",MAX(0,IF(GI$19=$FJ76,$S76^2*GI$15,GI75*INDEX($T$20:$T$91,$FJ76-GI$19)^2/INDEX($U$20:$U$91,$FJ76-GI$19))))</f>
        <v>0.00198755344227839</v>
      </c>
      <c r="GJ76" s="150" t="n">
        <f aca="false">IF(GJ$19&gt;$FJ76,"",MAX(0,IF(GJ$19=$FJ76,$S76^2*GJ$15,GJ75*INDEX($T$20:$T$91,$FJ76-GJ$19)^2/INDEX($U$20:$U$91,$FJ76-GJ$19))))</f>
        <v>0.00226549006784656</v>
      </c>
      <c r="GK76" s="150" t="n">
        <f aca="false">IF(GK$19&gt;$FJ76,"",MAX(0,IF(GK$19=$FJ76,$S76^2*GK$15,GK75*INDEX($T$20:$T$91,$FJ76-GK$19)^2/INDEX($U$20:$U$91,$FJ76-GK$19))))</f>
        <v>0.00206363990549673</v>
      </c>
      <c r="GL76" s="150" t="n">
        <f aca="false">IF(GL$19&gt;$FJ76,"",MAX(0,IF(GL$19=$FJ76,$S76^2*GL$15,GL75*INDEX($T$20:$T$91,$FJ76-GL$19)^2/INDEX($U$20:$U$91,$FJ76-GL$19))))</f>
        <v>0.00199954894220567</v>
      </c>
      <c r="GM76" s="150" t="n">
        <f aca="false">IF(GM$19&gt;$FJ76,"",MAX(0,IF(GM$19=$FJ76,$S76^2*GM$15,GM75*INDEX($T$20:$T$91,$FJ76-GM$19)^2/INDEX($U$20:$U$91,$FJ76-GM$19))))</f>
        <v>0.00214337516130727</v>
      </c>
      <c r="GN76" s="150" t="n">
        <f aca="false">IF(GN$19&gt;$FJ76,"",MAX(0,IF(GN$19=$FJ76,$S76^2*GN$15,GN75*INDEX($T$20:$T$91,$FJ76-GN$19)^2/INDEX($U$20:$U$91,$FJ76-GN$19))))</f>
        <v>0.00215035731103091</v>
      </c>
      <c r="GO76" s="150" t="n">
        <f aca="false">IF(GO$19&gt;$FJ76,"",MAX(0,IF(GO$19=$FJ76,$S76^2*GO$15,GO75*INDEX($T$20:$T$91,$FJ76-GO$19)^2/INDEX($U$20:$U$91,$FJ76-GO$19))))</f>
        <v>0.00215857602997002</v>
      </c>
      <c r="GP76" s="150" t="n">
        <f aca="false">IF(GP$19&gt;$FJ76,"",MAX(0,IF(GP$19=$FJ76,$S76^2*GP$15,GP75*INDEX($T$20:$T$91,$FJ76-GP$19)^2/INDEX($U$20:$U$91,$FJ76-GP$19))))</f>
        <v>0.00195841722260652</v>
      </c>
      <c r="GQ76" s="150" t="n">
        <f aca="false">IF(GQ$19&gt;$FJ76,"",MAX(0,IF(GQ$19=$FJ76,$S76^2*GQ$15,GQ75*INDEX($T$20:$T$91,$FJ76-GQ$19)^2/INDEX($U$20:$U$91,$FJ76-GQ$19))))</f>
        <v>0.00217963091000627</v>
      </c>
      <c r="GR76" s="150" t="n">
        <f aca="false">IF(GR$19&gt;$FJ76,"",MAX(0,IF(GR$19=$FJ76,$S76^2*GR$15,GR75*INDEX($T$20:$T$91,$FJ76-GR$19)^2/INDEX($U$20:$U$91,$FJ76-GR$19))))</f>
        <v>0.00212229256691193</v>
      </c>
      <c r="GS76" s="150" t="n">
        <f aca="false">IF(GS$19&gt;$FJ76,"",MAX(0,IF(GS$19=$FJ76,$S76^2*GS$15,GS75*INDEX($T$20:$T$91,$FJ76-GS$19)^2/INDEX($U$20:$U$91,$FJ76-GS$19))))</f>
        <v>0.00220883351994034</v>
      </c>
      <c r="GT76" s="150" t="n">
        <f aca="false">IF(GT$19&gt;$FJ76,"",MAX(0,IF(GT$19=$FJ76,$S76^2*GT$15,GT75*INDEX($T$20:$T$91,$FJ76-GT$19)^2/INDEX($U$20:$U$91,$FJ76-GT$19))))</f>
        <v>0.00215561773252868</v>
      </c>
      <c r="GU76" s="150" t="n">
        <f aca="false">IF(GU$19&gt;$FJ76,"",MAX(0,IF(GU$19=$FJ76,$S76^2*GU$15,GU75*INDEX($T$20:$T$91,$FJ76-GU$19)^2/INDEX($U$20:$U$91,$FJ76-GU$19))))</f>
        <v>0.00224949005656265</v>
      </c>
      <c r="GV76" s="150" t="n">
        <f aca="false">IF(GV$19&gt;$FJ76,"",MAX(0,IF(GV$19=$FJ76,$S76^2*GV$15,GV75*INDEX($T$20:$T$91,$FJ76-GV$19)^2/INDEX($U$20:$U$91,$FJ76-GV$19))))</f>
        <v>0.00227554381500934</v>
      </c>
      <c r="GW76" s="150" t="n">
        <f aca="false">IF(GW$19&gt;$FJ76,"",MAX(0,IF(GW$19=$FJ76,$S76^2*GW$15,GW75*INDEX($T$20:$T$91,$FJ76-GW$19)^2/INDEX($U$20:$U$91,$FJ76-GW$19))))</f>
        <v>0.00223203090576401</v>
      </c>
      <c r="GX76" s="150" t="n">
        <f aca="false">IF(GX$19&gt;$FJ76,"",MAX(0,IF(GX$19=$FJ76,$S76^2*GX$15,GX75*INDEX($T$20:$T$91,$FJ76-GX$19)^2/INDEX($U$20:$U$91,$FJ76-GX$19))))</f>
        <v>0.0023431350061596</v>
      </c>
      <c r="GY76" s="150" t="n">
        <f aca="false">IF(GY$19&gt;$FJ76,"",MAX(0,IF(GY$19=$FJ76,$S76^2*GY$15,GY75*INDEX($T$20:$T$91,$FJ76-GY$19)^2/INDEX($U$20:$U$91,$FJ76-GY$19))))</f>
        <v>0.00230986939808846</v>
      </c>
      <c r="GZ76" s="150" t="n">
        <f aca="false">IF(GZ$19&gt;$FJ76,"",MAX(0,IF(GZ$19=$FJ76,$S76^2*GZ$15,GZ75*INDEX($T$20:$T$91,$FJ76-GZ$19)^2/INDEX($U$20:$U$91,$FJ76-GZ$19))))</f>
        <v>0.00243913228550816</v>
      </c>
      <c r="HA76" s="150" t="n">
        <f aca="false">IF(HA$19&gt;$FJ76,"",MAX(0,IF(HA$19=$FJ76,$S76^2*HA$15,HA75*INDEX($T$20:$T$91,$FJ76-HA$19)^2/INDEX($U$20:$U$91,$FJ76-HA$19))))</f>
        <v>0.00250183585323747</v>
      </c>
      <c r="HB76" s="150" t="n">
        <f aca="false">IF(HB$19&gt;$FJ76,"",MAX(0,IF(HB$19=$FJ76,$S76^2*HB$15,HB75*INDEX($T$20:$T$91,$FJ76-HB$19)^2/INDEX($U$20:$U$91,$FJ76-HB$19))))</f>
        <v>0.00241110552875829</v>
      </c>
      <c r="HC76" s="150" t="n">
        <f aca="false">IF(HC$19&gt;$FJ76,"",MAX(0,IF(HC$19=$FJ76,$S76^2*HC$15,HC75*INDEX($T$20:$T$91,$FJ76-HC$19)^2/INDEX($U$20:$U$91,$FJ76-HC$19))))</f>
        <v>0.0026688921961646</v>
      </c>
      <c r="HD76" s="150" t="n">
        <f aca="false">IF(HD$19&gt;$FJ76,"",MAX(0,IF(HD$19=$FJ76,$S76^2*HD$15,HD75*INDEX($T$20:$T$91,$FJ76-HD$19)^2/INDEX($U$20:$U$91,$FJ76-HD$19))))</f>
        <v>0.00269069520881777</v>
      </c>
      <c r="HE76" s="150" t="n">
        <f aca="false">IF(HE$19&gt;$FJ76,"",MAX(0,IF(HE$19=$FJ76,$S76^2*HE$15,HE75*INDEX($T$20:$T$91,$FJ76-HE$19)^2/INDEX($U$20:$U$91,$FJ76-HE$19))))</f>
        <v>0.00291720314190244</v>
      </c>
      <c r="HF76" s="150" t="n">
        <f aca="false">IF(HF$19&gt;$FJ76,"",MAX(0,IF(HF$19=$FJ76,$S76^2*HF$15,HF75*INDEX($T$20:$T$91,$FJ76-HF$19)^2/INDEX($U$20:$U$91,$FJ76-HF$19))))</f>
        <v>0.0029869469379183</v>
      </c>
      <c r="HG76" s="150" t="n">
        <f aca="false">IF(HG$19&gt;$FJ76,"",MAX(0,IF(HG$19=$FJ76,$S76^2*HG$15,HG75*INDEX($T$20:$T$91,$FJ76-HG$19)^2/INDEX($U$20:$U$91,$FJ76-HG$19))))</f>
        <v>0.00329810937590307</v>
      </c>
      <c r="HH76" s="150" t="n">
        <f aca="false">IF(HH$19&gt;$FJ76,"",MAX(0,IF(HH$19=$FJ76,$S76^2*HH$15,HH75*INDEX($T$20:$T$91,$FJ76-HH$19)^2/INDEX($U$20:$U$91,$FJ76-HH$19))))</f>
        <v>0.00356566908287375</v>
      </c>
      <c r="HI76" s="150" t="n">
        <f aca="false">IF(HI$19&gt;$FJ76,"",MAX(0,IF(HI$19=$FJ76,$S76^2*HI$15,HI75*INDEX($T$20:$T$91,$FJ76-HI$19)^2/INDEX($U$20:$U$91,$FJ76-HI$19))))</f>
        <v>0.00378262361417666</v>
      </c>
      <c r="HJ76" s="150" t="n">
        <f aca="false">IF(HJ$19&gt;$FJ76,"",MAX(0,IF(HJ$19=$FJ76,$S76^2*HJ$15,HJ75*INDEX($T$20:$T$91,$FJ76-HJ$19)^2/INDEX($U$20:$U$91,$FJ76-HJ$19))))</f>
        <v>0.00435582489367379</v>
      </c>
      <c r="HK76" s="150" t="n">
        <f aca="false">IF(HK$19&gt;$FJ76,"",MAX(0,IF(HK$19=$FJ76,$S76^2*HK$15,HK75*INDEX($T$20:$T$91,$FJ76-HK$19)^2/INDEX($U$20:$U$91,$FJ76-HK$19))))</f>
        <v>0.00479043149231154</v>
      </c>
      <c r="HL76" s="150" t="n">
        <f aca="false">IF(HL$19&gt;$FJ76,"",MAX(0,IF(HL$19=$FJ76,$S76^2*HL$15,HL75*INDEX($T$20:$T$91,$FJ76-HL$19)^2/INDEX($U$20:$U$91,$FJ76-HL$19))))</f>
        <v>0.00575872817480804</v>
      </c>
      <c r="HM76" s="150" t="n">
        <f aca="false">IF(HM$19&gt;$FJ76,"",MAX(0,IF(HM$19=$FJ76,$S76^2*HM$15,HM75*INDEX($T$20:$T$91,$FJ76-HM$19)^2/INDEX($U$20:$U$91,$FJ76-HM$19))))</f>
        <v>0.00689031704839824</v>
      </c>
      <c r="HN76" s="150" t="n">
        <f aca="false">IF(HN$19&gt;$FJ76,"",MAX(0,IF(HN$19=$FJ76,$S76^2*HN$15,HN75*INDEX($T$20:$T$91,$FJ76-HN$19)^2/INDEX($U$20:$U$91,$FJ76-HN$19))))</f>
        <v>0.00770313436364297</v>
      </c>
      <c r="HO76" s="150" t="n">
        <f aca="false">IF(HO$19&gt;$FJ76,"",MAX(0,IF(HO$19=$FJ76,$S76^2*HO$15,HO75*INDEX($T$20:$T$91,$FJ76-HO$19)^2/INDEX($U$20:$U$91,$FJ76-HO$19))))</f>
        <v>0.0109995896508805</v>
      </c>
      <c r="HP76" s="150" t="str">
        <f aca="false">IF(HP$19&gt;$FJ76,"",MAX(0,IF(HP$19=$FJ76,$S76^2*HP$15,HP75*INDEX($T$20:$T$91,$FJ76-HP$19)^2/INDEX($U$20:$U$91,$FJ76-HP$19))))</f>
        <v/>
      </c>
      <c r="HQ76" s="150" t="str">
        <f aca="false">IF(HQ$19&gt;$FJ76,"",MAX(0,IF(HQ$19=$FJ76,$S76^2*HQ$15,HQ75*INDEX($T$20:$T$91,$FJ76-HQ$19)^2/INDEX($U$20:$U$91,$FJ76-HQ$19))))</f>
        <v/>
      </c>
      <c r="HR76" s="150" t="str">
        <f aca="false">IF(HR$19&gt;$FJ76,"",MAX(0,IF(HR$19=$FJ76,$S76^2*HR$15,HR75*INDEX($T$20:$T$91,$FJ76-HR$19)^2/INDEX($U$20:$U$91,$FJ76-HR$19))))</f>
        <v/>
      </c>
      <c r="HS76" s="150" t="str">
        <f aca="false">IF(HS$19&gt;$FJ76,"",MAX(0,IF(HS$19=$FJ76,$S76^2*HS$15,HS75*INDEX($T$20:$T$91,$FJ76-HS$19)^2/INDEX($U$20:$U$91,$FJ76-HS$19))))</f>
        <v/>
      </c>
      <c r="HT76" s="150" t="str">
        <f aca="false">IF(HT$19&gt;$FJ76,"",MAX(0,IF(HT$19=$FJ76,$S76^2*HT$15,HT75*INDEX($T$20:$T$91,$FJ76-HT$19)^2/INDEX($U$20:$U$91,$FJ76-HT$19))))</f>
        <v/>
      </c>
      <c r="HU76" s="150" t="str">
        <f aca="false">IF(HU$19&gt;$FJ76,"",MAX(0,IF(HU$19=$FJ76,$S76^2*HU$15,HU75*INDEX($T$20:$T$91,$FJ76-HU$19)^2/INDEX($U$20:$U$91,$FJ76-HU$19))))</f>
        <v/>
      </c>
      <c r="HV76" s="150" t="str">
        <f aca="false">IF(HV$19&gt;$FJ76,"",MAX(0,IF(HV$19=$FJ76,$S76^2*HV$15,HV75*INDEX($T$20:$T$91,$FJ76-HV$19)^2/INDEX($U$20:$U$91,$FJ76-HV$19))))</f>
        <v/>
      </c>
      <c r="HW76" s="150" t="str">
        <f aca="false">IF(HW$19&gt;$FJ76,"",MAX(0,IF(HW$19=$FJ76,$S76^2*HW$15,HW75*INDEX($T$20:$T$91,$FJ76-HW$19)^2/INDEX($U$20:$U$91,$FJ76-HW$19))))</f>
        <v/>
      </c>
      <c r="HX76" s="150" t="str">
        <f aca="false">IF(HX$19&gt;$FJ76,"",MAX(0,IF(HX$19=$FJ76,$S76^2*HX$15,HX75*INDEX($T$20:$T$91,$FJ76-HX$19)^2/INDEX($U$20:$U$91,$FJ76-HX$19))))</f>
        <v/>
      </c>
      <c r="HY76" s="150" t="str">
        <f aca="false">IF(HY$19&gt;$FJ76,"",MAX(0,IF(HY$19=$FJ76,$S76^2*HY$15,HY75*INDEX($T$20:$T$91,$FJ76-HY$19)^2/INDEX($U$20:$U$91,$FJ76-HY$19))))</f>
        <v/>
      </c>
      <c r="HZ76" s="150" t="str">
        <f aca="false">IF(HZ$19&gt;$FJ76,"",MAX(0,IF(HZ$19=$FJ76,$S76^2*HZ$15,HZ75*INDEX($T$20:$T$91,$FJ76-HZ$19)^2/INDEX($U$20:$U$91,$FJ76-HZ$19))))</f>
        <v/>
      </c>
      <c r="IA76" s="150" t="str">
        <f aca="false">IF(IA$19&gt;$FJ76,"",MAX(0,IF(IA$19=$FJ76,$S76^2*IA$15,IA75*INDEX($T$20:$T$91,$FJ76-IA$19)^2/INDEX($U$20:$U$91,$FJ76-IA$19))))</f>
        <v/>
      </c>
      <c r="IB76" s="150" t="str">
        <f aca="false">IF(IB$19&gt;$FJ76,"",MAX(0,IF(IB$19=$FJ76,$S76^2*IB$15,IB75*INDEX($T$20:$T$91,$FJ76-IB$19)^2/INDEX($U$20:$U$91,$FJ76-IB$19))))</f>
        <v/>
      </c>
      <c r="IC76" s="150" t="str">
        <f aca="false">IF(IC$19&gt;$FJ76,"",MAX(0,IF(IC$19=$FJ76,$S76^2*IC$15,IC75*INDEX($T$20:$T$91,$FJ76-IC$19)^2/INDEX($U$20:$U$91,$FJ76-IC$19))))</f>
        <v/>
      </c>
      <c r="ID76" s="572" t="str">
        <f aca="false">IF(ID$19&gt;$FJ76,"",MAX(0,IF(ID$19=$FJ76,$S76^2*ID$15,ID75*INDEX($T$20:$T$91,$FJ76-ID$19)^2/INDEX($U$20:$U$91,$FJ76-ID$19))))</f>
        <v/>
      </c>
      <c r="IE76" s="129"/>
    </row>
    <row r="77" customFormat="false" ht="12.75" hidden="false" customHeight="false" outlineLevel="0" collapsed="false">
      <c r="H77" s="219" t="n">
        <f aca="false">VLOOKUP(I77,$EJ$20:$EL$54,3)</f>
        <v>0</v>
      </c>
      <c r="I77" s="511" t="n">
        <f aca="false">EOMONTH(I76,0)+1</f>
        <v>38504</v>
      </c>
      <c r="J77" s="512"/>
      <c r="K77" s="513" t="s">
        <v>250</v>
      </c>
      <c r="L77" s="514" t="e">
        <f aca="false">IF(ISNUMBER(K77),J77+K77/100,IF(K77="extra",L76+VLOOKUP(BF77,PriceSpreadTable,2)/12,IF(K77="inter",interpolateprices($K$19:$L$200,ROW(K77)-ROW(FirstPricingMonth)+1),interpolatechanges($J$19:$K$200,ROW(K77)-ROW(FirstPricingMonth)+1))))</f>
        <v>#VALUE!</v>
      </c>
      <c r="M77" s="515"/>
      <c r="N77" s="516" t="n">
        <v>0</v>
      </c>
      <c r="O77" s="515" t="n">
        <f aca="false">M77+N77</f>
        <v>0</v>
      </c>
      <c r="P77" s="512"/>
      <c r="Q77" s="513" t="s">
        <v>280</v>
      </c>
      <c r="R77" s="512" t="e">
        <f aca="false">IF(ISNUMBER(Q77),P77+Q77/100,IF(Q77="extra",(Z75*AL75-R76*AM75)/AN75,IF(Q77="inter",interpolateprices($Q$19:$R$260,ROW(Q77)-ROW(FirstPricingMonth)+1),interpolatechanges($P$19:$Q$260,ROW(Q77)-ROW(FirstPricingMonth)+1))))</f>
        <v>#VALUE!</v>
      </c>
      <c r="S77" s="597" t="n">
        <f aca="false">S$19+(S76-S$19)*S$18</f>
        <v>0.360000004031724</v>
      </c>
      <c r="T77" s="575" t="n">
        <f aca="false">SQRT((1-(1-T76^2/U76)*T$18)*U77)</f>
        <v>0.99998512093655</v>
      </c>
      <c r="U77" s="576" t="n">
        <f aca="false">1-(1-U76)*U$18</f>
        <v>0.999999998866078</v>
      </c>
      <c r="V77" s="521" t="n">
        <v>0</v>
      </c>
      <c r="W77" s="577" t="n">
        <f aca="false">(J78*AJ77+J79*AK77)/AI77</f>
        <v>0</v>
      </c>
      <c r="X77" s="578" t="e">
        <f aca="false">(L78*AJ77+L79*AK77)/AI77</f>
        <v>#VALUE!</v>
      </c>
      <c r="Y77" s="579" t="n">
        <f aca="false">IF(Q79="extra",W77-AA77,(P78*AM77+P79*AN77)/AL77)</f>
        <v>-1.239</v>
      </c>
      <c r="Z77" s="579" t="e">
        <f aca="false">IF(Q79="extra",X77-AB77,(R78*AM77+R79*AN77)/AL77)</f>
        <v>#VALUE!</v>
      </c>
      <c r="AA77" s="523" t="n">
        <f aca="false">IF(Q79="extra",INDEX(BrentSeasonalityTable,INT((BG77-1)/3)+1)*VLOOKUP(MAX(BF77,$AB$4),PriceSpreadTable,3),W77-Y77)</f>
        <v>1.239</v>
      </c>
      <c r="AB77" s="524" t="n">
        <f aca="false">IF(Q79="extra",INDEX(BrentSeasonalityTable,INT((BG77-1)/3)+1)*VLOOKUP(MAX(BF77,$AB$4),PriceSpreadTable,3),X77-Z77)</f>
        <v>1.239</v>
      </c>
      <c r="AC77" s="646" t="n">
        <v>38492</v>
      </c>
      <c r="AD77" s="646" t="n">
        <v>38488</v>
      </c>
      <c r="AE77" s="646" t="n">
        <v>38487</v>
      </c>
      <c r="AF77" s="646" t="n">
        <v>38483</v>
      </c>
      <c r="AG77" s="438" t="s">
        <v>247</v>
      </c>
      <c r="AH77" s="439" t="s">
        <v>278</v>
      </c>
      <c r="AI77" s="528" t="n">
        <v>22</v>
      </c>
      <c r="AJ77" s="529" t="n">
        <v>14</v>
      </c>
      <c r="AK77" s="529" t="n">
        <v>8</v>
      </c>
      <c r="AL77" s="530" t="n">
        <v>22</v>
      </c>
      <c r="AM77" s="529" t="n">
        <v>10</v>
      </c>
      <c r="AN77" s="531" t="n">
        <v>12</v>
      </c>
      <c r="AO77" s="532"/>
      <c r="AP77" s="465" t="n">
        <f aca="false">(1+AO77/2)^(-2*BL77)</f>
        <v>1</v>
      </c>
      <c r="AQ77" s="532"/>
      <c r="AR77" s="465" t="n">
        <f aca="false">(1+AQ77/2)^(-2*BH77/365.25)</f>
        <v>1</v>
      </c>
      <c r="AS77" s="580" t="n">
        <f aca="false">(O78*AJ77+O79*AK77)/AI77</f>
        <v>0</v>
      </c>
      <c r="AT77" s="468" t="n">
        <f aca="false">O77*VLOOKUP(BF77,BrentVolTable,2)+VLOOKUP(BF77,BrentVolTable,3)</f>
        <v>0</v>
      </c>
      <c r="AU77" s="468" t="n">
        <f aca="false">(AT78*AM77+AT79*AN77)/AL77</f>
        <v>0</v>
      </c>
      <c r="AV77" s="595" t="n">
        <f aca="false">SQRT(MAX(0.000000000001,(O77^2*BH77-S77^2*(BH77-BH76))/BH76))</f>
        <v>0.0228186557939162</v>
      </c>
      <c r="AW77" s="451" t="n">
        <f aca="false">IF($I77-DateToday+15&gt;=$T$8,"",IF($I77-DateToday+15&lt;$T$5,1,MATCH($I77-DateToday+15,$T$5:$T$8)))</f>
        <v>1</v>
      </c>
      <c r="AX77" s="468" t="n">
        <f aca="false">IF($AW77="",AX76^2/AX75,INDEX(U$5:U$8,$AW77)^((INDEX($T$5:$T$8,$AW77+1)-($I77-DateToday+15))/(INDEX($T$5:$T$8,$AW77+1)-INDEX($T$5:$T$8,$AW77)))/INDEX(U$5:U$8,$AW77+1)^((INDEX($T$5:$T$8,$AW77)-($I77-DateToday+15))/(INDEX($T$5:$T$8,$AW77+1)-INDEX($T$5:$T$8,$AW77))))</f>
        <v>3.71267024711779</v>
      </c>
      <c r="AY77" s="468" t="n">
        <f aca="false">IF($AW77="",AY76^2/AY75,INDEX(V$5:V$8,$AW77)^((INDEX($T$5:$T$8,$AW77+1)-($I77-DateToday+15))/(INDEX($T$5:$T$8,$AW77+1)-INDEX($T$5:$T$8,$AW77)))/INDEX(V$5:V$8,$AW77+1)^((INDEX($T$5:$T$8,$AW77)-($I77-DateToday+15))/(INDEX($T$5:$T$8,$AW77+1)-INDEX($T$5:$T$8,$AW77))))</f>
        <v>473.23549930908</v>
      </c>
      <c r="AZ77" s="468" t="n">
        <f aca="false">IF($AW77="",AZ76^2/AZ75,INDEX(W$5:W$8,$AW77)^((INDEX($T$5:$T$8,$AW77+1)-($I77-DateToday+15))/(INDEX($T$5:$T$8,$AW77+1)-INDEX($T$5:$T$8,$AW77)))/INDEX(W$5:W$8,$AW77+1)^((INDEX($T$5:$T$8,$AW77)-($I77-DateToday+15))/(INDEX($T$5:$T$8,$AW77+1)-INDEX($T$5:$T$8,$AW77))))</f>
        <v>6453359.66081909</v>
      </c>
      <c r="BA77" s="468" t="n">
        <f aca="false">IF($AW77="",BA76^2/BA75,INDEX(X$5:X$8,$AW77)^((INDEX($T$5:$T$8,$AW77+1)-($I77-DateToday+15))/(INDEX($T$5:$T$8,$AW77+1)-INDEX($T$5:$T$8,$AW77)))/INDEX(X$5:X$8,$AW77+1)^((INDEX($T$5:$T$8,$AW77)-($I77-DateToday+15))/(INDEX($T$5:$T$8,$AW77+1)-INDEX($T$5:$T$8,$AW77))))</f>
        <v>249574962.569511</v>
      </c>
      <c r="BB77" s="468" t="n">
        <f aca="false">IF($AW77="",BB76^2/BB75,INDEX(Y$5:Y$8,$AW77)^((INDEX($T$5:$T$8,$AW77+1)-($I77-DateToday+15))/(INDEX($T$5:$T$8,$AW77+1)-INDEX($T$5:$T$8,$AW77)))/INDEX(Y$5:Y$8,$AW77+1)^((INDEX($T$5:$T$8,$AW77)-($I77-DateToday+15))/(INDEX($T$5:$T$8,$AW77+1)-INDEX($T$5:$T$8,$AW77))))</f>
        <v>3925495629.93525</v>
      </c>
      <c r="BC77" s="468" t="n">
        <f aca="false">IF($AW77="",BC76^2/BC75,INDEX(Z$5:Z$8,$AW77)^((INDEX($T$5:$T$8,$AW77+1)-($I77-DateToday+15))/(INDEX($T$5:$T$8,$AW77+1)-INDEX($T$5:$T$8,$AW77)))/INDEX(Z$5:Z$8,$AW77+1)^((INDEX($T$5:$T$8,$AW77)-($I77-DateToday+15))/(INDEX($T$5:$T$8,$AW77+1)-INDEX($T$5:$T$8,$AW77))))</f>
        <v>20399678209.768</v>
      </c>
      <c r="BD77" s="535" t="n">
        <f aca="false">IF(OR(DateStart&gt;=I78,DateEnd&lt;I77),0,IF(VolumeOverrideFlag,V77,Volume))</f>
        <v>0</v>
      </c>
      <c r="BE77" s="536" t="n">
        <f aca="false">IF(OR(DateStart2&gt;=I78,DateEnd2&lt;I77),0,IF(VolumeOverrideFlag,V77,VolumeSwaption))</f>
        <v>0</v>
      </c>
      <c r="BF77" s="537" t="n">
        <f aca="false">YEAR(I77)</f>
        <v>2005</v>
      </c>
      <c r="BG77" s="538" t="n">
        <f aca="false">MONTH(I77)</f>
        <v>6</v>
      </c>
      <c r="BH77" s="539" t="n">
        <f aca="false">AD77-DateToday+1</f>
        <v>-7437</v>
      </c>
      <c r="BI77" s="540" t="n">
        <f aca="false">(I77-DateToday+1)/365.25</f>
        <v>-20.3175906913073</v>
      </c>
      <c r="BJ77" s="541" t="n">
        <f aca="false">BI77+(BL77-BI77)*CHOOSE(Underlying,AJ77/AI77,AM77/AL77)</f>
        <v>-20.2670648995084</v>
      </c>
      <c r="BK77" s="541" t="n">
        <f aca="false">BJ77+1/365.25</f>
        <v>-20.2643270487213</v>
      </c>
      <c r="BL77" s="541" t="n">
        <f aca="false">(I78-DateToday)/365.25</f>
        <v>-20.2381930184805</v>
      </c>
      <c r="BM77" s="542" t="e">
        <f aca="false">MAX(BI77-(BJ77-BI77)*(S78^2/O78^2-1),0)</f>
        <v>#DIV/0!</v>
      </c>
      <c r="BN77" s="541" t="e">
        <f aca="false">MAX(BL77+(BL77-BK77)*(S79^2/O79^2-1),0)</f>
        <v>#DIV/0!</v>
      </c>
      <c r="BO77" s="530" t="n">
        <f aca="false">CHOOSE(Underlying,AI77,AL77)</f>
        <v>22</v>
      </c>
      <c r="BP77" s="529" t="n">
        <f aca="false">CHOOSE(Underlying,AJ77,AM77)</f>
        <v>14</v>
      </c>
      <c r="BQ77" s="529" t="n">
        <f aca="false">CHOOSE(Underlying,AK77,AN77)</f>
        <v>8</v>
      </c>
      <c r="BR77" s="463" t="str">
        <f aca="false">IF(BD77,IF(Underlying=1,X77,Z77)+UnderlyingPriceAsian-SwapPriceCurve,"")</f>
        <v/>
      </c>
      <c r="BS77" s="463" t="str">
        <f aca="false">IF(BD77,Strike1/BR77-1,"")</f>
        <v/>
      </c>
      <c r="BT77" s="464" t="str">
        <f aca="false">IF(BD77,Strike2/BR77-1,"")</f>
        <v/>
      </c>
      <c r="BU77" s="465" t="str">
        <f aca="false">IF(BD77,IF(Underlying=1,L78,R78)+UnderlyingPriceAsian-SwapPriceCurve,"")</f>
        <v/>
      </c>
      <c r="BV77" s="465" t="str">
        <f aca="false">IF(BD77,IF(Underlying=1,L79,R79)+UnderlyingPriceAsian-SwapPriceCurve,"")</f>
        <v/>
      </c>
      <c r="BW77" s="466" t="str">
        <f aca="false">IF(BD77,IF(Underlying=1,O78,AT78),"")</f>
        <v/>
      </c>
      <c r="BX77" s="467" t="str">
        <f aca="false">IF(BD77,IF(Underlying=1,O79,AT79),"")</f>
        <v/>
      </c>
      <c r="BY77" s="466" t="str">
        <f aca="false">IF(BD77,IF(BS77&gt;0,IF(BS77&gt;0.2,BC77-BB77,IF(BS77&gt;0.1,BB77-BA77,BA77)),IF(BS77&lt;-0.2,AX77-AY77,IF(BS77&lt;-0.1,AY77-AZ77,AZ77))),"")</f>
        <v/>
      </c>
      <c r="BZ77" s="467" t="str">
        <f aca="false">IF(BD77,IF(BT77&gt;0,IF(BT77&gt;0.2,BC77-BB77,IF(BT77&gt;0.1,BB77-BA77,BA77)),IF(BT77&lt;-0.2,AX77-AY77,IF(BT77&lt;-0.1,AY77-AZ77,AZ77))),"")</f>
        <v/>
      </c>
      <c r="CA77" s="468" t="str">
        <f aca="false">IF($BD77,$BW77+IF(VolSkewFlag=1,IF(BS77&gt;0,$BA77*MIN(BS77/10%,1)+($BB77-$BA77)*MAX(0,MIN(BS77/10%-1,1))+($BC77-$BB77)*MAX(0,BS77/10%-2),$AZ77*MIN(-BS77/10%,1)+($AY77-$AZ77)*MAX(0,MIN(-BS77/10%-1,1))+($AX77-$AY77)*MAX(0,-BS77/10%-2)),0),"")</f>
        <v/>
      </c>
      <c r="CB77" s="468" t="str">
        <f aca="false">IF($BD77,$BX77+IF(VolSkewFlag=1,IF(BS77&gt;0,$BA77*MIN(BS77/10%,1)+($BB77-$BA77)*MAX(0,MIN(BS77/10%-1,1))+($BC77-$BB77)*MAX(0,BS77/10%-2),$AZ77*MIN(-BS77/10%,1)+($AY77-$AZ77)*MAX(0,MIN(-BS77/10%-1,1))+($AX77-$AY77)*MAX(0,-BS77/10%-2)),0),"")</f>
        <v/>
      </c>
      <c r="CC77" s="468" t="str">
        <f aca="false">IF($BD77,$BW77+IF(VolSkewFlag=1,IF(BT77&gt;0,$BA77*MIN(BT77/10%,1)+($BB77-$BA77)*MAX(0,MIN(BT77/10%-1,1))+($BC77-$BB77)*MAX(0,BT77/10%-2),$AZ77*MIN(-BT77/10%,1)+($AY77-$AZ77)*MAX(0,MIN(-BT77/10%-1,1))+($AX77-$AY77)*MAX(0,-BT77/10%-2)),0),"")</f>
        <v/>
      </c>
      <c r="CD77" s="468" t="str">
        <f aca="false">IF($BD77,$BX77+IF(VolSkewFlag=1,IF(BT77&gt;0,$BA77*MIN(BT77/10%,1)+($BB77-$BA77)*MAX(0,MIN(BT77/10%-1,1))+($BC77-$BB77)*MAX(0,BT77/10%-2),$AZ77*MIN(-BT77/10%,1)+($AY77-$AZ77)*MAX(0,MIN(-BT77/10%-1,1))+($AX77-$AY77)*MAX(0,-BT77/10%-2)),0),"")</f>
        <v/>
      </c>
      <c r="CE77" s="469" t="n">
        <v>1</v>
      </c>
      <c r="CF77" s="470" t="n">
        <f aca="false">IF(BD77,xCrudeAPO(BU77,BV77,CA77,CB77,S78,S79,BI77,BL77,BP77,BQ77,0,Strike1,AO77,CE77,0,BL77,IF(OptControl=4,0,1),0,1),0)</f>
        <v>0</v>
      </c>
      <c r="CG77" s="470" t="n">
        <f aca="false">IF(BD77,xCrudeAPO(BU77,BV77,CA77,CB77,S78,S79,BI77,BL77,BP77,BQ77,0,Strike1,AO77,CE77,0,BL77,IF(OptControl=4,0,1),1,1)+xCrudeAPO(BU77,BV77,CA77,CB77,S78,S79,BI77,BL77,BP77,BQ77,0,Strike1,AO77,CE77,0,BL77,IF(OptControl=4,0,1),1,2)+IF(OR(VolSkewFlag=2,ABS(BS77)&lt;0.0001),0,IF(BS77&gt;0,-1,1)*CH77*Strike1/BR77^2*BY77/10%),0)</f>
        <v>0</v>
      </c>
      <c r="CH77" s="470" t="n">
        <f aca="false">IF(BD77,(xCrudeAPO(BU77,BV77,CA77,CB77,S78,S79,BI77,BL77,BP77,BQ77,0,Strike1,AO77,CE77,0,BL77,IF(OptControl=4,0,1),3,1)+xCrudeAPO(BU77,BV77,CA77,CB77,S78,S79,BI77,BL77,BP77,BQ77,0,Strike1,AO77,CE77,0,BL77,IF(OptControl=4,0,1),3,2))/100,0)</f>
        <v>0</v>
      </c>
      <c r="CI77" s="470" t="n">
        <f aca="false">IF(BD77,xCrudeAPO(BU77,BV77,CA77,CB77,S78,S79,BI77-DaysForThetaCalculation/365.25,BL77-DaysForThetaCalculation/365.25,BP77,BQ77,0,Strike1,AO77,CE77,0,BL77,IF(OptControl=4,0,1),0,1)-xCrudeAPO(BU77,BV77,CA77,CB77,S78,S79,BI77,BL77,BP77,BQ77,0,Strike1,AO77,CE77,0,BL77,IF(OptControl=4,0,1),0,1),0)</f>
        <v>0</v>
      </c>
      <c r="CJ77" s="471" t="n">
        <f aca="false">IF(BD77,xCrudeAPO(BU77,BV77,CC77,CD77,S78,S79,BI77,BL77,BP77,BQ77,0,Strike2,AO77,CE77,0,BL77,IF(OptControl=3,1,0),0,1),0)</f>
        <v>0</v>
      </c>
      <c r="CK77" s="470" t="n">
        <f aca="false">IF(BD77,xCrudeAPO(BU77,BV77,CC77,CD77,S78,S79,BI77,BL77,BP77,BQ77,0,Strike2,AO77,CE77,0,BL77,IF(OptControl=3,1,0),1,1)+xCrudeAPO(BU77,BV77,CC77,CD77,S78,S79,BI77,BL77,BP77,BQ77,0,Strike2,AO77,CE77,0,BL77,IF(OptControl=3,1,0),1,2)+IF(OR(VolSkewFlag=2,ABS(BT77)&lt;0.0001),0,IF(BT77&gt;0,-1,1)*CL77*Strike2/BR77^2*BZ77/10%),0)</f>
        <v>0</v>
      </c>
      <c r="CL77" s="470" t="n">
        <f aca="false">IF(BD77,(xCrudeAPO(BU77,BV77,CC77,CD77,S78,S79,BI77,BL77,BP77,BQ77,0,Strike2,AO77,CE77,0,BL77,IF(OptControl=3,1,0),3,1)+xCrudeAPO(BU77,BV77,CC77,CD77,S78,S79,BI77,BL77,BP77,BQ77,0,Strike2,AO77,CE77,0,BL77,IF(OptControl=3,1,0),3,2))/100,0)</f>
        <v>0</v>
      </c>
      <c r="CM77" s="472" t="n">
        <f aca="false">IF(BD77,xCrudeAPO(BU77,BV77,CC77,CD77,S78,S79,BI77-DaysForThetaCalculation/365.25,BL77-DaysForThetaCalculation/365.25,BP77,BQ77,0,Strike2,AO77,CE77,0,BL77,IF(OptControl=3,1,0),0,1)-xCrudeAPO(BU77,BV77,CC77,CD77,S78,S79,BI77,BL77,BP77,BQ77,0,Strike2,AO77,CE77,0,BL77,IF(OptControl=3,1,0),0,1),0)</f>
        <v>0</v>
      </c>
      <c r="CN77" s="3"/>
      <c r="CO77" s="543" t="str">
        <f aca="false">IF(BD77,CHOOSE(Underlying,AD77,AF77)-DateToday+1,"")</f>
        <v/>
      </c>
      <c r="CP77" s="582" t="str">
        <f aca="false">IF(BD77,CHOOSE(Underlying,L77,R77),"")</f>
        <v/>
      </c>
      <c r="CQ77" s="544" t="str">
        <f aca="false">IF(BD77,Strike1/CP77-1,"")</f>
        <v/>
      </c>
      <c r="CR77" s="544" t="str">
        <f aca="false">IF(BD77,Strike2/CP77-1,"")</f>
        <v/>
      </c>
      <c r="CS77" s="544" t="str">
        <f aca="false">IF(BD77,IF(CQ77&gt;0,IF(CQ77&gt;0.2,BC76-BB76,IF(CQ77&gt;0.1,BB76-BA76,BA76)),IF(CQ77&lt;-0.2,AX76-AY76,IF(CQ77&lt;-0.1,AY76-AZ76,AZ76))),"")</f>
        <v/>
      </c>
      <c r="CT77" s="544" t="str">
        <f aca="false">IF(BD77,IF(CR77&gt;0,IF(CR77&gt;0.2,BC76-BB76,IF(CR77&gt;0.1,BB76-BA76,BA76)),IF(CR77&lt;-0.2,AX76-AY76,IF(CR77&lt;-0.1,AY76-AZ76,AZ76))),"")</f>
        <v/>
      </c>
      <c r="CU77" s="545" t="str">
        <f aca="false">IF(BD77,CHOOSE(Underlying,O77,AT77),"")</f>
        <v/>
      </c>
      <c r="CV77" s="545" t="str">
        <f aca="false">IF(BD77,CU77+IF(VolSkewFlag=1,IF(CQ77&gt;0,BA76*MIN(CQ77/10%,1)+(BB76-BA76)*MAX(0,MIN(CQ77/10%-1,1))+(BC76-BB76)*MAX(0,CQ77/10%-2),AZ76*MIN(-CQ77/10%,1)+(AY76-AZ76)*MAX(0,MIN(-CQ77/10%-1,1))+(AX76-AY76)*MAX(0,-CQ77/10%-2)),0),"")</f>
        <v/>
      </c>
      <c r="CW77" s="545" t="str">
        <f aca="false">IF(BD77,CU77+IF(VolSkewFlag=1,IF(CR77&gt;0,BA76*MIN(CR77/10%,1)+(BB76-BA76)*MAX(0,MIN(CR77/10%-1,1))+(BC76-BB76)*MAX(0,CR77/10%-2),AZ76*MIN(-CR77/10%,1)+(AY76-AZ76)*MAX(0,MIN(-CR77/10%-1,1))+(AX76-AY76)*MAX(0,-CR77/10%-2)),0),"")</f>
        <v/>
      </c>
      <c r="CX77" s="470" t="n">
        <f aca="false">IF(BD77,EURO(CP77,Strike1,AO77,AO77,CV77,CO77,IF(OptControl=4,0,1),0),0)</f>
        <v>0</v>
      </c>
      <c r="CY77" s="470" t="n">
        <f aca="false">IF(BD77,EURO(CP77,Strike1,AO77,AO77,CV77,CO77,IF(OptControl=4,0,1),1)+IF(OR(VolSkewFlag=2,ABS(CQ77)&lt;0.0001),0,IF(CQ77&gt;0,-1,1)*CZ77*100*Strike1/CP77^2*CS77/10%),0)</f>
        <v>0</v>
      </c>
      <c r="CZ77" s="470" t="n">
        <f aca="false">IF(BD77,EURO(CP77,Strike1,AO77,AO77,CV77,CO77,IF(OptControl=4,0,1),3)/100,0)</f>
        <v>0</v>
      </c>
      <c r="DA77" s="470" t="n">
        <f aca="false">IF(BD77,EURO(CP77,Strike1,AO77,AO77,CV77,CO77,IF(OptControl=4,0,1),0)-EURO(CP77,Strike1,AO77,AO77,CV77,CO77-1,IF(OptControl=4,0,1),0),0)</f>
        <v>0</v>
      </c>
      <c r="DB77" s="470" t="n">
        <f aca="false">IF(BD77,EURO(CP77,Strike2,AO77,AO77,CW77,CO77,IF(OptControl=3,1,0),0),0)</f>
        <v>0</v>
      </c>
      <c r="DC77" s="470" t="n">
        <f aca="false">IF(BD77,EURO(CP77,Strike2,AO77,AO77,CW77,CO77,IF(OptControl=3,1,0),1)+IF(OR(VolSkewFlag=2,ABS(CR77)&lt;0.0001),0,IF(CR77&gt;0,-1,1)*DD77*100*Strike2/CP77^2*CT77/10%),0)</f>
        <v>0</v>
      </c>
      <c r="DD77" s="470" t="n">
        <f aca="false">IF(BD77,EURO(CP77,Strike2,AO77,AO77,CW77,CO77,IF(OptControl=3,1,0),3)/100,0)</f>
        <v>0</v>
      </c>
      <c r="DE77" s="472" t="n">
        <f aca="false">IF(BD77,EURO(CP77,Strike2,AO77,AO77,CW77,CO77,IF(OptControl=3,1,0),0)-EURO(CP77,Strike2,AO77,AO77,CW77,CO77-1,IF(OptControl=3,1,0),0),0)</f>
        <v>0</v>
      </c>
      <c r="DG77" s="481" t="n">
        <f aca="false">EOMONTH(DG76,0)+1</f>
        <v>47423</v>
      </c>
      <c r="DH77" s="478" t="n">
        <v>18.365</v>
      </c>
      <c r="DI77" s="479" t="n">
        <v>18.3589393939394</v>
      </c>
      <c r="DJ77" s="480" t="n">
        <f aca="false">DG77</f>
        <v>47423</v>
      </c>
      <c r="DK77" s="478" t="n">
        <v>17.1964716413299</v>
      </c>
      <c r="DL77" s="479" t="n">
        <v>17.2143393939394</v>
      </c>
      <c r="DM77" s="481" t="n">
        <f aca="false">DG77</f>
        <v>47423</v>
      </c>
      <c r="DN77" s="482" t="n">
        <f aca="false">DK77+BrentPhyBrentSpread</f>
        <v>17.2464716413299</v>
      </c>
      <c r="DO77" s="481" t="n">
        <f aca="false">DG77</f>
        <v>47423</v>
      </c>
      <c r="DP77" s="483" t="n">
        <f aca="false">DL77+DQ77</f>
        <v>17.2143393939394</v>
      </c>
      <c r="DQ77" s="546" t="n">
        <v>0</v>
      </c>
      <c r="DR77" s="480" t="n">
        <f aca="false">DG77</f>
        <v>47423</v>
      </c>
      <c r="DS77" s="485" t="n">
        <v>0.197286420030716</v>
      </c>
      <c r="DT77" s="486" t="n">
        <v>0.196022877937388</v>
      </c>
      <c r="DU77" s="480" t="n">
        <f aca="false">DG77</f>
        <v>47423</v>
      </c>
      <c r="DV77" s="485" t="n">
        <v>0.197286420030716</v>
      </c>
      <c r="DW77" s="486" t="n">
        <v>0.196022877937388</v>
      </c>
      <c r="DX77" s="481" t="n">
        <f aca="false">DG77</f>
        <v>47423</v>
      </c>
      <c r="DY77" s="486" t="n">
        <v>0.35</v>
      </c>
      <c r="DZ77" s="481" t="n">
        <f aca="false">DR77</f>
        <v>47423</v>
      </c>
      <c r="EA77" s="486" t="n">
        <f aca="false">DT77</f>
        <v>0.196022877937388</v>
      </c>
      <c r="EB77" s="195"/>
      <c r="EC77" s="547" t="str">
        <f aca="false">IF(BD77,IF(Underlying=1,AS77,AU77),"")</f>
        <v/>
      </c>
      <c r="ED77" s="548" t="str">
        <f aca="false">IF($BD77,$EC77+IF(VolSkewFlag=1,IF(BS77&gt;0,$BA77*MIN(BS77/10%,1)+($BB77-$BA77)*MAX(0,MIN(BS77/10%-1,1))+($BC77-$BB77)*MAX(0,BS77/10%-2),$AZ77*MIN(-BS77/10%,1)+($AY77-$AZ77)*MAX(0,MIN(-BS77/10%-1,1))+($AX77-$AY77)*MAX(0,-BS77/10%-2)),0),"")</f>
        <v/>
      </c>
      <c r="EE77" s="549" t="str">
        <f aca="false">IF($BD77,$EC77+IF(VolSkewFlag=1,IF(BT77&gt;0,$BA77*MIN(BT77/10%,1)+($BB77-$BA77)*MAX(0,MIN(BT77/10%-1,1))+($BC77-$BB77)*MAX(0,BT77/10%-2),$AZ77*MIN(-BT77/10%,1)+($AY77-$AZ77)*MAX(0,MIN(-BT77/10%-1,1))+($AX77-$AY77)*MAX(0,-BT77/10%-2)),0),"")</f>
        <v/>
      </c>
      <c r="EF77" s="550" t="n">
        <f aca="false">IF(BD77,xASN(BR77,Strike1,AO77,ED77,0,BO77,0,BI77,BL77,IF(OptControl=4,0,1),0),0)</f>
        <v>0</v>
      </c>
      <c r="EG77" s="551" t="n">
        <f aca="false">IF(BD77,xASN(BR77,Strike2,AO77,EE77,0,BO77,0,BI77,BL77,IF(OptControl=3,1,0),0),0)</f>
        <v>0</v>
      </c>
      <c r="EL77" s="1"/>
      <c r="EM77" s="195"/>
      <c r="EN77" s="556" t="n">
        <v>42729</v>
      </c>
      <c r="EO77" s="557" t="n">
        <v>47112</v>
      </c>
      <c r="EP77" s="195"/>
      <c r="EQ77" s="407" t="s">
        <v>303</v>
      </c>
      <c r="ES77" s="587" t="n">
        <v>58</v>
      </c>
      <c r="ET77" s="559" t="n">
        <f aca="false">BH77/365.25</f>
        <v>-20.3613963039014</v>
      </c>
      <c r="EU77" s="560" t="n">
        <f aca="false">O77^2*ET77</f>
        <v>-0</v>
      </c>
      <c r="EV77" s="588" t="e">
        <f aca="false">SQRT(SUM(FK77:ID77)/ET77)</f>
        <v>#VALUE!</v>
      </c>
      <c r="EW77" s="589" t="str">
        <f aca="false">IF(OR(DateStart2&gt;I76,DateEnd2&lt;I75),"",IF(DateStart2&lt;I76,AK75/AI75*AP75*BE75*SwaptionNumOfMonths/$D$33,0)+IF(DateEnd2&gt;I75,AJ76/AI76*AP76*BE76*SwaptionNumOfMonths/$D$33,0))</f>
        <v/>
      </c>
      <c r="EX77" s="590" t="str">
        <f aca="false">IF(EW77="","",SQRT(SUM(FK382:ID382)/SwaptionYearsToExp))</f>
        <v/>
      </c>
      <c r="EY77" s="129" t="n">
        <v>0</v>
      </c>
      <c r="EZ77" s="591" t="str">
        <f aca="false">IF(OR(EW77="",EW78=""),"",SQRT(SUM(INDEX(FK77:ID77,SwaptionFirstMonthPosition+1):INDEX(FK77:ID77,FJ77))/SUM(INDEX($FK$15:$ID$15,SwaptionFirstMonthPosition+1):INDEX($FK$15:$ID$15,FJ77))))</f>
        <v/>
      </c>
      <c r="FA77" s="592" t="str">
        <f aca="false">IF(OR(EW77="",EW76=""),"",SQRT(SUM(INDEX(FK77:ID77,SwaptionFirstMonthPosition+1):INDEX(FK77:ID77,FJ77-1))/SUM(INDEX($FK$15:$ID$15,SwaptionFirstMonthPosition+1):INDEX($FK$15:$ID$15,FJ77-1))))</f>
        <v/>
      </c>
      <c r="FB77" s="593" t="str">
        <f aca="false">IF(BE77,2/3*EZ78+1/3*FA79,"")</f>
        <v/>
      </c>
      <c r="FC77" s="596" t="str">
        <f aca="false">IF(BE77,(I78+I77-1)/2-DateToday,"")</f>
        <v/>
      </c>
      <c r="FD77" s="483" t="str">
        <f aca="false">IF(BE77,CHOOSE(Underlying,X77,Z77)+SwaptionUnderlyingPrice-$D$26,"")</f>
        <v/>
      </c>
      <c r="FE77" s="483" t="str">
        <f aca="false">IF(BE77,CollartionFloor/FD77-1,"")</f>
        <v/>
      </c>
      <c r="FF77" s="483" t="str">
        <f aca="false">IF(BE77,CollartionCap/FD77-1,"")</f>
        <v/>
      </c>
      <c r="FG77" s="485" t="str">
        <f aca="false">IF(BE77,IF(VolSkewFlag=1,IF(FE77&gt;0,$BA77*MIN(FE77/10%,1)+($BB77-$BA77)*MAX(0,MIN(FE77/10%-1,1))+($BC77-$BB77)*MAX(0,FE77/10%-2),$AZ77*MIN(-FE77/10%,1)+($AY77-$AZ77)*MAX(0,MIN(-FE77/10%-1,1))+($AX77-$AY77)*MAX(0,-FE77/10%-2)),0),"")</f>
        <v/>
      </c>
      <c r="FH77" s="486" t="str">
        <f aca="false">IF(BE77,IF(VolSkewFlag=1,IF(FF77&gt;0,$BA77*MIN(FF77/10%,1)+($BB77-$BA77)*MAX(0,MIN(FF77/10%-1,1))+($BC77-$BB77)*MAX(0,FF77/10%-2),$AZ77*MIN(-FF77/10%,1)+($AY77-$AZ77)*MAX(0,MIN(-FF77/10%-1,1))+($AX77-$AY77)*MAX(0,-FF77/10%-2)),0),"")</f>
        <v/>
      </c>
      <c r="FI77" s="129"/>
      <c r="FJ77" s="571" t="n">
        <v>58</v>
      </c>
      <c r="FK77" s="150" t="n">
        <f aca="false">IF(FK$19&gt;$FJ77,"",MAX(0,IF(FK$19=$FJ77,$S77^2*FK$15,FK76*INDEX($T$20:$T$91,$FJ77-FK$19)^2/INDEX($U$20:$U$91,$FJ77-FK$19))))</f>
        <v>0</v>
      </c>
      <c r="FL77" s="150" t="n">
        <f aca="false">IF(FL$19&gt;$FJ77,"",MAX(0,IF(FL$19=$FJ77,$S77^2*FL$15,FL76*INDEX($T$20:$T$91,$FJ77-FL$19)^2/INDEX($U$20:$U$91,$FJ77-FL$19))))</f>
        <v>0</v>
      </c>
      <c r="FM77" s="150" t="n">
        <f aca="false">IF(FM$19&gt;$FJ77,"",MAX(0,IF(FM$19=$FJ77,$S77^2*FM$15,FM76*INDEX($T$20:$T$91,$FJ77-FM$19)^2/INDEX($U$20:$U$91,$FJ77-FM$19))))</f>
        <v>0.00254747797594193</v>
      </c>
      <c r="FN77" s="150" t="n">
        <f aca="false">IF(FN$19&gt;$FJ77,"",MAX(0,IF(FN$19=$FJ77,$S77^2*FN$15,FN76*INDEX($T$20:$T$91,$FJ77-FN$19)^2/INDEX($U$20:$U$91,$FJ77-FN$19))))</f>
        <v>0.00214423723198932</v>
      </c>
      <c r="FO77" s="150" t="n">
        <f aca="false">IF(FO$19&gt;$FJ77,"",MAX(0,IF(FO$19=$FJ77,$S77^2*FO$15,FO76*INDEX($T$20:$T$91,$FJ77-FO$19)^2/INDEX($U$20:$U$91,$FJ77-FO$19))))</f>
        <v>0.00223044757283373</v>
      </c>
      <c r="FP77" s="150" t="n">
        <f aca="false">IF(FP$19&gt;$FJ77,"",MAX(0,IF(FP$19=$FJ77,$S77^2*FP$15,FP76*INDEX($T$20:$T$91,$FJ77-FP$19)^2/INDEX($U$20:$U$91,$FJ77-FP$19))))</f>
        <v>0.00247172486489073</v>
      </c>
      <c r="FQ77" s="150" t="n">
        <f aca="false">IF(FQ$19&gt;$FJ77,"",MAX(0,IF(FQ$19=$FJ77,$S77^2*FQ$15,FQ76*INDEX($T$20:$T$91,$FJ77-FQ$19)^2/INDEX($U$20:$U$91,$FJ77-FQ$19))))</f>
        <v>0.00200127156232411</v>
      </c>
      <c r="FR77" s="150" t="n">
        <f aca="false">IF(FR$19&gt;$FJ77,"",MAX(0,IF(FR$19=$FJ77,$S77^2*FR$15,FR76*INDEX($T$20:$T$91,$FJ77-FR$19)^2/INDEX($U$20:$U$91,$FJ77-FR$19))))</f>
        <v>0.00204638912426496</v>
      </c>
      <c r="FS77" s="150" t="n">
        <f aca="false">IF(FS$19&gt;$FJ77,"",MAX(0,IF(FS$19=$FJ77,$S77^2*FS$15,FS76*INDEX($T$20:$T$91,$FJ77-FS$19)^2/INDEX($U$20:$U$91,$FJ77-FS$19))))</f>
        <v>0.0023063662600944</v>
      </c>
      <c r="FT77" s="150" t="n">
        <f aca="false">IF(FT$19&gt;$FJ77,"",MAX(0,IF(FT$19=$FJ77,$S77^2*FT$15,FT76*INDEX($T$20:$T$91,$FJ77-FT$19)^2/INDEX($U$20:$U$91,$FJ77-FT$19))))</f>
        <v>0.00208165689481835</v>
      </c>
      <c r="FU77" s="150" t="n">
        <f aca="false">IF(FU$19&gt;$FJ77,"",MAX(0,IF(FU$19=$FJ77,$S77^2*FU$15,FU76*INDEX($T$20:$T$91,$FJ77-FU$19)^2/INDEX($U$20:$U$91,$FJ77-FU$19))))</f>
        <v>0.00200150007244382</v>
      </c>
      <c r="FV77" s="150" t="n">
        <f aca="false">IF(FV$19&gt;$FJ77,"",MAX(0,IF(FV$19=$FJ77,$S77^2*FV$15,FV76*INDEX($T$20:$T$91,$FJ77-FV$19)^2/INDEX($U$20:$U$91,$FJ77-FV$19))))</f>
        <v>0.00219979151099774</v>
      </c>
      <c r="FW77" s="150" t="n">
        <f aca="false">IF(FW$19&gt;$FJ77,"",MAX(0,IF(FW$19=$FJ77,$S77^2*FW$15,FW76*INDEX($T$20:$T$91,$FJ77-FW$19)^2/INDEX($U$20:$U$91,$FJ77-FW$19))))</f>
        <v>0.00205629860522834</v>
      </c>
      <c r="FX77" s="150" t="n">
        <f aca="false">IF(FX$19&gt;$FJ77,"",MAX(0,IF(FX$19=$FJ77,$S77^2*FX$15,FX76*INDEX($T$20:$T$91,$FJ77-FX$19)^2/INDEX($U$20:$U$91,$FJ77-FX$19))))</f>
        <v>0.00218876480093217</v>
      </c>
      <c r="FY77" s="150" t="n">
        <f aca="false">IF(FY$19&gt;$FJ77,"",MAX(0,IF(FY$19=$FJ77,$S77^2*FY$15,FY76*INDEX($T$20:$T$91,$FJ77-FY$19)^2/INDEX($U$20:$U$91,$FJ77-FY$19))))</f>
        <v>0.00204891669008858</v>
      </c>
      <c r="FZ77" s="150" t="n">
        <f aca="false">IF(FZ$19&gt;$FJ77,"",MAX(0,IF(FZ$19=$FJ77,$S77^2*FZ$15,FZ76*INDEX($T$20:$T$91,$FJ77-FZ$19)^2/INDEX($U$20:$U$91,$FJ77-FZ$19))))</f>
        <v>0.0019104017051137</v>
      </c>
      <c r="GA77" s="150" t="n">
        <f aca="false">IF(GA$19&gt;$FJ77,"",MAX(0,IF(GA$19=$FJ77,$S77^2*GA$15,GA76*INDEX($T$20:$T$91,$FJ77-GA$19)^2/INDEX($U$20:$U$91,$FJ77-GA$19))))</f>
        <v>0.00204558367018285</v>
      </c>
      <c r="GB77" s="150" t="n">
        <f aca="false">IF(GB$19&gt;$FJ77,"",MAX(0,IF(GB$19=$FJ77,$S77^2*GB$15,GB76*INDEX($T$20:$T$91,$FJ77-GB$19)^2/INDEX($U$20:$U$91,$FJ77-GB$19))))</f>
        <v>0.00224943420530577</v>
      </c>
      <c r="GC77" s="150" t="n">
        <f aca="false">IF(GC$19&gt;$FJ77,"",MAX(0,IF(GC$19=$FJ77,$S77^2*GC$15,GC76*INDEX($T$20:$T$91,$FJ77-GC$19)^2/INDEX($U$20:$U$91,$FJ77-GC$19))))</f>
        <v>0.00197666277188116</v>
      </c>
      <c r="GD77" s="150" t="n">
        <f aca="false">IF(GD$19&gt;$FJ77,"",MAX(0,IF(GD$19=$FJ77,$S77^2*GD$15,GD76*INDEX($T$20:$T$91,$FJ77-GD$19)^2/INDEX($U$20:$U$91,$FJ77-GD$19))))</f>
        <v>0.00197699215273918</v>
      </c>
      <c r="GE77" s="150" t="n">
        <f aca="false">IF(GE$19&gt;$FJ77,"",MAX(0,IF(GE$19=$FJ77,$S77^2*GE$15,GE76*INDEX($T$20:$T$91,$FJ77-GE$19)^2/INDEX($U$20:$U$91,$FJ77-GE$19))))</f>
        <v>0.00225051315222438</v>
      </c>
      <c r="GF77" s="150" t="n">
        <f aca="false">IF(GF$19&gt;$FJ77,"",MAX(0,IF(GF$19=$FJ77,$S77^2*GF$15,GF76*INDEX($T$20:$T$91,$FJ77-GF$19)^2/INDEX($U$20:$U$91,$FJ77-GF$19))))</f>
        <v>0.00197883953344503</v>
      </c>
      <c r="GG77" s="150" t="n">
        <f aca="false">IF(GG$19&gt;$FJ77,"",MAX(0,IF(GG$19=$FJ77,$S77^2*GG$15,GG76*INDEX($T$20:$T$91,$FJ77-GG$19)^2/INDEX($U$20:$U$91,$FJ77-GG$19))))</f>
        <v>0.00218520343665561</v>
      </c>
      <c r="GH77" s="150" t="n">
        <f aca="false">IF(GH$19&gt;$FJ77,"",MAX(0,IF(GH$19=$FJ77,$S77^2*GH$15,GH76*INDEX($T$20:$T$91,$FJ77-GH$19)^2/INDEX($U$20:$U$91,$FJ77-GH$19))))</f>
        <v>0.00205059759683924</v>
      </c>
      <c r="GI77" s="150" t="n">
        <f aca="false">IF(GI$19&gt;$FJ77,"",MAX(0,IF(GI$19=$FJ77,$S77^2*GI$15,GI76*INDEX($T$20:$T$91,$FJ77-GI$19)^2/INDEX($U$20:$U$91,$FJ77-GI$19))))</f>
        <v>0.00198458347435573</v>
      </c>
      <c r="GJ77" s="150" t="n">
        <f aca="false">IF(GJ$19&gt;$FJ77,"",MAX(0,IF(GJ$19=$FJ77,$S77^2*GJ$15,GJ76*INDEX($T$20:$T$91,$FJ77-GJ$19)^2/INDEX($U$20:$U$91,$FJ77-GJ$19))))</f>
        <v>0.00226153067137691</v>
      </c>
      <c r="GK77" s="150" t="n">
        <f aca="false">IF(GK$19&gt;$FJ77,"",MAX(0,IF(GK$19=$FJ77,$S77^2*GK$15,GK76*INDEX($T$20:$T$91,$FJ77-GK$19)^2/INDEX($U$20:$U$91,$FJ77-GK$19))))</f>
        <v>0.00205942163299684</v>
      </c>
      <c r="GL77" s="150" t="n">
        <f aca="false">IF(GL$19&gt;$FJ77,"",MAX(0,IF(GL$19=$FJ77,$S77^2*GL$15,GL76*INDEX($T$20:$T$91,$FJ77-GL$19)^2/INDEX($U$20:$U$91,$FJ77-GL$19))))</f>
        <v>0.00199476851578301</v>
      </c>
      <c r="GM77" s="150" t="n">
        <f aca="false">IF(GM$19&gt;$FJ77,"",MAX(0,IF(GM$19=$FJ77,$S77^2*GM$15,GM76*INDEX($T$20:$T$91,$FJ77-GM$19)^2/INDEX($U$20:$U$91,$FJ77-GM$19))))</f>
        <v>0.00213738185218392</v>
      </c>
      <c r="GN77" s="150" t="n">
        <f aca="false">IF(GN$19&gt;$FJ77,"",MAX(0,IF(GN$19=$FJ77,$S77^2*GN$15,GN76*INDEX($T$20:$T$91,$FJ77-GN$19)^2/INDEX($U$20:$U$91,$FJ77-GN$19))))</f>
        <v>0.00214332475825688</v>
      </c>
      <c r="GO77" s="150" t="n">
        <f aca="false">IF(GO$19&gt;$FJ77,"",MAX(0,IF(GO$19=$FJ77,$S77^2*GO$15,GO76*INDEX($T$20:$T$91,$FJ77-GO$19)^2/INDEX($U$20:$U$91,$FJ77-GO$19))))</f>
        <v>0.00215031938509864</v>
      </c>
      <c r="GP77" s="150" t="n">
        <f aca="false">IF(GP$19&gt;$FJ77,"",MAX(0,IF(GP$19=$FJ77,$S77^2*GP$15,GP76*INDEX($T$20:$T$91,$FJ77-GP$19)^2/INDEX($U$20:$U$91,$FJ77-GP$19))))</f>
        <v>0.0019496557852458</v>
      </c>
      <c r="GQ77" s="150" t="n">
        <f aca="false">IF(GQ$19&gt;$FJ77,"",MAX(0,IF(GQ$19=$FJ77,$S77^2*GQ$15,GQ76*INDEX($T$20:$T$91,$FJ77-GQ$19)^2/INDEX($U$20:$U$91,$FJ77-GQ$19))))</f>
        <v>0.00216822612811705</v>
      </c>
      <c r="GR77" s="150" t="n">
        <f aca="false">IF(GR$19&gt;$FJ77,"",MAX(0,IF(GR$19=$FJ77,$S77^2*GR$15,GR76*INDEX($T$20:$T$91,$FJ77-GR$19)^2/INDEX($U$20:$U$91,$FJ77-GR$19))))</f>
        <v>0.00210930454046871</v>
      </c>
      <c r="GS77" s="150" t="n">
        <f aca="false">IF(GS$19&gt;$FJ77,"",MAX(0,IF(GS$19=$FJ77,$S77^2*GS$15,GS76*INDEX($T$20:$T$91,$FJ77-GS$19)^2/INDEX($U$20:$U$91,$FJ77-GS$19))))</f>
        <v>0.00219302341397648</v>
      </c>
      <c r="GT77" s="150" t="n">
        <f aca="false">IF(GT$19&gt;$FJ77,"",MAX(0,IF(GT$19=$FJ77,$S77^2*GT$15,GT76*INDEX($T$20:$T$91,$FJ77-GT$19)^2/INDEX($U$20:$U$91,$FJ77-GT$19))))</f>
        <v>0.00213757187895053</v>
      </c>
      <c r="GU77" s="150" t="n">
        <f aca="false">IF(GU$19&gt;$FJ77,"",MAX(0,IF(GU$19=$FJ77,$S77^2*GU$15,GU76*INDEX($T$20:$T$91,$FJ77-GU$19)^2/INDEX($U$20:$U$91,$FJ77-GU$19))))</f>
        <v>0.00222746466465407</v>
      </c>
      <c r="GV77" s="150" t="n">
        <f aca="false">IF(GV$19&gt;$FJ77,"",MAX(0,IF(GV$19=$FJ77,$S77^2*GV$15,GV76*INDEX($T$20:$T$91,$FJ77-GV$19)^2/INDEX($U$20:$U$91,$FJ77-GV$19))))</f>
        <v>0.0022494847604954</v>
      </c>
      <c r="GW77" s="150" t="n">
        <f aca="false">IF(GW$19&gt;$FJ77,"",MAX(0,IF(GW$19=$FJ77,$S77^2*GW$15,GW76*INDEX($T$20:$T$91,$FJ77-GW$19)^2/INDEX($U$20:$U$91,$FJ77-GW$19))))</f>
        <v>0.00220213528737003</v>
      </c>
      <c r="GX77" s="150" t="n">
        <f aca="false">IF(GX$19&gt;$FJ77,"",MAX(0,IF(GX$19=$FJ77,$S77^2*GX$15,GX76*INDEX($T$20:$T$91,$FJ77-GX$19)^2/INDEX($U$20:$U$91,$FJ77-GX$19))))</f>
        <v>0.00230642888150212</v>
      </c>
      <c r="GY77" s="150" t="n">
        <f aca="false">IF(GY$19&gt;$FJ77,"",MAX(0,IF(GY$19=$FJ77,$S77^2*GY$15,GY76*INDEX($T$20:$T$91,$FJ77-GY$19)^2/INDEX($U$20:$U$91,$FJ77-GY$19))))</f>
        <v>0.00226754775373784</v>
      </c>
      <c r="GZ77" s="150" t="n">
        <f aca="false">IF(GZ$19&gt;$FJ77,"",MAX(0,IF(GZ$19=$FJ77,$S77^2*GZ$15,GZ76*INDEX($T$20:$T$91,$FJ77-GZ$19)^2/INDEX($U$20:$U$91,$FJ77-GZ$19))))</f>
        <v>0.00238686326664166</v>
      </c>
      <c r="HA77" s="150" t="n">
        <f aca="false">IF(HA$19&gt;$FJ77,"",MAX(0,IF(HA$19=$FJ77,$S77^2*HA$15,HA76*INDEX($T$20:$T$91,$FJ77-HA$19)^2/INDEX($U$20:$U$91,$FJ77-HA$19))))</f>
        <v>0.00243913092276867</v>
      </c>
      <c r="HB77" s="150" t="n">
        <f aca="false">IF(HB$19&gt;$FJ77,"",MAX(0,IF(HB$19=$FJ77,$S77^2*HB$15,HB76*INDEX($T$20:$T$91,$FJ77-HB$19)^2/INDEX($U$20:$U$91,$FJ77-HB$19))))</f>
        <v>0.00234042610781733</v>
      </c>
      <c r="HC77" s="150" t="n">
        <f aca="false">IF(HC$19&gt;$FJ77,"",MAX(0,IF(HC$19=$FJ77,$S77^2*HC$15,HC76*INDEX($T$20:$T$91,$FJ77-HC$19)^2/INDEX($U$20:$U$91,$FJ77-HC$19))))</f>
        <v>0.00257738785868176</v>
      </c>
      <c r="HD77" s="150" t="n">
        <f aca="false">IF(HD$19&gt;$FJ77,"",MAX(0,IF(HD$19=$FJ77,$S77^2*HD$15,HD76*INDEX($T$20:$T$91,$FJ77-HD$19)^2/INDEX($U$20:$U$91,$FJ77-HD$19))))</f>
        <v>0.00258279829074565</v>
      </c>
      <c r="HE77" s="150" t="n">
        <f aca="false">IF(HE$19&gt;$FJ77,"",MAX(0,IF(HE$19=$FJ77,$S77^2*HE$15,HE76*INDEX($T$20:$T$91,$FJ77-HE$19)^2/INDEX($U$20:$U$91,$FJ77-HE$19))))</f>
        <v>0.00278038455760676</v>
      </c>
      <c r="HF77" s="150" t="n">
        <f aca="false">IF(HF$19&gt;$FJ77,"",MAX(0,IF(HF$19=$FJ77,$S77^2*HF$15,HF76*INDEX($T$20:$T$91,$FJ77-HF$19)^2/INDEX($U$20:$U$91,$FJ77-HF$19))))</f>
        <v>0.00282309944045241</v>
      </c>
      <c r="HG77" s="150" t="n">
        <f aca="false">IF(HG$19&gt;$FJ77,"",MAX(0,IF(HG$19=$FJ77,$S77^2*HG$15,HG76*INDEX($T$20:$T$91,$FJ77-HG$19)^2/INDEX($U$20:$U$91,$FJ77-HG$19))))</f>
        <v>0.00308651152893716</v>
      </c>
      <c r="HH77" s="150" t="n">
        <f aca="false">IF(HH$19&gt;$FJ77,"",MAX(0,IF(HH$19=$FJ77,$S77^2*HH$15,HH76*INDEX($T$20:$T$91,$FJ77-HH$19)^2/INDEX($U$20:$U$91,$FJ77-HH$19))))</f>
        <v>0.0032981091299389</v>
      </c>
      <c r="HI77" s="150" t="n">
        <f aca="false">IF(HI$19&gt;$FJ77,"",MAX(0,IF(HI$19=$FJ77,$S77^2*HI$15,HI76*INDEX($T$20:$T$91,$FJ77-HI$19)^2/INDEX($U$20:$U$91,$FJ77-HI$19))))</f>
        <v>0.00345064730655023</v>
      </c>
      <c r="HJ77" s="150" t="n">
        <f aca="false">IF(HJ$19&gt;$FJ77,"",MAX(0,IF(HJ$19=$FJ77,$S77^2*HJ$15,HJ76*INDEX($T$20:$T$91,$FJ77-HJ$19)^2/INDEX($U$20:$U$91,$FJ77-HJ$19))))</f>
        <v>0.00390871090401306</v>
      </c>
      <c r="HK77" s="150" t="n">
        <f aca="false">IF(HK$19&gt;$FJ77,"",MAX(0,IF(HK$19=$FJ77,$S77^2*HK$15,HK76*INDEX($T$20:$T$91,$FJ77-HK$19)^2/INDEX($U$20:$U$91,$FJ77-HK$19))))</f>
        <v>0.00421531428060921</v>
      </c>
      <c r="HL77" s="150" t="n">
        <f aca="false">IF(HL$19&gt;$FJ77,"",MAX(0,IF(HL$19=$FJ77,$S77^2*HL$15,HL76*INDEX($T$20:$T$91,$FJ77-HL$19)^2/INDEX($U$20:$U$91,$FJ77-HL$19))))</f>
        <v>0.00495011242524871</v>
      </c>
      <c r="HM77" s="150" t="n">
        <f aca="false">IF(HM$19&gt;$FJ77,"",MAX(0,IF(HM$19=$FJ77,$S77^2*HM$15,HM76*INDEX($T$20:$T$91,$FJ77-HM$19)^2/INDEX($U$20:$U$91,$FJ77-HM$19))))</f>
        <v>0.00575872807289266</v>
      </c>
      <c r="HN77" s="150" t="n">
        <f aca="false">IF(HN$19&gt;$FJ77,"",MAX(0,IF(HN$19=$FJ77,$S77^2*HN$15,HN76*INDEX($T$20:$T$91,$FJ77-HN$19)^2/INDEX($U$20:$U$91,$FJ77-HN$19))))</f>
        <v>0.00622351209014104</v>
      </c>
      <c r="HO77" s="150" t="n">
        <f aca="false">IF(HO$19&gt;$FJ77,"",MAX(0,IF(HO$19=$FJ77,$S77^2*HO$15,HO76*INDEX($T$20:$T$91,$FJ77-HO$19)^2/INDEX($U$20:$U$91,$FJ77-HO$19))))</f>
        <v>0.00852847010341926</v>
      </c>
      <c r="HP77" s="150" t="n">
        <f aca="false">IF(HP$19&gt;$FJ77,"",MAX(0,IF(HP$19=$FJ77,$S77^2*HP$15,HP76*INDEX($T$20:$T$91,$FJ77-HP$19)^2/INDEX($U$20:$U$91,$FJ77-HP$19))))</f>
        <v>0.0106447640987961</v>
      </c>
      <c r="HQ77" s="150" t="str">
        <f aca="false">IF(HQ$19&gt;$FJ77,"",MAX(0,IF(HQ$19=$FJ77,$S77^2*HQ$15,HQ76*INDEX($T$20:$T$91,$FJ77-HQ$19)^2/INDEX($U$20:$U$91,$FJ77-HQ$19))))</f>
        <v/>
      </c>
      <c r="HR77" s="150" t="str">
        <f aca="false">IF(HR$19&gt;$FJ77,"",MAX(0,IF(HR$19=$FJ77,$S77^2*HR$15,HR76*INDEX($T$20:$T$91,$FJ77-HR$19)^2/INDEX($U$20:$U$91,$FJ77-HR$19))))</f>
        <v/>
      </c>
      <c r="HS77" s="150" t="str">
        <f aca="false">IF(HS$19&gt;$FJ77,"",MAX(0,IF(HS$19=$FJ77,$S77^2*HS$15,HS76*INDEX($T$20:$T$91,$FJ77-HS$19)^2/INDEX($U$20:$U$91,$FJ77-HS$19))))</f>
        <v/>
      </c>
      <c r="HT77" s="150" t="str">
        <f aca="false">IF(HT$19&gt;$FJ77,"",MAX(0,IF(HT$19=$FJ77,$S77^2*HT$15,HT76*INDEX($T$20:$T$91,$FJ77-HT$19)^2/INDEX($U$20:$U$91,$FJ77-HT$19))))</f>
        <v/>
      </c>
      <c r="HU77" s="150" t="str">
        <f aca="false">IF(HU$19&gt;$FJ77,"",MAX(0,IF(HU$19=$FJ77,$S77^2*HU$15,HU76*INDEX($T$20:$T$91,$FJ77-HU$19)^2/INDEX($U$20:$U$91,$FJ77-HU$19))))</f>
        <v/>
      </c>
      <c r="HV77" s="150" t="str">
        <f aca="false">IF(HV$19&gt;$FJ77,"",MAX(0,IF(HV$19=$FJ77,$S77^2*HV$15,HV76*INDEX($T$20:$T$91,$FJ77-HV$19)^2/INDEX($U$20:$U$91,$FJ77-HV$19))))</f>
        <v/>
      </c>
      <c r="HW77" s="150" t="str">
        <f aca="false">IF(HW$19&gt;$FJ77,"",MAX(0,IF(HW$19=$FJ77,$S77^2*HW$15,HW76*INDEX($T$20:$T$91,$FJ77-HW$19)^2/INDEX($U$20:$U$91,$FJ77-HW$19))))</f>
        <v/>
      </c>
      <c r="HX77" s="150" t="str">
        <f aca="false">IF(HX$19&gt;$FJ77,"",MAX(0,IF(HX$19=$FJ77,$S77^2*HX$15,HX76*INDEX($T$20:$T$91,$FJ77-HX$19)^2/INDEX($U$20:$U$91,$FJ77-HX$19))))</f>
        <v/>
      </c>
      <c r="HY77" s="150" t="str">
        <f aca="false">IF(HY$19&gt;$FJ77,"",MAX(0,IF(HY$19=$FJ77,$S77^2*HY$15,HY76*INDEX($T$20:$T$91,$FJ77-HY$19)^2/INDEX($U$20:$U$91,$FJ77-HY$19))))</f>
        <v/>
      </c>
      <c r="HZ77" s="150" t="str">
        <f aca="false">IF(HZ$19&gt;$FJ77,"",MAX(0,IF(HZ$19=$FJ77,$S77^2*HZ$15,HZ76*INDEX($T$20:$T$91,$FJ77-HZ$19)^2/INDEX($U$20:$U$91,$FJ77-HZ$19))))</f>
        <v/>
      </c>
      <c r="IA77" s="150" t="str">
        <f aca="false">IF(IA$19&gt;$FJ77,"",MAX(0,IF(IA$19=$FJ77,$S77^2*IA$15,IA76*INDEX($T$20:$T$91,$FJ77-IA$19)^2/INDEX($U$20:$U$91,$FJ77-IA$19))))</f>
        <v/>
      </c>
      <c r="IB77" s="150" t="str">
        <f aca="false">IF(IB$19&gt;$FJ77,"",MAX(0,IF(IB$19=$FJ77,$S77^2*IB$15,IB76*INDEX($T$20:$T$91,$FJ77-IB$19)^2/INDEX($U$20:$U$91,$FJ77-IB$19))))</f>
        <v/>
      </c>
      <c r="IC77" s="150" t="str">
        <f aca="false">IF(IC$19&gt;$FJ77,"",MAX(0,IF(IC$19=$FJ77,$S77^2*IC$15,IC76*INDEX($T$20:$T$91,$FJ77-IC$19)^2/INDEX($U$20:$U$91,$FJ77-IC$19))))</f>
        <v/>
      </c>
      <c r="ID77" s="572" t="str">
        <f aca="false">IF(ID$19&gt;$FJ77,"",MAX(0,IF(ID$19=$FJ77,$S77^2*ID$15,ID76*INDEX($T$20:$T$91,$FJ77-ID$19)^2/INDEX($U$20:$U$91,$FJ77-ID$19))))</f>
        <v/>
      </c>
      <c r="IE77" s="129"/>
    </row>
    <row r="78" customFormat="false" ht="12.75" hidden="false" customHeight="false" outlineLevel="0" collapsed="false">
      <c r="H78" s="219" t="n">
        <f aca="false">VLOOKUP(I78,$EJ$20:$EL$54,3)</f>
        <v>0</v>
      </c>
      <c r="I78" s="511" t="n">
        <f aca="false">EOMONTH(I77,0)+1</f>
        <v>38534</v>
      </c>
      <c r="J78" s="512"/>
      <c r="K78" s="513" t="s">
        <v>250</v>
      </c>
      <c r="L78" s="514" t="e">
        <f aca="false">IF(ISNUMBER(K78),J78+K78/100,IF(K78="extra",L77+VLOOKUP(BF78,PriceSpreadTable,2)/12,IF(K78="inter",interpolateprices($K$19:$L$200,ROW(K78)-ROW(FirstPricingMonth)+1),interpolatechanges($J$19:$K$200,ROW(K78)-ROW(FirstPricingMonth)+1))))</f>
        <v>#VALUE!</v>
      </c>
      <c r="M78" s="515"/>
      <c r="N78" s="516" t="n">
        <v>0</v>
      </c>
      <c r="O78" s="515" t="n">
        <f aca="false">M78+N78</f>
        <v>0</v>
      </c>
      <c r="P78" s="512"/>
      <c r="Q78" s="513" t="s">
        <v>280</v>
      </c>
      <c r="R78" s="512" t="e">
        <f aca="false">IF(ISNUMBER(Q78),P78+Q78/100,IF(Q78="extra",(Z76*AL76-R77*AM76)/AN76,IF(Q78="inter",interpolateprices($Q$19:$R$260,ROW(Q78)-ROW(FirstPricingMonth)+1),interpolatechanges($P$19:$Q$260,ROW(Q78)-ROW(FirstPricingMonth)+1))))</f>
        <v>#VALUE!</v>
      </c>
      <c r="S78" s="597" t="n">
        <f aca="false">S$19+(S77-S$19)*S$18</f>
        <v>0.360000003023793</v>
      </c>
      <c r="T78" s="575" t="n">
        <f aca="false">SQRT((1-(1-T77^2/U77)*T$18)*U78)</f>
        <v>0.999987278474001</v>
      </c>
      <c r="U78" s="576" t="n">
        <f aca="false">1-(1-U77)*U$18</f>
        <v>0.999999999149558</v>
      </c>
      <c r="V78" s="521" t="n">
        <v>0</v>
      </c>
      <c r="W78" s="577" t="n">
        <f aca="false">(J79*AJ78+J80*AK78)/AI78</f>
        <v>0</v>
      </c>
      <c r="X78" s="578" t="e">
        <f aca="false">(L79*AJ78+L80*AK78)/AI78</f>
        <v>#VALUE!</v>
      </c>
      <c r="Y78" s="579" t="n">
        <f aca="false">IF(Q80="extra",W78-AA78,(P79*AM78+P80*AN78)/AL78)</f>
        <v>-1.2154</v>
      </c>
      <c r="Z78" s="579" t="e">
        <f aca="false">IF(Q80="extra",X78-AB78,(R79*AM78+R80*AN78)/AL78)</f>
        <v>#VALUE!</v>
      </c>
      <c r="AA78" s="523" t="n">
        <f aca="false">IF(Q80="extra",INDEX(BrentSeasonalityTable,INT((BG78-1)/3)+1)*VLOOKUP(MAX(BF78,$AB$4),PriceSpreadTable,3),W78-Y78)</f>
        <v>1.2154</v>
      </c>
      <c r="AB78" s="524" t="n">
        <f aca="false">IF(Q80="extra",INDEX(BrentSeasonalityTable,INT((BG78-1)/3)+1)*VLOOKUP(MAX(BF78,$AB$4),PriceSpreadTable,3),X78-Z78)</f>
        <v>1.2154</v>
      </c>
      <c r="AC78" s="646" t="n">
        <v>38523</v>
      </c>
      <c r="AD78" s="646" t="n">
        <v>38519</v>
      </c>
      <c r="AE78" s="646" t="n">
        <v>38518</v>
      </c>
      <c r="AF78" s="646" t="n">
        <v>38514</v>
      </c>
      <c r="AG78" s="438" t="s">
        <v>247</v>
      </c>
      <c r="AH78" s="439" t="s">
        <v>278</v>
      </c>
      <c r="AI78" s="528" t="n">
        <v>20</v>
      </c>
      <c r="AJ78" s="529" t="n">
        <v>13</v>
      </c>
      <c r="AK78" s="529" t="n">
        <v>7</v>
      </c>
      <c r="AL78" s="530" t="n">
        <v>21</v>
      </c>
      <c r="AM78" s="529" t="n">
        <v>10</v>
      </c>
      <c r="AN78" s="531" t="n">
        <v>11</v>
      </c>
      <c r="AO78" s="532"/>
      <c r="AP78" s="465" t="n">
        <f aca="false">(1+AO78/2)^(-2*BL78)</f>
        <v>1</v>
      </c>
      <c r="AQ78" s="532"/>
      <c r="AR78" s="465" t="n">
        <f aca="false">(1+AQ78/2)^(-2*BH78/365.25)</f>
        <v>1</v>
      </c>
      <c r="AS78" s="580" t="n">
        <f aca="false">(O79*AJ78+O80*AK78)/AI78</f>
        <v>0</v>
      </c>
      <c r="AT78" s="468" t="n">
        <f aca="false">O78*VLOOKUP(BF78,BrentVolTable,2)+VLOOKUP(BF78,BrentVolTable,3)</f>
        <v>0</v>
      </c>
      <c r="AU78" s="468" t="n">
        <f aca="false">(AT79*AM78+AT80*AN78)/AL78</f>
        <v>0</v>
      </c>
      <c r="AV78" s="595" t="n">
        <f aca="false">SQRT(MAX(0.000000000001,(O78^2*BH78-S78^2*(BH78-BH77))/BH77))</f>
        <v>0.0232425867502975</v>
      </c>
      <c r="AW78" s="451" t="n">
        <f aca="false">IF($I78-DateToday+15&gt;=$T$8,"",IF($I78-DateToday+15&lt;$T$5,1,MATCH($I78-DateToday+15,$T$5:$T$8)))</f>
        <v>1</v>
      </c>
      <c r="AX78" s="468" t="n">
        <f aca="false">IF($AW78="",AX77^2/AX76,INDEX(U$5:U$8,$AW78)^((INDEX($T$5:$T$8,$AW78+1)-($I78-DateToday+15))/(INDEX($T$5:$T$8,$AW78+1)-INDEX($T$5:$T$8,$AW78)))/INDEX(U$5:U$8,$AW78+1)^((INDEX($T$5:$T$8,$AW78)-($I78-DateToday+15))/(INDEX($T$5:$T$8,$AW78+1)-INDEX($T$5:$T$8,$AW78))))</f>
        <v>3.63525499245171</v>
      </c>
      <c r="AY78" s="468" t="n">
        <f aca="false">IF($AW78="",AY77^2/AY76,INDEX(V$5:V$8,$AW78)^((INDEX($T$5:$T$8,$AW78+1)-($I78-DateToday+15))/(INDEX($T$5:$T$8,$AW78+1)-INDEX($T$5:$T$8,$AW78)))/INDEX(V$5:V$8,$AW78+1)^((INDEX($T$5:$T$8,$AW78)-($I78-DateToday+15))/(INDEX($T$5:$T$8,$AW78+1)-INDEX($T$5:$T$8,$AW78))))</f>
        <v>453.985507627884</v>
      </c>
      <c r="AZ78" s="468" t="n">
        <f aca="false">IF($AW78="",AZ77^2/AZ76,INDEX(W$5:W$8,$AW78)^((INDEX($T$5:$T$8,$AW78+1)-($I78-DateToday+15))/(INDEX($T$5:$T$8,$AW78+1)-INDEX($T$5:$T$8,$AW78)))/INDEX(W$5:W$8,$AW78+1)^((INDEX($T$5:$T$8,$AW78)-($I78-DateToday+15))/(INDEX($T$5:$T$8,$AW78+1)-INDEX($T$5:$T$8,$AW78))))</f>
        <v>5950693.99887833</v>
      </c>
      <c r="BA78" s="468" t="n">
        <f aca="false">IF($AW78="",BA77^2/BA76,INDEX(X$5:X$8,$AW78)^((INDEX($T$5:$T$8,$AW78+1)-($I78-DateToday+15))/(INDEX($T$5:$T$8,$AW78+1)-INDEX($T$5:$T$8,$AW78)))/INDEX(X$5:X$8,$AW78+1)^((INDEX($T$5:$T$8,$AW78)-($I78-DateToday+15))/(INDEX($T$5:$T$8,$AW78+1)-INDEX($T$5:$T$8,$AW78))))</f>
        <v>225336354.874737</v>
      </c>
      <c r="BB78" s="468" t="n">
        <f aca="false">IF($AW78="",BB77^2/BB76,INDEX(Y$5:Y$8,$AW78)^((INDEX($T$5:$T$8,$AW78+1)-($I78-DateToday+15))/(INDEX($T$5:$T$8,$AW78+1)-INDEX($T$5:$T$8,$AW78)))/INDEX(Y$5:Y$8,$AW78+1)^((INDEX($T$5:$T$8,$AW78)-($I78-DateToday+15))/(INDEX($T$5:$T$8,$AW78+1)-INDEX($T$5:$T$8,$AW78))))</f>
        <v>3509836519.73138</v>
      </c>
      <c r="BC78" s="468" t="n">
        <f aca="false">IF($AW78="",BC77^2/BC76,INDEX(Z$5:Z$8,$AW78)^((INDEX($T$5:$T$8,$AW78+1)-($I78-DateToday+15))/(INDEX($T$5:$T$8,$AW78+1)-INDEX($T$5:$T$8,$AW78)))/INDEX(Z$5:Z$8,$AW78+1)^((INDEX($T$5:$T$8,$AW78)-($I78-DateToday+15))/(INDEX($T$5:$T$8,$AW78+1)-INDEX($T$5:$T$8,$AW78))))</f>
        <v>18137140436.7689</v>
      </c>
      <c r="BD78" s="535" t="n">
        <f aca="false">IF(OR(DateStart&gt;=I79,DateEnd&lt;I78),0,IF(VolumeOverrideFlag,V78,Volume))</f>
        <v>0</v>
      </c>
      <c r="BE78" s="536" t="n">
        <f aca="false">IF(OR(DateStart2&gt;=I79,DateEnd2&lt;I78),0,IF(VolumeOverrideFlag,V78,VolumeSwaption))</f>
        <v>0</v>
      </c>
      <c r="BF78" s="537" t="n">
        <f aca="false">YEAR(I78)</f>
        <v>2005</v>
      </c>
      <c r="BG78" s="538" t="n">
        <f aca="false">MONTH(I78)</f>
        <v>7</v>
      </c>
      <c r="BH78" s="539" t="n">
        <f aca="false">AD78-DateToday+1</f>
        <v>-7406</v>
      </c>
      <c r="BI78" s="540" t="n">
        <f aca="false">(I78-DateToday+1)/365.25</f>
        <v>-20.2354551676934</v>
      </c>
      <c r="BJ78" s="541" t="n">
        <f aca="false">BI78+(BL78-BI78)*CHOOSE(Underlying,AJ78/AI78,AM78/AL78)</f>
        <v>-20.1820670773443</v>
      </c>
      <c r="BK78" s="541" t="n">
        <f aca="false">BJ78+1/365.25</f>
        <v>-20.1793292265572</v>
      </c>
      <c r="BL78" s="541" t="n">
        <f aca="false">(I79-DateToday)/365.25</f>
        <v>-20.1533196440794</v>
      </c>
      <c r="BM78" s="542" t="e">
        <f aca="false">MAX(BI78-(BJ78-BI78)*(S79^2/O79^2-1),0)</f>
        <v>#DIV/0!</v>
      </c>
      <c r="BN78" s="541" t="e">
        <f aca="false">MAX(BL78+(BL78-BK78)*(S80^2/O80^2-1),0)</f>
        <v>#DIV/0!</v>
      </c>
      <c r="BO78" s="530" t="n">
        <f aca="false">CHOOSE(Underlying,AI78,AL78)</f>
        <v>20</v>
      </c>
      <c r="BP78" s="529" t="n">
        <f aca="false">CHOOSE(Underlying,AJ78,AM78)</f>
        <v>13</v>
      </c>
      <c r="BQ78" s="529" t="n">
        <f aca="false">CHOOSE(Underlying,AK78,AN78)</f>
        <v>7</v>
      </c>
      <c r="BR78" s="463" t="str">
        <f aca="false">IF(BD78,IF(Underlying=1,X78,Z78)+UnderlyingPriceAsian-SwapPriceCurve,"")</f>
        <v/>
      </c>
      <c r="BS78" s="463" t="str">
        <f aca="false">IF(BD78,Strike1/BR78-1,"")</f>
        <v/>
      </c>
      <c r="BT78" s="464" t="str">
        <f aca="false">IF(BD78,Strike2/BR78-1,"")</f>
        <v/>
      </c>
      <c r="BU78" s="465" t="str">
        <f aca="false">IF(BD78,IF(Underlying=1,L79,R79)+UnderlyingPriceAsian-SwapPriceCurve,"")</f>
        <v/>
      </c>
      <c r="BV78" s="465" t="str">
        <f aca="false">IF(BD78,IF(Underlying=1,L80,R80)+UnderlyingPriceAsian-SwapPriceCurve,"")</f>
        <v/>
      </c>
      <c r="BW78" s="466" t="str">
        <f aca="false">IF(BD78,IF(Underlying=1,O79,AT79),"")</f>
        <v/>
      </c>
      <c r="BX78" s="467" t="str">
        <f aca="false">IF(BD78,IF(Underlying=1,O80,AT80),"")</f>
        <v/>
      </c>
      <c r="BY78" s="466" t="str">
        <f aca="false">IF(BD78,IF(BS78&gt;0,IF(BS78&gt;0.2,BC78-BB78,IF(BS78&gt;0.1,BB78-BA78,BA78)),IF(BS78&lt;-0.2,AX78-AY78,IF(BS78&lt;-0.1,AY78-AZ78,AZ78))),"")</f>
        <v/>
      </c>
      <c r="BZ78" s="467" t="str">
        <f aca="false">IF(BD78,IF(BT78&gt;0,IF(BT78&gt;0.2,BC78-BB78,IF(BT78&gt;0.1,BB78-BA78,BA78)),IF(BT78&lt;-0.2,AX78-AY78,IF(BT78&lt;-0.1,AY78-AZ78,AZ78))),"")</f>
        <v/>
      </c>
      <c r="CA78" s="468" t="str">
        <f aca="false">IF($BD78,$BW78+IF(VolSkewFlag=1,IF(BS78&gt;0,$BA78*MIN(BS78/10%,1)+($BB78-$BA78)*MAX(0,MIN(BS78/10%-1,1))+($BC78-$BB78)*MAX(0,BS78/10%-2),$AZ78*MIN(-BS78/10%,1)+($AY78-$AZ78)*MAX(0,MIN(-BS78/10%-1,1))+($AX78-$AY78)*MAX(0,-BS78/10%-2)),0),"")</f>
        <v/>
      </c>
      <c r="CB78" s="468" t="str">
        <f aca="false">IF($BD78,$BX78+IF(VolSkewFlag=1,IF(BS78&gt;0,$BA78*MIN(BS78/10%,1)+($BB78-$BA78)*MAX(0,MIN(BS78/10%-1,1))+($BC78-$BB78)*MAX(0,BS78/10%-2),$AZ78*MIN(-BS78/10%,1)+($AY78-$AZ78)*MAX(0,MIN(-BS78/10%-1,1))+($AX78-$AY78)*MAX(0,-BS78/10%-2)),0),"")</f>
        <v/>
      </c>
      <c r="CC78" s="468" t="str">
        <f aca="false">IF($BD78,$BW78+IF(VolSkewFlag=1,IF(BT78&gt;0,$BA78*MIN(BT78/10%,1)+($BB78-$BA78)*MAX(0,MIN(BT78/10%-1,1))+($BC78-$BB78)*MAX(0,BT78/10%-2),$AZ78*MIN(-BT78/10%,1)+($AY78-$AZ78)*MAX(0,MIN(-BT78/10%-1,1))+($AX78-$AY78)*MAX(0,-BT78/10%-2)),0),"")</f>
        <v/>
      </c>
      <c r="CD78" s="468" t="str">
        <f aca="false">IF($BD78,$BX78+IF(VolSkewFlag=1,IF(BT78&gt;0,$BA78*MIN(BT78/10%,1)+($BB78-$BA78)*MAX(0,MIN(BT78/10%-1,1))+($BC78-$BB78)*MAX(0,BT78/10%-2),$AZ78*MIN(-BT78/10%,1)+($AY78-$AZ78)*MAX(0,MIN(-BT78/10%-1,1))+($AX78-$AY78)*MAX(0,-BT78/10%-2)),0),"")</f>
        <v/>
      </c>
      <c r="CE78" s="469" t="n">
        <v>1</v>
      </c>
      <c r="CF78" s="470" t="n">
        <f aca="false">IF(BD78,xCrudeAPO(BU78,BV78,CA78,CB78,S79,S80,BI78,BL78,BP78,BQ78,0,Strike1,AO78,CE78,0,BL78,IF(OptControl=4,0,1),0,1),0)</f>
        <v>0</v>
      </c>
      <c r="CG78" s="470" t="n">
        <f aca="false">IF(BD78,xCrudeAPO(BU78,BV78,CA78,CB78,S79,S80,BI78,BL78,BP78,BQ78,0,Strike1,AO78,CE78,0,BL78,IF(OptControl=4,0,1),1,1)+xCrudeAPO(BU78,BV78,CA78,CB78,S79,S80,BI78,BL78,BP78,BQ78,0,Strike1,AO78,CE78,0,BL78,IF(OptControl=4,0,1),1,2)+IF(OR(VolSkewFlag=2,ABS(BS78)&lt;0.0001),0,IF(BS78&gt;0,-1,1)*CH78*Strike1/BR78^2*BY78/10%),0)</f>
        <v>0</v>
      </c>
      <c r="CH78" s="470" t="n">
        <f aca="false">IF(BD78,(xCrudeAPO(BU78,BV78,CA78,CB78,S79,S80,BI78,BL78,BP78,BQ78,0,Strike1,AO78,CE78,0,BL78,IF(OptControl=4,0,1),3,1)+xCrudeAPO(BU78,BV78,CA78,CB78,S79,S80,BI78,BL78,BP78,BQ78,0,Strike1,AO78,CE78,0,BL78,IF(OptControl=4,0,1),3,2))/100,0)</f>
        <v>0</v>
      </c>
      <c r="CI78" s="470" t="n">
        <f aca="false">IF(BD78,xCrudeAPO(BU78,BV78,CA78,CB78,S79,S80,BI78-DaysForThetaCalculation/365.25,BL78-DaysForThetaCalculation/365.25,BP78,BQ78,0,Strike1,AO78,CE78,0,BL78,IF(OptControl=4,0,1),0,1)-xCrudeAPO(BU78,BV78,CA78,CB78,S79,S80,BI78,BL78,BP78,BQ78,0,Strike1,AO78,CE78,0,BL78,IF(OptControl=4,0,1),0,1),0)</f>
        <v>0</v>
      </c>
      <c r="CJ78" s="471" t="n">
        <f aca="false">IF(BD78,xCrudeAPO(BU78,BV78,CC78,CD78,S79,S80,BI78,BL78,BP78,BQ78,0,Strike2,AO78,CE78,0,BL78,IF(OptControl=3,1,0),0,1),0)</f>
        <v>0</v>
      </c>
      <c r="CK78" s="470" t="n">
        <f aca="false">IF(BD78,xCrudeAPO(BU78,BV78,CC78,CD78,S79,S80,BI78,BL78,BP78,BQ78,0,Strike2,AO78,CE78,0,BL78,IF(OptControl=3,1,0),1,1)+xCrudeAPO(BU78,BV78,CC78,CD78,S79,S80,BI78,BL78,BP78,BQ78,0,Strike2,AO78,CE78,0,BL78,IF(OptControl=3,1,0),1,2)+IF(OR(VolSkewFlag=2,ABS(BT78)&lt;0.0001),0,IF(BT78&gt;0,-1,1)*CL78*Strike2/BR78^2*BZ78/10%),0)</f>
        <v>0</v>
      </c>
      <c r="CL78" s="470" t="n">
        <f aca="false">IF(BD78,(xCrudeAPO(BU78,BV78,CC78,CD78,S79,S80,BI78,BL78,BP78,BQ78,0,Strike2,AO78,CE78,0,BL78,IF(OptControl=3,1,0),3,1)+xCrudeAPO(BU78,BV78,CC78,CD78,S79,S80,BI78,BL78,BP78,BQ78,0,Strike2,AO78,CE78,0,BL78,IF(OptControl=3,1,0),3,2))/100,0)</f>
        <v>0</v>
      </c>
      <c r="CM78" s="472" t="n">
        <f aca="false">IF(BD78,xCrudeAPO(BU78,BV78,CC78,CD78,S79,S80,BI78-DaysForThetaCalculation/365.25,BL78-DaysForThetaCalculation/365.25,BP78,BQ78,0,Strike2,AO78,CE78,0,BL78,IF(OptControl=3,1,0),0,1)-xCrudeAPO(BU78,BV78,CC78,CD78,S79,S80,BI78,BL78,BP78,BQ78,0,Strike2,AO78,CE78,0,BL78,IF(OptControl=3,1,0),0,1),0)</f>
        <v>0</v>
      </c>
      <c r="CN78" s="3"/>
      <c r="CO78" s="543" t="str">
        <f aca="false">IF(BD78,CHOOSE(Underlying,AD78,AF78)-DateToday+1,"")</f>
        <v/>
      </c>
      <c r="CP78" s="582" t="str">
        <f aca="false">IF(BD78,CHOOSE(Underlying,L78,R78),"")</f>
        <v/>
      </c>
      <c r="CQ78" s="544" t="str">
        <f aca="false">IF(BD78,Strike1/CP78-1,"")</f>
        <v/>
      </c>
      <c r="CR78" s="544" t="str">
        <f aca="false">IF(BD78,Strike2/CP78-1,"")</f>
        <v/>
      </c>
      <c r="CS78" s="544" t="str">
        <f aca="false">IF(BD78,IF(CQ78&gt;0,IF(CQ78&gt;0.2,BC77-BB77,IF(CQ78&gt;0.1,BB77-BA77,BA77)),IF(CQ78&lt;-0.2,AX77-AY77,IF(CQ78&lt;-0.1,AY77-AZ77,AZ77))),"")</f>
        <v/>
      </c>
      <c r="CT78" s="544" t="str">
        <f aca="false">IF(BD78,IF(CR78&gt;0,IF(CR78&gt;0.2,BC77-BB77,IF(CR78&gt;0.1,BB77-BA77,BA77)),IF(CR78&lt;-0.2,AX77-AY77,IF(CR78&lt;-0.1,AY77-AZ77,AZ77))),"")</f>
        <v/>
      </c>
      <c r="CU78" s="545" t="str">
        <f aca="false">IF(BD78,CHOOSE(Underlying,O78,AT78),"")</f>
        <v/>
      </c>
      <c r="CV78" s="545" t="str">
        <f aca="false">IF(BD78,CU78+IF(VolSkewFlag=1,IF(CQ78&gt;0,BA77*MIN(CQ78/10%,1)+(BB77-BA77)*MAX(0,MIN(CQ78/10%-1,1))+(BC77-BB77)*MAX(0,CQ78/10%-2),AZ77*MIN(-CQ78/10%,1)+(AY77-AZ77)*MAX(0,MIN(-CQ78/10%-1,1))+(AX77-AY77)*MAX(0,-CQ78/10%-2)),0),"")</f>
        <v/>
      </c>
      <c r="CW78" s="545" t="str">
        <f aca="false">IF(BD78,CU78+IF(VolSkewFlag=1,IF(CR78&gt;0,BA77*MIN(CR78/10%,1)+(BB77-BA77)*MAX(0,MIN(CR78/10%-1,1))+(BC77-BB77)*MAX(0,CR78/10%-2),AZ77*MIN(-CR78/10%,1)+(AY77-AZ77)*MAX(0,MIN(-CR78/10%-1,1))+(AX77-AY77)*MAX(0,-CR78/10%-2)),0),"")</f>
        <v/>
      </c>
      <c r="CX78" s="470" t="n">
        <f aca="false">IF(BD78,EURO(CP78,Strike1,AO78,AO78,CV78,CO78,IF(OptControl=4,0,1),0),0)</f>
        <v>0</v>
      </c>
      <c r="CY78" s="470" t="n">
        <f aca="false">IF(BD78,EURO(CP78,Strike1,AO78,AO78,CV78,CO78,IF(OptControl=4,0,1),1)+IF(OR(VolSkewFlag=2,ABS(CQ78)&lt;0.0001),0,IF(CQ78&gt;0,-1,1)*CZ78*100*Strike1/CP78^2*CS78/10%),0)</f>
        <v>0</v>
      </c>
      <c r="CZ78" s="470" t="n">
        <f aca="false">IF(BD78,EURO(CP78,Strike1,AO78,AO78,CV78,CO78,IF(OptControl=4,0,1),3)/100,0)</f>
        <v>0</v>
      </c>
      <c r="DA78" s="470" t="n">
        <f aca="false">IF(BD78,EURO(CP78,Strike1,AO78,AO78,CV78,CO78,IF(OptControl=4,0,1),0)-EURO(CP78,Strike1,AO78,AO78,CV78,CO78-1,IF(OptControl=4,0,1),0),0)</f>
        <v>0</v>
      </c>
      <c r="DB78" s="470" t="n">
        <f aca="false">IF(BD78,EURO(CP78,Strike2,AO78,AO78,CW78,CO78,IF(OptControl=3,1,0),0),0)</f>
        <v>0</v>
      </c>
      <c r="DC78" s="470" t="n">
        <f aca="false">IF(BD78,EURO(CP78,Strike2,AO78,AO78,CW78,CO78,IF(OptControl=3,1,0),1)+IF(OR(VolSkewFlag=2,ABS(CR78)&lt;0.0001),0,IF(CR78&gt;0,-1,1)*DD78*100*Strike2/CP78^2*CT78/10%),0)</f>
        <v>0</v>
      </c>
      <c r="DD78" s="470" t="n">
        <f aca="false">IF(BD78,EURO(CP78,Strike2,AO78,AO78,CW78,CO78,IF(OptControl=3,1,0),3)/100,0)</f>
        <v>0</v>
      </c>
      <c r="DE78" s="472" t="n">
        <f aca="false">IF(BD78,EURO(CP78,Strike2,AO78,AO78,CW78,CO78,IF(OptControl=3,1,0),0)-EURO(CP78,Strike2,AO78,AO78,CW78,CO78-1,IF(OptControl=3,1,0),0),0)</f>
        <v>0</v>
      </c>
      <c r="DG78" s="481" t="n">
        <f aca="false">EOMONTH(DG77,0)+1</f>
        <v>47453</v>
      </c>
      <c r="DH78" s="478" t="n">
        <v>18.36</v>
      </c>
      <c r="DI78" s="479" t="n">
        <v>18.3553623188406</v>
      </c>
      <c r="DJ78" s="480" t="n">
        <f aca="false">DG78</f>
        <v>47453</v>
      </c>
      <c r="DK78" s="478" t="n">
        <v>17.2389712351546</v>
      </c>
      <c r="DL78" s="479" t="n">
        <v>17.2107623188406</v>
      </c>
      <c r="DM78" s="481" t="n">
        <f aca="false">DG78</f>
        <v>47453</v>
      </c>
      <c r="DN78" s="482" t="n">
        <f aca="false">DK78+BrentPhyBrentSpread</f>
        <v>17.2889712351546</v>
      </c>
      <c r="DO78" s="481" t="n">
        <f aca="false">DG78</f>
        <v>47453</v>
      </c>
      <c r="DP78" s="483" t="n">
        <f aca="false">DL78+DQ78</f>
        <v>17.2107623188406</v>
      </c>
      <c r="DQ78" s="546" t="n">
        <v>0</v>
      </c>
      <c r="DR78" s="480" t="n">
        <f aca="false">DG78</f>
        <v>47453</v>
      </c>
      <c r="DS78" s="485" t="n">
        <v>0.197156220398928</v>
      </c>
      <c r="DT78" s="486" t="n">
        <v>0.193872049028239</v>
      </c>
      <c r="DU78" s="480" t="n">
        <f aca="false">DG78</f>
        <v>47453</v>
      </c>
      <c r="DV78" s="485" t="n">
        <v>0.197156220398928</v>
      </c>
      <c r="DW78" s="486" t="n">
        <v>0.193872049028239</v>
      </c>
      <c r="DX78" s="481" t="n">
        <f aca="false">DG78</f>
        <v>47453</v>
      </c>
      <c r="DY78" s="486" t="n">
        <v>0.35</v>
      </c>
      <c r="DZ78" s="481" t="n">
        <f aca="false">DR78</f>
        <v>47453</v>
      </c>
      <c r="EA78" s="486" t="n">
        <f aca="false">DT78</f>
        <v>0.193872049028239</v>
      </c>
      <c r="EB78" s="195"/>
      <c r="EC78" s="547" t="str">
        <f aca="false">IF(BD78,IF(Underlying=1,AS78,AU78),"")</f>
        <v/>
      </c>
      <c r="ED78" s="548" t="str">
        <f aca="false">IF($BD78,$EC78+IF(VolSkewFlag=1,IF(BS78&gt;0,$BA78*MIN(BS78/10%,1)+($BB78-$BA78)*MAX(0,MIN(BS78/10%-1,1))+($BC78-$BB78)*MAX(0,BS78/10%-2),$AZ78*MIN(-BS78/10%,1)+($AY78-$AZ78)*MAX(0,MIN(-BS78/10%-1,1))+($AX78-$AY78)*MAX(0,-BS78/10%-2)),0),"")</f>
        <v/>
      </c>
      <c r="EE78" s="549" t="str">
        <f aca="false">IF($BD78,$EC78+IF(VolSkewFlag=1,IF(BT78&gt;0,$BA78*MIN(BT78/10%,1)+($BB78-$BA78)*MAX(0,MIN(BT78/10%-1,1))+($BC78-$BB78)*MAX(0,BT78/10%-2),$AZ78*MIN(-BT78/10%,1)+($AY78-$AZ78)*MAX(0,MIN(-BT78/10%-1,1))+($AX78-$AY78)*MAX(0,-BT78/10%-2)),0),"")</f>
        <v/>
      </c>
      <c r="EF78" s="550" t="n">
        <f aca="false">IF(BD78,xASN(BR78,Strike1,AO78,ED78,0,BO78,0,BI78,BL78,IF(OptControl=4,0,1),0),0)</f>
        <v>0</v>
      </c>
      <c r="EG78" s="551" t="n">
        <f aca="false">IF(BD78,xASN(BR78,Strike2,AO78,EE78,0,BO78,0,BI78,BL78,IF(OptControl=3,1,0),0),0)</f>
        <v>0</v>
      </c>
      <c r="EL78" s="1"/>
      <c r="EM78" s="195"/>
      <c r="EN78" s="556" t="n">
        <v>42736</v>
      </c>
      <c r="EO78" s="557" t="n">
        <v>47119</v>
      </c>
      <c r="EP78" s="195"/>
      <c r="EQ78" s="407" t="s">
        <v>304</v>
      </c>
      <c r="ES78" s="587" t="n">
        <v>59</v>
      </c>
      <c r="ET78" s="559" t="n">
        <f aca="false">BH78/365.25</f>
        <v>-20.2765229295003</v>
      </c>
      <c r="EU78" s="560" t="n">
        <f aca="false">O78^2*ET78</f>
        <v>-0</v>
      </c>
      <c r="EV78" s="588" t="e">
        <f aca="false">SQRT(SUM(FK78:ID78)/ET78)</f>
        <v>#VALUE!</v>
      </c>
      <c r="EW78" s="589" t="str">
        <f aca="false">IF(OR(DateStart2&gt;I77,DateEnd2&lt;I76),"",IF(DateStart2&lt;I77,AK76/AI76*AP76*BE76*SwaptionNumOfMonths/$D$33,0)+IF(DateEnd2&gt;I76,AJ77/AI77*AP77*BE77*SwaptionNumOfMonths/$D$33,0))</f>
        <v/>
      </c>
      <c r="EX78" s="590" t="str">
        <f aca="false">IF(EW78="","",SQRT(SUM(FK383:ID383)/SwaptionYearsToExp))</f>
        <v/>
      </c>
      <c r="EY78" s="129" t="n">
        <v>0</v>
      </c>
      <c r="EZ78" s="591" t="str">
        <f aca="false">IF(OR(EW78="",EW79=""),"",SQRT(SUM(INDEX(FK78:ID78,SwaptionFirstMonthPosition+1):INDEX(FK78:ID78,FJ78))/SUM(INDEX($FK$15:$ID$15,SwaptionFirstMonthPosition+1):INDEX($FK$15:$ID$15,FJ78))))</f>
        <v/>
      </c>
      <c r="FA78" s="592" t="str">
        <f aca="false">IF(OR(EW78="",EW77=""),"",SQRT(SUM(INDEX(FK78:ID78,SwaptionFirstMonthPosition+1):INDEX(FK78:ID78,FJ78-1))/SUM(INDEX($FK$15:$ID$15,SwaptionFirstMonthPosition+1):INDEX($FK$15:$ID$15,FJ78-1))))</f>
        <v/>
      </c>
      <c r="FB78" s="593" t="str">
        <f aca="false">IF(BE78,2/3*EZ79+1/3*FA80,"")</f>
        <v/>
      </c>
      <c r="FC78" s="596" t="str">
        <f aca="false">IF(BE78,(I79+I78-1)/2-DateToday,"")</f>
        <v/>
      </c>
      <c r="FD78" s="483" t="str">
        <f aca="false">IF(BE78,CHOOSE(Underlying,X78,Z78)+SwaptionUnderlyingPrice-$D$26,"")</f>
        <v/>
      </c>
      <c r="FE78" s="483" t="str">
        <f aca="false">IF(BE78,CollartionFloor/FD78-1,"")</f>
        <v/>
      </c>
      <c r="FF78" s="483" t="str">
        <f aca="false">IF(BE78,CollartionCap/FD78-1,"")</f>
        <v/>
      </c>
      <c r="FG78" s="485" t="str">
        <f aca="false">IF(BE78,IF(VolSkewFlag=1,IF(FE78&gt;0,$BA78*MIN(FE78/10%,1)+($BB78-$BA78)*MAX(0,MIN(FE78/10%-1,1))+($BC78-$BB78)*MAX(0,FE78/10%-2),$AZ78*MIN(-FE78/10%,1)+($AY78-$AZ78)*MAX(0,MIN(-FE78/10%-1,1))+($AX78-$AY78)*MAX(0,-FE78/10%-2)),0),"")</f>
        <v/>
      </c>
      <c r="FH78" s="486" t="str">
        <f aca="false">IF(BE78,IF(VolSkewFlag=1,IF(FF78&gt;0,$BA78*MIN(FF78/10%,1)+($BB78-$BA78)*MAX(0,MIN(FF78/10%-1,1))+($BC78-$BB78)*MAX(0,FF78/10%-2),$AZ78*MIN(-FF78/10%,1)+($AY78-$AZ78)*MAX(0,MIN(-FF78/10%-1,1))+($AX78-$AY78)*MAX(0,-FF78/10%-2)),0),"")</f>
        <v/>
      </c>
      <c r="FI78" s="129"/>
      <c r="FJ78" s="571" t="n">
        <v>59</v>
      </c>
      <c r="FK78" s="150" t="n">
        <f aca="false">IF(FK$19&gt;$FJ78,"",MAX(0,IF(FK$19=$FJ78,$S78^2*FK$15,FK77*INDEX($T$20:$T$91,$FJ78-FK$19)^2/INDEX($U$20:$U$91,$FJ78-FK$19))))</f>
        <v>0</v>
      </c>
      <c r="FL78" s="150" t="n">
        <f aca="false">IF(FL$19&gt;$FJ78,"",MAX(0,IF(FL$19=$FJ78,$S78^2*FL$15,FL77*INDEX($T$20:$T$91,$FJ78-FL$19)^2/INDEX($U$20:$U$91,$FJ78-FL$19))))</f>
        <v>0</v>
      </c>
      <c r="FM78" s="150" t="n">
        <f aca="false">IF(FM$19&gt;$FJ78,"",MAX(0,IF(FM$19=$FJ78,$S78^2*FM$15,FM77*INDEX($T$20:$T$91,$FJ78-FM$19)^2/INDEX($U$20:$U$91,$FJ78-FM$19))))</f>
        <v>0.00254737427946048</v>
      </c>
      <c r="FN78" s="150" t="n">
        <f aca="false">IF(FN$19&gt;$FJ78,"",MAX(0,IF(FN$19=$FJ78,$S78^2*FN$15,FN77*INDEX($T$20:$T$91,$FJ78-FN$19)^2/INDEX($U$20:$U$91,$FJ78-FN$19))))</f>
        <v>0.00214413514737309</v>
      </c>
      <c r="FO78" s="150" t="n">
        <f aca="false">IF(FO$19&gt;$FJ78,"",MAX(0,IF(FO$19=$FJ78,$S78^2*FO$15,FO77*INDEX($T$20:$T$91,$FJ78-FO$19)^2/INDEX($U$20:$U$91,$FJ78-FO$19))))</f>
        <v>0.00223032337518543</v>
      </c>
      <c r="FP78" s="150" t="n">
        <f aca="false">IF(FP$19&gt;$FJ78,"",MAX(0,IF(FP$19=$FJ78,$S78^2*FP$15,FP77*INDEX($T$20:$T$91,$FJ78-FP$19)^2/INDEX($U$20:$U$91,$FJ78-FP$19))))</f>
        <v>0.00247156389102828</v>
      </c>
      <c r="FQ78" s="150" t="n">
        <f aca="false">IF(FQ$19&gt;$FJ78,"",MAX(0,IF(FQ$19=$FJ78,$S78^2*FQ$15,FQ77*INDEX($T$20:$T$91,$FJ78-FQ$19)^2/INDEX($U$20:$U$91,$FJ78-FQ$19))))</f>
        <v>0.00200111912365525</v>
      </c>
      <c r="FR78" s="150" t="n">
        <f aca="false">IF(FR$19&gt;$FJ78,"",MAX(0,IF(FR$19=$FJ78,$S78^2*FR$15,FR77*INDEX($T$20:$T$91,$FJ78-FR$19)^2/INDEX($U$20:$U$91,$FJ78-FR$19))))</f>
        <v>0.00204620681395566</v>
      </c>
      <c r="FS78" s="150" t="n">
        <f aca="false">IF(FS$19&gt;$FJ78,"",MAX(0,IF(FS$19=$FJ78,$S78^2*FS$15,FS77*INDEX($T$20:$T$91,$FJ78-FS$19)^2/INDEX($U$20:$U$91,$FJ78-FS$19))))</f>
        <v>0.00230612594272013</v>
      </c>
      <c r="FT78" s="150" t="n">
        <f aca="false">IF(FT$19&gt;$FJ78,"",MAX(0,IF(FT$19=$FJ78,$S78^2*FT$15,FT77*INDEX($T$20:$T$91,$FJ78-FT$19)^2/INDEX($U$20:$U$91,$FJ78-FT$19))))</f>
        <v>0.00208140320681599</v>
      </c>
      <c r="FU78" s="150" t="n">
        <f aca="false">IF(FU$19&gt;$FJ78,"",MAX(0,IF(FU$19=$FJ78,$S78^2*FU$15,FU77*INDEX($T$20:$T$91,$FJ78-FU$19)^2/INDEX($U$20:$U$91,$FJ78-FU$19))))</f>
        <v>0.00200121478656534</v>
      </c>
      <c r="FV78" s="150" t="n">
        <f aca="false">IF(FV$19&gt;$FJ78,"",MAX(0,IF(FV$19=$FJ78,$S78^2*FV$15,FV77*INDEX($T$20:$T$91,$FJ78-FV$19)^2/INDEX($U$20:$U$91,$FJ78-FV$19))))</f>
        <v>0.00219942478637398</v>
      </c>
      <c r="FW78" s="150" t="n">
        <f aca="false">IF(FW$19&gt;$FJ78,"",MAX(0,IF(FW$19=$FJ78,$S78^2*FW$15,FW77*INDEX($T$20:$T$91,$FJ78-FW$19)^2/INDEX($U$20:$U$91,$FJ78-FW$19))))</f>
        <v>0.00205589766593913</v>
      </c>
      <c r="FX78" s="150" t="n">
        <f aca="false">IF(FX$19&gt;$FJ78,"",MAX(0,IF(FX$19=$FJ78,$S78^2*FX$15,FX77*INDEX($T$20:$T$91,$FJ78-FX$19)^2/INDEX($U$20:$U$91,$FJ78-FX$19))))</f>
        <v>0.00218826565743632</v>
      </c>
      <c r="FY78" s="150" t="n">
        <f aca="false">IF(FY$19&gt;$FJ78,"",MAX(0,IF(FY$19=$FJ78,$S78^2*FY$15,FY77*INDEX($T$20:$T$91,$FJ78-FY$19)^2/INDEX($U$20:$U$91,$FJ78-FY$19))))</f>
        <v>0.0020483701972114</v>
      </c>
      <c r="FZ78" s="150" t="n">
        <f aca="false">IF(FZ$19&gt;$FJ78,"",MAX(0,IF(FZ$19=$FJ78,$S78^2*FZ$15,FZ77*INDEX($T$20:$T$91,$FJ78-FZ$19)^2/INDEX($U$20:$U$91,$FJ78-FZ$19))))</f>
        <v>0.00190980574281299</v>
      </c>
      <c r="GA78" s="150" t="n">
        <f aca="false">IF(GA$19&gt;$FJ78,"",MAX(0,IF(GA$19=$FJ78,$S78^2*GA$15,GA77*INDEX($T$20:$T$91,$FJ78-GA$19)^2/INDEX($U$20:$U$91,$FJ78-GA$19))))</f>
        <v>0.00204483731556481</v>
      </c>
      <c r="GB78" s="150" t="n">
        <f aca="false">IF(GB$19&gt;$FJ78,"",MAX(0,IF(GB$19=$FJ78,$S78^2*GB$15,GB77*INDEX($T$20:$T$91,$FJ78-GB$19)^2/INDEX($U$20:$U$91,$FJ78-GB$19))))</f>
        <v>0.0022484742850493</v>
      </c>
      <c r="GC78" s="150" t="n">
        <f aca="false">IF(GC$19&gt;$FJ78,"",MAX(0,IF(GC$19=$FJ78,$S78^2*GC$15,GC77*INDEX($T$20:$T$91,$FJ78-GC$19)^2/INDEX($U$20:$U$91,$FJ78-GC$19))))</f>
        <v>0.00197567620091661</v>
      </c>
      <c r="GD78" s="150" t="n">
        <f aca="false">IF(GD$19&gt;$FJ78,"",MAX(0,IF(GD$19=$FJ78,$S78^2*GD$15,GD77*INDEX($T$20:$T$91,$FJ78-GD$19)^2/INDEX($U$20:$U$91,$FJ78-GD$19))))</f>
        <v>0.00197583807629284</v>
      </c>
      <c r="GE78" s="150" t="n">
        <f aca="false">IF(GE$19&gt;$FJ78,"",MAX(0,IF(GE$19=$FJ78,$S78^2*GE$15,GE77*INDEX($T$20:$T$91,$FJ78-GE$19)^2/INDEX($U$20:$U$91,$FJ78-GE$19))))</f>
        <v>0.00224897660797105</v>
      </c>
      <c r="GF78" s="150" t="n">
        <f aca="false">IF(GF$19&gt;$FJ78,"",MAX(0,IF(GF$19=$FJ78,$S78^2*GF$15,GF77*INDEX($T$20:$T$91,$FJ78-GF$19)^2/INDEX($U$20:$U$91,$FJ78-GF$19))))</f>
        <v>0.00197725934827813</v>
      </c>
      <c r="GG78" s="150" t="n">
        <f aca="false">IF(GG$19&gt;$FJ78,"",MAX(0,IF(GG$19=$FJ78,$S78^2*GG$15,GG77*INDEX($T$20:$T$91,$FJ78-GG$19)^2/INDEX($U$20:$U$91,$FJ78-GG$19))))</f>
        <v>0.00218316252990229</v>
      </c>
      <c r="GH78" s="150" t="n">
        <f aca="false">IF(GH$19&gt;$FJ78,"",MAX(0,IF(GH$19=$FJ78,$S78^2*GH$15,GH77*INDEX($T$20:$T$91,$FJ78-GH$19)^2/INDEX($U$20:$U$91,$FJ78-GH$19))))</f>
        <v>0.00204835760922352</v>
      </c>
      <c r="GI78" s="150" t="n">
        <f aca="false">IF(GI$19&gt;$FJ78,"",MAX(0,IF(GI$19=$FJ78,$S78^2*GI$15,GI77*INDEX($T$20:$T$91,$FJ78-GI$19)^2/INDEX($U$20:$U$91,$FJ78-GI$19))))</f>
        <v>0.00198204794624917</v>
      </c>
      <c r="GJ78" s="150" t="n">
        <f aca="false">IF(GJ$19&gt;$FJ78,"",MAX(0,IF(GJ$19=$FJ78,$S78^2*GJ$15,GJ77*INDEX($T$20:$T$91,$FJ78-GJ$19)^2/INDEX($U$20:$U$91,$FJ78-GJ$19))))</f>
        <v>0.0022581513038554</v>
      </c>
      <c r="GK78" s="150" t="n">
        <f aca="false">IF(GK$19&gt;$FJ78,"",MAX(0,IF(GK$19=$FJ78,$S78^2*GK$15,GK77*INDEX($T$20:$T$91,$FJ78-GK$19)^2/INDEX($U$20:$U$91,$FJ78-GK$19))))</f>
        <v>0.00205582238228331</v>
      </c>
      <c r="GL78" s="150" t="n">
        <f aca="false">IF(GL$19&gt;$FJ78,"",MAX(0,IF(GL$19=$FJ78,$S78^2*GL$15,GL77*INDEX($T$20:$T$91,$FJ78-GL$19)^2/INDEX($U$20:$U$91,$FJ78-GL$19))))</f>
        <v>0.00199069102282924</v>
      </c>
      <c r="GM78" s="150" t="n">
        <f aca="false">IF(GM$19&gt;$FJ78,"",MAX(0,IF(GM$19=$FJ78,$S78^2*GM$15,GM77*INDEX($T$20:$T$91,$FJ78-GM$19)^2/INDEX($U$20:$U$91,$FJ78-GM$19))))</f>
        <v>0.0021322719014016</v>
      </c>
      <c r="GN78" s="150" t="n">
        <f aca="false">IF(GN$19&gt;$FJ78,"",MAX(0,IF(GN$19=$FJ78,$S78^2*GN$15,GN77*INDEX($T$20:$T$91,$FJ78-GN$19)^2/INDEX($U$20:$U$91,$FJ78-GN$19))))</f>
        <v>0.00213733159007063</v>
      </c>
      <c r="GO78" s="150" t="n">
        <f aca="false">IF(GO$19&gt;$FJ78,"",MAX(0,IF(GO$19=$FJ78,$S78^2*GO$15,GO77*INDEX($T$20:$T$91,$FJ78-GO$19)^2/INDEX($U$20:$U$91,$FJ78-GO$19))))</f>
        <v>0.00214328695635801</v>
      </c>
      <c r="GP78" s="150" t="n">
        <f aca="false">IF(GP$19&gt;$FJ78,"",MAX(0,IF(GP$19=$FJ78,$S78^2*GP$15,GP77*INDEX($T$20:$T$91,$FJ78-GP$19)^2/INDEX($U$20:$U$91,$FJ78-GP$19))))</f>
        <v>0.00194219826917191</v>
      </c>
      <c r="GQ78" s="150" t="n">
        <f aca="false">IF(GQ$19&gt;$FJ78,"",MAX(0,IF(GQ$19=$FJ78,$S78^2*GQ$15,GQ77*INDEX($T$20:$T$91,$FJ78-GQ$19)^2/INDEX($U$20:$U$91,$FJ78-GQ$19))))</f>
        <v>0.0021585260615602</v>
      </c>
      <c r="GR78" s="150" t="n">
        <f aca="false">IF(GR$19&gt;$FJ78,"",MAX(0,IF(GR$19=$FJ78,$S78^2*GR$15,GR77*INDEX($T$20:$T$91,$FJ78-GR$19)^2/INDEX($U$20:$U$91,$FJ78-GR$19))))</f>
        <v>0.00209826773689267</v>
      </c>
      <c r="GS78" s="150" t="n">
        <f aca="false">IF(GS$19&gt;$FJ78,"",MAX(0,IF(GS$19=$FJ78,$S78^2*GS$15,GS77*INDEX($T$20:$T$91,$FJ78-GS$19)^2/INDEX($U$20:$U$91,$FJ78-GS$19))))</f>
        <v>0.00217960252821577</v>
      </c>
      <c r="GT78" s="150" t="n">
        <f aca="false">IF(GT$19&gt;$FJ78,"",MAX(0,IF(GT$19=$FJ78,$S78^2*GT$15,GT77*INDEX($T$20:$T$91,$FJ78-GT$19)^2/INDEX($U$20:$U$91,$FJ78-GT$19))))</f>
        <v>0.00212227184044311</v>
      </c>
      <c r="GU78" s="150" t="n">
        <f aca="false">IF(GU$19&gt;$FJ78,"",MAX(0,IF(GU$19=$FJ78,$S78^2*GU$15,GU77*INDEX($T$20:$T$91,$FJ78-GU$19)^2/INDEX($U$20:$U$91,$FJ78-GU$19))))</f>
        <v>0.00220881734115961</v>
      </c>
      <c r="GV78" s="150" t="n">
        <f aca="false">IF(GV$19&gt;$FJ78,"",MAX(0,IF(GV$19=$FJ78,$S78^2*GV$15,GV77*INDEX($T$20:$T$91,$FJ78-GV$19)^2/INDEX($U$20:$U$91,$FJ78-GV$19))))</f>
        <v>0.00222745942044211</v>
      </c>
      <c r="GW78" s="150" t="n">
        <f aca="false">IF(GW$19&gt;$FJ78,"",MAX(0,IF(GW$19=$FJ78,$S78^2*GW$15,GW77*INDEX($T$20:$T$91,$FJ78-GW$19)^2/INDEX($U$20:$U$91,$FJ78-GW$19))))</f>
        <v>0.0021769168920475</v>
      </c>
      <c r="GX78" s="150" t="n">
        <f aca="false">IF(GX$19&gt;$FJ78,"",MAX(0,IF(GX$19=$FJ78,$S78^2*GX$15,GX77*INDEX($T$20:$T$91,$FJ78-GX$19)^2/INDEX($U$20:$U$91,$FJ78-GX$19))))</f>
        <v>0.00227553678340609</v>
      </c>
      <c r="GY78" s="150" t="n">
        <f aca="false">IF(GY$19&gt;$FJ78,"",MAX(0,IF(GY$19=$FJ78,$S78^2*GY$15,GY77*INDEX($T$20:$T$91,$FJ78-GY$19)^2/INDEX($U$20:$U$91,$FJ78-GY$19))))</f>
        <v>0.00223202573289965</v>
      </c>
      <c r="GZ78" s="150" t="n">
        <f aca="false">IF(GZ$19&gt;$FJ78,"",MAX(0,IF(GZ$19=$FJ78,$S78^2*GZ$15,GZ77*INDEX($T$20:$T$91,$FJ78-GZ$19)^2/INDEX($U$20:$U$91,$FJ78-GZ$19))))</f>
        <v>0.00234313093339027</v>
      </c>
      <c r="HA78" s="150" t="n">
        <f aca="false">IF(HA$19&gt;$FJ78,"",MAX(0,IF(HA$19=$FJ78,$S78^2*HA$15,HA77*INDEX($T$20:$T$91,$FJ78-HA$19)^2/INDEX($U$20:$U$91,$FJ78-HA$19))))</f>
        <v>0.00238686193310479</v>
      </c>
      <c r="HB78" s="150" t="n">
        <f aca="false">IF(HB$19&gt;$FJ78,"",MAX(0,IF(HB$19=$FJ78,$S78^2*HB$15,HB77*INDEX($T$20:$T$91,$FJ78-HB$19)^2/INDEX($U$20:$U$91,$FJ78-HB$19))))</f>
        <v>0.00228176668131334</v>
      </c>
      <c r="HC78" s="150" t="n">
        <f aca="false">IF(HC$19&gt;$FJ78,"",MAX(0,IF(HC$19=$FJ78,$S78^2*HC$15,HC77*INDEX($T$20:$T$91,$FJ78-HC$19)^2/INDEX($U$20:$U$91,$FJ78-HC$19))))</f>
        <v>0.00250183401866145</v>
      </c>
      <c r="HD78" s="150" t="n">
        <f aca="false">IF(HD$19&gt;$FJ78,"",MAX(0,IF(HD$19=$FJ78,$S78^2*HD$15,HD77*INDEX($T$20:$T$91,$FJ78-HD$19)^2/INDEX($U$20:$U$91,$FJ78-HD$19))))</f>
        <v>0.00249424572695677</v>
      </c>
      <c r="HE78" s="150" t="n">
        <f aca="false">IF(HE$19&gt;$FJ78,"",MAX(0,IF(HE$19=$FJ78,$S78^2*HE$15,HE77*INDEX($T$20:$T$91,$FJ78-HE$19)^2/INDEX($U$20:$U$91,$FJ78-HE$19))))</f>
        <v>0.00266889109530826</v>
      </c>
      <c r="HF78" s="150" t="n">
        <f aca="false">IF(HF$19&gt;$FJ78,"",MAX(0,IF(HF$19=$FJ78,$S78^2*HF$15,HF77*INDEX($T$20:$T$91,$FJ78-HF$19)^2/INDEX($U$20:$U$91,$FJ78-HF$19))))</f>
        <v>0.00269069437643046</v>
      </c>
      <c r="HG78" s="150" t="n">
        <f aca="false">IF(HG$19&gt;$FJ78,"",MAX(0,IF(HG$19=$FJ78,$S78^2*HG$15,HG77*INDEX($T$20:$T$91,$FJ78-HG$19)^2/INDEX($U$20:$U$91,$FJ78-HG$19))))</f>
        <v>0.0029172024650579</v>
      </c>
      <c r="HH78" s="150" t="n">
        <f aca="false">IF(HH$19&gt;$FJ78,"",MAX(0,IF(HH$19=$FJ78,$S78^2*HH$15,HH77*INDEX($T$20:$T$91,$FJ78-HH$19)^2/INDEX($U$20:$U$91,$FJ78-HH$19))))</f>
        <v>0.00308651129875339</v>
      </c>
      <c r="HI78" s="150" t="n">
        <f aca="false">IF(HI$19&gt;$FJ78,"",MAX(0,IF(HI$19=$FJ78,$S78^2*HI$15,HI77*INDEX($T$20:$T$91,$FJ78-HI$19)^2/INDEX($U$20:$U$91,$FJ78-HI$19))))</f>
        <v>0.00319171833432175</v>
      </c>
      <c r="HJ78" s="150" t="n">
        <f aca="false">IF(HJ$19&gt;$FJ78,"",MAX(0,IF(HJ$19=$FJ78,$S78^2*HJ$15,HJ77*INDEX($T$20:$T$91,$FJ78-HJ$19)^2/INDEX($U$20:$U$91,$FJ78-HJ$19))))</f>
        <v>0.00356566873385628</v>
      </c>
      <c r="HK78" s="150" t="n">
        <f aca="false">IF(HK$19&gt;$FJ78,"",MAX(0,IF(HK$19=$FJ78,$S78^2*HK$15,HK77*INDEX($T$20:$T$91,$FJ78-HK$19)^2/INDEX($U$20:$U$91,$FJ78-HK$19))))</f>
        <v>0.00378262333648647</v>
      </c>
      <c r="HL78" s="150" t="n">
        <f aca="false">IF(HL$19&gt;$FJ78,"",MAX(0,IF(HL$19=$FJ78,$S78^2*HL$15,HL77*INDEX($T$20:$T$91,$FJ78-HL$19)^2/INDEX($U$20:$U$91,$FJ78-HL$19))))</f>
        <v>0.00435582465384623</v>
      </c>
      <c r="HM78" s="150" t="n">
        <f aca="false">IF(HM$19&gt;$FJ78,"",MAX(0,IF(HM$19=$FJ78,$S78^2*HM$15,HM77*INDEX($T$20:$T$91,$FJ78-HM$19)^2/INDEX($U$20:$U$91,$FJ78-HM$19))))</f>
        <v>0.00495011233764384</v>
      </c>
      <c r="HN78" s="150" t="n">
        <f aca="false">IF(HN$19&gt;$FJ78,"",MAX(0,IF(HN$19=$FJ78,$S78^2*HN$15,HN77*INDEX($T$20:$T$91,$FJ78-HN$19)^2/INDEX($U$20:$U$91,$FJ78-HN$19))))</f>
        <v>0.00520143173873451</v>
      </c>
      <c r="HO78" s="150" t="n">
        <f aca="false">IF(HO$19&gt;$FJ78,"",MAX(0,IF(HO$19=$FJ78,$S78^2*HO$15,HO77*INDEX($T$20:$T$91,$FJ78-HO$19)^2/INDEX($U$20:$U$91,$FJ78-HO$19))))</f>
        <v>0.00689031688834971</v>
      </c>
      <c r="HP78" s="150" t="n">
        <f aca="false">IF(HP$19&gt;$FJ78,"",MAX(0,IF(HP$19=$FJ78,$S78^2*HP$15,HP77*INDEX($T$20:$T$91,$FJ78-HP$19)^2/INDEX($U$20:$U$91,$FJ78-HP$19))))</f>
        <v>0.00825335810297853</v>
      </c>
      <c r="HQ78" s="150" t="n">
        <f aca="false">IF(HQ$19&gt;$FJ78,"",MAX(0,IF(HQ$19=$FJ78,$S78^2*HQ$15,HQ77*INDEX($T$20:$T$91,$FJ78-HQ$19)^2/INDEX($U$20:$U$91,$FJ78-HQ$19))))</f>
        <v>0.0109995895071623</v>
      </c>
      <c r="HR78" s="150" t="str">
        <f aca="false">IF(HR$19&gt;$FJ78,"",MAX(0,IF(HR$19=$FJ78,$S78^2*HR$15,HR77*INDEX($T$20:$T$91,$FJ78-HR$19)^2/INDEX($U$20:$U$91,$FJ78-HR$19))))</f>
        <v/>
      </c>
      <c r="HS78" s="150" t="str">
        <f aca="false">IF(HS$19&gt;$FJ78,"",MAX(0,IF(HS$19=$FJ78,$S78^2*HS$15,HS77*INDEX($T$20:$T$91,$FJ78-HS$19)^2/INDEX($U$20:$U$91,$FJ78-HS$19))))</f>
        <v/>
      </c>
      <c r="HT78" s="150" t="str">
        <f aca="false">IF(HT$19&gt;$FJ78,"",MAX(0,IF(HT$19=$FJ78,$S78^2*HT$15,HT77*INDEX($T$20:$T$91,$FJ78-HT$19)^2/INDEX($U$20:$U$91,$FJ78-HT$19))))</f>
        <v/>
      </c>
      <c r="HU78" s="150" t="str">
        <f aca="false">IF(HU$19&gt;$FJ78,"",MAX(0,IF(HU$19=$FJ78,$S78^2*HU$15,HU77*INDEX($T$20:$T$91,$FJ78-HU$19)^2/INDEX($U$20:$U$91,$FJ78-HU$19))))</f>
        <v/>
      </c>
      <c r="HV78" s="150" t="str">
        <f aca="false">IF(HV$19&gt;$FJ78,"",MAX(0,IF(HV$19=$FJ78,$S78^2*HV$15,HV77*INDEX($T$20:$T$91,$FJ78-HV$19)^2/INDEX($U$20:$U$91,$FJ78-HV$19))))</f>
        <v/>
      </c>
      <c r="HW78" s="150" t="str">
        <f aca="false">IF(HW$19&gt;$FJ78,"",MAX(0,IF(HW$19=$FJ78,$S78^2*HW$15,HW77*INDEX($T$20:$T$91,$FJ78-HW$19)^2/INDEX($U$20:$U$91,$FJ78-HW$19))))</f>
        <v/>
      </c>
      <c r="HX78" s="150" t="str">
        <f aca="false">IF(HX$19&gt;$FJ78,"",MAX(0,IF(HX$19=$FJ78,$S78^2*HX$15,HX77*INDEX($T$20:$T$91,$FJ78-HX$19)^2/INDEX($U$20:$U$91,$FJ78-HX$19))))</f>
        <v/>
      </c>
      <c r="HY78" s="150" t="str">
        <f aca="false">IF(HY$19&gt;$FJ78,"",MAX(0,IF(HY$19=$FJ78,$S78^2*HY$15,HY77*INDEX($T$20:$T$91,$FJ78-HY$19)^2/INDEX($U$20:$U$91,$FJ78-HY$19))))</f>
        <v/>
      </c>
      <c r="HZ78" s="150" t="str">
        <f aca="false">IF(HZ$19&gt;$FJ78,"",MAX(0,IF(HZ$19=$FJ78,$S78^2*HZ$15,HZ77*INDEX($T$20:$T$91,$FJ78-HZ$19)^2/INDEX($U$20:$U$91,$FJ78-HZ$19))))</f>
        <v/>
      </c>
      <c r="IA78" s="150" t="str">
        <f aca="false">IF(IA$19&gt;$FJ78,"",MAX(0,IF(IA$19=$FJ78,$S78^2*IA$15,IA77*INDEX($T$20:$T$91,$FJ78-IA$19)^2/INDEX($U$20:$U$91,$FJ78-IA$19))))</f>
        <v/>
      </c>
      <c r="IB78" s="150" t="str">
        <f aca="false">IF(IB$19&gt;$FJ78,"",MAX(0,IF(IB$19=$FJ78,$S78^2*IB$15,IB77*INDEX($T$20:$T$91,$FJ78-IB$19)^2/INDEX($U$20:$U$91,$FJ78-IB$19))))</f>
        <v/>
      </c>
      <c r="IC78" s="150" t="str">
        <f aca="false">IF(IC$19&gt;$FJ78,"",MAX(0,IF(IC$19=$FJ78,$S78^2*IC$15,IC77*INDEX($T$20:$T$91,$FJ78-IC$19)^2/INDEX($U$20:$U$91,$FJ78-IC$19))))</f>
        <v/>
      </c>
      <c r="ID78" s="572" t="str">
        <f aca="false">IF(ID$19&gt;$FJ78,"",MAX(0,IF(ID$19=$FJ78,$S78^2*ID$15,ID77*INDEX($T$20:$T$91,$FJ78-ID$19)^2/INDEX($U$20:$U$91,$FJ78-ID$19))))</f>
        <v/>
      </c>
      <c r="IE78" s="129"/>
    </row>
    <row r="79" customFormat="false" ht="12.75" hidden="false" customHeight="false" outlineLevel="0" collapsed="false">
      <c r="H79" s="219" t="n">
        <f aca="false">VLOOKUP(I79,$EJ$20:$EL$54,3)</f>
        <v>0</v>
      </c>
      <c r="I79" s="511" t="n">
        <f aca="false">EOMONTH(I78,0)+1</f>
        <v>38565</v>
      </c>
      <c r="J79" s="512"/>
      <c r="K79" s="513" t="s">
        <v>250</v>
      </c>
      <c r="L79" s="514" t="e">
        <f aca="false">IF(ISNUMBER(K79),J79+K79/100,IF(K79="extra",L78+VLOOKUP(BF79,PriceSpreadTable,2)/12,IF(K79="inter",interpolateprices($K$19:$L$200,ROW(K79)-ROW(FirstPricingMonth)+1),interpolatechanges($J$19:$K$200,ROW(K79)-ROW(FirstPricingMonth)+1))))</f>
        <v>#VALUE!</v>
      </c>
      <c r="M79" s="515"/>
      <c r="N79" s="516" t="n">
        <v>0</v>
      </c>
      <c r="O79" s="515" t="n">
        <f aca="false">M79+N79</f>
        <v>0</v>
      </c>
      <c r="P79" s="512"/>
      <c r="Q79" s="513" t="s">
        <v>280</v>
      </c>
      <c r="R79" s="512" t="e">
        <f aca="false">IF(ISNUMBER(Q79),P79+Q79/100,IF(Q79="extra",(Z77*AL77-R78*AM77)/AN77,IF(Q79="inter",interpolateprices($Q$19:$R$260,ROW(Q79)-ROW(FirstPricingMonth)+1),interpolatechanges($P$19:$Q$260,ROW(Q79)-ROW(FirstPricingMonth)+1))))</f>
        <v>#VALUE!</v>
      </c>
      <c r="S79" s="597" t="n">
        <f aca="false">S$19+(S78-S$19)*S$18</f>
        <v>0.360000002267844</v>
      </c>
      <c r="T79" s="575" t="n">
        <f aca="false">SQRT((1-(1-T78^2/U78)*T$18)*U79)</f>
        <v>0.99998912314995</v>
      </c>
      <c r="U79" s="576" t="n">
        <f aca="false">1-(1-U78)*U$18</f>
        <v>0.999999999362169</v>
      </c>
      <c r="V79" s="521" t="n">
        <v>0</v>
      </c>
      <c r="W79" s="577" t="n">
        <f aca="false">(J80*AJ79+J81*AK79)/AI79</f>
        <v>0</v>
      </c>
      <c r="X79" s="578" t="e">
        <f aca="false">(L80*AJ79+L81*AK79)/AI79</f>
        <v>#VALUE!</v>
      </c>
      <c r="Y79" s="579" t="n">
        <f aca="false">IF(Q81="extra",W79-AA79,(P80*AM79+P81*AN79)/AL79)</f>
        <v>-1.2154</v>
      </c>
      <c r="Z79" s="579" t="e">
        <f aca="false">IF(Q81="extra",X79-AB79,(R80*AM79+R81*AN79)/AL79)</f>
        <v>#VALUE!</v>
      </c>
      <c r="AA79" s="523" t="n">
        <f aca="false">IF(Q81="extra",INDEX(BrentSeasonalityTable,INT((BG79-1)/3)+1)*VLOOKUP(MAX(BF79,$AB$4),PriceSpreadTable,3),W79-Y79)</f>
        <v>1.2154</v>
      </c>
      <c r="AB79" s="524" t="n">
        <f aca="false">IF(Q81="extra",INDEX(BrentSeasonalityTable,INT((BG79-1)/3)+1)*VLOOKUP(MAX(BF79,$AB$4),PriceSpreadTable,3),X79-Z79)</f>
        <v>1.2154</v>
      </c>
      <c r="AC79" s="646" t="n">
        <v>38553</v>
      </c>
      <c r="AD79" s="646" t="n">
        <v>38549</v>
      </c>
      <c r="AE79" s="646" t="n">
        <v>38548</v>
      </c>
      <c r="AF79" s="646" t="n">
        <v>38544</v>
      </c>
      <c r="AG79" s="438" t="s">
        <v>247</v>
      </c>
      <c r="AH79" s="439" t="s">
        <v>278</v>
      </c>
      <c r="AI79" s="528" t="n">
        <v>23</v>
      </c>
      <c r="AJ79" s="529" t="n">
        <v>15</v>
      </c>
      <c r="AK79" s="529" t="n">
        <v>8</v>
      </c>
      <c r="AL79" s="530" t="n">
        <v>23</v>
      </c>
      <c r="AM79" s="529" t="n">
        <v>10</v>
      </c>
      <c r="AN79" s="531" t="n">
        <v>13</v>
      </c>
      <c r="AO79" s="532"/>
      <c r="AP79" s="465" t="n">
        <f aca="false">(1+AO79/2)^(-2*BL79)</f>
        <v>1</v>
      </c>
      <c r="AQ79" s="532"/>
      <c r="AR79" s="465" t="n">
        <f aca="false">(1+AQ79/2)^(-2*BH79/365.25)</f>
        <v>1</v>
      </c>
      <c r="AS79" s="580" t="n">
        <f aca="false">(O80*AJ79+O81*AK79)/AI79</f>
        <v>0</v>
      </c>
      <c r="AT79" s="468" t="n">
        <f aca="false">O79*VLOOKUP(BF79,BrentVolTable,2)+VLOOKUP(BF79,BrentVolTable,3)</f>
        <v>0</v>
      </c>
      <c r="AU79" s="468" t="n">
        <f aca="false">(AT80*AM79+AT81*AN79)/AL79</f>
        <v>0</v>
      </c>
      <c r="AV79" s="595" t="n">
        <f aca="false">SQRT(MAX(0.000000000001,(O79^2*BH79-S79^2*(BH79-BH78))/BH78))</f>
        <v>0.0229124366396518</v>
      </c>
      <c r="AW79" s="451" t="n">
        <f aca="false">IF($I79-DateToday+15&gt;=$T$8,"",IF($I79-DateToday+15&lt;$T$5,1,MATCH($I79-DateToday+15,$T$5:$T$8)))</f>
        <v>1</v>
      </c>
      <c r="AX79" s="468" t="n">
        <f aca="false">IF($AW79="",AX78^2/AX77,INDEX(U$5:U$8,$AW79)^((INDEX($T$5:$T$8,$AW79+1)-($I79-DateToday+15))/(INDEX($T$5:$T$8,$AW79+1)-INDEX($T$5:$T$8,$AW79)))/INDEX(U$5:U$8,$AW79+1)^((INDEX($T$5:$T$8,$AW79)-($I79-DateToday+15))/(INDEX($T$5:$T$8,$AW79+1)-INDEX($T$5:$T$8,$AW79))))</f>
        <v>3.55695467777628</v>
      </c>
      <c r="AY79" s="468" t="n">
        <f aca="false">IF($AW79="",AY78^2/AY77,INDEX(V$5:V$8,$AW79)^((INDEX($T$5:$T$8,$AW79+1)-($I79-DateToday+15))/(INDEX($T$5:$T$8,$AW79+1)-INDEX($T$5:$T$8,$AW79)))/INDEX(V$5:V$8,$AW79+1)^((INDEX($T$5:$T$8,$AW79)-($I79-DateToday+15))/(INDEX($T$5:$T$8,$AW79+1)-INDEX($T$5:$T$8,$AW79))))</f>
        <v>434.916100738004</v>
      </c>
      <c r="AZ79" s="468" t="n">
        <f aca="false">IF($AW79="",AZ78^2/AZ77,INDEX(W$5:W$8,$AW79)^((INDEX($T$5:$T$8,$AW79+1)-($I79-DateToday+15))/(INDEX($T$5:$T$8,$AW79+1)-INDEX($T$5:$T$8,$AW79)))/INDEX(W$5:W$8,$AW79+1)^((INDEX($T$5:$T$8,$AW79)-($I79-DateToday+15))/(INDEX($T$5:$T$8,$AW79+1)-INDEX($T$5:$T$8,$AW79))))</f>
        <v>5472369.63820522</v>
      </c>
      <c r="BA79" s="468" t="n">
        <f aca="false">IF($AW79="",BA78^2/BA77,INDEX(X$5:X$8,$AW79)^((INDEX($T$5:$T$8,$AW79+1)-($I79-DateToday+15))/(INDEX($T$5:$T$8,$AW79+1)-INDEX($T$5:$T$8,$AW79)))/INDEX(X$5:X$8,$AW79+1)^((INDEX($T$5:$T$8,$AW79)-($I79-DateToday+15))/(INDEX($T$5:$T$8,$AW79+1)-INDEX($T$5:$T$8,$AW79))))</f>
        <v>202760112.324322</v>
      </c>
      <c r="BB79" s="468" t="n">
        <f aca="false">IF($AW79="",BB78^2/BB77,INDEX(Y$5:Y$8,$AW79)^((INDEX($T$5:$T$8,$AW79+1)-($I79-DateToday+15))/(INDEX($T$5:$T$8,$AW79+1)-INDEX($T$5:$T$8,$AW79)))/INDEX(Y$5:Y$8,$AW79+1)^((INDEX($T$5:$T$8,$AW79)-($I79-DateToday+15))/(INDEX($T$5:$T$8,$AW79+1)-INDEX($T$5:$T$8,$AW79))))</f>
        <v>3126504262.31697</v>
      </c>
      <c r="BC79" s="468" t="n">
        <f aca="false">IF($AW79="",BC78^2/BC77,INDEX(Z$5:Z$8,$AW79)^((INDEX($T$5:$T$8,$AW79+1)-($I79-DateToday+15))/(INDEX($T$5:$T$8,$AW79+1)-INDEX($T$5:$T$8,$AW79)))/INDEX(Z$5:Z$8,$AW79+1)^((INDEX($T$5:$T$8,$AW79)-($I79-DateToday+15))/(INDEX($T$5:$T$8,$AW79+1)-INDEX($T$5:$T$8,$AW79))))</f>
        <v>16062476232.5368</v>
      </c>
      <c r="BD79" s="535" t="n">
        <f aca="false">IF(OR(DateStart&gt;=I80,DateEnd&lt;I79),0,IF(VolumeOverrideFlag,V79,Volume))</f>
        <v>0</v>
      </c>
      <c r="BE79" s="536" t="n">
        <f aca="false">IF(OR(DateStart2&gt;=I80,DateEnd2&lt;I79),0,IF(VolumeOverrideFlag,V79,VolumeSwaption))</f>
        <v>0</v>
      </c>
      <c r="BF79" s="537" t="n">
        <f aca="false">YEAR(I79)</f>
        <v>2005</v>
      </c>
      <c r="BG79" s="538" t="n">
        <f aca="false">MONTH(I79)</f>
        <v>8</v>
      </c>
      <c r="BH79" s="539" t="n">
        <f aca="false">AD79-DateToday+1</f>
        <v>-7376</v>
      </c>
      <c r="BI79" s="540" t="n">
        <f aca="false">(I79-DateToday+1)/365.25</f>
        <v>-20.1505817932923</v>
      </c>
      <c r="BJ79" s="541" t="n">
        <f aca="false">BI79+(BL79-BI79)*CHOOSE(Underlying,AJ79/AI79,AM79/AL79)</f>
        <v>-20.0970151474571</v>
      </c>
      <c r="BK79" s="541" t="n">
        <f aca="false">BJ79+1/365.25</f>
        <v>-20.0942772966699</v>
      </c>
      <c r="BL79" s="541" t="n">
        <f aca="false">(I80-DateToday)/365.25</f>
        <v>-20.0684462696783</v>
      </c>
      <c r="BM79" s="542" t="e">
        <f aca="false">MAX(BI79-(BJ79-BI79)*(S80^2/O80^2-1),0)</f>
        <v>#DIV/0!</v>
      </c>
      <c r="BN79" s="541" t="e">
        <f aca="false">MAX(BL79+(BL79-BK79)*(S81^2/O81^2-1),0)</f>
        <v>#DIV/0!</v>
      </c>
      <c r="BO79" s="530" t="n">
        <f aca="false">CHOOSE(Underlying,AI79,AL79)</f>
        <v>23</v>
      </c>
      <c r="BP79" s="529" t="n">
        <f aca="false">CHOOSE(Underlying,AJ79,AM79)</f>
        <v>15</v>
      </c>
      <c r="BQ79" s="529" t="n">
        <f aca="false">CHOOSE(Underlying,AK79,AN79)</f>
        <v>8</v>
      </c>
      <c r="BR79" s="463" t="str">
        <f aca="false">IF(BD79,IF(Underlying=1,X79,Z79)+UnderlyingPriceAsian-SwapPriceCurve,"")</f>
        <v/>
      </c>
      <c r="BS79" s="463" t="str">
        <f aca="false">IF(BD79,Strike1/BR79-1,"")</f>
        <v/>
      </c>
      <c r="BT79" s="464" t="str">
        <f aca="false">IF(BD79,Strike2/BR79-1,"")</f>
        <v/>
      </c>
      <c r="BU79" s="465" t="str">
        <f aca="false">IF(BD79,IF(Underlying=1,L80,R80)+UnderlyingPriceAsian-SwapPriceCurve,"")</f>
        <v/>
      </c>
      <c r="BV79" s="465" t="str">
        <f aca="false">IF(BD79,IF(Underlying=1,L81,R81)+UnderlyingPriceAsian-SwapPriceCurve,"")</f>
        <v/>
      </c>
      <c r="BW79" s="466" t="str">
        <f aca="false">IF(BD79,IF(Underlying=1,O80,AT80),"")</f>
        <v/>
      </c>
      <c r="BX79" s="467" t="str">
        <f aca="false">IF(BD79,IF(Underlying=1,O81,AT81),"")</f>
        <v/>
      </c>
      <c r="BY79" s="466" t="str">
        <f aca="false">IF(BD79,IF(BS79&gt;0,IF(BS79&gt;0.2,BC79-BB79,IF(BS79&gt;0.1,BB79-BA79,BA79)),IF(BS79&lt;-0.2,AX79-AY79,IF(BS79&lt;-0.1,AY79-AZ79,AZ79))),"")</f>
        <v/>
      </c>
      <c r="BZ79" s="467" t="str">
        <f aca="false">IF(BD79,IF(BT79&gt;0,IF(BT79&gt;0.2,BC79-BB79,IF(BT79&gt;0.1,BB79-BA79,BA79)),IF(BT79&lt;-0.2,AX79-AY79,IF(BT79&lt;-0.1,AY79-AZ79,AZ79))),"")</f>
        <v/>
      </c>
      <c r="CA79" s="468" t="str">
        <f aca="false">IF($BD79,$BW79+IF(VolSkewFlag=1,IF(BS79&gt;0,$BA79*MIN(BS79/10%,1)+($BB79-$BA79)*MAX(0,MIN(BS79/10%-1,1))+($BC79-$BB79)*MAX(0,BS79/10%-2),$AZ79*MIN(-BS79/10%,1)+($AY79-$AZ79)*MAX(0,MIN(-BS79/10%-1,1))+($AX79-$AY79)*MAX(0,-BS79/10%-2)),0),"")</f>
        <v/>
      </c>
      <c r="CB79" s="468" t="str">
        <f aca="false">IF($BD79,$BX79+IF(VolSkewFlag=1,IF(BS79&gt;0,$BA79*MIN(BS79/10%,1)+($BB79-$BA79)*MAX(0,MIN(BS79/10%-1,1))+($BC79-$BB79)*MAX(0,BS79/10%-2),$AZ79*MIN(-BS79/10%,1)+($AY79-$AZ79)*MAX(0,MIN(-BS79/10%-1,1))+($AX79-$AY79)*MAX(0,-BS79/10%-2)),0),"")</f>
        <v/>
      </c>
      <c r="CC79" s="468" t="str">
        <f aca="false">IF($BD79,$BW79+IF(VolSkewFlag=1,IF(BT79&gt;0,$BA79*MIN(BT79/10%,1)+($BB79-$BA79)*MAX(0,MIN(BT79/10%-1,1))+($BC79-$BB79)*MAX(0,BT79/10%-2),$AZ79*MIN(-BT79/10%,1)+($AY79-$AZ79)*MAX(0,MIN(-BT79/10%-1,1))+($AX79-$AY79)*MAX(0,-BT79/10%-2)),0),"")</f>
        <v/>
      </c>
      <c r="CD79" s="468" t="str">
        <f aca="false">IF($BD79,$BX79+IF(VolSkewFlag=1,IF(BT79&gt;0,$BA79*MIN(BT79/10%,1)+($BB79-$BA79)*MAX(0,MIN(BT79/10%-1,1))+($BC79-$BB79)*MAX(0,BT79/10%-2),$AZ79*MIN(-BT79/10%,1)+($AY79-$AZ79)*MAX(0,MIN(-BT79/10%-1,1))+($AX79-$AY79)*MAX(0,-BT79/10%-2)),0),"")</f>
        <v/>
      </c>
      <c r="CE79" s="469" t="n">
        <v>1</v>
      </c>
      <c r="CF79" s="470" t="n">
        <f aca="false">IF(BD79,xCrudeAPO(BU79,BV79,CA79,CB79,S80,S81,BI79,BL79,BP79,BQ79,0,Strike1,AO79,CE79,0,BL79,IF(OptControl=4,0,1),0,1),0)</f>
        <v>0</v>
      </c>
      <c r="CG79" s="470" t="n">
        <f aca="false">IF(BD79,xCrudeAPO(BU79,BV79,CA79,CB79,S80,S81,BI79,BL79,BP79,BQ79,0,Strike1,AO79,CE79,0,BL79,IF(OptControl=4,0,1),1,1)+xCrudeAPO(BU79,BV79,CA79,CB79,S80,S81,BI79,BL79,BP79,BQ79,0,Strike1,AO79,CE79,0,BL79,IF(OptControl=4,0,1),1,2)+IF(OR(VolSkewFlag=2,ABS(BS79)&lt;0.0001),0,IF(BS79&gt;0,-1,1)*CH79*Strike1/BR79^2*BY79/10%),0)</f>
        <v>0</v>
      </c>
      <c r="CH79" s="470" t="n">
        <f aca="false">IF(BD79,(xCrudeAPO(BU79,BV79,CA79,CB79,S80,S81,BI79,BL79,BP79,BQ79,0,Strike1,AO79,CE79,0,BL79,IF(OptControl=4,0,1),3,1)+xCrudeAPO(BU79,BV79,CA79,CB79,S80,S81,BI79,BL79,BP79,BQ79,0,Strike1,AO79,CE79,0,BL79,IF(OptControl=4,0,1),3,2))/100,0)</f>
        <v>0</v>
      </c>
      <c r="CI79" s="470" t="n">
        <f aca="false">IF(BD79,xCrudeAPO(BU79,BV79,CA79,CB79,S80,S81,BI79-DaysForThetaCalculation/365.25,BL79-DaysForThetaCalculation/365.25,BP79,BQ79,0,Strike1,AO79,CE79,0,BL79,IF(OptControl=4,0,1),0,1)-xCrudeAPO(BU79,BV79,CA79,CB79,S80,S81,BI79,BL79,BP79,BQ79,0,Strike1,AO79,CE79,0,BL79,IF(OptControl=4,0,1),0,1),0)</f>
        <v>0</v>
      </c>
      <c r="CJ79" s="471" t="n">
        <f aca="false">IF(BD79,xCrudeAPO(BU79,BV79,CC79,CD79,S80,S81,BI79,BL79,BP79,BQ79,0,Strike2,AO79,CE79,0,BL79,IF(OptControl=3,1,0),0,1),0)</f>
        <v>0</v>
      </c>
      <c r="CK79" s="470" t="n">
        <f aca="false">IF(BD79,xCrudeAPO(BU79,BV79,CC79,CD79,S80,S81,BI79,BL79,BP79,BQ79,0,Strike2,AO79,CE79,0,BL79,IF(OptControl=3,1,0),1,1)+xCrudeAPO(BU79,BV79,CC79,CD79,S80,S81,BI79,BL79,BP79,BQ79,0,Strike2,AO79,CE79,0,BL79,IF(OptControl=3,1,0),1,2)+IF(OR(VolSkewFlag=2,ABS(BT79)&lt;0.0001),0,IF(BT79&gt;0,-1,1)*CL79*Strike2/BR79^2*BZ79/10%),0)</f>
        <v>0</v>
      </c>
      <c r="CL79" s="470" t="n">
        <f aca="false">IF(BD79,(xCrudeAPO(BU79,BV79,CC79,CD79,S80,S81,BI79,BL79,BP79,BQ79,0,Strike2,AO79,CE79,0,BL79,IF(OptControl=3,1,0),3,1)+xCrudeAPO(BU79,BV79,CC79,CD79,S80,S81,BI79,BL79,BP79,BQ79,0,Strike2,AO79,CE79,0,BL79,IF(OptControl=3,1,0),3,2))/100,0)</f>
        <v>0</v>
      </c>
      <c r="CM79" s="472" t="n">
        <f aca="false">IF(BD79,xCrudeAPO(BU79,BV79,CC79,CD79,S80,S81,BI79-DaysForThetaCalculation/365.25,BL79-DaysForThetaCalculation/365.25,BP79,BQ79,0,Strike2,AO79,CE79,0,BL79,IF(OptControl=3,1,0),0,1)-xCrudeAPO(BU79,BV79,CC79,CD79,S80,S81,BI79,BL79,BP79,BQ79,0,Strike2,AO79,CE79,0,BL79,IF(OptControl=3,1,0),0,1),0)</f>
        <v>0</v>
      </c>
      <c r="CN79" s="3"/>
      <c r="CO79" s="543" t="str">
        <f aca="false">IF(BD79,CHOOSE(Underlying,AD79,AF79)-DateToday+1,"")</f>
        <v/>
      </c>
      <c r="CP79" s="582" t="str">
        <f aca="false">IF(BD79,CHOOSE(Underlying,L79,R79),"")</f>
        <v/>
      </c>
      <c r="CQ79" s="544" t="str">
        <f aca="false">IF(BD79,Strike1/CP79-1,"")</f>
        <v/>
      </c>
      <c r="CR79" s="544" t="str">
        <f aca="false">IF(BD79,Strike2/CP79-1,"")</f>
        <v/>
      </c>
      <c r="CS79" s="544" t="str">
        <f aca="false">IF(BD79,IF(CQ79&gt;0,IF(CQ79&gt;0.2,BC78-BB78,IF(CQ79&gt;0.1,BB78-BA78,BA78)),IF(CQ79&lt;-0.2,AX78-AY78,IF(CQ79&lt;-0.1,AY78-AZ78,AZ78))),"")</f>
        <v/>
      </c>
      <c r="CT79" s="544" t="str">
        <f aca="false">IF(BD79,IF(CR79&gt;0,IF(CR79&gt;0.2,BC78-BB78,IF(CR79&gt;0.1,BB78-BA78,BA78)),IF(CR79&lt;-0.2,AX78-AY78,IF(CR79&lt;-0.1,AY78-AZ78,AZ78))),"")</f>
        <v/>
      </c>
      <c r="CU79" s="545" t="str">
        <f aca="false">IF(BD79,CHOOSE(Underlying,O79,AT79),"")</f>
        <v/>
      </c>
      <c r="CV79" s="545" t="str">
        <f aca="false">IF(BD79,CU79+IF(VolSkewFlag=1,IF(CQ79&gt;0,BA78*MIN(CQ79/10%,1)+(BB78-BA78)*MAX(0,MIN(CQ79/10%-1,1))+(BC78-BB78)*MAX(0,CQ79/10%-2),AZ78*MIN(-CQ79/10%,1)+(AY78-AZ78)*MAX(0,MIN(-CQ79/10%-1,1))+(AX78-AY78)*MAX(0,-CQ79/10%-2)),0),"")</f>
        <v/>
      </c>
      <c r="CW79" s="545" t="str">
        <f aca="false">IF(BD79,CU79+IF(VolSkewFlag=1,IF(CR79&gt;0,BA78*MIN(CR79/10%,1)+(BB78-BA78)*MAX(0,MIN(CR79/10%-1,1))+(BC78-BB78)*MAX(0,CR79/10%-2),AZ78*MIN(-CR79/10%,1)+(AY78-AZ78)*MAX(0,MIN(-CR79/10%-1,1))+(AX78-AY78)*MAX(0,-CR79/10%-2)),0),"")</f>
        <v/>
      </c>
      <c r="CX79" s="470" t="n">
        <f aca="false">IF(BD79,EURO(CP79,Strike1,AO79,AO79,CV79,CO79,IF(OptControl=4,0,1),0),0)</f>
        <v>0</v>
      </c>
      <c r="CY79" s="470" t="n">
        <f aca="false">IF(BD79,EURO(CP79,Strike1,AO79,AO79,CV79,CO79,IF(OptControl=4,0,1),1)+IF(OR(VolSkewFlag=2,ABS(CQ79)&lt;0.0001),0,IF(CQ79&gt;0,-1,1)*CZ79*100*Strike1/CP79^2*CS79/10%),0)</f>
        <v>0</v>
      </c>
      <c r="CZ79" s="470" t="n">
        <f aca="false">IF(BD79,EURO(CP79,Strike1,AO79,AO79,CV79,CO79,IF(OptControl=4,0,1),3)/100,0)</f>
        <v>0</v>
      </c>
      <c r="DA79" s="470" t="n">
        <f aca="false">IF(BD79,EURO(CP79,Strike1,AO79,AO79,CV79,CO79,IF(OptControl=4,0,1),0)-EURO(CP79,Strike1,AO79,AO79,CV79,CO79-1,IF(OptControl=4,0,1),0),0)</f>
        <v>0</v>
      </c>
      <c r="DB79" s="470" t="n">
        <f aca="false">IF(BD79,EURO(CP79,Strike2,AO79,AO79,CW79,CO79,IF(OptControl=3,1,0),0),0)</f>
        <v>0</v>
      </c>
      <c r="DC79" s="470" t="n">
        <f aca="false">IF(BD79,EURO(CP79,Strike2,AO79,AO79,CW79,CO79,IF(OptControl=3,1,0),1)+IF(OR(VolSkewFlag=2,ABS(CR79)&lt;0.0001),0,IF(CR79&gt;0,-1,1)*DD79*100*Strike2/CP79^2*CT79/10%),0)</f>
        <v>0</v>
      </c>
      <c r="DD79" s="470" t="n">
        <f aca="false">IF(BD79,EURO(CP79,Strike2,AO79,AO79,CW79,CO79,IF(OptControl=3,1,0),3)/100,0)</f>
        <v>0</v>
      </c>
      <c r="DE79" s="472" t="n">
        <f aca="false">IF(BD79,EURO(CP79,Strike2,AO79,AO79,CW79,CO79,IF(OptControl=3,1,0),0)-EURO(CP79,Strike2,AO79,AO79,CW79,CO79-1,IF(OptControl=3,1,0),0),0)</f>
        <v>0</v>
      </c>
      <c r="DG79" s="481" t="n">
        <f aca="false">EOMONTH(DG78,0)+1</f>
        <v>47484</v>
      </c>
      <c r="DH79" s="478" t="n">
        <v>18.3566666666667</v>
      </c>
      <c r="DI79" s="479" t="n">
        <v>18.3522222222222</v>
      </c>
      <c r="DJ79" s="480" t="n">
        <f aca="false">DG79</f>
        <v>47484</v>
      </c>
      <c r="DK79" s="478" t="n">
        <v>17.1938128595934</v>
      </c>
      <c r="DL79" s="479" t="n">
        <v>17.2122222222222</v>
      </c>
      <c r="DM79" s="481" t="n">
        <f aca="false">DG79</f>
        <v>47484</v>
      </c>
      <c r="DN79" s="482" t="n">
        <f aca="false">DK79+BrentPhyBrentSpread</f>
        <v>17.2438128595934</v>
      </c>
      <c r="DO79" s="481" t="n">
        <f aca="false">DG79</f>
        <v>47484</v>
      </c>
      <c r="DP79" s="483" t="n">
        <f aca="false">DL79+DQ79</f>
        <v>17.2122222222222</v>
      </c>
      <c r="DQ79" s="546" t="n">
        <v>0</v>
      </c>
      <c r="DR79" s="480" t="n">
        <f aca="false">DG79</f>
        <v>47484</v>
      </c>
      <c r="DS79" s="485" t="n">
        <v>0.193594286948375</v>
      </c>
      <c r="DT79" s="486" t="n">
        <v>0.19430280727887</v>
      </c>
      <c r="DU79" s="480" t="n">
        <f aca="false">DG79</f>
        <v>47484</v>
      </c>
      <c r="DV79" s="485" t="n">
        <v>0.193594286948375</v>
      </c>
      <c r="DW79" s="486" t="n">
        <v>0.19430280727887</v>
      </c>
      <c r="DX79" s="481" t="n">
        <f aca="false">DG79</f>
        <v>47484</v>
      </c>
      <c r="DY79" s="486" t="n">
        <v>0.35</v>
      </c>
      <c r="DZ79" s="481" t="n">
        <f aca="false">DR79</f>
        <v>47484</v>
      </c>
      <c r="EA79" s="486" t="n">
        <f aca="false">DT79</f>
        <v>0.19430280727887</v>
      </c>
      <c r="EB79" s="195"/>
      <c r="EC79" s="547" t="str">
        <f aca="false">IF(BD79,IF(Underlying=1,AS79,AU79),"")</f>
        <v/>
      </c>
      <c r="ED79" s="548" t="str">
        <f aca="false">IF($BD79,$EC79+IF(VolSkewFlag=1,IF(BS79&gt;0,$BA79*MIN(BS79/10%,1)+($BB79-$BA79)*MAX(0,MIN(BS79/10%-1,1))+($BC79-$BB79)*MAX(0,BS79/10%-2),$AZ79*MIN(-BS79/10%,1)+($AY79-$AZ79)*MAX(0,MIN(-BS79/10%-1,1))+($AX79-$AY79)*MAX(0,-BS79/10%-2)),0),"")</f>
        <v/>
      </c>
      <c r="EE79" s="549" t="str">
        <f aca="false">IF($BD79,$EC79+IF(VolSkewFlag=1,IF(BT79&gt;0,$BA79*MIN(BT79/10%,1)+($BB79-$BA79)*MAX(0,MIN(BT79/10%-1,1))+($BC79-$BB79)*MAX(0,BT79/10%-2),$AZ79*MIN(-BT79/10%,1)+($AY79-$AZ79)*MAX(0,MIN(-BT79/10%-1,1))+($AX79-$AY79)*MAX(0,-BT79/10%-2)),0),"")</f>
        <v/>
      </c>
      <c r="EF79" s="550" t="n">
        <f aca="false">IF(BD79,xASN(BR79,Strike1,AO79,ED79,0,BO79,0,BI79,BL79,IF(OptControl=4,0,1),0),0)</f>
        <v>0</v>
      </c>
      <c r="EG79" s="551" t="n">
        <f aca="false">IF(BD79,xASN(BR79,Strike2,AO79,EE79,0,BO79,0,BI79,BL79,IF(OptControl=3,1,0),0),0)</f>
        <v>0</v>
      </c>
      <c r="EL79" s="1"/>
      <c r="EM79" s="195"/>
      <c r="EN79" s="556" t="n">
        <v>42920</v>
      </c>
      <c r="EO79" s="557" t="n">
        <v>47477</v>
      </c>
      <c r="EP79" s="195"/>
      <c r="EQ79" s="407" t="s">
        <v>305</v>
      </c>
      <c r="ES79" s="587" t="n">
        <v>60</v>
      </c>
      <c r="ET79" s="559" t="n">
        <f aca="false">BH79/365.25</f>
        <v>-20.1943874058864</v>
      </c>
      <c r="EU79" s="560" t="n">
        <f aca="false">O79^2*ET79</f>
        <v>-0</v>
      </c>
      <c r="EV79" s="588" t="e">
        <f aca="false">SQRT(SUM(FK79:ID79)/ET79)</f>
        <v>#VALUE!</v>
      </c>
      <c r="EW79" s="589" t="str">
        <f aca="false">IF(OR(DateStart2&gt;I78,DateEnd2&lt;I77),"",IF(DateStart2&lt;I78,AK77/AI77*AP77*BE77*SwaptionNumOfMonths/$D$33,0)+IF(DateEnd2&gt;I77,AJ78/AI78*AP78*BE78*SwaptionNumOfMonths/$D$33,0))</f>
        <v/>
      </c>
      <c r="EX79" s="590" t="str">
        <f aca="false">IF(EW79="","",SQRT(SUM(FK384:ID384)/SwaptionYearsToExp))</f>
        <v/>
      </c>
      <c r="EY79" s="129" t="n">
        <v>0</v>
      </c>
      <c r="EZ79" s="591" t="str">
        <f aca="false">IF(OR(EW79="",EW80=""),"",SQRT(SUM(INDEX(FK79:ID79,SwaptionFirstMonthPosition+1):INDEX(FK79:ID79,FJ79))/SUM(INDEX($FK$15:$ID$15,SwaptionFirstMonthPosition+1):INDEX($FK$15:$ID$15,FJ79))))</f>
        <v/>
      </c>
      <c r="FA79" s="592" t="str">
        <f aca="false">IF(OR(EW79="",EW78=""),"",SQRT(SUM(INDEX(FK79:ID79,SwaptionFirstMonthPosition+1):INDEX(FK79:ID79,FJ79-1))/SUM(INDEX($FK$15:$ID$15,SwaptionFirstMonthPosition+1):INDEX($FK$15:$ID$15,FJ79-1))))</f>
        <v/>
      </c>
      <c r="FB79" s="593" t="str">
        <f aca="false">IF(BE79,2/3*EZ80+1/3*FA81,"")</f>
        <v/>
      </c>
      <c r="FC79" s="596" t="str">
        <f aca="false">IF(BE79,(I80+I79-1)/2-DateToday,"")</f>
        <v/>
      </c>
      <c r="FD79" s="483" t="str">
        <f aca="false">IF(BE79,CHOOSE(Underlying,X79,Z79)+SwaptionUnderlyingPrice-$D$26,"")</f>
        <v/>
      </c>
      <c r="FE79" s="483" t="str">
        <f aca="false">IF(BE79,CollartionFloor/FD79-1,"")</f>
        <v/>
      </c>
      <c r="FF79" s="483" t="str">
        <f aca="false">IF(BE79,CollartionCap/FD79-1,"")</f>
        <v/>
      </c>
      <c r="FG79" s="485" t="str">
        <f aca="false">IF(BE79,IF(VolSkewFlag=1,IF(FE79&gt;0,$BA79*MIN(FE79/10%,1)+($BB79-$BA79)*MAX(0,MIN(FE79/10%-1,1))+($BC79-$BB79)*MAX(0,FE79/10%-2),$AZ79*MIN(-FE79/10%,1)+($AY79-$AZ79)*MAX(0,MIN(-FE79/10%-1,1))+($AX79-$AY79)*MAX(0,-FE79/10%-2)),0),"")</f>
        <v/>
      </c>
      <c r="FH79" s="486" t="str">
        <f aca="false">IF(BE79,IF(VolSkewFlag=1,IF(FF79&gt;0,$BA79*MIN(FF79/10%,1)+($BB79-$BA79)*MAX(0,MIN(FF79/10%-1,1))+($BC79-$BB79)*MAX(0,FF79/10%-2),$AZ79*MIN(-FF79/10%,1)+($AY79-$AZ79)*MAX(0,MIN(-FF79/10%-1,1))+($AX79-$AY79)*MAX(0,-FF79/10%-2)),0),"")</f>
        <v/>
      </c>
      <c r="FI79" s="129"/>
      <c r="FJ79" s="571" t="n">
        <v>60</v>
      </c>
      <c r="FK79" s="150" t="n">
        <f aca="false">IF(FK$19&gt;$FJ79,"",MAX(0,IF(FK$19=$FJ79,$S79^2*FK$15,FK78*INDEX($T$20:$T$91,$FJ79-FK$19)^2/INDEX($U$20:$U$91,$FJ79-FK$19))))</f>
        <v>0</v>
      </c>
      <c r="FL79" s="150" t="n">
        <f aca="false">IF(FL$19&gt;$FJ79,"",MAX(0,IF(FL$19=$FJ79,$S79^2*FL$15,FL78*INDEX($T$20:$T$91,$FJ79-FL$19)^2/INDEX($U$20:$U$91,$FJ79-FL$19))))</f>
        <v>0</v>
      </c>
      <c r="FM79" s="150" t="n">
        <f aca="false">IF(FM$19&gt;$FJ79,"",MAX(0,IF(FM$19=$FJ79,$S79^2*FM$15,FM78*INDEX($T$20:$T$91,$FJ79-FM$19)^2/INDEX($U$20:$U$91,$FJ79-FM$19))))</f>
        <v>0.00254728562257781</v>
      </c>
      <c r="FN79" s="150" t="n">
        <f aca="false">IF(FN$19&gt;$FJ79,"",MAX(0,IF(FN$19=$FJ79,$S79^2*FN$15,FN78*INDEX($T$20:$T$91,$FJ79-FN$19)^2/INDEX($U$20:$U$91,$FJ79-FN$19))))</f>
        <v>0.00214404786918163</v>
      </c>
      <c r="FO79" s="150" t="n">
        <f aca="false">IF(FO$19&gt;$FJ79,"",MAX(0,IF(FO$19=$FJ79,$S79^2*FO$15,FO78*INDEX($T$20:$T$91,$FJ79-FO$19)^2/INDEX($U$20:$U$91,$FJ79-FO$19))))</f>
        <v>0.00223021719210903</v>
      </c>
      <c r="FP79" s="150" t="n">
        <f aca="false">IF(FP$19&gt;$FJ79,"",MAX(0,IF(FP$19=$FJ79,$S79^2*FP$15,FP78*INDEX($T$20:$T$91,$FJ79-FP$19)^2/INDEX($U$20:$U$91,$FJ79-FP$19))))</f>
        <v>0.00247142626733937</v>
      </c>
      <c r="FQ79" s="150" t="n">
        <f aca="false">IF(FQ$19&gt;$FJ79,"",MAX(0,IF(FQ$19=$FJ79,$S79^2*FQ$15,FQ78*INDEX($T$20:$T$91,$FJ79-FQ$19)^2/INDEX($U$20:$U$91,$FJ79-FQ$19))))</f>
        <v>0.00200098879852111</v>
      </c>
      <c r="FR79" s="150" t="n">
        <f aca="false">IF(FR$19&gt;$FJ79,"",MAX(0,IF(FR$19=$FJ79,$S79^2*FR$15,FR78*INDEX($T$20:$T$91,$FJ79-FR$19)^2/INDEX($U$20:$U$91,$FJ79-FR$19))))</f>
        <v>0.00204605095252796</v>
      </c>
      <c r="FS79" s="150" t="n">
        <f aca="false">IF(FS$19&gt;$FJ79,"",MAX(0,IF(FS$19=$FJ79,$S79^2*FS$15,FS78*INDEX($T$20:$T$91,$FJ79-FS$19)^2/INDEX($U$20:$U$91,$FJ79-FS$19))))</f>
        <v>0.00230592049277471</v>
      </c>
      <c r="FT79" s="150" t="n">
        <f aca="false">IF(FT$19&gt;$FJ79,"",MAX(0,IF(FT$19=$FJ79,$S79^2*FT$15,FT78*INDEX($T$20:$T$91,$FJ79-FT$19)^2/INDEX($U$20:$U$91,$FJ79-FT$19))))</f>
        <v>0.0020811863300076</v>
      </c>
      <c r="FU79" s="150" t="n">
        <f aca="false">IF(FU$19&gt;$FJ79,"",MAX(0,IF(FU$19=$FJ79,$S79^2*FU$15,FU78*INDEX($T$20:$T$91,$FJ79-FU$19)^2/INDEX($U$20:$U$91,$FJ79-FU$19))))</f>
        <v>0.00200097090190656</v>
      </c>
      <c r="FV79" s="150" t="n">
        <f aca="false">IF(FV$19&gt;$FJ79,"",MAX(0,IF(FV$19=$FJ79,$S79^2*FV$15,FV78*INDEX($T$20:$T$91,$FJ79-FV$19)^2/INDEX($U$20:$U$91,$FJ79-FV$19))))</f>
        <v>0.00219911128909215</v>
      </c>
      <c r="FW79" s="150" t="n">
        <f aca="false">IF(FW$19&gt;$FJ79,"",MAX(0,IF(FW$19=$FJ79,$S79^2*FW$15,FW78*INDEX($T$20:$T$91,$FJ79-FW$19)^2/INDEX($U$20:$U$91,$FJ79-FW$19))))</f>
        <v>0.00205555492968696</v>
      </c>
      <c r="FX79" s="150" t="n">
        <f aca="false">IF(FX$19&gt;$FJ79,"",MAX(0,IF(FX$19=$FJ79,$S79^2*FX$15,FX78*INDEX($T$20:$T$91,$FJ79-FX$19)^2/INDEX($U$20:$U$91,$FJ79-FX$19))))</f>
        <v>0.00218783898707091</v>
      </c>
      <c r="FY79" s="150" t="n">
        <f aca="false">IF(FY$19&gt;$FJ79,"",MAX(0,IF(FY$19=$FJ79,$S79^2*FY$15,FY78*INDEX($T$20:$T$91,$FJ79-FY$19)^2/INDEX($U$20:$U$91,$FJ79-FY$19))))</f>
        <v>0.00204790307042802</v>
      </c>
      <c r="FZ79" s="150" t="n">
        <f aca="false">IF(FZ$19&gt;$FJ79,"",MAX(0,IF(FZ$19=$FJ79,$S79^2*FZ$15,FZ78*INDEX($T$20:$T$91,$FJ79-FZ$19)^2/INDEX($U$20:$U$91,$FJ79-FZ$19))))</f>
        <v>0.00190929635400265</v>
      </c>
      <c r="GA79" s="150" t="n">
        <f aca="false">IF(GA$19&gt;$FJ79,"",MAX(0,IF(GA$19=$FJ79,$S79^2*GA$15,GA78*INDEX($T$20:$T$91,$FJ79-GA$19)^2/INDEX($U$20:$U$91,$FJ79-GA$19))))</f>
        <v>0.00204419941519659</v>
      </c>
      <c r="GB79" s="150" t="n">
        <f aca="false">IF(GB$19&gt;$FJ79,"",MAX(0,IF(GB$19=$FJ79,$S79^2*GB$15,GB78*INDEX($T$20:$T$91,$FJ79-GB$19)^2/INDEX($U$20:$U$91,$FJ79-GB$19))))</f>
        <v>0.00224765390346792</v>
      </c>
      <c r="GC79" s="150" t="n">
        <f aca="false">IF(GC$19&gt;$FJ79,"",MAX(0,IF(GC$19=$FJ79,$S79^2*GC$15,GC78*INDEX($T$20:$T$91,$FJ79-GC$19)^2/INDEX($U$20:$U$91,$FJ79-GC$19))))</f>
        <v>0.00197483310374978</v>
      </c>
      <c r="GD79" s="150" t="n">
        <f aca="false">IF(GD$19&gt;$FJ79,"",MAX(0,IF(GD$19=$FJ79,$S79^2*GD$15,GD78*INDEX($T$20:$T$91,$FJ79-GD$19)^2/INDEX($U$20:$U$91,$FJ79-GD$19))))</f>
        <v>0.00197485191694162</v>
      </c>
      <c r="GE79" s="150" t="n">
        <f aca="false">IF(GE$19&gt;$FJ79,"",MAX(0,IF(GE$19=$FJ79,$S79^2*GE$15,GE78*INDEX($T$20:$T$91,$FJ79-GE$19)^2/INDEX($U$20:$U$91,$FJ79-GE$19))))</f>
        <v>0.0022476637595978</v>
      </c>
      <c r="GF79" s="150" t="n">
        <f aca="false">IF(GF$19&gt;$FJ79,"",MAX(0,IF(GF$19=$FJ79,$S79^2*GF$15,GF78*INDEX($T$20:$T$91,$FJ79-GF$19)^2/INDEX($U$20:$U$91,$FJ79-GF$19))))</f>
        <v>0.00197590936883635</v>
      </c>
      <c r="GG79" s="150" t="n">
        <f aca="false">IF(GG$19&gt;$FJ79,"",MAX(0,IF(GG$19=$FJ79,$S79^2*GG$15,GG78*INDEX($T$20:$T$91,$FJ79-GG$19)^2/INDEX($U$20:$U$91,$FJ79-GG$19))))</f>
        <v>0.00218141918437661</v>
      </c>
      <c r="GH79" s="150" t="n">
        <f aca="false">IF(GH$19&gt;$FJ79,"",MAX(0,IF(GH$19=$FJ79,$S79^2*GH$15,GH78*INDEX($T$20:$T$91,$FJ79-GH$19)^2/INDEX($U$20:$U$91,$FJ79-GH$19))))</f>
        <v>0.00204644451188541</v>
      </c>
      <c r="GI79" s="150" t="n">
        <f aca="false">IF(GI$19&gt;$FJ79,"",MAX(0,IF(GI$19=$FJ79,$S79^2*GI$15,GI78*INDEX($T$20:$T$91,$FJ79-GI$19)^2/INDEX($U$20:$U$91,$FJ79-GI$19))))</f>
        <v>0.00197988283942363</v>
      </c>
      <c r="GJ79" s="150" t="n">
        <f aca="false">IF(GJ$19&gt;$FJ79,"",MAX(0,IF(GJ$19=$FJ79,$S79^2*GJ$15,GJ78*INDEX($T$20:$T$91,$FJ79-GJ$19)^2/INDEX($U$20:$U$91,$FJ79-GJ$19))))</f>
        <v>0.00225526626214576</v>
      </c>
      <c r="GK79" s="150" t="n">
        <f aca="false">IF(GK$19&gt;$FJ79,"",MAX(0,IF(GK$19=$FJ79,$S79^2*GK$15,GK78*INDEX($T$20:$T$91,$FJ79-GK$19)^2/INDEX($U$20:$U$91,$FJ79-GK$19))))</f>
        <v>0.00205275040122348</v>
      </c>
      <c r="GL79" s="150" t="n">
        <f aca="false">IF(GL$19&gt;$FJ79,"",MAX(0,IF(GL$19=$FJ79,$S79^2*GL$15,GL78*INDEX($T$20:$T$91,$FJ79-GL$19)^2/INDEX($U$20:$U$91,$FJ79-GL$19))))</f>
        <v>0.00198721189258726</v>
      </c>
      <c r="GM79" s="150" t="n">
        <f aca="false">IF(GM$19&gt;$FJ79,"",MAX(0,IF(GM$19=$FJ79,$S79^2*GM$15,GM78*INDEX($T$20:$T$91,$FJ79-GM$19)^2/INDEX($U$20:$U$91,$FJ79-GM$19))))</f>
        <v>0.00212791333869887</v>
      </c>
      <c r="GN79" s="150" t="n">
        <f aca="false">IF(GN$19&gt;$FJ79,"",MAX(0,IF(GN$19=$FJ79,$S79^2*GN$15,GN78*INDEX($T$20:$T$91,$FJ79-GN$19)^2/INDEX($U$20:$U$91,$FJ79-GN$19))))</f>
        <v>0.00213222175945258</v>
      </c>
      <c r="GO79" s="150" t="n">
        <f aca="false">IF(GO$19&gt;$FJ79,"",MAX(0,IF(GO$19=$FJ79,$S79^2*GO$15,GO78*INDEX($T$20:$T$91,$FJ79-GO$19)^2/INDEX($U$20:$U$91,$FJ79-GO$19))))</f>
        <v>0.00213729389387349</v>
      </c>
      <c r="GP79" s="150" t="n">
        <f aca="false">IF(GP$19&gt;$FJ79,"",MAX(0,IF(GP$19=$FJ79,$S79^2*GP$15,GP78*INDEX($T$20:$T$91,$FJ79-GP$19)^2/INDEX($U$20:$U$91,$FJ79-GP$19))))</f>
        <v>0.00193584648207332</v>
      </c>
      <c r="GQ79" s="150" t="n">
        <f aca="false">IF(GQ$19&gt;$FJ79,"",MAX(0,IF(GQ$19=$FJ79,$S79^2*GQ$15,GQ78*INDEX($T$20:$T$91,$FJ79-GQ$19)^2/INDEX($U$20:$U$91,$FJ79-GQ$19))))</f>
        <v>0.0021502696078201</v>
      </c>
      <c r="GR79" s="150" t="n">
        <f aca="false">IF(GR$19&gt;$FJ79,"",MAX(0,IF(GR$19=$FJ79,$S79^2*GR$15,GR78*INDEX($T$20:$T$91,$FJ79-GR$19)^2/INDEX($U$20:$U$91,$FJ79-GR$19))))</f>
        <v>0.00208888064555657</v>
      </c>
      <c r="GS79" s="150" t="n">
        <f aca="false">IF(GS$19&gt;$FJ79,"",MAX(0,IF(GS$19=$FJ79,$S79^2*GS$15,GS78*INDEX($T$20:$T$91,$FJ79-GS$19)^2/INDEX($U$20:$U$91,$FJ79-GS$19))))</f>
        <v>0.00216819789483248</v>
      </c>
      <c r="GT79" s="150" t="n">
        <f aca="false">IF(GT$19&gt;$FJ79,"",MAX(0,IF(GT$19=$FJ79,$S79^2*GT$15,GT78*INDEX($T$20:$T$91,$FJ79-GT$19)^2/INDEX($U$20:$U$91,$FJ79-GT$19))))</f>
        <v>0.00210928394084193</v>
      </c>
      <c r="GU79" s="150" t="n">
        <f aca="false">IF(GU$19&gt;$FJ79,"",MAX(0,IF(GU$19=$FJ79,$S79^2*GU$15,GU78*INDEX($T$20:$T$91,$FJ79-GU$19)^2/INDEX($U$20:$U$91,$FJ79-GU$19))))</f>
        <v>0.00219300735099816</v>
      </c>
      <c r="GV79" s="150" t="n">
        <f aca="false">IF(GV$19&gt;$FJ79,"",MAX(0,IF(GV$19=$FJ79,$S79^2*GV$15,GV78*INDEX($T$20:$T$91,$FJ79-GV$19)^2/INDEX($U$20:$U$91,$FJ79-GV$19))))</f>
        <v>0.00220881214084982</v>
      </c>
      <c r="GW79" s="150" t="n">
        <f aca="false">IF(GW$19&gt;$FJ79,"",MAX(0,IF(GW$19=$FJ79,$S79^2*GW$15,GW78*INDEX($T$20:$T$91,$FJ79-GW$19)^2/INDEX($U$20:$U$91,$FJ79-GW$19))))</f>
        <v>0.0021556020844715</v>
      </c>
      <c r="GX79" s="150" t="n">
        <f aca="false">IF(GX$19&gt;$FJ79,"",MAX(0,IF(GX$19=$FJ79,$S79^2*GX$15,GX78*INDEX($T$20:$T$91,$FJ79-GX$19)^2/INDEX($U$20:$U$91,$FJ79-GX$19))))</f>
        <v>0.0022494778094166</v>
      </c>
      <c r="GY79" s="150" t="n">
        <f aca="false">IF(GY$19&gt;$FJ79,"",MAX(0,IF(GY$19=$FJ79,$S79^2*GY$15,GY78*INDEX($T$20:$T$91,$FJ79-GY$19)^2/INDEX($U$20:$U$91,$FJ79-GY$19))))</f>
        <v>0.00220213018379054</v>
      </c>
      <c r="GZ79" s="150" t="n">
        <f aca="false">IF(GZ$19&gt;$FJ79,"",MAX(0,IF(GZ$19=$FJ79,$S79^2*GZ$15,GZ78*INDEX($T$20:$T$91,$FJ79-GZ$19)^2/INDEX($U$20:$U$91,$FJ79-GZ$19))))</f>
        <v>0.00230642487253431</v>
      </c>
      <c r="HA79" s="150" t="n">
        <f aca="false">IF(HA$19&gt;$FJ79,"",MAX(0,IF(HA$19=$FJ79,$S79^2*HA$15,HA78*INDEX($T$20:$T$91,$FJ79-HA$19)^2/INDEX($U$20:$U$91,$FJ79-HA$19))))</f>
        <v>0.00234312962428659</v>
      </c>
      <c r="HB79" s="150" t="n">
        <f aca="false">IF(HB$19&gt;$FJ79,"",MAX(0,IF(HB$19=$FJ79,$S79^2*HB$15,HB78*INDEX($T$20:$T$91,$FJ79-HB$19)^2/INDEX($U$20:$U$91,$FJ79-HB$19))))</f>
        <v>0.00223286990501993</v>
      </c>
      <c r="HC79" s="150" t="n">
        <f aca="false">IF(HC$19&gt;$FJ79,"",MAX(0,IF(HC$19=$FJ79,$S79^2*HC$15,HC78*INDEX($T$20:$T$91,$FJ79-HC$19)^2/INDEX($U$20:$U$91,$FJ79-HC$19))))</f>
        <v>0.00243912913417368</v>
      </c>
      <c r="HD79" s="150" t="n">
        <f aca="false">IF(HD$19&gt;$FJ79,"",MAX(0,IF(HD$19=$FJ79,$S79^2*HD$15,HD78*INDEX($T$20:$T$91,$FJ79-HD$19)^2/INDEX($U$20:$U$91,$FJ79-HD$19))))</f>
        <v>0.00242112912481595</v>
      </c>
      <c r="HE79" s="150" t="n">
        <f aca="false">IF(HE$19&gt;$FJ79,"",MAX(0,IF(HE$19=$FJ79,$S79^2*HE$15,HE78*INDEX($T$20:$T$91,$FJ79-HE$19)^2/INDEX($U$20:$U$91,$FJ79-HE$19))))</f>
        <v>0.00257738679556884</v>
      </c>
      <c r="HF79" s="150" t="n">
        <f aca="false">IF(HF$19&gt;$FJ79,"",MAX(0,IF(HF$19=$FJ79,$S79^2*HF$15,HF78*INDEX($T$20:$T$91,$FJ79-HF$19)^2/INDEX($U$20:$U$91,$FJ79-HF$19))))</f>
        <v>0.00258279749173708</v>
      </c>
      <c r="HG79" s="150" t="n">
        <f aca="false">IF(HG$19&gt;$FJ79,"",MAX(0,IF(HG$19=$FJ79,$S79^2*HG$15,HG78*INDEX($T$20:$T$91,$FJ79-HG$19)^2/INDEX($U$20:$U$91,$FJ79-HG$19))))</f>
        <v>0.00278038391250664</v>
      </c>
      <c r="HH79" s="150" t="n">
        <f aca="false">IF(HH$19&gt;$FJ79,"",MAX(0,IF(HH$19=$FJ79,$S79^2*HH$15,HH78*INDEX($T$20:$T$91,$FJ79-HH$19)^2/INDEX($U$20:$U$91,$FJ79-HH$19))))</f>
        <v>0.00291720224750075</v>
      </c>
      <c r="HI79" s="150" t="n">
        <f aca="false">IF(HI$19&gt;$FJ79,"",MAX(0,IF(HI$19=$FJ79,$S79^2*HI$15,HI78*INDEX($T$20:$T$91,$FJ79-HI$19)^2/INDEX($U$20:$U$91,$FJ79-HI$19))))</f>
        <v>0.00298694625107961</v>
      </c>
      <c r="HJ79" s="150" t="n">
        <f aca="false">IF(HJ$19&gt;$FJ79,"",MAX(0,IF(HJ$19=$FJ79,$S79^2*HJ$15,HJ78*INDEX($T$20:$T$91,$FJ79-HJ$19)^2/INDEX($U$20:$U$91,$FJ79-HJ$19))))</f>
        <v>0.00329810880711093</v>
      </c>
      <c r="HK79" s="150" t="n">
        <f aca="false">IF(HK$19&gt;$FJ79,"",MAX(0,IF(HK$19=$FJ79,$S79^2*HK$15,HK78*INDEX($T$20:$T$91,$FJ79-HK$19)^2/INDEX($U$20:$U$91,$FJ79-HK$19))))</f>
        <v>0.0034506470532311</v>
      </c>
      <c r="HL79" s="150" t="n">
        <f aca="false">IF(HL$19&gt;$FJ79,"",MAX(0,IF(HL$19=$FJ79,$S79^2*HL$15,HL78*INDEX($T$20:$T$91,$FJ79-HL$19)^2/INDEX($U$20:$U$91,$FJ79-HL$19))))</f>
        <v>0.00390871068880316</v>
      </c>
      <c r="HM79" s="150" t="n">
        <f aca="false">IF(HM$19&gt;$FJ79,"",MAX(0,IF(HM$19=$FJ79,$S79^2*HM$15,HM78*INDEX($T$20:$T$91,$FJ79-HM$19)^2/INDEX($U$20:$U$91,$FJ79-HM$19))))</f>
        <v>0.0043558245767588</v>
      </c>
      <c r="HN79" s="150" t="n">
        <f aca="false">IF(HN$19&gt;$FJ79,"",MAX(0,IF(HN$19=$FJ79,$S79^2*HN$15,HN78*INDEX($T$20:$T$91,$FJ79-HN$19)^2/INDEX($U$20:$U$91,$FJ79-HN$19))))</f>
        <v>0.00447106914884916</v>
      </c>
      <c r="HO79" s="150" t="n">
        <f aca="false">IF(HO$19&gt;$FJ79,"",MAX(0,IF(HO$19=$FJ79,$S79^2*HO$15,HO78*INDEX($T$20:$T$91,$FJ79-HO$19)^2/INDEX($U$20:$U$91,$FJ79-HO$19))))</f>
        <v>0.00575872793912872</v>
      </c>
      <c r="HP79" s="150" t="n">
        <f aca="false">IF(HP$19&gt;$FJ79,"",MAX(0,IF(HP$19=$FJ79,$S79^2*HP$15,HP78*INDEX($T$20:$T$91,$FJ79-HP$19)^2/INDEX($U$20:$U$91,$FJ79-HP$19))))</f>
        <v>0.00666804855184414</v>
      </c>
      <c r="HQ79" s="150" t="n">
        <f aca="false">IF(HQ$19&gt;$FJ79,"",MAX(0,IF(HQ$19=$FJ79,$S79^2*HQ$15,HQ78*INDEX($T$20:$T$91,$FJ79-HQ$19)^2/INDEX($U$20:$U$91,$FJ79-HQ$19))))</f>
        <v>0.00852846999198823</v>
      </c>
      <c r="HR79" s="150" t="n">
        <f aca="false">IF(HR$19&gt;$FJ79,"",MAX(0,IF(HR$19=$FJ79,$S79^2*HR$15,HR78*INDEX($T$20:$T$91,$FJ79-HR$19)^2/INDEX($U$20:$U$91,$FJ79-HR$19))))</f>
        <v>0.0106447639944845</v>
      </c>
      <c r="HS79" s="150" t="str">
        <f aca="false">IF(HS$19&gt;$FJ79,"",MAX(0,IF(HS$19=$FJ79,$S79^2*HS$15,HS78*INDEX($T$20:$T$91,$FJ79-HS$19)^2/INDEX($U$20:$U$91,$FJ79-HS$19))))</f>
        <v/>
      </c>
      <c r="HT79" s="150" t="str">
        <f aca="false">IF(HT$19&gt;$FJ79,"",MAX(0,IF(HT$19=$FJ79,$S79^2*HT$15,HT78*INDEX($T$20:$T$91,$FJ79-HT$19)^2/INDEX($U$20:$U$91,$FJ79-HT$19))))</f>
        <v/>
      </c>
      <c r="HU79" s="150" t="str">
        <f aca="false">IF(HU$19&gt;$FJ79,"",MAX(0,IF(HU$19=$FJ79,$S79^2*HU$15,HU78*INDEX($T$20:$T$91,$FJ79-HU$19)^2/INDEX($U$20:$U$91,$FJ79-HU$19))))</f>
        <v/>
      </c>
      <c r="HV79" s="150" t="str">
        <f aca="false">IF(HV$19&gt;$FJ79,"",MAX(0,IF(HV$19=$FJ79,$S79^2*HV$15,HV78*INDEX($T$20:$T$91,$FJ79-HV$19)^2/INDEX($U$20:$U$91,$FJ79-HV$19))))</f>
        <v/>
      </c>
      <c r="HW79" s="150" t="str">
        <f aca="false">IF(HW$19&gt;$FJ79,"",MAX(0,IF(HW$19=$FJ79,$S79^2*HW$15,HW78*INDEX($T$20:$T$91,$FJ79-HW$19)^2/INDEX($U$20:$U$91,$FJ79-HW$19))))</f>
        <v/>
      </c>
      <c r="HX79" s="150" t="str">
        <f aca="false">IF(HX$19&gt;$FJ79,"",MAX(0,IF(HX$19=$FJ79,$S79^2*HX$15,HX78*INDEX($T$20:$T$91,$FJ79-HX$19)^2/INDEX($U$20:$U$91,$FJ79-HX$19))))</f>
        <v/>
      </c>
      <c r="HY79" s="150" t="str">
        <f aca="false">IF(HY$19&gt;$FJ79,"",MAX(0,IF(HY$19=$FJ79,$S79^2*HY$15,HY78*INDEX($T$20:$T$91,$FJ79-HY$19)^2/INDEX($U$20:$U$91,$FJ79-HY$19))))</f>
        <v/>
      </c>
      <c r="HZ79" s="150" t="str">
        <f aca="false">IF(HZ$19&gt;$FJ79,"",MAX(0,IF(HZ$19=$FJ79,$S79^2*HZ$15,HZ78*INDEX($T$20:$T$91,$FJ79-HZ$19)^2/INDEX($U$20:$U$91,$FJ79-HZ$19))))</f>
        <v/>
      </c>
      <c r="IA79" s="150" t="str">
        <f aca="false">IF(IA$19&gt;$FJ79,"",MAX(0,IF(IA$19=$FJ79,$S79^2*IA$15,IA78*INDEX($T$20:$T$91,$FJ79-IA$19)^2/INDEX($U$20:$U$91,$FJ79-IA$19))))</f>
        <v/>
      </c>
      <c r="IB79" s="150" t="str">
        <f aca="false">IF(IB$19&gt;$FJ79,"",MAX(0,IF(IB$19=$FJ79,$S79^2*IB$15,IB78*INDEX($T$20:$T$91,$FJ79-IB$19)^2/INDEX($U$20:$U$91,$FJ79-IB$19))))</f>
        <v/>
      </c>
      <c r="IC79" s="150" t="str">
        <f aca="false">IF(IC$19&gt;$FJ79,"",MAX(0,IF(IC$19=$FJ79,$S79^2*IC$15,IC78*INDEX($T$20:$T$91,$FJ79-IC$19)^2/INDEX($U$20:$U$91,$FJ79-IC$19))))</f>
        <v/>
      </c>
      <c r="ID79" s="572" t="str">
        <f aca="false">IF(ID$19&gt;$FJ79,"",MAX(0,IF(ID$19=$FJ79,$S79^2*ID$15,ID78*INDEX($T$20:$T$91,$FJ79-ID$19)^2/INDEX($U$20:$U$91,$FJ79-ID$19))))</f>
        <v/>
      </c>
      <c r="IE79" s="129"/>
    </row>
    <row r="80" customFormat="false" ht="12.75" hidden="false" customHeight="false" outlineLevel="0" collapsed="false">
      <c r="H80" s="219" t="n">
        <f aca="false">VLOOKUP(I80,$EJ$20:$EL$54,3)</f>
        <v>0</v>
      </c>
      <c r="I80" s="511" t="n">
        <f aca="false">EOMONTH(I79,0)+1</f>
        <v>38596</v>
      </c>
      <c r="J80" s="512"/>
      <c r="K80" s="513" t="s">
        <v>250</v>
      </c>
      <c r="L80" s="514" t="e">
        <f aca="false">IF(ISNUMBER(K80),J80+K80/100,IF(K80="extra",L79+VLOOKUP(BF80,PriceSpreadTable,2)/12,IF(K80="inter",interpolateprices($K$19:$L$200,ROW(K80)-ROW(FirstPricingMonth)+1),interpolatechanges($J$19:$K$200,ROW(K80)-ROW(FirstPricingMonth)+1))))</f>
        <v>#VALUE!</v>
      </c>
      <c r="M80" s="515"/>
      <c r="N80" s="516" t="n">
        <v>0</v>
      </c>
      <c r="O80" s="515" t="n">
        <f aca="false">M80+N80</f>
        <v>0</v>
      </c>
      <c r="P80" s="512"/>
      <c r="Q80" s="513" t="s">
        <v>280</v>
      </c>
      <c r="R80" s="512" t="e">
        <f aca="false">IF(ISNUMBER(Q80),P80+Q80/100,IF(Q80="extra",(Z78*AL78-R79*AM78)/AN78,IF(Q80="inter",interpolateprices($Q$19:$R$260,ROW(Q80)-ROW(FirstPricingMonth)+1),interpolatechanges($P$19:$Q$260,ROW(Q80)-ROW(FirstPricingMonth)+1))))</f>
        <v>#VALUE!</v>
      </c>
      <c r="S80" s="597" t="n">
        <f aca="false">S$19+(S79-S$19)*S$18</f>
        <v>0.360000001700883</v>
      </c>
      <c r="T80" s="575" t="n">
        <f aca="false">SQRT((1-(1-T79^2/U79)*T$18)*U80)</f>
        <v>0.999990700334025</v>
      </c>
      <c r="U80" s="576" t="n">
        <f aca="false">1-(1-U79)*U$18</f>
        <v>0.999999999521627</v>
      </c>
      <c r="V80" s="521" t="n">
        <v>0</v>
      </c>
      <c r="W80" s="577" t="n">
        <f aca="false">(J81*AJ80+J82*AK80)/AI80</f>
        <v>0</v>
      </c>
      <c r="X80" s="578" t="e">
        <f aca="false">(L81*AJ80+L82*AK80)/AI80</f>
        <v>#VALUE!</v>
      </c>
      <c r="Y80" s="579" t="n">
        <f aca="false">IF(Q82="extra",W80-AA80,(P81*AM80+P82*AN80)/AL80)</f>
        <v>-1.2154</v>
      </c>
      <c r="Z80" s="579" t="e">
        <f aca="false">IF(Q82="extra",X80-AB80,(R81*AM80+R82*AN80)/AL80)</f>
        <v>#VALUE!</v>
      </c>
      <c r="AA80" s="523" t="n">
        <f aca="false">IF(Q82="extra",INDEX(BrentSeasonalityTable,INT((BG80-1)/3)+1)*VLOOKUP(MAX(BF80,$AB$4),PriceSpreadTable,3),W80-Y80)</f>
        <v>1.2154</v>
      </c>
      <c r="AB80" s="524" t="n">
        <f aca="false">IF(Q82="extra",INDEX(BrentSeasonalityTable,INT((BG80-1)/3)+1)*VLOOKUP(MAX(BF80,$AB$4),PriceSpreadTable,3),X80-Z80)</f>
        <v>1.2154</v>
      </c>
      <c r="AC80" s="646" t="n">
        <v>38584</v>
      </c>
      <c r="AD80" s="646" t="n">
        <v>38580</v>
      </c>
      <c r="AE80" s="646" t="n">
        <v>38579</v>
      </c>
      <c r="AF80" s="646" t="n">
        <v>38575</v>
      </c>
      <c r="AG80" s="438" t="s">
        <v>247</v>
      </c>
      <c r="AH80" s="439" t="s">
        <v>278</v>
      </c>
      <c r="AI80" s="528" t="n">
        <v>22</v>
      </c>
      <c r="AJ80" s="529" t="n">
        <v>14</v>
      </c>
      <c r="AK80" s="529" t="n">
        <v>8</v>
      </c>
      <c r="AL80" s="530" t="n">
        <v>22</v>
      </c>
      <c r="AM80" s="529" t="n">
        <v>10</v>
      </c>
      <c r="AN80" s="531" t="n">
        <v>12</v>
      </c>
      <c r="AO80" s="532"/>
      <c r="AP80" s="465" t="n">
        <f aca="false">(1+AO80/2)^(-2*BL80)</f>
        <v>1</v>
      </c>
      <c r="AQ80" s="532"/>
      <c r="AR80" s="465" t="n">
        <f aca="false">(1+AQ80/2)^(-2*BH80/365.25)</f>
        <v>1</v>
      </c>
      <c r="AS80" s="580" t="n">
        <f aca="false">(O81*AJ80+O82*AK80)/AI80</f>
        <v>0</v>
      </c>
      <c r="AT80" s="468" t="n">
        <f aca="false">O80*VLOOKUP(BF80,BrentVolTable,2)+VLOOKUP(BF80,BrentVolTable,3)</f>
        <v>0</v>
      </c>
      <c r="AU80" s="468" t="n">
        <f aca="false">(AT81*AM80+AT82*AN80)/AL80</f>
        <v>0</v>
      </c>
      <c r="AV80" s="595" t="n">
        <f aca="false">SQRT(MAX(0.000000000001,(O80^2*BH80-S80^2*(BH80-BH79))/BH79))</f>
        <v>0.023338497627833</v>
      </c>
      <c r="AW80" s="451" t="n">
        <f aca="false">IF($I80-DateToday+15&gt;=$T$8,"",IF($I80-DateToday+15&lt;$T$5,1,MATCH($I80-DateToday+15,$T$5:$T$8)))</f>
        <v>1</v>
      </c>
      <c r="AX80" s="468" t="n">
        <f aca="false">IF($AW80="",AX79^2/AX78,INDEX(U$5:U$8,$AW80)^((INDEX($T$5:$T$8,$AW80+1)-($I80-DateToday+15))/(INDEX($T$5:$T$8,$AW80+1)-INDEX($T$5:$T$8,$AW80)))/INDEX(U$5:U$8,$AW80+1)^((INDEX($T$5:$T$8,$AW80)-($I80-DateToday+15))/(INDEX($T$5:$T$8,$AW80+1)-INDEX($T$5:$T$8,$AW80))))</f>
        <v>3.48034088558443</v>
      </c>
      <c r="AY80" s="468" t="n">
        <f aca="false">IF($AW80="",AY79^2/AY78,INDEX(V$5:V$8,$AW80)^((INDEX($T$5:$T$8,$AW80+1)-($I80-DateToday+15))/(INDEX($T$5:$T$8,$AW80+1)-INDEX($T$5:$T$8,$AW80)))/INDEX(V$5:V$8,$AW80+1)^((INDEX($T$5:$T$8,$AW80)-($I80-DateToday+15))/(INDEX($T$5:$T$8,$AW80+1)-INDEX($T$5:$T$8,$AW80))))</f>
        <v>416.647693600368</v>
      </c>
      <c r="AZ80" s="468" t="n">
        <f aca="false">IF($AW80="",AZ79^2/AZ78,INDEX(W$5:W$8,$AW80)^((INDEX($T$5:$T$8,$AW80+1)-($I80-DateToday+15))/(INDEX($T$5:$T$8,$AW80+1)-INDEX($T$5:$T$8,$AW80)))/INDEX(W$5:W$8,$AW80+1)^((INDEX($T$5:$T$8,$AW80)-($I80-DateToday+15))/(INDEX($T$5:$T$8,$AW80+1)-INDEX($T$5:$T$8,$AW80))))</f>
        <v>5032493.59869542</v>
      </c>
      <c r="BA80" s="468" t="n">
        <f aca="false">IF($AW80="",BA79^2/BA78,INDEX(X$5:X$8,$AW80)^((INDEX($T$5:$T$8,$AW80+1)-($I80-DateToday+15))/(INDEX($T$5:$T$8,$AW80+1)-INDEX($T$5:$T$8,$AW80)))/INDEX(X$5:X$8,$AW80+1)^((INDEX($T$5:$T$8,$AW80)-($I80-DateToday+15))/(INDEX($T$5:$T$8,$AW80+1)-INDEX($T$5:$T$8,$AW80))))</f>
        <v>182445762.791474</v>
      </c>
      <c r="BB80" s="468" t="n">
        <f aca="false">IF($AW80="",BB79^2/BB78,INDEX(Y$5:Y$8,$AW80)^((INDEX($T$5:$T$8,$AW80+1)-($I80-DateToday+15))/(INDEX($T$5:$T$8,$AW80+1)-INDEX($T$5:$T$8,$AW80)))/INDEX(Y$5:Y$8,$AW80+1)^((INDEX($T$5:$T$8,$AW80)-($I80-DateToday+15))/(INDEX($T$5:$T$8,$AW80+1)-INDEX($T$5:$T$8,$AW80))))</f>
        <v>2785038233.92729</v>
      </c>
      <c r="BC80" s="468" t="n">
        <f aca="false">IF($AW80="",BC79^2/BC78,INDEX(Z$5:Z$8,$AW80)^((INDEX($T$5:$T$8,$AW80+1)-($I80-DateToday+15))/(INDEX($T$5:$T$8,$AW80+1)-INDEX($T$5:$T$8,$AW80)))/INDEX(Z$5:Z$8,$AW80+1)^((INDEX($T$5:$T$8,$AW80)-($I80-DateToday+15))/(INDEX($T$5:$T$8,$AW80+1)-INDEX($T$5:$T$8,$AW80))))</f>
        <v>14225127914.7494</v>
      </c>
      <c r="BD80" s="535" t="n">
        <f aca="false">IF(OR(DateStart&gt;=I81,DateEnd&lt;I80),0,IF(VolumeOverrideFlag,V80,Volume))</f>
        <v>0</v>
      </c>
      <c r="BE80" s="536" t="n">
        <f aca="false">IF(OR(DateStart2&gt;=I81,DateEnd2&lt;I80),0,IF(VolumeOverrideFlag,V80,VolumeSwaption))</f>
        <v>0</v>
      </c>
      <c r="BF80" s="537" t="n">
        <f aca="false">YEAR(I80)</f>
        <v>2005</v>
      </c>
      <c r="BG80" s="538" t="n">
        <f aca="false">MONTH(I80)</f>
        <v>9</v>
      </c>
      <c r="BH80" s="539" t="n">
        <f aca="false">AD80-DateToday+1</f>
        <v>-7345</v>
      </c>
      <c r="BI80" s="540" t="n">
        <f aca="false">(I80-DateToday+1)/365.25</f>
        <v>-20.0657084188912</v>
      </c>
      <c r="BJ80" s="541" t="n">
        <f aca="false">BI80+(BL80-BI80)*CHOOSE(Underlying,AJ80/AI80,AM80/AL80)</f>
        <v>-20.0151826270923</v>
      </c>
      <c r="BK80" s="541" t="n">
        <f aca="false">BJ80+1/365.25</f>
        <v>-20.0124447763052</v>
      </c>
      <c r="BL80" s="541" t="n">
        <f aca="false">(I81-DateToday)/365.25</f>
        <v>-19.9863107460643</v>
      </c>
      <c r="BM80" s="542" t="e">
        <f aca="false">MAX(BI80-(BJ80-BI80)*(S81^2/O81^2-1),0)</f>
        <v>#DIV/0!</v>
      </c>
      <c r="BN80" s="541" t="e">
        <f aca="false">MAX(BL80+(BL80-BK80)*(S82^2/O82^2-1),0)</f>
        <v>#DIV/0!</v>
      </c>
      <c r="BO80" s="530" t="n">
        <f aca="false">CHOOSE(Underlying,AI80,AL80)</f>
        <v>22</v>
      </c>
      <c r="BP80" s="529" t="n">
        <f aca="false">CHOOSE(Underlying,AJ80,AM80)</f>
        <v>14</v>
      </c>
      <c r="BQ80" s="529" t="n">
        <f aca="false">CHOOSE(Underlying,AK80,AN80)</f>
        <v>8</v>
      </c>
      <c r="BR80" s="463" t="str">
        <f aca="false">IF(BD80,IF(Underlying=1,X80,Z80)+UnderlyingPriceAsian-SwapPriceCurve,"")</f>
        <v/>
      </c>
      <c r="BS80" s="463" t="str">
        <f aca="false">IF(BD80,Strike1/BR80-1,"")</f>
        <v/>
      </c>
      <c r="BT80" s="464" t="str">
        <f aca="false">IF(BD80,Strike2/BR80-1,"")</f>
        <v/>
      </c>
      <c r="BU80" s="465" t="str">
        <f aca="false">IF(BD80,IF(Underlying=1,L81,R81)+UnderlyingPriceAsian-SwapPriceCurve,"")</f>
        <v/>
      </c>
      <c r="BV80" s="465" t="str">
        <f aca="false">IF(BD80,IF(Underlying=1,L82,R82)+UnderlyingPriceAsian-SwapPriceCurve,"")</f>
        <v/>
      </c>
      <c r="BW80" s="466" t="str">
        <f aca="false">IF(BD80,IF(Underlying=1,O81,AT81),"")</f>
        <v/>
      </c>
      <c r="BX80" s="467" t="str">
        <f aca="false">IF(BD80,IF(Underlying=1,O82,AT82),"")</f>
        <v/>
      </c>
      <c r="BY80" s="466" t="str">
        <f aca="false">IF(BD80,IF(BS80&gt;0,IF(BS80&gt;0.2,BC80-BB80,IF(BS80&gt;0.1,BB80-BA80,BA80)),IF(BS80&lt;-0.2,AX80-AY80,IF(BS80&lt;-0.1,AY80-AZ80,AZ80))),"")</f>
        <v/>
      </c>
      <c r="BZ80" s="467" t="str">
        <f aca="false">IF(BD80,IF(BT80&gt;0,IF(BT80&gt;0.2,BC80-BB80,IF(BT80&gt;0.1,BB80-BA80,BA80)),IF(BT80&lt;-0.2,AX80-AY80,IF(BT80&lt;-0.1,AY80-AZ80,AZ80))),"")</f>
        <v/>
      </c>
      <c r="CA80" s="468" t="str">
        <f aca="false">IF($BD80,$BW80+IF(VolSkewFlag=1,IF(BS80&gt;0,$BA80*MIN(BS80/10%,1)+($BB80-$BA80)*MAX(0,MIN(BS80/10%-1,1))+($BC80-$BB80)*MAX(0,BS80/10%-2),$AZ80*MIN(-BS80/10%,1)+($AY80-$AZ80)*MAX(0,MIN(-BS80/10%-1,1))+($AX80-$AY80)*MAX(0,-BS80/10%-2)),0),"")</f>
        <v/>
      </c>
      <c r="CB80" s="468" t="str">
        <f aca="false">IF($BD80,$BX80+IF(VolSkewFlag=1,IF(BS80&gt;0,$BA80*MIN(BS80/10%,1)+($BB80-$BA80)*MAX(0,MIN(BS80/10%-1,1))+($BC80-$BB80)*MAX(0,BS80/10%-2),$AZ80*MIN(-BS80/10%,1)+($AY80-$AZ80)*MAX(0,MIN(-BS80/10%-1,1))+($AX80-$AY80)*MAX(0,-BS80/10%-2)),0),"")</f>
        <v/>
      </c>
      <c r="CC80" s="468" t="str">
        <f aca="false">IF($BD80,$BW80+IF(VolSkewFlag=1,IF(BT80&gt;0,$BA80*MIN(BT80/10%,1)+($BB80-$BA80)*MAX(0,MIN(BT80/10%-1,1))+($BC80-$BB80)*MAX(0,BT80/10%-2),$AZ80*MIN(-BT80/10%,1)+($AY80-$AZ80)*MAX(0,MIN(-BT80/10%-1,1))+($AX80-$AY80)*MAX(0,-BT80/10%-2)),0),"")</f>
        <v/>
      </c>
      <c r="CD80" s="468" t="str">
        <f aca="false">IF($BD80,$BX80+IF(VolSkewFlag=1,IF(BT80&gt;0,$BA80*MIN(BT80/10%,1)+($BB80-$BA80)*MAX(0,MIN(BT80/10%-1,1))+($BC80-$BB80)*MAX(0,BT80/10%-2),$AZ80*MIN(-BT80/10%,1)+($AY80-$AZ80)*MAX(0,MIN(-BT80/10%-1,1))+($AX80-$AY80)*MAX(0,-BT80/10%-2)),0),"")</f>
        <v/>
      </c>
      <c r="CE80" s="469" t="n">
        <v>1</v>
      </c>
      <c r="CF80" s="470" t="n">
        <f aca="false">IF(BD80,xCrudeAPO(BU80,BV80,CA80,CB80,S81,S82,BI80,BL80,BP80,BQ80,0,Strike1,AO80,CE80,0,BL80,IF(OptControl=4,0,1),0,1),0)</f>
        <v>0</v>
      </c>
      <c r="CG80" s="470" t="n">
        <f aca="false">IF(BD80,xCrudeAPO(BU80,BV80,CA80,CB80,S81,S82,BI80,BL80,BP80,BQ80,0,Strike1,AO80,CE80,0,BL80,IF(OptControl=4,0,1),1,1)+xCrudeAPO(BU80,BV80,CA80,CB80,S81,S82,BI80,BL80,BP80,BQ80,0,Strike1,AO80,CE80,0,BL80,IF(OptControl=4,0,1),1,2)+IF(OR(VolSkewFlag=2,ABS(BS80)&lt;0.0001),0,IF(BS80&gt;0,-1,1)*CH80*Strike1/BR80^2*BY80/10%),0)</f>
        <v>0</v>
      </c>
      <c r="CH80" s="470" t="n">
        <f aca="false">IF(BD80,(xCrudeAPO(BU80,BV80,CA80,CB80,S81,S82,BI80,BL80,BP80,BQ80,0,Strike1,AO80,CE80,0,BL80,IF(OptControl=4,0,1),3,1)+xCrudeAPO(BU80,BV80,CA80,CB80,S81,S82,BI80,BL80,BP80,BQ80,0,Strike1,AO80,CE80,0,BL80,IF(OptControl=4,0,1),3,2))/100,0)</f>
        <v>0</v>
      </c>
      <c r="CI80" s="470" t="n">
        <f aca="false">IF(BD80,xCrudeAPO(BU80,BV80,CA80,CB80,S81,S82,BI80-DaysForThetaCalculation/365.25,BL80-DaysForThetaCalculation/365.25,BP80,BQ80,0,Strike1,AO80,CE80,0,BL80,IF(OptControl=4,0,1),0,1)-xCrudeAPO(BU80,BV80,CA80,CB80,S81,S82,BI80,BL80,BP80,BQ80,0,Strike1,AO80,CE80,0,BL80,IF(OptControl=4,0,1),0,1),0)</f>
        <v>0</v>
      </c>
      <c r="CJ80" s="471" t="n">
        <f aca="false">IF(BD80,xCrudeAPO(BU80,BV80,CC80,CD80,S81,S82,BI80,BL80,BP80,BQ80,0,Strike2,AO80,CE80,0,BL80,IF(OptControl=3,1,0),0,1),0)</f>
        <v>0</v>
      </c>
      <c r="CK80" s="470" t="n">
        <f aca="false">IF(BD80,xCrudeAPO(BU80,BV80,CC80,CD80,S81,S82,BI80,BL80,BP80,BQ80,0,Strike2,AO80,CE80,0,BL80,IF(OptControl=3,1,0),1,1)+xCrudeAPO(BU80,BV80,CC80,CD80,S81,S82,BI80,BL80,BP80,BQ80,0,Strike2,AO80,CE80,0,BL80,IF(OptControl=3,1,0),1,2)+IF(OR(VolSkewFlag=2,ABS(BT80)&lt;0.0001),0,IF(BT80&gt;0,-1,1)*CL80*Strike2/BR80^2*BZ80/10%),0)</f>
        <v>0</v>
      </c>
      <c r="CL80" s="470" t="n">
        <f aca="false">IF(BD80,(xCrudeAPO(BU80,BV80,CC80,CD80,S81,S82,BI80,BL80,BP80,BQ80,0,Strike2,AO80,CE80,0,BL80,IF(OptControl=3,1,0),3,1)+xCrudeAPO(BU80,BV80,CC80,CD80,S81,S82,BI80,BL80,BP80,BQ80,0,Strike2,AO80,CE80,0,BL80,IF(OptControl=3,1,0),3,2))/100,0)</f>
        <v>0</v>
      </c>
      <c r="CM80" s="472" t="n">
        <f aca="false">IF(BD80,xCrudeAPO(BU80,BV80,CC80,CD80,S81,S82,BI80-DaysForThetaCalculation/365.25,BL80-DaysForThetaCalculation/365.25,BP80,BQ80,0,Strike2,AO80,CE80,0,BL80,IF(OptControl=3,1,0),0,1)-xCrudeAPO(BU80,BV80,CC80,CD80,S81,S82,BI80,BL80,BP80,BQ80,0,Strike2,AO80,CE80,0,BL80,IF(OptControl=3,1,0),0,1),0)</f>
        <v>0</v>
      </c>
      <c r="CN80" s="3"/>
      <c r="CO80" s="543" t="str">
        <f aca="false">IF(BD80,CHOOSE(Underlying,AD80,AF80)-DateToday+1,"")</f>
        <v/>
      </c>
      <c r="CP80" s="582" t="str">
        <f aca="false">IF(BD80,CHOOSE(Underlying,L80,R80),"")</f>
        <v/>
      </c>
      <c r="CQ80" s="544" t="str">
        <f aca="false">IF(BD80,Strike1/CP80-1,"")</f>
        <v/>
      </c>
      <c r="CR80" s="544" t="str">
        <f aca="false">IF(BD80,Strike2/CP80-1,"")</f>
        <v/>
      </c>
      <c r="CS80" s="544" t="str">
        <f aca="false">IF(BD80,IF(CQ80&gt;0,IF(CQ80&gt;0.2,BC79-BB79,IF(CQ80&gt;0.1,BB79-BA79,BA79)),IF(CQ80&lt;-0.2,AX79-AY79,IF(CQ80&lt;-0.1,AY79-AZ79,AZ79))),"")</f>
        <v/>
      </c>
      <c r="CT80" s="544" t="str">
        <f aca="false">IF(BD80,IF(CR80&gt;0,IF(CR80&gt;0.2,BC79-BB79,IF(CR80&gt;0.1,BB79-BA79,BA79)),IF(CR80&lt;-0.2,AX79-AY79,IF(CR80&lt;-0.1,AY79-AZ79,AZ79))),"")</f>
        <v/>
      </c>
      <c r="CU80" s="545" t="str">
        <f aca="false">IF(BD80,CHOOSE(Underlying,O80,AT80),"")</f>
        <v/>
      </c>
      <c r="CV80" s="545" t="str">
        <f aca="false">IF(BD80,CU80+IF(VolSkewFlag=1,IF(CQ80&gt;0,BA79*MIN(CQ80/10%,1)+(BB79-BA79)*MAX(0,MIN(CQ80/10%-1,1))+(BC79-BB79)*MAX(0,CQ80/10%-2),AZ79*MIN(-CQ80/10%,1)+(AY79-AZ79)*MAX(0,MIN(-CQ80/10%-1,1))+(AX79-AY79)*MAX(0,-CQ80/10%-2)),0),"")</f>
        <v/>
      </c>
      <c r="CW80" s="545" t="str">
        <f aca="false">IF(BD80,CU80+IF(VolSkewFlag=1,IF(CR80&gt;0,BA79*MIN(CR80/10%,1)+(BB79-BA79)*MAX(0,MIN(CR80/10%-1,1))+(BC79-BB79)*MAX(0,CR80/10%-2),AZ79*MIN(-CR80/10%,1)+(AY79-AZ79)*MAX(0,MIN(-CR80/10%-1,1))+(AX79-AY79)*MAX(0,-CR80/10%-2)),0),"")</f>
        <v/>
      </c>
      <c r="CX80" s="470" t="n">
        <f aca="false">IF(BD80,EURO(CP80,Strike1,AO80,AO80,CV80,CO80,IF(OptControl=4,0,1),0),0)</f>
        <v>0</v>
      </c>
      <c r="CY80" s="470" t="n">
        <f aca="false">IF(BD80,EURO(CP80,Strike1,AO80,AO80,CV80,CO80,IF(OptControl=4,0,1),1)+IF(OR(VolSkewFlag=2,ABS(CQ80)&lt;0.0001),0,IF(CQ80&gt;0,-1,1)*CZ80*100*Strike1/CP80^2*CS80/10%),0)</f>
        <v>0</v>
      </c>
      <c r="CZ80" s="470" t="n">
        <f aca="false">IF(BD80,EURO(CP80,Strike1,AO80,AO80,CV80,CO80,IF(OptControl=4,0,1),3)/100,0)</f>
        <v>0</v>
      </c>
      <c r="DA80" s="470" t="n">
        <f aca="false">IF(BD80,EURO(CP80,Strike1,AO80,AO80,CV80,CO80,IF(OptControl=4,0,1),0)-EURO(CP80,Strike1,AO80,AO80,CV80,CO80-1,IF(OptControl=4,0,1),0),0)</f>
        <v>0</v>
      </c>
      <c r="DB80" s="470" t="n">
        <f aca="false">IF(BD80,EURO(CP80,Strike2,AO80,AO80,CW80,CO80,IF(OptControl=3,1,0),0),0)</f>
        <v>0</v>
      </c>
      <c r="DC80" s="470" t="n">
        <f aca="false">IF(BD80,EURO(CP80,Strike2,AO80,AO80,CW80,CO80,IF(OptControl=3,1,0),1)+IF(OR(VolSkewFlag=2,ABS(CR80)&lt;0.0001),0,IF(CR80&gt;0,-1,1)*DD80*100*Strike2/CP80^2*CT80/10%),0)</f>
        <v>0</v>
      </c>
      <c r="DD80" s="470" t="n">
        <f aca="false">IF(BD80,EURO(CP80,Strike2,AO80,AO80,CW80,CO80,IF(OptControl=3,1,0),3)/100,0)</f>
        <v>0</v>
      </c>
      <c r="DE80" s="472" t="n">
        <f aca="false">IF(BD80,EURO(CP80,Strike2,AO80,AO80,CW80,CO80,IF(OptControl=3,1,0),0)-EURO(CP80,Strike2,AO80,AO80,CW80,CO80-1,IF(OptControl=3,1,0),0),0)</f>
        <v>0</v>
      </c>
      <c r="DG80" s="481" t="n">
        <f aca="false">EOMONTH(DG79,0)+1</f>
        <v>47515</v>
      </c>
      <c r="DH80" s="478" t="n">
        <v>18.3533333333333</v>
      </c>
      <c r="DI80" s="479" t="n">
        <v>18.349</v>
      </c>
      <c r="DJ80" s="480" t="n">
        <f aca="false">DG80</f>
        <v>47515</v>
      </c>
      <c r="DK80" s="478" t="n">
        <v>17.2238003644154</v>
      </c>
      <c r="DL80" s="479" t="n">
        <v>17.209</v>
      </c>
      <c r="DM80" s="481" t="n">
        <f aca="false">DG80</f>
        <v>47515</v>
      </c>
      <c r="DN80" s="482" t="n">
        <f aca="false">DK80+BrentPhyBrentSpread</f>
        <v>17.2738003644154</v>
      </c>
      <c r="DO80" s="481" t="n">
        <f aca="false">DG80</f>
        <v>47515</v>
      </c>
      <c r="DP80" s="483" t="n">
        <f aca="false">DL80+DQ80</f>
        <v>17.209</v>
      </c>
      <c r="DQ80" s="546" t="n">
        <v>0</v>
      </c>
      <c r="DR80" s="480" t="n">
        <f aca="false">DG80</f>
        <v>47515</v>
      </c>
      <c r="DS80" s="485" t="n">
        <v>0.194304123374695</v>
      </c>
      <c r="DT80" s="486" t="n">
        <v>0.194160656476979</v>
      </c>
      <c r="DU80" s="480" t="n">
        <f aca="false">DG80</f>
        <v>47515</v>
      </c>
      <c r="DV80" s="485" t="n">
        <v>0.194304123374695</v>
      </c>
      <c r="DW80" s="486" t="n">
        <v>0.194160656476979</v>
      </c>
      <c r="DX80" s="481" t="n">
        <f aca="false">DG80</f>
        <v>47515</v>
      </c>
      <c r="DY80" s="486" t="n">
        <v>0.35</v>
      </c>
      <c r="DZ80" s="481" t="n">
        <f aca="false">DR80</f>
        <v>47515</v>
      </c>
      <c r="EA80" s="486" t="n">
        <f aca="false">DT80</f>
        <v>0.194160656476979</v>
      </c>
      <c r="EB80" s="195"/>
      <c r="EC80" s="547" t="str">
        <f aca="false">IF(BD80,IF(Underlying=1,AS80,AU80),"")</f>
        <v/>
      </c>
      <c r="ED80" s="548" t="str">
        <f aca="false">IF($BD80,$EC80+IF(VolSkewFlag=1,IF(BS80&gt;0,$BA80*MIN(BS80/10%,1)+($BB80-$BA80)*MAX(0,MIN(BS80/10%-1,1))+($BC80-$BB80)*MAX(0,BS80/10%-2),$AZ80*MIN(-BS80/10%,1)+($AY80-$AZ80)*MAX(0,MIN(-BS80/10%-1,1))+($AX80-$AY80)*MAX(0,-BS80/10%-2)),0),"")</f>
        <v/>
      </c>
      <c r="EE80" s="549" t="str">
        <f aca="false">IF($BD80,$EC80+IF(VolSkewFlag=1,IF(BT80&gt;0,$BA80*MIN(BT80/10%,1)+($BB80-$BA80)*MAX(0,MIN(BT80/10%-1,1))+($BC80-$BB80)*MAX(0,BT80/10%-2),$AZ80*MIN(-BT80/10%,1)+($AY80-$AZ80)*MAX(0,MIN(-BT80/10%-1,1))+($AX80-$AY80)*MAX(0,-BT80/10%-2)),0),"")</f>
        <v/>
      </c>
      <c r="EF80" s="550" t="n">
        <f aca="false">IF(BD80,xASN(BR80,Strike1,AO80,ED80,0,BO80,0,BI80,BL80,IF(OptControl=4,0,1),0),0)</f>
        <v>0</v>
      </c>
      <c r="EG80" s="551" t="n">
        <f aca="false">IF(BD80,xASN(BR80,Strike2,AO80,EE80,0,BO80,0,BI80,BL80,IF(OptControl=3,1,0),0),0)</f>
        <v>0</v>
      </c>
      <c r="EL80" s="1"/>
      <c r="EM80" s="195"/>
      <c r="EN80" s="556" t="n">
        <v>43094</v>
      </c>
      <c r="EO80" s="557" t="n">
        <v>47484</v>
      </c>
      <c r="EP80" s="195"/>
      <c r="EQ80" s="407" t="s">
        <v>306</v>
      </c>
      <c r="ES80" s="587" t="n">
        <v>61</v>
      </c>
      <c r="ET80" s="559" t="n">
        <f aca="false">BH80/365.25</f>
        <v>-20.1095140314853</v>
      </c>
      <c r="EU80" s="560" t="n">
        <f aca="false">O80^2*ET80</f>
        <v>-0</v>
      </c>
      <c r="EV80" s="588" t="e">
        <f aca="false">SQRT(SUM(FK80:ID80)/ET80)</f>
        <v>#VALUE!</v>
      </c>
      <c r="EW80" s="589" t="str">
        <f aca="false">IF(OR(DateStart2&gt;I79,DateEnd2&lt;I78),"",IF(DateStart2&lt;I79,AK78/AI78*AP78*BE78*SwaptionNumOfMonths/$D$33,0)+IF(DateEnd2&gt;I78,AJ79/AI79*AP79*BE79*SwaptionNumOfMonths/$D$33,0))</f>
        <v/>
      </c>
      <c r="EX80" s="590" t="str">
        <f aca="false">IF(EW80="","",SQRT(SUM(FK385:ID385)/SwaptionYearsToExp))</f>
        <v/>
      </c>
      <c r="EY80" s="129" t="n">
        <v>0</v>
      </c>
      <c r="EZ80" s="591" t="str">
        <f aca="false">IF(OR(EW80="",EW81=""),"",SQRT(SUM(INDEX(FK80:ID80,SwaptionFirstMonthPosition+1):INDEX(FK80:ID80,FJ80))/SUM(INDEX($FK$15:$ID$15,SwaptionFirstMonthPosition+1):INDEX($FK$15:$ID$15,FJ80))))</f>
        <v/>
      </c>
      <c r="FA80" s="592" t="str">
        <f aca="false">IF(OR(EW80="",EW79=""),"",SQRT(SUM(INDEX(FK80:ID80,SwaptionFirstMonthPosition+1):INDEX(FK80:ID80,FJ80-1))/SUM(INDEX($FK$15:$ID$15,SwaptionFirstMonthPosition+1):INDEX($FK$15:$ID$15,FJ80-1))))</f>
        <v/>
      </c>
      <c r="FB80" s="593" t="str">
        <f aca="false">IF(BE80,2/3*EZ81+1/3*FA82,"")</f>
        <v/>
      </c>
      <c r="FC80" s="596" t="str">
        <f aca="false">IF(BE80,(I81+I80-1)/2-DateToday,"")</f>
        <v/>
      </c>
      <c r="FD80" s="483" t="str">
        <f aca="false">IF(BE80,CHOOSE(Underlying,X80,Z80)+SwaptionUnderlyingPrice-$D$26,"")</f>
        <v/>
      </c>
      <c r="FE80" s="483" t="str">
        <f aca="false">IF(BE80,CollartionFloor/FD80-1,"")</f>
        <v/>
      </c>
      <c r="FF80" s="483" t="str">
        <f aca="false">IF(BE80,CollartionCap/FD80-1,"")</f>
        <v/>
      </c>
      <c r="FG80" s="485" t="str">
        <f aca="false">IF(BE80,IF(VolSkewFlag=1,IF(FE80&gt;0,$BA80*MIN(FE80/10%,1)+($BB80-$BA80)*MAX(0,MIN(FE80/10%-1,1))+($BC80-$BB80)*MAX(0,FE80/10%-2),$AZ80*MIN(-FE80/10%,1)+($AY80-$AZ80)*MAX(0,MIN(-FE80/10%-1,1))+($AX80-$AY80)*MAX(0,-FE80/10%-2)),0),"")</f>
        <v/>
      </c>
      <c r="FH80" s="486" t="str">
        <f aca="false">IF(BE80,IF(VolSkewFlag=1,IF(FF80&gt;0,$BA80*MIN(FF80/10%,1)+($BB80-$BA80)*MAX(0,MIN(FF80/10%-1,1))+($BC80-$BB80)*MAX(0,FF80/10%-2),$AZ80*MIN(-FF80/10%,1)+($AY80-$AZ80)*MAX(0,MIN(-FF80/10%-1,1))+($AX80-$AY80)*MAX(0,-FF80/10%-2)),0),"")</f>
        <v/>
      </c>
      <c r="FI80" s="129"/>
      <c r="FJ80" s="571" t="n">
        <v>61</v>
      </c>
      <c r="FK80" s="150" t="n">
        <f aca="false">IF(FK$19&gt;$FJ80,"",MAX(0,IF(FK$19=$FJ80,$S80^2*FK$15,FK79*INDEX($T$20:$T$91,$FJ80-FK$19)^2/INDEX($U$20:$U$91,$FJ80-FK$19))))</f>
        <v>0</v>
      </c>
      <c r="FL80" s="150" t="n">
        <f aca="false">IF(FL$19&gt;$FJ80,"",MAX(0,IF(FL$19=$FJ80,$S80^2*FL$15,FL79*INDEX($T$20:$T$91,$FJ80-FL$19)^2/INDEX($U$20:$U$91,$FJ80-FL$19))))</f>
        <v>0</v>
      </c>
      <c r="FM80" s="150" t="n">
        <f aca="false">IF(FM$19&gt;$FJ80,"",MAX(0,IF(FM$19=$FJ80,$S80^2*FM$15,FM79*INDEX($T$20:$T$91,$FJ80-FM$19)^2/INDEX($U$20:$U$91,$FJ80-FM$19))))</f>
        <v>0.00254720982358128</v>
      </c>
      <c r="FN80" s="150" t="n">
        <f aca="false">IF(FN$19&gt;$FJ80,"",MAX(0,IF(FN$19=$FJ80,$S80^2*FN$15,FN79*INDEX($T$20:$T$91,$FJ80-FN$19)^2/INDEX($U$20:$U$91,$FJ80-FN$19))))</f>
        <v>0.00214397324936549</v>
      </c>
      <c r="FO80" s="150" t="n">
        <f aca="false">IF(FO$19&gt;$FJ80,"",MAX(0,IF(FO$19=$FJ80,$S80^2*FO$15,FO79*INDEX($T$20:$T$91,$FJ80-FO$19)^2/INDEX($U$20:$U$91,$FJ80-FO$19))))</f>
        <v>0.00223012640990095</v>
      </c>
      <c r="FP80" s="150" t="n">
        <f aca="false">IF(FP$19&gt;$FJ80,"",MAX(0,IF(FP$19=$FJ80,$S80^2*FP$15,FP79*INDEX($T$20:$T$91,$FJ80-FP$19)^2/INDEX($U$20:$U$91,$FJ80-FP$19))))</f>
        <v>0.00247130860563745</v>
      </c>
      <c r="FQ80" s="150" t="n">
        <f aca="false">IF(FQ$19&gt;$FJ80,"",MAX(0,IF(FQ$19=$FJ80,$S80^2*FQ$15,FQ79*INDEX($T$20:$T$91,$FJ80-FQ$19)^2/INDEX($U$20:$U$91,$FJ80-FQ$19))))</f>
        <v>0.0020008773777883</v>
      </c>
      <c r="FR80" s="150" t="n">
        <f aca="false">IF(FR$19&gt;$FJ80,"",MAX(0,IF(FR$19=$FJ80,$S80^2*FR$15,FR79*INDEX($T$20:$T$91,$FJ80-FR$19)^2/INDEX($U$20:$U$91,$FJ80-FR$19))))</f>
        <v>0.00204591770115792</v>
      </c>
      <c r="FS80" s="150" t="n">
        <f aca="false">IF(FS$19&gt;$FJ80,"",MAX(0,IF(FS$19=$FJ80,$S80^2*FS$15,FS79*INDEX($T$20:$T$91,$FJ80-FS$19)^2/INDEX($U$20:$U$91,$FJ80-FS$19))))</f>
        <v>0.00230574484872068</v>
      </c>
      <c r="FT80" s="150" t="n">
        <f aca="false">IF(FT$19&gt;$FJ80,"",MAX(0,IF(FT$19=$FJ80,$S80^2*FT$15,FT79*INDEX($T$20:$T$91,$FJ80-FT$19)^2/INDEX($U$20:$U$91,$FJ80-FT$19))))</f>
        <v>0.00208100091965772</v>
      </c>
      <c r="FU80" s="150" t="n">
        <f aca="false">IF(FU$19&gt;$FJ80,"",MAX(0,IF(FU$19=$FJ80,$S80^2*FU$15,FU79*INDEX($T$20:$T$91,$FJ80-FU$19)^2/INDEX($U$20:$U$91,$FJ80-FU$19))))</f>
        <v>0.00200076240593545</v>
      </c>
      <c r="FV80" s="150" t="n">
        <f aca="false">IF(FV$19&gt;$FJ80,"",MAX(0,IF(FV$19=$FJ80,$S80^2*FV$15,FV79*INDEX($T$20:$T$91,$FJ80-FV$19)^2/INDEX($U$20:$U$91,$FJ80-FV$19))))</f>
        <v>0.00219884328712156</v>
      </c>
      <c r="FW80" s="150" t="n">
        <f aca="false">IF(FW$19&gt;$FJ80,"",MAX(0,IF(FW$19=$FJ80,$S80^2*FW$15,FW79*INDEX($T$20:$T$91,$FJ80-FW$19)^2/INDEX($U$20:$U$91,$FJ80-FW$19))))</f>
        <v>0.00205526193904363</v>
      </c>
      <c r="FX80" s="150" t="n">
        <f aca="false">IF(FX$19&gt;$FJ80,"",MAX(0,IF(FX$19=$FJ80,$S80^2*FX$15,FX79*INDEX($T$20:$T$91,$FJ80-FX$19)^2/INDEX($U$20:$U$91,$FJ80-FX$19))))</f>
        <v>0.00218747425503818</v>
      </c>
      <c r="FY80" s="150" t="n">
        <f aca="false">IF(FY$19&gt;$FJ80,"",MAX(0,IF(FY$19=$FJ80,$S80^2*FY$15,FY79*INDEX($T$20:$T$91,$FJ80-FY$19)^2/INDEX($U$20:$U$91,$FJ80-FY$19))))</f>
        <v>0.00204750376810912</v>
      </c>
      <c r="FZ80" s="150" t="n">
        <f aca="false">IF(FZ$19&gt;$FJ80,"",MAX(0,IF(FZ$19=$FJ80,$S80^2*FZ$15,FZ79*INDEX($T$20:$T$91,$FJ80-FZ$19)^2/INDEX($U$20:$U$91,$FJ80-FZ$19))))</f>
        <v>0.00190886094273492</v>
      </c>
      <c r="GA80" s="150" t="n">
        <f aca="false">IF(GA$19&gt;$FJ80,"",MAX(0,IF(GA$19=$FJ80,$S80^2*GA$15,GA79*INDEX($T$20:$T$91,$FJ80-GA$19)^2/INDEX($U$20:$U$91,$FJ80-GA$19))))</f>
        <v>0.00204365418052435</v>
      </c>
      <c r="GB80" s="150" t="n">
        <f aca="false">IF(GB$19&gt;$FJ80,"",MAX(0,IF(GB$19=$FJ80,$S80^2*GB$15,GB79*INDEX($T$20:$T$91,$FJ80-GB$19)^2/INDEX($U$20:$U$91,$FJ80-GB$19))))</f>
        <v>0.00224695273313924</v>
      </c>
      <c r="GC80" s="150" t="n">
        <f aca="false">IF(GC$19&gt;$FJ80,"",MAX(0,IF(GC$19=$FJ80,$S80^2*GC$15,GC79*INDEX($T$20:$T$91,$FJ80-GC$19)^2/INDEX($U$20:$U$91,$FJ80-GC$19))))</f>
        <v>0.00197411256328579</v>
      </c>
      <c r="GD80" s="150" t="n">
        <f aca="false">IF(GD$19&gt;$FJ80,"",MAX(0,IF(GD$19=$FJ80,$S80^2*GD$15,GD79*INDEX($T$20:$T$91,$FJ80-GD$19)^2/INDEX($U$20:$U$91,$FJ80-GD$19))))</f>
        <v>0.00197400917152852</v>
      </c>
      <c r="GE80" s="150" t="n">
        <f aca="false">IF(GE$19&gt;$FJ80,"",MAX(0,IF(GE$19=$FJ80,$S80^2*GE$15,GE79*INDEX($T$20:$T$91,$FJ80-GE$19)^2/INDEX($U$20:$U$91,$FJ80-GE$19))))</f>
        <v>0.00224654192949364</v>
      </c>
      <c r="GF80" s="150" t="n">
        <f aca="false">IF(GF$19&gt;$FJ80,"",MAX(0,IF(GF$19=$FJ80,$S80^2*GF$15,GF79*INDEX($T$20:$T$91,$FJ80-GF$19)^2/INDEX($U$20:$U$91,$FJ80-GF$19))))</f>
        <v>0.0019747559244691</v>
      </c>
      <c r="GG80" s="150" t="n">
        <f aca="false">IF(GG$19&gt;$FJ80,"",MAX(0,IF(GG$19=$FJ80,$S80^2*GG$15,GG79*INDEX($T$20:$T$91,$FJ80-GG$19)^2/INDEX($U$20:$U$91,$FJ80-GG$19))))</f>
        <v>0.00217992981422627</v>
      </c>
      <c r="GH80" s="150" t="n">
        <f aca="false">IF(GH$19&gt;$FJ80,"",MAX(0,IF(GH$19=$FJ80,$S80^2*GH$15,GH79*INDEX($T$20:$T$91,$FJ80-GH$19)^2/INDEX($U$20:$U$91,$FJ80-GH$19))))</f>
        <v>0.00204481034134864</v>
      </c>
      <c r="GI80" s="150" t="n">
        <f aca="false">IF(GI$19&gt;$FJ80,"",MAX(0,IF(GI$19=$FJ80,$S80^2*GI$15,GI79*INDEX($T$20:$T$91,$FJ80-GI$19)^2/INDEX($U$20:$U$91,$FJ80-GI$19))))</f>
        <v>0.00197803369522498</v>
      </c>
      <c r="GJ80" s="150" t="n">
        <f aca="false">IF(GJ$19&gt;$FJ80,"",MAX(0,IF(GJ$19=$FJ80,$S80^2*GJ$15,GJ79*INDEX($T$20:$T$91,$FJ80-GJ$19)^2/INDEX($U$20:$U$91,$FJ80-GJ$19))))</f>
        <v>0.00225280270298372</v>
      </c>
      <c r="GK80" s="150" t="n">
        <f aca="false">IF(GK$19&gt;$FJ80,"",MAX(0,IF(GK$19=$FJ80,$S80^2*GK$15,GK79*INDEX($T$20:$T$91,$FJ80-GK$19)^2/INDEX($U$20:$U$91,$FJ80-GK$19))))</f>
        <v>0.00205012778221788</v>
      </c>
      <c r="GL80" s="150" t="n">
        <f aca="false">IF(GL$19&gt;$FJ80,"",MAX(0,IF(GL$19=$FJ80,$S80^2*GL$15,GL79*INDEX($T$20:$T$91,$FJ80-GL$19)^2/INDEX($U$20:$U$91,$FJ80-GL$19))))</f>
        <v>0.0019842424350366</v>
      </c>
      <c r="GM80" s="150" t="n">
        <f aca="false">IF(GM$19&gt;$FJ80,"",MAX(0,IF(GM$19=$FJ80,$S80^2*GM$15,GM79*INDEX($T$20:$T$91,$FJ80-GM$19)^2/INDEX($U$20:$U$91,$FJ80-GM$19))))</f>
        <v>0.00212419438504706</v>
      </c>
      <c r="GN80" s="150" t="n">
        <f aca="false">IF(GN$19&gt;$FJ80,"",MAX(0,IF(GN$19=$FJ80,$S80^2*GN$15,GN79*INDEX($T$20:$T$91,$FJ80-GN$19)^2/INDEX($U$20:$U$91,$FJ80-GN$19))))</f>
        <v>0.00212786329924466</v>
      </c>
      <c r="GO80" s="150" t="n">
        <f aca="false">IF(GO$19&gt;$FJ80,"",MAX(0,IF(GO$19=$FJ80,$S80^2*GO$15,GO79*INDEX($T$20:$T$91,$FJ80-GO$19)^2/INDEX($U$20:$U$91,$FJ80-GO$19))))</f>
        <v>0.00213218415337771</v>
      </c>
      <c r="GP80" s="150" t="n">
        <f aca="false">IF(GP$19&gt;$FJ80,"",MAX(0,IF(GP$19=$FJ80,$S80^2*GP$15,GP79*INDEX($T$20:$T$91,$FJ80-GP$19)^2/INDEX($U$20:$U$91,$FJ80-GP$19))))</f>
        <v>0.00193043346498146</v>
      </c>
      <c r="GQ80" s="150" t="n">
        <f aca="false">IF(GQ$19&gt;$FJ80,"",MAX(0,IF(GQ$19=$FJ80,$S80^2*GQ$15,GQ79*INDEX($T$20:$T$91,$FJ80-GQ$19)^2/INDEX($U$20:$U$91,$FJ80-GQ$19))))</f>
        <v>0.00214323734187164</v>
      </c>
      <c r="GR80" s="150" t="n">
        <f aca="false">IF(GR$19&gt;$FJ80,"",MAX(0,IF(GR$19=$FJ80,$S80^2*GR$15,GR79*INDEX($T$20:$T$91,$FJ80-GR$19)^2/INDEX($U$20:$U$91,$FJ80-GR$19))))</f>
        <v>0.00208089058848673</v>
      </c>
      <c r="GS80" s="150" t="n">
        <f aca="false">IF(GS$19&gt;$FJ80,"",MAX(0,IF(GS$19=$FJ80,$S80^2*GS$15,GS79*INDEX($T$20:$T$91,$FJ80-GS$19)^2/INDEX($U$20:$U$91,$FJ80-GS$19))))</f>
        <v>0.00215849795458383</v>
      </c>
      <c r="GT80" s="150" t="n">
        <f aca="false">IF(GT$19&gt;$FJ80,"",MAX(0,IF(GT$19=$FJ80,$S80^2*GT$15,GT79*INDEX($T$20:$T$91,$FJ80-GT$19)^2/INDEX($U$20:$U$91,$FJ80-GT$19))))</f>
        <v>0.00209824724505215</v>
      </c>
      <c r="GU80" s="150" t="n">
        <f aca="false">IF(GU$19&gt;$FJ80,"",MAX(0,IF(GU$19=$FJ80,$S80^2*GU$15,GU79*INDEX($T$20:$T$91,$FJ80-GU$19)^2/INDEX($U$20:$U$91,$FJ80-GU$19))))</f>
        <v>0.00217958656353982</v>
      </c>
      <c r="GV80" s="150" t="n">
        <f aca="false">IF(GV$19&gt;$FJ80,"",MAX(0,IF(GV$19=$FJ80,$S80^2*GV$15,GV79*INDEX($T$20:$T$91,$FJ80-GV$19)^2/INDEX($U$20:$U$91,$FJ80-GV$19))))</f>
        <v>0.00219300218791048</v>
      </c>
      <c r="GW80" s="150" t="n">
        <f aca="false">IF(GW$19&gt;$FJ80,"",MAX(0,IF(GW$19=$FJ80,$S80^2*GW$15,GW79*INDEX($T$20:$T$91,$FJ80-GW$19)^2/INDEX($U$20:$U$91,$FJ80-GW$19))))</f>
        <v>0.00213755636189179</v>
      </c>
      <c r="GX80" s="150" t="n">
        <f aca="false">IF(GX$19&gt;$FJ80,"",MAX(0,IF(GX$19=$FJ80,$S80^2*GX$15,GX79*INDEX($T$20:$T$91,$FJ80-GX$19)^2/INDEX($U$20:$U$91,$FJ80-GX$19))))</f>
        <v>0.00222745253742329</v>
      </c>
      <c r="GY80" s="150" t="n">
        <f aca="false">IF(GY$19&gt;$FJ80,"",MAX(0,IF(GY$19=$FJ80,$S80^2*GY$15,GY79*INDEX($T$20:$T$91,$FJ80-GY$19)^2/INDEX($U$20:$U$91,$FJ80-GY$19))))</f>
        <v>0.00217691184691314</v>
      </c>
      <c r="GZ80" s="150" t="n">
        <f aca="false">IF(GZ$19&gt;$FJ80,"",MAX(0,IF(GZ$19=$FJ80,$S80^2*GZ$15,GZ79*INDEX($T$20:$T$91,$FJ80-GZ$19)^2/INDEX($U$20:$U$91,$FJ80-GZ$19))))</f>
        <v>0.00227553282813403</v>
      </c>
      <c r="HA80" s="150" t="n">
        <f aca="false">IF(HA$19&gt;$FJ80,"",MAX(0,IF(HA$19=$FJ80,$S80^2*HA$15,HA79*INDEX($T$20:$T$91,$FJ80-HA$19)^2/INDEX($U$20:$U$91,$FJ80-HA$19))))</f>
        <v>0.00230642358393825</v>
      </c>
      <c r="HB80" s="150" t="n">
        <f aca="false">IF(HB$19&gt;$FJ80,"",MAX(0,IF(HB$19=$FJ80,$S80^2*HB$15,HB79*INDEX($T$20:$T$91,$FJ80-HB$19)^2/INDEX($U$20:$U$91,$FJ80-HB$19))))</f>
        <v>0.00219195905262296</v>
      </c>
      <c r="HC80" s="150" t="n">
        <f aca="false">IF(HC$19&gt;$FJ80,"",MAX(0,IF(HC$19=$FJ80,$S80^2*HC$15,HC79*INDEX($T$20:$T$91,$FJ80-HC$19)^2/INDEX($U$20:$U$91,$FJ80-HC$19))))</f>
        <v>0.00238686018283823</v>
      </c>
      <c r="HD80" s="150" t="n">
        <f aca="false">IF(HD$19&gt;$FJ80,"",MAX(0,IF(HD$19=$FJ80,$S80^2*HD$15,HD79*INDEX($T$20:$T$91,$FJ80-HD$19)^2/INDEX($U$20:$U$91,$FJ80-HD$19))))</f>
        <v>0.0023604469928403</v>
      </c>
      <c r="HE80" s="150" t="n">
        <f aca="false">IF(HE$19&gt;$FJ80,"",MAX(0,IF(HE$19=$FJ80,$S80^2*HE$15,HE79*INDEX($T$20:$T$91,$FJ80-HE$19)^2/INDEX($U$20:$U$91,$FJ80-HE$19))))</f>
        <v>0.00250183298671274</v>
      </c>
      <c r="HF80" s="150" t="n">
        <f aca="false">IF(HF$19&gt;$FJ80,"",MAX(0,IF(HF$19=$FJ80,$S80^2*HF$15,HF79*INDEX($T$20:$T$91,$FJ80-HF$19)^2/INDEX($U$20:$U$91,$FJ80-HF$19))))</f>
        <v>0.00249424495534262</v>
      </c>
      <c r="HG80" s="150" t="n">
        <f aca="false">IF(HG$19&gt;$FJ80,"",MAX(0,IF(HG$19=$FJ80,$S80^2*HG$15,HG79*INDEX($T$20:$T$91,$FJ80-HG$19)^2/INDEX($U$20:$U$91,$FJ80-HG$19))))</f>
        <v>0.00266889047607666</v>
      </c>
      <c r="HH80" s="150" t="n">
        <f aca="false">IF(HH$19&gt;$FJ80,"",MAX(0,IF(HH$19=$FJ80,$S80^2*HH$15,HH79*INDEX($T$20:$T$91,$FJ80-HH$19)^2/INDEX($U$20:$U$91,$FJ80-HH$19))))</f>
        <v>0.00278038370515304</v>
      </c>
      <c r="HI80" s="150" t="n">
        <f aca="false">IF(HI$19&gt;$FJ80,"",MAX(0,IF(HI$19=$FJ80,$S80^2*HI$15,HI79*INDEX($T$20:$T$91,$FJ80-HI$19)^2/INDEX($U$20:$U$91,$FJ80-HI$19))))</f>
        <v>0.00282309879128992</v>
      </c>
      <c r="HJ80" s="150" t="n">
        <f aca="false">IF(HJ$19&gt;$FJ80,"",MAX(0,IF(HJ$19=$FJ80,$S80^2*HJ$15,HJ79*INDEX($T$20:$T$91,$FJ80-HJ$19)^2/INDEX($U$20:$U$91,$FJ80-HJ$19))))</f>
        <v>0.0030865109966372</v>
      </c>
      <c r="HK80" s="150" t="n">
        <f aca="false">IF(HK$19&gt;$FJ80,"",MAX(0,IF(HK$19=$FJ80,$S80^2*HK$15,HK79*INDEX($T$20:$T$91,$FJ80-HK$19)^2/INDEX($U$20:$U$91,$FJ80-HK$19))))</f>
        <v>0.00319171810001113</v>
      </c>
      <c r="HL80" s="150" t="n">
        <f aca="false">IF(HL$19&gt;$FJ80,"",MAX(0,IF(HL$19=$FJ80,$S80^2*HL$15,HL79*INDEX($T$20:$T$91,$FJ80-HL$19)^2/INDEX($U$20:$U$91,$FJ80-HL$19))))</f>
        <v>0.00356566853753396</v>
      </c>
      <c r="HM80" s="150" t="n">
        <f aca="false">IF(HM$19&gt;$FJ80,"",MAX(0,IF(HM$19=$FJ80,$S80^2*HM$15,HM79*INDEX($T$20:$T$91,$FJ80-HM$19)^2/INDEX($U$20:$U$91,$FJ80-HM$19))))</f>
        <v>0.00390871061962856</v>
      </c>
      <c r="HN80" s="150" t="n">
        <f aca="false">IF(HN$19&gt;$FJ80,"",MAX(0,IF(HN$19=$FJ80,$S80^2*HN$15,HN79*INDEX($T$20:$T$91,$FJ80-HN$19)^2/INDEX($U$20:$U$91,$FJ80-HN$19))))</f>
        <v>0.00393429311388417</v>
      </c>
      <c r="HO80" s="150" t="n">
        <f aca="false">IF(HO$19&gt;$FJ80,"",MAX(0,IF(HO$19=$FJ80,$S80^2*HO$15,HO79*INDEX($T$20:$T$91,$FJ80-HO$19)^2/INDEX($U$20:$U$91,$FJ80-HO$19))))</f>
        <v>0.00495011222266246</v>
      </c>
      <c r="HP80" s="150" t="n">
        <f aca="false">IF(HP$19&gt;$FJ80,"",MAX(0,IF(HP$19=$FJ80,$S80^2*HP$15,HP79*INDEX($T$20:$T$91,$FJ80-HP$19)^2/INDEX($U$20:$U$91,$FJ80-HP$19))))</f>
        <v>0.00557296248012893</v>
      </c>
      <c r="HQ80" s="150" t="n">
        <f aca="false">IF(HQ$19&gt;$FJ80,"",MAX(0,IF(HQ$19=$FJ80,$S80^2*HQ$15,HQ79*INDEX($T$20:$T$91,$FJ80-HQ$19)^2/INDEX($U$20:$U$91,$FJ80-HQ$19))))</f>
        <v>0.00689031679832241</v>
      </c>
      <c r="HR80" s="150" t="n">
        <f aca="false">IF(HR$19&gt;$FJ80,"",MAX(0,IF(HR$19=$FJ80,$S80^2*HR$15,HR79*INDEX($T$20:$T$91,$FJ80-HR$19)^2/INDEX($U$20:$U$91,$FJ80-HR$19))))</f>
        <v>0.00825335802210116</v>
      </c>
      <c r="HS80" s="150" t="n">
        <f aca="false">IF(HS$19&gt;$FJ80,"",MAX(0,IF(HS$19=$FJ80,$S80^2*HS$15,HS79*INDEX($T$20:$T$91,$FJ80-HS$19)^2/INDEX($U$20:$U$91,$FJ80-HS$19))))</f>
        <v>0.0109995894263209</v>
      </c>
      <c r="HT80" s="150" t="str">
        <f aca="false">IF(HT$19&gt;$FJ80,"",MAX(0,IF(HT$19=$FJ80,$S80^2*HT$15,HT79*INDEX($T$20:$T$91,$FJ80-HT$19)^2/INDEX($U$20:$U$91,$FJ80-HT$19))))</f>
        <v/>
      </c>
      <c r="HU80" s="150" t="str">
        <f aca="false">IF(HU$19&gt;$FJ80,"",MAX(0,IF(HU$19=$FJ80,$S80^2*HU$15,HU79*INDEX($T$20:$T$91,$FJ80-HU$19)^2/INDEX($U$20:$U$91,$FJ80-HU$19))))</f>
        <v/>
      </c>
      <c r="HV80" s="150" t="str">
        <f aca="false">IF(HV$19&gt;$FJ80,"",MAX(0,IF(HV$19=$FJ80,$S80^2*HV$15,HV79*INDEX($T$20:$T$91,$FJ80-HV$19)^2/INDEX($U$20:$U$91,$FJ80-HV$19))))</f>
        <v/>
      </c>
      <c r="HW80" s="150" t="str">
        <f aca="false">IF(HW$19&gt;$FJ80,"",MAX(0,IF(HW$19=$FJ80,$S80^2*HW$15,HW79*INDEX($T$20:$T$91,$FJ80-HW$19)^2/INDEX($U$20:$U$91,$FJ80-HW$19))))</f>
        <v/>
      </c>
      <c r="HX80" s="150" t="str">
        <f aca="false">IF(HX$19&gt;$FJ80,"",MAX(0,IF(HX$19=$FJ80,$S80^2*HX$15,HX79*INDEX($T$20:$T$91,$FJ80-HX$19)^2/INDEX($U$20:$U$91,$FJ80-HX$19))))</f>
        <v/>
      </c>
      <c r="HY80" s="150" t="str">
        <f aca="false">IF(HY$19&gt;$FJ80,"",MAX(0,IF(HY$19=$FJ80,$S80^2*HY$15,HY79*INDEX($T$20:$T$91,$FJ80-HY$19)^2/INDEX($U$20:$U$91,$FJ80-HY$19))))</f>
        <v/>
      </c>
      <c r="HZ80" s="150" t="str">
        <f aca="false">IF(HZ$19&gt;$FJ80,"",MAX(0,IF(HZ$19=$FJ80,$S80^2*HZ$15,HZ79*INDEX($T$20:$T$91,$FJ80-HZ$19)^2/INDEX($U$20:$U$91,$FJ80-HZ$19))))</f>
        <v/>
      </c>
      <c r="IA80" s="150" t="str">
        <f aca="false">IF(IA$19&gt;$FJ80,"",MAX(0,IF(IA$19=$FJ80,$S80^2*IA$15,IA79*INDEX($T$20:$T$91,$FJ80-IA$19)^2/INDEX($U$20:$U$91,$FJ80-IA$19))))</f>
        <v/>
      </c>
      <c r="IB80" s="150" t="str">
        <f aca="false">IF(IB$19&gt;$FJ80,"",MAX(0,IF(IB$19=$FJ80,$S80^2*IB$15,IB79*INDEX($T$20:$T$91,$FJ80-IB$19)^2/INDEX($U$20:$U$91,$FJ80-IB$19))))</f>
        <v/>
      </c>
      <c r="IC80" s="150" t="str">
        <f aca="false">IF(IC$19&gt;$FJ80,"",MAX(0,IF(IC$19=$FJ80,$S80^2*IC$15,IC79*INDEX($T$20:$T$91,$FJ80-IC$19)^2/INDEX($U$20:$U$91,$FJ80-IC$19))))</f>
        <v/>
      </c>
      <c r="ID80" s="572" t="str">
        <f aca="false">IF(ID$19&gt;$FJ80,"",MAX(0,IF(ID$19=$FJ80,$S80^2*ID$15,ID79*INDEX($T$20:$T$91,$FJ80-ID$19)^2/INDEX($U$20:$U$91,$FJ80-ID$19))))</f>
        <v/>
      </c>
      <c r="IE80" s="129"/>
    </row>
    <row r="81" customFormat="false" ht="12.75" hidden="false" customHeight="false" outlineLevel="0" collapsed="false">
      <c r="H81" s="219" t="n">
        <f aca="false">VLOOKUP(I81,$EJ$20:$EL$54,3)</f>
        <v>0</v>
      </c>
      <c r="I81" s="511" t="n">
        <f aca="false">EOMONTH(I80,0)+1</f>
        <v>38626</v>
      </c>
      <c r="J81" s="512"/>
      <c r="K81" s="513" t="s">
        <v>250</v>
      </c>
      <c r="L81" s="514" t="e">
        <f aca="false">IF(ISNUMBER(K81),J81+K81/100,IF(K81="extra",L80+VLOOKUP(BF81,PriceSpreadTable,2)/12,IF(K81="inter",interpolateprices($K$19:$L$200,ROW(K81)-ROW(FirstPricingMonth)+1),interpolatechanges($J$19:$K$200,ROW(K81)-ROW(FirstPricingMonth)+1))))</f>
        <v>#VALUE!</v>
      </c>
      <c r="M81" s="515"/>
      <c r="N81" s="516" t="n">
        <v>0</v>
      </c>
      <c r="O81" s="515" t="n">
        <f aca="false">M81+N81</f>
        <v>0</v>
      </c>
      <c r="P81" s="512"/>
      <c r="Q81" s="513" t="s">
        <v>280</v>
      </c>
      <c r="R81" s="512" t="e">
        <f aca="false">IF(ISNUMBER(Q81),P81+Q81/100,IF(Q81="extra",(Z79*AL79-R80*AM79)/AN79,IF(Q81="inter",interpolateprices($Q$19:$R$260,ROW(Q81)-ROW(FirstPricingMonth)+1),interpolatechanges($P$19:$Q$260,ROW(Q81)-ROW(FirstPricingMonth)+1))))</f>
        <v>#VALUE!</v>
      </c>
      <c r="S81" s="597" t="n">
        <f aca="false">S$19+(S80-S$19)*S$18</f>
        <v>0.360000001275662</v>
      </c>
      <c r="T81" s="575" t="n">
        <f aca="false">SQRT((1-(1-T80^2/U80)*T$18)*U81)</f>
        <v>0.999992048816067</v>
      </c>
      <c r="U81" s="576" t="n">
        <f aca="false">1-(1-U80)*U$18</f>
        <v>0.99999999964122</v>
      </c>
      <c r="V81" s="521" t="n">
        <v>0</v>
      </c>
      <c r="W81" s="577" t="n">
        <f aca="false">(J82*AJ81+J83*AK81)/AI81</f>
        <v>0</v>
      </c>
      <c r="X81" s="578" t="e">
        <f aca="false">(L82*AJ81+L83*AK81)/AI81</f>
        <v>#VALUE!</v>
      </c>
      <c r="Y81" s="579" t="n">
        <f aca="false">IF(Q83="extra",W81-AA81,(P82*AM81+P83*AN81)/AL81)</f>
        <v>-1.1446</v>
      </c>
      <c r="Z81" s="579" t="e">
        <f aca="false">IF(Q83="extra",X81-AB81,(R82*AM81+R83*AN81)/AL81)</f>
        <v>#VALUE!</v>
      </c>
      <c r="AA81" s="523" t="n">
        <f aca="false">IF(Q83="extra",INDEX(BrentSeasonalityTable,INT((BG81-1)/3)+1)*VLOOKUP(MAX(BF81,$AB$4),PriceSpreadTable,3),W81-Y81)</f>
        <v>1.1446</v>
      </c>
      <c r="AB81" s="524" t="n">
        <f aca="false">IF(Q83="extra",INDEX(BrentSeasonalityTable,INT((BG81-1)/3)+1)*VLOOKUP(MAX(BF81,$AB$4),PriceSpreadTable,3),X81-Z81)</f>
        <v>1.1446</v>
      </c>
      <c r="AC81" s="646" t="n">
        <v>38615</v>
      </c>
      <c r="AD81" s="646" t="n">
        <v>38611</v>
      </c>
      <c r="AE81" s="646" t="n">
        <v>38610</v>
      </c>
      <c r="AF81" s="646" t="n">
        <v>38606</v>
      </c>
      <c r="AG81" s="438" t="s">
        <v>247</v>
      </c>
      <c r="AH81" s="439" t="s">
        <v>278</v>
      </c>
      <c r="AI81" s="528" t="n">
        <v>21</v>
      </c>
      <c r="AJ81" s="529" t="n">
        <v>14</v>
      </c>
      <c r="AK81" s="529" t="n">
        <v>7</v>
      </c>
      <c r="AL81" s="530" t="n">
        <v>21</v>
      </c>
      <c r="AM81" s="529" t="n">
        <v>10</v>
      </c>
      <c r="AN81" s="531" t="n">
        <v>11</v>
      </c>
      <c r="AO81" s="532"/>
      <c r="AP81" s="465" t="n">
        <f aca="false">(1+AO81/2)^(-2*BL81)</f>
        <v>1</v>
      </c>
      <c r="AQ81" s="532"/>
      <c r="AR81" s="465" t="n">
        <f aca="false">(1+AQ81/2)^(-2*BH81/365.25)</f>
        <v>1</v>
      </c>
      <c r="AS81" s="580" t="n">
        <f aca="false">(O82*AJ81+O83*AK81)/AI81</f>
        <v>0</v>
      </c>
      <c r="AT81" s="468" t="n">
        <f aca="false">O81*VLOOKUP(BF81,BrentVolTable,2)+VLOOKUP(BF81,BrentVolTable,3)</f>
        <v>0</v>
      </c>
      <c r="AU81" s="468" t="n">
        <f aca="false">(AT82*AM81+AT83*AN81)/AL81</f>
        <v>0</v>
      </c>
      <c r="AV81" s="595" t="n">
        <f aca="false">SQRT(MAX(0.000000000001,(O81^2*BH81-S81^2*(BH81-BH80))/BH80))</f>
        <v>0.0233876964869784</v>
      </c>
      <c r="AW81" s="451" t="n">
        <f aca="false">IF($I81-DateToday+15&gt;=$T$8,"",IF($I81-DateToday+15&lt;$T$5,1,MATCH($I81-DateToday+15,$T$5:$T$8)))</f>
        <v>1</v>
      </c>
      <c r="AX81" s="468" t="n">
        <f aca="false">IF($AW81="",AX80^2/AX79,INDEX(U$5:U$8,$AW81)^((INDEX($T$5:$T$8,$AW81+1)-($I81-DateToday+15))/(INDEX($T$5:$T$8,$AW81+1)-INDEX($T$5:$T$8,$AW81)))/INDEX(U$5:U$8,$AW81+1)^((INDEX($T$5:$T$8,$AW81)-($I81-DateToday+15))/(INDEX($T$5:$T$8,$AW81+1)-INDEX($T$5:$T$8,$AW81))))</f>
        <v>3.40777007857795</v>
      </c>
      <c r="AY81" s="468" t="n">
        <f aca="false">IF($AW81="",AY80^2/AY79,INDEX(V$5:V$8,$AW81)^((INDEX($T$5:$T$8,$AW81+1)-($I81-DateToday+15))/(INDEX($T$5:$T$8,$AW81+1)-INDEX($T$5:$T$8,$AW81)))/INDEX(V$5:V$8,$AW81+1)^((INDEX($T$5:$T$8,$AW81)-($I81-DateToday+15))/(INDEX($T$5:$T$8,$AW81+1)-INDEX($T$5:$T$8,$AW81))))</f>
        <v>399.699546964059</v>
      </c>
      <c r="AZ81" s="468" t="n">
        <f aca="false">IF($AW81="",AZ80^2/AZ79,INDEX(W$5:W$8,$AW81)^((INDEX($T$5:$T$8,$AW81+1)-($I81-DateToday+15))/(INDEX($T$5:$T$8,$AW81+1)-INDEX($T$5:$T$8,$AW81)))/INDEX(W$5:W$8,$AW81+1)^((INDEX($T$5:$T$8,$AW81)-($I81-DateToday+15))/(INDEX($T$5:$T$8,$AW81+1)-INDEX($T$5:$T$8,$AW81))))</f>
        <v>4640502.16183819</v>
      </c>
      <c r="BA81" s="468" t="n">
        <f aca="false">IF($AW81="",BA80^2/BA79,INDEX(X$5:X$8,$AW81)^((INDEX($T$5:$T$8,$AW81+1)-($I81-DateToday+15))/(INDEX($T$5:$T$8,$AW81+1)-INDEX($T$5:$T$8,$AW81)))/INDEX(X$5:X$8,$AW81+1)^((INDEX($T$5:$T$8,$AW81)-($I81-DateToday+15))/(INDEX($T$5:$T$8,$AW81+1)-INDEX($T$5:$T$8,$AW81))))</f>
        <v>164726712.673837</v>
      </c>
      <c r="BB81" s="468" t="n">
        <f aca="false">IF($AW81="",BB80^2/BB79,INDEX(Y$5:Y$8,$AW81)^((INDEX($T$5:$T$8,$AW81+1)-($I81-DateToday+15))/(INDEX($T$5:$T$8,$AW81+1)-INDEX($T$5:$T$8,$AW81)))/INDEX(Y$5:Y$8,$AW81+1)^((INDEX($T$5:$T$8,$AW81)-($I81-DateToday+15))/(INDEX($T$5:$T$8,$AW81+1)-INDEX($T$5:$T$8,$AW81))))</f>
        <v>2490138780.8824</v>
      </c>
      <c r="BC81" s="468" t="n">
        <f aca="false">IF($AW81="",BC80^2/BC79,INDEX(Z$5:Z$8,$AW81)^((INDEX($T$5:$T$8,$AW81+1)-($I81-DateToday+15))/(INDEX($T$5:$T$8,$AW81+1)-INDEX($T$5:$T$8,$AW81)))/INDEX(Z$5:Z$8,$AW81+1)^((INDEX($T$5:$T$8,$AW81)-($I81-DateToday+15))/(INDEX($T$5:$T$8,$AW81+1)-INDEX($T$5:$T$8,$AW81))))</f>
        <v>12647412379.1457</v>
      </c>
      <c r="BD81" s="535" t="n">
        <f aca="false">IF(OR(DateStart&gt;=I82,DateEnd&lt;I81),0,IF(VolumeOverrideFlag,V81,Volume))</f>
        <v>0</v>
      </c>
      <c r="BE81" s="536" t="n">
        <f aca="false">IF(OR(DateStart2&gt;=I82,DateEnd2&lt;I81),0,IF(VolumeOverrideFlag,V81,VolumeSwaption))</f>
        <v>0</v>
      </c>
      <c r="BF81" s="537" t="n">
        <f aca="false">YEAR(I81)</f>
        <v>2005</v>
      </c>
      <c r="BG81" s="538" t="n">
        <f aca="false">MONTH(I81)</f>
        <v>10</v>
      </c>
      <c r="BH81" s="539" t="n">
        <f aca="false">AD81-DateToday+1</f>
        <v>-7314</v>
      </c>
      <c r="BI81" s="540" t="n">
        <f aca="false">(I81-DateToday+1)/365.25</f>
        <v>-19.9835728952772</v>
      </c>
      <c r="BJ81" s="541" t="n">
        <f aca="false">BI81+(BL81-BI81)*CHOOSE(Underlying,AJ81/AI81,AM81/AL81)</f>
        <v>-19.9288158795346</v>
      </c>
      <c r="BK81" s="541" t="n">
        <f aca="false">BJ81+1/365.25</f>
        <v>-19.9260780287474</v>
      </c>
      <c r="BL81" s="541" t="n">
        <f aca="false">(I82-DateToday)/365.25</f>
        <v>-19.9014373716632</v>
      </c>
      <c r="BM81" s="542" t="e">
        <f aca="false">MAX(BI81-(BJ81-BI81)*(S82^2/O82^2-1),0)</f>
        <v>#DIV/0!</v>
      </c>
      <c r="BN81" s="541" t="e">
        <f aca="false">MAX(BL81+(BL81-BK81)*(S83^2/O83^2-1),0)</f>
        <v>#DIV/0!</v>
      </c>
      <c r="BO81" s="530" t="n">
        <f aca="false">CHOOSE(Underlying,AI81,AL81)</f>
        <v>21</v>
      </c>
      <c r="BP81" s="529" t="n">
        <f aca="false">CHOOSE(Underlying,AJ81,AM81)</f>
        <v>14</v>
      </c>
      <c r="BQ81" s="529" t="n">
        <f aca="false">CHOOSE(Underlying,AK81,AN81)</f>
        <v>7</v>
      </c>
      <c r="BR81" s="463" t="str">
        <f aca="false">IF(BD81,IF(Underlying=1,X81,Z81)+UnderlyingPriceAsian-SwapPriceCurve,"")</f>
        <v/>
      </c>
      <c r="BS81" s="463" t="str">
        <f aca="false">IF(BD81,Strike1/BR81-1,"")</f>
        <v/>
      </c>
      <c r="BT81" s="464" t="str">
        <f aca="false">IF(BD81,Strike2/BR81-1,"")</f>
        <v/>
      </c>
      <c r="BU81" s="465" t="str">
        <f aca="false">IF(BD81,IF(Underlying=1,L82,R82)+UnderlyingPriceAsian-SwapPriceCurve,"")</f>
        <v/>
      </c>
      <c r="BV81" s="465" t="str">
        <f aca="false">IF(BD81,IF(Underlying=1,L83,R83)+UnderlyingPriceAsian-SwapPriceCurve,"")</f>
        <v/>
      </c>
      <c r="BW81" s="466" t="str">
        <f aca="false">IF(BD81,IF(Underlying=1,O82,AT82),"")</f>
        <v/>
      </c>
      <c r="BX81" s="467" t="str">
        <f aca="false">IF(BD81,IF(Underlying=1,O83,AT83),"")</f>
        <v/>
      </c>
      <c r="BY81" s="466" t="str">
        <f aca="false">IF(BD81,IF(BS81&gt;0,IF(BS81&gt;0.2,BC81-BB81,IF(BS81&gt;0.1,BB81-BA81,BA81)),IF(BS81&lt;-0.2,AX81-AY81,IF(BS81&lt;-0.1,AY81-AZ81,AZ81))),"")</f>
        <v/>
      </c>
      <c r="BZ81" s="467" t="str">
        <f aca="false">IF(BD81,IF(BT81&gt;0,IF(BT81&gt;0.2,BC81-BB81,IF(BT81&gt;0.1,BB81-BA81,BA81)),IF(BT81&lt;-0.2,AX81-AY81,IF(BT81&lt;-0.1,AY81-AZ81,AZ81))),"")</f>
        <v/>
      </c>
      <c r="CA81" s="468" t="str">
        <f aca="false">IF($BD81,$BW81+IF(VolSkewFlag=1,IF(BS81&gt;0,$BA81*MIN(BS81/10%,1)+($BB81-$BA81)*MAX(0,MIN(BS81/10%-1,1))+($BC81-$BB81)*MAX(0,BS81/10%-2),$AZ81*MIN(-BS81/10%,1)+($AY81-$AZ81)*MAX(0,MIN(-BS81/10%-1,1))+($AX81-$AY81)*MAX(0,-BS81/10%-2)),0),"")</f>
        <v/>
      </c>
      <c r="CB81" s="468" t="str">
        <f aca="false">IF($BD81,$BX81+IF(VolSkewFlag=1,IF(BS81&gt;0,$BA81*MIN(BS81/10%,1)+($BB81-$BA81)*MAX(0,MIN(BS81/10%-1,1))+($BC81-$BB81)*MAX(0,BS81/10%-2),$AZ81*MIN(-BS81/10%,1)+($AY81-$AZ81)*MAX(0,MIN(-BS81/10%-1,1))+($AX81-$AY81)*MAX(0,-BS81/10%-2)),0),"")</f>
        <v/>
      </c>
      <c r="CC81" s="468" t="str">
        <f aca="false">IF($BD81,$BW81+IF(VolSkewFlag=1,IF(BT81&gt;0,$BA81*MIN(BT81/10%,1)+($BB81-$BA81)*MAX(0,MIN(BT81/10%-1,1))+($BC81-$BB81)*MAX(0,BT81/10%-2),$AZ81*MIN(-BT81/10%,1)+($AY81-$AZ81)*MAX(0,MIN(-BT81/10%-1,1))+($AX81-$AY81)*MAX(0,-BT81/10%-2)),0),"")</f>
        <v/>
      </c>
      <c r="CD81" s="468" t="str">
        <f aca="false">IF($BD81,$BX81+IF(VolSkewFlag=1,IF(BT81&gt;0,$BA81*MIN(BT81/10%,1)+($BB81-$BA81)*MAX(0,MIN(BT81/10%-1,1))+($BC81-$BB81)*MAX(0,BT81/10%-2),$AZ81*MIN(-BT81/10%,1)+($AY81-$AZ81)*MAX(0,MIN(-BT81/10%-1,1))+($AX81-$AY81)*MAX(0,-BT81/10%-2)),0),"")</f>
        <v/>
      </c>
      <c r="CE81" s="469" t="n">
        <v>1</v>
      </c>
      <c r="CF81" s="470" t="n">
        <f aca="false">IF(BD81,xCrudeAPO(BU81,BV81,CA81,CB81,S82,S83,BI81,BL81,BP81,BQ81,0,Strike1,AO81,CE81,0,BL81,IF(OptControl=4,0,1),0,1),0)</f>
        <v>0</v>
      </c>
      <c r="CG81" s="470" t="n">
        <f aca="false">IF(BD81,xCrudeAPO(BU81,BV81,CA81,CB81,S82,S83,BI81,BL81,BP81,BQ81,0,Strike1,AO81,CE81,0,BL81,IF(OptControl=4,0,1),1,1)+xCrudeAPO(BU81,BV81,CA81,CB81,S82,S83,BI81,BL81,BP81,BQ81,0,Strike1,AO81,CE81,0,BL81,IF(OptControl=4,0,1),1,2)+IF(OR(VolSkewFlag=2,ABS(BS81)&lt;0.0001),0,IF(BS81&gt;0,-1,1)*CH81*Strike1/BR81^2*BY81/10%),0)</f>
        <v>0</v>
      </c>
      <c r="CH81" s="470" t="n">
        <f aca="false">IF(BD81,(xCrudeAPO(BU81,BV81,CA81,CB81,S82,S83,BI81,BL81,BP81,BQ81,0,Strike1,AO81,CE81,0,BL81,IF(OptControl=4,0,1),3,1)+xCrudeAPO(BU81,BV81,CA81,CB81,S82,S83,BI81,BL81,BP81,BQ81,0,Strike1,AO81,CE81,0,BL81,IF(OptControl=4,0,1),3,2))/100,0)</f>
        <v>0</v>
      </c>
      <c r="CI81" s="470" t="n">
        <f aca="false">IF(BD81,xCrudeAPO(BU81,BV81,CA81,CB81,S82,S83,BI81-DaysForThetaCalculation/365.25,BL81-DaysForThetaCalculation/365.25,BP81,BQ81,0,Strike1,AO81,CE81,0,BL81,IF(OptControl=4,0,1),0,1)-xCrudeAPO(BU81,BV81,CA81,CB81,S82,S83,BI81,BL81,BP81,BQ81,0,Strike1,AO81,CE81,0,BL81,IF(OptControl=4,0,1),0,1),0)</f>
        <v>0</v>
      </c>
      <c r="CJ81" s="471" t="n">
        <f aca="false">IF(BD81,xCrudeAPO(BU81,BV81,CC81,CD81,S82,S83,BI81,BL81,BP81,BQ81,0,Strike2,AO81,CE81,0,BL81,IF(OptControl=3,1,0),0,1),0)</f>
        <v>0</v>
      </c>
      <c r="CK81" s="470" t="n">
        <f aca="false">IF(BD81,xCrudeAPO(BU81,BV81,CC81,CD81,S82,S83,BI81,BL81,BP81,BQ81,0,Strike2,AO81,CE81,0,BL81,IF(OptControl=3,1,0),1,1)+xCrudeAPO(BU81,BV81,CC81,CD81,S82,S83,BI81,BL81,BP81,BQ81,0,Strike2,AO81,CE81,0,BL81,IF(OptControl=3,1,0),1,2)+IF(OR(VolSkewFlag=2,ABS(BT81)&lt;0.0001),0,IF(BT81&gt;0,-1,1)*CL81*Strike2/BR81^2*BZ81/10%),0)</f>
        <v>0</v>
      </c>
      <c r="CL81" s="470" t="n">
        <f aca="false">IF(BD81,(xCrudeAPO(BU81,BV81,CC81,CD81,S82,S83,BI81,BL81,BP81,BQ81,0,Strike2,AO81,CE81,0,BL81,IF(OptControl=3,1,0),3,1)+xCrudeAPO(BU81,BV81,CC81,CD81,S82,S83,BI81,BL81,BP81,BQ81,0,Strike2,AO81,CE81,0,BL81,IF(OptControl=3,1,0),3,2))/100,0)</f>
        <v>0</v>
      </c>
      <c r="CM81" s="472" t="n">
        <f aca="false">IF(BD81,xCrudeAPO(BU81,BV81,CC81,CD81,S82,S83,BI81-DaysForThetaCalculation/365.25,BL81-DaysForThetaCalculation/365.25,BP81,BQ81,0,Strike2,AO81,CE81,0,BL81,IF(OptControl=3,1,0),0,1)-xCrudeAPO(BU81,BV81,CC81,CD81,S82,S83,BI81,BL81,BP81,BQ81,0,Strike2,AO81,CE81,0,BL81,IF(OptControl=3,1,0),0,1),0)</f>
        <v>0</v>
      </c>
      <c r="CN81" s="3"/>
      <c r="CO81" s="543" t="str">
        <f aca="false">IF(BD81,CHOOSE(Underlying,AD81,AF81)-DateToday+1,"")</f>
        <v/>
      </c>
      <c r="CP81" s="582" t="str">
        <f aca="false">IF(BD81,CHOOSE(Underlying,L81,R81),"")</f>
        <v/>
      </c>
      <c r="CQ81" s="544" t="str">
        <f aca="false">IF(BD81,Strike1/CP81-1,"")</f>
        <v/>
      </c>
      <c r="CR81" s="544" t="str">
        <f aca="false">IF(BD81,Strike2/CP81-1,"")</f>
        <v/>
      </c>
      <c r="CS81" s="544" t="str">
        <f aca="false">IF(BD81,IF(CQ81&gt;0,IF(CQ81&gt;0.2,BC80-BB80,IF(CQ81&gt;0.1,BB80-BA80,BA80)),IF(CQ81&lt;-0.2,AX80-AY80,IF(CQ81&lt;-0.1,AY80-AZ80,AZ80))),"")</f>
        <v/>
      </c>
      <c r="CT81" s="544" t="str">
        <f aca="false">IF(BD81,IF(CR81&gt;0,IF(CR81&gt;0.2,BC80-BB80,IF(CR81&gt;0.1,BB80-BA80,BA80)),IF(CR81&lt;-0.2,AX80-AY80,IF(CR81&lt;-0.1,AY80-AZ80,AZ80))),"")</f>
        <v/>
      </c>
      <c r="CU81" s="545" t="str">
        <f aca="false">IF(BD81,CHOOSE(Underlying,O81,AT81),"")</f>
        <v/>
      </c>
      <c r="CV81" s="545" t="str">
        <f aca="false">IF(BD81,CU81+IF(VolSkewFlag=1,IF(CQ81&gt;0,BA80*MIN(CQ81/10%,1)+(BB80-BA80)*MAX(0,MIN(CQ81/10%-1,1))+(BC80-BB80)*MAX(0,CQ81/10%-2),AZ80*MIN(-CQ81/10%,1)+(AY80-AZ80)*MAX(0,MIN(-CQ81/10%-1,1))+(AX80-AY80)*MAX(0,-CQ81/10%-2)),0),"")</f>
        <v/>
      </c>
      <c r="CW81" s="545" t="str">
        <f aca="false">IF(BD81,CU81+IF(VolSkewFlag=1,IF(CR81&gt;0,BA80*MIN(CR81/10%,1)+(BB80-BA80)*MAX(0,MIN(CR81/10%-1,1))+(BC80-BB80)*MAX(0,CR81/10%-2),AZ80*MIN(-CR81/10%,1)+(AY80-AZ80)*MAX(0,MIN(-CR81/10%-1,1))+(AX80-AY80)*MAX(0,-CR81/10%-2)),0),"")</f>
        <v/>
      </c>
      <c r="CX81" s="470" t="n">
        <f aca="false">IF(BD81,EURO(CP81,Strike1,AO81,AO81,CV81,CO81,IF(OptControl=4,0,1),0),0)</f>
        <v>0</v>
      </c>
      <c r="CY81" s="470" t="n">
        <f aca="false">IF(BD81,EURO(CP81,Strike1,AO81,AO81,CV81,CO81,IF(OptControl=4,0,1),1)+IF(OR(VolSkewFlag=2,ABS(CQ81)&lt;0.0001),0,IF(CQ81&gt;0,-1,1)*CZ81*100*Strike1/CP81^2*CS81/10%),0)</f>
        <v>0</v>
      </c>
      <c r="CZ81" s="470" t="n">
        <f aca="false">IF(BD81,EURO(CP81,Strike1,AO81,AO81,CV81,CO81,IF(OptControl=4,0,1),3)/100,0)</f>
        <v>0</v>
      </c>
      <c r="DA81" s="470" t="n">
        <f aca="false">IF(BD81,EURO(CP81,Strike1,AO81,AO81,CV81,CO81,IF(OptControl=4,0,1),0)-EURO(CP81,Strike1,AO81,AO81,CV81,CO81-1,IF(OptControl=4,0,1),0),0)</f>
        <v>0</v>
      </c>
      <c r="DB81" s="470" t="n">
        <f aca="false">IF(BD81,EURO(CP81,Strike2,AO81,AO81,CW81,CO81,IF(OptControl=3,1,0),0),0)</f>
        <v>0</v>
      </c>
      <c r="DC81" s="470" t="n">
        <f aca="false">IF(BD81,EURO(CP81,Strike2,AO81,AO81,CW81,CO81,IF(OptControl=3,1,0),1)+IF(OR(VolSkewFlag=2,ABS(CR81)&lt;0.0001),0,IF(CR81&gt;0,-1,1)*DD81*100*Strike2/CP81^2*CT81/10%),0)</f>
        <v>0</v>
      </c>
      <c r="DD81" s="470" t="n">
        <f aca="false">IF(BD81,EURO(CP81,Strike2,AO81,AO81,CW81,CO81,IF(OptControl=3,1,0),3)/100,0)</f>
        <v>0</v>
      </c>
      <c r="DE81" s="472" t="n">
        <f aca="false">IF(BD81,EURO(CP81,Strike2,AO81,AO81,CW81,CO81,IF(OptControl=3,1,0),0)-EURO(CP81,Strike2,AO81,AO81,CW81,CO81-1,IF(OptControl=3,1,0),0),0)</f>
        <v>0</v>
      </c>
      <c r="DG81" s="481" t="n">
        <f aca="false">EOMONTH(DG80,0)+1</f>
        <v>47543</v>
      </c>
      <c r="DH81" s="478" t="n">
        <v>18.35</v>
      </c>
      <c r="DI81" s="479" t="n">
        <v>18.3453623188406</v>
      </c>
      <c r="DJ81" s="480" t="n">
        <f aca="false">DG81</f>
        <v>47543</v>
      </c>
      <c r="DK81" s="478" t="n">
        <v>17.2016966384103</v>
      </c>
      <c r="DL81" s="479" t="n">
        <v>17.2053623188406</v>
      </c>
      <c r="DM81" s="481" t="n">
        <f aca="false">DG81</f>
        <v>47543</v>
      </c>
      <c r="DN81" s="482" t="n">
        <f aca="false">DK81+BrentPhyBrentSpread</f>
        <v>17.2516966384103</v>
      </c>
      <c r="DO81" s="481" t="n">
        <f aca="false">DG81</f>
        <v>47543</v>
      </c>
      <c r="DP81" s="483" t="n">
        <f aca="false">DL81+DQ81</f>
        <v>17.2053623188406</v>
      </c>
      <c r="DQ81" s="546" t="n">
        <v>0</v>
      </c>
      <c r="DR81" s="480" t="n">
        <f aca="false">DG81</f>
        <v>47543</v>
      </c>
      <c r="DS81" s="485" t="n">
        <v>0.19430017508722</v>
      </c>
      <c r="DT81" s="486" t="n">
        <v>0.193579798709696</v>
      </c>
      <c r="DU81" s="480" t="n">
        <f aca="false">DG81</f>
        <v>47543</v>
      </c>
      <c r="DV81" s="485" t="n">
        <v>0.19430017508722</v>
      </c>
      <c r="DW81" s="486" t="n">
        <v>0.193579798709696</v>
      </c>
      <c r="DX81" s="481" t="n">
        <f aca="false">DG81</f>
        <v>47543</v>
      </c>
      <c r="DY81" s="486" t="n">
        <v>0.35</v>
      </c>
      <c r="DZ81" s="481" t="n">
        <f aca="false">DR81</f>
        <v>47543</v>
      </c>
      <c r="EA81" s="486" t="n">
        <f aca="false">DT81</f>
        <v>0.193579798709696</v>
      </c>
      <c r="EB81" s="195"/>
      <c r="EC81" s="547" t="str">
        <f aca="false">IF(BD81,IF(Underlying=1,AS81,AU81),"")</f>
        <v/>
      </c>
      <c r="ED81" s="548" t="str">
        <f aca="false">IF($BD81,$EC81+IF(VolSkewFlag=1,IF(BS81&gt;0,$BA81*MIN(BS81/10%,1)+($BB81-$BA81)*MAX(0,MIN(BS81/10%-1,1))+($BC81-$BB81)*MAX(0,BS81/10%-2),$AZ81*MIN(-BS81/10%,1)+($AY81-$AZ81)*MAX(0,MIN(-BS81/10%-1,1))+($AX81-$AY81)*MAX(0,-BS81/10%-2)),0),"")</f>
        <v/>
      </c>
      <c r="EE81" s="549" t="str">
        <f aca="false">IF($BD81,$EC81+IF(VolSkewFlag=1,IF(BT81&gt;0,$BA81*MIN(BT81/10%,1)+($BB81-$BA81)*MAX(0,MIN(BT81/10%-1,1))+($BC81-$BB81)*MAX(0,BT81/10%-2),$AZ81*MIN(-BT81/10%,1)+($AY81-$AZ81)*MAX(0,MIN(-BT81/10%-1,1))+($AX81-$AY81)*MAX(0,-BT81/10%-2)),0),"")</f>
        <v/>
      </c>
      <c r="EF81" s="550" t="n">
        <f aca="false">IF(BD81,xASN(BR81,Strike1,AO81,ED81,0,BO81,0,BI81,BL81,IF(OptControl=4,0,1),0),0)</f>
        <v>0</v>
      </c>
      <c r="EG81" s="551" t="n">
        <f aca="false">IF(BD81,xASN(BR81,Strike2,AO81,EE81,0,BO81,0,BI81,BL81,IF(OptControl=3,1,0),0),0)</f>
        <v>0</v>
      </c>
      <c r="EL81" s="1"/>
      <c r="EM81" s="195"/>
      <c r="EN81" s="556" t="n">
        <v>43101</v>
      </c>
      <c r="EO81" s="557" t="n">
        <v>47842</v>
      </c>
      <c r="EP81" s="195"/>
      <c r="EQ81" s="407" t="s">
        <v>307</v>
      </c>
      <c r="ES81" s="587" t="n">
        <v>62</v>
      </c>
      <c r="ET81" s="559" t="n">
        <f aca="false">BH81/365.25</f>
        <v>-20.0246406570842</v>
      </c>
      <c r="EU81" s="560" t="n">
        <f aca="false">O81^2*ET81</f>
        <v>-0</v>
      </c>
      <c r="EV81" s="588" t="e">
        <f aca="false">SQRT(SUM(FK81:ID81)/ET81)</f>
        <v>#VALUE!</v>
      </c>
      <c r="EW81" s="589" t="str">
        <f aca="false">IF(OR(DateStart2&gt;I80,DateEnd2&lt;I79),"",IF(DateStart2&lt;I80,AK79/AI79*AP79*BE79*SwaptionNumOfMonths/$D$33,0)+IF(DateEnd2&gt;I79,AJ80/AI80*AP80*BE80*SwaptionNumOfMonths/$D$33,0))</f>
        <v/>
      </c>
      <c r="EX81" s="590" t="str">
        <f aca="false">IF(EW81="","",SQRT(SUM(FK386:ID386)/SwaptionYearsToExp))</f>
        <v/>
      </c>
      <c r="EY81" s="129" t="n">
        <v>0</v>
      </c>
      <c r="EZ81" s="591" t="str">
        <f aca="false">IF(OR(EW81="",EW82=""),"",SQRT(SUM(INDEX(FK81:ID81,SwaptionFirstMonthPosition+1):INDEX(FK81:ID81,FJ81))/SUM(INDEX($FK$15:$ID$15,SwaptionFirstMonthPosition+1):INDEX($FK$15:$ID$15,FJ81))))</f>
        <v/>
      </c>
      <c r="FA81" s="592" t="str">
        <f aca="false">IF(OR(EW81="",EW80=""),"",SQRT(SUM(INDEX(FK81:ID81,SwaptionFirstMonthPosition+1):INDEX(FK81:ID81,FJ81-1))/SUM(INDEX($FK$15:$ID$15,SwaptionFirstMonthPosition+1):INDEX($FK$15:$ID$15,FJ81-1))))</f>
        <v/>
      </c>
      <c r="FB81" s="593" t="str">
        <f aca="false">IF(BE81,2/3*EZ82+1/3*FA83,"")</f>
        <v/>
      </c>
      <c r="FC81" s="596" t="str">
        <f aca="false">IF(BE81,(I82+I81-1)/2-DateToday,"")</f>
        <v/>
      </c>
      <c r="FD81" s="483" t="str">
        <f aca="false">IF(BE81,CHOOSE(Underlying,X81,Z81)+SwaptionUnderlyingPrice-$D$26,"")</f>
        <v/>
      </c>
      <c r="FE81" s="483" t="str">
        <f aca="false">IF(BE81,CollartionFloor/FD81-1,"")</f>
        <v/>
      </c>
      <c r="FF81" s="483" t="str">
        <f aca="false">IF(BE81,CollartionCap/FD81-1,"")</f>
        <v/>
      </c>
      <c r="FG81" s="485" t="str">
        <f aca="false">IF(BE81,IF(VolSkewFlag=1,IF(FE81&gt;0,$BA81*MIN(FE81/10%,1)+($BB81-$BA81)*MAX(0,MIN(FE81/10%-1,1))+($BC81-$BB81)*MAX(0,FE81/10%-2),$AZ81*MIN(-FE81/10%,1)+($AY81-$AZ81)*MAX(0,MIN(-FE81/10%-1,1))+($AX81-$AY81)*MAX(0,-FE81/10%-2)),0),"")</f>
        <v/>
      </c>
      <c r="FH81" s="486" t="str">
        <f aca="false">IF(BE81,IF(VolSkewFlag=1,IF(FF81&gt;0,$BA81*MIN(FF81/10%,1)+($BB81-$BA81)*MAX(0,MIN(FF81/10%-1,1))+($BC81-$BB81)*MAX(0,FF81/10%-2),$AZ81*MIN(-FF81/10%,1)+($AY81-$AZ81)*MAX(0,MIN(-FF81/10%-1,1))+($AX81-$AY81)*MAX(0,-FF81/10%-2)),0),"")</f>
        <v/>
      </c>
      <c r="FI81" s="129"/>
      <c r="FJ81" s="571" t="n">
        <v>62</v>
      </c>
      <c r="FK81" s="150" t="n">
        <f aca="false">IF(FK$19&gt;$FJ81,"",MAX(0,IF(FK$19=$FJ81,$S81^2*FK$15,FK80*INDEX($T$20:$T$91,$FJ81-FK$19)^2/INDEX($U$20:$U$91,$FJ81-FK$19))))</f>
        <v>0</v>
      </c>
      <c r="FL81" s="150" t="n">
        <f aca="false">IF(FL$19&gt;$FJ81,"",MAX(0,IF(FL$19=$FJ81,$S81^2*FL$15,FL80*INDEX($T$20:$T$91,$FJ81-FL$19)^2/INDEX($U$20:$U$91,$FJ81-FL$19))))</f>
        <v>0</v>
      </c>
      <c r="FM81" s="150" t="n">
        <f aca="false">IF(FM$19&gt;$FJ81,"",MAX(0,IF(FM$19=$FJ81,$S81^2*FM$15,FM80*INDEX($T$20:$T$91,$FJ81-FM$19)^2/INDEX($U$20:$U$91,$FJ81-FM$19))))</f>
        <v>0.00254714501736772</v>
      </c>
      <c r="FN81" s="150" t="n">
        <f aca="false">IF(FN$19&gt;$FJ81,"",MAX(0,IF(FN$19=$FJ81,$S81^2*FN$15,FN80*INDEX($T$20:$T$91,$FJ81-FN$19)^2/INDEX($U$20:$U$91,$FJ81-FN$19))))</f>
        <v>0.00214390945164314</v>
      </c>
      <c r="FO81" s="150" t="n">
        <f aca="false">IF(FO$19&gt;$FJ81,"",MAX(0,IF(FO$19=$FJ81,$S81^2*FO$15,FO80*INDEX($T$20:$T$91,$FJ81-FO$19)^2/INDEX($U$20:$U$91,$FJ81-FO$19))))</f>
        <v>0.00223004879427256</v>
      </c>
      <c r="FP81" s="150" t="n">
        <f aca="false">IF(FP$19&gt;$FJ81,"",MAX(0,IF(FP$19=$FJ81,$S81^2*FP$15,FP80*INDEX($T$20:$T$91,$FJ81-FP$19)^2/INDEX($U$20:$U$91,$FJ81-FP$19))))</f>
        <v>0.00247120800967179</v>
      </c>
      <c r="FQ81" s="150" t="n">
        <f aca="false">IF(FQ$19&gt;$FJ81,"",MAX(0,IF(FQ$19=$FJ81,$S81^2*FQ$15,FQ80*INDEX($T$20:$T$91,$FJ81-FQ$19)^2/INDEX($U$20:$U$91,$FJ81-FQ$19))))</f>
        <v>0.00200078211836636</v>
      </c>
      <c r="FR81" s="150" t="n">
        <f aca="false">IF(FR$19&gt;$FJ81,"",MAX(0,IF(FR$19=$FJ81,$S81^2*FR$15,FR80*INDEX($T$20:$T$91,$FJ81-FR$19)^2/INDEX($U$20:$U$91,$FJ81-FR$19))))</f>
        <v>0.00204580377865635</v>
      </c>
      <c r="FS81" s="150" t="n">
        <f aca="false">IF(FS$19&gt;$FJ81,"",MAX(0,IF(FS$19=$FJ81,$S81^2*FS$15,FS80*INDEX($T$20:$T$91,$FJ81-FS$19)^2/INDEX($U$20:$U$91,$FJ81-FS$19))))</f>
        <v>0.00230559468449351</v>
      </c>
      <c r="FT81" s="150" t="n">
        <f aca="false">IF(FT$19&gt;$FJ81,"",MAX(0,IF(FT$19=$FJ81,$S81^2*FT$15,FT80*INDEX($T$20:$T$91,$FJ81-FT$19)^2/INDEX($U$20:$U$91,$FJ81-FT$19))))</f>
        <v>0.00208084240793144</v>
      </c>
      <c r="FU81" s="150" t="n">
        <f aca="false">IF(FU$19&gt;$FJ81,"",MAX(0,IF(FU$19=$FJ81,$S81^2*FU$15,FU80*INDEX($T$20:$T$91,$FJ81-FU$19)^2/INDEX($U$20:$U$91,$FJ81-FU$19))))</f>
        <v>0.0020005841604548</v>
      </c>
      <c r="FV81" s="150" t="n">
        <f aca="false">IF(FV$19&gt;$FJ81,"",MAX(0,IF(FV$19=$FJ81,$S81^2*FV$15,FV80*INDEX($T$20:$T$91,$FJ81-FV$19)^2/INDEX($U$20:$U$91,$FJ81-FV$19))))</f>
        <v>0.00219861417336181</v>
      </c>
      <c r="FW81" s="150" t="n">
        <f aca="false">IF(FW$19&gt;$FJ81,"",MAX(0,IF(FW$19=$FJ81,$S81^2*FW$15,FW80*INDEX($T$20:$T$91,$FJ81-FW$19)^2/INDEX($U$20:$U$91,$FJ81-FW$19))))</f>
        <v>0.00205501146774985</v>
      </c>
      <c r="FX81" s="150" t="n">
        <f aca="false">IF(FX$19&gt;$FJ81,"",MAX(0,IF(FX$19=$FJ81,$S81^2*FX$15,FX80*INDEX($T$20:$T$91,$FJ81-FX$19)^2/INDEX($U$20:$U$91,$FJ81-FX$19))))</f>
        <v>0.00218716246113766</v>
      </c>
      <c r="FY81" s="150" t="n">
        <f aca="false">IF(FY$19&gt;$FJ81,"",MAX(0,IF(FY$19=$FJ81,$S81^2*FY$15,FY80*INDEX($T$20:$T$91,$FJ81-FY$19)^2/INDEX($U$20:$U$91,$FJ81-FY$19))))</f>
        <v>0.00204716243119367</v>
      </c>
      <c r="FZ81" s="150" t="n">
        <f aca="false">IF(FZ$19&gt;$FJ81,"",MAX(0,IF(FZ$19=$FJ81,$S81^2*FZ$15,FZ80*INDEX($T$20:$T$91,$FJ81-FZ$19)^2/INDEX($U$20:$U$91,$FJ81-FZ$19))))</f>
        <v>0.00190848875099796</v>
      </c>
      <c r="GA81" s="150" t="n">
        <f aca="false">IF(GA$19&gt;$FJ81,"",MAX(0,IF(GA$19=$FJ81,$S81^2*GA$15,GA80*INDEX($T$20:$T$91,$FJ81-GA$19)^2/INDEX($U$20:$U$91,$FJ81-GA$19))))</f>
        <v>0.00204318812921928</v>
      </c>
      <c r="GB81" s="150" t="n">
        <f aca="false">IF(GB$19&gt;$FJ81,"",MAX(0,IF(GB$19=$FJ81,$S81^2*GB$15,GB80*INDEX($T$20:$T$91,$FJ81-GB$19)^2/INDEX($U$20:$U$91,$FJ81-GB$19))))</f>
        <v>0.00224635341952635</v>
      </c>
      <c r="GC81" s="150" t="n">
        <f aca="false">IF(GC$19&gt;$FJ81,"",MAX(0,IF(GC$19=$FJ81,$S81^2*GC$15,GC80*INDEX($T$20:$T$91,$FJ81-GC$19)^2/INDEX($U$20:$U$91,$FJ81-GC$19))))</f>
        <v>0.00197349672596638</v>
      </c>
      <c r="GD81" s="150" t="n">
        <f aca="false">IF(GD$19&gt;$FJ81,"",MAX(0,IF(GD$19=$FJ81,$S81^2*GD$15,GD80*INDEX($T$20:$T$91,$FJ81-GD$19)^2/INDEX($U$20:$U$91,$FJ81-GD$19))))</f>
        <v>0.00197328893168563</v>
      </c>
      <c r="GE81" s="150" t="n">
        <f aca="false">IF(GE$19&gt;$FJ81,"",MAX(0,IF(GE$19=$FJ81,$S81^2*GE$15,GE80*INDEX($T$20:$T$91,$FJ81-GE$19)^2/INDEX($U$20:$U$91,$FJ81-GE$19))))</f>
        <v>0.00224558324348272</v>
      </c>
      <c r="GF81" s="150" t="n">
        <f aca="false">IF(GF$19&gt;$FJ81,"",MAX(0,IF(GF$19=$FJ81,$S81^2*GF$15,GF80*INDEX($T$20:$T$91,$FJ81-GF$19)^2/INDEX($U$20:$U$91,$FJ81-GF$19))))</f>
        <v>0.00197377030523002</v>
      </c>
      <c r="GG81" s="150" t="n">
        <f aca="false">IF(GG$19&gt;$FJ81,"",MAX(0,IF(GG$19=$FJ81,$S81^2*GG$15,GG80*INDEX($T$20:$T$91,$FJ81-GG$19)^2/INDEX($U$20:$U$91,$FJ81-GG$19))))</f>
        <v>0.00217865727217303</v>
      </c>
      <c r="GH81" s="150" t="n">
        <f aca="false">IF(GH$19&gt;$FJ81,"",MAX(0,IF(GH$19=$FJ81,$S81^2*GH$15,GH80*INDEX($T$20:$T$91,$FJ81-GH$19)^2/INDEX($U$20:$U$91,$FJ81-GH$19))))</f>
        <v>0.00204341424127428</v>
      </c>
      <c r="GI81" s="150" t="n">
        <f aca="false">IF(GI$19&gt;$FJ81,"",MAX(0,IF(GI$19=$FJ81,$S81^2*GI$15,GI80*INDEX($T$20:$T$91,$FJ81-GI$19)^2/INDEX($U$20:$U$91,$FJ81-GI$19))))</f>
        <v>0.00197645415355322</v>
      </c>
      <c r="GJ81" s="150" t="n">
        <f aca="false">IF(GJ$19&gt;$FJ81,"",MAX(0,IF(GJ$19=$FJ81,$S81^2*GJ$15,GJ80*INDEX($T$20:$T$91,$FJ81-GJ$19)^2/INDEX($U$20:$U$91,$FJ81-GJ$19))))</f>
        <v>0.00225069866078184</v>
      </c>
      <c r="GK81" s="150" t="n">
        <f aca="false">IF(GK$19&gt;$FJ81,"",MAX(0,IF(GK$19=$FJ81,$S81^2*GK$15,GK80*INDEX($T$20:$T$91,$FJ81-GK$19)^2/INDEX($U$20:$U$91,$FJ81-GK$19))))</f>
        <v>0.00204788830780814</v>
      </c>
      <c r="GL81" s="150" t="n">
        <f aca="false">IF(GL$19&gt;$FJ81,"",MAX(0,IF(GL$19=$FJ81,$S81^2*GL$15,GL80*INDEX($T$20:$T$91,$FJ81-GL$19)^2/INDEX($U$20:$U$91,$FJ81-GL$19))))</f>
        <v>0.00198170734264605</v>
      </c>
      <c r="GM81" s="150" t="n">
        <f aca="false">IF(GM$19&gt;$FJ81,"",MAX(0,IF(GM$19=$FJ81,$S81^2*GM$15,GM80*INDEX($T$20:$T$91,$FJ81-GM$19)^2/INDEX($U$20:$U$91,$FJ81-GM$19))))</f>
        <v>0.00212102023684511</v>
      </c>
      <c r="GN81" s="150" t="n">
        <f aca="false">IF(GN$19&gt;$FJ81,"",MAX(0,IF(GN$19=$FJ81,$S81^2*GN$15,GN80*INDEX($T$20:$T$91,$FJ81-GN$19)^2/INDEX($U$20:$U$91,$FJ81-GN$19))))</f>
        <v>0.0021241444330468</v>
      </c>
      <c r="GO81" s="150" t="n">
        <f aca="false">IF(GO$19&gt;$FJ81,"",MAX(0,IF(GO$19=$FJ81,$S81^2*GO$15,GO80*INDEX($T$20:$T$91,$FJ81-GO$19)^2/INDEX($U$20:$U$91,$FJ81-GO$19))))</f>
        <v>0.00212782577004012</v>
      </c>
      <c r="GP81" s="150" t="n">
        <f aca="false">IF(GP$19&gt;$FJ81,"",MAX(0,IF(GP$19=$FJ81,$S81^2*GP$15,GP80*INDEX($T$20:$T$91,$FJ81-GP$19)^2/INDEX($U$20:$U$91,$FJ81-GP$19))))</f>
        <v>0.00192581827655151</v>
      </c>
      <c r="GQ81" s="150" t="n">
        <f aca="false">IF(GQ$19&gt;$FJ81,"",MAX(0,IF(GQ$19=$FJ81,$S81^2*GQ$15,GQ80*INDEX($T$20:$T$91,$FJ81-GQ$19)^2/INDEX($U$20:$U$91,$FJ81-GQ$19))))</f>
        <v>0.00213724441811923</v>
      </c>
      <c r="GR81" s="150" t="n">
        <f aca="false">IF(GR$19&gt;$FJ81,"",MAX(0,IF(GR$19=$FJ81,$S81^2*GR$15,GR80*INDEX($T$20:$T$91,$FJ81-GR$19)^2/INDEX($U$20:$U$91,$FJ81-GR$19))))</f>
        <v>0.00207408522046466</v>
      </c>
      <c r="GS81" s="150" t="n">
        <f aca="false">IF(GS$19&gt;$FJ81,"",MAX(0,IF(GS$19=$FJ81,$S81^2*GS$15,GS80*INDEX($T$20:$T$91,$FJ81-GS$19)^2/INDEX($U$20:$U$91,$FJ81-GS$19))))</f>
        <v>0.00215024160835411</v>
      </c>
      <c r="GT81" s="150" t="n">
        <f aca="false">IF(GT$19&gt;$FJ81,"",MAX(0,IF(GT$19=$FJ81,$S81^2*GT$15,GT80*INDEX($T$20:$T$91,$FJ81-GT$19)^2/INDEX($U$20:$U$91,$FJ81-GT$19))))</f>
        <v>0.00208886024539109</v>
      </c>
      <c r="GU81" s="150" t="n">
        <f aca="false">IF(GU$19&gt;$FJ81,"",MAX(0,IF(GU$19=$FJ81,$S81^2*GU$15,GU80*INDEX($T$20:$T$91,$FJ81-GU$19)^2/INDEX($U$20:$U$91,$FJ81-GU$19))))</f>
        <v>0.00216818201369069</v>
      </c>
      <c r="GV81" s="150" t="n">
        <f aca="false">IF(GV$19&gt;$FJ81,"",MAX(0,IF(GV$19=$FJ81,$S81^2*GV$15,GV80*INDEX($T$20:$T$91,$FJ81-GV$19)^2/INDEX($U$20:$U$91,$FJ81-GV$19))))</f>
        <v>0.00217958143204925</v>
      </c>
      <c r="GW81" s="150" t="n">
        <f aca="false">IF(GW$19&gt;$FJ81,"",MAX(0,IF(GW$19=$FJ81,$S81^2*GW$15,GW80*INDEX($T$20:$T$91,$FJ81-GW$19)^2/INDEX($U$20:$U$91,$FJ81-GW$19))))</f>
        <v>0.00212225643445038</v>
      </c>
      <c r="GX81" s="150" t="n">
        <f aca="false">IF(GX$19&gt;$FJ81,"",MAX(0,IF(GX$19=$FJ81,$S81^2*GX$15,GX80*INDEX($T$20:$T$91,$FJ81-GX$19)^2/INDEX($U$20:$U$91,$FJ81-GX$19))))</f>
        <v>0.0022088053154525</v>
      </c>
      <c r="GY81" s="150" t="n">
        <f aca="false">IF(GY$19&gt;$FJ81,"",MAX(0,IF(GY$19=$FJ81,$S81^2*GY$15,GY80*INDEX($T$20:$T$91,$FJ81-GY$19)^2/INDEX($U$20:$U$91,$FJ81-GY$19))))</f>
        <v>0.00215559708873548</v>
      </c>
      <c r="GZ81" s="150" t="n">
        <f aca="false">IF(GZ$19&gt;$FJ81,"",MAX(0,IF(GZ$19=$FJ81,$S81^2*GZ$15,GZ80*INDEX($T$20:$T$91,$FJ81-GZ$19)^2/INDEX($U$20:$U$91,$FJ81-GZ$19))))</f>
        <v>0.0022494738994395</v>
      </c>
      <c r="HA81" s="150" t="n">
        <f aca="false">IF(HA$19&gt;$FJ81,"",MAX(0,IF(HA$19=$FJ81,$S81^2*HA$15,HA80*INDEX($T$20:$T$91,$FJ81-HA$19)^2/INDEX($U$20:$U$91,$FJ81-HA$19))))</f>
        <v>0.00227553155679731</v>
      </c>
      <c r="HB81" s="150" t="n">
        <f aca="false">IF(HB$19&gt;$FJ81,"",MAX(0,IF(HB$19=$FJ81,$S81^2*HB$15,HB80*INDEX($T$20:$T$91,$FJ81-HB$19)^2/INDEX($U$20:$U$91,$FJ81-HB$19))))</f>
        <v>0.0021576211582984</v>
      </c>
      <c r="HC81" s="150" t="n">
        <f aca="false">IF(HC$19&gt;$FJ81,"",MAX(0,IF(HC$19=$FJ81,$S81^2*HC$15,HC80*INDEX($T$20:$T$91,$FJ81-HC$19)^2/INDEX($U$20:$U$91,$FJ81-HC$19))))</f>
        <v>0.00234312790608858</v>
      </c>
      <c r="HD81" s="150" t="n">
        <f aca="false">IF(HD$19&gt;$FJ81,"",MAX(0,IF(HD$19=$FJ81,$S81^2*HD$15,HD80*INDEX($T$20:$T$91,$FJ81-HD$19)^2/INDEX($U$20:$U$91,$FJ81-HD$19))))</f>
        <v>0.00230986414863165</v>
      </c>
      <c r="HE81" s="150" t="n">
        <f aca="false">IF(HE$19&gt;$FJ81,"",MAX(0,IF(HE$19=$FJ81,$S81^2*HE$15,HE80*INDEX($T$20:$T$91,$FJ81-HE$19)^2/INDEX($U$20:$U$91,$FJ81-HE$19))))</f>
        <v>0.00243912812808928</v>
      </c>
      <c r="HF81" s="150" t="n">
        <f aca="false">IF(HF$19&gt;$FJ81,"",MAX(0,IF(HF$19=$FJ81,$S81^2*HF$15,HF80*INDEX($T$20:$T$91,$FJ81-HF$19)^2/INDEX($U$20:$U$91,$FJ81-HF$19))))</f>
        <v>0.00242112837582098</v>
      </c>
      <c r="HG81" s="150" t="n">
        <f aca="false">IF(HG$19&gt;$FJ81,"",MAX(0,IF(HG$19=$FJ81,$S81^2*HG$15,HG80*INDEX($T$20:$T$91,$FJ81-HG$19)^2/INDEX($U$20:$U$91,$FJ81-HG$19))))</f>
        <v>0.00257738619756792</v>
      </c>
      <c r="HH81" s="150" t="n">
        <f aca="false">IF(HH$19&gt;$FJ81,"",MAX(0,IF(HH$19=$FJ81,$S81^2*HH$15,HH80*INDEX($T$20:$T$91,$FJ81-HH$19)^2/INDEX($U$20:$U$91,$FJ81-HH$19))))</f>
        <v>0.00266889027703795</v>
      </c>
      <c r="HI81" s="150" t="n">
        <f aca="false">IF(HI$19&gt;$FJ81,"",MAX(0,IF(HI$19=$FJ81,$S81^2*HI$15,HI80*INDEX($T$20:$T$91,$FJ81-HI$19)^2/INDEX($U$20:$U$91,$FJ81-HI$19))))</f>
        <v>0.00269069375771408</v>
      </c>
      <c r="HJ81" s="150" t="n">
        <f aca="false">IF(HJ$19&gt;$FJ81,"",MAX(0,IF(HJ$19=$FJ81,$S81^2*HJ$15,HJ80*INDEX($T$20:$T$91,$FJ81-HJ$19)^2/INDEX($U$20:$U$91,$FJ81-HJ$19))))</f>
        <v>0.00291720196195699</v>
      </c>
      <c r="HK81" s="150" t="n">
        <f aca="false">IF(HK$19&gt;$FJ81,"",MAX(0,IF(HK$19=$FJ81,$S81^2*HK$15,HK80*INDEX($T$20:$T$91,$FJ81-HK$19)^2/INDEX($U$20:$U$91,$FJ81-HK$19))))</f>
        <v>0.00298694603180174</v>
      </c>
      <c r="HL81" s="150" t="n">
        <f aca="false">IF(HL$19&gt;$FJ81,"",MAX(0,IF(HL$19=$FJ81,$S81^2*HL$15,HL80*INDEX($T$20:$T$91,$FJ81-HL$19)^2/INDEX($U$20:$U$91,$FJ81-HL$19))))</f>
        <v>0.00329810862552021</v>
      </c>
      <c r="HM81" s="150" t="n">
        <f aca="false">IF(HM$19&gt;$FJ81,"",MAX(0,IF(HM$19=$FJ81,$S81^2*HM$15,HM80*INDEX($T$20:$T$91,$FJ81-HM$19)^2/INDEX($U$20:$U$91,$FJ81-HM$19))))</f>
        <v>0.00356566847443036</v>
      </c>
      <c r="HN81" s="150" t="n">
        <f aca="false">IF(HN$19&gt;$FJ81,"",MAX(0,IF(HN$19=$FJ81,$S81^2*HN$15,HN80*INDEX($T$20:$T$91,$FJ81-HN$19)^2/INDEX($U$20:$U$91,$FJ81-HN$19))))</f>
        <v>0.00353044825473973</v>
      </c>
      <c r="HO81" s="150" t="n">
        <f aca="false">IF(HO$19&gt;$FJ81,"",MAX(0,IF(HO$19=$FJ81,$S81^2*HO$15,HO80*INDEX($T$20:$T$91,$FJ81-HO$19)^2/INDEX($U$20:$U$91,$FJ81-HO$19))))</f>
        <v>0.00435582447558155</v>
      </c>
      <c r="HP81" s="150" t="n">
        <f aca="false">IF(HP$19&gt;$FJ81,"",MAX(0,IF(HP$19=$FJ81,$S81^2*HP$15,HP80*INDEX($T$20:$T$91,$FJ81-HP$19)^2/INDEX($U$20:$U$91,$FJ81-HP$19))))</f>
        <v>0.00479043114745569</v>
      </c>
      <c r="HQ81" s="150" t="n">
        <f aca="false">IF(HQ$19&gt;$FJ81,"",MAX(0,IF(HQ$19=$FJ81,$S81^2*HQ$15,HQ80*INDEX($T$20:$T$91,$FJ81-HQ$19)^2/INDEX($U$20:$U$91,$FJ81-HQ$19))))</f>
        <v>0.0057587278638865</v>
      </c>
      <c r="HR81" s="150" t="n">
        <f aca="false">IF(HR$19&gt;$FJ81,"",MAX(0,IF(HR$19=$FJ81,$S81^2*HR$15,HR80*INDEX($T$20:$T$91,$FJ81-HR$19)^2/INDEX($U$20:$U$91,$FJ81-HR$19))))</f>
        <v>0.00666804848650175</v>
      </c>
      <c r="HS81" s="150" t="n">
        <f aca="false">IF(HS$19&gt;$FJ81,"",MAX(0,IF(HS$19=$FJ81,$S81^2*HS$15,HS80*INDEX($T$20:$T$91,$FJ81-HS$19)^2/INDEX($U$20:$U$91,$FJ81-HS$19))))</f>
        <v>0.00852846992930827</v>
      </c>
      <c r="HT81" s="150" t="n">
        <f aca="false">IF(HT$19&gt;$FJ81,"",MAX(0,IF(HT$19=$FJ81,$S81^2*HT$15,HT80*INDEX($T$20:$T$91,$FJ81-HT$19)^2/INDEX($U$20:$U$91,$FJ81-HT$19))))</f>
        <v>0.0109995894003361</v>
      </c>
      <c r="HU81" s="150" t="str">
        <f aca="false">IF(HU$19&gt;$FJ81,"",MAX(0,IF(HU$19=$FJ81,$S81^2*HU$15,HU80*INDEX($T$20:$T$91,$FJ81-HU$19)^2/INDEX($U$20:$U$91,$FJ81-HU$19))))</f>
        <v/>
      </c>
      <c r="HV81" s="150" t="str">
        <f aca="false">IF(HV$19&gt;$FJ81,"",MAX(0,IF(HV$19=$FJ81,$S81^2*HV$15,HV80*INDEX($T$20:$T$91,$FJ81-HV$19)^2/INDEX($U$20:$U$91,$FJ81-HV$19))))</f>
        <v/>
      </c>
      <c r="HW81" s="150" t="str">
        <f aca="false">IF(HW$19&gt;$FJ81,"",MAX(0,IF(HW$19=$FJ81,$S81^2*HW$15,HW80*INDEX($T$20:$T$91,$FJ81-HW$19)^2/INDEX($U$20:$U$91,$FJ81-HW$19))))</f>
        <v/>
      </c>
      <c r="HX81" s="150" t="str">
        <f aca="false">IF(HX$19&gt;$FJ81,"",MAX(0,IF(HX$19=$FJ81,$S81^2*HX$15,HX80*INDEX($T$20:$T$91,$FJ81-HX$19)^2/INDEX($U$20:$U$91,$FJ81-HX$19))))</f>
        <v/>
      </c>
      <c r="HY81" s="150" t="str">
        <f aca="false">IF(HY$19&gt;$FJ81,"",MAX(0,IF(HY$19=$FJ81,$S81^2*HY$15,HY80*INDEX($T$20:$T$91,$FJ81-HY$19)^2/INDEX($U$20:$U$91,$FJ81-HY$19))))</f>
        <v/>
      </c>
      <c r="HZ81" s="150" t="str">
        <f aca="false">IF(HZ$19&gt;$FJ81,"",MAX(0,IF(HZ$19=$FJ81,$S81^2*HZ$15,HZ80*INDEX($T$20:$T$91,$FJ81-HZ$19)^2/INDEX($U$20:$U$91,$FJ81-HZ$19))))</f>
        <v/>
      </c>
      <c r="IA81" s="150" t="str">
        <f aca="false">IF(IA$19&gt;$FJ81,"",MAX(0,IF(IA$19=$FJ81,$S81^2*IA$15,IA80*INDEX($T$20:$T$91,$FJ81-IA$19)^2/INDEX($U$20:$U$91,$FJ81-IA$19))))</f>
        <v/>
      </c>
      <c r="IB81" s="150" t="str">
        <f aca="false">IF(IB$19&gt;$FJ81,"",MAX(0,IF(IB$19=$FJ81,$S81^2*IB$15,IB80*INDEX($T$20:$T$91,$FJ81-IB$19)^2/INDEX($U$20:$U$91,$FJ81-IB$19))))</f>
        <v/>
      </c>
      <c r="IC81" s="150" t="str">
        <f aca="false">IF(IC$19&gt;$FJ81,"",MAX(0,IF(IC$19=$FJ81,$S81^2*IC$15,IC80*INDEX($T$20:$T$91,$FJ81-IC$19)^2/INDEX($U$20:$U$91,$FJ81-IC$19))))</f>
        <v/>
      </c>
      <c r="ID81" s="572" t="str">
        <f aca="false">IF(ID$19&gt;$FJ81,"",MAX(0,IF(ID$19=$FJ81,$S81^2*ID$15,ID80*INDEX($T$20:$T$91,$FJ81-ID$19)^2/INDEX($U$20:$U$91,$FJ81-ID$19))))</f>
        <v/>
      </c>
      <c r="IE81" s="129"/>
    </row>
    <row r="82" customFormat="false" ht="12.75" hidden="false" customHeight="false" outlineLevel="0" collapsed="false">
      <c r="H82" s="219" t="n">
        <f aca="false">VLOOKUP(I82,$EJ$20:$EL$54,3)</f>
        <v>0</v>
      </c>
      <c r="I82" s="511" t="n">
        <f aca="false">EOMONTH(I81,0)+1</f>
        <v>38657</v>
      </c>
      <c r="J82" s="512"/>
      <c r="K82" s="513" t="s">
        <v>250</v>
      </c>
      <c r="L82" s="514" t="e">
        <f aca="false">IF(ISNUMBER(K82),J82+K82/100,IF(K82="extra",L81+VLOOKUP(BF82,PriceSpreadTable,2)/12,IF(K82="inter",interpolateprices($K$19:$L$200,ROW(K82)-ROW(FirstPricingMonth)+1),interpolatechanges($J$19:$K$200,ROW(K82)-ROW(FirstPricingMonth)+1))))</f>
        <v>#VALUE!</v>
      </c>
      <c r="M82" s="515"/>
      <c r="N82" s="516" t="n">
        <v>0</v>
      </c>
      <c r="O82" s="515" t="n">
        <f aca="false">M82+N82</f>
        <v>0</v>
      </c>
      <c r="P82" s="512"/>
      <c r="Q82" s="513" t="s">
        <v>280</v>
      </c>
      <c r="R82" s="512" t="e">
        <f aca="false">IF(ISNUMBER(Q82),P82+Q82/100,IF(Q82="extra",(Z80*AL80-R81*AM80)/AN80,IF(Q82="inter",interpolateprices($Q$19:$R$260,ROW(Q82)-ROW(FirstPricingMonth)+1),interpolatechanges($P$19:$Q$260,ROW(Q82)-ROW(FirstPricingMonth)+1))))</f>
        <v>#VALUE!</v>
      </c>
      <c r="S82" s="597" t="n">
        <f aca="false">S$19+(S81-S$19)*S$18</f>
        <v>0.360000000956747</v>
      </c>
      <c r="T82" s="575" t="n">
        <f aca="false">SQRT((1-(1-T81^2/U81)*T$18)*U82)</f>
        <v>0.999993201760491</v>
      </c>
      <c r="U82" s="576" t="n">
        <f aca="false">1-(1-U81)*U$18</f>
        <v>0.999999999730915</v>
      </c>
      <c r="V82" s="521" t="n">
        <v>0</v>
      </c>
      <c r="W82" s="577" t="n">
        <f aca="false">(J83*AJ82+J84*AK82)/AI82</f>
        <v>0</v>
      </c>
      <c r="X82" s="578" t="e">
        <f aca="false">(L83*AJ82+L84*AK82)/AI82</f>
        <v>#VALUE!</v>
      </c>
      <c r="Y82" s="579" t="n">
        <f aca="false">IF(Q84="extra",W82-AA82,(P83*AM82+P84*AN82)/AL82)</f>
        <v>-1.1446</v>
      </c>
      <c r="Z82" s="579" t="e">
        <f aca="false">IF(Q84="extra",X82-AB82,(R83*AM82+R84*AN82)/AL82)</f>
        <v>#VALUE!</v>
      </c>
      <c r="AA82" s="523" t="n">
        <f aca="false">IF(Q84="extra",INDEX(BrentSeasonalityTable,INT((BG82-1)/3)+1)*VLOOKUP(MAX(BF82,$AB$4),PriceSpreadTable,3),W82-Y82)</f>
        <v>1.1446</v>
      </c>
      <c r="AB82" s="524" t="n">
        <f aca="false">IF(Q84="extra",INDEX(BrentSeasonalityTable,INT((BG82-1)/3)+1)*VLOOKUP(MAX(BF82,$AB$4),PriceSpreadTable,3),X82-Z82)</f>
        <v>1.1446</v>
      </c>
      <c r="AC82" s="646" t="n">
        <v>38645</v>
      </c>
      <c r="AD82" s="646" t="n">
        <v>38641</v>
      </c>
      <c r="AE82" s="646" t="n">
        <v>38640</v>
      </c>
      <c r="AF82" s="646" t="n">
        <v>38636</v>
      </c>
      <c r="AG82" s="438" t="s">
        <v>247</v>
      </c>
      <c r="AH82" s="439" t="s">
        <v>278</v>
      </c>
      <c r="AI82" s="528" t="n">
        <v>22</v>
      </c>
      <c r="AJ82" s="529" t="n">
        <v>14</v>
      </c>
      <c r="AK82" s="529" t="n">
        <v>8</v>
      </c>
      <c r="AL82" s="530" t="n">
        <v>22</v>
      </c>
      <c r="AM82" s="529" t="n">
        <v>10</v>
      </c>
      <c r="AN82" s="531" t="n">
        <v>12</v>
      </c>
      <c r="AO82" s="532"/>
      <c r="AP82" s="465" t="n">
        <f aca="false">(1+AO82/2)^(-2*BL82)</f>
        <v>1</v>
      </c>
      <c r="AQ82" s="532"/>
      <c r="AR82" s="465" t="n">
        <f aca="false">(1+AQ82/2)^(-2*BH82/365.25)</f>
        <v>1</v>
      </c>
      <c r="AS82" s="580" t="n">
        <f aca="false">(O83*AJ82+O84*AK82)/AI82</f>
        <v>0</v>
      </c>
      <c r="AT82" s="468" t="n">
        <f aca="false">O82*VLOOKUP(BF82,BrentVolTable,2)+VLOOKUP(BF82,BrentVolTable,3)</f>
        <v>0</v>
      </c>
      <c r="AU82" s="468" t="n">
        <f aca="false">(AT83*AM82+AT84*AN82)/AL82</f>
        <v>0</v>
      </c>
      <c r="AV82" s="595" t="n">
        <f aca="false">SQRT(MAX(0.000000000001,(O82^2*BH82-S82^2*(BH82-BH81))/BH81))</f>
        <v>0.0230560896033302</v>
      </c>
      <c r="AW82" s="451" t="n">
        <f aca="false">IF($I82-DateToday+15&gt;=$T$8,"",IF($I82-DateToday+15&lt;$T$5,1,MATCH($I82-DateToday+15,$T$5:$T$8)))</f>
        <v>1</v>
      </c>
      <c r="AX82" s="468" t="n">
        <f aca="false">IF($AW82="",AX81^2/AX80,INDEX(U$5:U$8,$AW82)^((INDEX($T$5:$T$8,$AW82+1)-($I82-DateToday+15))/(INDEX($T$5:$T$8,$AW82+1)-INDEX($T$5:$T$8,$AW82)))/INDEX(U$5:U$8,$AW82+1)^((INDEX($T$5:$T$8,$AW82)-($I82-DateToday+15))/(INDEX($T$5:$T$8,$AW82+1)-INDEX($T$5:$T$8,$AW82))))</f>
        <v>3.33436959634267</v>
      </c>
      <c r="AY82" s="468" t="n">
        <f aca="false">IF($AW82="",AY81^2/AY80,INDEX(V$5:V$8,$AW82)^((INDEX($T$5:$T$8,$AW82+1)-($I82-DateToday+15))/(INDEX($T$5:$T$8,$AW82+1)-INDEX($T$5:$T$8,$AW82)))/INDEX(V$5:V$8,$AW82+1)^((INDEX($T$5:$T$8,$AW82)-($I82-DateToday+15))/(INDEX($T$5:$T$8,$AW82+1)-INDEX($T$5:$T$8,$AW82))))</f>
        <v>382.910391436642</v>
      </c>
      <c r="AZ82" s="468" t="n">
        <f aca="false">IF($AW82="",AZ81^2/AZ80,INDEX(W$5:W$8,$AW82)^((INDEX($T$5:$T$8,$AW82+1)-($I82-DateToday+15))/(INDEX($T$5:$T$8,$AW82+1)-INDEX($T$5:$T$8,$AW82)))/INDEX(W$5:W$8,$AW82+1)^((INDEX($T$5:$T$8,$AW82)-($I82-DateToday+15))/(INDEX($T$5:$T$8,$AW82+1)-INDEX($T$5:$T$8,$AW82))))</f>
        <v>4267492.68929907</v>
      </c>
      <c r="BA82" s="468" t="n">
        <f aca="false">IF($AW82="",BA81^2/BA80,INDEX(X$5:X$8,$AW82)^((INDEX($T$5:$T$8,$AW82+1)-($I82-DateToday+15))/(INDEX($T$5:$T$8,$AW82+1)-INDEX($T$5:$T$8,$AW82)))/INDEX(X$5:X$8,$AW82+1)^((INDEX($T$5:$T$8,$AW82)-($I82-DateToday+15))/(INDEX($T$5:$T$8,$AW82+1)-INDEX($T$5:$T$8,$AW82))))</f>
        <v>148222894.539723</v>
      </c>
      <c r="BB82" s="468" t="n">
        <f aca="false">IF($AW82="",BB81^2/BB80,INDEX(Y$5:Y$8,$AW82)^((INDEX($T$5:$T$8,$AW82+1)-($I82-DateToday+15))/(INDEX($T$5:$T$8,$AW82+1)-INDEX($T$5:$T$8,$AW82)))/INDEX(Y$5:Y$8,$AW82+1)^((INDEX($T$5:$T$8,$AW82)-($I82-DateToday+15))/(INDEX($T$5:$T$8,$AW82+1)-INDEX($T$5:$T$8,$AW82))))</f>
        <v>2218174398.84222</v>
      </c>
      <c r="BC82" s="468" t="n">
        <f aca="false">IF($AW82="",BC81^2/BC80,INDEX(Z$5:Z$8,$AW82)^((INDEX($T$5:$T$8,$AW82+1)-($I82-DateToday+15))/(INDEX($T$5:$T$8,$AW82+1)-INDEX($T$5:$T$8,$AW82)))/INDEX(Z$5:Z$8,$AW82+1)^((INDEX($T$5:$T$8,$AW82)-($I82-DateToday+15))/(INDEX($T$5:$T$8,$AW82+1)-INDEX($T$5:$T$8,$AW82))))</f>
        <v>11200705064.3597</v>
      </c>
      <c r="BD82" s="535" t="n">
        <f aca="false">IF(OR(DateStart&gt;=I83,DateEnd&lt;I82),0,IF(VolumeOverrideFlag,V82,Volume))</f>
        <v>0</v>
      </c>
      <c r="BE82" s="536" t="n">
        <f aca="false">IF(OR(DateStart2&gt;=I83,DateEnd2&lt;I82),0,IF(VolumeOverrideFlag,V82,VolumeSwaption))</f>
        <v>0</v>
      </c>
      <c r="BF82" s="537" t="n">
        <f aca="false">YEAR(I82)</f>
        <v>2005</v>
      </c>
      <c r="BG82" s="538" t="n">
        <f aca="false">MONTH(I82)</f>
        <v>11</v>
      </c>
      <c r="BH82" s="539" t="n">
        <f aca="false">AD82-DateToday+1</f>
        <v>-7284</v>
      </c>
      <c r="BI82" s="540" t="n">
        <f aca="false">(I82-DateToday+1)/365.25</f>
        <v>-19.8986995208761</v>
      </c>
      <c r="BJ82" s="541" t="n">
        <f aca="false">BI82+(BL82-BI82)*CHOOSE(Underlying,AJ82/AI82,AM82/AL82)</f>
        <v>-19.8481737290772</v>
      </c>
      <c r="BK82" s="541" t="n">
        <f aca="false">BJ82+1/365.25</f>
        <v>-19.8454358782901</v>
      </c>
      <c r="BL82" s="541" t="n">
        <f aca="false">(I83-DateToday)/365.25</f>
        <v>-19.8193018480493</v>
      </c>
      <c r="BM82" s="542" t="e">
        <f aca="false">MAX(BI82-(BJ82-BI82)*(S83^2/O83^2-1),0)</f>
        <v>#DIV/0!</v>
      </c>
      <c r="BN82" s="541" t="e">
        <f aca="false">MAX(BL82+(BL82-BK82)*(S84^2/O84^2-1),0)</f>
        <v>#DIV/0!</v>
      </c>
      <c r="BO82" s="530" t="n">
        <f aca="false">CHOOSE(Underlying,AI82,AL82)</f>
        <v>22</v>
      </c>
      <c r="BP82" s="529" t="n">
        <f aca="false">CHOOSE(Underlying,AJ82,AM82)</f>
        <v>14</v>
      </c>
      <c r="BQ82" s="529" t="n">
        <f aca="false">CHOOSE(Underlying,AK82,AN82)</f>
        <v>8</v>
      </c>
      <c r="BR82" s="463" t="str">
        <f aca="false">IF(BD82,IF(Underlying=1,X82,Z82)+UnderlyingPriceAsian-SwapPriceCurve,"")</f>
        <v/>
      </c>
      <c r="BS82" s="463" t="str">
        <f aca="false">IF(BD82,Strike1/BR82-1,"")</f>
        <v/>
      </c>
      <c r="BT82" s="464" t="str">
        <f aca="false">IF(BD82,Strike2/BR82-1,"")</f>
        <v/>
      </c>
      <c r="BU82" s="465" t="str">
        <f aca="false">IF(BD82,IF(Underlying=1,L83,R83)+UnderlyingPriceAsian-SwapPriceCurve,"")</f>
        <v/>
      </c>
      <c r="BV82" s="465" t="str">
        <f aca="false">IF(BD82,IF(Underlying=1,L84,R84)+UnderlyingPriceAsian-SwapPriceCurve,"")</f>
        <v/>
      </c>
      <c r="BW82" s="466" t="str">
        <f aca="false">IF(BD82,IF(Underlying=1,O83,AT83),"")</f>
        <v/>
      </c>
      <c r="BX82" s="467" t="str">
        <f aca="false">IF(BD82,IF(Underlying=1,O84,AT84),"")</f>
        <v/>
      </c>
      <c r="BY82" s="466" t="str">
        <f aca="false">IF(BD82,IF(BS82&gt;0,IF(BS82&gt;0.2,BC82-BB82,IF(BS82&gt;0.1,BB82-BA82,BA82)),IF(BS82&lt;-0.2,AX82-AY82,IF(BS82&lt;-0.1,AY82-AZ82,AZ82))),"")</f>
        <v/>
      </c>
      <c r="BZ82" s="467" t="str">
        <f aca="false">IF(BD82,IF(BT82&gt;0,IF(BT82&gt;0.2,BC82-BB82,IF(BT82&gt;0.1,BB82-BA82,BA82)),IF(BT82&lt;-0.2,AX82-AY82,IF(BT82&lt;-0.1,AY82-AZ82,AZ82))),"")</f>
        <v/>
      </c>
      <c r="CA82" s="468" t="str">
        <f aca="false">IF($BD82,$BW82+IF(VolSkewFlag=1,IF(BS82&gt;0,$BA82*MIN(BS82/10%,1)+($BB82-$BA82)*MAX(0,MIN(BS82/10%-1,1))+($BC82-$BB82)*MAX(0,BS82/10%-2),$AZ82*MIN(-BS82/10%,1)+($AY82-$AZ82)*MAX(0,MIN(-BS82/10%-1,1))+($AX82-$AY82)*MAX(0,-BS82/10%-2)),0),"")</f>
        <v/>
      </c>
      <c r="CB82" s="468" t="str">
        <f aca="false">IF($BD82,$BX82+IF(VolSkewFlag=1,IF(BS82&gt;0,$BA82*MIN(BS82/10%,1)+($BB82-$BA82)*MAX(0,MIN(BS82/10%-1,1))+($BC82-$BB82)*MAX(0,BS82/10%-2),$AZ82*MIN(-BS82/10%,1)+($AY82-$AZ82)*MAX(0,MIN(-BS82/10%-1,1))+($AX82-$AY82)*MAX(0,-BS82/10%-2)),0),"")</f>
        <v/>
      </c>
      <c r="CC82" s="468" t="str">
        <f aca="false">IF($BD82,$BW82+IF(VolSkewFlag=1,IF(BT82&gt;0,$BA82*MIN(BT82/10%,1)+($BB82-$BA82)*MAX(0,MIN(BT82/10%-1,1))+($BC82-$BB82)*MAX(0,BT82/10%-2),$AZ82*MIN(-BT82/10%,1)+($AY82-$AZ82)*MAX(0,MIN(-BT82/10%-1,1))+($AX82-$AY82)*MAX(0,-BT82/10%-2)),0),"")</f>
        <v/>
      </c>
      <c r="CD82" s="468" t="str">
        <f aca="false">IF($BD82,$BX82+IF(VolSkewFlag=1,IF(BT82&gt;0,$BA82*MIN(BT82/10%,1)+($BB82-$BA82)*MAX(0,MIN(BT82/10%-1,1))+($BC82-$BB82)*MAX(0,BT82/10%-2),$AZ82*MIN(-BT82/10%,1)+($AY82-$AZ82)*MAX(0,MIN(-BT82/10%-1,1))+($AX82-$AY82)*MAX(0,-BT82/10%-2)),0),"")</f>
        <v/>
      </c>
      <c r="CE82" s="469" t="n">
        <v>1</v>
      </c>
      <c r="CF82" s="470" t="n">
        <f aca="false">IF(BD82,xCrudeAPO(BU82,BV82,CA82,CB82,S83,S84,BI82,BL82,BP82,BQ82,0,Strike1,AO82,CE82,0,BL82,IF(OptControl=4,0,1),0,1),0)</f>
        <v>0</v>
      </c>
      <c r="CG82" s="470" t="n">
        <f aca="false">IF(BD82,xCrudeAPO(BU82,BV82,CA82,CB82,S83,S84,BI82,BL82,BP82,BQ82,0,Strike1,AO82,CE82,0,BL82,IF(OptControl=4,0,1),1,1)+xCrudeAPO(BU82,BV82,CA82,CB82,S83,S84,BI82,BL82,BP82,BQ82,0,Strike1,AO82,CE82,0,BL82,IF(OptControl=4,0,1),1,2)+IF(OR(VolSkewFlag=2,ABS(BS82)&lt;0.0001),0,IF(BS82&gt;0,-1,1)*CH82*Strike1/BR82^2*BY82/10%),0)</f>
        <v>0</v>
      </c>
      <c r="CH82" s="470" t="n">
        <f aca="false">IF(BD82,(xCrudeAPO(BU82,BV82,CA82,CB82,S83,S84,BI82,BL82,BP82,BQ82,0,Strike1,AO82,CE82,0,BL82,IF(OptControl=4,0,1),3,1)+xCrudeAPO(BU82,BV82,CA82,CB82,S83,S84,BI82,BL82,BP82,BQ82,0,Strike1,AO82,CE82,0,BL82,IF(OptControl=4,0,1),3,2))/100,0)</f>
        <v>0</v>
      </c>
      <c r="CI82" s="470" t="n">
        <f aca="false">IF(BD82,xCrudeAPO(BU82,BV82,CA82,CB82,S83,S84,BI82-DaysForThetaCalculation/365.25,BL82-DaysForThetaCalculation/365.25,BP82,BQ82,0,Strike1,AO82,CE82,0,BL82,IF(OptControl=4,0,1),0,1)-xCrudeAPO(BU82,BV82,CA82,CB82,S83,S84,BI82,BL82,BP82,BQ82,0,Strike1,AO82,CE82,0,BL82,IF(OptControl=4,0,1),0,1),0)</f>
        <v>0</v>
      </c>
      <c r="CJ82" s="471" t="n">
        <f aca="false">IF(BD82,xCrudeAPO(BU82,BV82,CC82,CD82,S83,S84,BI82,BL82,BP82,BQ82,0,Strike2,AO82,CE82,0,BL82,IF(OptControl=3,1,0),0,1),0)</f>
        <v>0</v>
      </c>
      <c r="CK82" s="470" t="n">
        <f aca="false">IF(BD82,xCrudeAPO(BU82,BV82,CC82,CD82,S83,S84,BI82,BL82,BP82,BQ82,0,Strike2,AO82,CE82,0,BL82,IF(OptControl=3,1,0),1,1)+xCrudeAPO(BU82,BV82,CC82,CD82,S83,S84,BI82,BL82,BP82,BQ82,0,Strike2,AO82,CE82,0,BL82,IF(OptControl=3,1,0),1,2)+IF(OR(VolSkewFlag=2,ABS(BT82)&lt;0.0001),0,IF(BT82&gt;0,-1,1)*CL82*Strike2/BR82^2*BZ82/10%),0)</f>
        <v>0</v>
      </c>
      <c r="CL82" s="470" t="n">
        <f aca="false">IF(BD82,(xCrudeAPO(BU82,BV82,CC82,CD82,S83,S84,BI82,BL82,BP82,BQ82,0,Strike2,AO82,CE82,0,BL82,IF(OptControl=3,1,0),3,1)+xCrudeAPO(BU82,BV82,CC82,CD82,S83,S84,BI82,BL82,BP82,BQ82,0,Strike2,AO82,CE82,0,BL82,IF(OptControl=3,1,0),3,2))/100,0)</f>
        <v>0</v>
      </c>
      <c r="CM82" s="472" t="n">
        <f aca="false">IF(BD82,xCrudeAPO(BU82,BV82,CC82,CD82,S83,S84,BI82-DaysForThetaCalculation/365.25,BL82-DaysForThetaCalculation/365.25,BP82,BQ82,0,Strike2,AO82,CE82,0,BL82,IF(OptControl=3,1,0),0,1)-xCrudeAPO(BU82,BV82,CC82,CD82,S83,S84,BI82,BL82,BP82,BQ82,0,Strike2,AO82,CE82,0,BL82,IF(OptControl=3,1,0),0,1),0)</f>
        <v>0</v>
      </c>
      <c r="CN82" s="3"/>
      <c r="CO82" s="543" t="str">
        <f aca="false">IF(BD82,CHOOSE(Underlying,AD82,AF82)-DateToday+1,"")</f>
        <v/>
      </c>
      <c r="CP82" s="582" t="str">
        <f aca="false">IF(BD82,CHOOSE(Underlying,L82,R82),"")</f>
        <v/>
      </c>
      <c r="CQ82" s="544" t="str">
        <f aca="false">IF(BD82,Strike1/CP82-1,"")</f>
        <v/>
      </c>
      <c r="CR82" s="544" t="str">
        <f aca="false">IF(BD82,Strike2/CP82-1,"")</f>
        <v/>
      </c>
      <c r="CS82" s="544" t="str">
        <f aca="false">IF(BD82,IF(CQ82&gt;0,IF(CQ82&gt;0.2,BC81-BB81,IF(CQ82&gt;0.1,BB81-BA81,BA81)),IF(CQ82&lt;-0.2,AX81-AY81,IF(CQ82&lt;-0.1,AY81-AZ81,AZ81))),"")</f>
        <v/>
      </c>
      <c r="CT82" s="544" t="str">
        <f aca="false">IF(BD82,IF(CR82&gt;0,IF(CR82&gt;0.2,BC81-BB81,IF(CR82&gt;0.1,BB81-BA81,BA81)),IF(CR82&lt;-0.2,AX81-AY81,IF(CR82&lt;-0.1,AY81-AZ81,AZ81))),"")</f>
        <v/>
      </c>
      <c r="CU82" s="545" t="str">
        <f aca="false">IF(BD82,CHOOSE(Underlying,O82,AT82),"")</f>
        <v/>
      </c>
      <c r="CV82" s="545" t="str">
        <f aca="false">IF(BD82,CU82+IF(VolSkewFlag=1,IF(CQ82&gt;0,BA81*MIN(CQ82/10%,1)+(BB81-BA81)*MAX(0,MIN(CQ82/10%-1,1))+(BC81-BB81)*MAX(0,CQ82/10%-2),AZ81*MIN(-CQ82/10%,1)+(AY81-AZ81)*MAX(0,MIN(-CQ82/10%-1,1))+(AX81-AY81)*MAX(0,-CQ82/10%-2)),0),"")</f>
        <v/>
      </c>
      <c r="CW82" s="545" t="str">
        <f aca="false">IF(BD82,CU82+IF(VolSkewFlag=1,IF(CR82&gt;0,BA81*MIN(CR82/10%,1)+(BB81-BA81)*MAX(0,MIN(CR82/10%-1,1))+(BC81-BB81)*MAX(0,CR82/10%-2),AZ81*MIN(-CR82/10%,1)+(AY81-AZ81)*MAX(0,MIN(-CR82/10%-1,1))+(AX81-AY81)*MAX(0,-CR82/10%-2)),0),"")</f>
        <v/>
      </c>
      <c r="CX82" s="470" t="n">
        <f aca="false">IF(BD82,EURO(CP82,Strike1,AO82,AO82,CV82,CO82,IF(OptControl=4,0,1),0),0)</f>
        <v>0</v>
      </c>
      <c r="CY82" s="470" t="n">
        <f aca="false">IF(BD82,EURO(CP82,Strike1,AO82,AO82,CV82,CO82,IF(OptControl=4,0,1),1)+IF(OR(VolSkewFlag=2,ABS(CQ82)&lt;0.0001),0,IF(CQ82&gt;0,-1,1)*CZ82*100*Strike1/CP82^2*CS82/10%),0)</f>
        <v>0</v>
      </c>
      <c r="CZ82" s="470" t="n">
        <f aca="false">IF(BD82,EURO(CP82,Strike1,AO82,AO82,CV82,CO82,IF(OptControl=4,0,1),3)/100,0)</f>
        <v>0</v>
      </c>
      <c r="DA82" s="470" t="n">
        <f aca="false">IF(BD82,EURO(CP82,Strike1,AO82,AO82,CV82,CO82,IF(OptControl=4,0,1),0)-EURO(CP82,Strike1,AO82,AO82,CV82,CO82-1,IF(OptControl=4,0,1),0),0)</f>
        <v>0</v>
      </c>
      <c r="DB82" s="470" t="n">
        <f aca="false">IF(BD82,EURO(CP82,Strike2,AO82,AO82,CW82,CO82,IF(OptControl=3,1,0),0),0)</f>
        <v>0</v>
      </c>
      <c r="DC82" s="470" t="n">
        <f aca="false">IF(BD82,EURO(CP82,Strike2,AO82,AO82,CW82,CO82,IF(OptControl=3,1,0),1)+IF(OR(VolSkewFlag=2,ABS(CR82)&lt;0.0001),0,IF(CR82&gt;0,-1,1)*DD82*100*Strike2/CP82^2*CT82/10%),0)</f>
        <v>0</v>
      </c>
      <c r="DD82" s="470" t="n">
        <f aca="false">IF(BD82,EURO(CP82,Strike2,AO82,AO82,CW82,CO82,IF(OptControl=3,1,0),3)/100,0)</f>
        <v>0</v>
      </c>
      <c r="DE82" s="472" t="n">
        <f aca="false">IF(BD82,EURO(CP82,Strike2,AO82,AO82,CW82,CO82,IF(OptControl=3,1,0),0)-EURO(CP82,Strike2,AO82,AO82,CW82,CO82-1,IF(OptControl=3,1,0),0),0)</f>
        <v>0</v>
      </c>
      <c r="DG82" s="481" t="n">
        <f aca="false">EOMONTH(DG81,0)+1</f>
        <v>47574</v>
      </c>
      <c r="DH82" s="478" t="n">
        <v>18.3466666666667</v>
      </c>
      <c r="DI82" s="479" t="n">
        <v>18.3422222222222</v>
      </c>
      <c r="DJ82" s="480" t="n">
        <f aca="false">DG82</f>
        <v>47574</v>
      </c>
      <c r="DK82" s="478" t="n">
        <v>17.2163033615897</v>
      </c>
      <c r="DL82" s="479" t="n">
        <v>17.0822222222222</v>
      </c>
      <c r="DM82" s="481" t="n">
        <f aca="false">DG82</f>
        <v>47574</v>
      </c>
      <c r="DN82" s="482" t="n">
        <f aca="false">DK82+BrentPhyBrentSpread</f>
        <v>17.2663033615897</v>
      </c>
      <c r="DO82" s="481" t="n">
        <f aca="false">DG82</f>
        <v>47574</v>
      </c>
      <c r="DP82" s="483" t="n">
        <f aca="false">DL82+DQ82</f>
        <v>17.0822222222222</v>
      </c>
      <c r="DQ82" s="546" t="n">
        <v>0</v>
      </c>
      <c r="DR82" s="480" t="n">
        <f aca="false">DG82</f>
        <v>47574</v>
      </c>
      <c r="DS82" s="485" t="n">
        <v>0.193835113053084</v>
      </c>
      <c r="DT82" s="486" t="n">
        <v>0.193041664792296</v>
      </c>
      <c r="DU82" s="480" t="n">
        <f aca="false">DG82</f>
        <v>47574</v>
      </c>
      <c r="DV82" s="485" t="n">
        <v>0.193835113053084</v>
      </c>
      <c r="DW82" s="486" t="n">
        <v>0.193041664792296</v>
      </c>
      <c r="DX82" s="481" t="n">
        <f aca="false">DG82</f>
        <v>47574</v>
      </c>
      <c r="DY82" s="486" t="n">
        <v>0.35</v>
      </c>
      <c r="DZ82" s="481" t="n">
        <f aca="false">DR82</f>
        <v>47574</v>
      </c>
      <c r="EA82" s="486" t="n">
        <f aca="false">DT82</f>
        <v>0.193041664792296</v>
      </c>
      <c r="EB82" s="195"/>
      <c r="EC82" s="547" t="str">
        <f aca="false">IF(BD82,IF(Underlying=1,AS82,AU82),"")</f>
        <v/>
      </c>
      <c r="ED82" s="548" t="str">
        <f aca="false">IF($BD82,$EC82+IF(VolSkewFlag=1,IF(BS82&gt;0,$BA82*MIN(BS82/10%,1)+($BB82-$BA82)*MAX(0,MIN(BS82/10%-1,1))+($BC82-$BB82)*MAX(0,BS82/10%-2),$AZ82*MIN(-BS82/10%,1)+($AY82-$AZ82)*MAX(0,MIN(-BS82/10%-1,1))+($AX82-$AY82)*MAX(0,-BS82/10%-2)),0),"")</f>
        <v/>
      </c>
      <c r="EE82" s="549" t="str">
        <f aca="false">IF($BD82,$EC82+IF(VolSkewFlag=1,IF(BT82&gt;0,$BA82*MIN(BT82/10%,1)+($BB82-$BA82)*MAX(0,MIN(BT82/10%-1,1))+($BC82-$BB82)*MAX(0,BT82/10%-2),$AZ82*MIN(-BT82/10%,1)+($AY82-$AZ82)*MAX(0,MIN(-BT82/10%-1,1))+($AX82-$AY82)*MAX(0,-BT82/10%-2)),0),"")</f>
        <v/>
      </c>
      <c r="EF82" s="550" t="n">
        <f aca="false">IF(BD82,xASN(BR82,Strike1,AO82,ED82,0,BO82,0,BI82,BL82,IF(OptControl=4,0,1),0),0)</f>
        <v>0</v>
      </c>
      <c r="EG82" s="551" t="n">
        <f aca="false">IF(BD82,xASN(BR82,Strike2,AO82,EE82,0,BO82,0,BI82,BL82,IF(OptControl=3,1,0),0),0)</f>
        <v>0</v>
      </c>
      <c r="EL82" s="1"/>
      <c r="EM82" s="195"/>
      <c r="EN82" s="556" t="n">
        <v>43285</v>
      </c>
      <c r="EO82" s="557" t="n">
        <v>47849</v>
      </c>
      <c r="EP82" s="195"/>
      <c r="EQ82" s="407" t="s">
        <v>308</v>
      </c>
      <c r="ES82" s="587" t="n">
        <v>63</v>
      </c>
      <c r="ET82" s="559" t="n">
        <f aca="false">BH82/365.25</f>
        <v>-19.9425051334702</v>
      </c>
      <c r="EU82" s="560" t="n">
        <f aca="false">O82^2*ET82</f>
        <v>-0</v>
      </c>
      <c r="EV82" s="588" t="e">
        <f aca="false">SQRT(SUM(FK82:ID82)/ET82)</f>
        <v>#VALUE!</v>
      </c>
      <c r="EW82" s="589" t="str">
        <f aca="false">IF(OR(DateStart2&gt;I81,DateEnd2&lt;I80),"",IF(DateStart2&lt;I81,AK80/AI80*AP80*BE80*SwaptionNumOfMonths/$D$33,0)+IF(DateEnd2&gt;I80,AJ81/AI81*AP81*BE81*SwaptionNumOfMonths/$D$33,0))</f>
        <v/>
      </c>
      <c r="EX82" s="590" t="str">
        <f aca="false">IF(EW82="","",SQRT(SUM(FK387:ID387)/SwaptionYearsToExp))</f>
        <v/>
      </c>
      <c r="EY82" s="129" t="n">
        <v>0</v>
      </c>
      <c r="EZ82" s="591" t="str">
        <f aca="false">IF(OR(EW82="",EW83=""),"",SQRT(SUM(INDEX(FK82:ID82,SwaptionFirstMonthPosition+1):INDEX(FK82:ID82,FJ82))/SUM(INDEX($FK$15:$ID$15,SwaptionFirstMonthPosition+1):INDEX($FK$15:$ID$15,FJ82))))</f>
        <v/>
      </c>
      <c r="FA82" s="592" t="str">
        <f aca="false">IF(OR(EW82="",EW81=""),"",SQRT(SUM(INDEX(FK82:ID82,SwaptionFirstMonthPosition+1):INDEX(FK82:ID82,FJ82-1))/SUM(INDEX($FK$15:$ID$15,SwaptionFirstMonthPosition+1):INDEX($FK$15:$ID$15,FJ82-1))))</f>
        <v/>
      </c>
      <c r="FB82" s="593" t="str">
        <f aca="false">IF(BE82,2/3*EZ83+1/3*FA84,"")</f>
        <v/>
      </c>
      <c r="FC82" s="596" t="str">
        <f aca="false">IF(BE82,(I83+I82-1)/2-DateToday,"")</f>
        <v/>
      </c>
      <c r="FD82" s="483" t="str">
        <f aca="false">IF(BE82,CHOOSE(Underlying,X82,Z82)+SwaptionUnderlyingPrice-$D$26,"")</f>
        <v/>
      </c>
      <c r="FE82" s="483" t="str">
        <f aca="false">IF(BE82,CollartionFloor/FD82-1,"")</f>
        <v/>
      </c>
      <c r="FF82" s="483" t="str">
        <f aca="false">IF(BE82,CollartionCap/FD82-1,"")</f>
        <v/>
      </c>
      <c r="FG82" s="485" t="str">
        <f aca="false">IF(BE82,IF(VolSkewFlag=1,IF(FE82&gt;0,$BA82*MIN(FE82/10%,1)+($BB82-$BA82)*MAX(0,MIN(FE82/10%-1,1))+($BC82-$BB82)*MAX(0,FE82/10%-2),$AZ82*MIN(-FE82/10%,1)+($AY82-$AZ82)*MAX(0,MIN(-FE82/10%-1,1))+($AX82-$AY82)*MAX(0,-FE82/10%-2)),0),"")</f>
        <v/>
      </c>
      <c r="FH82" s="486" t="str">
        <f aca="false">IF(BE82,IF(VolSkewFlag=1,IF(FF82&gt;0,$BA82*MIN(FF82/10%,1)+($BB82-$BA82)*MAX(0,MIN(FF82/10%-1,1))+($BC82-$BB82)*MAX(0,FF82/10%-2),$AZ82*MIN(-FF82/10%,1)+($AY82-$AZ82)*MAX(0,MIN(-FF82/10%-1,1))+($AX82-$AY82)*MAX(0,-FF82/10%-2)),0),"")</f>
        <v/>
      </c>
      <c r="FI82" s="129"/>
      <c r="FJ82" s="571" t="n">
        <v>63</v>
      </c>
      <c r="FK82" s="150" t="n">
        <f aca="false">IF(FK$19&gt;$FJ82,"",MAX(0,IF(FK$19=$FJ82,$S82^2*FK$15,FK81*INDEX($T$20:$T$91,$FJ82-FK$19)^2/INDEX($U$20:$U$91,$FJ82-FK$19))))</f>
        <v>0</v>
      </c>
      <c r="FL82" s="150" t="n">
        <f aca="false">IF(FL$19&gt;$FJ82,"",MAX(0,IF(FL$19=$FJ82,$S82^2*FL$15,FL81*INDEX($T$20:$T$91,$FJ82-FL$19)^2/INDEX($U$20:$U$91,$FJ82-FL$19))))</f>
        <v>0</v>
      </c>
      <c r="FM82" s="150" t="n">
        <f aca="false">IF(FM$19&gt;$FJ82,"",MAX(0,IF(FM$19=$FJ82,$S82^2*FM$15,FM81*INDEX($T$20:$T$91,$FJ82-FM$19)^2/INDEX($U$20:$U$91,$FJ82-FM$19))))</f>
        <v>0.00254708960946485</v>
      </c>
      <c r="FN82" s="150" t="n">
        <f aca="false">IF(FN$19&gt;$FJ82,"",MAX(0,IF(FN$19=$FJ82,$S82^2*FN$15,FN81*INDEX($T$20:$T$91,$FJ82-FN$19)^2/INDEX($U$20:$U$91,$FJ82-FN$19))))</f>
        <v>0.00214385490621367</v>
      </c>
      <c r="FO82" s="150" t="n">
        <f aca="false">IF(FO$19&gt;$FJ82,"",MAX(0,IF(FO$19=$FJ82,$S82^2*FO$15,FO81*INDEX($T$20:$T$91,$FJ82-FO$19)^2/INDEX($U$20:$U$91,$FJ82-FO$19))))</f>
        <v>0.00222998243521987</v>
      </c>
      <c r="FP82" s="150" t="n">
        <f aca="false">IF(FP$19&gt;$FJ82,"",MAX(0,IF(FP$19=$FJ82,$S82^2*FP$15,FP81*INDEX($T$20:$T$91,$FJ82-FP$19)^2/INDEX($U$20:$U$91,$FJ82-FP$19))))</f>
        <v>0.00247112200362222</v>
      </c>
      <c r="FQ82" s="150" t="n">
        <f aca="false">IF(FQ$19&gt;$FJ82,"",MAX(0,IF(FQ$19=$FJ82,$S82^2*FQ$15,FQ81*INDEX($T$20:$T$91,$FJ82-FQ$19)^2/INDEX($U$20:$U$91,$FJ82-FQ$19))))</f>
        <v>0.00200070067543818</v>
      </c>
      <c r="FR82" s="150" t="n">
        <f aca="false">IF(FR$19&gt;$FJ82,"",MAX(0,IF(FR$19=$FJ82,$S82^2*FR$15,FR81*INDEX($T$20:$T$91,$FJ82-FR$19)^2/INDEX($U$20:$U$91,$FJ82-FR$19))))</f>
        <v>0.00204570638034123</v>
      </c>
      <c r="FS82" s="150" t="n">
        <f aca="false">IF(FS$19&gt;$FJ82,"",MAX(0,IF(FS$19=$FJ82,$S82^2*FS$15,FS81*INDEX($T$20:$T$91,$FJ82-FS$19)^2/INDEX($U$20:$U$91,$FJ82-FS$19))))</f>
        <v>0.00230546630244084</v>
      </c>
      <c r="FT82" s="150" t="n">
        <f aca="false">IF(FT$19&gt;$FJ82,"",MAX(0,IF(FT$19=$FJ82,$S82^2*FT$15,FT81*INDEX($T$20:$T$91,$FJ82-FT$19)^2/INDEX($U$20:$U$91,$FJ82-FT$19))))</f>
        <v>0.00208070689072873</v>
      </c>
      <c r="FU82" s="150" t="n">
        <f aca="false">IF(FU$19&gt;$FJ82,"",MAX(0,IF(FU$19=$FJ82,$S82^2*FU$15,FU81*INDEX($T$20:$T$91,$FJ82-FU$19)^2/INDEX($U$20:$U$91,$FJ82-FU$19))))</f>
        <v>0.00200043177414596</v>
      </c>
      <c r="FV82" s="150" t="n">
        <f aca="false">IF(FV$19&gt;$FJ82,"",MAX(0,IF(FV$19=$FJ82,$S82^2*FV$15,FV81*INDEX($T$20:$T$91,$FJ82-FV$19)^2/INDEX($U$20:$U$91,$FJ82-FV$19))))</f>
        <v>0.0021984183015087</v>
      </c>
      <c r="FW82" s="150" t="n">
        <f aca="false">IF(FW$19&gt;$FJ82,"",MAX(0,IF(FW$19=$FJ82,$S82^2*FW$15,FW81*INDEX($T$20:$T$91,$FJ82-FW$19)^2/INDEX($U$20:$U$91,$FJ82-FW$19))))</f>
        <v>0.00205479734089213</v>
      </c>
      <c r="FX82" s="150" t="n">
        <f aca="false">IF(FX$19&gt;$FJ82,"",MAX(0,IF(FX$19=$FJ82,$S82^2*FX$15,FX81*INDEX($T$20:$T$91,$FJ82-FX$19)^2/INDEX($U$20:$U$91,$FJ82-FX$19))))</f>
        <v>0.00218689591535051</v>
      </c>
      <c r="FY82" s="150" t="n">
        <f aca="false">IF(FY$19&gt;$FJ82,"",MAX(0,IF(FY$19=$FJ82,$S82^2*FY$15,FY81*INDEX($T$20:$T$91,$FJ82-FY$19)^2/INDEX($U$20:$U$91,$FJ82-FY$19))))</f>
        <v>0.00204687063678377</v>
      </c>
      <c r="FZ82" s="150" t="n">
        <f aca="false">IF(FZ$19&gt;$FJ82,"",MAX(0,IF(FZ$19=$FJ82,$S82^2*FZ$15,FZ81*INDEX($T$20:$T$91,$FJ82-FZ$19)^2/INDEX($U$20:$U$91,$FJ82-FZ$19))))</f>
        <v>0.0019081705891105</v>
      </c>
      <c r="GA82" s="150" t="n">
        <f aca="false">IF(GA$19&gt;$FJ82,"",MAX(0,IF(GA$19=$FJ82,$S82^2*GA$15,GA81*INDEX($T$20:$T$91,$FJ82-GA$19)^2/INDEX($U$20:$U$91,$FJ82-GA$19))))</f>
        <v>0.00204278974622463</v>
      </c>
      <c r="GB82" s="150" t="n">
        <f aca="false">IF(GB$19&gt;$FJ82,"",MAX(0,IF(GB$19=$FJ82,$S82^2*GB$15,GB81*INDEX($T$20:$T$91,$FJ82-GB$19)^2/INDEX($U$20:$U$91,$FJ82-GB$19))))</f>
        <v>0.00224584114305962</v>
      </c>
      <c r="GC82" s="150" t="n">
        <f aca="false">IF(GC$19&gt;$FJ82,"",MAX(0,IF(GC$19=$FJ82,$S82^2*GC$15,GC81*INDEX($T$20:$T$91,$FJ82-GC$19)^2/INDEX($U$20:$U$91,$FJ82-GC$19))))</f>
        <v>0.00197297034931617</v>
      </c>
      <c r="GD82" s="150" t="n">
        <f aca="false">IF(GD$19&gt;$FJ82,"",MAX(0,IF(GD$19=$FJ82,$S82^2*GD$15,GD81*INDEX($T$20:$T$91,$FJ82-GD$19)^2/INDEX($U$20:$U$91,$FJ82-GD$19))))</f>
        <v>0.00197267335130349</v>
      </c>
      <c r="GE82" s="150" t="n">
        <f aca="false">IF(GE$19&gt;$FJ82,"",MAX(0,IF(GE$19=$FJ82,$S82^2*GE$15,GE81*INDEX($T$20:$T$91,$FJ82-GE$19)^2/INDEX($U$20:$U$91,$FJ82-GE$19))))</f>
        <v>0.00224476391673095</v>
      </c>
      <c r="GF82" s="150" t="n">
        <f aca="false">IF(GF$19&gt;$FJ82,"",MAX(0,IF(GF$19=$FJ82,$S82^2*GF$15,GF81*INDEX($T$20:$T$91,$FJ82-GF$19)^2/INDEX($U$20:$U$91,$FJ82-GF$19))))</f>
        <v>0.00197292802138232</v>
      </c>
      <c r="GG82" s="150" t="n">
        <f aca="false">IF(GG$19&gt;$FJ82,"",MAX(0,IF(GG$19=$FJ82,$S82^2*GG$15,GG81*INDEX($T$20:$T$91,$FJ82-GG$19)^2/INDEX($U$20:$U$91,$FJ82-GG$19))))</f>
        <v>0.00217756988385522</v>
      </c>
      <c r="GH82" s="150" t="n">
        <f aca="false">IF(GH$19&gt;$FJ82,"",MAX(0,IF(GH$19=$FJ82,$S82^2*GH$15,GH81*INDEX($T$20:$T$91,$FJ82-GH$19)^2/INDEX($U$20:$U$91,$FJ82-GH$19))))</f>
        <v>0.00204222139068926</v>
      </c>
      <c r="GI82" s="150" t="n">
        <f aca="false">IF(GI$19&gt;$FJ82,"",MAX(0,IF(GI$19=$FJ82,$S82^2*GI$15,GI81*INDEX($T$20:$T$91,$FJ82-GI$19)^2/INDEX($U$20:$U$91,$FJ82-GI$19))))</f>
        <v>0.00197510472386042</v>
      </c>
      <c r="GJ82" s="150" t="n">
        <f aca="false">IF(GJ$19&gt;$FJ82,"",MAX(0,IF(GJ$19=$FJ82,$S82^2*GJ$15,GJ81*INDEX($T$20:$T$91,$FJ82-GJ$19)^2/INDEX($U$20:$U$91,$FJ82-GJ$19))))</f>
        <v>0.00224890138486391</v>
      </c>
      <c r="GK82" s="150" t="n">
        <f aca="false">IF(GK$19&gt;$FJ82,"",MAX(0,IF(GK$19=$FJ82,$S82^2*GK$15,GK81*INDEX($T$20:$T$91,$FJ82-GK$19)^2/INDEX($U$20:$U$91,$FJ82-GK$19))))</f>
        <v>0.00204597564878182</v>
      </c>
      <c r="GL82" s="150" t="n">
        <f aca="false">IF(GL$19&gt;$FJ82,"",MAX(0,IF(GL$19=$FJ82,$S82^2*GL$15,GL81*INDEX($T$20:$T$91,$FJ82-GL$19)^2/INDEX($U$20:$U$91,$FJ82-GL$19))))</f>
        <v>0.00197954260788173</v>
      </c>
      <c r="GM82" s="150" t="n">
        <f aca="false">IF(GM$19&gt;$FJ82,"",MAX(0,IF(GM$19=$FJ82,$S82^2*GM$15,GM81*INDEX($T$20:$T$91,$FJ82-GM$19)^2/INDEX($U$20:$U$91,$FJ82-GM$19))))</f>
        <v>0.00211831039546299</v>
      </c>
      <c r="GN82" s="150" t="n">
        <f aca="false">IF(GN$19&gt;$FJ82,"",MAX(0,IF(GN$19=$FJ82,$S82^2*GN$15,GN81*INDEX($T$20:$T$91,$FJ82-GN$19)^2/INDEX($U$20:$U$91,$FJ82-GN$19))))</f>
        <v>0.00212097035948729</v>
      </c>
      <c r="GO82" s="150" t="n">
        <f aca="false">IF(GO$19&gt;$FJ82,"",MAX(0,IF(GO$19=$FJ82,$S82^2*GO$15,GO81*INDEX($T$20:$T$91,$FJ82-GO$19)^2/INDEX($U$20:$U$91,$FJ82-GO$19))))</f>
        <v>0.00212410696943204</v>
      </c>
      <c r="GP82" s="150" t="n">
        <f aca="false">IF(GP$19&gt;$FJ82,"",MAX(0,IF(GP$19=$FJ82,$S82^2*GP$15,GP81*INDEX($T$20:$T$91,$FJ82-GP$19)^2/INDEX($U$20:$U$91,$FJ82-GP$19))))</f>
        <v>0.00192188172431964</v>
      </c>
      <c r="GQ82" s="150" t="n">
        <f aca="false">IF(GQ$19&gt;$FJ82,"",MAX(0,IF(GQ$19=$FJ82,$S82^2*GQ$15,GQ81*INDEX($T$20:$T$91,$FJ82-GQ$19)^2/INDEX($U$20:$U$91,$FJ82-GQ$19))))</f>
        <v>0.00213213479590773</v>
      </c>
      <c r="GR82" s="150" t="n">
        <f aca="false">IF(GR$19&gt;$FJ82,"",MAX(0,IF(GR$19=$FJ82,$S82^2*GR$15,GR81*INDEX($T$20:$T$91,$FJ82-GR$19)^2/INDEX($U$20:$U$91,$FJ82-GR$19))))</f>
        <v>0.00206828565998696</v>
      </c>
      <c r="GS82" s="150" t="n">
        <f aca="false">IF(GS$19&gt;$FJ82,"",MAX(0,IF(GS$19=$FJ82,$S82^2*GS$15,GS81*INDEX($T$20:$T$91,$FJ82-GS$19)^2/INDEX($U$20:$U$91,$FJ82-GS$19))))</f>
        <v>0.00214320943397542</v>
      </c>
      <c r="GT82" s="150" t="n">
        <f aca="false">IF(GT$19&gt;$FJ82,"",MAX(0,IF(GT$19=$FJ82,$S82^2*GT$15,GT81*INDEX($T$20:$T$91,$FJ82-GT$19)^2/INDEX($U$20:$U$91,$FJ82-GT$19))))</f>
        <v>0.00208087026635274</v>
      </c>
      <c r="GU82" s="150" t="n">
        <f aca="false">IF(GU$19&gt;$FJ82,"",MAX(0,IF(GU$19=$FJ82,$S82^2*GU$15,GU81*INDEX($T$20:$T$91,$FJ82-GU$19)^2/INDEX($U$20:$U$91,$FJ82-GU$19))))</f>
        <v>0.00215848214449004</v>
      </c>
      <c r="GV82" s="150" t="n">
        <f aca="false">IF(GV$19&gt;$FJ82,"",MAX(0,IF(GV$19=$FJ82,$S82^2*GV$15,GV81*INDEX($T$20:$T$91,$FJ82-GV$19)^2/INDEX($U$20:$U$91,$FJ82-GV$19))))</f>
        <v>0.00216817690905033</v>
      </c>
      <c r="GW82" s="150" t="n">
        <f aca="false">IF(GW$19&gt;$FJ82,"",MAX(0,IF(GW$19=$FJ82,$S82^2*GW$15,GW81*INDEX($T$20:$T$91,$FJ82-GW$19)^2/INDEX($U$20:$U$91,$FJ82-GW$19))))</f>
        <v>0.00210926862913095</v>
      </c>
      <c r="GX82" s="150" t="n">
        <f aca="false">IF(GX$19&gt;$FJ82,"",MAX(0,IF(GX$19=$FJ82,$S82^2*GX$15,GX81*INDEX($T$20:$T$91,$FJ82-GX$19)^2/INDEX($U$20:$U$91,$FJ82-GX$19))))</f>
        <v>0.00219299541136712</v>
      </c>
      <c r="GY82" s="150" t="n">
        <f aca="false">IF(GY$19&gt;$FJ82,"",MAX(0,IF(GY$19=$FJ82,$S82^2*GY$15,GY81*INDEX($T$20:$T$91,$FJ82-GY$19)^2/INDEX($U$20:$U$91,$FJ82-GY$19))))</f>
        <v>0.0021375514079778</v>
      </c>
      <c r="GZ82" s="150" t="n">
        <f aca="false">IF(GZ$19&gt;$FJ82,"",MAX(0,IF(GZ$19=$FJ82,$S82^2*GZ$15,GZ81*INDEX($T$20:$T$91,$FJ82-GZ$19)^2/INDEX($U$20:$U$91,$FJ82-GZ$19))))</f>
        <v>0.00222744866572987</v>
      </c>
      <c r="HA82" s="150" t="n">
        <f aca="false">IF(HA$19&gt;$FJ82,"",MAX(0,IF(HA$19=$FJ82,$S82^2*HA$15,HA81*INDEX($T$20:$T$91,$FJ82-HA$19)^2/INDEX($U$20:$U$91,$FJ82-HA$19))))</f>
        <v>0.00224947264266186</v>
      </c>
      <c r="HB82" s="150" t="n">
        <f aca="false">IF(HB$19&gt;$FJ82,"",MAX(0,IF(HB$19=$FJ82,$S82^2*HB$15,HB81*INDEX($T$20:$T$91,$FJ82-HB$19)^2/INDEX($U$20:$U$91,$FJ82-HB$19))))</f>
        <v>0.00212872217727593</v>
      </c>
      <c r="HC82" s="150" t="n">
        <f aca="false">IF(HC$19&gt;$FJ82,"",MAX(0,IF(HC$19=$FJ82,$S82^2*HC$15,HC81*INDEX($T$20:$T$91,$FJ82-HC$19)^2/INDEX($U$20:$U$91,$FJ82-HC$19))))</f>
        <v>0.00230642189265648</v>
      </c>
      <c r="HD82" s="150" t="n">
        <f aca="false">IF(HD$19&gt;$FJ82,"",MAX(0,IF(HD$19=$FJ82,$S82^2*HD$15,HD81*INDEX($T$20:$T$91,$FJ82-HD$19)^2/INDEX($U$20:$U$91,$FJ82-HD$19))))</f>
        <v>0.00226754260046207</v>
      </c>
      <c r="HE82" s="150" t="n">
        <f aca="false">IF(HE$19&gt;$FJ82,"",MAX(0,IF(HE$19=$FJ82,$S82^2*HE$15,HE81*INDEX($T$20:$T$91,$FJ82-HE$19)^2/INDEX($U$20:$U$91,$FJ82-HE$19))))</f>
        <v>0.00238685919831356</v>
      </c>
      <c r="HF82" s="150" t="n">
        <f aca="false">IF(HF$19&gt;$FJ82,"",MAX(0,IF(HF$19=$FJ82,$S82^2*HF$15,HF81*INDEX($T$20:$T$91,$FJ82-HF$19)^2/INDEX($U$20:$U$91,$FJ82-HF$19))))</f>
        <v>0.00236044626261782</v>
      </c>
      <c r="HG82" s="150" t="n">
        <f aca="false">IF(HG$19&gt;$FJ82,"",MAX(0,IF(HG$19=$FJ82,$S82^2*HG$15,HG81*INDEX($T$20:$T$91,$FJ82-HG$19)^2/INDEX($U$20:$U$91,$FJ82-HG$19))))</f>
        <v>0.00250183240624169</v>
      </c>
      <c r="HH82" s="150" t="n">
        <f aca="false">IF(HH$19&gt;$FJ82,"",MAX(0,IF(HH$19=$FJ82,$S82^2*HH$15,HH81*INDEX($T$20:$T$91,$FJ82-HH$19)^2/INDEX($U$20:$U$91,$FJ82-HH$19))))</f>
        <v>0.00257738600535335</v>
      </c>
      <c r="HI82" s="150" t="n">
        <f aca="false">IF(HI$19&gt;$FJ82,"",MAX(0,IF(HI$19=$FJ82,$S82^2*HI$15,HI81*INDEX($T$20:$T$91,$FJ82-HI$19)^2/INDEX($U$20:$U$91,$FJ82-HI$19))))</f>
        <v>0.00258279689783124</v>
      </c>
      <c r="HJ82" s="150" t="n">
        <f aca="false">IF(HJ$19&gt;$FJ82,"",MAX(0,IF(HJ$19=$FJ82,$S82^2*HJ$15,HJ81*INDEX($T$20:$T$91,$FJ82-HJ$19)^2/INDEX($U$20:$U$91,$FJ82-HJ$19))))</f>
        <v>0.00278038343300146</v>
      </c>
      <c r="HK82" s="150" t="n">
        <f aca="false">IF(HK$19&gt;$FJ82,"",MAX(0,IF(HK$19=$FJ82,$S82^2*HK$15,HK81*INDEX($T$20:$T$91,$FJ82-HK$19)^2/INDEX($U$20:$U$91,$FJ82-HK$19))))</f>
        <v>0.00282309858404042</v>
      </c>
      <c r="HL82" s="150" t="n">
        <f aca="false">IF(HL$19&gt;$FJ82,"",MAX(0,IF(HL$19=$FJ82,$S82^2*HL$15,HL81*INDEX($T$20:$T$91,$FJ82-HL$19)^2/INDEX($U$20:$U$91,$FJ82-HL$19))))</f>
        <v>0.00308651082669685</v>
      </c>
      <c r="HM82" s="150" t="n">
        <f aca="false">IF(HM$19&gt;$FJ82,"",MAX(0,IF(HM$19=$FJ82,$S82^2*HM$15,HM81*INDEX($T$20:$T$91,$FJ82-HM$19)^2/INDEX($U$20:$U$91,$FJ82-HM$19))))</f>
        <v>0.00329810856715176</v>
      </c>
      <c r="HN82" s="150" t="n">
        <f aca="false">IF(HN$19&gt;$FJ82,"",MAX(0,IF(HN$19=$FJ82,$S82^2*HN$15,HN81*INDEX($T$20:$T$91,$FJ82-HN$19)^2/INDEX($U$20:$U$91,$FJ82-HN$19))))</f>
        <v>0.00322060374060882</v>
      </c>
      <c r="HO82" s="150" t="n">
        <f aca="false">IF(HO$19&gt;$FJ82,"",MAX(0,IF(HO$19=$FJ82,$S82^2*HO$15,HO81*INDEX($T$20:$T$91,$FJ82-HO$19)^2/INDEX($U$20:$U$91,$FJ82-HO$19))))</f>
        <v>0.00390871052883689</v>
      </c>
      <c r="HP82" s="150" t="n">
        <f aca="false">IF(HP$19&gt;$FJ82,"",MAX(0,IF(HP$19=$FJ82,$S82^2*HP$15,HP81*INDEX($T$20:$T$91,$FJ82-HP$19)^2/INDEX($U$20:$U$91,$FJ82-HP$19))))</f>
        <v>0.00421531397715517</v>
      </c>
      <c r="HQ82" s="150" t="n">
        <f aca="false">IF(HQ$19&gt;$FJ82,"",MAX(0,IF(HQ$19=$FJ82,$S82^2*HQ$15,HQ81*INDEX($T$20:$T$91,$FJ82-HQ$19)^2/INDEX($U$20:$U$91,$FJ82-HQ$19))))</f>
        <v>0.00495011215798543</v>
      </c>
      <c r="HR82" s="150" t="n">
        <f aca="false">IF(HR$19&gt;$FJ82,"",MAX(0,IF(HR$19=$FJ82,$S82^2*HR$15,HR81*INDEX($T$20:$T$91,$FJ82-HR$19)^2/INDEX($U$20:$U$91,$FJ82-HR$19))))</f>
        <v>0.00557296242551764</v>
      </c>
      <c r="HS82" s="150" t="n">
        <f aca="false">IF(HS$19&gt;$FJ82,"",MAX(0,IF(HS$19=$FJ82,$S82^2*HS$15,HS81*INDEX($T$20:$T$91,$FJ82-HS$19)^2/INDEX($U$20:$U$91,$FJ82-HS$19))))</f>
        <v>0.00689031674768206</v>
      </c>
      <c r="HT82" s="150" t="n">
        <f aca="false">IF(HT$19&gt;$FJ82,"",MAX(0,IF(HT$19=$FJ82,$S82^2*HT$15,HT81*INDEX($T$20:$T$91,$FJ82-HT$19)^2/INDEX($U$20:$U$91,$FJ82-HT$19))))</f>
        <v>0.00852846990916114</v>
      </c>
      <c r="HU82" s="150" t="n">
        <f aca="false">IF(HU$19&gt;$FJ82,"",MAX(0,IF(HU$19=$FJ82,$S82^2*HU$15,HU81*INDEX($T$20:$T$91,$FJ82-HU$19)^2/INDEX($U$20:$U$91,$FJ82-HU$19))))</f>
        <v>0.0106447639169489</v>
      </c>
      <c r="HV82" s="150" t="str">
        <f aca="false">IF(HV$19&gt;$FJ82,"",MAX(0,IF(HV$19=$FJ82,$S82^2*HV$15,HV81*INDEX($T$20:$T$91,$FJ82-HV$19)^2/INDEX($U$20:$U$91,$FJ82-HV$19))))</f>
        <v/>
      </c>
      <c r="HW82" s="150" t="str">
        <f aca="false">IF(HW$19&gt;$FJ82,"",MAX(0,IF(HW$19=$FJ82,$S82^2*HW$15,HW81*INDEX($T$20:$T$91,$FJ82-HW$19)^2/INDEX($U$20:$U$91,$FJ82-HW$19))))</f>
        <v/>
      </c>
      <c r="HX82" s="150" t="str">
        <f aca="false">IF(HX$19&gt;$FJ82,"",MAX(0,IF(HX$19=$FJ82,$S82^2*HX$15,HX81*INDEX($T$20:$T$91,$FJ82-HX$19)^2/INDEX($U$20:$U$91,$FJ82-HX$19))))</f>
        <v/>
      </c>
      <c r="HY82" s="150" t="str">
        <f aca="false">IF(HY$19&gt;$FJ82,"",MAX(0,IF(HY$19=$FJ82,$S82^2*HY$15,HY81*INDEX($T$20:$T$91,$FJ82-HY$19)^2/INDEX($U$20:$U$91,$FJ82-HY$19))))</f>
        <v/>
      </c>
      <c r="HZ82" s="150" t="str">
        <f aca="false">IF(HZ$19&gt;$FJ82,"",MAX(0,IF(HZ$19=$FJ82,$S82^2*HZ$15,HZ81*INDEX($T$20:$T$91,$FJ82-HZ$19)^2/INDEX($U$20:$U$91,$FJ82-HZ$19))))</f>
        <v/>
      </c>
      <c r="IA82" s="150" t="str">
        <f aca="false">IF(IA$19&gt;$FJ82,"",MAX(0,IF(IA$19=$FJ82,$S82^2*IA$15,IA81*INDEX($T$20:$T$91,$FJ82-IA$19)^2/INDEX($U$20:$U$91,$FJ82-IA$19))))</f>
        <v/>
      </c>
      <c r="IB82" s="150" t="str">
        <f aca="false">IF(IB$19&gt;$FJ82,"",MAX(0,IF(IB$19=$FJ82,$S82^2*IB$15,IB81*INDEX($T$20:$T$91,$FJ82-IB$19)^2/INDEX($U$20:$U$91,$FJ82-IB$19))))</f>
        <v/>
      </c>
      <c r="IC82" s="150" t="str">
        <f aca="false">IF(IC$19&gt;$FJ82,"",MAX(0,IF(IC$19=$FJ82,$S82^2*IC$15,IC81*INDEX($T$20:$T$91,$FJ82-IC$19)^2/INDEX($U$20:$U$91,$FJ82-IC$19))))</f>
        <v/>
      </c>
      <c r="ID82" s="572" t="str">
        <f aca="false">IF(ID$19&gt;$FJ82,"",MAX(0,IF(ID$19=$FJ82,$S82^2*ID$15,ID81*INDEX($T$20:$T$91,$FJ82-ID$19)^2/INDEX($U$20:$U$91,$FJ82-ID$19))))</f>
        <v/>
      </c>
      <c r="IE82" s="129"/>
    </row>
    <row r="83" customFormat="false" ht="12.75" hidden="false" customHeight="false" outlineLevel="0" collapsed="false">
      <c r="H83" s="219" t="n">
        <f aca="false">VLOOKUP(I83,$EJ$20:$EL$54,3)</f>
        <v>0</v>
      </c>
      <c r="I83" s="511" t="n">
        <f aca="false">EOMONTH(I82,0)+1</f>
        <v>38687</v>
      </c>
      <c r="J83" s="512"/>
      <c r="K83" s="513" t="s">
        <v>250</v>
      </c>
      <c r="L83" s="514" t="e">
        <f aca="false">IF(ISNUMBER(K83),J83+K83/100,IF(K83="extra",L82+VLOOKUP(BF83,PriceSpreadTable,2)/12,IF(K83="inter",interpolateprices($K$19:$L$200,ROW(K83)-ROW(FirstPricingMonth)+1),interpolatechanges($J$19:$K$200,ROW(K83)-ROW(FirstPricingMonth)+1))))</f>
        <v>#VALUE!</v>
      </c>
      <c r="M83" s="515"/>
      <c r="N83" s="516" t="n">
        <v>0</v>
      </c>
      <c r="O83" s="515" t="n">
        <f aca="false">M83+N83</f>
        <v>0</v>
      </c>
      <c r="P83" s="512"/>
      <c r="Q83" s="513" t="s">
        <v>280</v>
      </c>
      <c r="R83" s="512" t="e">
        <f aca="false">IF(ISNUMBER(Q83),P83+Q83/100,IF(Q83="extra",(Z81*AL81-R82*AM81)/AN81,IF(Q83="inter",interpolateprices($Q$19:$R$260,ROW(Q83)-ROW(FirstPricingMonth)+1),interpolatechanges($P$19:$Q$260,ROW(Q83)-ROW(FirstPricingMonth)+1))))</f>
        <v>#VALUE!</v>
      </c>
      <c r="S83" s="597" t="n">
        <f aca="false">S$19+(S82-S$19)*S$18</f>
        <v>0.36000000071756</v>
      </c>
      <c r="T83" s="575" t="n">
        <f aca="false">SQRT((1-(1-T82^2/U82)*T$18)*U83)</f>
        <v>0.999994187522212</v>
      </c>
      <c r="U83" s="576" t="n">
        <f aca="false">1-(1-U82)*U$18</f>
        <v>0.999999999798186</v>
      </c>
      <c r="V83" s="521" t="n">
        <v>0</v>
      </c>
      <c r="W83" s="577" t="n">
        <f aca="false">(J84*AJ83+J85*AK83)/AI83</f>
        <v>0</v>
      </c>
      <c r="X83" s="578" t="e">
        <f aca="false">(L84*AJ83+L85*AK83)/AI83</f>
        <v>#VALUE!</v>
      </c>
      <c r="Y83" s="579" t="n">
        <f aca="false">IF(Q85="extra",W83-AA83,(P84*AM83+P85*AN83)/AL83)</f>
        <v>-1.1446</v>
      </c>
      <c r="Z83" s="579" t="e">
        <f aca="false">IF(Q85="extra",X83-AB83,(R84*AM83+R85*AN83)/AL83)</f>
        <v>#VALUE!</v>
      </c>
      <c r="AA83" s="523" t="n">
        <f aca="false">IF(Q85="extra",INDEX(BrentSeasonalityTable,INT((BG83-1)/3)+1)*VLOOKUP(MAX(BF83,$AB$4),PriceSpreadTable,3),W83-Y83)</f>
        <v>1.1446</v>
      </c>
      <c r="AB83" s="524" t="n">
        <f aca="false">IF(Q85="extra",INDEX(BrentSeasonalityTable,INT((BG83-1)/3)+1)*VLOOKUP(MAX(BF83,$AB$4),PriceSpreadTable,3),X83-Z83)</f>
        <v>1.1446</v>
      </c>
      <c r="AC83" s="646" t="n">
        <v>38676</v>
      </c>
      <c r="AD83" s="646" t="n">
        <v>38672</v>
      </c>
      <c r="AE83" s="646" t="n">
        <v>38671</v>
      </c>
      <c r="AF83" s="646" t="n">
        <v>38667</v>
      </c>
      <c r="AG83" s="438" t="s">
        <v>217</v>
      </c>
      <c r="AH83" s="439" t="s">
        <v>278</v>
      </c>
      <c r="AI83" s="528" t="n">
        <v>22</v>
      </c>
      <c r="AJ83" s="529" t="n">
        <v>14</v>
      </c>
      <c r="AK83" s="529" t="n">
        <v>8</v>
      </c>
      <c r="AL83" s="530" t="n">
        <v>22</v>
      </c>
      <c r="AM83" s="529" t="n">
        <v>10</v>
      </c>
      <c r="AN83" s="531" t="n">
        <v>12</v>
      </c>
      <c r="AO83" s="532"/>
      <c r="AP83" s="465" t="n">
        <f aca="false">(1+AO83/2)^(-2*BL83)</f>
        <v>1</v>
      </c>
      <c r="AQ83" s="532"/>
      <c r="AR83" s="465" t="n">
        <f aca="false">(1+AQ83/2)^(-2*BH83/365.25)</f>
        <v>1</v>
      </c>
      <c r="AS83" s="580" t="n">
        <f aca="false">(O84*AJ83+O85*AK83)/AI83</f>
        <v>0</v>
      </c>
      <c r="AT83" s="468" t="n">
        <f aca="false">O83*VLOOKUP(BF83,BrentVolTable,2)+VLOOKUP(BF83,BrentVolTable,3)</f>
        <v>0</v>
      </c>
      <c r="AU83" s="468" t="n">
        <f aca="false">(AT84*AM83+AT85*AN83)/AL83</f>
        <v>0</v>
      </c>
      <c r="AV83" s="595" t="n">
        <f aca="false">SQRT(MAX(0.000000000001,(O83^2*BH83-S83^2*(BH83-BH82))/BH82))</f>
        <v>0.0234854226347723</v>
      </c>
      <c r="AW83" s="451" t="n">
        <f aca="false">IF($I83-DateToday+15&gt;=$T$8,"",IF($I83-DateToday+15&lt;$T$5,1,MATCH($I83-DateToday+15,$T$5:$T$8)))</f>
        <v>1</v>
      </c>
      <c r="AX83" s="468" t="n">
        <f aca="false">IF($AW83="",AX82^2/AX81,INDEX(U$5:U$8,$AW83)^((INDEX($T$5:$T$8,$AW83+1)-($I83-DateToday+15))/(INDEX($T$5:$T$8,$AW83+1)-INDEX($T$5:$T$8,$AW83)))/INDEX(U$5:U$8,$AW83+1)^((INDEX($T$5:$T$8,$AW83)-($I83-DateToday+15))/(INDEX($T$5:$T$8,$AW83+1)-INDEX($T$5:$T$8,$AW83))))</f>
        <v>3.26484252976516</v>
      </c>
      <c r="AY83" s="468" t="n">
        <f aca="false">IF($AW83="",AY82^2/AY81,INDEX(V$5:V$8,$AW83)^((INDEX($T$5:$T$8,$AW83+1)-($I83-DateToday+15))/(INDEX($T$5:$T$8,$AW83+1)-INDEX($T$5:$T$8,$AW83)))/INDEX(V$5:V$8,$AW83+1)^((INDEX($T$5:$T$8,$AW83)-($I83-DateToday+15))/(INDEX($T$5:$T$8,$AW83+1)-INDEX($T$5:$T$8,$AW83))))</f>
        <v>367.334590676638</v>
      </c>
      <c r="AZ83" s="468" t="n">
        <f aca="false">IF($AW83="",AZ82^2/AZ81,INDEX(W$5:W$8,$AW83)^((INDEX($T$5:$T$8,$AW83+1)-($I83-DateToday+15))/(INDEX($T$5:$T$8,$AW83+1)-INDEX($T$5:$T$8,$AW83)))/INDEX(W$5:W$8,$AW83+1)^((INDEX($T$5:$T$8,$AW83)-($I83-DateToday+15))/(INDEX($T$5:$T$8,$AW83+1)-INDEX($T$5:$T$8,$AW83))))</f>
        <v>3935088.7709931</v>
      </c>
      <c r="BA83" s="468" t="n">
        <f aca="false">IF($AW83="",BA82^2/BA81,INDEX(X$5:X$8,$AW83)^((INDEX($T$5:$T$8,$AW83+1)-($I83-DateToday+15))/(INDEX($T$5:$T$8,$AW83+1)-INDEX($T$5:$T$8,$AW83)))/INDEX(X$5:X$8,$AW83+1)^((INDEX($T$5:$T$8,$AW83)-($I83-DateToday+15))/(INDEX($T$5:$T$8,$AW83+1)-INDEX($T$5:$T$8,$AW83))))</f>
        <v>133827553.93687</v>
      </c>
      <c r="BB83" s="468" t="n">
        <f aca="false">IF($AW83="",BB82^2/BB81,INDEX(Y$5:Y$8,$AW83)^((INDEX($T$5:$T$8,$AW83+1)-($I83-DateToday+15))/(INDEX($T$5:$T$8,$AW83+1)-INDEX($T$5:$T$8,$AW83)))/INDEX(Y$5:Y$8,$AW83+1)^((INDEX($T$5:$T$8,$AW83)-($I83-DateToday+15))/(INDEX($T$5:$T$8,$AW83+1)-INDEX($T$5:$T$8,$AW83))))</f>
        <v>1983298479.00455</v>
      </c>
      <c r="BC83" s="468" t="n">
        <f aca="false">IF($AW83="",BC82^2/BC81,INDEX(Z$5:Z$8,$AW83)^((INDEX($T$5:$T$8,$AW83+1)-($I83-DateToday+15))/(INDEX($T$5:$T$8,$AW83+1)-INDEX($T$5:$T$8,$AW83)))/INDEX(Z$5:Z$8,$AW83+1)^((INDEX($T$5:$T$8,$AW83)-($I83-DateToday+15))/(INDEX($T$5:$T$8,$AW83+1)-INDEX($T$5:$T$8,$AW83))))</f>
        <v>9958429670.02518</v>
      </c>
      <c r="BD83" s="535" t="n">
        <f aca="false">IF(OR(DateStart&gt;=I84,DateEnd&lt;I83),0,IF(VolumeOverrideFlag,V83,Volume))</f>
        <v>0</v>
      </c>
      <c r="BE83" s="536" t="n">
        <f aca="false">IF(OR(DateStart2&gt;=I84,DateEnd2&lt;I83),0,IF(VolumeOverrideFlag,V83,VolumeSwaption))</f>
        <v>0</v>
      </c>
      <c r="BF83" s="537" t="n">
        <f aca="false">YEAR(I83)</f>
        <v>2005</v>
      </c>
      <c r="BG83" s="538" t="n">
        <f aca="false">MONTH(I83)</f>
        <v>12</v>
      </c>
      <c r="BH83" s="539" t="n">
        <f aca="false">AD83-DateToday+1</f>
        <v>-7253</v>
      </c>
      <c r="BI83" s="540" t="n">
        <f aca="false">(I83-DateToday+1)/365.25</f>
        <v>-19.8165639972622</v>
      </c>
      <c r="BJ83" s="541" t="n">
        <f aca="false">BI83+(BL83-BI83)*CHOOSE(Underlying,AJ83/AI83,AM83/AL83)</f>
        <v>-19.7642959367805</v>
      </c>
      <c r="BK83" s="541" t="n">
        <f aca="false">BJ83+1/365.25</f>
        <v>-19.7615580859934</v>
      </c>
      <c r="BL83" s="541" t="n">
        <f aca="false">(I84-DateToday)/365.25</f>
        <v>-19.7344284736482</v>
      </c>
      <c r="BM83" s="542" t="e">
        <f aca="false">MAX(BI83-(BJ83-BI83)*(S84^2/O84^2-1),0)</f>
        <v>#DIV/0!</v>
      </c>
      <c r="BN83" s="541" t="e">
        <f aca="false">MAX(BL83+(BL83-BK83)*(S85^2/O85^2-1),0)</f>
        <v>#DIV/0!</v>
      </c>
      <c r="BO83" s="530" t="n">
        <f aca="false">CHOOSE(Underlying,AI83,AL83)</f>
        <v>22</v>
      </c>
      <c r="BP83" s="529" t="n">
        <f aca="false">CHOOSE(Underlying,AJ83,AM83)</f>
        <v>14</v>
      </c>
      <c r="BQ83" s="529" t="n">
        <f aca="false">CHOOSE(Underlying,AK83,AN83)</f>
        <v>8</v>
      </c>
      <c r="BR83" s="463" t="str">
        <f aca="false">IF(BD83,IF(Underlying=1,X83,Z83)+UnderlyingPriceAsian-SwapPriceCurve,"")</f>
        <v/>
      </c>
      <c r="BS83" s="463" t="str">
        <f aca="false">IF(BD83,Strike1/BR83-1,"")</f>
        <v/>
      </c>
      <c r="BT83" s="464" t="str">
        <f aca="false">IF(BD83,Strike2/BR83-1,"")</f>
        <v/>
      </c>
      <c r="BU83" s="465" t="str">
        <f aca="false">IF(BD83,IF(Underlying=1,L84,R84)+UnderlyingPriceAsian-SwapPriceCurve,"")</f>
        <v/>
      </c>
      <c r="BV83" s="465" t="str">
        <f aca="false">IF(BD83,IF(Underlying=1,L85,R85)+UnderlyingPriceAsian-SwapPriceCurve,"")</f>
        <v/>
      </c>
      <c r="BW83" s="466" t="str">
        <f aca="false">IF(BD83,IF(Underlying=1,O84,AT84),"")</f>
        <v/>
      </c>
      <c r="BX83" s="467" t="str">
        <f aca="false">IF(BD83,IF(Underlying=1,O85,AT85),"")</f>
        <v/>
      </c>
      <c r="BY83" s="466" t="str">
        <f aca="false">IF(BD83,IF(BS83&gt;0,IF(BS83&gt;0.2,BC83-BB83,IF(BS83&gt;0.1,BB83-BA83,BA83)),IF(BS83&lt;-0.2,AX83-AY83,IF(BS83&lt;-0.1,AY83-AZ83,AZ83))),"")</f>
        <v/>
      </c>
      <c r="BZ83" s="467" t="str">
        <f aca="false">IF(BD83,IF(BT83&gt;0,IF(BT83&gt;0.2,BC83-BB83,IF(BT83&gt;0.1,BB83-BA83,BA83)),IF(BT83&lt;-0.2,AX83-AY83,IF(BT83&lt;-0.1,AY83-AZ83,AZ83))),"")</f>
        <v/>
      </c>
      <c r="CA83" s="468" t="str">
        <f aca="false">IF($BD83,$BW83+IF(VolSkewFlag=1,IF(BS83&gt;0,$BA83*MIN(BS83/10%,1)+($BB83-$BA83)*MAX(0,MIN(BS83/10%-1,1))+($BC83-$BB83)*MAX(0,BS83/10%-2),$AZ83*MIN(-BS83/10%,1)+($AY83-$AZ83)*MAX(0,MIN(-BS83/10%-1,1))+($AX83-$AY83)*MAX(0,-BS83/10%-2)),0),"")</f>
        <v/>
      </c>
      <c r="CB83" s="468" t="str">
        <f aca="false">IF($BD83,$BX83+IF(VolSkewFlag=1,IF(BS83&gt;0,$BA83*MIN(BS83/10%,1)+($BB83-$BA83)*MAX(0,MIN(BS83/10%-1,1))+($BC83-$BB83)*MAX(0,BS83/10%-2),$AZ83*MIN(-BS83/10%,1)+($AY83-$AZ83)*MAX(0,MIN(-BS83/10%-1,1))+($AX83-$AY83)*MAX(0,-BS83/10%-2)),0),"")</f>
        <v/>
      </c>
      <c r="CC83" s="468" t="str">
        <f aca="false">IF($BD83,$BW83+IF(VolSkewFlag=1,IF(BT83&gt;0,$BA83*MIN(BT83/10%,1)+($BB83-$BA83)*MAX(0,MIN(BT83/10%-1,1))+($BC83-$BB83)*MAX(0,BT83/10%-2),$AZ83*MIN(-BT83/10%,1)+($AY83-$AZ83)*MAX(0,MIN(-BT83/10%-1,1))+($AX83-$AY83)*MAX(0,-BT83/10%-2)),0),"")</f>
        <v/>
      </c>
      <c r="CD83" s="468" t="str">
        <f aca="false">IF($BD83,$BX83+IF(VolSkewFlag=1,IF(BT83&gt;0,$BA83*MIN(BT83/10%,1)+($BB83-$BA83)*MAX(0,MIN(BT83/10%-1,1))+($BC83-$BB83)*MAX(0,BT83/10%-2),$AZ83*MIN(-BT83/10%,1)+($AY83-$AZ83)*MAX(0,MIN(-BT83/10%-1,1))+($AX83-$AY83)*MAX(0,-BT83/10%-2)),0),"")</f>
        <v/>
      </c>
      <c r="CE83" s="469" t="n">
        <v>1</v>
      </c>
      <c r="CF83" s="470" t="n">
        <f aca="false">IF(BD83,xCrudeAPO(BU83,BV83,CA83,CB83,S84,S85,BI83,BL83,BP83,BQ83,0,Strike1,AO83,CE83,0,BL83,IF(OptControl=4,0,1),0,1),0)</f>
        <v>0</v>
      </c>
      <c r="CG83" s="470" t="n">
        <f aca="false">IF(BD83,xCrudeAPO(BU83,BV83,CA83,CB83,S84,S85,BI83,BL83,BP83,BQ83,0,Strike1,AO83,CE83,0,BL83,IF(OptControl=4,0,1),1,1)+xCrudeAPO(BU83,BV83,CA83,CB83,S84,S85,BI83,BL83,BP83,BQ83,0,Strike1,AO83,CE83,0,BL83,IF(OptControl=4,0,1),1,2)+IF(OR(VolSkewFlag=2,ABS(BS83)&lt;0.0001),0,IF(BS83&gt;0,-1,1)*CH83*Strike1/BR83^2*BY83/10%),0)</f>
        <v>0</v>
      </c>
      <c r="CH83" s="470" t="n">
        <f aca="false">IF(BD83,(xCrudeAPO(BU83,BV83,CA83,CB83,S84,S85,BI83,BL83,BP83,BQ83,0,Strike1,AO83,CE83,0,BL83,IF(OptControl=4,0,1),3,1)+xCrudeAPO(BU83,BV83,CA83,CB83,S84,S85,BI83,BL83,BP83,BQ83,0,Strike1,AO83,CE83,0,BL83,IF(OptControl=4,0,1),3,2))/100,0)</f>
        <v>0</v>
      </c>
      <c r="CI83" s="470" t="n">
        <f aca="false">IF(BD83,xCrudeAPO(BU83,BV83,CA83,CB83,S84,S85,BI83-DaysForThetaCalculation/365.25,BL83-DaysForThetaCalculation/365.25,BP83,BQ83,0,Strike1,AO83,CE83,0,BL83,IF(OptControl=4,0,1),0,1)-xCrudeAPO(BU83,BV83,CA83,CB83,S84,S85,BI83,BL83,BP83,BQ83,0,Strike1,AO83,CE83,0,BL83,IF(OptControl=4,0,1),0,1),0)</f>
        <v>0</v>
      </c>
      <c r="CJ83" s="471" t="n">
        <f aca="false">IF(BD83,xCrudeAPO(BU83,BV83,CC83,CD83,S84,S85,BI83,BL83,BP83,BQ83,0,Strike2,AO83,CE83,0,BL83,IF(OptControl=3,1,0),0,1),0)</f>
        <v>0</v>
      </c>
      <c r="CK83" s="470" t="n">
        <f aca="false">IF(BD83,xCrudeAPO(BU83,BV83,CC83,CD83,S84,S85,BI83,BL83,BP83,BQ83,0,Strike2,AO83,CE83,0,BL83,IF(OptControl=3,1,0),1,1)+xCrudeAPO(BU83,BV83,CC83,CD83,S84,S85,BI83,BL83,BP83,BQ83,0,Strike2,AO83,CE83,0,BL83,IF(OptControl=3,1,0),1,2)+IF(OR(VolSkewFlag=2,ABS(BT83)&lt;0.0001),0,IF(BT83&gt;0,-1,1)*CL83*Strike2/BR83^2*BZ83/10%),0)</f>
        <v>0</v>
      </c>
      <c r="CL83" s="470" t="n">
        <f aca="false">IF(BD83,(xCrudeAPO(BU83,BV83,CC83,CD83,S84,S85,BI83,BL83,BP83,BQ83,0,Strike2,AO83,CE83,0,BL83,IF(OptControl=3,1,0),3,1)+xCrudeAPO(BU83,BV83,CC83,CD83,S84,S85,BI83,BL83,BP83,BQ83,0,Strike2,AO83,CE83,0,BL83,IF(OptControl=3,1,0),3,2))/100,0)</f>
        <v>0</v>
      </c>
      <c r="CM83" s="472" t="n">
        <f aca="false">IF(BD83,xCrudeAPO(BU83,BV83,CC83,CD83,S84,S85,BI83-DaysForThetaCalculation/365.25,BL83-DaysForThetaCalculation/365.25,BP83,BQ83,0,Strike2,AO83,CE83,0,BL83,IF(OptControl=3,1,0),0,1)-xCrudeAPO(BU83,BV83,CC83,CD83,S84,S85,BI83,BL83,BP83,BQ83,0,Strike2,AO83,CE83,0,BL83,IF(OptControl=3,1,0),0,1),0)</f>
        <v>0</v>
      </c>
      <c r="CN83" s="3"/>
      <c r="CO83" s="543" t="str">
        <f aca="false">IF(BD83,CHOOSE(Underlying,AD83,AF83)-DateToday+1,"")</f>
        <v/>
      </c>
      <c r="CP83" s="582" t="str">
        <f aca="false">IF(BD83,CHOOSE(Underlying,L83,R83),"")</f>
        <v/>
      </c>
      <c r="CQ83" s="544" t="str">
        <f aca="false">IF(BD83,Strike1/CP83-1,"")</f>
        <v/>
      </c>
      <c r="CR83" s="544" t="str">
        <f aca="false">IF(BD83,Strike2/CP83-1,"")</f>
        <v/>
      </c>
      <c r="CS83" s="544" t="str">
        <f aca="false">IF(BD83,IF(CQ83&gt;0,IF(CQ83&gt;0.2,BC82-BB82,IF(CQ83&gt;0.1,BB82-BA82,BA82)),IF(CQ83&lt;-0.2,AX82-AY82,IF(CQ83&lt;-0.1,AY82-AZ82,AZ82))),"")</f>
        <v/>
      </c>
      <c r="CT83" s="544" t="str">
        <f aca="false">IF(BD83,IF(CR83&gt;0,IF(CR83&gt;0.2,BC82-BB82,IF(CR83&gt;0.1,BB82-BA82,BA82)),IF(CR83&lt;-0.2,AX82-AY82,IF(CR83&lt;-0.1,AY82-AZ82,AZ82))),"")</f>
        <v/>
      </c>
      <c r="CU83" s="545" t="str">
        <f aca="false">IF(BD83,CHOOSE(Underlying,O83,AT83),"")</f>
        <v/>
      </c>
      <c r="CV83" s="545" t="str">
        <f aca="false">IF(BD83,CU83+IF(VolSkewFlag=1,IF(CQ83&gt;0,BA82*MIN(CQ83/10%,1)+(BB82-BA82)*MAX(0,MIN(CQ83/10%-1,1))+(BC82-BB82)*MAX(0,CQ83/10%-2),AZ82*MIN(-CQ83/10%,1)+(AY82-AZ82)*MAX(0,MIN(-CQ83/10%-1,1))+(AX82-AY82)*MAX(0,-CQ83/10%-2)),0),"")</f>
        <v/>
      </c>
      <c r="CW83" s="545" t="str">
        <f aca="false">IF(BD83,CU83+IF(VolSkewFlag=1,IF(CR83&gt;0,BA82*MIN(CR83/10%,1)+(BB82-BA82)*MAX(0,MIN(CR83/10%-1,1))+(BC82-BB82)*MAX(0,CR83/10%-2),AZ82*MIN(-CR83/10%,1)+(AY82-AZ82)*MAX(0,MIN(-CR83/10%-1,1))+(AX82-AY82)*MAX(0,-CR83/10%-2)),0),"")</f>
        <v/>
      </c>
      <c r="CX83" s="470" t="n">
        <f aca="false">IF(BD83,EURO(CP83,Strike1,AO83,AO83,CV83,CO83,IF(OptControl=4,0,1),0),0)</f>
        <v>0</v>
      </c>
      <c r="CY83" s="470" t="n">
        <f aca="false">IF(BD83,EURO(CP83,Strike1,AO83,AO83,CV83,CO83,IF(OptControl=4,0,1),1)+IF(OR(VolSkewFlag=2,ABS(CQ83)&lt;0.0001),0,IF(CQ83&gt;0,-1,1)*CZ83*100*Strike1/CP83^2*CS83/10%),0)</f>
        <v>0</v>
      </c>
      <c r="CZ83" s="470" t="n">
        <f aca="false">IF(BD83,EURO(CP83,Strike1,AO83,AO83,CV83,CO83,IF(OptControl=4,0,1),3)/100,0)</f>
        <v>0</v>
      </c>
      <c r="DA83" s="470" t="n">
        <f aca="false">IF(BD83,EURO(CP83,Strike1,AO83,AO83,CV83,CO83,IF(OptControl=4,0,1),0)-EURO(CP83,Strike1,AO83,AO83,CV83,CO83-1,IF(OptControl=4,0,1),0),0)</f>
        <v>0</v>
      </c>
      <c r="DB83" s="470" t="n">
        <f aca="false">IF(BD83,EURO(CP83,Strike2,AO83,AO83,CW83,CO83,IF(OptControl=3,1,0),0),0)</f>
        <v>0</v>
      </c>
      <c r="DC83" s="470" t="n">
        <f aca="false">IF(BD83,EURO(CP83,Strike2,AO83,AO83,CW83,CO83,IF(OptControl=3,1,0),1)+IF(OR(VolSkewFlag=2,ABS(CR83)&lt;0.0001),0,IF(CR83&gt;0,-1,1)*DD83*100*Strike2/CP83^2*CT83/10%),0)</f>
        <v>0</v>
      </c>
      <c r="DD83" s="470" t="n">
        <f aca="false">IF(BD83,EURO(CP83,Strike2,AO83,AO83,CW83,CO83,IF(OptControl=3,1,0),3)/100,0)</f>
        <v>0</v>
      </c>
      <c r="DE83" s="472" t="n">
        <f aca="false">IF(BD83,EURO(CP83,Strike2,AO83,AO83,CW83,CO83,IF(OptControl=3,1,0),0)-EURO(CP83,Strike2,AO83,AO83,CW83,CO83-1,IF(OptControl=3,1,0),0),0)</f>
        <v>0</v>
      </c>
      <c r="DG83" s="481" t="n">
        <f aca="false">EOMONTH(DG82,0)+1</f>
        <v>47604</v>
      </c>
      <c r="DH83" s="478" t="n">
        <v>18.3433333333333</v>
      </c>
      <c r="DI83" s="479" t="n">
        <v>18.3389393939394</v>
      </c>
      <c r="DJ83" s="480" t="n">
        <f aca="false">DG83</f>
        <v>47604</v>
      </c>
      <c r="DK83" s="478" t="n">
        <v>17.1969461321105</v>
      </c>
      <c r="DL83" s="479" t="n">
        <v>17.0789393939394</v>
      </c>
      <c r="DM83" s="481" t="n">
        <f aca="false">DG83</f>
        <v>47604</v>
      </c>
      <c r="DN83" s="482" t="n">
        <f aca="false">DK83+BrentPhyBrentSpread</f>
        <v>17.2469461321105</v>
      </c>
      <c r="DO83" s="481" t="n">
        <f aca="false">DG83</f>
        <v>47604</v>
      </c>
      <c r="DP83" s="483" t="n">
        <f aca="false">DL83+DQ83</f>
        <v>17.0789393939394</v>
      </c>
      <c r="DQ83" s="546" t="n">
        <v>0</v>
      </c>
      <c r="DR83" s="480" t="n">
        <f aca="false">DG83</f>
        <v>47604</v>
      </c>
      <c r="DS83" s="485" t="n">
        <v>0.193182643064425</v>
      </c>
      <c r="DT83" s="486" t="n">
        <v>0.192623992439368</v>
      </c>
      <c r="DU83" s="480" t="n">
        <f aca="false">DG83</f>
        <v>47604</v>
      </c>
      <c r="DV83" s="485" t="n">
        <v>0.193182643064425</v>
      </c>
      <c r="DW83" s="486" t="n">
        <v>0.192623992439368</v>
      </c>
      <c r="DX83" s="481" t="n">
        <f aca="false">DG83</f>
        <v>47604</v>
      </c>
      <c r="DY83" s="486" t="n">
        <v>0.35</v>
      </c>
      <c r="DZ83" s="481" t="n">
        <f aca="false">DR83</f>
        <v>47604</v>
      </c>
      <c r="EA83" s="486" t="n">
        <f aca="false">DT83</f>
        <v>0.192623992439368</v>
      </c>
      <c r="EB83" s="195"/>
      <c r="EC83" s="547" t="str">
        <f aca="false">IF(BD83,IF(Underlying=1,AS83,AU83),"")</f>
        <v/>
      </c>
      <c r="ED83" s="548" t="str">
        <f aca="false">IF($BD83,$EC83+IF(VolSkewFlag=1,IF(BS83&gt;0,$BA83*MIN(BS83/10%,1)+($BB83-$BA83)*MAX(0,MIN(BS83/10%-1,1))+($BC83-$BB83)*MAX(0,BS83/10%-2),$AZ83*MIN(-BS83/10%,1)+($AY83-$AZ83)*MAX(0,MIN(-BS83/10%-1,1))+($AX83-$AY83)*MAX(0,-BS83/10%-2)),0),"")</f>
        <v/>
      </c>
      <c r="EE83" s="549" t="str">
        <f aca="false">IF($BD83,$EC83+IF(VolSkewFlag=1,IF(BT83&gt;0,$BA83*MIN(BT83/10%,1)+($BB83-$BA83)*MAX(0,MIN(BT83/10%-1,1))+($BC83-$BB83)*MAX(0,BT83/10%-2),$AZ83*MIN(-BT83/10%,1)+($AY83-$AZ83)*MAX(0,MIN(-BT83/10%-1,1))+($AX83-$AY83)*MAX(0,-BT83/10%-2)),0),"")</f>
        <v/>
      </c>
      <c r="EF83" s="550" t="n">
        <f aca="false">IF(BD83,xASN(BR83,Strike1,AO83,ED83,0,BO83,0,BI83,BL83,IF(OptControl=4,0,1),0),0)</f>
        <v>0</v>
      </c>
      <c r="EG83" s="551" t="n">
        <f aca="false">IF(BD83,xASN(BR83,Strike2,AO83,EE83,0,BO83,0,BI83,BL83,IF(OptControl=3,1,0),0),0)</f>
        <v>0</v>
      </c>
      <c r="EL83" s="1"/>
      <c r="EM83" s="195"/>
      <c r="EN83" s="556" t="n">
        <v>43459</v>
      </c>
      <c r="EO83" s="557" t="n">
        <v>48207</v>
      </c>
      <c r="EP83" s="195"/>
      <c r="EQ83" s="407" t="s">
        <v>309</v>
      </c>
      <c r="ES83" s="587" t="n">
        <v>64</v>
      </c>
      <c r="ET83" s="559" t="n">
        <f aca="false">BH83/365.25</f>
        <v>-19.8576317590691</v>
      </c>
      <c r="EU83" s="560" t="n">
        <f aca="false">O83^2*ET83</f>
        <v>-0</v>
      </c>
      <c r="EV83" s="588" t="e">
        <f aca="false">SQRT(SUM(FK83:ID83)/ET83)</f>
        <v>#VALUE!</v>
      </c>
      <c r="EW83" s="589" t="str">
        <f aca="false">IF(OR(DateStart2&gt;I82,DateEnd2&lt;I81),"",IF(DateStart2&lt;I82,AK81/AI81*AP81*BE81*SwaptionNumOfMonths/$D$33,0)+IF(DateEnd2&gt;I81,AJ82/AI82*AP82*BE82*SwaptionNumOfMonths/$D$33,0))</f>
        <v/>
      </c>
      <c r="EX83" s="590" t="str">
        <f aca="false">IF(EW83="","",SQRT(SUM(FK388:ID388)/SwaptionYearsToExp))</f>
        <v/>
      </c>
      <c r="EY83" s="129" t="n">
        <v>0</v>
      </c>
      <c r="EZ83" s="591" t="str">
        <f aca="false">IF(OR(EW83="",EW84=""),"",SQRT(SUM(INDEX(FK83:ID83,SwaptionFirstMonthPosition+1):INDEX(FK83:ID83,FJ83))/SUM(INDEX($FK$15:$ID$15,SwaptionFirstMonthPosition+1):INDEX($FK$15:$ID$15,FJ83))))</f>
        <v/>
      </c>
      <c r="FA83" s="592" t="str">
        <f aca="false">IF(OR(EW83="",EW82=""),"",SQRT(SUM(INDEX(FK83:ID83,SwaptionFirstMonthPosition+1):INDEX(FK83:ID83,FJ83-1))/SUM(INDEX($FK$15:$ID$15,SwaptionFirstMonthPosition+1):INDEX($FK$15:$ID$15,FJ83-1))))</f>
        <v/>
      </c>
      <c r="FB83" s="593" t="str">
        <f aca="false">IF(BE83,2/3*EZ84+1/3*FA85,"")</f>
        <v/>
      </c>
      <c r="FC83" s="596" t="str">
        <f aca="false">IF(BE83,(I84+I83-1)/2-DateToday,"")</f>
        <v/>
      </c>
      <c r="FD83" s="483" t="str">
        <f aca="false">IF(BE83,CHOOSE(Underlying,X83,Z83)+SwaptionUnderlyingPrice-$D$26,"")</f>
        <v/>
      </c>
      <c r="FE83" s="483" t="str">
        <f aca="false">IF(BE83,CollartionFloor/FD83-1,"")</f>
        <v/>
      </c>
      <c r="FF83" s="483" t="str">
        <f aca="false">IF(BE83,CollartionCap/FD83-1,"")</f>
        <v/>
      </c>
      <c r="FG83" s="485" t="str">
        <f aca="false">IF(BE83,IF(VolSkewFlag=1,IF(FE83&gt;0,$BA83*MIN(FE83/10%,1)+($BB83-$BA83)*MAX(0,MIN(FE83/10%-1,1))+($BC83-$BB83)*MAX(0,FE83/10%-2),$AZ83*MIN(-FE83/10%,1)+($AY83-$AZ83)*MAX(0,MIN(-FE83/10%-1,1))+($AX83-$AY83)*MAX(0,-FE83/10%-2)),0),"")</f>
        <v/>
      </c>
      <c r="FH83" s="486" t="str">
        <f aca="false">IF(BE83,IF(VolSkewFlag=1,IF(FF83&gt;0,$BA83*MIN(FF83/10%,1)+($BB83-$BA83)*MAX(0,MIN(FF83/10%-1,1))+($BC83-$BB83)*MAX(0,FF83/10%-2),$AZ83*MIN(-FF83/10%,1)+($AY83-$AZ83)*MAX(0,MIN(-FF83/10%-1,1))+($AX83-$AY83)*MAX(0,-FF83/10%-2)),0),"")</f>
        <v/>
      </c>
      <c r="FI83" s="129"/>
      <c r="FJ83" s="571" t="n">
        <v>64</v>
      </c>
      <c r="FK83" s="150" t="n">
        <f aca="false">IF(FK$19&gt;$FJ83,"",MAX(0,IF(FK$19=$FJ83,$S83^2*FK$15,FK82*INDEX($T$20:$T$91,$FJ83-FK$19)^2/INDEX($U$20:$U$91,$FJ83-FK$19))))</f>
        <v>0</v>
      </c>
      <c r="FL83" s="150" t="n">
        <f aca="false">IF(FL$19&gt;$FJ83,"",MAX(0,IF(FL$19=$FJ83,$S83^2*FL$15,FL82*INDEX($T$20:$T$91,$FJ83-FL$19)^2/INDEX($U$20:$U$91,$FJ83-FL$19))))</f>
        <v>0</v>
      </c>
      <c r="FM83" s="150" t="n">
        <f aca="false">IF(FM$19&gt;$FJ83,"",MAX(0,IF(FM$19=$FJ83,$S83^2*FM$15,FM82*INDEX($T$20:$T$91,$FJ83-FM$19)^2/INDEX($U$20:$U$91,$FJ83-FM$19))))</f>
        <v>0.00254704223673842</v>
      </c>
      <c r="FN83" s="150" t="n">
        <f aca="false">IF(FN$19&gt;$FJ83,"",MAX(0,IF(FN$19=$FJ83,$S83^2*FN$15,FN82*INDEX($T$20:$T$91,$FJ83-FN$19)^2/INDEX($U$20:$U$91,$FJ83-FN$19))))</f>
        <v>0.002143808271058</v>
      </c>
      <c r="FO83" s="150" t="n">
        <f aca="false">IF(FO$19&gt;$FJ83,"",MAX(0,IF(FO$19=$FJ83,$S83^2*FO$15,FO82*INDEX($T$20:$T$91,$FJ83-FO$19)^2/INDEX($U$20:$U$91,$FJ83-FO$19))))</f>
        <v>0.00222992569991813</v>
      </c>
      <c r="FP83" s="150" t="n">
        <f aca="false">IF(FP$19&gt;$FJ83,"",MAX(0,IF(FP$19=$FJ83,$S83^2*FP$15,FP82*INDEX($T$20:$T$91,$FJ83-FP$19)^2/INDEX($U$20:$U$91,$FJ83-FP$19))))</f>
        <v>0.0024710484710091</v>
      </c>
      <c r="FQ83" s="150" t="n">
        <f aca="false">IF(FQ$19&gt;$FJ83,"",MAX(0,IF(FQ$19=$FJ83,$S83^2*FQ$15,FQ82*INDEX($T$20:$T$91,$FJ83-FQ$19)^2/INDEX($U$20:$U$91,$FJ83-FQ$19))))</f>
        <v>0.00200063104456907</v>
      </c>
      <c r="FR83" s="150" t="n">
        <f aca="false">IF(FR$19&gt;$FJ83,"",MAX(0,IF(FR$19=$FJ83,$S83^2*FR$15,FR82*INDEX($T$20:$T$91,$FJ83-FR$19)^2/INDEX($U$20:$U$91,$FJ83-FR$19))))</f>
        <v>0.00204562310874645</v>
      </c>
      <c r="FS83" s="150" t="n">
        <f aca="false">IF(FS$19&gt;$FJ83,"",MAX(0,IF(FS$19=$FJ83,$S83^2*FS$15,FS82*INDEX($T$20:$T$91,$FJ83-FS$19)^2/INDEX($U$20:$U$91,$FJ83-FS$19))))</f>
        <v>0.00230535654189793</v>
      </c>
      <c r="FT83" s="150" t="n">
        <f aca="false">IF(FT$19&gt;$FJ83,"",MAX(0,IF(FT$19=$FJ83,$S83^2*FT$15,FT82*INDEX($T$20:$T$91,$FJ83-FT$19)^2/INDEX($U$20:$U$91,$FJ83-FT$19))))</f>
        <v>0.0020805910310664</v>
      </c>
      <c r="FU83" s="150" t="n">
        <f aca="false">IF(FU$19&gt;$FJ83,"",MAX(0,IF(FU$19=$FJ83,$S83^2*FU$15,FU82*INDEX($T$20:$T$91,$FJ83-FU$19)^2/INDEX($U$20:$U$91,$FJ83-FU$19))))</f>
        <v>0.00200030149377623</v>
      </c>
      <c r="FV83" s="150" t="n">
        <f aca="false">IF(FV$19&gt;$FJ83,"",MAX(0,IF(FV$19=$FJ83,$S83^2*FV$15,FV82*INDEX($T$20:$T$91,$FJ83-FV$19)^2/INDEX($U$20:$U$91,$FJ83-FV$19))))</f>
        <v>0.00219825084599402</v>
      </c>
      <c r="FW83" s="150" t="n">
        <f aca="false">IF(FW$19&gt;$FJ83,"",MAX(0,IF(FW$19=$FJ83,$S83^2*FW$15,FW82*INDEX($T$20:$T$91,$FJ83-FW$19)^2/INDEX($U$20:$U$91,$FJ83-FW$19))))</f>
        <v>0.00205461428150508</v>
      </c>
      <c r="FX83" s="150" t="n">
        <f aca="false">IF(FX$19&gt;$FJ83,"",MAX(0,IF(FX$19=$FJ83,$S83^2*FX$15,FX82*INDEX($T$20:$T$91,$FJ83-FX$19)^2/INDEX($U$20:$U$91,$FJ83-FX$19))))</f>
        <v>0.00218666804647588</v>
      </c>
      <c r="FY83" s="150" t="n">
        <f aca="false">IF(FY$19&gt;$FJ83,"",MAX(0,IF(FY$19=$FJ83,$S83^2*FY$15,FY82*INDEX($T$20:$T$91,$FJ83-FY$19)^2/INDEX($U$20:$U$91,$FJ83-FY$19))))</f>
        <v>0.00204662118812379</v>
      </c>
      <c r="FZ83" s="150" t="n">
        <f aca="false">IF(FZ$19&gt;$FJ83,"",MAX(0,IF(FZ$19=$FJ83,$S83^2*FZ$15,FZ82*INDEX($T$20:$T$91,$FJ83-FZ$19)^2/INDEX($U$20:$U$91,$FJ83-FZ$19))))</f>
        <v>0.00190789860604626</v>
      </c>
      <c r="GA83" s="150" t="n">
        <f aca="false">IF(GA$19&gt;$FJ83,"",MAX(0,IF(GA$19=$FJ83,$S83^2*GA$15,GA82*INDEX($T$20:$T$91,$FJ83-GA$19)^2/INDEX($U$20:$U$91,$FJ83-GA$19))))</f>
        <v>0.00204244919517816</v>
      </c>
      <c r="GB83" s="150" t="n">
        <f aca="false">IF(GB$19&gt;$FJ83,"",MAX(0,IF(GB$19=$FJ83,$S83^2*GB$15,GB82*INDEX($T$20:$T$91,$FJ83-GB$19)^2/INDEX($U$20:$U$91,$FJ83-GB$19))))</f>
        <v>0.00224540324656478</v>
      </c>
      <c r="GC83" s="150" t="n">
        <f aca="false">IF(GC$19&gt;$FJ83,"",MAX(0,IF(GC$19=$FJ83,$S83^2*GC$15,GC82*INDEX($T$20:$T$91,$FJ83-GC$19)^2/INDEX($U$20:$U$91,$FJ83-GC$19))))</f>
        <v>0.0019725204173194</v>
      </c>
      <c r="GD83" s="150" t="n">
        <f aca="false">IF(GD$19&gt;$FJ83,"",MAX(0,IF(GD$19=$FJ83,$S83^2*GD$15,GD82*INDEX($T$20:$T$91,$FJ83-GD$19)^2/INDEX($U$20:$U$91,$FJ83-GD$19))))</f>
        <v>0.0019721471942661</v>
      </c>
      <c r="GE83" s="150" t="n">
        <f aca="false">IF(GE$19&gt;$FJ83,"",MAX(0,IF(GE$19=$FJ83,$S83^2*GE$15,GE82*INDEX($T$20:$T$91,$FJ83-GE$19)^2/INDEX($U$20:$U$91,$FJ83-GE$19))))</f>
        <v>0.00224406364795252</v>
      </c>
      <c r="GF83" s="150" t="n">
        <f aca="false">IF(GF$19&gt;$FJ83,"",MAX(0,IF(GF$19=$FJ83,$S83^2*GF$15,GF82*INDEX($T$20:$T$91,$FJ83-GF$19)^2/INDEX($U$20:$U$91,$FJ83-GF$19))))</f>
        <v>0.00197220817600944</v>
      </c>
      <c r="GG83" s="150" t="n">
        <f aca="false">IF(GG$19&gt;$FJ83,"",MAX(0,IF(GG$19=$FJ83,$S83^2*GG$15,GG82*INDEX($T$20:$T$91,$FJ83-GG$19)^2/INDEX($U$20:$U$91,$FJ83-GG$19))))</f>
        <v>0.00217664063087398</v>
      </c>
      <c r="GH83" s="150" t="n">
        <f aca="false">IF(GH$19&gt;$FJ83,"",MAX(0,IF(GH$19=$FJ83,$S83^2*GH$15,GH82*INDEX($T$20:$T$91,$FJ83-GH$19)^2/INDEX($U$20:$U$91,$FJ83-GH$19))))</f>
        <v>0.00204120209880201</v>
      </c>
      <c r="GI83" s="150" t="n">
        <f aca="false">IF(GI$19&gt;$FJ83,"",MAX(0,IF(GI$19=$FJ83,$S83^2*GI$15,GI82*INDEX($T$20:$T$91,$FJ83-GI$19)^2/INDEX($U$20:$U$91,$FJ83-GI$19))))</f>
        <v>0.00197395174920764</v>
      </c>
      <c r="GJ83" s="150" t="n">
        <f aca="false">IF(GJ$19&gt;$FJ83,"",MAX(0,IF(GJ$19=$FJ83,$S83^2*GJ$15,GJ82*INDEX($T$20:$T$91,$FJ83-GJ$19)^2/INDEX($U$20:$U$91,$FJ83-GJ$19))))</f>
        <v>0.00224736594104932</v>
      </c>
      <c r="GK83" s="150" t="n">
        <f aca="false">IF(GK$19&gt;$FJ83,"",MAX(0,IF(GK$19=$FJ83,$S83^2*GK$15,GK82*INDEX($T$20:$T$91,$FJ83-GK$19)^2/INDEX($U$20:$U$91,$FJ83-GK$19))))</f>
        <v>0.00204434185265162</v>
      </c>
      <c r="GL83" s="150" t="n">
        <f aca="false">IF(GL$19&gt;$FJ83,"",MAX(0,IF(GL$19=$FJ83,$S83^2*GL$15,GL82*INDEX($T$20:$T$91,$FJ83-GL$19)^2/INDEX($U$20:$U$91,$FJ83-GL$19))))</f>
        <v>0.00197769378144794</v>
      </c>
      <c r="GM83" s="150" t="n">
        <f aca="false">IF(GM$19&gt;$FJ83,"",MAX(0,IF(GM$19=$FJ83,$S83^2*GM$15,GM82*INDEX($T$20:$T$91,$FJ83-GM$19)^2/INDEX($U$20:$U$91,$FJ83-GM$19))))</f>
        <v>0.00211599644119941</v>
      </c>
      <c r="GN83" s="150" t="n">
        <f aca="false">IF(GN$19&gt;$FJ83,"",MAX(0,IF(GN$19=$FJ83,$S83^2*GN$15,GN82*INDEX($T$20:$T$91,$FJ83-GN$19)^2/INDEX($U$20:$U$91,$FJ83-GN$19))))</f>
        <v>0.00211826058182909</v>
      </c>
      <c r="GO83" s="150" t="n">
        <f aca="false">IF(GO$19&gt;$FJ83,"",MAX(0,IF(GO$19=$FJ83,$S83^2*GO$15,GO82*INDEX($T$20:$T$91,$FJ83-GO$19)^2/INDEX($U$20:$U$91,$FJ83-GO$19))))</f>
        <v>0.00212093295185378</v>
      </c>
      <c r="GP83" s="150" t="n">
        <f aca="false">IF(GP$19&gt;$FJ83,"",MAX(0,IF(GP$19=$FJ83,$S83^2*GP$15,GP82*INDEX($T$20:$T$91,$FJ83-GP$19)^2/INDEX($U$20:$U$91,$FJ83-GP$19))))</f>
        <v>0.00191852285207281</v>
      </c>
      <c r="GQ83" s="150" t="n">
        <f aca="false">IF(GQ$19&gt;$FJ83,"",MAX(0,IF(GQ$19=$FJ83,$S83^2*GQ$15,GQ82*INDEX($T$20:$T$91,$FJ83-GQ$19)^2/INDEX($U$20:$U$91,$FJ83-GQ$19))))</f>
        <v>0.00212777651346141</v>
      </c>
      <c r="GR83" s="150" t="n">
        <f aca="false">IF(GR$19&gt;$FJ83,"",MAX(0,IF(GR$19=$FJ83,$S83^2*GR$15,GR82*INDEX($T$20:$T$91,$FJ83-GR$19)^2/INDEX($U$20:$U$91,$FJ83-GR$19))))</f>
        <v>0.00206334090109162</v>
      </c>
      <c r="GS83" s="150" t="n">
        <f aca="false">IF(GS$19&gt;$FJ83,"",MAX(0,IF(GS$19=$FJ83,$S83^2*GS$15,GS82*INDEX($T$20:$T$91,$FJ83-GS$19)^2/INDEX($U$20:$U$91,$FJ83-GS$19))))</f>
        <v>0.00213721658825911</v>
      </c>
      <c r="GT83" s="150" t="n">
        <f aca="false">IF(GT$19&gt;$FJ83,"",MAX(0,IF(GT$19=$FJ83,$S83^2*GT$15,GT82*INDEX($T$20:$T$91,$FJ83-GT$19)^2/INDEX($U$20:$U$91,$FJ83-GT$19))))</f>
        <v>0.0020740649647924</v>
      </c>
      <c r="GU83" s="150" t="n">
        <f aca="false">IF(GU$19&gt;$FJ83,"",MAX(0,IF(GU$19=$FJ83,$S83^2*GU$15,GU82*INDEX($T$20:$T$91,$FJ83-GU$19)^2/INDEX($U$20:$U$91,$FJ83-GU$19))))</f>
        <v>0.00215022585873461</v>
      </c>
      <c r="GV83" s="150" t="n">
        <f aca="false">IF(GV$19&gt;$FJ83,"",MAX(0,IF(GV$19=$FJ83,$S83^2*GV$15,GV82*INDEX($T$20:$T$91,$FJ83-GV$19)^2/INDEX($U$20:$U$91,$FJ83-GV$19))))</f>
        <v>0.00215847706268648</v>
      </c>
      <c r="GW83" s="150" t="n">
        <f aca="false">IF(GW$19&gt;$FJ83,"",MAX(0,IF(GW$19=$FJ83,$S83^2*GW$15,GW82*INDEX($T$20:$T$91,$FJ83-GW$19)^2/INDEX($U$20:$U$91,$FJ83-GW$19))))</f>
        <v>0.00209823201345873</v>
      </c>
      <c r="GX83" s="150" t="n">
        <f aca="false">IF(GX$19&gt;$FJ83,"",MAX(0,IF(GX$19=$FJ83,$S83^2*GX$15,GX82*INDEX($T$20:$T$91,$FJ83-GX$19)^2/INDEX($U$20:$U$91,$FJ83-GX$19))))</f>
        <v>0.00217957469697705</v>
      </c>
      <c r="GY83" s="150" t="n">
        <f aca="false">IF(GY$19&gt;$FJ83,"",MAX(0,IF(GY$19=$FJ83,$S83^2*GY$15,GY82*INDEX($T$20:$T$91,$FJ83-GY$19)^2/INDEX($U$20:$U$91,$FJ83-GY$19))))</f>
        <v>0.00212225151599488</v>
      </c>
      <c r="GZ83" s="150" t="n">
        <f aca="false">IF(GZ$19&gt;$FJ83,"",MAX(0,IF(GZ$19=$FJ83,$S83^2*GZ$15,GZ82*INDEX($T$20:$T$91,$FJ83-GZ$19)^2/INDEX($U$20:$U$91,$FJ83-GZ$19))))</f>
        <v>0.00220880147617115</v>
      </c>
      <c r="HA83" s="150" t="n">
        <f aca="false">IF(HA$19&gt;$FJ83,"",MAX(0,IF(HA$19=$FJ83,$S83^2*HA$15,HA82*INDEX($T$20:$T$91,$FJ83-HA$19)^2/INDEX($U$20:$U$91,$FJ83-HA$19))))</f>
        <v>0.0022274474212577</v>
      </c>
      <c r="HB83" s="150" t="n">
        <f aca="false">IF(HB$19&gt;$FJ83,"",MAX(0,IF(HB$19=$FJ83,$S83^2*HB$15,HB82*INDEX($T$20:$T$91,$FJ83-HB$19)^2/INDEX($U$20:$U$91,$FJ83-HB$19))))</f>
        <v>0.00210434449362212</v>
      </c>
      <c r="HC83" s="150" t="n">
        <f aca="false">IF(HC$19&gt;$FJ83,"",MAX(0,IF(HC$19=$FJ83,$S83^2*HC$15,HC82*INDEX($T$20:$T$91,$FJ83-HC$19)^2/INDEX($U$20:$U$91,$FJ83-HC$19))))</f>
        <v>0.00227552988816841</v>
      </c>
      <c r="HD83" s="150" t="n">
        <f aca="false">IF(HD$19&gt;$FJ83,"",MAX(0,IF(HD$19=$FJ83,$S83^2*HD$15,HD82*INDEX($T$20:$T$91,$FJ83-HD$19)^2/INDEX($U$20:$U$91,$FJ83-HD$19))))</f>
        <v>0.00223202066035195</v>
      </c>
      <c r="HE83" s="150" t="n">
        <f aca="false">IF(HE$19&gt;$FJ83,"",MAX(0,IF(HE$19=$FJ83,$S83^2*HE$15,HE82*INDEX($T$20:$T$91,$FJ83-HE$19)^2/INDEX($U$20:$U$91,$FJ83-HE$19))))</f>
        <v>0.00234312693960247</v>
      </c>
      <c r="HF83" s="150" t="n">
        <f aca="false">IF(HF$19&gt;$FJ83,"",MAX(0,IF(HF$19=$FJ83,$S83^2*HF$15,HF82*INDEX($T$20:$T$91,$FJ83-HF$19)^2/INDEX($U$20:$U$91,$FJ83-HF$19))))</f>
        <v>0.00230986343405737</v>
      </c>
      <c r="HG83" s="150" t="n">
        <f aca="false">IF(HG$19&gt;$FJ83,"",MAX(0,IF(HG$19=$FJ83,$S83^2*HG$15,HG82*INDEX($T$20:$T$91,$FJ83-HG$19)^2/INDEX($U$20:$U$91,$FJ83-HG$19))))</f>
        <v>0.0024391275621669</v>
      </c>
      <c r="HH83" s="150" t="n">
        <f aca="false">IF(HH$19&gt;$FJ83,"",MAX(0,IF(HH$19=$FJ83,$S83^2*HH$15,HH82*INDEX($T$20:$T$91,$FJ83-HH$19)^2/INDEX($U$20:$U$91,$FJ83-HH$19))))</f>
        <v>0.00250183221966172</v>
      </c>
      <c r="HI83" s="150" t="n">
        <f aca="false">IF(HI$19&gt;$FJ83,"",MAX(0,IF(HI$19=$FJ83,$S83^2*HI$15,HI82*INDEX($T$20:$T$91,$FJ83-HI$19)^2/INDEX($U$20:$U$91,$FJ83-HI$19))))</f>
        <v>0.00249424438179915</v>
      </c>
      <c r="HJ83" s="150" t="n">
        <f aca="false">IF(HJ$19&gt;$FJ83,"",MAX(0,IF(HJ$19=$FJ83,$S83^2*HJ$15,HJ82*INDEX($T$20:$T$91,$FJ83-HJ$19)^2/INDEX($U$20:$U$91,$FJ83-HJ$19))))</f>
        <v>0.00266889001579965</v>
      </c>
      <c r="HK83" s="150" t="n">
        <f aca="false">IF(HK$19&gt;$FJ83,"",MAX(0,IF(HK$19=$FJ83,$S83^2*HK$15,HK82*INDEX($T$20:$T$91,$FJ83-HK$19)^2/INDEX($U$20:$U$91,$FJ83-HK$19))))</f>
        <v>0.00269069356018471</v>
      </c>
      <c r="HL83" s="150" t="n">
        <f aca="false">IF(HL$19&gt;$FJ83,"",MAX(0,IF(HL$19=$FJ83,$S83^2*HL$15,HL82*INDEX($T$20:$T$91,$FJ83-HL$19)^2/INDEX($U$20:$U$91,$FJ83-HL$19))))</f>
        <v>0.00291720180133863</v>
      </c>
      <c r="HM83" s="150" t="n">
        <f aca="false">IF(HM$19&gt;$FJ83,"",MAX(0,IF(HM$19=$FJ83,$S83^2*HM$15,HM82*INDEX($T$20:$T$91,$FJ83-HM$19)^2/INDEX($U$20:$U$91,$FJ83-HM$19))))</f>
        <v>0.00308651077207317</v>
      </c>
      <c r="HN83" s="150" t="n">
        <f aca="false">IF(HN$19&gt;$FJ83,"",MAX(0,IF(HN$19=$FJ83,$S83^2*HN$15,HN82*INDEX($T$20:$T$91,$FJ83-HN$19)^2/INDEX($U$20:$U$91,$FJ83-HN$19))))</f>
        <v>0.00297893673079068</v>
      </c>
      <c r="HO83" s="150" t="n">
        <f aca="false">IF(HO$19&gt;$FJ83,"",MAX(0,IF(HO$19=$FJ83,$S83^2*HO$15,HO82*INDEX($T$20:$T$91,$FJ83-HO$19)^2/INDEX($U$20:$U$91,$FJ83-HO$19))))</f>
        <v>0.00356566839160689</v>
      </c>
      <c r="HP83" s="150" t="n">
        <f aca="false">IF(HP$19&gt;$FJ83,"",MAX(0,IF(HP$19=$FJ83,$S83^2*HP$15,HP82*INDEX($T$20:$T$91,$FJ83-HP$19)^2/INDEX($U$20:$U$91,$FJ83-HP$19))))</f>
        <v>0.00378262306418119</v>
      </c>
      <c r="HQ83" s="150" t="n">
        <f aca="false">IF(HQ$19&gt;$FJ83,"",MAX(0,IF(HQ$19=$FJ83,$S83^2*HQ$15,HQ82*INDEX($T$20:$T$91,$FJ83-HQ$19)^2/INDEX($U$20:$U$91,$FJ83-HQ$19))))</f>
        <v>0.00435582441866935</v>
      </c>
      <c r="HR83" s="150" t="n">
        <f aca="false">IF(HR$19&gt;$FJ83,"",MAX(0,IF(HR$19=$FJ83,$S83^2*HR$15,HR82*INDEX($T$20:$T$91,$FJ83-HR$19)^2/INDEX($U$20:$U$91,$FJ83-HR$19))))</f>
        <v>0.00479043110051268</v>
      </c>
      <c r="HS83" s="150" t="n">
        <f aca="false">IF(HS$19&gt;$FJ83,"",MAX(0,IF(HS$19=$FJ83,$S83^2*HS$15,HS82*INDEX($T$20:$T$91,$FJ83-HS$19)^2/INDEX($U$20:$U$91,$FJ83-HS$19))))</f>
        <v>0.00575872782156275</v>
      </c>
      <c r="HT83" s="150" t="n">
        <f aca="false">IF(HT$19&gt;$FJ83,"",MAX(0,IF(HT$19=$FJ83,$S83^2*HT$15,HT82*INDEX($T$20:$T$91,$FJ83-HT$19)^2/INDEX($U$20:$U$91,$FJ83-HT$19))))</f>
        <v>0.0068903167314048</v>
      </c>
      <c r="HU83" s="150" t="n">
        <f aca="false">IF(HU$19&gt;$FJ83,"",MAX(0,IF(HU$19=$FJ83,$S83^2*HU$15,HU82*INDEX($T$20:$T$91,$FJ83-HU$19)^2/INDEX($U$20:$U$91,$FJ83-HU$19))))</f>
        <v>0.00825335796198438</v>
      </c>
      <c r="HV83" s="150" t="n">
        <f aca="false">IF(HV$19&gt;$FJ83,"",MAX(0,IF(HV$19=$FJ83,$S83^2*HV$15,HV82*INDEX($T$20:$T$91,$FJ83-HV$19)^2/INDEX($U$20:$U$91,$FJ83-HV$19))))</f>
        <v>0.0109995893662312</v>
      </c>
      <c r="HW83" s="150" t="str">
        <f aca="false">IF(HW$19&gt;$FJ83,"",MAX(0,IF(HW$19=$FJ83,$S83^2*HW$15,HW82*INDEX($T$20:$T$91,$FJ83-HW$19)^2/INDEX($U$20:$U$91,$FJ83-HW$19))))</f>
        <v/>
      </c>
      <c r="HX83" s="150" t="str">
        <f aca="false">IF(HX$19&gt;$FJ83,"",MAX(0,IF(HX$19=$FJ83,$S83^2*HX$15,HX82*INDEX($T$20:$T$91,$FJ83-HX$19)^2/INDEX($U$20:$U$91,$FJ83-HX$19))))</f>
        <v/>
      </c>
      <c r="HY83" s="150" t="str">
        <f aca="false">IF(HY$19&gt;$FJ83,"",MAX(0,IF(HY$19=$FJ83,$S83^2*HY$15,HY82*INDEX($T$20:$T$91,$FJ83-HY$19)^2/INDEX($U$20:$U$91,$FJ83-HY$19))))</f>
        <v/>
      </c>
      <c r="HZ83" s="150" t="str">
        <f aca="false">IF(HZ$19&gt;$FJ83,"",MAX(0,IF(HZ$19=$FJ83,$S83^2*HZ$15,HZ82*INDEX($T$20:$T$91,$FJ83-HZ$19)^2/INDEX($U$20:$U$91,$FJ83-HZ$19))))</f>
        <v/>
      </c>
      <c r="IA83" s="150" t="str">
        <f aca="false">IF(IA$19&gt;$FJ83,"",MAX(0,IF(IA$19=$FJ83,$S83^2*IA$15,IA82*INDEX($T$20:$T$91,$FJ83-IA$19)^2/INDEX($U$20:$U$91,$FJ83-IA$19))))</f>
        <v/>
      </c>
      <c r="IB83" s="150" t="str">
        <f aca="false">IF(IB$19&gt;$FJ83,"",MAX(0,IF(IB$19=$FJ83,$S83^2*IB$15,IB82*INDEX($T$20:$T$91,$FJ83-IB$19)^2/INDEX($U$20:$U$91,$FJ83-IB$19))))</f>
        <v/>
      </c>
      <c r="IC83" s="150" t="str">
        <f aca="false">IF(IC$19&gt;$FJ83,"",MAX(0,IF(IC$19=$FJ83,$S83^2*IC$15,IC82*INDEX($T$20:$T$91,$FJ83-IC$19)^2/INDEX($U$20:$U$91,$FJ83-IC$19))))</f>
        <v/>
      </c>
      <c r="ID83" s="572" t="str">
        <f aca="false">IF(ID$19&gt;$FJ83,"",MAX(0,IF(ID$19=$FJ83,$S83^2*ID$15,ID82*INDEX($T$20:$T$91,$FJ83-ID$19)^2/INDEX($U$20:$U$91,$FJ83-ID$19))))</f>
        <v/>
      </c>
      <c r="IE83" s="129"/>
    </row>
    <row r="84" customFormat="false" ht="12.75" hidden="false" customHeight="false" outlineLevel="0" collapsed="false">
      <c r="H84" s="219" t="n">
        <f aca="false">VLOOKUP(I84,$EJ$20:$EL$54,3)</f>
        <v>0</v>
      </c>
      <c r="I84" s="511" t="n">
        <f aca="false">EOMONTH(I83,0)+1</f>
        <v>38718</v>
      </c>
      <c r="J84" s="512"/>
      <c r="K84" s="513" t="n">
        <v>0</v>
      </c>
      <c r="L84" s="514" t="n">
        <f aca="false">IF(ISNUMBER(K84),J84+K84/100,IF(K84="extra",L83+VLOOKUP(BF84,PriceSpreadTable,2)/12,IF(K84="inter",interpolateprices($K$19:$L$200,ROW(K84)-ROW(FirstPricingMonth)+1),interpolatechanges($J$19:$K$200,ROW(K84)-ROW(FirstPricingMonth)+1))))</f>
        <v>0</v>
      </c>
      <c r="M84" s="515"/>
      <c r="N84" s="516" t="n">
        <v>0</v>
      </c>
      <c r="O84" s="515" t="n">
        <f aca="false">M84+N84</f>
        <v>0</v>
      </c>
      <c r="P84" s="512"/>
      <c r="Q84" s="513" t="s">
        <v>280</v>
      </c>
      <c r="R84" s="512" t="e">
        <f aca="false">IF(ISNUMBER(Q84),P84+Q84/100,IF(Q84="extra",(Z82*AL82-R83*AM82)/AN82,IF(Q84="inter",interpolateprices($Q$19:$R$260,ROW(Q84)-ROW(FirstPricingMonth)+1),interpolatechanges($P$19:$Q$260,ROW(Q84)-ROW(FirstPricingMonth)+1))))</f>
        <v>#VALUE!</v>
      </c>
      <c r="S84" s="597" t="n">
        <f aca="false">S$19+(S83-S$19)*S$18</f>
        <v>0.36000000053817</v>
      </c>
      <c r="T84" s="575" t="n">
        <f aca="false">SQRT((1-(1-T83^2/U83)*T$18)*U84)</f>
        <v>0.99999503034418</v>
      </c>
      <c r="U84" s="576" t="n">
        <f aca="false">1-(1-U83)*U$18</f>
        <v>0.99999999984864</v>
      </c>
      <c r="V84" s="521" t="n">
        <v>0</v>
      </c>
      <c r="W84" s="577" t="n">
        <f aca="false">(J85*AJ84+J86*AK84)/AI84</f>
        <v>0</v>
      </c>
      <c r="X84" s="578" t="e">
        <f aca="false">(L85*AJ84+L86*AK84)/AI84</f>
        <v>#VALUE!</v>
      </c>
      <c r="Y84" s="579" t="n">
        <f aca="false">IF(Q86="extra",W84-AA84,(P85*AM84+P86*AN84)/AL84)</f>
        <v>-1.121</v>
      </c>
      <c r="Z84" s="579" t="e">
        <f aca="false">IF(Q86="extra",X84-AB84,(R85*AM84+R86*AN84)/AL84)</f>
        <v>#VALUE!</v>
      </c>
      <c r="AA84" s="523" t="n">
        <f aca="false">IF(Q86="extra",INDEX(BrentSeasonalityTable,INT((BG84-1)/3)+1)*VLOOKUP(MAX(BF84,$AB$4),PriceSpreadTable,3),W84-Y84)</f>
        <v>1.121</v>
      </c>
      <c r="AB84" s="524" t="n">
        <f aca="false">IF(Q86="extra",INDEX(BrentSeasonalityTable,INT((BG84-1)/3)+1)*VLOOKUP(MAX(BF84,$AB$4),PriceSpreadTable,3),X84-Z84)</f>
        <v>1.121</v>
      </c>
      <c r="AC84" s="646" t="n">
        <v>38706</v>
      </c>
      <c r="AD84" s="646" t="n">
        <v>38702</v>
      </c>
      <c r="AE84" s="646" t="n">
        <v>38701</v>
      </c>
      <c r="AF84" s="646" t="n">
        <v>38697</v>
      </c>
      <c r="AG84" s="438" t="s">
        <v>247</v>
      </c>
      <c r="AH84" s="439" t="s">
        <v>278</v>
      </c>
      <c r="AI84" s="528" t="n">
        <v>22</v>
      </c>
      <c r="AJ84" s="529" t="n">
        <v>15</v>
      </c>
      <c r="AK84" s="529" t="n">
        <v>7</v>
      </c>
      <c r="AL84" s="530" t="n">
        <v>22</v>
      </c>
      <c r="AM84" s="529" t="n">
        <v>10</v>
      </c>
      <c r="AN84" s="531" t="n">
        <v>12</v>
      </c>
      <c r="AO84" s="532"/>
      <c r="AP84" s="465" t="n">
        <f aca="false">(1+AO84/2)^(-2*BL84)</f>
        <v>1</v>
      </c>
      <c r="AQ84" s="532"/>
      <c r="AR84" s="465" t="n">
        <f aca="false">(1+AQ84/2)^(-2*BH84/365.25)</f>
        <v>1</v>
      </c>
      <c r="AS84" s="580" t="n">
        <f aca="false">(O85*AJ84+O86*AK84)/AI84</f>
        <v>0</v>
      </c>
      <c r="AT84" s="468" t="n">
        <f aca="false">O84*VLOOKUP(BF84,BrentVolTable,2)+VLOOKUP(BF84,BrentVolTable,3)</f>
        <v>0</v>
      </c>
      <c r="AU84" s="468" t="n">
        <f aca="false">(AT85*AM84+AT86*AN84)/AL84</f>
        <v>0</v>
      </c>
      <c r="AV84" s="595" t="n">
        <f aca="false">SQRT(MAX(0.000000000001,(O84^2*BH84-S84^2*(BH84-BH83))/BH83))</f>
        <v>0.0231528410395813</v>
      </c>
      <c r="AW84" s="451" t="n">
        <f aca="false">IF($I84-DateToday+15&gt;=$T$8,"",IF($I84-DateToday+15&lt;$T$5,1,MATCH($I84-DateToday+15,$T$5:$T$8)))</f>
        <v>1</v>
      </c>
      <c r="AX84" s="468" t="n">
        <f aca="false">IF($AW84="",AX83^2/AX82,INDEX(U$5:U$8,$AW84)^((INDEX($T$5:$T$8,$AW84+1)-($I84-DateToday+15))/(INDEX($T$5:$T$8,$AW84+1)-INDEX($T$5:$T$8,$AW84)))/INDEX(U$5:U$8,$AW84+1)^((INDEX($T$5:$T$8,$AW84)-($I84-DateToday+15))/(INDEX($T$5:$T$8,$AW84+1)-INDEX($T$5:$T$8,$AW84))))</f>
        <v>3.19452058591882</v>
      </c>
      <c r="AY84" s="468" t="n">
        <f aca="false">IF($AW84="",AY83^2/AY82,INDEX(V$5:V$8,$AW84)^((INDEX($T$5:$T$8,$AW84+1)-($I84-DateToday+15))/(INDEX($T$5:$T$8,$AW84+1)-INDEX($T$5:$T$8,$AW84)))/INDEX(V$5:V$8,$AW84+1)^((INDEX($T$5:$T$8,$AW84)-($I84-DateToday+15))/(INDEX($T$5:$T$8,$AW84+1)-INDEX($T$5:$T$8,$AW84))))</f>
        <v>351.904907004705</v>
      </c>
      <c r="AZ84" s="468" t="n">
        <f aca="false">IF($AW84="",AZ83^2/AZ82,INDEX(W$5:W$8,$AW84)^((INDEX($T$5:$T$8,$AW84+1)-($I84-DateToday+15))/(INDEX($T$5:$T$8,$AW84+1)-INDEX($T$5:$T$8,$AW84)))/INDEX(W$5:W$8,$AW84+1)^((INDEX($T$5:$T$8,$AW84)-($I84-DateToday+15))/(INDEX($T$5:$T$8,$AW84+1)-INDEX($T$5:$T$8,$AW84))))</f>
        <v>3618781.32501589</v>
      </c>
      <c r="BA84" s="468" t="n">
        <f aca="false">IF($AW84="",BA83^2/BA82,INDEX(X$5:X$8,$AW84)^((INDEX($T$5:$T$8,$AW84+1)-($I84-DateToday+15))/(INDEX($T$5:$T$8,$AW84+1)-INDEX($T$5:$T$8,$AW84)))/INDEX(X$5:X$8,$AW84+1)^((INDEX($T$5:$T$8,$AW84)-($I84-DateToday+15))/(INDEX($T$5:$T$8,$AW84+1)-INDEX($T$5:$T$8,$AW84))))</f>
        <v>120419494.153144</v>
      </c>
      <c r="BB84" s="468" t="n">
        <f aca="false">IF($AW84="",BB83^2/BB82,INDEX(Y$5:Y$8,$AW84)^((INDEX($T$5:$T$8,$AW84+1)-($I84-DateToday+15))/(INDEX($T$5:$T$8,$AW84+1)-INDEX($T$5:$T$8,$AW84)))/INDEX(Y$5:Y$8,$AW84+1)^((INDEX($T$5:$T$8,$AW84)-($I84-DateToday+15))/(INDEX($T$5:$T$8,$AW84+1)-INDEX($T$5:$T$8,$AW84))))</f>
        <v>1766689449.26503</v>
      </c>
      <c r="BC84" s="468" t="n">
        <f aca="false">IF($AW84="",BC83^2/BC82,INDEX(Z$5:Z$8,$AW84)^((INDEX($T$5:$T$8,$AW84+1)-($I84-DateToday+15))/(INDEX($T$5:$T$8,$AW84+1)-INDEX($T$5:$T$8,$AW84)))/INDEX(Z$5:Z$8,$AW84+1)^((INDEX($T$5:$T$8,$AW84)-($I84-DateToday+15))/(INDEX($T$5:$T$8,$AW84+1)-INDEX($T$5:$T$8,$AW84))))</f>
        <v>8819308669.18214</v>
      </c>
      <c r="BD84" s="535" t="n">
        <f aca="false">IF(OR(DateStart&gt;=I85,DateEnd&lt;I84),0,IF(VolumeOverrideFlag,V84,Volume))</f>
        <v>0</v>
      </c>
      <c r="BE84" s="536" t="n">
        <f aca="false">IF(OR(DateStart2&gt;=I85,DateEnd2&lt;I84),0,IF(VolumeOverrideFlag,V84,VolumeSwaption))</f>
        <v>0</v>
      </c>
      <c r="BF84" s="537" t="n">
        <f aca="false">YEAR(I84)</f>
        <v>2006</v>
      </c>
      <c r="BG84" s="538" t="n">
        <f aca="false">MONTH(I84)</f>
        <v>1</v>
      </c>
      <c r="BH84" s="539" t="n">
        <f aca="false">AD84-DateToday+1</f>
        <v>-7223</v>
      </c>
      <c r="BI84" s="540" t="n">
        <f aca="false">(I84-DateToday+1)/365.25</f>
        <v>-19.7316906228611</v>
      </c>
      <c r="BJ84" s="541" t="n">
        <f aca="false">BI84+(BL84-BI84)*CHOOSE(Underlying,AJ84/AI84,AM84/AL84)</f>
        <v>-19.6756891294879</v>
      </c>
      <c r="BK84" s="541" t="n">
        <f aca="false">BJ84+1/365.25</f>
        <v>-19.6729512787008</v>
      </c>
      <c r="BL84" s="541" t="n">
        <f aca="false">(I85-DateToday)/365.25</f>
        <v>-19.6495550992471</v>
      </c>
      <c r="BM84" s="542" t="e">
        <f aca="false">MAX(BI84-(BJ84-BI84)*(S85^2/O85^2-1),0)</f>
        <v>#DIV/0!</v>
      </c>
      <c r="BN84" s="541" t="e">
        <f aca="false">MAX(BL84+(BL84-BK84)*(S86^2/O86^2-1),0)</f>
        <v>#DIV/0!</v>
      </c>
      <c r="BO84" s="530" t="n">
        <f aca="false">CHOOSE(Underlying,AI84,AL84)</f>
        <v>22</v>
      </c>
      <c r="BP84" s="529" t="n">
        <f aca="false">CHOOSE(Underlying,AJ84,AM84)</f>
        <v>15</v>
      </c>
      <c r="BQ84" s="529" t="n">
        <f aca="false">CHOOSE(Underlying,AK84,AN84)</f>
        <v>7</v>
      </c>
      <c r="BR84" s="463" t="str">
        <f aca="false">IF(BD84,IF(Underlying=1,X84,Z84)+UnderlyingPriceAsian-SwapPriceCurve,"")</f>
        <v/>
      </c>
      <c r="BS84" s="463" t="str">
        <f aca="false">IF(BD84,Strike1/BR84-1,"")</f>
        <v/>
      </c>
      <c r="BT84" s="464" t="str">
        <f aca="false">IF(BD84,Strike2/BR84-1,"")</f>
        <v/>
      </c>
      <c r="BU84" s="465" t="str">
        <f aca="false">IF(BD84,IF(Underlying=1,L85,R85)+UnderlyingPriceAsian-SwapPriceCurve,"")</f>
        <v/>
      </c>
      <c r="BV84" s="465" t="str">
        <f aca="false">IF(BD84,IF(Underlying=1,L86,R86)+UnderlyingPriceAsian-SwapPriceCurve,"")</f>
        <v/>
      </c>
      <c r="BW84" s="466" t="str">
        <f aca="false">IF(BD84,IF(Underlying=1,O85,AT85),"")</f>
        <v/>
      </c>
      <c r="BX84" s="467" t="str">
        <f aca="false">IF(BD84,IF(Underlying=1,O86,AT86),"")</f>
        <v/>
      </c>
      <c r="BY84" s="466" t="str">
        <f aca="false">IF(BD84,IF(BS84&gt;0,IF(BS84&gt;0.2,BC84-BB84,IF(BS84&gt;0.1,BB84-BA84,BA84)),IF(BS84&lt;-0.2,AX84-AY84,IF(BS84&lt;-0.1,AY84-AZ84,AZ84))),"")</f>
        <v/>
      </c>
      <c r="BZ84" s="467" t="str">
        <f aca="false">IF(BD84,IF(BT84&gt;0,IF(BT84&gt;0.2,BC84-BB84,IF(BT84&gt;0.1,BB84-BA84,BA84)),IF(BT84&lt;-0.2,AX84-AY84,IF(BT84&lt;-0.1,AY84-AZ84,AZ84))),"")</f>
        <v/>
      </c>
      <c r="CA84" s="468" t="str">
        <f aca="false">IF($BD84,$BW84+IF(VolSkewFlag=1,IF(BS84&gt;0,$BA84*MIN(BS84/10%,1)+($BB84-$BA84)*MAX(0,MIN(BS84/10%-1,1))+($BC84-$BB84)*MAX(0,BS84/10%-2),$AZ84*MIN(-BS84/10%,1)+($AY84-$AZ84)*MAX(0,MIN(-BS84/10%-1,1))+($AX84-$AY84)*MAX(0,-BS84/10%-2)),0),"")</f>
        <v/>
      </c>
      <c r="CB84" s="468" t="str">
        <f aca="false">IF($BD84,$BX84+IF(VolSkewFlag=1,IF(BS84&gt;0,$BA84*MIN(BS84/10%,1)+($BB84-$BA84)*MAX(0,MIN(BS84/10%-1,1))+($BC84-$BB84)*MAX(0,BS84/10%-2),$AZ84*MIN(-BS84/10%,1)+($AY84-$AZ84)*MAX(0,MIN(-BS84/10%-1,1))+($AX84-$AY84)*MAX(0,-BS84/10%-2)),0),"")</f>
        <v/>
      </c>
      <c r="CC84" s="468" t="str">
        <f aca="false">IF($BD84,$BW84+IF(VolSkewFlag=1,IF(BT84&gt;0,$BA84*MIN(BT84/10%,1)+($BB84-$BA84)*MAX(0,MIN(BT84/10%-1,1))+($BC84-$BB84)*MAX(0,BT84/10%-2),$AZ84*MIN(-BT84/10%,1)+($AY84-$AZ84)*MAX(0,MIN(-BT84/10%-1,1))+($AX84-$AY84)*MAX(0,-BT84/10%-2)),0),"")</f>
        <v/>
      </c>
      <c r="CD84" s="468" t="str">
        <f aca="false">IF($BD84,$BX84+IF(VolSkewFlag=1,IF(BT84&gt;0,$BA84*MIN(BT84/10%,1)+($BB84-$BA84)*MAX(0,MIN(BT84/10%-1,1))+($BC84-$BB84)*MAX(0,BT84/10%-2),$AZ84*MIN(-BT84/10%,1)+($AY84-$AZ84)*MAX(0,MIN(-BT84/10%-1,1))+($AX84-$AY84)*MAX(0,-BT84/10%-2)),0),"")</f>
        <v/>
      </c>
      <c r="CE84" s="469" t="n">
        <v>1</v>
      </c>
      <c r="CF84" s="470" t="n">
        <f aca="false">IF(BD84,xCrudeAPO(BU84,BV84,CA84,CB84,S85,S86,BI84,BL84,BP84,BQ84,0,Strike1,AO84,CE84,0,BL84,IF(OptControl=4,0,1),0,1),0)</f>
        <v>0</v>
      </c>
      <c r="CG84" s="470" t="n">
        <f aca="false">IF(BD84,xCrudeAPO(BU84,BV84,CA84,CB84,S85,S86,BI84,BL84,BP84,BQ84,0,Strike1,AO84,CE84,0,BL84,IF(OptControl=4,0,1),1,1)+xCrudeAPO(BU84,BV84,CA84,CB84,S85,S86,BI84,BL84,BP84,BQ84,0,Strike1,AO84,CE84,0,BL84,IF(OptControl=4,0,1),1,2)+IF(OR(VolSkewFlag=2,ABS(BS84)&lt;0.0001),0,IF(BS84&gt;0,-1,1)*CH84*Strike1/BR84^2*BY84/10%),0)</f>
        <v>0</v>
      </c>
      <c r="CH84" s="470" t="n">
        <f aca="false">IF(BD84,(xCrudeAPO(BU84,BV84,CA84,CB84,S85,S86,BI84,BL84,BP84,BQ84,0,Strike1,AO84,CE84,0,BL84,IF(OptControl=4,0,1),3,1)+xCrudeAPO(BU84,BV84,CA84,CB84,S85,S86,BI84,BL84,BP84,BQ84,0,Strike1,AO84,CE84,0,BL84,IF(OptControl=4,0,1),3,2))/100,0)</f>
        <v>0</v>
      </c>
      <c r="CI84" s="470" t="n">
        <f aca="false">IF(BD84,xCrudeAPO(BU84,BV84,CA84,CB84,S85,S86,BI84-DaysForThetaCalculation/365.25,BL84-DaysForThetaCalculation/365.25,BP84,BQ84,0,Strike1,AO84,CE84,0,BL84,IF(OptControl=4,0,1),0,1)-xCrudeAPO(BU84,BV84,CA84,CB84,S85,S86,BI84,BL84,BP84,BQ84,0,Strike1,AO84,CE84,0,BL84,IF(OptControl=4,0,1),0,1),0)</f>
        <v>0</v>
      </c>
      <c r="CJ84" s="471" t="n">
        <f aca="false">IF(BD84,xCrudeAPO(BU84,BV84,CC84,CD84,S85,S86,BI84,BL84,BP84,BQ84,0,Strike2,AO84,CE84,0,BL84,IF(OptControl=3,1,0),0,1),0)</f>
        <v>0</v>
      </c>
      <c r="CK84" s="470" t="n">
        <f aca="false">IF(BD84,xCrudeAPO(BU84,BV84,CC84,CD84,S85,S86,BI84,BL84,BP84,BQ84,0,Strike2,AO84,CE84,0,BL84,IF(OptControl=3,1,0),1,1)+xCrudeAPO(BU84,BV84,CC84,CD84,S85,S86,BI84,BL84,BP84,BQ84,0,Strike2,AO84,CE84,0,BL84,IF(OptControl=3,1,0),1,2)+IF(OR(VolSkewFlag=2,ABS(BT84)&lt;0.0001),0,IF(BT84&gt;0,-1,1)*CL84*Strike2/BR84^2*BZ84/10%),0)</f>
        <v>0</v>
      </c>
      <c r="CL84" s="470" t="n">
        <f aca="false">IF(BD84,(xCrudeAPO(BU84,BV84,CC84,CD84,S85,S86,BI84,BL84,BP84,BQ84,0,Strike2,AO84,CE84,0,BL84,IF(OptControl=3,1,0),3,1)+xCrudeAPO(BU84,BV84,CC84,CD84,S85,S86,BI84,BL84,BP84,BQ84,0,Strike2,AO84,CE84,0,BL84,IF(OptControl=3,1,0),3,2))/100,0)</f>
        <v>0</v>
      </c>
      <c r="CM84" s="472" t="n">
        <f aca="false">IF(BD84,xCrudeAPO(BU84,BV84,CC84,CD84,S85,S86,BI84-DaysForThetaCalculation/365.25,BL84-DaysForThetaCalculation/365.25,BP84,BQ84,0,Strike2,AO84,CE84,0,BL84,IF(OptControl=3,1,0),0,1)-xCrudeAPO(BU84,BV84,CC84,CD84,S85,S86,BI84,BL84,BP84,BQ84,0,Strike2,AO84,CE84,0,BL84,IF(OptControl=3,1,0),0,1),0)</f>
        <v>0</v>
      </c>
      <c r="CN84" s="3"/>
      <c r="CO84" s="543" t="str">
        <f aca="false">IF(BD84,CHOOSE(Underlying,AD84,AF84)-DateToday+1,"")</f>
        <v/>
      </c>
      <c r="CP84" s="582" t="str">
        <f aca="false">IF(BD84,CHOOSE(Underlying,L84,R84),"")</f>
        <v/>
      </c>
      <c r="CQ84" s="544" t="str">
        <f aca="false">IF(BD84,Strike1/CP84-1,"")</f>
        <v/>
      </c>
      <c r="CR84" s="544" t="str">
        <f aca="false">IF(BD84,Strike2/CP84-1,"")</f>
        <v/>
      </c>
      <c r="CS84" s="544" t="str">
        <f aca="false">IF(BD84,IF(CQ84&gt;0,IF(CQ84&gt;0.2,BC83-BB83,IF(CQ84&gt;0.1,BB83-BA83,BA83)),IF(CQ84&lt;-0.2,AX83-AY83,IF(CQ84&lt;-0.1,AY83-AZ83,AZ83))),"")</f>
        <v/>
      </c>
      <c r="CT84" s="544" t="str">
        <f aca="false">IF(BD84,IF(CR84&gt;0,IF(CR84&gt;0.2,BC83-BB83,IF(CR84&gt;0.1,BB83-BA83,BA83)),IF(CR84&lt;-0.2,AX83-AY83,IF(CR84&lt;-0.1,AY83-AZ83,AZ83))),"")</f>
        <v/>
      </c>
      <c r="CU84" s="545" t="str">
        <f aca="false">IF(BD84,CHOOSE(Underlying,O84,AT84),"")</f>
        <v/>
      </c>
      <c r="CV84" s="545" t="str">
        <f aca="false">IF(BD84,CU84+IF(VolSkewFlag=1,IF(CQ84&gt;0,BA83*MIN(CQ84/10%,1)+(BB83-BA83)*MAX(0,MIN(CQ84/10%-1,1))+(BC83-BB83)*MAX(0,CQ84/10%-2),AZ83*MIN(-CQ84/10%,1)+(AY83-AZ83)*MAX(0,MIN(-CQ84/10%-1,1))+(AX83-AY83)*MAX(0,-CQ84/10%-2)),0),"")</f>
        <v/>
      </c>
      <c r="CW84" s="545" t="str">
        <f aca="false">IF(BD84,CU84+IF(VolSkewFlag=1,IF(CR84&gt;0,BA83*MIN(CR84/10%,1)+(BB83-BA83)*MAX(0,MIN(CR84/10%-1,1))+(BC83-BB83)*MAX(0,CR84/10%-2),AZ83*MIN(-CR84/10%,1)+(AY83-AZ83)*MAX(0,MIN(-CR84/10%-1,1))+(AX83-AY83)*MAX(0,-CR84/10%-2)),0),"")</f>
        <v/>
      </c>
      <c r="CX84" s="470" t="n">
        <f aca="false">IF(BD84,EURO(CP84,Strike1,AO84,AO84,CV84,CO84,IF(OptControl=4,0,1),0),0)</f>
        <v>0</v>
      </c>
      <c r="CY84" s="470" t="n">
        <f aca="false">IF(BD84,EURO(CP84,Strike1,AO84,AO84,CV84,CO84,IF(OptControl=4,0,1),1)+IF(OR(VolSkewFlag=2,ABS(CQ84)&lt;0.0001),0,IF(CQ84&gt;0,-1,1)*CZ84*100*Strike1/CP84^2*CS84/10%),0)</f>
        <v>0</v>
      </c>
      <c r="CZ84" s="470" t="n">
        <f aca="false">IF(BD84,EURO(CP84,Strike1,AO84,AO84,CV84,CO84,IF(OptControl=4,0,1),3)/100,0)</f>
        <v>0</v>
      </c>
      <c r="DA84" s="470" t="n">
        <f aca="false">IF(BD84,EURO(CP84,Strike1,AO84,AO84,CV84,CO84,IF(OptControl=4,0,1),0)-EURO(CP84,Strike1,AO84,AO84,CV84,CO84-1,IF(OptControl=4,0,1),0),0)</f>
        <v>0</v>
      </c>
      <c r="DB84" s="470" t="n">
        <f aca="false">IF(BD84,EURO(CP84,Strike2,AO84,AO84,CW84,CO84,IF(OptControl=3,1,0),0),0)</f>
        <v>0</v>
      </c>
      <c r="DC84" s="470" t="n">
        <f aca="false">IF(BD84,EURO(CP84,Strike2,AO84,AO84,CW84,CO84,IF(OptControl=3,1,0),1)+IF(OR(VolSkewFlag=2,ABS(CR84)&lt;0.0001),0,IF(CR84&gt;0,-1,1)*DD84*100*Strike2/CP84^2*CT84/10%),0)</f>
        <v>0</v>
      </c>
      <c r="DD84" s="470" t="n">
        <f aca="false">IF(BD84,EURO(CP84,Strike2,AO84,AO84,CW84,CO84,IF(OptControl=3,1,0),3)/100,0)</f>
        <v>0</v>
      </c>
      <c r="DE84" s="472" t="n">
        <f aca="false">IF(BD84,EURO(CP84,Strike2,AO84,AO84,CW84,CO84,IF(OptControl=3,1,0),0)-EURO(CP84,Strike2,AO84,AO84,CW84,CO84-1,IF(OptControl=3,1,0),0),0)</f>
        <v>0</v>
      </c>
      <c r="DG84" s="481" t="n">
        <f aca="false">EOMONTH(DG83,0)+1</f>
        <v>47635</v>
      </c>
      <c r="DH84" s="478" t="n">
        <v>18.34</v>
      </c>
      <c r="DI84" s="479" t="n">
        <v>18.3354545454545</v>
      </c>
      <c r="DJ84" s="480" t="n">
        <f aca="false">DG84</f>
        <v>47635</v>
      </c>
      <c r="DK84" s="478" t="n">
        <v>16.9779277586875</v>
      </c>
      <c r="DL84" s="479" t="n">
        <v>17.0754545454545</v>
      </c>
      <c r="DM84" s="481" t="n">
        <f aca="false">DG84</f>
        <v>47635</v>
      </c>
      <c r="DN84" s="482" t="n">
        <f aca="false">DK84+BrentPhyBrentSpread</f>
        <v>17.0279277586875</v>
      </c>
      <c r="DO84" s="481" t="n">
        <f aca="false">DG84</f>
        <v>47635</v>
      </c>
      <c r="DP84" s="483" t="n">
        <f aca="false">DL84+DQ84</f>
        <v>17.0754545454545</v>
      </c>
      <c r="DQ84" s="546" t="n">
        <v>0</v>
      </c>
      <c r="DR84" s="480" t="n">
        <f aca="false">DG84</f>
        <v>47635</v>
      </c>
      <c r="DS84" s="485" t="n">
        <v>0.192759708248039</v>
      </c>
      <c r="DT84" s="486" t="n">
        <v>0.192279363970014</v>
      </c>
      <c r="DU84" s="480" t="n">
        <f aca="false">DG84</f>
        <v>47635</v>
      </c>
      <c r="DV84" s="485" t="n">
        <v>0.192759708248039</v>
      </c>
      <c r="DW84" s="486" t="n">
        <v>0.192279363970014</v>
      </c>
      <c r="DX84" s="481" t="n">
        <f aca="false">DG84</f>
        <v>47635</v>
      </c>
      <c r="DY84" s="486" t="n">
        <v>0.35</v>
      </c>
      <c r="DZ84" s="481" t="n">
        <f aca="false">DR84</f>
        <v>47635</v>
      </c>
      <c r="EA84" s="486" t="n">
        <f aca="false">DT84</f>
        <v>0.192279363970014</v>
      </c>
      <c r="EB84" s="195"/>
      <c r="EC84" s="547" t="str">
        <f aca="false">IF(BD84,IF(Underlying=1,AS84,AU84),"")</f>
        <v/>
      </c>
      <c r="ED84" s="548" t="str">
        <f aca="false">IF($BD84,$EC84+IF(VolSkewFlag=1,IF(BS84&gt;0,$BA84*MIN(BS84/10%,1)+($BB84-$BA84)*MAX(0,MIN(BS84/10%-1,1))+($BC84-$BB84)*MAX(0,BS84/10%-2),$AZ84*MIN(-BS84/10%,1)+($AY84-$AZ84)*MAX(0,MIN(-BS84/10%-1,1))+($AX84-$AY84)*MAX(0,-BS84/10%-2)),0),"")</f>
        <v/>
      </c>
      <c r="EE84" s="549" t="str">
        <f aca="false">IF($BD84,$EC84+IF(VolSkewFlag=1,IF(BT84&gt;0,$BA84*MIN(BT84/10%,1)+($BB84-$BA84)*MAX(0,MIN(BT84/10%-1,1))+($BC84-$BB84)*MAX(0,BT84/10%-2),$AZ84*MIN(-BT84/10%,1)+($AY84-$AZ84)*MAX(0,MIN(-BT84/10%-1,1))+($AX84-$AY84)*MAX(0,-BT84/10%-2)),0),"")</f>
        <v/>
      </c>
      <c r="EF84" s="550" t="n">
        <f aca="false">IF(BD84,xASN(BR84,Strike1,AO84,ED84,0,BO84,0,BI84,BL84,IF(OptControl=4,0,1),0),0)</f>
        <v>0</v>
      </c>
      <c r="EG84" s="551" t="n">
        <f aca="false">IF(BD84,xASN(BR84,Strike2,AO84,EE84,0,BO84,0,BI84,BL84,IF(OptControl=3,1,0),0),0)</f>
        <v>0</v>
      </c>
      <c r="EL84" s="1"/>
      <c r="EM84" s="195"/>
      <c r="EN84" s="556" t="n">
        <v>43466</v>
      </c>
      <c r="EO84" s="557" t="n">
        <v>48214</v>
      </c>
      <c r="EP84" s="195"/>
      <c r="EQ84" s="407" t="s">
        <v>310</v>
      </c>
      <c r="ES84" s="587" t="n">
        <v>65</v>
      </c>
      <c r="ET84" s="559" t="n">
        <f aca="false">BH84/365.25</f>
        <v>-19.7754962354552</v>
      </c>
      <c r="EU84" s="560" t="n">
        <f aca="false">O84^2*ET84</f>
        <v>-0</v>
      </c>
      <c r="EV84" s="588" t="e">
        <f aca="false">SQRT(SUM(FK84:ID84)/ET84)</f>
        <v>#VALUE!</v>
      </c>
      <c r="EW84" s="589" t="str">
        <f aca="false">IF(OR(DateStart2&gt;I83,DateEnd2&lt;I82),"",IF(DateStart2&lt;I83,AK82/AI82*AP82*BE82*SwaptionNumOfMonths/$D$33,0)+IF(DateEnd2&gt;I82,AJ83/AI83*AP83*BE83*SwaptionNumOfMonths/$D$33,0))</f>
        <v/>
      </c>
      <c r="EX84" s="590" t="str">
        <f aca="false">IF(EW84="","",SQRT(SUM(FK389:ID389)/SwaptionYearsToExp))</f>
        <v/>
      </c>
      <c r="EY84" s="129" t="n">
        <v>0</v>
      </c>
      <c r="EZ84" s="591" t="str">
        <f aca="false">IF(OR(EW84="",EW85=""),"",SQRT(SUM(INDEX(FK84:ID84,SwaptionFirstMonthPosition+1):INDEX(FK84:ID84,FJ84))/SUM(INDEX($FK$15:$ID$15,SwaptionFirstMonthPosition+1):INDEX($FK$15:$ID$15,FJ84))))</f>
        <v/>
      </c>
      <c r="FA84" s="592" t="str">
        <f aca="false">IF(OR(EW84="",EW83=""),"",SQRT(SUM(INDEX(FK84:ID84,SwaptionFirstMonthPosition+1):INDEX(FK84:ID84,FJ84-1))/SUM(INDEX($FK$15:$ID$15,SwaptionFirstMonthPosition+1):INDEX($FK$15:$ID$15,FJ84-1))))</f>
        <v/>
      </c>
      <c r="FB84" s="593" t="str">
        <f aca="false">IF(BE84,2/3*EZ85+1/3*FA86,"")</f>
        <v/>
      </c>
      <c r="FC84" s="596" t="str">
        <f aca="false">IF(BE84,(I85+I84-1)/2-DateToday,"")</f>
        <v/>
      </c>
      <c r="FD84" s="483" t="str">
        <f aca="false">IF(BE84,CHOOSE(Underlying,X84,Z84)+SwaptionUnderlyingPrice-$D$26,"")</f>
        <v/>
      </c>
      <c r="FE84" s="483" t="str">
        <f aca="false">IF(BE84,CollartionFloor/FD84-1,"")</f>
        <v/>
      </c>
      <c r="FF84" s="483" t="str">
        <f aca="false">IF(BE84,CollartionCap/FD84-1,"")</f>
        <v/>
      </c>
      <c r="FG84" s="485" t="str">
        <f aca="false">IF(BE84,IF(VolSkewFlag=1,IF(FE84&gt;0,$BA84*MIN(FE84/10%,1)+($BB84-$BA84)*MAX(0,MIN(FE84/10%-1,1))+($BC84-$BB84)*MAX(0,FE84/10%-2),$AZ84*MIN(-FE84/10%,1)+($AY84-$AZ84)*MAX(0,MIN(-FE84/10%-1,1))+($AX84-$AY84)*MAX(0,-FE84/10%-2)),0),"")</f>
        <v/>
      </c>
      <c r="FH84" s="486" t="str">
        <f aca="false">IF(BE84,IF(VolSkewFlag=1,IF(FF84&gt;0,$BA84*MIN(FF84/10%,1)+($BB84-$BA84)*MAX(0,MIN(FF84/10%-1,1))+($BC84-$BB84)*MAX(0,FF84/10%-2),$AZ84*MIN(-FF84/10%,1)+($AY84-$AZ84)*MAX(0,MIN(-FF84/10%-1,1))+($AX84-$AY84)*MAX(0,-FF84/10%-2)),0),"")</f>
        <v/>
      </c>
      <c r="FI84" s="129"/>
      <c r="FJ84" s="571" t="n">
        <v>65</v>
      </c>
      <c r="FK84" s="150" t="n">
        <f aca="false">IF(FK$19&gt;$FJ84,"",MAX(0,IF(FK$19=$FJ84,$S84^2*FK$15,FK83*INDEX($T$20:$T$91,$FJ84-FK$19)^2/INDEX($U$20:$U$91,$FJ84-FK$19))))</f>
        <v>0</v>
      </c>
      <c r="FL84" s="150" t="n">
        <f aca="false">IF(FL$19&gt;$FJ84,"",MAX(0,IF(FL$19=$FJ84,$S84^2*FL$15,FL83*INDEX($T$20:$T$91,$FJ84-FL$19)^2/INDEX($U$20:$U$91,$FJ84-FL$19))))</f>
        <v>0</v>
      </c>
      <c r="FM84" s="150" t="n">
        <f aca="false">IF(FM$19&gt;$FJ84,"",MAX(0,IF(FM$19=$FJ84,$S84^2*FM$15,FM83*INDEX($T$20:$T$91,$FJ84-FM$19)^2/INDEX($U$20:$U$91,$FJ84-FM$19))))</f>
        <v>0.00254700173381064</v>
      </c>
      <c r="FN84" s="150" t="n">
        <f aca="false">IF(FN$19&gt;$FJ84,"",MAX(0,IF(FN$19=$FJ84,$S84^2*FN$15,FN83*INDEX($T$20:$T$91,$FJ84-FN$19)^2/INDEX($U$20:$U$91,$FJ84-FN$19))))</f>
        <v>0.00214376839886726</v>
      </c>
      <c r="FO84" s="150" t="n">
        <f aca="false">IF(FO$19&gt;$FJ84,"",MAX(0,IF(FO$19=$FJ84,$S84^2*FO$15,FO83*INDEX($T$20:$T$91,$FJ84-FO$19)^2/INDEX($U$20:$U$91,$FJ84-FO$19))))</f>
        <v>0.00222987719246931</v>
      </c>
      <c r="FP84" s="150" t="n">
        <f aca="false">IF(FP$19&gt;$FJ84,"",MAX(0,IF(FP$19=$FJ84,$S84^2*FP$15,FP83*INDEX($T$20:$T$91,$FJ84-FP$19)^2/INDEX($U$20:$U$91,$FJ84-FP$19))))</f>
        <v>0.0024709856024957</v>
      </c>
      <c r="FQ84" s="150" t="n">
        <f aca="false">IF(FQ$19&gt;$FJ84,"",MAX(0,IF(FQ$19=$FJ84,$S84^2*FQ$15,FQ83*INDEX($T$20:$T$91,$FJ84-FQ$19)^2/INDEX($U$20:$U$91,$FJ84-FQ$19))))</f>
        <v>0.00200057151224797</v>
      </c>
      <c r="FR84" s="150" t="n">
        <f aca="false">IF(FR$19&gt;$FJ84,"",MAX(0,IF(FR$19=$FJ84,$S84^2*FR$15,FR83*INDEX($T$20:$T$91,$FJ84-FR$19)^2/INDEX($U$20:$U$91,$FJ84-FR$19))))</f>
        <v>0.00204555191443103</v>
      </c>
      <c r="FS84" s="150" t="n">
        <f aca="false">IF(FS$19&gt;$FJ84,"",MAX(0,IF(FS$19=$FJ84,$S84^2*FS$15,FS83*INDEX($T$20:$T$91,$FJ84-FS$19)^2/INDEX($U$20:$U$91,$FJ84-FS$19))))</f>
        <v>0.00230526270110161</v>
      </c>
      <c r="FT84" s="150" t="n">
        <f aca="false">IF(FT$19&gt;$FJ84,"",MAX(0,IF(FT$19=$FJ84,$S84^2*FT$15,FT83*INDEX($T$20:$T$91,$FJ84-FT$19)^2/INDEX($U$20:$U$91,$FJ84-FT$19))))</f>
        <v>0.00208049197657104</v>
      </c>
      <c r="FU84" s="150" t="n">
        <f aca="false">IF(FU$19&gt;$FJ84,"",MAX(0,IF(FU$19=$FJ84,$S84^2*FU$15,FU83*INDEX($T$20:$T$91,$FJ84-FU$19)^2/INDEX($U$20:$U$91,$FJ84-FU$19))))</f>
        <v>0.0020001901113145</v>
      </c>
      <c r="FV84" s="150" t="n">
        <f aca="false">IF(FV$19&gt;$FJ84,"",MAX(0,IF(FV$19=$FJ84,$S84^2*FV$15,FV83*INDEX($T$20:$T$91,$FJ84-FV$19)^2/INDEX($U$20:$U$91,$FJ84-FV$19))))</f>
        <v>0.0021981076824347</v>
      </c>
      <c r="FW84" s="150" t="n">
        <f aca="false">IF(FW$19&gt;$FJ84,"",MAX(0,IF(FW$19=$FJ84,$S84^2*FW$15,FW83*INDEX($T$20:$T$91,$FJ84-FW$19)^2/INDEX($U$20:$U$91,$FJ84-FW$19))))</f>
        <v>0.00205445777967295</v>
      </c>
      <c r="FX84" s="150" t="n">
        <f aca="false">IF(FX$19&gt;$FJ84,"",MAX(0,IF(FX$19=$FJ84,$S84^2*FX$15,FX83*INDEX($T$20:$T$91,$FJ84-FX$19)^2/INDEX($U$20:$U$91,$FJ84-FX$19))))</f>
        <v>0.00218647323888862</v>
      </c>
      <c r="FY84" s="150" t="n">
        <f aca="false">IF(FY$19&gt;$FJ84,"",MAX(0,IF(FY$19=$FJ84,$S84^2*FY$15,FY83*INDEX($T$20:$T$91,$FJ84-FY$19)^2/INDEX($U$20:$U$91,$FJ84-FY$19))))</f>
        <v>0.00204640793551142</v>
      </c>
      <c r="FZ84" s="150" t="n">
        <f aca="false">IF(FZ$19&gt;$FJ84,"",MAX(0,IF(FZ$19=$FJ84,$S84^2*FZ$15,FZ83*INDEX($T$20:$T$91,$FJ84-FZ$19)^2/INDEX($U$20:$U$91,$FJ84-FZ$19))))</f>
        <v>0.00190766609367245</v>
      </c>
      <c r="GA84" s="150" t="n">
        <f aca="false">IF(GA$19&gt;$FJ84,"",MAX(0,IF(GA$19=$FJ84,$S84^2*GA$15,GA83*INDEX($T$20:$T$91,$FJ84-GA$19)^2/INDEX($U$20:$U$91,$FJ84-GA$19))))</f>
        <v>0.00204215807257422</v>
      </c>
      <c r="GB84" s="150" t="n">
        <f aca="false">IF(GB$19&gt;$FJ84,"",MAX(0,IF(GB$19=$FJ84,$S84^2*GB$15,GB83*INDEX($T$20:$T$91,$FJ84-GB$19)^2/INDEX($U$20:$U$91,$FJ84-GB$19))))</f>
        <v>0.00224502891806289</v>
      </c>
      <c r="GC84" s="150" t="n">
        <f aca="false">IF(GC$19&gt;$FJ84,"",MAX(0,IF(GC$19=$FJ84,$S84^2*GC$15,GC83*INDEX($T$20:$T$91,$FJ84-GC$19)^2/INDEX($U$20:$U$91,$FJ84-GC$19))))</f>
        <v>0.00197213581319037</v>
      </c>
      <c r="GD84" s="150" t="n">
        <f aca="false">IF(GD$19&gt;$FJ84,"",MAX(0,IF(GD$19=$FJ84,$S84^2*GD$15,GD83*INDEX($T$20:$T$91,$FJ84-GD$19)^2/INDEX($U$20:$U$91,$FJ84-GD$19))))</f>
        <v>0.00197169744998822</v>
      </c>
      <c r="GE84" s="150" t="n">
        <f aca="false">IF(GE$19&gt;$FJ84,"",MAX(0,IF(GE$19=$FJ84,$S84^2*GE$15,GE83*INDEX($T$20:$T$91,$FJ84-GE$19)^2/INDEX($U$20:$U$91,$FJ84-GE$19))))</f>
        <v>0.00224346510492464</v>
      </c>
      <c r="GF84" s="150" t="n">
        <f aca="false">IF(GF$19&gt;$FJ84,"",MAX(0,IF(GF$19=$FJ84,$S84^2*GF$15,GF83*INDEX($T$20:$T$91,$FJ84-GF$19)^2/INDEX($U$20:$U$91,$FJ84-GF$19))))</f>
        <v>0.00197159293277609</v>
      </c>
      <c r="GG84" s="150" t="n">
        <f aca="false">IF(GG$19&gt;$FJ84,"",MAX(0,IF(GG$19=$FJ84,$S84^2*GG$15,GG83*INDEX($T$20:$T$91,$FJ84-GG$19)^2/INDEX($U$20:$U$91,$FJ84-GG$19))))</f>
        <v>0.00217584645862361</v>
      </c>
      <c r="GH84" s="150" t="n">
        <f aca="false">IF(GH$19&gt;$FJ84,"",MAX(0,IF(GH$19=$FJ84,$S84^2*GH$15,GH83*INDEX($T$20:$T$91,$FJ84-GH$19)^2/INDEX($U$20:$U$91,$FJ84-GH$19))))</f>
        <v>0.00204033103920953</v>
      </c>
      <c r="GI84" s="150" t="n">
        <f aca="false">IF(GI$19&gt;$FJ84,"",MAX(0,IF(GI$19=$FJ84,$S84^2*GI$15,GI83*INDEX($T$20:$T$91,$FJ84-GI$19)^2/INDEX($U$20:$U$91,$FJ84-GI$19))))</f>
        <v>0.00197296653133999</v>
      </c>
      <c r="GJ84" s="150" t="n">
        <f aca="false">IF(GJ$19&gt;$FJ84,"",MAX(0,IF(GJ$19=$FJ84,$S84^2*GJ$15,GJ83*INDEX($T$20:$T$91,$FJ84-GJ$19)^2/INDEX($U$20:$U$91,$FJ84-GJ$19))))</f>
        <v>0.00224605403290882</v>
      </c>
      <c r="GK84" s="150" t="n">
        <f aca="false">IF(GK$19&gt;$FJ84,"",MAX(0,IF(GK$19=$FJ84,$S84^2*GK$15,GK83*INDEX($T$20:$T$91,$FJ84-GK$19)^2/INDEX($U$20:$U$91,$FJ84-GK$19))))</f>
        <v>0.00204294607243925</v>
      </c>
      <c r="GL84" s="150" t="n">
        <f aca="false">IF(GL$19&gt;$FJ84,"",MAX(0,IF(GL$19=$FJ84,$S84^2*GL$15,GL83*INDEX($T$20:$T$91,$FJ84-GL$19)^2/INDEX($U$20:$U$91,$FJ84-GL$19))))</f>
        <v>0.00197611451121137</v>
      </c>
      <c r="GM84" s="150" t="n">
        <f aca="false">IF(GM$19&gt;$FJ84,"",MAX(0,IF(GM$19=$FJ84,$S84^2*GM$15,GM83*INDEX($T$20:$T$91,$FJ84-GM$19)^2/INDEX($U$20:$U$91,$FJ84-GM$19))))</f>
        <v>0.00211402017145976</v>
      </c>
      <c r="GN84" s="150" t="n">
        <f aca="false">IF(GN$19&gt;$FJ84,"",MAX(0,IF(GN$19=$FJ84,$S84^2*GN$15,GN83*INDEX($T$20:$T$91,$FJ84-GN$19)^2/INDEX($U$20:$U$91,$FJ84-GN$19))))</f>
        <v>0.00211594668197985</v>
      </c>
      <c r="GO84" s="150" t="n">
        <f aca="false">IF(GO$19&gt;$FJ84,"",MAX(0,IF(GO$19=$FJ84,$S84^2*GO$15,GO83*INDEX($T$20:$T$91,$FJ84-GO$19)^2/INDEX($U$20:$U$91,$FJ84-GO$19))))</f>
        <v>0.00211822322198803</v>
      </c>
      <c r="GP84" s="150" t="n">
        <f aca="false">IF(GP$19&gt;$FJ84,"",MAX(0,IF(GP$19=$FJ84,$S84^2*GP$15,GP83*INDEX($T$20:$T$91,$FJ84-GP$19)^2/INDEX($U$20:$U$91,$FJ84-GP$19))))</f>
        <v>0.00191565603540849</v>
      </c>
      <c r="GQ84" s="150" t="n">
        <f aca="false">IF(GQ$19&gt;$FJ84,"",MAX(0,IF(GQ$19=$FJ84,$S84^2*GQ$15,GQ83*INDEX($T$20:$T$91,$FJ84-GQ$19)^2/INDEX($U$20:$U$91,$FJ84-GQ$19))))</f>
        <v>0.00212405779893904</v>
      </c>
      <c r="GR84" s="150" t="n">
        <f aca="false">IF(GR$19&gt;$FJ84,"",MAX(0,IF(GR$19=$FJ84,$S84^2*GR$15,GR83*INDEX($T$20:$T$91,$FJ84-GR$19)^2/INDEX($U$20:$U$91,$FJ84-GR$19))))</f>
        <v>0.00205912323978463</v>
      </c>
      <c r="GS84" s="150" t="n">
        <f aca="false">IF(GS$19&gt;$FJ84,"",MAX(0,IF(GS$19=$FJ84,$S84^2*GS$15,GS83*INDEX($T$20:$T$91,$FJ84-GS$19)^2/INDEX($U$20:$U$91,$FJ84-GS$19))))</f>
        <v>0.00213210703258192</v>
      </c>
      <c r="GT84" s="150" t="n">
        <f aca="false">IF(GT$19&gt;$FJ84,"",MAX(0,IF(GT$19=$FJ84,$S84^2*GT$15,GT83*INDEX($T$20:$T$91,$FJ84-GT$19)^2/INDEX($U$20:$U$91,$FJ84-GT$19))))</f>
        <v>0.00206826546095365</v>
      </c>
      <c r="GU84" s="150" t="n">
        <f aca="false">IF(GU$19&gt;$FJ84,"",MAX(0,IF(GU$19=$FJ84,$S84^2*GU$15,GU83*INDEX($T$20:$T$91,$FJ84-GU$19)^2/INDEX($U$20:$U$91,$FJ84-GU$19))))</f>
        <v>0.00214319373586365</v>
      </c>
      <c r="GV84" s="150" t="n">
        <f aca="false">IF(GV$19&gt;$FJ84,"",MAX(0,IF(GV$19=$FJ84,$S84^2*GV$15,GV83*INDEX($T$20:$T$91,$FJ84-GV$19)^2/INDEX($U$20:$U$91,$FJ84-GV$19))))</f>
        <v>0.00215022079636916</v>
      </c>
      <c r="GW84" s="150" t="n">
        <f aca="false">IF(GW$19&gt;$FJ84,"",MAX(0,IF(GW$19=$FJ84,$S84^2*GW$15,GW83*INDEX($T$20:$T$91,$FJ84-GW$19)^2/INDEX($U$20:$U$91,$FJ84-GW$19))))</f>
        <v>0.00208884508193977</v>
      </c>
      <c r="GX84" s="150" t="n">
        <f aca="false">IF(GX$19&gt;$FJ84,"",MAX(0,IF(GX$19=$FJ84,$S84^2*GX$15,GX83*INDEX($T$20:$T$91,$FJ84-GX$19)^2/INDEX($U$20:$U$91,$FJ84-GX$19))))</f>
        <v>0.00216817020921897</v>
      </c>
      <c r="GY84" s="150" t="n">
        <f aca="false">IF(GY$19&gt;$FJ84,"",MAX(0,IF(GY$19=$FJ84,$S84^2*GY$15,GY83*INDEX($T$20:$T$91,$FJ84-GY$19)^2/INDEX($U$20:$U$91,$FJ84-GY$19))))</f>
        <v>0.00210926374077546</v>
      </c>
      <c r="GZ84" s="150" t="n">
        <f aca="false">IF(GZ$19&gt;$FJ84,"",MAX(0,IF(GZ$19=$FJ84,$S84^2*GZ$15,GZ83*INDEX($T$20:$T$91,$FJ84-GZ$19)^2/INDEX($U$20:$U$91,$FJ84-GZ$19))))</f>
        <v>0.00219299159956608</v>
      </c>
      <c r="HA84" s="150" t="n">
        <f aca="false">IF(HA$19&gt;$FJ84,"",MAX(0,IF(HA$19=$FJ84,$S84^2*HA$15,HA83*INDEX($T$20:$T$91,$FJ84-HA$19)^2/INDEX($U$20:$U$91,$FJ84-HA$19))))</f>
        <v>0.00220880024211713</v>
      </c>
      <c r="HB84" s="150" t="n">
        <f aca="false">IF(HB$19&gt;$FJ84,"",MAX(0,IF(HB$19=$FJ84,$S84^2*HB$15,HB83*INDEX($T$20:$T$91,$FJ84-HB$19)^2/INDEX($U$20:$U$91,$FJ84-HB$19))))</f>
        <v>0.00208374026287771</v>
      </c>
      <c r="HC84" s="150" t="n">
        <f aca="false">IF(HC$19&gt;$FJ84,"",MAX(0,IF(HC$19=$FJ84,$S84^2*HC$15,HC83*INDEX($T$20:$T$91,$FJ84-HC$19)^2/INDEX($U$20:$U$91,$FJ84-HC$19))))</f>
        <v>0.00224947099314175</v>
      </c>
      <c r="HD84" s="150" t="n">
        <f aca="false">IF(HD$19&gt;$FJ84,"",MAX(0,IF(HD$19=$FJ84,$S84^2*HD$15,HD83*INDEX($T$20:$T$91,$FJ84-HD$19)^2/INDEX($U$20:$U$91,$FJ84-HD$19))))</f>
        <v>0.00220212517918409</v>
      </c>
      <c r="HE84" s="150" t="n">
        <f aca="false">IF(HE$19&gt;$FJ84,"",MAX(0,IF(HE$19=$FJ84,$S84^2*HE$15,HE83*INDEX($T$20:$T$91,$FJ84-HE$19)^2/INDEX($U$20:$U$91,$FJ84-HE$19))))</f>
        <v>0.00230642094131075</v>
      </c>
      <c r="HF84" s="150" t="n">
        <f aca="false">IF(HF$19&gt;$FJ84,"",MAX(0,IF(HF$19=$FJ84,$S84^2*HF$15,HF83*INDEX($T$20:$T$91,$FJ84-HF$19)^2/INDEX($U$20:$U$91,$FJ84-HF$19))))</f>
        <v>0.00226754189898028</v>
      </c>
      <c r="HG84" s="150" t="n">
        <f aca="false">IF(HG$19&gt;$FJ84,"",MAX(0,IF(HG$19=$FJ84,$S84^2*HG$15,HG83*INDEX($T$20:$T$91,$FJ84-HG$19)^2/INDEX($U$20:$U$91,$FJ84-HG$19))))</f>
        <v>0.00238685864451853</v>
      </c>
      <c r="HH84" s="150" t="n">
        <f aca="false">IF(HH$19&gt;$FJ84,"",MAX(0,IF(HH$19=$FJ84,$S84^2*HH$15,HH83*INDEX($T$20:$T$91,$FJ84-HH$19)^2/INDEX($U$20:$U$91,$FJ84-HH$19))))</f>
        <v>0.00243912738026329</v>
      </c>
      <c r="HI84" s="150" t="n">
        <f aca="false">IF(HI$19&gt;$FJ84,"",MAX(0,IF(HI$19=$FJ84,$S84^2*HI$15,HI83*INDEX($T$20:$T$91,$FJ84-HI$19)^2/INDEX($U$20:$U$91,$FJ84-HI$19))))</f>
        <v>0.00242112781909043</v>
      </c>
      <c r="HJ84" s="150" t="n">
        <f aca="false">IF(HJ$19&gt;$FJ84,"",MAX(0,IF(HJ$19=$FJ84,$S84^2*HJ$15,HJ83*INDEX($T$20:$T$91,$FJ84-HJ$19)^2/INDEX($U$20:$U$91,$FJ84-HJ$19))))</f>
        <v>0.00257738575307174</v>
      </c>
      <c r="HK84" s="150" t="n">
        <f aca="false">IF(HK$19&gt;$FJ84,"",MAX(0,IF(HK$19=$FJ84,$S84^2*HK$15,HK83*INDEX($T$20:$T$91,$FJ84-HK$19)^2/INDEX($U$20:$U$91,$FJ84-HK$19))))</f>
        <v>0.0025827967082228</v>
      </c>
      <c r="HL84" s="150" t="n">
        <f aca="false">IF(HL$19&gt;$FJ84,"",MAX(0,IF(HL$19=$FJ84,$S84^2*HL$15,HL83*INDEX($T$20:$T$91,$FJ84-HL$19)^2/INDEX($U$20:$U$91,$FJ84-HL$19))))</f>
        <v>0.0027803832799162</v>
      </c>
      <c r="HM84" s="150" t="n">
        <f aca="false">IF(HM$19&gt;$FJ84,"",MAX(0,IF(HM$19=$FJ84,$S84^2*HM$15,HM83*INDEX($T$20:$T$91,$FJ84-HM$19)^2/INDEX($U$20:$U$91,$FJ84-HM$19))))</f>
        <v>0.00291720174971131</v>
      </c>
      <c r="HN84" s="150" t="n">
        <f aca="false">IF(HN$19&gt;$FJ84,"",MAX(0,IF(HN$19=$FJ84,$S84^2*HN$15,HN83*INDEX($T$20:$T$91,$FJ84-HN$19)^2/INDEX($U$20:$U$91,$FJ84-HN$19))))</f>
        <v>0.00278781614422421</v>
      </c>
      <c r="HO84" s="150" t="n">
        <f aca="false">IF(HO$19&gt;$FJ84,"",MAX(0,IF(HO$19=$FJ84,$S84^2*HO$15,HO83*INDEX($T$20:$T$91,$FJ84-HO$19)^2/INDEX($U$20:$U$91,$FJ84-HO$19))))</f>
        <v>0.00329810849054318</v>
      </c>
      <c r="HP84" s="150" t="n">
        <f aca="false">IF(HP$19&gt;$FJ84,"",MAX(0,IF(HP$19=$FJ84,$S84^2*HP$15,HP83*INDEX($T$20:$T$91,$FJ84-HP$19)^2/INDEX($U$20:$U$91,$FJ84-HP$19))))</f>
        <v>0.00345064680482429</v>
      </c>
      <c r="HQ84" s="150" t="n">
        <f aca="false">IF(HQ$19&gt;$FJ84,"",MAX(0,IF(HQ$19=$FJ84,$S84^2*HQ$15,HQ83*INDEX($T$20:$T$91,$FJ84-HQ$19)^2/INDEX($U$20:$U$91,$FJ84-HQ$19))))</f>
        <v>0.00390871047776657</v>
      </c>
      <c r="HR84" s="150" t="n">
        <f aca="false">IF(HR$19&gt;$FJ84,"",MAX(0,IF(HR$19=$FJ84,$S84^2*HR$15,HR83*INDEX($T$20:$T$91,$FJ84-HR$19)^2/INDEX($U$20:$U$91,$FJ84-HR$19))))</f>
        <v>0.00421531393584792</v>
      </c>
      <c r="HS84" s="150" t="n">
        <f aca="false">IF(HS$19&gt;$FJ84,"",MAX(0,IF(HS$19=$FJ84,$S84^2*HS$15,HS83*INDEX($T$20:$T$91,$FJ84-HS$19)^2/INDEX($U$20:$U$91,$FJ84-HS$19))))</f>
        <v>0.0049501121216046</v>
      </c>
      <c r="HT84" s="150" t="n">
        <f aca="false">IF(HT$19&gt;$FJ84,"",MAX(0,IF(HT$19=$FJ84,$S84^2*HT$15,HT83*INDEX($T$20:$T$91,$FJ84-HT$19)^2/INDEX($U$20:$U$91,$FJ84-HT$19))))</f>
        <v>0.00575872780795869</v>
      </c>
      <c r="HU84" s="150" t="n">
        <f aca="false">IF(HU$19&gt;$FJ84,"",MAX(0,IF(HU$19=$FJ84,$S84^2*HU$15,HU83*INDEX($T$20:$T$91,$FJ84-HU$19)^2/INDEX($U$20:$U$91,$FJ84-HU$19))))</f>
        <v>0.00666804843793223</v>
      </c>
      <c r="HV84" s="150" t="n">
        <f aca="false">IF(HV$19&gt;$FJ84,"",MAX(0,IF(HV$19=$FJ84,$S84^2*HV$15,HV83*INDEX($T$20:$T$91,$FJ84-HV$19)^2/INDEX($U$20:$U$91,$FJ84-HV$19))))</f>
        <v>0.00852846988271803</v>
      </c>
      <c r="HW84" s="150" t="n">
        <f aca="false">IF(HW$19&gt;$FJ84,"",MAX(0,IF(HW$19=$FJ84,$S84^2*HW$15,HW83*INDEX($T$20:$T$91,$FJ84-HW$19)^2/INDEX($U$20:$U$91,$FJ84-HW$19))))</f>
        <v>0.0106447638921958</v>
      </c>
      <c r="HX84" s="150" t="str">
        <f aca="false">IF(HX$19&gt;$FJ84,"",MAX(0,IF(HX$19=$FJ84,$S84^2*HX$15,HX83*INDEX($T$20:$T$91,$FJ84-HX$19)^2/INDEX($U$20:$U$91,$FJ84-HX$19))))</f>
        <v/>
      </c>
      <c r="HY84" s="150" t="str">
        <f aca="false">IF(HY$19&gt;$FJ84,"",MAX(0,IF(HY$19=$FJ84,$S84^2*HY$15,HY83*INDEX($T$20:$T$91,$FJ84-HY$19)^2/INDEX($U$20:$U$91,$FJ84-HY$19))))</f>
        <v/>
      </c>
      <c r="HZ84" s="150" t="str">
        <f aca="false">IF(HZ$19&gt;$FJ84,"",MAX(0,IF(HZ$19=$FJ84,$S84^2*HZ$15,HZ83*INDEX($T$20:$T$91,$FJ84-HZ$19)^2/INDEX($U$20:$U$91,$FJ84-HZ$19))))</f>
        <v/>
      </c>
      <c r="IA84" s="150" t="str">
        <f aca="false">IF(IA$19&gt;$FJ84,"",MAX(0,IF(IA$19=$FJ84,$S84^2*IA$15,IA83*INDEX($T$20:$T$91,$FJ84-IA$19)^2/INDEX($U$20:$U$91,$FJ84-IA$19))))</f>
        <v/>
      </c>
      <c r="IB84" s="150" t="str">
        <f aca="false">IF(IB$19&gt;$FJ84,"",MAX(0,IF(IB$19=$FJ84,$S84^2*IB$15,IB83*INDEX($T$20:$T$91,$FJ84-IB$19)^2/INDEX($U$20:$U$91,$FJ84-IB$19))))</f>
        <v/>
      </c>
      <c r="IC84" s="150" t="str">
        <f aca="false">IF(IC$19&gt;$FJ84,"",MAX(0,IF(IC$19=$FJ84,$S84^2*IC$15,IC83*INDEX($T$20:$T$91,$FJ84-IC$19)^2/INDEX($U$20:$U$91,$FJ84-IC$19))))</f>
        <v/>
      </c>
      <c r="ID84" s="572" t="str">
        <f aca="false">IF(ID$19&gt;$FJ84,"",MAX(0,IF(ID$19=$FJ84,$S84^2*ID$15,ID83*INDEX($T$20:$T$91,$FJ84-ID$19)^2/INDEX($U$20:$U$91,$FJ84-ID$19))))</f>
        <v/>
      </c>
      <c r="IE84" s="129"/>
    </row>
    <row r="85" customFormat="false" ht="12.75" hidden="false" customHeight="false" outlineLevel="0" collapsed="false">
      <c r="H85" s="219" t="n">
        <f aca="false">VLOOKUP(I85,$EJ$20:$EL$54,3)</f>
        <v>0</v>
      </c>
      <c r="I85" s="511" t="n">
        <f aca="false">EOMONTH(I84,0)+1</f>
        <v>38749</v>
      </c>
      <c r="J85" s="512"/>
      <c r="K85" s="513" t="s">
        <v>250</v>
      </c>
      <c r="L85" s="514" t="e">
        <f aca="false">IF(ISNUMBER(K85),J85+K85/100,IF(K85="extra",L84+VLOOKUP(BF85,PriceSpreadTable,2)/12,IF(K85="inter",interpolateprices($K$19:$L$200,ROW(K85)-ROW(FirstPricingMonth)+1),interpolatechanges($J$19:$K$200,ROW(K85)-ROW(FirstPricingMonth)+1))))</f>
        <v>#VALUE!</v>
      </c>
      <c r="M85" s="515"/>
      <c r="N85" s="516" t="n">
        <v>0</v>
      </c>
      <c r="O85" s="515" t="n">
        <f aca="false">M85+N85</f>
        <v>0</v>
      </c>
      <c r="P85" s="512"/>
      <c r="Q85" s="513" t="s">
        <v>280</v>
      </c>
      <c r="R85" s="512" t="e">
        <f aca="false">IF(ISNUMBER(Q85),P85+Q85/100,IF(Q85="extra",(Z83*AL83-R84*AM83)/AN83,IF(Q85="inter",interpolateprices($Q$19:$R$260,ROW(Q85)-ROW(FirstPricingMonth)+1),interpolatechanges($P$19:$Q$260,ROW(Q85)-ROW(FirstPricingMonth)+1))))</f>
        <v>#VALUE!</v>
      </c>
      <c r="S85" s="597" t="n">
        <f aca="false">S$19+(S84-S$19)*S$18</f>
        <v>0.360000000403628</v>
      </c>
      <c r="T85" s="575" t="n">
        <f aca="false">SQRT((1-(1-T84^2/U84)*T$18)*U85)</f>
        <v>0.999995750953751</v>
      </c>
      <c r="U85" s="576" t="n">
        <f aca="false">1-(1-U84)*U$18</f>
        <v>0.99999999988648</v>
      </c>
      <c r="V85" s="521" t="n">
        <v>0</v>
      </c>
      <c r="W85" s="577" t="n">
        <f aca="false">(J86*AJ85+J87*AK85)/AI85</f>
        <v>0</v>
      </c>
      <c r="X85" s="578" t="e">
        <f aca="false">(L86*AJ85+L87*AK85)/AI85</f>
        <v>#VALUE!</v>
      </c>
      <c r="Y85" s="579" t="n">
        <f aca="false">IF(Q87="extra",W85-AA85,(P86*AM85+P87*AN85)/AL85)</f>
        <v>-1.121</v>
      </c>
      <c r="Z85" s="579" t="e">
        <f aca="false">IF(Q87="extra",X85-AB85,(R86*AM85+R87*AN85)/AL85)</f>
        <v>#VALUE!</v>
      </c>
      <c r="AA85" s="523" t="n">
        <f aca="false">IF(Q87="extra",INDEX(BrentSeasonalityTable,INT((BG85-1)/3)+1)*VLOOKUP(MAX(BF85,$AB$4),PriceSpreadTable,3),W85-Y85)</f>
        <v>1.121</v>
      </c>
      <c r="AB85" s="524" t="n">
        <f aca="false">IF(Q87="extra",INDEX(BrentSeasonalityTable,INT((BG85-1)/3)+1)*VLOOKUP(MAX(BF85,$AB$4),PriceSpreadTable,3),X85-Z85)</f>
        <v>1.121</v>
      </c>
      <c r="AC85" s="646" t="n">
        <v>38737</v>
      </c>
      <c r="AD85" s="646" t="n">
        <v>38733</v>
      </c>
      <c r="AE85" s="646" t="n">
        <v>38732</v>
      </c>
      <c r="AF85" s="646" t="n">
        <v>38728</v>
      </c>
      <c r="AG85" s="438" t="s">
        <v>247</v>
      </c>
      <c r="AH85" s="439" t="s">
        <v>278</v>
      </c>
      <c r="AI85" s="528" t="n">
        <v>20</v>
      </c>
      <c r="AJ85" s="529" t="n">
        <v>14</v>
      </c>
      <c r="AK85" s="529" t="n">
        <v>6</v>
      </c>
      <c r="AL85" s="530" t="n">
        <v>20</v>
      </c>
      <c r="AM85" s="529" t="n">
        <v>10</v>
      </c>
      <c r="AN85" s="531" t="n">
        <v>10</v>
      </c>
      <c r="AO85" s="532"/>
      <c r="AP85" s="465" t="n">
        <f aca="false">(1+AO85/2)^(-2*BL85)</f>
        <v>1</v>
      </c>
      <c r="AQ85" s="532"/>
      <c r="AR85" s="465" t="n">
        <f aca="false">(1+AQ85/2)^(-2*BH85/365.25)</f>
        <v>1</v>
      </c>
      <c r="AS85" s="580" t="n">
        <f aca="false">(O86*AJ85+O87*AK85)/AI85</f>
        <v>0</v>
      </c>
      <c r="AT85" s="468" t="n">
        <f aca="false">O85*VLOOKUP(BF85,BrentVolTable,2)+VLOOKUP(BF85,BrentVolTable,3)</f>
        <v>0</v>
      </c>
      <c r="AU85" s="468" t="n">
        <f aca="false">(AT86*AM85+AT87*AN85)/AL85</f>
        <v>0</v>
      </c>
      <c r="AV85" s="595" t="n">
        <f aca="false">SQRT(MAX(0.000000000001,(O85^2*BH85-S85^2*(BH85-BH84))/BH84))</f>
        <v>0.0235843841813376</v>
      </c>
      <c r="AW85" s="451" t="n">
        <f aca="false">IF($I85-DateToday+15&gt;=$T$8,"",IF($I85-DateToday+15&lt;$T$5,1,MATCH($I85-DateToday+15,$T$5:$T$8)))</f>
        <v>1</v>
      </c>
      <c r="AX85" s="468" t="n">
        <f aca="false">IF($AW85="",AX84^2/AX83,INDEX(U$5:U$8,$AW85)^((INDEX($T$5:$T$8,$AW85+1)-($I85-DateToday+15))/(INDEX($T$5:$T$8,$AW85+1)-INDEX($T$5:$T$8,$AW85)))/INDEX(U$5:U$8,$AW85+1)^((INDEX($T$5:$T$8,$AW85)-($I85-DateToday+15))/(INDEX($T$5:$T$8,$AW85+1)-INDEX($T$5:$T$8,$AW85))))</f>
        <v>3.12571331720343</v>
      </c>
      <c r="AY85" s="468" t="n">
        <f aca="false">IF($AW85="",AY84^2/AY83,INDEX(V$5:V$8,$AW85)^((INDEX($T$5:$T$8,$AW85+1)-($I85-DateToday+15))/(INDEX($T$5:$T$8,$AW85+1)-INDEX($T$5:$T$8,$AW85)))/INDEX(V$5:V$8,$AW85+1)^((INDEX($T$5:$T$8,$AW85)-($I85-DateToday+15))/(INDEX($T$5:$T$8,$AW85+1)-INDEX($T$5:$T$8,$AW85))))</f>
        <v>337.123338550501</v>
      </c>
      <c r="AZ85" s="468" t="n">
        <f aca="false">IF($AW85="",AZ84^2/AZ83,INDEX(W$5:W$8,$AW85)^((INDEX($T$5:$T$8,$AW85+1)-($I85-DateToday+15))/(INDEX($T$5:$T$8,$AW85+1)-INDEX($T$5:$T$8,$AW85)))/INDEX(W$5:W$8,$AW85+1)^((INDEX($T$5:$T$8,$AW85)-($I85-DateToday+15))/(INDEX($T$5:$T$8,$AW85+1)-INDEX($T$5:$T$8,$AW85))))</f>
        <v>3327899.07430189</v>
      </c>
      <c r="BA85" s="468" t="n">
        <f aca="false">IF($AW85="",BA84^2/BA83,INDEX(X$5:X$8,$AW85)^((INDEX($T$5:$T$8,$AW85+1)-($I85-DateToday+15))/(INDEX($T$5:$T$8,$AW85+1)-INDEX($T$5:$T$8,$AW85)))/INDEX(X$5:X$8,$AW85+1)^((INDEX($T$5:$T$8,$AW85)-($I85-DateToday+15))/(INDEX($T$5:$T$8,$AW85+1)-INDEX($T$5:$T$8,$AW85))))</f>
        <v>108354775.5714</v>
      </c>
      <c r="BB85" s="468" t="n">
        <f aca="false">IF($AW85="",BB84^2/BB83,INDEX(Y$5:Y$8,$AW85)^((INDEX($T$5:$T$8,$AW85+1)-($I85-DateToday+15))/(INDEX($T$5:$T$8,$AW85+1)-INDEX($T$5:$T$8,$AW85)))/INDEX(Y$5:Y$8,$AW85+1)^((INDEX($T$5:$T$8,$AW85)-($I85-DateToday+15))/(INDEX($T$5:$T$8,$AW85+1)-INDEX($T$5:$T$8,$AW85))))</f>
        <v>1573737711.78957</v>
      </c>
      <c r="BC85" s="468" t="n">
        <f aca="false">IF($AW85="",BC84^2/BC83,INDEX(Z$5:Z$8,$AW85)^((INDEX($T$5:$T$8,$AW85+1)-($I85-DateToday+15))/(INDEX($T$5:$T$8,$AW85+1)-INDEX($T$5:$T$8,$AW85)))/INDEX(Z$5:Z$8,$AW85+1)^((INDEX($T$5:$T$8,$AW85)-($I85-DateToday+15))/(INDEX($T$5:$T$8,$AW85+1)-INDEX($T$5:$T$8,$AW85))))</f>
        <v>7810489000.7336</v>
      </c>
      <c r="BD85" s="535" t="n">
        <f aca="false">IF(OR(DateStart&gt;=I86,DateEnd&lt;I85),0,IF(VolumeOverrideFlag,V85,Volume))</f>
        <v>0</v>
      </c>
      <c r="BE85" s="536" t="n">
        <f aca="false">IF(OR(DateStart2&gt;=I86,DateEnd2&lt;I85),0,IF(VolumeOverrideFlag,V85,VolumeSwaption))</f>
        <v>0</v>
      </c>
      <c r="BF85" s="537" t="n">
        <f aca="false">YEAR(I85)</f>
        <v>2006</v>
      </c>
      <c r="BG85" s="538" t="n">
        <f aca="false">MONTH(I85)</f>
        <v>2</v>
      </c>
      <c r="BH85" s="539" t="n">
        <f aca="false">AD85-DateToday+1</f>
        <v>-7192</v>
      </c>
      <c r="BI85" s="540" t="n">
        <f aca="false">(I85-DateToday+1)/365.25</f>
        <v>-19.64681724846</v>
      </c>
      <c r="BJ85" s="541" t="n">
        <f aca="false">BI85+(BL85-BI85)*CHOOSE(Underlying,AJ85/AI85,AM85/AL85)</f>
        <v>-19.5950718685832</v>
      </c>
      <c r="BK85" s="541" t="n">
        <f aca="false">BJ85+1/365.25</f>
        <v>-19.592334017796</v>
      </c>
      <c r="BL85" s="541" t="n">
        <f aca="false">(I86-DateToday)/365.25</f>
        <v>-19.5728952772074</v>
      </c>
      <c r="BM85" s="542" t="e">
        <f aca="false">MAX(BI85-(BJ85-BI85)*(S86^2/O86^2-1),0)</f>
        <v>#DIV/0!</v>
      </c>
      <c r="BN85" s="541" t="e">
        <f aca="false">MAX(BL85+(BL85-BK85)*(S87^2/O87^2-1),0)</f>
        <v>#DIV/0!</v>
      </c>
      <c r="BO85" s="530" t="n">
        <f aca="false">CHOOSE(Underlying,AI85,AL85)</f>
        <v>20</v>
      </c>
      <c r="BP85" s="529" t="n">
        <f aca="false">CHOOSE(Underlying,AJ85,AM85)</f>
        <v>14</v>
      </c>
      <c r="BQ85" s="529" t="n">
        <f aca="false">CHOOSE(Underlying,AK85,AN85)</f>
        <v>6</v>
      </c>
      <c r="BR85" s="463" t="str">
        <f aca="false">IF(BD85,IF(Underlying=1,X85,Z85)+UnderlyingPriceAsian-SwapPriceCurve,"")</f>
        <v/>
      </c>
      <c r="BS85" s="463" t="str">
        <f aca="false">IF(BD85,Strike1/BR85-1,"")</f>
        <v/>
      </c>
      <c r="BT85" s="464" t="str">
        <f aca="false">IF(BD85,Strike2/BR85-1,"")</f>
        <v/>
      </c>
      <c r="BU85" s="465" t="str">
        <f aca="false">IF(BD85,IF(Underlying=1,L86,R86)+UnderlyingPriceAsian-SwapPriceCurve,"")</f>
        <v/>
      </c>
      <c r="BV85" s="465" t="str">
        <f aca="false">IF(BD85,IF(Underlying=1,L87,R87)+UnderlyingPriceAsian-SwapPriceCurve,"")</f>
        <v/>
      </c>
      <c r="BW85" s="466" t="str">
        <f aca="false">IF(BD85,IF(Underlying=1,O86,AT86),"")</f>
        <v/>
      </c>
      <c r="BX85" s="467" t="str">
        <f aca="false">IF(BD85,IF(Underlying=1,O87,AT87),"")</f>
        <v/>
      </c>
      <c r="BY85" s="466" t="str">
        <f aca="false">IF(BD85,IF(BS85&gt;0,IF(BS85&gt;0.2,BC85-BB85,IF(BS85&gt;0.1,BB85-BA85,BA85)),IF(BS85&lt;-0.2,AX85-AY85,IF(BS85&lt;-0.1,AY85-AZ85,AZ85))),"")</f>
        <v/>
      </c>
      <c r="BZ85" s="467" t="str">
        <f aca="false">IF(BD85,IF(BT85&gt;0,IF(BT85&gt;0.2,BC85-BB85,IF(BT85&gt;0.1,BB85-BA85,BA85)),IF(BT85&lt;-0.2,AX85-AY85,IF(BT85&lt;-0.1,AY85-AZ85,AZ85))),"")</f>
        <v/>
      </c>
      <c r="CA85" s="468" t="str">
        <f aca="false">IF($BD85,$BW85+IF(VolSkewFlag=1,IF(BS85&gt;0,$BA85*MIN(BS85/10%,1)+($BB85-$BA85)*MAX(0,MIN(BS85/10%-1,1))+($BC85-$BB85)*MAX(0,BS85/10%-2),$AZ85*MIN(-BS85/10%,1)+($AY85-$AZ85)*MAX(0,MIN(-BS85/10%-1,1))+($AX85-$AY85)*MAX(0,-BS85/10%-2)),0),"")</f>
        <v/>
      </c>
      <c r="CB85" s="468" t="str">
        <f aca="false">IF($BD85,$BX85+IF(VolSkewFlag=1,IF(BS85&gt;0,$BA85*MIN(BS85/10%,1)+($BB85-$BA85)*MAX(0,MIN(BS85/10%-1,1))+($BC85-$BB85)*MAX(0,BS85/10%-2),$AZ85*MIN(-BS85/10%,1)+($AY85-$AZ85)*MAX(0,MIN(-BS85/10%-1,1))+($AX85-$AY85)*MAX(0,-BS85/10%-2)),0),"")</f>
        <v/>
      </c>
      <c r="CC85" s="468" t="str">
        <f aca="false">IF($BD85,$BW85+IF(VolSkewFlag=1,IF(BT85&gt;0,$BA85*MIN(BT85/10%,1)+($BB85-$BA85)*MAX(0,MIN(BT85/10%-1,1))+($BC85-$BB85)*MAX(0,BT85/10%-2),$AZ85*MIN(-BT85/10%,1)+($AY85-$AZ85)*MAX(0,MIN(-BT85/10%-1,1))+($AX85-$AY85)*MAX(0,-BT85/10%-2)),0),"")</f>
        <v/>
      </c>
      <c r="CD85" s="468" t="str">
        <f aca="false">IF($BD85,$BX85+IF(VolSkewFlag=1,IF(BT85&gt;0,$BA85*MIN(BT85/10%,1)+($BB85-$BA85)*MAX(0,MIN(BT85/10%-1,1))+($BC85-$BB85)*MAX(0,BT85/10%-2),$AZ85*MIN(-BT85/10%,1)+($AY85-$AZ85)*MAX(0,MIN(-BT85/10%-1,1))+($AX85-$AY85)*MAX(0,-BT85/10%-2)),0),"")</f>
        <v/>
      </c>
      <c r="CE85" s="469" t="n">
        <v>1</v>
      </c>
      <c r="CF85" s="470" t="n">
        <f aca="false">IF(BD85,xCrudeAPO(BU85,BV85,CA85,CB85,S86,S87,BI85,BL85,BP85,BQ85,0,Strike1,AO85,CE85,0,BL85,IF(OptControl=4,0,1),0,1),0)</f>
        <v>0</v>
      </c>
      <c r="CG85" s="470" t="n">
        <f aca="false">IF(BD85,xCrudeAPO(BU85,BV85,CA85,CB85,S86,S87,BI85,BL85,BP85,BQ85,0,Strike1,AO85,CE85,0,BL85,IF(OptControl=4,0,1),1,1)+xCrudeAPO(BU85,BV85,CA85,CB85,S86,S87,BI85,BL85,BP85,BQ85,0,Strike1,AO85,CE85,0,BL85,IF(OptControl=4,0,1),1,2)+IF(OR(VolSkewFlag=2,ABS(BS85)&lt;0.0001),0,IF(BS85&gt;0,-1,1)*CH85*Strike1/BR85^2*BY85/10%),0)</f>
        <v>0</v>
      </c>
      <c r="CH85" s="470" t="n">
        <f aca="false">IF(BD85,(xCrudeAPO(BU85,BV85,CA85,CB85,S86,S87,BI85,BL85,BP85,BQ85,0,Strike1,AO85,CE85,0,BL85,IF(OptControl=4,0,1),3,1)+xCrudeAPO(BU85,BV85,CA85,CB85,S86,S87,BI85,BL85,BP85,BQ85,0,Strike1,AO85,CE85,0,BL85,IF(OptControl=4,0,1),3,2))/100,0)</f>
        <v>0</v>
      </c>
      <c r="CI85" s="470" t="n">
        <f aca="false">IF(BD85,xCrudeAPO(BU85,BV85,CA85,CB85,S86,S87,BI85-DaysForThetaCalculation/365.25,BL85-DaysForThetaCalculation/365.25,BP85,BQ85,0,Strike1,AO85,CE85,0,BL85,IF(OptControl=4,0,1),0,1)-xCrudeAPO(BU85,BV85,CA85,CB85,S86,S87,BI85,BL85,BP85,BQ85,0,Strike1,AO85,CE85,0,BL85,IF(OptControl=4,0,1),0,1),0)</f>
        <v>0</v>
      </c>
      <c r="CJ85" s="471" t="n">
        <f aca="false">IF(BD85,xCrudeAPO(BU85,BV85,CC85,CD85,S86,S87,BI85,BL85,BP85,BQ85,0,Strike2,AO85,CE85,0,BL85,IF(OptControl=3,1,0),0,1),0)</f>
        <v>0</v>
      </c>
      <c r="CK85" s="470" t="n">
        <f aca="false">IF(BD85,xCrudeAPO(BU85,BV85,CC85,CD85,S86,S87,BI85,BL85,BP85,BQ85,0,Strike2,AO85,CE85,0,BL85,IF(OptControl=3,1,0),1,1)+xCrudeAPO(BU85,BV85,CC85,CD85,S86,S87,BI85,BL85,BP85,BQ85,0,Strike2,AO85,CE85,0,BL85,IF(OptControl=3,1,0),1,2)+IF(OR(VolSkewFlag=2,ABS(BT85)&lt;0.0001),0,IF(BT85&gt;0,-1,1)*CL85*Strike2/BR85^2*BZ85/10%),0)</f>
        <v>0</v>
      </c>
      <c r="CL85" s="470" t="n">
        <f aca="false">IF(BD85,(xCrudeAPO(BU85,BV85,CC85,CD85,S86,S87,BI85,BL85,BP85,BQ85,0,Strike2,AO85,CE85,0,BL85,IF(OptControl=3,1,0),3,1)+xCrudeAPO(BU85,BV85,CC85,CD85,S86,S87,BI85,BL85,BP85,BQ85,0,Strike2,AO85,CE85,0,BL85,IF(OptControl=3,1,0),3,2))/100,0)</f>
        <v>0</v>
      </c>
      <c r="CM85" s="472" t="n">
        <f aca="false">IF(BD85,xCrudeAPO(BU85,BV85,CC85,CD85,S86,S87,BI85-DaysForThetaCalculation/365.25,BL85-DaysForThetaCalculation/365.25,BP85,BQ85,0,Strike2,AO85,CE85,0,BL85,IF(OptControl=3,1,0),0,1)-xCrudeAPO(BU85,BV85,CC85,CD85,S86,S87,BI85,BL85,BP85,BQ85,0,Strike2,AO85,CE85,0,BL85,IF(OptControl=3,1,0),0,1),0)</f>
        <v>0</v>
      </c>
      <c r="CN85" s="3"/>
      <c r="CO85" s="543" t="str">
        <f aca="false">IF(BD85,CHOOSE(Underlying,AD85,AF85)-DateToday+1,"")</f>
        <v/>
      </c>
      <c r="CP85" s="582" t="str">
        <f aca="false">IF(BD85,CHOOSE(Underlying,L85,R85),"")</f>
        <v/>
      </c>
      <c r="CQ85" s="544" t="str">
        <f aca="false">IF(BD85,Strike1/CP85-1,"")</f>
        <v/>
      </c>
      <c r="CR85" s="544" t="str">
        <f aca="false">IF(BD85,Strike2/CP85-1,"")</f>
        <v/>
      </c>
      <c r="CS85" s="544" t="str">
        <f aca="false">IF(BD85,IF(CQ85&gt;0,IF(CQ85&gt;0.2,BC84-BB84,IF(CQ85&gt;0.1,BB84-BA84,BA84)),IF(CQ85&lt;-0.2,AX84-AY84,IF(CQ85&lt;-0.1,AY84-AZ84,AZ84))),"")</f>
        <v/>
      </c>
      <c r="CT85" s="544" t="str">
        <f aca="false">IF(BD85,IF(CR85&gt;0,IF(CR85&gt;0.2,BC84-BB84,IF(CR85&gt;0.1,BB84-BA84,BA84)),IF(CR85&lt;-0.2,AX84-AY84,IF(CR85&lt;-0.1,AY84-AZ84,AZ84))),"")</f>
        <v/>
      </c>
      <c r="CU85" s="545" t="str">
        <f aca="false">IF(BD85,CHOOSE(Underlying,O85,AT85),"")</f>
        <v/>
      </c>
      <c r="CV85" s="545" t="str">
        <f aca="false">IF(BD85,CU85+IF(VolSkewFlag=1,IF(CQ85&gt;0,BA84*MIN(CQ85/10%,1)+(BB84-BA84)*MAX(0,MIN(CQ85/10%-1,1))+(BC84-BB84)*MAX(0,CQ85/10%-2),AZ84*MIN(-CQ85/10%,1)+(AY84-AZ84)*MAX(0,MIN(-CQ85/10%-1,1))+(AX84-AY84)*MAX(0,-CQ85/10%-2)),0),"")</f>
        <v/>
      </c>
      <c r="CW85" s="545" t="str">
        <f aca="false">IF(BD85,CU85+IF(VolSkewFlag=1,IF(CR85&gt;0,BA84*MIN(CR85/10%,1)+(BB84-BA84)*MAX(0,MIN(CR85/10%-1,1))+(BC84-BB84)*MAX(0,CR85/10%-2),AZ84*MIN(-CR85/10%,1)+(AY84-AZ84)*MAX(0,MIN(-CR85/10%-1,1))+(AX84-AY84)*MAX(0,-CR85/10%-2)),0),"")</f>
        <v/>
      </c>
      <c r="CX85" s="470" t="n">
        <f aca="false">IF(BD85,EURO(CP85,Strike1,AO85,AO85,CV85,CO85,IF(OptControl=4,0,1),0),0)</f>
        <v>0</v>
      </c>
      <c r="CY85" s="470" t="n">
        <f aca="false">IF(BD85,EURO(CP85,Strike1,AO85,AO85,CV85,CO85,IF(OptControl=4,0,1),1)+IF(OR(VolSkewFlag=2,ABS(CQ85)&lt;0.0001),0,IF(CQ85&gt;0,-1,1)*CZ85*100*Strike1/CP85^2*CS85/10%),0)</f>
        <v>0</v>
      </c>
      <c r="CZ85" s="470" t="n">
        <f aca="false">IF(BD85,EURO(CP85,Strike1,AO85,AO85,CV85,CO85,IF(OptControl=4,0,1),3)/100,0)</f>
        <v>0</v>
      </c>
      <c r="DA85" s="470" t="n">
        <f aca="false">IF(BD85,EURO(CP85,Strike1,AO85,AO85,CV85,CO85,IF(OptControl=4,0,1),0)-EURO(CP85,Strike1,AO85,AO85,CV85,CO85-1,IF(OptControl=4,0,1),0),0)</f>
        <v>0</v>
      </c>
      <c r="DB85" s="470" t="n">
        <f aca="false">IF(BD85,EURO(CP85,Strike2,AO85,AO85,CW85,CO85,IF(OptControl=3,1,0),0),0)</f>
        <v>0</v>
      </c>
      <c r="DC85" s="470" t="n">
        <f aca="false">IF(BD85,EURO(CP85,Strike2,AO85,AO85,CW85,CO85,IF(OptControl=3,1,0),1)+IF(OR(VolSkewFlag=2,ABS(CR85)&lt;0.0001),0,IF(CR85&gt;0,-1,1)*DD85*100*Strike2/CP85^2*CT85/10%),0)</f>
        <v>0</v>
      </c>
      <c r="DD85" s="470" t="n">
        <f aca="false">IF(BD85,EURO(CP85,Strike2,AO85,AO85,CW85,CO85,IF(OptControl=3,1,0),3)/100,0)</f>
        <v>0</v>
      </c>
      <c r="DE85" s="472" t="n">
        <f aca="false">IF(BD85,EURO(CP85,Strike2,AO85,AO85,CW85,CO85,IF(OptControl=3,1,0),0)-EURO(CP85,Strike2,AO85,AO85,CW85,CO85-1,IF(OptControl=3,1,0),0),0)</f>
        <v>0</v>
      </c>
      <c r="DG85" s="481" t="n">
        <f aca="false">EOMONTH(DG84,0)+1</f>
        <v>47665</v>
      </c>
      <c r="DH85" s="478" t="n">
        <v>18.3366666666667</v>
      </c>
      <c r="DI85" s="479" t="n">
        <v>18.3321666666667</v>
      </c>
      <c r="DJ85" s="480" t="n">
        <f aca="false">DG85</f>
        <v>47665</v>
      </c>
      <c r="DK85" s="478" t="n">
        <v>17.1631157566493</v>
      </c>
      <c r="DL85" s="479" t="n">
        <v>17.0961666666667</v>
      </c>
      <c r="DM85" s="481" t="n">
        <f aca="false">DG85</f>
        <v>47665</v>
      </c>
      <c r="DN85" s="482" t="n">
        <f aca="false">DK85+BrentPhyBrentSpread</f>
        <v>17.2131157566493</v>
      </c>
      <c r="DO85" s="481" t="n">
        <f aca="false">DG85</f>
        <v>47665</v>
      </c>
      <c r="DP85" s="483" t="n">
        <f aca="false">DL85+DQ85</f>
        <v>17.0961666666667</v>
      </c>
      <c r="DQ85" s="546" t="n">
        <v>0</v>
      </c>
      <c r="DR85" s="480" t="n">
        <f aca="false">DG85</f>
        <v>47665</v>
      </c>
      <c r="DS85" s="485" t="n">
        <v>0.192333172849358</v>
      </c>
      <c r="DT85" s="486" t="n">
        <v>0.192035798336471</v>
      </c>
      <c r="DU85" s="480" t="n">
        <f aca="false">DG85</f>
        <v>47665</v>
      </c>
      <c r="DV85" s="485" t="n">
        <v>0.192333172849358</v>
      </c>
      <c r="DW85" s="486" t="n">
        <v>0.192035798336471</v>
      </c>
      <c r="DX85" s="481" t="n">
        <f aca="false">DG85</f>
        <v>47665</v>
      </c>
      <c r="DY85" s="486" t="n">
        <v>0.35</v>
      </c>
      <c r="DZ85" s="481" t="n">
        <f aca="false">DR85</f>
        <v>47665</v>
      </c>
      <c r="EA85" s="486" t="n">
        <f aca="false">DT85</f>
        <v>0.192035798336471</v>
      </c>
      <c r="EB85" s="195"/>
      <c r="EC85" s="547" t="str">
        <f aca="false">IF(BD85,IF(Underlying=1,AS85,AU85),"")</f>
        <v/>
      </c>
      <c r="ED85" s="548" t="str">
        <f aca="false">IF($BD85,$EC85+IF(VolSkewFlag=1,IF(BS85&gt;0,$BA85*MIN(BS85/10%,1)+($BB85-$BA85)*MAX(0,MIN(BS85/10%-1,1))+($BC85-$BB85)*MAX(0,BS85/10%-2),$AZ85*MIN(-BS85/10%,1)+($AY85-$AZ85)*MAX(0,MIN(-BS85/10%-1,1))+($AX85-$AY85)*MAX(0,-BS85/10%-2)),0),"")</f>
        <v/>
      </c>
      <c r="EE85" s="549" t="str">
        <f aca="false">IF($BD85,$EC85+IF(VolSkewFlag=1,IF(BT85&gt;0,$BA85*MIN(BT85/10%,1)+($BB85-$BA85)*MAX(0,MIN(BT85/10%-1,1))+($BC85-$BB85)*MAX(0,BT85/10%-2),$AZ85*MIN(-BT85/10%,1)+($AY85-$AZ85)*MAX(0,MIN(-BT85/10%-1,1))+($AX85-$AY85)*MAX(0,-BT85/10%-2)),0),"")</f>
        <v/>
      </c>
      <c r="EF85" s="550" t="n">
        <f aca="false">IF(BD85,xASN(BR85,Strike1,AO85,ED85,0,BO85,0,BI85,BL85,IF(OptControl=4,0,1),0),0)</f>
        <v>0</v>
      </c>
      <c r="EG85" s="551" t="n">
        <f aca="false">IF(BD85,xASN(BR85,Strike2,AO85,EE85,0,BO85,0,BI85,BL85,IF(OptControl=3,1,0),0),0)</f>
        <v>0</v>
      </c>
      <c r="EL85" s="1"/>
      <c r="EM85" s="195"/>
      <c r="EN85" s="556" t="n">
        <v>43650</v>
      </c>
      <c r="EO85" s="557" t="n">
        <v>48573</v>
      </c>
      <c r="EP85" s="195"/>
      <c r="EQ85" s="407" t="s">
        <v>311</v>
      </c>
      <c r="ES85" s="587" t="n">
        <v>66</v>
      </c>
      <c r="ET85" s="559" t="n">
        <f aca="false">BH85/365.25</f>
        <v>-19.6906228610541</v>
      </c>
      <c r="EU85" s="560" t="n">
        <f aca="false">O85^2*ET85</f>
        <v>-0</v>
      </c>
      <c r="EV85" s="588" t="e">
        <f aca="false">SQRT(SUM(FK85:ID85)/ET85)</f>
        <v>#VALUE!</v>
      </c>
      <c r="EW85" s="589" t="str">
        <f aca="false">IF(OR(DateStart2&gt;I84,DateEnd2&lt;I83),"",IF(DateStart2&lt;I84,AK83/AI83*AP83*BE83*SwaptionNumOfMonths/$D$33,0)+IF(DateEnd2&gt;I83,AJ84/AI84*AP84*BE84*SwaptionNumOfMonths/$D$33,0))</f>
        <v/>
      </c>
      <c r="EX85" s="590" t="str">
        <f aca="false">IF(EW85="","",SQRT(SUM(FK390:ID390)/SwaptionYearsToExp))</f>
        <v/>
      </c>
      <c r="EY85" s="129" t="n">
        <v>0</v>
      </c>
      <c r="EZ85" s="591" t="str">
        <f aca="false">IF(OR(EW85="",EW86=""),"",SQRT(SUM(INDEX(FK85:ID85,SwaptionFirstMonthPosition+1):INDEX(FK85:ID85,FJ85))/SUM(INDEX($FK$15:$ID$15,SwaptionFirstMonthPosition+1):INDEX($FK$15:$ID$15,FJ85))))</f>
        <v/>
      </c>
      <c r="FA85" s="592" t="str">
        <f aca="false">IF(OR(EW85="",EW84=""),"",SQRT(SUM(INDEX(FK85:ID85,SwaptionFirstMonthPosition+1):INDEX(FK85:ID85,FJ85-1))/SUM(INDEX($FK$15:$ID$15,SwaptionFirstMonthPosition+1):INDEX($FK$15:$ID$15,FJ85-1))))</f>
        <v/>
      </c>
      <c r="FB85" s="593" t="str">
        <f aca="false">IF(BE85,2/3*EZ86+1/3*FA87,"")</f>
        <v/>
      </c>
      <c r="FC85" s="596" t="str">
        <f aca="false">IF(BE85,(I86+I85-1)/2-DateToday,"")</f>
        <v/>
      </c>
      <c r="FD85" s="483" t="str">
        <f aca="false">IF(BE85,CHOOSE(Underlying,X85,Z85)+SwaptionUnderlyingPrice-$D$26,"")</f>
        <v/>
      </c>
      <c r="FE85" s="483" t="str">
        <f aca="false">IF(BE85,CollartionFloor/FD85-1,"")</f>
        <v/>
      </c>
      <c r="FF85" s="483" t="str">
        <f aca="false">IF(BE85,CollartionCap/FD85-1,"")</f>
        <v/>
      </c>
      <c r="FG85" s="485" t="str">
        <f aca="false">IF(BE85,IF(VolSkewFlag=1,IF(FE85&gt;0,$BA85*MIN(FE85/10%,1)+($BB85-$BA85)*MAX(0,MIN(FE85/10%-1,1))+($BC85-$BB85)*MAX(0,FE85/10%-2),$AZ85*MIN(-FE85/10%,1)+($AY85-$AZ85)*MAX(0,MIN(-FE85/10%-1,1))+($AX85-$AY85)*MAX(0,-FE85/10%-2)),0),"")</f>
        <v/>
      </c>
      <c r="FH85" s="486" t="str">
        <f aca="false">IF(BE85,IF(VolSkewFlag=1,IF(FF85&gt;0,$BA85*MIN(FF85/10%,1)+($BB85-$BA85)*MAX(0,MIN(FF85/10%-1,1))+($BC85-$BB85)*MAX(0,FF85/10%-2),$AZ85*MIN(-FF85/10%,1)+($AY85-$AZ85)*MAX(0,MIN(-FF85/10%-1,1))+($AX85-$AY85)*MAX(0,-FF85/10%-2)),0),"")</f>
        <v/>
      </c>
      <c r="FI85" s="129"/>
      <c r="FJ85" s="571" t="n">
        <v>66</v>
      </c>
      <c r="FK85" s="150" t="n">
        <f aca="false">IF(FK$19&gt;$FJ85,"",MAX(0,IF(FK$19=$FJ85,$S85^2*FK$15,FK84*INDEX($T$20:$T$91,$FJ85-FK$19)^2/INDEX($U$20:$U$91,$FJ85-FK$19))))</f>
        <v>0</v>
      </c>
      <c r="FL85" s="150" t="n">
        <f aca="false">IF(FL$19&gt;$FJ85,"",MAX(0,IF(FL$19=$FJ85,$S85^2*FL$15,FL84*INDEX($T$20:$T$91,$FJ85-FL$19)^2/INDEX($U$20:$U$91,$FJ85-FL$19))))</f>
        <v>0</v>
      </c>
      <c r="FM85" s="150" t="n">
        <f aca="false">IF(FM$19&gt;$FJ85,"",MAX(0,IF(FM$19=$FJ85,$S85^2*FM$15,FM84*INDEX($T$20:$T$91,$FJ85-FM$19)^2/INDEX($U$20:$U$91,$FJ85-FM$19))))</f>
        <v>0.00254696710435807</v>
      </c>
      <c r="FN85" s="150" t="n">
        <f aca="false">IF(FN$19&gt;$FJ85,"",MAX(0,IF(FN$19=$FJ85,$S85^2*FN$15,FN84*INDEX($T$20:$T$91,$FJ85-FN$19)^2/INDEX($U$20:$U$91,$FJ85-FN$19))))</f>
        <v>0.00214373430877822</v>
      </c>
      <c r="FO85" s="150" t="n">
        <f aca="false">IF(FO$19&gt;$FJ85,"",MAX(0,IF(FO$19=$FJ85,$S85^2*FO$15,FO84*INDEX($T$20:$T$91,$FJ85-FO$19)^2/INDEX($U$20:$U$91,$FJ85-FO$19))))</f>
        <v>0.00222983571950274</v>
      </c>
      <c r="FP85" s="150" t="n">
        <f aca="false">IF(FP$19&gt;$FJ85,"",MAX(0,IF(FP$19=$FJ85,$S85^2*FP$15,FP84*INDEX($T$20:$T$91,$FJ85-FP$19)^2/INDEX($U$20:$U$91,$FJ85-FP$19))))</f>
        <v>0.00247093185128431</v>
      </c>
      <c r="FQ85" s="150" t="n">
        <f aca="false">IF(FQ$19&gt;$FJ85,"",MAX(0,IF(FQ$19=$FJ85,$S85^2*FQ$15,FQ84*INDEX($T$20:$T$91,$FJ85-FQ$19)^2/INDEX($U$20:$U$91,$FJ85-FQ$19))))</f>
        <v>0.00200052061362805</v>
      </c>
      <c r="FR85" s="150" t="n">
        <f aca="false">IF(FR$19&gt;$FJ85,"",MAX(0,IF(FR$19=$FJ85,$S85^2*FR$15,FR84*INDEX($T$20:$T$91,$FJ85-FR$19)^2/INDEX($U$20:$U$91,$FJ85-FR$19))))</f>
        <v>0.00204549104540987</v>
      </c>
      <c r="FS85" s="150" t="n">
        <f aca="false">IF(FS$19&gt;$FJ85,"",MAX(0,IF(FS$19=$FJ85,$S85^2*FS$15,FS84*INDEX($T$20:$T$91,$FJ85-FS$19)^2/INDEX($U$20:$U$91,$FJ85-FS$19))))</f>
        <v>0.00230518247048671</v>
      </c>
      <c r="FT85" s="150" t="n">
        <f aca="false">IF(FT$19&gt;$FJ85,"",MAX(0,IF(FT$19=$FJ85,$S85^2*FT$15,FT84*INDEX($T$20:$T$91,$FJ85-FT$19)^2/INDEX($U$20:$U$91,$FJ85-FT$19))))</f>
        <v>0.00208040728900958</v>
      </c>
      <c r="FU85" s="150" t="n">
        <f aca="false">IF(FU$19&gt;$FJ85,"",MAX(0,IF(FU$19=$FJ85,$S85^2*FU$15,FU84*INDEX($T$20:$T$91,$FJ85-FU$19)^2/INDEX($U$20:$U$91,$FJ85-FU$19))))</f>
        <v>0.00200009488461251</v>
      </c>
      <c r="FV85" s="150" t="n">
        <f aca="false">IF(FV$19&gt;$FJ85,"",MAX(0,IF(FV$19=$FJ85,$S85^2*FV$15,FV84*INDEX($T$20:$T$91,$FJ85-FV$19)^2/INDEX($U$20:$U$91,$FJ85-FV$19))))</f>
        <v>0.00219798528556323</v>
      </c>
      <c r="FW85" s="150" t="n">
        <f aca="false">IF(FW$19&gt;$FJ85,"",MAX(0,IF(FW$19=$FJ85,$S85^2*FW$15,FW84*INDEX($T$20:$T$91,$FJ85-FW$19)^2/INDEX($U$20:$U$91,$FJ85-FW$19))))</f>
        <v>0.00205432398079883</v>
      </c>
      <c r="FX85" s="150" t="n">
        <f aca="false">IF(FX$19&gt;$FJ85,"",MAX(0,IF(FX$19=$FJ85,$S85^2*FX$15,FX84*INDEX($T$20:$T$91,$FJ85-FX$19)^2/INDEX($U$20:$U$91,$FJ85-FX$19))))</f>
        <v>0.00218630669324019</v>
      </c>
      <c r="FY85" s="150" t="n">
        <f aca="false">IF(FY$19&gt;$FJ85,"",MAX(0,IF(FY$19=$FJ85,$S85^2*FY$15,FY84*INDEX($T$20:$T$91,$FJ85-FY$19)^2/INDEX($U$20:$U$91,$FJ85-FY$19))))</f>
        <v>0.00204622562352625</v>
      </c>
      <c r="FZ85" s="150" t="n">
        <f aca="false">IF(FZ$19&gt;$FJ85,"",MAX(0,IF(FZ$19=$FJ85,$S85^2*FZ$15,FZ84*INDEX($T$20:$T$91,$FJ85-FZ$19)^2/INDEX($U$20:$U$91,$FJ85-FZ$19))))</f>
        <v>0.00190746731982002</v>
      </c>
      <c r="GA85" s="150" t="n">
        <f aca="false">IF(GA$19&gt;$FJ85,"",MAX(0,IF(GA$19=$FJ85,$S85^2*GA$15,GA84*INDEX($T$20:$T$91,$FJ85-GA$19)^2/INDEX($U$20:$U$91,$FJ85-GA$19))))</f>
        <v>0.00204190919822646</v>
      </c>
      <c r="GB85" s="150" t="n">
        <f aca="false">IF(GB$19&gt;$FJ85,"",MAX(0,IF(GB$19=$FJ85,$S85^2*GB$15,GB84*INDEX($T$20:$T$91,$FJ85-GB$19)^2/INDEX($U$20:$U$91,$FJ85-GB$19))))</f>
        <v>0.00224470892054908</v>
      </c>
      <c r="GC85" s="150" t="n">
        <f aca="false">IF(GC$19&gt;$FJ85,"",MAX(0,IF(GC$19=$FJ85,$S85^2*GC$15,GC84*INDEX($T$20:$T$91,$FJ85-GC$19)^2/INDEX($U$20:$U$91,$FJ85-GC$19))))</f>
        <v>0.00197180704077696</v>
      </c>
      <c r="GD85" s="150" t="n">
        <f aca="false">IF(GD$19&gt;$FJ85,"",MAX(0,IF(GD$19=$FJ85,$S85^2*GD$15,GD84*INDEX($T$20:$T$91,$FJ85-GD$19)^2/INDEX($U$20:$U$91,$FJ85-GD$19))))</f>
        <v>0.00197131300632224</v>
      </c>
      <c r="GE85" s="150" t="n">
        <f aca="false">IF(GE$19&gt;$FJ85,"",MAX(0,IF(GE$19=$FJ85,$S85^2*GE$15,GE84*INDEX($T$20:$T$91,$FJ85-GE$19)^2/INDEX($U$20:$U$91,$FJ85-GE$19))))</f>
        <v>0.00224295348713236</v>
      </c>
      <c r="GF85" s="150" t="n">
        <f aca="false">IF(GF$19&gt;$FJ85,"",MAX(0,IF(GF$19=$FJ85,$S85^2*GF$15,GF84*INDEX($T$20:$T$91,$FJ85-GF$19)^2/INDEX($U$20:$U$91,$FJ85-GF$19))))</f>
        <v>0.00197106706391101</v>
      </c>
      <c r="GG85" s="150" t="n">
        <f aca="false">IF(GG$19&gt;$FJ85,"",MAX(0,IF(GG$19=$FJ85,$S85^2*GG$15,GG84*INDEX($T$20:$T$91,$FJ85-GG$19)^2/INDEX($U$20:$U$91,$FJ85-GG$19))))</f>
        <v>0.00217516768909676</v>
      </c>
      <c r="GH85" s="150" t="n">
        <f aca="false">IF(GH$19&gt;$FJ85,"",MAX(0,IF(GH$19=$FJ85,$S85^2*GH$15,GH84*INDEX($T$20:$T$91,$FJ85-GH$19)^2/INDEX($U$20:$U$91,$FJ85-GH$19))))</f>
        <v>0.00203958660107403</v>
      </c>
      <c r="GI85" s="150" t="n">
        <f aca="false">IF(GI$19&gt;$FJ85,"",MAX(0,IF(GI$19=$FJ85,$S85^2*GI$15,GI84*INDEX($T$20:$T$91,$FJ85-GI$19)^2/INDEX($U$20:$U$91,$FJ85-GI$19))))</f>
        <v>0.00197212459049358</v>
      </c>
      <c r="GJ85" s="150" t="n">
        <f aca="false">IF(GJ$19&gt;$FJ85,"",MAX(0,IF(GJ$19=$FJ85,$S85^2*GJ$15,GJ84*INDEX($T$20:$T$91,$FJ85-GJ$19)^2/INDEX($U$20:$U$91,$FJ85-GJ$19))))</f>
        <v>0.00224493300623438</v>
      </c>
      <c r="GK85" s="150" t="n">
        <f aca="false">IF(GK$19&gt;$FJ85,"",MAX(0,IF(GK$19=$FJ85,$S85^2*GK$15,GK84*INDEX($T$20:$T$91,$FJ85-GK$19)^2/INDEX($U$20:$U$91,$FJ85-GK$19))))</f>
        <v>0.00204175349514951</v>
      </c>
      <c r="GL85" s="150" t="n">
        <f aca="false">IF(GL$19&gt;$FJ85,"",MAX(0,IF(GL$19=$FJ85,$S85^2*GL$15,GL84*INDEX($T$20:$T$91,$FJ85-GL$19)^2/INDEX($U$20:$U$91,$FJ85-GL$19))))</f>
        <v>0.00197476531341036</v>
      </c>
      <c r="GM85" s="150" t="n">
        <f aca="false">IF(GM$19&gt;$FJ85,"",MAX(0,IF(GM$19=$FJ85,$S85^2*GM$15,GM84*INDEX($T$20:$T$91,$FJ85-GM$19)^2/INDEX($U$20:$U$91,$FJ85-GM$19))))</f>
        <v>0.00211233203896544</v>
      </c>
      <c r="GN85" s="150" t="n">
        <f aca="false">IF(GN$19&gt;$FJ85,"",MAX(0,IF(GN$19=$FJ85,$S85^2*GN$15,GN84*INDEX($T$20:$T$91,$FJ85-GN$19)^2/INDEX($U$20:$U$91,$FJ85-GN$19))))</f>
        <v>0.00211397045871365</v>
      </c>
      <c r="GO85" s="150" t="n">
        <f aca="false">IF(GO$19&gt;$FJ85,"",MAX(0,IF(GO$19=$FJ85,$S85^2*GO$15,GO84*INDEX($T$20:$T$91,$FJ85-GO$19)^2/INDEX($U$20:$U$91,$FJ85-GO$19))))</f>
        <v>0.00211590936294914</v>
      </c>
      <c r="GP85" s="150" t="n">
        <f aca="false">IF(GP$19&gt;$FJ85,"",MAX(0,IF(GP$19=$FJ85,$S85^2*GP$15,GP84*INDEX($T$20:$T$91,$FJ85-GP$19)^2/INDEX($U$20:$U$91,$FJ85-GP$19))))</f>
        <v>0.00191320856984051</v>
      </c>
      <c r="GQ85" s="150" t="n">
        <f aca="false">IF(GQ$19&gt;$FJ85,"",MAX(0,IF(GQ$19=$FJ85,$S85^2*GQ$15,GQ84*INDEX($T$20:$T$91,$FJ85-GQ$19)^2/INDEX($U$20:$U$91,$FJ85-GQ$19))))</f>
        <v>0.00212088385483543</v>
      </c>
      <c r="GR85" s="150" t="n">
        <f aca="false">IF(GR$19&gt;$FJ85,"",MAX(0,IF(GR$19=$FJ85,$S85^2*GR$15,GR84*INDEX($T$20:$T$91,$FJ85-GR$19)^2/INDEX($U$20:$U$91,$FJ85-GR$19))))</f>
        <v>0.00205552451057285</v>
      </c>
      <c r="GS85" s="150" t="n">
        <f aca="false">IF(GS$19&gt;$FJ85,"",MAX(0,IF(GS$19=$FJ85,$S85^2*GS$15,GS84*INDEX($T$20:$T$91,$FJ85-GS$19)^2/INDEX($U$20:$U$91,$FJ85-GS$19))))</f>
        <v>0.00212774880688643</v>
      </c>
      <c r="GT85" s="150" t="n">
        <f aca="false">IF(GT$19&gt;$FJ85,"",MAX(0,IF(GT$19=$FJ85,$S85^2*GT$15,GT84*INDEX($T$20:$T$91,$FJ85-GT$19)^2/INDEX($U$20:$U$91,$FJ85-GT$19))))</f>
        <v>0.0020633207503492</v>
      </c>
      <c r="GU85" s="150" t="n">
        <f aca="false">IF(GU$19&gt;$FJ85,"",MAX(0,IF(GU$19=$FJ85,$S85^2*GU$15,GU84*INDEX($T$20:$T$91,$FJ85-GU$19)^2/INDEX($U$20:$U$91,$FJ85-GU$19))))</f>
        <v>0.00213720093404242</v>
      </c>
      <c r="GV85" s="150" t="n">
        <f aca="false">IF(GV$19&gt;$FJ85,"",MAX(0,IF(GV$19=$FJ85,$S85^2*GV$15,GV84*INDEX($T$20:$T$91,$FJ85-GV$19)^2/INDEX($U$20:$U$91,$FJ85-GV$19))))</f>
        <v>0.00214318869005422</v>
      </c>
      <c r="GW85" s="150" t="n">
        <f aca="false">IF(GW$19&gt;$FJ85,"",MAX(0,IF(GW$19=$FJ85,$S85^2*GW$15,GW84*INDEX($T$20:$T$91,$FJ85-GW$19)^2/INDEX($U$20:$U$91,$FJ85-GW$19))))</f>
        <v>0.00208085516090226</v>
      </c>
      <c r="GX85" s="150" t="n">
        <f aca="false">IF(GX$19&gt;$FJ85,"",MAX(0,IF(GX$19=$FJ85,$S85^2*GX$15,GX84*INDEX($T$20:$T$91,$FJ85-GX$19)^2/INDEX($U$20:$U$91,$FJ85-GX$19))))</f>
        <v>0.00215847039282838</v>
      </c>
      <c r="GY85" s="150" t="n">
        <f aca="false">IF(GY$19&gt;$FJ85,"",MAX(0,IF(GY$19=$FJ85,$S85^2*GY$15,GY84*INDEX($T$20:$T$91,$FJ85-GY$19)^2/INDEX($U$20:$U$91,$FJ85-GY$19))))</f>
        <v>0.00209822715068126</v>
      </c>
      <c r="GZ85" s="150" t="n">
        <f aca="false">IF(GZ$19&gt;$FJ85,"",MAX(0,IF(GZ$19=$FJ85,$S85^2*GZ$15,GZ84*INDEX($T$20:$T$91,$FJ85-GZ$19)^2/INDEX($U$20:$U$91,$FJ85-GZ$19))))</f>
        <v>0.0021795709085035</v>
      </c>
      <c r="HA85" s="150" t="n">
        <f aca="false">IF(HA$19&gt;$FJ85,"",MAX(0,IF(HA$19=$FJ85,$S85^2*HA$15,HA84*INDEX($T$20:$T$91,$FJ85-HA$19)^2/INDEX($U$20:$U$91,$FJ85-HA$19))))</f>
        <v>0.00219299037434502</v>
      </c>
      <c r="HB85" s="150" t="n">
        <f aca="false">IF(HB$19&gt;$FJ85,"",MAX(0,IF(HB$19=$FJ85,$S85^2*HB$15,HB84*INDEX($T$20:$T$91,$FJ85-HB$19)^2/INDEX($U$20:$U$91,$FJ85-HB$19))))</f>
        <v>0.00206629613486217</v>
      </c>
      <c r="HC85" s="150" t="n">
        <f aca="false">IF(HC$19&gt;$FJ85,"",MAX(0,IF(HC$19=$FJ85,$S85^2*HC$15,HC84*INDEX($T$20:$T$91,$FJ85-HC$19)^2/INDEX($U$20:$U$91,$FJ85-HC$19))))</f>
        <v>0.00222744578788851</v>
      </c>
      <c r="HD85" s="150" t="n">
        <f aca="false">IF(HD$19&gt;$FJ85,"",MAX(0,IF(HD$19=$FJ85,$S85^2*HD$15,HD84*INDEX($T$20:$T$91,$FJ85-HD$19)^2/INDEX($U$20:$U$91,$FJ85-HD$19))))</f>
        <v>0.0021769068996184</v>
      </c>
      <c r="HE85" s="150" t="n">
        <f aca="false">IF(HE$19&gt;$FJ85,"",MAX(0,IF(HE$19=$FJ85,$S85^2*HE$15,HE84*INDEX($T$20:$T$91,$FJ85-HE$19)^2/INDEX($U$20:$U$91,$FJ85-HE$19))))</f>
        <v>0.00227552894956492</v>
      </c>
      <c r="HF85" s="150" t="n">
        <f aca="false">IF(HF$19&gt;$FJ85,"",MAX(0,IF(HF$19=$FJ85,$S85^2*HF$15,HF84*INDEX($T$20:$T$91,$FJ85-HF$19)^2/INDEX($U$20:$U$91,$FJ85-HF$19))))</f>
        <v>0.00223201996985915</v>
      </c>
      <c r="HG85" s="150" t="n">
        <f aca="false">IF(HG$19&gt;$FJ85,"",MAX(0,IF(HG$19=$FJ85,$S85^2*HG$15,HG84*INDEX($T$20:$T$91,$FJ85-HG$19)^2/INDEX($U$20:$U$91,$FJ85-HG$19))))</f>
        <v>0.00234312639595412</v>
      </c>
      <c r="HH85" s="150" t="n">
        <f aca="false">IF(HH$19&gt;$FJ85,"",MAX(0,IF(HH$19=$FJ85,$S85^2*HH$15,HH84*INDEX($T$20:$T$91,$FJ85-HH$19)^2/INDEX($U$20:$U$91,$FJ85-HH$19))))</f>
        <v>0.002386858466513</v>
      </c>
      <c r="HI85" s="150" t="n">
        <f aca="false">IF(HI$19&gt;$FJ85,"",MAX(0,IF(HI$19=$FJ85,$S85^2*HI$15,HI84*INDEX($T$20:$T$91,$FJ85-HI$19)^2/INDEX($U$20:$U$91,$FJ85-HI$19))))</f>
        <v>0.00236044571984092</v>
      </c>
      <c r="HJ85" s="150" t="n">
        <f aca="false">IF(HJ$19&gt;$FJ85,"",MAX(0,IF(HJ$19=$FJ85,$S85^2*HJ$15,HJ84*INDEX($T$20:$T$91,$FJ85-HJ$19)^2/INDEX($U$20:$U$91,$FJ85-HJ$19))))</f>
        <v>0.00250183197477552</v>
      </c>
      <c r="HK85" s="150" t="n">
        <f aca="false">IF(HK$19&gt;$FJ85,"",MAX(0,IF(HK$19=$FJ85,$S85^2*HK$15,HK84*INDEX($T$20:$T$91,$FJ85-HK$19)^2/INDEX($U$20:$U$91,$FJ85-HK$19))))</f>
        <v>0.00249424419869153</v>
      </c>
      <c r="HL85" s="150" t="n">
        <f aca="false">IF(HL$19&gt;$FJ85,"",MAX(0,IF(HL$19=$FJ85,$S85^2*HL$15,HL84*INDEX($T$20:$T$91,$FJ85-HL$19)^2/INDEX($U$20:$U$91,$FJ85-HL$19))))</f>
        <v>0.00266888986885311</v>
      </c>
      <c r="HM85" s="150" t="n">
        <f aca="false">IF(HM$19&gt;$FJ85,"",MAX(0,IF(HM$19=$FJ85,$S85^2*HM$15,HM84*INDEX($T$20:$T$91,$FJ85-HM$19)^2/INDEX($U$20:$U$91,$FJ85-HM$19))))</f>
        <v>0.00278038323071023</v>
      </c>
      <c r="HN85" s="150" t="n">
        <f aca="false">IF(HN$19&gt;$FJ85,"",MAX(0,IF(HN$19=$FJ85,$S85^2*HN$15,HN84*INDEX($T$20:$T$91,$FJ85-HN$19)^2/INDEX($U$20:$U$91,$FJ85-HN$19))))</f>
        <v>0.00263489186799167</v>
      </c>
      <c r="HO85" s="150" t="n">
        <f aca="false">IF(HO$19&gt;$FJ85,"",MAX(0,IF(HO$19=$FJ85,$S85^2*HO$15,HO84*INDEX($T$20:$T$91,$FJ85-HO$19)^2/INDEX($U$20:$U$91,$FJ85-HO$19))))</f>
        <v>0.00308651070037958</v>
      </c>
      <c r="HP85" s="150" t="n">
        <f aca="false">IF(HP$19&gt;$FJ85,"",MAX(0,IF(HP$19=$FJ85,$S85^2*HP$15,HP84*INDEX($T$20:$T$91,$FJ85-HP$19)^2/INDEX($U$20:$U$91,$FJ85-HP$19))))</f>
        <v>0.00319171787024422</v>
      </c>
      <c r="HQ85" s="150" t="n">
        <f aca="false">IF(HQ$19&gt;$FJ85,"",MAX(0,IF(HQ$19=$FJ85,$S85^2*HQ$15,HQ84*INDEX($T$20:$T$91,$FJ85-HQ$19)^2/INDEX($U$20:$U$91,$FJ85-HQ$19))))</f>
        <v>0.00356566834501869</v>
      </c>
      <c r="HR85" s="150" t="n">
        <f aca="false">IF(HR$19&gt;$FJ85,"",MAX(0,IF(HR$19=$FJ85,$S85^2*HR$15,HR84*INDEX($T$20:$T$91,$FJ85-HR$19)^2/INDEX($U$20:$U$91,$FJ85-HR$19))))</f>
        <v>0.00378262302711402</v>
      </c>
      <c r="HS85" s="150" t="n">
        <f aca="false">IF(HS$19&gt;$FJ85,"",MAX(0,IF(HS$19=$FJ85,$S85^2*HS$15,HS84*INDEX($T$20:$T$91,$FJ85-HS$19)^2/INDEX($U$20:$U$91,$FJ85-HS$19))))</f>
        <v>0.00435582438665623</v>
      </c>
      <c r="HT85" s="150" t="n">
        <f aca="false">IF(HT$19&gt;$FJ85,"",MAX(0,IF(HT$19=$FJ85,$S85^2*HT$15,HT84*INDEX($T$20:$T$91,$FJ85-HT$19)^2/INDEX($U$20:$U$91,$FJ85-HT$19))))</f>
        <v>0.00495011210991076</v>
      </c>
      <c r="HU85" s="150" t="n">
        <f aca="false">IF(HU$19&gt;$FJ85,"",MAX(0,IF(HU$19=$FJ85,$S85^2*HU$15,HU84*INDEX($T$20:$T$91,$FJ85-HU$19)^2/INDEX($U$20:$U$91,$FJ85-HU$19))))</f>
        <v>0.00557296238492464</v>
      </c>
      <c r="HV85" s="150" t="n">
        <f aca="false">IF(HV$19&gt;$FJ85,"",MAX(0,IF(HV$19=$FJ85,$S85^2*HV$15,HV84*INDEX($T$20:$T$91,$FJ85-HV$19)^2/INDEX($U$20:$U$91,$FJ85-HV$19))))</f>
        <v>0.0068903167100409</v>
      </c>
      <c r="HW85" s="150" t="n">
        <f aca="false">IF(HW$19&gt;$FJ85,"",MAX(0,IF(HW$19=$FJ85,$S85^2*HW$15,HW84*INDEX($T$20:$T$91,$FJ85-HW$19)^2/INDEX($U$20:$U$91,$FJ85-HW$19))))</f>
        <v>0.00825335794279215</v>
      </c>
      <c r="HX85" s="150" t="n">
        <f aca="false">IF(HX$19&gt;$FJ85,"",MAX(0,IF(HX$19=$FJ85,$S85^2*HX$15,HX84*INDEX($T$20:$T$91,$FJ85-HX$19)^2/INDEX($U$20:$U$91,$FJ85-HX$19))))</f>
        <v>0.0109995893470471</v>
      </c>
      <c r="HY85" s="150" t="str">
        <f aca="false">IF(HY$19&gt;$FJ85,"",MAX(0,IF(HY$19=$FJ85,$S85^2*HY$15,HY84*INDEX($T$20:$T$91,$FJ85-HY$19)^2/INDEX($U$20:$U$91,$FJ85-HY$19))))</f>
        <v/>
      </c>
      <c r="HZ85" s="150" t="str">
        <f aca="false">IF(HZ$19&gt;$FJ85,"",MAX(0,IF(HZ$19=$FJ85,$S85^2*HZ$15,HZ84*INDEX($T$20:$T$91,$FJ85-HZ$19)^2/INDEX($U$20:$U$91,$FJ85-HZ$19))))</f>
        <v/>
      </c>
      <c r="IA85" s="150" t="str">
        <f aca="false">IF(IA$19&gt;$FJ85,"",MAX(0,IF(IA$19=$FJ85,$S85^2*IA$15,IA84*INDEX($T$20:$T$91,$FJ85-IA$19)^2/INDEX($U$20:$U$91,$FJ85-IA$19))))</f>
        <v/>
      </c>
      <c r="IB85" s="150" t="str">
        <f aca="false">IF(IB$19&gt;$FJ85,"",MAX(0,IF(IB$19=$FJ85,$S85^2*IB$15,IB84*INDEX($T$20:$T$91,$FJ85-IB$19)^2/INDEX($U$20:$U$91,$FJ85-IB$19))))</f>
        <v/>
      </c>
      <c r="IC85" s="150" t="str">
        <f aca="false">IF(IC$19&gt;$FJ85,"",MAX(0,IF(IC$19=$FJ85,$S85^2*IC$15,IC84*INDEX($T$20:$T$91,$FJ85-IC$19)^2/INDEX($U$20:$U$91,$FJ85-IC$19))))</f>
        <v/>
      </c>
      <c r="ID85" s="572" t="str">
        <f aca="false">IF(ID$19&gt;$FJ85,"",MAX(0,IF(ID$19=$FJ85,$S85^2*ID$15,ID84*INDEX($T$20:$T$91,$FJ85-ID$19)^2/INDEX($U$20:$U$91,$FJ85-ID$19))))</f>
        <v/>
      </c>
      <c r="IE85" s="129"/>
    </row>
    <row r="86" customFormat="false" ht="12.75" hidden="false" customHeight="false" outlineLevel="0" collapsed="false">
      <c r="H86" s="219" t="n">
        <f aca="false">VLOOKUP(I86,$EJ$20:$EL$54,3)</f>
        <v>0</v>
      </c>
      <c r="I86" s="511" t="n">
        <f aca="false">EOMONTH(I85,0)+1</f>
        <v>38777</v>
      </c>
      <c r="J86" s="512"/>
      <c r="K86" s="513" t="s">
        <v>250</v>
      </c>
      <c r="L86" s="514" t="e">
        <f aca="false">IF(ISNUMBER(K86),J86+K86/100,IF(K86="extra",L85+VLOOKUP(BF86,PriceSpreadTable,2)/12,IF(K86="inter",interpolateprices($K$19:$L$200,ROW(K86)-ROW(FirstPricingMonth)+1),interpolatechanges($J$19:$K$200,ROW(K86)-ROW(FirstPricingMonth)+1))))</f>
        <v>#VALUE!</v>
      </c>
      <c r="M86" s="515"/>
      <c r="N86" s="516" t="n">
        <v>0</v>
      </c>
      <c r="O86" s="515" t="n">
        <f aca="false">M86+N86</f>
        <v>0</v>
      </c>
      <c r="P86" s="512"/>
      <c r="Q86" s="513" t="s">
        <v>280</v>
      </c>
      <c r="R86" s="512" t="e">
        <f aca="false">IF(ISNUMBER(Q86),P86+Q86/100,IF(Q86="extra",(Z84*AL84-R85*AM84)/AN84,IF(Q86="inter",interpolateprices($Q$19:$R$260,ROW(Q86)-ROW(FirstPricingMonth)+1),interpolatechanges($P$19:$Q$260,ROW(Q86)-ROW(FirstPricingMonth)+1))))</f>
        <v>#VALUE!</v>
      </c>
      <c r="S86" s="597" t="n">
        <f aca="false">S$19+(S85-S$19)*S$18</f>
        <v>0.360000000302721</v>
      </c>
      <c r="T86" s="575" t="n">
        <f aca="false">SQRT((1-(1-T85^2/U85)*T$18)*U86)</f>
        <v>0.999996367072536</v>
      </c>
      <c r="U86" s="576" t="n">
        <f aca="false">1-(1-U85)*U$18</f>
        <v>0.99999999991486</v>
      </c>
      <c r="V86" s="521" t="n">
        <v>0</v>
      </c>
      <c r="W86" s="577" t="n">
        <f aca="false">(J87*AJ86+J88*AK86)/AI86</f>
        <v>0</v>
      </c>
      <c r="X86" s="578" t="e">
        <f aca="false">(L87*AJ86+L88*AK86)/AI86</f>
        <v>#VALUE!</v>
      </c>
      <c r="Y86" s="579" t="n">
        <f aca="false">IF(Q88="extra",W86-AA86,(P87*AM86+P88*AN86)/AL86)</f>
        <v>-1.121</v>
      </c>
      <c r="Z86" s="579" t="e">
        <f aca="false">IF(Q88="extra",X86-AB86,(R87*AM86+R88*AN86)/AL86)</f>
        <v>#VALUE!</v>
      </c>
      <c r="AA86" s="523" t="n">
        <f aca="false">IF(Q88="extra",INDEX(BrentSeasonalityTable,INT((BG86-1)/3)+1)*VLOOKUP(MAX(BF86,$AB$4),PriceSpreadTable,3),W86-Y86)</f>
        <v>1.121</v>
      </c>
      <c r="AB86" s="524" t="n">
        <f aca="false">IF(Q88="extra",INDEX(BrentSeasonalityTable,INT((BG86-1)/3)+1)*VLOOKUP(MAX(BF86,$AB$4),PriceSpreadTable,3),X86-Z86)</f>
        <v>1.121</v>
      </c>
      <c r="AC86" s="646" t="n">
        <v>38768</v>
      </c>
      <c r="AD86" s="646" t="n">
        <v>38764</v>
      </c>
      <c r="AE86" s="646" t="n">
        <v>38763</v>
      </c>
      <c r="AF86" s="646" t="n">
        <v>38759</v>
      </c>
      <c r="AG86" s="438" t="s">
        <v>247</v>
      </c>
      <c r="AH86" s="439" t="s">
        <v>278</v>
      </c>
      <c r="AI86" s="528" t="n">
        <v>23</v>
      </c>
      <c r="AJ86" s="529" t="n">
        <v>14</v>
      </c>
      <c r="AK86" s="529" t="n">
        <v>9</v>
      </c>
      <c r="AL86" s="530" t="n">
        <v>23</v>
      </c>
      <c r="AM86" s="529" t="n">
        <v>10</v>
      </c>
      <c r="AN86" s="531" t="n">
        <v>13</v>
      </c>
      <c r="AO86" s="532"/>
      <c r="AP86" s="465" t="n">
        <f aca="false">(1+AO86/2)^(-2*BL86)</f>
        <v>1</v>
      </c>
      <c r="AQ86" s="532"/>
      <c r="AR86" s="465" t="n">
        <f aca="false">(1+AQ86/2)^(-2*BH86/365.25)</f>
        <v>1</v>
      </c>
      <c r="AS86" s="580" t="n">
        <f aca="false">(O87*AJ86+O88*AK86)/AI86</f>
        <v>0</v>
      </c>
      <c r="AT86" s="468" t="n">
        <f aca="false">O86*VLOOKUP(BF86,BrentVolTable,2)+VLOOKUP(BF86,BrentVolTable,3)</f>
        <v>0</v>
      </c>
      <c r="AU86" s="468" t="n">
        <f aca="false">(AT87*AM86+AT88*AN86)/AL86</f>
        <v>0</v>
      </c>
      <c r="AV86" s="595" t="n">
        <f aca="false">SQRT(MAX(0.000000000001,(O86^2*BH86-S86^2*(BH86-BH85))/BH85))</f>
        <v>0.0236351579346246</v>
      </c>
      <c r="AW86" s="451" t="n">
        <f aca="false">IF($I86-DateToday+15&gt;=$T$8,"",IF($I86-DateToday+15&lt;$T$5,1,MATCH($I86-DateToday+15,$T$5:$T$8)))</f>
        <v>1</v>
      </c>
      <c r="AX86" s="468" t="n">
        <f aca="false">IF($AW86="",AX85^2/AX84,INDEX(U$5:U$8,$AW86)^((INDEX($T$5:$T$8,$AW86+1)-($I86-DateToday+15))/(INDEX($T$5:$T$8,$AW86+1)-INDEX($T$5:$T$8,$AW86)))/INDEX(U$5:U$8,$AW86+1)^((INDEX($T$5:$T$8,$AW86)-($I86-DateToday+15))/(INDEX($T$5:$T$8,$AW86+1)-INDEX($T$5:$T$8,$AW86))))</f>
        <v>3.06483956064879</v>
      </c>
      <c r="AY86" s="468" t="n">
        <f aca="false">IF($AW86="",AY85^2/AY84,INDEX(V$5:V$8,$AW86)^((INDEX($T$5:$T$8,$AW86+1)-($I86-DateToday+15))/(INDEX($T$5:$T$8,$AW86+1)-INDEX($T$5:$T$8,$AW86)))/INDEX(V$5:V$8,$AW86+1)^((INDEX($T$5:$T$8,$AW86)-($I86-DateToday+15))/(INDEX($T$5:$T$8,$AW86+1)-INDEX($T$5:$T$8,$AW86))))</f>
        <v>324.306645543695</v>
      </c>
      <c r="AZ86" s="468" t="n">
        <f aca="false">IF($AW86="",AZ85^2/AZ84,INDEX(W$5:W$8,$AW86)^((INDEX($T$5:$T$8,$AW86+1)-($I86-DateToday+15))/(INDEX($T$5:$T$8,$AW86+1)-INDEX($T$5:$T$8,$AW86)))/INDEX(W$5:W$8,$AW86+1)^((INDEX($T$5:$T$8,$AW86)-($I86-DateToday+15))/(INDEX($T$5:$T$8,$AW86+1)-INDEX($T$5:$T$8,$AW86))))</f>
        <v>3085316.90355826</v>
      </c>
      <c r="BA86" s="468" t="n">
        <f aca="false">IF($AW86="",BA85^2/BA84,INDEX(X$5:X$8,$AW86)^((INDEX($T$5:$T$8,$AW86+1)-($I86-DateToday+15))/(INDEX($T$5:$T$8,$AW86+1)-INDEX($T$5:$T$8,$AW86)))/INDEX(X$5:X$8,$AW86+1)^((INDEX($T$5:$T$8,$AW86)-($I86-DateToday+15))/(INDEX($T$5:$T$8,$AW86+1)-INDEX($T$5:$T$8,$AW86))))</f>
        <v>98500013.5746223</v>
      </c>
      <c r="BB86" s="468" t="n">
        <f aca="false">IF($AW86="",BB85^2/BB84,INDEX(Y$5:Y$8,$AW86)^((INDEX($T$5:$T$8,$AW86+1)-($I86-DateToday+15))/(INDEX($T$5:$T$8,$AW86+1)-INDEX($T$5:$T$8,$AW86)))/INDEX(Y$5:Y$8,$AW86+1)^((INDEX($T$5:$T$8,$AW86)-($I86-DateToday+15))/(INDEX($T$5:$T$8,$AW86+1)-INDEX($T$5:$T$8,$AW86))))</f>
        <v>1417637685.26189</v>
      </c>
      <c r="BC86" s="468" t="n">
        <f aca="false">IF($AW86="",BC85^2/BC84,INDEX(Z$5:Z$8,$AW86)^((INDEX($T$5:$T$8,$AW86+1)-($I86-DateToday+15))/(INDEX($T$5:$T$8,$AW86+1)-INDEX($T$5:$T$8,$AW86)))/INDEX(Z$5:Z$8,$AW86+1)^((INDEX($T$5:$T$8,$AW86)-($I86-DateToday+15))/(INDEX($T$5:$T$8,$AW86+1)-INDEX($T$5:$T$8,$AW86))))</f>
        <v>6998860825.32754</v>
      </c>
      <c r="BD86" s="535" t="n">
        <f aca="false">IF(OR(DateStart&gt;=I87,DateEnd&lt;I86),0,IF(VolumeOverrideFlag,V86,Volume))</f>
        <v>0</v>
      </c>
      <c r="BE86" s="536" t="n">
        <f aca="false">IF(OR(DateStart2&gt;=I87,DateEnd2&lt;I86),0,IF(VolumeOverrideFlag,V86,VolumeSwaption))</f>
        <v>0</v>
      </c>
      <c r="BF86" s="537" t="n">
        <f aca="false">YEAR(I86)</f>
        <v>2006</v>
      </c>
      <c r="BG86" s="538" t="n">
        <f aca="false">MONTH(I86)</f>
        <v>3</v>
      </c>
      <c r="BH86" s="539" t="n">
        <f aca="false">AD86-DateToday+1</f>
        <v>-7161</v>
      </c>
      <c r="BI86" s="540" t="n">
        <f aca="false">(I86-DateToday+1)/365.25</f>
        <v>-19.5701574264203</v>
      </c>
      <c r="BJ86" s="541" t="n">
        <f aca="false">BI86+(BL86-BI86)*CHOOSE(Underlying,AJ86/AI86,AM86/AL86)</f>
        <v>-19.5201618903074</v>
      </c>
      <c r="BK86" s="541" t="n">
        <f aca="false">BJ86+1/365.25</f>
        <v>-19.5174240395203</v>
      </c>
      <c r="BL86" s="541" t="n">
        <f aca="false">(I87-DateToday)/365.25</f>
        <v>-19.4880219028063</v>
      </c>
      <c r="BM86" s="542" t="e">
        <f aca="false">MAX(BI86-(BJ86-BI86)*(S87^2/O87^2-1),0)</f>
        <v>#DIV/0!</v>
      </c>
      <c r="BN86" s="541" t="e">
        <f aca="false">MAX(BL86+(BL86-BK86)*(S88^2/O88^2-1),0)</f>
        <v>#DIV/0!</v>
      </c>
      <c r="BO86" s="530" t="n">
        <f aca="false">CHOOSE(Underlying,AI86,AL86)</f>
        <v>23</v>
      </c>
      <c r="BP86" s="529" t="n">
        <f aca="false">CHOOSE(Underlying,AJ86,AM86)</f>
        <v>14</v>
      </c>
      <c r="BQ86" s="529" t="n">
        <f aca="false">CHOOSE(Underlying,AK86,AN86)</f>
        <v>9</v>
      </c>
      <c r="BR86" s="463" t="str">
        <f aca="false">IF(BD86,IF(Underlying=1,X86,Z86)+UnderlyingPriceAsian-SwapPriceCurve,"")</f>
        <v/>
      </c>
      <c r="BS86" s="463" t="str">
        <f aca="false">IF(BD86,Strike1/BR86-1,"")</f>
        <v/>
      </c>
      <c r="BT86" s="464" t="str">
        <f aca="false">IF(BD86,Strike2/BR86-1,"")</f>
        <v/>
      </c>
      <c r="BU86" s="465" t="str">
        <f aca="false">IF(BD86,IF(Underlying=1,L87,R87)+UnderlyingPriceAsian-SwapPriceCurve,"")</f>
        <v/>
      </c>
      <c r="BV86" s="465" t="str">
        <f aca="false">IF(BD86,IF(Underlying=1,L88,R88)+UnderlyingPriceAsian-SwapPriceCurve,"")</f>
        <v/>
      </c>
      <c r="BW86" s="466" t="str">
        <f aca="false">IF(BD86,IF(Underlying=1,O87,AT87),"")</f>
        <v/>
      </c>
      <c r="BX86" s="467" t="str">
        <f aca="false">IF(BD86,IF(Underlying=1,O88,AT88),"")</f>
        <v/>
      </c>
      <c r="BY86" s="466" t="str">
        <f aca="false">IF(BD86,IF(BS86&gt;0,IF(BS86&gt;0.2,BC86-BB86,IF(BS86&gt;0.1,BB86-BA86,BA86)),IF(BS86&lt;-0.2,AX86-AY86,IF(BS86&lt;-0.1,AY86-AZ86,AZ86))),"")</f>
        <v/>
      </c>
      <c r="BZ86" s="467" t="str">
        <f aca="false">IF(BD86,IF(BT86&gt;0,IF(BT86&gt;0.2,BC86-BB86,IF(BT86&gt;0.1,BB86-BA86,BA86)),IF(BT86&lt;-0.2,AX86-AY86,IF(BT86&lt;-0.1,AY86-AZ86,AZ86))),"")</f>
        <v/>
      </c>
      <c r="CA86" s="468" t="str">
        <f aca="false">IF($BD86,$BW86+IF(VolSkewFlag=1,IF(BS86&gt;0,$BA86*MIN(BS86/10%,1)+($BB86-$BA86)*MAX(0,MIN(BS86/10%-1,1))+($BC86-$BB86)*MAX(0,BS86/10%-2),$AZ86*MIN(-BS86/10%,1)+($AY86-$AZ86)*MAX(0,MIN(-BS86/10%-1,1))+($AX86-$AY86)*MAX(0,-BS86/10%-2)),0),"")</f>
        <v/>
      </c>
      <c r="CB86" s="468" t="str">
        <f aca="false">IF($BD86,$BX86+IF(VolSkewFlag=1,IF(BS86&gt;0,$BA86*MIN(BS86/10%,1)+($BB86-$BA86)*MAX(0,MIN(BS86/10%-1,1))+($BC86-$BB86)*MAX(0,BS86/10%-2),$AZ86*MIN(-BS86/10%,1)+($AY86-$AZ86)*MAX(0,MIN(-BS86/10%-1,1))+($AX86-$AY86)*MAX(0,-BS86/10%-2)),0),"")</f>
        <v/>
      </c>
      <c r="CC86" s="468" t="str">
        <f aca="false">IF($BD86,$BW86+IF(VolSkewFlag=1,IF(BT86&gt;0,$BA86*MIN(BT86/10%,1)+($BB86-$BA86)*MAX(0,MIN(BT86/10%-1,1))+($BC86-$BB86)*MAX(0,BT86/10%-2),$AZ86*MIN(-BT86/10%,1)+($AY86-$AZ86)*MAX(0,MIN(-BT86/10%-1,1))+($AX86-$AY86)*MAX(0,-BT86/10%-2)),0),"")</f>
        <v/>
      </c>
      <c r="CD86" s="468" t="str">
        <f aca="false">IF($BD86,$BX86+IF(VolSkewFlag=1,IF(BT86&gt;0,$BA86*MIN(BT86/10%,1)+($BB86-$BA86)*MAX(0,MIN(BT86/10%-1,1))+($BC86-$BB86)*MAX(0,BT86/10%-2),$AZ86*MIN(-BT86/10%,1)+($AY86-$AZ86)*MAX(0,MIN(-BT86/10%-1,1))+($AX86-$AY86)*MAX(0,-BT86/10%-2)),0),"")</f>
        <v/>
      </c>
      <c r="CE86" s="469" t="n">
        <v>1</v>
      </c>
      <c r="CF86" s="470" t="n">
        <f aca="false">IF(BD86,xCrudeAPO(BU86,BV86,CA86,CB86,S87,S88,BI86,BL86,BP86,BQ86,0,Strike1,AO86,CE86,0,BL86,IF(OptControl=4,0,1),0,1),0)</f>
        <v>0</v>
      </c>
      <c r="CG86" s="470" t="n">
        <f aca="false">IF(BD86,xCrudeAPO(BU86,BV86,CA86,CB86,S87,S88,BI86,BL86,BP86,BQ86,0,Strike1,AO86,CE86,0,BL86,IF(OptControl=4,0,1),1,1)+xCrudeAPO(BU86,BV86,CA86,CB86,S87,S88,BI86,BL86,BP86,BQ86,0,Strike1,AO86,CE86,0,BL86,IF(OptControl=4,0,1),1,2)+IF(OR(VolSkewFlag=2,ABS(BS86)&lt;0.0001),0,IF(BS86&gt;0,-1,1)*CH86*Strike1/BR86^2*BY86/10%),0)</f>
        <v>0</v>
      </c>
      <c r="CH86" s="470" t="n">
        <f aca="false">IF(BD86,(xCrudeAPO(BU86,BV86,CA86,CB86,S87,S88,BI86,BL86,BP86,BQ86,0,Strike1,AO86,CE86,0,BL86,IF(OptControl=4,0,1),3,1)+xCrudeAPO(BU86,BV86,CA86,CB86,S87,S88,BI86,BL86,BP86,BQ86,0,Strike1,AO86,CE86,0,BL86,IF(OptControl=4,0,1),3,2))/100,0)</f>
        <v>0</v>
      </c>
      <c r="CI86" s="470" t="n">
        <f aca="false">IF(BD86,xCrudeAPO(BU86,BV86,CA86,CB86,S87,S88,BI86-DaysForThetaCalculation/365.25,BL86-DaysForThetaCalculation/365.25,BP86,BQ86,0,Strike1,AO86,CE86,0,BL86,IF(OptControl=4,0,1),0,1)-xCrudeAPO(BU86,BV86,CA86,CB86,S87,S88,BI86,BL86,BP86,BQ86,0,Strike1,AO86,CE86,0,BL86,IF(OptControl=4,0,1),0,1),0)</f>
        <v>0</v>
      </c>
      <c r="CJ86" s="471" t="n">
        <f aca="false">IF(BD86,xCrudeAPO(BU86,BV86,CC86,CD86,S87,S88,BI86,BL86,BP86,BQ86,0,Strike2,AO86,CE86,0,BL86,IF(OptControl=3,1,0),0,1),0)</f>
        <v>0</v>
      </c>
      <c r="CK86" s="470" t="n">
        <f aca="false">IF(BD86,xCrudeAPO(BU86,BV86,CC86,CD86,S87,S88,BI86,BL86,BP86,BQ86,0,Strike2,AO86,CE86,0,BL86,IF(OptControl=3,1,0),1,1)+xCrudeAPO(BU86,BV86,CC86,CD86,S87,S88,BI86,BL86,BP86,BQ86,0,Strike2,AO86,CE86,0,BL86,IF(OptControl=3,1,0),1,2)+IF(OR(VolSkewFlag=2,ABS(BT86)&lt;0.0001),0,IF(BT86&gt;0,-1,1)*CL86*Strike2/BR86^2*BZ86/10%),0)</f>
        <v>0</v>
      </c>
      <c r="CL86" s="470" t="n">
        <f aca="false">IF(BD86,(xCrudeAPO(BU86,BV86,CC86,CD86,S87,S88,BI86,BL86,BP86,BQ86,0,Strike2,AO86,CE86,0,BL86,IF(OptControl=3,1,0),3,1)+xCrudeAPO(BU86,BV86,CC86,CD86,S87,S88,BI86,BL86,BP86,BQ86,0,Strike2,AO86,CE86,0,BL86,IF(OptControl=3,1,0),3,2))/100,0)</f>
        <v>0</v>
      </c>
      <c r="CM86" s="472" t="n">
        <f aca="false">IF(BD86,xCrudeAPO(BU86,BV86,CC86,CD86,S87,S88,BI86-DaysForThetaCalculation/365.25,BL86-DaysForThetaCalculation/365.25,BP86,BQ86,0,Strike2,AO86,CE86,0,BL86,IF(OptControl=3,1,0),0,1)-xCrudeAPO(BU86,BV86,CC86,CD86,S87,S88,BI86,BL86,BP86,BQ86,0,Strike2,AO86,CE86,0,BL86,IF(OptControl=3,1,0),0,1),0)</f>
        <v>0</v>
      </c>
      <c r="CN86" s="3"/>
      <c r="CO86" s="543" t="str">
        <f aca="false">IF(BD86,CHOOSE(Underlying,AD86,AF86)-DateToday+1,"")</f>
        <v/>
      </c>
      <c r="CP86" s="582" t="str">
        <f aca="false">IF(BD86,CHOOSE(Underlying,L86,R86),"")</f>
        <v/>
      </c>
      <c r="CQ86" s="544" t="str">
        <f aca="false">IF(BD86,Strike1/CP86-1,"")</f>
        <v/>
      </c>
      <c r="CR86" s="544" t="str">
        <f aca="false">IF(BD86,Strike2/CP86-1,"")</f>
        <v/>
      </c>
      <c r="CS86" s="544" t="str">
        <f aca="false">IF(BD86,IF(CQ86&gt;0,IF(CQ86&gt;0.2,BC85-BB85,IF(CQ86&gt;0.1,BB85-BA85,BA85)),IF(CQ86&lt;-0.2,AX85-AY85,IF(CQ86&lt;-0.1,AY85-AZ85,AZ85))),"")</f>
        <v/>
      </c>
      <c r="CT86" s="544" t="str">
        <f aca="false">IF(BD86,IF(CR86&gt;0,IF(CR86&gt;0.2,BC85-BB85,IF(CR86&gt;0.1,BB85-BA85,BA85)),IF(CR86&lt;-0.2,AX85-AY85,IF(CR86&lt;-0.1,AY85-AZ85,AZ85))),"")</f>
        <v/>
      </c>
      <c r="CU86" s="545" t="str">
        <f aca="false">IF(BD86,CHOOSE(Underlying,O86,AT86),"")</f>
        <v/>
      </c>
      <c r="CV86" s="545" t="str">
        <f aca="false">IF(BD86,CU86+IF(VolSkewFlag=1,IF(CQ86&gt;0,BA85*MIN(CQ86/10%,1)+(BB85-BA85)*MAX(0,MIN(CQ86/10%-1,1))+(BC85-BB85)*MAX(0,CQ86/10%-2),AZ85*MIN(-CQ86/10%,1)+(AY85-AZ85)*MAX(0,MIN(-CQ86/10%-1,1))+(AX85-AY85)*MAX(0,-CQ86/10%-2)),0),"")</f>
        <v/>
      </c>
      <c r="CW86" s="545" t="str">
        <f aca="false">IF(BD86,CU86+IF(VolSkewFlag=1,IF(CR86&gt;0,BA85*MIN(CR86/10%,1)+(BB85-BA85)*MAX(0,MIN(CR86/10%-1,1))+(BC85-BB85)*MAX(0,CR86/10%-2),AZ85*MIN(-CR86/10%,1)+(AY85-AZ85)*MAX(0,MIN(-CR86/10%-1,1))+(AX85-AY85)*MAX(0,-CR86/10%-2)),0),"")</f>
        <v/>
      </c>
      <c r="CX86" s="470" t="n">
        <f aca="false">IF(BD86,EURO(CP86,Strike1,AO86,AO86,CV86,CO86,IF(OptControl=4,0,1),0),0)</f>
        <v>0</v>
      </c>
      <c r="CY86" s="470" t="n">
        <f aca="false">IF(BD86,EURO(CP86,Strike1,AO86,AO86,CV86,CO86,IF(OptControl=4,0,1),1)+IF(OR(VolSkewFlag=2,ABS(CQ86)&lt;0.0001),0,IF(CQ86&gt;0,-1,1)*CZ86*100*Strike1/CP86^2*CS86/10%),0)</f>
        <v>0</v>
      </c>
      <c r="CZ86" s="470" t="n">
        <f aca="false">IF(BD86,EURO(CP86,Strike1,AO86,AO86,CV86,CO86,IF(OptControl=4,0,1),3)/100,0)</f>
        <v>0</v>
      </c>
      <c r="DA86" s="470" t="n">
        <f aca="false">IF(BD86,EURO(CP86,Strike1,AO86,AO86,CV86,CO86,IF(OptControl=4,0,1),0)-EURO(CP86,Strike1,AO86,AO86,CV86,CO86-1,IF(OptControl=4,0,1),0),0)</f>
        <v>0</v>
      </c>
      <c r="DB86" s="470" t="n">
        <f aca="false">IF(BD86,EURO(CP86,Strike2,AO86,AO86,CW86,CO86,IF(OptControl=3,1,0),0),0)</f>
        <v>0</v>
      </c>
      <c r="DC86" s="470" t="n">
        <f aca="false">IF(BD86,EURO(CP86,Strike2,AO86,AO86,CW86,CO86,IF(OptControl=3,1,0),1)+IF(OR(VolSkewFlag=2,ABS(CR86)&lt;0.0001),0,IF(CR86&gt;0,-1,1)*DD86*100*Strike2/CP86^2*CT86/10%),0)</f>
        <v>0</v>
      </c>
      <c r="DD86" s="470" t="n">
        <f aca="false">IF(BD86,EURO(CP86,Strike2,AO86,AO86,CW86,CO86,IF(OptControl=3,1,0),3)/100,0)</f>
        <v>0</v>
      </c>
      <c r="DE86" s="472" t="n">
        <f aca="false">IF(BD86,EURO(CP86,Strike2,AO86,AO86,CW86,CO86,IF(OptControl=3,1,0),0)-EURO(CP86,Strike2,AO86,AO86,CW86,CO86-1,IF(OptControl=3,1,0),0),0)</f>
        <v>0</v>
      </c>
      <c r="DG86" s="481" t="n">
        <f aca="false">EOMONTH(DG85,0)+1</f>
        <v>47696</v>
      </c>
      <c r="DH86" s="478" t="n">
        <v>18.3333333333333</v>
      </c>
      <c r="DI86" s="479" t="n">
        <v>18.3288405797101</v>
      </c>
      <c r="DJ86" s="480" t="n">
        <f aca="false">DG86</f>
        <v>47696</v>
      </c>
      <c r="DK86" s="478" t="n">
        <v>17.0024035361255</v>
      </c>
      <c r="DL86" s="479" t="n">
        <v>17.0928405797101</v>
      </c>
      <c r="DM86" s="481" t="n">
        <f aca="false">DG86</f>
        <v>47696</v>
      </c>
      <c r="DN86" s="482" t="n">
        <f aca="false">DK86+BrentPhyBrentSpread</f>
        <v>17.0524035361255</v>
      </c>
      <c r="DO86" s="481" t="n">
        <f aca="false">DG86</f>
        <v>47696</v>
      </c>
      <c r="DP86" s="483" t="n">
        <f aca="false">DL86+DQ86</f>
        <v>17.0928405797101</v>
      </c>
      <c r="DQ86" s="546" t="n">
        <v>0</v>
      </c>
      <c r="DR86" s="480" t="n">
        <f aca="false">DG86</f>
        <v>47696</v>
      </c>
      <c r="DS86" s="485" t="n">
        <v>0.192185198431161</v>
      </c>
      <c r="DT86" s="486" t="n">
        <v>0.191608700426558</v>
      </c>
      <c r="DU86" s="480" t="n">
        <f aca="false">DG86</f>
        <v>47696</v>
      </c>
      <c r="DV86" s="485" t="n">
        <v>0.192185198431161</v>
      </c>
      <c r="DW86" s="486" t="n">
        <v>0.191608700426558</v>
      </c>
      <c r="DX86" s="481" t="n">
        <f aca="false">DG86</f>
        <v>47696</v>
      </c>
      <c r="DY86" s="486" t="n">
        <v>0.35</v>
      </c>
      <c r="DZ86" s="481" t="n">
        <f aca="false">DR86</f>
        <v>47696</v>
      </c>
      <c r="EA86" s="486" t="n">
        <f aca="false">DT86</f>
        <v>0.191608700426558</v>
      </c>
      <c r="EB86" s="195"/>
      <c r="EC86" s="547" t="str">
        <f aca="false">IF(BD86,IF(Underlying=1,AS86,AU86),"")</f>
        <v/>
      </c>
      <c r="ED86" s="548" t="str">
        <f aca="false">IF($BD86,$EC86+IF(VolSkewFlag=1,IF(BS86&gt;0,$BA86*MIN(BS86/10%,1)+($BB86-$BA86)*MAX(0,MIN(BS86/10%-1,1))+($BC86-$BB86)*MAX(0,BS86/10%-2),$AZ86*MIN(-BS86/10%,1)+($AY86-$AZ86)*MAX(0,MIN(-BS86/10%-1,1))+($AX86-$AY86)*MAX(0,-BS86/10%-2)),0),"")</f>
        <v/>
      </c>
      <c r="EE86" s="549" t="str">
        <f aca="false">IF($BD86,$EC86+IF(VolSkewFlag=1,IF(BT86&gt;0,$BA86*MIN(BT86/10%,1)+($BB86-$BA86)*MAX(0,MIN(BT86/10%-1,1))+($BC86-$BB86)*MAX(0,BT86/10%-2),$AZ86*MIN(-BT86/10%,1)+($AY86-$AZ86)*MAX(0,MIN(-BT86/10%-1,1))+($AX86-$AY86)*MAX(0,-BT86/10%-2)),0),"")</f>
        <v/>
      </c>
      <c r="EF86" s="550" t="n">
        <f aca="false">IF(BD86,xASN(BR86,Strike1,AO86,ED86,0,BO86,0,BI86,BL86,IF(OptControl=4,0,1),0),0)</f>
        <v>0</v>
      </c>
      <c r="EG86" s="551" t="n">
        <f aca="false">IF(BD86,xASN(BR86,Strike2,AO86,EE86,0,BO86,0,BI86,BL86,IF(OptControl=3,1,0),0),0)</f>
        <v>0</v>
      </c>
      <c r="EL86" s="1"/>
      <c r="EM86" s="195"/>
      <c r="EN86" s="556" t="n">
        <v>43824</v>
      </c>
      <c r="EO86" s="557" t="n">
        <v>48580</v>
      </c>
      <c r="EP86" s="195"/>
      <c r="EQ86" s="407" t="s">
        <v>312</v>
      </c>
      <c r="ES86" s="587" t="n">
        <v>67</v>
      </c>
      <c r="ET86" s="559" t="n">
        <f aca="false">BH86/365.25</f>
        <v>-19.605749486653</v>
      </c>
      <c r="EU86" s="560" t="n">
        <f aca="false">O86^2*ET86</f>
        <v>-0</v>
      </c>
      <c r="EV86" s="588" t="e">
        <f aca="false">SQRT(SUM(FK86:ID86)/ET86)</f>
        <v>#VALUE!</v>
      </c>
      <c r="EW86" s="589" t="str">
        <f aca="false">IF(OR(DateStart2&gt;I85,DateEnd2&lt;I84),"",IF(DateStart2&lt;I85,AK84/AI84*AP84*BE84*SwaptionNumOfMonths/$D$33,0)+IF(DateEnd2&gt;I84,AJ85/AI85*AP85*BE85*SwaptionNumOfMonths/$D$33,0))</f>
        <v/>
      </c>
      <c r="EX86" s="590" t="str">
        <f aca="false">IF(EW86="","",SQRT(SUM(FK391:ID391)/SwaptionYearsToExp))</f>
        <v/>
      </c>
      <c r="EY86" s="129" t="n">
        <v>0</v>
      </c>
      <c r="EZ86" s="591" t="str">
        <f aca="false">IF(OR(EW86="",EW87=""),"",SQRT(SUM(INDEX(FK86:ID86,SwaptionFirstMonthPosition+1):INDEX(FK86:ID86,FJ86))/SUM(INDEX($FK$15:$ID$15,SwaptionFirstMonthPosition+1):INDEX($FK$15:$ID$15,FJ86))))</f>
        <v/>
      </c>
      <c r="FA86" s="592" t="str">
        <f aca="false">IF(OR(EW86="",EW85=""),"",SQRT(SUM(INDEX(FK86:ID86,SwaptionFirstMonthPosition+1):INDEX(FK86:ID86,FJ86-1))/SUM(INDEX($FK$15:$ID$15,SwaptionFirstMonthPosition+1):INDEX($FK$15:$ID$15,FJ86-1))))</f>
        <v/>
      </c>
      <c r="FB86" s="593" t="str">
        <f aca="false">IF(BE86,2/3*EZ87+1/3*FA88,"")</f>
        <v/>
      </c>
      <c r="FC86" s="596" t="str">
        <f aca="false">IF(BE86,(I87+I86-1)/2-DateToday,"")</f>
        <v/>
      </c>
      <c r="FD86" s="483" t="str">
        <f aca="false">IF(BE86,CHOOSE(Underlying,X86,Z86)+SwaptionUnderlyingPrice-$D$26,"")</f>
        <v/>
      </c>
      <c r="FE86" s="483" t="str">
        <f aca="false">IF(BE86,CollartionFloor/FD86-1,"")</f>
        <v/>
      </c>
      <c r="FF86" s="483" t="str">
        <f aca="false">IF(BE86,CollartionCap/FD86-1,"")</f>
        <v/>
      </c>
      <c r="FG86" s="485" t="str">
        <f aca="false">IF(BE86,IF(VolSkewFlag=1,IF(FE86&gt;0,$BA86*MIN(FE86/10%,1)+($BB86-$BA86)*MAX(0,MIN(FE86/10%-1,1))+($BC86-$BB86)*MAX(0,FE86/10%-2),$AZ86*MIN(-FE86/10%,1)+($AY86-$AZ86)*MAX(0,MIN(-FE86/10%-1,1))+($AX86-$AY86)*MAX(0,-FE86/10%-2)),0),"")</f>
        <v/>
      </c>
      <c r="FH86" s="486" t="str">
        <f aca="false">IF(BE86,IF(VolSkewFlag=1,IF(FF86&gt;0,$BA86*MIN(FF86/10%,1)+($BB86-$BA86)*MAX(0,MIN(FF86/10%-1,1))+($BC86-$BB86)*MAX(0,FF86/10%-2),$AZ86*MIN(-FF86/10%,1)+($AY86-$AZ86)*MAX(0,MIN(-FF86/10%-1,1))+($AX86-$AY86)*MAX(0,-FF86/10%-2)),0),"")</f>
        <v/>
      </c>
      <c r="FI86" s="129"/>
      <c r="FJ86" s="571" t="n">
        <v>67</v>
      </c>
      <c r="FK86" s="150" t="n">
        <f aca="false">IF(FK$19&gt;$FJ86,"",MAX(0,IF(FK$19=$FJ86,$S86^2*FK$15,FK85*INDEX($T$20:$T$91,$FJ86-FK$19)^2/INDEX($U$20:$U$91,$FJ86-FK$19))))</f>
        <v>0</v>
      </c>
      <c r="FL86" s="150" t="n">
        <f aca="false">IF(FL$19&gt;$FJ86,"",MAX(0,IF(FL$19=$FJ86,$S86^2*FL$15,FL85*INDEX($T$20:$T$91,$FJ86-FL$19)^2/INDEX($U$20:$U$91,$FJ86-FL$19))))</f>
        <v>0</v>
      </c>
      <c r="FM86" s="150" t="n">
        <f aca="false">IF(FM$19&gt;$FJ86,"",MAX(0,IF(FM$19=$FJ86,$S86^2*FM$15,FM85*INDEX($T$20:$T$91,$FJ86-FM$19)^2/INDEX($U$20:$U$91,$FJ86-FM$19))))</f>
        <v>0.00254693749657869</v>
      </c>
      <c r="FN86" s="150" t="n">
        <f aca="false">IF(FN$19&gt;$FJ86,"",MAX(0,IF(FN$19=$FJ86,$S86^2*FN$15,FN85*INDEX($T$20:$T$91,$FJ86-FN$19)^2/INDEX($U$20:$U$91,$FJ86-FN$19))))</f>
        <v>0.00214370516221558</v>
      </c>
      <c r="FO86" s="150" t="n">
        <f aca="false">IF(FO$19&gt;$FJ86,"",MAX(0,IF(FO$19=$FJ86,$S86^2*FO$15,FO85*INDEX($T$20:$T$91,$FJ86-FO$19)^2/INDEX($U$20:$U$91,$FJ86-FO$19))))</f>
        <v>0.00222980026077583</v>
      </c>
      <c r="FP86" s="150" t="n">
        <f aca="false">IF(FP$19&gt;$FJ86,"",MAX(0,IF(FP$19=$FJ86,$S86^2*FP$15,FP85*INDEX($T$20:$T$91,$FJ86-FP$19)^2/INDEX($U$20:$U$91,$FJ86-FP$19))))</f>
        <v>0.00247088589499829</v>
      </c>
      <c r="FQ86" s="150" t="n">
        <f aca="false">IF(FQ$19&gt;$FJ86,"",MAX(0,IF(FQ$19=$FJ86,$S86^2*FQ$15,FQ85*INDEX($T$20:$T$91,$FJ86-FQ$19)^2/INDEX($U$20:$U$91,$FJ86-FQ$19))))</f>
        <v>0.00200047709641522</v>
      </c>
      <c r="FR86" s="150" t="n">
        <f aca="false">IF(FR$19&gt;$FJ86,"",MAX(0,IF(FR$19=$FJ86,$S86^2*FR$15,FR85*INDEX($T$20:$T$91,$FJ86-FR$19)^2/INDEX($U$20:$U$91,$FJ86-FR$19))))</f>
        <v>0.0020454390039454</v>
      </c>
      <c r="FS86" s="150" t="n">
        <f aca="false">IF(FS$19&gt;$FJ86,"",MAX(0,IF(FS$19=$FJ86,$S86^2*FS$15,FS85*INDEX($T$20:$T$91,$FJ86-FS$19)^2/INDEX($U$20:$U$91,$FJ86-FS$19))))</f>
        <v>0.00230511387569838</v>
      </c>
      <c r="FT86" s="150" t="n">
        <f aca="false">IF(FT$19&gt;$FJ86,"",MAX(0,IF(FT$19=$FJ86,$S86^2*FT$15,FT85*INDEX($T$20:$T$91,$FJ86-FT$19)^2/INDEX($U$20:$U$91,$FJ86-FT$19))))</f>
        <v>0.00208033488409194</v>
      </c>
      <c r="FU86" s="150" t="n">
        <f aca="false">IF(FU$19&gt;$FJ86,"",MAX(0,IF(FU$19=$FJ86,$S86^2*FU$15,FU85*INDEX($T$20:$T$91,$FJ86-FU$19)^2/INDEX($U$20:$U$91,$FJ86-FU$19))))</f>
        <v>0.00200001346965856</v>
      </c>
      <c r="FV86" s="150" t="n">
        <f aca="false">IF(FV$19&gt;$FJ86,"",MAX(0,IF(FV$19=$FJ86,$S86^2*FV$15,FV85*INDEX($T$20:$T$91,$FJ86-FV$19)^2/INDEX($U$20:$U$91,$FJ86-FV$19))))</f>
        <v>0.0021978806420653</v>
      </c>
      <c r="FW86" s="150" t="n">
        <f aca="false">IF(FW$19&gt;$FJ86,"",MAX(0,IF(FW$19=$FJ86,$S86^2*FW$15,FW85*INDEX($T$20:$T$91,$FJ86-FW$19)^2/INDEX($U$20:$U$91,$FJ86-FW$19))))</f>
        <v>0.00205420959021177</v>
      </c>
      <c r="FX86" s="150" t="n">
        <f aca="false">IF(FX$19&gt;$FJ86,"",MAX(0,IF(FX$19=$FJ86,$S86^2*FX$15,FX85*INDEX($T$20:$T$91,$FJ86-FX$19)^2/INDEX($U$20:$U$91,$FJ86-FX$19))))</f>
        <v>0.00218616430755726</v>
      </c>
      <c r="FY86" s="150" t="n">
        <f aca="false">IF(FY$19&gt;$FJ86,"",MAX(0,IF(FY$19=$FJ86,$S86^2*FY$15,FY85*INDEX($T$20:$T$91,$FJ86-FY$19)^2/INDEX($U$20:$U$91,$FJ86-FY$19))))</f>
        <v>0.0020460697606658</v>
      </c>
      <c r="FZ86" s="150" t="n">
        <f aca="false">IF(FZ$19&gt;$FJ86,"",MAX(0,IF(FZ$19=$FJ86,$S86^2*FZ$15,FZ85*INDEX($T$20:$T$91,$FJ86-FZ$19)^2/INDEX($U$20:$U$91,$FJ86-FZ$19))))</f>
        <v>0.00190729738588472</v>
      </c>
      <c r="GA86" s="150" t="n">
        <f aca="false">IF(GA$19&gt;$FJ86,"",MAX(0,IF(GA$19=$FJ86,$S86^2*GA$15,GA85*INDEX($T$20:$T$91,$FJ86-GA$19)^2/INDEX($U$20:$U$91,$FJ86-GA$19))))</f>
        <v>0.0020416964365912</v>
      </c>
      <c r="GB86" s="150" t="n">
        <f aca="false">IF(GB$19&gt;$FJ86,"",MAX(0,IF(GB$19=$FJ86,$S86^2*GB$15,GB85*INDEX($T$20:$T$91,$FJ86-GB$19)^2/INDEX($U$20:$U$91,$FJ86-GB$19))))</f>
        <v>0.00224443536167232</v>
      </c>
      <c r="GC86" s="150" t="n">
        <f aca="false">IF(GC$19&gt;$FJ86,"",MAX(0,IF(GC$19=$FJ86,$S86^2*GC$15,GC85*INDEX($T$20:$T$91,$FJ86-GC$19)^2/INDEX($U$20:$U$91,$FJ86-GC$19))))</f>
        <v>0.0019715259872254</v>
      </c>
      <c r="GD86" s="150" t="n">
        <f aca="false">IF(GD$19&gt;$FJ86,"",MAX(0,IF(GD$19=$FJ86,$S86^2*GD$15,GD85*INDEX($T$20:$T$91,$FJ86-GD$19)^2/INDEX($U$20:$U$91,$FJ86-GD$19))))</f>
        <v>0.00197098437107797</v>
      </c>
      <c r="GE86" s="150" t="n">
        <f aca="false">IF(GE$19&gt;$FJ86,"",MAX(0,IF(GE$19=$FJ86,$S86^2*GE$15,GE85*INDEX($T$20:$T$91,$FJ86-GE$19)^2/INDEX($U$20:$U$91,$FJ86-GE$19))))</f>
        <v>0.00224251615367574</v>
      </c>
      <c r="GF86" s="150" t="n">
        <f aca="false">IF(GF$19&gt;$FJ86,"",MAX(0,IF(GF$19=$FJ86,$S86^2*GF$15,GF85*INDEX($T$20:$T$91,$FJ86-GF$19)^2/INDEX($U$20:$U$91,$FJ86-GF$19))))</f>
        <v>0.00197061756595471</v>
      </c>
      <c r="GG86" s="150" t="n">
        <f aca="false">IF(GG$19&gt;$FJ86,"",MAX(0,IF(GG$19=$FJ86,$S86^2*GG$15,GG85*INDEX($T$20:$T$91,$FJ86-GG$19)^2/INDEX($U$20:$U$91,$FJ86-GG$19))))</f>
        <v>0.00217458752219465</v>
      </c>
      <c r="GH86" s="150" t="n">
        <f aca="false">IF(GH$19&gt;$FJ86,"",MAX(0,IF(GH$19=$FJ86,$S86^2*GH$15,GH85*INDEX($T$20:$T$91,$FJ86-GH$19)^2/INDEX($U$20:$U$91,$FJ86-GH$19))))</f>
        <v>0.00203895033870051</v>
      </c>
      <c r="GI86" s="150" t="n">
        <f aca="false">IF(GI$19&gt;$FJ86,"",MAX(0,IF(GI$19=$FJ86,$S86^2*GI$15,GI85*INDEX($T$20:$T$91,$FJ86-GI$19)^2/INDEX($U$20:$U$91,$FJ86-GI$19))))</f>
        <v>0.00197140503826165</v>
      </c>
      <c r="GJ86" s="150" t="n">
        <f aca="false">IF(GJ$19&gt;$FJ86,"",MAX(0,IF(GJ$19=$FJ86,$S86^2*GJ$15,GJ85*INDEX($T$20:$T$91,$FJ86-GJ$19)^2/INDEX($U$20:$U$91,$FJ86-GJ$19))))</f>
        <v>0.00224397500681301</v>
      </c>
      <c r="GK86" s="150" t="n">
        <f aca="false">IF(GK$19&gt;$FJ86,"",MAX(0,IF(GK$19=$FJ86,$S86^2*GK$15,GK85*INDEX($T$20:$T$91,$FJ86-GK$19)^2/INDEX($U$20:$U$91,$FJ86-GK$19))))</f>
        <v>0.00204073443679332</v>
      </c>
      <c r="GL86" s="150" t="n">
        <f aca="false">IF(GL$19&gt;$FJ86,"",MAX(0,IF(GL$19=$FJ86,$S86^2*GL$15,GL85*INDEX($T$20:$T$91,$FJ86-GL$19)^2/INDEX($U$20:$U$91,$FJ86-GL$19))))</f>
        <v>0.00197361253688967</v>
      </c>
      <c r="GM86" s="150" t="n">
        <f aca="false">IF(GM$19&gt;$FJ86,"",MAX(0,IF(GM$19=$FJ86,$S86^2*GM$15,GM85*INDEX($T$20:$T$91,$FJ86-GM$19)^2/INDEX($U$20:$U$91,$FJ86-GM$19))))</f>
        <v>0.00211088983826005</v>
      </c>
      <c r="GN86" s="150" t="n">
        <f aca="false">IF(GN$19&gt;$FJ86,"",MAX(0,IF(GN$19=$FJ86,$S86^2*GN$15,GN85*INDEX($T$20:$T$91,$FJ86-GN$19)^2/INDEX($U$20:$U$91,$FJ86-GN$19))))</f>
        <v>0.00211228236591701</v>
      </c>
      <c r="GO86" s="150" t="n">
        <f aca="false">IF(GO$19&gt;$FJ86,"",MAX(0,IF(GO$19=$FJ86,$S86^2*GO$15,GO85*INDEX($T$20:$T$91,$FJ86-GO$19)^2/INDEX($U$20:$U$91,$FJ86-GO$19))))</f>
        <v>0.00211393317453765</v>
      </c>
      <c r="GP86" s="150" t="n">
        <f aca="false">IF(GP$19&gt;$FJ86,"",MAX(0,IF(GP$19=$FJ86,$S86^2*GP$15,GP85*INDEX($T$20:$T$91,$FJ86-GP$19)^2/INDEX($U$20:$U$91,$FJ86-GP$19))))</f>
        <v>0.00191111866028959</v>
      </c>
      <c r="GQ86" s="150" t="n">
        <f aca="false">IF(GQ$19&gt;$FJ86,"",MAX(0,IF(GQ$19=$FJ86,$S86^2*GQ$15,GQ85*INDEX($T$20:$T$91,$FJ86-GQ$19)^2/INDEX($U$20:$U$91,$FJ86-GQ$19))))</f>
        <v>0.00211817418769663</v>
      </c>
      <c r="GR86" s="150" t="n">
        <f aca="false">IF(GR$19&gt;$FJ86,"",MAX(0,IF(GR$19=$FJ86,$S86^2*GR$15,GR85*INDEX($T$20:$T$91,$FJ86-GR$19)^2/INDEX($U$20:$U$91,$FJ86-GR$19))))</f>
        <v>0.00205245297461775</v>
      </c>
      <c r="GS86" s="150" t="n">
        <f aca="false">IF(GS$19&gt;$FJ86,"",MAX(0,IF(GS$19=$FJ86,$S86^2*GS$15,GS85*INDEX($T$20:$T$91,$FJ86-GS$19)^2/INDEX($U$20:$U$91,$FJ86-GS$19))))</f>
        <v>0.00212403014078683</v>
      </c>
      <c r="GT86" s="150" t="n">
        <f aca="false">IF(GT$19&gt;$FJ86,"",MAX(0,IF(GT$19=$FJ86,$S86^2*GT$15,GT85*INDEX($T$20:$T$91,$FJ86-GT$19)^2/INDEX($U$20:$U$91,$FJ86-GT$19))))</f>
        <v>0.00205910313023221</v>
      </c>
      <c r="GU86" s="150" t="n">
        <f aca="false">IF(GU$19&gt;$FJ86,"",MAX(0,IF(GU$19=$FJ86,$S86^2*GU$15,GU85*INDEX($T$20:$T$91,$FJ86-GU$19)^2/INDEX($U$20:$U$91,$FJ86-GU$19))))</f>
        <v>0.00213209141579059</v>
      </c>
      <c r="GV86" s="150" t="n">
        <f aca="false">IF(GV$19&gt;$FJ86,"",MAX(0,IF(GV$19=$FJ86,$S86^2*GV$15,GV85*INDEX($T$20:$T$91,$FJ86-GV$19)^2/INDEX($U$20:$U$91,$FJ86-GV$19))))</f>
        <v>0.00213719590234209</v>
      </c>
      <c r="GW86" s="150" t="n">
        <f aca="false">IF(GW$19&gt;$FJ86,"",MAX(0,IF(GW$19=$FJ86,$S86^2*GW$15,GW85*INDEX($T$20:$T$91,$FJ86-GW$19)^2/INDEX($U$20:$U$91,$FJ86-GW$19))))</f>
        <v>0.00207404990874296</v>
      </c>
      <c r="GX86" s="150" t="n">
        <f aca="false">IF(GX$19&gt;$FJ86,"",MAX(0,IF(GX$19=$FJ86,$S86^2*GX$15,GX85*INDEX($T$20:$T$91,$FJ86-GX$19)^2/INDEX($U$20:$U$91,$FJ86-GX$19))))</f>
        <v>0.00215021415202355</v>
      </c>
      <c r="GY86" s="150" t="n">
        <f aca="false">IF(GY$19&gt;$FJ86,"",MAX(0,IF(GY$19=$FJ86,$S86^2*GY$15,GY85*INDEX($T$20:$T$91,$FJ86-GY$19)^2/INDEX($U$20:$U$91,$FJ86-GY$19))))</f>
        <v>0.00208884024091706</v>
      </c>
      <c r="GZ86" s="150" t="n">
        <f aca="false">IF(GZ$19&gt;$FJ86,"",MAX(0,IF(GZ$19=$FJ86,$S86^2*GZ$15,GZ85*INDEX($T$20:$T$91,$FJ86-GZ$19)^2/INDEX($U$20:$U$91,$FJ86-GZ$19))))</f>
        <v>0.00216816644056837</v>
      </c>
      <c r="HA86" s="150" t="n">
        <f aca="false">IF(HA$19&gt;$FJ86,"",MAX(0,IF(HA$19=$FJ86,$S86^2*HA$15,HA85*INDEX($T$20:$T$91,$FJ86-HA$19)^2/INDEX($U$20:$U$91,$FJ86-HA$19))))</f>
        <v>0.00217956969078056</v>
      </c>
      <c r="HB86" s="150" t="n">
        <f aca="false">IF(HB$19&gt;$FJ86,"",MAX(0,IF(HB$19=$FJ86,$S86^2*HB$15,HB85*INDEX($T$20:$T$91,$FJ86-HB$19)^2/INDEX($U$20:$U$91,$FJ86-HB$19))))</f>
        <v>0.00205150626475654</v>
      </c>
      <c r="HC86" s="150" t="n">
        <f aca="false">IF(HC$19&gt;$FJ86,"",MAX(0,IF(HC$19=$FJ86,$S86^2*HC$15,HC85*INDEX($T$20:$T$91,$FJ86-HC$19)^2/INDEX($U$20:$U$91,$FJ86-HC$19))))</f>
        <v>0.00220879862242176</v>
      </c>
      <c r="HD86" s="150" t="n">
        <f aca="false">IF(HD$19&gt;$FJ86,"",MAX(0,IF(HD$19=$FJ86,$S86^2*HD$15,HD85*INDEX($T$20:$T$91,$FJ86-HD$19)^2/INDEX($U$20:$U$91,$FJ86-HD$19))))</f>
        <v>0.0021555921898811</v>
      </c>
      <c r="HE86" s="150" t="n">
        <f aca="false">IF(HE$19&gt;$FJ86,"",MAX(0,IF(HE$19=$FJ86,$S86^2*HE$15,HE85*INDEX($T$20:$T$91,$FJ86-HE$19)^2/INDEX($U$20:$U$91,$FJ86-HE$19))))</f>
        <v>0.00224947006528695</v>
      </c>
      <c r="HF86" s="150" t="n">
        <f aca="false">IF(HF$19&gt;$FJ86,"",MAX(0,IF(HF$19=$FJ86,$S86^2*HF$15,HF85*INDEX($T$20:$T$91,$FJ86-HF$19)^2/INDEX($U$20:$U$91,$FJ86-HF$19))))</f>
        <v>0.00220212449793968</v>
      </c>
      <c r="HG86" s="150" t="n">
        <f aca="false">IF(HG$19&gt;$FJ86,"",MAX(0,IF(HG$19=$FJ86,$S86^2*HG$15,HG85*INDEX($T$20:$T$91,$FJ86-HG$19)^2/INDEX($U$20:$U$91,$FJ86-HG$19))))</f>
        <v>0.00230642040617887</v>
      </c>
      <c r="HH86" s="150" t="n">
        <f aca="false">IF(HH$19&gt;$FJ86,"",MAX(0,IF(HH$19=$FJ86,$S86^2*HH$15,HH85*INDEX($T$20:$T$91,$FJ86-HH$19)^2/INDEX($U$20:$U$91,$FJ86-HH$19))))</f>
        <v>0.00234312622121002</v>
      </c>
      <c r="HI86" s="150" t="n">
        <f aca="false">IF(HI$19&gt;$FJ86,"",MAX(0,IF(HI$19=$FJ86,$S86^2*HI$15,HI85*INDEX($T$20:$T$91,$FJ86-HI$19)^2/INDEX($U$20:$U$91,$FJ86-HI$19))))</f>
        <v>0.00230986290291182</v>
      </c>
      <c r="HJ86" s="150" t="n">
        <f aca="false">IF(HJ$19&gt;$FJ86,"",MAX(0,IF(HJ$19=$FJ86,$S86^2*HJ$15,HJ85*INDEX($T$20:$T$91,$FJ86-HJ$19)^2/INDEX($U$20:$U$91,$FJ86-HJ$19))))</f>
        <v>0.00243912714151482</v>
      </c>
      <c r="HK86" s="150" t="n">
        <f aca="false">IF(HK$19&gt;$FJ86,"",MAX(0,IF(HK$19=$FJ86,$S86^2*HK$15,HK85*INDEX($T$20:$T$91,$FJ86-HK$19)^2/INDEX($U$20:$U$91,$FJ86-HK$19))))</f>
        <v>0.00242112764135045</v>
      </c>
      <c r="HL86" s="150" t="n">
        <f aca="false">IF(HL$19&gt;$FJ86,"",MAX(0,IF(HL$19=$FJ86,$S86^2*HL$15,HL85*INDEX($T$20:$T$91,$FJ86-HL$19)^2/INDEX($U$20:$U$91,$FJ86-HL$19))))</f>
        <v>0.00257738561116334</v>
      </c>
      <c r="HM86" s="150" t="n">
        <f aca="false">IF(HM$19&gt;$FJ86,"",MAX(0,IF(HM$19=$FJ86,$S86^2*HM$15,HM85*INDEX($T$20:$T$91,$FJ86-HM$19)^2/INDEX($U$20:$U$91,$FJ86-HM$19))))</f>
        <v>0.0026688898216203</v>
      </c>
      <c r="HN86" s="150" t="n">
        <f aca="false">IF(HN$19&gt;$FJ86,"",MAX(0,IF(HN$19=$FJ86,$S86^2*HN$15,HN85*INDEX($T$20:$T$91,$FJ86-HN$19)^2/INDEX($U$20:$U$91,$FJ86-HN$19))))</f>
        <v>0.00251131385246968</v>
      </c>
      <c r="HO86" s="150" t="n">
        <f aca="false">IF(HO$19&gt;$FJ86,"",MAX(0,IF(HO$19=$FJ86,$S86^2*HO$15,HO85*INDEX($T$20:$T$91,$FJ86-HO$19)^2/INDEX($U$20:$U$91,$FJ86-HO$19))))</f>
        <v>0.00291720168195044</v>
      </c>
      <c r="HP86" s="150" t="n">
        <f aca="false">IF(HP$19&gt;$FJ86,"",MAX(0,IF(HP$19=$FJ86,$S86^2*HP$15,HP85*INDEX($T$20:$T$91,$FJ86-HP$19)^2/INDEX($U$20:$U$91,$FJ86-HP$19))))</f>
        <v>0.00298694581677605</v>
      </c>
      <c r="HQ86" s="150" t="n">
        <f aca="false">IF(HQ$19&gt;$FJ86,"",MAX(0,IF(HQ$19=$FJ86,$S86^2*HQ$15,HQ85*INDEX($T$20:$T$91,$FJ86-HQ$19)^2/INDEX($U$20:$U$91,$FJ86-HQ$19))))</f>
        <v>0.00329810844745085</v>
      </c>
      <c r="HR86" s="150" t="n">
        <f aca="false">IF(HR$19&gt;$FJ86,"",MAX(0,IF(HR$19=$FJ86,$S86^2*HR$15,HR85*INDEX($T$20:$T$91,$FJ86-HR$19)^2/INDEX($U$20:$U$91,$FJ86-HR$19))))</f>
        <v>0.00345064677101027</v>
      </c>
      <c r="HS86" s="150" t="n">
        <f aca="false">IF(HS$19&gt;$FJ86,"",MAX(0,IF(HS$19=$FJ86,$S86^2*HS$15,HS85*INDEX($T$20:$T$91,$FJ86-HS$19)^2/INDEX($U$20:$U$91,$FJ86-HS$19))))</f>
        <v>0.00390871044903952</v>
      </c>
      <c r="HT86" s="150" t="n">
        <f aca="false">IF(HT$19&gt;$FJ86,"",MAX(0,IF(HT$19=$FJ86,$S86^2*HT$15,HT85*INDEX($T$20:$T$91,$FJ86-HT$19)^2/INDEX($U$20:$U$91,$FJ86-HT$19))))</f>
        <v>0.0043558243763663</v>
      </c>
      <c r="HU86" s="150" t="n">
        <f aca="false">IF(HU$19&gt;$FJ86,"",MAX(0,IF(HU$19=$FJ86,$S86^2*HU$15,HU85*INDEX($T$20:$T$91,$FJ86-HU$19)^2/INDEX($U$20:$U$91,$FJ86-HU$19))))</f>
        <v>0.00479043106561957</v>
      </c>
      <c r="HV86" s="150" t="n">
        <f aca="false">IF(HV$19&gt;$FJ86,"",MAX(0,IF(HV$19=$FJ86,$S86^2*HV$15,HV85*INDEX($T$20:$T$91,$FJ86-HV$19)^2/INDEX($U$20:$U$91,$FJ86-HV$19))))</f>
        <v>0.00575872779010336</v>
      </c>
      <c r="HW86" s="150" t="n">
        <f aca="false">IF(HW$19&gt;$FJ86,"",MAX(0,IF(HW$19=$FJ86,$S86^2*HW$15,HW85*INDEX($T$20:$T$91,$FJ86-HW$19)^2/INDEX($U$20:$U$91,$FJ86-HW$19))))</f>
        <v>0.00666804842242646</v>
      </c>
      <c r="HX86" s="150" t="n">
        <f aca="false">IF(HX$19&gt;$FJ86,"",MAX(0,IF(HX$19=$FJ86,$S86^2*HX$15,HX85*INDEX($T$20:$T$91,$FJ86-HX$19)^2/INDEX($U$20:$U$91,$FJ86-HX$19))))</f>
        <v>0.00852846986784379</v>
      </c>
      <c r="HY86" s="150" t="n">
        <f aca="false">IF(HY$19&gt;$FJ86,"",MAX(0,IF(HY$19=$FJ86,$S86^2*HY$15,HY85*INDEX($T$20:$T$91,$FJ86-HY$19)^2/INDEX($U$20:$U$91,$FJ86-HY$19))))</f>
        <v>0.0109995893408808</v>
      </c>
      <c r="HZ86" s="150" t="str">
        <f aca="false">IF(HZ$19&gt;$FJ86,"",MAX(0,IF(HZ$19=$FJ86,$S86^2*HZ$15,HZ85*INDEX($T$20:$T$91,$FJ86-HZ$19)^2/INDEX($U$20:$U$91,$FJ86-HZ$19))))</f>
        <v/>
      </c>
      <c r="IA86" s="150" t="str">
        <f aca="false">IF(IA$19&gt;$FJ86,"",MAX(0,IF(IA$19=$FJ86,$S86^2*IA$15,IA85*INDEX($T$20:$T$91,$FJ86-IA$19)^2/INDEX($U$20:$U$91,$FJ86-IA$19))))</f>
        <v/>
      </c>
      <c r="IB86" s="150" t="str">
        <f aca="false">IF(IB$19&gt;$FJ86,"",MAX(0,IF(IB$19=$FJ86,$S86^2*IB$15,IB85*INDEX($T$20:$T$91,$FJ86-IB$19)^2/INDEX($U$20:$U$91,$FJ86-IB$19))))</f>
        <v/>
      </c>
      <c r="IC86" s="150" t="str">
        <f aca="false">IF(IC$19&gt;$FJ86,"",MAX(0,IF(IC$19=$FJ86,$S86^2*IC$15,IC85*INDEX($T$20:$T$91,$FJ86-IC$19)^2/INDEX($U$20:$U$91,$FJ86-IC$19))))</f>
        <v/>
      </c>
      <c r="ID86" s="572" t="str">
        <f aca="false">IF(ID$19&gt;$FJ86,"",MAX(0,IF(ID$19=$FJ86,$S86^2*ID$15,ID85*INDEX($T$20:$T$91,$FJ86-ID$19)^2/INDEX($U$20:$U$91,$FJ86-ID$19))))</f>
        <v/>
      </c>
      <c r="IE86" s="129"/>
    </row>
    <row r="87" customFormat="false" ht="12.75" hidden="false" customHeight="false" outlineLevel="0" collapsed="false">
      <c r="H87" s="219" t="n">
        <f aca="false">VLOOKUP(I87,$EJ$20:$EL$54,3)</f>
        <v>0</v>
      </c>
      <c r="I87" s="511" t="n">
        <f aca="false">EOMONTH(I86,0)+1</f>
        <v>38808</v>
      </c>
      <c r="J87" s="512"/>
      <c r="K87" s="513" t="s">
        <v>250</v>
      </c>
      <c r="L87" s="514" t="e">
        <f aca="false">IF(ISNUMBER(K87),J87+K87/100,IF(K87="extra",L86+VLOOKUP(BF87,PriceSpreadTable,2)/12,IF(K87="inter",interpolateprices($K$19:$L$200,ROW(K87)-ROW(FirstPricingMonth)+1),interpolatechanges($J$19:$K$200,ROW(K87)-ROW(FirstPricingMonth)+1))))</f>
        <v>#VALUE!</v>
      </c>
      <c r="M87" s="515"/>
      <c r="N87" s="516" t="n">
        <v>0</v>
      </c>
      <c r="O87" s="515" t="n">
        <f aca="false">M87+N87</f>
        <v>0</v>
      </c>
      <c r="P87" s="512"/>
      <c r="Q87" s="513" t="s">
        <v>280</v>
      </c>
      <c r="R87" s="512" t="e">
        <f aca="false">IF(ISNUMBER(Q87),P87+Q87/100,IF(Q87="extra",(Z85*AL85-R86*AM85)/AN85,IF(Q87="inter",interpolateprices($Q$19:$R$260,ROW(Q87)-ROW(FirstPricingMonth)+1),interpolatechanges($P$19:$Q$260,ROW(Q87)-ROW(FirstPricingMonth)+1))))</f>
        <v>#VALUE!</v>
      </c>
      <c r="S87" s="597" t="n">
        <f aca="false">S$19+(S86-S$19)*S$18</f>
        <v>0.360000000227041</v>
      </c>
      <c r="T87" s="575" t="n">
        <f aca="false">SQRT((1-(1-T86^2/U86)*T$18)*U87)</f>
        <v>0.999996893852306</v>
      </c>
      <c r="U87" s="576" t="n">
        <f aca="false">1-(1-U86)*U$18</f>
        <v>0.999999999936145</v>
      </c>
      <c r="V87" s="521" t="n">
        <v>0</v>
      </c>
      <c r="W87" s="577" t="n">
        <f aca="false">(J88*AJ87+J89*AK87)/AI87</f>
        <v>0</v>
      </c>
      <c r="X87" s="578" t="e">
        <f aca="false">(L88*AJ87+L89*AK87)/AI87</f>
        <v>#VALUE!</v>
      </c>
      <c r="Y87" s="579" t="n">
        <f aca="false">IF(Q89="extra",W87-AA87,(P88*AM87+P89*AN87)/AL87)</f>
        <v>-1.239</v>
      </c>
      <c r="Z87" s="579" t="e">
        <f aca="false">IF(Q89="extra",X87-AB87,(R88*AM87+R89*AN87)/AL87)</f>
        <v>#VALUE!</v>
      </c>
      <c r="AA87" s="523" t="n">
        <f aca="false">IF(Q89="extra",INDEX(BrentSeasonalityTable,INT((BG87-1)/3)+1)*VLOOKUP(MAX(BF87,$AB$4),PriceSpreadTable,3),W87-Y87)</f>
        <v>1.239</v>
      </c>
      <c r="AB87" s="524" t="n">
        <f aca="false">IF(Q89="extra",INDEX(BrentSeasonalityTable,INT((BG87-1)/3)+1)*VLOOKUP(MAX(BF87,$AB$4),PriceSpreadTable,3),X87-Z87)</f>
        <v>1.239</v>
      </c>
      <c r="AC87" s="646" t="n">
        <v>38796</v>
      </c>
      <c r="AD87" s="646" t="n">
        <v>38792</v>
      </c>
      <c r="AE87" s="646" t="n">
        <v>38791</v>
      </c>
      <c r="AF87" s="646" t="n">
        <v>38787</v>
      </c>
      <c r="AG87" s="438" t="s">
        <v>247</v>
      </c>
      <c r="AH87" s="439" t="s">
        <v>278</v>
      </c>
      <c r="AI87" s="528" t="n">
        <v>20</v>
      </c>
      <c r="AJ87" s="529" t="n">
        <v>14</v>
      </c>
      <c r="AK87" s="529" t="n">
        <v>6</v>
      </c>
      <c r="AL87" s="530" t="n">
        <v>20</v>
      </c>
      <c r="AM87" s="529" t="n">
        <v>10</v>
      </c>
      <c r="AN87" s="531" t="n">
        <v>10</v>
      </c>
      <c r="AO87" s="532"/>
      <c r="AP87" s="465" t="n">
        <f aca="false">(1+AO87/2)^(-2*BL87)</f>
        <v>1</v>
      </c>
      <c r="AQ87" s="532"/>
      <c r="AR87" s="465" t="n">
        <f aca="false">(1+AQ87/2)^(-2*BH87/365.25)</f>
        <v>1</v>
      </c>
      <c r="AS87" s="580" t="n">
        <f aca="false">(O88*AJ87+O89*AK87)/AI87</f>
        <v>0</v>
      </c>
      <c r="AT87" s="468" t="n">
        <f aca="false">O87*VLOOKUP(BF87,BrentVolTable,2)+VLOOKUP(BF87,BrentVolTable,3)</f>
        <v>0</v>
      </c>
      <c r="AU87" s="468" t="n">
        <f aca="false">(AT88*AM87+AT89*AN87)/AL87</f>
        <v>0</v>
      </c>
      <c r="AV87" s="595" t="n">
        <f aca="false">SQRT(MAX(0.000000000001,(O87^2*BH87-S87^2*(BH87-BH86))/BH86))</f>
        <v>0.022510994395503</v>
      </c>
      <c r="AW87" s="451" t="n">
        <f aca="false">IF($I87-DateToday+15&gt;=$T$8,"",IF($I87-DateToday+15&lt;$T$5,1,MATCH($I87-DateToday+15,$T$5:$T$8)))</f>
        <v>1</v>
      </c>
      <c r="AX87" s="468" t="n">
        <f aca="false">IF($AW87="",AX86^2/AX85,INDEX(U$5:U$8,$AW87)^((INDEX($T$5:$T$8,$AW87+1)-($I87-DateToday+15))/(INDEX($T$5:$T$8,$AW87+1)-INDEX($T$5:$T$8,$AW87)))/INDEX(U$5:U$8,$AW87+1)^((INDEX($T$5:$T$8,$AW87)-($I87-DateToday+15))/(INDEX($T$5:$T$8,$AW87+1)-INDEX($T$5:$T$8,$AW87))))</f>
        <v>2.99882551142067</v>
      </c>
      <c r="AY87" s="468" t="n">
        <f aca="false">IF($AW87="",AY86^2/AY85,INDEX(V$5:V$8,$AW87)^((INDEX($T$5:$T$8,$AW87+1)-($I87-DateToday+15))/(INDEX($T$5:$T$8,$AW87+1)-INDEX($T$5:$T$8,$AW87)))/INDEX(V$5:V$8,$AW87+1)^((INDEX($T$5:$T$8,$AW87)-($I87-DateToday+15))/(INDEX($T$5:$T$8,$AW87+1)-INDEX($T$5:$T$8,$AW87))))</f>
        <v>310.684326599466</v>
      </c>
      <c r="AZ87" s="468" t="n">
        <f aca="false">IF($AW87="",AZ86^2/AZ85,INDEX(W$5:W$8,$AW87)^((INDEX($T$5:$T$8,$AW87+1)-($I87-DateToday+15))/(INDEX($T$5:$T$8,$AW87+1)-INDEX($T$5:$T$8,$AW87)))/INDEX(W$5:W$8,$AW87+1)^((INDEX($T$5:$T$8,$AW87)-($I87-DateToday+15))/(INDEX($T$5:$T$8,$AW87+1)-INDEX($T$5:$T$8,$AW87))))</f>
        <v>2837315.20230349</v>
      </c>
      <c r="BA87" s="468" t="n">
        <f aca="false">IF($AW87="",BA86^2/BA85,INDEX(X$5:X$8,$AW87)^((INDEX($T$5:$T$8,$AW87+1)-($I87-DateToday+15))/(INDEX($T$5:$T$8,$AW87+1)-INDEX($T$5:$T$8,$AW87)))/INDEX(X$5:X$8,$AW87+1)^((INDEX($T$5:$T$8,$AW87)-($I87-DateToday+15))/(INDEX($T$5:$T$8,$AW87+1)-INDEX($T$5:$T$8,$AW87))))</f>
        <v>88631387.6313475</v>
      </c>
      <c r="BB87" s="468" t="n">
        <f aca="false">IF($AW87="",BB86^2/BB85,INDEX(Y$5:Y$8,$AW87)^((INDEX($T$5:$T$8,$AW87+1)-($I87-DateToday+15))/(INDEX($T$5:$T$8,$AW87+1)-INDEX($T$5:$T$8,$AW87)))/INDEX(Y$5:Y$8,$AW87+1)^((INDEX($T$5:$T$8,$AW87)-($I87-DateToday+15))/(INDEX($T$5:$T$8,$AW87+1)-INDEX($T$5:$T$8,$AW87))))</f>
        <v>1262808179.37688</v>
      </c>
      <c r="BC87" s="468" t="n">
        <f aca="false">IF($AW87="",BC86^2/BC85,INDEX(Z$5:Z$8,$AW87)^((INDEX($T$5:$T$8,$AW87+1)-($I87-DateToday+15))/(INDEX($T$5:$T$8,$AW87+1)-INDEX($T$5:$T$8,$AW87)))/INDEX(Z$5:Z$8,$AW87+1)^((INDEX($T$5:$T$8,$AW87)-($I87-DateToday+15))/(INDEX($T$5:$T$8,$AW87+1)-INDEX($T$5:$T$8,$AW87))))</f>
        <v>6198277840.63211</v>
      </c>
      <c r="BD87" s="535" t="n">
        <f aca="false">IF(OR(DateStart&gt;=I88,DateEnd&lt;I87),0,IF(VolumeOverrideFlag,V87,Volume))</f>
        <v>0</v>
      </c>
      <c r="BE87" s="536" t="n">
        <f aca="false">IF(OR(DateStart2&gt;=I88,DateEnd2&lt;I87),0,IF(VolumeOverrideFlag,V87,VolumeSwaption))</f>
        <v>0</v>
      </c>
      <c r="BF87" s="537" t="n">
        <f aca="false">YEAR(I87)</f>
        <v>2006</v>
      </c>
      <c r="BG87" s="538" t="n">
        <f aca="false">MONTH(I87)</f>
        <v>4</v>
      </c>
      <c r="BH87" s="539" t="n">
        <f aca="false">AD87-DateToday+1</f>
        <v>-7133</v>
      </c>
      <c r="BI87" s="540" t="n">
        <f aca="false">(I87-DateToday+1)/365.25</f>
        <v>-19.4852840520192</v>
      </c>
      <c r="BJ87" s="541" t="n">
        <f aca="false">BI87+(BL87-BI87)*CHOOSE(Underlying,AJ87/AI87,AM87/AL87)</f>
        <v>-19.4297056810404</v>
      </c>
      <c r="BK87" s="541" t="n">
        <f aca="false">BJ87+1/365.25</f>
        <v>-19.4269678302533</v>
      </c>
      <c r="BL87" s="541" t="n">
        <f aca="false">(I88-DateToday)/365.25</f>
        <v>-19.4058863791923</v>
      </c>
      <c r="BM87" s="542" t="e">
        <f aca="false">MAX(BI87-(BJ87-BI87)*(S88^2/O88^2-1),0)</f>
        <v>#DIV/0!</v>
      </c>
      <c r="BN87" s="541" t="e">
        <f aca="false">MAX(BL87+(BL87-BK87)*(S89^2/O89^2-1),0)</f>
        <v>#DIV/0!</v>
      </c>
      <c r="BO87" s="530" t="n">
        <f aca="false">CHOOSE(Underlying,AI87,AL87)</f>
        <v>20</v>
      </c>
      <c r="BP87" s="529" t="n">
        <f aca="false">CHOOSE(Underlying,AJ87,AM87)</f>
        <v>14</v>
      </c>
      <c r="BQ87" s="529" t="n">
        <f aca="false">CHOOSE(Underlying,AK87,AN87)</f>
        <v>6</v>
      </c>
      <c r="BR87" s="463" t="str">
        <f aca="false">IF(BD87,IF(Underlying=1,X87,Z87)+UnderlyingPriceAsian-SwapPriceCurve,"")</f>
        <v/>
      </c>
      <c r="BS87" s="463" t="str">
        <f aca="false">IF(BD87,Strike1/BR87-1,"")</f>
        <v/>
      </c>
      <c r="BT87" s="464" t="str">
        <f aca="false">IF(BD87,Strike2/BR87-1,"")</f>
        <v/>
      </c>
      <c r="BU87" s="465" t="str">
        <f aca="false">IF(BD87,IF(Underlying=1,L88,R88)+UnderlyingPriceAsian-SwapPriceCurve,"")</f>
        <v/>
      </c>
      <c r="BV87" s="465" t="str">
        <f aca="false">IF(BD87,IF(Underlying=1,L89,R89)+UnderlyingPriceAsian-SwapPriceCurve,"")</f>
        <v/>
      </c>
      <c r="BW87" s="466" t="str">
        <f aca="false">IF(BD87,IF(Underlying=1,O88,AT88),"")</f>
        <v/>
      </c>
      <c r="BX87" s="467" t="str">
        <f aca="false">IF(BD87,IF(Underlying=1,O89,AT89),"")</f>
        <v/>
      </c>
      <c r="BY87" s="466" t="str">
        <f aca="false">IF(BD87,IF(BS87&gt;0,IF(BS87&gt;0.2,BC87-BB87,IF(BS87&gt;0.1,BB87-BA87,BA87)),IF(BS87&lt;-0.2,AX87-AY87,IF(BS87&lt;-0.1,AY87-AZ87,AZ87))),"")</f>
        <v/>
      </c>
      <c r="BZ87" s="467" t="str">
        <f aca="false">IF(BD87,IF(BT87&gt;0,IF(BT87&gt;0.2,BC87-BB87,IF(BT87&gt;0.1,BB87-BA87,BA87)),IF(BT87&lt;-0.2,AX87-AY87,IF(BT87&lt;-0.1,AY87-AZ87,AZ87))),"")</f>
        <v/>
      </c>
      <c r="CA87" s="468" t="str">
        <f aca="false">IF($BD87,$BW87+IF(VolSkewFlag=1,IF(BS87&gt;0,$BA87*MIN(BS87/10%,1)+($BB87-$BA87)*MAX(0,MIN(BS87/10%-1,1))+($BC87-$BB87)*MAX(0,BS87/10%-2),$AZ87*MIN(-BS87/10%,1)+($AY87-$AZ87)*MAX(0,MIN(-BS87/10%-1,1))+($AX87-$AY87)*MAX(0,-BS87/10%-2)),0),"")</f>
        <v/>
      </c>
      <c r="CB87" s="468" t="str">
        <f aca="false">IF($BD87,$BX87+IF(VolSkewFlag=1,IF(BS87&gt;0,$BA87*MIN(BS87/10%,1)+($BB87-$BA87)*MAX(0,MIN(BS87/10%-1,1))+($BC87-$BB87)*MAX(0,BS87/10%-2),$AZ87*MIN(-BS87/10%,1)+($AY87-$AZ87)*MAX(0,MIN(-BS87/10%-1,1))+($AX87-$AY87)*MAX(0,-BS87/10%-2)),0),"")</f>
        <v/>
      </c>
      <c r="CC87" s="468" t="str">
        <f aca="false">IF($BD87,$BW87+IF(VolSkewFlag=1,IF(BT87&gt;0,$BA87*MIN(BT87/10%,1)+($BB87-$BA87)*MAX(0,MIN(BT87/10%-1,1))+($BC87-$BB87)*MAX(0,BT87/10%-2),$AZ87*MIN(-BT87/10%,1)+($AY87-$AZ87)*MAX(0,MIN(-BT87/10%-1,1))+($AX87-$AY87)*MAX(0,-BT87/10%-2)),0),"")</f>
        <v/>
      </c>
      <c r="CD87" s="468" t="str">
        <f aca="false">IF($BD87,$BX87+IF(VolSkewFlag=1,IF(BT87&gt;0,$BA87*MIN(BT87/10%,1)+($BB87-$BA87)*MAX(0,MIN(BT87/10%-1,1))+($BC87-$BB87)*MAX(0,BT87/10%-2),$AZ87*MIN(-BT87/10%,1)+($AY87-$AZ87)*MAX(0,MIN(-BT87/10%-1,1))+($AX87-$AY87)*MAX(0,-BT87/10%-2)),0),"")</f>
        <v/>
      </c>
      <c r="CE87" s="469" t="n">
        <v>1</v>
      </c>
      <c r="CF87" s="470" t="n">
        <f aca="false">IF(BD87,xCrudeAPO(BU87,BV87,CA87,CB87,S88,S89,BI87,BL87,BP87,BQ87,0,Strike1,AO87,CE87,0,BL87,IF(OptControl=4,0,1),0,1),0)</f>
        <v>0</v>
      </c>
      <c r="CG87" s="470" t="n">
        <f aca="false">IF(BD87,xCrudeAPO(BU87,BV87,CA87,CB87,S88,S89,BI87,BL87,BP87,BQ87,0,Strike1,AO87,CE87,0,BL87,IF(OptControl=4,0,1),1,1)+xCrudeAPO(BU87,BV87,CA87,CB87,S88,S89,BI87,BL87,BP87,BQ87,0,Strike1,AO87,CE87,0,BL87,IF(OptControl=4,0,1),1,2)+IF(OR(VolSkewFlag=2,ABS(BS87)&lt;0.0001),0,IF(BS87&gt;0,-1,1)*CH87*Strike1/BR87^2*BY87/10%),0)</f>
        <v>0</v>
      </c>
      <c r="CH87" s="470" t="n">
        <f aca="false">IF(BD87,(xCrudeAPO(BU87,BV87,CA87,CB87,S88,S89,BI87,BL87,BP87,BQ87,0,Strike1,AO87,CE87,0,BL87,IF(OptControl=4,0,1),3,1)+xCrudeAPO(BU87,BV87,CA87,CB87,S88,S89,BI87,BL87,BP87,BQ87,0,Strike1,AO87,CE87,0,BL87,IF(OptControl=4,0,1),3,2))/100,0)</f>
        <v>0</v>
      </c>
      <c r="CI87" s="470" t="n">
        <f aca="false">IF(BD87,xCrudeAPO(BU87,BV87,CA87,CB87,S88,S89,BI87-DaysForThetaCalculation/365.25,BL87-DaysForThetaCalculation/365.25,BP87,BQ87,0,Strike1,AO87,CE87,0,BL87,IF(OptControl=4,0,1),0,1)-xCrudeAPO(BU87,BV87,CA87,CB87,S88,S89,BI87,BL87,BP87,BQ87,0,Strike1,AO87,CE87,0,BL87,IF(OptControl=4,0,1),0,1),0)</f>
        <v>0</v>
      </c>
      <c r="CJ87" s="471" t="n">
        <f aca="false">IF(BD87,xCrudeAPO(BU87,BV87,CC87,CD87,S88,S89,BI87,BL87,BP87,BQ87,0,Strike2,AO87,CE87,0,BL87,IF(OptControl=3,1,0),0,1),0)</f>
        <v>0</v>
      </c>
      <c r="CK87" s="470" t="n">
        <f aca="false">IF(BD87,xCrudeAPO(BU87,BV87,CC87,CD87,S88,S89,BI87,BL87,BP87,BQ87,0,Strike2,AO87,CE87,0,BL87,IF(OptControl=3,1,0),1,1)+xCrudeAPO(BU87,BV87,CC87,CD87,S88,S89,BI87,BL87,BP87,BQ87,0,Strike2,AO87,CE87,0,BL87,IF(OptControl=3,1,0),1,2)+IF(OR(VolSkewFlag=2,ABS(BT87)&lt;0.0001),0,IF(BT87&gt;0,-1,1)*CL87*Strike2/BR87^2*BZ87/10%),0)</f>
        <v>0</v>
      </c>
      <c r="CL87" s="470" t="n">
        <f aca="false">IF(BD87,(xCrudeAPO(BU87,BV87,CC87,CD87,S88,S89,BI87,BL87,BP87,BQ87,0,Strike2,AO87,CE87,0,BL87,IF(OptControl=3,1,0),3,1)+xCrudeAPO(BU87,BV87,CC87,CD87,S88,S89,BI87,BL87,BP87,BQ87,0,Strike2,AO87,CE87,0,BL87,IF(OptControl=3,1,0),3,2))/100,0)</f>
        <v>0</v>
      </c>
      <c r="CM87" s="472" t="n">
        <f aca="false">IF(BD87,xCrudeAPO(BU87,BV87,CC87,CD87,S88,S89,BI87-DaysForThetaCalculation/365.25,BL87-DaysForThetaCalculation/365.25,BP87,BQ87,0,Strike2,AO87,CE87,0,BL87,IF(OptControl=3,1,0),0,1)-xCrudeAPO(BU87,BV87,CC87,CD87,S88,S89,BI87,BL87,BP87,BQ87,0,Strike2,AO87,CE87,0,BL87,IF(OptControl=3,1,0),0,1),0)</f>
        <v>0</v>
      </c>
      <c r="CN87" s="3"/>
      <c r="CO87" s="543" t="str">
        <f aca="false">IF(BD87,CHOOSE(Underlying,AD87,AF87)-DateToday+1,"")</f>
        <v/>
      </c>
      <c r="CP87" s="582" t="str">
        <f aca="false">IF(BD87,CHOOSE(Underlying,L87,R87),"")</f>
        <v/>
      </c>
      <c r="CQ87" s="544" t="str">
        <f aca="false">IF(BD87,Strike1/CP87-1,"")</f>
        <v/>
      </c>
      <c r="CR87" s="544" t="str">
        <f aca="false">IF(BD87,Strike2/CP87-1,"")</f>
        <v/>
      </c>
      <c r="CS87" s="544" t="str">
        <f aca="false">IF(BD87,IF(CQ87&gt;0,IF(CQ87&gt;0.2,BC86-BB86,IF(CQ87&gt;0.1,BB86-BA86,BA86)),IF(CQ87&lt;-0.2,AX86-AY86,IF(CQ87&lt;-0.1,AY86-AZ86,AZ86))),"")</f>
        <v/>
      </c>
      <c r="CT87" s="544" t="str">
        <f aca="false">IF(BD87,IF(CR87&gt;0,IF(CR87&gt;0.2,BC86-BB86,IF(CR87&gt;0.1,BB86-BA86,BA86)),IF(CR87&lt;-0.2,AX86-AY86,IF(CR87&lt;-0.1,AY86-AZ86,AZ86))),"")</f>
        <v/>
      </c>
      <c r="CU87" s="545" t="str">
        <f aca="false">IF(BD87,CHOOSE(Underlying,O87,AT87),"")</f>
        <v/>
      </c>
      <c r="CV87" s="545" t="str">
        <f aca="false">IF(BD87,CU87+IF(VolSkewFlag=1,IF(CQ87&gt;0,BA86*MIN(CQ87/10%,1)+(BB86-BA86)*MAX(0,MIN(CQ87/10%-1,1))+(BC86-BB86)*MAX(0,CQ87/10%-2),AZ86*MIN(-CQ87/10%,1)+(AY86-AZ86)*MAX(0,MIN(-CQ87/10%-1,1))+(AX86-AY86)*MAX(0,-CQ87/10%-2)),0),"")</f>
        <v/>
      </c>
      <c r="CW87" s="545" t="str">
        <f aca="false">IF(BD87,CU87+IF(VolSkewFlag=1,IF(CR87&gt;0,BA86*MIN(CR87/10%,1)+(BB86-BA86)*MAX(0,MIN(CR87/10%-1,1))+(BC86-BB86)*MAX(0,CR87/10%-2),AZ86*MIN(-CR87/10%,1)+(AY86-AZ86)*MAX(0,MIN(-CR87/10%-1,1))+(AX86-AY86)*MAX(0,-CR87/10%-2)),0),"")</f>
        <v/>
      </c>
      <c r="CX87" s="470" t="n">
        <f aca="false">IF(BD87,EURO(CP87,Strike1,AO87,AO87,CV87,CO87,IF(OptControl=4,0,1),0),0)</f>
        <v>0</v>
      </c>
      <c r="CY87" s="470" t="n">
        <f aca="false">IF(BD87,EURO(CP87,Strike1,AO87,AO87,CV87,CO87,IF(OptControl=4,0,1),1)+IF(OR(VolSkewFlag=2,ABS(CQ87)&lt;0.0001),0,IF(CQ87&gt;0,-1,1)*CZ87*100*Strike1/CP87^2*CS87/10%),0)</f>
        <v>0</v>
      </c>
      <c r="CZ87" s="470" t="n">
        <f aca="false">IF(BD87,EURO(CP87,Strike1,AO87,AO87,CV87,CO87,IF(OptControl=4,0,1),3)/100,0)</f>
        <v>0</v>
      </c>
      <c r="DA87" s="470" t="n">
        <f aca="false">IF(BD87,EURO(CP87,Strike1,AO87,AO87,CV87,CO87,IF(OptControl=4,0,1),0)-EURO(CP87,Strike1,AO87,AO87,CV87,CO87-1,IF(OptControl=4,0,1),0),0)</f>
        <v>0</v>
      </c>
      <c r="DB87" s="470" t="n">
        <f aca="false">IF(BD87,EURO(CP87,Strike2,AO87,AO87,CW87,CO87,IF(OptControl=3,1,0),0),0)</f>
        <v>0</v>
      </c>
      <c r="DC87" s="470" t="n">
        <f aca="false">IF(BD87,EURO(CP87,Strike2,AO87,AO87,CW87,CO87,IF(OptControl=3,1,0),1)+IF(OR(VolSkewFlag=2,ABS(CR87)&lt;0.0001),0,IF(CR87&gt;0,-1,1)*DD87*100*Strike2/CP87^2*CT87/10%),0)</f>
        <v>0</v>
      </c>
      <c r="DD87" s="470" t="n">
        <f aca="false">IF(BD87,EURO(CP87,Strike2,AO87,AO87,CW87,CO87,IF(OptControl=3,1,0),3)/100,0)</f>
        <v>0</v>
      </c>
      <c r="DE87" s="472" t="n">
        <f aca="false">IF(BD87,EURO(CP87,Strike2,AO87,AO87,CW87,CO87,IF(OptControl=3,1,0),0)-EURO(CP87,Strike2,AO87,AO87,CW87,CO87-1,IF(OptControl=3,1,0),0),0)</f>
        <v>0</v>
      </c>
      <c r="DG87" s="481" t="n">
        <f aca="false">EOMONTH(DG86,0)+1</f>
        <v>47727</v>
      </c>
      <c r="DH87" s="478" t="n">
        <v>18.33</v>
      </c>
      <c r="DI87" s="479" t="n">
        <v>18.3254545454545</v>
      </c>
      <c r="DJ87" s="480" t="n">
        <f aca="false">DG87</f>
        <v>47727</v>
      </c>
      <c r="DK87" s="478" t="n">
        <v>17.1814058762495</v>
      </c>
      <c r="DL87" s="479" t="n">
        <v>17.0894545454545</v>
      </c>
      <c r="DM87" s="481" t="n">
        <f aca="false">DG87</f>
        <v>47727</v>
      </c>
      <c r="DN87" s="482" t="n">
        <f aca="false">DK87+BrentPhyBrentSpread</f>
        <v>17.2314058762495</v>
      </c>
      <c r="DO87" s="481" t="n">
        <f aca="false">DG87</f>
        <v>47727</v>
      </c>
      <c r="DP87" s="483" t="n">
        <f aca="false">DL87+DQ87</f>
        <v>17.0894545454545</v>
      </c>
      <c r="DQ87" s="546" t="n">
        <v>0</v>
      </c>
      <c r="DR87" s="480" t="n">
        <f aca="false">DG87</f>
        <v>47727</v>
      </c>
      <c r="DS87" s="485" t="n">
        <v>0.191758341017761</v>
      </c>
      <c r="DT87" s="486" t="n">
        <v>0.191099715475125</v>
      </c>
      <c r="DU87" s="480" t="n">
        <f aca="false">DG87</f>
        <v>47727</v>
      </c>
      <c r="DV87" s="485" t="n">
        <v>0.191758341017761</v>
      </c>
      <c r="DW87" s="486" t="n">
        <v>0.191099715475125</v>
      </c>
      <c r="DX87" s="481" t="n">
        <f aca="false">DG87</f>
        <v>47727</v>
      </c>
      <c r="DY87" s="486" t="n">
        <v>0.35</v>
      </c>
      <c r="DZ87" s="481" t="n">
        <f aca="false">DR87</f>
        <v>47727</v>
      </c>
      <c r="EA87" s="486" t="n">
        <f aca="false">DT87</f>
        <v>0.191099715475125</v>
      </c>
      <c r="EB87" s="195"/>
      <c r="EC87" s="547" t="str">
        <f aca="false">IF(BD87,IF(Underlying=1,AS87,AU87),"")</f>
        <v/>
      </c>
      <c r="ED87" s="548" t="str">
        <f aca="false">IF($BD87,$EC87+IF(VolSkewFlag=1,IF(BS87&gt;0,$BA87*MIN(BS87/10%,1)+($BB87-$BA87)*MAX(0,MIN(BS87/10%-1,1))+($BC87-$BB87)*MAX(0,BS87/10%-2),$AZ87*MIN(-BS87/10%,1)+($AY87-$AZ87)*MAX(0,MIN(-BS87/10%-1,1))+($AX87-$AY87)*MAX(0,-BS87/10%-2)),0),"")</f>
        <v/>
      </c>
      <c r="EE87" s="549" t="str">
        <f aca="false">IF($BD87,$EC87+IF(VolSkewFlag=1,IF(BT87&gt;0,$BA87*MIN(BT87/10%,1)+($BB87-$BA87)*MAX(0,MIN(BT87/10%-1,1))+($BC87-$BB87)*MAX(0,BT87/10%-2),$AZ87*MIN(-BT87/10%,1)+($AY87-$AZ87)*MAX(0,MIN(-BT87/10%-1,1))+($AX87-$AY87)*MAX(0,-BT87/10%-2)),0),"")</f>
        <v/>
      </c>
      <c r="EF87" s="550" t="n">
        <f aca="false">IF(BD87,xASN(BR87,Strike1,AO87,ED87,0,BO87,0,BI87,BL87,IF(OptControl=4,0,1),0),0)</f>
        <v>0</v>
      </c>
      <c r="EG87" s="551" t="n">
        <f aca="false">IF(BD87,xASN(BR87,Strike2,AO87,EE87,0,BO87,0,BI87,BL87,IF(OptControl=3,1,0),0),0)</f>
        <v>0</v>
      </c>
      <c r="EL87" s="1"/>
      <c r="EM87" s="195"/>
      <c r="EN87" s="556" t="n">
        <v>43831</v>
      </c>
      <c r="EO87" s="557" t="n">
        <v>48938</v>
      </c>
      <c r="EP87" s="195"/>
      <c r="EQ87" s="407" t="s">
        <v>313</v>
      </c>
      <c r="ES87" s="587" t="n">
        <v>68</v>
      </c>
      <c r="ET87" s="559" t="n">
        <f aca="false">BH87/365.25</f>
        <v>-19.5290896646133</v>
      </c>
      <c r="EU87" s="560" t="n">
        <f aca="false">O87^2*ET87</f>
        <v>-0</v>
      </c>
      <c r="EV87" s="588" t="e">
        <f aca="false">SQRT(SUM(FK87:ID87)/ET87)</f>
        <v>#VALUE!</v>
      </c>
      <c r="EW87" s="589" t="str">
        <f aca="false">IF(OR(DateStart2&gt;I86,DateEnd2&lt;I85),"",IF(DateStart2&lt;I86,AK85/AI85*AP85*BE85*SwaptionNumOfMonths/$D$33,0)+IF(DateEnd2&gt;I85,AJ86/AI86*AP86*BE86*SwaptionNumOfMonths/$D$33,0))</f>
        <v/>
      </c>
      <c r="EX87" s="590" t="str">
        <f aca="false">IF(EW87="","",SQRT(SUM(FK392:ID392)/SwaptionYearsToExp))</f>
        <v/>
      </c>
      <c r="EY87" s="129" t="n">
        <v>0</v>
      </c>
      <c r="EZ87" s="591" t="str">
        <f aca="false">IF(OR(EW87="",EW88=""),"",SQRT(SUM(INDEX(FK87:ID87,SwaptionFirstMonthPosition+1):INDEX(FK87:ID87,FJ87))/SUM(INDEX($FK$15:$ID$15,SwaptionFirstMonthPosition+1):INDEX($FK$15:$ID$15,FJ87))))</f>
        <v/>
      </c>
      <c r="FA87" s="592" t="str">
        <f aca="false">IF(OR(EW87="",EW86=""),"",SQRT(SUM(INDEX(FK87:ID87,SwaptionFirstMonthPosition+1):INDEX(FK87:ID87,FJ87-1))/SUM(INDEX($FK$15:$ID$15,SwaptionFirstMonthPosition+1):INDEX($FK$15:$ID$15,FJ87-1))))</f>
        <v/>
      </c>
      <c r="FB87" s="593" t="str">
        <f aca="false">IF(BE87,2/3*EZ88+1/3*FA89,"")</f>
        <v/>
      </c>
      <c r="FC87" s="596" t="str">
        <f aca="false">IF(BE87,(I88+I87-1)/2-DateToday,"")</f>
        <v/>
      </c>
      <c r="FD87" s="483" t="str">
        <f aca="false">IF(BE87,CHOOSE(Underlying,X87,Z87)+SwaptionUnderlyingPrice-$D$26,"")</f>
        <v/>
      </c>
      <c r="FE87" s="483" t="str">
        <f aca="false">IF(BE87,CollartionFloor/FD87-1,"")</f>
        <v/>
      </c>
      <c r="FF87" s="483" t="str">
        <f aca="false">IF(BE87,CollartionCap/FD87-1,"")</f>
        <v/>
      </c>
      <c r="FG87" s="485" t="str">
        <f aca="false">IF(BE87,IF(VolSkewFlag=1,IF(FE87&gt;0,$BA87*MIN(FE87/10%,1)+($BB87-$BA87)*MAX(0,MIN(FE87/10%-1,1))+($BC87-$BB87)*MAX(0,FE87/10%-2),$AZ87*MIN(-FE87/10%,1)+($AY87-$AZ87)*MAX(0,MIN(-FE87/10%-1,1))+($AX87-$AY87)*MAX(0,-FE87/10%-2)),0),"")</f>
        <v/>
      </c>
      <c r="FH87" s="486" t="str">
        <f aca="false">IF(BE87,IF(VolSkewFlag=1,IF(FF87&gt;0,$BA87*MIN(FF87/10%,1)+($BB87-$BA87)*MAX(0,MIN(FF87/10%-1,1))+($BC87-$BB87)*MAX(0,FF87/10%-2),$AZ87*MIN(-FF87/10%,1)+($AY87-$AZ87)*MAX(0,MIN(-FF87/10%-1,1))+($AX87-$AY87)*MAX(0,-FF87/10%-2)),0),"")</f>
        <v/>
      </c>
      <c r="FI87" s="129"/>
      <c r="FJ87" s="571" t="n">
        <v>68</v>
      </c>
      <c r="FK87" s="150" t="n">
        <f aca="false">IF(FK$19&gt;$FJ87,"",MAX(0,IF(FK$19=$FJ87,$S87^2*FK$15,FK86*INDEX($T$20:$T$91,$FJ87-FK$19)^2/INDEX($U$20:$U$91,$FJ87-FK$19))))</f>
        <v>0</v>
      </c>
      <c r="FL87" s="150" t="n">
        <f aca="false">IF(FL$19&gt;$FJ87,"",MAX(0,IF(FL$19=$FJ87,$S87^2*FL$15,FL86*INDEX($T$20:$T$91,$FJ87-FL$19)^2/INDEX($U$20:$U$91,$FJ87-FL$19))))</f>
        <v>0</v>
      </c>
      <c r="FM87" s="150" t="n">
        <f aca="false">IF(FM$19&gt;$FJ87,"",MAX(0,IF(FM$19=$FJ87,$S87^2*FM$15,FM86*INDEX($T$20:$T$91,$FJ87-FM$19)^2/INDEX($U$20:$U$91,$FJ87-FM$19))))</f>
        <v>0.00254691218222159</v>
      </c>
      <c r="FN87" s="150" t="n">
        <f aca="false">IF(FN$19&gt;$FJ87,"",MAX(0,IF(FN$19=$FJ87,$S87^2*FN$15,FN86*INDEX($T$20:$T$91,$FJ87-FN$19)^2/INDEX($U$20:$U$91,$FJ87-FN$19))))</f>
        <v>0.00214368024224335</v>
      </c>
      <c r="FO87" s="150" t="n">
        <f aca="false">IF(FO$19&gt;$FJ87,"",MAX(0,IF(FO$19=$FJ87,$S87^2*FO$15,FO86*INDEX($T$20:$T$91,$FJ87-FO$19)^2/INDEX($U$20:$U$91,$FJ87-FO$19))))</f>
        <v>0.00222976994404642</v>
      </c>
      <c r="FP87" s="150" t="n">
        <f aca="false">IF(FP$19&gt;$FJ87,"",MAX(0,IF(FP$19=$FJ87,$S87^2*FP$15,FP86*INDEX($T$20:$T$91,$FJ87-FP$19)^2/INDEX($U$20:$U$91,$FJ87-FP$19))))</f>
        <v>0.00247084660310453</v>
      </c>
      <c r="FQ87" s="150" t="n">
        <f aca="false">IF(FQ$19&gt;$FJ87,"",MAX(0,IF(FQ$19=$FJ87,$S87^2*FQ$15,FQ86*INDEX($T$20:$T$91,$FJ87-FQ$19)^2/INDEX($U$20:$U$91,$FJ87-FQ$19))))</f>
        <v>0.00200043989000761</v>
      </c>
      <c r="FR87" s="150" t="n">
        <f aca="false">IF(FR$19&gt;$FJ87,"",MAX(0,IF(FR$19=$FJ87,$S87^2*FR$15,FR86*INDEX($T$20:$T$91,$FJ87-FR$19)^2/INDEX($U$20:$U$91,$FJ87-FR$19))))</f>
        <v>0.00204539450962534</v>
      </c>
      <c r="FS87" s="150" t="n">
        <f aca="false">IF(FS$19&gt;$FJ87,"",MAX(0,IF(FS$19=$FJ87,$S87^2*FS$15,FS86*INDEX($T$20:$T$91,$FJ87-FS$19)^2/INDEX($U$20:$U$91,$FJ87-FS$19))))</f>
        <v>0.00230505522889955</v>
      </c>
      <c r="FT87" s="150" t="n">
        <f aca="false">IF(FT$19&gt;$FJ87,"",MAX(0,IF(FT$19=$FJ87,$S87^2*FT$15,FT86*INDEX($T$20:$T$91,$FJ87-FT$19)^2/INDEX($U$20:$U$91,$FJ87-FT$19))))</f>
        <v>0.00208027298004188</v>
      </c>
      <c r="FU87" s="150" t="n">
        <f aca="false">IF(FU$19&gt;$FJ87,"",MAX(0,IF(FU$19=$FJ87,$S87^2*FU$15,FU86*INDEX($T$20:$T$91,$FJ87-FU$19)^2/INDEX($U$20:$U$91,$FJ87-FU$19))))</f>
        <v>0.00199994386270643</v>
      </c>
      <c r="FV87" s="150" t="n">
        <f aca="false">IF(FV$19&gt;$FJ87,"",MAX(0,IF(FV$19=$FJ87,$S87^2*FV$15,FV86*INDEX($T$20:$T$91,$FJ87-FV$19)^2/INDEX($U$20:$U$91,$FJ87-FV$19))))</f>
        <v>0.00219779117613414</v>
      </c>
      <c r="FW87" s="150" t="n">
        <f aca="false">IF(FW$19&gt;$FJ87,"",MAX(0,IF(FW$19=$FJ87,$S87^2*FW$15,FW86*INDEX($T$20:$T$91,$FJ87-FW$19)^2/INDEX($U$20:$U$91,$FJ87-FW$19))))</f>
        <v>0.00205411179170583</v>
      </c>
      <c r="FX87" s="150" t="n">
        <f aca="false">IF(FX$19&gt;$FJ87,"",MAX(0,IF(FX$19=$FJ87,$S87^2*FX$15,FX86*INDEX($T$20:$T$91,$FJ87-FX$19)^2/INDEX($U$20:$U$91,$FJ87-FX$19))))</f>
        <v>0.00218604257572679</v>
      </c>
      <c r="FY87" s="150" t="n">
        <f aca="false">IF(FY$19&gt;$FJ87,"",MAX(0,IF(FY$19=$FJ87,$S87^2*FY$15,FY86*INDEX($T$20:$T$91,$FJ87-FY$19)^2/INDEX($U$20:$U$91,$FJ87-FY$19))))</f>
        <v>0.00204593650807086</v>
      </c>
      <c r="FZ87" s="150" t="n">
        <f aca="false">IF(FZ$19&gt;$FJ87,"",MAX(0,IF(FZ$19=$FJ87,$S87^2*FZ$15,FZ86*INDEX($T$20:$T$91,$FJ87-FZ$19)^2/INDEX($U$20:$U$91,$FJ87-FZ$19))))</f>
        <v>0.00190715210531406</v>
      </c>
      <c r="GA87" s="150" t="n">
        <f aca="false">IF(GA$19&gt;$FJ87,"",MAX(0,IF(GA$19=$FJ87,$S87^2*GA$15,GA86*INDEX($T$20:$T$91,$FJ87-GA$19)^2/INDEX($U$20:$U$91,$FJ87-GA$19))))</f>
        <v>0.00204151454434772</v>
      </c>
      <c r="GB87" s="150" t="n">
        <f aca="false">IF(GB$19&gt;$FJ87,"",MAX(0,IF(GB$19=$FJ87,$S87^2*GB$15,GB86*INDEX($T$20:$T$91,$FJ87-GB$19)^2/INDEX($U$20:$U$91,$FJ87-GB$19))))</f>
        <v>0.00224420149733682</v>
      </c>
      <c r="GC87" s="150" t="n">
        <f aca="false">IF(GC$19&gt;$FJ87,"",MAX(0,IF(GC$19=$FJ87,$S87^2*GC$15,GC86*INDEX($T$20:$T$91,$FJ87-GC$19)^2/INDEX($U$20:$U$91,$FJ87-GC$19))))</f>
        <v>0.00197128572069034</v>
      </c>
      <c r="GD87" s="150" t="n">
        <f aca="false">IF(GD$19&gt;$FJ87,"",MAX(0,IF(GD$19=$FJ87,$S87^2*GD$15,GD86*INDEX($T$20:$T$91,$FJ87-GD$19)^2/INDEX($U$20:$U$91,$FJ87-GD$19))))</f>
        <v>0.00197070343478649</v>
      </c>
      <c r="GE87" s="150" t="n">
        <f aca="false">IF(GE$19&gt;$FJ87,"",MAX(0,IF(GE$19=$FJ87,$S87^2*GE$15,GE86*INDEX($T$20:$T$91,$FJ87-GE$19)^2/INDEX($U$20:$U$91,$FJ87-GE$19))))</f>
        <v>0.00224214230647767</v>
      </c>
      <c r="GF87" s="150" t="n">
        <f aca="false">IF(GF$19&gt;$FJ87,"",MAX(0,IF(GF$19=$FJ87,$S87^2*GF$15,GF86*INDEX($T$20:$T$91,$FJ87-GF$19)^2/INDEX($U$20:$U$91,$FJ87-GF$19))))</f>
        <v>0.00197023333284567</v>
      </c>
      <c r="GG87" s="150" t="n">
        <f aca="false">IF(GG$19&gt;$FJ87,"",MAX(0,IF(GG$19=$FJ87,$S87^2*GG$15,GG86*INDEX($T$20:$T$91,$FJ87-GG$19)^2/INDEX($U$20:$U$91,$FJ87-GG$19))))</f>
        <v>0.00217409161179926</v>
      </c>
      <c r="GH87" s="150" t="n">
        <f aca="false">IF(GH$19&gt;$FJ87,"",MAX(0,IF(GH$19=$FJ87,$S87^2*GH$15,GH86*INDEX($T$20:$T$91,$FJ87-GH$19)^2/INDEX($U$20:$U$91,$FJ87-GH$19))))</f>
        <v>0.00203840650407687</v>
      </c>
      <c r="GI87" s="150" t="n">
        <f aca="false">IF(GI$19&gt;$FJ87,"",MAX(0,IF(GI$19=$FJ87,$S87^2*GI$15,GI86*INDEX($T$20:$T$91,$FJ87-GI$19)^2/INDEX($U$20:$U$91,$FJ87-GI$19))))</f>
        <v>0.00197079004557238</v>
      </c>
      <c r="GJ87" s="150" t="n">
        <f aca="false">IF(GJ$19&gt;$FJ87,"",MAX(0,IF(GJ$19=$FJ87,$S87^2*GJ$15,GJ86*INDEX($T$20:$T$91,$FJ87-GJ$19)^2/INDEX($U$20:$U$91,$FJ87-GJ$19))))</f>
        <v>0.00224315626684479</v>
      </c>
      <c r="GK87" s="150" t="n">
        <f aca="false">IF(GK$19&gt;$FJ87,"",MAX(0,IF(GK$19=$FJ87,$S87^2*GK$15,GK86*INDEX($T$20:$T$91,$FJ87-GK$19)^2/INDEX($U$20:$U$91,$FJ87-GK$19))))</f>
        <v>0.00203986357677024</v>
      </c>
      <c r="GL87" s="150" t="n">
        <f aca="false">IF(GL$19&gt;$FJ87,"",MAX(0,IF(GL$19=$FJ87,$S87^2*GL$15,GL86*INDEX($T$20:$T$91,$FJ87-GL$19)^2/INDEX($U$20:$U$91,$FJ87-GL$19))))</f>
        <v>0.00197262748832608</v>
      </c>
      <c r="GM87" s="150" t="n">
        <f aca="false">IF(GM$19&gt;$FJ87,"",MAX(0,IF(GM$19=$FJ87,$S87^2*GM$15,GM86*INDEX($T$20:$T$91,$FJ87-GM$19)^2/INDEX($U$20:$U$91,$FJ87-GM$19))))</f>
        <v>0.00210965759854692</v>
      </c>
      <c r="GN87" s="150" t="n">
        <f aca="false">IF(GN$19&gt;$FJ87,"",MAX(0,IF(GN$19=$FJ87,$S87^2*GN$15,GN86*INDEX($T$20:$T$91,$FJ87-GN$19)^2/INDEX($U$20:$U$91,$FJ87-GN$19))))</f>
        <v>0.00211084019912604</v>
      </c>
      <c r="GO87" s="150" t="n">
        <f aca="false">IF(GO$19&gt;$FJ87,"",MAX(0,IF(GO$19=$FJ87,$S87^2*GO$15,GO86*INDEX($T$20:$T$91,$FJ87-GO$19)^2/INDEX($U$20:$U$91,$FJ87-GO$19))))</f>
        <v>0.00211224511151397</v>
      </c>
      <c r="GP87" s="150" t="n">
        <f aca="false">IF(GP$19&gt;$FJ87,"",MAX(0,IF(GP$19=$FJ87,$S87^2*GP$15,GP86*INDEX($T$20:$T$91,$FJ87-GP$19)^2/INDEX($U$20:$U$91,$FJ87-GP$19))))</f>
        <v>0.00190933373952901</v>
      </c>
      <c r="GQ87" s="150" t="n">
        <f aca="false">IF(GQ$19&gt;$FJ87,"",MAX(0,IF(GQ$19=$FJ87,$S87^2*GQ$15,GQ86*INDEX($T$20:$T$91,$FJ87-GQ$19)^2/INDEX($U$20:$U$91,$FJ87-GQ$19))))</f>
        <v>0.00211586038222076</v>
      </c>
      <c r="GR87" s="150" t="n">
        <f aca="false">IF(GR$19&gt;$FJ87,"",MAX(0,IF(GR$19=$FJ87,$S87^2*GR$15,GR86*INDEX($T$20:$T$91,$FJ87-GR$19)^2/INDEX($U$20:$U$91,$FJ87-GR$19))))</f>
        <v>0.00204983073560802</v>
      </c>
      <c r="GS87" s="150" t="n">
        <f aca="false">IF(GS$19&gt;$FJ87,"",MAX(0,IF(GS$19=$FJ87,$S87^2*GS$15,GS86*INDEX($T$20:$T$91,$FJ87-GS$19)^2/INDEX($U$20:$U$91,$FJ87-GS$19))))</f>
        <v>0.00212085623801234</v>
      </c>
      <c r="GT87" s="150" t="n">
        <f aca="false">IF(GT$19&gt;$FJ87,"",MAX(0,IF(GT$19=$FJ87,$S87^2*GT$15,GT86*INDEX($T$20:$T$91,$FJ87-GT$19)^2/INDEX($U$20:$U$91,$FJ87-GT$19))))</f>
        <v>0.00205550443616588</v>
      </c>
      <c r="GU87" s="150" t="n">
        <f aca="false">IF(GU$19&gt;$FJ87,"",MAX(0,IF(GU$19=$FJ87,$S87^2*GU$15,GU86*INDEX($T$20:$T$91,$FJ87-GU$19)^2/INDEX($U$20:$U$91,$FJ87-GU$19))))</f>
        <v>0.00212773322201728</v>
      </c>
      <c r="GV87" s="150" t="n">
        <f aca="false">IF(GV$19&gt;$FJ87,"",MAX(0,IF(GV$19=$FJ87,$S87^2*GV$15,GV86*INDEX($T$20:$T$91,$FJ87-GV$19)^2/INDEX($U$20:$U$91,$FJ87-GV$19))))</f>
        <v>0.0021320863961198</v>
      </c>
      <c r="GW87" s="150" t="n">
        <f aca="false">IF(GW$19&gt;$FJ87,"",MAX(0,IF(GW$19=$FJ87,$S87^2*GW$15,GW86*INDEX($T$20:$T$91,$FJ87-GW$19)^2/INDEX($U$20:$U$91,$FJ87-GW$19))))</f>
        <v>0.00206825044700396</v>
      </c>
      <c r="GX87" s="150" t="n">
        <f aca="false">IF(GX$19&gt;$FJ87,"",MAX(0,IF(GX$19=$FJ87,$S87^2*GX$15,GX86*INDEX($T$20:$T$91,$FJ87-GX$19)^2/INDEX($U$20:$U$91,$FJ87-GX$19))))</f>
        <v>0.00214318206743835</v>
      </c>
      <c r="GY87" s="150" t="n">
        <f aca="false">IF(GY$19&gt;$FJ87,"",MAX(0,IF(GY$19=$FJ87,$S87^2*GY$15,GY86*INDEX($T$20:$T$91,$FJ87-GY$19)^2/INDEX($U$20:$U$91,$FJ87-GY$19))))</f>
        <v>0.00208085033839668</v>
      </c>
      <c r="GZ87" s="150" t="n">
        <f aca="false">IF(GZ$19&gt;$FJ87,"",MAX(0,IF(GZ$19=$FJ87,$S87^2*GZ$15,GZ86*INDEX($T$20:$T$91,$FJ87-GZ$19)^2/INDEX($U$20:$U$91,$FJ87-GZ$19))))</f>
        <v>0.00215846664103773</v>
      </c>
      <c r="HA87" s="150" t="n">
        <f aca="false">IF(HA$19&gt;$FJ87,"",MAX(0,IF(HA$19=$FJ87,$S87^2*HA$15,HA86*INDEX($T$20:$T$91,$FJ87-HA$19)^2/INDEX($U$20:$U$91,$FJ87-HA$19))))</f>
        <v>0.00216816522921709</v>
      </c>
      <c r="HB87" s="150" t="n">
        <f aca="false">IF(HB$19&gt;$FJ87,"",MAX(0,IF(HB$19=$FJ87,$S87^2*HB$15,HB86*INDEX($T$20:$T$91,$FJ87-HB$19)^2/INDEX($U$20:$U$91,$FJ87-HB$19))))</f>
        <v>0.0020389514370054</v>
      </c>
      <c r="HC87" s="150" t="n">
        <f aca="false">IF(HC$19&gt;$FJ87,"",MAX(0,IF(HC$19=$FJ87,$S87^2*HC$15,HC86*INDEX($T$20:$T$91,$FJ87-HC$19)^2/INDEX($U$20:$U$91,$FJ87-HC$19))))</f>
        <v>0.0021929887662429</v>
      </c>
      <c r="HD87" s="150" t="n">
        <f aca="false">IF(HD$19&gt;$FJ87,"",MAX(0,IF(HD$19=$FJ87,$S87^2*HD$15,HD86*INDEX($T$20:$T$91,$FJ87-HD$19)^2/INDEX($U$20:$U$91,$FJ87-HD$19))))</f>
        <v>0.0021375465501344</v>
      </c>
      <c r="HE87" s="150" t="n">
        <f aca="false">IF(HE$19&gt;$FJ87,"",MAX(0,IF(HE$19=$FJ87,$S87^2*HE$15,HE86*INDEX($T$20:$T$91,$FJ87-HE$19)^2/INDEX($U$20:$U$91,$FJ87-HE$19))))</f>
        <v>0.0022274448691186</v>
      </c>
      <c r="HF87" s="150" t="n">
        <f aca="false">IF(HF$19&gt;$FJ87,"",MAX(0,IF(HF$19=$FJ87,$S87^2*HF$15,HF86*INDEX($T$20:$T$91,$FJ87-HF$19)^2/INDEX($U$20:$U$91,$FJ87-HF$19))))</f>
        <v>0.00217690622617546</v>
      </c>
      <c r="HG87" s="150" t="n">
        <f aca="false">IF(HG$19&gt;$FJ87,"",MAX(0,IF(HG$19=$FJ87,$S87^2*HG$15,HG86*INDEX($T$20:$T$91,$FJ87-HG$19)^2/INDEX($U$20:$U$91,$FJ87-HG$19))))</f>
        <v>0.00227552842160054</v>
      </c>
      <c r="HH87" s="150" t="n">
        <f aca="false">IF(HH$19&gt;$FJ87,"",MAX(0,IF(HH$19=$FJ87,$S87^2*HH$15,HH86*INDEX($T$20:$T$91,$FJ87-HH$19)^2/INDEX($U$20:$U$91,$FJ87-HH$19))))</f>
        <v>0.0023064202341722</v>
      </c>
      <c r="HI87" s="150" t="n">
        <f aca="false">IF(HI$19&gt;$FJ87,"",MAX(0,IF(HI$19=$FJ87,$S87^2*HI$15,HI86*INDEX($T$20:$T$91,$FJ87-HI$19)^2/INDEX($U$20:$U$91,$FJ87-HI$19))))</f>
        <v>0.00226754137756643</v>
      </c>
      <c r="HJ87" s="150" t="n">
        <f aca="false">IF(HJ$19&gt;$FJ87,"",MAX(0,IF(HJ$19=$FJ87,$S87^2*HJ$15,HJ86*INDEX($T$20:$T$91,$FJ87-HJ$19)^2/INDEX($U$20:$U$91,$FJ87-HJ$19))))</f>
        <v>0.00238685823288075</v>
      </c>
      <c r="HK87" s="150" t="n">
        <f aca="false">IF(HK$19&gt;$FJ87,"",MAX(0,IF(HK$19=$FJ87,$S87^2*HK$15,HK86*INDEX($T$20:$T$91,$FJ87-HK$19)^2/INDEX($U$20:$U$91,$FJ87-HK$19))))</f>
        <v>0.00236044554655574</v>
      </c>
      <c r="HL87" s="150" t="n">
        <f aca="false">IF(HL$19&gt;$FJ87,"",MAX(0,IF(HL$19=$FJ87,$S87^2*HL$15,HL86*INDEX($T$20:$T$91,$FJ87-HL$19)^2/INDEX($U$20:$U$91,$FJ87-HL$19))))</f>
        <v>0.00250183183702704</v>
      </c>
      <c r="HM87" s="150" t="n">
        <f aca="false">IF(HM$19&gt;$FJ87,"",MAX(0,IF(HM$19=$FJ87,$S87^2*HM$15,HM86*INDEX($T$20:$T$91,$FJ87-HM$19)^2/INDEX($U$20:$U$91,$FJ87-HM$19))))</f>
        <v>0.00257738556554992</v>
      </c>
      <c r="HN87" s="150" t="n">
        <f aca="false">IF(HN$19&gt;$FJ87,"",MAX(0,IF(HN$19=$FJ87,$S87^2*HN$15,HN86*INDEX($T$20:$T$91,$FJ87-HN$19)^2/INDEX($U$20:$U$91,$FJ87-HN$19))))</f>
        <v>0.00241061012946705</v>
      </c>
      <c r="HO87" s="150" t="n">
        <f aca="false">IF(HO$19&gt;$FJ87,"",MAX(0,IF(HO$19=$FJ87,$S87^2*HO$15,HO86*INDEX($T$20:$T$91,$FJ87-HO$19)^2/INDEX($U$20:$U$91,$FJ87-HO$19))))</f>
        <v>0.00278038316612739</v>
      </c>
      <c r="HP87" s="150" t="n">
        <f aca="false">IF(HP$19&gt;$FJ87,"",MAX(0,IF(HP$19=$FJ87,$S87^2*HP$15,HP86*INDEX($T$20:$T$91,$FJ87-HP$19)^2/INDEX($U$20:$U$91,$FJ87-HP$19))))</f>
        <v>0.00282309838080986</v>
      </c>
      <c r="HQ87" s="150" t="n">
        <f aca="false">IF(HQ$19&gt;$FJ87,"",MAX(0,IF(HQ$19=$FJ87,$S87^2*HQ$15,HQ86*INDEX($T$20:$T$91,$FJ87-HQ$19)^2/INDEX($U$20:$U$91,$FJ87-HQ$19))))</f>
        <v>0.00308651066005195</v>
      </c>
      <c r="HR87" s="150" t="n">
        <f aca="false">IF(HR$19&gt;$FJ87,"",MAX(0,IF(HR$19=$FJ87,$S87^2*HR$15,HR86*INDEX($T$20:$T$91,$FJ87-HR$19)^2/INDEX($U$20:$U$91,$FJ87-HR$19))))</f>
        <v>0.00319171783896753</v>
      </c>
      <c r="HS87" s="150" t="n">
        <f aca="false">IF(HS$19&gt;$FJ87,"",MAX(0,IF(HS$19=$FJ87,$S87^2*HS$15,HS86*INDEX($T$20:$T$91,$FJ87-HS$19)^2/INDEX($U$20:$U$91,$FJ87-HS$19))))</f>
        <v>0.00356566831881282</v>
      </c>
      <c r="HT87" s="150" t="n">
        <f aca="false">IF(HT$19&gt;$FJ87,"",MAX(0,IF(HT$19=$FJ87,$S87^2*HT$15,HT86*INDEX($T$20:$T$91,$FJ87-HT$19)^2/INDEX($U$20:$U$91,$FJ87-HT$19))))</f>
        <v>0.00390871043980582</v>
      </c>
      <c r="HU87" s="150" t="n">
        <f aca="false">IF(HU$19&gt;$FJ87,"",MAX(0,IF(HU$19=$FJ87,$S87^2*HU$15,HU86*INDEX($T$20:$T$91,$FJ87-HU$19)^2/INDEX($U$20:$U$91,$FJ87-HU$19))))</f>
        <v>0.00421531390514392</v>
      </c>
      <c r="HV87" s="150" t="n">
        <f aca="false">IF(HV$19&gt;$FJ87,"",MAX(0,IF(HV$19=$FJ87,$S87^2*HV$15,HV86*INDEX($T$20:$T$91,$FJ87-HV$19)^2/INDEX($U$20:$U$91,$FJ87-HV$19))))</f>
        <v>0.0049501120945626</v>
      </c>
      <c r="HW87" s="150" t="n">
        <f aca="false">IF(HW$19&gt;$FJ87,"",MAX(0,IF(HW$19=$FJ87,$S87^2*HW$15,HW86*INDEX($T$20:$T$91,$FJ87-HW$19)^2/INDEX($U$20:$U$91,$FJ87-HW$19))))</f>
        <v>0.00557296237196536</v>
      </c>
      <c r="HX87" s="150" t="n">
        <f aca="false">IF(HX$19&gt;$FJ87,"",MAX(0,IF(HX$19=$FJ87,$S87^2*HX$15,HX86*INDEX($T$20:$T$91,$FJ87-HX$19)^2/INDEX($U$20:$U$91,$FJ87-HX$19))))</f>
        <v>0.0068903166980237</v>
      </c>
      <c r="HY87" s="150" t="n">
        <f aca="false">IF(HY$19&gt;$FJ87,"",MAX(0,IF(HY$19=$FJ87,$S87^2*HY$15,HY86*INDEX($T$20:$T$91,$FJ87-HY$19)^2/INDEX($U$20:$U$91,$FJ87-HY$19))))</f>
        <v>0.00852846986306278</v>
      </c>
      <c r="HZ87" s="150" t="n">
        <f aca="false">IF(HZ$19&gt;$FJ87,"",MAX(0,IF(HZ$19=$FJ87,$S87^2*HZ$15,HZ86*INDEX($T$20:$T$91,$FJ87-HZ$19)^2/INDEX($U$20:$U$91,$FJ87-HZ$19))))</f>
        <v>0.00993511294887682</v>
      </c>
      <c r="IA87" s="150" t="str">
        <f aca="false">IF(IA$19&gt;$FJ87,"",MAX(0,IF(IA$19=$FJ87,$S87^2*IA$15,IA86*INDEX($T$20:$T$91,$FJ87-IA$19)^2/INDEX($U$20:$U$91,$FJ87-IA$19))))</f>
        <v/>
      </c>
      <c r="IB87" s="150" t="str">
        <f aca="false">IF(IB$19&gt;$FJ87,"",MAX(0,IF(IB$19=$FJ87,$S87^2*IB$15,IB86*INDEX($T$20:$T$91,$FJ87-IB$19)^2/INDEX($U$20:$U$91,$FJ87-IB$19))))</f>
        <v/>
      </c>
      <c r="IC87" s="150" t="str">
        <f aca="false">IF(IC$19&gt;$FJ87,"",MAX(0,IF(IC$19=$FJ87,$S87^2*IC$15,IC86*INDEX($T$20:$T$91,$FJ87-IC$19)^2/INDEX($U$20:$U$91,$FJ87-IC$19))))</f>
        <v/>
      </c>
      <c r="ID87" s="572" t="str">
        <f aca="false">IF(ID$19&gt;$FJ87,"",MAX(0,IF(ID$19=$FJ87,$S87^2*ID$15,ID86*INDEX($T$20:$T$91,$FJ87-ID$19)^2/INDEX($U$20:$U$91,$FJ87-ID$19))))</f>
        <v/>
      </c>
      <c r="IE87" s="129"/>
    </row>
    <row r="88" customFormat="false" ht="12.75" hidden="false" customHeight="false" outlineLevel="0" collapsed="false">
      <c r="H88" s="219" t="n">
        <f aca="false">VLOOKUP(I88,$EJ$20:$EL$54,3)</f>
        <v>0</v>
      </c>
      <c r="I88" s="511" t="n">
        <f aca="false">EOMONTH(I87,0)+1</f>
        <v>38838</v>
      </c>
      <c r="J88" s="512"/>
      <c r="K88" s="513" t="s">
        <v>250</v>
      </c>
      <c r="L88" s="514" t="e">
        <f aca="false">IF(ISNUMBER(K88),J88+K88/100,IF(K88="extra",L87+VLOOKUP(BF88,PriceSpreadTable,2)/12,IF(K88="inter",interpolateprices($K$19:$L$200,ROW(K88)-ROW(FirstPricingMonth)+1),interpolatechanges($J$19:$K$200,ROW(K88)-ROW(FirstPricingMonth)+1))))</f>
        <v>#VALUE!</v>
      </c>
      <c r="M88" s="515"/>
      <c r="N88" s="516" t="n">
        <v>0</v>
      </c>
      <c r="O88" s="515" t="n">
        <f aca="false">M88+N88</f>
        <v>0</v>
      </c>
      <c r="P88" s="512"/>
      <c r="Q88" s="513" t="s">
        <v>280</v>
      </c>
      <c r="R88" s="512" t="e">
        <f aca="false">IF(ISNUMBER(Q88),P88+Q88/100,IF(Q88="extra",(Z86*AL86-R87*AM86)/AN86,IF(Q88="inter",interpolateprices($Q$19:$R$260,ROW(Q88)-ROW(FirstPricingMonth)+1),interpolatechanges($P$19:$Q$260,ROW(Q88)-ROW(FirstPricingMonth)+1))))</f>
        <v>#VALUE!</v>
      </c>
      <c r="S88" s="597" t="n">
        <f aca="false">S$19+(S87-S$19)*S$18</f>
        <v>0.36000000017028</v>
      </c>
      <c r="T88" s="575" t="n">
        <f aca="false">SQRT((1-(1-T87^2/U87)*T$18)*U88)</f>
        <v>0.999997344247672</v>
      </c>
      <c r="U88" s="576" t="n">
        <f aca="false">1-(1-U87)*U$18</f>
        <v>0.999999999952109</v>
      </c>
      <c r="V88" s="521" t="n">
        <v>0</v>
      </c>
      <c r="W88" s="577" t="n">
        <f aca="false">(J89*AJ88+J90*AK88)/AI88</f>
        <v>0</v>
      </c>
      <c r="X88" s="578" t="e">
        <f aca="false">(L89*AJ88+L90*AK88)/AI88</f>
        <v>#VALUE!</v>
      </c>
      <c r="Y88" s="579" t="n">
        <f aca="false">IF(Q90="extra",W88-AA88,(P89*AM88+P90*AN88)/AL88)</f>
        <v>-1.239</v>
      </c>
      <c r="Z88" s="579" t="e">
        <f aca="false">IF(Q90="extra",X88-AB88,(R89*AM88+R90*AN88)/AL88)</f>
        <v>#VALUE!</v>
      </c>
      <c r="AA88" s="523" t="n">
        <f aca="false">IF(Q90="extra",INDEX(BrentSeasonalityTable,INT((BG88-1)/3)+1)*VLOOKUP(MAX(BF88,$AB$4),PriceSpreadTable,3),W88-Y88)</f>
        <v>1.239</v>
      </c>
      <c r="AB88" s="524" t="n">
        <f aca="false">IF(Q90="extra",INDEX(BrentSeasonalityTable,INT((BG88-1)/3)+1)*VLOOKUP(MAX(BF88,$AB$4),PriceSpreadTable,3),X88-Z88)</f>
        <v>1.239</v>
      </c>
      <c r="AC88" s="646" t="n">
        <v>38827</v>
      </c>
      <c r="AD88" s="646" t="n">
        <v>38823</v>
      </c>
      <c r="AE88" s="646" t="n">
        <v>38822</v>
      </c>
      <c r="AF88" s="646" t="n">
        <v>38818</v>
      </c>
      <c r="AG88" s="438" t="s">
        <v>247</v>
      </c>
      <c r="AH88" s="439" t="s">
        <v>278</v>
      </c>
      <c r="AI88" s="528" t="n">
        <v>23</v>
      </c>
      <c r="AJ88" s="529" t="n">
        <v>15</v>
      </c>
      <c r="AK88" s="529" t="n">
        <v>8</v>
      </c>
      <c r="AL88" s="530" t="n">
        <v>23</v>
      </c>
      <c r="AM88" s="529" t="n">
        <v>10</v>
      </c>
      <c r="AN88" s="531" t="n">
        <v>13</v>
      </c>
      <c r="AO88" s="532"/>
      <c r="AP88" s="465" t="n">
        <f aca="false">(1+AO88/2)^(-2*BL88)</f>
        <v>1</v>
      </c>
      <c r="AQ88" s="532"/>
      <c r="AR88" s="465" t="n">
        <f aca="false">(1+AQ88/2)^(-2*BH88/365.25)</f>
        <v>1</v>
      </c>
      <c r="AS88" s="580" t="n">
        <f aca="false">(O89*AJ88+O90*AK88)/AI88</f>
        <v>0</v>
      </c>
      <c r="AT88" s="468" t="n">
        <f aca="false">O88*VLOOKUP(BF88,BrentVolTable,2)+VLOOKUP(BF88,BrentVolTable,3)</f>
        <v>0</v>
      </c>
      <c r="AU88" s="468" t="n">
        <f aca="false">(AT89*AM88+AT90*AN88)/AL88</f>
        <v>0</v>
      </c>
      <c r="AV88" s="595" t="n">
        <f aca="false">SQRT(MAX(0.000000000001,(O88^2*BH88-S88^2*(BH88-BH87))/BH87))</f>
        <v>0.0237327047234298</v>
      </c>
      <c r="AW88" s="451" t="n">
        <f aca="false">IF($I88-DateToday+15&gt;=$T$8,"",IF($I88-DateToday+15&lt;$T$5,1,MATCH($I88-DateToday+15,$T$5:$T$8)))</f>
        <v>1</v>
      </c>
      <c r="AX88" s="468" t="n">
        <f aca="false">IF($AW88="",AX87^2/AX86,INDEX(U$5:U$8,$AW88)^((INDEX($T$5:$T$8,$AW88+1)-($I88-DateToday+15))/(INDEX($T$5:$T$8,$AW88+1)-INDEX($T$5:$T$8,$AW88)))/INDEX(U$5:U$8,$AW88+1)^((INDEX($T$5:$T$8,$AW88)-($I88-DateToday+15))/(INDEX($T$5:$T$8,$AW88+1)-INDEX($T$5:$T$8,$AW88))))</f>
        <v>2.93629508851387</v>
      </c>
      <c r="AY88" s="468" t="n">
        <f aca="false">IF($AW88="",AY87^2/AY86,INDEX(V$5:V$8,$AW88)^((INDEX($T$5:$T$8,$AW88+1)-($I88-DateToday+15))/(INDEX($T$5:$T$8,$AW88+1)-INDEX($T$5:$T$8,$AW88)))/INDEX(V$5:V$8,$AW88+1)^((INDEX($T$5:$T$8,$AW88)-($I88-DateToday+15))/(INDEX($T$5:$T$8,$AW88+1)-INDEX($T$5:$T$8,$AW88))))</f>
        <v>298.046494671706</v>
      </c>
      <c r="AZ88" s="468" t="n">
        <f aca="false">IF($AW88="",AZ87^2/AZ86,INDEX(W$5:W$8,$AW88)^((INDEX($T$5:$T$8,$AW88+1)-($I88-DateToday+15))/(INDEX($T$5:$T$8,$AW88+1)-INDEX($T$5:$T$8,$AW88)))/INDEX(W$5:W$8,$AW88+1)^((INDEX($T$5:$T$8,$AW88)-($I88-DateToday+15))/(INDEX($T$5:$T$8,$AW88+1)-INDEX($T$5:$T$8,$AW88))))</f>
        <v>2616310.79541142</v>
      </c>
      <c r="BA88" s="468" t="n">
        <f aca="false">IF($AW88="",BA87^2/BA86,INDEX(X$5:X$8,$AW88)^((INDEX($T$5:$T$8,$AW88+1)-($I88-DateToday+15))/(INDEX($T$5:$T$8,$AW88+1)-INDEX($T$5:$T$8,$AW88)))/INDEX(X$5:X$8,$AW88+1)^((INDEX($T$5:$T$8,$AW88)-($I88-DateToday+15))/(INDEX($T$5:$T$8,$AW88+1)-INDEX($T$5:$T$8,$AW88))))</f>
        <v>80023547.2770034</v>
      </c>
      <c r="BB88" s="468" t="n">
        <f aca="false">IF($AW88="",BB87^2/BB86,INDEX(Y$5:Y$8,$AW88)^((INDEX($T$5:$T$8,$AW88+1)-($I88-DateToday+15))/(INDEX($T$5:$T$8,$AW88+1)-INDEX($T$5:$T$8,$AW88)))/INDEX(Y$5:Y$8,$AW88+1)^((INDEX($T$5:$T$8,$AW88)-($I88-DateToday+15))/(INDEX($T$5:$T$8,$AW88+1)-INDEX($T$5:$T$8,$AW88))))</f>
        <v>1129093160.00578</v>
      </c>
      <c r="BC88" s="468" t="n">
        <f aca="false">IF($AW88="",BC87^2/BC86,INDEX(Z$5:Z$8,$AW88)^((INDEX($T$5:$T$8,$AW88+1)-($I88-DateToday+15))/(INDEX($T$5:$T$8,$AW88+1)-INDEX($T$5:$T$8,$AW88)))/INDEX(Z$5:Z$8,$AW88+1)^((INDEX($T$5:$T$8,$AW88)-($I88-DateToday+15))/(INDEX($T$5:$T$8,$AW88+1)-INDEX($T$5:$T$8,$AW88))))</f>
        <v>5510823970.14609</v>
      </c>
      <c r="BD88" s="535" t="n">
        <f aca="false">IF(OR(DateStart&gt;=I89,DateEnd&lt;I88),0,IF(VolumeOverrideFlag,V88,Volume))</f>
        <v>0</v>
      </c>
      <c r="BE88" s="536" t="n">
        <f aca="false">IF(OR(DateStart2&gt;=I89,DateEnd2&lt;I88),0,IF(VolumeOverrideFlag,V88,VolumeSwaption))</f>
        <v>0</v>
      </c>
      <c r="BF88" s="537" t="n">
        <f aca="false">YEAR(I88)</f>
        <v>2006</v>
      </c>
      <c r="BG88" s="538" t="n">
        <f aca="false">MONTH(I88)</f>
        <v>5</v>
      </c>
      <c r="BH88" s="539" t="n">
        <f aca="false">AD88-DateToday+1</f>
        <v>-7102</v>
      </c>
      <c r="BI88" s="540" t="n">
        <f aca="false">(I88-DateToday+1)/365.25</f>
        <v>-19.4031485284052</v>
      </c>
      <c r="BJ88" s="541" t="n">
        <f aca="false">BI88+(BL88-BI88)*CHOOSE(Underlying,AJ88/AI88,AM88/AL88)</f>
        <v>-19.34958188257</v>
      </c>
      <c r="BK88" s="541" t="n">
        <f aca="false">BJ88+1/365.25</f>
        <v>-19.3468440317829</v>
      </c>
      <c r="BL88" s="541" t="n">
        <f aca="false">(I89-DateToday)/365.25</f>
        <v>-19.3210130047912</v>
      </c>
      <c r="BM88" s="542" t="e">
        <f aca="false">MAX(BI88-(BJ88-BI88)*(S89^2/O89^2-1),0)</f>
        <v>#DIV/0!</v>
      </c>
      <c r="BN88" s="541" t="e">
        <f aca="false">MAX(BL88+(BL88-BK88)*(S90^2/O90^2-1),0)</f>
        <v>#DIV/0!</v>
      </c>
      <c r="BO88" s="530" t="n">
        <f aca="false">CHOOSE(Underlying,AI88,AL88)</f>
        <v>23</v>
      </c>
      <c r="BP88" s="529" t="n">
        <f aca="false">CHOOSE(Underlying,AJ88,AM88)</f>
        <v>15</v>
      </c>
      <c r="BQ88" s="529" t="n">
        <f aca="false">CHOOSE(Underlying,AK88,AN88)</f>
        <v>8</v>
      </c>
      <c r="BR88" s="463" t="str">
        <f aca="false">IF(BD88,IF(Underlying=1,X88,Z88)+UnderlyingPriceAsian-SwapPriceCurve,"")</f>
        <v/>
      </c>
      <c r="BS88" s="463" t="str">
        <f aca="false">IF(BD88,Strike1/BR88-1,"")</f>
        <v/>
      </c>
      <c r="BT88" s="464" t="str">
        <f aca="false">IF(BD88,Strike2/BR88-1,"")</f>
        <v/>
      </c>
      <c r="BU88" s="465" t="str">
        <f aca="false">IF(BD88,IF(Underlying=1,L89,R89)+UnderlyingPriceAsian-SwapPriceCurve,"")</f>
        <v/>
      </c>
      <c r="BV88" s="465" t="str">
        <f aca="false">IF(BD88,IF(Underlying=1,L90,R90)+UnderlyingPriceAsian-SwapPriceCurve,"")</f>
        <v/>
      </c>
      <c r="BW88" s="466" t="str">
        <f aca="false">IF(BD88,IF(Underlying=1,O89,AT89),"")</f>
        <v/>
      </c>
      <c r="BX88" s="467" t="str">
        <f aca="false">IF(BD88,IF(Underlying=1,O90,AT90),"")</f>
        <v/>
      </c>
      <c r="BY88" s="466" t="str">
        <f aca="false">IF(BD88,IF(BS88&gt;0,IF(BS88&gt;0.2,BC88-BB88,IF(BS88&gt;0.1,BB88-BA88,BA88)),IF(BS88&lt;-0.2,AX88-AY88,IF(BS88&lt;-0.1,AY88-AZ88,AZ88))),"")</f>
        <v/>
      </c>
      <c r="BZ88" s="467" t="str">
        <f aca="false">IF(BD88,IF(BT88&gt;0,IF(BT88&gt;0.2,BC88-BB88,IF(BT88&gt;0.1,BB88-BA88,BA88)),IF(BT88&lt;-0.2,AX88-AY88,IF(BT88&lt;-0.1,AY88-AZ88,AZ88))),"")</f>
        <v/>
      </c>
      <c r="CA88" s="468" t="str">
        <f aca="false">IF($BD88,$BW88+IF(VolSkewFlag=1,IF(BS88&gt;0,$BA88*MIN(BS88/10%,1)+($BB88-$BA88)*MAX(0,MIN(BS88/10%-1,1))+($BC88-$BB88)*MAX(0,BS88/10%-2),$AZ88*MIN(-BS88/10%,1)+($AY88-$AZ88)*MAX(0,MIN(-BS88/10%-1,1))+($AX88-$AY88)*MAX(0,-BS88/10%-2)),0),"")</f>
        <v/>
      </c>
      <c r="CB88" s="468" t="str">
        <f aca="false">IF($BD88,$BX88+IF(VolSkewFlag=1,IF(BS88&gt;0,$BA88*MIN(BS88/10%,1)+($BB88-$BA88)*MAX(0,MIN(BS88/10%-1,1))+($BC88-$BB88)*MAX(0,BS88/10%-2),$AZ88*MIN(-BS88/10%,1)+($AY88-$AZ88)*MAX(0,MIN(-BS88/10%-1,1))+($AX88-$AY88)*MAX(0,-BS88/10%-2)),0),"")</f>
        <v/>
      </c>
      <c r="CC88" s="468" t="str">
        <f aca="false">IF($BD88,$BW88+IF(VolSkewFlag=1,IF(BT88&gt;0,$BA88*MIN(BT88/10%,1)+($BB88-$BA88)*MAX(0,MIN(BT88/10%-1,1))+($BC88-$BB88)*MAX(0,BT88/10%-2),$AZ88*MIN(-BT88/10%,1)+($AY88-$AZ88)*MAX(0,MIN(-BT88/10%-1,1))+($AX88-$AY88)*MAX(0,-BT88/10%-2)),0),"")</f>
        <v/>
      </c>
      <c r="CD88" s="468" t="str">
        <f aca="false">IF($BD88,$BX88+IF(VolSkewFlag=1,IF(BT88&gt;0,$BA88*MIN(BT88/10%,1)+($BB88-$BA88)*MAX(0,MIN(BT88/10%-1,1))+($BC88-$BB88)*MAX(0,BT88/10%-2),$AZ88*MIN(-BT88/10%,1)+($AY88-$AZ88)*MAX(0,MIN(-BT88/10%-1,1))+($AX88-$AY88)*MAX(0,-BT88/10%-2)),0),"")</f>
        <v/>
      </c>
      <c r="CE88" s="469" t="n">
        <v>1</v>
      </c>
      <c r="CF88" s="470" t="n">
        <f aca="false">IF(BD88,xCrudeAPO(BU88,BV88,CA88,CB88,S89,S90,BI88,BL88,BP88,BQ88,0,Strike1,AO88,CE88,0,BL88,IF(OptControl=4,0,1),0,1),0)</f>
        <v>0</v>
      </c>
      <c r="CG88" s="470" t="n">
        <f aca="false">IF(BD88,xCrudeAPO(BU88,BV88,CA88,CB88,S89,S90,BI88,BL88,BP88,BQ88,0,Strike1,AO88,CE88,0,BL88,IF(OptControl=4,0,1),1,1)+xCrudeAPO(BU88,BV88,CA88,CB88,S89,S90,BI88,BL88,BP88,BQ88,0,Strike1,AO88,CE88,0,BL88,IF(OptControl=4,0,1),1,2)+IF(OR(VolSkewFlag=2,ABS(BS88)&lt;0.0001),0,IF(BS88&gt;0,-1,1)*CH88*Strike1/BR88^2*BY88/10%),0)</f>
        <v>0</v>
      </c>
      <c r="CH88" s="470" t="n">
        <f aca="false">IF(BD88,(xCrudeAPO(BU88,BV88,CA88,CB88,S89,S90,BI88,BL88,BP88,BQ88,0,Strike1,AO88,CE88,0,BL88,IF(OptControl=4,0,1),3,1)+xCrudeAPO(BU88,BV88,CA88,CB88,S89,S90,BI88,BL88,BP88,BQ88,0,Strike1,AO88,CE88,0,BL88,IF(OptControl=4,0,1),3,2))/100,0)</f>
        <v>0</v>
      </c>
      <c r="CI88" s="470" t="n">
        <f aca="false">IF(BD88,xCrudeAPO(BU88,BV88,CA88,CB88,S89,S90,BI88-DaysForThetaCalculation/365.25,BL88-DaysForThetaCalculation/365.25,BP88,BQ88,0,Strike1,AO88,CE88,0,BL88,IF(OptControl=4,0,1),0,1)-xCrudeAPO(BU88,BV88,CA88,CB88,S89,S90,BI88,BL88,BP88,BQ88,0,Strike1,AO88,CE88,0,BL88,IF(OptControl=4,0,1),0,1),0)</f>
        <v>0</v>
      </c>
      <c r="CJ88" s="471" t="n">
        <f aca="false">IF(BD88,xCrudeAPO(BU88,BV88,CC88,CD88,S89,S90,BI88,BL88,BP88,BQ88,0,Strike2,AO88,CE88,0,BL88,IF(OptControl=3,1,0),0,1),0)</f>
        <v>0</v>
      </c>
      <c r="CK88" s="470" t="n">
        <f aca="false">IF(BD88,xCrudeAPO(BU88,BV88,CC88,CD88,S89,S90,BI88,BL88,BP88,BQ88,0,Strike2,AO88,CE88,0,BL88,IF(OptControl=3,1,0),1,1)+xCrudeAPO(BU88,BV88,CC88,CD88,S89,S90,BI88,BL88,BP88,BQ88,0,Strike2,AO88,CE88,0,BL88,IF(OptControl=3,1,0),1,2)+IF(OR(VolSkewFlag=2,ABS(BT88)&lt;0.0001),0,IF(BT88&gt;0,-1,1)*CL88*Strike2/BR88^2*BZ88/10%),0)</f>
        <v>0</v>
      </c>
      <c r="CL88" s="470" t="n">
        <f aca="false">IF(BD88,(xCrudeAPO(BU88,BV88,CC88,CD88,S89,S90,BI88,BL88,BP88,BQ88,0,Strike2,AO88,CE88,0,BL88,IF(OptControl=3,1,0),3,1)+xCrudeAPO(BU88,BV88,CC88,CD88,S89,S90,BI88,BL88,BP88,BQ88,0,Strike2,AO88,CE88,0,BL88,IF(OptControl=3,1,0),3,2))/100,0)</f>
        <v>0</v>
      </c>
      <c r="CM88" s="472" t="n">
        <f aca="false">IF(BD88,xCrudeAPO(BU88,BV88,CC88,CD88,S89,S90,BI88-DaysForThetaCalculation/365.25,BL88-DaysForThetaCalculation/365.25,BP88,BQ88,0,Strike2,AO88,CE88,0,BL88,IF(OptControl=3,1,0),0,1)-xCrudeAPO(BU88,BV88,CC88,CD88,S89,S90,BI88,BL88,BP88,BQ88,0,Strike2,AO88,CE88,0,BL88,IF(OptControl=3,1,0),0,1),0)</f>
        <v>0</v>
      </c>
      <c r="CN88" s="3"/>
      <c r="CO88" s="543" t="str">
        <f aca="false">IF(BD88,CHOOSE(Underlying,AD88,AF88)-DateToday+1,"")</f>
        <v/>
      </c>
      <c r="CP88" s="582" t="str">
        <f aca="false">IF(BD88,CHOOSE(Underlying,L88,R88),"")</f>
        <v/>
      </c>
      <c r="CQ88" s="544" t="str">
        <f aca="false">IF(BD88,Strike1/CP88-1,"")</f>
        <v/>
      </c>
      <c r="CR88" s="544" t="str">
        <f aca="false">IF(BD88,Strike2/CP88-1,"")</f>
        <v/>
      </c>
      <c r="CS88" s="544" t="str">
        <f aca="false">IF(BD88,IF(CQ88&gt;0,IF(CQ88&gt;0.2,BC87-BB87,IF(CQ88&gt;0.1,BB87-BA87,BA87)),IF(CQ88&lt;-0.2,AX87-AY87,IF(CQ88&lt;-0.1,AY87-AZ87,AZ87))),"")</f>
        <v/>
      </c>
      <c r="CT88" s="544" t="str">
        <f aca="false">IF(BD88,IF(CR88&gt;0,IF(CR88&gt;0.2,BC87-BB87,IF(CR88&gt;0.1,BB87-BA87,BA87)),IF(CR88&lt;-0.2,AX87-AY87,IF(CR88&lt;-0.1,AY87-AZ87,AZ87))),"")</f>
        <v/>
      </c>
      <c r="CU88" s="545" t="str">
        <f aca="false">IF(BD88,CHOOSE(Underlying,O88,AT88),"")</f>
        <v/>
      </c>
      <c r="CV88" s="545" t="str">
        <f aca="false">IF(BD88,CU88+IF(VolSkewFlag=1,IF(CQ88&gt;0,BA87*MIN(CQ88/10%,1)+(BB87-BA87)*MAX(0,MIN(CQ88/10%-1,1))+(BC87-BB87)*MAX(0,CQ88/10%-2),AZ87*MIN(-CQ88/10%,1)+(AY87-AZ87)*MAX(0,MIN(-CQ88/10%-1,1))+(AX87-AY87)*MAX(0,-CQ88/10%-2)),0),"")</f>
        <v/>
      </c>
      <c r="CW88" s="545" t="str">
        <f aca="false">IF(BD88,CU88+IF(VolSkewFlag=1,IF(CR88&gt;0,BA87*MIN(CR88/10%,1)+(BB87-BA87)*MAX(0,MIN(CR88/10%-1,1))+(BC87-BB87)*MAX(0,CR88/10%-2),AZ87*MIN(-CR88/10%,1)+(AY87-AZ87)*MAX(0,MIN(-CR88/10%-1,1))+(AX87-AY87)*MAX(0,-CR88/10%-2)),0),"")</f>
        <v/>
      </c>
      <c r="CX88" s="470" t="n">
        <f aca="false">IF(BD88,EURO(CP88,Strike1,AO88,AO88,CV88,CO88,IF(OptControl=4,0,1),0),0)</f>
        <v>0</v>
      </c>
      <c r="CY88" s="470" t="n">
        <f aca="false">IF(BD88,EURO(CP88,Strike1,AO88,AO88,CV88,CO88,IF(OptControl=4,0,1),1)+IF(OR(VolSkewFlag=2,ABS(CQ88)&lt;0.0001),0,IF(CQ88&gt;0,-1,1)*CZ88*100*Strike1/CP88^2*CS88/10%),0)</f>
        <v>0</v>
      </c>
      <c r="CZ88" s="470" t="n">
        <f aca="false">IF(BD88,EURO(CP88,Strike1,AO88,AO88,CV88,CO88,IF(OptControl=4,0,1),3)/100,0)</f>
        <v>0</v>
      </c>
      <c r="DA88" s="470" t="n">
        <f aca="false">IF(BD88,EURO(CP88,Strike1,AO88,AO88,CV88,CO88,IF(OptControl=4,0,1),0)-EURO(CP88,Strike1,AO88,AO88,CV88,CO88-1,IF(OptControl=4,0,1),0),0)</f>
        <v>0</v>
      </c>
      <c r="DB88" s="470" t="n">
        <f aca="false">IF(BD88,EURO(CP88,Strike2,AO88,AO88,CW88,CO88,IF(OptControl=3,1,0),0),0)</f>
        <v>0</v>
      </c>
      <c r="DC88" s="470" t="n">
        <f aca="false">IF(BD88,EURO(CP88,Strike2,AO88,AO88,CW88,CO88,IF(OptControl=3,1,0),1)+IF(OR(VolSkewFlag=2,ABS(CR88)&lt;0.0001),0,IF(CR88&gt;0,-1,1)*DD88*100*Strike2/CP88^2*CT88/10%),0)</f>
        <v>0</v>
      </c>
      <c r="DD88" s="470" t="n">
        <f aca="false">IF(BD88,EURO(CP88,Strike2,AO88,AO88,CW88,CO88,IF(OptControl=3,1,0),3)/100,0)</f>
        <v>0</v>
      </c>
      <c r="DE88" s="472" t="n">
        <f aca="false">IF(BD88,EURO(CP88,Strike2,AO88,AO88,CW88,CO88,IF(OptControl=3,1,0),0)-EURO(CP88,Strike2,AO88,AO88,CW88,CO88-1,IF(OptControl=3,1,0),0),0)</f>
        <v>0</v>
      </c>
      <c r="DG88" s="481" t="n">
        <f aca="false">EOMONTH(DG87,0)+1</f>
        <v>47757</v>
      </c>
      <c r="DH88" s="478" t="n">
        <v>18.3266666666667</v>
      </c>
      <c r="DI88" s="479" t="n">
        <v>18.3222222222222</v>
      </c>
      <c r="DJ88" s="480" t="n">
        <f aca="false">DG88</f>
        <v>47757</v>
      </c>
      <c r="DK88" s="478" t="n">
        <v>17.024713428526</v>
      </c>
      <c r="DL88" s="479" t="n">
        <v>17.1582222222222</v>
      </c>
      <c r="DM88" s="481" t="n">
        <f aca="false">DG88</f>
        <v>47757</v>
      </c>
      <c r="DN88" s="482" t="n">
        <f aca="false">DK88+BrentPhyBrentSpread</f>
        <v>17.074713428526</v>
      </c>
      <c r="DO88" s="481" t="n">
        <f aca="false">DG88</f>
        <v>47757</v>
      </c>
      <c r="DP88" s="483" t="n">
        <f aca="false">DL88+DQ88</f>
        <v>17.1582222222222</v>
      </c>
      <c r="DQ88" s="546" t="n">
        <v>0</v>
      </c>
      <c r="DR88" s="480" t="n">
        <f aca="false">DG88</f>
        <v>47757</v>
      </c>
      <c r="DS88" s="485" t="n">
        <v>0.191328124318053</v>
      </c>
      <c r="DT88" s="486" t="n">
        <v>0.1905</v>
      </c>
      <c r="DU88" s="480" t="n">
        <f aca="false">DG88</f>
        <v>47757</v>
      </c>
      <c r="DV88" s="485" t="n">
        <v>0.191328124318053</v>
      </c>
      <c r="DW88" s="486" t="n">
        <v>0.1905</v>
      </c>
      <c r="DX88" s="481" t="n">
        <f aca="false">DG88</f>
        <v>47757</v>
      </c>
      <c r="DY88" s="486" t="n">
        <v>0.35</v>
      </c>
      <c r="DZ88" s="481" t="n">
        <f aca="false">DR88</f>
        <v>47757</v>
      </c>
      <c r="EA88" s="486" t="n">
        <f aca="false">DT88</f>
        <v>0.1905</v>
      </c>
      <c r="EB88" s="195"/>
      <c r="EC88" s="547" t="str">
        <f aca="false">IF(BD88,IF(Underlying=1,AS88,AU88),"")</f>
        <v/>
      </c>
      <c r="ED88" s="548" t="str">
        <f aca="false">IF($BD88,$EC88+IF(VolSkewFlag=1,IF(BS88&gt;0,$BA88*MIN(BS88/10%,1)+($BB88-$BA88)*MAX(0,MIN(BS88/10%-1,1))+($BC88-$BB88)*MAX(0,BS88/10%-2),$AZ88*MIN(-BS88/10%,1)+($AY88-$AZ88)*MAX(0,MIN(-BS88/10%-1,1))+($AX88-$AY88)*MAX(0,-BS88/10%-2)),0),"")</f>
        <v/>
      </c>
      <c r="EE88" s="549" t="str">
        <f aca="false">IF($BD88,$EC88+IF(VolSkewFlag=1,IF(BT88&gt;0,$BA88*MIN(BT88/10%,1)+($BB88-$BA88)*MAX(0,MIN(BT88/10%-1,1))+($BC88-$BB88)*MAX(0,BT88/10%-2),$AZ88*MIN(-BT88/10%,1)+($AY88-$AZ88)*MAX(0,MIN(-BT88/10%-1,1))+($AX88-$AY88)*MAX(0,-BT88/10%-2)),0),"")</f>
        <v/>
      </c>
      <c r="EF88" s="550" t="n">
        <f aca="false">IF(BD88,xASN(BR88,Strike1,AO88,ED88,0,BO88,0,BI88,BL88,IF(OptControl=4,0,1),0),0)</f>
        <v>0</v>
      </c>
      <c r="EG88" s="551" t="n">
        <f aca="false">IF(BD88,xASN(BR88,Strike2,AO88,EE88,0,BO88,0,BI88,BL88,IF(OptControl=3,1,0),0),0)</f>
        <v>0</v>
      </c>
      <c r="EL88" s="1"/>
      <c r="EM88" s="195"/>
      <c r="EN88" s="556" t="n">
        <v>44016</v>
      </c>
      <c r="EO88" s="557" t="n">
        <v>48945</v>
      </c>
      <c r="EP88" s="195"/>
      <c r="EQ88" s="407" t="s">
        <v>314</v>
      </c>
      <c r="ES88" s="587" t="n">
        <v>69</v>
      </c>
      <c r="ET88" s="559" t="n">
        <f aca="false">BH88/365.25</f>
        <v>-19.4442162902122</v>
      </c>
      <c r="EU88" s="560" t="n">
        <f aca="false">O88^2*ET88</f>
        <v>-0</v>
      </c>
      <c r="EV88" s="588" t="e">
        <f aca="false">SQRT(SUM(FK88:ID88)/ET88)</f>
        <v>#VALUE!</v>
      </c>
      <c r="EW88" s="589" t="str">
        <f aca="false">IF(OR(DateStart2&gt;I87,DateEnd2&lt;I86),"",IF(DateStart2&lt;I87,AK86/AI86*AP86*BE86*SwaptionNumOfMonths/$D$33,0)+IF(DateEnd2&gt;I86,AJ87/AI87*AP87*BE87*SwaptionNumOfMonths/$D$33,0))</f>
        <v/>
      </c>
      <c r="EX88" s="590" t="str">
        <f aca="false">IF(EW88="","",SQRT(SUM(FK393:ID393)/SwaptionYearsToExp))</f>
        <v/>
      </c>
      <c r="EY88" s="129" t="n">
        <v>0</v>
      </c>
      <c r="EZ88" s="591" t="str">
        <f aca="false">IF(OR(EW88="",EW89=""),"",SQRT(SUM(INDEX(FK88:ID88,SwaptionFirstMonthPosition+1):INDEX(FK88:ID88,FJ88))/SUM(INDEX($FK$15:$ID$15,SwaptionFirstMonthPosition+1):INDEX($FK$15:$ID$15,FJ88))))</f>
        <v/>
      </c>
      <c r="FA88" s="592" t="str">
        <f aca="false">IF(OR(EW88="",EW87=""),"",SQRT(SUM(INDEX(FK88:ID88,SwaptionFirstMonthPosition+1):INDEX(FK88:ID88,FJ88-1))/SUM(INDEX($FK$15:$ID$15,SwaptionFirstMonthPosition+1):INDEX($FK$15:$ID$15,FJ88-1))))</f>
        <v/>
      </c>
      <c r="FB88" s="593" t="str">
        <f aca="false">IF(BE88,2/3*EZ89+1/3*FA90,"")</f>
        <v/>
      </c>
      <c r="FC88" s="596" t="str">
        <f aca="false">IF(BE88,(I89+I88-1)/2-DateToday,"")</f>
        <v/>
      </c>
      <c r="FD88" s="483" t="str">
        <f aca="false">IF(BE88,CHOOSE(Underlying,X88,Z88)+SwaptionUnderlyingPrice-$D$26,"")</f>
        <v/>
      </c>
      <c r="FE88" s="483" t="str">
        <f aca="false">IF(BE88,CollartionFloor/FD88-1,"")</f>
        <v/>
      </c>
      <c r="FF88" s="483" t="str">
        <f aca="false">IF(BE88,CollartionCap/FD88-1,"")</f>
        <v/>
      </c>
      <c r="FG88" s="485" t="str">
        <f aca="false">IF(BE88,IF(VolSkewFlag=1,IF(FE88&gt;0,$BA88*MIN(FE88/10%,1)+($BB88-$BA88)*MAX(0,MIN(FE88/10%-1,1))+($BC88-$BB88)*MAX(0,FE88/10%-2),$AZ88*MIN(-FE88/10%,1)+($AY88-$AZ88)*MAX(0,MIN(-FE88/10%-1,1))+($AX88-$AY88)*MAX(0,-FE88/10%-2)),0),"")</f>
        <v/>
      </c>
      <c r="FH88" s="486" t="str">
        <f aca="false">IF(BE88,IF(VolSkewFlag=1,IF(FF88&gt;0,$BA88*MIN(FF88/10%,1)+($BB88-$BA88)*MAX(0,MIN(FF88/10%-1,1))+($BC88-$BB88)*MAX(0,FF88/10%-2),$AZ88*MIN(-FF88/10%,1)+($AY88-$AZ88)*MAX(0,MIN(-FF88/10%-1,1))+($AX88-$AY88)*MAX(0,-FF88/10%-2)),0),"")</f>
        <v/>
      </c>
      <c r="FI88" s="129"/>
      <c r="FJ88" s="571" t="n">
        <v>69</v>
      </c>
      <c r="FK88" s="150" t="n">
        <f aca="false">IF(FK$19&gt;$FJ88,"",MAX(0,IF(FK$19=$FJ88,$S88^2*FK$15,FK87*INDEX($T$20:$T$91,$FJ88-FK$19)^2/INDEX($U$20:$U$91,$FJ88-FK$19))))</f>
        <v>0</v>
      </c>
      <c r="FL88" s="150" t="n">
        <f aca="false">IF(FL$19&gt;$FJ88,"",MAX(0,IF(FL$19=$FJ88,$S88^2*FL$15,FL87*INDEX($T$20:$T$91,$FJ88-FL$19)^2/INDEX($U$20:$U$91,$FJ88-FL$19))))</f>
        <v>0</v>
      </c>
      <c r="FM88" s="150" t="n">
        <f aca="false">IF(FM$19&gt;$FJ88,"",MAX(0,IF(FM$19=$FJ88,$S88^2*FM$15,FM87*INDEX($T$20:$T$91,$FJ88-FM$19)^2/INDEX($U$20:$U$91,$FJ88-FM$19))))</f>
        <v>0.00254689053866139</v>
      </c>
      <c r="FN88" s="150" t="n">
        <f aca="false">IF(FN$19&gt;$FJ88,"",MAX(0,IF(FN$19=$FJ88,$S88^2*FN$15,FN87*INDEX($T$20:$T$91,$FJ88-FN$19)^2/INDEX($U$20:$U$91,$FJ88-FN$19))))</f>
        <v>0.00214365893591478</v>
      </c>
      <c r="FO88" s="150" t="n">
        <f aca="false">IF(FO$19&gt;$FJ88,"",MAX(0,IF(FO$19=$FJ88,$S88^2*FO$15,FO87*INDEX($T$20:$T$91,$FJ88-FO$19)^2/INDEX($U$20:$U$91,$FJ88-FO$19))))</f>
        <v>0.0022297440235952</v>
      </c>
      <c r="FP88" s="150" t="n">
        <f aca="false">IF(FP$19&gt;$FJ88,"",MAX(0,IF(FP$19=$FJ88,$S88^2*FP$15,FP87*INDEX($T$20:$T$91,$FJ88-FP$19)^2/INDEX($U$20:$U$91,$FJ88-FP$19))))</f>
        <v>0.00247081300906959</v>
      </c>
      <c r="FQ88" s="150" t="n">
        <f aca="false">IF(FQ$19&gt;$FJ88,"",MAX(0,IF(FQ$19=$FJ88,$S88^2*FQ$15,FQ87*INDEX($T$20:$T$91,$FJ88-FQ$19)^2/INDEX($U$20:$U$91,$FJ88-FQ$19))))</f>
        <v>0.00200040807912076</v>
      </c>
      <c r="FR88" s="150" t="n">
        <f aca="false">IF(FR$19&gt;$FJ88,"",MAX(0,IF(FR$19=$FJ88,$S88^2*FR$15,FR87*INDEX($T$20:$T$91,$FJ88-FR$19)^2/INDEX($U$20:$U$91,$FJ88-FR$19))))</f>
        <v>0.00204535646780923</v>
      </c>
      <c r="FS88" s="150" t="n">
        <f aca="false">IF(FS$19&gt;$FJ88,"",MAX(0,IF(FS$19=$FJ88,$S88^2*FS$15,FS87*INDEX($T$20:$T$91,$FJ88-FS$19)^2/INDEX($U$20:$U$91,$FJ88-FS$19))))</f>
        <v>0.00230500508716229</v>
      </c>
      <c r="FT88" s="150" t="n">
        <f aca="false">IF(FT$19&gt;$FJ88,"",MAX(0,IF(FT$19=$FJ88,$S88^2*FT$15,FT87*INDEX($T$20:$T$91,$FJ88-FT$19)^2/INDEX($U$20:$U$91,$FJ88-FT$19))))</f>
        <v>0.00208022005365406</v>
      </c>
      <c r="FU88" s="150" t="n">
        <f aca="false">IF(FU$19&gt;$FJ88,"",MAX(0,IF(FU$19=$FJ88,$S88^2*FU$15,FU87*INDEX($T$20:$T$91,$FJ88-FU$19)^2/INDEX($U$20:$U$91,$FJ88-FU$19))))</f>
        <v>0.00199988435083364</v>
      </c>
      <c r="FV88" s="150" t="n">
        <f aca="false">IF(FV$19&gt;$FJ88,"",MAX(0,IF(FV$19=$FJ88,$S88^2*FV$15,FV87*INDEX($T$20:$T$91,$FJ88-FV$19)^2/INDEX($U$20:$U$91,$FJ88-FV$19))))</f>
        <v>0.0021977146858767</v>
      </c>
      <c r="FW88" s="150" t="n">
        <f aca="false">IF(FW$19&gt;$FJ88,"",MAX(0,IF(FW$19=$FJ88,$S88^2*FW$15,FW87*INDEX($T$20:$T$91,$FJ88-FW$19)^2/INDEX($U$20:$U$91,$FJ88-FW$19))))</f>
        <v>0.00205402817796419</v>
      </c>
      <c r="FX88" s="150" t="n">
        <f aca="false">IF(FX$19&gt;$FJ88,"",MAX(0,IF(FX$19=$FJ88,$S88^2*FX$15,FX87*INDEX($T$20:$T$91,$FJ88-FX$19)^2/INDEX($U$20:$U$91,$FJ88-FX$19))))</f>
        <v>0.00218593850080724</v>
      </c>
      <c r="FY88" s="150" t="n">
        <f aca="false">IF(FY$19&gt;$FJ88,"",MAX(0,IF(FY$19=$FJ88,$S88^2*FY$15,FY87*INDEX($T$20:$T$91,$FJ88-FY$19)^2/INDEX($U$20:$U$91,$FJ88-FY$19))))</f>
        <v>0.00204582258452207</v>
      </c>
      <c r="FZ88" s="150" t="n">
        <f aca="false">IF(FZ$19&gt;$FJ88,"",MAX(0,IF(FZ$19=$FJ88,$S88^2*FZ$15,FZ87*INDEX($T$20:$T$91,$FJ88-FZ$19)^2/INDEX($U$20:$U$91,$FJ88-FZ$19))))</f>
        <v>0.00190702789988771</v>
      </c>
      <c r="GA88" s="150" t="n">
        <f aca="false">IF(GA$19&gt;$FJ88,"",MAX(0,IF(GA$19=$FJ88,$S88^2*GA$15,GA87*INDEX($T$20:$T$91,$FJ88-GA$19)^2/INDEX($U$20:$U$91,$FJ88-GA$19))))</f>
        <v>0.00204135904033444</v>
      </c>
      <c r="GB88" s="150" t="n">
        <f aca="false">IF(GB$19&gt;$FJ88,"",MAX(0,IF(GB$19=$FJ88,$S88^2*GB$15,GB87*INDEX($T$20:$T$91,$FJ88-GB$19)^2/INDEX($U$20:$U$91,$FJ88-GB$19))))</f>
        <v>0.00224400156416465</v>
      </c>
      <c r="GC88" s="150" t="n">
        <f aca="false">IF(GC$19&gt;$FJ88,"",MAX(0,IF(GC$19=$FJ88,$S88^2*GC$15,GC87*INDEX($T$20:$T$91,$FJ88-GC$19)^2/INDEX($U$20:$U$91,$FJ88-GC$19))))</f>
        <v>0.00197108031783801</v>
      </c>
      <c r="GD88" s="150" t="n">
        <f aca="false">IF(GD$19&gt;$FJ88,"",MAX(0,IF(GD$19=$FJ88,$S88^2*GD$15,GD87*INDEX($T$20:$T$91,$FJ88-GD$19)^2/INDEX($U$20:$U$91,$FJ88-GD$19))))</f>
        <v>0.0019704632684945</v>
      </c>
      <c r="GE88" s="150" t="n">
        <f aca="false">IF(GE$19&gt;$FJ88,"",MAX(0,IF(GE$19=$FJ88,$S88^2*GE$15,GE87*INDEX($T$20:$T$91,$FJ88-GE$19)^2/INDEX($U$20:$U$91,$FJ88-GE$19))))</f>
        <v>0.00224182272041001</v>
      </c>
      <c r="GF88" s="150" t="n">
        <f aca="false">IF(GF$19&gt;$FJ88,"",MAX(0,IF(GF$19=$FJ88,$S88^2*GF$15,GF87*INDEX($T$20:$T$91,$FJ88-GF$19)^2/INDEX($U$20:$U$91,$FJ88-GF$19))))</f>
        <v>0.00196990487759249</v>
      </c>
      <c r="GG88" s="150" t="n">
        <f aca="false">IF(GG$19&gt;$FJ88,"",MAX(0,IF(GG$19=$FJ88,$S88^2*GG$15,GG87*INDEX($T$20:$T$91,$FJ88-GG$19)^2/INDEX($U$20:$U$91,$FJ88-GG$19))))</f>
        <v>0.00217366770510434</v>
      </c>
      <c r="GH88" s="150" t="n">
        <f aca="false">IF(GH$19&gt;$FJ88,"",MAX(0,IF(GH$19=$FJ88,$S88^2*GH$15,GH87*INDEX($T$20:$T$91,$FJ88-GH$19)^2/INDEX($U$20:$U$91,$FJ88-GH$19))))</f>
        <v>0.00203794164949406</v>
      </c>
      <c r="GI88" s="150" t="n">
        <f aca="false">IF(GI$19&gt;$FJ88,"",MAX(0,IF(GI$19=$FJ88,$S88^2*GI$15,GI87*INDEX($T$20:$T$91,$FJ88-GI$19)^2/INDEX($U$20:$U$91,$FJ88-GI$19))))</f>
        <v>0.00197026439085565</v>
      </c>
      <c r="GJ88" s="150" t="n">
        <f aca="false">IF(GJ$19&gt;$FJ88,"",MAX(0,IF(GJ$19=$FJ88,$S88^2*GJ$15,GJ87*INDEX($T$20:$T$91,$FJ88-GJ$19)^2/INDEX($U$20:$U$91,$FJ88-GJ$19))))</f>
        <v>0.00224245649958325</v>
      </c>
      <c r="GK88" s="150" t="n">
        <f aca="false">IF(GK$19&gt;$FJ88,"",MAX(0,IF(GK$19=$FJ88,$S88^2*GK$15,GK87*INDEX($T$20:$T$91,$FJ88-GK$19)^2/INDEX($U$20:$U$91,$FJ88-GK$19))))</f>
        <v>0.00203911930919376</v>
      </c>
      <c r="GL88" s="150" t="n">
        <f aca="false">IF(GL$19&gt;$FJ88,"",MAX(0,IF(GL$19=$FJ88,$S88^2*GL$15,GL87*INDEX($T$20:$T$91,$FJ88-GL$19)^2/INDEX($U$20:$U$91,$FJ88-GL$19))))</f>
        <v>0.00197178569216239</v>
      </c>
      <c r="GM88" s="150" t="n">
        <f aca="false">IF(GM$19&gt;$FJ88,"",MAX(0,IF(GM$19=$FJ88,$S88^2*GM$15,GM87*INDEX($T$20:$T$91,$FJ88-GM$19)^2/INDEX($U$20:$U$91,$FJ88-GM$19))))</f>
        <v>0.00210860464861461</v>
      </c>
      <c r="GN88" s="150" t="n">
        <f aca="false">IF(GN$19&gt;$FJ88,"",MAX(0,IF(GN$19=$FJ88,$S88^2*GN$15,GN87*INDEX($T$20:$T$91,$FJ88-GN$19)^2/INDEX($U$20:$U$91,$FJ88-GN$19))))</f>
        <v>0.00210960798838993</v>
      </c>
      <c r="GO88" s="150" t="n">
        <f aca="false">IF(GO$19&gt;$FJ88,"",MAX(0,IF(GO$19=$FJ88,$S88^2*GO$15,GO87*INDEX($T$20:$T$91,$FJ88-GO$19)^2/INDEX($U$20:$U$91,$FJ88-GO$19))))</f>
        <v>0.00211080297015855</v>
      </c>
      <c r="GP88" s="150" t="n">
        <f aca="false">IF(GP$19&gt;$FJ88,"",MAX(0,IF(GP$19=$FJ88,$S88^2*GP$15,GP87*INDEX($T$20:$T$91,$FJ88-GP$19)^2/INDEX($U$20:$U$91,$FJ88-GP$19))))</f>
        <v>0.00190780905761173</v>
      </c>
      <c r="GQ88" s="150" t="n">
        <f aca="false">IF(GQ$19&gt;$FJ88,"",MAX(0,IF(GQ$19=$FJ88,$S88^2*GQ$15,GQ87*INDEX($T$20:$T$91,$FJ88-GQ$19)^2/INDEX($U$20:$U$91,$FJ88-GQ$19))))</f>
        <v>0.00211388423955563</v>
      </c>
      <c r="GR88" s="150" t="n">
        <f aca="false">IF(GR$19&gt;$FJ88,"",MAX(0,IF(GR$19=$FJ88,$S88^2*GR$15,GR87*INDEX($T$20:$T$91,$FJ88-GR$19)^2/INDEX($U$20:$U$91,$FJ88-GR$19))))</f>
        <v>0.00204759158567964</v>
      </c>
      <c r="GS88" s="150" t="n">
        <f aca="false">IF(GS$19&gt;$FJ88,"",MAX(0,IF(GS$19=$FJ88,$S88^2*GS$15,GS87*INDEX($T$20:$T$91,$FJ88-GS$19)^2/INDEX($U$20:$U$91,$FJ88-GS$19))))</f>
        <v>0.00211814660615713</v>
      </c>
      <c r="GT88" s="150" t="n">
        <f aca="false">IF(GT$19&gt;$FJ88,"",MAX(0,IF(GT$19=$FJ88,$S88^2*GT$15,GT87*INDEX($T$20:$T$91,$FJ88-GT$19)^2/INDEX($U$20:$U$91,$FJ88-GT$19))))</f>
        <v>0.00205243293020763</v>
      </c>
      <c r="GU88" s="150" t="n">
        <f aca="false">IF(GU$19&gt;$FJ88,"",MAX(0,IF(GU$19=$FJ88,$S88^2*GU$15,GU87*INDEX($T$20:$T$91,$FJ88-GU$19)^2/INDEX($U$20:$U$91,$FJ88-GU$19))))</f>
        <v>0.00212401458315535</v>
      </c>
      <c r="GV88" s="150" t="n">
        <f aca="false">IF(GV$19&gt;$FJ88,"",MAX(0,IF(GV$19=$FJ88,$S88^2*GV$15,GV87*INDEX($T$20:$T$91,$FJ88-GV$19)^2/INDEX($U$20:$U$91,$FJ88-GV$19))))</f>
        <v>0.00212772821260717</v>
      </c>
      <c r="GW88" s="150" t="n">
        <f aca="false">IF(GW$19&gt;$FJ88,"",MAX(0,IF(GW$19=$FJ88,$S88^2*GW$15,GW87*INDEX($T$20:$T$91,$FJ88-GW$19)^2/INDEX($U$20:$U$91,$FJ88-GW$19))))</f>
        <v>0.00206330577229415</v>
      </c>
      <c r="GX88" s="150" t="n">
        <f aca="false">IF(GX$19&gt;$FJ88,"",MAX(0,IF(GX$19=$FJ88,$S88^2*GX$15,GX87*INDEX($T$20:$T$91,$FJ88-GX$19)^2/INDEX($U$20:$U$91,$FJ88-GX$19))))</f>
        <v>0.0021371892982444</v>
      </c>
      <c r="GY88" s="150" t="n">
        <f aca="false">IF(GY$19&gt;$FJ88,"",MAX(0,IF(GY$19=$FJ88,$S88^2*GY$15,GY87*INDEX($T$20:$T$91,$FJ88-GY$19)^2/INDEX($U$20:$U$91,$FJ88-GY$19))))</f>
        <v>0.00207404510200896</v>
      </c>
      <c r="GZ88" s="150" t="n">
        <f aca="false">IF(GZ$19&gt;$FJ88,"",MAX(0,IF(GZ$19=$FJ88,$S88^2*GZ$15,GZ87*INDEX($T$20:$T$91,$FJ88-GZ$19)^2/INDEX($U$20:$U$91,$FJ88-GZ$19))))</f>
        <v>0.00215021041458365</v>
      </c>
      <c r="HA88" s="150" t="n">
        <f aca="false">IF(HA$19&gt;$FJ88,"",MAX(0,IF(HA$19=$FJ88,$S88^2*HA$15,HA87*INDEX($T$20:$T$91,$FJ88-HA$19)^2/INDEX($U$20:$U$91,$FJ88-HA$19))))</f>
        <v>0.00215846543510571</v>
      </c>
      <c r="HB88" s="150" t="n">
        <f aca="false">IF(HB$19&gt;$FJ88,"",MAX(0,IF(HB$19=$FJ88,$S88^2*HB$15,HB87*INDEX($T$20:$T$91,$FJ88-HB$19)^2/INDEX($U$20:$U$91,$FJ88-HB$19))))</f>
        <v>0.00202828275162614</v>
      </c>
      <c r="HC88" s="150" t="n">
        <f aca="false">IF(HC$19&gt;$FJ88,"",MAX(0,IF(HC$19=$FJ88,$S88^2*HC$15,HC87*INDEX($T$20:$T$91,$FJ88-HC$19)^2/INDEX($U$20:$U$91,$FJ88-HC$19))))</f>
        <v>0.00217956809251972</v>
      </c>
      <c r="HD88" s="150" t="n">
        <f aca="false">IF(HD$19&gt;$FJ88,"",MAX(0,IF(HD$19=$FJ88,$S88^2*HD$15,HD87*INDEX($T$20:$T$91,$FJ88-HD$19)^2/INDEX($U$20:$U$91,$FJ88-HD$19))))</f>
        <v>0.00212224669292234</v>
      </c>
      <c r="HE88" s="150" t="n">
        <f aca="false">IF(HE$19&gt;$FJ88,"",MAX(0,IF(HE$19=$FJ88,$S88^2*HE$15,HE87*INDEX($T$20:$T$91,$FJ88-HE$19)^2/INDEX($U$20:$U$91,$FJ88-HE$19))))</f>
        <v>0.00220879771134338</v>
      </c>
      <c r="HF88" s="150" t="n">
        <f aca="false">IF(HF$19&gt;$FJ88,"",MAX(0,IF(HF$19=$FJ88,$S88^2*HF$15,HF87*INDEX($T$20:$T$91,$FJ88-HF$19)^2/INDEX($U$20:$U$91,$FJ88-HF$19))))</f>
        <v>0.00215559152303203</v>
      </c>
      <c r="HG88" s="150" t="n">
        <f aca="false">IF(HG$19&gt;$FJ88,"",MAX(0,IF(HG$19=$FJ88,$S88^2*HG$15,HG87*INDEX($T$20:$T$91,$FJ88-HG$19)^2/INDEX($U$20:$U$91,$FJ88-HG$19))))</f>
        <v>0.00224946954336872</v>
      </c>
      <c r="HH88" s="150" t="n">
        <f aca="false">IF(HH$19&gt;$FJ88,"",MAX(0,IF(HH$19=$FJ88,$S88^2*HH$15,HH87*INDEX($T$20:$T$91,$FJ88-HH$19)^2/INDEX($U$20:$U$91,$FJ88-HH$19))))</f>
        <v>0.00227552825189772</v>
      </c>
      <c r="HI88" s="150" t="n">
        <f aca="false">IF(HI$19&gt;$FJ88,"",MAX(0,IF(HI$19=$FJ88,$S88^2*HI$15,HI87*INDEX($T$20:$T$91,$FJ88-HI$19)^2/INDEX($U$20:$U$91,$FJ88-HI$19))))</f>
        <v>0.00223201945661345</v>
      </c>
      <c r="HJ88" s="150" t="n">
        <f aca="false">IF(HJ$19&gt;$FJ88,"",MAX(0,IF(HJ$19=$FJ88,$S88^2*HJ$15,HJ87*INDEX($T$20:$T$91,$FJ88-HJ$19)^2/INDEX($U$20:$U$91,$FJ88-HJ$19))))</f>
        <v>0.0023431259918584</v>
      </c>
      <c r="HK88" s="150" t="n">
        <f aca="false">IF(HK$19&gt;$FJ88,"",MAX(0,IF(HK$19=$FJ88,$S88^2*HK$15,HK87*INDEX($T$20:$T$91,$FJ88-HK$19)^2/INDEX($U$20:$U$91,$FJ88-HK$19))))</f>
        <v>0.00230986273334003</v>
      </c>
      <c r="HL88" s="150" t="n">
        <f aca="false">IF(HL$19&gt;$FJ88,"",MAX(0,IF(HL$19=$FJ88,$S88^2*HL$15,HL87*INDEX($T$20:$T$91,$FJ88-HL$19)^2/INDEX($U$20:$U$91,$FJ88-HL$19))))</f>
        <v>0.0024391270072188</v>
      </c>
      <c r="HM88" s="150" t="n">
        <f aca="false">IF(HM$19&gt;$FJ88,"",MAX(0,IF(HM$19=$FJ88,$S88^2*HM$15,HM87*INDEX($T$20:$T$91,$FJ88-HM$19)^2/INDEX($U$20:$U$91,$FJ88-HM$19))))</f>
        <v>0.00250183179275074</v>
      </c>
      <c r="HN88" s="150" t="n">
        <f aca="false">IF(HN$19&gt;$FJ88,"",MAX(0,IF(HN$19=$FJ88,$S88^2*HN$15,HN87*INDEX($T$20:$T$91,$FJ88-HN$19)^2/INDEX($U$20:$U$91,$FJ88-HN$19))))</f>
        <v>0.00232796112508114</v>
      </c>
      <c r="HO88" s="150" t="n">
        <f aca="false">IF(HO$19&gt;$FJ88,"",MAX(0,IF(HO$19=$FJ88,$S88^2*HO$15,HO87*INDEX($T$20:$T$91,$FJ88-HO$19)^2/INDEX($U$20:$U$91,$FJ88-HO$19))))</f>
        <v>0.00266888975962723</v>
      </c>
      <c r="HP88" s="150" t="n">
        <f aca="false">IF(HP$19&gt;$FJ88,"",MAX(0,IF(HP$19=$FJ88,$S88^2*HP$15,HP87*INDEX($T$20:$T$91,$FJ88-HP$19)^2/INDEX($U$20:$U$91,$FJ88-HP$19))))</f>
        <v>0.00269069336648579</v>
      </c>
      <c r="HQ88" s="150" t="n">
        <f aca="false">IF(HQ$19&gt;$FJ88,"",MAX(0,IF(HQ$19=$FJ88,$S88^2*HQ$15,HQ87*INDEX($T$20:$T$91,$FJ88-HQ$19)^2/INDEX($U$20:$U$91,$FJ88-HQ$19))))</f>
        <v>0.00291720164383495</v>
      </c>
      <c r="HR88" s="150" t="n">
        <f aca="false">IF(HR$19&gt;$FJ88,"",MAX(0,IF(HR$19=$FJ88,$S88^2*HR$15,HR87*INDEX($T$20:$T$91,$FJ88-HR$19)^2/INDEX($U$20:$U$91,$FJ88-HR$19))))</f>
        <v>0.00298694578750599</v>
      </c>
      <c r="HS88" s="150" t="n">
        <f aca="false">IF(HS$19&gt;$FJ88,"",MAX(0,IF(HS$19=$FJ88,$S88^2*HS$15,HS87*INDEX($T$20:$T$91,$FJ88-HS$19)^2/INDEX($U$20:$U$91,$FJ88-HS$19))))</f>
        <v>0.00329810842321141</v>
      </c>
      <c r="HT88" s="150" t="n">
        <f aca="false">IF(HT$19&gt;$FJ88,"",MAX(0,IF(HT$19=$FJ88,$S88^2*HT$15,HT87*INDEX($T$20:$T$91,$FJ88-HT$19)^2/INDEX($U$20:$U$91,$FJ88-HT$19))))</f>
        <v>0.0035656683103895</v>
      </c>
      <c r="HU88" s="150" t="n">
        <f aca="false">IF(HU$19&gt;$FJ88,"",MAX(0,IF(HU$19=$FJ88,$S88^2*HU$15,HU87*INDEX($T$20:$T$91,$FJ88-HU$19)^2/INDEX($U$20:$U$91,$FJ88-HU$19))))</f>
        <v>0.00378262299956171</v>
      </c>
      <c r="HV88" s="150" t="n">
        <f aca="false">IF(HV$19&gt;$FJ88,"",MAX(0,IF(HV$19=$FJ88,$S88^2*HV$15,HV87*INDEX($T$20:$T$91,$FJ88-HV$19)^2/INDEX($U$20:$U$91,$FJ88-HV$19))))</f>
        <v>0.00435582436286077</v>
      </c>
      <c r="HW88" s="150" t="n">
        <f aca="false">IF(HW$19&gt;$FJ88,"",MAX(0,IF(HW$19=$FJ88,$S88^2*HW$15,HW87*INDEX($T$20:$T$91,$FJ88-HW$19)^2/INDEX($U$20:$U$91,$FJ88-HW$19))))</f>
        <v>0.00479043105447998</v>
      </c>
      <c r="HX88" s="150" t="n">
        <f aca="false">IF(HX$19&gt;$FJ88,"",MAX(0,IF(HX$19=$FJ88,$S88^2*HX$15,HX87*INDEX($T$20:$T$91,$FJ88-HX$19)^2/INDEX($U$20:$U$91,$FJ88-HX$19))))</f>
        <v>0.00575872778005973</v>
      </c>
      <c r="HY88" s="150" t="n">
        <f aca="false">IF(HY$19&gt;$FJ88,"",MAX(0,IF(HY$19=$FJ88,$S88^2*HY$15,HY87*INDEX($T$20:$T$91,$FJ88-HY$19)^2/INDEX($U$20:$U$91,$FJ88-HY$19))))</f>
        <v>0.00689031669416104</v>
      </c>
      <c r="HZ88" s="150" t="n">
        <f aca="false">IF(HZ$19&gt;$FJ88,"",MAX(0,IF(HZ$19=$FJ88,$S88^2*HZ$15,HZ87*INDEX($T$20:$T$91,$FJ88-HZ$19)^2/INDEX($U$20:$U$91,$FJ88-HZ$19))))</f>
        <v>0.00770313406662468</v>
      </c>
      <c r="IA88" s="150" t="n">
        <f aca="false">IF(IA$19&gt;$FJ88,"",MAX(0,IF(IA$19=$FJ88,$S88^2*IA$15,IA87*INDEX($T$20:$T$91,$FJ88-IA$19)^2/INDEX($U$20:$U$91,$FJ88-IA$19))))</f>
        <v>0.0109995893327875</v>
      </c>
      <c r="IB88" s="150" t="str">
        <f aca="false">IF(IB$19&gt;$FJ88,"",MAX(0,IF(IB$19=$FJ88,$S88^2*IB$15,IB87*INDEX($T$20:$T$91,$FJ88-IB$19)^2/INDEX($U$20:$U$91,$FJ88-IB$19))))</f>
        <v/>
      </c>
      <c r="IC88" s="150" t="str">
        <f aca="false">IF(IC$19&gt;$FJ88,"",MAX(0,IF(IC$19=$FJ88,$S88^2*IC$15,IC87*INDEX($T$20:$T$91,$FJ88-IC$19)^2/INDEX($U$20:$U$91,$FJ88-IC$19))))</f>
        <v/>
      </c>
      <c r="ID88" s="572" t="str">
        <f aca="false">IF(ID$19&gt;$FJ88,"",MAX(0,IF(ID$19=$FJ88,$S88^2*ID$15,ID87*INDEX($T$20:$T$91,$FJ88-ID$19)^2/INDEX($U$20:$U$91,$FJ88-ID$19))))</f>
        <v/>
      </c>
      <c r="IE88" s="129"/>
    </row>
    <row r="89" customFormat="false" ht="12.75" hidden="false" customHeight="false" outlineLevel="0" collapsed="false">
      <c r="H89" s="219" t="n">
        <f aca="false">VLOOKUP(I89,$EJ$20:$EL$54,3)</f>
        <v>0</v>
      </c>
      <c r="I89" s="511" t="n">
        <f aca="false">EOMONTH(I88,0)+1</f>
        <v>38869</v>
      </c>
      <c r="J89" s="512"/>
      <c r="K89" s="513" t="s">
        <v>250</v>
      </c>
      <c r="L89" s="514" t="e">
        <f aca="false">IF(ISNUMBER(K89),J89+K89/100,IF(K89="extra",L88+VLOOKUP(BF89,PriceSpreadTable,2)/12,IF(K89="inter",interpolateprices($K$19:$L$200,ROW(K89)-ROW(FirstPricingMonth)+1),interpolatechanges($J$19:$K$200,ROW(K89)-ROW(FirstPricingMonth)+1))))</f>
        <v>#VALUE!</v>
      </c>
      <c r="M89" s="515"/>
      <c r="N89" s="516" t="n">
        <v>0</v>
      </c>
      <c r="O89" s="515" t="n">
        <f aca="false">M89+N89</f>
        <v>0</v>
      </c>
      <c r="P89" s="512"/>
      <c r="Q89" s="513" t="s">
        <v>280</v>
      </c>
      <c r="R89" s="512" t="e">
        <f aca="false">IF(ISNUMBER(Q89),P89+Q89/100,IF(Q89="extra",(Z87*AL87-R88*AM87)/AN87,IF(Q89="inter",interpolateprices($Q$19:$R$260,ROW(Q89)-ROW(FirstPricingMonth)+1),interpolatechanges($P$19:$Q$260,ROW(Q89)-ROW(FirstPricingMonth)+1))))</f>
        <v>#VALUE!</v>
      </c>
      <c r="S89" s="597" t="n">
        <f aca="false">S$19+(S88-S$19)*S$18</f>
        <v>0.36000000012771</v>
      </c>
      <c r="T89" s="575" t="n">
        <f aca="false">SQRT((1-(1-T88^2/U88)*T$18)*U89)</f>
        <v>0.999997729334711</v>
      </c>
      <c r="U89" s="576" t="n">
        <f aca="false">1-(1-U88)*U$18</f>
        <v>0.999999999964082</v>
      </c>
      <c r="V89" s="521" t="n">
        <v>0</v>
      </c>
      <c r="W89" s="577" t="n">
        <f aca="false">(J90*AJ89+J91*AK89)/AI89</f>
        <v>0</v>
      </c>
      <c r="X89" s="578" t="e">
        <f aca="false">(L90*AJ89+L91*AK89)/AI89</f>
        <v>#VALUE!</v>
      </c>
      <c r="Y89" s="579" t="n">
        <f aca="false">IF(Q91="extra",W89-AA89,(P90*AM89+P91*AN89)/AL89)</f>
        <v>-1.239</v>
      </c>
      <c r="Z89" s="579" t="e">
        <f aca="false">IF(Q91="extra",X89-AB89,(R90*AM89+R91*AN89)/AL89)</f>
        <v>#VALUE!</v>
      </c>
      <c r="AA89" s="523" t="n">
        <f aca="false">IF(Q91="extra",INDEX(BrentSeasonalityTable,INT((BG89-1)/3)+1)*VLOOKUP(MAX(BF89,$AB$4),PriceSpreadTable,3),W89-Y89)</f>
        <v>1.239</v>
      </c>
      <c r="AB89" s="524" t="n">
        <f aca="false">IF(Q91="extra",INDEX(BrentSeasonalityTable,INT((BG89-1)/3)+1)*VLOOKUP(MAX(BF89,$AB$4),PriceSpreadTable,3),X89-Z89)</f>
        <v>1.239</v>
      </c>
      <c r="AC89" s="646" t="n">
        <v>38857</v>
      </c>
      <c r="AD89" s="646" t="n">
        <v>38853</v>
      </c>
      <c r="AE89" s="646" t="n">
        <v>38852</v>
      </c>
      <c r="AF89" s="646" t="n">
        <v>38848</v>
      </c>
      <c r="AG89" s="438" t="s">
        <v>247</v>
      </c>
      <c r="AH89" s="439" t="s">
        <v>278</v>
      </c>
      <c r="AI89" s="528" t="n">
        <v>22</v>
      </c>
      <c r="AJ89" s="529" t="n">
        <v>14</v>
      </c>
      <c r="AK89" s="529" t="n">
        <v>8</v>
      </c>
      <c r="AL89" s="530" t="n">
        <v>22</v>
      </c>
      <c r="AM89" s="529" t="n">
        <v>10</v>
      </c>
      <c r="AN89" s="531" t="n">
        <v>12</v>
      </c>
      <c r="AO89" s="532"/>
      <c r="AP89" s="465" t="n">
        <f aca="false">(1+AO89/2)^(-2*BL89)</f>
        <v>1</v>
      </c>
      <c r="AQ89" s="532"/>
      <c r="AR89" s="465" t="n">
        <f aca="false">(1+AQ89/2)^(-2*BH89/365.25)</f>
        <v>1</v>
      </c>
      <c r="AS89" s="580" t="n">
        <f aca="false">(O90*AJ89+O91*AK89)/AI89</f>
        <v>0</v>
      </c>
      <c r="AT89" s="468" t="n">
        <f aca="false">O89*VLOOKUP(BF89,BrentVolTable,2)+VLOOKUP(BF89,BrentVolTable,3)</f>
        <v>0</v>
      </c>
      <c r="AU89" s="468" t="n">
        <f aca="false">(AT90*AM89+AT91*AN89)/AL89</f>
        <v>0</v>
      </c>
      <c r="AV89" s="595" t="n">
        <f aca="false">SQRT(MAX(0.000000000001,(O89^2*BH89-S89^2*(BH89-BH88))/BH88))</f>
        <v>0.0233976798534177</v>
      </c>
      <c r="AW89" s="451" t="n">
        <f aca="false">IF($I89-DateToday+15&gt;=$T$8,"",IF($I89-DateToday+15&lt;$T$5,1,MATCH($I89-DateToday+15,$T$5:$T$8)))</f>
        <v>1</v>
      </c>
      <c r="AX89" s="468" t="n">
        <f aca="false">IF($AW89="",AX88^2/AX87,INDEX(U$5:U$8,$AW89)^((INDEX($T$5:$T$8,$AW89+1)-($I89-DateToday+15))/(INDEX($T$5:$T$8,$AW89+1)-INDEX($T$5:$T$8,$AW89)))/INDEX(U$5:U$8,$AW89+1)^((INDEX($T$5:$T$8,$AW89)-($I89-DateToday+15))/(INDEX($T$5:$T$8,$AW89+1)-INDEX($T$5:$T$8,$AW89))))</f>
        <v>2.87304977838076</v>
      </c>
      <c r="AY89" s="468" t="n">
        <f aca="false">IF($AW89="",AY88^2/AY87,INDEX(V$5:V$8,$AW89)^((INDEX($T$5:$T$8,$AW89+1)-($I89-DateToday+15))/(INDEX($T$5:$T$8,$AW89+1)-INDEX($T$5:$T$8,$AW89)))/INDEX(V$5:V$8,$AW89+1)^((INDEX($T$5:$T$8,$AW89)-($I89-DateToday+15))/(INDEX($T$5:$T$8,$AW89+1)-INDEX($T$5:$T$8,$AW89))))</f>
        <v>285.527218651874</v>
      </c>
      <c r="AZ89" s="468" t="n">
        <f aca="false">IF($AW89="",AZ88^2/AZ87,INDEX(W$5:W$8,$AW89)^((INDEX($T$5:$T$8,$AW89+1)-($I89-DateToday+15))/(INDEX($T$5:$T$8,$AW89+1)-INDEX($T$5:$T$8,$AW89)))/INDEX(W$5:W$8,$AW89+1)^((INDEX($T$5:$T$8,$AW89)-($I89-DateToday+15))/(INDEX($T$5:$T$8,$AW89+1)-INDEX($T$5:$T$8,$AW89))))</f>
        <v>2406008.40231691</v>
      </c>
      <c r="BA89" s="468" t="n">
        <f aca="false">IF($AW89="",BA88^2/BA87,INDEX(X$5:X$8,$AW89)^((INDEX($T$5:$T$8,$AW89+1)-($I89-DateToday+15))/(INDEX($T$5:$T$8,$AW89+1)-INDEX($T$5:$T$8,$AW89)))/INDEX(X$5:X$8,$AW89+1)^((INDEX($T$5:$T$8,$AW89)-($I89-DateToday+15))/(INDEX($T$5:$T$8,$AW89+1)-INDEX($T$5:$T$8,$AW89))))</f>
        <v>72006061.5318626</v>
      </c>
      <c r="BB89" s="468" t="n">
        <f aca="false">IF($AW89="",BB88^2/BB87,INDEX(Y$5:Y$8,$AW89)^((INDEX($T$5:$T$8,$AW89+1)-($I89-DateToday+15))/(INDEX($T$5:$T$8,$AW89+1)-INDEX($T$5:$T$8,$AW89)))/INDEX(Y$5:Y$8,$AW89+1)^((INDEX($T$5:$T$8,$AW89)-($I89-DateToday+15))/(INDEX($T$5:$T$8,$AW89+1)-INDEX($T$5:$T$8,$AW89))))</f>
        <v>1005777493.47174</v>
      </c>
      <c r="BC89" s="468" t="n">
        <f aca="false">IF($AW89="",BC88^2/BC87,INDEX(Z$5:Z$8,$AW89)^((INDEX($T$5:$T$8,$AW89+1)-($I89-DateToday+15))/(INDEX($T$5:$T$8,$AW89+1)-INDEX($T$5:$T$8,$AW89)))/INDEX(Z$5:Z$8,$AW89+1)^((INDEX($T$5:$T$8,$AW89)-($I89-DateToday+15))/(INDEX($T$5:$T$8,$AW89+1)-INDEX($T$5:$T$8,$AW89))))</f>
        <v>4880453969.61901</v>
      </c>
      <c r="BD89" s="535" t="n">
        <f aca="false">IF(OR(DateStart&gt;=I90,DateEnd&lt;I89),0,IF(VolumeOverrideFlag,V89,Volume))</f>
        <v>0</v>
      </c>
      <c r="BE89" s="536" t="n">
        <f aca="false">IF(OR(DateStart2&gt;=I90,DateEnd2&lt;I89),0,IF(VolumeOverrideFlag,V89,VolumeSwaption))</f>
        <v>0</v>
      </c>
      <c r="BF89" s="537" t="n">
        <f aca="false">YEAR(I89)</f>
        <v>2006</v>
      </c>
      <c r="BG89" s="538" t="n">
        <f aca="false">MONTH(I89)</f>
        <v>6</v>
      </c>
      <c r="BH89" s="539" t="n">
        <f aca="false">AD89-DateToday+1</f>
        <v>-7072</v>
      </c>
      <c r="BI89" s="540" t="n">
        <f aca="false">(I89-DateToday+1)/365.25</f>
        <v>-19.3182751540041</v>
      </c>
      <c r="BJ89" s="541" t="n">
        <f aca="false">BI89+(BL89-BI89)*CHOOSE(Underlying,AJ89/AI89,AM89/AL89)</f>
        <v>-19.2677493622052</v>
      </c>
      <c r="BK89" s="541" t="n">
        <f aca="false">BJ89+1/365.25</f>
        <v>-19.2650115114181</v>
      </c>
      <c r="BL89" s="541" t="n">
        <f aca="false">(I90-DateToday)/365.25</f>
        <v>-19.2388774811773</v>
      </c>
      <c r="BM89" s="542" t="e">
        <f aca="false">MAX(BI89-(BJ89-BI89)*(S90^2/O90^2-1),0)</f>
        <v>#DIV/0!</v>
      </c>
      <c r="BN89" s="541" t="e">
        <f aca="false">MAX(BL89+(BL89-BK89)*(S91^2/O91^2-1),0)</f>
        <v>#DIV/0!</v>
      </c>
      <c r="BO89" s="530" t="n">
        <f aca="false">CHOOSE(Underlying,AI89,AL89)</f>
        <v>22</v>
      </c>
      <c r="BP89" s="529" t="n">
        <f aca="false">CHOOSE(Underlying,AJ89,AM89)</f>
        <v>14</v>
      </c>
      <c r="BQ89" s="529" t="n">
        <f aca="false">CHOOSE(Underlying,AK89,AN89)</f>
        <v>8</v>
      </c>
      <c r="BR89" s="463" t="str">
        <f aca="false">IF(BD89,IF(Underlying=1,X89,Z89)+UnderlyingPriceAsian-SwapPriceCurve,"")</f>
        <v/>
      </c>
      <c r="BS89" s="463" t="str">
        <f aca="false">IF(BD89,Strike1/BR89-1,"")</f>
        <v/>
      </c>
      <c r="BT89" s="464" t="str">
        <f aca="false">IF(BD89,Strike2/BR89-1,"")</f>
        <v/>
      </c>
      <c r="BU89" s="465" t="str">
        <f aca="false">IF(BD89,IF(Underlying=1,L90,R90)+UnderlyingPriceAsian-SwapPriceCurve,"")</f>
        <v/>
      </c>
      <c r="BV89" s="465" t="str">
        <f aca="false">IF(BD89,IF(Underlying=1,L91,R91)+UnderlyingPriceAsian-SwapPriceCurve,"")</f>
        <v/>
      </c>
      <c r="BW89" s="466" t="str">
        <f aca="false">IF(BD89,IF(Underlying=1,O90,AT90),"")</f>
        <v/>
      </c>
      <c r="BX89" s="467" t="str">
        <f aca="false">IF(BD89,IF(Underlying=1,O91,AT91),"")</f>
        <v/>
      </c>
      <c r="BY89" s="466" t="str">
        <f aca="false">IF(BD89,IF(BS89&gt;0,IF(BS89&gt;0.2,BC89-BB89,IF(BS89&gt;0.1,BB89-BA89,BA89)),IF(BS89&lt;-0.2,AX89-AY89,IF(BS89&lt;-0.1,AY89-AZ89,AZ89))),"")</f>
        <v/>
      </c>
      <c r="BZ89" s="467" t="str">
        <f aca="false">IF(BD89,IF(BT89&gt;0,IF(BT89&gt;0.2,BC89-BB89,IF(BT89&gt;0.1,BB89-BA89,BA89)),IF(BT89&lt;-0.2,AX89-AY89,IF(BT89&lt;-0.1,AY89-AZ89,AZ89))),"")</f>
        <v/>
      </c>
      <c r="CA89" s="468" t="str">
        <f aca="false">IF($BD89,$BW89+IF(VolSkewFlag=1,IF(BS89&gt;0,$BA89*MIN(BS89/10%,1)+($BB89-$BA89)*MAX(0,MIN(BS89/10%-1,1))+($BC89-$BB89)*MAX(0,BS89/10%-2),$AZ89*MIN(-BS89/10%,1)+($AY89-$AZ89)*MAX(0,MIN(-BS89/10%-1,1))+($AX89-$AY89)*MAX(0,-BS89/10%-2)),0),"")</f>
        <v/>
      </c>
      <c r="CB89" s="468" t="str">
        <f aca="false">IF($BD89,$BX89+IF(VolSkewFlag=1,IF(BS89&gt;0,$BA89*MIN(BS89/10%,1)+($BB89-$BA89)*MAX(0,MIN(BS89/10%-1,1))+($BC89-$BB89)*MAX(0,BS89/10%-2),$AZ89*MIN(-BS89/10%,1)+($AY89-$AZ89)*MAX(0,MIN(-BS89/10%-1,1))+($AX89-$AY89)*MAX(0,-BS89/10%-2)),0),"")</f>
        <v/>
      </c>
      <c r="CC89" s="468" t="str">
        <f aca="false">IF($BD89,$BW89+IF(VolSkewFlag=1,IF(BT89&gt;0,$BA89*MIN(BT89/10%,1)+($BB89-$BA89)*MAX(0,MIN(BT89/10%-1,1))+($BC89-$BB89)*MAX(0,BT89/10%-2),$AZ89*MIN(-BT89/10%,1)+($AY89-$AZ89)*MAX(0,MIN(-BT89/10%-1,1))+($AX89-$AY89)*MAX(0,-BT89/10%-2)),0),"")</f>
        <v/>
      </c>
      <c r="CD89" s="468" t="str">
        <f aca="false">IF($BD89,$BX89+IF(VolSkewFlag=1,IF(BT89&gt;0,$BA89*MIN(BT89/10%,1)+($BB89-$BA89)*MAX(0,MIN(BT89/10%-1,1))+($BC89-$BB89)*MAX(0,BT89/10%-2),$AZ89*MIN(-BT89/10%,1)+($AY89-$AZ89)*MAX(0,MIN(-BT89/10%-1,1))+($AX89-$AY89)*MAX(0,-BT89/10%-2)),0),"")</f>
        <v/>
      </c>
      <c r="CE89" s="469" t="n">
        <v>1</v>
      </c>
      <c r="CF89" s="470" t="n">
        <f aca="false">IF(BD89,xCrudeAPO(BU89,BV89,CA89,CB89,S90,S91,BI89,BL89,BP89,BQ89,0,Strike1,AO89,CE89,0,BL89,IF(OptControl=4,0,1),0,1),0)</f>
        <v>0</v>
      </c>
      <c r="CG89" s="470" t="n">
        <f aca="false">IF(BD89,xCrudeAPO(BU89,BV89,CA89,CB89,S90,S91,BI89,BL89,BP89,BQ89,0,Strike1,AO89,CE89,0,BL89,IF(OptControl=4,0,1),1,1)+xCrudeAPO(BU89,BV89,CA89,CB89,S90,S91,BI89,BL89,BP89,BQ89,0,Strike1,AO89,CE89,0,BL89,IF(OptControl=4,0,1),1,2)+IF(OR(VolSkewFlag=2,ABS(BS89)&lt;0.0001),0,IF(BS89&gt;0,-1,1)*CH89*Strike1/BR89^2*BY89/10%),0)</f>
        <v>0</v>
      </c>
      <c r="CH89" s="470" t="n">
        <f aca="false">IF(BD89,(xCrudeAPO(BU89,BV89,CA89,CB89,S90,S91,BI89,BL89,BP89,BQ89,0,Strike1,AO89,CE89,0,BL89,IF(OptControl=4,0,1),3,1)+xCrudeAPO(BU89,BV89,CA89,CB89,S90,S91,BI89,BL89,BP89,BQ89,0,Strike1,AO89,CE89,0,BL89,IF(OptControl=4,0,1),3,2))/100,0)</f>
        <v>0</v>
      </c>
      <c r="CI89" s="470" t="n">
        <f aca="false">IF(BD89,xCrudeAPO(BU89,BV89,CA89,CB89,S90,S91,BI89-DaysForThetaCalculation/365.25,BL89-DaysForThetaCalculation/365.25,BP89,BQ89,0,Strike1,AO89,CE89,0,BL89,IF(OptControl=4,0,1),0,1)-xCrudeAPO(BU89,BV89,CA89,CB89,S90,S91,BI89,BL89,BP89,BQ89,0,Strike1,AO89,CE89,0,BL89,IF(OptControl=4,0,1),0,1),0)</f>
        <v>0</v>
      </c>
      <c r="CJ89" s="471" t="n">
        <f aca="false">IF(BD89,xCrudeAPO(BU89,BV89,CC89,CD89,S90,S91,BI89,BL89,BP89,BQ89,0,Strike2,AO89,CE89,0,BL89,IF(OptControl=3,1,0),0,1),0)</f>
        <v>0</v>
      </c>
      <c r="CK89" s="470" t="n">
        <f aca="false">IF(BD89,xCrudeAPO(BU89,BV89,CC89,CD89,S90,S91,BI89,BL89,BP89,BQ89,0,Strike2,AO89,CE89,0,BL89,IF(OptControl=3,1,0),1,1)+xCrudeAPO(BU89,BV89,CC89,CD89,S90,S91,BI89,BL89,BP89,BQ89,0,Strike2,AO89,CE89,0,BL89,IF(OptControl=3,1,0),1,2)+IF(OR(VolSkewFlag=2,ABS(BT89)&lt;0.0001),0,IF(BT89&gt;0,-1,1)*CL89*Strike2/BR89^2*BZ89/10%),0)</f>
        <v>0</v>
      </c>
      <c r="CL89" s="470" t="n">
        <f aca="false">IF(BD89,(xCrudeAPO(BU89,BV89,CC89,CD89,S90,S91,BI89,BL89,BP89,BQ89,0,Strike2,AO89,CE89,0,BL89,IF(OptControl=3,1,0),3,1)+xCrudeAPO(BU89,BV89,CC89,CD89,S90,S91,BI89,BL89,BP89,BQ89,0,Strike2,AO89,CE89,0,BL89,IF(OptControl=3,1,0),3,2))/100,0)</f>
        <v>0</v>
      </c>
      <c r="CM89" s="472" t="n">
        <f aca="false">IF(BD89,xCrudeAPO(BU89,BV89,CC89,CD89,S90,S91,BI89-DaysForThetaCalculation/365.25,BL89-DaysForThetaCalculation/365.25,BP89,BQ89,0,Strike2,AO89,CE89,0,BL89,IF(OptControl=3,1,0),0,1)-xCrudeAPO(BU89,BV89,CC89,CD89,S90,S91,BI89,BL89,BP89,BQ89,0,Strike2,AO89,CE89,0,BL89,IF(OptControl=3,1,0),0,1),0)</f>
        <v>0</v>
      </c>
      <c r="CN89" s="3"/>
      <c r="CO89" s="543" t="str">
        <f aca="false">IF(BD89,CHOOSE(Underlying,AD89,AF89)-DateToday+1,"")</f>
        <v/>
      </c>
      <c r="CP89" s="582" t="str">
        <f aca="false">IF(BD89,CHOOSE(Underlying,L89,R89),"")</f>
        <v/>
      </c>
      <c r="CQ89" s="544" t="str">
        <f aca="false">IF(BD89,Strike1/CP89-1,"")</f>
        <v/>
      </c>
      <c r="CR89" s="544" t="str">
        <f aca="false">IF(BD89,Strike2/CP89-1,"")</f>
        <v/>
      </c>
      <c r="CS89" s="544" t="str">
        <f aca="false">IF(BD89,IF(CQ89&gt;0,IF(CQ89&gt;0.2,BC88-BB88,IF(CQ89&gt;0.1,BB88-BA88,BA88)),IF(CQ89&lt;-0.2,AX88-AY88,IF(CQ89&lt;-0.1,AY88-AZ88,AZ88))),"")</f>
        <v/>
      </c>
      <c r="CT89" s="544" t="str">
        <f aca="false">IF(BD89,IF(CR89&gt;0,IF(CR89&gt;0.2,BC88-BB88,IF(CR89&gt;0.1,BB88-BA88,BA88)),IF(CR89&lt;-0.2,AX88-AY88,IF(CR89&lt;-0.1,AY88-AZ88,AZ88))),"")</f>
        <v/>
      </c>
      <c r="CU89" s="545" t="str">
        <f aca="false">IF(BD89,CHOOSE(Underlying,O89,AT89),"")</f>
        <v/>
      </c>
      <c r="CV89" s="545" t="str">
        <f aca="false">IF(BD89,CU89+IF(VolSkewFlag=1,IF(CQ89&gt;0,BA88*MIN(CQ89/10%,1)+(BB88-BA88)*MAX(0,MIN(CQ89/10%-1,1))+(BC88-BB88)*MAX(0,CQ89/10%-2),AZ88*MIN(-CQ89/10%,1)+(AY88-AZ88)*MAX(0,MIN(-CQ89/10%-1,1))+(AX88-AY88)*MAX(0,-CQ89/10%-2)),0),"")</f>
        <v/>
      </c>
      <c r="CW89" s="545" t="str">
        <f aca="false">IF(BD89,CU89+IF(VolSkewFlag=1,IF(CR89&gt;0,BA88*MIN(CR89/10%,1)+(BB88-BA88)*MAX(0,MIN(CR89/10%-1,1))+(BC88-BB88)*MAX(0,CR89/10%-2),AZ88*MIN(-CR89/10%,1)+(AY88-AZ88)*MAX(0,MIN(-CR89/10%-1,1))+(AX88-AY88)*MAX(0,-CR89/10%-2)),0),"")</f>
        <v/>
      </c>
      <c r="CX89" s="470" t="n">
        <f aca="false">IF(BD89,EURO(CP89,Strike1,AO89,AO89,CV89,CO89,IF(OptControl=4,0,1),0),0)</f>
        <v>0</v>
      </c>
      <c r="CY89" s="470" t="n">
        <f aca="false">IF(BD89,EURO(CP89,Strike1,AO89,AO89,CV89,CO89,IF(OptControl=4,0,1),1)+IF(OR(VolSkewFlag=2,ABS(CQ89)&lt;0.0001),0,IF(CQ89&gt;0,-1,1)*CZ89*100*Strike1/CP89^2*CS89/10%),0)</f>
        <v>0</v>
      </c>
      <c r="CZ89" s="470" t="n">
        <f aca="false">IF(BD89,EURO(CP89,Strike1,AO89,AO89,CV89,CO89,IF(OptControl=4,0,1),3)/100,0)</f>
        <v>0</v>
      </c>
      <c r="DA89" s="470" t="n">
        <f aca="false">IF(BD89,EURO(CP89,Strike1,AO89,AO89,CV89,CO89,IF(OptControl=4,0,1),0)-EURO(CP89,Strike1,AO89,AO89,CV89,CO89-1,IF(OptControl=4,0,1),0),0)</f>
        <v>0</v>
      </c>
      <c r="DB89" s="470" t="n">
        <f aca="false">IF(BD89,EURO(CP89,Strike2,AO89,AO89,CW89,CO89,IF(OptControl=3,1,0),0),0)</f>
        <v>0</v>
      </c>
      <c r="DC89" s="470" t="n">
        <f aca="false">IF(BD89,EURO(CP89,Strike2,AO89,AO89,CW89,CO89,IF(OptControl=3,1,0),1)+IF(OR(VolSkewFlag=2,ABS(CR89)&lt;0.0001),0,IF(CR89&gt;0,-1,1)*DD89*100*Strike2/CP89^2*CT89/10%),0)</f>
        <v>0</v>
      </c>
      <c r="DD89" s="470" t="n">
        <f aca="false">IF(BD89,EURO(CP89,Strike2,AO89,AO89,CW89,CO89,IF(OptControl=3,1,0),3)/100,0)</f>
        <v>0</v>
      </c>
      <c r="DE89" s="472" t="n">
        <f aca="false">IF(BD89,EURO(CP89,Strike2,AO89,AO89,CW89,CO89,IF(OptControl=3,1,0),0)-EURO(CP89,Strike2,AO89,AO89,CW89,CO89-1,IF(OptControl=3,1,0),0),0)</f>
        <v>0</v>
      </c>
      <c r="DG89" s="481" t="n">
        <f aca="false">EOMONTH(DG88,0)+1</f>
        <v>47788</v>
      </c>
      <c r="DH89" s="478" t="n">
        <v>18.3233333333333</v>
      </c>
      <c r="DI89" s="479" t="n">
        <v>18.319696969697</v>
      </c>
      <c r="DJ89" s="480" t="n">
        <f aca="false">DG89</f>
        <v>47788</v>
      </c>
      <c r="DK89" s="478" t="n">
        <v>17.1434054762283</v>
      </c>
      <c r="DL89" s="479" t="n">
        <v>17.155696969697</v>
      </c>
      <c r="DM89" s="481" t="n">
        <f aca="false">DG89</f>
        <v>47788</v>
      </c>
      <c r="DN89" s="482" t="n">
        <f aca="false">DK89+BrentPhyBrentSpread</f>
        <v>17.1934054762283</v>
      </c>
      <c r="DO89" s="481" t="n">
        <f aca="false">DG89</f>
        <v>47788</v>
      </c>
      <c r="DP89" s="483" t="n">
        <f aca="false">DL89+DQ89</f>
        <v>17.155696969697</v>
      </c>
      <c r="DQ89" s="546" t="n">
        <v>0</v>
      </c>
      <c r="DR89" s="480" t="n">
        <f aca="false">DG89</f>
        <v>47788</v>
      </c>
      <c r="DS89" s="485" t="n">
        <v>0.1907</v>
      </c>
      <c r="DT89" s="486" t="n">
        <v>0.188972727272727</v>
      </c>
      <c r="DU89" s="480" t="n">
        <f aca="false">DG89</f>
        <v>47788</v>
      </c>
      <c r="DV89" s="485" t="n">
        <v>0.1907</v>
      </c>
      <c r="DW89" s="486" t="n">
        <v>0.188972727272727</v>
      </c>
      <c r="DX89" s="481" t="n">
        <f aca="false">DG89</f>
        <v>47788</v>
      </c>
      <c r="DY89" s="486" t="n">
        <v>0.35</v>
      </c>
      <c r="DZ89" s="481" t="n">
        <f aca="false">DR89</f>
        <v>47788</v>
      </c>
      <c r="EA89" s="486" t="n">
        <f aca="false">DT89</f>
        <v>0.188972727272727</v>
      </c>
      <c r="EB89" s="195"/>
      <c r="EC89" s="547" t="str">
        <f aca="false">IF(BD89,IF(Underlying=1,AS89,AU89),"")</f>
        <v/>
      </c>
      <c r="ED89" s="548" t="str">
        <f aca="false">IF($BD89,$EC89+IF(VolSkewFlag=1,IF(BS89&gt;0,$BA89*MIN(BS89/10%,1)+($BB89-$BA89)*MAX(0,MIN(BS89/10%-1,1))+($BC89-$BB89)*MAX(0,BS89/10%-2),$AZ89*MIN(-BS89/10%,1)+($AY89-$AZ89)*MAX(0,MIN(-BS89/10%-1,1))+($AX89-$AY89)*MAX(0,-BS89/10%-2)),0),"")</f>
        <v/>
      </c>
      <c r="EE89" s="549" t="str">
        <f aca="false">IF($BD89,$EC89+IF(VolSkewFlag=1,IF(BT89&gt;0,$BA89*MIN(BT89/10%,1)+($BB89-$BA89)*MAX(0,MIN(BT89/10%-1,1))+($BC89-$BB89)*MAX(0,BT89/10%-2),$AZ89*MIN(-BT89/10%,1)+($AY89-$AZ89)*MAX(0,MIN(-BT89/10%-1,1))+($AX89-$AY89)*MAX(0,-BT89/10%-2)),0),"")</f>
        <v/>
      </c>
      <c r="EF89" s="550" t="n">
        <f aca="false">IF(BD89,xASN(BR89,Strike1,AO89,ED89,0,BO89,0,BI89,BL89,IF(OptControl=4,0,1),0),0)</f>
        <v>0</v>
      </c>
      <c r="EG89" s="551" t="n">
        <f aca="false">IF(BD89,xASN(BR89,Strike2,AO89,EE89,0,BO89,0,BI89,BL89,IF(OptControl=3,1,0),0),0)</f>
        <v>0</v>
      </c>
      <c r="EL89" s="1"/>
      <c r="EM89" s="195"/>
      <c r="EN89" s="556" t="n">
        <v>44190</v>
      </c>
      <c r="EO89" s="557" t="n">
        <v>49303</v>
      </c>
      <c r="EP89" s="195"/>
      <c r="EQ89" s="407" t="s">
        <v>315</v>
      </c>
      <c r="ES89" s="587" t="n">
        <v>70</v>
      </c>
      <c r="ET89" s="559" t="n">
        <f aca="false">BH89/365.25</f>
        <v>-19.3620807665982</v>
      </c>
      <c r="EU89" s="560" t="n">
        <f aca="false">O89^2*ET89</f>
        <v>-0</v>
      </c>
      <c r="EV89" s="588" t="e">
        <f aca="false">SQRT(SUM(FK89:ID89)/ET89)</f>
        <v>#VALUE!</v>
      </c>
      <c r="EW89" s="589" t="str">
        <f aca="false">IF(OR(DateStart2&gt;I88,DateEnd2&lt;I87),"",IF(DateStart2&lt;I88,AK87/AI87*AP87*BE87*SwaptionNumOfMonths/$D$33,0)+IF(DateEnd2&gt;I87,AJ88/AI88*AP88*BE88*SwaptionNumOfMonths/$D$33,0))</f>
        <v/>
      </c>
      <c r="EX89" s="590" t="str">
        <f aca="false">IF(EW89="","",SQRT(SUM(FK394:ID394)/SwaptionYearsToExp))</f>
        <v/>
      </c>
      <c r="EY89" s="129" t="n">
        <v>0</v>
      </c>
      <c r="EZ89" s="591" t="str">
        <f aca="false">IF(OR(EW89="",EW90=""),"",SQRT(SUM(INDEX(FK89:ID89,SwaptionFirstMonthPosition+1):INDEX(FK89:ID89,FJ89))/SUM(INDEX($FK$15:$ID$15,SwaptionFirstMonthPosition+1):INDEX($FK$15:$ID$15,FJ89))))</f>
        <v/>
      </c>
      <c r="FA89" s="592" t="str">
        <f aca="false">IF(OR(EW89="",EW88=""),"",SQRT(SUM(INDEX(FK89:ID89,SwaptionFirstMonthPosition+1):INDEX(FK89:ID89,FJ89-1))/SUM(INDEX($FK$15:$ID$15,SwaptionFirstMonthPosition+1):INDEX($FK$15:$ID$15,FJ89-1))))</f>
        <v/>
      </c>
      <c r="FB89" s="593" t="str">
        <f aca="false">IF(BE89,2/3*EZ90+1/3*FA91,"")</f>
        <v/>
      </c>
      <c r="FC89" s="596" t="str">
        <f aca="false">IF(BE89,(I90+I89-1)/2-DateToday,"")</f>
        <v/>
      </c>
      <c r="FD89" s="483" t="str">
        <f aca="false">IF(BE89,CHOOSE(Underlying,X89,Z89)+SwaptionUnderlyingPrice-$D$26,"")</f>
        <v/>
      </c>
      <c r="FE89" s="483" t="str">
        <f aca="false">IF(BE89,CollartionFloor/FD89-1,"")</f>
        <v/>
      </c>
      <c r="FF89" s="483" t="str">
        <f aca="false">IF(BE89,CollartionCap/FD89-1,"")</f>
        <v/>
      </c>
      <c r="FG89" s="485" t="str">
        <f aca="false">IF(BE89,IF(VolSkewFlag=1,IF(FE89&gt;0,$BA89*MIN(FE89/10%,1)+($BB89-$BA89)*MAX(0,MIN(FE89/10%-1,1))+($BC89-$BB89)*MAX(0,FE89/10%-2),$AZ89*MIN(-FE89/10%,1)+($AY89-$AZ89)*MAX(0,MIN(-FE89/10%-1,1))+($AX89-$AY89)*MAX(0,-FE89/10%-2)),0),"")</f>
        <v/>
      </c>
      <c r="FH89" s="486" t="str">
        <f aca="false">IF(BE89,IF(VolSkewFlag=1,IF(FF89&gt;0,$BA89*MIN(FF89/10%,1)+($BB89-$BA89)*MAX(0,MIN(FF89/10%-1,1))+($BC89-$BB89)*MAX(0,FF89/10%-2),$AZ89*MIN(-FF89/10%,1)+($AY89-$AZ89)*MAX(0,MIN(-FF89/10%-1,1))+($AX89-$AY89)*MAX(0,-FF89/10%-2)),0),"")</f>
        <v/>
      </c>
      <c r="FI89" s="129"/>
      <c r="FJ89" s="571" t="n">
        <v>70</v>
      </c>
      <c r="FK89" s="150" t="n">
        <f aca="false">IF(FK$19&gt;$FJ89,"",MAX(0,IF(FK$19=$FJ89,$S89^2*FK$15,FK88*INDEX($T$20:$T$91,$FJ89-FK$19)^2/INDEX($U$20:$U$91,$FJ89-FK$19))))</f>
        <v>0</v>
      </c>
      <c r="FL89" s="150" t="n">
        <f aca="false">IF(FL$19&gt;$FJ89,"",MAX(0,IF(FL$19=$FJ89,$S89^2*FL$15,FL88*INDEX($T$20:$T$91,$FJ89-FL$19)^2/INDEX($U$20:$U$91,$FJ89-FL$19))))</f>
        <v>0</v>
      </c>
      <c r="FM89" s="150" t="n">
        <f aca="false">IF(FM$19&gt;$FJ89,"",MAX(0,IF(FM$19=$FJ89,$S89^2*FM$15,FM88*INDEX($T$20:$T$91,$FJ89-FM$19)^2/INDEX($U$20:$U$91,$FJ89-FM$19))))</f>
        <v>0.00254687203357467</v>
      </c>
      <c r="FN89" s="150" t="n">
        <f aca="false">IF(FN$19&gt;$FJ89,"",MAX(0,IF(FN$19=$FJ89,$S89^2*FN$15,FN88*INDEX($T$20:$T$91,$FJ89-FN$19)^2/INDEX($U$20:$U$91,$FJ89-FN$19))))</f>
        <v>0.00214364071918491</v>
      </c>
      <c r="FO89" s="150" t="n">
        <f aca="false">IF(FO$19&gt;$FJ89,"",MAX(0,IF(FO$19=$FJ89,$S89^2*FO$15,FO88*INDEX($T$20:$T$91,$FJ89-FO$19)^2/INDEX($U$20:$U$91,$FJ89-FO$19))))</f>
        <v>0.00222972186186703</v>
      </c>
      <c r="FP89" s="150" t="n">
        <f aca="false">IF(FP$19&gt;$FJ89,"",MAX(0,IF(FP$19=$FJ89,$S89^2*FP$15,FP88*INDEX($T$20:$T$91,$FJ89-FP$19)^2/INDEX($U$20:$U$91,$FJ89-FP$19))))</f>
        <v>0.00247078428656024</v>
      </c>
      <c r="FQ89" s="150" t="n">
        <f aca="false">IF(FQ$19&gt;$FJ89,"",MAX(0,IF(FQ$19=$FJ89,$S89^2*FQ$15,FQ88*INDEX($T$20:$T$91,$FJ89-FQ$19)^2/INDEX($U$20:$U$91,$FJ89-FQ$19))))</f>
        <v>0.00200038088124501</v>
      </c>
      <c r="FR89" s="150" t="n">
        <f aca="false">IF(FR$19&gt;$FJ89,"",MAX(0,IF(FR$19=$FJ89,$S89^2*FR$15,FR88*INDEX($T$20:$T$91,$FJ89-FR$19)^2/INDEX($U$20:$U$91,$FJ89-FR$19))))</f>
        <v>0.00204532394266139</v>
      </c>
      <c r="FS89" s="150" t="n">
        <f aca="false">IF(FS$19&gt;$FJ89,"",MAX(0,IF(FS$19=$FJ89,$S89^2*FS$15,FS88*INDEX($T$20:$T$91,$FJ89-FS$19)^2/INDEX($U$20:$U$91,$FJ89-FS$19))))</f>
        <v>0.00230496221690951</v>
      </c>
      <c r="FT89" s="150" t="n">
        <f aca="false">IF(FT$19&gt;$FJ89,"",MAX(0,IF(FT$19=$FJ89,$S89^2*FT$15,FT88*INDEX($T$20:$T$91,$FJ89-FT$19)^2/INDEX($U$20:$U$91,$FJ89-FT$19))))</f>
        <v>0.00208017480274377</v>
      </c>
      <c r="FU89" s="150" t="n">
        <f aca="false">IF(FU$19&gt;$FJ89,"",MAX(0,IF(FU$19=$FJ89,$S89^2*FU$15,FU88*INDEX($T$20:$T$91,$FJ89-FU$19)^2/INDEX($U$20:$U$91,$FJ89-FU$19))))</f>
        <v>0.00199983346969652</v>
      </c>
      <c r="FV89" s="150" t="n">
        <f aca="false">IF(FV$19&gt;$FJ89,"",MAX(0,IF(FV$19=$FJ89,$S89^2*FV$15,FV88*INDEX($T$20:$T$91,$FJ89-FV$19)^2/INDEX($U$20:$U$91,$FJ89-FV$19))))</f>
        <v>0.0021976492889827</v>
      </c>
      <c r="FW89" s="150" t="n">
        <f aca="false">IF(FW$19&gt;$FJ89,"",MAX(0,IF(FW$19=$FJ89,$S89^2*FW$15,FW88*INDEX($T$20:$T$91,$FJ89-FW$19)^2/INDEX($U$20:$U$91,$FJ89-FW$19))))</f>
        <v>0.00205395669112512</v>
      </c>
      <c r="FX89" s="150" t="n">
        <f aca="false">IF(FX$19&gt;$FJ89,"",MAX(0,IF(FX$19=$FJ89,$S89^2*FX$15,FX88*INDEX($T$20:$T$91,$FJ89-FX$19)^2/INDEX($U$20:$U$91,$FJ89-FX$19))))</f>
        <v>0.00218584952098746</v>
      </c>
      <c r="FY89" s="150" t="n">
        <f aca="false">IF(FY$19&gt;$FJ89,"",MAX(0,IF(FY$19=$FJ89,$S89^2*FY$15,FY88*INDEX($T$20:$T$91,$FJ89-FY$19)^2/INDEX($U$20:$U$91,$FJ89-FY$19))))</f>
        <v>0.00204572518531162</v>
      </c>
      <c r="FZ89" s="150" t="n">
        <f aca="false">IF(FZ$19&gt;$FJ89,"",MAX(0,IF(FZ$19=$FJ89,$S89^2*FZ$15,FZ88*INDEX($T$20:$T$91,$FJ89-FZ$19)^2/INDEX($U$20:$U$91,$FJ89-FZ$19))))</f>
        <v>0.00190692171116428</v>
      </c>
      <c r="GA89" s="150" t="n">
        <f aca="false">IF(GA$19&gt;$FJ89,"",MAX(0,IF(GA$19=$FJ89,$S89^2*GA$15,GA88*INDEX($T$20:$T$91,$FJ89-GA$19)^2/INDEX($U$20:$U$91,$FJ89-GA$19))))</f>
        <v>0.00204122609453047</v>
      </c>
      <c r="GB89" s="150" t="n">
        <f aca="false">IF(GB$19&gt;$FJ89,"",MAX(0,IF(GB$19=$FJ89,$S89^2*GB$15,GB88*INDEX($T$20:$T$91,$FJ89-GB$19)^2/INDEX($U$20:$U$91,$FJ89-GB$19))))</f>
        <v>0.00224383063653154</v>
      </c>
      <c r="GC89" s="150" t="n">
        <f aca="false">IF(GC$19&gt;$FJ89,"",MAX(0,IF(GC$19=$FJ89,$S89^2*GC$15,GC88*INDEX($T$20:$T$91,$FJ89-GC$19)^2/INDEX($U$20:$U$91,$FJ89-GC$19))))</f>
        <v>0.00197090471669836</v>
      </c>
      <c r="GD89" s="150" t="n">
        <f aca="false">IF(GD$19&gt;$FJ89,"",MAX(0,IF(GD$19=$FJ89,$S89^2*GD$15,GD88*INDEX($T$20:$T$91,$FJ89-GD$19)^2/INDEX($U$20:$U$91,$FJ89-GD$19))))</f>
        <v>0.00197025795133956</v>
      </c>
      <c r="GE89" s="150" t="n">
        <f aca="false">IF(GE$19&gt;$FJ89,"",MAX(0,IF(GE$19=$FJ89,$S89^2*GE$15,GE88*INDEX($T$20:$T$91,$FJ89-GE$19)^2/INDEX($U$20:$U$91,$FJ89-GE$19))))</f>
        <v>0.00224154951326958</v>
      </c>
      <c r="GF89" s="150" t="n">
        <f aca="false">IF(GF$19&gt;$FJ89,"",MAX(0,IF(GF$19=$FJ89,$S89^2*GF$15,GF88*INDEX($T$20:$T$91,$FJ89-GF$19)^2/INDEX($U$20:$U$91,$FJ89-GF$19))))</f>
        <v>0.00196962409516772</v>
      </c>
      <c r="GG89" s="150" t="n">
        <f aca="false">IF(GG$19&gt;$FJ89,"",MAX(0,IF(GG$19=$FJ89,$S89^2*GG$15,GG88*INDEX($T$20:$T$91,$FJ89-GG$19)^2/INDEX($U$20:$U$91,$FJ89-GG$19))))</f>
        <v>0.00217330533554916</v>
      </c>
      <c r="GH89" s="150" t="n">
        <f aca="false">IF(GH$19&gt;$FJ89,"",MAX(0,IF(GH$19=$FJ89,$S89^2*GH$15,GH88*INDEX($T$20:$T$91,$FJ89-GH$19)^2/INDEX($U$20:$U$91,$FJ89-GH$19))))</f>
        <v>0.00203754428946361</v>
      </c>
      <c r="GI89" s="150" t="n">
        <f aca="false">IF(GI$19&gt;$FJ89,"",MAX(0,IF(GI$19=$FJ89,$S89^2*GI$15,GI88*INDEX($T$20:$T$91,$FJ89-GI$19)^2/INDEX($U$20:$U$91,$FJ89-GI$19))))</f>
        <v>0.00196981507594736</v>
      </c>
      <c r="GJ89" s="150" t="n">
        <f aca="false">IF(GJ$19&gt;$FJ89,"",MAX(0,IF(GJ$19=$FJ89,$S89^2*GJ$15,GJ88*INDEX($T$20:$T$91,$FJ89-GJ$19)^2/INDEX($U$20:$U$91,$FJ89-GJ$19))))</f>
        <v>0.00224185838521855</v>
      </c>
      <c r="GK89" s="150" t="n">
        <f aca="false">IF(GK$19&gt;$FJ89,"",MAX(0,IF(GK$19=$FJ89,$S89^2*GK$15,GK88*INDEX($T$20:$T$91,$FJ89-GK$19)^2/INDEX($U$20:$U$91,$FJ89-GK$19))))</f>
        <v>0.002038483192595</v>
      </c>
      <c r="GL89" s="150" t="n">
        <f aca="false">IF(GL$19&gt;$FJ89,"",MAX(0,IF(GL$19=$FJ89,$S89^2*GL$15,GL88*INDEX($T$20:$T$91,$FJ89-GL$19)^2/INDEX($U$20:$U$91,$FJ89-GL$19))))</f>
        <v>0.0019710662635814</v>
      </c>
      <c r="GM89" s="150" t="n">
        <f aca="false">IF(GM$19&gt;$FJ89,"",MAX(0,IF(GM$19=$FJ89,$S89^2*GM$15,GM88*INDEX($T$20:$T$91,$FJ89-GM$19)^2/INDEX($U$20:$U$91,$FJ89-GM$19))))</f>
        <v>0.0021077048257568</v>
      </c>
      <c r="GN89" s="150" t="n">
        <f aca="false">IF(GN$19&gt;$FJ89,"",MAX(0,IF(GN$19=$FJ89,$S89^2*GN$15,GN88*INDEX($T$20:$T$91,$FJ89-GN$19)^2/INDEX($U$20:$U$91,$FJ89-GN$19))))</f>
        <v>0.00210855506321852</v>
      </c>
      <c r="GO89" s="150" t="n">
        <f aca="false">IF(GO$19&gt;$FJ89,"",MAX(0,IF(GO$19=$FJ89,$S89^2*GO$15,GO88*INDEX($T$20:$T$91,$FJ89-GO$19)^2/INDEX($U$20:$U$91,$FJ89-GO$19))))</f>
        <v>0.00210957078115499</v>
      </c>
      <c r="GP89" s="150" t="n">
        <f aca="false">IF(GP$19&gt;$FJ89,"",MAX(0,IF(GP$19=$FJ89,$S89^2*GP$15,GP88*INDEX($T$20:$T$91,$FJ89-GP$19)^2/INDEX($U$20:$U$91,$FJ89-GP$19))))</f>
        <v>0.00190650649555336</v>
      </c>
      <c r="GQ89" s="150" t="n">
        <f aca="false">IF(GQ$19&gt;$FJ89,"",MAX(0,IF(GQ$19=$FJ89,$S89^2*GQ$15,GQ88*INDEX($T$20:$T$91,$FJ89-GQ$19)^2/INDEX($U$20:$U$91,$FJ89-GQ$19))))</f>
        <v>0.00211219621560856</v>
      </c>
      <c r="GR89" s="150" t="n">
        <f aca="false">IF(GR$19&gt;$FJ89,"",MAX(0,IF(GR$19=$FJ89,$S89^2*GR$15,GR88*INDEX($T$20:$T$91,$FJ89-GR$19)^2/INDEX($U$20:$U$91,$FJ89-GR$19))))</f>
        <v>0.00204567920378185</v>
      </c>
      <c r="GS89" s="150" t="n">
        <f aca="false">IF(GS$19&gt;$FJ89,"",MAX(0,IF(GS$19=$FJ89,$S89^2*GS$15,GS88*INDEX($T$20:$T$91,$FJ89-GS$19)^2/INDEX($U$20:$U$91,$FJ89-GS$19))))</f>
        <v>0.00211583283081019</v>
      </c>
      <c r="GT89" s="150" t="n">
        <f aca="false">IF(GT$19&gt;$FJ89,"",MAX(0,IF(GT$19=$FJ89,$S89^2*GT$15,GT88*INDEX($T$20:$T$91,$FJ89-GT$19)^2/INDEX($U$20:$U$91,$FJ89-GT$19))))</f>
        <v>0.00204981071680689</v>
      </c>
      <c r="GU89" s="150" t="n">
        <f aca="false">IF(GU$19&gt;$FJ89,"",MAX(0,IF(GU$19=$FJ89,$S89^2*GU$15,GU88*INDEX($T$20:$T$91,$FJ89-GU$19)^2/INDEX($U$20:$U$91,$FJ89-GU$19))))</f>
        <v>0.00212084070362837</v>
      </c>
      <c r="GV89" s="150" t="n">
        <f aca="false">IF(GV$19&gt;$FJ89,"",MAX(0,IF(GV$19=$FJ89,$S89^2*GV$15,GV88*INDEX($T$20:$T$91,$FJ89-GV$19)^2/INDEX($U$20:$U$91,$FJ89-GV$19))))</f>
        <v>0.00212400958250019</v>
      </c>
      <c r="GW89" s="150" t="n">
        <f aca="false">IF(GW$19&gt;$FJ89,"",MAX(0,IF(GW$19=$FJ89,$S89^2*GW$15,GW88*INDEX($T$20:$T$91,$FJ89-GW$19)^2/INDEX($U$20:$U$91,$FJ89-GW$19))))</f>
        <v>0.0020590881827937</v>
      </c>
      <c r="GX89" s="150" t="n">
        <f aca="false">IF(GX$19&gt;$FJ89,"",MAX(0,IF(GX$19=$FJ89,$S89^2*GX$15,GX88*INDEX($T$20:$T$91,$FJ89-GX$19)^2/INDEX($U$20:$U$91,$FJ89-GX$19))))</f>
        <v>0.00213207980781087</v>
      </c>
      <c r="GY89" s="150" t="n">
        <f aca="false">IF(GY$19&gt;$FJ89,"",MAX(0,IF(GY$19=$FJ89,$S89^2*GY$15,GY88*INDEX($T$20:$T$91,$FJ89-GY$19)^2/INDEX($U$20:$U$91,$FJ89-GY$19))))</f>
        <v>0.00206824565371054</v>
      </c>
      <c r="GZ89" s="150" t="n">
        <f aca="false">IF(GZ$19&gt;$FJ89,"",MAX(0,IF(GZ$19=$FJ89,$S89^2*GZ$15,GZ88*INDEX($T$20:$T$91,$FJ89-GZ$19)^2/INDEX($U$20:$U$91,$FJ89-GZ$19))))</f>
        <v>0.00214317834222142</v>
      </c>
      <c r="HA89" s="150" t="n">
        <f aca="false">IF(HA$19&gt;$FJ89,"",MAX(0,IF(HA$19=$FJ89,$S89^2*HA$15,HA88*INDEX($T$20:$T$91,$FJ89-HA$19)^2/INDEX($U$20:$U$91,$FJ89-HA$19))))</f>
        <v>0.00215020921326437</v>
      </c>
      <c r="HB89" s="150" t="n">
        <f aca="false">IF(HB$19&gt;$FJ89,"",MAX(0,IF(HB$19=$FJ89,$S89^2*HB$15,HB88*INDEX($T$20:$T$91,$FJ89-HB$19)^2/INDEX($U$20:$U$91,$FJ89-HB$19))))</f>
        <v>0.00201920875448546</v>
      </c>
      <c r="HC89" s="150" t="n">
        <f aca="false">IF(HC$19&gt;$FJ89,"",MAX(0,IF(HC$19=$FJ89,$S89^2*HC$15,HC88*INDEX($T$20:$T$91,$FJ89-HC$19)^2/INDEX($U$20:$U$91,$FJ89-HC$19))))</f>
        <v>0.00216816363931905</v>
      </c>
      <c r="HD89" s="150" t="n">
        <f aca="false">IF(HD$19&gt;$FJ89,"",MAX(0,IF(HD$19=$FJ89,$S89^2*HD$15,HD88*INDEX($T$20:$T$91,$FJ89-HD$19)^2/INDEX($U$20:$U$91,$FJ89-HD$19))))</f>
        <v>0.0021092589472192</v>
      </c>
      <c r="HE89" s="150" t="n">
        <f aca="false">IF(HE$19&gt;$FJ89,"",MAX(0,IF(HE$19=$FJ89,$S89^2*HE$15,HE88*INDEX($T$20:$T$91,$FJ89-HE$19)^2/INDEX($U$20:$U$91,$FJ89-HE$19))))</f>
        <v>0.00219298786168572</v>
      </c>
      <c r="HF89" s="150" t="n">
        <f aca="false">IF(HF$19&gt;$FJ89,"",MAX(0,IF(HF$19=$FJ89,$S89^2*HF$15,HF88*INDEX($T$20:$T$91,$FJ89-HF$19)^2/INDEX($U$20:$U$91,$FJ89-HF$19))))</f>
        <v>0.00213754588886789</v>
      </c>
      <c r="HG89" s="150" t="n">
        <f aca="false">IF(HG$19&gt;$FJ89,"",MAX(0,IF(HG$19=$FJ89,$S89^2*HG$15,HG88*INDEX($T$20:$T$91,$FJ89-HG$19)^2/INDEX($U$20:$U$91,$FJ89-HG$19))))</f>
        <v>0.00222744435231061</v>
      </c>
      <c r="HH89" s="150" t="n">
        <f aca="false">IF(HH$19&gt;$FJ89,"",MAX(0,IF(HH$19=$FJ89,$S89^2*HH$15,HH88*INDEX($T$20:$T$91,$FJ89-HH$19)^2/INDEX($U$20:$U$91,$FJ89-HH$19))))</f>
        <v>0.0022494693756093</v>
      </c>
      <c r="HI89" s="150" t="n">
        <f aca="false">IF(HI$19&gt;$FJ89,"",MAX(0,IF(HI$19=$FJ89,$S89^2*HI$15,HI88*INDEX($T$20:$T$91,$FJ89-HI$19)^2/INDEX($U$20:$U$91,$FJ89-HI$19))))</f>
        <v>0.00220212399156835</v>
      </c>
      <c r="HJ89" s="150" t="n">
        <f aca="false">IF(HJ$19&gt;$FJ89,"",MAX(0,IF(HJ$19=$FJ89,$S89^2*HJ$15,HJ88*INDEX($T$20:$T$91,$FJ89-HJ$19)^2/INDEX($U$20:$U$91,$FJ89-HJ$19))))</f>
        <v>0.00230642000841346</v>
      </c>
      <c r="HK89" s="150" t="n">
        <f aca="false">IF(HK$19&gt;$FJ89,"",MAX(0,IF(HK$19=$FJ89,$S89^2*HK$15,HK88*INDEX($T$20:$T$91,$FJ89-HK$19)^2/INDEX($U$20:$U$91,$FJ89-HK$19))))</f>
        <v>0.00226754121110155</v>
      </c>
      <c r="HL89" s="150" t="n">
        <f aca="false">IF(HL$19&gt;$FJ89,"",MAX(0,IF(HL$19=$FJ89,$S89^2*HL$15,HL88*INDEX($T$20:$T$91,$FJ89-HL$19)^2/INDEX($U$20:$U$91,$FJ89-HL$19))))</f>
        <v>0.00238685810146261</v>
      </c>
      <c r="HM89" s="150" t="n">
        <f aca="false">IF(HM$19&gt;$FJ89,"",MAX(0,IF(HM$19=$FJ89,$S89^2*HM$15,HM88*INDEX($T$20:$T$91,$FJ89-HM$19)^2/INDEX($U$20:$U$91,$FJ89-HM$19))))</f>
        <v>0.00243912696405223</v>
      </c>
      <c r="HN89" s="150" t="n">
        <f aca="false">IF(HN$19&gt;$FJ89,"",MAX(0,IF(HN$19=$FJ89,$S89^2*HN$15,HN88*INDEX($T$20:$T$91,$FJ89-HN$19)^2/INDEX($U$20:$U$91,$FJ89-HN$19))))</f>
        <v>0.00225971900861993</v>
      </c>
      <c r="HO89" s="150" t="n">
        <f aca="false">IF(HO$19&gt;$FJ89,"",MAX(0,IF(HO$19=$FJ89,$S89^2*HO$15,HO88*INDEX($T$20:$T$91,$FJ89-HO$19)^2/INDEX($U$20:$U$91,$FJ89-HO$19))))</f>
        <v>0.00257738550568232</v>
      </c>
      <c r="HP89" s="150" t="n">
        <f aca="false">IF(HP$19&gt;$FJ89,"",MAX(0,IF(HP$19=$FJ89,$S89^2*HP$15,HP88*INDEX($T$20:$T$91,$FJ89-HP$19)^2/INDEX($U$20:$U$91,$FJ89-HP$19))))</f>
        <v>0.00258279652229121</v>
      </c>
      <c r="HQ89" s="150" t="n">
        <f aca="false">IF(HQ$19&gt;$FJ89,"",MAX(0,IF(HQ$19=$FJ89,$S89^2*HQ$15,HQ88*INDEX($T$20:$T$91,$FJ89-HQ$19)^2/INDEX($U$20:$U$91,$FJ89-HQ$19))))</f>
        <v>0.00278038312979954</v>
      </c>
      <c r="HR89" s="150" t="n">
        <f aca="false">IF(HR$19&gt;$FJ89,"",MAX(0,IF(HR$19=$FJ89,$S89^2*HR$15,HR88*INDEX($T$20:$T$91,$FJ89-HR$19)^2/INDEX($U$20:$U$91,$FJ89-HR$19))))</f>
        <v>0.0028230983531454</v>
      </c>
      <c r="HS89" s="150" t="n">
        <f aca="false">IF(HS$19&gt;$FJ89,"",MAX(0,IF(HS$19=$FJ89,$S89^2*HS$15,HS88*INDEX($T$20:$T$91,$FJ89-HS$19)^2/INDEX($U$20:$U$91,$FJ89-HS$19))))</f>
        <v>0.00308651063736765</v>
      </c>
      <c r="HT89" s="150" t="n">
        <f aca="false">IF(HT$19&gt;$FJ89,"",MAX(0,IF(HT$19=$FJ89,$S89^2*HT$15,HT88*INDEX($T$20:$T$91,$FJ89-HT$19)^2/INDEX($U$20:$U$91,$FJ89-HT$19))))</f>
        <v>0.00329810841542017</v>
      </c>
      <c r="HU89" s="150" t="n">
        <f aca="false">IF(HU$19&gt;$FJ89,"",MAX(0,IF(HU$19=$FJ89,$S89^2*HU$15,HU88*INDEX($T$20:$T$91,$FJ89-HU$19)^2/INDEX($U$20:$U$91,$FJ89-HU$19))))</f>
        <v>0.00345064674587604</v>
      </c>
      <c r="HV89" s="150" t="n">
        <f aca="false">IF(HV$19&gt;$FJ89,"",MAX(0,IF(HV$19=$FJ89,$S89^2*HV$15,HV88*INDEX($T$20:$T$91,$FJ89-HV$19)^2/INDEX($U$20:$U$91,$FJ89-HV$19))))</f>
        <v>0.0039087104276866</v>
      </c>
      <c r="HW89" s="150" t="n">
        <f aca="false">IF(HW$19&gt;$FJ89,"",MAX(0,IF(HW$19=$FJ89,$S89^2*HW$15,HW88*INDEX($T$20:$T$91,$FJ89-HW$19)^2/INDEX($U$20:$U$91,$FJ89-HW$19))))</f>
        <v>0.0042153138953417</v>
      </c>
      <c r="HX89" s="150" t="n">
        <f aca="false">IF(HX$19&gt;$FJ89,"",MAX(0,IF(HX$19=$FJ89,$S89^2*HX$15,HX88*INDEX($T$20:$T$91,$FJ89-HX$19)^2/INDEX($U$20:$U$91,$FJ89-HX$19))))</f>
        <v>0.00495011208592926</v>
      </c>
      <c r="HY89" s="150" t="n">
        <f aca="false">IF(HY$19&gt;$FJ89,"",MAX(0,IF(HY$19=$FJ89,$S89^2*HY$15,HY88*INDEX($T$20:$T$91,$FJ89-HY$19)^2/INDEX($U$20:$U$91,$FJ89-HY$19))))</f>
        <v>0.00575872777683143</v>
      </c>
      <c r="HZ89" s="150" t="n">
        <f aca="false">IF(HZ$19&gt;$FJ89,"",MAX(0,IF(HZ$19=$FJ89,$S89^2*HZ$15,HZ88*INDEX($T$20:$T$91,$FJ89-HZ$19)^2/INDEX($U$20:$U$91,$FJ89-HZ$19))))</f>
        <v>0.00622351185017419</v>
      </c>
      <c r="IA89" s="150" t="n">
        <f aca="false">IF(IA$19&gt;$FJ89,"",MAX(0,IF(IA$19=$FJ89,$S89^2*IA$15,IA88*INDEX($T$20:$T$91,$FJ89-IA$19)^2/INDEX($U$20:$U$91,$FJ89-IA$19))))</f>
        <v>0.00852846985678771</v>
      </c>
      <c r="IB89" s="150" t="n">
        <f aca="false">IF(IB$19&gt;$FJ89,"",MAX(0,IF(IB$19=$FJ89,$S89^2*IB$15,IB88*INDEX($T$20:$T$91,$FJ89-IB$19)^2/INDEX($U$20:$U$91,$FJ89-IB$19))))</f>
        <v>0.0106447638679217</v>
      </c>
      <c r="IC89" s="150" t="str">
        <f aca="false">IF(IC$19&gt;$FJ89,"",MAX(0,IF(IC$19=$FJ89,$S89^2*IC$15,IC88*INDEX($T$20:$T$91,$FJ89-IC$19)^2/INDEX($U$20:$U$91,$FJ89-IC$19))))</f>
        <v/>
      </c>
      <c r="ID89" s="572" t="str">
        <f aca="false">IF(ID$19&gt;$FJ89,"",MAX(0,IF(ID$19=$FJ89,$S89^2*ID$15,ID88*INDEX($T$20:$T$91,$FJ89-ID$19)^2/INDEX($U$20:$U$91,$FJ89-ID$19))))</f>
        <v/>
      </c>
      <c r="IE89" s="129"/>
    </row>
    <row r="90" customFormat="false" ht="12.75" hidden="false" customHeight="false" outlineLevel="0" collapsed="false">
      <c r="H90" s="219" t="n">
        <f aca="false">VLOOKUP(I90,$EJ$20:$EL$54,3)</f>
        <v>0</v>
      </c>
      <c r="I90" s="511" t="n">
        <f aca="false">EOMONTH(I89,0)+1</f>
        <v>38899</v>
      </c>
      <c r="J90" s="512"/>
      <c r="K90" s="513" t="s">
        <v>250</v>
      </c>
      <c r="L90" s="514" t="e">
        <f aca="false">IF(ISNUMBER(K90),J90+K90/100,IF(K90="extra",L89+VLOOKUP(BF90,PriceSpreadTable,2)/12,IF(K90="inter",interpolateprices($K$19:$L$200,ROW(K90)-ROW(FirstPricingMonth)+1),interpolatechanges($J$19:$K$200,ROW(K90)-ROW(FirstPricingMonth)+1))))</f>
        <v>#VALUE!</v>
      </c>
      <c r="M90" s="515"/>
      <c r="N90" s="516" t="n">
        <v>0</v>
      </c>
      <c r="O90" s="515" t="n">
        <f aca="false">M90+N90</f>
        <v>0</v>
      </c>
      <c r="P90" s="512"/>
      <c r="Q90" s="513" t="s">
        <v>280</v>
      </c>
      <c r="R90" s="512" t="e">
        <f aca="false">IF(ISNUMBER(Q90),P90+Q90/100,IF(Q90="extra",(Z88*AL88-R89*AM88)/AN88,IF(Q90="inter",interpolateprices($Q$19:$R$260,ROW(Q90)-ROW(FirstPricingMonth)+1),interpolatechanges($P$19:$Q$260,ROW(Q90)-ROW(FirstPricingMonth)+1))))</f>
        <v>#VALUE!</v>
      </c>
      <c r="S90" s="597" t="n">
        <f aca="false">S$19+(S89-S$19)*S$18</f>
        <v>0.360000000095783</v>
      </c>
      <c r="T90" s="575" t="n">
        <f aca="false">SQRT((1-(1-T89^2/U89)*T$18)*U90)</f>
        <v>0.999998058583383</v>
      </c>
      <c r="U90" s="576" t="n">
        <f aca="false">1-(1-U89)*U$18</f>
        <v>0.999999999973061</v>
      </c>
      <c r="V90" s="521" t="n">
        <v>0</v>
      </c>
      <c r="W90" s="577" t="n">
        <f aca="false">(J91*AJ90+J92*AK90)/AI90</f>
        <v>0</v>
      </c>
      <c r="X90" s="578" t="e">
        <f aca="false">(L91*AJ90+L92*AK90)/AI90</f>
        <v>#VALUE!</v>
      </c>
      <c r="Y90" s="579" t="n">
        <f aca="false">IF(Q92="extra",W90-AA90,(P91*AM90+P92*AN90)/AL90)</f>
        <v>-1.2154</v>
      </c>
      <c r="Z90" s="579" t="e">
        <f aca="false">IF(Q92="extra",X90-AB90,(R91*AM90+R92*AN90)/AL90)</f>
        <v>#VALUE!</v>
      </c>
      <c r="AA90" s="523" t="n">
        <f aca="false">IF(Q92="extra",INDEX(BrentSeasonalityTable,INT((BG90-1)/3)+1)*VLOOKUP(MAX(BF90,$AB$4),PriceSpreadTable,3),W90-Y90)</f>
        <v>1.2154</v>
      </c>
      <c r="AB90" s="524" t="n">
        <f aca="false">IF(Q92="extra",INDEX(BrentSeasonalityTable,INT((BG90-1)/3)+1)*VLOOKUP(MAX(BF90,$AB$4),PriceSpreadTable,3),X90-Z90)</f>
        <v>1.2154</v>
      </c>
      <c r="AC90" s="646" t="n">
        <v>38888</v>
      </c>
      <c r="AD90" s="646" t="n">
        <v>38884</v>
      </c>
      <c r="AE90" s="646" t="n">
        <v>38883</v>
      </c>
      <c r="AF90" s="646" t="n">
        <v>38879</v>
      </c>
      <c r="AG90" s="438" t="s">
        <v>247</v>
      </c>
      <c r="AH90" s="439" t="s">
        <v>278</v>
      </c>
      <c r="AI90" s="528" t="n">
        <v>20</v>
      </c>
      <c r="AJ90" s="529" t="n">
        <v>13</v>
      </c>
      <c r="AK90" s="529" t="n">
        <v>7</v>
      </c>
      <c r="AL90" s="530" t="n">
        <v>21</v>
      </c>
      <c r="AM90" s="529" t="n">
        <v>10</v>
      </c>
      <c r="AN90" s="531" t="n">
        <v>11</v>
      </c>
      <c r="AO90" s="532"/>
      <c r="AP90" s="465" t="n">
        <f aca="false">(1+AO90/2)^(-2*BL90)</f>
        <v>1</v>
      </c>
      <c r="AQ90" s="532"/>
      <c r="AR90" s="465" t="n">
        <f aca="false">(1+AQ90/2)^(-2*BH90/365.25)</f>
        <v>1</v>
      </c>
      <c r="AS90" s="580" t="n">
        <f aca="false">(O91*AJ90+O92*AK90)/AI90</f>
        <v>0</v>
      </c>
      <c r="AT90" s="468" t="n">
        <f aca="false">O90*VLOOKUP(BF90,BrentVolTable,2)+VLOOKUP(BF90,BrentVolTable,3)</f>
        <v>0</v>
      </c>
      <c r="AU90" s="468" t="n">
        <f aca="false">(AT91*AM90+AT92*AN90)/AL90</f>
        <v>0</v>
      </c>
      <c r="AV90" s="595" t="n">
        <f aca="false">SQRT(MAX(0.000000000001,(O90^2*BH90-S90^2*(BH90-BH89))/BH89))</f>
        <v>0.0238348389508638</v>
      </c>
      <c r="AW90" s="451" t="n">
        <f aca="false">IF($I90-DateToday+15&gt;=$T$8,"",IF($I90-DateToday+15&lt;$T$5,1,MATCH($I90-DateToday+15,$T$5:$T$8)))</f>
        <v>1</v>
      </c>
      <c r="AX90" s="468" t="n">
        <f aca="false">IF($AW90="",AX89^2/AX88,INDEX(U$5:U$8,$AW90)^((INDEX($T$5:$T$8,$AW90+1)-($I90-DateToday+15))/(INDEX($T$5:$T$8,$AW90+1)-INDEX($T$5:$T$8,$AW90)))/INDEX(U$5:U$8,$AW90+1)^((INDEX($T$5:$T$8,$AW90)-($I90-DateToday+15))/(INDEX($T$5:$T$8,$AW90+1)-INDEX($T$5:$T$8,$AW90))))</f>
        <v>2.81314198548309</v>
      </c>
      <c r="AY90" s="468" t="n">
        <f aca="false">IF($AW90="",AY89^2/AY88,INDEX(V$5:V$8,$AW90)^((INDEX($T$5:$T$8,$AW90+1)-($I90-DateToday+15))/(INDEX($T$5:$T$8,$AW90+1)-INDEX($T$5:$T$8,$AW90)))/INDEX(V$5:V$8,$AW90+1)^((INDEX($T$5:$T$8,$AW90)-($I90-DateToday+15))/(INDEX($T$5:$T$8,$AW90+1)-INDEX($T$5:$T$8,$AW90))))</f>
        <v>273.912712572282</v>
      </c>
      <c r="AZ90" s="468" t="n">
        <f aca="false">IF($AW90="",AZ89^2/AZ88,INDEX(W$5:W$8,$AW90)^((INDEX($T$5:$T$8,$AW90+1)-($I90-DateToday+15))/(INDEX($T$5:$T$8,$AW90+1)-INDEX($T$5:$T$8,$AW90)))/INDEX(W$5:W$8,$AW90+1)^((INDEX($T$5:$T$8,$AW90)-($I90-DateToday+15))/(INDEX($T$5:$T$8,$AW90+1)-INDEX($T$5:$T$8,$AW90))))</f>
        <v>2218599.38286793</v>
      </c>
      <c r="BA90" s="468" t="n">
        <f aca="false">IF($AW90="",BA89^2/BA88,INDEX(X$5:X$8,$AW90)^((INDEX($T$5:$T$8,$AW90+1)-($I90-DateToday+15))/(INDEX($T$5:$T$8,$AW90+1)-INDEX($T$5:$T$8,$AW90)))/INDEX(X$5:X$8,$AW90+1)^((INDEX($T$5:$T$8,$AW90)-($I90-DateToday+15))/(INDEX($T$5:$T$8,$AW90+1)-INDEX($T$5:$T$8,$AW90))))</f>
        <v>65012865.3428397</v>
      </c>
      <c r="BB90" s="468" t="n">
        <f aca="false">IF($AW90="",BB89^2/BB88,INDEX(Y$5:Y$8,$AW90)^((INDEX($T$5:$T$8,$AW90+1)-($I90-DateToday+15))/(INDEX($T$5:$T$8,$AW90+1)-INDEX($T$5:$T$8,$AW90)))/INDEX(Y$5:Y$8,$AW90+1)^((INDEX($T$5:$T$8,$AW90)-($I90-DateToday+15))/(INDEX($T$5:$T$8,$AW90+1)-INDEX($T$5:$T$8,$AW90))))</f>
        <v>899278692.45118</v>
      </c>
      <c r="BC90" s="468" t="n">
        <f aca="false">IF($AW90="",BC89^2/BC88,INDEX(Z$5:Z$8,$AW90)^((INDEX($T$5:$T$8,$AW90+1)-($I90-DateToday+15))/(INDEX($T$5:$T$8,$AW90+1)-INDEX($T$5:$T$8,$AW90)))/INDEX(Z$5:Z$8,$AW90+1)^((INDEX($T$5:$T$8,$AW90)-($I90-DateToday+15))/(INDEX($T$5:$T$8,$AW90+1)-INDEX($T$5:$T$8,$AW90))))</f>
        <v>4339160555.96312</v>
      </c>
      <c r="BD90" s="535" t="n">
        <f aca="false">IF(OR(DateStart&gt;=I91,DateEnd&lt;I90),0,IF(VolumeOverrideFlag,V90,Volume))</f>
        <v>0</v>
      </c>
      <c r="BE90" s="536" t="n">
        <f aca="false">IF(OR(DateStart2&gt;=I91,DateEnd2&lt;I90),0,IF(VolumeOverrideFlag,V90,VolumeSwaption))</f>
        <v>0</v>
      </c>
      <c r="BF90" s="537" t="n">
        <f aca="false">YEAR(I90)</f>
        <v>2006</v>
      </c>
      <c r="BG90" s="538" t="n">
        <f aca="false">MONTH(I90)</f>
        <v>7</v>
      </c>
      <c r="BH90" s="539" t="n">
        <f aca="false">AD90-DateToday+1</f>
        <v>-7041</v>
      </c>
      <c r="BI90" s="540" t="n">
        <f aca="false">(I90-DateToday+1)/365.25</f>
        <v>-19.2361396303901</v>
      </c>
      <c r="BJ90" s="541" t="n">
        <f aca="false">BI90+(BL90-BI90)*CHOOSE(Underlying,AJ90/AI90,AM90/AL90)</f>
        <v>-19.1827515400411</v>
      </c>
      <c r="BK90" s="541" t="n">
        <f aca="false">BJ90+1/365.25</f>
        <v>-19.1800136892539</v>
      </c>
      <c r="BL90" s="541" t="n">
        <f aca="false">(I91-DateToday)/365.25</f>
        <v>-19.1540041067762</v>
      </c>
      <c r="BM90" s="542" t="e">
        <f aca="false">MAX(BI90-(BJ90-BI90)*(S91^2/O91^2-1),0)</f>
        <v>#DIV/0!</v>
      </c>
      <c r="BN90" s="541" t="e">
        <f aca="false">MAX(BL90+(BL90-BK90)*(S92^2/O92^2-1),0)</f>
        <v>#DIV/0!</v>
      </c>
      <c r="BO90" s="530" t="n">
        <f aca="false">CHOOSE(Underlying,AI90,AL90)</f>
        <v>20</v>
      </c>
      <c r="BP90" s="529" t="n">
        <f aca="false">CHOOSE(Underlying,AJ90,AM90)</f>
        <v>13</v>
      </c>
      <c r="BQ90" s="529" t="n">
        <f aca="false">CHOOSE(Underlying,AK90,AN90)</f>
        <v>7</v>
      </c>
      <c r="BR90" s="463" t="str">
        <f aca="false">IF(BD90,IF(Underlying=1,X90,Z90)+UnderlyingPriceAsian-SwapPriceCurve,"")</f>
        <v/>
      </c>
      <c r="BS90" s="463" t="str">
        <f aca="false">IF(BD90,Strike1/BR90-1,"")</f>
        <v/>
      </c>
      <c r="BT90" s="464" t="str">
        <f aca="false">IF(BD90,Strike2/BR90-1,"")</f>
        <v/>
      </c>
      <c r="BU90" s="465" t="str">
        <f aca="false">IF(BD90,IF(Underlying=1,L91,R91)+UnderlyingPriceAsian-SwapPriceCurve,"")</f>
        <v/>
      </c>
      <c r="BV90" s="465" t="str">
        <f aca="false">IF(BD90,IF(Underlying=1,L92,R92)+UnderlyingPriceAsian-SwapPriceCurve,"")</f>
        <v/>
      </c>
      <c r="BW90" s="466" t="str">
        <f aca="false">IF(BD90,IF(Underlying=1,O91,AT91),"")</f>
        <v/>
      </c>
      <c r="BX90" s="467" t="str">
        <f aca="false">IF(BD90,IF(Underlying=1,O92,AT92),"")</f>
        <v/>
      </c>
      <c r="BY90" s="466" t="str">
        <f aca="false">IF(BD90,IF(BS90&gt;0,IF(BS90&gt;0.2,BC90-BB90,IF(BS90&gt;0.1,BB90-BA90,BA90)),IF(BS90&lt;-0.2,AX90-AY90,IF(BS90&lt;-0.1,AY90-AZ90,AZ90))),"")</f>
        <v/>
      </c>
      <c r="BZ90" s="467" t="str">
        <f aca="false">IF(BD90,IF(BT90&gt;0,IF(BT90&gt;0.2,BC90-BB90,IF(BT90&gt;0.1,BB90-BA90,BA90)),IF(BT90&lt;-0.2,AX90-AY90,IF(BT90&lt;-0.1,AY90-AZ90,AZ90))),"")</f>
        <v/>
      </c>
      <c r="CA90" s="468" t="str">
        <f aca="false">IF($BD90,$BW90+IF(VolSkewFlag=1,IF(BS90&gt;0,$BA90*MIN(BS90/10%,1)+($BB90-$BA90)*MAX(0,MIN(BS90/10%-1,1))+($BC90-$BB90)*MAX(0,BS90/10%-2),$AZ90*MIN(-BS90/10%,1)+($AY90-$AZ90)*MAX(0,MIN(-BS90/10%-1,1))+($AX90-$AY90)*MAX(0,-BS90/10%-2)),0),"")</f>
        <v/>
      </c>
      <c r="CB90" s="468" t="str">
        <f aca="false">IF($BD90,$BX90+IF(VolSkewFlag=1,IF(BS90&gt;0,$BA90*MIN(BS90/10%,1)+($BB90-$BA90)*MAX(0,MIN(BS90/10%-1,1))+($BC90-$BB90)*MAX(0,BS90/10%-2),$AZ90*MIN(-BS90/10%,1)+($AY90-$AZ90)*MAX(0,MIN(-BS90/10%-1,1))+($AX90-$AY90)*MAX(0,-BS90/10%-2)),0),"")</f>
        <v/>
      </c>
      <c r="CC90" s="468" t="str">
        <f aca="false">IF($BD90,$BW90+IF(VolSkewFlag=1,IF(BT90&gt;0,$BA90*MIN(BT90/10%,1)+($BB90-$BA90)*MAX(0,MIN(BT90/10%-1,1))+($BC90-$BB90)*MAX(0,BT90/10%-2),$AZ90*MIN(-BT90/10%,1)+($AY90-$AZ90)*MAX(0,MIN(-BT90/10%-1,1))+($AX90-$AY90)*MAX(0,-BT90/10%-2)),0),"")</f>
        <v/>
      </c>
      <c r="CD90" s="468" t="str">
        <f aca="false">IF($BD90,$BX90+IF(VolSkewFlag=1,IF(BT90&gt;0,$BA90*MIN(BT90/10%,1)+($BB90-$BA90)*MAX(0,MIN(BT90/10%-1,1))+($BC90-$BB90)*MAX(0,BT90/10%-2),$AZ90*MIN(-BT90/10%,1)+($AY90-$AZ90)*MAX(0,MIN(-BT90/10%-1,1))+($AX90-$AY90)*MAX(0,-BT90/10%-2)),0),"")</f>
        <v/>
      </c>
      <c r="CE90" s="469" t="n">
        <v>1</v>
      </c>
      <c r="CF90" s="470" t="n">
        <f aca="false">IF(BD90,xCrudeAPO(BU90,BV90,CA90,CB90,S91,S92,BI90,BL90,BP90,BQ90,0,Strike1,AO90,CE90,0,BL90,IF(OptControl=4,0,1),0,1),0)</f>
        <v>0</v>
      </c>
      <c r="CG90" s="470" t="n">
        <f aca="false">IF(BD90,xCrudeAPO(BU90,BV90,CA90,CB90,S91,S92,BI90,BL90,BP90,BQ90,0,Strike1,AO90,CE90,0,BL90,IF(OptControl=4,0,1),1,1)+xCrudeAPO(BU90,BV90,CA90,CB90,S91,S92,BI90,BL90,BP90,BQ90,0,Strike1,AO90,CE90,0,BL90,IF(OptControl=4,0,1),1,2)+IF(OR(VolSkewFlag=2,ABS(BS90)&lt;0.0001),0,IF(BS90&gt;0,-1,1)*CH90*Strike1/BR90^2*BY90/10%),0)</f>
        <v>0</v>
      </c>
      <c r="CH90" s="470" t="n">
        <f aca="false">IF(BD90,(xCrudeAPO(BU90,BV90,CA90,CB90,S91,S92,BI90,BL90,BP90,BQ90,0,Strike1,AO90,CE90,0,BL90,IF(OptControl=4,0,1),3,1)+xCrudeAPO(BU90,BV90,CA90,CB90,S91,S92,BI90,BL90,BP90,BQ90,0,Strike1,AO90,CE90,0,BL90,IF(OptControl=4,0,1),3,2))/100,0)</f>
        <v>0</v>
      </c>
      <c r="CI90" s="470" t="n">
        <f aca="false">IF(BD90,xCrudeAPO(BU90,BV90,CA90,CB90,S91,S92,BI90-DaysForThetaCalculation/365.25,BL90-DaysForThetaCalculation/365.25,BP90,BQ90,0,Strike1,AO90,CE90,0,BL90,IF(OptControl=4,0,1),0,1)-xCrudeAPO(BU90,BV90,CA90,CB90,S91,S92,BI90,BL90,BP90,BQ90,0,Strike1,AO90,CE90,0,BL90,IF(OptControl=4,0,1),0,1),0)</f>
        <v>0</v>
      </c>
      <c r="CJ90" s="471" t="n">
        <f aca="false">IF(BD90,xCrudeAPO(BU90,BV90,CC90,CD90,S91,S92,BI90,BL90,BP90,BQ90,0,Strike2,AO90,CE90,0,BL90,IF(OptControl=3,1,0),0,1),0)</f>
        <v>0</v>
      </c>
      <c r="CK90" s="470" t="n">
        <f aca="false">IF(BD90,xCrudeAPO(BU90,BV90,CC90,CD90,S91,S92,BI90,BL90,BP90,BQ90,0,Strike2,AO90,CE90,0,BL90,IF(OptControl=3,1,0),1,1)+xCrudeAPO(BU90,BV90,CC90,CD90,S91,S92,BI90,BL90,BP90,BQ90,0,Strike2,AO90,CE90,0,BL90,IF(OptControl=3,1,0),1,2)+IF(OR(VolSkewFlag=2,ABS(BT90)&lt;0.0001),0,IF(BT90&gt;0,-1,1)*CL90*Strike2/BR90^2*BZ90/10%),0)</f>
        <v>0</v>
      </c>
      <c r="CL90" s="470" t="n">
        <f aca="false">IF(BD90,(xCrudeAPO(BU90,BV90,CC90,CD90,S91,S92,BI90,BL90,BP90,BQ90,0,Strike2,AO90,CE90,0,BL90,IF(OptControl=3,1,0),3,1)+xCrudeAPO(BU90,BV90,CC90,CD90,S91,S92,BI90,BL90,BP90,BQ90,0,Strike2,AO90,CE90,0,BL90,IF(OptControl=3,1,0),3,2))/100,0)</f>
        <v>0</v>
      </c>
      <c r="CM90" s="472" t="n">
        <f aca="false">IF(BD90,xCrudeAPO(BU90,BV90,CC90,CD90,S91,S92,BI90-DaysForThetaCalculation/365.25,BL90-DaysForThetaCalculation/365.25,BP90,BQ90,0,Strike2,AO90,CE90,0,BL90,IF(OptControl=3,1,0),0,1)-xCrudeAPO(BU90,BV90,CC90,CD90,S91,S92,BI90,BL90,BP90,BQ90,0,Strike2,AO90,CE90,0,BL90,IF(OptControl=3,1,0),0,1),0)</f>
        <v>0</v>
      </c>
      <c r="CN90" s="3"/>
      <c r="CO90" s="543" t="str">
        <f aca="false">IF(BD90,CHOOSE(Underlying,AD90,AF90)-DateToday+1,"")</f>
        <v/>
      </c>
      <c r="CP90" s="582" t="str">
        <f aca="false">IF(BD90,CHOOSE(Underlying,L90,R90),"")</f>
        <v/>
      </c>
      <c r="CQ90" s="544" t="str">
        <f aca="false">IF(BD90,Strike1/CP90-1,"")</f>
        <v/>
      </c>
      <c r="CR90" s="544" t="str">
        <f aca="false">IF(BD90,Strike2/CP90-1,"")</f>
        <v/>
      </c>
      <c r="CS90" s="544" t="str">
        <f aca="false">IF(BD90,IF(CQ90&gt;0,IF(CQ90&gt;0.2,BC89-BB89,IF(CQ90&gt;0.1,BB89-BA89,BA89)),IF(CQ90&lt;-0.2,AX89-AY89,IF(CQ90&lt;-0.1,AY89-AZ89,AZ89))),"")</f>
        <v/>
      </c>
      <c r="CT90" s="544" t="str">
        <f aca="false">IF(BD90,IF(CR90&gt;0,IF(CR90&gt;0.2,BC89-BB89,IF(CR90&gt;0.1,BB89-BA89,BA89)),IF(CR90&lt;-0.2,AX89-AY89,IF(CR90&lt;-0.1,AY89-AZ89,AZ89))),"")</f>
        <v/>
      </c>
      <c r="CU90" s="545" t="str">
        <f aca="false">IF(BD90,CHOOSE(Underlying,O90,AT90),"")</f>
        <v/>
      </c>
      <c r="CV90" s="545" t="str">
        <f aca="false">IF(BD90,CU90+IF(VolSkewFlag=1,IF(CQ90&gt;0,BA89*MIN(CQ90/10%,1)+(BB89-BA89)*MAX(0,MIN(CQ90/10%-1,1))+(BC89-BB89)*MAX(0,CQ90/10%-2),AZ89*MIN(-CQ90/10%,1)+(AY89-AZ89)*MAX(0,MIN(-CQ90/10%-1,1))+(AX89-AY89)*MAX(0,-CQ90/10%-2)),0),"")</f>
        <v/>
      </c>
      <c r="CW90" s="545" t="str">
        <f aca="false">IF(BD90,CU90+IF(VolSkewFlag=1,IF(CR90&gt;0,BA89*MIN(CR90/10%,1)+(BB89-BA89)*MAX(0,MIN(CR90/10%-1,1))+(BC89-BB89)*MAX(0,CR90/10%-2),AZ89*MIN(-CR90/10%,1)+(AY89-AZ89)*MAX(0,MIN(-CR90/10%-1,1))+(AX89-AY89)*MAX(0,-CR90/10%-2)),0),"")</f>
        <v/>
      </c>
      <c r="CX90" s="470" t="n">
        <f aca="false">IF(BD90,EURO(CP90,Strike1,AO90,AO90,CV90,CO90,IF(OptControl=4,0,1),0),0)</f>
        <v>0</v>
      </c>
      <c r="CY90" s="470" t="n">
        <f aca="false">IF(BD90,EURO(CP90,Strike1,AO90,AO90,CV90,CO90,IF(OptControl=4,0,1),1)+IF(OR(VolSkewFlag=2,ABS(CQ90)&lt;0.0001),0,IF(CQ90&gt;0,-1,1)*CZ90*100*Strike1/CP90^2*CS90/10%),0)</f>
        <v>0</v>
      </c>
      <c r="CZ90" s="470" t="n">
        <f aca="false">IF(BD90,EURO(CP90,Strike1,AO90,AO90,CV90,CO90,IF(OptControl=4,0,1),3)/100,0)</f>
        <v>0</v>
      </c>
      <c r="DA90" s="470" t="n">
        <f aca="false">IF(BD90,EURO(CP90,Strike1,AO90,AO90,CV90,CO90,IF(OptControl=4,0,1),0)-EURO(CP90,Strike1,AO90,AO90,CV90,CO90-1,IF(OptControl=4,0,1),0),0)</f>
        <v>0</v>
      </c>
      <c r="DB90" s="470" t="n">
        <f aca="false">IF(BD90,EURO(CP90,Strike2,AO90,AO90,CW90,CO90,IF(OptControl=3,1,0),0),0)</f>
        <v>0</v>
      </c>
      <c r="DC90" s="470" t="n">
        <f aca="false">IF(BD90,EURO(CP90,Strike2,AO90,AO90,CW90,CO90,IF(OptControl=3,1,0),1)+IF(OR(VolSkewFlag=2,ABS(CR90)&lt;0.0001),0,IF(CR90&gt;0,-1,1)*DD90*100*Strike2/CP90^2*CT90/10%),0)</f>
        <v>0</v>
      </c>
      <c r="DD90" s="470" t="n">
        <f aca="false">IF(BD90,EURO(CP90,Strike2,AO90,AO90,CW90,CO90,IF(OptControl=3,1,0),3)/100,0)</f>
        <v>0</v>
      </c>
      <c r="DE90" s="472" t="n">
        <f aca="false">IF(BD90,EURO(CP90,Strike2,AO90,AO90,CW90,CO90,IF(OptControl=3,1,0),0)-EURO(CP90,Strike2,AO90,AO90,CW90,CO90-1,IF(OptControl=3,1,0),0),0)</f>
        <v>0</v>
      </c>
      <c r="DG90" s="481" t="n">
        <f aca="false">EOMONTH(DG89,0)+1</f>
        <v>47818</v>
      </c>
      <c r="DH90" s="478" t="n">
        <v>18.32</v>
      </c>
      <c r="DI90" s="479" t="n">
        <v>18.3188636363636</v>
      </c>
      <c r="DJ90" s="480" t="n">
        <f aca="false">DG90</f>
        <v>47818</v>
      </c>
      <c r="DK90" s="478" t="n">
        <v>17.1716919913076</v>
      </c>
      <c r="DL90" s="479" t="n">
        <v>17.1548636363636</v>
      </c>
      <c r="DM90" s="481" t="n">
        <f aca="false">DG90</f>
        <v>47818</v>
      </c>
      <c r="DN90" s="482" t="n">
        <f aca="false">DK90+BrentPhyBrentSpread</f>
        <v>17.2216919913076</v>
      </c>
      <c r="DO90" s="481" t="n">
        <f aca="false">DG90</f>
        <v>47818</v>
      </c>
      <c r="DP90" s="483" t="n">
        <f aca="false">DL90+DQ90</f>
        <v>17.1548636363636</v>
      </c>
      <c r="DQ90" s="546" t="n">
        <v>0</v>
      </c>
      <c r="DR90" s="480" t="n">
        <f aca="false">DG90</f>
        <v>47818</v>
      </c>
      <c r="DS90" s="485" t="n">
        <v>0.1901</v>
      </c>
      <c r="DT90" s="486" t="n">
        <v>0.184963636363636</v>
      </c>
      <c r="DU90" s="480" t="n">
        <f aca="false">DG90</f>
        <v>47818</v>
      </c>
      <c r="DV90" s="485" t="n">
        <v>0.1901</v>
      </c>
      <c r="DW90" s="486" t="n">
        <v>0.184963636363636</v>
      </c>
      <c r="DX90" s="481" t="n">
        <f aca="false">DG90</f>
        <v>47818</v>
      </c>
      <c r="DY90" s="486" t="n">
        <v>0.35</v>
      </c>
      <c r="DZ90" s="481" t="n">
        <f aca="false">DR90</f>
        <v>47818</v>
      </c>
      <c r="EA90" s="486" t="n">
        <f aca="false">DT90</f>
        <v>0.184963636363636</v>
      </c>
      <c r="EB90" s="195"/>
      <c r="EC90" s="547" t="str">
        <f aca="false">IF(BD90,IF(Underlying=1,AS90,AU90),"")</f>
        <v/>
      </c>
      <c r="ED90" s="548" t="str">
        <f aca="false">IF($BD90,$EC90+IF(VolSkewFlag=1,IF(BS90&gt;0,$BA90*MIN(BS90/10%,1)+($BB90-$BA90)*MAX(0,MIN(BS90/10%-1,1))+($BC90-$BB90)*MAX(0,BS90/10%-2),$AZ90*MIN(-BS90/10%,1)+($AY90-$AZ90)*MAX(0,MIN(-BS90/10%-1,1))+($AX90-$AY90)*MAX(0,-BS90/10%-2)),0),"")</f>
        <v/>
      </c>
      <c r="EE90" s="549" t="str">
        <f aca="false">IF($BD90,$EC90+IF(VolSkewFlag=1,IF(BT90&gt;0,$BA90*MIN(BT90/10%,1)+($BB90-$BA90)*MAX(0,MIN(BT90/10%-1,1))+($BC90-$BB90)*MAX(0,BT90/10%-2),$AZ90*MIN(-BT90/10%,1)+($AY90-$AZ90)*MAX(0,MIN(-BT90/10%-1,1))+($AX90-$AY90)*MAX(0,-BT90/10%-2)),0),"")</f>
        <v/>
      </c>
      <c r="EF90" s="550" t="n">
        <f aca="false">IF(BD90,xASN(BR90,Strike1,AO90,ED90,0,BO90,0,BI90,BL90,IF(OptControl=4,0,1),0),0)</f>
        <v>0</v>
      </c>
      <c r="EG90" s="551" t="n">
        <f aca="false">IF(BD90,xASN(BR90,Strike2,AO90,EE90,0,BO90,0,BI90,BL90,IF(OptControl=3,1,0),0),0)</f>
        <v>0</v>
      </c>
      <c r="EL90" s="1"/>
      <c r="EM90" s="195"/>
      <c r="EN90" s="556" t="n">
        <v>44197</v>
      </c>
      <c r="EO90" s="557" t="n">
        <v>49310</v>
      </c>
      <c r="EP90" s="195"/>
      <c r="EQ90" s="407" t="s">
        <v>316</v>
      </c>
      <c r="ES90" s="587" t="n">
        <v>71</v>
      </c>
      <c r="ET90" s="559" t="n">
        <f aca="false">BH90/365.25</f>
        <v>-19.2772073921971</v>
      </c>
      <c r="EU90" s="560" t="n">
        <f aca="false">O90^2*ET90</f>
        <v>-0</v>
      </c>
      <c r="EV90" s="588" t="e">
        <f aca="false">SQRT(SUM(FK90:ID90)/ET90)</f>
        <v>#VALUE!</v>
      </c>
      <c r="EW90" s="589" t="str">
        <f aca="false">IF(OR(DateStart2&gt;I89,DateEnd2&lt;I88),"",IF(DateStart2&lt;I89,AK88/AI88*AP88*BE88*SwaptionNumOfMonths/$D$33,0)+IF(DateEnd2&gt;I88,AJ89/AI89*AP89*BE89*SwaptionNumOfMonths/$D$33,0))</f>
        <v/>
      </c>
      <c r="EX90" s="590" t="str">
        <f aca="false">IF(EW90="","",SQRT(SUM(FK395:ID395)/SwaptionYearsToExp))</f>
        <v/>
      </c>
      <c r="EY90" s="129" t="n">
        <v>0</v>
      </c>
      <c r="EZ90" s="591" t="str">
        <f aca="false">IF(OR(EW90="",EW91=""),"",SQRT(SUM(INDEX(FK90:ID90,SwaptionFirstMonthPosition+1):INDEX(FK90:ID90,FJ90))/SUM(INDEX($FK$15:$ID$15,SwaptionFirstMonthPosition+1):INDEX($FK$15:$ID$15,FJ90))))</f>
        <v/>
      </c>
      <c r="FA90" s="592" t="str">
        <f aca="false">IF(OR(EW90="",EW89=""),"",SQRT(SUM(INDEX(FK90:ID90,SwaptionFirstMonthPosition+1):INDEX(FK90:ID90,FJ90-1))/SUM(INDEX($FK$15:$ID$15,SwaptionFirstMonthPosition+1):INDEX($FK$15:$ID$15,FJ90-1))))</f>
        <v/>
      </c>
      <c r="FB90" s="593" t="str">
        <f aca="false">IF(BE90,2/3*EZ91+1/3*FA92,"")</f>
        <v/>
      </c>
      <c r="FC90" s="596" t="str">
        <f aca="false">IF(BE90,(I91+I90-1)/2-DateToday,"")</f>
        <v/>
      </c>
      <c r="FD90" s="483" t="str">
        <f aca="false">IF(BE90,CHOOSE(Underlying,X90,Z90)+SwaptionUnderlyingPrice-$D$26,"")</f>
        <v/>
      </c>
      <c r="FE90" s="483" t="str">
        <f aca="false">IF(BE90,CollartionFloor/FD90-1,"")</f>
        <v/>
      </c>
      <c r="FF90" s="483" t="str">
        <f aca="false">IF(BE90,CollartionCap/FD90-1,"")</f>
        <v/>
      </c>
      <c r="FG90" s="485" t="str">
        <f aca="false">IF(BE90,IF(VolSkewFlag=1,IF(FE90&gt;0,$BA90*MIN(FE90/10%,1)+($BB90-$BA90)*MAX(0,MIN(FE90/10%-1,1))+($BC90-$BB90)*MAX(0,FE90/10%-2),$AZ90*MIN(-FE90/10%,1)+($AY90-$AZ90)*MAX(0,MIN(-FE90/10%-1,1))+($AX90-$AY90)*MAX(0,-FE90/10%-2)),0),"")</f>
        <v/>
      </c>
      <c r="FH90" s="486" t="str">
        <f aca="false">IF(BE90,IF(VolSkewFlag=1,IF(FF90&gt;0,$BA90*MIN(FF90/10%,1)+($BB90-$BA90)*MAX(0,MIN(FF90/10%-1,1))+($BC90-$BB90)*MAX(0,FF90/10%-2),$AZ90*MIN(-FF90/10%,1)+($AY90-$AZ90)*MAX(0,MIN(-FF90/10%-1,1))+($AX90-$AY90)*MAX(0,-FF90/10%-2)),0),"")</f>
        <v/>
      </c>
      <c r="FI90" s="129"/>
      <c r="FJ90" s="571" t="n">
        <v>71</v>
      </c>
      <c r="FK90" s="150" t="n">
        <f aca="false">IF(FK$19&gt;$FJ90,"",MAX(0,IF(FK$19=$FJ90,$S90^2*FK$15,FK89*INDEX($T$20:$T$91,$FJ90-FK$19)^2/INDEX($U$20:$U$91,$FJ90-FK$19))))</f>
        <v>0</v>
      </c>
      <c r="FL90" s="150" t="n">
        <f aca="false">IF(FL$19&gt;$FJ90,"",MAX(0,IF(FL$19=$FJ90,$S90^2*FL$15,FL89*INDEX($T$20:$T$91,$FJ90-FL$19)^2/INDEX($U$20:$U$91,$FJ90-FL$19))))</f>
        <v>0</v>
      </c>
      <c r="FM90" s="150" t="n">
        <f aca="false">IF(FM$19&gt;$FJ90,"",MAX(0,IF(FM$19=$FJ90,$S90^2*FM$15,FM89*INDEX($T$20:$T$91,$FJ90-FM$19)^2/INDEX($U$20:$U$91,$FJ90-FM$19))))</f>
        <v>0.00254685621184049</v>
      </c>
      <c r="FN90" s="150" t="n">
        <f aca="false">IF(FN$19&gt;$FJ90,"",MAX(0,IF(FN$19=$FJ90,$S90^2*FN$15,FN89*INDEX($T$20:$T$91,$FJ90-FN$19)^2/INDEX($U$20:$U$91,$FJ90-FN$19))))</f>
        <v>0.00214362514401322</v>
      </c>
      <c r="FO90" s="150" t="n">
        <f aca="false">IF(FO$19&gt;$FJ90,"",MAX(0,IF(FO$19=$FJ90,$S90^2*FO$15,FO89*INDEX($T$20:$T$91,$FJ90-FO$19)^2/INDEX($U$20:$U$91,$FJ90-FO$19))))</f>
        <v>0.00222970291377778</v>
      </c>
      <c r="FP90" s="150" t="n">
        <f aca="false">IF(FP$19&gt;$FJ90,"",MAX(0,IF(FP$19=$FJ90,$S90^2*FP$15,FP89*INDEX($T$20:$T$91,$FJ90-FP$19)^2/INDEX($U$20:$U$91,$FJ90-FP$19))))</f>
        <v>0.00247075972910022</v>
      </c>
      <c r="FQ90" s="150" t="n">
        <f aca="false">IF(FQ$19&gt;$FJ90,"",MAX(0,IF(FQ$19=$FJ90,$S90^2*FQ$15,FQ89*INDEX($T$20:$T$91,$FJ90-FQ$19)^2/INDEX($U$20:$U$91,$FJ90-FQ$19))))</f>
        <v>0.00200035762737741</v>
      </c>
      <c r="FR90" s="150" t="n">
        <f aca="false">IF(FR$19&gt;$FJ90,"",MAX(0,IF(FR$19=$FJ90,$S90^2*FR$15,FR89*INDEX($T$20:$T$91,$FJ90-FR$19)^2/INDEX($U$20:$U$91,$FJ90-FR$19))))</f>
        <v>0.0020452961341022</v>
      </c>
      <c r="FS90" s="150" t="n">
        <f aca="false">IF(FS$19&gt;$FJ90,"",MAX(0,IF(FS$19=$FJ90,$S90^2*FS$15,FS89*INDEX($T$20:$T$91,$FJ90-FS$19)^2/INDEX($U$20:$U$91,$FJ90-FS$19))))</f>
        <v>0.0023049255635251</v>
      </c>
      <c r="FT90" s="150" t="n">
        <f aca="false">IF(FT$19&gt;$FJ90,"",MAX(0,IF(FT$19=$FJ90,$S90^2*FT$15,FT89*INDEX($T$20:$T$91,$FJ90-FT$19)^2/INDEX($U$20:$U$91,$FJ90-FT$19))))</f>
        <v>0.00208013611405708</v>
      </c>
      <c r="FU90" s="150" t="n">
        <f aca="false">IF(FU$19&gt;$FJ90,"",MAX(0,IF(FU$19=$FJ90,$S90^2*FU$15,FU89*INDEX($T$20:$T$91,$FJ90-FU$19)^2/INDEX($U$20:$U$91,$FJ90-FU$19))))</f>
        <v>0.00199978996743108</v>
      </c>
      <c r="FV90" s="150" t="n">
        <f aca="false">IF(FV$19&gt;$FJ90,"",MAX(0,IF(FV$19=$FJ90,$S90^2*FV$15,FV89*INDEX($T$20:$T$91,$FJ90-FV$19)^2/INDEX($U$20:$U$91,$FJ90-FV$19))))</f>
        <v>0.00219759337630215</v>
      </c>
      <c r="FW90" s="150" t="n">
        <f aca="false">IF(FW$19&gt;$FJ90,"",MAX(0,IF(FW$19=$FJ90,$S90^2*FW$15,FW89*INDEX($T$20:$T$91,$FJ90-FW$19)^2/INDEX($U$20:$U$91,$FJ90-FW$19))))</f>
        <v>0.00205389557200493</v>
      </c>
      <c r="FX90" s="150" t="n">
        <f aca="false">IF(FX$19&gt;$FJ90,"",MAX(0,IF(FX$19=$FJ90,$S90^2*FX$15,FX89*INDEX($T$20:$T$91,$FJ90-FX$19)^2/INDEX($U$20:$U$91,$FJ90-FX$19))))</f>
        <v>0.00218577344633833</v>
      </c>
      <c r="FY90" s="150" t="n">
        <f aca="false">IF(FY$19&gt;$FJ90,"",MAX(0,IF(FY$19=$FJ90,$S90^2*FY$15,FY89*INDEX($T$20:$T$91,$FJ90-FY$19)^2/INDEX($U$20:$U$91,$FJ90-FY$19))))</f>
        <v>0.00204564191295138</v>
      </c>
      <c r="FZ90" s="150" t="n">
        <f aca="false">IF(FZ$19&gt;$FJ90,"",MAX(0,IF(FZ$19=$FJ90,$S90^2*FZ$15,FZ89*INDEX($T$20:$T$91,$FJ90-FZ$19)^2/INDEX($U$20:$U$91,$FJ90-FZ$19))))</f>
        <v>0.00190683092486128</v>
      </c>
      <c r="GA90" s="150" t="n">
        <f aca="false">IF(GA$19&gt;$FJ90,"",MAX(0,IF(GA$19=$FJ90,$S90^2*GA$15,GA89*INDEX($T$20:$T$91,$FJ90-GA$19)^2/INDEX($U$20:$U$91,$FJ90-GA$19))))</f>
        <v>0.00204111243327086</v>
      </c>
      <c r="GB90" s="150" t="n">
        <f aca="false">IF(GB$19&gt;$FJ90,"",MAX(0,IF(GB$19=$FJ90,$S90^2*GB$15,GB89*INDEX($T$20:$T$91,$FJ90-GB$19)^2/INDEX($U$20:$U$91,$FJ90-GB$19))))</f>
        <v>0.00224368450453709</v>
      </c>
      <c r="GC90" s="150" t="n">
        <f aca="false">IF(GC$19&gt;$FJ90,"",MAX(0,IF(GC$19=$FJ90,$S90^2*GC$15,GC89*INDEX($T$20:$T$91,$FJ90-GC$19)^2/INDEX($U$20:$U$91,$FJ90-GC$19))))</f>
        <v>0.00197075459109966</v>
      </c>
      <c r="GD90" s="150" t="n">
        <f aca="false">IF(GD$19&gt;$FJ90,"",MAX(0,IF(GD$19=$FJ90,$S90^2*GD$15,GD89*INDEX($T$20:$T$91,$FJ90-GD$19)^2/INDEX($U$20:$U$91,$FJ90-GD$19))))</f>
        <v>0.00197008242346353</v>
      </c>
      <c r="GE90" s="150" t="n">
        <f aca="false">IF(GE$19&gt;$FJ90,"",MAX(0,IF(GE$19=$FJ90,$S90^2*GE$15,GE89*INDEX($T$20:$T$91,$FJ90-GE$19)^2/INDEX($U$20:$U$91,$FJ90-GE$19))))</f>
        <v>0.00224131594963199</v>
      </c>
      <c r="GF90" s="150" t="n">
        <f aca="false">IF(GF$19&gt;$FJ90,"",MAX(0,IF(GF$19=$FJ90,$S90^2*GF$15,GF89*INDEX($T$20:$T$91,$FJ90-GF$19)^2/INDEX($U$20:$U$91,$FJ90-GF$19))))</f>
        <v>0.00196938406041303</v>
      </c>
      <c r="GG90" s="150" t="n">
        <f aca="false">IF(GG$19&gt;$FJ90,"",MAX(0,IF(GG$19=$FJ90,$S90^2*GG$15,GG89*INDEX($T$20:$T$91,$FJ90-GG$19)^2/INDEX($U$20:$U$91,$FJ90-GG$19))))</f>
        <v>0.0021729955612302</v>
      </c>
      <c r="GH90" s="150" t="n">
        <f aca="false">IF(GH$19&gt;$FJ90,"",MAX(0,IF(GH$19=$FJ90,$S90^2*GH$15,GH89*INDEX($T$20:$T$91,$FJ90-GH$19)^2/INDEX($U$20:$U$91,$FJ90-GH$19))))</f>
        <v>0.00203720461288098</v>
      </c>
      <c r="GI90" s="150" t="n">
        <f aca="false">IF(GI$19&gt;$FJ90,"",MAX(0,IF(GI$19=$FJ90,$S90^2*GI$15,GI89*INDEX($T$20:$T$91,$FJ90-GI$19)^2/INDEX($U$20:$U$91,$FJ90-GI$19))))</f>
        <v>0.00196943099930868</v>
      </c>
      <c r="GJ90" s="150" t="n">
        <f aca="false">IF(GJ$19&gt;$FJ90,"",MAX(0,IF(GJ$19=$FJ90,$S90^2*GJ$15,GJ89*INDEX($T$20:$T$91,$FJ90-GJ$19)^2/INDEX($U$20:$U$91,$FJ90-GJ$19))))</f>
        <v>0.00224134713383553</v>
      </c>
      <c r="GK90" s="150" t="n">
        <f aca="false">IF(GK$19&gt;$FJ90,"",MAX(0,IF(GK$19=$FJ90,$S90^2*GK$15,GK89*INDEX($T$20:$T$91,$FJ90-GK$19)^2/INDEX($U$20:$U$91,$FJ90-GK$19))))</f>
        <v>0.00203793948256989</v>
      </c>
      <c r="GL90" s="150" t="n">
        <f aca="false">IF(GL$19&gt;$FJ90,"",MAX(0,IF(GL$19=$FJ90,$S90^2*GL$15,GL89*INDEX($T$20:$T$91,$FJ90-GL$19)^2/INDEX($U$20:$U$91,$FJ90-GL$19))))</f>
        <v>0.0019704513765751</v>
      </c>
      <c r="GM90" s="150" t="n">
        <f aca="false">IF(GM$19&gt;$FJ90,"",MAX(0,IF(GM$19=$FJ90,$S90^2*GM$15,GM89*INDEX($T$20:$T$91,$FJ90-GM$19)^2/INDEX($U$20:$U$91,$FJ90-GM$19))))</f>
        <v>0.00210693580552404</v>
      </c>
      <c r="GN90" s="150" t="n">
        <f aca="false">IF(GN$19&gt;$FJ90,"",MAX(0,IF(GN$19=$FJ90,$S90^2*GN$15,GN89*INDEX($T$20:$T$91,$FJ90-GN$19)^2/INDEX($U$20:$U$91,$FJ90-GN$19))))</f>
        <v>0.0021076552615207</v>
      </c>
      <c r="GO90" s="150" t="n">
        <f aca="false">IF(GO$19&gt;$FJ90,"",MAX(0,IF(GO$19=$FJ90,$S90^2*GO$15,GO89*INDEX($T$20:$T$91,$FJ90-GO$19)^2/INDEX($U$20:$U$91,$FJ90-GO$19))))</f>
        <v>0.00210851787455406</v>
      </c>
      <c r="GP90" s="150" t="n">
        <f aca="false">IF(GP$19&gt;$FJ90,"",MAX(0,IF(GP$19=$FJ90,$S90^2*GP$15,GP89*INDEX($T$20:$T$91,$FJ90-GP$19)^2/INDEX($U$20:$U$91,$FJ90-GP$19))))</f>
        <v>0.00190539356536885</v>
      </c>
      <c r="GQ90" s="150" t="n">
        <f aca="false">IF(GQ$19&gt;$FJ90,"",MAX(0,IF(GQ$19=$FJ90,$S90^2*GQ$15,GQ89*INDEX($T$20:$T$91,$FJ90-GQ$19)^2/INDEX($U$20:$U$91,$FJ90-GQ$19))))</f>
        <v>0.00211075410763695</v>
      </c>
      <c r="GR90" s="150" t="n">
        <f aca="false">IF(GR$19&gt;$FJ90,"",MAX(0,IF(GR$19=$FJ90,$S90^2*GR$15,GR89*INDEX($T$20:$T$91,$FJ90-GR$19)^2/INDEX($U$20:$U$91,$FJ90-GR$19))))</f>
        <v>0.00204404564437524</v>
      </c>
      <c r="GS90" s="150" t="n">
        <f aca="false">IF(GS$19&gt;$FJ90,"",MAX(0,IF(GS$19=$FJ90,$S90^2*GS$15,GS89*INDEX($T$20:$T$91,$FJ90-GS$19)^2/INDEX($U$20:$U$91,$FJ90-GS$19))))</f>
        <v>0.00211385671387715</v>
      </c>
      <c r="GT90" s="150" t="n">
        <f aca="false">IF(GT$19&gt;$FJ90,"",MAX(0,IF(GT$19=$FJ90,$S90^2*GT$15,GT89*INDEX($T$20:$T$91,$FJ90-GT$19)^2/INDEX($U$20:$U$91,$FJ90-GT$19))))</f>
        <v>0.00204757158874622</v>
      </c>
      <c r="GU90" s="150" t="n">
        <f aca="false">IF(GU$19&gt;$FJ90,"",MAX(0,IF(GU$19=$FJ90,$S90^2*GU$15,GU89*INDEX($T$20:$T$91,$FJ90-GU$19)^2/INDEX($U$20:$U$91,$FJ90-GU$19))))</f>
        <v>0.00211813109162008</v>
      </c>
      <c r="GV90" s="150" t="n">
        <f aca="false">IF(GV$19&gt;$FJ90,"",MAX(0,IF(GV$19=$FJ90,$S90^2*GV$15,GV89*INDEX($T$20:$T$91,$FJ90-GV$19)^2/INDEX($U$20:$U$91,$FJ90-GV$19))))</f>
        <v>0.0021208357104456</v>
      </c>
      <c r="GW90" s="150" t="n">
        <f aca="false">IF(GW$19&gt;$FJ90,"",MAX(0,IF(GW$19=$FJ90,$S90^2*GW$15,GW89*INDEX($T$20:$T$91,$FJ90-GW$19)^2/INDEX($U$20:$U$91,$FJ90-GW$19))))</f>
        <v>0.00205548951485101</v>
      </c>
      <c r="GX90" s="150" t="n">
        <f aca="false">IF(GX$19&gt;$FJ90,"",MAX(0,IF(GX$19=$FJ90,$S90^2*GX$15,GX89*INDEX($T$20:$T$91,$FJ90-GX$19)^2/INDEX($U$20:$U$91,$FJ90-GX$19))))</f>
        <v>0.00212772163776536</v>
      </c>
      <c r="GY90" s="150" t="n">
        <f aca="false">IF(GY$19&gt;$FJ90,"",MAX(0,IF(GY$19=$FJ90,$S90^2*GY$15,GY89*INDEX($T$20:$T$91,$FJ90-GY$19)^2/INDEX($U$20:$U$91,$FJ90-GY$19))))</f>
        <v>0.00206330099046031</v>
      </c>
      <c r="GZ90" s="150" t="n">
        <f aca="false">IF(GZ$19&gt;$FJ90,"",MAX(0,IF(GZ$19=$FJ90,$S90^2*GZ$15,GZ89*INDEX($T$20:$T$91,$FJ90-GZ$19)^2/INDEX($U$20:$U$91,$FJ90-GZ$19))))</f>
        <v>0.00213718558344393</v>
      </c>
      <c r="HA90" s="150" t="n">
        <f aca="false">IF(HA$19&gt;$FJ90,"",MAX(0,IF(HA$19=$FJ90,$S90^2*HA$15,HA89*INDEX($T$20:$T$91,$FJ90-HA$19)^2/INDEX($U$20:$U$91,$FJ90-HA$19))))</f>
        <v>0.00214317714483095</v>
      </c>
      <c r="HB90" s="150" t="n">
        <f aca="false">IF(HB$19&gt;$FJ90,"",MAX(0,IF(HB$19=$FJ90,$S90^2*HB$15,HB89*INDEX($T$20:$T$91,$FJ90-HB$19)^2/INDEX($U$20:$U$91,$FJ90-HB$19))))</f>
        <v>0.00201148519535412</v>
      </c>
      <c r="HC90" s="150" t="n">
        <f aca="false">IF(HC$19&gt;$FJ90,"",MAX(0,IF(HC$19=$FJ90,$S90^2*HC$15,HC89*INDEX($T$20:$T$91,$FJ90-HC$19)^2/INDEX($U$20:$U$91,$FJ90-HC$19))))</f>
        <v>0.00215846385232045</v>
      </c>
      <c r="HD90" s="150" t="n">
        <f aca="false">IF(HD$19&gt;$FJ90,"",MAX(0,IF(HD$19=$FJ90,$S90^2*HD$15,HD89*INDEX($T$20:$T$91,$FJ90-HD$19)^2/INDEX($U$20:$U$91,$FJ90-HD$19))))</f>
        <v>0.00209822238220698</v>
      </c>
      <c r="HE90" s="150" t="n">
        <f aca="false">IF(HE$19&gt;$FJ90,"",MAX(0,IF(HE$19=$FJ90,$S90^2*HE$15,HE89*INDEX($T$20:$T$91,$FJ90-HE$19)^2/INDEX($U$20:$U$91,$FJ90-HE$19))))</f>
        <v>0.00217956719349826</v>
      </c>
      <c r="HF90" s="150" t="n">
        <f aca="false">IF(HF$19&gt;$FJ90,"",MAX(0,IF(HF$19=$FJ90,$S90^2*HF$15,HF89*INDEX($T$20:$T$91,$FJ90-HF$19)^2/INDEX($U$20:$U$91,$FJ90-HF$19))))</f>
        <v>0.00212224603638896</v>
      </c>
      <c r="HG90" s="150" t="n">
        <f aca="false">IF(HG$19&gt;$FJ90,"",MAX(0,IF(HG$19=$FJ90,$S90^2*HG$15,HG89*INDEX($T$20:$T$91,$FJ90-HG$19)^2/INDEX($U$20:$U$91,$FJ90-HG$19))))</f>
        <v>0.00220879719886187</v>
      </c>
      <c r="HH90" s="150" t="n">
        <f aca="false">IF(HH$19&gt;$FJ90,"",MAX(0,IF(HH$19=$FJ90,$S90^2*HH$15,HH89*INDEX($T$20:$T$91,$FJ90-HH$19)^2/INDEX($U$20:$U$91,$FJ90-HH$19))))</f>
        <v>0.00222744418619377</v>
      </c>
      <c r="HI90" s="150" t="n">
        <f aca="false">IF(HI$19&gt;$FJ90,"",MAX(0,IF(HI$19=$FJ90,$S90^2*HI$15,HI89*INDEX($T$20:$T$91,$FJ90-HI$19)^2/INDEX($U$20:$U$91,$FJ90-HI$19))))</f>
        <v>0.00217690572560299</v>
      </c>
      <c r="HJ90" s="150" t="n">
        <f aca="false">IF(HJ$19&gt;$FJ90,"",MAX(0,IF(HJ$19=$FJ90,$S90^2*HJ$15,HJ89*INDEX($T$20:$T$91,$FJ90-HJ$19)^2/INDEX($U$20:$U$91,$FJ90-HJ$19))))</f>
        <v>0.00227552802916278</v>
      </c>
      <c r="HK90" s="150" t="n">
        <f aca="false">IF(HK$19&gt;$FJ90,"",MAX(0,IF(HK$19=$FJ90,$S90^2*HK$15,HK89*INDEX($T$20:$T$91,$FJ90-HK$19)^2/INDEX($U$20:$U$91,$FJ90-HK$19))))</f>
        <v>0.00223201929275631</v>
      </c>
      <c r="HL90" s="150" t="n">
        <f aca="false">IF(HL$19&gt;$FJ90,"",MAX(0,IF(HL$19=$FJ90,$S90^2*HL$15,HL89*INDEX($T$20:$T$91,$FJ90-HL$19)^2/INDEX($U$20:$U$91,$FJ90-HL$19))))</f>
        <v>0.00234312586284812</v>
      </c>
      <c r="HM90" s="150" t="n">
        <f aca="false">IF(HM$19&gt;$FJ90,"",MAX(0,IF(HM$19=$FJ90,$S90^2*HM$15,HM89*INDEX($T$20:$T$91,$FJ90-HM$19)^2/INDEX($U$20:$U$91,$FJ90-HM$19))))</f>
        <v>0.00238685805922107</v>
      </c>
      <c r="HN90" s="150" t="n">
        <f aca="false">IF(HN$19&gt;$FJ90,"",MAX(0,IF(HN$19=$FJ90,$S90^2*HN$15,HN89*INDEX($T$20:$T$91,$FJ90-HN$19)^2/INDEX($U$20:$U$91,$FJ90-HN$19))))</f>
        <v>0.00220308238990205</v>
      </c>
      <c r="HO90" s="150" t="n">
        <f aca="false">IF(HO$19&gt;$FJ90,"",MAX(0,IF(HO$19=$FJ90,$S90^2*HO$15,HO89*INDEX($T$20:$T$91,$FJ90-HO$19)^2/INDEX($U$20:$U$91,$FJ90-HO$19))))</f>
        <v>0.0025018317346381</v>
      </c>
      <c r="HP90" s="150" t="n">
        <f aca="false">IF(HP$19&gt;$FJ90,"",MAX(0,IF(HP$19=$FJ90,$S90^2*HP$15,HP89*INDEX($T$20:$T$91,$FJ90-HP$19)^2/INDEX($U$20:$U$91,$FJ90-HP$19))))</f>
        <v>0.0024942440191347</v>
      </c>
      <c r="HQ90" s="150" t="n">
        <f aca="false">IF(HQ$19&gt;$FJ90,"",MAX(0,IF(HQ$19=$FJ90,$S90^2*HQ$15,HQ89*INDEX($T$20:$T$91,$FJ90-HQ$19)^2/INDEX($U$20:$U$91,$FJ90-HQ$19))))</f>
        <v>0.00266888972475613</v>
      </c>
      <c r="HR90" s="150" t="n">
        <f aca="false">IF(HR$19&gt;$FJ90,"",MAX(0,IF(HR$19=$FJ90,$S90^2*HR$15,HR89*INDEX($T$20:$T$91,$FJ90-HR$19)^2/INDEX($U$20:$U$91,$FJ90-HR$19))))</f>
        <v>0.0026906933401188</v>
      </c>
      <c r="HS90" s="150" t="n">
        <f aca="false">IF(HS$19&gt;$FJ90,"",MAX(0,IF(HS$19=$FJ90,$S90^2*HS$15,HS89*INDEX($T$20:$T$91,$FJ90-HS$19)^2/INDEX($U$20:$U$91,$FJ90-HS$19))))</f>
        <v>0.00291720162239499</v>
      </c>
      <c r="HT90" s="150" t="n">
        <f aca="false">IF(HT$19&gt;$FJ90,"",MAX(0,IF(HT$19=$FJ90,$S90^2*HT$15,HT89*INDEX($T$20:$T$91,$FJ90-HT$19)^2/INDEX($U$20:$U$91,$FJ90-HT$19))))</f>
        <v>0.00308651063007626</v>
      </c>
      <c r="HU90" s="150" t="n">
        <f aca="false">IF(HU$19&gt;$FJ90,"",MAX(0,IF(HU$19=$FJ90,$S90^2*HU$15,HU89*INDEX($T$20:$T$91,$FJ90-HU$19)^2/INDEX($U$20:$U$91,$FJ90-HU$19))))</f>
        <v>0.00319171781571932</v>
      </c>
      <c r="HV90" s="150" t="n">
        <f aca="false">IF(HV$19&gt;$FJ90,"",MAX(0,IF(HV$19=$FJ90,$S90^2*HV$15,HV89*INDEX($T$20:$T$91,$FJ90-HV$19)^2/INDEX($U$20:$U$91,$FJ90-HV$19))))</f>
        <v>0.0035656682993339</v>
      </c>
      <c r="HW90" s="150" t="n">
        <f aca="false">IF(HW$19&gt;$FJ90,"",MAX(0,IF(HW$19=$FJ90,$S90^2*HW$15,HW89*INDEX($T$20:$T$91,$FJ90-HW$19)^2/INDEX($U$20:$U$91,$FJ90-HW$19))))</f>
        <v>0.00378262299076565</v>
      </c>
      <c r="HX90" s="150" t="n">
        <f aca="false">IF(HX$19&gt;$FJ90,"",MAX(0,IF(HX$19=$FJ90,$S90^2*HX$15,HX89*INDEX($T$20:$T$91,$FJ90-HX$19)^2/INDEX($U$20:$U$91,$FJ90-HX$19))))</f>
        <v>0.00435582435526391</v>
      </c>
      <c r="HY90" s="150" t="n">
        <f aca="false">IF(HY$19&gt;$FJ90,"",MAX(0,IF(HY$19=$FJ90,$S90^2*HY$15,HY89*INDEX($T$20:$T$91,$FJ90-HY$19)^2/INDEX($U$20:$U$91,$FJ90-HY$19))))</f>
        <v>0.00495011208315425</v>
      </c>
      <c r="HZ90" s="150" t="n">
        <f aca="false">IF(HZ$19&gt;$FJ90,"",MAX(0,IF(HZ$19=$FJ90,$S90^2*HZ$15,HZ89*INDEX($T$20:$T$91,$FJ90-HZ$19)^2/INDEX($U$20:$U$91,$FJ90-HZ$19))))</f>
        <v>0.00520143153817714</v>
      </c>
      <c r="IA90" s="150" t="n">
        <f aca="false">IF(IA$19&gt;$FJ90,"",MAX(0,IF(IA$19=$FJ90,$S90^2*IA$15,IA89*INDEX($T$20:$T$91,$FJ90-IA$19)^2/INDEX($U$20:$U$91,$FJ90-IA$19))))</f>
        <v>0.00689031668909128</v>
      </c>
      <c r="IB90" s="150" t="n">
        <f aca="false">IF(IB$19&gt;$FJ90,"",MAX(0,IF(IB$19=$FJ90,$S90^2*IB$15,IB89*INDEX($T$20:$T$91,$FJ90-IB$19)^2/INDEX($U$20:$U$91,$FJ90-IB$19))))</f>
        <v>0.0082533579239714</v>
      </c>
      <c r="IC90" s="150" t="n">
        <f aca="false">IF(IC$19&gt;$FJ90,"",MAX(0,IF(IC$19=$FJ90,$S90^2*IC$15,IC89*INDEX($T$20:$T$91,$FJ90-IC$19)^2/INDEX($U$20:$U$91,$FJ90-IC$19))))</f>
        <v>0.0109995893282351</v>
      </c>
      <c r="ID90" s="572" t="str">
        <f aca="false">IF(ID$19&gt;$FJ90,"",MAX(0,IF(ID$19=$FJ90,$S90^2*ID$15,ID89*INDEX($T$20:$T$91,$FJ90-ID$19)^2/INDEX($U$20:$U$91,$FJ90-ID$19))))</f>
        <v/>
      </c>
      <c r="IE90" s="129"/>
    </row>
    <row r="91" customFormat="false" ht="12.75" hidden="false" customHeight="false" outlineLevel="0" collapsed="false">
      <c r="H91" s="219" t="n">
        <f aca="false">VLOOKUP(I91,$EJ$20:$EL$54,3)</f>
        <v>0</v>
      </c>
      <c r="I91" s="511" t="n">
        <f aca="false">EOMONTH(I90,0)+1</f>
        <v>38930</v>
      </c>
      <c r="J91" s="512"/>
      <c r="K91" s="513" t="s">
        <v>250</v>
      </c>
      <c r="L91" s="514" t="e">
        <f aca="false">IF(ISNUMBER(K91),J91+K91/100,IF(K91="extra",L90+VLOOKUP(BF91,PriceSpreadTable,2)/12,IF(K91="inter",interpolateprices($K$19:$L$200,ROW(K91)-ROW(FirstPricingMonth)+1),interpolatechanges($J$19:$K$200,ROW(K91)-ROW(FirstPricingMonth)+1))))</f>
        <v>#VALUE!</v>
      </c>
      <c r="M91" s="515"/>
      <c r="N91" s="516" t="n">
        <v>0</v>
      </c>
      <c r="O91" s="515" t="n">
        <f aca="false">M91+N91</f>
        <v>0</v>
      </c>
      <c r="P91" s="512"/>
      <c r="Q91" s="513" t="s">
        <v>280</v>
      </c>
      <c r="R91" s="512" t="e">
        <f aca="false">IF(ISNUMBER(Q91),P91+Q91/100,IF(Q91="extra",(Z89*AL89-R90*AM89)/AN89,IF(Q91="inter",interpolateprices($Q$19:$R$260,ROW(Q91)-ROW(FirstPricingMonth)+1),interpolatechanges($P$19:$Q$260,ROW(Q91)-ROW(FirstPricingMonth)+1))))</f>
        <v>#VALUE!</v>
      </c>
      <c r="S91" s="597" t="n">
        <f aca="false">S$19+(S90-S$19)*S$18</f>
        <v>0.360000000071837</v>
      </c>
      <c r="T91" s="575" t="n">
        <f aca="false">SQRT((1-(1-T90^2/U90)*T$18)*U91)</f>
        <v>0.999998340090441</v>
      </c>
      <c r="U91" s="576" t="n">
        <f aca="false">1-(1-U90)*U$18</f>
        <v>0.999999999979796</v>
      </c>
      <c r="V91" s="521" t="n">
        <v>0</v>
      </c>
      <c r="W91" s="577" t="n">
        <f aca="false">(J92*AJ91+J93*AK91)/AI91</f>
        <v>0</v>
      </c>
      <c r="X91" s="578" t="e">
        <f aca="false">(L92*AJ91+L93*AK91)/AI91</f>
        <v>#VALUE!</v>
      </c>
      <c r="Y91" s="579" t="n">
        <f aca="false">IF(Q93="extra",W91-AA91,(P92*AM91+P93*AN91)/AL91)</f>
        <v>-1.2154</v>
      </c>
      <c r="Z91" s="579" t="e">
        <f aca="false">IF(Q93="extra",X91-AB91,(R92*AM91+R93*AN91)/AL91)</f>
        <v>#VALUE!</v>
      </c>
      <c r="AA91" s="523" t="n">
        <f aca="false">IF(Q93="extra",INDEX(BrentSeasonalityTable,INT((BG91-1)/3)+1)*VLOOKUP(MAX(BF91,$AB$4),PriceSpreadTable,3),W91-Y91)</f>
        <v>1.2154</v>
      </c>
      <c r="AB91" s="524" t="n">
        <f aca="false">IF(Q93="extra",INDEX(BrentSeasonalityTable,INT((BG91-1)/3)+1)*VLOOKUP(MAX(BF91,$AB$4),PriceSpreadTable,3),X91-Z91)</f>
        <v>1.2154</v>
      </c>
      <c r="AC91" s="646" t="n">
        <v>38918</v>
      </c>
      <c r="AD91" s="646" t="n">
        <v>38914</v>
      </c>
      <c r="AE91" s="646" t="n">
        <v>38913</v>
      </c>
      <c r="AF91" s="646" t="n">
        <v>38909</v>
      </c>
      <c r="AG91" s="438" t="s">
        <v>247</v>
      </c>
      <c r="AH91" s="439" t="s">
        <v>278</v>
      </c>
      <c r="AI91" s="528" t="n">
        <v>23</v>
      </c>
      <c r="AJ91" s="529" t="n">
        <v>14</v>
      </c>
      <c r="AK91" s="529" t="n">
        <v>9</v>
      </c>
      <c r="AL91" s="530" t="n">
        <v>23</v>
      </c>
      <c r="AM91" s="529" t="n">
        <v>10</v>
      </c>
      <c r="AN91" s="531" t="n">
        <v>13</v>
      </c>
      <c r="AO91" s="532"/>
      <c r="AP91" s="465" t="n">
        <f aca="false">(1+AO91/2)^(-2*BL91)</f>
        <v>1</v>
      </c>
      <c r="AQ91" s="532"/>
      <c r="AR91" s="465" t="n">
        <f aca="false">(1+AQ91/2)^(-2*BH91/365.25)</f>
        <v>1</v>
      </c>
      <c r="AS91" s="580" t="n">
        <f aca="false">(O92*AJ91+O93*AK91)/AI91</f>
        <v>0</v>
      </c>
      <c r="AT91" s="468" t="n">
        <f aca="false">O91*VLOOKUP(BF91,BrentVolTable,2)+VLOOKUP(BF91,BrentVolTable,3)</f>
        <v>0</v>
      </c>
      <c r="AU91" s="468" t="n">
        <f aca="false">(AT92*AM91+AT93*AN91)/AL91</f>
        <v>0</v>
      </c>
      <c r="AV91" s="595" t="n">
        <f aca="false">SQRT(MAX(0.000000000001,(O91^2*BH91-S91^2*(BH91-BH90))/BH90))</f>
        <v>0.0234988146680657</v>
      </c>
      <c r="AW91" s="451" t="n">
        <f aca="false">IF($I91-DateToday+15&gt;=$T$8,"",IF($I91-DateToday+15&lt;$T$5,1,MATCH($I91-DateToday+15,$T$5:$T$8)))</f>
        <v>1</v>
      </c>
      <c r="AX91" s="468" t="n">
        <f aca="false">IF($AW91="",AX90^2/AX89,INDEX(U$5:U$8,$AW91)^((INDEX($T$5:$T$8,$AW91+1)-($I91-DateToday+15))/(INDEX($T$5:$T$8,$AW91+1)-INDEX($T$5:$T$8,$AW91)))/INDEX(U$5:U$8,$AW91+1)^((INDEX($T$5:$T$8,$AW91)-($I91-DateToday+15))/(INDEX($T$5:$T$8,$AW91+1)-INDEX($T$5:$T$8,$AW91))))</f>
        <v>2.75254928891921</v>
      </c>
      <c r="AY91" s="468" t="n">
        <f aca="false">IF($AW91="",AY90^2/AY89,INDEX(V$5:V$8,$AW91)^((INDEX($T$5:$T$8,$AW91+1)-($I91-DateToday+15))/(INDEX($T$5:$T$8,$AW91+1)-INDEX($T$5:$T$8,$AW91)))/INDEX(V$5:V$8,$AW91+1)^((INDEX($T$5:$T$8,$AW91)-($I91-DateToday+15))/(INDEX($T$5:$T$8,$AW91+1)-INDEX($T$5:$T$8,$AW91))))</f>
        <v>262.407162547913</v>
      </c>
      <c r="AZ91" s="468" t="n">
        <f aca="false">IF($AW91="",AZ90^2/AZ89,INDEX(W$5:W$8,$AW91)^((INDEX($T$5:$T$8,$AW91+1)-($I91-DateToday+15))/(INDEX($T$5:$T$8,$AW91+1)-INDEX($T$5:$T$8,$AW91)))/INDEX(W$5:W$8,$AW91+1)^((INDEX($T$5:$T$8,$AW91)-($I91-DateToday+15))/(INDEX($T$5:$T$8,$AW91+1)-INDEX($T$5:$T$8,$AW91))))</f>
        <v>2040265.53952125</v>
      </c>
      <c r="BA91" s="468" t="n">
        <f aca="false">IF($AW91="",BA90^2/BA89,INDEX(X$5:X$8,$AW91)^((INDEX($T$5:$T$8,$AW91+1)-($I91-DateToday+15))/(INDEX($T$5:$T$8,$AW91+1)-INDEX($T$5:$T$8,$AW91)))/INDEX(X$5:X$8,$AW91+1)^((INDEX($T$5:$T$8,$AW91)-($I91-DateToday+15))/(INDEX($T$5:$T$8,$AW91+1)-INDEX($T$5:$T$8,$AW91))))</f>
        <v>58499286.0418286</v>
      </c>
      <c r="BB91" s="468" t="n">
        <f aca="false">IF($AW91="",BB90^2/BB89,INDEX(Y$5:Y$8,$AW91)^((INDEX($T$5:$T$8,$AW91+1)-($I91-DateToday+15))/(INDEX($T$5:$T$8,$AW91+1)-INDEX($T$5:$T$8,$AW91)))/INDEX(Y$5:Y$8,$AW91+1)^((INDEX($T$5:$T$8,$AW91)-($I91-DateToday+15))/(INDEX($T$5:$T$8,$AW91+1)-INDEX($T$5:$T$8,$AW91))))</f>
        <v>801062570.622131</v>
      </c>
      <c r="BC91" s="468" t="n">
        <f aca="false">IF($AW91="",BC90^2/BC89,INDEX(Z$5:Z$8,$AW91)^((INDEX($T$5:$T$8,$AW91+1)-($I91-DateToday+15))/(INDEX($T$5:$T$8,$AW91+1)-INDEX($T$5:$T$8,$AW91)))/INDEX(Z$5:Z$8,$AW91+1)^((INDEX($T$5:$T$8,$AW91)-($I91-DateToday+15))/(INDEX($T$5:$T$8,$AW91+1)-INDEX($T$5:$T$8,$AW91))))</f>
        <v>3842814336.81922</v>
      </c>
      <c r="BD91" s="535" t="n">
        <f aca="false">IF(OR(DateStart&gt;=I92,DateEnd&lt;I91),0,IF(VolumeOverrideFlag,V91,Volume))</f>
        <v>0</v>
      </c>
      <c r="BE91" s="536" t="n">
        <f aca="false">IF(OR(DateStart2&gt;=I92,DateEnd2&lt;I91),0,IF(VolumeOverrideFlag,V91,VolumeSwaption))</f>
        <v>0</v>
      </c>
      <c r="BF91" s="537" t="n">
        <f aca="false">YEAR(I91)</f>
        <v>2006</v>
      </c>
      <c r="BG91" s="538" t="n">
        <f aca="false">MONTH(I91)</f>
        <v>8</v>
      </c>
      <c r="BH91" s="539" t="n">
        <f aca="false">AD91-DateToday+1</f>
        <v>-7011</v>
      </c>
      <c r="BI91" s="540" t="n">
        <f aca="false">(I91-DateToday+1)/365.25</f>
        <v>-19.1512662559891</v>
      </c>
      <c r="BJ91" s="541" t="n">
        <f aca="false">BI91+(BL91-BI91)*CHOOSE(Underlying,AJ91/AI91,AM91/AL91)</f>
        <v>-19.1012707198762</v>
      </c>
      <c r="BK91" s="541" t="n">
        <f aca="false">BJ91+1/365.25</f>
        <v>-19.0985328690891</v>
      </c>
      <c r="BL91" s="541" t="n">
        <f aca="false">(I92-DateToday)/365.25</f>
        <v>-19.0691307323751</v>
      </c>
      <c r="BM91" s="542" t="e">
        <f aca="false">MAX(BI91-(BJ91-BI91)*(S92^2/O92^2-1),0)</f>
        <v>#DIV/0!</v>
      </c>
      <c r="BN91" s="541" t="e">
        <f aca="false">MAX(BL91+(BL91-BK91)*(S93^2/O93^2-1),0)</f>
        <v>#DIV/0!</v>
      </c>
      <c r="BO91" s="530" t="n">
        <f aca="false">CHOOSE(Underlying,AI91,AL91)</f>
        <v>23</v>
      </c>
      <c r="BP91" s="529" t="n">
        <f aca="false">CHOOSE(Underlying,AJ91,AM91)</f>
        <v>14</v>
      </c>
      <c r="BQ91" s="529" t="n">
        <f aca="false">CHOOSE(Underlying,AK91,AN91)</f>
        <v>9</v>
      </c>
      <c r="BR91" s="463" t="str">
        <f aca="false">IF(BD91,IF(Underlying=1,X91,Z91)+UnderlyingPriceAsian-SwapPriceCurve,"")</f>
        <v/>
      </c>
      <c r="BS91" s="463" t="str">
        <f aca="false">IF(BD91,Strike1/BR91-1,"")</f>
        <v/>
      </c>
      <c r="BT91" s="464" t="str">
        <f aca="false">IF(BD91,Strike2/BR91-1,"")</f>
        <v/>
      </c>
      <c r="BU91" s="465" t="str">
        <f aca="false">IF(BD91,IF(Underlying=1,L92,R92)+UnderlyingPriceAsian-SwapPriceCurve,"")</f>
        <v/>
      </c>
      <c r="BV91" s="465" t="str">
        <f aca="false">IF(BD91,IF(Underlying=1,L93,R93)+UnderlyingPriceAsian-SwapPriceCurve,"")</f>
        <v/>
      </c>
      <c r="BW91" s="466" t="str">
        <f aca="false">IF(BD91,IF(Underlying=1,O92,AT92),"")</f>
        <v/>
      </c>
      <c r="BX91" s="467" t="str">
        <f aca="false">IF(BD91,IF(Underlying=1,O93,AT93),"")</f>
        <v/>
      </c>
      <c r="BY91" s="466" t="str">
        <f aca="false">IF(BD91,IF(BS91&gt;0,IF(BS91&gt;0.2,BC91-BB91,IF(BS91&gt;0.1,BB91-BA91,BA91)),IF(BS91&lt;-0.2,AX91-AY91,IF(BS91&lt;-0.1,AY91-AZ91,AZ91))),"")</f>
        <v/>
      </c>
      <c r="BZ91" s="467" t="str">
        <f aca="false">IF(BD91,IF(BT91&gt;0,IF(BT91&gt;0.2,BC91-BB91,IF(BT91&gt;0.1,BB91-BA91,BA91)),IF(BT91&lt;-0.2,AX91-AY91,IF(BT91&lt;-0.1,AY91-AZ91,AZ91))),"")</f>
        <v/>
      </c>
      <c r="CA91" s="468" t="str">
        <f aca="false">IF($BD91,$BW91+IF(VolSkewFlag=1,IF(BS91&gt;0,$BA91*MIN(BS91/10%,1)+($BB91-$BA91)*MAX(0,MIN(BS91/10%-1,1))+($BC91-$BB91)*MAX(0,BS91/10%-2),$AZ91*MIN(-BS91/10%,1)+($AY91-$AZ91)*MAX(0,MIN(-BS91/10%-1,1))+($AX91-$AY91)*MAX(0,-BS91/10%-2)),0),"")</f>
        <v/>
      </c>
      <c r="CB91" s="468" t="str">
        <f aca="false">IF($BD91,$BX91+IF(VolSkewFlag=1,IF(BS91&gt;0,$BA91*MIN(BS91/10%,1)+($BB91-$BA91)*MAX(0,MIN(BS91/10%-1,1))+($BC91-$BB91)*MAX(0,BS91/10%-2),$AZ91*MIN(-BS91/10%,1)+($AY91-$AZ91)*MAX(0,MIN(-BS91/10%-1,1))+($AX91-$AY91)*MAX(0,-BS91/10%-2)),0),"")</f>
        <v/>
      </c>
      <c r="CC91" s="468" t="str">
        <f aca="false">IF($BD91,$BW91+IF(VolSkewFlag=1,IF(BT91&gt;0,$BA91*MIN(BT91/10%,1)+($BB91-$BA91)*MAX(0,MIN(BT91/10%-1,1))+($BC91-$BB91)*MAX(0,BT91/10%-2),$AZ91*MIN(-BT91/10%,1)+($AY91-$AZ91)*MAX(0,MIN(-BT91/10%-1,1))+($AX91-$AY91)*MAX(0,-BT91/10%-2)),0),"")</f>
        <v/>
      </c>
      <c r="CD91" s="468" t="str">
        <f aca="false">IF($BD91,$BX91+IF(VolSkewFlag=1,IF(BT91&gt;0,$BA91*MIN(BT91/10%,1)+($BB91-$BA91)*MAX(0,MIN(BT91/10%-1,1))+($BC91-$BB91)*MAX(0,BT91/10%-2),$AZ91*MIN(-BT91/10%,1)+($AY91-$AZ91)*MAX(0,MIN(-BT91/10%-1,1))+($AX91-$AY91)*MAX(0,-BT91/10%-2)),0),"")</f>
        <v/>
      </c>
      <c r="CE91" s="469" t="n">
        <v>1</v>
      </c>
      <c r="CF91" s="470" t="n">
        <f aca="false">IF(BD91,xCrudeAPO(BU91,BV91,CA91,CB91,S92,S93,BI91,BL91,BP91,BQ91,0,Strike1,AO91,CE91,0,BL91,IF(OptControl=4,0,1),0,1),0)</f>
        <v>0</v>
      </c>
      <c r="CG91" s="470" t="n">
        <f aca="false">IF(BD91,xCrudeAPO(BU91,BV91,CA91,CB91,S92,S93,BI91,BL91,BP91,BQ91,0,Strike1,AO91,CE91,0,BL91,IF(OptControl=4,0,1),1,1)+xCrudeAPO(BU91,BV91,CA91,CB91,S92,S93,BI91,BL91,BP91,BQ91,0,Strike1,AO91,CE91,0,BL91,IF(OptControl=4,0,1),1,2)+IF(OR(VolSkewFlag=2,ABS(BS91)&lt;0.0001),0,IF(BS91&gt;0,-1,1)*CH91*Strike1/BR91^2*BY91/10%),0)</f>
        <v>0</v>
      </c>
      <c r="CH91" s="470" t="n">
        <f aca="false">IF(BD91,(xCrudeAPO(BU91,BV91,CA91,CB91,S92,S93,BI91,BL91,BP91,BQ91,0,Strike1,AO91,CE91,0,BL91,IF(OptControl=4,0,1),3,1)+xCrudeAPO(BU91,BV91,CA91,CB91,S92,S93,BI91,BL91,BP91,BQ91,0,Strike1,AO91,CE91,0,BL91,IF(OptControl=4,0,1),3,2))/100,0)</f>
        <v>0</v>
      </c>
      <c r="CI91" s="470" t="n">
        <f aca="false">IF(BD91,xCrudeAPO(BU91,BV91,CA91,CB91,S92,S93,BI91-DaysForThetaCalculation/365.25,BL91-DaysForThetaCalculation/365.25,BP91,BQ91,0,Strike1,AO91,CE91,0,BL91,IF(OptControl=4,0,1),0,1)-xCrudeAPO(BU91,BV91,CA91,CB91,S92,S93,BI91,BL91,BP91,BQ91,0,Strike1,AO91,CE91,0,BL91,IF(OptControl=4,0,1),0,1),0)</f>
        <v>0</v>
      </c>
      <c r="CJ91" s="471" t="n">
        <f aca="false">IF(BD91,xCrudeAPO(BU91,BV91,CC91,CD91,S92,S93,BI91,BL91,BP91,BQ91,0,Strike2,AO91,CE91,0,BL91,IF(OptControl=3,1,0),0,1),0)</f>
        <v>0</v>
      </c>
      <c r="CK91" s="470" t="n">
        <f aca="false">IF(BD91,xCrudeAPO(BU91,BV91,CC91,CD91,S92,S93,BI91,BL91,BP91,BQ91,0,Strike2,AO91,CE91,0,BL91,IF(OptControl=3,1,0),1,1)+xCrudeAPO(BU91,BV91,CC91,CD91,S92,S93,BI91,BL91,BP91,BQ91,0,Strike2,AO91,CE91,0,BL91,IF(OptControl=3,1,0),1,2)+IF(OR(VolSkewFlag=2,ABS(BT91)&lt;0.0001),0,IF(BT91&gt;0,-1,1)*CL91*Strike2/BR91^2*BZ91/10%),0)</f>
        <v>0</v>
      </c>
      <c r="CL91" s="470" t="n">
        <f aca="false">IF(BD91,(xCrudeAPO(BU91,BV91,CC91,CD91,S92,S93,BI91,BL91,BP91,BQ91,0,Strike2,AO91,CE91,0,BL91,IF(OptControl=3,1,0),3,1)+xCrudeAPO(BU91,BV91,CC91,CD91,S92,S93,BI91,BL91,BP91,BQ91,0,Strike2,AO91,CE91,0,BL91,IF(OptControl=3,1,0),3,2))/100,0)</f>
        <v>0</v>
      </c>
      <c r="CM91" s="472" t="n">
        <f aca="false">IF(BD91,xCrudeAPO(BU91,BV91,CC91,CD91,S92,S93,BI91-DaysForThetaCalculation/365.25,BL91-DaysForThetaCalculation/365.25,BP91,BQ91,0,Strike2,AO91,CE91,0,BL91,IF(OptControl=3,1,0),0,1)-xCrudeAPO(BU91,BV91,CC91,CD91,S92,S93,BI91,BL91,BP91,BQ91,0,Strike2,AO91,CE91,0,BL91,IF(OptControl=3,1,0),0,1),0)</f>
        <v>0</v>
      </c>
      <c r="CN91" s="3"/>
      <c r="CO91" s="543" t="str">
        <f aca="false">IF(BD91,CHOOSE(Underlying,AD91,AF91)-DateToday+1,"")</f>
        <v/>
      </c>
      <c r="CP91" s="582" t="str">
        <f aca="false">IF(BD91,CHOOSE(Underlying,L91,R91),"")</f>
        <v/>
      </c>
      <c r="CQ91" s="544" t="str">
        <f aca="false">IF(BD91,Strike1/CP91-1,"")</f>
        <v/>
      </c>
      <c r="CR91" s="544" t="str">
        <f aca="false">IF(BD91,Strike2/CP91-1,"")</f>
        <v/>
      </c>
      <c r="CS91" s="544" t="str">
        <f aca="false">IF(BD91,IF(CQ91&gt;0,IF(CQ91&gt;0.2,BC90-BB90,IF(CQ91&gt;0.1,BB90-BA90,BA90)),IF(CQ91&lt;-0.2,AX90-AY90,IF(CQ91&lt;-0.1,AY90-AZ90,AZ90))),"")</f>
        <v/>
      </c>
      <c r="CT91" s="544" t="str">
        <f aca="false">IF(BD91,IF(CR91&gt;0,IF(CR91&gt;0.2,BC90-BB90,IF(CR91&gt;0.1,BB90-BA90,BA90)),IF(CR91&lt;-0.2,AX90-AY90,IF(CR91&lt;-0.1,AY90-AZ90,AZ90))),"")</f>
        <v/>
      </c>
      <c r="CU91" s="545" t="str">
        <f aca="false">IF(BD91,CHOOSE(Underlying,O91,AT91),"")</f>
        <v/>
      </c>
      <c r="CV91" s="545" t="str">
        <f aca="false">IF(BD91,CU91+IF(VolSkewFlag=1,IF(CQ91&gt;0,BA90*MIN(CQ91/10%,1)+(BB90-BA90)*MAX(0,MIN(CQ91/10%-1,1))+(BC90-BB90)*MAX(0,CQ91/10%-2),AZ90*MIN(-CQ91/10%,1)+(AY90-AZ90)*MAX(0,MIN(-CQ91/10%-1,1))+(AX90-AY90)*MAX(0,-CQ91/10%-2)),0),"")</f>
        <v/>
      </c>
      <c r="CW91" s="545" t="str">
        <f aca="false">IF(BD91,CU91+IF(VolSkewFlag=1,IF(CR91&gt;0,BA90*MIN(CR91/10%,1)+(BB90-BA90)*MAX(0,MIN(CR91/10%-1,1))+(BC90-BB90)*MAX(0,CR91/10%-2),AZ90*MIN(-CR91/10%,1)+(AY90-AZ90)*MAX(0,MIN(-CR91/10%-1,1))+(AX90-AY90)*MAX(0,-CR91/10%-2)),0),"")</f>
        <v/>
      </c>
      <c r="CX91" s="470" t="n">
        <f aca="false">IF(BD91,EURO(CP91,Strike1,AO91,AO91,CV91,CO91,IF(OptControl=4,0,1),0),0)</f>
        <v>0</v>
      </c>
      <c r="CY91" s="470" t="n">
        <f aca="false">IF(BD91,EURO(CP91,Strike1,AO91,AO91,CV91,CO91,IF(OptControl=4,0,1),1)+IF(OR(VolSkewFlag=2,ABS(CQ91)&lt;0.0001),0,IF(CQ91&gt;0,-1,1)*CZ91*100*Strike1/CP91^2*CS91/10%),0)</f>
        <v>0</v>
      </c>
      <c r="CZ91" s="470" t="n">
        <f aca="false">IF(BD91,EURO(CP91,Strike1,AO91,AO91,CV91,CO91,IF(OptControl=4,0,1),3)/100,0)</f>
        <v>0</v>
      </c>
      <c r="DA91" s="470" t="n">
        <f aca="false">IF(BD91,EURO(CP91,Strike1,AO91,AO91,CV91,CO91,IF(OptControl=4,0,1),0)-EURO(CP91,Strike1,AO91,AO91,CV91,CO91-1,IF(OptControl=4,0,1),0),0)</f>
        <v>0</v>
      </c>
      <c r="DB91" s="470" t="n">
        <f aca="false">IF(BD91,EURO(CP91,Strike2,AO91,AO91,CW91,CO91,IF(OptControl=3,1,0),0),0)</f>
        <v>0</v>
      </c>
      <c r="DC91" s="470" t="n">
        <f aca="false">IF(BD91,EURO(CP91,Strike2,AO91,AO91,CW91,CO91,IF(OptControl=3,1,0),1)+IF(OR(VolSkewFlag=2,ABS(CR91)&lt;0.0001),0,IF(CR91&gt;0,-1,1)*DD91*100*Strike2/CP91^2*CT91/10%),0)</f>
        <v>0</v>
      </c>
      <c r="DD91" s="470" t="n">
        <f aca="false">IF(BD91,EURO(CP91,Strike2,AO91,AO91,CW91,CO91,IF(OptControl=3,1,0),3)/100,0)</f>
        <v>0</v>
      </c>
      <c r="DE91" s="472" t="n">
        <f aca="false">IF(BD91,EURO(CP91,Strike2,AO91,AO91,CW91,CO91,IF(OptControl=3,1,0),0)-EURO(CP91,Strike2,AO91,AO91,CW91,CO91-1,IF(OptControl=3,1,0),0),0)</f>
        <v>0</v>
      </c>
      <c r="DG91" s="481" t="n">
        <f aca="false">EOMONTH(DG90,0)+1</f>
        <v>47849</v>
      </c>
      <c r="DH91" s="478" t="n">
        <v>18.3191666666667</v>
      </c>
      <c r="DI91" s="479" t="n">
        <v>18.3180681818182</v>
      </c>
      <c r="DJ91" s="480" t="n">
        <f aca="false">DG91</f>
        <v>47849</v>
      </c>
      <c r="DK91" s="478" t="n">
        <v>17.1423677850214</v>
      </c>
      <c r="DL91" s="479" t="n">
        <v>17.1590681818182</v>
      </c>
      <c r="DM91" s="481" t="n">
        <f aca="false">DG91</f>
        <v>47849</v>
      </c>
      <c r="DN91" s="482" t="n">
        <f aca="false">DK91+BrentPhyBrentSpread</f>
        <v>17.1923677850214</v>
      </c>
      <c r="DO91" s="481" t="n">
        <f aca="false">DG91</f>
        <v>47849</v>
      </c>
      <c r="DP91" s="483" t="n">
        <f aca="false">DL91+DQ91</f>
        <v>17.1590681818182</v>
      </c>
      <c r="DQ91" s="546" t="n">
        <v>0</v>
      </c>
      <c r="DR91" s="480" t="n">
        <f aca="false">DG91</f>
        <v>47849</v>
      </c>
      <c r="DS91" s="485" t="n">
        <v>0.187</v>
      </c>
      <c r="DT91" s="486" t="n">
        <v>0.181209090909091</v>
      </c>
      <c r="DU91" s="480" t="n">
        <f aca="false">DG91</f>
        <v>47849</v>
      </c>
      <c r="DV91" s="485" t="n">
        <v>0.187</v>
      </c>
      <c r="DW91" s="486" t="n">
        <v>0.181209090909091</v>
      </c>
      <c r="DX91" s="481" t="n">
        <f aca="false">DG91</f>
        <v>47849</v>
      </c>
      <c r="DY91" s="486" t="n">
        <v>0.35</v>
      </c>
      <c r="DZ91" s="481" t="n">
        <f aca="false">DR91</f>
        <v>47849</v>
      </c>
      <c r="EA91" s="486" t="n">
        <f aca="false">DT91</f>
        <v>0.181209090909091</v>
      </c>
      <c r="EB91" s="195"/>
      <c r="EC91" s="547" t="str">
        <f aca="false">IF(BD91,IF(Underlying=1,AS91,AU91),"")</f>
        <v/>
      </c>
      <c r="ED91" s="548" t="str">
        <f aca="false">IF($BD91,$EC91+IF(VolSkewFlag=1,IF(BS91&gt;0,$BA91*MIN(BS91/10%,1)+($BB91-$BA91)*MAX(0,MIN(BS91/10%-1,1))+($BC91-$BB91)*MAX(0,BS91/10%-2),$AZ91*MIN(-BS91/10%,1)+($AY91-$AZ91)*MAX(0,MIN(-BS91/10%-1,1))+($AX91-$AY91)*MAX(0,-BS91/10%-2)),0),"")</f>
        <v/>
      </c>
      <c r="EE91" s="549" t="str">
        <f aca="false">IF($BD91,$EC91+IF(VolSkewFlag=1,IF(BT91&gt;0,$BA91*MIN(BT91/10%,1)+($BB91-$BA91)*MAX(0,MIN(BT91/10%-1,1))+($BC91-$BB91)*MAX(0,BT91/10%-2),$AZ91*MIN(-BT91/10%,1)+($AY91-$AZ91)*MAX(0,MIN(-BT91/10%-1,1))+($AX91-$AY91)*MAX(0,-BT91/10%-2)),0),"")</f>
        <v/>
      </c>
      <c r="EF91" s="550" t="n">
        <f aca="false">IF(BD91,xASN(BR91,Strike1,AO91,ED91,0,BO91,0,BI91,BL91,IF(OptControl=4,0,1),0),0)</f>
        <v>0</v>
      </c>
      <c r="EG91" s="551" t="n">
        <f aca="false">IF(BD91,xASN(BR91,Strike2,AO91,EE91,0,BO91,0,BI91,BL91,IF(OptControl=3,1,0),0),0)</f>
        <v>0</v>
      </c>
      <c r="EL91" s="1"/>
      <c r="EM91" s="195"/>
      <c r="EN91" s="556" t="n">
        <v>44381</v>
      </c>
      <c r="EO91" s="557" t="n">
        <v>49668</v>
      </c>
      <c r="EP91" s="195"/>
      <c r="EQ91" s="407" t="s">
        <v>317</v>
      </c>
      <c r="ES91" s="587" t="n">
        <v>72</v>
      </c>
      <c r="ET91" s="559" t="n">
        <f aca="false">BH91/365.25</f>
        <v>-19.1950718685832</v>
      </c>
      <c r="EU91" s="560" t="n">
        <f aca="false">O91^2*ET91</f>
        <v>-0</v>
      </c>
      <c r="EV91" s="588" t="e">
        <f aca="false">SQRT(SUM(FK91:ID91)/ET91)</f>
        <v>#VALUE!</v>
      </c>
      <c r="EW91" s="589" t="str">
        <f aca="false">IF(OR(DateStart2&gt;I90,DateEnd2&lt;I89),"",IF(DateStart2&lt;I90,AK89/AI89*AP89*BE89*SwaptionNumOfMonths/$D$33,0)+IF(DateEnd2&gt;I89,AJ90/AI90*AP90*BE90*SwaptionNumOfMonths/$D$33,0))</f>
        <v/>
      </c>
      <c r="EX91" s="590" t="str">
        <f aca="false">IF(EW91="","",SQRT(SUM(FK396:ID396)/SwaptionYearsToExp))</f>
        <v/>
      </c>
      <c r="EY91" s="129" t="n">
        <v>0</v>
      </c>
      <c r="EZ91" s="591" t="str">
        <f aca="false">IF(OR(EW91="",EW92=""),"",SQRT(SUM(INDEX(FK91:ID91,SwaptionFirstMonthPosition+1):INDEX(FK91:ID91,FJ91))/SUM(INDEX($FK$15:$ID$15,SwaptionFirstMonthPosition+1):INDEX($FK$15:$ID$15,FJ91))))</f>
        <v/>
      </c>
      <c r="FA91" s="592" t="str">
        <f aca="false">IF(OR(EW91="",EW90=""),"",SQRT(SUM(INDEX(FK91:ID91,SwaptionFirstMonthPosition+1):INDEX(FK91:ID91,FJ91-1))/SUM(INDEX($FK$15:$ID$15,SwaptionFirstMonthPosition+1):INDEX($FK$15:$ID$15,FJ91-1))))</f>
        <v/>
      </c>
      <c r="FB91" s="593" t="str">
        <f aca="false">IF(BE91,2/3*EZ92+1/3*FA93,"")</f>
        <v/>
      </c>
      <c r="FC91" s="596" t="str">
        <f aca="false">IF(BE91,(I92+I91-1)/2-DateToday,"")</f>
        <v/>
      </c>
      <c r="FD91" s="483" t="str">
        <f aca="false">IF(BE91,CHOOSE(Underlying,X91,Z91)+SwaptionUnderlyingPrice-$D$26,"")</f>
        <v/>
      </c>
      <c r="FE91" s="483" t="str">
        <f aca="false">IF(BE91,CollartionFloor/FD91-1,"")</f>
        <v/>
      </c>
      <c r="FF91" s="483" t="str">
        <f aca="false">IF(BE91,CollartionCap/FD91-1,"")</f>
        <v/>
      </c>
      <c r="FG91" s="485" t="str">
        <f aca="false">IF(BE91,IF(VolSkewFlag=1,IF(FE91&gt;0,$BA91*MIN(FE91/10%,1)+($BB91-$BA91)*MAX(0,MIN(FE91/10%-1,1))+($BC91-$BB91)*MAX(0,FE91/10%-2),$AZ91*MIN(-FE91/10%,1)+($AY91-$AZ91)*MAX(0,MIN(-FE91/10%-1,1))+($AX91-$AY91)*MAX(0,-FE91/10%-2)),0),"")</f>
        <v/>
      </c>
      <c r="FH91" s="486" t="str">
        <f aca="false">IF(BE91,IF(VolSkewFlag=1,IF(FF91&gt;0,$BA91*MIN(FF91/10%,1)+($BB91-$BA91)*MAX(0,MIN(FF91/10%-1,1))+($BC91-$BB91)*MAX(0,FF91/10%-2),$AZ91*MIN(-FF91/10%,1)+($AY91-$AZ91)*MAX(0,MIN(-FF91/10%-1,1))+($AX91-$AY91)*MAX(0,-FF91/10%-2)),0),"")</f>
        <v/>
      </c>
      <c r="FI91" s="129"/>
      <c r="FJ91" s="668" t="n">
        <v>72</v>
      </c>
      <c r="FK91" s="669" t="n">
        <f aca="false">IF(FK$19&gt;$FJ91,"",MAX(0,IF(FK$19=$FJ91,$S91^2*FK$15,FK90*INDEX($T$20:$T$91,$FJ91-FK$19)^2/INDEX($U$20:$U$91,$FJ91-FK$19))))</f>
        <v>0</v>
      </c>
      <c r="FL91" s="669" t="n">
        <f aca="false">IF(FL$19&gt;$FJ91,"",MAX(0,IF(FL$19=$FJ91,$S91^2*FL$15,FL90*INDEX($T$20:$T$91,$FJ91-FL$19)^2/INDEX($U$20:$U$91,$FJ91-FL$19))))</f>
        <v>0</v>
      </c>
      <c r="FM91" s="669" t="n">
        <f aca="false">IF(FM$19&gt;$FJ91,"",MAX(0,IF(FM$19=$FJ91,$S91^2*FM$15,FM90*INDEX($T$20:$T$91,$FJ91-FM$19)^2/INDEX($U$20:$U$91,$FJ91-FM$19))))</f>
        <v>0.0025468426843418</v>
      </c>
      <c r="FN91" s="669" t="n">
        <f aca="false">IF(FN$19&gt;$FJ91,"",MAX(0,IF(FN$19=$FJ91,$S91^2*FN$15,FN90*INDEX($T$20:$T$91,$FJ91-FN$19)^2/INDEX($U$20:$U$91,$FJ91-FN$19))))</f>
        <v>0.00214361182733819</v>
      </c>
      <c r="FO91" s="669" t="n">
        <f aca="false">IF(FO$19&gt;$FJ91,"",MAX(0,IF(FO$19=$FJ91,$S91^2*FO$15,FO90*INDEX($T$20:$T$91,$FJ91-FO$19)^2/INDEX($U$20:$U$91,$FJ91-FO$19))))</f>
        <v>0.00222968671329914</v>
      </c>
      <c r="FP91" s="669" t="n">
        <f aca="false">IF(FP$19&gt;$FJ91,"",MAX(0,IF(FP$19=$FJ91,$S91^2*FP$15,FP90*INDEX($T$20:$T$91,$FJ91-FP$19)^2/INDEX($U$20:$U$91,$FJ91-FP$19))))</f>
        <v>0.00247073873268059</v>
      </c>
      <c r="FQ91" s="669" t="n">
        <f aca="false">IF(FQ$19&gt;$FJ91,"",MAX(0,IF(FQ$19=$FJ91,$S91^2*FQ$15,FQ90*INDEX($T$20:$T$91,$FJ91-FQ$19)^2/INDEX($U$20:$U$91,$FJ91-FQ$19))))</f>
        <v>0.00200033774555174</v>
      </c>
      <c r="FR91" s="669" t="n">
        <f aca="false">IF(FR$19&gt;$FJ91,"",MAX(0,IF(FR$19=$FJ91,$S91^2*FR$15,FR90*INDEX($T$20:$T$91,$FJ91-FR$19)^2/INDEX($U$20:$U$91,$FJ91-FR$19))))</f>
        <v>0.00204527235810737</v>
      </c>
      <c r="FS91" s="669" t="n">
        <f aca="false">IF(FS$19&gt;$FJ91,"",MAX(0,IF(FS$19=$FJ91,$S91^2*FS$15,FS90*INDEX($T$20:$T$91,$FJ91-FS$19)^2/INDEX($U$20:$U$91,$FJ91-FS$19))))</f>
        <v>0.00230489422537978</v>
      </c>
      <c r="FT91" s="669" t="n">
        <f aca="false">IF(FT$19&gt;$FJ91,"",MAX(0,IF(FT$19=$FJ91,$S91^2*FT$15,FT90*INDEX($T$20:$T$91,$FJ91-FT$19)^2/INDEX($U$20:$U$91,$FJ91-FT$19))))</f>
        <v>0.00208010303584519</v>
      </c>
      <c r="FU91" s="669" t="n">
        <f aca="false">IF(FU$19&gt;$FJ91,"",MAX(0,IF(FU$19=$FJ91,$S91^2*FU$15,FU90*INDEX($T$20:$T$91,$FJ91-FU$19)^2/INDEX($U$20:$U$91,$FJ91-FU$19))))</f>
        <v>0.00199975277380323</v>
      </c>
      <c r="FV91" s="669" t="n">
        <f aca="false">IF(FV$19&gt;$FJ91,"",MAX(0,IF(FV$19=$FJ91,$S91^2*FV$15,FV90*INDEX($T$20:$T$91,$FJ91-FV$19)^2/INDEX($U$20:$U$91,$FJ91-FV$19))))</f>
        <v>0.00219754557217655</v>
      </c>
      <c r="FW91" s="669" t="n">
        <f aca="false">IF(FW$19&gt;$FJ91,"",MAX(0,IF(FW$19=$FJ91,$S91^2*FW$15,FW90*INDEX($T$20:$T$91,$FJ91-FW$19)^2/INDEX($U$20:$U$91,$FJ91-FW$19))))</f>
        <v>0.00205384331671217</v>
      </c>
      <c r="FX91" s="669" t="n">
        <f aca="false">IF(FX$19&gt;$FJ91,"",MAX(0,IF(FX$19=$FJ91,$S91^2*FX$15,FX90*INDEX($T$20:$T$91,$FJ91-FX$19)^2/INDEX($U$20:$U$91,$FJ91-FX$19))))</f>
        <v>0.00218570840477706</v>
      </c>
      <c r="FY91" s="669" t="n">
        <f aca="false">IF(FY$19&gt;$FJ91,"",MAX(0,IF(FY$19=$FJ91,$S91^2*FY$15,FY90*INDEX($T$20:$T$91,$FJ91-FY$19)^2/INDEX($U$20:$U$91,$FJ91-FY$19))))</f>
        <v>0.00204557071798152</v>
      </c>
      <c r="FZ91" s="669" t="n">
        <f aca="false">IF(FZ$19&gt;$FJ91,"",MAX(0,IF(FZ$19=$FJ91,$S91^2*FZ$15,FZ90*INDEX($T$20:$T$91,$FJ91-FZ$19)^2/INDEX($U$20:$U$91,$FJ91-FZ$19))))</f>
        <v>0.00190675330626771</v>
      </c>
      <c r="GA91" s="669" t="n">
        <f aca="false">IF(GA$19&gt;$FJ91,"",MAX(0,IF(GA$19=$FJ91,$S91^2*GA$15,GA90*INDEX($T$20:$T$91,$FJ91-GA$19)^2/INDEX($U$20:$U$91,$FJ91-GA$19))))</f>
        <v>0.00204101525830518</v>
      </c>
      <c r="GB91" s="669" t="n">
        <f aca="false">IF(GB$19&gt;$FJ91,"",MAX(0,IF(GB$19=$FJ91,$S91^2*GB$15,GB90*INDEX($T$20:$T$91,$FJ91-GB$19)^2/INDEX($U$20:$U$91,$FJ91-GB$19))))</f>
        <v>0.00224355956981887</v>
      </c>
      <c r="GC91" s="669" t="n">
        <f aca="false">IF(GC$19&gt;$FJ91,"",MAX(0,IF(GC$19=$FJ91,$S91^2*GC$15,GC90*INDEX($T$20:$T$91,$FJ91-GC$19)^2/INDEX($U$20:$U$91,$FJ91-GC$19))))</f>
        <v>0.00197062624348986</v>
      </c>
      <c r="GD91" s="669" t="n">
        <f aca="false">IF(GD$19&gt;$FJ91,"",MAX(0,IF(GD$19=$FJ91,$S91^2*GD$15,GD90*INDEX($T$20:$T$91,$FJ91-GD$19)^2/INDEX($U$20:$U$91,$FJ91-GD$19))))</f>
        <v>0.00196993236049965</v>
      </c>
      <c r="GE91" s="669" t="n">
        <f aca="false">IF(GE$19&gt;$FJ91,"",MAX(0,IF(GE$19=$FJ91,$S91^2*GE$15,GE90*INDEX($T$20:$T$91,$FJ91-GE$19)^2/INDEX($U$20:$U$91,$FJ91-GE$19))))</f>
        <v>0.00224111627352975</v>
      </c>
      <c r="GF91" s="669" t="n">
        <f aca="false">IF(GF$19&gt;$FJ91,"",MAX(0,IF(GF$19=$FJ91,$S91^2*GF$15,GF90*INDEX($T$20:$T$91,$FJ91-GF$19)^2/INDEX($U$20:$U$91,$FJ91-GF$19))))</f>
        <v>0.00196917885570876</v>
      </c>
      <c r="GG91" s="669" t="n">
        <f aca="false">IF(GG$19&gt;$FJ91,"",MAX(0,IF(GG$19=$FJ91,$S91^2*GG$15,GG90*INDEX($T$20:$T$91,$FJ91-GG$19)^2/INDEX($U$20:$U$91,$FJ91-GG$19))))</f>
        <v>0.00217273074193916</v>
      </c>
      <c r="GH91" s="669" t="n">
        <f aca="false">IF(GH$19&gt;$FJ91,"",MAX(0,IF(GH$19=$FJ91,$S91^2*GH$15,GH90*INDEX($T$20:$T$91,$FJ91-GH$19)^2/INDEX($U$20:$U$91,$FJ91-GH$19))))</f>
        <v>0.00203691423781899</v>
      </c>
      <c r="GI91" s="669" t="n">
        <f aca="false">IF(GI$19&gt;$FJ91,"",MAX(0,IF(GI$19=$FJ91,$S91^2*GI$15,GI90*INDEX($T$20:$T$91,$FJ91-GI$19)^2/INDEX($U$20:$U$91,$FJ91-GI$19))))</f>
        <v>0.00196910267781156</v>
      </c>
      <c r="GJ91" s="669" t="n">
        <f aca="false">IF(GJ$19&gt;$FJ91,"",MAX(0,IF(GJ$19=$FJ91,$S91^2*GJ$15,GJ90*INDEX($T$20:$T$91,$FJ91-GJ$19)^2/INDEX($U$20:$U$91,$FJ91-GJ$19))))</f>
        <v>0.00224091011358738</v>
      </c>
      <c r="GK91" s="669" t="n">
        <f aca="false">IF(GK$19&gt;$FJ91,"",MAX(0,IF(GK$19=$FJ91,$S91^2*GK$15,GK90*INDEX($T$20:$T$91,$FJ91-GK$19)^2/INDEX($U$20:$U$91,$FJ91-GK$19))))</f>
        <v>0.00203747473449042</v>
      </c>
      <c r="GL91" s="669" t="n">
        <f aca="false">IF(GL$19&gt;$FJ91,"",MAX(0,IF(GL$19=$FJ91,$S91^2*GL$15,GL90*INDEX($T$20:$T$91,$FJ91-GL$19)^2/INDEX($U$20:$U$91,$FJ91-GL$19))))</f>
        <v>0.00196992581218912</v>
      </c>
      <c r="GM91" s="669" t="n">
        <f aca="false">IF(GM$19&gt;$FJ91,"",MAX(0,IF(GM$19=$FJ91,$S91^2*GM$15,GM90*INDEX($T$20:$T$91,$FJ91-GM$19)^2/INDEX($U$20:$U$91,$FJ91-GM$19))))</f>
        <v>0.00210627853312592</v>
      </c>
      <c r="GN91" s="669" t="n">
        <f aca="false">IF(GN$19&gt;$FJ91,"",MAX(0,IF(GN$19=$FJ91,$S91^2*GN$15,GN90*INDEX($T$20:$T$91,$FJ91-GN$19)^2/INDEX($U$20:$U$91,$FJ91-GN$19))))</f>
        <v>0.00210688625937202</v>
      </c>
      <c r="GO91" s="669" t="n">
        <f aca="false">IF(GO$19&gt;$FJ91,"",MAX(0,IF(GO$19=$FJ91,$S91^2*GO$15,GO90*INDEX($T$20:$T$91,$FJ91-GO$19)^2/INDEX($U$20:$U$91,$FJ91-GO$19))))</f>
        <v>0.00210761808872608</v>
      </c>
      <c r="GP91" s="669" t="n">
        <f aca="false">IF(GP$19&gt;$FJ91,"",MAX(0,IF(GP$19=$FJ91,$S91^2*GP$15,GP90*INDEX($T$20:$T$91,$FJ91-GP$19)^2/INDEX($U$20:$U$91,$FJ91-GP$19))))</f>
        <v>0.00190444256553501</v>
      </c>
      <c r="GQ91" s="669" t="n">
        <f aca="false">IF(GQ$19&gt;$FJ91,"",MAX(0,IF(GQ$19=$FJ91,$S91^2*GQ$15,GQ90*INDEX($T$20:$T$91,$FJ91-GQ$19)^2/INDEX($U$20:$U$91,$FJ91-GQ$19))))</f>
        <v>0.00210952194715707</v>
      </c>
      <c r="GR91" s="669" t="n">
        <f aca="false">IF(GR$19&gt;$FJ91,"",MAX(0,IF(GR$19=$FJ91,$S91^2*GR$15,GR90*INDEX($T$20:$T$91,$FJ91-GR$19)^2/INDEX($U$20:$U$91,$FJ91-GR$19))))</f>
        <v>0.00204265006639991</v>
      </c>
      <c r="GS91" s="669" t="n">
        <f aca="false">IF(GS$19&gt;$FJ91,"",MAX(0,IF(GS$19=$FJ91,$S91^2*GS$15,GS90*INDEX($T$20:$T$91,$FJ91-GS$19)^2/INDEX($U$20:$U$91,$FJ91-GS$19))))</f>
        <v>0.00211216871191047</v>
      </c>
      <c r="GT91" s="669" t="n">
        <f aca="false">IF(GT$19&gt;$FJ91,"",MAX(0,IF(GT$19=$FJ91,$S91^2*GT$15,GT90*INDEX($T$20:$T$91,$FJ91-GT$19)^2/INDEX($U$20:$U$91,$FJ91-GT$19))))</f>
        <v>0.00204565922552489</v>
      </c>
      <c r="GU91" s="669" t="n">
        <f aca="false">IF(GU$19&gt;$FJ91,"",MAX(0,IF(GU$19=$FJ91,$S91^2*GU$15,GU90*INDEX($T$20:$T$91,$FJ91-GU$19)^2/INDEX($U$20:$U$91,$FJ91-GU$19))))</f>
        <v>0.00211581733322057</v>
      </c>
      <c r="GV91" s="669" t="n">
        <f aca="false">IF(GV$19&gt;$FJ91,"",MAX(0,IF(GV$19=$FJ91,$S91^2*GV$15,GV90*INDEX($T$20:$T$91,$FJ91-GV$19)^2/INDEX($U$20:$U$91,$FJ91-GV$19))))</f>
        <v>0.00211812610481666</v>
      </c>
      <c r="GW91" s="669" t="n">
        <f aca="false">IF(GW$19&gt;$FJ91,"",MAX(0,IF(GW$19=$FJ91,$S91^2*GW$15,GW90*INDEX($T$20:$T$91,$FJ91-GW$19)^2/INDEX($U$20:$U$91,$FJ91-GW$19))))</f>
        <v>0.00205241803118943</v>
      </c>
      <c r="GX91" s="669" t="n">
        <f aca="false">IF(GX$19&gt;$FJ91,"",MAX(0,IF(GX$19=$FJ91,$S91^2*GX$15,GX90*INDEX($T$20:$T$91,$FJ91-GX$19)^2/INDEX($U$20:$U$91,$FJ91-GX$19))))</f>
        <v>0.00212400301914922</v>
      </c>
      <c r="GY91" s="669" t="n">
        <f aca="false">IF(GY$19&gt;$FJ91,"",MAX(0,IF(GY$19=$FJ91,$S91^2*GY$15,GY90*INDEX($T$20:$T$91,$FJ91-GY$19)^2/INDEX($U$20:$U$91,$FJ91-GY$19))))</f>
        <v>0.00205908341073438</v>
      </c>
      <c r="GZ91" s="669" t="n">
        <f aca="false">IF(GZ$19&gt;$FJ91,"",MAX(0,IF(GZ$19=$FJ91,$S91^2*GZ$15,GZ90*INDEX($T$20:$T$91,$FJ91-GZ$19)^2/INDEX($U$20:$U$91,$FJ91-GZ$19))))</f>
        <v>0.00213207610189157</v>
      </c>
      <c r="HA91" s="669" t="n">
        <f aca="false">IF(HA$19&gt;$FJ91,"",MAX(0,IF(HA$19=$FJ91,$S91^2*HA$15,HA90*INDEX($T$20:$T$91,$FJ91-HA$19)^2/INDEX($U$20:$U$91,$FJ91-HA$19))))</f>
        <v>0.0021371843894016</v>
      </c>
      <c r="HB91" s="669" t="n">
        <f aca="false">IF(HB$19&gt;$FJ91,"",MAX(0,IF(HB$19=$FJ91,$S91^2*HB$15,HB90*INDEX($T$20:$T$91,$FJ91-HB$19)^2/INDEX($U$20:$U$91,$FJ91-HB$19))))</f>
        <v>0.00200490681151161</v>
      </c>
      <c r="HC91" s="669" t="n">
        <f aca="false">IF(HC$19&gt;$FJ91,"",MAX(0,IF(HC$19=$FJ91,$S91^2*HC$15,HC90*INDEX($T$20:$T$91,$FJ91-HC$19)^2/INDEX($U$20:$U$91,$FJ91-HC$19))))</f>
        <v>0.00215020763653333</v>
      </c>
      <c r="HD91" s="669" t="n">
        <f aca="false">IF(HD$19&gt;$FJ91,"",MAX(0,IF(HD$19=$FJ91,$S91^2*HD$15,HD90*INDEX($T$20:$T$91,$FJ91-HD$19)^2/INDEX($U$20:$U$91,$FJ91-HD$19))))</f>
        <v>0.00208883549377567</v>
      </c>
      <c r="HE91" s="669" t="n">
        <f aca="false">IF(HE$19&gt;$FJ91,"",MAX(0,IF(HE$19=$FJ91,$S91^2*HE$15,HE90*INDEX($T$20:$T$91,$FJ91-HE$19)^2/INDEX($U$20:$U$91,$FJ91-HE$19))))</f>
        <v>0.00216816274500166</v>
      </c>
      <c r="HF91" s="669" t="n">
        <f aca="false">IF(HF$19&gt;$FJ91,"",MAX(0,IF(HF$19=$FJ91,$S91^2*HF$15,HF90*INDEX($T$20:$T$91,$FJ91-HF$19)^2/INDEX($U$20:$U$91,$FJ91-HF$19))))</f>
        <v>0.00210925829470368</v>
      </c>
      <c r="HG91" s="669" t="n">
        <f aca="false">IF(HG$19&gt;$FJ91,"",MAX(0,IF(HG$19=$FJ91,$S91^2*HG$15,HG90*INDEX($T$20:$T$91,$FJ91-HG$19)^2/INDEX($U$20:$U$91,$FJ91-HG$19))))</f>
        <v>0.00219298735287238</v>
      </c>
      <c r="HH91" s="669" t="n">
        <f aca="false">IF(HH$19&gt;$FJ91,"",MAX(0,IF(HH$19=$FJ91,$S91^2*HH$15,HH90*INDEX($T$20:$T$91,$FJ91-HH$19)^2/INDEX($U$20:$U$91,$FJ91-HH$19))))</f>
        <v>0.00220879703413569</v>
      </c>
      <c r="HI91" s="669" t="n">
        <f aca="false">IF(HI$19&gt;$FJ91,"",MAX(0,IF(HI$19=$FJ91,$S91^2*HI$15,HI90*INDEX($T$20:$T$91,$FJ91-HI$19)^2/INDEX($U$20:$U$91,$FJ91-HI$19))))</f>
        <v>0.0021555910273608</v>
      </c>
      <c r="HJ91" s="669" t="n">
        <f aca="false">IF(HJ$19&gt;$FJ91,"",MAX(0,IF(HJ$19=$FJ91,$S91^2*HJ$15,HJ90*INDEX($T$20:$T$91,$FJ91-HJ$19)^2/INDEX($U$20:$U$91,$FJ91-HJ$19))))</f>
        <v>0.00224946915542506</v>
      </c>
      <c r="HK91" s="669" t="n">
        <f aca="false">IF(HK$19&gt;$FJ91,"",MAX(0,IF(HK$19=$FJ91,$S91^2*HK$15,HK90*INDEX($T$20:$T$91,$FJ91-HK$19)^2/INDEX($U$20:$U$91,$FJ91-HK$19))))</f>
        <v>0.0022021238299059</v>
      </c>
      <c r="HL91" s="669" t="n">
        <f aca="false">IF(HL$19&gt;$FJ91,"",MAX(0,IF(HL$19=$FJ91,$S91^2*HL$15,HL90*INDEX($T$20:$T$91,$FJ91-HL$19)^2/INDEX($U$20:$U$91,$FJ91-HL$19))))</f>
        <v>0.00230641988142418</v>
      </c>
      <c r="HM91" s="669" t="n">
        <f aca="false">IF(HM$19&gt;$FJ91,"",MAX(0,IF(HM$19=$FJ91,$S91^2*HM$15,HM90*INDEX($T$20:$T$91,$FJ91-HM$19)^2/INDEX($U$20:$U$91,$FJ91-HM$19))))</f>
        <v>0.00234312582138053</v>
      </c>
      <c r="HN91" s="669" t="n">
        <f aca="false">IF(HN$19&gt;$FJ91,"",MAX(0,IF(HN$19=$FJ91,$S91^2*HN$15,HN90*INDEX($T$20:$T$91,$FJ91-HN$19)^2/INDEX($U$20:$U$91,$FJ91-HN$19))))</f>
        <v>0.00215587176681022</v>
      </c>
      <c r="HO91" s="669" t="n">
        <f aca="false">IF(HO$19&gt;$FJ91,"",MAX(0,IF(HO$19=$FJ91,$S91^2*HO$15,HO90*INDEX($T$20:$T$91,$FJ91-HO$19)^2/INDEX($U$20:$U$91,$FJ91-HO$19))))</f>
        <v>0.0024391269073961</v>
      </c>
      <c r="HP91" s="669" t="n">
        <f aca="false">IF(HP$19&gt;$FJ91,"",MAX(0,IF(HP$19=$FJ91,$S91^2*HP$15,HP90*INDEX($T$20:$T$91,$FJ91-HP$19)^2/INDEX($U$20:$U$91,$FJ91-HP$19))))</f>
        <v>0.00242112746705716</v>
      </c>
      <c r="HQ91" s="669" t="n">
        <f aca="false">IF(HQ$19&gt;$FJ91,"",MAX(0,IF(HQ$19=$FJ91,$S91^2*HQ$15,HQ90*INDEX($T$20:$T$91,$FJ91-HQ$19)^2/INDEX($U$20:$U$91,$FJ91-HQ$19))))</f>
        <v>0.00257738547200679</v>
      </c>
      <c r="HR91" s="669" t="n">
        <f aca="false">IF(HR$19&gt;$FJ91,"",MAX(0,IF(HR$19=$FJ91,$S91^2*HR$15,HR90*INDEX($T$20:$T$91,$FJ91-HR$19)^2/INDEX($U$20:$U$91,$FJ91-HR$19))))</f>
        <v>0.00258279649698154</v>
      </c>
      <c r="HS91" s="669" t="n">
        <f aca="false">IF(HS$19&gt;$FJ91,"",MAX(0,IF(HS$19=$FJ91,$S91^2*HS$15,HS90*INDEX($T$20:$T$91,$FJ91-HS$19)^2/INDEX($U$20:$U$91,$FJ91-HS$19))))</f>
        <v>0.00278038310936512</v>
      </c>
      <c r="HT91" s="669" t="n">
        <f aca="false">IF(HT$19&gt;$FJ91,"",MAX(0,IF(HT$19=$FJ91,$S91^2*HT$15,HT90*INDEX($T$20:$T$91,$FJ91-HT$19)^2/INDEX($U$20:$U$91,$FJ91-HT$19))))</f>
        <v>0.00291720161550357</v>
      </c>
      <c r="HU91" s="669" t="n">
        <f aca="false">IF(HU$19&gt;$FJ91,"",MAX(0,IF(HU$19=$FJ91,$S91^2*HU$15,HU90*INDEX($T$20:$T$91,$FJ91-HU$19)^2/INDEX($U$20:$U$91,$FJ91-HU$19))))</f>
        <v>0.00298694576574932</v>
      </c>
      <c r="HV91" s="669" t="n">
        <f aca="false">IF(HV$19&gt;$FJ91,"",MAX(0,IF(HV$19=$FJ91,$S91^2*HV$15,HV90*INDEX($T$20:$T$91,$FJ91-HV$19)^2/INDEX($U$20:$U$91,$FJ91-HV$19))))</f>
        <v>0.00329810840519415</v>
      </c>
      <c r="HW91" s="669" t="n">
        <f aca="false">IF(HW$19&gt;$FJ91,"",MAX(0,IF(HW$19=$FJ91,$S91^2*HW$15,HW90*INDEX($T$20:$T$91,$FJ91-HW$19)^2/INDEX($U$20:$U$91,$FJ91-HW$19))))</f>
        <v>0.00345064673785196</v>
      </c>
      <c r="HX91" s="669" t="n">
        <f aca="false">IF(HX$19&gt;$FJ91,"",MAX(0,IF(HX$19=$FJ91,$S91^2*HX$15,HX90*INDEX($T$20:$T$91,$FJ91-HX$19)^2/INDEX($U$20:$U$91,$FJ91-HX$19))))</f>
        <v>0.00390871042086954</v>
      </c>
      <c r="HY91" s="669" t="n">
        <f aca="false">IF(HY$19&gt;$FJ91,"",MAX(0,IF(HY$19=$FJ91,$S91^2*HY$15,HY90*INDEX($T$20:$T$91,$FJ91-HY$19)^2/INDEX($U$20:$U$91,$FJ91-HY$19))))</f>
        <v>0.00435582435282206</v>
      </c>
      <c r="HZ91" s="669" t="n">
        <f aca="false">IF(HZ$19&gt;$FJ91,"",MAX(0,IF(HZ$19=$FJ91,$S91^2*HZ$15,HZ90*INDEX($T$20:$T$91,$FJ91-HZ$19)^2/INDEX($U$20:$U$91,$FJ91-HZ$19))))</f>
        <v>0.00447106897645319</v>
      </c>
      <c r="IA91" s="669" t="n">
        <f aca="false">IF(IA$19&gt;$FJ91,"",MAX(0,IF(IA$19=$FJ91,$S91^2*IA$15,IA90*INDEX($T$20:$T$91,$FJ91-IA$19)^2/INDEX($U$20:$U$91,$FJ91-IA$19))))</f>
        <v>0.00575872777259427</v>
      </c>
      <c r="IB91" s="669" t="n">
        <f aca="false">IF(IB$19&gt;$FJ91,"",MAX(0,IF(IB$19=$FJ91,$S91^2*IB$15,IB90*INDEX($T$20:$T$91,$FJ91-IB$19)^2/INDEX($U$20:$U$91,$FJ91-IB$19))))</f>
        <v>0.0066680484072208</v>
      </c>
      <c r="IC91" s="669" t="n">
        <f aca="false">IF(IC$19&gt;$FJ91,"",MAX(0,IF(IC$19=$FJ91,$S91^2*IC$15,IC90*INDEX($T$20:$T$91,$FJ91-IC$19)^2/INDEX($U$20:$U$91,$FJ91-IC$19))))</f>
        <v>0.00852846985325798</v>
      </c>
      <c r="ID91" s="670" t="n">
        <f aca="false">IF(ID$19&gt;$FJ91,"",MAX(0,IF(ID$19=$FJ91,$S91^2*ID$15,ID90*INDEX($T$20:$T$91,$FJ91-ID$19)^2/INDEX($U$20:$U$91,$FJ91-ID$19))))</f>
        <v>0.010644763864618</v>
      </c>
      <c r="IE91" s="129"/>
    </row>
    <row r="92" customFormat="false" ht="12.75" hidden="false" customHeight="false" outlineLevel="0" collapsed="false">
      <c r="H92" s="219" t="n">
        <f aca="false">VLOOKUP(I92,$EJ$20:$EL$54,3)</f>
        <v>0</v>
      </c>
      <c r="I92" s="511" t="n">
        <f aca="false">EOMONTH(I91,0)+1</f>
        <v>38961</v>
      </c>
      <c r="J92" s="512"/>
      <c r="K92" s="513" t="s">
        <v>250</v>
      </c>
      <c r="L92" s="514" t="e">
        <f aca="false">IF(ISNUMBER(K92),J92+K92/100,IF(K92="extra",L91+VLOOKUP(BF92,PriceSpreadTable,2)/12,IF(K92="inter",interpolateprices($K$19:$L$200,ROW(K92)-ROW(FirstPricingMonth)+1),interpolatechanges($J$19:$K$200,ROW(K92)-ROW(FirstPricingMonth)+1))))</f>
        <v>#VALUE!</v>
      </c>
      <c r="M92" s="515"/>
      <c r="N92" s="516" t="n">
        <v>0</v>
      </c>
      <c r="O92" s="515" t="n">
        <f aca="false">M92+N92</f>
        <v>0</v>
      </c>
      <c r="P92" s="512"/>
      <c r="Q92" s="513" t="s">
        <v>280</v>
      </c>
      <c r="R92" s="512" t="e">
        <f aca="false">IF(ISNUMBER(Q92),P92+Q92/100,IF(Q92="extra",(Z90*AL90-R91*AM90)/AN90,IF(Q92="inter",interpolateprices($Q$19:$R$260,ROW(Q92)-ROW(FirstPricingMonth)+1),interpolatechanges($P$19:$Q$260,ROW(Q92)-ROW(FirstPricingMonth)+1))))</f>
        <v>#VALUE!</v>
      </c>
      <c r="S92" s="597" t="n">
        <f aca="false">S$19+(S91-S$19)*S$18</f>
        <v>0.360000000053878</v>
      </c>
      <c r="T92" s="575" t="n">
        <f aca="false">SQRT((1-(1-T91^2/U91)*T$18)*U92)</f>
        <v>0.999998580778558</v>
      </c>
      <c r="U92" s="576" t="n">
        <f aca="false">1-(1-U91)*U$18</f>
        <v>0.999999999984847</v>
      </c>
      <c r="V92" s="521" t="n">
        <v>0</v>
      </c>
      <c r="W92" s="577" t="n">
        <f aca="false">(J93*AJ92+J94*AK92)/AI92</f>
        <v>0</v>
      </c>
      <c r="X92" s="578" t="e">
        <f aca="false">(L93*AJ92+L94*AK92)/AI92</f>
        <v>#VALUE!</v>
      </c>
      <c r="Y92" s="579" t="n">
        <f aca="false">IF(Q94="extra",W92-AA92,(P93*AM92+P94*AN92)/AL92)</f>
        <v>-1.2154</v>
      </c>
      <c r="Z92" s="579" t="e">
        <f aca="false">IF(Q94="extra",X92-AB92,(R93*AM92+R94*AN92)/AL92)</f>
        <v>#VALUE!</v>
      </c>
      <c r="AA92" s="523" t="n">
        <f aca="false">IF(Q94="extra",INDEX(BrentSeasonalityTable,INT((BG92-1)/3)+1)*VLOOKUP(MAX(BF92,$AB$4),PriceSpreadTable,3),W92-Y92)</f>
        <v>1.2154</v>
      </c>
      <c r="AB92" s="524" t="n">
        <f aca="false">IF(Q94="extra",INDEX(BrentSeasonalityTable,INT((BG92-1)/3)+1)*VLOOKUP(MAX(BF92,$AB$4),PriceSpreadTable,3),X92-Z92)</f>
        <v>1.2154</v>
      </c>
      <c r="AC92" s="646" t="n">
        <v>38949</v>
      </c>
      <c r="AD92" s="646" t="n">
        <v>38945</v>
      </c>
      <c r="AE92" s="646" t="n">
        <v>38944</v>
      </c>
      <c r="AF92" s="646" t="n">
        <v>38940</v>
      </c>
      <c r="AG92" s="438" t="s">
        <v>247</v>
      </c>
      <c r="AH92" s="439" t="s">
        <v>278</v>
      </c>
      <c r="AI92" s="528" t="n">
        <v>21</v>
      </c>
      <c r="AJ92" s="529" t="n">
        <v>14</v>
      </c>
      <c r="AK92" s="529" t="n">
        <v>7</v>
      </c>
      <c r="AL92" s="530" t="n">
        <v>21</v>
      </c>
      <c r="AM92" s="529" t="n">
        <v>10</v>
      </c>
      <c r="AN92" s="531" t="n">
        <v>11</v>
      </c>
      <c r="AO92" s="532"/>
      <c r="AP92" s="465" t="n">
        <f aca="false">(1+AO92/2)^(-2*BL92)</f>
        <v>1</v>
      </c>
      <c r="AQ92" s="532"/>
      <c r="AR92" s="465" t="n">
        <f aca="false">(1+AQ92/2)^(-2*BH92/365.25)</f>
        <v>1</v>
      </c>
      <c r="AS92" s="580" t="n">
        <f aca="false">(O93*AJ92+O94*AK92)/AI92</f>
        <v>0</v>
      </c>
      <c r="AT92" s="468" t="n">
        <f aca="false">O92*VLOOKUP(BF92,BrentVolTable,2)+VLOOKUP(BF92,BrentVolTable,3)</f>
        <v>0</v>
      </c>
      <c r="AU92" s="468" t="n">
        <f aca="false">(AT93*AM92+AT94*AN92)/AL92</f>
        <v>0</v>
      </c>
      <c r="AV92" s="595" t="n">
        <f aca="false">SQRT(MAX(0.000000000001,(O92^2*BH92-S92^2*(BH92-BH91))/BH91))</f>
        <v>0.0239383032434233</v>
      </c>
      <c r="AW92" s="451" t="n">
        <f aca="false">IF($I92-DateToday+15&gt;=$T$8,"",IF($I92-DateToday+15&lt;$T$5,1,MATCH($I92-DateToday+15,$T$5:$T$8)))</f>
        <v>1</v>
      </c>
      <c r="AX92" s="468" t="n">
        <f aca="false">IF($AW92="",AX91^2/AX90,INDEX(U$5:U$8,$AW92)^((INDEX($T$5:$T$8,$AW92+1)-($I92-DateToday+15))/(INDEX($T$5:$T$8,$AW92+1)-INDEX($T$5:$T$8,$AW92)))/INDEX(U$5:U$8,$AW92+1)^((INDEX($T$5:$T$8,$AW92)-($I92-DateToday+15))/(INDEX($T$5:$T$8,$AW92+1)-INDEX($T$5:$T$8,$AW92))))</f>
        <v>2.69326170773728</v>
      </c>
      <c r="AY92" s="468" t="n">
        <f aca="false">IF($AW92="",AY91^2/AY90,INDEX(V$5:V$8,$AW92)^((INDEX($T$5:$T$8,$AW92+1)-($I92-DateToday+15))/(INDEX($T$5:$T$8,$AW92+1)-INDEX($T$5:$T$8,$AW92)))/INDEX(V$5:V$8,$AW92+1)^((INDEX($T$5:$T$8,$AW92)-($I92-DateToday+15))/(INDEX($T$5:$T$8,$AW92+1)-INDEX($T$5:$T$8,$AW92))))</f>
        <v>251.384896706011</v>
      </c>
      <c r="AZ92" s="468" t="n">
        <f aca="false">IF($AW92="",AZ91^2/AZ90,INDEX(W$5:W$8,$AW92)^((INDEX($T$5:$T$8,$AW92+1)-($I92-DateToday+15))/(INDEX($T$5:$T$8,$AW92+1)-INDEX($T$5:$T$8,$AW92)))/INDEX(W$5:W$8,$AW92+1)^((INDEX($T$5:$T$8,$AW92)-($I92-DateToday+15))/(INDEX($T$5:$T$8,$AW92+1)-INDEX($T$5:$T$8,$AW92))))</f>
        <v>1876266.39757598</v>
      </c>
      <c r="BA92" s="468" t="n">
        <f aca="false">IF($AW92="",BA91^2/BA90,INDEX(X$5:X$8,$AW92)^((INDEX($T$5:$T$8,$AW92+1)-($I92-DateToday+15))/(INDEX($T$5:$T$8,$AW92+1)-INDEX($T$5:$T$8,$AW92)))/INDEX(X$5:X$8,$AW92+1)^((INDEX($T$5:$T$8,$AW92)-($I92-DateToday+15))/(INDEX($T$5:$T$8,$AW92+1)-INDEX($T$5:$T$8,$AW92))))</f>
        <v>52638296.2719327</v>
      </c>
      <c r="BB92" s="468" t="n">
        <f aca="false">IF($AW92="",BB91^2/BB90,INDEX(Y$5:Y$8,$AW92)^((INDEX($T$5:$T$8,$AW92+1)-($I92-DateToday+15))/(INDEX($T$5:$T$8,$AW92+1)-INDEX($T$5:$T$8,$AW92)))/INDEX(Y$5:Y$8,$AW92+1)^((INDEX($T$5:$T$8,$AW92)-($I92-DateToday+15))/(INDEX($T$5:$T$8,$AW92+1)-INDEX($T$5:$T$8,$AW92))))</f>
        <v>713573275.379891</v>
      </c>
      <c r="BC92" s="468" t="n">
        <f aca="false">IF($AW92="",BC91^2/BC90,INDEX(Z$5:Z$8,$AW92)^((INDEX($T$5:$T$8,$AW92+1)-($I92-DateToday+15))/(INDEX($T$5:$T$8,$AW92+1)-INDEX($T$5:$T$8,$AW92)))/INDEX(Z$5:Z$8,$AW92+1)^((INDEX($T$5:$T$8,$AW92)-($I92-DateToday+15))/(INDEX($T$5:$T$8,$AW92+1)-INDEX($T$5:$T$8,$AW92))))</f>
        <v>3403243976.98752</v>
      </c>
      <c r="BD92" s="535" t="n">
        <f aca="false">IF(OR(DateStart&gt;=I93,DateEnd&lt;I92),0,IF(VolumeOverrideFlag,V92,Volume))</f>
        <v>0</v>
      </c>
      <c r="BE92" s="536" t="n">
        <f aca="false">IF(OR(DateStart2&gt;=I93,DateEnd2&lt;I92),0,IF(VolumeOverrideFlag,V92,VolumeSwaption))</f>
        <v>0</v>
      </c>
      <c r="BF92" s="537" t="n">
        <f aca="false">YEAR(I92)</f>
        <v>2006</v>
      </c>
      <c r="BG92" s="538" t="n">
        <f aca="false">MONTH(I92)</f>
        <v>9</v>
      </c>
      <c r="BH92" s="539" t="n">
        <f aca="false">AD92-DateToday+1</f>
        <v>-6980</v>
      </c>
      <c r="BI92" s="540" t="n">
        <f aca="false">(I92-DateToday+1)/365.25</f>
        <v>-19.066392881588</v>
      </c>
      <c r="BJ92" s="541" t="n">
        <f aca="false">BI92+(BL92-BI92)*CHOOSE(Underlying,AJ92/AI92,AM92/AL92)</f>
        <v>-19.0134610997034</v>
      </c>
      <c r="BK92" s="541" t="n">
        <f aca="false">BJ92+1/365.25</f>
        <v>-19.0107232489163</v>
      </c>
      <c r="BL92" s="541" t="n">
        <f aca="false">(I93-DateToday)/365.25</f>
        <v>-18.9869952087611</v>
      </c>
      <c r="BM92" s="542" t="e">
        <f aca="false">MAX(BI92-(BJ92-BI92)*(S93^2/O93^2-1),0)</f>
        <v>#DIV/0!</v>
      </c>
      <c r="BN92" s="541" t="e">
        <f aca="false">MAX(BL92+(BL92-BK92)*(S94^2/O94^2-1),0)</f>
        <v>#DIV/0!</v>
      </c>
      <c r="BO92" s="530" t="n">
        <f aca="false">CHOOSE(Underlying,AI92,AL92)</f>
        <v>21</v>
      </c>
      <c r="BP92" s="529" t="n">
        <f aca="false">CHOOSE(Underlying,AJ92,AM92)</f>
        <v>14</v>
      </c>
      <c r="BQ92" s="529" t="n">
        <f aca="false">CHOOSE(Underlying,AK92,AN92)</f>
        <v>7</v>
      </c>
      <c r="BR92" s="463" t="str">
        <f aca="false">IF(BD92,IF(Underlying=1,X92,Z92)+UnderlyingPriceAsian-SwapPriceCurve,"")</f>
        <v/>
      </c>
      <c r="BS92" s="463" t="str">
        <f aca="false">IF(BD92,Strike1/BR92-1,"")</f>
        <v/>
      </c>
      <c r="BT92" s="464" t="str">
        <f aca="false">IF(BD92,Strike2/BR92-1,"")</f>
        <v/>
      </c>
      <c r="BU92" s="465" t="str">
        <f aca="false">IF(BD92,IF(Underlying=1,L93,R93)+UnderlyingPriceAsian-SwapPriceCurve,"")</f>
        <v/>
      </c>
      <c r="BV92" s="465" t="str">
        <f aca="false">IF(BD92,IF(Underlying=1,L94,R94)+UnderlyingPriceAsian-SwapPriceCurve,"")</f>
        <v/>
      </c>
      <c r="BW92" s="466" t="str">
        <f aca="false">IF(BD92,IF(Underlying=1,O93,AT93),"")</f>
        <v/>
      </c>
      <c r="BX92" s="467" t="str">
        <f aca="false">IF(BD92,IF(Underlying=1,O94,AT94),"")</f>
        <v/>
      </c>
      <c r="BY92" s="466" t="str">
        <f aca="false">IF(BD92,IF(BS92&gt;0,IF(BS92&gt;0.2,BC92-BB92,IF(BS92&gt;0.1,BB92-BA92,BA92)),IF(BS92&lt;-0.2,AX92-AY92,IF(BS92&lt;-0.1,AY92-AZ92,AZ92))),"")</f>
        <v/>
      </c>
      <c r="BZ92" s="467" t="str">
        <f aca="false">IF(BD92,IF(BT92&gt;0,IF(BT92&gt;0.2,BC92-BB92,IF(BT92&gt;0.1,BB92-BA92,BA92)),IF(BT92&lt;-0.2,AX92-AY92,IF(BT92&lt;-0.1,AY92-AZ92,AZ92))),"")</f>
        <v/>
      </c>
      <c r="CA92" s="468" t="str">
        <f aca="false">IF($BD92,$BW92+IF(VolSkewFlag=1,IF(BS92&gt;0,$BA92*MIN(BS92/10%,1)+($BB92-$BA92)*MAX(0,MIN(BS92/10%-1,1))+($BC92-$BB92)*MAX(0,BS92/10%-2),$AZ92*MIN(-BS92/10%,1)+($AY92-$AZ92)*MAX(0,MIN(-BS92/10%-1,1))+($AX92-$AY92)*MAX(0,-BS92/10%-2)),0),"")</f>
        <v/>
      </c>
      <c r="CB92" s="468" t="str">
        <f aca="false">IF($BD92,$BX92+IF(VolSkewFlag=1,IF(BS92&gt;0,$BA92*MIN(BS92/10%,1)+($BB92-$BA92)*MAX(0,MIN(BS92/10%-1,1))+($BC92-$BB92)*MAX(0,BS92/10%-2),$AZ92*MIN(-BS92/10%,1)+($AY92-$AZ92)*MAX(0,MIN(-BS92/10%-1,1))+($AX92-$AY92)*MAX(0,-BS92/10%-2)),0),"")</f>
        <v/>
      </c>
      <c r="CC92" s="468" t="str">
        <f aca="false">IF($BD92,$BW92+IF(VolSkewFlag=1,IF(BT92&gt;0,$BA92*MIN(BT92/10%,1)+($BB92-$BA92)*MAX(0,MIN(BT92/10%-1,1))+($BC92-$BB92)*MAX(0,BT92/10%-2),$AZ92*MIN(-BT92/10%,1)+($AY92-$AZ92)*MAX(0,MIN(-BT92/10%-1,1))+($AX92-$AY92)*MAX(0,-BT92/10%-2)),0),"")</f>
        <v/>
      </c>
      <c r="CD92" s="468" t="str">
        <f aca="false">IF($BD92,$BX92+IF(VolSkewFlag=1,IF(BT92&gt;0,$BA92*MIN(BT92/10%,1)+($BB92-$BA92)*MAX(0,MIN(BT92/10%-1,1))+($BC92-$BB92)*MAX(0,BT92/10%-2),$AZ92*MIN(-BT92/10%,1)+($AY92-$AZ92)*MAX(0,MIN(-BT92/10%-1,1))+($AX92-$AY92)*MAX(0,-BT92/10%-2)),0),"")</f>
        <v/>
      </c>
      <c r="CE92" s="469" t="n">
        <v>1</v>
      </c>
      <c r="CF92" s="470" t="n">
        <f aca="false">IF(BD92,xCrudeAPO(BU92,BV92,CA92,CB92,S93,S94,BI92,BL92,BP92,BQ92,0,Strike1,AO92,CE92,0,BL92,IF(OptControl=4,0,1),0,1),0)</f>
        <v>0</v>
      </c>
      <c r="CG92" s="470" t="n">
        <f aca="false">IF(BD92,xCrudeAPO(BU92,BV92,CA92,CB92,S93,S94,BI92,BL92,BP92,BQ92,0,Strike1,AO92,CE92,0,BL92,IF(OptControl=4,0,1),1,1)+xCrudeAPO(BU92,BV92,CA92,CB92,S93,S94,BI92,BL92,BP92,BQ92,0,Strike1,AO92,CE92,0,BL92,IF(OptControl=4,0,1),1,2)+IF(OR(VolSkewFlag=2,ABS(BS92)&lt;0.0001),0,IF(BS92&gt;0,-1,1)*CH92*Strike1/BR92^2*BY92/10%),0)</f>
        <v>0</v>
      </c>
      <c r="CH92" s="470" t="n">
        <f aca="false">IF(BD92,(xCrudeAPO(BU92,BV92,CA92,CB92,S93,S94,BI92,BL92,BP92,BQ92,0,Strike1,AO92,CE92,0,BL92,IF(OptControl=4,0,1),3,1)+xCrudeAPO(BU92,BV92,CA92,CB92,S93,S94,BI92,BL92,BP92,BQ92,0,Strike1,AO92,CE92,0,BL92,IF(OptControl=4,0,1),3,2))/100,0)</f>
        <v>0</v>
      </c>
      <c r="CI92" s="470" t="n">
        <f aca="false">IF(BD92,xCrudeAPO(BU92,BV92,CA92,CB92,S93,S94,BI92-DaysForThetaCalculation/365.25,BL92-DaysForThetaCalculation/365.25,BP92,BQ92,0,Strike1,AO92,CE92,0,BL92,IF(OptControl=4,0,1),0,1)-xCrudeAPO(BU92,BV92,CA92,CB92,S93,S94,BI92,BL92,BP92,BQ92,0,Strike1,AO92,CE92,0,BL92,IF(OptControl=4,0,1),0,1),0)</f>
        <v>0</v>
      </c>
      <c r="CJ92" s="471" t="n">
        <f aca="false">IF(BD92,xCrudeAPO(BU92,BV92,CC92,CD92,S93,S94,BI92,BL92,BP92,BQ92,0,Strike2,AO92,CE92,0,BL92,IF(OptControl=3,1,0),0,1),0)</f>
        <v>0</v>
      </c>
      <c r="CK92" s="470" t="n">
        <f aca="false">IF(BD92,xCrudeAPO(BU92,BV92,CC92,CD92,S93,S94,BI92,BL92,BP92,BQ92,0,Strike2,AO92,CE92,0,BL92,IF(OptControl=3,1,0),1,1)+xCrudeAPO(BU92,BV92,CC92,CD92,S93,S94,BI92,BL92,BP92,BQ92,0,Strike2,AO92,CE92,0,BL92,IF(OptControl=3,1,0),1,2)+IF(OR(VolSkewFlag=2,ABS(BT92)&lt;0.0001),0,IF(BT92&gt;0,-1,1)*CL92*Strike2/BR92^2*BZ92/10%),0)</f>
        <v>0</v>
      </c>
      <c r="CL92" s="470" t="n">
        <f aca="false">IF(BD92,(xCrudeAPO(BU92,BV92,CC92,CD92,S93,S94,BI92,BL92,BP92,BQ92,0,Strike2,AO92,CE92,0,BL92,IF(OptControl=3,1,0),3,1)+xCrudeAPO(BU92,BV92,CC92,CD92,S93,S94,BI92,BL92,BP92,BQ92,0,Strike2,AO92,CE92,0,BL92,IF(OptControl=3,1,0),3,2))/100,0)</f>
        <v>0</v>
      </c>
      <c r="CM92" s="472" t="n">
        <f aca="false">IF(BD92,xCrudeAPO(BU92,BV92,CC92,CD92,S93,S94,BI92-DaysForThetaCalculation/365.25,BL92-DaysForThetaCalculation/365.25,BP92,BQ92,0,Strike2,AO92,CE92,0,BL92,IF(OptControl=3,1,0),0,1)-xCrudeAPO(BU92,BV92,CC92,CD92,S93,S94,BI92,BL92,BP92,BQ92,0,Strike2,AO92,CE92,0,BL92,IF(OptControl=3,1,0),0,1),0)</f>
        <v>0</v>
      </c>
      <c r="CN92" s="3"/>
      <c r="CO92" s="543" t="str">
        <f aca="false">IF(BD92,CHOOSE(Underlying,AD92,AF92)-DateToday+1,"")</f>
        <v/>
      </c>
      <c r="CP92" s="582" t="str">
        <f aca="false">IF(BD92,CHOOSE(Underlying,L92,R92),"")</f>
        <v/>
      </c>
      <c r="CQ92" s="544" t="str">
        <f aca="false">IF(BD92,Strike1/CP92-1,"")</f>
        <v/>
      </c>
      <c r="CR92" s="544" t="str">
        <f aca="false">IF(BD92,Strike2/CP92-1,"")</f>
        <v/>
      </c>
      <c r="CS92" s="544" t="str">
        <f aca="false">IF(BD92,IF(CQ92&gt;0,IF(CQ92&gt;0.2,BC91-BB91,IF(CQ92&gt;0.1,BB91-BA91,BA91)),IF(CQ92&lt;-0.2,AX91-AY91,IF(CQ92&lt;-0.1,AY91-AZ91,AZ91))),"")</f>
        <v/>
      </c>
      <c r="CT92" s="544" t="str">
        <f aca="false">IF(BD92,IF(CR92&gt;0,IF(CR92&gt;0.2,BC91-BB91,IF(CR92&gt;0.1,BB91-BA91,BA91)),IF(CR92&lt;-0.2,AX91-AY91,IF(CR92&lt;-0.1,AY91-AZ91,AZ91))),"")</f>
        <v/>
      </c>
      <c r="CU92" s="545" t="str">
        <f aca="false">IF(BD92,CHOOSE(Underlying,O92,AT92),"")</f>
        <v/>
      </c>
      <c r="CV92" s="545" t="str">
        <f aca="false">IF(BD92,CU92+IF(VolSkewFlag=1,IF(CQ92&gt;0,BA91*MIN(CQ92/10%,1)+(BB91-BA91)*MAX(0,MIN(CQ92/10%-1,1))+(BC91-BB91)*MAX(0,CQ92/10%-2),AZ91*MIN(-CQ92/10%,1)+(AY91-AZ91)*MAX(0,MIN(-CQ92/10%-1,1))+(AX91-AY91)*MAX(0,-CQ92/10%-2)),0),"")</f>
        <v/>
      </c>
      <c r="CW92" s="545" t="str">
        <f aca="false">IF(BD92,CU92+IF(VolSkewFlag=1,IF(CR92&gt;0,BA91*MIN(CR92/10%,1)+(BB91-BA91)*MAX(0,MIN(CR92/10%-1,1))+(BC91-BB91)*MAX(0,CR92/10%-2),AZ91*MIN(-CR92/10%,1)+(AY91-AZ91)*MAX(0,MIN(-CR92/10%-1,1))+(AX91-AY91)*MAX(0,-CR92/10%-2)),0),"")</f>
        <v/>
      </c>
      <c r="CX92" s="470" t="n">
        <f aca="false">IF(BD92,EURO(CP92,Strike1,AO92,AO92,CV92,CO92,IF(OptControl=4,0,1),0),0)</f>
        <v>0</v>
      </c>
      <c r="CY92" s="470" t="n">
        <f aca="false">IF(BD92,EURO(CP92,Strike1,AO92,AO92,CV92,CO92,IF(OptControl=4,0,1),1)+IF(OR(VolSkewFlag=2,ABS(CQ92)&lt;0.0001),0,IF(CQ92&gt;0,-1,1)*CZ92*100*Strike1/CP92^2*CS92/10%),0)</f>
        <v>0</v>
      </c>
      <c r="CZ92" s="470" t="n">
        <f aca="false">IF(BD92,EURO(CP92,Strike1,AO92,AO92,CV92,CO92,IF(OptControl=4,0,1),3)/100,0)</f>
        <v>0</v>
      </c>
      <c r="DA92" s="470" t="n">
        <f aca="false">IF(BD92,EURO(CP92,Strike1,AO92,AO92,CV92,CO92,IF(OptControl=4,0,1),0)-EURO(CP92,Strike1,AO92,AO92,CV92,CO92-1,IF(OptControl=4,0,1),0),0)</f>
        <v>0</v>
      </c>
      <c r="DB92" s="470" t="n">
        <f aca="false">IF(BD92,EURO(CP92,Strike2,AO92,AO92,CW92,CO92,IF(OptControl=3,1,0),0),0)</f>
        <v>0</v>
      </c>
      <c r="DC92" s="470" t="n">
        <f aca="false">IF(BD92,EURO(CP92,Strike2,AO92,AO92,CW92,CO92,IF(OptControl=3,1,0),1)+IF(OR(VolSkewFlag=2,ABS(CR92)&lt;0.0001),0,IF(CR92&gt;0,-1,1)*DD92*100*Strike2/CP92^2*CT92/10%),0)</f>
        <v>0</v>
      </c>
      <c r="DD92" s="470" t="n">
        <f aca="false">IF(BD92,EURO(CP92,Strike2,AO92,AO92,CW92,CO92,IF(OptControl=3,1,0),3)/100,0)</f>
        <v>0</v>
      </c>
      <c r="DE92" s="472" t="n">
        <f aca="false">IF(BD92,EURO(CP92,Strike2,AO92,AO92,CW92,CO92,IF(OptControl=3,1,0),0)-EURO(CP92,Strike2,AO92,AO92,CW92,CO92-1,IF(OptControl=3,1,0),0),0)</f>
        <v>0</v>
      </c>
      <c r="DG92" s="481" t="n">
        <f aca="false">EOMONTH(DG91,0)+1</f>
        <v>47880</v>
      </c>
      <c r="DH92" s="478" t="n">
        <v>18.3183333333333</v>
      </c>
      <c r="DI92" s="479" t="n">
        <v>18.31725</v>
      </c>
      <c r="DJ92" s="480" t="n">
        <f aca="false">DG92</f>
        <v>47880</v>
      </c>
      <c r="DK92" s="478" t="n">
        <v>17.1652768458155</v>
      </c>
      <c r="DL92" s="479" t="n">
        <v>17.15825</v>
      </c>
      <c r="DM92" s="481" t="n">
        <f aca="false">DG92</f>
        <v>47880</v>
      </c>
      <c r="DN92" s="482" t="n">
        <f aca="false">DK92+BrentPhyBrentSpread</f>
        <v>17.2152768458155</v>
      </c>
      <c r="DO92" s="481" t="n">
        <f aca="false">DG92</f>
        <v>47880</v>
      </c>
      <c r="DP92" s="483" t="n">
        <f aca="false">DL92+DQ92</f>
        <v>17.15825</v>
      </c>
      <c r="DQ92" s="546" t="n">
        <v>0</v>
      </c>
      <c r="DR92" s="480" t="n">
        <f aca="false">DG92</f>
        <v>47880</v>
      </c>
      <c r="DS92" s="485" t="n">
        <v>0.1814</v>
      </c>
      <c r="DT92" s="486" t="n">
        <v>0.18062</v>
      </c>
      <c r="DU92" s="480" t="n">
        <f aca="false">DG92</f>
        <v>47880</v>
      </c>
      <c r="DV92" s="485" t="n">
        <v>0.1814</v>
      </c>
      <c r="DW92" s="486" t="n">
        <v>0.18062</v>
      </c>
      <c r="DX92" s="481" t="n">
        <f aca="false">DG92</f>
        <v>47880</v>
      </c>
      <c r="DY92" s="486" t="n">
        <v>0.35</v>
      </c>
      <c r="DZ92" s="481" t="n">
        <f aca="false">DR92</f>
        <v>47880</v>
      </c>
      <c r="EA92" s="486" t="n">
        <f aca="false">DT92</f>
        <v>0.18062</v>
      </c>
      <c r="EB92" s="195"/>
      <c r="EC92" s="547" t="str">
        <f aca="false">IF(BD92,IF(Underlying=1,AS92,AU92),"")</f>
        <v/>
      </c>
      <c r="ED92" s="548" t="str">
        <f aca="false">IF($BD92,$EC92+IF(VolSkewFlag=1,IF(BS92&gt;0,$BA92*MIN(BS92/10%,1)+($BB92-$BA92)*MAX(0,MIN(BS92/10%-1,1))+($BC92-$BB92)*MAX(0,BS92/10%-2),$AZ92*MIN(-BS92/10%,1)+($AY92-$AZ92)*MAX(0,MIN(-BS92/10%-1,1))+($AX92-$AY92)*MAX(0,-BS92/10%-2)),0),"")</f>
        <v/>
      </c>
      <c r="EE92" s="549" t="str">
        <f aca="false">IF($BD92,$EC92+IF(VolSkewFlag=1,IF(BT92&gt;0,$BA92*MIN(BT92/10%,1)+($BB92-$BA92)*MAX(0,MIN(BT92/10%-1,1))+($BC92-$BB92)*MAX(0,BT92/10%-2),$AZ92*MIN(-BT92/10%,1)+($AY92-$AZ92)*MAX(0,MIN(-BT92/10%-1,1))+($AX92-$AY92)*MAX(0,-BT92/10%-2)),0),"")</f>
        <v/>
      </c>
      <c r="EF92" s="550" t="n">
        <f aca="false">IF(BD92,xASN(BR92,Strike1,AO92,ED92,0,BO92,0,BI92,BL92,IF(OptControl=4,0,1),0),0)</f>
        <v>0</v>
      </c>
      <c r="EG92" s="551" t="n">
        <f aca="false">IF(BD92,xASN(BR92,Strike2,AO92,EE92,0,BO92,0,BI92,BL92,IF(OptControl=3,1,0),0),0)</f>
        <v>0</v>
      </c>
      <c r="EL92" s="1"/>
      <c r="EM92" s="195"/>
      <c r="EN92" s="556" t="n">
        <v>44555</v>
      </c>
      <c r="EO92" s="557" t="n">
        <v>49675</v>
      </c>
      <c r="EP92" s="195"/>
      <c r="EQ92" s="407" t="s">
        <v>318</v>
      </c>
      <c r="ES92" s="587" t="n">
        <v>73</v>
      </c>
      <c r="ET92" s="559" t="n">
        <f aca="false">BH92/365.25</f>
        <v>-19.1101984941821</v>
      </c>
      <c r="EU92" s="560" t="n">
        <f aca="false">O92^2*ET92</f>
        <v>-0</v>
      </c>
      <c r="EV92" s="478"/>
      <c r="EW92" s="131"/>
      <c r="EX92" s="131"/>
      <c r="EY92" s="129"/>
      <c r="EZ92" s="129"/>
      <c r="FA92" s="129"/>
      <c r="FB92" s="129"/>
      <c r="FC92" s="129"/>
      <c r="FD92" s="129"/>
      <c r="FE92" s="129"/>
      <c r="FF92" s="129"/>
      <c r="FG92" s="129"/>
      <c r="FH92" s="129"/>
      <c r="FI92" s="129"/>
      <c r="FJ92" s="129"/>
      <c r="FK92" s="129"/>
      <c r="FL92" s="129"/>
      <c r="FM92" s="129"/>
      <c r="FN92" s="129"/>
      <c r="FO92" s="129"/>
      <c r="FP92" s="129"/>
      <c r="FQ92" s="129"/>
      <c r="FR92" s="129"/>
      <c r="FS92" s="129"/>
      <c r="FT92" s="129"/>
      <c r="FU92" s="129"/>
      <c r="FV92" s="129"/>
      <c r="FW92" s="129"/>
      <c r="FX92" s="129"/>
      <c r="FY92" s="129"/>
      <c r="FZ92" s="129"/>
      <c r="GA92" s="129"/>
      <c r="GB92" s="129"/>
      <c r="GC92" s="129"/>
      <c r="GD92" s="129"/>
      <c r="GE92" s="129"/>
      <c r="GF92" s="129"/>
      <c r="GG92" s="129"/>
      <c r="GH92" s="129"/>
      <c r="GI92" s="129"/>
      <c r="GJ92" s="129"/>
      <c r="GK92" s="129"/>
      <c r="GL92" s="129"/>
      <c r="GM92" s="129"/>
      <c r="GN92" s="129"/>
      <c r="GO92" s="129"/>
      <c r="GP92" s="129"/>
      <c r="GQ92" s="129"/>
      <c r="GR92" s="129"/>
      <c r="GS92" s="129"/>
      <c r="GT92" s="129"/>
      <c r="GU92" s="129"/>
      <c r="GV92" s="129"/>
      <c r="GW92" s="129"/>
      <c r="GX92" s="129"/>
      <c r="GY92" s="129"/>
      <c r="GZ92" s="129"/>
      <c r="HA92" s="129"/>
      <c r="HB92" s="129"/>
      <c r="HC92" s="129"/>
      <c r="HD92" s="129"/>
      <c r="HE92" s="129"/>
      <c r="HF92" s="129"/>
      <c r="HG92" s="129"/>
      <c r="HH92" s="129"/>
      <c r="HI92" s="129"/>
      <c r="HJ92" s="129"/>
      <c r="HK92" s="129"/>
      <c r="HL92" s="129"/>
      <c r="HM92" s="129"/>
      <c r="HN92" s="129"/>
      <c r="HO92" s="129"/>
      <c r="HP92" s="129"/>
      <c r="HQ92" s="129"/>
      <c r="HR92" s="129"/>
      <c r="HS92" s="129"/>
      <c r="HT92" s="129"/>
      <c r="HU92" s="129"/>
      <c r="HV92" s="129"/>
      <c r="HW92" s="129"/>
      <c r="HX92" s="129"/>
      <c r="HY92" s="129"/>
      <c r="HZ92" s="129"/>
      <c r="IA92" s="129"/>
      <c r="IB92" s="129"/>
      <c r="IC92" s="129"/>
      <c r="ID92" s="129"/>
      <c r="IE92" s="129"/>
    </row>
    <row r="93" customFormat="false" ht="13.5" hidden="false" customHeight="false" outlineLevel="0" collapsed="false">
      <c r="H93" s="219" t="n">
        <f aca="false">VLOOKUP(I93,$EJ$20:$EL$54,3)</f>
        <v>0</v>
      </c>
      <c r="I93" s="511" t="n">
        <f aca="false">EOMONTH(I92,0)+1</f>
        <v>38991</v>
      </c>
      <c r="J93" s="512"/>
      <c r="K93" s="513" t="s">
        <v>250</v>
      </c>
      <c r="L93" s="514" t="e">
        <f aca="false">IF(ISNUMBER(K93),J93+K93/100,IF(K93="extra",L92+VLOOKUP(BF93,PriceSpreadTable,2)/12,IF(K93="inter",interpolateprices($K$19:$L$200,ROW(K93)-ROW(FirstPricingMonth)+1),interpolatechanges($J$19:$K$200,ROW(K93)-ROW(FirstPricingMonth)+1))))</f>
        <v>#VALUE!</v>
      </c>
      <c r="M93" s="515"/>
      <c r="N93" s="516" t="n">
        <v>0</v>
      </c>
      <c r="O93" s="515" t="n">
        <f aca="false">M93+N93</f>
        <v>0</v>
      </c>
      <c r="P93" s="512"/>
      <c r="Q93" s="513" t="s">
        <v>280</v>
      </c>
      <c r="R93" s="512" t="e">
        <f aca="false">IF(ISNUMBER(Q93),P93+Q93/100,IF(Q93="extra",(Z91*AL91-R92*AM91)/AN91,IF(Q93="inter",interpolateprices($Q$19:$R$260,ROW(Q93)-ROW(FirstPricingMonth)+1),interpolatechanges($P$19:$Q$260,ROW(Q93)-ROW(FirstPricingMonth)+1))))</f>
        <v>#VALUE!</v>
      </c>
      <c r="S93" s="597" t="n">
        <f aca="false">S$19+(S92-S$19)*S$18</f>
        <v>0.360000000040408</v>
      </c>
      <c r="T93" s="575" t="n">
        <f aca="false">SQRT((1-(1-T92^2/U92)*T$18)*U93)</f>
        <v>0.999998786566588</v>
      </c>
      <c r="U93" s="576" t="n">
        <f aca="false">1-(1-U92)*U$18</f>
        <v>0.999999999988635</v>
      </c>
      <c r="V93" s="521" t="n">
        <v>0</v>
      </c>
      <c r="W93" s="577" t="n">
        <f aca="false">(J94*AJ93+J95*AK93)/AI93</f>
        <v>0</v>
      </c>
      <c r="X93" s="578" t="e">
        <f aca="false">(L94*AJ93+L95*AK93)/AI93</f>
        <v>#VALUE!</v>
      </c>
      <c r="Y93" s="579" t="n">
        <f aca="false">IF(Q95="extra",W93-AA93,(P94*AM93+P95*AN93)/AL93)</f>
        <v>-1.1446</v>
      </c>
      <c r="Z93" s="579" t="e">
        <f aca="false">IF(Q95="extra",X93-AB93,(R94*AM93+R95*AN93)/AL93)</f>
        <v>#VALUE!</v>
      </c>
      <c r="AA93" s="523" t="n">
        <f aca="false">IF(Q95="extra",INDEX(BrentSeasonalityTable,INT((BG93-1)/3)+1)*VLOOKUP(MAX(BF93,$AB$4),PriceSpreadTable,3),W93-Y93)</f>
        <v>1.1446</v>
      </c>
      <c r="AB93" s="524" t="n">
        <f aca="false">IF(Q95="extra",INDEX(BrentSeasonalityTable,INT((BG93-1)/3)+1)*VLOOKUP(MAX(BF93,$AB$4),PriceSpreadTable,3),X93-Z93)</f>
        <v>1.1446</v>
      </c>
      <c r="AC93" s="646" t="n">
        <v>38980</v>
      </c>
      <c r="AD93" s="646" t="n">
        <v>38976</v>
      </c>
      <c r="AE93" s="646" t="n">
        <v>38975</v>
      </c>
      <c r="AF93" s="646" t="n">
        <v>38971</v>
      </c>
      <c r="AG93" s="438" t="s">
        <v>247</v>
      </c>
      <c r="AH93" s="439" t="s">
        <v>278</v>
      </c>
      <c r="AI93" s="528" t="n">
        <v>22</v>
      </c>
      <c r="AJ93" s="529" t="n">
        <v>15</v>
      </c>
      <c r="AK93" s="529" t="n">
        <v>7</v>
      </c>
      <c r="AL93" s="530" t="n">
        <v>22</v>
      </c>
      <c r="AM93" s="529" t="n">
        <v>10</v>
      </c>
      <c r="AN93" s="531" t="n">
        <v>12</v>
      </c>
      <c r="AO93" s="532"/>
      <c r="AP93" s="465" t="n">
        <f aca="false">(1+AO93/2)^(-2*BL93)</f>
        <v>1</v>
      </c>
      <c r="AQ93" s="532"/>
      <c r="AR93" s="465" t="n">
        <f aca="false">(1+AQ93/2)^(-2*BH93/365.25)</f>
        <v>1</v>
      </c>
      <c r="AS93" s="580" t="n">
        <f aca="false">(O94*AJ93+O95*AK93)/AI93</f>
        <v>0</v>
      </c>
      <c r="AT93" s="468" t="n">
        <f aca="false">O93*VLOOKUP(BF93,BrentVolTable,2)+VLOOKUP(BF93,BrentVolTable,3)</f>
        <v>0</v>
      </c>
      <c r="AU93" s="468" t="n">
        <f aca="false">(AT94*AM93+AT95*AN93)/AL93</f>
        <v>0</v>
      </c>
      <c r="AV93" s="595" t="n">
        <f aca="false">SQRT(MAX(0.000000000001,(O93^2*BH93-S93^2*(BH93-BH92))/BH92))</f>
        <v>0.0239914024742064</v>
      </c>
      <c r="AW93" s="451" t="n">
        <f aca="false">IF($I93-DateToday+15&gt;=$T$8,"",IF($I93-DateToday+15&lt;$T$5,1,MATCH($I93-DateToday+15,$T$5:$T$8)))</f>
        <v>1</v>
      </c>
      <c r="AX93" s="468" t="n">
        <f aca="false">IF($AW93="",AX92^2/AX91,INDEX(U$5:U$8,$AW93)^((INDEX($T$5:$T$8,$AW93+1)-($I93-DateToday+15))/(INDEX($T$5:$T$8,$AW93+1)-INDEX($T$5:$T$8,$AW93)))/INDEX(U$5:U$8,$AW93+1)^((INDEX($T$5:$T$8,$AW93)-($I93-DateToday+15))/(INDEX($T$5:$T$8,$AW93+1)-INDEX($T$5:$T$8,$AW93))))</f>
        <v>2.63710279054049</v>
      </c>
      <c r="AY93" s="468" t="n">
        <f aca="false">IF($AW93="",AY92^2/AY91,INDEX(V$5:V$8,$AW93)^((INDEX($T$5:$T$8,$AW93+1)-($I93-DateToday+15))/(INDEX($T$5:$T$8,$AW93+1)-INDEX($T$5:$T$8,$AW93)))/INDEX(V$5:V$8,$AW93+1)^((INDEX($T$5:$T$8,$AW93)-($I93-DateToday+15))/(INDEX($T$5:$T$8,$AW93+1)-INDEX($T$5:$T$8,$AW93))))</f>
        <v>241.159211656107</v>
      </c>
      <c r="AZ93" s="468" t="n">
        <f aca="false">IF($AW93="",AZ92^2/AZ91,INDEX(W$5:W$8,$AW93)^((INDEX($T$5:$T$8,$AW93+1)-($I93-DateToday+15))/(INDEX($T$5:$T$8,$AW93+1)-INDEX($T$5:$T$8,$AW93)))/INDEX(W$5:W$8,$AW93+1)^((INDEX($T$5:$T$8,$AW93)-($I93-DateToday+15))/(INDEX($T$5:$T$8,$AW93+1)-INDEX($T$5:$T$8,$AW93))))</f>
        <v>1730120.08925214</v>
      </c>
      <c r="BA93" s="468" t="n">
        <f aca="false">IF($AW93="",BA92^2/BA91,INDEX(X$5:X$8,$AW93)^((INDEX($T$5:$T$8,$AW93+1)-($I93-DateToday+15))/(INDEX($T$5:$T$8,$AW93+1)-INDEX($T$5:$T$8,$AW93)))/INDEX(X$5:X$8,$AW93+1)^((INDEX($T$5:$T$8,$AW93)-($I93-DateToday+15))/(INDEX($T$5:$T$8,$AW93+1)-INDEX($T$5:$T$8,$AW93))))</f>
        <v>47526088.7014265</v>
      </c>
      <c r="BB93" s="468" t="n">
        <f aca="false">IF($AW93="",BB92^2/BB91,INDEX(Y$5:Y$8,$AW93)^((INDEX($T$5:$T$8,$AW93+1)-($I93-DateToday+15))/(INDEX($T$5:$T$8,$AW93+1)-INDEX($T$5:$T$8,$AW93)))/INDEX(Y$5:Y$8,$AW93+1)^((INDEX($T$5:$T$8,$AW93)-($I93-DateToday+15))/(INDEX($T$5:$T$8,$AW93+1)-INDEX($T$5:$T$8,$AW93))))</f>
        <v>638015113.896328</v>
      </c>
      <c r="BC93" s="468" t="n">
        <f aca="false">IF($AW93="",BC92^2/BC91,INDEX(Z$5:Z$8,$AW93)^((INDEX($T$5:$T$8,$AW93+1)-($I93-DateToday+15))/(INDEX($T$5:$T$8,$AW93+1)-INDEX($T$5:$T$8,$AW93)))/INDEX(Z$5:Z$8,$AW93+1)^((INDEX($T$5:$T$8,$AW93)-($I93-DateToday+15))/(INDEX($T$5:$T$8,$AW93+1)-INDEX($T$5:$T$8,$AW93))))</f>
        <v>3025788608.84455</v>
      </c>
      <c r="BD93" s="535" t="n">
        <f aca="false">IF(OR(DateStart&gt;=I94,DateEnd&lt;I93),0,IF(VolumeOverrideFlag,V93,Volume))</f>
        <v>0</v>
      </c>
      <c r="BE93" s="536" t="n">
        <f aca="false">IF(OR(DateStart2&gt;=I94,DateEnd2&lt;I93),0,IF(VolumeOverrideFlag,V93,VolumeSwaption))</f>
        <v>0</v>
      </c>
      <c r="BF93" s="537" t="n">
        <f aca="false">YEAR(I93)</f>
        <v>2006</v>
      </c>
      <c r="BG93" s="538" t="n">
        <f aca="false">MONTH(I93)</f>
        <v>10</v>
      </c>
      <c r="BH93" s="539" t="n">
        <f aca="false">AD93-DateToday+1</f>
        <v>-6949</v>
      </c>
      <c r="BI93" s="540" t="n">
        <f aca="false">(I93-DateToday+1)/365.25</f>
        <v>-18.984257357974</v>
      </c>
      <c r="BJ93" s="541" t="n">
        <f aca="false">BI93+(BL93-BI93)*CHOOSE(Underlying,AJ93/AI93,AM93/AL93)</f>
        <v>-18.9282558646008</v>
      </c>
      <c r="BK93" s="541" t="n">
        <f aca="false">BJ93+1/365.25</f>
        <v>-18.9255180138137</v>
      </c>
      <c r="BL93" s="541" t="n">
        <f aca="false">(I94-DateToday)/365.25</f>
        <v>-18.90212183436</v>
      </c>
      <c r="BM93" s="542" t="e">
        <f aca="false">MAX(BI93-(BJ93-BI93)*(S94^2/O94^2-1),0)</f>
        <v>#DIV/0!</v>
      </c>
      <c r="BN93" s="541" t="e">
        <f aca="false">MAX(BL93+(BL93-BK93)*(S95^2/O95^2-1),0)</f>
        <v>#DIV/0!</v>
      </c>
      <c r="BO93" s="530" t="n">
        <f aca="false">CHOOSE(Underlying,AI93,AL93)</f>
        <v>22</v>
      </c>
      <c r="BP93" s="529" t="n">
        <f aca="false">CHOOSE(Underlying,AJ93,AM93)</f>
        <v>15</v>
      </c>
      <c r="BQ93" s="529" t="n">
        <f aca="false">CHOOSE(Underlying,AK93,AN93)</f>
        <v>7</v>
      </c>
      <c r="BR93" s="463" t="str">
        <f aca="false">IF(BD93,IF(Underlying=1,X93,Z93)+UnderlyingPriceAsian-SwapPriceCurve,"")</f>
        <v/>
      </c>
      <c r="BS93" s="463" t="str">
        <f aca="false">IF(BD93,Strike1/BR93-1,"")</f>
        <v/>
      </c>
      <c r="BT93" s="464" t="str">
        <f aca="false">IF(BD93,Strike2/BR93-1,"")</f>
        <v/>
      </c>
      <c r="BU93" s="465" t="str">
        <f aca="false">IF(BD93,IF(Underlying=1,L94,R94)+UnderlyingPriceAsian-SwapPriceCurve,"")</f>
        <v/>
      </c>
      <c r="BV93" s="465" t="str">
        <f aca="false">IF(BD93,IF(Underlying=1,L95,R95)+UnderlyingPriceAsian-SwapPriceCurve,"")</f>
        <v/>
      </c>
      <c r="BW93" s="466" t="str">
        <f aca="false">IF(BD93,IF(Underlying=1,O94,AT94),"")</f>
        <v/>
      </c>
      <c r="BX93" s="467" t="str">
        <f aca="false">IF(BD93,IF(Underlying=1,O95,AT95),"")</f>
        <v/>
      </c>
      <c r="BY93" s="466" t="str">
        <f aca="false">IF(BD93,IF(BS93&gt;0,IF(BS93&gt;0.2,BC93-BB93,IF(BS93&gt;0.1,BB93-BA93,BA93)),IF(BS93&lt;-0.2,AX93-AY93,IF(BS93&lt;-0.1,AY93-AZ93,AZ93))),"")</f>
        <v/>
      </c>
      <c r="BZ93" s="467" t="str">
        <f aca="false">IF(BD93,IF(BT93&gt;0,IF(BT93&gt;0.2,BC93-BB93,IF(BT93&gt;0.1,BB93-BA93,BA93)),IF(BT93&lt;-0.2,AX93-AY93,IF(BT93&lt;-0.1,AY93-AZ93,AZ93))),"")</f>
        <v/>
      </c>
      <c r="CA93" s="468" t="str">
        <f aca="false">IF($BD93,$BW93+IF(VolSkewFlag=1,IF(BS93&gt;0,$BA93*MIN(BS93/10%,1)+($BB93-$BA93)*MAX(0,MIN(BS93/10%-1,1))+($BC93-$BB93)*MAX(0,BS93/10%-2),$AZ93*MIN(-BS93/10%,1)+($AY93-$AZ93)*MAX(0,MIN(-BS93/10%-1,1))+($AX93-$AY93)*MAX(0,-BS93/10%-2)),0),"")</f>
        <v/>
      </c>
      <c r="CB93" s="468" t="str">
        <f aca="false">IF($BD93,$BX93+IF(VolSkewFlag=1,IF(BS93&gt;0,$BA93*MIN(BS93/10%,1)+($BB93-$BA93)*MAX(0,MIN(BS93/10%-1,1))+($BC93-$BB93)*MAX(0,BS93/10%-2),$AZ93*MIN(-BS93/10%,1)+($AY93-$AZ93)*MAX(0,MIN(-BS93/10%-1,1))+($AX93-$AY93)*MAX(0,-BS93/10%-2)),0),"")</f>
        <v/>
      </c>
      <c r="CC93" s="468" t="str">
        <f aca="false">IF($BD93,$BW93+IF(VolSkewFlag=1,IF(BT93&gt;0,$BA93*MIN(BT93/10%,1)+($BB93-$BA93)*MAX(0,MIN(BT93/10%-1,1))+($BC93-$BB93)*MAX(0,BT93/10%-2),$AZ93*MIN(-BT93/10%,1)+($AY93-$AZ93)*MAX(0,MIN(-BT93/10%-1,1))+($AX93-$AY93)*MAX(0,-BT93/10%-2)),0),"")</f>
        <v/>
      </c>
      <c r="CD93" s="468" t="str">
        <f aca="false">IF($BD93,$BX93+IF(VolSkewFlag=1,IF(BT93&gt;0,$BA93*MIN(BT93/10%,1)+($BB93-$BA93)*MAX(0,MIN(BT93/10%-1,1))+($BC93-$BB93)*MAX(0,BT93/10%-2),$AZ93*MIN(-BT93/10%,1)+($AY93-$AZ93)*MAX(0,MIN(-BT93/10%-1,1))+($AX93-$AY93)*MAX(0,-BT93/10%-2)),0),"")</f>
        <v/>
      </c>
      <c r="CE93" s="469" t="n">
        <v>1</v>
      </c>
      <c r="CF93" s="470" t="n">
        <f aca="false">IF(BD93,xCrudeAPO(BU93,BV93,CA93,CB93,S94,S95,BI93,BL93,BP93,BQ93,0,Strike1,AO93,CE93,0,BL93,IF(OptControl=4,0,1),0,1),0)</f>
        <v>0</v>
      </c>
      <c r="CG93" s="470" t="n">
        <f aca="false">IF(BD93,xCrudeAPO(BU93,BV93,CA93,CB93,S94,S95,BI93,BL93,BP93,BQ93,0,Strike1,AO93,CE93,0,BL93,IF(OptControl=4,0,1),1,1)+xCrudeAPO(BU93,BV93,CA93,CB93,S94,S95,BI93,BL93,BP93,BQ93,0,Strike1,AO93,CE93,0,BL93,IF(OptControl=4,0,1),1,2)+IF(OR(VolSkewFlag=2,ABS(BS93)&lt;0.0001),0,IF(BS93&gt;0,-1,1)*CH93*Strike1/BR93^2*BY93/10%),0)</f>
        <v>0</v>
      </c>
      <c r="CH93" s="470" t="n">
        <f aca="false">IF(BD93,(xCrudeAPO(BU93,BV93,CA93,CB93,S94,S95,BI93,BL93,BP93,BQ93,0,Strike1,AO93,CE93,0,BL93,IF(OptControl=4,0,1),3,1)+xCrudeAPO(BU93,BV93,CA93,CB93,S94,S95,BI93,BL93,BP93,BQ93,0,Strike1,AO93,CE93,0,BL93,IF(OptControl=4,0,1),3,2))/100,0)</f>
        <v>0</v>
      </c>
      <c r="CI93" s="470" t="n">
        <f aca="false">IF(BD93,xCrudeAPO(BU93,BV93,CA93,CB93,S94,S95,BI93-DaysForThetaCalculation/365.25,BL93-DaysForThetaCalculation/365.25,BP93,BQ93,0,Strike1,AO93,CE93,0,BL93,IF(OptControl=4,0,1),0,1)-xCrudeAPO(BU93,BV93,CA93,CB93,S94,S95,BI93,BL93,BP93,BQ93,0,Strike1,AO93,CE93,0,BL93,IF(OptControl=4,0,1),0,1),0)</f>
        <v>0</v>
      </c>
      <c r="CJ93" s="471" t="n">
        <f aca="false">IF(BD93,xCrudeAPO(BU93,BV93,CC93,CD93,S94,S95,BI93,BL93,BP93,BQ93,0,Strike2,AO93,CE93,0,BL93,IF(OptControl=3,1,0),0,1),0)</f>
        <v>0</v>
      </c>
      <c r="CK93" s="470" t="n">
        <f aca="false">IF(BD93,xCrudeAPO(BU93,BV93,CC93,CD93,S94,S95,BI93,BL93,BP93,BQ93,0,Strike2,AO93,CE93,0,BL93,IF(OptControl=3,1,0),1,1)+xCrudeAPO(BU93,BV93,CC93,CD93,S94,S95,BI93,BL93,BP93,BQ93,0,Strike2,AO93,CE93,0,BL93,IF(OptControl=3,1,0),1,2)+IF(OR(VolSkewFlag=2,ABS(BT93)&lt;0.0001),0,IF(BT93&gt;0,-1,1)*CL93*Strike2/BR93^2*BZ93/10%),0)</f>
        <v>0</v>
      </c>
      <c r="CL93" s="470" t="n">
        <f aca="false">IF(BD93,(xCrudeAPO(BU93,BV93,CC93,CD93,S94,S95,BI93,BL93,BP93,BQ93,0,Strike2,AO93,CE93,0,BL93,IF(OptControl=3,1,0),3,1)+xCrudeAPO(BU93,BV93,CC93,CD93,S94,S95,BI93,BL93,BP93,BQ93,0,Strike2,AO93,CE93,0,BL93,IF(OptControl=3,1,0),3,2))/100,0)</f>
        <v>0</v>
      </c>
      <c r="CM93" s="472" t="n">
        <f aca="false">IF(BD93,xCrudeAPO(BU93,BV93,CC93,CD93,S94,S95,BI93-DaysForThetaCalculation/365.25,BL93-DaysForThetaCalculation/365.25,BP93,BQ93,0,Strike2,AO93,CE93,0,BL93,IF(OptControl=3,1,0),0,1)-xCrudeAPO(BU93,BV93,CC93,CD93,S94,S95,BI93,BL93,BP93,BQ93,0,Strike2,AO93,CE93,0,BL93,IF(OptControl=3,1,0),0,1),0)</f>
        <v>0</v>
      </c>
      <c r="CN93" s="3"/>
      <c r="CO93" s="543" t="str">
        <f aca="false">IF(BD93,CHOOSE(Underlying,AD93,AF93)-DateToday+1,"")</f>
        <v/>
      </c>
      <c r="CP93" s="582" t="str">
        <f aca="false">IF(BD93,CHOOSE(Underlying,L93,R93),"")</f>
        <v/>
      </c>
      <c r="CQ93" s="544" t="str">
        <f aca="false">IF(BD93,Strike1/CP93-1,"")</f>
        <v/>
      </c>
      <c r="CR93" s="544" t="str">
        <f aca="false">IF(BD93,Strike2/CP93-1,"")</f>
        <v/>
      </c>
      <c r="CS93" s="544" t="str">
        <f aca="false">IF(BD93,IF(CQ93&gt;0,IF(CQ93&gt;0.2,BC92-BB92,IF(CQ93&gt;0.1,BB92-BA92,BA92)),IF(CQ93&lt;-0.2,AX92-AY92,IF(CQ93&lt;-0.1,AY92-AZ92,AZ92))),"")</f>
        <v/>
      </c>
      <c r="CT93" s="544" t="str">
        <f aca="false">IF(BD93,IF(CR93&gt;0,IF(CR93&gt;0.2,BC92-BB92,IF(CR93&gt;0.1,BB92-BA92,BA92)),IF(CR93&lt;-0.2,AX92-AY92,IF(CR93&lt;-0.1,AY92-AZ92,AZ92))),"")</f>
        <v/>
      </c>
      <c r="CU93" s="545" t="str">
        <f aca="false">IF(BD93,CHOOSE(Underlying,O93,AT93),"")</f>
        <v/>
      </c>
      <c r="CV93" s="545" t="str">
        <f aca="false">IF(BD93,CU93+IF(VolSkewFlag=1,IF(CQ93&gt;0,BA92*MIN(CQ93/10%,1)+(BB92-BA92)*MAX(0,MIN(CQ93/10%-1,1))+(BC92-BB92)*MAX(0,CQ93/10%-2),AZ92*MIN(-CQ93/10%,1)+(AY92-AZ92)*MAX(0,MIN(-CQ93/10%-1,1))+(AX92-AY92)*MAX(0,-CQ93/10%-2)),0),"")</f>
        <v/>
      </c>
      <c r="CW93" s="545" t="str">
        <f aca="false">IF(BD93,CU93+IF(VolSkewFlag=1,IF(CR93&gt;0,BA92*MIN(CR93/10%,1)+(BB92-BA92)*MAX(0,MIN(CR93/10%-1,1))+(BC92-BB92)*MAX(0,CR93/10%-2),AZ92*MIN(-CR93/10%,1)+(AY92-AZ92)*MAX(0,MIN(-CR93/10%-1,1))+(AX92-AY92)*MAX(0,-CR93/10%-2)),0),"")</f>
        <v/>
      </c>
      <c r="CX93" s="470" t="n">
        <f aca="false">IF(BD93,EURO(CP93,Strike1,AO93,AO93,CV93,CO93,IF(OptControl=4,0,1),0),0)</f>
        <v>0</v>
      </c>
      <c r="CY93" s="470" t="n">
        <f aca="false">IF(BD93,EURO(CP93,Strike1,AO93,AO93,CV93,CO93,IF(OptControl=4,0,1),1)+IF(OR(VolSkewFlag=2,ABS(CQ93)&lt;0.0001),0,IF(CQ93&gt;0,-1,1)*CZ93*100*Strike1/CP93^2*CS93/10%),0)</f>
        <v>0</v>
      </c>
      <c r="CZ93" s="470" t="n">
        <f aca="false">IF(BD93,EURO(CP93,Strike1,AO93,AO93,CV93,CO93,IF(OptControl=4,0,1),3)/100,0)</f>
        <v>0</v>
      </c>
      <c r="DA93" s="470" t="n">
        <f aca="false">IF(BD93,EURO(CP93,Strike1,AO93,AO93,CV93,CO93,IF(OptControl=4,0,1),0)-EURO(CP93,Strike1,AO93,AO93,CV93,CO93-1,IF(OptControl=4,0,1),0),0)</f>
        <v>0</v>
      </c>
      <c r="DB93" s="470" t="n">
        <f aca="false">IF(BD93,EURO(CP93,Strike2,AO93,AO93,CW93,CO93,IF(OptControl=3,1,0),0),0)</f>
        <v>0</v>
      </c>
      <c r="DC93" s="470" t="n">
        <f aca="false">IF(BD93,EURO(CP93,Strike2,AO93,AO93,CW93,CO93,IF(OptControl=3,1,0),1)+IF(OR(VolSkewFlag=2,ABS(CR93)&lt;0.0001),0,IF(CR93&gt;0,-1,1)*DD93*100*Strike2/CP93^2*CT93/10%),0)</f>
        <v>0</v>
      </c>
      <c r="DD93" s="470" t="n">
        <f aca="false">IF(BD93,EURO(CP93,Strike2,AO93,AO93,CW93,CO93,IF(OptControl=3,1,0),3)/100,0)</f>
        <v>0</v>
      </c>
      <c r="DE93" s="472" t="n">
        <f aca="false">IF(BD93,EURO(CP93,Strike2,AO93,AO93,CW93,CO93,IF(OptControl=3,1,0),0)-EURO(CP93,Strike2,AO93,AO93,CW93,CO93-1,IF(OptControl=3,1,0),0),0)</f>
        <v>0</v>
      </c>
      <c r="DG93" s="481" t="n">
        <f aca="false">EOMONTH(DG92,0)+1</f>
        <v>47908</v>
      </c>
      <c r="DH93" s="478" t="n">
        <v>18.3175</v>
      </c>
      <c r="DI93" s="479" t="n">
        <v>18.3163405797101</v>
      </c>
      <c r="DJ93" s="480" t="n">
        <f aca="false">DG93</f>
        <v>47908</v>
      </c>
      <c r="DK93" s="478" t="n">
        <v>17.1538942951538</v>
      </c>
      <c r="DL93" s="479" t="n">
        <v>17.1573405797101</v>
      </c>
      <c r="DM93" s="481" t="n">
        <f aca="false">DG93</f>
        <v>47908</v>
      </c>
      <c r="DN93" s="482" t="n">
        <f aca="false">DK93+BrentPhyBrentSpread</f>
        <v>17.2038942951538</v>
      </c>
      <c r="DO93" s="481" t="n">
        <f aca="false">DG93</f>
        <v>47908</v>
      </c>
      <c r="DP93" s="483" t="n">
        <f aca="false">DL93+DQ93</f>
        <v>17.1573405797101</v>
      </c>
      <c r="DQ93" s="546" t="n">
        <v>0</v>
      </c>
      <c r="DR93" s="480" t="n">
        <f aca="false">DG93</f>
        <v>47908</v>
      </c>
      <c r="DS93" s="485" t="n">
        <v>0.1808</v>
      </c>
      <c r="DT93" s="486" t="n">
        <v>0.179965217391304</v>
      </c>
      <c r="DU93" s="480" t="n">
        <f aca="false">DG93</f>
        <v>47908</v>
      </c>
      <c r="DV93" s="485" t="n">
        <v>0.1808</v>
      </c>
      <c r="DW93" s="486" t="n">
        <v>0.179965217391304</v>
      </c>
      <c r="DX93" s="481" t="n">
        <f aca="false">DG93</f>
        <v>47908</v>
      </c>
      <c r="DY93" s="486" t="n">
        <v>0.35</v>
      </c>
      <c r="DZ93" s="481" t="n">
        <f aca="false">DR93</f>
        <v>47908</v>
      </c>
      <c r="EA93" s="486" t="n">
        <f aca="false">DT93</f>
        <v>0.179965217391304</v>
      </c>
      <c r="EB93" s="195"/>
      <c r="EC93" s="547" t="str">
        <f aca="false">IF(BD93,IF(Underlying=1,AS93,AU93),"")</f>
        <v/>
      </c>
      <c r="ED93" s="548" t="str">
        <f aca="false">IF($BD93,$EC93+IF(VolSkewFlag=1,IF(BS93&gt;0,$BA93*MIN(BS93/10%,1)+($BB93-$BA93)*MAX(0,MIN(BS93/10%-1,1))+($BC93-$BB93)*MAX(0,BS93/10%-2),$AZ93*MIN(-BS93/10%,1)+($AY93-$AZ93)*MAX(0,MIN(-BS93/10%-1,1))+($AX93-$AY93)*MAX(0,-BS93/10%-2)),0),"")</f>
        <v/>
      </c>
      <c r="EE93" s="549" t="str">
        <f aca="false">IF($BD93,$EC93+IF(VolSkewFlag=1,IF(BT93&gt;0,$BA93*MIN(BT93/10%,1)+($BB93-$BA93)*MAX(0,MIN(BT93/10%-1,1))+($BC93-$BB93)*MAX(0,BT93/10%-2),$AZ93*MIN(-BT93/10%,1)+($AY93-$AZ93)*MAX(0,MIN(-BT93/10%-1,1))+($AX93-$AY93)*MAX(0,-BT93/10%-2)),0),"")</f>
        <v/>
      </c>
      <c r="EF93" s="550" t="n">
        <f aca="false">IF(BD93,xASN(BR93,Strike1,AO93,ED93,0,BO93,0,BI93,BL93,IF(OptControl=4,0,1),0),0)</f>
        <v>0</v>
      </c>
      <c r="EG93" s="551" t="n">
        <f aca="false">IF(BD93,xASN(BR93,Strike2,AO93,EE93,0,BO93,0,BI93,BL93,IF(OptControl=3,1,0),0),0)</f>
        <v>0</v>
      </c>
      <c r="EL93" s="1"/>
      <c r="EM93" s="195"/>
      <c r="EN93" s="556" t="n">
        <v>44562</v>
      </c>
      <c r="EO93" s="557" t="n">
        <v>50034</v>
      </c>
      <c r="EP93" s="195"/>
      <c r="EQ93" s="407" t="s">
        <v>319</v>
      </c>
      <c r="ES93" s="587" t="n">
        <v>74</v>
      </c>
      <c r="ET93" s="559" t="n">
        <f aca="false">BH93/365.25</f>
        <v>-19.025325119781</v>
      </c>
      <c r="EU93" s="671" t="n">
        <f aca="false">O93^2*ET93</f>
        <v>-0</v>
      </c>
      <c r="EV93" s="478"/>
      <c r="EW93" s="131"/>
      <c r="EX93" s="131"/>
      <c r="EY93" s="129"/>
      <c r="EZ93" s="129"/>
      <c r="FA93" s="129"/>
      <c r="FB93" s="129"/>
      <c r="FC93" s="129"/>
      <c r="FD93" s="129"/>
      <c r="FE93" s="129"/>
      <c r="FF93" s="129"/>
      <c r="FG93" s="129"/>
      <c r="FH93" s="129"/>
      <c r="FI93" s="129"/>
      <c r="FJ93" s="415" t="s">
        <v>320</v>
      </c>
      <c r="FK93" s="129"/>
      <c r="FL93" s="129"/>
      <c r="FM93" s="129"/>
      <c r="FN93" s="129"/>
      <c r="FO93" s="129"/>
      <c r="FP93" s="129"/>
      <c r="FQ93" s="129"/>
      <c r="FR93" s="129"/>
      <c r="FS93" s="129"/>
      <c r="FT93" s="129"/>
      <c r="FU93" s="129"/>
      <c r="FV93" s="129"/>
      <c r="FW93" s="129"/>
      <c r="FX93" s="129"/>
      <c r="FY93" s="129"/>
      <c r="FZ93" s="129"/>
      <c r="GA93" s="129"/>
      <c r="GB93" s="129"/>
      <c r="GC93" s="129"/>
      <c r="GD93" s="129"/>
      <c r="GE93" s="129"/>
      <c r="GF93" s="129"/>
      <c r="GG93" s="129"/>
      <c r="GH93" s="129"/>
      <c r="GI93" s="129"/>
      <c r="GJ93" s="129"/>
      <c r="GK93" s="129"/>
      <c r="GL93" s="129"/>
      <c r="GM93" s="129"/>
      <c r="GN93" s="129"/>
      <c r="GO93" s="129"/>
      <c r="GP93" s="129"/>
      <c r="GQ93" s="129"/>
      <c r="GR93" s="129"/>
      <c r="GS93" s="129"/>
      <c r="GT93" s="129"/>
      <c r="GU93" s="129"/>
      <c r="GV93" s="129"/>
      <c r="GW93" s="129"/>
      <c r="GX93" s="129"/>
      <c r="GY93" s="129"/>
      <c r="GZ93" s="129"/>
      <c r="HA93" s="129"/>
      <c r="HB93" s="129"/>
      <c r="HC93" s="129"/>
      <c r="HD93" s="129"/>
      <c r="HE93" s="129"/>
      <c r="HF93" s="129"/>
      <c r="HG93" s="129"/>
      <c r="HH93" s="129"/>
      <c r="HI93" s="129"/>
      <c r="HJ93" s="129"/>
      <c r="HK93" s="129"/>
      <c r="HL93" s="129"/>
      <c r="HM93" s="129"/>
      <c r="HN93" s="129"/>
      <c r="HO93" s="129"/>
      <c r="HP93" s="129"/>
      <c r="HQ93" s="129"/>
      <c r="HR93" s="129"/>
      <c r="HS93" s="129"/>
      <c r="HT93" s="129"/>
      <c r="HU93" s="129"/>
      <c r="HV93" s="129"/>
      <c r="HW93" s="129"/>
      <c r="HX93" s="129"/>
      <c r="HY93" s="129"/>
      <c r="HZ93" s="129"/>
      <c r="IA93" s="129"/>
      <c r="IB93" s="129"/>
      <c r="IC93" s="129"/>
      <c r="ID93" s="129"/>
      <c r="IE93" s="129"/>
    </row>
    <row r="94" customFormat="false" ht="12.75" hidden="false" customHeight="false" outlineLevel="0" collapsed="false">
      <c r="H94" s="219" t="n">
        <f aca="false">VLOOKUP(I94,$EJ$20:$EL$54,3)</f>
        <v>0</v>
      </c>
      <c r="I94" s="511" t="n">
        <f aca="false">EOMONTH(I93,0)+1</f>
        <v>39022</v>
      </c>
      <c r="J94" s="512"/>
      <c r="K94" s="513" t="s">
        <v>250</v>
      </c>
      <c r="L94" s="514" t="e">
        <f aca="false">IF(ISNUMBER(K94),J94+K94/100,IF(K94="extra",L93+VLOOKUP(BF94,PriceSpreadTable,2)/12,IF(K94="inter",interpolateprices($K$19:$L$200,ROW(K94)-ROW(FirstPricingMonth)+1),interpolatechanges($J$19:$K$200,ROW(K94)-ROW(FirstPricingMonth)+1))))</f>
        <v>#VALUE!</v>
      </c>
      <c r="M94" s="515"/>
      <c r="N94" s="516" t="n">
        <v>0</v>
      </c>
      <c r="O94" s="515" t="n">
        <f aca="false">M94+N94</f>
        <v>0</v>
      </c>
      <c r="P94" s="512"/>
      <c r="Q94" s="513" t="s">
        <v>280</v>
      </c>
      <c r="R94" s="512" t="e">
        <f aca="false">IF(ISNUMBER(Q94),P94+Q94/100,IF(Q94="extra",(Z92*AL92-R93*AM92)/AN92,IF(Q94="inter",interpolateprices($Q$19:$R$260,ROW(Q94)-ROW(FirstPricingMonth)+1),interpolatechanges($P$19:$Q$260,ROW(Q94)-ROW(FirstPricingMonth)+1))))</f>
        <v>#VALUE!</v>
      </c>
      <c r="S94" s="597" t="n">
        <f aca="false">S$19+(S93-S$19)*S$18</f>
        <v>0.360000000030306</v>
      </c>
      <c r="T94" s="575" t="n">
        <f aca="false">SQRT((1-(1-T93^2/U93)*T$18)*U94)</f>
        <v>0.99999896251512</v>
      </c>
      <c r="U94" s="576" t="n">
        <f aca="false">1-(1-U93)*U$18</f>
        <v>0.999999999991476</v>
      </c>
      <c r="V94" s="521" t="n">
        <v>0</v>
      </c>
      <c r="W94" s="577" t="n">
        <f aca="false">(J95*AJ94+J96*AK94)/AI94</f>
        <v>0</v>
      </c>
      <c r="X94" s="578" t="e">
        <f aca="false">(L95*AJ94+L96*AK94)/AI94</f>
        <v>#VALUE!</v>
      </c>
      <c r="Y94" s="579" t="n">
        <f aca="false">IF(Q96="extra",W94-AA94,(P95*AM94+P96*AN94)/AL94)</f>
        <v>-1.1446</v>
      </c>
      <c r="Z94" s="579" t="e">
        <f aca="false">IF(Q96="extra",X94-AB94,(R95*AM94+R96*AN94)/AL94)</f>
        <v>#VALUE!</v>
      </c>
      <c r="AA94" s="523" t="n">
        <f aca="false">IF(Q96="extra",INDEX(BrentSeasonalityTable,INT((BG94-1)/3)+1)*VLOOKUP(MAX(BF94,$AB$4),PriceSpreadTable,3),W94-Y94)</f>
        <v>1.1446</v>
      </c>
      <c r="AB94" s="524" t="n">
        <f aca="false">IF(Q96="extra",INDEX(BrentSeasonalityTable,INT((BG94-1)/3)+1)*VLOOKUP(MAX(BF94,$AB$4),PriceSpreadTable,3),X94-Z94)</f>
        <v>1.1446</v>
      </c>
      <c r="AC94" s="646" t="n">
        <v>39010</v>
      </c>
      <c r="AD94" s="646" t="n">
        <v>39006</v>
      </c>
      <c r="AE94" s="646" t="n">
        <v>39005</v>
      </c>
      <c r="AF94" s="646" t="n">
        <v>39001</v>
      </c>
      <c r="AG94" s="438" t="s">
        <v>247</v>
      </c>
      <c r="AH94" s="439" t="s">
        <v>278</v>
      </c>
      <c r="AI94" s="528" t="n">
        <v>22</v>
      </c>
      <c r="AJ94" s="529" t="n">
        <v>14</v>
      </c>
      <c r="AK94" s="529" t="n">
        <v>8</v>
      </c>
      <c r="AL94" s="530" t="n">
        <v>22</v>
      </c>
      <c r="AM94" s="529" t="n">
        <v>10</v>
      </c>
      <c r="AN94" s="531" t="n">
        <v>12</v>
      </c>
      <c r="AO94" s="532"/>
      <c r="AP94" s="465" t="n">
        <f aca="false">(1+AO94/2)^(-2*BL94)</f>
        <v>1</v>
      </c>
      <c r="AQ94" s="532"/>
      <c r="AR94" s="465" t="n">
        <f aca="false">(1+AQ94/2)^(-2*BH94/365.25)</f>
        <v>1</v>
      </c>
      <c r="AS94" s="580" t="n">
        <f aca="false">(O95*AJ94+O96*AK94)/AI94</f>
        <v>0</v>
      </c>
      <c r="AT94" s="468" t="n">
        <f aca="false">O94*VLOOKUP(BF94,BrentVolTable,2)+VLOOKUP(BF94,BrentVolTable,3)</f>
        <v>0</v>
      </c>
      <c r="AU94" s="468" t="n">
        <f aca="false">(AT95*AM94+AT96*AN94)/AL94</f>
        <v>0</v>
      </c>
      <c r="AV94" s="595" t="n">
        <f aca="false">SQRT(MAX(0.000000000001,(O94^2*BH94-S94^2*(BH94-BH93))/BH93))</f>
        <v>0.0236538572929941</v>
      </c>
      <c r="AW94" s="451" t="n">
        <f aca="false">IF($I94-DateToday+15&gt;=$T$8,"",IF($I94-DateToday+15&lt;$T$5,1,MATCH($I94-DateToday+15,$T$5:$T$8)))</f>
        <v>1</v>
      </c>
      <c r="AX94" s="468" t="n">
        <f aca="false">IF($AW94="",AX93^2/AX92,INDEX(U$5:U$8,$AW94)^((INDEX($T$5:$T$8,$AW94+1)-($I94-DateToday+15))/(INDEX($T$5:$T$8,$AW94+1)-INDEX($T$5:$T$8,$AW94)))/INDEX(U$5:U$8,$AW94+1)^((INDEX($T$5:$T$8,$AW94)-($I94-DateToday+15))/(INDEX($T$5:$T$8,$AW94+1)-INDEX($T$5:$T$8,$AW94))))</f>
        <v>2.58030182918853</v>
      </c>
      <c r="AY94" s="468" t="n">
        <f aca="false">IF($AW94="",AY93^2/AY92,INDEX(V$5:V$8,$AW94)^((INDEX($T$5:$T$8,$AW94+1)-($I94-DateToday+15))/(INDEX($T$5:$T$8,$AW94+1)-INDEX($T$5:$T$8,$AW94)))/INDEX(V$5:V$8,$AW94+1)^((INDEX($T$5:$T$8,$AW94)-($I94-DateToday+15))/(INDEX($T$5:$T$8,$AW94+1)-INDEX($T$5:$T$8,$AW94))))</f>
        <v>231.029454086659</v>
      </c>
      <c r="AZ94" s="468" t="n">
        <f aca="false">IF($AW94="",AZ93^2/AZ92,INDEX(W$5:W$8,$AW94)^((INDEX($T$5:$T$8,$AW94+1)-($I94-DateToday+15))/(INDEX($T$5:$T$8,$AW94+1)-INDEX($T$5:$T$8,$AW94)))/INDEX(W$5:W$8,$AW94+1)^((INDEX($T$5:$T$8,$AW94)-($I94-DateToday+15))/(INDEX($T$5:$T$8,$AW94+1)-INDEX($T$5:$T$8,$AW94))))</f>
        <v>1591050.83350899</v>
      </c>
      <c r="BA94" s="468" t="n">
        <f aca="false">IF($AW94="",BA93^2/BA92,INDEX(X$5:X$8,$AW94)^((INDEX($T$5:$T$8,$AW94+1)-($I94-DateToday+15))/(INDEX($T$5:$T$8,$AW94+1)-INDEX($T$5:$T$8,$AW94)))/INDEX(X$5:X$8,$AW94+1)^((INDEX($T$5:$T$8,$AW94)-($I94-DateToday+15))/(INDEX($T$5:$T$8,$AW94+1)-INDEX($T$5:$T$8,$AW94))))</f>
        <v>42764493.5003663</v>
      </c>
      <c r="BB94" s="468" t="n">
        <f aca="false">IF($AW94="",BB93^2/BB92,INDEX(Y$5:Y$8,$AW94)^((INDEX($T$5:$T$8,$AW94+1)-($I94-DateToday+15))/(INDEX($T$5:$T$8,$AW94+1)-INDEX($T$5:$T$8,$AW94)))/INDEX(Y$5:Y$8,$AW94+1)^((INDEX($T$5:$T$8,$AW94)-($I94-DateToday+15))/(INDEX($T$5:$T$8,$AW94+1)-INDEX($T$5:$T$8,$AW94))))</f>
        <v>568333300.370406</v>
      </c>
      <c r="BC94" s="468" t="n">
        <f aca="false">IF($AW94="",BC93^2/BC92,INDEX(Z$5:Z$8,$AW94)^((INDEX($T$5:$T$8,$AW94+1)-($I94-DateToday+15))/(INDEX($T$5:$T$8,$AW94+1)-INDEX($T$5:$T$8,$AW94)))/INDEX(Z$5:Z$8,$AW94+1)^((INDEX($T$5:$T$8,$AW94)-($I94-DateToday+15))/(INDEX($T$5:$T$8,$AW94+1)-INDEX($T$5:$T$8,$AW94))))</f>
        <v>2679675871.93169</v>
      </c>
      <c r="BD94" s="535" t="n">
        <f aca="false">IF(OR(DateStart&gt;=I95,DateEnd&lt;I94),0,IF(VolumeOverrideFlag,V94,Volume))</f>
        <v>0</v>
      </c>
      <c r="BE94" s="536" t="n">
        <f aca="false">IF(OR(DateStart2&gt;=I95,DateEnd2&lt;I94),0,IF(VolumeOverrideFlag,V94,VolumeSwaption))</f>
        <v>0</v>
      </c>
      <c r="BF94" s="537" t="n">
        <f aca="false">YEAR(I94)</f>
        <v>2006</v>
      </c>
      <c r="BG94" s="538" t="n">
        <f aca="false">MONTH(I94)</f>
        <v>11</v>
      </c>
      <c r="BH94" s="539" t="n">
        <f aca="false">AD94-DateToday+1</f>
        <v>-6919</v>
      </c>
      <c r="BI94" s="540" t="n">
        <f aca="false">(I94-DateToday+1)/365.25</f>
        <v>-18.8993839835729</v>
      </c>
      <c r="BJ94" s="541" t="n">
        <f aca="false">BI94+(BL94-BI94)*CHOOSE(Underlying,AJ94/AI94,AM94/AL94)</f>
        <v>-18.848858191774</v>
      </c>
      <c r="BK94" s="541" t="n">
        <f aca="false">BJ94+1/365.25</f>
        <v>-18.8461203409869</v>
      </c>
      <c r="BL94" s="541" t="n">
        <f aca="false">(I95-DateToday)/365.25</f>
        <v>-18.8199863107461</v>
      </c>
      <c r="BM94" s="542" t="e">
        <f aca="false">MAX(BI94-(BJ94-BI94)*(S95^2/O95^2-1),0)</f>
        <v>#DIV/0!</v>
      </c>
      <c r="BN94" s="541" t="e">
        <f aca="false">MAX(BL94+(BL94-BK94)*(S96^2/O96^2-1),0)</f>
        <v>#DIV/0!</v>
      </c>
      <c r="BO94" s="530" t="n">
        <f aca="false">CHOOSE(Underlying,AI94,AL94)</f>
        <v>22</v>
      </c>
      <c r="BP94" s="529" t="n">
        <f aca="false">CHOOSE(Underlying,AJ94,AM94)</f>
        <v>14</v>
      </c>
      <c r="BQ94" s="529" t="n">
        <f aca="false">CHOOSE(Underlying,AK94,AN94)</f>
        <v>8</v>
      </c>
      <c r="BR94" s="463" t="str">
        <f aca="false">IF(BD94,IF(Underlying=1,X94,Z94)+UnderlyingPriceAsian-SwapPriceCurve,"")</f>
        <v/>
      </c>
      <c r="BS94" s="463" t="str">
        <f aca="false">IF(BD94,Strike1/BR94-1,"")</f>
        <v/>
      </c>
      <c r="BT94" s="464" t="str">
        <f aca="false">IF(BD94,Strike2/BR94-1,"")</f>
        <v/>
      </c>
      <c r="BU94" s="465" t="str">
        <f aca="false">IF(BD94,IF(Underlying=1,L95,R95)+UnderlyingPriceAsian-SwapPriceCurve,"")</f>
        <v/>
      </c>
      <c r="BV94" s="465" t="str">
        <f aca="false">IF(BD94,IF(Underlying=1,L96,R96)+UnderlyingPriceAsian-SwapPriceCurve,"")</f>
        <v/>
      </c>
      <c r="BW94" s="466" t="str">
        <f aca="false">IF(BD94,IF(Underlying=1,O95,AT95),"")</f>
        <v/>
      </c>
      <c r="BX94" s="467" t="str">
        <f aca="false">IF(BD94,IF(Underlying=1,O96,AT96),"")</f>
        <v/>
      </c>
      <c r="BY94" s="466" t="str">
        <f aca="false">IF(BD94,IF(BS94&gt;0,IF(BS94&gt;0.2,BC94-BB94,IF(BS94&gt;0.1,BB94-BA94,BA94)),IF(BS94&lt;-0.2,AX94-AY94,IF(BS94&lt;-0.1,AY94-AZ94,AZ94))),"")</f>
        <v/>
      </c>
      <c r="BZ94" s="467" t="str">
        <f aca="false">IF(BD94,IF(BT94&gt;0,IF(BT94&gt;0.2,BC94-BB94,IF(BT94&gt;0.1,BB94-BA94,BA94)),IF(BT94&lt;-0.2,AX94-AY94,IF(BT94&lt;-0.1,AY94-AZ94,AZ94))),"")</f>
        <v/>
      </c>
      <c r="CA94" s="468" t="str">
        <f aca="false">IF($BD94,$BW94+IF(VolSkewFlag=1,IF(BS94&gt;0,$BA94*MIN(BS94/10%,1)+($BB94-$BA94)*MAX(0,MIN(BS94/10%-1,1))+($BC94-$BB94)*MAX(0,BS94/10%-2),$AZ94*MIN(-BS94/10%,1)+($AY94-$AZ94)*MAX(0,MIN(-BS94/10%-1,1))+($AX94-$AY94)*MAX(0,-BS94/10%-2)),0),"")</f>
        <v/>
      </c>
      <c r="CB94" s="468" t="str">
        <f aca="false">IF($BD94,$BX94+IF(VolSkewFlag=1,IF(BS94&gt;0,$BA94*MIN(BS94/10%,1)+($BB94-$BA94)*MAX(0,MIN(BS94/10%-1,1))+($BC94-$BB94)*MAX(0,BS94/10%-2),$AZ94*MIN(-BS94/10%,1)+($AY94-$AZ94)*MAX(0,MIN(-BS94/10%-1,1))+($AX94-$AY94)*MAX(0,-BS94/10%-2)),0),"")</f>
        <v/>
      </c>
      <c r="CC94" s="468" t="str">
        <f aca="false">IF($BD94,$BW94+IF(VolSkewFlag=1,IF(BT94&gt;0,$BA94*MIN(BT94/10%,1)+($BB94-$BA94)*MAX(0,MIN(BT94/10%-1,1))+($BC94-$BB94)*MAX(0,BT94/10%-2),$AZ94*MIN(-BT94/10%,1)+($AY94-$AZ94)*MAX(0,MIN(-BT94/10%-1,1))+($AX94-$AY94)*MAX(0,-BT94/10%-2)),0),"")</f>
        <v/>
      </c>
      <c r="CD94" s="468" t="str">
        <f aca="false">IF($BD94,$BX94+IF(VolSkewFlag=1,IF(BT94&gt;0,$BA94*MIN(BT94/10%,1)+($BB94-$BA94)*MAX(0,MIN(BT94/10%-1,1))+($BC94-$BB94)*MAX(0,BT94/10%-2),$AZ94*MIN(-BT94/10%,1)+($AY94-$AZ94)*MAX(0,MIN(-BT94/10%-1,1))+($AX94-$AY94)*MAX(0,-BT94/10%-2)),0),"")</f>
        <v/>
      </c>
      <c r="CE94" s="469" t="n">
        <v>1</v>
      </c>
      <c r="CF94" s="470" t="n">
        <f aca="false">IF(BD94,xCrudeAPO(BU94,BV94,CA94,CB94,S95,S96,BI94,BL94,BP94,BQ94,0,Strike1,AO94,CE94,0,BL94,IF(OptControl=4,0,1),0,1),0)</f>
        <v>0</v>
      </c>
      <c r="CG94" s="470" t="n">
        <f aca="false">IF(BD94,xCrudeAPO(BU94,BV94,CA94,CB94,S95,S96,BI94,BL94,BP94,BQ94,0,Strike1,AO94,CE94,0,BL94,IF(OptControl=4,0,1),1,1)+xCrudeAPO(BU94,BV94,CA94,CB94,S95,S96,BI94,BL94,BP94,BQ94,0,Strike1,AO94,CE94,0,BL94,IF(OptControl=4,0,1),1,2)+IF(OR(VolSkewFlag=2,ABS(BS94)&lt;0.0001),0,IF(BS94&gt;0,-1,1)*CH94*Strike1/BR94^2*BY94/10%),0)</f>
        <v>0</v>
      </c>
      <c r="CH94" s="470" t="n">
        <f aca="false">IF(BD94,(xCrudeAPO(BU94,BV94,CA94,CB94,S95,S96,BI94,BL94,BP94,BQ94,0,Strike1,AO94,CE94,0,BL94,IF(OptControl=4,0,1),3,1)+xCrudeAPO(BU94,BV94,CA94,CB94,S95,S96,BI94,BL94,BP94,BQ94,0,Strike1,AO94,CE94,0,BL94,IF(OptControl=4,0,1),3,2))/100,0)</f>
        <v>0</v>
      </c>
      <c r="CI94" s="470" t="n">
        <f aca="false">IF(BD94,xCrudeAPO(BU94,BV94,CA94,CB94,S95,S96,BI94-DaysForThetaCalculation/365.25,BL94-DaysForThetaCalculation/365.25,BP94,BQ94,0,Strike1,AO94,CE94,0,BL94,IF(OptControl=4,0,1),0,1)-xCrudeAPO(BU94,BV94,CA94,CB94,S95,S96,BI94,BL94,BP94,BQ94,0,Strike1,AO94,CE94,0,BL94,IF(OptControl=4,0,1),0,1),0)</f>
        <v>0</v>
      </c>
      <c r="CJ94" s="471" t="n">
        <f aca="false">IF(BD94,xCrudeAPO(BU94,BV94,CC94,CD94,S95,S96,BI94,BL94,BP94,BQ94,0,Strike2,AO94,CE94,0,BL94,IF(OptControl=3,1,0),0,1),0)</f>
        <v>0</v>
      </c>
      <c r="CK94" s="470" t="n">
        <f aca="false">IF(BD94,xCrudeAPO(BU94,BV94,CC94,CD94,S95,S96,BI94,BL94,BP94,BQ94,0,Strike2,AO94,CE94,0,BL94,IF(OptControl=3,1,0),1,1)+xCrudeAPO(BU94,BV94,CC94,CD94,S95,S96,BI94,BL94,BP94,BQ94,0,Strike2,AO94,CE94,0,BL94,IF(OptControl=3,1,0),1,2)+IF(OR(VolSkewFlag=2,ABS(BT94)&lt;0.0001),0,IF(BT94&gt;0,-1,1)*CL94*Strike2/BR94^2*BZ94/10%),0)</f>
        <v>0</v>
      </c>
      <c r="CL94" s="470" t="n">
        <f aca="false">IF(BD94,(xCrudeAPO(BU94,BV94,CC94,CD94,S95,S96,BI94,BL94,BP94,BQ94,0,Strike2,AO94,CE94,0,BL94,IF(OptControl=3,1,0),3,1)+xCrudeAPO(BU94,BV94,CC94,CD94,S95,S96,BI94,BL94,BP94,BQ94,0,Strike2,AO94,CE94,0,BL94,IF(OptControl=3,1,0),3,2))/100,0)</f>
        <v>0</v>
      </c>
      <c r="CM94" s="472" t="n">
        <f aca="false">IF(BD94,xCrudeAPO(BU94,BV94,CC94,CD94,S95,S96,BI94-DaysForThetaCalculation/365.25,BL94-DaysForThetaCalculation/365.25,BP94,BQ94,0,Strike2,AO94,CE94,0,BL94,IF(OptControl=3,1,0),0,1)-xCrudeAPO(BU94,BV94,CC94,CD94,S95,S96,BI94,BL94,BP94,BQ94,0,Strike2,AO94,CE94,0,BL94,IF(OptControl=3,1,0),0,1),0)</f>
        <v>0</v>
      </c>
      <c r="CN94" s="3"/>
      <c r="CO94" s="543" t="str">
        <f aca="false">IF(BD94,CHOOSE(Underlying,AD94,AF94)-DateToday+1,"")</f>
        <v/>
      </c>
      <c r="CP94" s="582" t="str">
        <f aca="false">IF(BD94,CHOOSE(Underlying,L94,R94),"")</f>
        <v/>
      </c>
      <c r="CQ94" s="544" t="str">
        <f aca="false">IF(BD94,Strike1/CP94-1,"")</f>
        <v/>
      </c>
      <c r="CR94" s="544" t="str">
        <f aca="false">IF(BD94,Strike2/CP94-1,"")</f>
        <v/>
      </c>
      <c r="CS94" s="544" t="str">
        <f aca="false">IF(BD94,IF(CQ94&gt;0,IF(CQ94&gt;0.2,BC93-BB93,IF(CQ94&gt;0.1,BB93-BA93,BA93)),IF(CQ94&lt;-0.2,AX93-AY93,IF(CQ94&lt;-0.1,AY93-AZ93,AZ93))),"")</f>
        <v/>
      </c>
      <c r="CT94" s="544" t="str">
        <f aca="false">IF(BD94,IF(CR94&gt;0,IF(CR94&gt;0.2,BC93-BB93,IF(CR94&gt;0.1,BB93-BA93,BA93)),IF(CR94&lt;-0.2,AX93-AY93,IF(CR94&lt;-0.1,AY93-AZ93,AZ93))),"")</f>
        <v/>
      </c>
      <c r="CU94" s="545" t="str">
        <f aca="false">IF(BD94,CHOOSE(Underlying,O94,AT94),"")</f>
        <v/>
      </c>
      <c r="CV94" s="545" t="str">
        <f aca="false">IF(BD94,CU94+IF(VolSkewFlag=1,IF(CQ94&gt;0,BA93*MIN(CQ94/10%,1)+(BB93-BA93)*MAX(0,MIN(CQ94/10%-1,1))+(BC93-BB93)*MAX(0,CQ94/10%-2),AZ93*MIN(-CQ94/10%,1)+(AY93-AZ93)*MAX(0,MIN(-CQ94/10%-1,1))+(AX93-AY93)*MAX(0,-CQ94/10%-2)),0),"")</f>
        <v/>
      </c>
      <c r="CW94" s="545" t="str">
        <f aca="false">IF(BD94,CU94+IF(VolSkewFlag=1,IF(CR94&gt;0,BA93*MIN(CR94/10%,1)+(BB93-BA93)*MAX(0,MIN(CR94/10%-1,1))+(BC93-BB93)*MAX(0,CR94/10%-2),AZ93*MIN(-CR94/10%,1)+(AY93-AZ93)*MAX(0,MIN(-CR94/10%-1,1))+(AX93-AY93)*MAX(0,-CR94/10%-2)),0),"")</f>
        <v/>
      </c>
      <c r="CX94" s="470" t="n">
        <f aca="false">IF(BD94,EURO(CP94,Strike1,AO94,AO94,CV94,CO94,IF(OptControl=4,0,1),0),0)</f>
        <v>0</v>
      </c>
      <c r="CY94" s="470" t="n">
        <f aca="false">IF(BD94,EURO(CP94,Strike1,AO94,AO94,CV94,CO94,IF(OptControl=4,0,1),1)+IF(OR(VolSkewFlag=2,ABS(CQ94)&lt;0.0001),0,IF(CQ94&gt;0,-1,1)*CZ94*100*Strike1/CP94^2*CS94/10%),0)</f>
        <v>0</v>
      </c>
      <c r="CZ94" s="470" t="n">
        <f aca="false">IF(BD94,EURO(CP94,Strike1,AO94,AO94,CV94,CO94,IF(OptControl=4,0,1),3)/100,0)</f>
        <v>0</v>
      </c>
      <c r="DA94" s="470" t="n">
        <f aca="false">IF(BD94,EURO(CP94,Strike1,AO94,AO94,CV94,CO94,IF(OptControl=4,0,1),0)-EURO(CP94,Strike1,AO94,AO94,CV94,CO94-1,IF(OptControl=4,0,1),0),0)</f>
        <v>0</v>
      </c>
      <c r="DB94" s="470" t="n">
        <f aca="false">IF(BD94,EURO(CP94,Strike2,AO94,AO94,CW94,CO94,IF(OptControl=3,1,0),0),0)</f>
        <v>0</v>
      </c>
      <c r="DC94" s="470" t="n">
        <f aca="false">IF(BD94,EURO(CP94,Strike2,AO94,AO94,CW94,CO94,IF(OptControl=3,1,0),1)+IF(OR(VolSkewFlag=2,ABS(CR94)&lt;0.0001),0,IF(CR94&gt;0,-1,1)*DD94*100*Strike2/CP94^2*CT94/10%),0)</f>
        <v>0</v>
      </c>
      <c r="DD94" s="470" t="n">
        <f aca="false">IF(BD94,EURO(CP94,Strike2,AO94,AO94,CW94,CO94,IF(OptControl=3,1,0),3)/100,0)</f>
        <v>0</v>
      </c>
      <c r="DE94" s="472" t="n">
        <f aca="false">IF(BD94,EURO(CP94,Strike2,AO94,AO94,CW94,CO94,IF(OptControl=3,1,0),0)-EURO(CP94,Strike2,AO94,AO94,CW94,CO94-1,IF(OptControl=3,1,0),0),0)</f>
        <v>0</v>
      </c>
      <c r="DG94" s="481" t="n">
        <f aca="false">EOMONTH(DG93,0)+1</f>
        <v>47939</v>
      </c>
      <c r="DH94" s="478" t="n">
        <v>18.3166666666667</v>
      </c>
      <c r="DI94" s="479" t="n">
        <v>18.3155833333333</v>
      </c>
      <c r="DJ94" s="480" t="n">
        <f aca="false">DG94</f>
        <v>47939</v>
      </c>
      <c r="DK94" s="478" t="n">
        <v>17.1626057048462</v>
      </c>
      <c r="DL94" s="479" t="n">
        <v>17.0345833333333</v>
      </c>
      <c r="DM94" s="481" t="n">
        <f aca="false">DG94</f>
        <v>47939</v>
      </c>
      <c r="DN94" s="482" t="n">
        <f aca="false">DK94+BrentPhyBrentSpread</f>
        <v>17.2126057048462</v>
      </c>
      <c r="DO94" s="481" t="n">
        <f aca="false">DG94</f>
        <v>47939</v>
      </c>
      <c r="DP94" s="483" t="n">
        <f aca="false">DL94+DQ94</f>
        <v>17.0345833333333</v>
      </c>
      <c r="DQ94" s="546" t="n">
        <v>0</v>
      </c>
      <c r="DR94" s="480" t="n">
        <f aca="false">DG94</f>
        <v>47939</v>
      </c>
      <c r="DS94" s="485" t="n">
        <v>0.1802</v>
      </c>
      <c r="DT94" s="486" t="n">
        <v>0.17942</v>
      </c>
      <c r="DU94" s="480" t="n">
        <f aca="false">DG94</f>
        <v>47939</v>
      </c>
      <c r="DV94" s="485" t="n">
        <v>0.1802</v>
      </c>
      <c r="DW94" s="486" t="n">
        <v>0.17942</v>
      </c>
      <c r="DX94" s="481" t="n">
        <f aca="false">DG94</f>
        <v>47939</v>
      </c>
      <c r="DY94" s="486" t="n">
        <v>0.35</v>
      </c>
      <c r="DZ94" s="481" t="n">
        <f aca="false">DR94</f>
        <v>47939</v>
      </c>
      <c r="EA94" s="486" t="n">
        <f aca="false">DT94</f>
        <v>0.17942</v>
      </c>
      <c r="EB94" s="195"/>
      <c r="EC94" s="547" t="str">
        <f aca="false">IF(BD94,IF(Underlying=1,AS94,AU94),"")</f>
        <v/>
      </c>
      <c r="ED94" s="548" t="str">
        <f aca="false">IF($BD94,$EC94+IF(VolSkewFlag=1,IF(BS94&gt;0,$BA94*MIN(BS94/10%,1)+($BB94-$BA94)*MAX(0,MIN(BS94/10%-1,1))+($BC94-$BB94)*MAX(0,BS94/10%-2),$AZ94*MIN(-BS94/10%,1)+($AY94-$AZ94)*MAX(0,MIN(-BS94/10%-1,1))+($AX94-$AY94)*MAX(0,-BS94/10%-2)),0),"")</f>
        <v/>
      </c>
      <c r="EE94" s="549" t="str">
        <f aca="false">IF($BD94,$EC94+IF(VolSkewFlag=1,IF(BT94&gt;0,$BA94*MIN(BT94/10%,1)+($BB94-$BA94)*MAX(0,MIN(BT94/10%-1,1))+($BC94-$BB94)*MAX(0,BT94/10%-2),$AZ94*MIN(-BT94/10%,1)+($AY94-$AZ94)*MAX(0,MIN(-BT94/10%-1,1))+($AX94-$AY94)*MAX(0,-BT94/10%-2)),0),"")</f>
        <v/>
      </c>
      <c r="EF94" s="550" t="n">
        <f aca="false">IF(BD94,xASN(BR94,Strike1,AO94,ED94,0,BO94,0,BI94,BL94,IF(OptControl=4,0,1),0),0)</f>
        <v>0</v>
      </c>
      <c r="EG94" s="551" t="n">
        <f aca="false">IF(BD94,xASN(BR94,Strike2,AO94,EE94,0,BO94,0,BI94,BL94,IF(OptControl=3,1,0),0),0)</f>
        <v>0</v>
      </c>
      <c r="EL94" s="1"/>
      <c r="EM94" s="195"/>
      <c r="EN94" s="556" t="n">
        <v>44746</v>
      </c>
      <c r="EO94" s="557" t="n">
        <v>50041</v>
      </c>
      <c r="EP94" s="195"/>
      <c r="EQ94" s="407" t="s">
        <v>321</v>
      </c>
      <c r="ES94" s="130"/>
      <c r="ET94" s="19"/>
      <c r="EU94" s="672"/>
      <c r="EV94" s="478"/>
      <c r="EW94" s="131"/>
      <c r="EX94" s="131"/>
      <c r="EY94" s="129"/>
      <c r="EZ94" s="129"/>
      <c r="FA94" s="129"/>
      <c r="FB94" s="129"/>
      <c r="FC94" s="129"/>
      <c r="FD94" s="129"/>
      <c r="FE94" s="129"/>
      <c r="FF94" s="129"/>
      <c r="FG94" s="129"/>
      <c r="FH94" s="129"/>
      <c r="FI94" s="129"/>
      <c r="FJ94" s="508"/>
      <c r="FK94" s="509" t="n">
        <v>1</v>
      </c>
      <c r="FL94" s="509" t="n">
        <v>2</v>
      </c>
      <c r="FM94" s="509" t="n">
        <v>3</v>
      </c>
      <c r="FN94" s="509" t="n">
        <v>4</v>
      </c>
      <c r="FO94" s="509" t="n">
        <v>5</v>
      </c>
      <c r="FP94" s="509" t="n">
        <v>6</v>
      </c>
      <c r="FQ94" s="509" t="n">
        <v>7</v>
      </c>
      <c r="FR94" s="509" t="n">
        <v>8</v>
      </c>
      <c r="FS94" s="509" t="n">
        <v>9</v>
      </c>
      <c r="FT94" s="509" t="n">
        <v>10</v>
      </c>
      <c r="FU94" s="509" t="n">
        <v>11</v>
      </c>
      <c r="FV94" s="509" t="n">
        <v>12</v>
      </c>
      <c r="FW94" s="509" t="n">
        <v>13</v>
      </c>
      <c r="FX94" s="509" t="n">
        <v>14</v>
      </c>
      <c r="FY94" s="509" t="n">
        <v>15</v>
      </c>
      <c r="FZ94" s="509" t="n">
        <v>16</v>
      </c>
      <c r="GA94" s="509" t="n">
        <v>17</v>
      </c>
      <c r="GB94" s="509" t="n">
        <v>18</v>
      </c>
      <c r="GC94" s="509" t="n">
        <v>19</v>
      </c>
      <c r="GD94" s="509" t="n">
        <v>20</v>
      </c>
      <c r="GE94" s="509" t="n">
        <v>21</v>
      </c>
      <c r="GF94" s="509" t="n">
        <v>22</v>
      </c>
      <c r="GG94" s="509" t="n">
        <v>23</v>
      </c>
      <c r="GH94" s="509" t="n">
        <v>24</v>
      </c>
      <c r="GI94" s="509" t="n">
        <v>25</v>
      </c>
      <c r="GJ94" s="509" t="n">
        <v>26</v>
      </c>
      <c r="GK94" s="509" t="n">
        <v>27</v>
      </c>
      <c r="GL94" s="509" t="n">
        <v>28</v>
      </c>
      <c r="GM94" s="509" t="n">
        <v>29</v>
      </c>
      <c r="GN94" s="509" t="n">
        <v>30</v>
      </c>
      <c r="GO94" s="509" t="n">
        <v>31</v>
      </c>
      <c r="GP94" s="509" t="n">
        <v>32</v>
      </c>
      <c r="GQ94" s="509" t="n">
        <v>33</v>
      </c>
      <c r="GR94" s="509" t="n">
        <v>34</v>
      </c>
      <c r="GS94" s="509" t="n">
        <v>35</v>
      </c>
      <c r="GT94" s="509" t="n">
        <v>36</v>
      </c>
      <c r="GU94" s="509" t="n">
        <v>37</v>
      </c>
      <c r="GV94" s="509" t="n">
        <v>38</v>
      </c>
      <c r="GW94" s="509" t="n">
        <v>39</v>
      </c>
      <c r="GX94" s="509" t="n">
        <v>40</v>
      </c>
      <c r="GY94" s="509" t="n">
        <v>41</v>
      </c>
      <c r="GZ94" s="509" t="n">
        <v>42</v>
      </c>
      <c r="HA94" s="509" t="n">
        <v>43</v>
      </c>
      <c r="HB94" s="509" t="n">
        <v>44</v>
      </c>
      <c r="HC94" s="509" t="n">
        <v>45</v>
      </c>
      <c r="HD94" s="509" t="n">
        <v>46</v>
      </c>
      <c r="HE94" s="509" t="n">
        <v>47</v>
      </c>
      <c r="HF94" s="509" t="n">
        <v>48</v>
      </c>
      <c r="HG94" s="509" t="n">
        <v>49</v>
      </c>
      <c r="HH94" s="509" t="n">
        <v>50</v>
      </c>
      <c r="HI94" s="509" t="n">
        <v>51</v>
      </c>
      <c r="HJ94" s="509" t="n">
        <v>52</v>
      </c>
      <c r="HK94" s="509" t="n">
        <v>53</v>
      </c>
      <c r="HL94" s="509" t="n">
        <v>54</v>
      </c>
      <c r="HM94" s="509" t="n">
        <v>55</v>
      </c>
      <c r="HN94" s="509" t="n">
        <v>56</v>
      </c>
      <c r="HO94" s="509" t="n">
        <v>57</v>
      </c>
      <c r="HP94" s="509" t="n">
        <v>58</v>
      </c>
      <c r="HQ94" s="509" t="n">
        <v>59</v>
      </c>
      <c r="HR94" s="509" t="n">
        <v>60</v>
      </c>
      <c r="HS94" s="509" t="n">
        <v>61</v>
      </c>
      <c r="HT94" s="509" t="n">
        <v>62</v>
      </c>
      <c r="HU94" s="509" t="n">
        <v>63</v>
      </c>
      <c r="HV94" s="509" t="n">
        <v>64</v>
      </c>
      <c r="HW94" s="509" t="n">
        <v>65</v>
      </c>
      <c r="HX94" s="509" t="n">
        <v>66</v>
      </c>
      <c r="HY94" s="509" t="n">
        <v>67</v>
      </c>
      <c r="HZ94" s="509" t="n">
        <v>68</v>
      </c>
      <c r="IA94" s="509" t="n">
        <v>69</v>
      </c>
      <c r="IB94" s="509" t="n">
        <v>70</v>
      </c>
      <c r="IC94" s="509" t="n">
        <v>71</v>
      </c>
      <c r="ID94" s="510" t="n">
        <v>72</v>
      </c>
      <c r="IE94" s="129"/>
    </row>
    <row r="95" customFormat="false" ht="12.75" hidden="false" customHeight="false" outlineLevel="0" collapsed="false">
      <c r="H95" s="219" t="n">
        <f aca="false">VLOOKUP(I95,$EJ$20:$EL$54,3)</f>
        <v>0</v>
      </c>
      <c r="I95" s="511" t="n">
        <f aca="false">EOMONTH(I94,0)+1</f>
        <v>39052</v>
      </c>
      <c r="J95" s="512"/>
      <c r="K95" s="513" t="s">
        <v>250</v>
      </c>
      <c r="L95" s="514" t="e">
        <f aca="false">IF(ISNUMBER(K95),J95+K95/100,IF(K95="extra",L94+VLOOKUP(BF95,PriceSpreadTable,2)/12,IF(K95="inter",interpolateprices($K$19:$L$200,ROW(K95)-ROW(FirstPricingMonth)+1),interpolatechanges($J$19:$K$200,ROW(K95)-ROW(FirstPricingMonth)+1))))</f>
        <v>#VALUE!</v>
      </c>
      <c r="M95" s="515"/>
      <c r="N95" s="516" t="n">
        <v>0</v>
      </c>
      <c r="O95" s="515" t="n">
        <f aca="false">M95+N95</f>
        <v>0</v>
      </c>
      <c r="P95" s="512"/>
      <c r="Q95" s="513" t="s">
        <v>280</v>
      </c>
      <c r="R95" s="512" t="e">
        <f aca="false">IF(ISNUMBER(Q95),P95+Q95/100,IF(Q95="extra",(Z93*AL93-R94*AM93)/AN93,IF(Q95="inter",interpolateprices($Q$19:$R$260,ROW(Q95)-ROW(FirstPricingMonth)+1),interpolatechanges($P$19:$Q$260,ROW(Q95)-ROW(FirstPricingMonth)+1))))</f>
        <v>#VALUE!</v>
      </c>
      <c r="S95" s="597" t="n">
        <f aca="false">S$19+(S94-S$19)*S$18</f>
        <v>0.36000000002273</v>
      </c>
      <c r="T95" s="575" t="n">
        <f aca="false">SQRT((1-(1-T94^2/U94)*T$18)*U95)</f>
        <v>0.999999112950942</v>
      </c>
      <c r="U95" s="576" t="n">
        <f aca="false">1-(1-U94)*U$18</f>
        <v>0.999999999993607</v>
      </c>
      <c r="V95" s="521" t="n">
        <v>0</v>
      </c>
      <c r="W95" s="577" t="n">
        <f aca="false">(J96*AJ95+J97*AK95)/AI95</f>
        <v>0</v>
      </c>
      <c r="X95" s="578" t="n">
        <f aca="false">(L96*AJ95+L97*AK95)/AI95</f>
        <v>0.01125</v>
      </c>
      <c r="Y95" s="579" t="n">
        <f aca="false">IF(Q97="extra",W95-AA95,(P96*AM95+P97*AN95)/AL95)</f>
        <v>-1.1446</v>
      </c>
      <c r="Z95" s="579" t="n">
        <f aca="false">IF(Q97="extra",X95-AB95,(R96*AM95+R97*AN95)/AL95)</f>
        <v>-1.13335</v>
      </c>
      <c r="AA95" s="523" t="n">
        <f aca="false">IF(Q97="extra",INDEX(BrentSeasonalityTable,INT((BG95-1)/3)+1)*VLOOKUP(MAX(BF95,$AB$4),PriceSpreadTable,3),W95-Y95)</f>
        <v>1.1446</v>
      </c>
      <c r="AB95" s="524" t="n">
        <f aca="false">IF(Q97="extra",INDEX(BrentSeasonalityTable,INT((BG95-1)/3)+1)*VLOOKUP(MAX(BF95,$AB$4),PriceSpreadTable,3),X95-Z95)</f>
        <v>1.1446</v>
      </c>
      <c r="AC95" s="646" t="n">
        <v>39041</v>
      </c>
      <c r="AD95" s="646" t="n">
        <v>39037</v>
      </c>
      <c r="AE95" s="646" t="n">
        <v>39036</v>
      </c>
      <c r="AF95" s="646" t="n">
        <v>39032</v>
      </c>
      <c r="AG95" s="438" t="s">
        <v>217</v>
      </c>
      <c r="AH95" s="439" t="s">
        <v>278</v>
      </c>
      <c r="AI95" s="528" t="n">
        <v>20</v>
      </c>
      <c r="AJ95" s="529" t="n">
        <v>14</v>
      </c>
      <c r="AK95" s="529" t="n">
        <v>6</v>
      </c>
      <c r="AL95" s="530" t="n">
        <v>20</v>
      </c>
      <c r="AM95" s="529" t="n">
        <v>10</v>
      </c>
      <c r="AN95" s="531" t="n">
        <v>10</v>
      </c>
      <c r="AO95" s="532"/>
      <c r="AP95" s="465" t="n">
        <f aca="false">(1+AO95/2)^(-2*BL95)</f>
        <v>1</v>
      </c>
      <c r="AQ95" s="532"/>
      <c r="AR95" s="465" t="n">
        <f aca="false">(1+AQ95/2)^(-2*BH95/365.25)</f>
        <v>1</v>
      </c>
      <c r="AS95" s="580" t="n">
        <f aca="false">(O96*AJ95+O97*AK95)/AI95</f>
        <v>0</v>
      </c>
      <c r="AT95" s="468" t="n">
        <f aca="false">O95*VLOOKUP(BF95,BrentVolTable,2)+VLOOKUP(BF95,BrentVolTable,3)</f>
        <v>0</v>
      </c>
      <c r="AU95" s="468" t="n">
        <f aca="false">(AT96*AM95+AT97*AN95)/AL95</f>
        <v>0</v>
      </c>
      <c r="AV95" s="595" t="n">
        <f aca="false">SQRT(MAX(0.000000000001,(O95^2*BH95-S95^2*(BH95-BH94))/BH94))</f>
        <v>0.0240969281328793</v>
      </c>
      <c r="AW95" s="451" t="n">
        <f aca="false">IF($I95-DateToday+15&gt;=$T$8,"",IF($I95-DateToday+15&lt;$T$5,1,MATCH($I95-DateToday+15,$T$5:$T$8)))</f>
        <v>1</v>
      </c>
      <c r="AX95" s="468" t="n">
        <f aca="false">IF($AW95="",AX94^2/AX93,INDEX(U$5:U$8,$AW95)^((INDEX($T$5:$T$8,$AW95+1)-($I95-DateToday+15))/(INDEX($T$5:$T$8,$AW95+1)-INDEX($T$5:$T$8,$AW95)))/INDEX(U$5:U$8,$AW95+1)^((INDEX($T$5:$T$8,$AW95)-($I95-DateToday+15))/(INDEX($T$5:$T$8,$AW95+1)-INDEX($T$5:$T$8,$AW95))))</f>
        <v>2.52649831044698</v>
      </c>
      <c r="AY95" s="468" t="n">
        <f aca="false">IF($AW95="",AY94^2/AY93,INDEX(V$5:V$8,$AW95)^((INDEX($T$5:$T$8,$AW95+1)-($I95-DateToday+15))/(INDEX($T$5:$T$8,$AW95+1)-INDEX($T$5:$T$8,$AW95)))/INDEX(V$5:V$8,$AW95+1)^((INDEX($T$5:$T$8,$AW95)-($I95-DateToday+15))/(INDEX($T$5:$T$8,$AW95+1)-INDEX($T$5:$T$8,$AW95))))</f>
        <v>221.631775603594</v>
      </c>
      <c r="AZ95" s="468" t="n">
        <f aca="false">IF($AW95="",AZ94^2/AZ93,INDEX(W$5:W$8,$AW95)^((INDEX($T$5:$T$8,$AW95+1)-($I95-DateToday+15))/(INDEX($T$5:$T$8,$AW95+1)-INDEX($T$5:$T$8,$AW95)))/INDEX(W$5:W$8,$AW95+1)^((INDEX($T$5:$T$8,$AW95)-($I95-DateToday+15))/(INDEX($T$5:$T$8,$AW95+1)-INDEX($T$5:$T$8,$AW95))))</f>
        <v>1467120.56114824</v>
      </c>
      <c r="BA95" s="468" t="n">
        <f aca="false">IF($AW95="",BA94^2/BA93,INDEX(X$5:X$8,$AW95)^((INDEX($T$5:$T$8,$AW95+1)-($I95-DateToday+15))/(INDEX($T$5:$T$8,$AW95+1)-INDEX($T$5:$T$8,$AW95)))/INDEX(X$5:X$8,$AW95+1)^((INDEX($T$5:$T$8,$AW95)-($I95-DateToday+15))/(INDEX($T$5:$T$8,$AW95+1)-INDEX($T$5:$T$8,$AW95))))</f>
        <v>38611225.1975317</v>
      </c>
      <c r="BB95" s="468" t="n">
        <f aca="false">IF($AW95="",BB94^2/BB93,INDEX(Y$5:Y$8,$AW95)^((INDEX($T$5:$T$8,$AW95+1)-($I95-DateToday+15))/(INDEX($T$5:$T$8,$AW95+1)-INDEX($T$5:$T$8,$AW95)))/INDEX(Y$5:Y$8,$AW95+1)^((INDEX($T$5:$T$8,$AW95)-($I95-DateToday+15))/(INDEX($T$5:$T$8,$AW95+1)-INDEX($T$5:$T$8,$AW95))))</f>
        <v>508154169.834707</v>
      </c>
      <c r="BC95" s="468" t="n">
        <f aca="false">IF($AW95="",BC94^2/BC93,INDEX(Z$5:Z$8,$AW95)^((INDEX($T$5:$T$8,$AW95+1)-($I95-DateToday+15))/(INDEX($T$5:$T$8,$AW95+1)-INDEX($T$5:$T$8,$AW95)))/INDEX(Z$5:Z$8,$AW95+1)^((INDEX($T$5:$T$8,$AW95)-($I95-DateToday+15))/(INDEX($T$5:$T$8,$AW95+1)-INDEX($T$5:$T$8,$AW95))))</f>
        <v>2382471777.9604</v>
      </c>
      <c r="BD95" s="535" t="n">
        <f aca="false">IF(OR(DateStart&gt;=I96,DateEnd&lt;I95),0,IF(VolumeOverrideFlag,V95,Volume))</f>
        <v>0</v>
      </c>
      <c r="BE95" s="536" t="n">
        <f aca="false">IF(OR(DateStart2&gt;=I96,DateEnd2&lt;I95),0,IF(VolumeOverrideFlag,V95,VolumeSwaption))</f>
        <v>0</v>
      </c>
      <c r="BF95" s="537" t="n">
        <f aca="false">YEAR(I95)</f>
        <v>2006</v>
      </c>
      <c r="BG95" s="538" t="n">
        <f aca="false">MONTH(I95)</f>
        <v>12</v>
      </c>
      <c r="BH95" s="539" t="n">
        <f aca="false">AD95-DateToday+1</f>
        <v>-6888</v>
      </c>
      <c r="BI95" s="540" t="n">
        <f aca="false">(I95-DateToday+1)/365.25</f>
        <v>-18.8172484599589</v>
      </c>
      <c r="BJ95" s="541" t="n">
        <f aca="false">BI95+(BL95-BI95)*CHOOSE(Underlying,AJ95/AI95,AM95/AL95)</f>
        <v>-18.7597535934292</v>
      </c>
      <c r="BK95" s="541" t="n">
        <f aca="false">BJ95+1/365.25</f>
        <v>-18.757015742642</v>
      </c>
      <c r="BL95" s="541" t="n">
        <f aca="false">(I96-DateToday)/365.25</f>
        <v>-18.735112936345</v>
      </c>
      <c r="BM95" s="542" t="e">
        <f aca="false">MAX(BI95-(BJ95-BI95)*(S96^2/O96^2-1),0)</f>
        <v>#DIV/0!</v>
      </c>
      <c r="BN95" s="541" t="e">
        <f aca="false">MAX(BL95+(BL95-BK95)*(S97^2/O97^2-1),0)</f>
        <v>#DIV/0!</v>
      </c>
      <c r="BO95" s="530" t="n">
        <f aca="false">CHOOSE(Underlying,AI95,AL95)</f>
        <v>20</v>
      </c>
      <c r="BP95" s="529" t="n">
        <f aca="false">CHOOSE(Underlying,AJ95,AM95)</f>
        <v>14</v>
      </c>
      <c r="BQ95" s="529" t="n">
        <f aca="false">CHOOSE(Underlying,AK95,AN95)</f>
        <v>6</v>
      </c>
      <c r="BR95" s="463" t="str">
        <f aca="false">IF(BD95,IF(Underlying=1,X95,Z95)+UnderlyingPriceAsian-SwapPriceCurve,"")</f>
        <v/>
      </c>
      <c r="BS95" s="463" t="str">
        <f aca="false">IF(BD95,Strike1/BR95-1,"")</f>
        <v/>
      </c>
      <c r="BT95" s="464" t="str">
        <f aca="false">IF(BD95,Strike2/BR95-1,"")</f>
        <v/>
      </c>
      <c r="BU95" s="465" t="str">
        <f aca="false">IF(BD95,IF(Underlying=1,L96,R96)+UnderlyingPriceAsian-SwapPriceCurve,"")</f>
        <v/>
      </c>
      <c r="BV95" s="465" t="str">
        <f aca="false">IF(BD95,IF(Underlying=1,L97,R97)+UnderlyingPriceAsian-SwapPriceCurve,"")</f>
        <v/>
      </c>
      <c r="BW95" s="466" t="str">
        <f aca="false">IF(BD95,IF(Underlying=1,O96,AT96),"")</f>
        <v/>
      </c>
      <c r="BX95" s="467" t="str">
        <f aca="false">IF(BD95,IF(Underlying=1,O97,AT97),"")</f>
        <v/>
      </c>
      <c r="BY95" s="466" t="str">
        <f aca="false">IF(BD95,IF(BS95&gt;0,IF(BS95&gt;0.2,BC95-BB95,IF(BS95&gt;0.1,BB95-BA95,BA95)),IF(BS95&lt;-0.2,AX95-AY95,IF(BS95&lt;-0.1,AY95-AZ95,AZ95))),"")</f>
        <v/>
      </c>
      <c r="BZ95" s="467" t="str">
        <f aca="false">IF(BD95,IF(BT95&gt;0,IF(BT95&gt;0.2,BC95-BB95,IF(BT95&gt;0.1,BB95-BA95,BA95)),IF(BT95&lt;-0.2,AX95-AY95,IF(BT95&lt;-0.1,AY95-AZ95,AZ95))),"")</f>
        <v/>
      </c>
      <c r="CA95" s="468" t="str">
        <f aca="false">IF($BD95,$BW95+IF(VolSkewFlag=1,IF(BS95&gt;0,$BA95*MIN(BS95/10%,1)+($BB95-$BA95)*MAX(0,MIN(BS95/10%-1,1))+($BC95-$BB95)*MAX(0,BS95/10%-2),$AZ95*MIN(-BS95/10%,1)+($AY95-$AZ95)*MAX(0,MIN(-BS95/10%-1,1))+($AX95-$AY95)*MAX(0,-BS95/10%-2)),0),"")</f>
        <v/>
      </c>
      <c r="CB95" s="468" t="str">
        <f aca="false">IF($BD95,$BX95+IF(VolSkewFlag=1,IF(BS95&gt;0,$BA95*MIN(BS95/10%,1)+($BB95-$BA95)*MAX(0,MIN(BS95/10%-1,1))+($BC95-$BB95)*MAX(0,BS95/10%-2),$AZ95*MIN(-BS95/10%,1)+($AY95-$AZ95)*MAX(0,MIN(-BS95/10%-1,1))+($AX95-$AY95)*MAX(0,-BS95/10%-2)),0),"")</f>
        <v/>
      </c>
      <c r="CC95" s="468" t="str">
        <f aca="false">IF($BD95,$BW95+IF(VolSkewFlag=1,IF(BT95&gt;0,$BA95*MIN(BT95/10%,1)+($BB95-$BA95)*MAX(0,MIN(BT95/10%-1,1))+($BC95-$BB95)*MAX(0,BT95/10%-2),$AZ95*MIN(-BT95/10%,1)+($AY95-$AZ95)*MAX(0,MIN(-BT95/10%-1,1))+($AX95-$AY95)*MAX(0,-BT95/10%-2)),0),"")</f>
        <v/>
      </c>
      <c r="CD95" s="468" t="str">
        <f aca="false">IF($BD95,$BX95+IF(VolSkewFlag=1,IF(BT95&gt;0,$BA95*MIN(BT95/10%,1)+($BB95-$BA95)*MAX(0,MIN(BT95/10%-1,1))+($BC95-$BB95)*MAX(0,BT95/10%-2),$AZ95*MIN(-BT95/10%,1)+($AY95-$AZ95)*MAX(0,MIN(-BT95/10%-1,1))+($AX95-$AY95)*MAX(0,-BT95/10%-2)),0),"")</f>
        <v/>
      </c>
      <c r="CE95" s="469" t="n">
        <v>1</v>
      </c>
      <c r="CF95" s="470" t="n">
        <f aca="false">IF(BD95,xCrudeAPO(BU95,BV95,CA95,CB95,S96,S97,BI95,BL95,BP95,BQ95,0,Strike1,AO95,CE95,0,BL95,IF(OptControl=4,0,1),0,1),0)</f>
        <v>0</v>
      </c>
      <c r="CG95" s="470" t="n">
        <f aca="false">IF(BD95,xCrudeAPO(BU95,BV95,CA95,CB95,S96,S97,BI95,BL95,BP95,BQ95,0,Strike1,AO95,CE95,0,BL95,IF(OptControl=4,0,1),1,1)+xCrudeAPO(BU95,BV95,CA95,CB95,S96,S97,BI95,BL95,BP95,BQ95,0,Strike1,AO95,CE95,0,BL95,IF(OptControl=4,0,1),1,2)+IF(OR(VolSkewFlag=2,ABS(BS95)&lt;0.0001),0,IF(BS95&gt;0,-1,1)*CH95*Strike1/BR95^2*BY95/10%),0)</f>
        <v>0</v>
      </c>
      <c r="CH95" s="470" t="n">
        <f aca="false">IF(BD95,(xCrudeAPO(BU95,BV95,CA95,CB95,S96,S97,BI95,BL95,BP95,BQ95,0,Strike1,AO95,CE95,0,BL95,IF(OptControl=4,0,1),3,1)+xCrudeAPO(BU95,BV95,CA95,CB95,S96,S97,BI95,BL95,BP95,BQ95,0,Strike1,AO95,CE95,0,BL95,IF(OptControl=4,0,1),3,2))/100,0)</f>
        <v>0</v>
      </c>
      <c r="CI95" s="470" t="n">
        <f aca="false">IF(BD95,xCrudeAPO(BU95,BV95,CA95,CB95,S96,S97,BI95-DaysForThetaCalculation/365.25,BL95-DaysForThetaCalculation/365.25,BP95,BQ95,0,Strike1,AO95,CE95,0,BL95,IF(OptControl=4,0,1),0,1)-xCrudeAPO(BU95,BV95,CA95,CB95,S96,S97,BI95,BL95,BP95,BQ95,0,Strike1,AO95,CE95,0,BL95,IF(OptControl=4,0,1),0,1),0)</f>
        <v>0</v>
      </c>
      <c r="CJ95" s="471" t="n">
        <f aca="false">IF(BD95,xCrudeAPO(BU95,BV95,CC95,CD95,S96,S97,BI95,BL95,BP95,BQ95,0,Strike2,AO95,CE95,0,BL95,IF(OptControl=3,1,0),0,1),0)</f>
        <v>0</v>
      </c>
      <c r="CK95" s="470" t="n">
        <f aca="false">IF(BD95,xCrudeAPO(BU95,BV95,CC95,CD95,S96,S97,BI95,BL95,BP95,BQ95,0,Strike2,AO95,CE95,0,BL95,IF(OptControl=3,1,0),1,1)+xCrudeAPO(BU95,BV95,CC95,CD95,S96,S97,BI95,BL95,BP95,BQ95,0,Strike2,AO95,CE95,0,BL95,IF(OptControl=3,1,0),1,2)+IF(OR(VolSkewFlag=2,ABS(BT95)&lt;0.0001),0,IF(BT95&gt;0,-1,1)*CL95*Strike2/BR95^2*BZ95/10%),0)</f>
        <v>0</v>
      </c>
      <c r="CL95" s="470" t="n">
        <f aca="false">IF(BD95,(xCrudeAPO(BU95,BV95,CC95,CD95,S96,S97,BI95,BL95,BP95,BQ95,0,Strike2,AO95,CE95,0,BL95,IF(OptControl=3,1,0),3,1)+xCrudeAPO(BU95,BV95,CC95,CD95,S96,S97,BI95,BL95,BP95,BQ95,0,Strike2,AO95,CE95,0,BL95,IF(OptControl=3,1,0),3,2))/100,0)</f>
        <v>0</v>
      </c>
      <c r="CM95" s="472" t="n">
        <f aca="false">IF(BD95,xCrudeAPO(BU95,BV95,CC95,CD95,S96,S97,BI95-DaysForThetaCalculation/365.25,BL95-DaysForThetaCalculation/365.25,BP95,BQ95,0,Strike2,AO95,CE95,0,BL95,IF(OptControl=3,1,0),0,1)-xCrudeAPO(BU95,BV95,CC95,CD95,S96,S97,BI95,BL95,BP95,BQ95,0,Strike2,AO95,CE95,0,BL95,IF(OptControl=3,1,0),0,1),0)</f>
        <v>0</v>
      </c>
      <c r="CN95" s="3"/>
      <c r="CO95" s="543" t="str">
        <f aca="false">IF(BD95,CHOOSE(Underlying,AD95,AF95)-DateToday+1,"")</f>
        <v/>
      </c>
      <c r="CP95" s="582" t="str">
        <f aca="false">IF(BD95,CHOOSE(Underlying,L95,R95),"")</f>
        <v/>
      </c>
      <c r="CQ95" s="544" t="str">
        <f aca="false">IF(BD95,Strike1/CP95-1,"")</f>
        <v/>
      </c>
      <c r="CR95" s="544" t="str">
        <f aca="false">IF(BD95,Strike2/CP95-1,"")</f>
        <v/>
      </c>
      <c r="CS95" s="544" t="str">
        <f aca="false">IF(BD95,IF(CQ95&gt;0,IF(CQ95&gt;0.2,BC94-BB94,IF(CQ95&gt;0.1,BB94-BA94,BA94)),IF(CQ95&lt;-0.2,AX94-AY94,IF(CQ95&lt;-0.1,AY94-AZ94,AZ94))),"")</f>
        <v/>
      </c>
      <c r="CT95" s="544" t="str">
        <f aca="false">IF(BD95,IF(CR95&gt;0,IF(CR95&gt;0.2,BC94-BB94,IF(CR95&gt;0.1,BB94-BA94,BA94)),IF(CR95&lt;-0.2,AX94-AY94,IF(CR95&lt;-0.1,AY94-AZ94,AZ94))),"")</f>
        <v/>
      </c>
      <c r="CU95" s="545" t="str">
        <f aca="false">IF(BD95,CHOOSE(Underlying,O95,AT95),"")</f>
        <v/>
      </c>
      <c r="CV95" s="545" t="str">
        <f aca="false">IF(BD95,CU95+IF(VolSkewFlag=1,IF(CQ95&gt;0,BA94*MIN(CQ95/10%,1)+(BB94-BA94)*MAX(0,MIN(CQ95/10%-1,1))+(BC94-BB94)*MAX(0,CQ95/10%-2),AZ94*MIN(-CQ95/10%,1)+(AY94-AZ94)*MAX(0,MIN(-CQ95/10%-1,1))+(AX94-AY94)*MAX(0,-CQ95/10%-2)),0),"")</f>
        <v/>
      </c>
      <c r="CW95" s="545" t="str">
        <f aca="false">IF(BD95,CU95+IF(VolSkewFlag=1,IF(CR95&gt;0,BA94*MIN(CR95/10%,1)+(BB94-BA94)*MAX(0,MIN(CR95/10%-1,1))+(BC94-BB94)*MAX(0,CR95/10%-2),AZ94*MIN(-CR95/10%,1)+(AY94-AZ94)*MAX(0,MIN(-CR95/10%-1,1))+(AX94-AY94)*MAX(0,-CR95/10%-2)),0),"")</f>
        <v/>
      </c>
      <c r="CX95" s="470" t="n">
        <f aca="false">IF(BD95,EURO(CP95,Strike1,AO95,AO95,CV95,CO95,IF(OptControl=4,0,1),0),0)</f>
        <v>0</v>
      </c>
      <c r="CY95" s="470" t="n">
        <f aca="false">IF(BD95,EURO(CP95,Strike1,AO95,AO95,CV95,CO95,IF(OptControl=4,0,1),1)+IF(OR(VolSkewFlag=2,ABS(CQ95)&lt;0.0001),0,IF(CQ95&gt;0,-1,1)*CZ95*100*Strike1/CP95^2*CS95/10%),0)</f>
        <v>0</v>
      </c>
      <c r="CZ95" s="470" t="n">
        <f aca="false">IF(BD95,EURO(CP95,Strike1,AO95,AO95,CV95,CO95,IF(OptControl=4,0,1),3)/100,0)</f>
        <v>0</v>
      </c>
      <c r="DA95" s="470" t="n">
        <f aca="false">IF(BD95,EURO(CP95,Strike1,AO95,AO95,CV95,CO95,IF(OptControl=4,0,1),0)-EURO(CP95,Strike1,AO95,AO95,CV95,CO95-1,IF(OptControl=4,0,1),0),0)</f>
        <v>0</v>
      </c>
      <c r="DB95" s="470" t="n">
        <f aca="false">IF(BD95,EURO(CP95,Strike2,AO95,AO95,CW95,CO95,IF(OptControl=3,1,0),0),0)</f>
        <v>0</v>
      </c>
      <c r="DC95" s="470" t="n">
        <f aca="false">IF(BD95,EURO(CP95,Strike2,AO95,AO95,CW95,CO95,IF(OptControl=3,1,0),1)+IF(OR(VolSkewFlag=2,ABS(CR95)&lt;0.0001),0,IF(CR95&gt;0,-1,1)*DD95*100*Strike2/CP95^2*CT95/10%),0)</f>
        <v>0</v>
      </c>
      <c r="DD95" s="470" t="n">
        <f aca="false">IF(BD95,EURO(CP95,Strike2,AO95,AO95,CW95,CO95,IF(OptControl=3,1,0),3)/100,0)</f>
        <v>0</v>
      </c>
      <c r="DE95" s="472" t="n">
        <f aca="false">IF(BD95,EURO(CP95,Strike2,AO95,AO95,CW95,CO95,IF(OptControl=3,1,0),0)-EURO(CP95,Strike2,AO95,AO95,CW95,CO95-1,IF(OptControl=3,1,0),0),0)</f>
        <v>0</v>
      </c>
      <c r="DG95" s="481" t="n">
        <f aca="false">EOMONTH(DG94,0)+1</f>
        <v>47969</v>
      </c>
      <c r="DH95" s="478" t="n">
        <v>18.3158333333333</v>
      </c>
      <c r="DI95" s="479" t="n">
        <v>18.3147101449275</v>
      </c>
      <c r="DJ95" s="480" t="n">
        <f aca="false">DG95</f>
        <v>47969</v>
      </c>
      <c r="DK95" s="478" t="n">
        <v>17.1532904834516</v>
      </c>
      <c r="DL95" s="479" t="n">
        <v>17.0337101449275</v>
      </c>
      <c r="DM95" s="481" t="n">
        <f aca="false">DG95</f>
        <v>47969</v>
      </c>
      <c r="DN95" s="482" t="n">
        <f aca="false">DK95+BrentPhyBrentSpread</f>
        <v>17.2032904834516</v>
      </c>
      <c r="DO95" s="481" t="n">
        <f aca="false">DG95</f>
        <v>47969</v>
      </c>
      <c r="DP95" s="483" t="n">
        <f aca="false">DL95+DQ95</f>
        <v>17.0337101449275</v>
      </c>
      <c r="DQ95" s="546" t="n">
        <v>0</v>
      </c>
      <c r="DR95" s="480" t="n">
        <f aca="false">DG95</f>
        <v>47969</v>
      </c>
      <c r="DS95" s="485" t="n">
        <v>0.1796</v>
      </c>
      <c r="DT95" s="486" t="n">
        <v>0.178791304347826</v>
      </c>
      <c r="DU95" s="480" t="n">
        <f aca="false">DG95</f>
        <v>47969</v>
      </c>
      <c r="DV95" s="485" t="n">
        <v>0.1796</v>
      </c>
      <c r="DW95" s="486" t="n">
        <v>0.178791304347826</v>
      </c>
      <c r="DX95" s="481" t="n">
        <f aca="false">DG95</f>
        <v>47969</v>
      </c>
      <c r="DY95" s="486" t="n">
        <v>0.35</v>
      </c>
      <c r="DZ95" s="481" t="n">
        <f aca="false">DR95</f>
        <v>47969</v>
      </c>
      <c r="EA95" s="486" t="n">
        <f aca="false">DT95</f>
        <v>0.178791304347826</v>
      </c>
      <c r="EB95" s="195"/>
      <c r="EC95" s="547" t="str">
        <f aca="false">IF(BD95,IF(Underlying=1,AS95,AU95),"")</f>
        <v/>
      </c>
      <c r="ED95" s="548" t="str">
        <f aca="false">IF($BD95,$EC95+IF(VolSkewFlag=1,IF(BS95&gt;0,$BA95*MIN(BS95/10%,1)+($BB95-$BA95)*MAX(0,MIN(BS95/10%-1,1))+($BC95-$BB95)*MAX(0,BS95/10%-2),$AZ95*MIN(-BS95/10%,1)+($AY95-$AZ95)*MAX(0,MIN(-BS95/10%-1,1))+($AX95-$AY95)*MAX(0,-BS95/10%-2)),0),"")</f>
        <v/>
      </c>
      <c r="EE95" s="549" t="str">
        <f aca="false">IF($BD95,$EC95+IF(VolSkewFlag=1,IF(BT95&gt;0,$BA95*MIN(BT95/10%,1)+($BB95-$BA95)*MAX(0,MIN(BT95/10%-1,1))+($BC95-$BB95)*MAX(0,BT95/10%-2),$AZ95*MIN(-BT95/10%,1)+($AY95-$AZ95)*MAX(0,MIN(-BT95/10%-1,1))+($AX95-$AY95)*MAX(0,-BT95/10%-2)),0),"")</f>
        <v/>
      </c>
      <c r="EF95" s="550" t="n">
        <f aca="false">IF(BD95,xASN(BR95,Strike1,AO95,ED95,0,BO95,0,BI95,BL95,IF(OptControl=4,0,1),0),0)</f>
        <v>0</v>
      </c>
      <c r="EG95" s="551" t="n">
        <f aca="false">IF(BD95,xASN(BR95,Strike2,AO95,EE95,0,BO95,0,BI95,BL95,IF(OptControl=3,1,0),0),0)</f>
        <v>0</v>
      </c>
      <c r="EL95" s="1"/>
      <c r="EM95" s="195"/>
      <c r="EN95" s="556" t="n">
        <v>44920</v>
      </c>
      <c r="EO95" s="557" t="n">
        <v>50399</v>
      </c>
      <c r="EP95" s="195"/>
      <c r="EQ95" s="407" t="s">
        <v>322</v>
      </c>
      <c r="ES95" s="130"/>
      <c r="ET95" s="19"/>
      <c r="EU95" s="672"/>
      <c r="EV95" s="478"/>
      <c r="EW95" s="131"/>
      <c r="EX95" s="131"/>
      <c r="EY95" s="129"/>
      <c r="EZ95" s="129"/>
      <c r="FA95" s="129"/>
      <c r="FB95" s="129"/>
      <c r="FC95" s="129"/>
      <c r="FD95" s="129"/>
      <c r="FE95" s="129"/>
      <c r="FF95" s="129"/>
      <c r="FG95" s="129"/>
      <c r="FH95" s="129"/>
      <c r="FI95" s="129"/>
      <c r="FJ95" s="571" t="n">
        <v>1</v>
      </c>
      <c r="FK95" s="150" t="e">
        <f aca="false">IF($FJ20&lt;FK$94,"",SQRT(FK20/FK$15))</f>
        <v>#DIV/0!</v>
      </c>
      <c r="FL95" s="150" t="str">
        <f aca="false">IF($FJ20&lt;FL$94,"",SQRT(FL20/FL$15))</f>
        <v/>
      </c>
      <c r="FM95" s="150" t="str">
        <f aca="false">IF($FJ20&lt;FM$94,"",SQRT(FM20/FM$15))</f>
        <v/>
      </c>
      <c r="FN95" s="150" t="str">
        <f aca="false">IF($FJ20&lt;FN$94,"",SQRT(FN20/FN$15))</f>
        <v/>
      </c>
      <c r="FO95" s="150" t="str">
        <f aca="false">IF($FJ20&lt;FO$94,"",SQRT(FO20/FO$15))</f>
        <v/>
      </c>
      <c r="FP95" s="150" t="str">
        <f aca="false">IF($FJ20&lt;FP$94,"",SQRT(FP20/FP$15))</f>
        <v/>
      </c>
      <c r="FQ95" s="150" t="str">
        <f aca="false">IF($FJ20&lt;FQ$94,"",SQRT(FQ20/FQ$15))</f>
        <v/>
      </c>
      <c r="FR95" s="150" t="str">
        <f aca="false">IF($FJ20&lt;FR$94,"",SQRT(FR20/FR$15))</f>
        <v/>
      </c>
      <c r="FS95" s="150" t="str">
        <f aca="false">IF($FJ20&lt;FS$94,"",SQRT(FS20/FS$15))</f>
        <v/>
      </c>
      <c r="FT95" s="150" t="str">
        <f aca="false">IF($FJ20&lt;FT$94,"",SQRT(FT20/FT$15))</f>
        <v/>
      </c>
      <c r="FU95" s="150" t="str">
        <f aca="false">IF($FJ20&lt;FU$94,"",SQRT(FU20/FU$15))</f>
        <v/>
      </c>
      <c r="FV95" s="150" t="str">
        <f aca="false">IF($FJ20&lt;FV$94,"",SQRT(FV20/FV$15))</f>
        <v/>
      </c>
      <c r="FW95" s="150" t="str">
        <f aca="false">IF($FJ20&lt;FW$94,"",SQRT(FW20/FW$15))</f>
        <v/>
      </c>
      <c r="FX95" s="150" t="str">
        <f aca="false">IF($FJ20&lt;FX$94,"",SQRT(FX20/FX$15))</f>
        <v/>
      </c>
      <c r="FY95" s="150" t="str">
        <f aca="false">IF($FJ20&lt;FY$94,"",SQRT(FY20/FY$15))</f>
        <v/>
      </c>
      <c r="FZ95" s="150" t="str">
        <f aca="false">IF($FJ20&lt;FZ$94,"",SQRT(FZ20/FZ$15))</f>
        <v/>
      </c>
      <c r="GA95" s="150" t="str">
        <f aca="false">IF($FJ20&lt;GA$94,"",SQRT(GA20/GA$15))</f>
        <v/>
      </c>
      <c r="GB95" s="150" t="str">
        <f aca="false">IF($FJ20&lt;GB$94,"",SQRT(GB20/GB$15))</f>
        <v/>
      </c>
      <c r="GC95" s="150" t="str">
        <f aca="false">IF($FJ20&lt;GC$94,"",SQRT(GC20/GC$15))</f>
        <v/>
      </c>
      <c r="GD95" s="150" t="str">
        <f aca="false">IF($FJ20&lt;GD$94,"",SQRT(GD20/GD$15))</f>
        <v/>
      </c>
      <c r="GE95" s="150" t="str">
        <f aca="false">IF($FJ20&lt;GE$94,"",SQRT(GE20/GE$15))</f>
        <v/>
      </c>
      <c r="GF95" s="150" t="str">
        <f aca="false">IF($FJ20&lt;GF$94,"",SQRT(GF20/GF$15))</f>
        <v/>
      </c>
      <c r="GG95" s="150" t="str">
        <f aca="false">IF($FJ20&lt;GG$94,"",SQRT(GG20/GG$15))</f>
        <v/>
      </c>
      <c r="GH95" s="150" t="str">
        <f aca="false">IF($FJ20&lt;GH$94,"",SQRT(GH20/GH$15))</f>
        <v/>
      </c>
      <c r="GI95" s="150" t="str">
        <f aca="false">IF($FJ20&lt;GI$94,"",SQRT(GI20/GI$15))</f>
        <v/>
      </c>
      <c r="GJ95" s="150" t="str">
        <f aca="false">IF($FJ20&lt;GJ$94,"",SQRT(GJ20/GJ$15))</f>
        <v/>
      </c>
      <c r="GK95" s="150" t="str">
        <f aca="false">IF($FJ20&lt;GK$94,"",SQRT(GK20/GK$15))</f>
        <v/>
      </c>
      <c r="GL95" s="150" t="str">
        <f aca="false">IF($FJ20&lt;GL$94,"",SQRT(GL20/GL$15))</f>
        <v/>
      </c>
      <c r="GM95" s="150" t="str">
        <f aca="false">IF($FJ20&lt;GM$94,"",SQRT(GM20/GM$15))</f>
        <v/>
      </c>
      <c r="GN95" s="150" t="str">
        <f aca="false">IF($FJ20&lt;GN$94,"",SQRT(GN20/GN$15))</f>
        <v/>
      </c>
      <c r="GO95" s="150" t="str">
        <f aca="false">IF($FJ20&lt;GO$94,"",SQRT(GO20/GO$15))</f>
        <v/>
      </c>
      <c r="GP95" s="150" t="str">
        <f aca="false">IF($FJ20&lt;GP$94,"",SQRT(GP20/GP$15))</f>
        <v/>
      </c>
      <c r="GQ95" s="150" t="str">
        <f aca="false">IF($FJ20&lt;GQ$94,"",SQRT(GQ20/GQ$15))</f>
        <v/>
      </c>
      <c r="GR95" s="150" t="str">
        <f aca="false">IF($FJ20&lt;GR$94,"",SQRT(GR20/GR$15))</f>
        <v/>
      </c>
      <c r="GS95" s="150" t="str">
        <f aca="false">IF($FJ20&lt;GS$94,"",SQRT(GS20/GS$15))</f>
        <v/>
      </c>
      <c r="GT95" s="150" t="str">
        <f aca="false">IF($FJ20&lt;GT$94,"",SQRT(GT20/GT$15))</f>
        <v/>
      </c>
      <c r="GU95" s="150" t="str">
        <f aca="false">IF($FJ20&lt;GU$94,"",SQRT(GU20/GU$15))</f>
        <v/>
      </c>
      <c r="GV95" s="150" t="str">
        <f aca="false">IF($FJ20&lt;GV$94,"",SQRT(GV20/GV$15))</f>
        <v/>
      </c>
      <c r="GW95" s="150" t="str">
        <f aca="false">IF($FJ20&lt;GW$94,"",SQRT(GW20/GW$15))</f>
        <v/>
      </c>
      <c r="GX95" s="150" t="str">
        <f aca="false">IF($FJ20&lt;GX$94,"",SQRT(GX20/GX$15))</f>
        <v/>
      </c>
      <c r="GY95" s="150" t="str">
        <f aca="false">IF($FJ20&lt;GY$94,"",SQRT(GY20/GY$15))</f>
        <v/>
      </c>
      <c r="GZ95" s="150" t="str">
        <f aca="false">IF($FJ20&lt;GZ$94,"",SQRT(GZ20/GZ$15))</f>
        <v/>
      </c>
      <c r="HA95" s="150" t="str">
        <f aca="false">IF($FJ20&lt;HA$94,"",SQRT(HA20/HA$15))</f>
        <v/>
      </c>
      <c r="HB95" s="150" t="str">
        <f aca="false">IF($FJ20&lt;HB$94,"",SQRT(HB20/HB$15))</f>
        <v/>
      </c>
      <c r="HC95" s="150" t="str">
        <f aca="false">IF($FJ20&lt;HC$94,"",SQRT(HC20/HC$15))</f>
        <v/>
      </c>
      <c r="HD95" s="150" t="str">
        <f aca="false">IF($FJ20&lt;HD$94,"",SQRT(HD20/HD$15))</f>
        <v/>
      </c>
      <c r="HE95" s="150" t="str">
        <f aca="false">IF($FJ20&lt;HE$94,"",SQRT(HE20/HE$15))</f>
        <v/>
      </c>
      <c r="HF95" s="150" t="str">
        <f aca="false">IF($FJ20&lt;HF$94,"",SQRT(HF20/HF$15))</f>
        <v/>
      </c>
      <c r="HG95" s="150" t="str">
        <f aca="false">IF($FJ20&lt;HG$94,"",SQRT(HG20/HG$15))</f>
        <v/>
      </c>
      <c r="HH95" s="150" t="str">
        <f aca="false">IF($FJ20&lt;HH$94,"",SQRT(HH20/HH$15))</f>
        <v/>
      </c>
      <c r="HI95" s="150" t="str">
        <f aca="false">IF($FJ20&lt;HI$94,"",SQRT(HI20/HI$15))</f>
        <v/>
      </c>
      <c r="HJ95" s="150" t="str">
        <f aca="false">IF($FJ20&lt;HJ$94,"",SQRT(HJ20/HJ$15))</f>
        <v/>
      </c>
      <c r="HK95" s="150" t="str">
        <f aca="false">IF($FJ20&lt;HK$94,"",SQRT(HK20/HK$15))</f>
        <v/>
      </c>
      <c r="HL95" s="150" t="str">
        <f aca="false">IF($FJ20&lt;HL$94,"",SQRT(HL20/HL$15))</f>
        <v/>
      </c>
      <c r="HM95" s="150" t="str">
        <f aca="false">IF($FJ20&lt;HM$94,"",SQRT(HM20/HM$15))</f>
        <v/>
      </c>
      <c r="HN95" s="150" t="str">
        <f aca="false">IF($FJ20&lt;HN$94,"",SQRT(HN20/HN$15))</f>
        <v/>
      </c>
      <c r="HO95" s="150" t="str">
        <f aca="false">IF($FJ20&lt;HO$94,"",SQRT(HO20/HO$15))</f>
        <v/>
      </c>
      <c r="HP95" s="150" t="str">
        <f aca="false">IF($FJ20&lt;HP$94,"",SQRT(HP20/HP$15))</f>
        <v/>
      </c>
      <c r="HQ95" s="150" t="str">
        <f aca="false">IF($FJ20&lt;HQ$94,"",SQRT(HQ20/HQ$15))</f>
        <v/>
      </c>
      <c r="HR95" s="150" t="str">
        <f aca="false">IF($FJ20&lt;HR$94,"",SQRT(HR20/HR$15))</f>
        <v/>
      </c>
      <c r="HS95" s="150" t="str">
        <f aca="false">IF($FJ20&lt;HS$94,"",SQRT(HS20/HS$15))</f>
        <v/>
      </c>
      <c r="HT95" s="150" t="str">
        <f aca="false">IF($FJ20&lt;HT$94,"",SQRT(HT20/HT$15))</f>
        <v/>
      </c>
      <c r="HU95" s="150" t="str">
        <f aca="false">IF($FJ20&lt;HU$94,"",SQRT(HU20/HU$15))</f>
        <v/>
      </c>
      <c r="HV95" s="150" t="str">
        <f aca="false">IF($FJ20&lt;HV$94,"",SQRT(HV20/HV$15))</f>
        <v/>
      </c>
      <c r="HW95" s="150" t="str">
        <f aca="false">IF($FJ20&lt;HW$94,"",SQRT(HW20/HW$15))</f>
        <v/>
      </c>
      <c r="HX95" s="150" t="str">
        <f aca="false">IF($FJ20&lt;HX$94,"",SQRT(HX20/HX$15))</f>
        <v/>
      </c>
      <c r="HY95" s="150" t="str">
        <f aca="false">IF($FJ20&lt;HY$94,"",SQRT(HY20/HY$15))</f>
        <v/>
      </c>
      <c r="HZ95" s="150" t="str">
        <f aca="false">IF($FJ20&lt;HZ$94,"",SQRT(HZ20/HZ$15))</f>
        <v/>
      </c>
      <c r="IA95" s="150" t="str">
        <f aca="false">IF($FJ20&lt;IA$94,"",SQRT(IA20/IA$15))</f>
        <v/>
      </c>
      <c r="IB95" s="150" t="str">
        <f aca="false">IF($FJ20&lt;IB$94,"",SQRT(IB20/IB$15))</f>
        <v/>
      </c>
      <c r="IC95" s="150" t="str">
        <f aca="false">IF($FJ20&lt;IC$94,"",SQRT(IC20/IC$15))</f>
        <v/>
      </c>
      <c r="ID95" s="572" t="str">
        <f aca="false">IF($FJ20&lt;ID$94,"",SQRT(ID20/ID$15))</f>
        <v/>
      </c>
      <c r="IE95" s="129"/>
    </row>
    <row r="96" customFormat="false" ht="12.75" hidden="false" customHeight="false" outlineLevel="0" collapsed="false">
      <c r="H96" s="219" t="n">
        <f aca="false">VLOOKUP(I96,$EJ$20:$EL$54,3)</f>
        <v>0</v>
      </c>
      <c r="I96" s="511" t="n">
        <f aca="false">EOMONTH(I95,0)+1</f>
        <v>39083</v>
      </c>
      <c r="J96" s="512"/>
      <c r="K96" s="513" t="n">
        <v>0</v>
      </c>
      <c r="L96" s="514" t="n">
        <f aca="false">IF(ISNUMBER(K96),J96+K96/100,IF(K96="extra",L95+VLOOKUP(BF96,PriceSpreadTable,2)/12,IF(K96="inter",interpolateprices($K$19:$L$200,ROW(K96)-ROW(FirstPricingMonth)+1),interpolatechanges($J$19:$K$200,ROW(K96)-ROW(FirstPricingMonth)+1))))</f>
        <v>0</v>
      </c>
      <c r="M96" s="515"/>
      <c r="N96" s="516" t="n">
        <v>0</v>
      </c>
      <c r="O96" s="515" t="n">
        <f aca="false">M96+N96</f>
        <v>0</v>
      </c>
      <c r="P96" s="512"/>
      <c r="Q96" s="513" t="s">
        <v>280</v>
      </c>
      <c r="R96" s="512" t="e">
        <f aca="false">IF(ISNUMBER(Q96),P96+Q96/100,IF(Q96="extra",(Z94*AL94-R95*AM94)/AN94,IF(Q96="inter",interpolateprices($Q$19:$R$260,ROW(Q96)-ROW(FirstPricingMonth)+1),interpolatechanges($P$19:$Q$260,ROW(Q96)-ROW(FirstPricingMonth)+1))))</f>
        <v>#VALUE!</v>
      </c>
      <c r="S96" s="597" t="n">
        <f aca="false">S$19+(S95-S$19)*S$18</f>
        <v>0.360000000017047</v>
      </c>
      <c r="T96" s="575" t="n">
        <f aca="false">SQRT((1-(1-T95^2/U95)*T$18)*U96)</f>
        <v>0.99999924157344</v>
      </c>
      <c r="U96" s="576" t="n">
        <f aca="false">1-(1-U95)*U$18</f>
        <v>0.999999999995206</v>
      </c>
      <c r="V96" s="521" t="n">
        <v>0</v>
      </c>
      <c r="W96" s="577" t="n">
        <f aca="false">(J97*AJ96+J98*AK96)/AI96</f>
        <v>0</v>
      </c>
      <c r="X96" s="578" t="n">
        <f aca="false">(L97*AJ96+L98*AK96)/AI96</f>
        <v>0.0511363636363636</v>
      </c>
      <c r="Y96" s="579" t="n">
        <f aca="false">IF(Q98="extra",W96-AA96,(P97*AM96+P98*AN96)/AL96)</f>
        <v>-1.1305</v>
      </c>
      <c r="Z96" s="579" t="n">
        <f aca="false">IF(Q98="extra",X96-AB96,(R97*AM96+R98*AN96)/AL96)</f>
        <v>-1.07936363636364</v>
      </c>
      <c r="AA96" s="523" t="n">
        <f aca="false">IF(Q98="extra",INDEX(BrentSeasonalityTable,INT((BG96-1)/3)+1)*VLOOKUP(MAX(BF96,$AB$4),PriceSpreadTable,3),W96-Y96)</f>
        <v>1.1305</v>
      </c>
      <c r="AB96" s="524" t="n">
        <f aca="false">IF(Q98="extra",INDEX(BrentSeasonalityTable,INT((BG96-1)/3)+1)*VLOOKUP(MAX(BF96,$AB$4),PriceSpreadTable,3),X96-Z96)</f>
        <v>1.1305</v>
      </c>
      <c r="AC96" s="646" t="n">
        <v>39071</v>
      </c>
      <c r="AD96" s="646" t="n">
        <v>39067</v>
      </c>
      <c r="AE96" s="646" t="n">
        <v>39066</v>
      </c>
      <c r="AF96" s="646" t="n">
        <v>39062</v>
      </c>
      <c r="AG96" s="438" t="s">
        <v>278</v>
      </c>
      <c r="AH96" s="439" t="s">
        <v>278</v>
      </c>
      <c r="AI96" s="528" t="n">
        <v>22</v>
      </c>
      <c r="AJ96" s="529" t="n">
        <v>14</v>
      </c>
      <c r="AK96" s="529" t="n">
        <v>8</v>
      </c>
      <c r="AL96" s="530" t="n">
        <v>22</v>
      </c>
      <c r="AM96" s="529" t="n">
        <v>9</v>
      </c>
      <c r="AN96" s="531" t="n">
        <v>13</v>
      </c>
      <c r="AO96" s="532"/>
      <c r="AP96" s="465" t="n">
        <f aca="false">(1+AO96/2)^(-2*BL96)</f>
        <v>1</v>
      </c>
      <c r="AQ96" s="532"/>
      <c r="AR96" s="465" t="n">
        <f aca="false">(1+AQ96/2)^(-2*BH96/365.25)</f>
        <v>1</v>
      </c>
      <c r="AS96" s="580" t="n">
        <f aca="false">(O97*AJ96+O98*AK96)/AI96</f>
        <v>0</v>
      </c>
      <c r="AT96" s="468" t="n">
        <f aca="false">O96*VLOOKUP(BF96,BrentVolTable,2)+VLOOKUP(BF96,BrentVolTable,3)</f>
        <v>0</v>
      </c>
      <c r="AU96" s="468" t="n">
        <f aca="false">(AT97*AM96+AT98*AN96)/AL96</f>
        <v>0</v>
      </c>
      <c r="AV96" s="595" t="n">
        <f aca="false">SQRT(MAX(0.000000000001,(O96^2*BH96-S96^2*(BH96-BH95))/BH95))</f>
        <v>0.0237583654818055</v>
      </c>
      <c r="AW96" s="451" t="n">
        <f aca="false">IF($I96-DateToday+15&gt;=$T$8,"",IF($I96-DateToday+15&lt;$T$5,1,MATCH($I96-DateToday+15,$T$5:$T$8)))</f>
        <v>1</v>
      </c>
      <c r="AX96" s="468" t="n">
        <f aca="false">IF($AW96="",AX95^2/AX94,INDEX(U$5:U$8,$AW96)^((INDEX($T$5:$T$8,$AW96+1)-($I96-DateToday+15))/(INDEX($T$5:$T$8,$AW96+1)-INDEX($T$5:$T$8,$AW96)))/INDEX(U$5:U$8,$AW96+1)^((INDEX($T$5:$T$8,$AW96)-($I96-DateToday+15))/(INDEX($T$5:$T$8,$AW96+1)-INDEX($T$5:$T$8,$AW96))))</f>
        <v>2.47207967595072</v>
      </c>
      <c r="AY96" s="468" t="n">
        <f aca="false">IF($AW96="",AY95^2/AY94,INDEX(V$5:V$8,$AW96)^((INDEX($T$5:$T$8,$AW96+1)-($I96-DateToday+15))/(INDEX($T$5:$T$8,$AW96+1)-INDEX($T$5:$T$8,$AW96)))/INDEX(V$5:V$8,$AW96+1)^((INDEX($T$5:$T$8,$AW96)-($I96-DateToday+15))/(INDEX($T$5:$T$8,$AW96+1)-INDEX($T$5:$T$8,$AW96))))</f>
        <v>212.322257044742</v>
      </c>
      <c r="AZ96" s="468" t="n">
        <f aca="false">IF($AW96="",AZ95^2/AZ94,INDEX(W$5:W$8,$AW96)^((INDEX($T$5:$T$8,$AW96+1)-($I96-DateToday+15))/(INDEX($T$5:$T$8,$AW96+1)-INDEX($T$5:$T$8,$AW96)))/INDEX(W$5:W$8,$AW96+1)^((INDEX($T$5:$T$8,$AW96)-($I96-DateToday+15))/(INDEX($T$5:$T$8,$AW96+1)-INDEX($T$5:$T$8,$AW96))))</f>
        <v>1349191.54235247</v>
      </c>
      <c r="BA96" s="468" t="n">
        <f aca="false">IF($AW96="",BA95^2/BA94,INDEX(X$5:X$8,$AW96)^((INDEX($T$5:$T$8,$AW96+1)-($I96-DateToday+15))/(INDEX($T$5:$T$8,$AW96+1)-INDEX($T$5:$T$8,$AW96)))/INDEX(X$5:X$8,$AW96+1)^((INDEX($T$5:$T$8,$AW96)-($I96-DateToday+15))/(INDEX($T$5:$T$8,$AW96+1)-INDEX($T$5:$T$8,$AW96))))</f>
        <v>34742801.9876472</v>
      </c>
      <c r="BB96" s="468" t="n">
        <f aca="false">IF($AW96="",BB95^2/BB94,INDEX(Y$5:Y$8,$AW96)^((INDEX($T$5:$T$8,$AW96+1)-($I96-DateToday+15))/(INDEX($T$5:$T$8,$AW96+1)-INDEX($T$5:$T$8,$AW96)))/INDEX(Y$5:Y$8,$AW96+1)^((INDEX($T$5:$T$8,$AW96)-($I96-DateToday+15))/(INDEX($T$5:$T$8,$AW96+1)-INDEX($T$5:$T$8,$AW96))))</f>
        <v>452655321.400537</v>
      </c>
      <c r="BC96" s="468" t="n">
        <f aca="false">IF($AW96="",BC95^2/BC94,INDEX(Z$5:Z$8,$AW96)^((INDEX($T$5:$T$8,$AW96+1)-($I96-DateToday+15))/(INDEX($T$5:$T$8,$AW96+1)-INDEX($T$5:$T$8,$AW96)))/INDEX(Z$5:Z$8,$AW96+1)^((INDEX($T$5:$T$8,$AW96)-($I96-DateToday+15))/(INDEX($T$5:$T$8,$AW96+1)-INDEX($T$5:$T$8,$AW96))))</f>
        <v>2109946517.84238</v>
      </c>
      <c r="BD96" s="535" t="n">
        <f aca="false">IF(OR(DateStart&gt;=I97,DateEnd&lt;I96),0,IF(VolumeOverrideFlag,V96,Volume))</f>
        <v>0</v>
      </c>
      <c r="BE96" s="536" t="n">
        <f aca="false">IF(OR(DateStart2&gt;=I97,DateEnd2&lt;I96),0,IF(VolumeOverrideFlag,V96,VolumeSwaption))</f>
        <v>0</v>
      </c>
      <c r="BF96" s="537" t="n">
        <f aca="false">YEAR(I96)</f>
        <v>2007</v>
      </c>
      <c r="BG96" s="538" t="n">
        <f aca="false">MONTH(I96)</f>
        <v>1</v>
      </c>
      <c r="BH96" s="539" t="n">
        <f aca="false">AD96-DateToday+1</f>
        <v>-6858</v>
      </c>
      <c r="BI96" s="540" t="n">
        <f aca="false">(I96-DateToday+1)/365.25</f>
        <v>-18.7323750855578</v>
      </c>
      <c r="BJ96" s="541" t="n">
        <f aca="false">BI96+(BL96-BI96)*CHOOSE(Underlying,AJ96/AI96,AM96/AL96)</f>
        <v>-18.6801070250762</v>
      </c>
      <c r="BK96" s="541" t="n">
        <f aca="false">BJ96+1/365.25</f>
        <v>-18.6773691742891</v>
      </c>
      <c r="BL96" s="541" t="n">
        <f aca="false">(I97-DateToday)/365.25</f>
        <v>-18.6502395619439</v>
      </c>
      <c r="BM96" s="542" t="e">
        <f aca="false">MAX(BI96-(BJ96-BI96)*(S97^2/O97^2-1),0)</f>
        <v>#DIV/0!</v>
      </c>
      <c r="BN96" s="541" t="e">
        <f aca="false">MAX(BL96+(BL96-BK96)*(S98^2/O98^2-1),0)</f>
        <v>#DIV/0!</v>
      </c>
      <c r="BO96" s="530" t="n">
        <f aca="false">CHOOSE(Underlying,AI96,AL96)</f>
        <v>22</v>
      </c>
      <c r="BP96" s="529" t="n">
        <f aca="false">CHOOSE(Underlying,AJ96,AM96)</f>
        <v>14</v>
      </c>
      <c r="BQ96" s="529" t="n">
        <f aca="false">CHOOSE(Underlying,AK96,AN96)</f>
        <v>8</v>
      </c>
      <c r="BR96" s="463" t="str">
        <f aca="false">IF(BD96,IF(Underlying=1,X96,Z96)+UnderlyingPriceAsian-SwapPriceCurve,"")</f>
        <v/>
      </c>
      <c r="BS96" s="463" t="str">
        <f aca="false">IF(BD96,Strike1/BR96-1,"")</f>
        <v/>
      </c>
      <c r="BT96" s="464" t="str">
        <f aca="false">IF(BD96,Strike2/BR96-1,"")</f>
        <v/>
      </c>
      <c r="BU96" s="465" t="str">
        <f aca="false">IF(BD96,IF(Underlying=1,L97,R97)+UnderlyingPriceAsian-SwapPriceCurve,"")</f>
        <v/>
      </c>
      <c r="BV96" s="465" t="str">
        <f aca="false">IF(BD96,IF(Underlying=1,L98,R98)+UnderlyingPriceAsian-SwapPriceCurve,"")</f>
        <v/>
      </c>
      <c r="BW96" s="466" t="str">
        <f aca="false">IF(BD96,IF(Underlying=1,O97,AT97),"")</f>
        <v/>
      </c>
      <c r="BX96" s="467" t="str">
        <f aca="false">IF(BD96,IF(Underlying=1,O98,AT98),"")</f>
        <v/>
      </c>
      <c r="BY96" s="466" t="str">
        <f aca="false">IF(BD96,IF(BS96&gt;0,IF(BS96&gt;0.2,BC96-BB96,IF(BS96&gt;0.1,BB96-BA96,BA96)),IF(BS96&lt;-0.2,AX96-AY96,IF(BS96&lt;-0.1,AY96-AZ96,AZ96))),"")</f>
        <v/>
      </c>
      <c r="BZ96" s="467" t="str">
        <f aca="false">IF(BD96,IF(BT96&gt;0,IF(BT96&gt;0.2,BC96-BB96,IF(BT96&gt;0.1,BB96-BA96,BA96)),IF(BT96&lt;-0.2,AX96-AY96,IF(BT96&lt;-0.1,AY96-AZ96,AZ96))),"")</f>
        <v/>
      </c>
      <c r="CA96" s="468" t="str">
        <f aca="false">IF($BD96,$BW96+IF(VolSkewFlag=1,IF(BS96&gt;0,$BA96*MIN(BS96/10%,1)+($BB96-$BA96)*MAX(0,MIN(BS96/10%-1,1))+($BC96-$BB96)*MAX(0,BS96/10%-2),$AZ96*MIN(-BS96/10%,1)+($AY96-$AZ96)*MAX(0,MIN(-BS96/10%-1,1))+($AX96-$AY96)*MAX(0,-BS96/10%-2)),0),"")</f>
        <v/>
      </c>
      <c r="CB96" s="468" t="str">
        <f aca="false">IF($BD96,$BX96+IF(VolSkewFlag=1,IF(BS96&gt;0,$BA96*MIN(BS96/10%,1)+($BB96-$BA96)*MAX(0,MIN(BS96/10%-1,1))+($BC96-$BB96)*MAX(0,BS96/10%-2),$AZ96*MIN(-BS96/10%,1)+($AY96-$AZ96)*MAX(0,MIN(-BS96/10%-1,1))+($AX96-$AY96)*MAX(0,-BS96/10%-2)),0),"")</f>
        <v/>
      </c>
      <c r="CC96" s="468" t="str">
        <f aca="false">IF($BD96,$BW96+IF(VolSkewFlag=1,IF(BT96&gt;0,$BA96*MIN(BT96/10%,1)+($BB96-$BA96)*MAX(0,MIN(BT96/10%-1,1))+($BC96-$BB96)*MAX(0,BT96/10%-2),$AZ96*MIN(-BT96/10%,1)+($AY96-$AZ96)*MAX(0,MIN(-BT96/10%-1,1))+($AX96-$AY96)*MAX(0,-BT96/10%-2)),0),"")</f>
        <v/>
      </c>
      <c r="CD96" s="468" t="str">
        <f aca="false">IF($BD96,$BX96+IF(VolSkewFlag=1,IF(BT96&gt;0,$BA96*MIN(BT96/10%,1)+($BB96-$BA96)*MAX(0,MIN(BT96/10%-1,1))+($BC96-$BB96)*MAX(0,BT96/10%-2),$AZ96*MIN(-BT96/10%,1)+($AY96-$AZ96)*MAX(0,MIN(-BT96/10%-1,1))+($AX96-$AY96)*MAX(0,-BT96/10%-2)),0),"")</f>
        <v/>
      </c>
      <c r="CE96" s="469" t="n">
        <v>1</v>
      </c>
      <c r="CF96" s="470" t="n">
        <f aca="false">IF(BD96,xCrudeAPO(BU96,BV96,CA96,CB96,S97,S98,BI96,BL96,BP96,BQ96,0,Strike1,AO96,CE96,0,BL96,IF(OptControl=4,0,1),0,1),0)</f>
        <v>0</v>
      </c>
      <c r="CG96" s="470" t="n">
        <f aca="false">IF(BD96,xCrudeAPO(BU96,BV96,CA96,CB96,S97,S98,BI96,BL96,BP96,BQ96,0,Strike1,AO96,CE96,0,BL96,IF(OptControl=4,0,1),1,1)+xCrudeAPO(BU96,BV96,CA96,CB96,S97,S98,BI96,BL96,BP96,BQ96,0,Strike1,AO96,CE96,0,BL96,IF(OptControl=4,0,1),1,2)+IF(OR(VolSkewFlag=2,ABS(BS96)&lt;0.0001),0,IF(BS96&gt;0,-1,1)*CH96*Strike1/BR96^2*BY96/10%),0)</f>
        <v>0</v>
      </c>
      <c r="CH96" s="470" t="n">
        <f aca="false">IF(BD96,(xCrudeAPO(BU96,BV96,CA96,CB96,S97,S98,BI96,BL96,BP96,BQ96,0,Strike1,AO96,CE96,0,BL96,IF(OptControl=4,0,1),3,1)+xCrudeAPO(BU96,BV96,CA96,CB96,S97,S98,BI96,BL96,BP96,BQ96,0,Strike1,AO96,CE96,0,BL96,IF(OptControl=4,0,1),3,2))/100,0)</f>
        <v>0</v>
      </c>
      <c r="CI96" s="470" t="n">
        <f aca="false">IF(BD96,xCrudeAPO(BU96,BV96,CA96,CB96,S97,S98,BI96-DaysForThetaCalculation/365.25,BL96-DaysForThetaCalculation/365.25,BP96,BQ96,0,Strike1,AO96,CE96,0,BL96,IF(OptControl=4,0,1),0,1)-xCrudeAPO(BU96,BV96,CA96,CB96,S97,S98,BI96,BL96,BP96,BQ96,0,Strike1,AO96,CE96,0,BL96,IF(OptControl=4,0,1),0,1),0)</f>
        <v>0</v>
      </c>
      <c r="CJ96" s="471" t="n">
        <f aca="false">IF(BD96,xCrudeAPO(BU96,BV96,CC96,CD96,S97,S98,BI96,BL96,BP96,BQ96,0,Strike2,AO96,CE96,0,BL96,IF(OptControl=3,1,0),0,1),0)</f>
        <v>0</v>
      </c>
      <c r="CK96" s="470" t="n">
        <f aca="false">IF(BD96,xCrudeAPO(BU96,BV96,CC96,CD96,S97,S98,BI96,BL96,BP96,BQ96,0,Strike2,AO96,CE96,0,BL96,IF(OptControl=3,1,0),1,1)+xCrudeAPO(BU96,BV96,CC96,CD96,S97,S98,BI96,BL96,BP96,BQ96,0,Strike2,AO96,CE96,0,BL96,IF(OptControl=3,1,0),1,2)+IF(OR(VolSkewFlag=2,ABS(BT96)&lt;0.0001),0,IF(BT96&gt;0,-1,1)*CL96*Strike2/BR96^2*BZ96/10%),0)</f>
        <v>0</v>
      </c>
      <c r="CL96" s="470" t="n">
        <f aca="false">IF(BD96,(xCrudeAPO(BU96,BV96,CC96,CD96,S97,S98,BI96,BL96,BP96,BQ96,0,Strike2,AO96,CE96,0,BL96,IF(OptControl=3,1,0),3,1)+xCrudeAPO(BU96,BV96,CC96,CD96,S97,S98,BI96,BL96,BP96,BQ96,0,Strike2,AO96,CE96,0,BL96,IF(OptControl=3,1,0),3,2))/100,0)</f>
        <v>0</v>
      </c>
      <c r="CM96" s="472" t="n">
        <f aca="false">IF(BD96,xCrudeAPO(BU96,BV96,CC96,CD96,S97,S98,BI96-DaysForThetaCalculation/365.25,BL96-DaysForThetaCalculation/365.25,BP96,BQ96,0,Strike2,AO96,CE96,0,BL96,IF(OptControl=3,1,0),0,1)-xCrudeAPO(BU96,BV96,CC96,CD96,S97,S98,BI96,BL96,BP96,BQ96,0,Strike2,AO96,CE96,0,BL96,IF(OptControl=3,1,0),0,1),0)</f>
        <v>0</v>
      </c>
      <c r="CN96" s="3"/>
      <c r="CO96" s="543" t="str">
        <f aca="false">IF(BD96,CHOOSE(Underlying,AD96,AF96)-DateToday+1,"")</f>
        <v/>
      </c>
      <c r="CP96" s="582" t="str">
        <f aca="false">IF(BD96,CHOOSE(Underlying,L96,R96),"")</f>
        <v/>
      </c>
      <c r="CQ96" s="544" t="str">
        <f aca="false">IF(BD96,Strike1/CP96-1,"")</f>
        <v/>
      </c>
      <c r="CR96" s="544" t="str">
        <f aca="false">IF(BD96,Strike2/CP96-1,"")</f>
        <v/>
      </c>
      <c r="CS96" s="544" t="str">
        <f aca="false">IF(BD96,IF(CQ96&gt;0,IF(CQ96&gt;0.2,BC95-BB95,IF(CQ96&gt;0.1,BB95-BA95,BA95)),IF(CQ96&lt;-0.2,AX95-AY95,IF(CQ96&lt;-0.1,AY95-AZ95,AZ95))),"")</f>
        <v/>
      </c>
      <c r="CT96" s="544" t="str">
        <f aca="false">IF(BD96,IF(CR96&gt;0,IF(CR96&gt;0.2,BC95-BB95,IF(CR96&gt;0.1,BB95-BA95,BA95)),IF(CR96&lt;-0.2,AX95-AY95,IF(CR96&lt;-0.1,AY95-AZ95,AZ95))),"")</f>
        <v/>
      </c>
      <c r="CU96" s="545" t="str">
        <f aca="false">IF(BD96,CHOOSE(Underlying,O96,AT96),"")</f>
        <v/>
      </c>
      <c r="CV96" s="545" t="str">
        <f aca="false">IF(BD96,CU96+IF(VolSkewFlag=1,IF(CQ96&gt;0,BA95*MIN(CQ96/10%,1)+(BB95-BA95)*MAX(0,MIN(CQ96/10%-1,1))+(BC95-BB95)*MAX(0,CQ96/10%-2),AZ95*MIN(-CQ96/10%,1)+(AY95-AZ95)*MAX(0,MIN(-CQ96/10%-1,1))+(AX95-AY95)*MAX(0,-CQ96/10%-2)),0),"")</f>
        <v/>
      </c>
      <c r="CW96" s="545" t="str">
        <f aca="false">IF(BD96,CU96+IF(VolSkewFlag=1,IF(CR96&gt;0,BA95*MIN(CR96/10%,1)+(BB95-BA95)*MAX(0,MIN(CR96/10%-1,1))+(BC95-BB95)*MAX(0,CR96/10%-2),AZ95*MIN(-CR96/10%,1)+(AY95-AZ95)*MAX(0,MIN(-CR96/10%-1,1))+(AX95-AY95)*MAX(0,-CR96/10%-2)),0),"")</f>
        <v/>
      </c>
      <c r="CX96" s="470" t="n">
        <f aca="false">IF(BD96,EURO(CP96,Strike1,AO96,AO96,CV96,CO96,IF(OptControl=4,0,1),0),0)</f>
        <v>0</v>
      </c>
      <c r="CY96" s="470" t="n">
        <f aca="false">IF(BD96,EURO(CP96,Strike1,AO96,AO96,CV96,CO96,IF(OptControl=4,0,1),1)+IF(OR(VolSkewFlag=2,ABS(CQ96)&lt;0.0001),0,IF(CQ96&gt;0,-1,1)*CZ96*100*Strike1/CP96^2*CS96/10%),0)</f>
        <v>0</v>
      </c>
      <c r="CZ96" s="470" t="n">
        <f aca="false">IF(BD96,EURO(CP96,Strike1,AO96,AO96,CV96,CO96,IF(OptControl=4,0,1),3)/100,0)</f>
        <v>0</v>
      </c>
      <c r="DA96" s="470" t="n">
        <f aca="false">IF(BD96,EURO(CP96,Strike1,AO96,AO96,CV96,CO96,IF(OptControl=4,0,1),0)-EURO(CP96,Strike1,AO96,AO96,CV96,CO96-1,IF(OptControl=4,0,1),0),0)</f>
        <v>0</v>
      </c>
      <c r="DB96" s="470" t="n">
        <f aca="false">IF(BD96,EURO(CP96,Strike2,AO96,AO96,CW96,CO96,IF(OptControl=3,1,0),0),0)</f>
        <v>0</v>
      </c>
      <c r="DC96" s="470" t="n">
        <f aca="false">IF(BD96,EURO(CP96,Strike2,AO96,AO96,CW96,CO96,IF(OptControl=3,1,0),1)+IF(OR(VolSkewFlag=2,ABS(CR96)&lt;0.0001),0,IF(CR96&gt;0,-1,1)*DD96*100*Strike2/CP96^2*CT96/10%),0)</f>
        <v>0</v>
      </c>
      <c r="DD96" s="470" t="n">
        <f aca="false">IF(BD96,EURO(CP96,Strike2,AO96,AO96,CW96,CO96,IF(OptControl=3,1,0),3)/100,0)</f>
        <v>0</v>
      </c>
      <c r="DE96" s="472" t="n">
        <f aca="false">IF(BD96,EURO(CP96,Strike2,AO96,AO96,CW96,CO96,IF(OptControl=3,1,0),0)-EURO(CP96,Strike2,AO96,AO96,CW96,CO96-1,IF(OptControl=3,1,0),0),0)</f>
        <v>0</v>
      </c>
      <c r="DG96" s="481" t="n">
        <f aca="false">EOMONTH(DG95,0)+1</f>
        <v>48000</v>
      </c>
      <c r="DH96" s="478" t="n">
        <v>18.315</v>
      </c>
      <c r="DI96" s="479" t="n">
        <v>18.3138636363636</v>
      </c>
      <c r="DJ96" s="480" t="n">
        <f aca="false">DG96</f>
        <v>48000</v>
      </c>
      <c r="DK96" s="478" t="n">
        <v>16.915876183215</v>
      </c>
      <c r="DL96" s="479" t="n">
        <v>17.0328636363636</v>
      </c>
      <c r="DM96" s="481" t="n">
        <f aca="false">DG96</f>
        <v>48000</v>
      </c>
      <c r="DN96" s="482" t="n">
        <f aca="false">DK96+BrentPhyBrentSpread</f>
        <v>16.965876183215</v>
      </c>
      <c r="DO96" s="481" t="n">
        <f aca="false">DG96</f>
        <v>48000</v>
      </c>
      <c r="DP96" s="483" t="n">
        <f aca="false">DL96+DQ96</f>
        <v>17.0328636363636</v>
      </c>
      <c r="DQ96" s="546" t="n">
        <v>0</v>
      </c>
      <c r="DR96" s="480" t="n">
        <f aca="false">DG96</f>
        <v>48000</v>
      </c>
      <c r="DS96" s="485" t="n">
        <v>0.179</v>
      </c>
      <c r="DT96" s="486" t="n">
        <v>0.178181818181818</v>
      </c>
      <c r="DU96" s="480" t="n">
        <f aca="false">DG96</f>
        <v>48000</v>
      </c>
      <c r="DV96" s="485" t="n">
        <v>0.179</v>
      </c>
      <c r="DW96" s="486" t="n">
        <v>0.178181818181818</v>
      </c>
      <c r="DX96" s="481" t="n">
        <f aca="false">DG96</f>
        <v>48000</v>
      </c>
      <c r="DY96" s="486" t="n">
        <v>0.35</v>
      </c>
      <c r="DZ96" s="481" t="n">
        <f aca="false">DR96</f>
        <v>48000</v>
      </c>
      <c r="EA96" s="486" t="n">
        <f aca="false">DT96</f>
        <v>0.178181818181818</v>
      </c>
      <c r="EB96" s="195"/>
      <c r="EC96" s="547" t="str">
        <f aca="false">IF(BD96,IF(Underlying=1,AS96,AU96),"")</f>
        <v/>
      </c>
      <c r="ED96" s="548" t="str">
        <f aca="false">IF($BD96,$EC96+IF(VolSkewFlag=1,IF(BS96&gt;0,$BA96*MIN(BS96/10%,1)+($BB96-$BA96)*MAX(0,MIN(BS96/10%-1,1))+($BC96-$BB96)*MAX(0,BS96/10%-2),$AZ96*MIN(-BS96/10%,1)+($AY96-$AZ96)*MAX(0,MIN(-BS96/10%-1,1))+($AX96-$AY96)*MAX(0,-BS96/10%-2)),0),"")</f>
        <v/>
      </c>
      <c r="EE96" s="549" t="str">
        <f aca="false">IF($BD96,$EC96+IF(VolSkewFlag=1,IF(BT96&gt;0,$BA96*MIN(BT96/10%,1)+($BB96-$BA96)*MAX(0,MIN(BT96/10%-1,1))+($BC96-$BB96)*MAX(0,BT96/10%-2),$AZ96*MIN(-BT96/10%,1)+($AY96-$AZ96)*MAX(0,MIN(-BT96/10%-1,1))+($AX96-$AY96)*MAX(0,-BT96/10%-2)),0),"")</f>
        <v/>
      </c>
      <c r="EF96" s="550" t="n">
        <f aca="false">IF(BD96,xASN(BR96,Strike1,AO96,ED96,0,BO96,0,BI96,BL96,IF(OptControl=4,0,1),0),0)</f>
        <v>0</v>
      </c>
      <c r="EG96" s="551" t="n">
        <f aca="false">IF(BD96,xASN(BR96,Strike2,AO96,EE96,0,BO96,0,BI96,BL96,IF(OptControl=3,1,0),0),0)</f>
        <v>0</v>
      </c>
      <c r="EL96" s="1"/>
      <c r="EM96" s="195"/>
      <c r="EN96" s="556" t="n">
        <v>44927</v>
      </c>
      <c r="EO96" s="557" t="n">
        <v>50406</v>
      </c>
      <c r="EP96" s="195"/>
      <c r="EQ96" s="407" t="s">
        <v>323</v>
      </c>
      <c r="ES96" s="130"/>
      <c r="ET96" s="19"/>
      <c r="EU96" s="672"/>
      <c r="EV96" s="478"/>
      <c r="EW96" s="131"/>
      <c r="EX96" s="131"/>
      <c r="EY96" s="129"/>
      <c r="EZ96" s="129"/>
      <c r="FA96" s="129"/>
      <c r="FB96" s="129"/>
      <c r="FC96" s="129"/>
      <c r="FD96" s="129"/>
      <c r="FE96" s="129"/>
      <c r="FF96" s="129"/>
      <c r="FG96" s="129"/>
      <c r="FH96" s="129"/>
      <c r="FI96" s="129"/>
      <c r="FJ96" s="571" t="n">
        <v>2</v>
      </c>
      <c r="FK96" s="150" t="e">
        <f aca="false">IF($FJ21&lt;FK$94,"",SQRT(FK21/FK$15))</f>
        <v>#DIV/0!</v>
      </c>
      <c r="FL96" s="150" t="n">
        <f aca="false">IF($FJ21&lt;FL$94,"",SQRT(FL21/FL$15))</f>
        <v>-0</v>
      </c>
      <c r="FM96" s="150" t="str">
        <f aca="false">IF($FJ21&lt;FM$94,"",SQRT(FM21/FM$15))</f>
        <v/>
      </c>
      <c r="FN96" s="150" t="str">
        <f aca="false">IF($FJ21&lt;FN$94,"",SQRT(FN21/FN$15))</f>
        <v/>
      </c>
      <c r="FO96" s="150" t="str">
        <f aca="false">IF($FJ21&lt;FO$94,"",SQRT(FO21/FO$15))</f>
        <v/>
      </c>
      <c r="FP96" s="150" t="str">
        <f aca="false">IF($FJ21&lt;FP$94,"",SQRT(FP21/FP$15))</f>
        <v/>
      </c>
      <c r="FQ96" s="150" t="str">
        <f aca="false">IF($FJ21&lt;FQ$94,"",SQRT(FQ21/FQ$15))</f>
        <v/>
      </c>
      <c r="FR96" s="150" t="str">
        <f aca="false">IF($FJ21&lt;FR$94,"",SQRT(FR21/FR$15))</f>
        <v/>
      </c>
      <c r="FS96" s="150" t="str">
        <f aca="false">IF($FJ21&lt;FS$94,"",SQRT(FS21/FS$15))</f>
        <v/>
      </c>
      <c r="FT96" s="150" t="str">
        <f aca="false">IF($FJ21&lt;FT$94,"",SQRT(FT21/FT$15))</f>
        <v/>
      </c>
      <c r="FU96" s="150" t="str">
        <f aca="false">IF($FJ21&lt;FU$94,"",SQRT(FU21/FU$15))</f>
        <v/>
      </c>
      <c r="FV96" s="150" t="str">
        <f aca="false">IF($FJ21&lt;FV$94,"",SQRT(FV21/FV$15))</f>
        <v/>
      </c>
      <c r="FW96" s="150" t="str">
        <f aca="false">IF($FJ21&lt;FW$94,"",SQRT(FW21/FW$15))</f>
        <v/>
      </c>
      <c r="FX96" s="150" t="str">
        <f aca="false">IF($FJ21&lt;FX$94,"",SQRT(FX21/FX$15))</f>
        <v/>
      </c>
      <c r="FY96" s="150" t="str">
        <f aca="false">IF($FJ21&lt;FY$94,"",SQRT(FY21/FY$15))</f>
        <v/>
      </c>
      <c r="FZ96" s="150" t="str">
        <f aca="false">IF($FJ21&lt;FZ$94,"",SQRT(FZ21/FZ$15))</f>
        <v/>
      </c>
      <c r="GA96" s="150" t="str">
        <f aca="false">IF($FJ21&lt;GA$94,"",SQRT(GA21/GA$15))</f>
        <v/>
      </c>
      <c r="GB96" s="150" t="str">
        <f aca="false">IF($FJ21&lt;GB$94,"",SQRT(GB21/GB$15))</f>
        <v/>
      </c>
      <c r="GC96" s="150" t="str">
        <f aca="false">IF($FJ21&lt;GC$94,"",SQRT(GC21/GC$15))</f>
        <v/>
      </c>
      <c r="GD96" s="150" t="str">
        <f aca="false">IF($FJ21&lt;GD$94,"",SQRT(GD21/GD$15))</f>
        <v/>
      </c>
      <c r="GE96" s="150" t="str">
        <f aca="false">IF($FJ21&lt;GE$94,"",SQRT(GE21/GE$15))</f>
        <v/>
      </c>
      <c r="GF96" s="150" t="str">
        <f aca="false">IF($FJ21&lt;GF$94,"",SQRT(GF21/GF$15))</f>
        <v/>
      </c>
      <c r="GG96" s="150" t="str">
        <f aca="false">IF($FJ21&lt;GG$94,"",SQRT(GG21/GG$15))</f>
        <v/>
      </c>
      <c r="GH96" s="150" t="str">
        <f aca="false">IF($FJ21&lt;GH$94,"",SQRT(GH21/GH$15))</f>
        <v/>
      </c>
      <c r="GI96" s="150" t="str">
        <f aca="false">IF($FJ21&lt;GI$94,"",SQRT(GI21/GI$15))</f>
        <v/>
      </c>
      <c r="GJ96" s="150" t="str">
        <f aca="false">IF($FJ21&lt;GJ$94,"",SQRT(GJ21/GJ$15))</f>
        <v/>
      </c>
      <c r="GK96" s="150" t="str">
        <f aca="false">IF($FJ21&lt;GK$94,"",SQRT(GK21/GK$15))</f>
        <v/>
      </c>
      <c r="GL96" s="150" t="str">
        <f aca="false">IF($FJ21&lt;GL$94,"",SQRT(GL21/GL$15))</f>
        <v/>
      </c>
      <c r="GM96" s="150" t="str">
        <f aca="false">IF($FJ21&lt;GM$94,"",SQRT(GM21/GM$15))</f>
        <v/>
      </c>
      <c r="GN96" s="150" t="str">
        <f aca="false">IF($FJ21&lt;GN$94,"",SQRT(GN21/GN$15))</f>
        <v/>
      </c>
      <c r="GO96" s="150" t="str">
        <f aca="false">IF($FJ21&lt;GO$94,"",SQRT(GO21/GO$15))</f>
        <v/>
      </c>
      <c r="GP96" s="150" t="str">
        <f aca="false">IF($FJ21&lt;GP$94,"",SQRT(GP21/GP$15))</f>
        <v/>
      </c>
      <c r="GQ96" s="150" t="str">
        <f aca="false">IF($FJ21&lt;GQ$94,"",SQRT(GQ21/GQ$15))</f>
        <v/>
      </c>
      <c r="GR96" s="150" t="str">
        <f aca="false">IF($FJ21&lt;GR$94,"",SQRT(GR21/GR$15))</f>
        <v/>
      </c>
      <c r="GS96" s="150" t="str">
        <f aca="false">IF($FJ21&lt;GS$94,"",SQRT(GS21/GS$15))</f>
        <v/>
      </c>
      <c r="GT96" s="150" t="str">
        <f aca="false">IF($FJ21&lt;GT$94,"",SQRT(GT21/GT$15))</f>
        <v/>
      </c>
      <c r="GU96" s="150" t="str">
        <f aca="false">IF($FJ21&lt;GU$94,"",SQRT(GU21/GU$15))</f>
        <v/>
      </c>
      <c r="GV96" s="150" t="str">
        <f aca="false">IF($FJ21&lt;GV$94,"",SQRT(GV21/GV$15))</f>
        <v/>
      </c>
      <c r="GW96" s="150" t="str">
        <f aca="false">IF($FJ21&lt;GW$94,"",SQRT(GW21/GW$15))</f>
        <v/>
      </c>
      <c r="GX96" s="150" t="str">
        <f aca="false">IF($FJ21&lt;GX$94,"",SQRT(GX21/GX$15))</f>
        <v/>
      </c>
      <c r="GY96" s="150" t="str">
        <f aca="false">IF($FJ21&lt;GY$94,"",SQRT(GY21/GY$15))</f>
        <v/>
      </c>
      <c r="GZ96" s="150" t="str">
        <f aca="false">IF($FJ21&lt;GZ$94,"",SQRT(GZ21/GZ$15))</f>
        <v/>
      </c>
      <c r="HA96" s="150" t="str">
        <f aca="false">IF($FJ21&lt;HA$94,"",SQRT(HA21/HA$15))</f>
        <v/>
      </c>
      <c r="HB96" s="150" t="str">
        <f aca="false">IF($FJ21&lt;HB$94,"",SQRT(HB21/HB$15))</f>
        <v/>
      </c>
      <c r="HC96" s="150" t="str">
        <f aca="false">IF($FJ21&lt;HC$94,"",SQRT(HC21/HC$15))</f>
        <v/>
      </c>
      <c r="HD96" s="150" t="str">
        <f aca="false">IF($FJ21&lt;HD$94,"",SQRT(HD21/HD$15))</f>
        <v/>
      </c>
      <c r="HE96" s="150" t="str">
        <f aca="false">IF($FJ21&lt;HE$94,"",SQRT(HE21/HE$15))</f>
        <v/>
      </c>
      <c r="HF96" s="150" t="str">
        <f aca="false">IF($FJ21&lt;HF$94,"",SQRT(HF21/HF$15))</f>
        <v/>
      </c>
      <c r="HG96" s="150" t="str">
        <f aca="false">IF($FJ21&lt;HG$94,"",SQRT(HG21/HG$15))</f>
        <v/>
      </c>
      <c r="HH96" s="150" t="str">
        <f aca="false">IF($FJ21&lt;HH$94,"",SQRT(HH21/HH$15))</f>
        <v/>
      </c>
      <c r="HI96" s="150" t="str">
        <f aca="false">IF($FJ21&lt;HI$94,"",SQRT(HI21/HI$15))</f>
        <v/>
      </c>
      <c r="HJ96" s="150" t="str">
        <f aca="false">IF($FJ21&lt;HJ$94,"",SQRT(HJ21/HJ$15))</f>
        <v/>
      </c>
      <c r="HK96" s="150" t="str">
        <f aca="false">IF($FJ21&lt;HK$94,"",SQRT(HK21/HK$15))</f>
        <v/>
      </c>
      <c r="HL96" s="150" t="str">
        <f aca="false">IF($FJ21&lt;HL$94,"",SQRT(HL21/HL$15))</f>
        <v/>
      </c>
      <c r="HM96" s="150" t="str">
        <f aca="false">IF($FJ21&lt;HM$94,"",SQRT(HM21/HM$15))</f>
        <v/>
      </c>
      <c r="HN96" s="150" t="str">
        <f aca="false">IF($FJ21&lt;HN$94,"",SQRT(HN21/HN$15))</f>
        <v/>
      </c>
      <c r="HO96" s="150" t="str">
        <f aca="false">IF($FJ21&lt;HO$94,"",SQRT(HO21/HO$15))</f>
        <v/>
      </c>
      <c r="HP96" s="150" t="str">
        <f aca="false">IF($FJ21&lt;HP$94,"",SQRT(HP21/HP$15))</f>
        <v/>
      </c>
      <c r="HQ96" s="150" t="str">
        <f aca="false">IF($FJ21&lt;HQ$94,"",SQRT(HQ21/HQ$15))</f>
        <v/>
      </c>
      <c r="HR96" s="150" t="str">
        <f aca="false">IF($FJ21&lt;HR$94,"",SQRT(HR21/HR$15))</f>
        <v/>
      </c>
      <c r="HS96" s="150" t="str">
        <f aca="false">IF($FJ21&lt;HS$94,"",SQRT(HS21/HS$15))</f>
        <v/>
      </c>
      <c r="HT96" s="150" t="str">
        <f aca="false">IF($FJ21&lt;HT$94,"",SQRT(HT21/HT$15))</f>
        <v/>
      </c>
      <c r="HU96" s="150" t="str">
        <f aca="false">IF($FJ21&lt;HU$94,"",SQRT(HU21/HU$15))</f>
        <v/>
      </c>
      <c r="HV96" s="150" t="str">
        <f aca="false">IF($FJ21&lt;HV$94,"",SQRT(HV21/HV$15))</f>
        <v/>
      </c>
      <c r="HW96" s="150" t="str">
        <f aca="false">IF($FJ21&lt;HW$94,"",SQRT(HW21/HW$15))</f>
        <v/>
      </c>
      <c r="HX96" s="150" t="str">
        <f aca="false">IF($FJ21&lt;HX$94,"",SQRT(HX21/HX$15))</f>
        <v/>
      </c>
      <c r="HY96" s="150" t="str">
        <f aca="false">IF($FJ21&lt;HY$94,"",SQRT(HY21/HY$15))</f>
        <v/>
      </c>
      <c r="HZ96" s="150" t="str">
        <f aca="false">IF($FJ21&lt;HZ$94,"",SQRT(HZ21/HZ$15))</f>
        <v/>
      </c>
      <c r="IA96" s="150" t="str">
        <f aca="false">IF($FJ21&lt;IA$94,"",SQRT(IA21/IA$15))</f>
        <v/>
      </c>
      <c r="IB96" s="150" t="str">
        <f aca="false">IF($FJ21&lt;IB$94,"",SQRT(IB21/IB$15))</f>
        <v/>
      </c>
      <c r="IC96" s="150" t="str">
        <f aca="false">IF($FJ21&lt;IC$94,"",SQRT(IC21/IC$15))</f>
        <v/>
      </c>
      <c r="ID96" s="572" t="str">
        <f aca="false">IF($FJ21&lt;ID$94,"",SQRT(ID21/ID$15))</f>
        <v/>
      </c>
      <c r="IE96" s="129"/>
    </row>
    <row r="97" customFormat="false" ht="13.5" hidden="false" customHeight="false" outlineLevel="0" collapsed="false">
      <c r="H97" s="219" t="n">
        <f aca="false">VLOOKUP(I97,$EJ$20:$EL$54,3)</f>
        <v>0</v>
      </c>
      <c r="I97" s="511" t="n">
        <f aca="false">EOMONTH(I96,0)+1</f>
        <v>39114</v>
      </c>
      <c r="J97" s="512"/>
      <c r="K97" s="513" t="s">
        <v>280</v>
      </c>
      <c r="L97" s="514" t="n">
        <f aca="false">IF(ISNUMBER(K97),J97+K97/100,IF(K97="extra",L96+VLOOKUP(BF97,PriceSpreadTable,2)/12,IF(K97="inter",interpolateprices($K$19:$L$200,ROW(K97)-ROW(FirstPricingMonth)+1),interpolatechanges($J$19:$K$200,ROW(K97)-ROW(FirstPricingMonth)+1))))</f>
        <v>0.0375</v>
      </c>
      <c r="M97" s="515"/>
      <c r="N97" s="516" t="n">
        <v>0</v>
      </c>
      <c r="O97" s="515" t="n">
        <f aca="false">M97+N97</f>
        <v>0</v>
      </c>
      <c r="P97" s="512"/>
      <c r="Q97" s="513" t="s">
        <v>280</v>
      </c>
      <c r="R97" s="512" t="e">
        <f aca="false">IF(ISNUMBER(Q97),P97+Q97/100,IF(Q97="extra",(Z95*AL95-R96*AM95)/AN95,IF(Q97="inter",interpolateprices($Q$19:$R$260,ROW(Q97)-ROW(FirstPricingMonth)+1),interpolatechanges($P$19:$Q$260,ROW(Q97)-ROW(FirstPricingMonth)+1))))</f>
        <v>#VALUE!</v>
      </c>
      <c r="S97" s="597" t="n">
        <f aca="false">S$19+(S96-S$19)*S$18</f>
        <v>0.360000000012785</v>
      </c>
      <c r="T97" s="575" t="n">
        <f aca="false">SQRT((1-(1-T96^2/U96)*T$18)*U97)</f>
        <v>0.999999351545579</v>
      </c>
      <c r="U97" s="576" t="n">
        <f aca="false">1-(1-U96)*U$18</f>
        <v>0.999999999996404</v>
      </c>
      <c r="V97" s="521" t="n">
        <v>0</v>
      </c>
      <c r="W97" s="577" t="n">
        <f aca="false">(J98*AJ97+J99*AK97)/AI97</f>
        <v>0</v>
      </c>
      <c r="X97" s="578" t="n">
        <f aca="false">(L98*AJ97+L99*AK97)/AI97</f>
        <v>0.08625</v>
      </c>
      <c r="Y97" s="579" t="n">
        <f aca="false">IF(Q99="extra",W97-AA97,(P98*AM97+P99*AN97)/AL97)</f>
        <v>-1.1305</v>
      </c>
      <c r="Z97" s="579" t="n">
        <f aca="false">IF(Q99="extra",X97-AB97,(R98*AM97+R99*AN97)/AL97)</f>
        <v>-1.04425</v>
      </c>
      <c r="AA97" s="523" t="n">
        <f aca="false">IF(Q99="extra",INDEX(BrentSeasonalityTable,INT((BG97-1)/3)+1)*VLOOKUP(MAX(BF97,$AB$4),PriceSpreadTable,3),W97-Y97)</f>
        <v>1.1305</v>
      </c>
      <c r="AB97" s="524" t="n">
        <f aca="false">IF(Q99="extra",INDEX(BrentSeasonalityTable,INT((BG97-1)/3)+1)*VLOOKUP(MAX(BF97,$AB$4),PriceSpreadTable,3),X97-Z97)</f>
        <v>1.1305</v>
      </c>
      <c r="AC97" s="646" t="n">
        <v>39102</v>
      </c>
      <c r="AD97" s="646" t="n">
        <v>39098</v>
      </c>
      <c r="AE97" s="646" t="n">
        <v>39097</v>
      </c>
      <c r="AF97" s="646" t="n">
        <v>39093</v>
      </c>
      <c r="AG97" s="438" t="s">
        <v>278</v>
      </c>
      <c r="AH97" s="439" t="s">
        <v>278</v>
      </c>
      <c r="AI97" s="528" t="n">
        <v>20</v>
      </c>
      <c r="AJ97" s="529" t="n">
        <v>14</v>
      </c>
      <c r="AK97" s="529" t="n">
        <v>6</v>
      </c>
      <c r="AL97" s="530" t="n">
        <v>20</v>
      </c>
      <c r="AM97" s="529" t="n">
        <v>10</v>
      </c>
      <c r="AN97" s="531" t="n">
        <v>10</v>
      </c>
      <c r="AO97" s="532"/>
      <c r="AP97" s="465" t="n">
        <f aca="false">(1+AO97/2)^(-2*BL97)</f>
        <v>1</v>
      </c>
      <c r="AQ97" s="532"/>
      <c r="AR97" s="465" t="n">
        <f aca="false">(1+AQ97/2)^(-2*BH97/365.25)</f>
        <v>1</v>
      </c>
      <c r="AS97" s="580" t="n">
        <f aca="false">(O98*AJ97+O99*AK97)/AI97</f>
        <v>0</v>
      </c>
      <c r="AT97" s="468" t="n">
        <f aca="false">O97*VLOOKUP(BF97,BrentVolTable,2)+VLOOKUP(BF97,BrentVolTable,3)</f>
        <v>0</v>
      </c>
      <c r="AU97" s="468" t="n">
        <f aca="false">(AT98*AM97+AT99*AN97)/AL97</f>
        <v>0</v>
      </c>
      <c r="AV97" s="595" t="n">
        <f aca="false">SQRT(MAX(0.000000000001,(O97^2*BH97-S97^2*(BH97-BH96))/BH96))</f>
        <v>0.0242038586116998</v>
      </c>
      <c r="AW97" s="451" t="n">
        <f aca="false">IF($I97-DateToday+15&gt;=$T$8,"",IF($I97-DateToday+15&lt;$T$5,1,MATCH($I97-DateToday+15,$T$5:$T$8)))</f>
        <v>1</v>
      </c>
      <c r="AX97" s="468" t="n">
        <f aca="false">IF($AW97="",AX96^2/AX95,INDEX(U$5:U$8,$AW97)^((INDEX($T$5:$T$8,$AW97+1)-($I97-DateToday+15))/(INDEX($T$5:$T$8,$AW97+1)-INDEX($T$5:$T$8,$AW97)))/INDEX(U$5:U$8,$AW97+1)^((INDEX($T$5:$T$8,$AW97)-($I97-DateToday+15))/(INDEX($T$5:$T$8,$AW97+1)-INDEX($T$5:$T$8,$AW97))))</f>
        <v>2.41883317276688</v>
      </c>
      <c r="AY97" s="468" t="n">
        <f aca="false">IF($AW97="",AY96^2/AY95,INDEX(V$5:V$8,$AW97)^((INDEX($T$5:$T$8,$AW97+1)-($I97-DateToday+15))/(INDEX($T$5:$T$8,$AW97+1)-INDEX($T$5:$T$8,$AW97)))/INDEX(V$5:V$8,$AW97+1)^((INDEX($T$5:$T$8,$AW97)-($I97-DateToday+15))/(INDEX($T$5:$T$8,$AW97+1)-INDEX($T$5:$T$8,$AW97))))</f>
        <v>203.403779597038</v>
      </c>
      <c r="AZ97" s="468" t="n">
        <f aca="false">IF($AW97="",AZ96^2/AZ95,INDEX(W$5:W$8,$AW97)^((INDEX($T$5:$T$8,$AW97+1)-($I97-DateToday+15))/(INDEX($T$5:$T$8,$AW97+1)-INDEX($T$5:$T$8,$AW97)))/INDEX(W$5:W$8,$AW97+1)^((INDEX($T$5:$T$8,$AW97)-($I97-DateToday+15))/(INDEX($T$5:$T$8,$AW97+1)-INDEX($T$5:$T$8,$AW97))))</f>
        <v>1240741.80824701</v>
      </c>
      <c r="BA97" s="468" t="n">
        <f aca="false">IF($AW97="",BA96^2/BA95,INDEX(X$5:X$8,$AW97)^((INDEX($T$5:$T$8,$AW97+1)-($I97-DateToday+15))/(INDEX($T$5:$T$8,$AW97+1)-INDEX($T$5:$T$8,$AW97)))/INDEX(X$5:X$8,$AW97+1)^((INDEX($T$5:$T$8,$AW97)-($I97-DateToday+15))/(INDEX($T$5:$T$8,$AW97+1)-INDEX($T$5:$T$8,$AW97))))</f>
        <v>31261952.5481941</v>
      </c>
      <c r="BB97" s="468" t="n">
        <f aca="false">IF($AW97="",BB96^2/BB95,INDEX(Y$5:Y$8,$AW97)^((INDEX($T$5:$T$8,$AW97+1)-($I97-DateToday+15))/(INDEX($T$5:$T$8,$AW97+1)-INDEX($T$5:$T$8,$AW97)))/INDEX(Y$5:Y$8,$AW97+1)^((INDEX($T$5:$T$8,$AW97)-($I97-DateToday+15))/(INDEX($T$5:$T$8,$AW97+1)-INDEX($T$5:$T$8,$AW97))))</f>
        <v>403217866.063902</v>
      </c>
      <c r="BC97" s="468" t="n">
        <f aca="false">IF($AW97="",BC96^2/BC95,INDEX(Z$5:Z$8,$AW97)^((INDEX($T$5:$T$8,$AW97+1)-($I97-DateToday+15))/(INDEX($T$5:$T$8,$AW97+1)-INDEX($T$5:$T$8,$AW97)))/INDEX(Z$5:Z$8,$AW97+1)^((INDEX($T$5:$T$8,$AW97)-($I97-DateToday+15))/(INDEX($T$5:$T$8,$AW97+1)-INDEX($T$5:$T$8,$AW97))))</f>
        <v>1868594771.75691</v>
      </c>
      <c r="BD97" s="535" t="n">
        <f aca="false">IF(OR(DateStart&gt;=I98,DateEnd&lt;I97),0,IF(VolumeOverrideFlag,V97,Volume))</f>
        <v>0</v>
      </c>
      <c r="BE97" s="536" t="n">
        <f aca="false">IF(OR(DateStart2&gt;=I98,DateEnd2&lt;I97),0,IF(VolumeOverrideFlag,V97,VolumeSwaption))</f>
        <v>0</v>
      </c>
      <c r="BF97" s="537" t="n">
        <f aca="false">YEAR(I97)</f>
        <v>2007</v>
      </c>
      <c r="BG97" s="538" t="n">
        <f aca="false">MONTH(I97)</f>
        <v>2</v>
      </c>
      <c r="BH97" s="539" t="n">
        <f aca="false">AD97-DateToday+1</f>
        <v>-6827</v>
      </c>
      <c r="BI97" s="540" t="n">
        <f aca="false">(I97-DateToday+1)/365.25</f>
        <v>-18.6475017111567</v>
      </c>
      <c r="BJ97" s="541" t="n">
        <f aca="false">BI97+(BL97-BI97)*CHOOSE(Underlying,AJ97/AI97,AM97/AL97)</f>
        <v>-18.5957563312799</v>
      </c>
      <c r="BK97" s="541" t="n">
        <f aca="false">BJ97+1/365.25</f>
        <v>-18.5930184804928</v>
      </c>
      <c r="BL97" s="541" t="n">
        <f aca="false">(I98-DateToday)/365.25</f>
        <v>-18.5735797399042</v>
      </c>
      <c r="BM97" s="542" t="e">
        <f aca="false">MAX(BI97-(BJ97-BI97)*(S98^2/O98^2-1),0)</f>
        <v>#DIV/0!</v>
      </c>
      <c r="BN97" s="541" t="e">
        <f aca="false">MAX(BL97+(BL97-BK97)*(S99^2/O99^2-1),0)</f>
        <v>#DIV/0!</v>
      </c>
      <c r="BO97" s="530" t="n">
        <f aca="false">CHOOSE(Underlying,AI97,AL97)</f>
        <v>20</v>
      </c>
      <c r="BP97" s="529" t="n">
        <f aca="false">CHOOSE(Underlying,AJ97,AM97)</f>
        <v>14</v>
      </c>
      <c r="BQ97" s="529" t="n">
        <f aca="false">CHOOSE(Underlying,AK97,AN97)</f>
        <v>6</v>
      </c>
      <c r="BR97" s="463" t="str">
        <f aca="false">IF(BD97,IF(Underlying=1,X97,Z97)+UnderlyingPriceAsian-SwapPriceCurve,"")</f>
        <v/>
      </c>
      <c r="BS97" s="463" t="str">
        <f aca="false">IF(BD97,Strike1/BR97-1,"")</f>
        <v/>
      </c>
      <c r="BT97" s="464" t="str">
        <f aca="false">IF(BD97,Strike2/BR97-1,"")</f>
        <v/>
      </c>
      <c r="BU97" s="465" t="str">
        <f aca="false">IF(BD97,IF(Underlying=1,L98,R98)+UnderlyingPriceAsian-SwapPriceCurve,"")</f>
        <v/>
      </c>
      <c r="BV97" s="465" t="str">
        <f aca="false">IF(BD97,IF(Underlying=1,L99,R99)+UnderlyingPriceAsian-SwapPriceCurve,"")</f>
        <v/>
      </c>
      <c r="BW97" s="466" t="str">
        <f aca="false">IF(BD97,IF(Underlying=1,O98,AT98),"")</f>
        <v/>
      </c>
      <c r="BX97" s="467" t="str">
        <f aca="false">IF(BD97,IF(Underlying=1,O99,AT99),"")</f>
        <v/>
      </c>
      <c r="BY97" s="466" t="str">
        <f aca="false">IF(BD97,IF(BS97&gt;0,IF(BS97&gt;0.2,BC97-BB97,IF(BS97&gt;0.1,BB97-BA97,BA97)),IF(BS97&lt;-0.2,AX97-AY97,IF(BS97&lt;-0.1,AY97-AZ97,AZ97))),"")</f>
        <v/>
      </c>
      <c r="BZ97" s="467" t="str">
        <f aca="false">IF(BD97,IF(BT97&gt;0,IF(BT97&gt;0.2,BC97-BB97,IF(BT97&gt;0.1,BB97-BA97,BA97)),IF(BT97&lt;-0.2,AX97-AY97,IF(BT97&lt;-0.1,AY97-AZ97,AZ97))),"")</f>
        <v/>
      </c>
      <c r="CA97" s="468" t="str">
        <f aca="false">IF($BD97,$BW97+IF(VolSkewFlag=1,IF(BS97&gt;0,$BA97*MIN(BS97/10%,1)+($BB97-$BA97)*MAX(0,MIN(BS97/10%-1,1))+($BC97-$BB97)*MAX(0,BS97/10%-2),$AZ97*MIN(-BS97/10%,1)+($AY97-$AZ97)*MAX(0,MIN(-BS97/10%-1,1))+($AX97-$AY97)*MAX(0,-BS97/10%-2)),0),"")</f>
        <v/>
      </c>
      <c r="CB97" s="468" t="str">
        <f aca="false">IF($BD97,$BX97+IF(VolSkewFlag=1,IF(BS97&gt;0,$BA97*MIN(BS97/10%,1)+($BB97-$BA97)*MAX(0,MIN(BS97/10%-1,1))+($BC97-$BB97)*MAX(0,BS97/10%-2),$AZ97*MIN(-BS97/10%,1)+($AY97-$AZ97)*MAX(0,MIN(-BS97/10%-1,1))+($AX97-$AY97)*MAX(0,-BS97/10%-2)),0),"")</f>
        <v/>
      </c>
      <c r="CC97" s="468" t="str">
        <f aca="false">IF($BD97,$BW97+IF(VolSkewFlag=1,IF(BT97&gt;0,$BA97*MIN(BT97/10%,1)+($BB97-$BA97)*MAX(0,MIN(BT97/10%-1,1))+($BC97-$BB97)*MAX(0,BT97/10%-2),$AZ97*MIN(-BT97/10%,1)+($AY97-$AZ97)*MAX(0,MIN(-BT97/10%-1,1))+($AX97-$AY97)*MAX(0,-BT97/10%-2)),0),"")</f>
        <v/>
      </c>
      <c r="CD97" s="468" t="str">
        <f aca="false">IF($BD97,$BX97+IF(VolSkewFlag=1,IF(BT97&gt;0,$BA97*MIN(BT97/10%,1)+($BB97-$BA97)*MAX(0,MIN(BT97/10%-1,1))+($BC97-$BB97)*MAX(0,BT97/10%-2),$AZ97*MIN(-BT97/10%,1)+($AY97-$AZ97)*MAX(0,MIN(-BT97/10%-1,1))+($AX97-$AY97)*MAX(0,-BT97/10%-2)),0),"")</f>
        <v/>
      </c>
      <c r="CE97" s="469" t="n">
        <v>1</v>
      </c>
      <c r="CF97" s="470" t="n">
        <f aca="false">IF(BD97,xCrudeAPO(BU97,BV97,CA97,CB97,S98,S99,BI97,BL97,BP97,BQ97,0,Strike1,AO97,CE97,0,BL97,IF(OptControl=4,0,1),0,1),0)</f>
        <v>0</v>
      </c>
      <c r="CG97" s="470" t="n">
        <f aca="false">IF(BD97,xCrudeAPO(BU97,BV97,CA97,CB97,S98,S99,BI97,BL97,BP97,BQ97,0,Strike1,AO97,CE97,0,BL97,IF(OptControl=4,0,1),1,1)+xCrudeAPO(BU97,BV97,CA97,CB97,S98,S99,BI97,BL97,BP97,BQ97,0,Strike1,AO97,CE97,0,BL97,IF(OptControl=4,0,1),1,2)+IF(OR(VolSkewFlag=2,ABS(BS97)&lt;0.0001),0,IF(BS97&gt;0,-1,1)*CH97*Strike1/BR97^2*BY97/10%),0)</f>
        <v>0</v>
      </c>
      <c r="CH97" s="470" t="n">
        <f aca="false">IF(BD97,(xCrudeAPO(BU97,BV97,CA97,CB97,S98,S99,BI97,BL97,BP97,BQ97,0,Strike1,AO97,CE97,0,BL97,IF(OptControl=4,0,1),3,1)+xCrudeAPO(BU97,BV97,CA97,CB97,S98,S99,BI97,BL97,BP97,BQ97,0,Strike1,AO97,CE97,0,BL97,IF(OptControl=4,0,1),3,2))/100,0)</f>
        <v>0</v>
      </c>
      <c r="CI97" s="470" t="n">
        <f aca="false">IF(BD97,xCrudeAPO(BU97,BV97,CA97,CB97,S98,S99,BI97-DaysForThetaCalculation/365.25,BL97-DaysForThetaCalculation/365.25,BP97,BQ97,0,Strike1,AO97,CE97,0,BL97,IF(OptControl=4,0,1),0,1)-xCrudeAPO(BU97,BV97,CA97,CB97,S98,S99,BI97,BL97,BP97,BQ97,0,Strike1,AO97,CE97,0,BL97,IF(OptControl=4,0,1),0,1),0)</f>
        <v>0</v>
      </c>
      <c r="CJ97" s="471" t="n">
        <f aca="false">IF(BD97,xCrudeAPO(BU97,BV97,CC97,CD97,S98,S99,BI97,BL97,BP97,BQ97,0,Strike2,AO97,CE97,0,BL97,IF(OptControl=3,1,0),0,1),0)</f>
        <v>0</v>
      </c>
      <c r="CK97" s="470" t="n">
        <f aca="false">IF(BD97,xCrudeAPO(BU97,BV97,CC97,CD97,S98,S99,BI97,BL97,BP97,BQ97,0,Strike2,AO97,CE97,0,BL97,IF(OptControl=3,1,0),1,1)+xCrudeAPO(BU97,BV97,CC97,CD97,S98,S99,BI97,BL97,BP97,BQ97,0,Strike2,AO97,CE97,0,BL97,IF(OptControl=3,1,0),1,2)+IF(OR(VolSkewFlag=2,ABS(BT97)&lt;0.0001),0,IF(BT97&gt;0,-1,1)*CL97*Strike2/BR97^2*BZ97/10%),0)</f>
        <v>0</v>
      </c>
      <c r="CL97" s="470" t="n">
        <f aca="false">IF(BD97,(xCrudeAPO(BU97,BV97,CC97,CD97,S98,S99,BI97,BL97,BP97,BQ97,0,Strike2,AO97,CE97,0,BL97,IF(OptControl=3,1,0),3,1)+xCrudeAPO(BU97,BV97,CC97,CD97,S98,S99,BI97,BL97,BP97,BQ97,0,Strike2,AO97,CE97,0,BL97,IF(OptControl=3,1,0),3,2))/100,0)</f>
        <v>0</v>
      </c>
      <c r="CM97" s="472" t="n">
        <f aca="false">IF(BD97,xCrudeAPO(BU97,BV97,CC97,CD97,S98,S99,BI97-DaysForThetaCalculation/365.25,BL97-DaysForThetaCalculation/365.25,BP97,BQ97,0,Strike2,AO97,CE97,0,BL97,IF(OptControl=3,1,0),0,1)-xCrudeAPO(BU97,BV97,CC97,CD97,S98,S99,BI97,BL97,BP97,BQ97,0,Strike2,AO97,CE97,0,BL97,IF(OptControl=3,1,0),0,1),0)</f>
        <v>0</v>
      </c>
      <c r="CN97" s="3"/>
      <c r="CO97" s="543" t="str">
        <f aca="false">IF(BD97,CHOOSE(Underlying,AD97,AF97)-DateToday+1,"")</f>
        <v/>
      </c>
      <c r="CP97" s="582" t="str">
        <f aca="false">IF(BD97,CHOOSE(Underlying,L97,R97),"")</f>
        <v/>
      </c>
      <c r="CQ97" s="544" t="str">
        <f aca="false">IF(BD97,Strike1/CP97-1,"")</f>
        <v/>
      </c>
      <c r="CR97" s="544" t="str">
        <f aca="false">IF(BD97,Strike2/CP97-1,"")</f>
        <v/>
      </c>
      <c r="CS97" s="544" t="str">
        <f aca="false">IF(BD97,IF(CQ97&gt;0,IF(CQ97&gt;0.2,BC96-BB96,IF(CQ97&gt;0.1,BB96-BA96,BA96)),IF(CQ97&lt;-0.2,AX96-AY96,IF(CQ97&lt;-0.1,AY96-AZ96,AZ96))),"")</f>
        <v/>
      </c>
      <c r="CT97" s="544" t="str">
        <f aca="false">IF(BD97,IF(CR97&gt;0,IF(CR97&gt;0.2,BC96-BB96,IF(CR97&gt;0.1,BB96-BA96,BA96)),IF(CR97&lt;-0.2,AX96-AY96,IF(CR97&lt;-0.1,AY96-AZ96,AZ96))),"")</f>
        <v/>
      </c>
      <c r="CU97" s="545" t="str">
        <f aca="false">IF(BD97,CHOOSE(Underlying,O97,AT97),"")</f>
        <v/>
      </c>
      <c r="CV97" s="545" t="str">
        <f aca="false">IF(BD97,CU97+IF(VolSkewFlag=1,IF(CQ97&gt;0,BA96*MIN(CQ97/10%,1)+(BB96-BA96)*MAX(0,MIN(CQ97/10%-1,1))+(BC96-BB96)*MAX(0,CQ97/10%-2),AZ96*MIN(-CQ97/10%,1)+(AY96-AZ96)*MAX(0,MIN(-CQ97/10%-1,1))+(AX96-AY96)*MAX(0,-CQ97/10%-2)),0),"")</f>
        <v/>
      </c>
      <c r="CW97" s="545" t="str">
        <f aca="false">IF(BD97,CU97+IF(VolSkewFlag=1,IF(CR97&gt;0,BA96*MIN(CR97/10%,1)+(BB96-BA96)*MAX(0,MIN(CR97/10%-1,1))+(BC96-BB96)*MAX(0,CR97/10%-2),AZ96*MIN(-CR97/10%,1)+(AY96-AZ96)*MAX(0,MIN(-CR97/10%-1,1))+(AX96-AY96)*MAX(0,-CR97/10%-2)),0),"")</f>
        <v/>
      </c>
      <c r="CX97" s="470" t="n">
        <f aca="false">IF(BD97,EURO(CP97,Strike1,AO97,AO97,CV97,CO97,IF(OptControl=4,0,1),0),0)</f>
        <v>0</v>
      </c>
      <c r="CY97" s="470" t="n">
        <f aca="false">IF(BD97,EURO(CP97,Strike1,AO97,AO97,CV97,CO97,IF(OptControl=4,0,1),1)+IF(OR(VolSkewFlag=2,ABS(CQ97)&lt;0.0001),0,IF(CQ97&gt;0,-1,1)*CZ97*100*Strike1/CP97^2*CS97/10%),0)</f>
        <v>0</v>
      </c>
      <c r="CZ97" s="470" t="n">
        <f aca="false">IF(BD97,EURO(CP97,Strike1,AO97,AO97,CV97,CO97,IF(OptControl=4,0,1),3)/100,0)</f>
        <v>0</v>
      </c>
      <c r="DA97" s="470" t="n">
        <f aca="false">IF(BD97,EURO(CP97,Strike1,AO97,AO97,CV97,CO97,IF(OptControl=4,0,1),0)-EURO(CP97,Strike1,AO97,AO97,CV97,CO97-1,IF(OptControl=4,0,1),0),0)</f>
        <v>0</v>
      </c>
      <c r="DB97" s="470" t="n">
        <f aca="false">IF(BD97,EURO(CP97,Strike2,AO97,AO97,CW97,CO97,IF(OptControl=3,1,0),0),0)</f>
        <v>0</v>
      </c>
      <c r="DC97" s="470" t="n">
        <f aca="false">IF(BD97,EURO(CP97,Strike2,AO97,AO97,CW97,CO97,IF(OptControl=3,1,0),1)+IF(OR(VolSkewFlag=2,ABS(CR97)&lt;0.0001),0,IF(CR97&gt;0,-1,1)*DD97*100*Strike2/CP97^2*CT97/10%),0)</f>
        <v>0</v>
      </c>
      <c r="DD97" s="470" t="n">
        <f aca="false">IF(BD97,EURO(CP97,Strike2,AO97,AO97,CW97,CO97,IF(OptControl=3,1,0),3)/100,0)</f>
        <v>0</v>
      </c>
      <c r="DE97" s="472" t="n">
        <f aca="false">IF(BD97,EURO(CP97,Strike2,AO97,AO97,CW97,CO97,IF(OptControl=3,1,0),0)-EURO(CP97,Strike2,AO97,AO97,CW97,CO97-1,IF(OptControl=3,1,0),0),0)</f>
        <v>0</v>
      </c>
      <c r="DG97" s="481" t="n">
        <f aca="false">EOMONTH(DG96,0)+1</f>
        <v>48030</v>
      </c>
      <c r="DH97" s="478" t="n">
        <v>18.3141666666667</v>
      </c>
      <c r="DI97" s="479" t="n">
        <v>18.3130416666667</v>
      </c>
      <c r="DJ97" s="480" t="n">
        <f aca="false">DG97</f>
        <v>48030</v>
      </c>
      <c r="DK97" s="478" t="n">
        <v>17.1243516539372</v>
      </c>
      <c r="DL97" s="479" t="n">
        <v>17.0564416666667</v>
      </c>
      <c r="DM97" s="481" t="n">
        <f aca="false">DG97</f>
        <v>48030</v>
      </c>
      <c r="DN97" s="482" t="n">
        <f aca="false">DK97+BrentPhyBrentSpread</f>
        <v>17.1743516539372</v>
      </c>
      <c r="DO97" s="481" t="n">
        <f aca="false">DG97</f>
        <v>48030</v>
      </c>
      <c r="DP97" s="483" t="n">
        <f aca="false">DL97+DQ97</f>
        <v>17.0564416666667</v>
      </c>
      <c r="DQ97" s="546" t="n">
        <v>0</v>
      </c>
      <c r="DR97" s="480" t="n">
        <f aca="false">DG97</f>
        <v>48030</v>
      </c>
      <c r="DS97" s="485" t="n">
        <v>0.1784</v>
      </c>
      <c r="DT97" s="486" t="n">
        <v>0.17759</v>
      </c>
      <c r="DU97" s="480" t="n">
        <f aca="false">DG97</f>
        <v>48030</v>
      </c>
      <c r="DV97" s="485" t="n">
        <v>0.1784</v>
      </c>
      <c r="DW97" s="486" t="n">
        <v>0.17759</v>
      </c>
      <c r="DX97" s="481" t="n">
        <f aca="false">DG97</f>
        <v>48030</v>
      </c>
      <c r="DY97" s="486" t="n">
        <v>0.35</v>
      </c>
      <c r="DZ97" s="481" t="n">
        <f aca="false">DR97</f>
        <v>48030</v>
      </c>
      <c r="EA97" s="486" t="n">
        <f aca="false">DT97</f>
        <v>0.17759</v>
      </c>
      <c r="EB97" s="195"/>
      <c r="EC97" s="547" t="str">
        <f aca="false">IF(BD97,IF(Underlying=1,AS97,AU97),"")</f>
        <v/>
      </c>
      <c r="ED97" s="548" t="str">
        <f aca="false">IF($BD97,$EC97+IF(VolSkewFlag=1,IF(BS97&gt;0,$BA97*MIN(BS97/10%,1)+($BB97-$BA97)*MAX(0,MIN(BS97/10%-1,1))+($BC97-$BB97)*MAX(0,BS97/10%-2),$AZ97*MIN(-BS97/10%,1)+($AY97-$AZ97)*MAX(0,MIN(-BS97/10%-1,1))+($AX97-$AY97)*MAX(0,-BS97/10%-2)),0),"")</f>
        <v/>
      </c>
      <c r="EE97" s="549" t="str">
        <f aca="false">IF($BD97,$EC97+IF(VolSkewFlag=1,IF(BT97&gt;0,$BA97*MIN(BT97/10%,1)+($BB97-$BA97)*MAX(0,MIN(BT97/10%-1,1))+($BC97-$BB97)*MAX(0,BT97/10%-2),$AZ97*MIN(-BT97/10%,1)+($AY97-$AZ97)*MAX(0,MIN(-BT97/10%-1,1))+($AX97-$AY97)*MAX(0,-BT97/10%-2)),0),"")</f>
        <v/>
      </c>
      <c r="EF97" s="550" t="n">
        <f aca="false">IF(BD97,xASN(BR97,Strike1,AO97,ED97,0,BO97,0,BI97,BL97,IF(OptControl=4,0,1),0),0)</f>
        <v>0</v>
      </c>
      <c r="EG97" s="551" t="n">
        <f aca="false">IF(BD97,xASN(BR97,Strike2,AO97,EE97,0,BO97,0,BI97,BL97,IF(OptControl=3,1,0),0),0)</f>
        <v>0</v>
      </c>
      <c r="EL97" s="1"/>
      <c r="EM97" s="195"/>
      <c r="EN97" s="673" t="n">
        <v>45842</v>
      </c>
      <c r="EO97" s="674" t="n">
        <v>50764</v>
      </c>
      <c r="EP97" s="195"/>
      <c r="EQ97" s="407" t="s">
        <v>324</v>
      </c>
      <c r="ES97" s="130"/>
      <c r="ET97" s="19"/>
      <c r="EU97" s="672"/>
      <c r="EV97" s="478"/>
      <c r="EW97" s="131"/>
      <c r="EX97" s="131"/>
      <c r="EY97" s="129"/>
      <c r="EZ97" s="129"/>
      <c r="FA97" s="129"/>
      <c r="FB97" s="129"/>
      <c r="FC97" s="129"/>
      <c r="FD97" s="129"/>
      <c r="FE97" s="129"/>
      <c r="FF97" s="129"/>
      <c r="FG97" s="129"/>
      <c r="FH97" s="129"/>
      <c r="FI97" s="129"/>
      <c r="FJ97" s="571" t="n">
        <v>3</v>
      </c>
      <c r="FK97" s="150" t="e">
        <f aca="false">IF($FJ22&lt;FK$94,"",SQRT(FK22/FK$15))</f>
        <v>#DIV/0!</v>
      </c>
      <c r="FL97" s="150" t="n">
        <f aca="false">IF($FJ22&lt;FL$94,"",SQRT(FL22/FL$15))</f>
        <v>-0</v>
      </c>
      <c r="FM97" s="150" t="n">
        <f aca="false">IF($FJ22&lt;FM$94,"",SQRT(FM22/FM$15))</f>
        <v>0.39</v>
      </c>
      <c r="FN97" s="150" t="str">
        <f aca="false">IF($FJ22&lt;FN$94,"",SQRT(FN22/FN$15))</f>
        <v/>
      </c>
      <c r="FO97" s="150" t="str">
        <f aca="false">IF($FJ22&lt;FO$94,"",SQRT(FO22/FO$15))</f>
        <v/>
      </c>
      <c r="FP97" s="150" t="str">
        <f aca="false">IF($FJ22&lt;FP$94,"",SQRT(FP22/FP$15))</f>
        <v/>
      </c>
      <c r="FQ97" s="150" t="str">
        <f aca="false">IF($FJ22&lt;FQ$94,"",SQRT(FQ22/FQ$15))</f>
        <v/>
      </c>
      <c r="FR97" s="150" t="str">
        <f aca="false">IF($FJ22&lt;FR$94,"",SQRT(FR22/FR$15))</f>
        <v/>
      </c>
      <c r="FS97" s="150" t="str">
        <f aca="false">IF($FJ22&lt;FS$94,"",SQRT(FS22/FS$15))</f>
        <v/>
      </c>
      <c r="FT97" s="150" t="str">
        <f aca="false">IF($FJ22&lt;FT$94,"",SQRT(FT22/FT$15))</f>
        <v/>
      </c>
      <c r="FU97" s="150" t="str">
        <f aca="false">IF($FJ22&lt;FU$94,"",SQRT(FU22/FU$15))</f>
        <v/>
      </c>
      <c r="FV97" s="150" t="str">
        <f aca="false">IF($FJ22&lt;FV$94,"",SQRT(FV22/FV$15))</f>
        <v/>
      </c>
      <c r="FW97" s="150" t="str">
        <f aca="false">IF($FJ22&lt;FW$94,"",SQRT(FW22/FW$15))</f>
        <v/>
      </c>
      <c r="FX97" s="150" t="str">
        <f aca="false">IF($FJ22&lt;FX$94,"",SQRT(FX22/FX$15))</f>
        <v/>
      </c>
      <c r="FY97" s="150" t="str">
        <f aca="false">IF($FJ22&lt;FY$94,"",SQRT(FY22/FY$15))</f>
        <v/>
      </c>
      <c r="FZ97" s="150" t="str">
        <f aca="false">IF($FJ22&lt;FZ$94,"",SQRT(FZ22/FZ$15))</f>
        <v/>
      </c>
      <c r="GA97" s="150" t="str">
        <f aca="false">IF($FJ22&lt;GA$94,"",SQRT(GA22/GA$15))</f>
        <v/>
      </c>
      <c r="GB97" s="150" t="str">
        <f aca="false">IF($FJ22&lt;GB$94,"",SQRT(GB22/GB$15))</f>
        <v/>
      </c>
      <c r="GC97" s="150" t="str">
        <f aca="false">IF($FJ22&lt;GC$94,"",SQRT(GC22/GC$15))</f>
        <v/>
      </c>
      <c r="GD97" s="150" t="str">
        <f aca="false">IF($FJ22&lt;GD$94,"",SQRT(GD22/GD$15))</f>
        <v/>
      </c>
      <c r="GE97" s="150" t="str">
        <f aca="false">IF($FJ22&lt;GE$94,"",SQRT(GE22/GE$15))</f>
        <v/>
      </c>
      <c r="GF97" s="150" t="str">
        <f aca="false">IF($FJ22&lt;GF$94,"",SQRT(GF22/GF$15))</f>
        <v/>
      </c>
      <c r="GG97" s="150" t="str">
        <f aca="false">IF($FJ22&lt;GG$94,"",SQRT(GG22/GG$15))</f>
        <v/>
      </c>
      <c r="GH97" s="150" t="str">
        <f aca="false">IF($FJ22&lt;GH$94,"",SQRT(GH22/GH$15))</f>
        <v/>
      </c>
      <c r="GI97" s="150" t="str">
        <f aca="false">IF($FJ22&lt;GI$94,"",SQRT(GI22/GI$15))</f>
        <v/>
      </c>
      <c r="GJ97" s="150" t="str">
        <f aca="false">IF($FJ22&lt;GJ$94,"",SQRT(GJ22/GJ$15))</f>
        <v/>
      </c>
      <c r="GK97" s="150" t="str">
        <f aca="false">IF($FJ22&lt;GK$94,"",SQRT(GK22/GK$15))</f>
        <v/>
      </c>
      <c r="GL97" s="150" t="str">
        <f aca="false">IF($FJ22&lt;GL$94,"",SQRT(GL22/GL$15))</f>
        <v/>
      </c>
      <c r="GM97" s="150" t="str">
        <f aca="false">IF($FJ22&lt;GM$94,"",SQRT(GM22/GM$15))</f>
        <v/>
      </c>
      <c r="GN97" s="150" t="str">
        <f aca="false">IF($FJ22&lt;GN$94,"",SQRT(GN22/GN$15))</f>
        <v/>
      </c>
      <c r="GO97" s="150" t="str">
        <f aca="false">IF($FJ22&lt;GO$94,"",SQRT(GO22/GO$15))</f>
        <v/>
      </c>
      <c r="GP97" s="150" t="str">
        <f aca="false">IF($FJ22&lt;GP$94,"",SQRT(GP22/GP$15))</f>
        <v/>
      </c>
      <c r="GQ97" s="150" t="str">
        <f aca="false">IF($FJ22&lt;GQ$94,"",SQRT(GQ22/GQ$15))</f>
        <v/>
      </c>
      <c r="GR97" s="150" t="str">
        <f aca="false">IF($FJ22&lt;GR$94,"",SQRT(GR22/GR$15))</f>
        <v/>
      </c>
      <c r="GS97" s="150" t="str">
        <f aca="false">IF($FJ22&lt;GS$94,"",SQRT(GS22/GS$15))</f>
        <v/>
      </c>
      <c r="GT97" s="150" t="str">
        <f aca="false">IF($FJ22&lt;GT$94,"",SQRT(GT22/GT$15))</f>
        <v/>
      </c>
      <c r="GU97" s="150" t="str">
        <f aca="false">IF($FJ22&lt;GU$94,"",SQRT(GU22/GU$15))</f>
        <v/>
      </c>
      <c r="GV97" s="150" t="str">
        <f aca="false">IF($FJ22&lt;GV$94,"",SQRT(GV22/GV$15))</f>
        <v/>
      </c>
      <c r="GW97" s="150" t="str">
        <f aca="false">IF($FJ22&lt;GW$94,"",SQRT(GW22/GW$15))</f>
        <v/>
      </c>
      <c r="GX97" s="150" t="str">
        <f aca="false">IF($FJ22&lt;GX$94,"",SQRT(GX22/GX$15))</f>
        <v/>
      </c>
      <c r="GY97" s="150" t="str">
        <f aca="false">IF($FJ22&lt;GY$94,"",SQRT(GY22/GY$15))</f>
        <v/>
      </c>
      <c r="GZ97" s="150" t="str">
        <f aca="false">IF($FJ22&lt;GZ$94,"",SQRT(GZ22/GZ$15))</f>
        <v/>
      </c>
      <c r="HA97" s="150" t="str">
        <f aca="false">IF($FJ22&lt;HA$94,"",SQRT(HA22/HA$15))</f>
        <v/>
      </c>
      <c r="HB97" s="150" t="str">
        <f aca="false">IF($FJ22&lt;HB$94,"",SQRT(HB22/HB$15))</f>
        <v/>
      </c>
      <c r="HC97" s="150" t="str">
        <f aca="false">IF($FJ22&lt;HC$94,"",SQRT(HC22/HC$15))</f>
        <v/>
      </c>
      <c r="HD97" s="150" t="str">
        <f aca="false">IF($FJ22&lt;HD$94,"",SQRT(HD22/HD$15))</f>
        <v/>
      </c>
      <c r="HE97" s="150" t="str">
        <f aca="false">IF($FJ22&lt;HE$94,"",SQRT(HE22/HE$15))</f>
        <v/>
      </c>
      <c r="HF97" s="150" t="str">
        <f aca="false">IF($FJ22&lt;HF$94,"",SQRT(HF22/HF$15))</f>
        <v/>
      </c>
      <c r="HG97" s="150" t="str">
        <f aca="false">IF($FJ22&lt;HG$94,"",SQRT(HG22/HG$15))</f>
        <v/>
      </c>
      <c r="HH97" s="150" t="str">
        <f aca="false">IF($FJ22&lt;HH$94,"",SQRT(HH22/HH$15))</f>
        <v/>
      </c>
      <c r="HI97" s="150" t="str">
        <f aca="false">IF($FJ22&lt;HI$94,"",SQRT(HI22/HI$15))</f>
        <v/>
      </c>
      <c r="HJ97" s="150" t="str">
        <f aca="false">IF($FJ22&lt;HJ$94,"",SQRT(HJ22/HJ$15))</f>
        <v/>
      </c>
      <c r="HK97" s="150" t="str">
        <f aca="false">IF($FJ22&lt;HK$94,"",SQRT(HK22/HK$15))</f>
        <v/>
      </c>
      <c r="HL97" s="150" t="str">
        <f aca="false">IF($FJ22&lt;HL$94,"",SQRT(HL22/HL$15))</f>
        <v/>
      </c>
      <c r="HM97" s="150" t="str">
        <f aca="false">IF($FJ22&lt;HM$94,"",SQRT(HM22/HM$15))</f>
        <v/>
      </c>
      <c r="HN97" s="150" t="str">
        <f aca="false">IF($FJ22&lt;HN$94,"",SQRT(HN22/HN$15))</f>
        <v/>
      </c>
      <c r="HO97" s="150" t="str">
        <f aca="false">IF($FJ22&lt;HO$94,"",SQRT(HO22/HO$15))</f>
        <v/>
      </c>
      <c r="HP97" s="150" t="str">
        <f aca="false">IF($FJ22&lt;HP$94,"",SQRT(HP22/HP$15))</f>
        <v/>
      </c>
      <c r="HQ97" s="150" t="str">
        <f aca="false">IF($FJ22&lt;HQ$94,"",SQRT(HQ22/HQ$15))</f>
        <v/>
      </c>
      <c r="HR97" s="150" t="str">
        <f aca="false">IF($FJ22&lt;HR$94,"",SQRT(HR22/HR$15))</f>
        <v/>
      </c>
      <c r="HS97" s="150" t="str">
        <f aca="false">IF($FJ22&lt;HS$94,"",SQRT(HS22/HS$15))</f>
        <v/>
      </c>
      <c r="HT97" s="150" t="str">
        <f aca="false">IF($FJ22&lt;HT$94,"",SQRT(HT22/HT$15))</f>
        <v/>
      </c>
      <c r="HU97" s="150" t="str">
        <f aca="false">IF($FJ22&lt;HU$94,"",SQRT(HU22/HU$15))</f>
        <v/>
      </c>
      <c r="HV97" s="150" t="str">
        <f aca="false">IF($FJ22&lt;HV$94,"",SQRT(HV22/HV$15))</f>
        <v/>
      </c>
      <c r="HW97" s="150" t="str">
        <f aca="false">IF($FJ22&lt;HW$94,"",SQRT(HW22/HW$15))</f>
        <v/>
      </c>
      <c r="HX97" s="150" t="str">
        <f aca="false">IF($FJ22&lt;HX$94,"",SQRT(HX22/HX$15))</f>
        <v/>
      </c>
      <c r="HY97" s="150" t="str">
        <f aca="false">IF($FJ22&lt;HY$94,"",SQRT(HY22/HY$15))</f>
        <v/>
      </c>
      <c r="HZ97" s="150" t="str">
        <f aca="false">IF($FJ22&lt;HZ$94,"",SQRT(HZ22/HZ$15))</f>
        <v/>
      </c>
      <c r="IA97" s="150" t="str">
        <f aca="false">IF($FJ22&lt;IA$94,"",SQRT(IA22/IA$15))</f>
        <v/>
      </c>
      <c r="IB97" s="150" t="str">
        <f aca="false">IF($FJ22&lt;IB$94,"",SQRT(IB22/IB$15))</f>
        <v/>
      </c>
      <c r="IC97" s="150" t="str">
        <f aca="false">IF($FJ22&lt;IC$94,"",SQRT(IC22/IC$15))</f>
        <v/>
      </c>
      <c r="ID97" s="572" t="str">
        <f aca="false">IF($FJ22&lt;ID$94,"",SQRT(ID22/ID$15))</f>
        <v/>
      </c>
      <c r="IE97" s="129"/>
    </row>
    <row r="98" customFormat="false" ht="12.75" hidden="false" customHeight="false" outlineLevel="0" collapsed="false">
      <c r="H98" s="219" t="n">
        <f aca="false">VLOOKUP(I98,$EJ$20:$EL$54,3)</f>
        <v>0</v>
      </c>
      <c r="I98" s="511" t="n">
        <f aca="false">EOMONTH(I97,0)+1</f>
        <v>39142</v>
      </c>
      <c r="J98" s="512"/>
      <c r="K98" s="513" t="s">
        <v>280</v>
      </c>
      <c r="L98" s="514" t="n">
        <f aca="false">IF(ISNUMBER(K98),J98+K98/100,IF(K98="extra",L97+VLOOKUP(BF98,PriceSpreadTable,2)/12,IF(K98="inter",interpolateprices($K$19:$L$200,ROW(K98)-ROW(FirstPricingMonth)+1),interpolatechanges($J$19:$K$200,ROW(K98)-ROW(FirstPricingMonth)+1))))</f>
        <v>0.075</v>
      </c>
      <c r="M98" s="515"/>
      <c r="N98" s="516" t="n">
        <v>0</v>
      </c>
      <c r="O98" s="515" t="n">
        <f aca="false">M98+N98</f>
        <v>0</v>
      </c>
      <c r="P98" s="512"/>
      <c r="Q98" s="513" t="s">
        <v>280</v>
      </c>
      <c r="R98" s="512" t="e">
        <f aca="false">IF(ISNUMBER(Q98),P98+Q98/100,IF(Q98="extra",(Z96*AL96-R97*AM96)/AN96,IF(Q98="inter",interpolateprices($Q$19:$R$260,ROW(Q98)-ROW(FirstPricingMonth)+1),interpolatechanges($P$19:$Q$260,ROW(Q98)-ROW(FirstPricingMonth)+1))))</f>
        <v>#VALUE!</v>
      </c>
      <c r="S98" s="597" t="n">
        <f aca="false">S$19+(S97-S$19)*S$18</f>
        <v>0.360000000009589</v>
      </c>
      <c r="T98" s="575" t="n">
        <f aca="false">SQRT((1-(1-T97^2/U97)*T$18)*U98)</f>
        <v>0.999999445571684</v>
      </c>
      <c r="U98" s="576" t="n">
        <f aca="false">1-(1-U97)*U$18</f>
        <v>0.999999999997303</v>
      </c>
      <c r="V98" s="521" t="n">
        <v>0</v>
      </c>
      <c r="W98" s="577" t="n">
        <f aca="false">(J99*AJ98+J100*AK98)/AI98</f>
        <v>0</v>
      </c>
      <c r="X98" s="578" t="n">
        <f aca="false">(L99*AJ98+L100*AK98)/AI98</f>
        <v>0.126136363636364</v>
      </c>
      <c r="Y98" s="579" t="n">
        <f aca="false">IF(Q100="extra",W98-AA98,(P99*AM98+P100*AN98)/AL98)</f>
        <v>-1.1305</v>
      </c>
      <c r="Z98" s="579" t="n">
        <f aca="false">IF(Q100="extra",X98-AB98,(R99*AM98+R100*AN98)/AL98)</f>
        <v>-1.00436363636364</v>
      </c>
      <c r="AA98" s="523" t="n">
        <f aca="false">IF(Q100="extra",INDEX(BrentSeasonalityTable,INT((BG98-1)/3)+1)*VLOOKUP(MAX(BF98,$AB$4),PriceSpreadTable,3),W98-Y98)</f>
        <v>1.1305</v>
      </c>
      <c r="AB98" s="524" t="n">
        <f aca="false">IF(Q100="extra",INDEX(BrentSeasonalityTable,INT((BG98-1)/3)+1)*VLOOKUP(MAX(BF98,$AB$4),PriceSpreadTable,3),X98-Z98)</f>
        <v>1.1305</v>
      </c>
      <c r="AC98" s="646" t="n">
        <v>39133</v>
      </c>
      <c r="AD98" s="646" t="n">
        <v>39129</v>
      </c>
      <c r="AE98" s="646" t="n">
        <v>39128</v>
      </c>
      <c r="AF98" s="646" t="n">
        <v>39124</v>
      </c>
      <c r="AG98" s="438" t="s">
        <v>278</v>
      </c>
      <c r="AH98" s="439" t="s">
        <v>278</v>
      </c>
      <c r="AI98" s="528" t="n">
        <v>22</v>
      </c>
      <c r="AJ98" s="529" t="n">
        <v>14</v>
      </c>
      <c r="AK98" s="529" t="n">
        <v>8</v>
      </c>
      <c r="AL98" s="530" t="n">
        <v>22</v>
      </c>
      <c r="AM98" s="529" t="n">
        <v>10</v>
      </c>
      <c r="AN98" s="531" t="n">
        <v>12</v>
      </c>
      <c r="AO98" s="532"/>
      <c r="AP98" s="465" t="n">
        <f aca="false">(1+AO98/2)^(-2*BL98)</f>
        <v>1</v>
      </c>
      <c r="AQ98" s="532"/>
      <c r="AR98" s="465" t="n">
        <f aca="false">(1+AQ98/2)^(-2*BH98/365.25)</f>
        <v>1</v>
      </c>
      <c r="AS98" s="580" t="n">
        <f aca="false">(O99*AJ98+O100*AK98)/AI98</f>
        <v>0</v>
      </c>
      <c r="AT98" s="468" t="n">
        <f aca="false">O98*VLOOKUP(BF98,BrentVolTable,2)+VLOOKUP(BF98,BrentVolTable,3)</f>
        <v>0</v>
      </c>
      <c r="AU98" s="468" t="n">
        <f aca="false">(AT99*AM98+AT100*AN98)/AL98</f>
        <v>0</v>
      </c>
      <c r="AV98" s="595" t="n">
        <f aca="false">SQRT(MAX(0.000000000001,(O98^2*BH98-S98^2*(BH98-BH97))/BH97))</f>
        <v>0.0242587487377216</v>
      </c>
      <c r="AW98" s="451" t="n">
        <f aca="false">IF($I98-DateToday+15&gt;=$T$8,"",IF($I98-DateToday+15&lt;$T$5,1,MATCH($I98-DateToday+15,$T$5:$T$8)))</f>
        <v>1</v>
      </c>
      <c r="AX98" s="468" t="n">
        <f aca="false">IF($AW98="",AX97^2/AX96,INDEX(U$5:U$8,$AW98)^((INDEX($T$5:$T$8,$AW98+1)-($I98-DateToday+15))/(INDEX($T$5:$T$8,$AW98+1)-INDEX($T$5:$T$8,$AW98)))/INDEX(U$5:U$8,$AW98+1)^((INDEX($T$5:$T$8,$AW98)-($I98-DateToday+15))/(INDEX($T$5:$T$8,$AW98+1)-INDEX($T$5:$T$8,$AW98))))</f>
        <v>2.37172601777129</v>
      </c>
      <c r="AY98" s="468" t="n">
        <f aca="false">IF($AW98="",AY97^2/AY96,INDEX(V$5:V$8,$AW98)^((INDEX($T$5:$T$8,$AW98+1)-($I98-DateToday+15))/(INDEX($T$5:$T$8,$AW98+1)-INDEX($T$5:$T$8,$AW98)))/INDEX(V$5:V$8,$AW98+1)^((INDEX($T$5:$T$8,$AW98)-($I98-DateToday+15))/(INDEX($T$5:$T$8,$AW98+1)-INDEX($T$5:$T$8,$AW98))))</f>
        <v>195.67081215928</v>
      </c>
      <c r="AZ98" s="468" t="n">
        <f aca="false">IF($AW98="",AZ97^2/AZ96,INDEX(W$5:W$8,$AW98)^((INDEX($T$5:$T$8,$AW98+1)-($I98-DateToday+15))/(INDEX($T$5:$T$8,$AW98+1)-INDEX($T$5:$T$8,$AW98)))/INDEX(W$5:W$8,$AW98+1)^((INDEX($T$5:$T$8,$AW98)-($I98-DateToday+15))/(INDEX($T$5:$T$8,$AW98+1)-INDEX($T$5:$T$8,$AW98))))</f>
        <v>1150299.81032071</v>
      </c>
      <c r="BA98" s="468" t="n">
        <f aca="false">IF($AW98="",BA97^2/BA96,INDEX(X$5:X$8,$AW98)^((INDEX($T$5:$T$8,$AW98+1)-($I98-DateToday+15))/(INDEX($T$5:$T$8,$AW98+1)-INDEX($T$5:$T$8,$AW98)))/INDEX(X$5:X$8,$AW98+1)^((INDEX($T$5:$T$8,$AW98)-($I98-DateToday+15))/(INDEX($T$5:$T$8,$AW98+1)-INDEX($T$5:$T$8,$AW98))))</f>
        <v>28418708.2122396</v>
      </c>
      <c r="BB98" s="468" t="n">
        <f aca="false">IF($AW98="",BB97^2/BB96,INDEX(Y$5:Y$8,$AW98)^((INDEX($T$5:$T$8,$AW98+1)-($I98-DateToday+15))/(INDEX($T$5:$T$8,$AW98+1)-INDEX($T$5:$T$8,$AW98)))/INDEX(Y$5:Y$8,$AW98+1)^((INDEX($T$5:$T$8,$AW98)-($I98-DateToday+15))/(INDEX($T$5:$T$8,$AW98+1)-INDEX($T$5:$T$8,$AW98))))</f>
        <v>363222434.094852</v>
      </c>
      <c r="BC98" s="468" t="n">
        <f aca="false">IF($AW98="",BC97^2/BC96,INDEX(Z$5:Z$8,$AW98)^((INDEX($T$5:$T$8,$AW98+1)-($I98-DateToday+15))/(INDEX($T$5:$T$8,$AW98+1)-INDEX($T$5:$T$8,$AW98)))/INDEX(Z$5:Z$8,$AW98+1)^((INDEX($T$5:$T$8,$AW98)-($I98-DateToday+15))/(INDEX($T$5:$T$8,$AW98+1)-INDEX($T$5:$T$8,$AW98))))</f>
        <v>1674419456.35324</v>
      </c>
      <c r="BD98" s="535" t="n">
        <f aca="false">IF(OR(DateStart&gt;=I99,DateEnd&lt;I98),0,IF(VolumeOverrideFlag,V98,Volume))</f>
        <v>0</v>
      </c>
      <c r="BE98" s="536" t="n">
        <f aca="false">IF(OR(DateStart2&gt;=I99,DateEnd2&lt;I98),0,IF(VolumeOverrideFlag,V98,VolumeSwaption))</f>
        <v>0</v>
      </c>
      <c r="BF98" s="537" t="n">
        <f aca="false">YEAR(I98)</f>
        <v>2007</v>
      </c>
      <c r="BG98" s="538" t="n">
        <f aca="false">MONTH(I98)</f>
        <v>3</v>
      </c>
      <c r="BH98" s="539" t="n">
        <f aca="false">AD98-DateToday+1</f>
        <v>-6796</v>
      </c>
      <c r="BI98" s="540" t="n">
        <f aca="false">(I98-DateToday+1)/365.25</f>
        <v>-18.570841889117</v>
      </c>
      <c r="BJ98" s="541" t="n">
        <f aca="false">BI98+(BL98-BI98)*CHOOSE(Underlying,AJ98/AI98,AM98/AL98)</f>
        <v>-18.5185738286354</v>
      </c>
      <c r="BK98" s="541" t="n">
        <f aca="false">BJ98+1/365.25</f>
        <v>-18.5158359778483</v>
      </c>
      <c r="BL98" s="541" t="n">
        <f aca="false">(I99-DateToday)/365.25</f>
        <v>-18.4887063655031</v>
      </c>
      <c r="BM98" s="542" t="e">
        <f aca="false">MAX(BI98-(BJ98-BI98)*(S99^2/O99^2-1),0)</f>
        <v>#DIV/0!</v>
      </c>
      <c r="BN98" s="541" t="e">
        <f aca="false">MAX(BL98+(BL98-BK98)*(S100^2/O100^2-1),0)</f>
        <v>#DIV/0!</v>
      </c>
      <c r="BO98" s="530" t="n">
        <f aca="false">CHOOSE(Underlying,AI98,AL98)</f>
        <v>22</v>
      </c>
      <c r="BP98" s="529" t="n">
        <f aca="false">CHOOSE(Underlying,AJ98,AM98)</f>
        <v>14</v>
      </c>
      <c r="BQ98" s="529" t="n">
        <f aca="false">CHOOSE(Underlying,AK98,AN98)</f>
        <v>8</v>
      </c>
      <c r="BR98" s="463" t="str">
        <f aca="false">IF(BD98,IF(Underlying=1,X98,Z98)+UnderlyingPriceAsian-SwapPriceCurve,"")</f>
        <v/>
      </c>
      <c r="BS98" s="463" t="str">
        <f aca="false">IF(BD98,Strike1/BR98-1,"")</f>
        <v/>
      </c>
      <c r="BT98" s="464" t="str">
        <f aca="false">IF(BD98,Strike2/BR98-1,"")</f>
        <v/>
      </c>
      <c r="BU98" s="465" t="str">
        <f aca="false">IF(BD98,IF(Underlying=1,L99,R99)+UnderlyingPriceAsian-SwapPriceCurve,"")</f>
        <v/>
      </c>
      <c r="BV98" s="465" t="str">
        <f aca="false">IF(BD98,IF(Underlying=1,L100,R100)+UnderlyingPriceAsian-SwapPriceCurve,"")</f>
        <v/>
      </c>
      <c r="BW98" s="466" t="str">
        <f aca="false">IF(BD98,IF(Underlying=1,O99,AT99),"")</f>
        <v/>
      </c>
      <c r="BX98" s="467" t="str">
        <f aca="false">IF(BD98,IF(Underlying=1,O100,AT100),"")</f>
        <v/>
      </c>
      <c r="BY98" s="466" t="str">
        <f aca="false">IF(BD98,IF(BS98&gt;0,IF(BS98&gt;0.2,BC98-BB98,IF(BS98&gt;0.1,BB98-BA98,BA98)),IF(BS98&lt;-0.2,AX98-AY98,IF(BS98&lt;-0.1,AY98-AZ98,AZ98))),"")</f>
        <v/>
      </c>
      <c r="BZ98" s="467" t="str">
        <f aca="false">IF(BD98,IF(BT98&gt;0,IF(BT98&gt;0.2,BC98-BB98,IF(BT98&gt;0.1,BB98-BA98,BA98)),IF(BT98&lt;-0.2,AX98-AY98,IF(BT98&lt;-0.1,AY98-AZ98,AZ98))),"")</f>
        <v/>
      </c>
      <c r="CA98" s="468" t="str">
        <f aca="false">IF($BD98,$BW98+IF(VolSkewFlag=1,IF(BS98&gt;0,$BA98*MIN(BS98/10%,1)+($BB98-$BA98)*MAX(0,MIN(BS98/10%-1,1))+($BC98-$BB98)*MAX(0,BS98/10%-2),$AZ98*MIN(-BS98/10%,1)+($AY98-$AZ98)*MAX(0,MIN(-BS98/10%-1,1))+($AX98-$AY98)*MAX(0,-BS98/10%-2)),0),"")</f>
        <v/>
      </c>
      <c r="CB98" s="468" t="str">
        <f aca="false">IF($BD98,$BX98+IF(VolSkewFlag=1,IF(BS98&gt;0,$BA98*MIN(BS98/10%,1)+($BB98-$BA98)*MAX(0,MIN(BS98/10%-1,1))+($BC98-$BB98)*MAX(0,BS98/10%-2),$AZ98*MIN(-BS98/10%,1)+($AY98-$AZ98)*MAX(0,MIN(-BS98/10%-1,1))+($AX98-$AY98)*MAX(0,-BS98/10%-2)),0),"")</f>
        <v/>
      </c>
      <c r="CC98" s="468" t="str">
        <f aca="false">IF($BD98,$BW98+IF(VolSkewFlag=1,IF(BT98&gt;0,$BA98*MIN(BT98/10%,1)+($BB98-$BA98)*MAX(0,MIN(BT98/10%-1,1))+($BC98-$BB98)*MAX(0,BT98/10%-2),$AZ98*MIN(-BT98/10%,1)+($AY98-$AZ98)*MAX(0,MIN(-BT98/10%-1,1))+($AX98-$AY98)*MAX(0,-BT98/10%-2)),0),"")</f>
        <v/>
      </c>
      <c r="CD98" s="468" t="str">
        <f aca="false">IF($BD98,$BX98+IF(VolSkewFlag=1,IF(BT98&gt;0,$BA98*MIN(BT98/10%,1)+($BB98-$BA98)*MAX(0,MIN(BT98/10%-1,1))+($BC98-$BB98)*MAX(0,BT98/10%-2),$AZ98*MIN(-BT98/10%,1)+($AY98-$AZ98)*MAX(0,MIN(-BT98/10%-1,1))+($AX98-$AY98)*MAX(0,-BT98/10%-2)),0),"")</f>
        <v/>
      </c>
      <c r="CE98" s="469" t="n">
        <v>1</v>
      </c>
      <c r="CF98" s="470" t="n">
        <f aca="false">IF(BD98,xCrudeAPO(BU98,BV98,CA98,CB98,S99,S100,BI98,BL98,BP98,BQ98,0,Strike1,AO98,CE98,0,BL98,IF(OptControl=4,0,1),0,1),0)</f>
        <v>0</v>
      </c>
      <c r="CG98" s="470" t="n">
        <f aca="false">IF(BD98,xCrudeAPO(BU98,BV98,CA98,CB98,S99,S100,BI98,BL98,BP98,BQ98,0,Strike1,AO98,CE98,0,BL98,IF(OptControl=4,0,1),1,1)+xCrudeAPO(BU98,BV98,CA98,CB98,S99,S100,BI98,BL98,BP98,BQ98,0,Strike1,AO98,CE98,0,BL98,IF(OptControl=4,0,1),1,2)+IF(OR(VolSkewFlag=2,ABS(BS98)&lt;0.0001),0,IF(BS98&gt;0,-1,1)*CH98*Strike1/BR98^2*BY98/10%),0)</f>
        <v>0</v>
      </c>
      <c r="CH98" s="470" t="n">
        <f aca="false">IF(BD98,(xCrudeAPO(BU98,BV98,CA98,CB98,S99,S100,BI98,BL98,BP98,BQ98,0,Strike1,AO98,CE98,0,BL98,IF(OptControl=4,0,1),3,1)+xCrudeAPO(BU98,BV98,CA98,CB98,S99,S100,BI98,BL98,BP98,BQ98,0,Strike1,AO98,CE98,0,BL98,IF(OptControl=4,0,1),3,2))/100,0)</f>
        <v>0</v>
      </c>
      <c r="CI98" s="470" t="n">
        <f aca="false">IF(BD98,xCrudeAPO(BU98,BV98,CA98,CB98,S99,S100,BI98-DaysForThetaCalculation/365.25,BL98-DaysForThetaCalculation/365.25,BP98,BQ98,0,Strike1,AO98,CE98,0,BL98,IF(OptControl=4,0,1),0,1)-xCrudeAPO(BU98,BV98,CA98,CB98,S99,S100,BI98,BL98,BP98,BQ98,0,Strike1,AO98,CE98,0,BL98,IF(OptControl=4,0,1),0,1),0)</f>
        <v>0</v>
      </c>
      <c r="CJ98" s="471" t="n">
        <f aca="false">IF(BD98,xCrudeAPO(BU98,BV98,CC98,CD98,S99,S100,BI98,BL98,BP98,BQ98,0,Strike2,AO98,CE98,0,BL98,IF(OptControl=3,1,0),0,1),0)</f>
        <v>0</v>
      </c>
      <c r="CK98" s="470" t="n">
        <f aca="false">IF(BD98,xCrudeAPO(BU98,BV98,CC98,CD98,S99,S100,BI98,BL98,BP98,BQ98,0,Strike2,AO98,CE98,0,BL98,IF(OptControl=3,1,0),1,1)+xCrudeAPO(BU98,BV98,CC98,CD98,S99,S100,BI98,BL98,BP98,BQ98,0,Strike2,AO98,CE98,0,BL98,IF(OptControl=3,1,0),1,2)+IF(OR(VolSkewFlag=2,ABS(BT98)&lt;0.0001),0,IF(BT98&gt;0,-1,1)*CL98*Strike2/BR98^2*BZ98/10%),0)</f>
        <v>0</v>
      </c>
      <c r="CL98" s="470" t="n">
        <f aca="false">IF(BD98,(xCrudeAPO(BU98,BV98,CC98,CD98,S99,S100,BI98,BL98,BP98,BQ98,0,Strike2,AO98,CE98,0,BL98,IF(OptControl=3,1,0),3,1)+xCrudeAPO(BU98,BV98,CC98,CD98,S99,S100,BI98,BL98,BP98,BQ98,0,Strike2,AO98,CE98,0,BL98,IF(OptControl=3,1,0),3,2))/100,0)</f>
        <v>0</v>
      </c>
      <c r="CM98" s="472" t="n">
        <f aca="false">IF(BD98,xCrudeAPO(BU98,BV98,CC98,CD98,S99,S100,BI98-DaysForThetaCalculation/365.25,BL98-DaysForThetaCalculation/365.25,BP98,BQ98,0,Strike2,AO98,CE98,0,BL98,IF(OptControl=3,1,0),0,1)-xCrudeAPO(BU98,BV98,CC98,CD98,S99,S100,BI98,BL98,BP98,BQ98,0,Strike2,AO98,CE98,0,BL98,IF(OptControl=3,1,0),0,1),0)</f>
        <v>0</v>
      </c>
      <c r="CN98" s="3"/>
      <c r="CO98" s="543" t="str">
        <f aca="false">IF(BD98,CHOOSE(Underlying,AD98,AF98)-DateToday+1,"")</f>
        <v/>
      </c>
      <c r="CP98" s="582" t="str">
        <f aca="false">IF(BD98,CHOOSE(Underlying,L98,R98),"")</f>
        <v/>
      </c>
      <c r="CQ98" s="544" t="str">
        <f aca="false">IF(BD98,Strike1/CP98-1,"")</f>
        <v/>
      </c>
      <c r="CR98" s="544" t="str">
        <f aca="false">IF(BD98,Strike2/CP98-1,"")</f>
        <v/>
      </c>
      <c r="CS98" s="544" t="str">
        <f aca="false">IF(BD98,IF(CQ98&gt;0,IF(CQ98&gt;0.2,BC97-BB97,IF(CQ98&gt;0.1,BB97-BA97,BA97)),IF(CQ98&lt;-0.2,AX97-AY97,IF(CQ98&lt;-0.1,AY97-AZ97,AZ97))),"")</f>
        <v/>
      </c>
      <c r="CT98" s="544" t="str">
        <f aca="false">IF(BD98,IF(CR98&gt;0,IF(CR98&gt;0.2,BC97-BB97,IF(CR98&gt;0.1,BB97-BA97,BA97)),IF(CR98&lt;-0.2,AX97-AY97,IF(CR98&lt;-0.1,AY97-AZ97,AZ97))),"")</f>
        <v/>
      </c>
      <c r="CU98" s="545" t="str">
        <f aca="false">IF(BD98,CHOOSE(Underlying,O98,AT98),"")</f>
        <v/>
      </c>
      <c r="CV98" s="545" t="str">
        <f aca="false">IF(BD98,CU98+IF(VolSkewFlag=1,IF(CQ98&gt;0,BA97*MIN(CQ98/10%,1)+(BB97-BA97)*MAX(0,MIN(CQ98/10%-1,1))+(BC97-BB97)*MAX(0,CQ98/10%-2),AZ97*MIN(-CQ98/10%,1)+(AY97-AZ97)*MAX(0,MIN(-CQ98/10%-1,1))+(AX97-AY97)*MAX(0,-CQ98/10%-2)),0),"")</f>
        <v/>
      </c>
      <c r="CW98" s="545" t="str">
        <f aca="false">IF(BD98,CU98+IF(VolSkewFlag=1,IF(CR98&gt;0,BA97*MIN(CR98/10%,1)+(BB97-BA97)*MAX(0,MIN(CR98/10%-1,1))+(BC97-BB97)*MAX(0,CR98/10%-2),AZ97*MIN(-CR98/10%,1)+(AY97-AZ97)*MAX(0,MIN(-CR98/10%-1,1))+(AX97-AY97)*MAX(0,-CR98/10%-2)),0),"")</f>
        <v/>
      </c>
      <c r="CX98" s="470" t="n">
        <f aca="false">IF(BD98,EURO(CP98,Strike1,AO98,AO98,CV98,CO98,IF(OptControl=4,0,1),0),0)</f>
        <v>0</v>
      </c>
      <c r="CY98" s="470" t="n">
        <f aca="false">IF(BD98,EURO(CP98,Strike1,AO98,AO98,CV98,CO98,IF(OptControl=4,0,1),1)+IF(OR(VolSkewFlag=2,ABS(CQ98)&lt;0.0001),0,IF(CQ98&gt;0,-1,1)*CZ98*100*Strike1/CP98^2*CS98/10%),0)</f>
        <v>0</v>
      </c>
      <c r="CZ98" s="470" t="n">
        <f aca="false">IF(BD98,EURO(CP98,Strike1,AO98,AO98,CV98,CO98,IF(OptControl=4,0,1),3)/100,0)</f>
        <v>0</v>
      </c>
      <c r="DA98" s="470" t="n">
        <f aca="false">IF(BD98,EURO(CP98,Strike1,AO98,AO98,CV98,CO98,IF(OptControl=4,0,1),0)-EURO(CP98,Strike1,AO98,AO98,CV98,CO98-1,IF(OptControl=4,0,1),0),0)</f>
        <v>0</v>
      </c>
      <c r="DB98" s="470" t="n">
        <f aca="false">IF(BD98,EURO(CP98,Strike2,AO98,AO98,CW98,CO98,IF(OptControl=3,1,0),0),0)</f>
        <v>0</v>
      </c>
      <c r="DC98" s="470" t="n">
        <f aca="false">IF(BD98,EURO(CP98,Strike2,AO98,AO98,CW98,CO98,IF(OptControl=3,1,0),1)+IF(OR(VolSkewFlag=2,ABS(CR98)&lt;0.0001),0,IF(CR98&gt;0,-1,1)*DD98*100*Strike2/CP98^2*CT98/10%),0)</f>
        <v>0</v>
      </c>
      <c r="DD98" s="470" t="n">
        <f aca="false">IF(BD98,EURO(CP98,Strike2,AO98,AO98,CW98,CO98,IF(OptControl=3,1,0),3)/100,0)</f>
        <v>0</v>
      </c>
      <c r="DE98" s="472" t="n">
        <f aca="false">IF(BD98,EURO(CP98,Strike2,AO98,AO98,CW98,CO98,IF(OptControl=3,1,0),0)-EURO(CP98,Strike2,AO98,AO98,CW98,CO98-1,IF(OptControl=3,1,0),0),0)</f>
        <v>0</v>
      </c>
      <c r="DG98" s="481" t="n">
        <f aca="false">EOMONTH(DG97,0)+1</f>
        <v>48061</v>
      </c>
      <c r="DH98" s="478" t="n">
        <v>18.3133333333333</v>
      </c>
      <c r="DI98" s="479" t="n">
        <v>18.3121739130435</v>
      </c>
      <c r="DJ98" s="480" t="n">
        <f aca="false">DG98</f>
        <v>48061</v>
      </c>
      <c r="DK98" s="478" t="n">
        <v>16.956623621719</v>
      </c>
      <c r="DL98" s="479" t="n">
        <v>17.0555739130435</v>
      </c>
      <c r="DM98" s="481" t="n">
        <f aca="false">DG98</f>
        <v>48061</v>
      </c>
      <c r="DN98" s="482" t="n">
        <f aca="false">DK98+BrentPhyBrentSpread</f>
        <v>17.006623621719</v>
      </c>
      <c r="DO98" s="481" t="n">
        <f aca="false">DG98</f>
        <v>48061</v>
      </c>
      <c r="DP98" s="483" t="n">
        <f aca="false">DL98+DQ98</f>
        <v>17.0555739130435</v>
      </c>
      <c r="DQ98" s="546" t="n">
        <v>0</v>
      </c>
      <c r="DR98" s="480" t="n">
        <f aca="false">DG98</f>
        <v>48061</v>
      </c>
      <c r="DS98" s="485" t="n">
        <v>0.1778</v>
      </c>
      <c r="DT98" s="486" t="n">
        <v>0.176965217391304</v>
      </c>
      <c r="DU98" s="480" t="n">
        <f aca="false">DG98</f>
        <v>48061</v>
      </c>
      <c r="DV98" s="485" t="n">
        <v>0.1778</v>
      </c>
      <c r="DW98" s="486" t="n">
        <v>0.176965217391304</v>
      </c>
      <c r="DX98" s="481" t="n">
        <f aca="false">DG98</f>
        <v>48061</v>
      </c>
      <c r="DY98" s="486" t="n">
        <v>0.35</v>
      </c>
      <c r="DZ98" s="481" t="n">
        <f aca="false">DR98</f>
        <v>48061</v>
      </c>
      <c r="EA98" s="486" t="n">
        <f aca="false">DT98</f>
        <v>0.176965217391304</v>
      </c>
      <c r="EB98" s="195"/>
      <c r="EC98" s="547" t="str">
        <f aca="false">IF(BD98,IF(Underlying=1,AS98,AU98),"")</f>
        <v/>
      </c>
      <c r="ED98" s="548" t="str">
        <f aca="false">IF($BD98,$EC98+IF(VolSkewFlag=1,IF(BS98&gt;0,$BA98*MIN(BS98/10%,1)+($BB98-$BA98)*MAX(0,MIN(BS98/10%-1,1))+($BC98-$BB98)*MAX(0,BS98/10%-2),$AZ98*MIN(-BS98/10%,1)+($AY98-$AZ98)*MAX(0,MIN(-BS98/10%-1,1))+($AX98-$AY98)*MAX(0,-BS98/10%-2)),0),"")</f>
        <v/>
      </c>
      <c r="EE98" s="549" t="str">
        <f aca="false">IF($BD98,$EC98+IF(VolSkewFlag=1,IF(BT98&gt;0,$BA98*MIN(BT98/10%,1)+($BB98-$BA98)*MAX(0,MIN(BT98/10%-1,1))+($BC98-$BB98)*MAX(0,BT98/10%-2),$AZ98*MIN(-BT98/10%,1)+($AY98-$AZ98)*MAX(0,MIN(-BT98/10%-1,1))+($AX98-$AY98)*MAX(0,-BT98/10%-2)),0),"")</f>
        <v/>
      </c>
      <c r="EF98" s="550" t="n">
        <f aca="false">IF(BD98,xASN(BR98,Strike1,AO98,ED98,0,BO98,0,BI98,BL98,IF(OptControl=4,0,1),0),0)</f>
        <v>0</v>
      </c>
      <c r="EG98" s="551" t="n">
        <f aca="false">IF(BD98,xASN(BR98,Strike2,AO98,EE98,0,BO98,0,BI98,BL98,IF(OptControl=3,1,0),0),0)</f>
        <v>0</v>
      </c>
      <c r="EL98" s="1"/>
      <c r="EM98" s="195"/>
      <c r="EN98" s="240"/>
      <c r="EO98" s="240"/>
      <c r="EP98" s="195"/>
      <c r="EQ98" s="407" t="s">
        <v>325</v>
      </c>
      <c r="ES98" s="130"/>
      <c r="ET98" s="19"/>
      <c r="EU98" s="672"/>
      <c r="EV98" s="478"/>
      <c r="EW98" s="131"/>
      <c r="EX98" s="131"/>
      <c r="EY98" s="129"/>
      <c r="EZ98" s="129"/>
      <c r="FA98" s="129"/>
      <c r="FB98" s="129"/>
      <c r="FC98" s="129"/>
      <c r="FD98" s="129"/>
      <c r="FE98" s="129"/>
      <c r="FF98" s="129"/>
      <c r="FG98" s="129"/>
      <c r="FH98" s="129"/>
      <c r="FI98" s="129"/>
      <c r="FJ98" s="571" t="n">
        <v>4</v>
      </c>
      <c r="FK98" s="150" t="e">
        <f aca="false">IF($FJ23&lt;FK$94,"",SQRT(FK23/FK$15))</f>
        <v>#DIV/0!</v>
      </c>
      <c r="FL98" s="150" t="n">
        <f aca="false">IF($FJ23&lt;FL$94,"",SQRT(FL23/FL$15))</f>
        <v>-0</v>
      </c>
      <c r="FM98" s="150" t="n">
        <f aca="false">IF($FJ23&lt;FM$94,"",SQRT(FM23/FM$15))</f>
        <v>0.343409203979088</v>
      </c>
      <c r="FN98" s="150" t="n">
        <f aca="false">IF($FJ23&lt;FN$94,"",SQRT(FN23/FN$15))</f>
        <v>0.3825</v>
      </c>
      <c r="FO98" s="150" t="str">
        <f aca="false">IF($FJ23&lt;FO$94,"",SQRT(FO23/FO$15))</f>
        <v/>
      </c>
      <c r="FP98" s="150" t="str">
        <f aca="false">IF($FJ23&lt;FP$94,"",SQRT(FP23/FP$15))</f>
        <v/>
      </c>
      <c r="FQ98" s="150" t="str">
        <f aca="false">IF($FJ23&lt;FQ$94,"",SQRT(FQ23/FQ$15))</f>
        <v/>
      </c>
      <c r="FR98" s="150" t="str">
        <f aca="false">IF($FJ23&lt;FR$94,"",SQRT(FR23/FR$15))</f>
        <v/>
      </c>
      <c r="FS98" s="150" t="str">
        <f aca="false">IF($FJ23&lt;FS$94,"",SQRT(FS23/FS$15))</f>
        <v/>
      </c>
      <c r="FT98" s="150" t="str">
        <f aca="false">IF($FJ23&lt;FT$94,"",SQRT(FT23/FT$15))</f>
        <v/>
      </c>
      <c r="FU98" s="150" t="str">
        <f aca="false">IF($FJ23&lt;FU$94,"",SQRT(FU23/FU$15))</f>
        <v/>
      </c>
      <c r="FV98" s="150" t="str">
        <f aca="false">IF($FJ23&lt;FV$94,"",SQRT(FV23/FV$15))</f>
        <v/>
      </c>
      <c r="FW98" s="150" t="str">
        <f aca="false">IF($FJ23&lt;FW$94,"",SQRT(FW23/FW$15))</f>
        <v/>
      </c>
      <c r="FX98" s="150" t="str">
        <f aca="false">IF($FJ23&lt;FX$94,"",SQRT(FX23/FX$15))</f>
        <v/>
      </c>
      <c r="FY98" s="150" t="str">
        <f aca="false">IF($FJ23&lt;FY$94,"",SQRT(FY23/FY$15))</f>
        <v/>
      </c>
      <c r="FZ98" s="150" t="str">
        <f aca="false">IF($FJ23&lt;FZ$94,"",SQRT(FZ23/FZ$15))</f>
        <v/>
      </c>
      <c r="GA98" s="150" t="str">
        <f aca="false">IF($FJ23&lt;GA$94,"",SQRT(GA23/GA$15))</f>
        <v/>
      </c>
      <c r="GB98" s="150" t="str">
        <f aca="false">IF($FJ23&lt;GB$94,"",SQRT(GB23/GB$15))</f>
        <v/>
      </c>
      <c r="GC98" s="150" t="str">
        <f aca="false">IF($FJ23&lt;GC$94,"",SQRT(GC23/GC$15))</f>
        <v/>
      </c>
      <c r="GD98" s="150" t="str">
        <f aca="false">IF($FJ23&lt;GD$94,"",SQRT(GD23/GD$15))</f>
        <v/>
      </c>
      <c r="GE98" s="150" t="str">
        <f aca="false">IF($FJ23&lt;GE$94,"",SQRT(GE23/GE$15))</f>
        <v/>
      </c>
      <c r="GF98" s="150" t="str">
        <f aca="false">IF($FJ23&lt;GF$94,"",SQRT(GF23/GF$15))</f>
        <v/>
      </c>
      <c r="GG98" s="150" t="str">
        <f aca="false">IF($FJ23&lt;GG$94,"",SQRT(GG23/GG$15))</f>
        <v/>
      </c>
      <c r="GH98" s="150" t="str">
        <f aca="false">IF($FJ23&lt;GH$94,"",SQRT(GH23/GH$15))</f>
        <v/>
      </c>
      <c r="GI98" s="150" t="str">
        <f aca="false">IF($FJ23&lt;GI$94,"",SQRT(GI23/GI$15))</f>
        <v/>
      </c>
      <c r="GJ98" s="150" t="str">
        <f aca="false">IF($FJ23&lt;GJ$94,"",SQRT(GJ23/GJ$15))</f>
        <v/>
      </c>
      <c r="GK98" s="150" t="str">
        <f aca="false">IF($FJ23&lt;GK$94,"",SQRT(GK23/GK$15))</f>
        <v/>
      </c>
      <c r="GL98" s="150" t="str">
        <f aca="false">IF($FJ23&lt;GL$94,"",SQRT(GL23/GL$15))</f>
        <v/>
      </c>
      <c r="GM98" s="150" t="str">
        <f aca="false">IF($FJ23&lt;GM$94,"",SQRT(GM23/GM$15))</f>
        <v/>
      </c>
      <c r="GN98" s="150" t="str">
        <f aca="false">IF($FJ23&lt;GN$94,"",SQRT(GN23/GN$15))</f>
        <v/>
      </c>
      <c r="GO98" s="150" t="str">
        <f aca="false">IF($FJ23&lt;GO$94,"",SQRT(GO23/GO$15))</f>
        <v/>
      </c>
      <c r="GP98" s="150" t="str">
        <f aca="false">IF($FJ23&lt;GP$94,"",SQRT(GP23/GP$15))</f>
        <v/>
      </c>
      <c r="GQ98" s="150" t="str">
        <f aca="false">IF($FJ23&lt;GQ$94,"",SQRT(GQ23/GQ$15))</f>
        <v/>
      </c>
      <c r="GR98" s="150" t="str">
        <f aca="false">IF($FJ23&lt;GR$94,"",SQRT(GR23/GR$15))</f>
        <v/>
      </c>
      <c r="GS98" s="150" t="str">
        <f aca="false">IF($FJ23&lt;GS$94,"",SQRT(GS23/GS$15))</f>
        <v/>
      </c>
      <c r="GT98" s="150" t="str">
        <f aca="false">IF($FJ23&lt;GT$94,"",SQRT(GT23/GT$15))</f>
        <v/>
      </c>
      <c r="GU98" s="150" t="str">
        <f aca="false">IF($FJ23&lt;GU$94,"",SQRT(GU23/GU$15))</f>
        <v/>
      </c>
      <c r="GV98" s="150" t="str">
        <f aca="false">IF($FJ23&lt;GV$94,"",SQRT(GV23/GV$15))</f>
        <v/>
      </c>
      <c r="GW98" s="150" t="str">
        <f aca="false">IF($FJ23&lt;GW$94,"",SQRT(GW23/GW$15))</f>
        <v/>
      </c>
      <c r="GX98" s="150" t="str">
        <f aca="false">IF($FJ23&lt;GX$94,"",SQRT(GX23/GX$15))</f>
        <v/>
      </c>
      <c r="GY98" s="150" t="str">
        <f aca="false">IF($FJ23&lt;GY$94,"",SQRT(GY23/GY$15))</f>
        <v/>
      </c>
      <c r="GZ98" s="150" t="str">
        <f aca="false">IF($FJ23&lt;GZ$94,"",SQRT(GZ23/GZ$15))</f>
        <v/>
      </c>
      <c r="HA98" s="150" t="str">
        <f aca="false">IF($FJ23&lt;HA$94,"",SQRT(HA23/HA$15))</f>
        <v/>
      </c>
      <c r="HB98" s="150" t="str">
        <f aca="false">IF($FJ23&lt;HB$94,"",SQRT(HB23/HB$15))</f>
        <v/>
      </c>
      <c r="HC98" s="150" t="str">
        <f aca="false">IF($FJ23&lt;HC$94,"",SQRT(HC23/HC$15))</f>
        <v/>
      </c>
      <c r="HD98" s="150" t="str">
        <f aca="false">IF($FJ23&lt;HD$94,"",SQRT(HD23/HD$15))</f>
        <v/>
      </c>
      <c r="HE98" s="150" t="str">
        <f aca="false">IF($FJ23&lt;HE$94,"",SQRT(HE23/HE$15))</f>
        <v/>
      </c>
      <c r="HF98" s="150" t="str">
        <f aca="false">IF($FJ23&lt;HF$94,"",SQRT(HF23/HF$15))</f>
        <v/>
      </c>
      <c r="HG98" s="150" t="str">
        <f aca="false">IF($FJ23&lt;HG$94,"",SQRT(HG23/HG$15))</f>
        <v/>
      </c>
      <c r="HH98" s="150" t="str">
        <f aca="false">IF($FJ23&lt;HH$94,"",SQRT(HH23/HH$15))</f>
        <v/>
      </c>
      <c r="HI98" s="150" t="str">
        <f aca="false">IF($FJ23&lt;HI$94,"",SQRT(HI23/HI$15))</f>
        <v/>
      </c>
      <c r="HJ98" s="150" t="str">
        <f aca="false">IF($FJ23&lt;HJ$94,"",SQRT(HJ23/HJ$15))</f>
        <v/>
      </c>
      <c r="HK98" s="150" t="str">
        <f aca="false">IF($FJ23&lt;HK$94,"",SQRT(HK23/HK$15))</f>
        <v/>
      </c>
      <c r="HL98" s="150" t="str">
        <f aca="false">IF($FJ23&lt;HL$94,"",SQRT(HL23/HL$15))</f>
        <v/>
      </c>
      <c r="HM98" s="150" t="str">
        <f aca="false">IF($FJ23&lt;HM$94,"",SQRT(HM23/HM$15))</f>
        <v/>
      </c>
      <c r="HN98" s="150" t="str">
        <f aca="false">IF($FJ23&lt;HN$94,"",SQRT(HN23/HN$15))</f>
        <v/>
      </c>
      <c r="HO98" s="150" t="str">
        <f aca="false">IF($FJ23&lt;HO$94,"",SQRT(HO23/HO$15))</f>
        <v/>
      </c>
      <c r="HP98" s="150" t="str">
        <f aca="false">IF($FJ23&lt;HP$94,"",SQRT(HP23/HP$15))</f>
        <v/>
      </c>
      <c r="HQ98" s="150" t="str">
        <f aca="false">IF($FJ23&lt;HQ$94,"",SQRT(HQ23/HQ$15))</f>
        <v/>
      </c>
      <c r="HR98" s="150" t="str">
        <f aca="false">IF($FJ23&lt;HR$94,"",SQRT(HR23/HR$15))</f>
        <v/>
      </c>
      <c r="HS98" s="150" t="str">
        <f aca="false">IF($FJ23&lt;HS$94,"",SQRT(HS23/HS$15))</f>
        <v/>
      </c>
      <c r="HT98" s="150" t="str">
        <f aca="false">IF($FJ23&lt;HT$94,"",SQRT(HT23/HT$15))</f>
        <v/>
      </c>
      <c r="HU98" s="150" t="str">
        <f aca="false">IF($FJ23&lt;HU$94,"",SQRT(HU23/HU$15))</f>
        <v/>
      </c>
      <c r="HV98" s="150" t="str">
        <f aca="false">IF($FJ23&lt;HV$94,"",SQRT(HV23/HV$15))</f>
        <v/>
      </c>
      <c r="HW98" s="150" t="str">
        <f aca="false">IF($FJ23&lt;HW$94,"",SQRT(HW23/HW$15))</f>
        <v/>
      </c>
      <c r="HX98" s="150" t="str">
        <f aca="false">IF($FJ23&lt;HX$94,"",SQRT(HX23/HX$15))</f>
        <v/>
      </c>
      <c r="HY98" s="150" t="str">
        <f aca="false">IF($FJ23&lt;HY$94,"",SQRT(HY23/HY$15))</f>
        <v/>
      </c>
      <c r="HZ98" s="150" t="str">
        <f aca="false">IF($FJ23&lt;HZ$94,"",SQRT(HZ23/HZ$15))</f>
        <v/>
      </c>
      <c r="IA98" s="150" t="str">
        <f aca="false">IF($FJ23&lt;IA$94,"",SQRT(IA23/IA$15))</f>
        <v/>
      </c>
      <c r="IB98" s="150" t="str">
        <f aca="false">IF($FJ23&lt;IB$94,"",SQRT(IB23/IB$15))</f>
        <v/>
      </c>
      <c r="IC98" s="150" t="str">
        <f aca="false">IF($FJ23&lt;IC$94,"",SQRT(IC23/IC$15))</f>
        <v/>
      </c>
      <c r="ID98" s="572" t="str">
        <f aca="false">IF($FJ23&lt;ID$94,"",SQRT(ID23/ID$15))</f>
        <v/>
      </c>
      <c r="IE98" s="129"/>
    </row>
    <row r="99" customFormat="false" ht="12.75" hidden="false" customHeight="false" outlineLevel="0" collapsed="false">
      <c r="H99" s="219" t="n">
        <f aca="false">VLOOKUP(I99,$EJ$20:$EL$54,3)</f>
        <v>0</v>
      </c>
      <c r="I99" s="511" t="n">
        <f aca="false">EOMONTH(I98,0)+1</f>
        <v>39173</v>
      </c>
      <c r="J99" s="512"/>
      <c r="K99" s="513" t="s">
        <v>280</v>
      </c>
      <c r="L99" s="514" t="n">
        <f aca="false">IF(ISNUMBER(K99),J99+K99/100,IF(K99="extra",L98+VLOOKUP(BF99,PriceSpreadTable,2)/12,IF(K99="inter",interpolateprices($K$19:$L$200,ROW(K99)-ROW(FirstPricingMonth)+1),interpolatechanges($J$19:$K$200,ROW(K99)-ROW(FirstPricingMonth)+1))))</f>
        <v>0.1125</v>
      </c>
      <c r="M99" s="515"/>
      <c r="N99" s="516" t="n">
        <v>0</v>
      </c>
      <c r="O99" s="515" t="n">
        <f aca="false">M99+N99</f>
        <v>0</v>
      </c>
      <c r="P99" s="512"/>
      <c r="Q99" s="513" t="s">
        <v>280</v>
      </c>
      <c r="R99" s="512" t="e">
        <f aca="false">IF(ISNUMBER(Q99),P99+Q99/100,IF(Q99="extra",(Z97*AL97-R98*AM97)/AN97,IF(Q99="inter",interpolateprices($Q$19:$R$260,ROW(Q99)-ROW(FirstPricingMonth)+1),interpolatechanges($P$19:$Q$260,ROW(Q99)-ROW(FirstPricingMonth)+1))))</f>
        <v>#VALUE!</v>
      </c>
      <c r="S99" s="597" t="n">
        <f aca="false">S$19+(S98-S$19)*S$18</f>
        <v>0.360000000007192</v>
      </c>
      <c r="T99" s="575" t="n">
        <f aca="false">SQRT((1-(1-T98^2/U98)*T$18)*U99)</f>
        <v>0.999999525963951</v>
      </c>
      <c r="U99" s="576" t="n">
        <f aca="false">1-(1-U98)*U$18</f>
        <v>0.999999999997977</v>
      </c>
      <c r="V99" s="521" t="n">
        <v>0</v>
      </c>
      <c r="W99" s="577" t="n">
        <f aca="false">(J100*AJ99+J101*AK99)/AI99</f>
        <v>0</v>
      </c>
      <c r="X99" s="578" t="n">
        <f aca="false">(L100*AJ99+L101*AK99)/AI99</f>
        <v>0.160714285714286</v>
      </c>
      <c r="Y99" s="579" t="n">
        <f aca="false">IF(Q101="extra",W99-AA99,(P100*AM99+P101*AN99)/AL99)</f>
        <v>-1.2495</v>
      </c>
      <c r="Z99" s="579" t="n">
        <f aca="false">IF(Q101="extra",X99-AB99,(R100*AM99+R101*AN99)/AL99)</f>
        <v>-1.08878571428571</v>
      </c>
      <c r="AA99" s="523" t="n">
        <f aca="false">IF(Q101="extra",INDEX(BrentSeasonalityTable,INT((BG99-1)/3)+1)*VLOOKUP(MAX(BF99,$AB$4),PriceSpreadTable,3),W99-Y99)</f>
        <v>1.2495</v>
      </c>
      <c r="AB99" s="524" t="n">
        <f aca="false">IF(Q101="extra",INDEX(BrentSeasonalityTable,INT((BG99-1)/3)+1)*VLOOKUP(MAX(BF99,$AB$4),PriceSpreadTable,3),X99-Z99)</f>
        <v>1.2495</v>
      </c>
      <c r="AC99" s="646" t="n">
        <v>39161</v>
      </c>
      <c r="AD99" s="646" t="n">
        <v>39157</v>
      </c>
      <c r="AE99" s="646" t="n">
        <v>39156</v>
      </c>
      <c r="AF99" s="646" t="n">
        <v>39152</v>
      </c>
      <c r="AG99" s="438" t="s">
        <v>278</v>
      </c>
      <c r="AH99" s="439" t="s">
        <v>278</v>
      </c>
      <c r="AI99" s="528" t="n">
        <v>21</v>
      </c>
      <c r="AJ99" s="529" t="n">
        <v>15</v>
      </c>
      <c r="AK99" s="529" t="n">
        <v>6</v>
      </c>
      <c r="AL99" s="530" t="n">
        <v>21</v>
      </c>
      <c r="AM99" s="529" t="n">
        <v>10</v>
      </c>
      <c r="AN99" s="531" t="n">
        <v>11</v>
      </c>
      <c r="AO99" s="532"/>
      <c r="AP99" s="465" t="n">
        <f aca="false">(1+AO99/2)^(-2*BL99)</f>
        <v>1</v>
      </c>
      <c r="AQ99" s="532"/>
      <c r="AR99" s="465" t="n">
        <f aca="false">(1+AQ99/2)^(-2*BH99/365.25)</f>
        <v>1</v>
      </c>
      <c r="AS99" s="580" t="n">
        <f aca="false">(O100*AJ99+O101*AK99)/AI99</f>
        <v>0</v>
      </c>
      <c r="AT99" s="468" t="n">
        <f aca="false">O99*VLOOKUP(BF99,BrentVolTable,2)+VLOOKUP(BF99,BrentVolTable,3)</f>
        <v>0</v>
      </c>
      <c r="AU99" s="468" t="n">
        <f aca="false">(AT100*AM99+AT101*AN99)/AL99</f>
        <v>0</v>
      </c>
      <c r="AV99" s="595" t="n">
        <f aca="false">SQRT(MAX(0.000000000001,(O99^2*BH99-S99^2*(BH99-BH98))/BH98))</f>
        <v>0.0231075994781178</v>
      </c>
      <c r="AW99" s="451" t="n">
        <f aca="false">IF($I99-DateToday+15&gt;=$T$8,"",IF($I99-DateToday+15&lt;$T$5,1,MATCH($I99-DateToday+15,$T$5:$T$8)))</f>
        <v>1</v>
      </c>
      <c r="AX99" s="468" t="n">
        <f aca="false">IF($AW99="",AX98^2/AX97,INDEX(U$5:U$8,$AW99)^((INDEX($T$5:$T$8,$AW99+1)-($I99-DateToday+15))/(INDEX($T$5:$T$8,$AW99+1)-INDEX($T$5:$T$8,$AW99)))/INDEX(U$5:U$8,$AW99+1)^((INDEX($T$5:$T$8,$AW99)-($I99-DateToday+15))/(INDEX($T$5:$T$8,$AW99+1)-INDEX($T$5:$T$8,$AW99))))</f>
        <v>2.32064104741818</v>
      </c>
      <c r="AY99" s="468" t="n">
        <f aca="false">IF($AW99="",AY98^2/AY97,INDEX(V$5:V$8,$AW99)^((INDEX($T$5:$T$8,$AW99+1)-($I99-DateToday+15))/(INDEX($T$5:$T$8,$AW99+1)-INDEX($T$5:$T$8,$AW99)))/INDEX(V$5:V$8,$AW99+1)^((INDEX($T$5:$T$8,$AW99)-($I99-DateToday+15))/(INDEX($T$5:$T$8,$AW99+1)-INDEX($T$5:$T$8,$AW99))))</f>
        <v>187.451769324554</v>
      </c>
      <c r="AZ99" s="468" t="n">
        <f aca="false">IF($AW99="",AZ98^2/AZ97,INDEX(W$5:W$8,$AW99)^((INDEX($T$5:$T$8,$AW99+1)-($I99-DateToday+15))/(INDEX($T$5:$T$8,$AW99+1)-INDEX($T$5:$T$8,$AW99)))/INDEX(W$5:W$8,$AW99+1)^((INDEX($T$5:$T$8,$AW99)-($I99-DateToday+15))/(INDEX($T$5:$T$8,$AW99+1)-INDEX($T$5:$T$8,$AW99))))</f>
        <v>1057837.24688563</v>
      </c>
      <c r="BA99" s="468" t="n">
        <f aca="false">IF($AW99="",BA98^2/BA97,INDEX(X$5:X$8,$AW99)^((INDEX($T$5:$T$8,$AW99+1)-($I99-DateToday+15))/(INDEX($T$5:$T$8,$AW99+1)-INDEX($T$5:$T$8,$AW99)))/INDEX(X$5:X$8,$AW99+1)^((INDEX($T$5:$T$8,$AW99)-($I99-DateToday+15))/(INDEX($T$5:$T$8,$AW99+1)-INDEX($T$5:$T$8,$AW99))))</f>
        <v>25571463.9230273</v>
      </c>
      <c r="BB99" s="468" t="n">
        <f aca="false">IF($AW99="",BB98^2/BB97,INDEX(Y$5:Y$8,$AW99)^((INDEX($T$5:$T$8,$AW99+1)-($I99-DateToday+15))/(INDEX($T$5:$T$8,$AW99+1)-INDEX($T$5:$T$8,$AW99)))/INDEX(Y$5:Y$8,$AW99+1)^((INDEX($T$5:$T$8,$AW99)-($I99-DateToday+15))/(INDEX($T$5:$T$8,$AW99+1)-INDEX($T$5:$T$8,$AW99))))</f>
        <v>323552530.718328</v>
      </c>
      <c r="BC99" s="468" t="n">
        <f aca="false">IF($AW99="",BC98^2/BC97,INDEX(Z$5:Z$8,$AW99)^((INDEX($T$5:$T$8,$AW99+1)-($I99-DateToday+15))/(INDEX($T$5:$T$8,$AW99+1)-INDEX($T$5:$T$8,$AW99)))/INDEX(Z$5:Z$8,$AW99+1)^((INDEX($T$5:$T$8,$AW99)-($I99-DateToday+15))/(INDEX($T$5:$T$8,$AW99+1)-INDEX($T$5:$T$8,$AW99))))</f>
        <v>1482886611.30103</v>
      </c>
      <c r="BD99" s="535" t="n">
        <f aca="false">IF(OR(DateStart&gt;=I100,DateEnd&lt;I99),0,IF(VolumeOverrideFlag,V99,Volume))</f>
        <v>0</v>
      </c>
      <c r="BE99" s="536" t="n">
        <f aca="false">IF(OR(DateStart2&gt;=I100,DateEnd2&lt;I99),0,IF(VolumeOverrideFlag,V99,VolumeSwaption))</f>
        <v>0</v>
      </c>
      <c r="BF99" s="537" t="n">
        <f aca="false">YEAR(I99)</f>
        <v>2007</v>
      </c>
      <c r="BG99" s="538" t="n">
        <f aca="false">MONTH(I99)</f>
        <v>4</v>
      </c>
      <c r="BH99" s="539" t="n">
        <f aca="false">AD99-DateToday+1</f>
        <v>-6768</v>
      </c>
      <c r="BI99" s="540" t="n">
        <f aca="false">(I99-DateToday+1)/365.25</f>
        <v>-18.485968514716</v>
      </c>
      <c r="BJ99" s="541" t="n">
        <f aca="false">BI99+(BL99-BI99)*CHOOSE(Underlying,AJ99/AI99,AM99/AL99)</f>
        <v>-18.4292558912682</v>
      </c>
      <c r="BK99" s="541" t="n">
        <f aca="false">BJ99+1/365.25</f>
        <v>-18.4265180404811</v>
      </c>
      <c r="BL99" s="541" t="n">
        <f aca="false">(I100-DateToday)/365.25</f>
        <v>-18.4065708418891</v>
      </c>
      <c r="BM99" s="542" t="e">
        <f aca="false">MAX(BI99-(BJ99-BI99)*(S100^2/O100^2-1),0)</f>
        <v>#DIV/0!</v>
      </c>
      <c r="BN99" s="541" t="e">
        <f aca="false">MAX(BL99+(BL99-BK99)*(S101^2/O101^2-1),0)</f>
        <v>#DIV/0!</v>
      </c>
      <c r="BO99" s="530" t="n">
        <f aca="false">CHOOSE(Underlying,AI99,AL99)</f>
        <v>21</v>
      </c>
      <c r="BP99" s="529" t="n">
        <f aca="false">CHOOSE(Underlying,AJ99,AM99)</f>
        <v>15</v>
      </c>
      <c r="BQ99" s="529" t="n">
        <f aca="false">CHOOSE(Underlying,AK99,AN99)</f>
        <v>6</v>
      </c>
      <c r="BR99" s="463" t="str">
        <f aca="false">IF(BD99,IF(Underlying=1,X99,Z99)+UnderlyingPriceAsian-SwapPriceCurve,"")</f>
        <v/>
      </c>
      <c r="BS99" s="463" t="str">
        <f aca="false">IF(BD99,Strike1/BR99-1,"")</f>
        <v/>
      </c>
      <c r="BT99" s="464" t="str">
        <f aca="false">IF(BD99,Strike2/BR99-1,"")</f>
        <v/>
      </c>
      <c r="BU99" s="465" t="str">
        <f aca="false">IF(BD99,IF(Underlying=1,L100,R100)+UnderlyingPriceAsian-SwapPriceCurve,"")</f>
        <v/>
      </c>
      <c r="BV99" s="465" t="str">
        <f aca="false">IF(BD99,IF(Underlying=1,L101,R101)+UnderlyingPriceAsian-SwapPriceCurve,"")</f>
        <v/>
      </c>
      <c r="BW99" s="466" t="str">
        <f aca="false">IF(BD99,IF(Underlying=1,O100,AT100),"")</f>
        <v/>
      </c>
      <c r="BX99" s="467" t="str">
        <f aca="false">IF(BD99,IF(Underlying=1,O101,AT101),"")</f>
        <v/>
      </c>
      <c r="BY99" s="466" t="str">
        <f aca="false">IF(BD99,IF(BS99&gt;0,IF(BS99&gt;0.2,BC99-BB99,IF(BS99&gt;0.1,BB99-BA99,BA99)),IF(BS99&lt;-0.2,AX99-AY99,IF(BS99&lt;-0.1,AY99-AZ99,AZ99))),"")</f>
        <v/>
      </c>
      <c r="BZ99" s="467" t="str">
        <f aca="false">IF(BD99,IF(BT99&gt;0,IF(BT99&gt;0.2,BC99-BB99,IF(BT99&gt;0.1,BB99-BA99,BA99)),IF(BT99&lt;-0.2,AX99-AY99,IF(BT99&lt;-0.1,AY99-AZ99,AZ99))),"")</f>
        <v/>
      </c>
      <c r="CA99" s="468" t="str">
        <f aca="false">IF($BD99,$BW99+IF(VolSkewFlag=1,IF(BS99&gt;0,$BA99*MIN(BS99/10%,1)+($BB99-$BA99)*MAX(0,MIN(BS99/10%-1,1))+($BC99-$BB99)*MAX(0,BS99/10%-2),$AZ99*MIN(-BS99/10%,1)+($AY99-$AZ99)*MAX(0,MIN(-BS99/10%-1,1))+($AX99-$AY99)*MAX(0,-BS99/10%-2)),0),"")</f>
        <v/>
      </c>
      <c r="CB99" s="468" t="str">
        <f aca="false">IF($BD99,$BX99+IF(VolSkewFlag=1,IF(BS99&gt;0,$BA99*MIN(BS99/10%,1)+($BB99-$BA99)*MAX(0,MIN(BS99/10%-1,1))+($BC99-$BB99)*MAX(0,BS99/10%-2),$AZ99*MIN(-BS99/10%,1)+($AY99-$AZ99)*MAX(0,MIN(-BS99/10%-1,1))+($AX99-$AY99)*MAX(0,-BS99/10%-2)),0),"")</f>
        <v/>
      </c>
      <c r="CC99" s="468" t="str">
        <f aca="false">IF($BD99,$BW99+IF(VolSkewFlag=1,IF(BT99&gt;0,$BA99*MIN(BT99/10%,1)+($BB99-$BA99)*MAX(0,MIN(BT99/10%-1,1))+($BC99-$BB99)*MAX(0,BT99/10%-2),$AZ99*MIN(-BT99/10%,1)+($AY99-$AZ99)*MAX(0,MIN(-BT99/10%-1,1))+($AX99-$AY99)*MAX(0,-BT99/10%-2)),0),"")</f>
        <v/>
      </c>
      <c r="CD99" s="468" t="str">
        <f aca="false">IF($BD99,$BX99+IF(VolSkewFlag=1,IF(BT99&gt;0,$BA99*MIN(BT99/10%,1)+($BB99-$BA99)*MAX(0,MIN(BT99/10%-1,1))+($BC99-$BB99)*MAX(0,BT99/10%-2),$AZ99*MIN(-BT99/10%,1)+($AY99-$AZ99)*MAX(0,MIN(-BT99/10%-1,1))+($AX99-$AY99)*MAX(0,-BT99/10%-2)),0),"")</f>
        <v/>
      </c>
      <c r="CE99" s="469" t="n">
        <v>1</v>
      </c>
      <c r="CF99" s="470" t="n">
        <f aca="false">IF(BD99,xCrudeAPO(BU99,BV99,CA99,CB99,S100,S101,BI99,BL99,BP99,BQ99,0,Strike1,AO99,CE99,0,BL99,IF(OptControl=4,0,1),0,1),0)</f>
        <v>0</v>
      </c>
      <c r="CG99" s="470" t="n">
        <f aca="false">IF(BD99,xCrudeAPO(BU99,BV99,CA99,CB99,S100,S101,BI99,BL99,BP99,BQ99,0,Strike1,AO99,CE99,0,BL99,IF(OptControl=4,0,1),1,1)+xCrudeAPO(BU99,BV99,CA99,CB99,S100,S101,BI99,BL99,BP99,BQ99,0,Strike1,AO99,CE99,0,BL99,IF(OptControl=4,0,1),1,2)+IF(OR(VolSkewFlag=2,ABS(BS99)&lt;0.0001),0,IF(BS99&gt;0,-1,1)*CH99*Strike1/BR99^2*BY99/10%),0)</f>
        <v>0</v>
      </c>
      <c r="CH99" s="470" t="n">
        <f aca="false">IF(BD99,(xCrudeAPO(BU99,BV99,CA99,CB99,S100,S101,BI99,BL99,BP99,BQ99,0,Strike1,AO99,CE99,0,BL99,IF(OptControl=4,0,1),3,1)+xCrudeAPO(BU99,BV99,CA99,CB99,S100,S101,BI99,BL99,BP99,BQ99,0,Strike1,AO99,CE99,0,BL99,IF(OptControl=4,0,1),3,2))/100,0)</f>
        <v>0</v>
      </c>
      <c r="CI99" s="470" t="n">
        <f aca="false">IF(BD99,xCrudeAPO(BU99,BV99,CA99,CB99,S100,S101,BI99-DaysForThetaCalculation/365.25,BL99-DaysForThetaCalculation/365.25,BP99,BQ99,0,Strike1,AO99,CE99,0,BL99,IF(OptControl=4,0,1),0,1)-xCrudeAPO(BU99,BV99,CA99,CB99,S100,S101,BI99,BL99,BP99,BQ99,0,Strike1,AO99,CE99,0,BL99,IF(OptControl=4,0,1),0,1),0)</f>
        <v>0</v>
      </c>
      <c r="CJ99" s="471" t="n">
        <f aca="false">IF(BD99,xCrudeAPO(BU99,BV99,CC99,CD99,S100,S101,BI99,BL99,BP99,BQ99,0,Strike2,AO99,CE99,0,BL99,IF(OptControl=3,1,0),0,1),0)</f>
        <v>0</v>
      </c>
      <c r="CK99" s="470" t="n">
        <f aca="false">IF(BD99,xCrudeAPO(BU99,BV99,CC99,CD99,S100,S101,BI99,BL99,BP99,BQ99,0,Strike2,AO99,CE99,0,BL99,IF(OptControl=3,1,0),1,1)+xCrudeAPO(BU99,BV99,CC99,CD99,S100,S101,BI99,BL99,BP99,BQ99,0,Strike2,AO99,CE99,0,BL99,IF(OptControl=3,1,0),1,2)+IF(OR(VolSkewFlag=2,ABS(BT99)&lt;0.0001),0,IF(BT99&gt;0,-1,1)*CL99*Strike2/BR99^2*BZ99/10%),0)</f>
        <v>0</v>
      </c>
      <c r="CL99" s="470" t="n">
        <f aca="false">IF(BD99,(xCrudeAPO(BU99,BV99,CC99,CD99,S100,S101,BI99,BL99,BP99,BQ99,0,Strike2,AO99,CE99,0,BL99,IF(OptControl=3,1,0),3,1)+xCrudeAPO(BU99,BV99,CC99,CD99,S100,S101,BI99,BL99,BP99,BQ99,0,Strike2,AO99,CE99,0,BL99,IF(OptControl=3,1,0),3,2))/100,0)</f>
        <v>0</v>
      </c>
      <c r="CM99" s="472" t="n">
        <f aca="false">IF(BD99,xCrudeAPO(BU99,BV99,CC99,CD99,S100,S101,BI99-DaysForThetaCalculation/365.25,BL99-DaysForThetaCalculation/365.25,BP99,BQ99,0,Strike2,AO99,CE99,0,BL99,IF(OptControl=3,1,0),0,1)-xCrudeAPO(BU99,BV99,CC99,CD99,S100,S101,BI99,BL99,BP99,BQ99,0,Strike2,AO99,CE99,0,BL99,IF(OptControl=3,1,0),0,1),0)</f>
        <v>0</v>
      </c>
      <c r="CN99" s="3"/>
      <c r="CO99" s="543" t="str">
        <f aca="false">IF(BD99,CHOOSE(Underlying,AD99,AF99)-DateToday+1,"")</f>
        <v/>
      </c>
      <c r="CP99" s="582" t="str">
        <f aca="false">IF(BD99,CHOOSE(Underlying,L99,R99),"")</f>
        <v/>
      </c>
      <c r="CQ99" s="544" t="str">
        <f aca="false">IF(BD99,Strike1/CP99-1,"")</f>
        <v/>
      </c>
      <c r="CR99" s="544" t="str">
        <f aca="false">IF(BD99,Strike2/CP99-1,"")</f>
        <v/>
      </c>
      <c r="CS99" s="544" t="str">
        <f aca="false">IF(BD99,IF(CQ99&gt;0,IF(CQ99&gt;0.2,BC98-BB98,IF(CQ99&gt;0.1,BB98-BA98,BA98)),IF(CQ99&lt;-0.2,AX98-AY98,IF(CQ99&lt;-0.1,AY98-AZ98,AZ98))),"")</f>
        <v/>
      </c>
      <c r="CT99" s="544" t="str">
        <f aca="false">IF(BD99,IF(CR99&gt;0,IF(CR99&gt;0.2,BC98-BB98,IF(CR99&gt;0.1,BB98-BA98,BA98)),IF(CR99&lt;-0.2,AX98-AY98,IF(CR99&lt;-0.1,AY98-AZ98,AZ98))),"")</f>
        <v/>
      </c>
      <c r="CU99" s="545" t="str">
        <f aca="false">IF(BD99,CHOOSE(Underlying,O99,AT99),"")</f>
        <v/>
      </c>
      <c r="CV99" s="545" t="str">
        <f aca="false">IF(BD99,CU99+IF(VolSkewFlag=1,IF(CQ99&gt;0,BA98*MIN(CQ99/10%,1)+(BB98-BA98)*MAX(0,MIN(CQ99/10%-1,1))+(BC98-BB98)*MAX(0,CQ99/10%-2),AZ98*MIN(-CQ99/10%,1)+(AY98-AZ98)*MAX(0,MIN(-CQ99/10%-1,1))+(AX98-AY98)*MAX(0,-CQ99/10%-2)),0),"")</f>
        <v/>
      </c>
      <c r="CW99" s="545" t="str">
        <f aca="false">IF(BD99,CU99+IF(VolSkewFlag=1,IF(CR99&gt;0,BA98*MIN(CR99/10%,1)+(BB98-BA98)*MAX(0,MIN(CR99/10%-1,1))+(BC98-BB98)*MAX(0,CR99/10%-2),AZ98*MIN(-CR99/10%,1)+(AY98-AZ98)*MAX(0,MIN(-CR99/10%-1,1))+(AX98-AY98)*MAX(0,-CR99/10%-2)),0),"")</f>
        <v/>
      </c>
      <c r="CX99" s="470" t="n">
        <f aca="false">IF(BD99,EURO(CP99,Strike1,AO99,AO99,CV99,CO99,IF(OptControl=4,0,1),0),0)</f>
        <v>0</v>
      </c>
      <c r="CY99" s="470" t="n">
        <f aca="false">IF(BD99,EURO(CP99,Strike1,AO99,AO99,CV99,CO99,IF(OptControl=4,0,1),1)+IF(OR(VolSkewFlag=2,ABS(CQ99)&lt;0.0001),0,IF(CQ99&gt;0,-1,1)*CZ99*100*Strike1/CP99^2*CS99/10%),0)</f>
        <v>0</v>
      </c>
      <c r="CZ99" s="470" t="n">
        <f aca="false">IF(BD99,EURO(CP99,Strike1,AO99,AO99,CV99,CO99,IF(OptControl=4,0,1),3)/100,0)</f>
        <v>0</v>
      </c>
      <c r="DA99" s="470" t="n">
        <f aca="false">IF(BD99,EURO(CP99,Strike1,AO99,AO99,CV99,CO99,IF(OptControl=4,0,1),0)-EURO(CP99,Strike1,AO99,AO99,CV99,CO99-1,IF(OptControl=4,0,1),0),0)</f>
        <v>0</v>
      </c>
      <c r="DB99" s="470" t="n">
        <f aca="false">IF(BD99,EURO(CP99,Strike2,AO99,AO99,CW99,CO99,IF(OptControl=3,1,0),0),0)</f>
        <v>0</v>
      </c>
      <c r="DC99" s="470" t="n">
        <f aca="false">IF(BD99,EURO(CP99,Strike2,AO99,AO99,CW99,CO99,IF(OptControl=3,1,0),1)+IF(OR(VolSkewFlag=2,ABS(CR99)&lt;0.0001),0,IF(CR99&gt;0,-1,1)*DD99*100*Strike2/CP99^2*CT99/10%),0)</f>
        <v>0</v>
      </c>
      <c r="DD99" s="470" t="n">
        <f aca="false">IF(BD99,EURO(CP99,Strike2,AO99,AO99,CW99,CO99,IF(OptControl=3,1,0),3)/100,0)</f>
        <v>0</v>
      </c>
      <c r="DE99" s="472" t="n">
        <f aca="false">IF(BD99,EURO(CP99,Strike2,AO99,AO99,CW99,CO99,IF(OptControl=3,1,0),0)-EURO(CP99,Strike2,AO99,AO99,CW99,CO99-1,IF(OptControl=3,1,0),0),0)</f>
        <v>0</v>
      </c>
      <c r="DG99" s="481" t="n">
        <f aca="false">EOMONTH(DG98,0)+1</f>
        <v>48092</v>
      </c>
      <c r="DH99" s="478" t="n">
        <v>18.3125</v>
      </c>
      <c r="DI99" s="479" t="n">
        <v>18.3113888888889</v>
      </c>
      <c r="DJ99" s="480" t="n">
        <f aca="false">DG99</f>
        <v>48092</v>
      </c>
      <c r="DK99" s="478" t="n">
        <v>17.1471853438918</v>
      </c>
      <c r="DL99" s="479" t="n">
        <v>17.0547888888889</v>
      </c>
      <c r="DM99" s="481" t="n">
        <f aca="false">DG99</f>
        <v>48092</v>
      </c>
      <c r="DN99" s="482" t="n">
        <f aca="false">DK99+BrentPhyBrentSpread</f>
        <v>17.1971853438918</v>
      </c>
      <c r="DO99" s="481" t="n">
        <f aca="false">DG99</f>
        <v>48092</v>
      </c>
      <c r="DP99" s="483" t="n">
        <f aca="false">DL99+DQ99</f>
        <v>17.0547888888889</v>
      </c>
      <c r="DQ99" s="546" t="n">
        <v>0</v>
      </c>
      <c r="DR99" s="480" t="n">
        <f aca="false">DG99</f>
        <v>48092</v>
      </c>
      <c r="DS99" s="485" t="n">
        <v>0.1772</v>
      </c>
      <c r="DT99" s="486" t="n">
        <v>0.1764</v>
      </c>
      <c r="DU99" s="480" t="n">
        <f aca="false">DG99</f>
        <v>48092</v>
      </c>
      <c r="DV99" s="485" t="n">
        <v>0.1772</v>
      </c>
      <c r="DW99" s="486" t="n">
        <v>0.1764</v>
      </c>
      <c r="DX99" s="481" t="n">
        <f aca="false">DG99</f>
        <v>48092</v>
      </c>
      <c r="DY99" s="486" t="n">
        <v>0.35</v>
      </c>
      <c r="DZ99" s="481" t="n">
        <f aca="false">DR99</f>
        <v>48092</v>
      </c>
      <c r="EA99" s="486" t="n">
        <f aca="false">DT99</f>
        <v>0.1764</v>
      </c>
      <c r="EB99" s="195"/>
      <c r="EC99" s="547" t="str">
        <f aca="false">IF(BD99,IF(Underlying=1,AS99,AU99),"")</f>
        <v/>
      </c>
      <c r="ED99" s="548" t="str">
        <f aca="false">IF($BD99,$EC99+IF(VolSkewFlag=1,IF(BS99&gt;0,$BA99*MIN(BS99/10%,1)+($BB99-$BA99)*MAX(0,MIN(BS99/10%-1,1))+($BC99-$BB99)*MAX(0,BS99/10%-2),$AZ99*MIN(-BS99/10%,1)+($AY99-$AZ99)*MAX(0,MIN(-BS99/10%-1,1))+($AX99-$AY99)*MAX(0,-BS99/10%-2)),0),"")</f>
        <v/>
      </c>
      <c r="EE99" s="549" t="str">
        <f aca="false">IF($BD99,$EC99+IF(VolSkewFlag=1,IF(BT99&gt;0,$BA99*MIN(BT99/10%,1)+($BB99-$BA99)*MAX(0,MIN(BT99/10%-1,1))+($BC99-$BB99)*MAX(0,BT99/10%-2),$AZ99*MIN(-BT99/10%,1)+($AY99-$AZ99)*MAX(0,MIN(-BT99/10%-1,1))+($AX99-$AY99)*MAX(0,-BT99/10%-2)),0),"")</f>
        <v/>
      </c>
      <c r="EF99" s="550" t="n">
        <f aca="false">IF(BD99,xASN(BR99,Strike1,AO99,ED99,0,BO99,0,BI99,BL99,IF(OptControl=4,0,1),0),0)</f>
        <v>0</v>
      </c>
      <c r="EG99" s="551" t="n">
        <f aca="false">IF(BD99,xASN(BR99,Strike2,AO99,EE99,0,BO99,0,BI99,BL99,IF(OptControl=3,1,0),0),0)</f>
        <v>0</v>
      </c>
      <c r="EL99" s="1"/>
      <c r="EM99" s="195"/>
      <c r="EN99" s="240"/>
      <c r="EO99" s="240"/>
      <c r="EP99" s="195"/>
      <c r="EQ99" s="407" t="s">
        <v>326</v>
      </c>
      <c r="ES99" s="130"/>
      <c r="ET99" s="19"/>
      <c r="EU99" s="672"/>
      <c r="EV99" s="478"/>
      <c r="EW99" s="131"/>
      <c r="EX99" s="131"/>
      <c r="EY99" s="129"/>
      <c r="EZ99" s="129"/>
      <c r="FA99" s="129"/>
      <c r="FB99" s="129"/>
      <c r="FC99" s="129"/>
      <c r="FD99" s="129"/>
      <c r="FE99" s="129"/>
      <c r="FF99" s="129"/>
      <c r="FG99" s="129"/>
      <c r="FH99" s="129"/>
      <c r="FI99" s="129"/>
      <c r="FJ99" s="571" t="n">
        <v>5</v>
      </c>
      <c r="FK99" s="150" t="e">
        <f aca="false">IF($FJ24&lt;FK$94,"",SQRT(FK24/FK$15))</f>
        <v>#DIV/0!</v>
      </c>
      <c r="FL99" s="150" t="n">
        <f aca="false">IF($FJ24&lt;FL$94,"",SQRT(FL24/FL$15))</f>
        <v>-0</v>
      </c>
      <c r="FM99" s="150" t="n">
        <f aca="false">IF($FJ24&lt;FM$94,"",SQRT(FM24/FM$15))</f>
        <v>0.308671095312828</v>
      </c>
      <c r="FN99" s="150" t="n">
        <f aca="false">IF($FJ24&lt;FN$94,"",SQRT(FN24/FN$15))</f>
        <v>0.336805180825644</v>
      </c>
      <c r="FO99" s="150" t="n">
        <f aca="false">IF($FJ24&lt;FO$94,"",SQRT(FO24/FO$15))</f>
        <v>0.376875</v>
      </c>
      <c r="FP99" s="150" t="str">
        <f aca="false">IF($FJ24&lt;FP$94,"",SQRT(FP24/FP$15))</f>
        <v/>
      </c>
      <c r="FQ99" s="150" t="str">
        <f aca="false">IF($FJ24&lt;FQ$94,"",SQRT(FQ24/FQ$15))</f>
        <v/>
      </c>
      <c r="FR99" s="150" t="str">
        <f aca="false">IF($FJ24&lt;FR$94,"",SQRT(FR24/FR$15))</f>
        <v/>
      </c>
      <c r="FS99" s="150" t="str">
        <f aca="false">IF($FJ24&lt;FS$94,"",SQRT(FS24/FS$15))</f>
        <v/>
      </c>
      <c r="FT99" s="150" t="str">
        <f aca="false">IF($FJ24&lt;FT$94,"",SQRT(FT24/FT$15))</f>
        <v/>
      </c>
      <c r="FU99" s="150" t="str">
        <f aca="false">IF($FJ24&lt;FU$94,"",SQRT(FU24/FU$15))</f>
        <v/>
      </c>
      <c r="FV99" s="150" t="str">
        <f aca="false">IF($FJ24&lt;FV$94,"",SQRT(FV24/FV$15))</f>
        <v/>
      </c>
      <c r="FW99" s="150" t="str">
        <f aca="false">IF($FJ24&lt;FW$94,"",SQRT(FW24/FW$15))</f>
        <v/>
      </c>
      <c r="FX99" s="150" t="str">
        <f aca="false">IF($FJ24&lt;FX$94,"",SQRT(FX24/FX$15))</f>
        <v/>
      </c>
      <c r="FY99" s="150" t="str">
        <f aca="false">IF($FJ24&lt;FY$94,"",SQRT(FY24/FY$15))</f>
        <v/>
      </c>
      <c r="FZ99" s="150" t="str">
        <f aca="false">IF($FJ24&lt;FZ$94,"",SQRT(FZ24/FZ$15))</f>
        <v/>
      </c>
      <c r="GA99" s="150" t="str">
        <f aca="false">IF($FJ24&lt;GA$94,"",SQRT(GA24/GA$15))</f>
        <v/>
      </c>
      <c r="GB99" s="150" t="str">
        <f aca="false">IF($FJ24&lt;GB$94,"",SQRT(GB24/GB$15))</f>
        <v/>
      </c>
      <c r="GC99" s="150" t="str">
        <f aca="false">IF($FJ24&lt;GC$94,"",SQRT(GC24/GC$15))</f>
        <v/>
      </c>
      <c r="GD99" s="150" t="str">
        <f aca="false">IF($FJ24&lt;GD$94,"",SQRT(GD24/GD$15))</f>
        <v/>
      </c>
      <c r="GE99" s="150" t="str">
        <f aca="false">IF($FJ24&lt;GE$94,"",SQRT(GE24/GE$15))</f>
        <v/>
      </c>
      <c r="GF99" s="150" t="str">
        <f aca="false">IF($FJ24&lt;GF$94,"",SQRT(GF24/GF$15))</f>
        <v/>
      </c>
      <c r="GG99" s="150" t="str">
        <f aca="false">IF($FJ24&lt;GG$94,"",SQRT(GG24/GG$15))</f>
        <v/>
      </c>
      <c r="GH99" s="150" t="str">
        <f aca="false">IF($FJ24&lt;GH$94,"",SQRT(GH24/GH$15))</f>
        <v/>
      </c>
      <c r="GI99" s="150" t="str">
        <f aca="false">IF($FJ24&lt;GI$94,"",SQRT(GI24/GI$15))</f>
        <v/>
      </c>
      <c r="GJ99" s="150" t="str">
        <f aca="false">IF($FJ24&lt;GJ$94,"",SQRT(GJ24/GJ$15))</f>
        <v/>
      </c>
      <c r="GK99" s="150" t="str">
        <f aca="false">IF($FJ24&lt;GK$94,"",SQRT(GK24/GK$15))</f>
        <v/>
      </c>
      <c r="GL99" s="150" t="str">
        <f aca="false">IF($FJ24&lt;GL$94,"",SQRT(GL24/GL$15))</f>
        <v/>
      </c>
      <c r="GM99" s="150" t="str">
        <f aca="false">IF($FJ24&lt;GM$94,"",SQRT(GM24/GM$15))</f>
        <v/>
      </c>
      <c r="GN99" s="150" t="str">
        <f aca="false">IF($FJ24&lt;GN$94,"",SQRT(GN24/GN$15))</f>
        <v/>
      </c>
      <c r="GO99" s="150" t="str">
        <f aca="false">IF($FJ24&lt;GO$94,"",SQRT(GO24/GO$15))</f>
        <v/>
      </c>
      <c r="GP99" s="150" t="str">
        <f aca="false">IF($FJ24&lt;GP$94,"",SQRT(GP24/GP$15))</f>
        <v/>
      </c>
      <c r="GQ99" s="150" t="str">
        <f aca="false">IF($FJ24&lt;GQ$94,"",SQRT(GQ24/GQ$15))</f>
        <v/>
      </c>
      <c r="GR99" s="150" t="str">
        <f aca="false">IF($FJ24&lt;GR$94,"",SQRT(GR24/GR$15))</f>
        <v/>
      </c>
      <c r="GS99" s="150" t="str">
        <f aca="false">IF($FJ24&lt;GS$94,"",SQRT(GS24/GS$15))</f>
        <v/>
      </c>
      <c r="GT99" s="150" t="str">
        <f aca="false">IF($FJ24&lt;GT$94,"",SQRT(GT24/GT$15))</f>
        <v/>
      </c>
      <c r="GU99" s="150" t="str">
        <f aca="false">IF($FJ24&lt;GU$94,"",SQRT(GU24/GU$15))</f>
        <v/>
      </c>
      <c r="GV99" s="150" t="str">
        <f aca="false">IF($FJ24&lt;GV$94,"",SQRT(GV24/GV$15))</f>
        <v/>
      </c>
      <c r="GW99" s="150" t="str">
        <f aca="false">IF($FJ24&lt;GW$94,"",SQRT(GW24/GW$15))</f>
        <v/>
      </c>
      <c r="GX99" s="150" t="str">
        <f aca="false">IF($FJ24&lt;GX$94,"",SQRT(GX24/GX$15))</f>
        <v/>
      </c>
      <c r="GY99" s="150" t="str">
        <f aca="false">IF($FJ24&lt;GY$94,"",SQRT(GY24/GY$15))</f>
        <v/>
      </c>
      <c r="GZ99" s="150" t="str">
        <f aca="false">IF($FJ24&lt;GZ$94,"",SQRT(GZ24/GZ$15))</f>
        <v/>
      </c>
      <c r="HA99" s="150" t="str">
        <f aca="false">IF($FJ24&lt;HA$94,"",SQRT(HA24/HA$15))</f>
        <v/>
      </c>
      <c r="HB99" s="150" t="str">
        <f aca="false">IF($FJ24&lt;HB$94,"",SQRT(HB24/HB$15))</f>
        <v/>
      </c>
      <c r="HC99" s="150" t="str">
        <f aca="false">IF($FJ24&lt;HC$94,"",SQRT(HC24/HC$15))</f>
        <v/>
      </c>
      <c r="HD99" s="150" t="str">
        <f aca="false">IF($FJ24&lt;HD$94,"",SQRT(HD24/HD$15))</f>
        <v/>
      </c>
      <c r="HE99" s="150" t="str">
        <f aca="false">IF($FJ24&lt;HE$94,"",SQRT(HE24/HE$15))</f>
        <v/>
      </c>
      <c r="HF99" s="150" t="str">
        <f aca="false">IF($FJ24&lt;HF$94,"",SQRT(HF24/HF$15))</f>
        <v/>
      </c>
      <c r="HG99" s="150" t="str">
        <f aca="false">IF($FJ24&lt;HG$94,"",SQRT(HG24/HG$15))</f>
        <v/>
      </c>
      <c r="HH99" s="150" t="str">
        <f aca="false">IF($FJ24&lt;HH$94,"",SQRT(HH24/HH$15))</f>
        <v/>
      </c>
      <c r="HI99" s="150" t="str">
        <f aca="false">IF($FJ24&lt;HI$94,"",SQRT(HI24/HI$15))</f>
        <v/>
      </c>
      <c r="HJ99" s="150" t="str">
        <f aca="false">IF($FJ24&lt;HJ$94,"",SQRT(HJ24/HJ$15))</f>
        <v/>
      </c>
      <c r="HK99" s="150" t="str">
        <f aca="false">IF($FJ24&lt;HK$94,"",SQRT(HK24/HK$15))</f>
        <v/>
      </c>
      <c r="HL99" s="150" t="str">
        <f aca="false">IF($FJ24&lt;HL$94,"",SQRT(HL24/HL$15))</f>
        <v/>
      </c>
      <c r="HM99" s="150" t="str">
        <f aca="false">IF($FJ24&lt;HM$94,"",SQRT(HM24/HM$15))</f>
        <v/>
      </c>
      <c r="HN99" s="150" t="str">
        <f aca="false">IF($FJ24&lt;HN$94,"",SQRT(HN24/HN$15))</f>
        <v/>
      </c>
      <c r="HO99" s="150" t="str">
        <f aca="false">IF($FJ24&lt;HO$94,"",SQRT(HO24/HO$15))</f>
        <v/>
      </c>
      <c r="HP99" s="150" t="str">
        <f aca="false">IF($FJ24&lt;HP$94,"",SQRT(HP24/HP$15))</f>
        <v/>
      </c>
      <c r="HQ99" s="150" t="str">
        <f aca="false">IF($FJ24&lt;HQ$94,"",SQRT(HQ24/HQ$15))</f>
        <v/>
      </c>
      <c r="HR99" s="150" t="str">
        <f aca="false">IF($FJ24&lt;HR$94,"",SQRT(HR24/HR$15))</f>
        <v/>
      </c>
      <c r="HS99" s="150" t="str">
        <f aca="false">IF($FJ24&lt;HS$94,"",SQRT(HS24/HS$15))</f>
        <v/>
      </c>
      <c r="HT99" s="150" t="str">
        <f aca="false">IF($FJ24&lt;HT$94,"",SQRT(HT24/HT$15))</f>
        <v/>
      </c>
      <c r="HU99" s="150" t="str">
        <f aca="false">IF($FJ24&lt;HU$94,"",SQRT(HU24/HU$15))</f>
        <v/>
      </c>
      <c r="HV99" s="150" t="str">
        <f aca="false">IF($FJ24&lt;HV$94,"",SQRT(HV24/HV$15))</f>
        <v/>
      </c>
      <c r="HW99" s="150" t="str">
        <f aca="false">IF($FJ24&lt;HW$94,"",SQRT(HW24/HW$15))</f>
        <v/>
      </c>
      <c r="HX99" s="150" t="str">
        <f aca="false">IF($FJ24&lt;HX$94,"",SQRT(HX24/HX$15))</f>
        <v/>
      </c>
      <c r="HY99" s="150" t="str">
        <f aca="false">IF($FJ24&lt;HY$94,"",SQRT(HY24/HY$15))</f>
        <v/>
      </c>
      <c r="HZ99" s="150" t="str">
        <f aca="false">IF($FJ24&lt;HZ$94,"",SQRT(HZ24/HZ$15))</f>
        <v/>
      </c>
      <c r="IA99" s="150" t="str">
        <f aca="false">IF($FJ24&lt;IA$94,"",SQRT(IA24/IA$15))</f>
        <v/>
      </c>
      <c r="IB99" s="150" t="str">
        <f aca="false">IF($FJ24&lt;IB$94,"",SQRT(IB24/IB$15))</f>
        <v/>
      </c>
      <c r="IC99" s="150" t="str">
        <f aca="false">IF($FJ24&lt;IC$94,"",SQRT(IC24/IC$15))</f>
        <v/>
      </c>
      <c r="ID99" s="572" t="str">
        <f aca="false">IF($FJ24&lt;ID$94,"",SQRT(ID24/ID$15))</f>
        <v/>
      </c>
      <c r="IE99" s="129"/>
    </row>
    <row r="100" customFormat="false" ht="12.75" hidden="false" customHeight="false" outlineLevel="0" collapsed="false">
      <c r="H100" s="219" t="n">
        <f aca="false">VLOOKUP(I100,$EJ$20:$EL$54,3)</f>
        <v>0</v>
      </c>
      <c r="I100" s="511" t="n">
        <f aca="false">EOMONTH(I99,0)+1</f>
        <v>39203</v>
      </c>
      <c r="J100" s="512"/>
      <c r="K100" s="513" t="s">
        <v>280</v>
      </c>
      <c r="L100" s="514" t="n">
        <f aca="false">IF(ISNUMBER(K100),J100+K100/100,IF(K100="extra",L99+VLOOKUP(BF100,PriceSpreadTable,2)/12,IF(K100="inter",interpolateprices($K$19:$L$200,ROW(K100)-ROW(FirstPricingMonth)+1),interpolatechanges($J$19:$K$200,ROW(K100)-ROW(FirstPricingMonth)+1))))</f>
        <v>0.15</v>
      </c>
      <c r="M100" s="515"/>
      <c r="N100" s="516" t="n">
        <v>0</v>
      </c>
      <c r="O100" s="515" t="n">
        <f aca="false">M100+N100</f>
        <v>0</v>
      </c>
      <c r="P100" s="512"/>
      <c r="Q100" s="513" t="s">
        <v>280</v>
      </c>
      <c r="R100" s="512" t="e">
        <f aca="false">IF(ISNUMBER(Q100),P100+Q100/100,IF(Q100="extra",(Z98*AL98-R99*AM98)/AN98,IF(Q100="inter",interpolateprices($Q$19:$R$260,ROW(Q100)-ROW(FirstPricingMonth)+1),interpolatechanges($P$19:$Q$260,ROW(Q100)-ROW(FirstPricingMonth)+1))))</f>
        <v>#VALUE!</v>
      </c>
      <c r="S100" s="597" t="n">
        <f aca="false">S$19+(S99-S$19)*S$18</f>
        <v>0.360000000005394</v>
      </c>
      <c r="T100" s="575" t="n">
        <f aca="false">SQRT((1-(1-T99^2/U99)*T$18)*U100)</f>
        <v>0.999999594699298</v>
      </c>
      <c r="U100" s="576" t="n">
        <f aca="false">1-(1-U99)*U$18</f>
        <v>0.999999999998483</v>
      </c>
      <c r="V100" s="521" t="n">
        <v>0</v>
      </c>
      <c r="W100" s="577" t="n">
        <f aca="false">(J101*AJ100+J102*AK100)/AI100</f>
        <v>0</v>
      </c>
      <c r="X100" s="578" t="n">
        <f aca="false">(L101*AJ100+L102*AK100)/AI100</f>
        <v>0.202173913043478</v>
      </c>
      <c r="Y100" s="579" t="n">
        <f aca="false">IF(Q102="extra",W100-AA100,(P101*AM100+P102*AN100)/AL100)</f>
        <v>-1.2495</v>
      </c>
      <c r="Z100" s="579" t="n">
        <f aca="false">IF(Q102="extra",X100-AB100,(R101*AM100+R102*AN100)/AL100)</f>
        <v>-1.04732608695652</v>
      </c>
      <c r="AA100" s="523" t="n">
        <f aca="false">IF(Q102="extra",INDEX(BrentSeasonalityTable,INT((BG100-1)/3)+1)*VLOOKUP(MAX(BF100,$AB$4),PriceSpreadTable,3),W100-Y100)</f>
        <v>1.2495</v>
      </c>
      <c r="AB100" s="524" t="n">
        <f aca="false">IF(Q102="extra",INDEX(BrentSeasonalityTable,INT((BG100-1)/3)+1)*VLOOKUP(MAX(BF100,$AB$4),PriceSpreadTable,3),X100-Z100)</f>
        <v>1.2495</v>
      </c>
      <c r="AC100" s="646" t="n">
        <v>39192</v>
      </c>
      <c r="AD100" s="646" t="n">
        <v>39188</v>
      </c>
      <c r="AE100" s="646" t="n">
        <v>39187</v>
      </c>
      <c r="AF100" s="646" t="n">
        <v>39183</v>
      </c>
      <c r="AG100" s="438" t="s">
        <v>278</v>
      </c>
      <c r="AH100" s="439" t="s">
        <v>278</v>
      </c>
      <c r="AI100" s="528" t="n">
        <v>23</v>
      </c>
      <c r="AJ100" s="529" t="n">
        <v>14</v>
      </c>
      <c r="AK100" s="529" t="n">
        <v>9</v>
      </c>
      <c r="AL100" s="530" t="n">
        <v>23</v>
      </c>
      <c r="AM100" s="529" t="n">
        <v>10</v>
      </c>
      <c r="AN100" s="531" t="n">
        <v>13</v>
      </c>
      <c r="AO100" s="532"/>
      <c r="AP100" s="465" t="n">
        <f aca="false">(1+AO100/2)^(-2*BL100)</f>
        <v>1</v>
      </c>
      <c r="AQ100" s="532"/>
      <c r="AR100" s="465" t="n">
        <f aca="false">(1+AQ100/2)^(-2*BH100/365.25)</f>
        <v>1</v>
      </c>
      <c r="AS100" s="580" t="n">
        <f aca="false">(O101*AJ100+O102*AK100)/AI100</f>
        <v>0</v>
      </c>
      <c r="AT100" s="468" t="n">
        <f aca="false">O100*VLOOKUP(BF100,BrentVolTable,2)+VLOOKUP(BF100,BrentVolTable,3)</f>
        <v>0</v>
      </c>
      <c r="AU100" s="468" t="n">
        <f aca="false">(AT101*AM100+AT102*AN100)/AL100</f>
        <v>0</v>
      </c>
      <c r="AV100" s="595" t="n">
        <f aca="false">SQRT(MAX(0.000000000001,(O100^2*BH100-S100^2*(BH100-BH99))/BH99))</f>
        <v>0.0243642570437595</v>
      </c>
      <c r="AW100" s="451" t="n">
        <f aca="false">IF($I100-DateToday+15&gt;=$T$8,"",IF($I100-DateToday+15&lt;$T$5,1,MATCH($I100-DateToday+15,$T$5:$T$8)))</f>
        <v>1</v>
      </c>
      <c r="AX100" s="468" t="n">
        <f aca="false">IF($AW100="",AX99^2/AX98,INDEX(U$5:U$8,$AW100)^((INDEX($T$5:$T$8,$AW100+1)-($I100-DateToday+15))/(INDEX($T$5:$T$8,$AW100+1)-INDEX($T$5:$T$8,$AW100)))/INDEX(U$5:U$8,$AW100+1)^((INDEX($T$5:$T$8,$AW100)-($I100-DateToday+15))/(INDEX($T$5:$T$8,$AW100+1)-INDEX($T$5:$T$8,$AW100))))</f>
        <v>2.27225188120717</v>
      </c>
      <c r="AY100" s="468" t="n">
        <f aca="false">IF($AW100="",AY99^2/AY98,INDEX(V$5:V$8,$AW100)^((INDEX($T$5:$T$8,$AW100+1)-($I100-DateToday+15))/(INDEX($T$5:$T$8,$AW100+1)-INDEX($T$5:$T$8,$AW100)))/INDEX(V$5:V$8,$AW100+1)^((INDEX($T$5:$T$8,$AW100)-($I100-DateToday+15))/(INDEX($T$5:$T$8,$AW100+1)-INDEX($T$5:$T$8,$AW100))))</f>
        <v>179.826717938106</v>
      </c>
      <c r="AZ100" s="468" t="n">
        <f aca="false">IF($AW100="",AZ99^2/AZ98,INDEX(W$5:W$8,$AW100)^((INDEX($T$5:$T$8,$AW100+1)-($I100-DateToday+15))/(INDEX($T$5:$T$8,$AW100+1)-INDEX($T$5:$T$8,$AW100)))/INDEX(W$5:W$8,$AW100+1)^((INDEX($T$5:$T$8,$AW100)-($I100-DateToday+15))/(INDEX($T$5:$T$8,$AW100+1)-INDEX($T$5:$T$8,$AW100))))</f>
        <v>975440.094413293</v>
      </c>
      <c r="BA100" s="468" t="n">
        <f aca="false">IF($AW100="",BA99^2/BA98,INDEX(X$5:X$8,$AW100)^((INDEX($T$5:$T$8,$AW100+1)-($I100-DateToday+15))/(INDEX($T$5:$T$8,$AW100+1)-INDEX($T$5:$T$8,$AW100)))/INDEX(X$5:X$8,$AW100+1)^((INDEX($T$5:$T$8,$AW100)-($I100-DateToday+15))/(INDEX($T$5:$T$8,$AW100+1)-INDEX($T$5:$T$8,$AW100))))</f>
        <v>23087974.8909948</v>
      </c>
      <c r="BB100" s="468" t="n">
        <f aca="false">IF($AW100="",BB99^2/BB98,INDEX(Y$5:Y$8,$AW100)^((INDEX($T$5:$T$8,$AW100+1)-($I100-DateToday+15))/(INDEX($T$5:$T$8,$AW100+1)-INDEX($T$5:$T$8,$AW100)))/INDEX(Y$5:Y$8,$AW100+1)^((INDEX($T$5:$T$8,$AW100)-($I100-DateToday+15))/(INDEX($T$5:$T$8,$AW100+1)-INDEX($T$5:$T$8,$AW100))))</f>
        <v>289292511.168948</v>
      </c>
      <c r="BC100" s="468" t="n">
        <f aca="false">IF($AW100="",BC99^2/BC98,INDEX(Z$5:Z$8,$AW100)^((INDEX($T$5:$T$8,$AW100+1)-($I100-DateToday+15))/(INDEX($T$5:$T$8,$AW100+1)-INDEX($T$5:$T$8,$AW100)))/INDEX(Z$5:Z$8,$AW100+1)^((INDEX($T$5:$T$8,$AW100)-($I100-DateToday+15))/(INDEX($T$5:$T$8,$AW100+1)-INDEX($T$5:$T$8,$AW100))))</f>
        <v>1318418969.37829</v>
      </c>
      <c r="BD100" s="535" t="n">
        <f aca="false">IF(OR(DateStart&gt;=I101,DateEnd&lt;I100),0,IF(VolumeOverrideFlag,V100,Volume))</f>
        <v>0</v>
      </c>
      <c r="BE100" s="536" t="n">
        <f aca="false">IF(OR(DateStart2&gt;=I101,DateEnd2&lt;I100),0,IF(VolumeOverrideFlag,V100,VolumeSwaption))</f>
        <v>0</v>
      </c>
      <c r="BF100" s="537" t="n">
        <f aca="false">YEAR(I100)</f>
        <v>2007</v>
      </c>
      <c r="BG100" s="538" t="n">
        <f aca="false">MONTH(I100)</f>
        <v>5</v>
      </c>
      <c r="BH100" s="539" t="n">
        <f aca="false">AD100-DateToday+1</f>
        <v>-6737</v>
      </c>
      <c r="BI100" s="540" t="n">
        <f aca="false">(I100-DateToday+1)/365.25</f>
        <v>-18.403832991102</v>
      </c>
      <c r="BJ100" s="541" t="n">
        <f aca="false">BI100+(BL100-BI100)*CHOOSE(Underlying,AJ100/AI100,AM100/AL100)</f>
        <v>-18.3538374549891</v>
      </c>
      <c r="BK100" s="541" t="n">
        <f aca="false">BJ100+1/365.25</f>
        <v>-18.351099604202</v>
      </c>
      <c r="BL100" s="541" t="n">
        <f aca="false">(I101-DateToday)/365.25</f>
        <v>-18.321697467488</v>
      </c>
      <c r="BM100" s="542" t="e">
        <f aca="false">MAX(BI100-(BJ100-BI100)*(S101^2/O101^2-1),0)</f>
        <v>#DIV/0!</v>
      </c>
      <c r="BN100" s="541" t="e">
        <f aca="false">MAX(BL100+(BL100-BK100)*(S102^2/O102^2-1),0)</f>
        <v>#DIV/0!</v>
      </c>
      <c r="BO100" s="530" t="n">
        <f aca="false">CHOOSE(Underlying,AI100,AL100)</f>
        <v>23</v>
      </c>
      <c r="BP100" s="529" t="n">
        <f aca="false">CHOOSE(Underlying,AJ100,AM100)</f>
        <v>14</v>
      </c>
      <c r="BQ100" s="529" t="n">
        <f aca="false">CHOOSE(Underlying,AK100,AN100)</f>
        <v>9</v>
      </c>
      <c r="BR100" s="463" t="str">
        <f aca="false">IF(BD100,IF(Underlying=1,X100,Z100)+UnderlyingPriceAsian-SwapPriceCurve,"")</f>
        <v/>
      </c>
      <c r="BS100" s="463" t="str">
        <f aca="false">IF(BD100,Strike1/BR100-1,"")</f>
        <v/>
      </c>
      <c r="BT100" s="464" t="str">
        <f aca="false">IF(BD100,Strike2/BR100-1,"")</f>
        <v/>
      </c>
      <c r="BU100" s="465" t="str">
        <f aca="false">IF(BD100,IF(Underlying=1,L101,R101)+UnderlyingPriceAsian-SwapPriceCurve,"")</f>
        <v/>
      </c>
      <c r="BV100" s="465" t="str">
        <f aca="false">IF(BD100,IF(Underlying=1,L102,R102)+UnderlyingPriceAsian-SwapPriceCurve,"")</f>
        <v/>
      </c>
      <c r="BW100" s="466" t="str">
        <f aca="false">IF(BD100,IF(Underlying=1,O101,AT101),"")</f>
        <v/>
      </c>
      <c r="BX100" s="467" t="str">
        <f aca="false">IF(BD100,IF(Underlying=1,O102,AT102),"")</f>
        <v/>
      </c>
      <c r="BY100" s="466" t="str">
        <f aca="false">IF(BD100,IF(BS100&gt;0,IF(BS100&gt;0.2,BC100-BB100,IF(BS100&gt;0.1,BB100-BA100,BA100)),IF(BS100&lt;-0.2,AX100-AY100,IF(BS100&lt;-0.1,AY100-AZ100,AZ100))),"")</f>
        <v/>
      </c>
      <c r="BZ100" s="467" t="str">
        <f aca="false">IF(BD100,IF(BT100&gt;0,IF(BT100&gt;0.2,BC100-BB100,IF(BT100&gt;0.1,BB100-BA100,BA100)),IF(BT100&lt;-0.2,AX100-AY100,IF(BT100&lt;-0.1,AY100-AZ100,AZ100))),"")</f>
        <v/>
      </c>
      <c r="CA100" s="468" t="str">
        <f aca="false">IF($BD100,$BW100+IF(VolSkewFlag=1,IF(BS100&gt;0,$BA100*MIN(BS100/10%,1)+($BB100-$BA100)*MAX(0,MIN(BS100/10%-1,1))+($BC100-$BB100)*MAX(0,BS100/10%-2),$AZ100*MIN(-BS100/10%,1)+($AY100-$AZ100)*MAX(0,MIN(-BS100/10%-1,1))+($AX100-$AY100)*MAX(0,-BS100/10%-2)),0),"")</f>
        <v/>
      </c>
      <c r="CB100" s="468" t="str">
        <f aca="false">IF($BD100,$BX100+IF(VolSkewFlag=1,IF(BS100&gt;0,$BA100*MIN(BS100/10%,1)+($BB100-$BA100)*MAX(0,MIN(BS100/10%-1,1))+($BC100-$BB100)*MAX(0,BS100/10%-2),$AZ100*MIN(-BS100/10%,1)+($AY100-$AZ100)*MAX(0,MIN(-BS100/10%-1,1))+($AX100-$AY100)*MAX(0,-BS100/10%-2)),0),"")</f>
        <v/>
      </c>
      <c r="CC100" s="468" t="str">
        <f aca="false">IF($BD100,$BW100+IF(VolSkewFlag=1,IF(BT100&gt;0,$BA100*MIN(BT100/10%,1)+($BB100-$BA100)*MAX(0,MIN(BT100/10%-1,1))+($BC100-$BB100)*MAX(0,BT100/10%-2),$AZ100*MIN(-BT100/10%,1)+($AY100-$AZ100)*MAX(0,MIN(-BT100/10%-1,1))+($AX100-$AY100)*MAX(0,-BT100/10%-2)),0),"")</f>
        <v/>
      </c>
      <c r="CD100" s="468" t="str">
        <f aca="false">IF($BD100,$BX100+IF(VolSkewFlag=1,IF(BT100&gt;0,$BA100*MIN(BT100/10%,1)+($BB100-$BA100)*MAX(0,MIN(BT100/10%-1,1))+($BC100-$BB100)*MAX(0,BT100/10%-2),$AZ100*MIN(-BT100/10%,1)+($AY100-$AZ100)*MAX(0,MIN(-BT100/10%-1,1))+($AX100-$AY100)*MAX(0,-BT100/10%-2)),0),"")</f>
        <v/>
      </c>
      <c r="CE100" s="469" t="n">
        <v>1</v>
      </c>
      <c r="CF100" s="470" t="n">
        <f aca="false">IF(BD100,xCrudeAPO(BU100,BV100,CA100,CB100,S101,S102,BI100,BL100,BP100,BQ100,0,Strike1,AO100,CE100,0,BL100,IF(OptControl=4,0,1),0,1),0)</f>
        <v>0</v>
      </c>
      <c r="CG100" s="470" t="n">
        <f aca="false">IF(BD100,xCrudeAPO(BU100,BV100,CA100,CB100,S101,S102,BI100,BL100,BP100,BQ100,0,Strike1,AO100,CE100,0,BL100,IF(OptControl=4,0,1),1,1)+xCrudeAPO(BU100,BV100,CA100,CB100,S101,S102,BI100,BL100,BP100,BQ100,0,Strike1,AO100,CE100,0,BL100,IF(OptControl=4,0,1),1,2)+IF(OR(VolSkewFlag=2,ABS(BS100)&lt;0.0001),0,IF(BS100&gt;0,-1,1)*CH100*Strike1/BR100^2*BY100/10%),0)</f>
        <v>0</v>
      </c>
      <c r="CH100" s="470" t="n">
        <f aca="false">IF(BD100,(xCrudeAPO(BU100,BV100,CA100,CB100,S101,S102,BI100,BL100,BP100,BQ100,0,Strike1,AO100,CE100,0,BL100,IF(OptControl=4,0,1),3,1)+xCrudeAPO(BU100,BV100,CA100,CB100,S101,S102,BI100,BL100,BP100,BQ100,0,Strike1,AO100,CE100,0,BL100,IF(OptControl=4,0,1),3,2))/100,0)</f>
        <v>0</v>
      </c>
      <c r="CI100" s="470" t="n">
        <f aca="false">IF(BD100,xCrudeAPO(BU100,BV100,CA100,CB100,S101,S102,BI100-DaysForThetaCalculation/365.25,BL100-DaysForThetaCalculation/365.25,BP100,BQ100,0,Strike1,AO100,CE100,0,BL100,IF(OptControl=4,0,1),0,1)-xCrudeAPO(BU100,BV100,CA100,CB100,S101,S102,BI100,BL100,BP100,BQ100,0,Strike1,AO100,CE100,0,BL100,IF(OptControl=4,0,1),0,1),0)</f>
        <v>0</v>
      </c>
      <c r="CJ100" s="471" t="n">
        <f aca="false">IF(BD100,xCrudeAPO(BU100,BV100,CC100,CD100,S101,S102,BI100,BL100,BP100,BQ100,0,Strike2,AO100,CE100,0,BL100,IF(OptControl=3,1,0),0,1),0)</f>
        <v>0</v>
      </c>
      <c r="CK100" s="470" t="n">
        <f aca="false">IF(BD100,xCrudeAPO(BU100,BV100,CC100,CD100,S101,S102,BI100,BL100,BP100,BQ100,0,Strike2,AO100,CE100,0,BL100,IF(OptControl=3,1,0),1,1)+xCrudeAPO(BU100,BV100,CC100,CD100,S101,S102,BI100,BL100,BP100,BQ100,0,Strike2,AO100,CE100,0,BL100,IF(OptControl=3,1,0),1,2)+IF(OR(VolSkewFlag=2,ABS(BT100)&lt;0.0001),0,IF(BT100&gt;0,-1,1)*CL100*Strike2/BR100^2*BZ100/10%),0)</f>
        <v>0</v>
      </c>
      <c r="CL100" s="470" t="n">
        <f aca="false">IF(BD100,(xCrudeAPO(BU100,BV100,CC100,CD100,S101,S102,BI100,BL100,BP100,BQ100,0,Strike2,AO100,CE100,0,BL100,IF(OptControl=3,1,0),3,1)+xCrudeAPO(BU100,BV100,CC100,CD100,S101,S102,BI100,BL100,BP100,BQ100,0,Strike2,AO100,CE100,0,BL100,IF(OptControl=3,1,0),3,2))/100,0)</f>
        <v>0</v>
      </c>
      <c r="CM100" s="472" t="n">
        <f aca="false">IF(BD100,xCrudeAPO(BU100,BV100,CC100,CD100,S101,S102,BI100-DaysForThetaCalculation/365.25,BL100-DaysForThetaCalculation/365.25,BP100,BQ100,0,Strike2,AO100,CE100,0,BL100,IF(OptControl=3,1,0),0,1)-xCrudeAPO(BU100,BV100,CC100,CD100,S101,S102,BI100,BL100,BP100,BQ100,0,Strike2,AO100,CE100,0,BL100,IF(OptControl=3,1,0),0,1),0)</f>
        <v>0</v>
      </c>
      <c r="CN100" s="3"/>
      <c r="CO100" s="543" t="str">
        <f aca="false">IF(BD100,CHOOSE(Underlying,AD100,AF100)-DateToday+1,"")</f>
        <v/>
      </c>
      <c r="CP100" s="582" t="str">
        <f aca="false">IF(BD100,CHOOSE(Underlying,L100,R100),"")</f>
        <v/>
      </c>
      <c r="CQ100" s="544" t="str">
        <f aca="false">IF(BD100,Strike1/CP100-1,"")</f>
        <v/>
      </c>
      <c r="CR100" s="544" t="str">
        <f aca="false">IF(BD100,Strike2/CP100-1,"")</f>
        <v/>
      </c>
      <c r="CS100" s="544" t="str">
        <f aca="false">IF(BD100,IF(CQ100&gt;0,IF(CQ100&gt;0.2,BC99-BB99,IF(CQ100&gt;0.1,BB99-BA99,BA99)),IF(CQ100&lt;-0.2,AX99-AY99,IF(CQ100&lt;-0.1,AY99-AZ99,AZ99))),"")</f>
        <v/>
      </c>
      <c r="CT100" s="544" t="str">
        <f aca="false">IF(BD100,IF(CR100&gt;0,IF(CR100&gt;0.2,BC99-BB99,IF(CR100&gt;0.1,BB99-BA99,BA99)),IF(CR100&lt;-0.2,AX99-AY99,IF(CR100&lt;-0.1,AY99-AZ99,AZ99))),"")</f>
        <v/>
      </c>
      <c r="CU100" s="545" t="str">
        <f aca="false">IF(BD100,CHOOSE(Underlying,O100,AT100),"")</f>
        <v/>
      </c>
      <c r="CV100" s="545" t="str">
        <f aca="false">IF(BD100,CU100+IF(VolSkewFlag=1,IF(CQ100&gt;0,BA99*MIN(CQ100/10%,1)+(BB99-BA99)*MAX(0,MIN(CQ100/10%-1,1))+(BC99-BB99)*MAX(0,CQ100/10%-2),AZ99*MIN(-CQ100/10%,1)+(AY99-AZ99)*MAX(0,MIN(-CQ100/10%-1,1))+(AX99-AY99)*MAX(0,-CQ100/10%-2)),0),"")</f>
        <v/>
      </c>
      <c r="CW100" s="545" t="str">
        <f aca="false">IF(BD100,CU100+IF(VolSkewFlag=1,IF(CR100&gt;0,BA99*MIN(CR100/10%,1)+(BB99-BA99)*MAX(0,MIN(CR100/10%-1,1))+(BC99-BB99)*MAX(0,CR100/10%-2),AZ99*MIN(-CR100/10%,1)+(AY99-AZ99)*MAX(0,MIN(-CR100/10%-1,1))+(AX99-AY99)*MAX(0,-CR100/10%-2)),0),"")</f>
        <v/>
      </c>
      <c r="CX100" s="470" t="n">
        <f aca="false">IF(BD100,EURO(CP100,Strike1,AO100,AO100,CV100,CO100,IF(OptControl=4,0,1),0),0)</f>
        <v>0</v>
      </c>
      <c r="CY100" s="470" t="n">
        <f aca="false">IF(BD100,EURO(CP100,Strike1,AO100,AO100,CV100,CO100,IF(OptControl=4,0,1),1)+IF(OR(VolSkewFlag=2,ABS(CQ100)&lt;0.0001),0,IF(CQ100&gt;0,-1,1)*CZ100*100*Strike1/CP100^2*CS100/10%),0)</f>
        <v>0</v>
      </c>
      <c r="CZ100" s="470" t="n">
        <f aca="false">IF(BD100,EURO(CP100,Strike1,AO100,AO100,CV100,CO100,IF(OptControl=4,0,1),3)/100,0)</f>
        <v>0</v>
      </c>
      <c r="DA100" s="470" t="n">
        <f aca="false">IF(BD100,EURO(CP100,Strike1,AO100,AO100,CV100,CO100,IF(OptControl=4,0,1),0)-EURO(CP100,Strike1,AO100,AO100,CV100,CO100-1,IF(OptControl=4,0,1),0),0)</f>
        <v>0</v>
      </c>
      <c r="DB100" s="470" t="n">
        <f aca="false">IF(BD100,EURO(CP100,Strike2,AO100,AO100,CW100,CO100,IF(OptControl=3,1,0),0),0)</f>
        <v>0</v>
      </c>
      <c r="DC100" s="470" t="n">
        <f aca="false">IF(BD100,EURO(CP100,Strike2,AO100,AO100,CW100,CO100,IF(OptControl=3,1,0),1)+IF(OR(VolSkewFlag=2,ABS(CR100)&lt;0.0001),0,IF(CR100&gt;0,-1,1)*DD100*100*Strike2/CP100^2*CT100/10%),0)</f>
        <v>0</v>
      </c>
      <c r="DD100" s="470" t="n">
        <f aca="false">IF(BD100,EURO(CP100,Strike2,AO100,AO100,CW100,CO100,IF(OptControl=3,1,0),3)/100,0)</f>
        <v>0</v>
      </c>
      <c r="DE100" s="472" t="n">
        <f aca="false">IF(BD100,EURO(CP100,Strike2,AO100,AO100,CW100,CO100,IF(OptControl=3,1,0),0)-EURO(CP100,Strike2,AO100,AO100,CW100,CO100-1,IF(OptControl=3,1,0),0),0)</f>
        <v>0</v>
      </c>
      <c r="DG100" s="481" t="n">
        <f aca="false">EOMONTH(DG99,0)+1</f>
        <v>48122</v>
      </c>
      <c r="DH100" s="478" t="n">
        <v>18.3116666666667</v>
      </c>
      <c r="DI100" s="479" t="n">
        <v>18.3105681818182</v>
      </c>
      <c r="DJ100" s="480" t="n">
        <f aca="false">DG100</f>
        <v>48122</v>
      </c>
      <c r="DK100" s="478" t="n">
        <v>16.9851035816217</v>
      </c>
      <c r="DL100" s="479" t="n">
        <v>17.1271681818182</v>
      </c>
      <c r="DM100" s="481" t="n">
        <f aca="false">DG100</f>
        <v>48122</v>
      </c>
      <c r="DN100" s="482" t="n">
        <f aca="false">DK100+BrentPhyBrentSpread</f>
        <v>17.0351035816217</v>
      </c>
      <c r="DO100" s="481" t="n">
        <f aca="false">DG100</f>
        <v>48122</v>
      </c>
      <c r="DP100" s="483" t="n">
        <f aca="false">DL100+DQ100</f>
        <v>17.1271681818182</v>
      </c>
      <c r="DQ100" s="546" t="n">
        <v>0</v>
      </c>
      <c r="DR100" s="480" t="n">
        <f aca="false">DG100</f>
        <v>48122</v>
      </c>
      <c r="DS100" s="485" t="n">
        <v>0.1766</v>
      </c>
      <c r="DT100" s="486" t="n">
        <v>0.175809090909091</v>
      </c>
      <c r="DU100" s="480" t="n">
        <f aca="false">DG100</f>
        <v>48122</v>
      </c>
      <c r="DV100" s="485" t="n">
        <v>0.1766</v>
      </c>
      <c r="DW100" s="486" t="n">
        <v>0.175809090909091</v>
      </c>
      <c r="DX100" s="481" t="n">
        <f aca="false">DG100</f>
        <v>48122</v>
      </c>
      <c r="DY100" s="486" t="n">
        <v>0.35</v>
      </c>
      <c r="DZ100" s="481" t="n">
        <f aca="false">DR100</f>
        <v>48122</v>
      </c>
      <c r="EA100" s="486" t="n">
        <f aca="false">DT100</f>
        <v>0.175809090909091</v>
      </c>
      <c r="EB100" s="195"/>
      <c r="EC100" s="547" t="str">
        <f aca="false">IF(BD100,IF(Underlying=1,AS100,AU100),"")</f>
        <v/>
      </c>
      <c r="ED100" s="548" t="str">
        <f aca="false">IF($BD100,$EC100+IF(VolSkewFlag=1,IF(BS100&gt;0,$BA100*MIN(BS100/10%,1)+($BB100-$BA100)*MAX(0,MIN(BS100/10%-1,1))+($BC100-$BB100)*MAX(0,BS100/10%-2),$AZ100*MIN(-BS100/10%,1)+($AY100-$AZ100)*MAX(0,MIN(-BS100/10%-1,1))+($AX100-$AY100)*MAX(0,-BS100/10%-2)),0),"")</f>
        <v/>
      </c>
      <c r="EE100" s="549" t="str">
        <f aca="false">IF($BD100,$EC100+IF(VolSkewFlag=1,IF(BT100&gt;0,$BA100*MIN(BT100/10%,1)+($BB100-$BA100)*MAX(0,MIN(BT100/10%-1,1))+($BC100-$BB100)*MAX(0,BT100/10%-2),$AZ100*MIN(-BT100/10%,1)+($AY100-$AZ100)*MAX(0,MIN(-BT100/10%-1,1))+($AX100-$AY100)*MAX(0,-BT100/10%-2)),0),"")</f>
        <v/>
      </c>
      <c r="EF100" s="550" t="n">
        <f aca="false">IF(BD100,xASN(BR100,Strike1,AO100,ED100,0,BO100,0,BI100,BL100,IF(OptControl=4,0,1),0),0)</f>
        <v>0</v>
      </c>
      <c r="EG100" s="551" t="n">
        <f aca="false">IF(BD100,xASN(BR100,Strike2,AO100,EE100,0,BO100,0,BI100,BL100,IF(OptControl=3,1,0),0),0)</f>
        <v>0</v>
      </c>
      <c r="EL100" s="1"/>
      <c r="EM100" s="195"/>
      <c r="EN100" s="240"/>
      <c r="EO100" s="240"/>
      <c r="EP100" s="195"/>
      <c r="EQ100" s="407" t="s">
        <v>327</v>
      </c>
      <c r="ES100" s="130"/>
      <c r="ET100" s="19"/>
      <c r="EU100" s="672"/>
      <c r="EV100" s="478"/>
      <c r="EW100" s="131"/>
      <c r="EX100" s="131"/>
      <c r="EY100" s="129"/>
      <c r="EZ100" s="129"/>
      <c r="FA100" s="129"/>
      <c r="FB100" s="129"/>
      <c r="FC100" s="129"/>
      <c r="FD100" s="129"/>
      <c r="FE100" s="129"/>
      <c r="FF100" s="129"/>
      <c r="FG100" s="129"/>
      <c r="FH100" s="129"/>
      <c r="FI100" s="129"/>
      <c r="FJ100" s="571" t="n">
        <v>6</v>
      </c>
      <c r="FK100" s="150" t="e">
        <f aca="false">IF($FJ25&lt;FK$94,"",SQRT(FK25/FK$15))</f>
        <v>#DIV/0!</v>
      </c>
      <c r="FL100" s="150" t="n">
        <f aca="false">IF($FJ25&lt;FL$94,"",SQRT(FL25/FL$15))</f>
        <v>-0</v>
      </c>
      <c r="FM100" s="150" t="n">
        <f aca="false">IF($FJ25&lt;FM$94,"",SQRT(FM25/FM$15))</f>
        <v>0.282188717614116</v>
      </c>
      <c r="FN100" s="150" t="n">
        <f aca="false">IF($FJ25&lt;FN$94,"",SQRT(FN25/FN$15))</f>
        <v>0.302735112710659</v>
      </c>
      <c r="FO100" s="150" t="n">
        <f aca="false">IF($FJ25&lt;FO$94,"",SQRT(FO25/FO$15))</f>
        <v>0.331852163460561</v>
      </c>
      <c r="FP100" s="150" t="n">
        <f aca="false">IF($FJ25&lt;FP$94,"",SQRT(FP25/FP$15))</f>
        <v>0.37265625</v>
      </c>
      <c r="FQ100" s="150" t="str">
        <f aca="false">IF($FJ25&lt;FQ$94,"",SQRT(FQ25/FQ$15))</f>
        <v/>
      </c>
      <c r="FR100" s="150" t="str">
        <f aca="false">IF($FJ25&lt;FR$94,"",SQRT(FR25/FR$15))</f>
        <v/>
      </c>
      <c r="FS100" s="150" t="str">
        <f aca="false">IF($FJ25&lt;FS$94,"",SQRT(FS25/FS$15))</f>
        <v/>
      </c>
      <c r="FT100" s="150" t="str">
        <f aca="false">IF($FJ25&lt;FT$94,"",SQRT(FT25/FT$15))</f>
        <v/>
      </c>
      <c r="FU100" s="150" t="str">
        <f aca="false">IF($FJ25&lt;FU$94,"",SQRT(FU25/FU$15))</f>
        <v/>
      </c>
      <c r="FV100" s="150" t="str">
        <f aca="false">IF($FJ25&lt;FV$94,"",SQRT(FV25/FV$15))</f>
        <v/>
      </c>
      <c r="FW100" s="150" t="str">
        <f aca="false">IF($FJ25&lt;FW$94,"",SQRT(FW25/FW$15))</f>
        <v/>
      </c>
      <c r="FX100" s="150" t="str">
        <f aca="false">IF($FJ25&lt;FX$94,"",SQRT(FX25/FX$15))</f>
        <v/>
      </c>
      <c r="FY100" s="150" t="str">
        <f aca="false">IF($FJ25&lt;FY$94,"",SQRT(FY25/FY$15))</f>
        <v/>
      </c>
      <c r="FZ100" s="150" t="str">
        <f aca="false">IF($FJ25&lt;FZ$94,"",SQRT(FZ25/FZ$15))</f>
        <v/>
      </c>
      <c r="GA100" s="150" t="str">
        <f aca="false">IF($FJ25&lt;GA$94,"",SQRT(GA25/GA$15))</f>
        <v/>
      </c>
      <c r="GB100" s="150" t="str">
        <f aca="false">IF($FJ25&lt;GB$94,"",SQRT(GB25/GB$15))</f>
        <v/>
      </c>
      <c r="GC100" s="150" t="str">
        <f aca="false">IF($FJ25&lt;GC$94,"",SQRT(GC25/GC$15))</f>
        <v/>
      </c>
      <c r="GD100" s="150" t="str">
        <f aca="false">IF($FJ25&lt;GD$94,"",SQRT(GD25/GD$15))</f>
        <v/>
      </c>
      <c r="GE100" s="150" t="str">
        <f aca="false">IF($FJ25&lt;GE$94,"",SQRT(GE25/GE$15))</f>
        <v/>
      </c>
      <c r="GF100" s="150" t="str">
        <f aca="false">IF($FJ25&lt;GF$94,"",SQRT(GF25/GF$15))</f>
        <v/>
      </c>
      <c r="GG100" s="150" t="str">
        <f aca="false">IF($FJ25&lt;GG$94,"",SQRT(GG25/GG$15))</f>
        <v/>
      </c>
      <c r="GH100" s="150" t="str">
        <f aca="false">IF($FJ25&lt;GH$94,"",SQRT(GH25/GH$15))</f>
        <v/>
      </c>
      <c r="GI100" s="150" t="str">
        <f aca="false">IF($FJ25&lt;GI$94,"",SQRT(GI25/GI$15))</f>
        <v/>
      </c>
      <c r="GJ100" s="150" t="str">
        <f aca="false">IF($FJ25&lt;GJ$94,"",SQRT(GJ25/GJ$15))</f>
        <v/>
      </c>
      <c r="GK100" s="150" t="str">
        <f aca="false">IF($FJ25&lt;GK$94,"",SQRT(GK25/GK$15))</f>
        <v/>
      </c>
      <c r="GL100" s="150" t="str">
        <f aca="false">IF($FJ25&lt;GL$94,"",SQRT(GL25/GL$15))</f>
        <v/>
      </c>
      <c r="GM100" s="150" t="str">
        <f aca="false">IF($FJ25&lt;GM$94,"",SQRT(GM25/GM$15))</f>
        <v/>
      </c>
      <c r="GN100" s="150" t="str">
        <f aca="false">IF($FJ25&lt;GN$94,"",SQRT(GN25/GN$15))</f>
        <v/>
      </c>
      <c r="GO100" s="150" t="str">
        <f aca="false">IF($FJ25&lt;GO$94,"",SQRT(GO25/GO$15))</f>
        <v/>
      </c>
      <c r="GP100" s="150" t="str">
        <f aca="false">IF($FJ25&lt;GP$94,"",SQRT(GP25/GP$15))</f>
        <v/>
      </c>
      <c r="GQ100" s="150" t="str">
        <f aca="false">IF($FJ25&lt;GQ$94,"",SQRT(GQ25/GQ$15))</f>
        <v/>
      </c>
      <c r="GR100" s="150" t="str">
        <f aca="false">IF($FJ25&lt;GR$94,"",SQRT(GR25/GR$15))</f>
        <v/>
      </c>
      <c r="GS100" s="150" t="str">
        <f aca="false">IF($FJ25&lt;GS$94,"",SQRT(GS25/GS$15))</f>
        <v/>
      </c>
      <c r="GT100" s="150" t="str">
        <f aca="false">IF($FJ25&lt;GT$94,"",SQRT(GT25/GT$15))</f>
        <v/>
      </c>
      <c r="GU100" s="150" t="str">
        <f aca="false">IF($FJ25&lt;GU$94,"",SQRT(GU25/GU$15))</f>
        <v/>
      </c>
      <c r="GV100" s="150" t="str">
        <f aca="false">IF($FJ25&lt;GV$94,"",SQRT(GV25/GV$15))</f>
        <v/>
      </c>
      <c r="GW100" s="150" t="str">
        <f aca="false">IF($FJ25&lt;GW$94,"",SQRT(GW25/GW$15))</f>
        <v/>
      </c>
      <c r="GX100" s="150" t="str">
        <f aca="false">IF($FJ25&lt;GX$94,"",SQRT(GX25/GX$15))</f>
        <v/>
      </c>
      <c r="GY100" s="150" t="str">
        <f aca="false">IF($FJ25&lt;GY$94,"",SQRT(GY25/GY$15))</f>
        <v/>
      </c>
      <c r="GZ100" s="150" t="str">
        <f aca="false">IF($FJ25&lt;GZ$94,"",SQRT(GZ25/GZ$15))</f>
        <v/>
      </c>
      <c r="HA100" s="150" t="str">
        <f aca="false">IF($FJ25&lt;HA$94,"",SQRT(HA25/HA$15))</f>
        <v/>
      </c>
      <c r="HB100" s="150" t="str">
        <f aca="false">IF($FJ25&lt;HB$94,"",SQRT(HB25/HB$15))</f>
        <v/>
      </c>
      <c r="HC100" s="150" t="str">
        <f aca="false">IF($FJ25&lt;HC$94,"",SQRT(HC25/HC$15))</f>
        <v/>
      </c>
      <c r="HD100" s="150" t="str">
        <f aca="false">IF($FJ25&lt;HD$94,"",SQRT(HD25/HD$15))</f>
        <v/>
      </c>
      <c r="HE100" s="150" t="str">
        <f aca="false">IF($FJ25&lt;HE$94,"",SQRT(HE25/HE$15))</f>
        <v/>
      </c>
      <c r="HF100" s="150" t="str">
        <f aca="false">IF($FJ25&lt;HF$94,"",SQRT(HF25/HF$15))</f>
        <v/>
      </c>
      <c r="HG100" s="150" t="str">
        <f aca="false">IF($FJ25&lt;HG$94,"",SQRT(HG25/HG$15))</f>
        <v/>
      </c>
      <c r="HH100" s="150" t="str">
        <f aca="false">IF($FJ25&lt;HH$94,"",SQRT(HH25/HH$15))</f>
        <v/>
      </c>
      <c r="HI100" s="150" t="str">
        <f aca="false">IF($FJ25&lt;HI$94,"",SQRT(HI25/HI$15))</f>
        <v/>
      </c>
      <c r="HJ100" s="150" t="str">
        <f aca="false">IF($FJ25&lt;HJ$94,"",SQRT(HJ25/HJ$15))</f>
        <v/>
      </c>
      <c r="HK100" s="150" t="str">
        <f aca="false">IF($FJ25&lt;HK$94,"",SQRT(HK25/HK$15))</f>
        <v/>
      </c>
      <c r="HL100" s="150" t="str">
        <f aca="false">IF($FJ25&lt;HL$94,"",SQRT(HL25/HL$15))</f>
        <v/>
      </c>
      <c r="HM100" s="150" t="str">
        <f aca="false">IF($FJ25&lt;HM$94,"",SQRT(HM25/HM$15))</f>
        <v/>
      </c>
      <c r="HN100" s="150" t="str">
        <f aca="false">IF($FJ25&lt;HN$94,"",SQRT(HN25/HN$15))</f>
        <v/>
      </c>
      <c r="HO100" s="150" t="str">
        <f aca="false">IF($FJ25&lt;HO$94,"",SQRT(HO25/HO$15))</f>
        <v/>
      </c>
      <c r="HP100" s="150" t="str">
        <f aca="false">IF($FJ25&lt;HP$94,"",SQRT(HP25/HP$15))</f>
        <v/>
      </c>
      <c r="HQ100" s="150" t="str">
        <f aca="false">IF($FJ25&lt;HQ$94,"",SQRT(HQ25/HQ$15))</f>
        <v/>
      </c>
      <c r="HR100" s="150" t="str">
        <f aca="false">IF($FJ25&lt;HR$94,"",SQRT(HR25/HR$15))</f>
        <v/>
      </c>
      <c r="HS100" s="150" t="str">
        <f aca="false">IF($FJ25&lt;HS$94,"",SQRT(HS25/HS$15))</f>
        <v/>
      </c>
      <c r="HT100" s="150" t="str">
        <f aca="false">IF($FJ25&lt;HT$94,"",SQRT(HT25/HT$15))</f>
        <v/>
      </c>
      <c r="HU100" s="150" t="str">
        <f aca="false">IF($FJ25&lt;HU$94,"",SQRT(HU25/HU$15))</f>
        <v/>
      </c>
      <c r="HV100" s="150" t="str">
        <f aca="false">IF($FJ25&lt;HV$94,"",SQRT(HV25/HV$15))</f>
        <v/>
      </c>
      <c r="HW100" s="150" t="str">
        <f aca="false">IF($FJ25&lt;HW$94,"",SQRT(HW25/HW$15))</f>
        <v/>
      </c>
      <c r="HX100" s="150" t="str">
        <f aca="false">IF($FJ25&lt;HX$94,"",SQRT(HX25/HX$15))</f>
        <v/>
      </c>
      <c r="HY100" s="150" t="str">
        <f aca="false">IF($FJ25&lt;HY$94,"",SQRT(HY25/HY$15))</f>
        <v/>
      </c>
      <c r="HZ100" s="150" t="str">
        <f aca="false">IF($FJ25&lt;HZ$94,"",SQRT(HZ25/HZ$15))</f>
        <v/>
      </c>
      <c r="IA100" s="150" t="str">
        <f aca="false">IF($FJ25&lt;IA$94,"",SQRT(IA25/IA$15))</f>
        <v/>
      </c>
      <c r="IB100" s="150" t="str">
        <f aca="false">IF($FJ25&lt;IB$94,"",SQRT(IB25/IB$15))</f>
        <v/>
      </c>
      <c r="IC100" s="150" t="str">
        <f aca="false">IF($FJ25&lt;IC$94,"",SQRT(IC25/IC$15))</f>
        <v/>
      </c>
      <c r="ID100" s="572" t="str">
        <f aca="false">IF($FJ25&lt;ID$94,"",SQRT(ID25/ID$15))</f>
        <v/>
      </c>
      <c r="IE100" s="129"/>
    </row>
    <row r="101" customFormat="false" ht="12.75" hidden="false" customHeight="false" outlineLevel="0" collapsed="false">
      <c r="H101" s="219" t="n">
        <f aca="false">VLOOKUP(I101,$EJ$20:$EL$54,3)</f>
        <v>0</v>
      </c>
      <c r="I101" s="511" t="n">
        <f aca="false">EOMONTH(I100,0)+1</f>
        <v>39234</v>
      </c>
      <c r="J101" s="512"/>
      <c r="K101" s="513" t="s">
        <v>280</v>
      </c>
      <c r="L101" s="514" t="n">
        <f aca="false">IF(ISNUMBER(K101),J101+K101/100,IF(K101="extra",L100+VLOOKUP(BF101,PriceSpreadTable,2)/12,IF(K101="inter",interpolateprices($K$19:$L$200,ROW(K101)-ROW(FirstPricingMonth)+1),interpolatechanges($J$19:$K$200,ROW(K101)-ROW(FirstPricingMonth)+1))))</f>
        <v>0.1875</v>
      </c>
      <c r="M101" s="515"/>
      <c r="N101" s="516" t="n">
        <v>0</v>
      </c>
      <c r="O101" s="515" t="n">
        <f aca="false">M101+N101</f>
        <v>0</v>
      </c>
      <c r="P101" s="512"/>
      <c r="Q101" s="513" t="s">
        <v>280</v>
      </c>
      <c r="R101" s="512" t="e">
        <f aca="false">IF(ISNUMBER(Q101),P101+Q101/100,IF(Q101="extra",(Z99*AL99-R100*AM99)/AN99,IF(Q101="inter",interpolateprices($Q$19:$R$260,ROW(Q101)-ROW(FirstPricingMonth)+1),interpolatechanges($P$19:$Q$260,ROW(Q101)-ROW(FirstPricingMonth)+1))))</f>
        <v>#VALUE!</v>
      </c>
      <c r="S101" s="597" t="n">
        <f aca="false">S$19+(S100-S$19)*S$18</f>
        <v>0.360000000004045</v>
      </c>
      <c r="T101" s="575" t="n">
        <f aca="false">SQRT((1-(1-T100^2/U100)*T$18)*U101)</f>
        <v>0.99999965346799</v>
      </c>
      <c r="U101" s="576" t="n">
        <f aca="false">1-(1-U100)*U$18</f>
        <v>0.999999999998862</v>
      </c>
      <c r="V101" s="521" t="n">
        <v>0</v>
      </c>
      <c r="W101" s="577" t="n">
        <f aca="false">(J102*AJ101+J103*AK101)/AI101</f>
        <v>0</v>
      </c>
      <c r="X101" s="578" t="n">
        <f aca="false">(L102*AJ101+L103*AK101)/AI101</f>
        <v>0.2375</v>
      </c>
      <c r="Y101" s="579" t="n">
        <f aca="false">IF(Q103="extra",W101-AA101,(P102*AM101+P103*AN101)/AL101)</f>
        <v>-1.2495</v>
      </c>
      <c r="Z101" s="579" t="n">
        <f aca="false">IF(Q103="extra",X101-AB101,(R102*AM101+R103*AN101)/AL101)</f>
        <v>-1.012</v>
      </c>
      <c r="AA101" s="523" t="n">
        <f aca="false">IF(Q103="extra",INDEX(BrentSeasonalityTable,INT((BG101-1)/3)+1)*VLOOKUP(MAX(BF101,$AB$4),PriceSpreadTable,3),W101-Y101)</f>
        <v>1.2495</v>
      </c>
      <c r="AB101" s="524" t="n">
        <f aca="false">IF(Q103="extra",INDEX(BrentSeasonalityTable,INT((BG101-1)/3)+1)*VLOOKUP(MAX(BF101,$AB$4),PriceSpreadTable,3),X101-Z101)</f>
        <v>1.2495</v>
      </c>
      <c r="AC101" s="646" t="n">
        <v>39222</v>
      </c>
      <c r="AD101" s="646" t="n">
        <v>39218</v>
      </c>
      <c r="AE101" s="646" t="n">
        <v>39217</v>
      </c>
      <c r="AF101" s="646" t="n">
        <v>39213</v>
      </c>
      <c r="AG101" s="438" t="s">
        <v>278</v>
      </c>
      <c r="AH101" s="439" t="s">
        <v>278</v>
      </c>
      <c r="AI101" s="528" t="n">
        <v>21</v>
      </c>
      <c r="AJ101" s="529" t="n">
        <v>14</v>
      </c>
      <c r="AK101" s="529" t="n">
        <v>7</v>
      </c>
      <c r="AL101" s="530" t="n">
        <v>21</v>
      </c>
      <c r="AM101" s="529" t="n">
        <v>10</v>
      </c>
      <c r="AN101" s="531" t="n">
        <v>11</v>
      </c>
      <c r="AO101" s="532"/>
      <c r="AP101" s="465" t="n">
        <f aca="false">(1+AO101/2)^(-2*BL101)</f>
        <v>1</v>
      </c>
      <c r="AQ101" s="532"/>
      <c r="AR101" s="465" t="n">
        <f aca="false">(1+AQ101/2)^(-2*BH101/365.25)</f>
        <v>1</v>
      </c>
      <c r="AS101" s="580" t="n">
        <f aca="false">(O102*AJ101+O103*AK101)/AI101</f>
        <v>0</v>
      </c>
      <c r="AT101" s="468" t="n">
        <f aca="false">O101*VLOOKUP(BF101,BrentVolTable,2)+VLOOKUP(BF101,BrentVolTable,3)</f>
        <v>0</v>
      </c>
      <c r="AU101" s="468" t="n">
        <f aca="false">(AT102*AM101+AT103*AN101)/AL101</f>
        <v>0</v>
      </c>
      <c r="AV101" s="595" t="n">
        <f aca="false">SQRT(MAX(0.000000000001,(O101^2*BH101-S101^2*(BH101-BH100))/BH100))</f>
        <v>0.0240231445477648</v>
      </c>
      <c r="AW101" s="451" t="n">
        <f aca="false">IF($I101-DateToday+15&gt;=$T$8,"",IF($I101-DateToday+15&lt;$T$5,1,MATCH($I101-DateToday+15,$T$5:$T$8)))</f>
        <v>1</v>
      </c>
      <c r="AX101" s="468" t="n">
        <f aca="false">IF($AW101="",AX100^2/AX99,INDEX(U$5:U$8,$AW101)^((INDEX($T$5:$T$8,$AW101+1)-($I101-DateToday+15))/(INDEX($T$5:$T$8,$AW101+1)-INDEX($T$5:$T$8,$AW101)))/INDEX(U$5:U$8,$AW101+1)^((INDEX($T$5:$T$8,$AW101)-($I101-DateToday+15))/(INDEX($T$5:$T$8,$AW101+1)-INDEX($T$5:$T$8,$AW101))))</f>
        <v>2.22330949953387</v>
      </c>
      <c r="AY101" s="468" t="n">
        <f aca="false">IF($AW101="",AY100^2/AY99,INDEX(V$5:V$8,$AW101)^((INDEX($T$5:$T$8,$AW101+1)-($I101-DateToday+15))/(INDEX($T$5:$T$8,$AW101+1)-INDEX($T$5:$T$8,$AW101)))/INDEX(V$5:V$8,$AW101+1)^((INDEX($T$5:$T$8,$AW101)-($I101-DateToday+15))/(INDEX($T$5:$T$8,$AW101+1)-INDEX($T$5:$T$8,$AW101))))</f>
        <v>172.273197404044</v>
      </c>
      <c r="AZ101" s="468" t="n">
        <f aca="false">IF($AW101="",AZ100^2/AZ99,INDEX(W$5:W$8,$AW101)^((INDEX($T$5:$T$8,$AW101+1)-($I101-DateToday+15))/(INDEX($T$5:$T$8,$AW101+1)-INDEX($T$5:$T$8,$AW101)))/INDEX(W$5:W$8,$AW101+1)^((INDEX($T$5:$T$8,$AW101)-($I101-DateToday+15))/(INDEX($T$5:$T$8,$AW101+1)-INDEX($T$5:$T$8,$AW101))))</f>
        <v>897032.977592448</v>
      </c>
      <c r="BA101" s="468" t="n">
        <f aca="false">IF($AW101="",BA100^2/BA99,INDEX(X$5:X$8,$AW101)^((INDEX($T$5:$T$8,$AW101+1)-($I101-DateToday+15))/(INDEX($T$5:$T$8,$AW101+1)-INDEX($T$5:$T$8,$AW101)))/INDEX(X$5:X$8,$AW101+1)^((INDEX($T$5:$T$8,$AW101)-($I101-DateToday+15))/(INDEX($T$5:$T$8,$AW101+1)-INDEX($T$5:$T$8,$AW101))))</f>
        <v>20774811.8799629</v>
      </c>
      <c r="BB101" s="468" t="n">
        <f aca="false">IF($AW101="",BB100^2/BB99,INDEX(Y$5:Y$8,$AW101)^((INDEX($T$5:$T$8,$AW101+1)-($I101-DateToday+15))/(INDEX($T$5:$T$8,$AW101+1)-INDEX($T$5:$T$8,$AW101)))/INDEX(Y$5:Y$8,$AW101+1)^((INDEX($T$5:$T$8,$AW101)-($I101-DateToday+15))/(INDEX($T$5:$T$8,$AW101+1)-INDEX($T$5:$T$8,$AW101))))</f>
        <v>257696979.372508</v>
      </c>
      <c r="BC101" s="468" t="n">
        <f aca="false">IF($AW101="",BC100^2/BC99,INDEX(Z$5:Z$8,$AW101)^((INDEX($T$5:$T$8,$AW101+1)-($I101-DateToday+15))/(INDEX($T$5:$T$8,$AW101+1)-INDEX($T$5:$T$8,$AW101)))/INDEX(Z$5:Z$8,$AW101+1)^((INDEX($T$5:$T$8,$AW101)-($I101-DateToday+15))/(INDEX($T$5:$T$8,$AW101+1)-INDEX($T$5:$T$8,$AW101))))</f>
        <v>1167608170.31735</v>
      </c>
      <c r="BD101" s="535" t="n">
        <f aca="false">IF(OR(DateStart&gt;=I102,DateEnd&lt;I101),0,IF(VolumeOverrideFlag,V101,Volume))</f>
        <v>0</v>
      </c>
      <c r="BE101" s="536" t="n">
        <f aca="false">IF(OR(DateStart2&gt;=I102,DateEnd2&lt;I101),0,IF(VolumeOverrideFlag,V101,VolumeSwaption))</f>
        <v>0</v>
      </c>
      <c r="BF101" s="537" t="n">
        <f aca="false">YEAR(I101)</f>
        <v>2007</v>
      </c>
      <c r="BG101" s="538" t="n">
        <f aca="false">MONTH(I101)</f>
        <v>6</v>
      </c>
      <c r="BH101" s="539" t="n">
        <f aca="false">AD101-DateToday+1</f>
        <v>-6707</v>
      </c>
      <c r="BI101" s="540" t="n">
        <f aca="false">(I101-DateToday+1)/365.25</f>
        <v>-18.3189596167009</v>
      </c>
      <c r="BJ101" s="541" t="n">
        <f aca="false">BI101+(BL101-BI101)*CHOOSE(Underlying,AJ101/AI101,AM101/AL101)</f>
        <v>-18.2660278348163</v>
      </c>
      <c r="BK101" s="541" t="n">
        <f aca="false">BJ101+1/365.25</f>
        <v>-18.2632899840292</v>
      </c>
      <c r="BL101" s="541" t="n">
        <f aca="false">(I102-DateToday)/365.25</f>
        <v>-18.2395619438741</v>
      </c>
      <c r="BM101" s="542" t="e">
        <f aca="false">MAX(BI101-(BJ101-BI101)*(S102^2/O102^2-1),0)</f>
        <v>#DIV/0!</v>
      </c>
      <c r="BN101" s="541" t="e">
        <f aca="false">MAX(BL101+(BL101-BK101)*(S103^2/O103^2-1),0)</f>
        <v>#DIV/0!</v>
      </c>
      <c r="BO101" s="530" t="n">
        <f aca="false">CHOOSE(Underlying,AI101,AL101)</f>
        <v>21</v>
      </c>
      <c r="BP101" s="529" t="n">
        <f aca="false">CHOOSE(Underlying,AJ101,AM101)</f>
        <v>14</v>
      </c>
      <c r="BQ101" s="529" t="n">
        <f aca="false">CHOOSE(Underlying,AK101,AN101)</f>
        <v>7</v>
      </c>
      <c r="BR101" s="463" t="str">
        <f aca="false">IF(BD101,IF(Underlying=1,X101,Z101)+UnderlyingPriceAsian-SwapPriceCurve,"")</f>
        <v/>
      </c>
      <c r="BS101" s="463" t="str">
        <f aca="false">IF(BD101,Strike1/BR101-1,"")</f>
        <v/>
      </c>
      <c r="BT101" s="464" t="str">
        <f aca="false">IF(BD101,Strike2/BR101-1,"")</f>
        <v/>
      </c>
      <c r="BU101" s="465" t="str">
        <f aca="false">IF(BD101,IF(Underlying=1,L102,R102)+UnderlyingPriceAsian-SwapPriceCurve,"")</f>
        <v/>
      </c>
      <c r="BV101" s="465" t="str">
        <f aca="false">IF(BD101,IF(Underlying=1,L103,R103)+UnderlyingPriceAsian-SwapPriceCurve,"")</f>
        <v/>
      </c>
      <c r="BW101" s="466" t="str">
        <f aca="false">IF(BD101,IF(Underlying=1,O102,AT102),"")</f>
        <v/>
      </c>
      <c r="BX101" s="467" t="str">
        <f aca="false">IF(BD101,IF(Underlying=1,O103,AT103),"")</f>
        <v/>
      </c>
      <c r="BY101" s="466" t="str">
        <f aca="false">IF(BD101,IF(BS101&gt;0,IF(BS101&gt;0.2,BC101-BB101,IF(BS101&gt;0.1,BB101-BA101,BA101)),IF(BS101&lt;-0.2,AX101-AY101,IF(BS101&lt;-0.1,AY101-AZ101,AZ101))),"")</f>
        <v/>
      </c>
      <c r="BZ101" s="467" t="str">
        <f aca="false">IF(BD101,IF(BT101&gt;0,IF(BT101&gt;0.2,BC101-BB101,IF(BT101&gt;0.1,BB101-BA101,BA101)),IF(BT101&lt;-0.2,AX101-AY101,IF(BT101&lt;-0.1,AY101-AZ101,AZ101))),"")</f>
        <v/>
      </c>
      <c r="CA101" s="468" t="str">
        <f aca="false">IF($BD101,$BW101+IF(VolSkewFlag=1,IF(BS101&gt;0,$BA101*MIN(BS101/10%,1)+($BB101-$BA101)*MAX(0,MIN(BS101/10%-1,1))+($BC101-$BB101)*MAX(0,BS101/10%-2),$AZ101*MIN(-BS101/10%,1)+($AY101-$AZ101)*MAX(0,MIN(-BS101/10%-1,1))+($AX101-$AY101)*MAX(0,-BS101/10%-2)),0),"")</f>
        <v/>
      </c>
      <c r="CB101" s="468" t="str">
        <f aca="false">IF($BD101,$BX101+IF(VolSkewFlag=1,IF(BS101&gt;0,$BA101*MIN(BS101/10%,1)+($BB101-$BA101)*MAX(0,MIN(BS101/10%-1,1))+($BC101-$BB101)*MAX(0,BS101/10%-2),$AZ101*MIN(-BS101/10%,1)+($AY101-$AZ101)*MAX(0,MIN(-BS101/10%-1,1))+($AX101-$AY101)*MAX(0,-BS101/10%-2)),0),"")</f>
        <v/>
      </c>
      <c r="CC101" s="468" t="str">
        <f aca="false">IF($BD101,$BW101+IF(VolSkewFlag=1,IF(BT101&gt;0,$BA101*MIN(BT101/10%,1)+($BB101-$BA101)*MAX(0,MIN(BT101/10%-1,1))+($BC101-$BB101)*MAX(0,BT101/10%-2),$AZ101*MIN(-BT101/10%,1)+($AY101-$AZ101)*MAX(0,MIN(-BT101/10%-1,1))+($AX101-$AY101)*MAX(0,-BT101/10%-2)),0),"")</f>
        <v/>
      </c>
      <c r="CD101" s="468" t="str">
        <f aca="false">IF($BD101,$BX101+IF(VolSkewFlag=1,IF(BT101&gt;0,$BA101*MIN(BT101/10%,1)+($BB101-$BA101)*MAX(0,MIN(BT101/10%-1,1))+($BC101-$BB101)*MAX(0,BT101/10%-2),$AZ101*MIN(-BT101/10%,1)+($AY101-$AZ101)*MAX(0,MIN(-BT101/10%-1,1))+($AX101-$AY101)*MAX(0,-BT101/10%-2)),0),"")</f>
        <v/>
      </c>
      <c r="CE101" s="469" t="n">
        <v>1</v>
      </c>
      <c r="CF101" s="470" t="n">
        <f aca="false">IF(BD101,xCrudeAPO(BU101,BV101,CA101,CB101,S102,S103,BI101,BL101,BP101,BQ101,0,Strike1,AO101,CE101,0,BL101,IF(OptControl=4,0,1),0,1),0)</f>
        <v>0</v>
      </c>
      <c r="CG101" s="470" t="n">
        <f aca="false">IF(BD101,xCrudeAPO(BU101,BV101,CA101,CB101,S102,S103,BI101,BL101,BP101,BQ101,0,Strike1,AO101,CE101,0,BL101,IF(OptControl=4,0,1),1,1)+xCrudeAPO(BU101,BV101,CA101,CB101,S102,S103,BI101,BL101,BP101,BQ101,0,Strike1,AO101,CE101,0,BL101,IF(OptControl=4,0,1),1,2)+IF(OR(VolSkewFlag=2,ABS(BS101)&lt;0.0001),0,IF(BS101&gt;0,-1,1)*CH101*Strike1/BR101^2*BY101/10%),0)</f>
        <v>0</v>
      </c>
      <c r="CH101" s="470" t="n">
        <f aca="false">IF(BD101,(xCrudeAPO(BU101,BV101,CA101,CB101,S102,S103,BI101,BL101,BP101,BQ101,0,Strike1,AO101,CE101,0,BL101,IF(OptControl=4,0,1),3,1)+xCrudeAPO(BU101,BV101,CA101,CB101,S102,S103,BI101,BL101,BP101,BQ101,0,Strike1,AO101,CE101,0,BL101,IF(OptControl=4,0,1),3,2))/100,0)</f>
        <v>0</v>
      </c>
      <c r="CI101" s="470" t="n">
        <f aca="false">IF(BD101,xCrudeAPO(BU101,BV101,CA101,CB101,S102,S103,BI101-DaysForThetaCalculation/365.25,BL101-DaysForThetaCalculation/365.25,BP101,BQ101,0,Strike1,AO101,CE101,0,BL101,IF(OptControl=4,0,1),0,1)-xCrudeAPO(BU101,BV101,CA101,CB101,S102,S103,BI101,BL101,BP101,BQ101,0,Strike1,AO101,CE101,0,BL101,IF(OptControl=4,0,1),0,1),0)</f>
        <v>0</v>
      </c>
      <c r="CJ101" s="471" t="n">
        <f aca="false">IF(BD101,xCrudeAPO(BU101,BV101,CC101,CD101,S102,S103,BI101,BL101,BP101,BQ101,0,Strike2,AO101,CE101,0,BL101,IF(OptControl=3,1,0),0,1),0)</f>
        <v>0</v>
      </c>
      <c r="CK101" s="470" t="n">
        <f aca="false">IF(BD101,xCrudeAPO(BU101,BV101,CC101,CD101,S102,S103,BI101,BL101,BP101,BQ101,0,Strike2,AO101,CE101,0,BL101,IF(OptControl=3,1,0),1,1)+xCrudeAPO(BU101,BV101,CC101,CD101,S102,S103,BI101,BL101,BP101,BQ101,0,Strike2,AO101,CE101,0,BL101,IF(OptControl=3,1,0),1,2)+IF(OR(VolSkewFlag=2,ABS(BT101)&lt;0.0001),0,IF(BT101&gt;0,-1,1)*CL101*Strike2/BR101^2*BZ101/10%),0)</f>
        <v>0</v>
      </c>
      <c r="CL101" s="470" t="n">
        <f aca="false">IF(BD101,(xCrudeAPO(BU101,BV101,CC101,CD101,S102,S103,BI101,BL101,BP101,BQ101,0,Strike2,AO101,CE101,0,BL101,IF(OptControl=3,1,0),3,1)+xCrudeAPO(BU101,BV101,CC101,CD101,S102,S103,BI101,BL101,BP101,BQ101,0,Strike2,AO101,CE101,0,BL101,IF(OptControl=3,1,0),3,2))/100,0)</f>
        <v>0</v>
      </c>
      <c r="CM101" s="472" t="n">
        <f aca="false">IF(BD101,xCrudeAPO(BU101,BV101,CC101,CD101,S102,S103,BI101-DaysForThetaCalculation/365.25,BL101-DaysForThetaCalculation/365.25,BP101,BQ101,0,Strike2,AO101,CE101,0,BL101,IF(OptControl=3,1,0),0,1)-xCrudeAPO(BU101,BV101,CC101,CD101,S102,S103,BI101,BL101,BP101,BQ101,0,Strike2,AO101,CE101,0,BL101,IF(OptControl=3,1,0),0,1),0)</f>
        <v>0</v>
      </c>
      <c r="CN101" s="3"/>
      <c r="CO101" s="543" t="str">
        <f aca="false">IF(BD101,CHOOSE(Underlying,AD101,AF101)-DateToday+1,"")</f>
        <v/>
      </c>
      <c r="CP101" s="582" t="str">
        <f aca="false">IF(BD101,CHOOSE(Underlying,L101,R101),"")</f>
        <v/>
      </c>
      <c r="CQ101" s="544" t="str">
        <f aca="false">IF(BD101,Strike1/CP101-1,"")</f>
        <v/>
      </c>
      <c r="CR101" s="544" t="str">
        <f aca="false">IF(BD101,Strike2/CP101-1,"")</f>
        <v/>
      </c>
      <c r="CS101" s="544" t="str">
        <f aca="false">IF(BD101,IF(CQ101&gt;0,IF(CQ101&gt;0.2,BC100-BB100,IF(CQ101&gt;0.1,BB100-BA100,BA100)),IF(CQ101&lt;-0.2,AX100-AY100,IF(CQ101&lt;-0.1,AY100-AZ100,AZ100))),"")</f>
        <v/>
      </c>
      <c r="CT101" s="544" t="str">
        <f aca="false">IF(BD101,IF(CR101&gt;0,IF(CR101&gt;0.2,BC100-BB100,IF(CR101&gt;0.1,BB100-BA100,BA100)),IF(CR101&lt;-0.2,AX100-AY100,IF(CR101&lt;-0.1,AY100-AZ100,AZ100))),"")</f>
        <v/>
      </c>
      <c r="CU101" s="545" t="str">
        <f aca="false">IF(BD101,CHOOSE(Underlying,O101,AT101),"")</f>
        <v/>
      </c>
      <c r="CV101" s="545" t="str">
        <f aca="false">IF(BD101,CU101+IF(VolSkewFlag=1,IF(CQ101&gt;0,BA100*MIN(CQ101/10%,1)+(BB100-BA100)*MAX(0,MIN(CQ101/10%-1,1))+(BC100-BB100)*MAX(0,CQ101/10%-2),AZ100*MIN(-CQ101/10%,1)+(AY100-AZ100)*MAX(0,MIN(-CQ101/10%-1,1))+(AX100-AY100)*MAX(0,-CQ101/10%-2)),0),"")</f>
        <v/>
      </c>
      <c r="CW101" s="545" t="str">
        <f aca="false">IF(BD101,CU101+IF(VolSkewFlag=1,IF(CR101&gt;0,BA100*MIN(CR101/10%,1)+(BB100-BA100)*MAX(0,MIN(CR101/10%-1,1))+(BC100-BB100)*MAX(0,CR101/10%-2),AZ100*MIN(-CR101/10%,1)+(AY100-AZ100)*MAX(0,MIN(-CR101/10%-1,1))+(AX100-AY100)*MAX(0,-CR101/10%-2)),0),"")</f>
        <v/>
      </c>
      <c r="CX101" s="470" t="n">
        <f aca="false">IF(BD101,EURO(CP101,Strike1,AO101,AO101,CV101,CO101,IF(OptControl=4,0,1),0),0)</f>
        <v>0</v>
      </c>
      <c r="CY101" s="470" t="n">
        <f aca="false">IF(BD101,EURO(CP101,Strike1,AO101,AO101,CV101,CO101,IF(OptControl=4,0,1),1)+IF(OR(VolSkewFlag=2,ABS(CQ101)&lt;0.0001),0,IF(CQ101&gt;0,-1,1)*CZ101*100*Strike1/CP101^2*CS101/10%),0)</f>
        <v>0</v>
      </c>
      <c r="CZ101" s="470" t="n">
        <f aca="false">IF(BD101,EURO(CP101,Strike1,AO101,AO101,CV101,CO101,IF(OptControl=4,0,1),3)/100,0)</f>
        <v>0</v>
      </c>
      <c r="DA101" s="470" t="n">
        <f aca="false">IF(BD101,EURO(CP101,Strike1,AO101,AO101,CV101,CO101,IF(OptControl=4,0,1),0)-EURO(CP101,Strike1,AO101,AO101,CV101,CO101-1,IF(OptControl=4,0,1),0),0)</f>
        <v>0</v>
      </c>
      <c r="DB101" s="470" t="n">
        <f aca="false">IF(BD101,EURO(CP101,Strike2,AO101,AO101,CW101,CO101,IF(OptControl=3,1,0),0),0)</f>
        <v>0</v>
      </c>
      <c r="DC101" s="470" t="n">
        <f aca="false">IF(BD101,EURO(CP101,Strike2,AO101,AO101,CW101,CO101,IF(OptControl=3,1,0),1)+IF(OR(VolSkewFlag=2,ABS(CR101)&lt;0.0001),0,IF(CR101&gt;0,-1,1)*DD101*100*Strike2/CP101^2*CT101/10%),0)</f>
        <v>0</v>
      </c>
      <c r="DD101" s="470" t="n">
        <f aca="false">IF(BD101,EURO(CP101,Strike2,AO101,AO101,CW101,CO101,IF(OptControl=3,1,0),3)/100,0)</f>
        <v>0</v>
      </c>
      <c r="DE101" s="472" t="n">
        <f aca="false">IF(BD101,EURO(CP101,Strike2,AO101,AO101,CW101,CO101,IF(OptControl=3,1,0),0)-EURO(CP101,Strike2,AO101,AO101,CW101,CO101-1,IF(OptControl=3,1,0),0),0)</f>
        <v>0</v>
      </c>
      <c r="DG101" s="481" t="n">
        <f aca="false">EOMONTH(DG100,0)+1</f>
        <v>48153</v>
      </c>
      <c r="DH101" s="478" t="n">
        <v>18.3108333333333</v>
      </c>
      <c r="DI101" s="479" t="n">
        <v>18.3266666666667</v>
      </c>
      <c r="DJ101" s="480" t="n">
        <f aca="false">DG101</f>
        <v>48153</v>
      </c>
      <c r="DK101" s="478" t="n">
        <v>17.1181391682227</v>
      </c>
      <c r="DL101" s="479" t="n">
        <v>17.1432666666667</v>
      </c>
      <c r="DM101" s="481" t="n">
        <f aca="false">DG101</f>
        <v>48153</v>
      </c>
      <c r="DN101" s="482" t="n">
        <f aca="false">DK101+BrentPhyBrentSpread</f>
        <v>17.1681391682227</v>
      </c>
      <c r="DO101" s="481" t="n">
        <f aca="false">DG101</f>
        <v>48153</v>
      </c>
      <c r="DP101" s="483" t="n">
        <f aca="false">DL101+DQ101</f>
        <v>17.1432666666667</v>
      </c>
      <c r="DQ101" s="546" t="n">
        <v>0</v>
      </c>
      <c r="DR101" s="480" t="n">
        <f aca="false">DG101</f>
        <v>48153</v>
      </c>
      <c r="DS101" s="485" t="n">
        <v>0.176</v>
      </c>
      <c r="DT101" s="486" t="n">
        <v>0.175181818181818</v>
      </c>
      <c r="DU101" s="480" t="n">
        <f aca="false">DG101</f>
        <v>48153</v>
      </c>
      <c r="DV101" s="485" t="n">
        <v>0.176</v>
      </c>
      <c r="DW101" s="486" t="n">
        <v>0.175181818181818</v>
      </c>
      <c r="DX101" s="481" t="n">
        <f aca="false">DG101</f>
        <v>48153</v>
      </c>
      <c r="DY101" s="486" t="n">
        <v>0.35</v>
      </c>
      <c r="DZ101" s="481" t="n">
        <f aca="false">DR101</f>
        <v>48153</v>
      </c>
      <c r="EA101" s="486" t="n">
        <f aca="false">DT101</f>
        <v>0.175181818181818</v>
      </c>
      <c r="EB101" s="195"/>
      <c r="EC101" s="547" t="str">
        <f aca="false">IF(BD101,IF(Underlying=1,AS101,AU101),"")</f>
        <v/>
      </c>
      <c r="ED101" s="548" t="str">
        <f aca="false">IF($BD101,$EC101+IF(VolSkewFlag=1,IF(BS101&gt;0,$BA101*MIN(BS101/10%,1)+($BB101-$BA101)*MAX(0,MIN(BS101/10%-1,1))+($BC101-$BB101)*MAX(0,BS101/10%-2),$AZ101*MIN(-BS101/10%,1)+($AY101-$AZ101)*MAX(0,MIN(-BS101/10%-1,1))+($AX101-$AY101)*MAX(0,-BS101/10%-2)),0),"")</f>
        <v/>
      </c>
      <c r="EE101" s="549" t="str">
        <f aca="false">IF($BD101,$EC101+IF(VolSkewFlag=1,IF(BT101&gt;0,$BA101*MIN(BT101/10%,1)+($BB101-$BA101)*MAX(0,MIN(BT101/10%-1,1))+($BC101-$BB101)*MAX(0,BT101/10%-2),$AZ101*MIN(-BT101/10%,1)+($AY101-$AZ101)*MAX(0,MIN(-BT101/10%-1,1))+($AX101-$AY101)*MAX(0,-BT101/10%-2)),0),"")</f>
        <v/>
      </c>
      <c r="EF101" s="550" t="n">
        <f aca="false">IF(BD101,xASN(BR101,Strike1,AO101,ED101,0,BO101,0,BI101,BL101,IF(OptControl=4,0,1),0),0)</f>
        <v>0</v>
      </c>
      <c r="EG101" s="551" t="n">
        <f aca="false">IF(BD101,xASN(BR101,Strike2,AO101,EE101,0,BO101,0,BI101,BL101,IF(OptControl=3,1,0),0),0)</f>
        <v>0</v>
      </c>
      <c r="EL101" s="1"/>
      <c r="EM101" s="195"/>
      <c r="EN101" s="240"/>
      <c r="EO101" s="240"/>
      <c r="EP101" s="195"/>
      <c r="EQ101" s="407" t="s">
        <v>328</v>
      </c>
      <c r="ES101" s="130"/>
      <c r="ET101" s="19"/>
      <c r="EU101" s="672"/>
      <c r="EV101" s="478"/>
      <c r="EW101" s="131"/>
      <c r="EX101" s="131"/>
      <c r="EY101" s="129"/>
      <c r="EZ101" s="129"/>
      <c r="FA101" s="129"/>
      <c r="FB101" s="129"/>
      <c r="FC101" s="129"/>
      <c r="FD101" s="129"/>
      <c r="FE101" s="129"/>
      <c r="FF101" s="129"/>
      <c r="FG101" s="129"/>
      <c r="FH101" s="129"/>
      <c r="FI101" s="129"/>
      <c r="FJ101" s="571" t="n">
        <v>7</v>
      </c>
      <c r="FK101" s="150" t="e">
        <f aca="false">IF($FJ26&lt;FK$94,"",SQRT(FK26/FK$15))</f>
        <v>#DIV/0!</v>
      </c>
      <c r="FL101" s="150" t="n">
        <f aca="false">IF($FJ26&lt;FL$94,"",SQRT(FL26/FL$15))</f>
        <v>-0</v>
      </c>
      <c r="FM101" s="150" t="n">
        <f aca="false">IF($FJ26&lt;FM$94,"",SQRT(FM26/FM$15))</f>
        <v>0.26162779896379</v>
      </c>
      <c r="FN101" s="150" t="n">
        <f aca="false">IF($FJ26&lt;FN$94,"",SQRT(FN26/FN$15))</f>
        <v>0.276762011506153</v>
      </c>
      <c r="FO101" s="150" t="n">
        <f aca="false">IF($FJ26&lt;FO$94,"",SQRT(FO26/FO$15))</f>
        <v>0.298283125759031</v>
      </c>
      <c r="FP101" s="150" t="n">
        <f aca="false">IF($FJ26&lt;FP$94,"",SQRT(FP26/FP$15))</f>
        <v>0.328137400436749</v>
      </c>
      <c r="FQ101" s="150" t="n">
        <f aca="false">IF($FJ26&lt;FQ$94,"",SQRT(FQ26/FQ$15))</f>
        <v>0.3694921875</v>
      </c>
      <c r="FR101" s="150" t="str">
        <f aca="false">IF($FJ26&lt;FR$94,"",SQRT(FR26/FR$15))</f>
        <v/>
      </c>
      <c r="FS101" s="150" t="str">
        <f aca="false">IF($FJ26&lt;FS$94,"",SQRT(FS26/FS$15))</f>
        <v/>
      </c>
      <c r="FT101" s="150" t="str">
        <f aca="false">IF($FJ26&lt;FT$94,"",SQRT(FT26/FT$15))</f>
        <v/>
      </c>
      <c r="FU101" s="150" t="str">
        <f aca="false">IF($FJ26&lt;FU$94,"",SQRT(FU26/FU$15))</f>
        <v/>
      </c>
      <c r="FV101" s="150" t="str">
        <f aca="false">IF($FJ26&lt;FV$94,"",SQRT(FV26/FV$15))</f>
        <v/>
      </c>
      <c r="FW101" s="150" t="str">
        <f aca="false">IF($FJ26&lt;FW$94,"",SQRT(FW26/FW$15))</f>
        <v/>
      </c>
      <c r="FX101" s="150" t="str">
        <f aca="false">IF($FJ26&lt;FX$94,"",SQRT(FX26/FX$15))</f>
        <v/>
      </c>
      <c r="FY101" s="150" t="str">
        <f aca="false">IF($FJ26&lt;FY$94,"",SQRT(FY26/FY$15))</f>
        <v/>
      </c>
      <c r="FZ101" s="150" t="str">
        <f aca="false">IF($FJ26&lt;FZ$94,"",SQRT(FZ26/FZ$15))</f>
        <v/>
      </c>
      <c r="GA101" s="150" t="str">
        <f aca="false">IF($FJ26&lt;GA$94,"",SQRT(GA26/GA$15))</f>
        <v/>
      </c>
      <c r="GB101" s="150" t="str">
        <f aca="false">IF($FJ26&lt;GB$94,"",SQRT(GB26/GB$15))</f>
        <v/>
      </c>
      <c r="GC101" s="150" t="str">
        <f aca="false">IF($FJ26&lt;GC$94,"",SQRT(GC26/GC$15))</f>
        <v/>
      </c>
      <c r="GD101" s="150" t="str">
        <f aca="false">IF($FJ26&lt;GD$94,"",SQRT(GD26/GD$15))</f>
        <v/>
      </c>
      <c r="GE101" s="150" t="str">
        <f aca="false">IF($FJ26&lt;GE$94,"",SQRT(GE26/GE$15))</f>
        <v/>
      </c>
      <c r="GF101" s="150" t="str">
        <f aca="false">IF($FJ26&lt;GF$94,"",SQRT(GF26/GF$15))</f>
        <v/>
      </c>
      <c r="GG101" s="150" t="str">
        <f aca="false">IF($FJ26&lt;GG$94,"",SQRT(GG26/GG$15))</f>
        <v/>
      </c>
      <c r="GH101" s="150" t="str">
        <f aca="false">IF($FJ26&lt;GH$94,"",SQRT(GH26/GH$15))</f>
        <v/>
      </c>
      <c r="GI101" s="150" t="str">
        <f aca="false">IF($FJ26&lt;GI$94,"",SQRT(GI26/GI$15))</f>
        <v/>
      </c>
      <c r="GJ101" s="150" t="str">
        <f aca="false">IF($FJ26&lt;GJ$94,"",SQRT(GJ26/GJ$15))</f>
        <v/>
      </c>
      <c r="GK101" s="150" t="str">
        <f aca="false">IF($FJ26&lt;GK$94,"",SQRT(GK26/GK$15))</f>
        <v/>
      </c>
      <c r="GL101" s="150" t="str">
        <f aca="false">IF($FJ26&lt;GL$94,"",SQRT(GL26/GL$15))</f>
        <v/>
      </c>
      <c r="GM101" s="150" t="str">
        <f aca="false">IF($FJ26&lt;GM$94,"",SQRT(GM26/GM$15))</f>
        <v/>
      </c>
      <c r="GN101" s="150" t="str">
        <f aca="false">IF($FJ26&lt;GN$94,"",SQRT(GN26/GN$15))</f>
        <v/>
      </c>
      <c r="GO101" s="150" t="str">
        <f aca="false">IF($FJ26&lt;GO$94,"",SQRT(GO26/GO$15))</f>
        <v/>
      </c>
      <c r="GP101" s="150" t="str">
        <f aca="false">IF($FJ26&lt;GP$94,"",SQRT(GP26/GP$15))</f>
        <v/>
      </c>
      <c r="GQ101" s="150" t="str">
        <f aca="false">IF($FJ26&lt;GQ$94,"",SQRT(GQ26/GQ$15))</f>
        <v/>
      </c>
      <c r="GR101" s="150" t="str">
        <f aca="false">IF($FJ26&lt;GR$94,"",SQRT(GR26/GR$15))</f>
        <v/>
      </c>
      <c r="GS101" s="150" t="str">
        <f aca="false">IF($FJ26&lt;GS$94,"",SQRT(GS26/GS$15))</f>
        <v/>
      </c>
      <c r="GT101" s="150" t="str">
        <f aca="false">IF($FJ26&lt;GT$94,"",SQRT(GT26/GT$15))</f>
        <v/>
      </c>
      <c r="GU101" s="150" t="str">
        <f aca="false">IF($FJ26&lt;GU$94,"",SQRT(GU26/GU$15))</f>
        <v/>
      </c>
      <c r="GV101" s="150" t="str">
        <f aca="false">IF($FJ26&lt;GV$94,"",SQRT(GV26/GV$15))</f>
        <v/>
      </c>
      <c r="GW101" s="150" t="str">
        <f aca="false">IF($FJ26&lt;GW$94,"",SQRT(GW26/GW$15))</f>
        <v/>
      </c>
      <c r="GX101" s="150" t="str">
        <f aca="false">IF($FJ26&lt;GX$94,"",SQRT(GX26/GX$15))</f>
        <v/>
      </c>
      <c r="GY101" s="150" t="str">
        <f aca="false">IF($FJ26&lt;GY$94,"",SQRT(GY26/GY$15))</f>
        <v/>
      </c>
      <c r="GZ101" s="150" t="str">
        <f aca="false">IF($FJ26&lt;GZ$94,"",SQRT(GZ26/GZ$15))</f>
        <v/>
      </c>
      <c r="HA101" s="150" t="str">
        <f aca="false">IF($FJ26&lt;HA$94,"",SQRT(HA26/HA$15))</f>
        <v/>
      </c>
      <c r="HB101" s="150" t="str">
        <f aca="false">IF($FJ26&lt;HB$94,"",SQRT(HB26/HB$15))</f>
        <v/>
      </c>
      <c r="HC101" s="150" t="str">
        <f aca="false">IF($FJ26&lt;HC$94,"",SQRT(HC26/HC$15))</f>
        <v/>
      </c>
      <c r="HD101" s="150" t="str">
        <f aca="false">IF($FJ26&lt;HD$94,"",SQRT(HD26/HD$15))</f>
        <v/>
      </c>
      <c r="HE101" s="150" t="str">
        <f aca="false">IF($FJ26&lt;HE$94,"",SQRT(HE26/HE$15))</f>
        <v/>
      </c>
      <c r="HF101" s="150" t="str">
        <f aca="false">IF($FJ26&lt;HF$94,"",SQRT(HF26/HF$15))</f>
        <v/>
      </c>
      <c r="HG101" s="150" t="str">
        <f aca="false">IF($FJ26&lt;HG$94,"",SQRT(HG26/HG$15))</f>
        <v/>
      </c>
      <c r="HH101" s="150" t="str">
        <f aca="false">IF($FJ26&lt;HH$94,"",SQRT(HH26/HH$15))</f>
        <v/>
      </c>
      <c r="HI101" s="150" t="str">
        <f aca="false">IF($FJ26&lt;HI$94,"",SQRT(HI26/HI$15))</f>
        <v/>
      </c>
      <c r="HJ101" s="150" t="str">
        <f aca="false">IF($FJ26&lt;HJ$94,"",SQRT(HJ26/HJ$15))</f>
        <v/>
      </c>
      <c r="HK101" s="150" t="str">
        <f aca="false">IF($FJ26&lt;HK$94,"",SQRT(HK26/HK$15))</f>
        <v/>
      </c>
      <c r="HL101" s="150" t="str">
        <f aca="false">IF($FJ26&lt;HL$94,"",SQRT(HL26/HL$15))</f>
        <v/>
      </c>
      <c r="HM101" s="150" t="str">
        <f aca="false">IF($FJ26&lt;HM$94,"",SQRT(HM26/HM$15))</f>
        <v/>
      </c>
      <c r="HN101" s="150" t="str">
        <f aca="false">IF($FJ26&lt;HN$94,"",SQRT(HN26/HN$15))</f>
        <v/>
      </c>
      <c r="HO101" s="150" t="str">
        <f aca="false">IF($FJ26&lt;HO$94,"",SQRT(HO26/HO$15))</f>
        <v/>
      </c>
      <c r="HP101" s="150" t="str">
        <f aca="false">IF($FJ26&lt;HP$94,"",SQRT(HP26/HP$15))</f>
        <v/>
      </c>
      <c r="HQ101" s="150" t="str">
        <f aca="false">IF($FJ26&lt;HQ$94,"",SQRT(HQ26/HQ$15))</f>
        <v/>
      </c>
      <c r="HR101" s="150" t="str">
        <f aca="false">IF($FJ26&lt;HR$94,"",SQRT(HR26/HR$15))</f>
        <v/>
      </c>
      <c r="HS101" s="150" t="str">
        <f aca="false">IF($FJ26&lt;HS$94,"",SQRT(HS26/HS$15))</f>
        <v/>
      </c>
      <c r="HT101" s="150" t="str">
        <f aca="false">IF($FJ26&lt;HT$94,"",SQRT(HT26/HT$15))</f>
        <v/>
      </c>
      <c r="HU101" s="150" t="str">
        <f aca="false">IF($FJ26&lt;HU$94,"",SQRT(HU26/HU$15))</f>
        <v/>
      </c>
      <c r="HV101" s="150" t="str">
        <f aca="false">IF($FJ26&lt;HV$94,"",SQRT(HV26/HV$15))</f>
        <v/>
      </c>
      <c r="HW101" s="150" t="str">
        <f aca="false">IF($FJ26&lt;HW$94,"",SQRT(HW26/HW$15))</f>
        <v/>
      </c>
      <c r="HX101" s="150" t="str">
        <f aca="false">IF($FJ26&lt;HX$94,"",SQRT(HX26/HX$15))</f>
        <v/>
      </c>
      <c r="HY101" s="150" t="str">
        <f aca="false">IF($FJ26&lt;HY$94,"",SQRT(HY26/HY$15))</f>
        <v/>
      </c>
      <c r="HZ101" s="150" t="str">
        <f aca="false">IF($FJ26&lt;HZ$94,"",SQRT(HZ26/HZ$15))</f>
        <v/>
      </c>
      <c r="IA101" s="150" t="str">
        <f aca="false">IF($FJ26&lt;IA$94,"",SQRT(IA26/IA$15))</f>
        <v/>
      </c>
      <c r="IB101" s="150" t="str">
        <f aca="false">IF($FJ26&lt;IB$94,"",SQRT(IB26/IB$15))</f>
        <v/>
      </c>
      <c r="IC101" s="150" t="str">
        <f aca="false">IF($FJ26&lt;IC$94,"",SQRT(IC26/IC$15))</f>
        <v/>
      </c>
      <c r="ID101" s="572" t="str">
        <f aca="false">IF($FJ26&lt;ID$94,"",SQRT(ID26/ID$15))</f>
        <v/>
      </c>
      <c r="IE101" s="129"/>
    </row>
    <row r="102" customFormat="false" ht="12.75" hidden="false" customHeight="false" outlineLevel="0" collapsed="false">
      <c r="H102" s="219" t="n">
        <f aca="false">VLOOKUP(I102,$EJ$20:$EL$54,3)</f>
        <v>0</v>
      </c>
      <c r="I102" s="511" t="n">
        <f aca="false">EOMONTH(I101,0)+1</f>
        <v>39264</v>
      </c>
      <c r="J102" s="512"/>
      <c r="K102" s="513" t="s">
        <v>280</v>
      </c>
      <c r="L102" s="514" t="n">
        <f aca="false">IF(ISNUMBER(K102),J102+K102/100,IF(K102="extra",L101+VLOOKUP(BF102,PriceSpreadTable,2)/12,IF(K102="inter",interpolateprices($K$19:$L$200,ROW(K102)-ROW(FirstPricingMonth)+1),interpolatechanges($J$19:$K$200,ROW(K102)-ROW(FirstPricingMonth)+1))))</f>
        <v>0.225</v>
      </c>
      <c r="M102" s="515"/>
      <c r="N102" s="516" t="n">
        <v>0</v>
      </c>
      <c r="O102" s="515" t="n">
        <f aca="false">M102+N102</f>
        <v>0</v>
      </c>
      <c r="P102" s="512"/>
      <c r="Q102" s="513" t="s">
        <v>280</v>
      </c>
      <c r="R102" s="512" t="e">
        <f aca="false">IF(ISNUMBER(Q102),P102+Q102/100,IF(Q102="extra",(Z100*AL100-R101*AM100)/AN100,IF(Q102="inter",interpolateprices($Q$19:$R$260,ROW(Q102)-ROW(FirstPricingMonth)+1),interpolatechanges($P$19:$Q$260,ROW(Q102)-ROW(FirstPricingMonth)+1))))</f>
        <v>#VALUE!</v>
      </c>
      <c r="S102" s="597" t="n">
        <f aca="false">S$19+(S101-S$19)*S$18</f>
        <v>0.360000000003034</v>
      </c>
      <c r="T102" s="575" t="n">
        <f aca="false">SQRT((1-(1-T101^2/U101)*T$18)*U102)</f>
        <v>0.999999703715198</v>
      </c>
      <c r="U102" s="576" t="n">
        <f aca="false">1-(1-U101)*U$18</f>
        <v>0.999999999999147</v>
      </c>
      <c r="V102" s="521" t="n">
        <v>0</v>
      </c>
      <c r="W102" s="577" t="n">
        <f aca="false">(J103*AJ102+J104*AK102)/AI102</f>
        <v>0</v>
      </c>
      <c r="X102" s="578" t="n">
        <f aca="false">(L103*AJ102+L104*AK102)/AI102</f>
        <v>0.275</v>
      </c>
      <c r="Y102" s="579" t="n">
        <f aca="false">IF(Q104="extra",W102-AA102,(P103*AM102+P104*AN102)/AL102)</f>
        <v>-1.2257</v>
      </c>
      <c r="Z102" s="579" t="n">
        <f aca="false">IF(Q104="extra",X102-AB102,(R103*AM102+R104*AN102)/AL102)</f>
        <v>-0.9507</v>
      </c>
      <c r="AA102" s="523" t="n">
        <f aca="false">IF(Q104="extra",INDEX(BrentSeasonalityTable,INT((BG102-1)/3)+1)*VLOOKUP(MAX(BF102,$AB$4),PriceSpreadTable,3),W102-Y102)</f>
        <v>1.2257</v>
      </c>
      <c r="AB102" s="524" t="n">
        <f aca="false">IF(Q104="extra",INDEX(BrentSeasonalityTable,INT((BG102-1)/3)+1)*VLOOKUP(MAX(BF102,$AB$4),PriceSpreadTable,3),X102-Z102)</f>
        <v>1.2257</v>
      </c>
      <c r="AC102" s="646" t="n">
        <v>39253</v>
      </c>
      <c r="AD102" s="646" t="n">
        <v>39249</v>
      </c>
      <c r="AE102" s="646" t="n">
        <v>39248</v>
      </c>
      <c r="AF102" s="646" t="n">
        <v>39244</v>
      </c>
      <c r="AG102" s="438" t="s">
        <v>278</v>
      </c>
      <c r="AH102" s="439" t="s">
        <v>278</v>
      </c>
      <c r="AI102" s="528" t="n">
        <v>21</v>
      </c>
      <c r="AJ102" s="529" t="n">
        <v>14</v>
      </c>
      <c r="AK102" s="529" t="n">
        <v>7</v>
      </c>
      <c r="AL102" s="530" t="n">
        <v>22</v>
      </c>
      <c r="AM102" s="529" t="n">
        <v>10</v>
      </c>
      <c r="AN102" s="531" t="n">
        <v>12</v>
      </c>
      <c r="AO102" s="532"/>
      <c r="AP102" s="465" t="n">
        <f aca="false">(1+AO102/2)^(-2*BL102)</f>
        <v>1</v>
      </c>
      <c r="AQ102" s="532"/>
      <c r="AR102" s="465" t="n">
        <f aca="false">(1+AQ102/2)^(-2*BH102/365.25)</f>
        <v>1</v>
      </c>
      <c r="AS102" s="580" t="n">
        <f aca="false">(O103*AJ102+O104*AK102)/AI102</f>
        <v>0</v>
      </c>
      <c r="AT102" s="468" t="n">
        <f aca="false">O102*VLOOKUP(BF102,BrentVolTable,2)+VLOOKUP(BF102,BrentVolTable,3)</f>
        <v>0</v>
      </c>
      <c r="AU102" s="468" t="n">
        <f aca="false">(AT103*AM102+AT104*AN102)/AL102</f>
        <v>0</v>
      </c>
      <c r="AV102" s="595" t="n">
        <f aca="false">SQRT(MAX(0.000000000001,(O102^2*BH102-S102^2*(BH102-BH101))/BH101))</f>
        <v>0.0244748024198671</v>
      </c>
      <c r="AW102" s="451" t="n">
        <f aca="false">IF($I102-DateToday+15&gt;=$T$8,"",IF($I102-DateToday+15&lt;$T$5,1,MATCH($I102-DateToday+15,$T$5:$T$8)))</f>
        <v>1</v>
      </c>
      <c r="AX102" s="468" t="n">
        <f aca="false">IF($AW102="",AX101^2/AX100,INDEX(U$5:U$8,$AW102)^((INDEX($T$5:$T$8,$AW102+1)-($I102-DateToday+15))/(INDEX($T$5:$T$8,$AW102+1)-INDEX($T$5:$T$8,$AW102)))/INDEX(U$5:U$8,$AW102+1)^((INDEX($T$5:$T$8,$AW102)-($I102-DateToday+15))/(INDEX($T$5:$T$8,$AW102+1)-INDEX($T$5:$T$8,$AW102))))</f>
        <v>2.17694985549019</v>
      </c>
      <c r="AY102" s="468" t="n">
        <f aca="false">IF($AW102="",AY101^2/AY100,INDEX(V$5:V$8,$AW102)^((INDEX($T$5:$T$8,$AW102+1)-($I102-DateToday+15))/(INDEX($T$5:$T$8,$AW102+1)-INDEX($T$5:$T$8,$AW102)))/INDEX(V$5:V$8,$AW102+1)^((INDEX($T$5:$T$8,$AW102)-($I102-DateToday+15))/(INDEX($T$5:$T$8,$AW102+1)-INDEX($T$5:$T$8,$AW102))))</f>
        <v>165.265570922594</v>
      </c>
      <c r="AZ102" s="468" t="n">
        <f aca="false">IF($AW102="",AZ101^2/AZ100,INDEX(W$5:W$8,$AW102)^((INDEX($T$5:$T$8,$AW102+1)-($I102-DateToday+15))/(INDEX($T$5:$T$8,$AW102+1)-INDEX($T$5:$T$8,$AW102)))/INDEX(W$5:W$8,$AW102+1)^((INDEX($T$5:$T$8,$AW102)-($I102-DateToday+15))/(INDEX($T$5:$T$8,$AW102+1)-INDEX($T$5:$T$8,$AW102))))</f>
        <v>827161.205498009</v>
      </c>
      <c r="BA102" s="468" t="n">
        <f aca="false">IF($AW102="",BA101^2/BA100,INDEX(X$5:X$8,$AW102)^((INDEX($T$5:$T$8,$AW102+1)-($I102-DateToday+15))/(INDEX($T$5:$T$8,$AW102+1)-INDEX($T$5:$T$8,$AW102)))/INDEX(X$5:X$8,$AW102+1)^((INDEX($T$5:$T$8,$AW102)-($I102-DateToday+15))/(INDEX($T$5:$T$8,$AW102+1)-INDEX($T$5:$T$8,$AW102))))</f>
        <v>18757171.5289164</v>
      </c>
      <c r="BB102" s="468" t="n">
        <f aca="false">IF($AW102="",BB101^2/BB100,INDEX(Y$5:Y$8,$AW102)^((INDEX($T$5:$T$8,$AW102+1)-($I102-DateToday+15))/(INDEX($T$5:$T$8,$AW102+1)-INDEX($T$5:$T$8,$AW102)))/INDEX(Y$5:Y$8,$AW102+1)^((INDEX($T$5:$T$8,$AW102)-($I102-DateToday+15))/(INDEX($T$5:$T$8,$AW102+1)-INDEX($T$5:$T$8,$AW102))))</f>
        <v>230410209.179372</v>
      </c>
      <c r="BC102" s="468" t="n">
        <f aca="false">IF($AW102="",BC101^2/BC100,INDEX(Z$5:Z$8,$AW102)^((INDEX($T$5:$T$8,$AW102+1)-($I102-DateToday+15))/(INDEX($T$5:$T$8,$AW102+1)-INDEX($T$5:$T$8,$AW102)))/INDEX(Z$5:Z$8,$AW102+1)^((INDEX($T$5:$T$8,$AW102)-($I102-DateToday+15))/(INDEX($T$5:$T$8,$AW102+1)-INDEX($T$5:$T$8,$AW102))))</f>
        <v>1038108206.53162</v>
      </c>
      <c r="BD102" s="535" t="n">
        <f aca="false">IF(OR(DateStart&gt;=I103,DateEnd&lt;I102),0,IF(VolumeOverrideFlag,V102,Volume))</f>
        <v>0</v>
      </c>
      <c r="BE102" s="536" t="n">
        <f aca="false">IF(OR(DateStart2&gt;=I103,DateEnd2&lt;I102),0,IF(VolumeOverrideFlag,V102,VolumeSwaption))</f>
        <v>0</v>
      </c>
      <c r="BF102" s="537" t="n">
        <f aca="false">YEAR(I102)</f>
        <v>2007</v>
      </c>
      <c r="BG102" s="538" t="n">
        <f aca="false">MONTH(I102)</f>
        <v>7</v>
      </c>
      <c r="BH102" s="539" t="n">
        <f aca="false">AD102-DateToday+1</f>
        <v>-6676</v>
      </c>
      <c r="BI102" s="540" t="n">
        <f aca="false">(I102-DateToday+1)/365.25</f>
        <v>-18.2368240930869</v>
      </c>
      <c r="BJ102" s="541" t="n">
        <f aca="false">BI102+(BL102-BI102)*CHOOSE(Underlying,AJ102/AI102,AM102/AL102)</f>
        <v>-18.1820670773443</v>
      </c>
      <c r="BK102" s="541" t="n">
        <f aca="false">BJ102+1/365.25</f>
        <v>-18.1793292265572</v>
      </c>
      <c r="BL102" s="541" t="n">
        <f aca="false">(I103-DateToday)/365.25</f>
        <v>-18.154688569473</v>
      </c>
      <c r="BM102" s="542" t="e">
        <f aca="false">MAX(BI102-(BJ102-BI102)*(S103^2/O103^2-1),0)</f>
        <v>#DIV/0!</v>
      </c>
      <c r="BN102" s="541" t="e">
        <f aca="false">MAX(BL102+(BL102-BK102)*(S104^2/O104^2-1),0)</f>
        <v>#DIV/0!</v>
      </c>
      <c r="BO102" s="530" t="n">
        <f aca="false">CHOOSE(Underlying,AI102,AL102)</f>
        <v>21</v>
      </c>
      <c r="BP102" s="529" t="n">
        <f aca="false">CHOOSE(Underlying,AJ102,AM102)</f>
        <v>14</v>
      </c>
      <c r="BQ102" s="529" t="n">
        <f aca="false">CHOOSE(Underlying,AK102,AN102)</f>
        <v>7</v>
      </c>
      <c r="BR102" s="463" t="str">
        <f aca="false">IF(BD102,IF(Underlying=1,X102,Z102)+UnderlyingPriceAsian-SwapPriceCurve,"")</f>
        <v/>
      </c>
      <c r="BS102" s="463" t="str">
        <f aca="false">IF(BD102,Strike1/BR102-1,"")</f>
        <v/>
      </c>
      <c r="BT102" s="464" t="str">
        <f aca="false">IF(BD102,Strike2/BR102-1,"")</f>
        <v/>
      </c>
      <c r="BU102" s="465" t="str">
        <f aca="false">IF(BD102,IF(Underlying=1,L103,R103)+UnderlyingPriceAsian-SwapPriceCurve,"")</f>
        <v/>
      </c>
      <c r="BV102" s="465" t="str">
        <f aca="false">IF(BD102,IF(Underlying=1,L104,R104)+UnderlyingPriceAsian-SwapPriceCurve,"")</f>
        <v/>
      </c>
      <c r="BW102" s="466" t="str">
        <f aca="false">IF(BD102,IF(Underlying=1,O103,AT103),"")</f>
        <v/>
      </c>
      <c r="BX102" s="467" t="str">
        <f aca="false">IF(BD102,IF(Underlying=1,O104,AT104),"")</f>
        <v/>
      </c>
      <c r="BY102" s="466" t="str">
        <f aca="false">IF(BD102,IF(BS102&gt;0,IF(BS102&gt;0.2,BC102-BB102,IF(BS102&gt;0.1,BB102-BA102,BA102)),IF(BS102&lt;-0.2,AX102-AY102,IF(BS102&lt;-0.1,AY102-AZ102,AZ102))),"")</f>
        <v/>
      </c>
      <c r="BZ102" s="467" t="str">
        <f aca="false">IF(BD102,IF(BT102&gt;0,IF(BT102&gt;0.2,BC102-BB102,IF(BT102&gt;0.1,BB102-BA102,BA102)),IF(BT102&lt;-0.2,AX102-AY102,IF(BT102&lt;-0.1,AY102-AZ102,AZ102))),"")</f>
        <v/>
      </c>
      <c r="CA102" s="468" t="str">
        <f aca="false">IF($BD102,$BW102+IF(VolSkewFlag=1,IF(BS102&gt;0,$BA102*MIN(BS102/10%,1)+($BB102-$BA102)*MAX(0,MIN(BS102/10%-1,1))+($BC102-$BB102)*MAX(0,BS102/10%-2),$AZ102*MIN(-BS102/10%,1)+($AY102-$AZ102)*MAX(0,MIN(-BS102/10%-1,1))+($AX102-$AY102)*MAX(0,-BS102/10%-2)),0),"")</f>
        <v/>
      </c>
      <c r="CB102" s="468" t="str">
        <f aca="false">IF($BD102,$BX102+IF(VolSkewFlag=1,IF(BS102&gt;0,$BA102*MIN(BS102/10%,1)+($BB102-$BA102)*MAX(0,MIN(BS102/10%-1,1))+($BC102-$BB102)*MAX(0,BS102/10%-2),$AZ102*MIN(-BS102/10%,1)+($AY102-$AZ102)*MAX(0,MIN(-BS102/10%-1,1))+($AX102-$AY102)*MAX(0,-BS102/10%-2)),0),"")</f>
        <v/>
      </c>
      <c r="CC102" s="468" t="str">
        <f aca="false">IF($BD102,$BW102+IF(VolSkewFlag=1,IF(BT102&gt;0,$BA102*MIN(BT102/10%,1)+($BB102-$BA102)*MAX(0,MIN(BT102/10%-1,1))+($BC102-$BB102)*MAX(0,BT102/10%-2),$AZ102*MIN(-BT102/10%,1)+($AY102-$AZ102)*MAX(0,MIN(-BT102/10%-1,1))+($AX102-$AY102)*MAX(0,-BT102/10%-2)),0),"")</f>
        <v/>
      </c>
      <c r="CD102" s="468" t="str">
        <f aca="false">IF($BD102,$BX102+IF(VolSkewFlag=1,IF(BT102&gt;0,$BA102*MIN(BT102/10%,1)+($BB102-$BA102)*MAX(0,MIN(BT102/10%-1,1))+($BC102-$BB102)*MAX(0,BT102/10%-2),$AZ102*MIN(-BT102/10%,1)+($AY102-$AZ102)*MAX(0,MIN(-BT102/10%-1,1))+($AX102-$AY102)*MAX(0,-BT102/10%-2)),0),"")</f>
        <v/>
      </c>
      <c r="CE102" s="469" t="n">
        <v>1</v>
      </c>
      <c r="CF102" s="470" t="n">
        <f aca="false">IF(BD102,xCrudeAPO(BU102,BV102,CA102,CB102,S103,S104,BI102,BL102,BP102,BQ102,0,Strike1,AO102,CE102,0,BL102,IF(OptControl=4,0,1),0,1),0)</f>
        <v>0</v>
      </c>
      <c r="CG102" s="470" t="n">
        <f aca="false">IF(BD102,xCrudeAPO(BU102,BV102,CA102,CB102,S103,S104,BI102,BL102,BP102,BQ102,0,Strike1,AO102,CE102,0,BL102,IF(OptControl=4,0,1),1,1)+xCrudeAPO(BU102,BV102,CA102,CB102,S103,S104,BI102,BL102,BP102,BQ102,0,Strike1,AO102,CE102,0,BL102,IF(OptControl=4,0,1),1,2)+IF(OR(VolSkewFlag=2,ABS(BS102)&lt;0.0001),0,IF(BS102&gt;0,-1,1)*CH102*Strike1/BR102^2*BY102/10%),0)</f>
        <v>0</v>
      </c>
      <c r="CH102" s="470" t="n">
        <f aca="false">IF(BD102,(xCrudeAPO(BU102,BV102,CA102,CB102,S103,S104,BI102,BL102,BP102,BQ102,0,Strike1,AO102,CE102,0,BL102,IF(OptControl=4,0,1),3,1)+xCrudeAPO(BU102,BV102,CA102,CB102,S103,S104,BI102,BL102,BP102,BQ102,0,Strike1,AO102,CE102,0,BL102,IF(OptControl=4,0,1),3,2))/100,0)</f>
        <v>0</v>
      </c>
      <c r="CI102" s="470" t="n">
        <f aca="false">IF(BD102,xCrudeAPO(BU102,BV102,CA102,CB102,S103,S104,BI102-DaysForThetaCalculation/365.25,BL102-DaysForThetaCalculation/365.25,BP102,BQ102,0,Strike1,AO102,CE102,0,BL102,IF(OptControl=4,0,1),0,1)-xCrudeAPO(BU102,BV102,CA102,CB102,S103,S104,BI102,BL102,BP102,BQ102,0,Strike1,AO102,CE102,0,BL102,IF(OptControl=4,0,1),0,1),0)</f>
        <v>0</v>
      </c>
      <c r="CJ102" s="471" t="n">
        <f aca="false">IF(BD102,xCrudeAPO(BU102,BV102,CC102,CD102,S103,S104,BI102,BL102,BP102,BQ102,0,Strike2,AO102,CE102,0,BL102,IF(OptControl=3,1,0),0,1),0)</f>
        <v>0</v>
      </c>
      <c r="CK102" s="470" t="n">
        <f aca="false">IF(BD102,xCrudeAPO(BU102,BV102,CC102,CD102,S103,S104,BI102,BL102,BP102,BQ102,0,Strike2,AO102,CE102,0,BL102,IF(OptControl=3,1,0),1,1)+xCrudeAPO(BU102,BV102,CC102,CD102,S103,S104,BI102,BL102,BP102,BQ102,0,Strike2,AO102,CE102,0,BL102,IF(OptControl=3,1,0),1,2)+IF(OR(VolSkewFlag=2,ABS(BT102)&lt;0.0001),0,IF(BT102&gt;0,-1,1)*CL102*Strike2/BR102^2*BZ102/10%),0)</f>
        <v>0</v>
      </c>
      <c r="CL102" s="470" t="n">
        <f aca="false">IF(BD102,(xCrudeAPO(BU102,BV102,CC102,CD102,S103,S104,BI102,BL102,BP102,BQ102,0,Strike2,AO102,CE102,0,BL102,IF(OptControl=3,1,0),3,1)+xCrudeAPO(BU102,BV102,CC102,CD102,S103,S104,BI102,BL102,BP102,BQ102,0,Strike2,AO102,CE102,0,BL102,IF(OptControl=3,1,0),3,2))/100,0)</f>
        <v>0</v>
      </c>
      <c r="CM102" s="472" t="n">
        <f aca="false">IF(BD102,xCrudeAPO(BU102,BV102,CC102,CD102,S103,S104,BI102-DaysForThetaCalculation/365.25,BL102-DaysForThetaCalculation/365.25,BP102,BQ102,0,Strike2,AO102,CE102,0,BL102,IF(OptControl=3,1,0),0,1)-xCrudeAPO(BU102,BV102,CC102,CD102,S103,S104,BI102,BL102,BP102,BQ102,0,Strike2,AO102,CE102,0,BL102,IF(OptControl=3,1,0),0,1),0)</f>
        <v>0</v>
      </c>
      <c r="CN102" s="3"/>
      <c r="CO102" s="543" t="str">
        <f aca="false">IF(BD102,CHOOSE(Underlying,AD102,AF102)-DateToday+1,"")</f>
        <v/>
      </c>
      <c r="CP102" s="582" t="str">
        <f aca="false">IF(BD102,CHOOSE(Underlying,L102,R102),"")</f>
        <v/>
      </c>
      <c r="CQ102" s="544" t="str">
        <f aca="false">IF(BD102,Strike1/CP102-1,"")</f>
        <v/>
      </c>
      <c r="CR102" s="544" t="str">
        <f aca="false">IF(BD102,Strike2/CP102-1,"")</f>
        <v/>
      </c>
      <c r="CS102" s="544" t="str">
        <f aca="false">IF(BD102,IF(CQ102&gt;0,IF(CQ102&gt;0.2,BC101-BB101,IF(CQ102&gt;0.1,BB101-BA101,BA101)),IF(CQ102&lt;-0.2,AX101-AY101,IF(CQ102&lt;-0.1,AY101-AZ101,AZ101))),"")</f>
        <v/>
      </c>
      <c r="CT102" s="544" t="str">
        <f aca="false">IF(BD102,IF(CR102&gt;0,IF(CR102&gt;0.2,BC101-BB101,IF(CR102&gt;0.1,BB101-BA101,BA101)),IF(CR102&lt;-0.2,AX101-AY101,IF(CR102&lt;-0.1,AY101-AZ101,AZ101))),"")</f>
        <v/>
      </c>
      <c r="CU102" s="545" t="str">
        <f aca="false">IF(BD102,CHOOSE(Underlying,O102,AT102),"")</f>
        <v/>
      </c>
      <c r="CV102" s="545" t="str">
        <f aca="false">IF(BD102,CU102+IF(VolSkewFlag=1,IF(CQ102&gt;0,BA101*MIN(CQ102/10%,1)+(BB101-BA101)*MAX(0,MIN(CQ102/10%-1,1))+(BC101-BB101)*MAX(0,CQ102/10%-2),AZ101*MIN(-CQ102/10%,1)+(AY101-AZ101)*MAX(0,MIN(-CQ102/10%-1,1))+(AX101-AY101)*MAX(0,-CQ102/10%-2)),0),"")</f>
        <v/>
      </c>
      <c r="CW102" s="545" t="str">
        <f aca="false">IF(BD102,CU102+IF(VolSkewFlag=1,IF(CR102&gt;0,BA101*MIN(CR102/10%,1)+(BB101-BA101)*MAX(0,MIN(CR102/10%-1,1))+(BC101-BB101)*MAX(0,CR102/10%-2),AZ101*MIN(-CR102/10%,1)+(AY101-AZ101)*MAX(0,MIN(-CR102/10%-1,1))+(AX101-AY101)*MAX(0,-CR102/10%-2)),0),"")</f>
        <v/>
      </c>
      <c r="CX102" s="470" t="n">
        <f aca="false">IF(BD102,EURO(CP102,Strike1,AO102,AO102,CV102,CO102,IF(OptControl=4,0,1),0),0)</f>
        <v>0</v>
      </c>
      <c r="CY102" s="470" t="n">
        <f aca="false">IF(BD102,EURO(CP102,Strike1,AO102,AO102,CV102,CO102,IF(OptControl=4,0,1),1)+IF(OR(VolSkewFlag=2,ABS(CQ102)&lt;0.0001),0,IF(CQ102&gt;0,-1,1)*CZ102*100*Strike1/CP102^2*CS102/10%),0)</f>
        <v>0</v>
      </c>
      <c r="CZ102" s="470" t="n">
        <f aca="false">IF(BD102,EURO(CP102,Strike1,AO102,AO102,CV102,CO102,IF(OptControl=4,0,1),3)/100,0)</f>
        <v>0</v>
      </c>
      <c r="DA102" s="470" t="n">
        <f aca="false">IF(BD102,EURO(CP102,Strike1,AO102,AO102,CV102,CO102,IF(OptControl=4,0,1),0)-EURO(CP102,Strike1,AO102,AO102,CV102,CO102-1,IF(OptControl=4,0,1),0),0)</f>
        <v>0</v>
      </c>
      <c r="DB102" s="470" t="n">
        <f aca="false">IF(BD102,EURO(CP102,Strike2,AO102,AO102,CW102,CO102,IF(OptControl=3,1,0),0),0)</f>
        <v>0</v>
      </c>
      <c r="DC102" s="470" t="n">
        <f aca="false">IF(BD102,EURO(CP102,Strike2,AO102,AO102,CW102,CO102,IF(OptControl=3,1,0),1)+IF(OR(VolSkewFlag=2,ABS(CR102)&lt;0.0001),0,IF(CR102&gt;0,-1,1)*DD102*100*Strike2/CP102^2*CT102/10%),0)</f>
        <v>0</v>
      </c>
      <c r="DD102" s="470" t="n">
        <f aca="false">IF(BD102,EURO(CP102,Strike2,AO102,AO102,CW102,CO102,IF(OptControl=3,1,0),3)/100,0)</f>
        <v>0</v>
      </c>
      <c r="DE102" s="472" t="n">
        <f aca="false">IF(BD102,EURO(CP102,Strike2,AO102,AO102,CW102,CO102,IF(OptControl=3,1,0),0)-EURO(CP102,Strike2,AO102,AO102,CW102,CO102-1,IF(OptControl=3,1,0),0),0)</f>
        <v>0</v>
      </c>
      <c r="DG102" s="481" t="n">
        <f aca="false">EOMONTH(DG101,0)+1</f>
        <v>48183</v>
      </c>
      <c r="DH102" s="478" t="n">
        <v>18.31</v>
      </c>
      <c r="DI102" s="479" t="n">
        <v>18.3695833333333</v>
      </c>
      <c r="DJ102" s="480" t="n">
        <f aca="false">DG102</f>
        <v>48183</v>
      </c>
      <c r="DK102" s="478" t="n">
        <v>17.1346923598144</v>
      </c>
      <c r="DL102" s="479" t="n">
        <v>17.1861833333333</v>
      </c>
      <c r="DM102" s="481" t="n">
        <f aca="false">DG102</f>
        <v>48183</v>
      </c>
      <c r="DN102" s="482" t="n">
        <f aca="false">DK102+BrentPhyBrentSpread</f>
        <v>17.1846923598144</v>
      </c>
      <c r="DO102" s="481" t="n">
        <f aca="false">DG102</f>
        <v>48183</v>
      </c>
      <c r="DP102" s="483" t="n">
        <f aca="false">DL102+DQ102</f>
        <v>17.1861833333333</v>
      </c>
      <c r="DQ102" s="546" t="n">
        <v>0</v>
      </c>
      <c r="DR102" s="480" t="n">
        <f aca="false">DG102</f>
        <v>48183</v>
      </c>
      <c r="DS102" s="485" t="n">
        <v>0.1754</v>
      </c>
      <c r="DT102" s="486" t="n">
        <v>0.17462</v>
      </c>
      <c r="DU102" s="480" t="n">
        <f aca="false">DG102</f>
        <v>48183</v>
      </c>
      <c r="DV102" s="485" t="n">
        <v>0.1754</v>
      </c>
      <c r="DW102" s="486" t="n">
        <v>0.17462</v>
      </c>
      <c r="DX102" s="481" t="n">
        <f aca="false">DG102</f>
        <v>48183</v>
      </c>
      <c r="DY102" s="486" t="n">
        <v>0.35</v>
      </c>
      <c r="DZ102" s="481" t="n">
        <f aca="false">DR102</f>
        <v>48183</v>
      </c>
      <c r="EA102" s="486" t="n">
        <f aca="false">DT102</f>
        <v>0.17462</v>
      </c>
      <c r="EB102" s="195"/>
      <c r="EC102" s="547" t="str">
        <f aca="false">IF(BD102,IF(Underlying=1,AS102,AU102),"")</f>
        <v/>
      </c>
      <c r="ED102" s="548" t="str">
        <f aca="false">IF($BD102,$EC102+IF(VolSkewFlag=1,IF(BS102&gt;0,$BA102*MIN(BS102/10%,1)+($BB102-$BA102)*MAX(0,MIN(BS102/10%-1,1))+($BC102-$BB102)*MAX(0,BS102/10%-2),$AZ102*MIN(-BS102/10%,1)+($AY102-$AZ102)*MAX(0,MIN(-BS102/10%-1,1))+($AX102-$AY102)*MAX(0,-BS102/10%-2)),0),"")</f>
        <v/>
      </c>
      <c r="EE102" s="549" t="str">
        <f aca="false">IF($BD102,$EC102+IF(VolSkewFlag=1,IF(BT102&gt;0,$BA102*MIN(BT102/10%,1)+($BB102-$BA102)*MAX(0,MIN(BT102/10%-1,1))+($BC102-$BB102)*MAX(0,BT102/10%-2),$AZ102*MIN(-BT102/10%,1)+($AY102-$AZ102)*MAX(0,MIN(-BT102/10%-1,1))+($AX102-$AY102)*MAX(0,-BT102/10%-2)),0),"")</f>
        <v/>
      </c>
      <c r="EF102" s="550" t="n">
        <f aca="false">IF(BD102,xASN(BR102,Strike1,AO102,ED102,0,BO102,0,BI102,BL102,IF(OptControl=4,0,1),0),0)</f>
        <v>0</v>
      </c>
      <c r="EG102" s="551" t="n">
        <f aca="false">IF(BD102,xASN(BR102,Strike2,AO102,EE102,0,BO102,0,BI102,BL102,IF(OptControl=3,1,0),0),0)</f>
        <v>0</v>
      </c>
      <c r="EL102" s="1"/>
      <c r="EM102" s="195"/>
      <c r="EN102" s="240"/>
      <c r="EO102" s="240"/>
      <c r="EP102" s="195"/>
      <c r="EQ102" s="407" t="s">
        <v>329</v>
      </c>
      <c r="ES102" s="130"/>
      <c r="ET102" s="19"/>
      <c r="EU102" s="672"/>
      <c r="EV102" s="478"/>
      <c r="EW102" s="131"/>
      <c r="EX102" s="131"/>
      <c r="EY102" s="129"/>
      <c r="EZ102" s="129"/>
      <c r="FA102" s="129"/>
      <c r="FB102" s="129"/>
      <c r="FC102" s="129"/>
      <c r="FD102" s="129"/>
      <c r="FE102" s="129"/>
      <c r="FF102" s="129"/>
      <c r="FG102" s="129"/>
      <c r="FH102" s="129"/>
      <c r="FI102" s="129"/>
      <c r="FJ102" s="571" t="n">
        <v>8</v>
      </c>
      <c r="FK102" s="150" t="e">
        <f aca="false">IF($FJ27&lt;FK$94,"",SQRT(FK27/FK$15))</f>
        <v>#DIV/0!</v>
      </c>
      <c r="FL102" s="150" t="n">
        <f aca="false">IF($FJ27&lt;FL$94,"",SQRT(FL27/FL$15))</f>
        <v>-0</v>
      </c>
      <c r="FM102" s="150" t="n">
        <f aca="false">IF($FJ27&lt;FM$94,"",SQRT(FM27/FM$15))</f>
        <v>0.245420903504399</v>
      </c>
      <c r="FN102" s="150" t="n">
        <f aca="false">IF($FJ27&lt;FN$94,"",SQRT(FN27/FN$15))</f>
        <v>0.256596495137563</v>
      </c>
      <c r="FO102" s="150" t="n">
        <f aca="false">IF($FJ27&lt;FO$94,"",SQRT(FO27/FO$15))</f>
        <v>0.27269198192518</v>
      </c>
      <c r="FP102" s="150" t="n">
        <f aca="false">IF($FJ27&lt;FP$94,"",SQRT(FP27/FP$15))</f>
        <v>0.294944135545311</v>
      </c>
      <c r="FQ102" s="150" t="n">
        <f aca="false">IF($FJ27&lt;FQ$94,"",SQRT(FQ27/FQ$15))</f>
        <v>0.32535132816889</v>
      </c>
      <c r="FR102" s="150" t="n">
        <f aca="false">IF($FJ27&lt;FR$94,"",SQRT(FR27/FR$15))</f>
        <v>0.367119140625</v>
      </c>
      <c r="FS102" s="150" t="str">
        <f aca="false">IF($FJ27&lt;FS$94,"",SQRT(FS27/FS$15))</f>
        <v/>
      </c>
      <c r="FT102" s="150" t="str">
        <f aca="false">IF($FJ27&lt;FT$94,"",SQRT(FT27/FT$15))</f>
        <v/>
      </c>
      <c r="FU102" s="150" t="str">
        <f aca="false">IF($FJ27&lt;FU$94,"",SQRT(FU27/FU$15))</f>
        <v/>
      </c>
      <c r="FV102" s="150" t="str">
        <f aca="false">IF($FJ27&lt;FV$94,"",SQRT(FV27/FV$15))</f>
        <v/>
      </c>
      <c r="FW102" s="150" t="str">
        <f aca="false">IF($FJ27&lt;FW$94,"",SQRT(FW27/FW$15))</f>
        <v/>
      </c>
      <c r="FX102" s="150" t="str">
        <f aca="false">IF($FJ27&lt;FX$94,"",SQRT(FX27/FX$15))</f>
        <v/>
      </c>
      <c r="FY102" s="150" t="str">
        <f aca="false">IF($FJ27&lt;FY$94,"",SQRT(FY27/FY$15))</f>
        <v/>
      </c>
      <c r="FZ102" s="150" t="str">
        <f aca="false">IF($FJ27&lt;FZ$94,"",SQRT(FZ27/FZ$15))</f>
        <v/>
      </c>
      <c r="GA102" s="150" t="str">
        <f aca="false">IF($FJ27&lt;GA$94,"",SQRT(GA27/GA$15))</f>
        <v/>
      </c>
      <c r="GB102" s="150" t="str">
        <f aca="false">IF($FJ27&lt;GB$94,"",SQRT(GB27/GB$15))</f>
        <v/>
      </c>
      <c r="GC102" s="150" t="str">
        <f aca="false">IF($FJ27&lt;GC$94,"",SQRT(GC27/GC$15))</f>
        <v/>
      </c>
      <c r="GD102" s="150" t="str">
        <f aca="false">IF($FJ27&lt;GD$94,"",SQRT(GD27/GD$15))</f>
        <v/>
      </c>
      <c r="GE102" s="150" t="str">
        <f aca="false">IF($FJ27&lt;GE$94,"",SQRT(GE27/GE$15))</f>
        <v/>
      </c>
      <c r="GF102" s="150" t="str">
        <f aca="false">IF($FJ27&lt;GF$94,"",SQRT(GF27/GF$15))</f>
        <v/>
      </c>
      <c r="GG102" s="150" t="str">
        <f aca="false">IF($FJ27&lt;GG$94,"",SQRT(GG27/GG$15))</f>
        <v/>
      </c>
      <c r="GH102" s="150" t="str">
        <f aca="false">IF($FJ27&lt;GH$94,"",SQRT(GH27/GH$15))</f>
        <v/>
      </c>
      <c r="GI102" s="150" t="str">
        <f aca="false">IF($FJ27&lt;GI$94,"",SQRT(GI27/GI$15))</f>
        <v/>
      </c>
      <c r="GJ102" s="150" t="str">
        <f aca="false">IF($FJ27&lt;GJ$94,"",SQRT(GJ27/GJ$15))</f>
        <v/>
      </c>
      <c r="GK102" s="150" t="str">
        <f aca="false">IF($FJ27&lt;GK$94,"",SQRT(GK27/GK$15))</f>
        <v/>
      </c>
      <c r="GL102" s="150" t="str">
        <f aca="false">IF($FJ27&lt;GL$94,"",SQRT(GL27/GL$15))</f>
        <v/>
      </c>
      <c r="GM102" s="150" t="str">
        <f aca="false">IF($FJ27&lt;GM$94,"",SQRT(GM27/GM$15))</f>
        <v/>
      </c>
      <c r="GN102" s="150" t="str">
        <f aca="false">IF($FJ27&lt;GN$94,"",SQRT(GN27/GN$15))</f>
        <v/>
      </c>
      <c r="GO102" s="150" t="str">
        <f aca="false">IF($FJ27&lt;GO$94,"",SQRT(GO27/GO$15))</f>
        <v/>
      </c>
      <c r="GP102" s="150" t="str">
        <f aca="false">IF($FJ27&lt;GP$94,"",SQRT(GP27/GP$15))</f>
        <v/>
      </c>
      <c r="GQ102" s="150" t="str">
        <f aca="false">IF($FJ27&lt;GQ$94,"",SQRT(GQ27/GQ$15))</f>
        <v/>
      </c>
      <c r="GR102" s="150" t="str">
        <f aca="false">IF($FJ27&lt;GR$94,"",SQRT(GR27/GR$15))</f>
        <v/>
      </c>
      <c r="GS102" s="150" t="str">
        <f aca="false">IF($FJ27&lt;GS$94,"",SQRT(GS27/GS$15))</f>
        <v/>
      </c>
      <c r="GT102" s="150" t="str">
        <f aca="false">IF($FJ27&lt;GT$94,"",SQRT(GT27/GT$15))</f>
        <v/>
      </c>
      <c r="GU102" s="150" t="str">
        <f aca="false">IF($FJ27&lt;GU$94,"",SQRT(GU27/GU$15))</f>
        <v/>
      </c>
      <c r="GV102" s="150" t="str">
        <f aca="false">IF($FJ27&lt;GV$94,"",SQRT(GV27/GV$15))</f>
        <v/>
      </c>
      <c r="GW102" s="150" t="str">
        <f aca="false">IF($FJ27&lt;GW$94,"",SQRT(GW27/GW$15))</f>
        <v/>
      </c>
      <c r="GX102" s="150" t="str">
        <f aca="false">IF($FJ27&lt;GX$94,"",SQRT(GX27/GX$15))</f>
        <v/>
      </c>
      <c r="GY102" s="150" t="str">
        <f aca="false">IF($FJ27&lt;GY$94,"",SQRT(GY27/GY$15))</f>
        <v/>
      </c>
      <c r="GZ102" s="150" t="str">
        <f aca="false">IF($FJ27&lt;GZ$94,"",SQRT(GZ27/GZ$15))</f>
        <v/>
      </c>
      <c r="HA102" s="150" t="str">
        <f aca="false">IF($FJ27&lt;HA$94,"",SQRT(HA27/HA$15))</f>
        <v/>
      </c>
      <c r="HB102" s="150" t="str">
        <f aca="false">IF($FJ27&lt;HB$94,"",SQRT(HB27/HB$15))</f>
        <v/>
      </c>
      <c r="HC102" s="150" t="str">
        <f aca="false">IF($FJ27&lt;HC$94,"",SQRT(HC27/HC$15))</f>
        <v/>
      </c>
      <c r="HD102" s="150" t="str">
        <f aca="false">IF($FJ27&lt;HD$94,"",SQRT(HD27/HD$15))</f>
        <v/>
      </c>
      <c r="HE102" s="150" t="str">
        <f aca="false">IF($FJ27&lt;HE$94,"",SQRT(HE27/HE$15))</f>
        <v/>
      </c>
      <c r="HF102" s="150" t="str">
        <f aca="false">IF($FJ27&lt;HF$94,"",SQRT(HF27/HF$15))</f>
        <v/>
      </c>
      <c r="HG102" s="150" t="str">
        <f aca="false">IF($FJ27&lt;HG$94,"",SQRT(HG27/HG$15))</f>
        <v/>
      </c>
      <c r="HH102" s="150" t="str">
        <f aca="false">IF($FJ27&lt;HH$94,"",SQRT(HH27/HH$15))</f>
        <v/>
      </c>
      <c r="HI102" s="150" t="str">
        <f aca="false">IF($FJ27&lt;HI$94,"",SQRT(HI27/HI$15))</f>
        <v/>
      </c>
      <c r="HJ102" s="150" t="str">
        <f aca="false">IF($FJ27&lt;HJ$94,"",SQRT(HJ27/HJ$15))</f>
        <v/>
      </c>
      <c r="HK102" s="150" t="str">
        <f aca="false">IF($FJ27&lt;HK$94,"",SQRT(HK27/HK$15))</f>
        <v/>
      </c>
      <c r="HL102" s="150" t="str">
        <f aca="false">IF($FJ27&lt;HL$94,"",SQRT(HL27/HL$15))</f>
        <v/>
      </c>
      <c r="HM102" s="150" t="str">
        <f aca="false">IF($FJ27&lt;HM$94,"",SQRT(HM27/HM$15))</f>
        <v/>
      </c>
      <c r="HN102" s="150" t="str">
        <f aca="false">IF($FJ27&lt;HN$94,"",SQRT(HN27/HN$15))</f>
        <v/>
      </c>
      <c r="HO102" s="150" t="str">
        <f aca="false">IF($FJ27&lt;HO$94,"",SQRT(HO27/HO$15))</f>
        <v/>
      </c>
      <c r="HP102" s="150" t="str">
        <f aca="false">IF($FJ27&lt;HP$94,"",SQRT(HP27/HP$15))</f>
        <v/>
      </c>
      <c r="HQ102" s="150" t="str">
        <f aca="false">IF($FJ27&lt;HQ$94,"",SQRT(HQ27/HQ$15))</f>
        <v/>
      </c>
      <c r="HR102" s="150" t="str">
        <f aca="false">IF($FJ27&lt;HR$94,"",SQRT(HR27/HR$15))</f>
        <v/>
      </c>
      <c r="HS102" s="150" t="str">
        <f aca="false">IF($FJ27&lt;HS$94,"",SQRT(HS27/HS$15))</f>
        <v/>
      </c>
      <c r="HT102" s="150" t="str">
        <f aca="false">IF($FJ27&lt;HT$94,"",SQRT(HT27/HT$15))</f>
        <v/>
      </c>
      <c r="HU102" s="150" t="str">
        <f aca="false">IF($FJ27&lt;HU$94,"",SQRT(HU27/HU$15))</f>
        <v/>
      </c>
      <c r="HV102" s="150" t="str">
        <f aca="false">IF($FJ27&lt;HV$94,"",SQRT(HV27/HV$15))</f>
        <v/>
      </c>
      <c r="HW102" s="150" t="str">
        <f aca="false">IF($FJ27&lt;HW$94,"",SQRT(HW27/HW$15))</f>
        <v/>
      </c>
      <c r="HX102" s="150" t="str">
        <f aca="false">IF($FJ27&lt;HX$94,"",SQRT(HX27/HX$15))</f>
        <v/>
      </c>
      <c r="HY102" s="150" t="str">
        <f aca="false">IF($FJ27&lt;HY$94,"",SQRT(HY27/HY$15))</f>
        <v/>
      </c>
      <c r="HZ102" s="150" t="str">
        <f aca="false">IF($FJ27&lt;HZ$94,"",SQRT(HZ27/HZ$15))</f>
        <v/>
      </c>
      <c r="IA102" s="150" t="str">
        <f aca="false">IF($FJ27&lt;IA$94,"",SQRT(IA27/IA$15))</f>
        <v/>
      </c>
      <c r="IB102" s="150" t="str">
        <f aca="false">IF($FJ27&lt;IB$94,"",SQRT(IB27/IB$15))</f>
        <v/>
      </c>
      <c r="IC102" s="150" t="str">
        <f aca="false">IF($FJ27&lt;IC$94,"",SQRT(IC27/IC$15))</f>
        <v/>
      </c>
      <c r="ID102" s="572" t="str">
        <f aca="false">IF($FJ27&lt;ID$94,"",SQRT(ID27/ID$15))</f>
        <v/>
      </c>
      <c r="IE102" s="129"/>
    </row>
    <row r="103" customFormat="false" ht="12.75" hidden="false" customHeight="false" outlineLevel="0" collapsed="false">
      <c r="H103" s="219" t="n">
        <f aca="false">VLOOKUP(I103,$EJ$20:$EL$54,3)</f>
        <v>0</v>
      </c>
      <c r="I103" s="511" t="n">
        <f aca="false">EOMONTH(I102,0)+1</f>
        <v>39295</v>
      </c>
      <c r="J103" s="512"/>
      <c r="K103" s="513" t="s">
        <v>280</v>
      </c>
      <c r="L103" s="514" t="n">
        <f aca="false">IF(ISNUMBER(K103),J103+K103/100,IF(K103="extra",L102+VLOOKUP(BF103,PriceSpreadTable,2)/12,IF(K103="inter",interpolateprices($K$19:$L$200,ROW(K103)-ROW(FirstPricingMonth)+1),interpolatechanges($J$19:$K$200,ROW(K103)-ROW(FirstPricingMonth)+1))))</f>
        <v>0.2625</v>
      </c>
      <c r="M103" s="515"/>
      <c r="N103" s="516" t="n">
        <v>0</v>
      </c>
      <c r="O103" s="515" t="n">
        <f aca="false">M103+N103</f>
        <v>0</v>
      </c>
      <c r="P103" s="512"/>
      <c r="Q103" s="513" t="s">
        <v>280</v>
      </c>
      <c r="R103" s="512" t="e">
        <f aca="false">IF(ISNUMBER(Q103),P103+Q103/100,IF(Q103="extra",(Z101*AL101-R102*AM101)/AN101,IF(Q103="inter",interpolateprices($Q$19:$R$260,ROW(Q103)-ROW(FirstPricingMonth)+1),interpolatechanges($P$19:$Q$260,ROW(Q103)-ROW(FirstPricingMonth)+1))))</f>
        <v>#VALUE!</v>
      </c>
      <c r="S103" s="597" t="n">
        <f aca="false">S$19+(S102-S$19)*S$18</f>
        <v>0.360000000002276</v>
      </c>
      <c r="T103" s="575" t="n">
        <f aca="false">SQRT((1-(1-T102^2/U102)*T$18)*U103)</f>
        <v>0.999999746676545</v>
      </c>
      <c r="U103" s="576" t="n">
        <f aca="false">1-(1-U102)*U$18</f>
        <v>0.99999999999936</v>
      </c>
      <c r="V103" s="521" t="n">
        <v>0</v>
      </c>
      <c r="W103" s="577" t="n">
        <f aca="false">(J104*AJ103+J105*AK103)/AI103</f>
        <v>0</v>
      </c>
      <c r="X103" s="578" t="n">
        <f aca="false">(L104*AJ103+L105*AK103)/AI103</f>
        <v>0.314673913043478</v>
      </c>
      <c r="Y103" s="579" t="n">
        <f aca="false">IF(Q105="extra",W103-AA103,(P104*AM103+P105*AN103)/AL103)</f>
        <v>-1.2257</v>
      </c>
      <c r="Z103" s="579" t="n">
        <f aca="false">IF(Q105="extra",X103-AB103,(R104*AM103+R105*AN103)/AL103)</f>
        <v>-0.911026086956522</v>
      </c>
      <c r="AA103" s="523" t="n">
        <f aca="false">IF(Q105="extra",INDEX(BrentSeasonalityTable,INT((BG103-1)/3)+1)*VLOOKUP(MAX(BF103,$AB$4),PriceSpreadTable,3),W103-Y103)</f>
        <v>1.2257</v>
      </c>
      <c r="AB103" s="524" t="n">
        <f aca="false">IF(Q105="extra",INDEX(BrentSeasonalityTable,INT((BG103-1)/3)+1)*VLOOKUP(MAX(BF103,$AB$4),PriceSpreadTable,3),X103-Z103)</f>
        <v>1.2257</v>
      </c>
      <c r="AC103" s="646" t="n">
        <v>39283</v>
      </c>
      <c r="AD103" s="646" t="n">
        <v>39279</v>
      </c>
      <c r="AE103" s="646" t="n">
        <v>39278</v>
      </c>
      <c r="AF103" s="646" t="n">
        <v>39274</v>
      </c>
      <c r="AG103" s="438" t="s">
        <v>278</v>
      </c>
      <c r="AH103" s="439" t="s">
        <v>278</v>
      </c>
      <c r="AI103" s="528" t="n">
        <v>23</v>
      </c>
      <c r="AJ103" s="529" t="n">
        <v>14</v>
      </c>
      <c r="AK103" s="529" t="n">
        <v>9</v>
      </c>
      <c r="AL103" s="530" t="n">
        <v>23</v>
      </c>
      <c r="AM103" s="529" t="n">
        <v>10</v>
      </c>
      <c r="AN103" s="531" t="n">
        <v>13</v>
      </c>
      <c r="AO103" s="532"/>
      <c r="AP103" s="465" t="n">
        <f aca="false">(1+AO103/2)^(-2*BL103)</f>
        <v>1</v>
      </c>
      <c r="AQ103" s="532"/>
      <c r="AR103" s="465" t="n">
        <f aca="false">(1+AQ103/2)^(-2*BH103/365.25)</f>
        <v>1</v>
      </c>
      <c r="AS103" s="580" t="n">
        <f aca="false">(O104*AJ103+O105*AK103)/AI103</f>
        <v>0</v>
      </c>
      <c r="AT103" s="468" t="n">
        <f aca="false">O103*VLOOKUP(BF103,BrentVolTable,2)+VLOOKUP(BF103,BrentVolTable,3)</f>
        <v>0</v>
      </c>
      <c r="AU103" s="468" t="n">
        <f aca="false">(AT104*AM103+AT105*AN103)/AL103</f>
        <v>0</v>
      </c>
      <c r="AV103" s="595" t="n">
        <f aca="false">SQRT(MAX(0.000000000001,(O103^2*BH103-S103^2*(BH103-BH102))/BH102))</f>
        <v>0.0241326472124651</v>
      </c>
      <c r="AW103" s="451" t="n">
        <f aca="false">IF($I103-DateToday+15&gt;=$T$8,"",IF($I103-DateToday+15&lt;$T$5,1,MATCH($I103-DateToday+15,$T$5:$T$8)))</f>
        <v>1</v>
      </c>
      <c r="AX103" s="468" t="n">
        <f aca="false">IF($AW103="",AX102^2/AX101,INDEX(U$5:U$8,$AW103)^((INDEX($T$5:$T$8,$AW103+1)-($I103-DateToday+15))/(INDEX($T$5:$T$8,$AW103+1)-INDEX($T$5:$T$8,$AW103)))/INDEX(U$5:U$8,$AW103+1)^((INDEX($T$5:$T$8,$AW103)-($I103-DateToday+15))/(INDEX($T$5:$T$8,$AW103+1)-INDEX($T$5:$T$8,$AW103))))</f>
        <v>2.13006019876145</v>
      </c>
      <c r="AY103" s="468" t="n">
        <f aca="false">IF($AW103="",AY102^2/AY101,INDEX(V$5:V$8,$AW103)^((INDEX($T$5:$T$8,$AW103+1)-($I103-DateToday+15))/(INDEX($T$5:$T$8,$AW103+1)-INDEX($T$5:$T$8,$AW103)))/INDEX(V$5:V$8,$AW103+1)^((INDEX($T$5:$T$8,$AW103)-($I103-DateToday+15))/(INDEX($T$5:$T$8,$AW103+1)-INDEX($T$5:$T$8,$AW103))))</f>
        <v>158.323683210631</v>
      </c>
      <c r="AZ103" s="468" t="n">
        <f aca="false">IF($AW103="",AZ102^2/AZ101,INDEX(W$5:W$8,$AW103)^((INDEX($T$5:$T$8,$AW103+1)-($I103-DateToday+15))/(INDEX($T$5:$T$8,$AW103+1)-INDEX($T$5:$T$8,$AW103)))/INDEX(W$5:W$8,$AW103+1)^((INDEX($T$5:$T$8,$AW103)-($I103-DateToday+15))/(INDEX($T$5:$T$8,$AW103+1)-INDEX($T$5:$T$8,$AW103))))</f>
        <v>760672.934572297</v>
      </c>
      <c r="BA103" s="468" t="n">
        <f aca="false">IF($AW103="",BA102^2/BA101,INDEX(X$5:X$8,$AW103)^((INDEX($T$5:$T$8,$AW103+1)-($I103-DateToday+15))/(INDEX($T$5:$T$8,$AW103+1)-INDEX($T$5:$T$8,$AW103)))/INDEX(X$5:X$8,$AW103+1)^((INDEX($T$5:$T$8,$AW103)-($I103-DateToday+15))/(INDEX($T$5:$T$8,$AW103+1)-INDEX($T$5:$T$8,$AW103))))</f>
        <v>16877907.7313283</v>
      </c>
      <c r="BB103" s="468" t="n">
        <f aca="false">IF($AW103="",BB102^2/BB101,INDEX(Y$5:Y$8,$AW103)^((INDEX($T$5:$T$8,$AW103+1)-($I103-DateToday+15))/(INDEX($T$5:$T$8,$AW103+1)-INDEX($T$5:$T$8,$AW103)))/INDEX(Y$5:Y$8,$AW103+1)^((INDEX($T$5:$T$8,$AW103)-($I103-DateToday+15))/(INDEX($T$5:$T$8,$AW103+1)-INDEX($T$5:$T$8,$AW103))))</f>
        <v>205245599.625758</v>
      </c>
      <c r="BC103" s="468" t="n">
        <f aca="false">IF($AW103="",BC102^2/BC101,INDEX(Z$5:Z$8,$AW103)^((INDEX($T$5:$T$8,$AW103+1)-($I103-DateToday+15))/(INDEX($T$5:$T$8,$AW103+1)-INDEX($T$5:$T$8,$AW103)))/INDEX(Z$5:Z$8,$AW103+1)^((INDEX($T$5:$T$8,$AW103)-($I103-DateToday+15))/(INDEX($T$5:$T$8,$AW103+1)-INDEX($T$5:$T$8,$AW103))))</f>
        <v>919361486.577655</v>
      </c>
      <c r="BD103" s="535" t="n">
        <f aca="false">IF(OR(DateStart&gt;=I104,DateEnd&lt;I103),0,IF(VolumeOverrideFlag,V103,Volume))</f>
        <v>0</v>
      </c>
      <c r="BE103" s="536" t="n">
        <f aca="false">IF(OR(DateStart2&gt;=I104,DateEnd2&lt;I103),0,IF(VolumeOverrideFlag,V103,VolumeSwaption))</f>
        <v>0</v>
      </c>
      <c r="BF103" s="537" t="n">
        <f aca="false">YEAR(I103)</f>
        <v>2007</v>
      </c>
      <c r="BG103" s="538" t="n">
        <f aca="false">MONTH(I103)</f>
        <v>8</v>
      </c>
      <c r="BH103" s="539" t="n">
        <f aca="false">AD103-DateToday+1</f>
        <v>-6646</v>
      </c>
      <c r="BI103" s="540" t="n">
        <f aca="false">(I103-DateToday+1)/365.25</f>
        <v>-18.1519507186858</v>
      </c>
      <c r="BJ103" s="541" t="n">
        <f aca="false">BI103+(BL103-BI103)*CHOOSE(Underlying,AJ103/AI103,AM103/AL103)</f>
        <v>-18.101955182573</v>
      </c>
      <c r="BK103" s="541" t="n">
        <f aca="false">BJ103+1/365.25</f>
        <v>-18.0992173317859</v>
      </c>
      <c r="BL103" s="541" t="n">
        <f aca="false">(I104-DateToday)/365.25</f>
        <v>-18.0698151950719</v>
      </c>
      <c r="BM103" s="542" t="e">
        <f aca="false">MAX(BI103-(BJ103-BI103)*(S104^2/O104^2-1),0)</f>
        <v>#DIV/0!</v>
      </c>
      <c r="BN103" s="541" t="e">
        <f aca="false">MAX(BL103+(BL103-BK103)*(S105^2/O105^2-1),0)</f>
        <v>#DIV/0!</v>
      </c>
      <c r="BO103" s="530" t="n">
        <f aca="false">CHOOSE(Underlying,AI103,AL103)</f>
        <v>23</v>
      </c>
      <c r="BP103" s="529" t="n">
        <f aca="false">CHOOSE(Underlying,AJ103,AM103)</f>
        <v>14</v>
      </c>
      <c r="BQ103" s="529" t="n">
        <f aca="false">CHOOSE(Underlying,AK103,AN103)</f>
        <v>9</v>
      </c>
      <c r="BR103" s="463" t="str">
        <f aca="false">IF(BD103,IF(Underlying=1,X103,Z103)+UnderlyingPriceAsian-SwapPriceCurve,"")</f>
        <v/>
      </c>
      <c r="BS103" s="463" t="str">
        <f aca="false">IF(BD103,Strike1/BR103-1,"")</f>
        <v/>
      </c>
      <c r="BT103" s="464" t="str">
        <f aca="false">IF(BD103,Strike2/BR103-1,"")</f>
        <v/>
      </c>
      <c r="BU103" s="465" t="str">
        <f aca="false">IF(BD103,IF(Underlying=1,L104,R104)+UnderlyingPriceAsian-SwapPriceCurve,"")</f>
        <v/>
      </c>
      <c r="BV103" s="465" t="str">
        <f aca="false">IF(BD103,IF(Underlying=1,L105,R105)+UnderlyingPriceAsian-SwapPriceCurve,"")</f>
        <v/>
      </c>
      <c r="BW103" s="466" t="str">
        <f aca="false">IF(BD103,IF(Underlying=1,O104,AT104),"")</f>
        <v/>
      </c>
      <c r="BX103" s="467" t="str">
        <f aca="false">IF(BD103,IF(Underlying=1,O105,AT105),"")</f>
        <v/>
      </c>
      <c r="BY103" s="466" t="str">
        <f aca="false">IF(BD103,IF(BS103&gt;0,IF(BS103&gt;0.2,BC103-BB103,IF(BS103&gt;0.1,BB103-BA103,BA103)),IF(BS103&lt;-0.2,AX103-AY103,IF(BS103&lt;-0.1,AY103-AZ103,AZ103))),"")</f>
        <v/>
      </c>
      <c r="BZ103" s="467" t="str">
        <f aca="false">IF(BD103,IF(BT103&gt;0,IF(BT103&gt;0.2,BC103-BB103,IF(BT103&gt;0.1,BB103-BA103,BA103)),IF(BT103&lt;-0.2,AX103-AY103,IF(BT103&lt;-0.1,AY103-AZ103,AZ103))),"")</f>
        <v/>
      </c>
      <c r="CA103" s="468" t="str">
        <f aca="false">IF($BD103,$BW103+IF(VolSkewFlag=1,IF(BS103&gt;0,$BA103*MIN(BS103/10%,1)+($BB103-$BA103)*MAX(0,MIN(BS103/10%-1,1))+($BC103-$BB103)*MAX(0,BS103/10%-2),$AZ103*MIN(-BS103/10%,1)+($AY103-$AZ103)*MAX(0,MIN(-BS103/10%-1,1))+($AX103-$AY103)*MAX(0,-BS103/10%-2)),0),"")</f>
        <v/>
      </c>
      <c r="CB103" s="468" t="str">
        <f aca="false">IF($BD103,$BX103+IF(VolSkewFlag=1,IF(BS103&gt;0,$BA103*MIN(BS103/10%,1)+($BB103-$BA103)*MAX(0,MIN(BS103/10%-1,1))+($BC103-$BB103)*MAX(0,BS103/10%-2),$AZ103*MIN(-BS103/10%,1)+($AY103-$AZ103)*MAX(0,MIN(-BS103/10%-1,1))+($AX103-$AY103)*MAX(0,-BS103/10%-2)),0),"")</f>
        <v/>
      </c>
      <c r="CC103" s="468" t="str">
        <f aca="false">IF($BD103,$BW103+IF(VolSkewFlag=1,IF(BT103&gt;0,$BA103*MIN(BT103/10%,1)+($BB103-$BA103)*MAX(0,MIN(BT103/10%-1,1))+($BC103-$BB103)*MAX(0,BT103/10%-2),$AZ103*MIN(-BT103/10%,1)+($AY103-$AZ103)*MAX(0,MIN(-BT103/10%-1,1))+($AX103-$AY103)*MAX(0,-BT103/10%-2)),0),"")</f>
        <v/>
      </c>
      <c r="CD103" s="468" t="str">
        <f aca="false">IF($BD103,$BX103+IF(VolSkewFlag=1,IF(BT103&gt;0,$BA103*MIN(BT103/10%,1)+($BB103-$BA103)*MAX(0,MIN(BT103/10%-1,1))+($BC103-$BB103)*MAX(0,BT103/10%-2),$AZ103*MIN(-BT103/10%,1)+($AY103-$AZ103)*MAX(0,MIN(-BT103/10%-1,1))+($AX103-$AY103)*MAX(0,-BT103/10%-2)),0),"")</f>
        <v/>
      </c>
      <c r="CE103" s="469" t="n">
        <v>1</v>
      </c>
      <c r="CF103" s="470" t="n">
        <f aca="false">IF(BD103,xCrudeAPO(BU103,BV103,CA103,CB103,S104,S105,BI103,BL103,BP103,BQ103,0,Strike1,AO103,CE103,0,BL103,IF(OptControl=4,0,1),0,1),0)</f>
        <v>0</v>
      </c>
      <c r="CG103" s="470" t="n">
        <f aca="false">IF(BD103,xCrudeAPO(BU103,BV103,CA103,CB103,S104,S105,BI103,BL103,BP103,BQ103,0,Strike1,AO103,CE103,0,BL103,IF(OptControl=4,0,1),1,1)+xCrudeAPO(BU103,BV103,CA103,CB103,S104,S105,BI103,BL103,BP103,BQ103,0,Strike1,AO103,CE103,0,BL103,IF(OptControl=4,0,1),1,2)+IF(OR(VolSkewFlag=2,ABS(BS103)&lt;0.0001),0,IF(BS103&gt;0,-1,1)*CH103*Strike1/BR103^2*BY103/10%),0)</f>
        <v>0</v>
      </c>
      <c r="CH103" s="470" t="n">
        <f aca="false">IF(BD103,(xCrudeAPO(BU103,BV103,CA103,CB103,S104,S105,BI103,BL103,BP103,BQ103,0,Strike1,AO103,CE103,0,BL103,IF(OptControl=4,0,1),3,1)+xCrudeAPO(BU103,BV103,CA103,CB103,S104,S105,BI103,BL103,BP103,BQ103,0,Strike1,AO103,CE103,0,BL103,IF(OptControl=4,0,1),3,2))/100,0)</f>
        <v>0</v>
      </c>
      <c r="CI103" s="470" t="n">
        <f aca="false">IF(BD103,xCrudeAPO(BU103,BV103,CA103,CB103,S104,S105,BI103-DaysForThetaCalculation/365.25,BL103-DaysForThetaCalculation/365.25,BP103,BQ103,0,Strike1,AO103,CE103,0,BL103,IF(OptControl=4,0,1),0,1)-xCrudeAPO(BU103,BV103,CA103,CB103,S104,S105,BI103,BL103,BP103,BQ103,0,Strike1,AO103,CE103,0,BL103,IF(OptControl=4,0,1),0,1),0)</f>
        <v>0</v>
      </c>
      <c r="CJ103" s="471" t="n">
        <f aca="false">IF(BD103,xCrudeAPO(BU103,BV103,CC103,CD103,S104,S105,BI103,BL103,BP103,BQ103,0,Strike2,AO103,CE103,0,BL103,IF(OptControl=3,1,0),0,1),0)</f>
        <v>0</v>
      </c>
      <c r="CK103" s="470" t="n">
        <f aca="false">IF(BD103,xCrudeAPO(BU103,BV103,CC103,CD103,S104,S105,BI103,BL103,BP103,BQ103,0,Strike2,AO103,CE103,0,BL103,IF(OptControl=3,1,0),1,1)+xCrudeAPO(BU103,BV103,CC103,CD103,S104,S105,BI103,BL103,BP103,BQ103,0,Strike2,AO103,CE103,0,BL103,IF(OptControl=3,1,0),1,2)+IF(OR(VolSkewFlag=2,ABS(BT103)&lt;0.0001),0,IF(BT103&gt;0,-1,1)*CL103*Strike2/BR103^2*BZ103/10%),0)</f>
        <v>0</v>
      </c>
      <c r="CL103" s="470" t="n">
        <f aca="false">IF(BD103,(xCrudeAPO(BU103,BV103,CC103,CD103,S104,S105,BI103,BL103,BP103,BQ103,0,Strike2,AO103,CE103,0,BL103,IF(OptControl=3,1,0),3,1)+xCrudeAPO(BU103,BV103,CC103,CD103,S104,S105,BI103,BL103,BP103,BQ103,0,Strike2,AO103,CE103,0,BL103,IF(OptControl=3,1,0),3,2))/100,0)</f>
        <v>0</v>
      </c>
      <c r="CM103" s="472" t="n">
        <f aca="false">IF(BD103,xCrudeAPO(BU103,BV103,CC103,CD103,S104,S105,BI103-DaysForThetaCalculation/365.25,BL103-DaysForThetaCalculation/365.25,BP103,BQ103,0,Strike2,AO103,CE103,0,BL103,IF(OptControl=3,1,0),0,1)-xCrudeAPO(BU103,BV103,CC103,CD103,S104,S105,BI103,BL103,BP103,BQ103,0,Strike2,AO103,CE103,0,BL103,IF(OptControl=3,1,0),0,1),0)</f>
        <v>0</v>
      </c>
      <c r="CN103" s="3"/>
      <c r="CO103" s="543" t="str">
        <f aca="false">IF(BD103,CHOOSE(Underlying,AD103,AF103)-DateToday+1,"")</f>
        <v/>
      </c>
      <c r="CP103" s="582" t="str">
        <f aca="false">IF(BD103,CHOOSE(Underlying,L103,R103),"")</f>
        <v/>
      </c>
      <c r="CQ103" s="544" t="str">
        <f aca="false">IF(BD103,Strike1/CP103-1,"")</f>
        <v/>
      </c>
      <c r="CR103" s="544" t="str">
        <f aca="false">IF(BD103,Strike2/CP103-1,"")</f>
        <v/>
      </c>
      <c r="CS103" s="544" t="str">
        <f aca="false">IF(BD103,IF(CQ103&gt;0,IF(CQ103&gt;0.2,BC102-BB102,IF(CQ103&gt;0.1,BB102-BA102,BA102)),IF(CQ103&lt;-0.2,AX102-AY102,IF(CQ103&lt;-0.1,AY102-AZ102,AZ102))),"")</f>
        <v/>
      </c>
      <c r="CT103" s="544" t="str">
        <f aca="false">IF(BD103,IF(CR103&gt;0,IF(CR103&gt;0.2,BC102-BB102,IF(CR103&gt;0.1,BB102-BA102,BA102)),IF(CR103&lt;-0.2,AX102-AY102,IF(CR103&lt;-0.1,AY102-AZ102,AZ102))),"")</f>
        <v/>
      </c>
      <c r="CU103" s="545" t="str">
        <f aca="false">IF(BD103,CHOOSE(Underlying,O103,AT103),"")</f>
        <v/>
      </c>
      <c r="CV103" s="545" t="str">
        <f aca="false">IF(BD103,CU103+IF(VolSkewFlag=1,IF(CQ103&gt;0,BA102*MIN(CQ103/10%,1)+(BB102-BA102)*MAX(0,MIN(CQ103/10%-1,1))+(BC102-BB102)*MAX(0,CQ103/10%-2),AZ102*MIN(-CQ103/10%,1)+(AY102-AZ102)*MAX(0,MIN(-CQ103/10%-1,1))+(AX102-AY102)*MAX(0,-CQ103/10%-2)),0),"")</f>
        <v/>
      </c>
      <c r="CW103" s="545" t="str">
        <f aca="false">IF(BD103,CU103+IF(VolSkewFlag=1,IF(CR103&gt;0,BA102*MIN(CR103/10%,1)+(BB102-BA102)*MAX(0,MIN(CR103/10%-1,1))+(BC102-BB102)*MAX(0,CR103/10%-2),AZ102*MIN(-CR103/10%,1)+(AY102-AZ102)*MAX(0,MIN(-CR103/10%-1,1))+(AX102-AY102)*MAX(0,-CR103/10%-2)),0),"")</f>
        <v/>
      </c>
      <c r="CX103" s="470" t="n">
        <f aca="false">IF(BD103,EURO(CP103,Strike1,AO103,AO103,CV103,CO103,IF(OptControl=4,0,1),0),0)</f>
        <v>0</v>
      </c>
      <c r="CY103" s="470" t="n">
        <f aca="false">IF(BD103,EURO(CP103,Strike1,AO103,AO103,CV103,CO103,IF(OptControl=4,0,1),1)+IF(OR(VolSkewFlag=2,ABS(CQ103)&lt;0.0001),0,IF(CQ103&gt;0,-1,1)*CZ103*100*Strike1/CP103^2*CS103/10%),0)</f>
        <v>0</v>
      </c>
      <c r="CZ103" s="470" t="n">
        <f aca="false">IF(BD103,EURO(CP103,Strike1,AO103,AO103,CV103,CO103,IF(OptControl=4,0,1),3)/100,0)</f>
        <v>0</v>
      </c>
      <c r="DA103" s="470" t="n">
        <f aca="false">IF(BD103,EURO(CP103,Strike1,AO103,AO103,CV103,CO103,IF(OptControl=4,0,1),0)-EURO(CP103,Strike1,AO103,AO103,CV103,CO103-1,IF(OptControl=4,0,1),0),0)</f>
        <v>0</v>
      </c>
      <c r="DB103" s="470" t="n">
        <f aca="false">IF(BD103,EURO(CP103,Strike2,AO103,AO103,CW103,CO103,IF(OptControl=3,1,0),0),0)</f>
        <v>0</v>
      </c>
      <c r="DC103" s="470" t="n">
        <f aca="false">IF(BD103,EURO(CP103,Strike2,AO103,AO103,CW103,CO103,IF(OptControl=3,1,0),1)+IF(OR(VolSkewFlag=2,ABS(CR103)&lt;0.0001),0,IF(CR103&gt;0,-1,1)*DD103*100*Strike2/CP103^2*CT103/10%),0)</f>
        <v>0</v>
      </c>
      <c r="DD103" s="470" t="n">
        <f aca="false">IF(BD103,EURO(CP103,Strike2,AO103,AO103,CW103,CO103,IF(OptControl=3,1,0),3)/100,0)</f>
        <v>0</v>
      </c>
      <c r="DE103" s="472" t="n">
        <f aca="false">IF(BD103,EURO(CP103,Strike2,AO103,AO103,CW103,CO103,IF(OptControl=3,1,0),0)-EURO(CP103,Strike2,AO103,AO103,CW103,CO103-1,IF(OptControl=3,1,0),0),0)</f>
        <v>0</v>
      </c>
      <c r="DG103" s="481" t="n">
        <f aca="false">EOMONTH(DG102,0)+1</f>
        <v>48214</v>
      </c>
      <c r="DH103" s="478" t="n">
        <v>18.3558333333333</v>
      </c>
      <c r="DI103" s="479" t="n">
        <v>18.4183333333333</v>
      </c>
      <c r="DJ103" s="480" t="n">
        <f aca="false">DG103</f>
        <v>48214</v>
      </c>
      <c r="DK103" s="478" t="n">
        <v>17.1504119223769</v>
      </c>
      <c r="DL103" s="479" t="n">
        <v>17.2498333333333</v>
      </c>
      <c r="DM103" s="481" t="n">
        <f aca="false">DG103</f>
        <v>48214</v>
      </c>
      <c r="DN103" s="482" t="n">
        <f aca="false">DK103+BrentPhyBrentSpread</f>
        <v>17.2004119223769</v>
      </c>
      <c r="DO103" s="481" t="n">
        <f aca="false">DG103</f>
        <v>48214</v>
      </c>
      <c r="DP103" s="483" t="n">
        <f aca="false">DL103+DQ103</f>
        <v>17.2498333333333</v>
      </c>
      <c r="DQ103" s="546" t="n">
        <v>0</v>
      </c>
      <c r="DR103" s="480" t="n">
        <f aca="false">DG103</f>
        <v>48214</v>
      </c>
      <c r="DS103" s="485" t="n">
        <v>0.1748</v>
      </c>
      <c r="DT103" s="486" t="n">
        <v>0.173981818181818</v>
      </c>
      <c r="DU103" s="480" t="n">
        <f aca="false">DG103</f>
        <v>48214</v>
      </c>
      <c r="DV103" s="485" t="n">
        <v>0.1748</v>
      </c>
      <c r="DW103" s="486" t="n">
        <v>0.173981818181818</v>
      </c>
      <c r="DX103" s="481" t="n">
        <f aca="false">DG103</f>
        <v>48214</v>
      </c>
      <c r="DY103" s="486" t="n">
        <v>0.35</v>
      </c>
      <c r="DZ103" s="481" t="n">
        <f aca="false">DR103</f>
        <v>48214</v>
      </c>
      <c r="EA103" s="486" t="n">
        <f aca="false">DT103</f>
        <v>0.173981818181818</v>
      </c>
      <c r="EB103" s="195"/>
      <c r="EC103" s="547" t="str">
        <f aca="false">IF(BD103,IF(Underlying=1,AS103,AU103),"")</f>
        <v/>
      </c>
      <c r="ED103" s="548" t="str">
        <f aca="false">IF($BD103,$EC103+IF(VolSkewFlag=1,IF(BS103&gt;0,$BA103*MIN(BS103/10%,1)+($BB103-$BA103)*MAX(0,MIN(BS103/10%-1,1))+($BC103-$BB103)*MAX(0,BS103/10%-2),$AZ103*MIN(-BS103/10%,1)+($AY103-$AZ103)*MAX(0,MIN(-BS103/10%-1,1))+($AX103-$AY103)*MAX(0,-BS103/10%-2)),0),"")</f>
        <v/>
      </c>
      <c r="EE103" s="549" t="str">
        <f aca="false">IF($BD103,$EC103+IF(VolSkewFlag=1,IF(BT103&gt;0,$BA103*MIN(BT103/10%,1)+($BB103-$BA103)*MAX(0,MIN(BT103/10%-1,1))+($BC103-$BB103)*MAX(0,BT103/10%-2),$AZ103*MIN(-BT103/10%,1)+($AY103-$AZ103)*MAX(0,MIN(-BT103/10%-1,1))+($AX103-$AY103)*MAX(0,-BT103/10%-2)),0),"")</f>
        <v/>
      </c>
      <c r="EF103" s="550" t="n">
        <f aca="false">IF(BD103,xASN(BR103,Strike1,AO103,ED103,0,BO103,0,BI103,BL103,IF(OptControl=4,0,1),0),0)</f>
        <v>0</v>
      </c>
      <c r="EG103" s="551" t="n">
        <f aca="false">IF(BD103,xASN(BR103,Strike2,AO103,EE103,0,BO103,0,BI103,BL103,IF(OptControl=3,1,0),0),0)</f>
        <v>0</v>
      </c>
      <c r="EL103" s="1"/>
      <c r="EM103" s="195"/>
      <c r="EN103" s="240"/>
      <c r="EO103" s="240"/>
      <c r="EP103" s="195"/>
      <c r="EQ103" s="407" t="s">
        <v>330</v>
      </c>
      <c r="ES103" s="130"/>
      <c r="ET103" s="19"/>
      <c r="EU103" s="672"/>
      <c r="EV103" s="478"/>
      <c r="EW103" s="131"/>
      <c r="EX103" s="131"/>
      <c r="EY103" s="129"/>
      <c r="EZ103" s="129"/>
      <c r="FA103" s="129"/>
      <c r="FB103" s="129"/>
      <c r="FC103" s="129"/>
      <c r="FD103" s="129"/>
      <c r="FE103" s="129"/>
      <c r="FF103" s="129"/>
      <c r="FG103" s="129"/>
      <c r="FH103" s="129"/>
      <c r="FI103" s="129"/>
      <c r="FJ103" s="571" t="n">
        <v>9</v>
      </c>
      <c r="FK103" s="150" t="e">
        <f aca="false">IF($FJ28&lt;FK$94,"",SQRT(FK28/FK$15))</f>
        <v>#DIV/0!</v>
      </c>
      <c r="FL103" s="150" t="n">
        <f aca="false">IF($FJ28&lt;FL$94,"",SQRT(FL28/FL$15))</f>
        <v>-0</v>
      </c>
      <c r="FM103" s="150" t="n">
        <f aca="false">IF($FJ28&lt;FM$94,"",SQRT(FM28/FM$15))</f>
        <v>0.232484026884922</v>
      </c>
      <c r="FN103" s="150" t="n">
        <f aca="false">IF($FJ28&lt;FN$94,"",SQRT(FN28/FN$15))</f>
        <v>0.240701270744699</v>
      </c>
      <c r="FO103" s="150" t="n">
        <f aca="false">IF($FJ28&lt;FO$94,"",SQRT(FO28/FO$15))</f>
        <v>0.252823017267893</v>
      </c>
      <c r="FP103" s="150" t="n">
        <f aca="false">IF($FJ28&lt;FP$94,"",SQRT(FP28/FP$15))</f>
        <v>0.26963945973945</v>
      </c>
      <c r="FQ103" s="150" t="n">
        <f aca="false">IF($FJ28&lt;FQ$94,"",SQRT(FQ28/FQ$15))</f>
        <v>0.29243989288502</v>
      </c>
      <c r="FR103" s="150" t="n">
        <f aca="false">IF($FJ28&lt;FR$94,"",SQRT(FR28/FR$15))</f>
        <v>0.323261773967995</v>
      </c>
      <c r="FS103" s="150" t="n">
        <f aca="false">IF($FJ28&lt;FS$94,"",SQRT(FS28/FS$15))</f>
        <v>0.36533935546875</v>
      </c>
      <c r="FT103" s="150" t="str">
        <f aca="false">IF($FJ28&lt;FT$94,"",SQRT(FT28/FT$15))</f>
        <v/>
      </c>
      <c r="FU103" s="150" t="str">
        <f aca="false">IF($FJ28&lt;FU$94,"",SQRT(FU28/FU$15))</f>
        <v/>
      </c>
      <c r="FV103" s="150" t="str">
        <f aca="false">IF($FJ28&lt;FV$94,"",SQRT(FV28/FV$15))</f>
        <v/>
      </c>
      <c r="FW103" s="150" t="str">
        <f aca="false">IF($FJ28&lt;FW$94,"",SQRT(FW28/FW$15))</f>
        <v/>
      </c>
      <c r="FX103" s="150" t="str">
        <f aca="false">IF($FJ28&lt;FX$94,"",SQRT(FX28/FX$15))</f>
        <v/>
      </c>
      <c r="FY103" s="150" t="str">
        <f aca="false">IF($FJ28&lt;FY$94,"",SQRT(FY28/FY$15))</f>
        <v/>
      </c>
      <c r="FZ103" s="150" t="str">
        <f aca="false">IF($FJ28&lt;FZ$94,"",SQRT(FZ28/FZ$15))</f>
        <v/>
      </c>
      <c r="GA103" s="150" t="str">
        <f aca="false">IF($FJ28&lt;GA$94,"",SQRT(GA28/GA$15))</f>
        <v/>
      </c>
      <c r="GB103" s="150" t="str">
        <f aca="false">IF($FJ28&lt;GB$94,"",SQRT(GB28/GB$15))</f>
        <v/>
      </c>
      <c r="GC103" s="150" t="str">
        <f aca="false">IF($FJ28&lt;GC$94,"",SQRT(GC28/GC$15))</f>
        <v/>
      </c>
      <c r="GD103" s="150" t="str">
        <f aca="false">IF($FJ28&lt;GD$94,"",SQRT(GD28/GD$15))</f>
        <v/>
      </c>
      <c r="GE103" s="150" t="str">
        <f aca="false">IF($FJ28&lt;GE$94,"",SQRT(GE28/GE$15))</f>
        <v/>
      </c>
      <c r="GF103" s="150" t="str">
        <f aca="false">IF($FJ28&lt;GF$94,"",SQRT(GF28/GF$15))</f>
        <v/>
      </c>
      <c r="GG103" s="150" t="str">
        <f aca="false">IF($FJ28&lt;GG$94,"",SQRT(GG28/GG$15))</f>
        <v/>
      </c>
      <c r="GH103" s="150" t="str">
        <f aca="false">IF($FJ28&lt;GH$94,"",SQRT(GH28/GH$15))</f>
        <v/>
      </c>
      <c r="GI103" s="150" t="str">
        <f aca="false">IF($FJ28&lt;GI$94,"",SQRT(GI28/GI$15))</f>
        <v/>
      </c>
      <c r="GJ103" s="150" t="str">
        <f aca="false">IF($FJ28&lt;GJ$94,"",SQRT(GJ28/GJ$15))</f>
        <v/>
      </c>
      <c r="GK103" s="150" t="str">
        <f aca="false">IF($FJ28&lt;GK$94,"",SQRT(GK28/GK$15))</f>
        <v/>
      </c>
      <c r="GL103" s="150" t="str">
        <f aca="false">IF($FJ28&lt;GL$94,"",SQRT(GL28/GL$15))</f>
        <v/>
      </c>
      <c r="GM103" s="150" t="str">
        <f aca="false">IF($FJ28&lt;GM$94,"",SQRT(GM28/GM$15))</f>
        <v/>
      </c>
      <c r="GN103" s="150" t="str">
        <f aca="false">IF($FJ28&lt;GN$94,"",SQRT(GN28/GN$15))</f>
        <v/>
      </c>
      <c r="GO103" s="150" t="str">
        <f aca="false">IF($FJ28&lt;GO$94,"",SQRT(GO28/GO$15))</f>
        <v/>
      </c>
      <c r="GP103" s="150" t="str">
        <f aca="false">IF($FJ28&lt;GP$94,"",SQRT(GP28/GP$15))</f>
        <v/>
      </c>
      <c r="GQ103" s="150" t="str">
        <f aca="false">IF($FJ28&lt;GQ$94,"",SQRT(GQ28/GQ$15))</f>
        <v/>
      </c>
      <c r="GR103" s="150" t="str">
        <f aca="false">IF($FJ28&lt;GR$94,"",SQRT(GR28/GR$15))</f>
        <v/>
      </c>
      <c r="GS103" s="150" t="str">
        <f aca="false">IF($FJ28&lt;GS$94,"",SQRT(GS28/GS$15))</f>
        <v/>
      </c>
      <c r="GT103" s="150" t="str">
        <f aca="false">IF($FJ28&lt;GT$94,"",SQRT(GT28/GT$15))</f>
        <v/>
      </c>
      <c r="GU103" s="150" t="str">
        <f aca="false">IF($FJ28&lt;GU$94,"",SQRT(GU28/GU$15))</f>
        <v/>
      </c>
      <c r="GV103" s="150" t="str">
        <f aca="false">IF($FJ28&lt;GV$94,"",SQRT(GV28/GV$15))</f>
        <v/>
      </c>
      <c r="GW103" s="150" t="str">
        <f aca="false">IF($FJ28&lt;GW$94,"",SQRT(GW28/GW$15))</f>
        <v/>
      </c>
      <c r="GX103" s="150" t="str">
        <f aca="false">IF($FJ28&lt;GX$94,"",SQRT(GX28/GX$15))</f>
        <v/>
      </c>
      <c r="GY103" s="150" t="str">
        <f aca="false">IF($FJ28&lt;GY$94,"",SQRT(GY28/GY$15))</f>
        <v/>
      </c>
      <c r="GZ103" s="150" t="str">
        <f aca="false">IF($FJ28&lt;GZ$94,"",SQRT(GZ28/GZ$15))</f>
        <v/>
      </c>
      <c r="HA103" s="150" t="str">
        <f aca="false">IF($FJ28&lt;HA$94,"",SQRT(HA28/HA$15))</f>
        <v/>
      </c>
      <c r="HB103" s="150" t="str">
        <f aca="false">IF($FJ28&lt;HB$94,"",SQRT(HB28/HB$15))</f>
        <v/>
      </c>
      <c r="HC103" s="150" t="str">
        <f aca="false">IF($FJ28&lt;HC$94,"",SQRT(HC28/HC$15))</f>
        <v/>
      </c>
      <c r="HD103" s="150" t="str">
        <f aca="false">IF($FJ28&lt;HD$94,"",SQRT(HD28/HD$15))</f>
        <v/>
      </c>
      <c r="HE103" s="150" t="str">
        <f aca="false">IF($FJ28&lt;HE$94,"",SQRT(HE28/HE$15))</f>
        <v/>
      </c>
      <c r="HF103" s="150" t="str">
        <f aca="false">IF($FJ28&lt;HF$94,"",SQRT(HF28/HF$15))</f>
        <v/>
      </c>
      <c r="HG103" s="150" t="str">
        <f aca="false">IF($FJ28&lt;HG$94,"",SQRT(HG28/HG$15))</f>
        <v/>
      </c>
      <c r="HH103" s="150" t="str">
        <f aca="false">IF($FJ28&lt;HH$94,"",SQRT(HH28/HH$15))</f>
        <v/>
      </c>
      <c r="HI103" s="150" t="str">
        <f aca="false">IF($FJ28&lt;HI$94,"",SQRT(HI28/HI$15))</f>
        <v/>
      </c>
      <c r="HJ103" s="150" t="str">
        <f aca="false">IF($FJ28&lt;HJ$94,"",SQRT(HJ28/HJ$15))</f>
        <v/>
      </c>
      <c r="HK103" s="150" t="str">
        <f aca="false">IF($FJ28&lt;HK$94,"",SQRT(HK28/HK$15))</f>
        <v/>
      </c>
      <c r="HL103" s="150" t="str">
        <f aca="false">IF($FJ28&lt;HL$94,"",SQRT(HL28/HL$15))</f>
        <v/>
      </c>
      <c r="HM103" s="150" t="str">
        <f aca="false">IF($FJ28&lt;HM$94,"",SQRT(HM28/HM$15))</f>
        <v/>
      </c>
      <c r="HN103" s="150" t="str">
        <f aca="false">IF($FJ28&lt;HN$94,"",SQRT(HN28/HN$15))</f>
        <v/>
      </c>
      <c r="HO103" s="150" t="str">
        <f aca="false">IF($FJ28&lt;HO$94,"",SQRT(HO28/HO$15))</f>
        <v/>
      </c>
      <c r="HP103" s="150" t="str">
        <f aca="false">IF($FJ28&lt;HP$94,"",SQRT(HP28/HP$15))</f>
        <v/>
      </c>
      <c r="HQ103" s="150" t="str">
        <f aca="false">IF($FJ28&lt;HQ$94,"",SQRT(HQ28/HQ$15))</f>
        <v/>
      </c>
      <c r="HR103" s="150" t="str">
        <f aca="false">IF($FJ28&lt;HR$94,"",SQRT(HR28/HR$15))</f>
        <v/>
      </c>
      <c r="HS103" s="150" t="str">
        <f aca="false">IF($FJ28&lt;HS$94,"",SQRT(HS28/HS$15))</f>
        <v/>
      </c>
      <c r="HT103" s="150" t="str">
        <f aca="false">IF($FJ28&lt;HT$94,"",SQRT(HT28/HT$15))</f>
        <v/>
      </c>
      <c r="HU103" s="150" t="str">
        <f aca="false">IF($FJ28&lt;HU$94,"",SQRT(HU28/HU$15))</f>
        <v/>
      </c>
      <c r="HV103" s="150" t="str">
        <f aca="false">IF($FJ28&lt;HV$94,"",SQRT(HV28/HV$15))</f>
        <v/>
      </c>
      <c r="HW103" s="150" t="str">
        <f aca="false">IF($FJ28&lt;HW$94,"",SQRT(HW28/HW$15))</f>
        <v/>
      </c>
      <c r="HX103" s="150" t="str">
        <f aca="false">IF($FJ28&lt;HX$94,"",SQRT(HX28/HX$15))</f>
        <v/>
      </c>
      <c r="HY103" s="150" t="str">
        <f aca="false">IF($FJ28&lt;HY$94,"",SQRT(HY28/HY$15))</f>
        <v/>
      </c>
      <c r="HZ103" s="150" t="str">
        <f aca="false">IF($FJ28&lt;HZ$94,"",SQRT(HZ28/HZ$15))</f>
        <v/>
      </c>
      <c r="IA103" s="150" t="str">
        <f aca="false">IF($FJ28&lt;IA$94,"",SQRT(IA28/IA$15))</f>
        <v/>
      </c>
      <c r="IB103" s="150" t="str">
        <f aca="false">IF($FJ28&lt;IB$94,"",SQRT(IB28/IB$15))</f>
        <v/>
      </c>
      <c r="IC103" s="150" t="str">
        <f aca="false">IF($FJ28&lt;IC$94,"",SQRT(IC28/IC$15))</f>
        <v/>
      </c>
      <c r="ID103" s="572" t="str">
        <f aca="false">IF($FJ28&lt;ID$94,"",SQRT(ID28/ID$15))</f>
        <v/>
      </c>
      <c r="IE103" s="129"/>
    </row>
    <row r="104" customFormat="false" ht="12.75" hidden="false" customHeight="false" outlineLevel="0" collapsed="false">
      <c r="H104" s="219" t="n">
        <f aca="false">VLOOKUP(I104,$EJ$20:$EL$54,3)</f>
        <v>0</v>
      </c>
      <c r="I104" s="511" t="n">
        <f aca="false">EOMONTH(I103,0)+1</f>
        <v>39326</v>
      </c>
      <c r="J104" s="512"/>
      <c r="K104" s="513" t="s">
        <v>280</v>
      </c>
      <c r="L104" s="514" t="n">
        <f aca="false">IF(ISNUMBER(K104),J104+K104/100,IF(K104="extra",L103+VLOOKUP(BF104,PriceSpreadTable,2)/12,IF(K104="inter",interpolateprices($K$19:$L$200,ROW(K104)-ROW(FirstPricingMonth)+1),interpolatechanges($J$19:$K$200,ROW(K104)-ROW(FirstPricingMonth)+1))))</f>
        <v>0.3</v>
      </c>
      <c r="M104" s="515"/>
      <c r="N104" s="516" t="n">
        <v>0</v>
      </c>
      <c r="O104" s="515" t="n">
        <f aca="false">M104+N104</f>
        <v>0</v>
      </c>
      <c r="P104" s="512"/>
      <c r="Q104" s="513" t="s">
        <v>280</v>
      </c>
      <c r="R104" s="512" t="e">
        <f aca="false">IF(ISNUMBER(Q104),P104+Q104/100,IF(Q104="extra",(Z102*AL102-R103*AM102)/AN102,IF(Q104="inter",interpolateprices($Q$19:$R$260,ROW(Q104)-ROW(FirstPricingMonth)+1),interpolatechanges($P$19:$Q$260,ROW(Q104)-ROW(FirstPricingMonth)+1))))</f>
        <v>#VALUE!</v>
      </c>
      <c r="S104" s="597" t="n">
        <f aca="false">S$19+(S103-S$19)*S$18</f>
        <v>0.360000000001707</v>
      </c>
      <c r="T104" s="575" t="n">
        <f aca="false">SQRT((1-(1-T103^2/U103)*T$18)*U104)</f>
        <v>0.999999783408484</v>
      </c>
      <c r="U104" s="576" t="n">
        <f aca="false">1-(1-U103)*U$18</f>
        <v>0.99999999999952</v>
      </c>
      <c r="V104" s="521" t="n">
        <v>0</v>
      </c>
      <c r="W104" s="577" t="n">
        <f aca="false">(J105*AJ104+J106*AK104)/AI104</f>
        <v>0</v>
      </c>
      <c r="X104" s="578" t="n">
        <f aca="false">(L105*AJ104+L106*AK104)/AI104</f>
        <v>0.34875</v>
      </c>
      <c r="Y104" s="579" t="n">
        <f aca="false">IF(Q106="extra",W104-AA104,(P105*AM104+P106*AN104)/AL104)</f>
        <v>-1.2257</v>
      </c>
      <c r="Z104" s="579" t="n">
        <f aca="false">IF(Q106="extra",X104-AB104,(R105*AM104+R106*AN104)/AL104)</f>
        <v>-0.87695</v>
      </c>
      <c r="AA104" s="523" t="n">
        <f aca="false">IF(Q106="extra",INDEX(BrentSeasonalityTable,INT((BG104-1)/3)+1)*VLOOKUP(MAX(BF104,$AB$4),PriceSpreadTable,3),W104-Y104)</f>
        <v>1.2257</v>
      </c>
      <c r="AB104" s="524" t="n">
        <f aca="false">IF(Q106="extra",INDEX(BrentSeasonalityTable,INT((BG104-1)/3)+1)*VLOOKUP(MAX(BF104,$AB$4),PriceSpreadTable,3),X104-Z104)</f>
        <v>1.2257</v>
      </c>
      <c r="AC104" s="646" t="n">
        <v>39314</v>
      </c>
      <c r="AD104" s="646" t="n">
        <v>39310</v>
      </c>
      <c r="AE104" s="646" t="n">
        <v>39309</v>
      </c>
      <c r="AF104" s="646" t="n">
        <v>39305</v>
      </c>
      <c r="AG104" s="438" t="s">
        <v>278</v>
      </c>
      <c r="AH104" s="439" t="s">
        <v>278</v>
      </c>
      <c r="AI104" s="528" t="n">
        <v>20</v>
      </c>
      <c r="AJ104" s="529" t="n">
        <v>14</v>
      </c>
      <c r="AK104" s="529" t="n">
        <v>6</v>
      </c>
      <c r="AL104" s="530" t="n">
        <v>20</v>
      </c>
      <c r="AM104" s="529" t="n">
        <v>10</v>
      </c>
      <c r="AN104" s="531" t="n">
        <v>10</v>
      </c>
      <c r="AO104" s="532"/>
      <c r="AP104" s="465" t="n">
        <f aca="false">(1+AO104/2)^(-2*BL104)</f>
        <v>1</v>
      </c>
      <c r="AQ104" s="532"/>
      <c r="AR104" s="465" t="n">
        <f aca="false">(1+AQ104/2)^(-2*BH104/365.25)</f>
        <v>1</v>
      </c>
      <c r="AS104" s="580" t="n">
        <f aca="false">(O105*AJ104+O106*AK104)/AI104</f>
        <v>0</v>
      </c>
      <c r="AT104" s="468" t="n">
        <f aca="false">O104*VLOOKUP(BF104,BrentVolTable,2)+VLOOKUP(BF104,BrentVolTable,3)</f>
        <v>0</v>
      </c>
      <c r="AU104" s="468" t="n">
        <f aca="false">(AT105*AM104+AT106*AN104)/AL104</f>
        <v>0</v>
      </c>
      <c r="AV104" s="595" t="n">
        <f aca="false">SQRT(MAX(0.000000000001,(O104^2*BH104-S104^2*(BH104-BH103))/BH103))</f>
        <v>0.0245868662782634</v>
      </c>
      <c r="AW104" s="451" t="n">
        <f aca="false">IF($I104-DateToday+15&gt;=$T$8,"",IF($I104-DateToday+15&lt;$T$5,1,MATCH($I104-DateToday+15,$T$5:$T$8)))</f>
        <v>1</v>
      </c>
      <c r="AX104" s="468" t="n">
        <f aca="false">IF($AW104="",AX103^2/AX102,INDEX(U$5:U$8,$AW104)^((INDEX($T$5:$T$8,$AW104+1)-($I104-DateToday+15))/(INDEX($T$5:$T$8,$AW104+1)-INDEX($T$5:$T$8,$AW104)))/INDEX(U$5:U$8,$AW104+1)^((INDEX($T$5:$T$8,$AW104)-($I104-DateToday+15))/(INDEX($T$5:$T$8,$AW104+1)-INDEX($T$5:$T$8,$AW104))))</f>
        <v>2.08418050553858</v>
      </c>
      <c r="AY104" s="468" t="n">
        <f aca="false">IF($AW104="",AY103^2/AY102,INDEX(V$5:V$8,$AW104)^((INDEX($T$5:$T$8,$AW104+1)-($I104-DateToday+15))/(INDEX($T$5:$T$8,$AW104+1)-INDEX($T$5:$T$8,$AW104)))/INDEX(V$5:V$8,$AW104+1)^((INDEX($T$5:$T$8,$AW104)-($I104-DateToday+15))/(INDEX($T$5:$T$8,$AW104+1)-INDEX($T$5:$T$8,$AW104))))</f>
        <v>151.673385602623</v>
      </c>
      <c r="AZ104" s="468" t="n">
        <f aca="false">IF($AW104="",AZ103^2/AZ102,INDEX(W$5:W$8,$AW104)^((INDEX($T$5:$T$8,$AW104+1)-($I104-DateToday+15))/(INDEX($T$5:$T$8,$AW104+1)-INDEX($T$5:$T$8,$AW104)))/INDEX(W$5:W$8,$AW104+1)^((INDEX($T$5:$T$8,$AW104)-($I104-DateToday+15))/(INDEX($T$5:$T$8,$AW104+1)-INDEX($T$5:$T$8,$AW104))))</f>
        <v>699529.075523386</v>
      </c>
      <c r="BA104" s="468" t="n">
        <f aca="false">IF($AW104="",BA103^2/BA102,INDEX(X$5:X$8,$AW104)^((INDEX($T$5:$T$8,$AW104+1)-($I104-DateToday+15))/(INDEX($T$5:$T$8,$AW104+1)-INDEX($T$5:$T$8,$AW104)))/INDEX(X$5:X$8,$AW104+1)^((INDEX($T$5:$T$8,$AW104)-($I104-DateToday+15))/(INDEX($T$5:$T$8,$AW104+1)-INDEX($T$5:$T$8,$AW104))))</f>
        <v>15186925.6485756</v>
      </c>
      <c r="BB104" s="468" t="n">
        <f aca="false">IF($AW104="",BB103^2/BB102,INDEX(Y$5:Y$8,$AW104)^((INDEX($T$5:$T$8,$AW104+1)-($I104-DateToday+15))/(INDEX($T$5:$T$8,$AW104+1)-INDEX($T$5:$T$8,$AW104)))/INDEX(Y$5:Y$8,$AW104+1)^((INDEX($T$5:$T$8,$AW104)-($I104-DateToday+15))/(INDEX($T$5:$T$8,$AW104+1)-INDEX($T$5:$T$8,$AW104))))</f>
        <v>182829382.065022</v>
      </c>
      <c r="BC104" s="468" t="n">
        <f aca="false">IF($AW104="",BC103^2/BC102,INDEX(Z$5:Z$8,$AW104)^((INDEX($T$5:$T$8,$AW104+1)-($I104-DateToday+15))/(INDEX($T$5:$T$8,$AW104+1)-INDEX($T$5:$T$8,$AW104)))/INDEX(Z$5:Z$8,$AW104+1)^((INDEX($T$5:$T$8,$AW104)-($I104-DateToday+15))/(INDEX($T$5:$T$8,$AW104+1)-INDEX($T$5:$T$8,$AW104))))</f>
        <v>814197920.49061</v>
      </c>
      <c r="BD104" s="535" t="n">
        <f aca="false">IF(OR(DateStart&gt;=I105,DateEnd&lt;I104),0,IF(VolumeOverrideFlag,V104,Volume))</f>
        <v>0</v>
      </c>
      <c r="BE104" s="536" t="n">
        <f aca="false">IF(OR(DateStart2&gt;=I105,DateEnd2&lt;I104),0,IF(VolumeOverrideFlag,V104,VolumeSwaption))</f>
        <v>0</v>
      </c>
      <c r="BF104" s="537" t="n">
        <f aca="false">YEAR(I104)</f>
        <v>2007</v>
      </c>
      <c r="BG104" s="538" t="n">
        <f aca="false">MONTH(I104)</f>
        <v>9</v>
      </c>
      <c r="BH104" s="539" t="n">
        <f aca="false">AD104-DateToday+1</f>
        <v>-6615</v>
      </c>
      <c r="BI104" s="540" t="n">
        <f aca="false">(I104-DateToday+1)/365.25</f>
        <v>-18.0670773442847</v>
      </c>
      <c r="BJ104" s="541" t="n">
        <f aca="false">BI104+(BL104-BI104)*CHOOSE(Underlying,AJ104/AI104,AM104/AL104)</f>
        <v>-18.011498973306</v>
      </c>
      <c r="BK104" s="541" t="n">
        <f aca="false">BJ104+1/365.25</f>
        <v>-18.0087611225188</v>
      </c>
      <c r="BL104" s="541" t="n">
        <f aca="false">(I105-DateToday)/365.25</f>
        <v>-17.9876796714579</v>
      </c>
      <c r="BM104" s="542" t="e">
        <f aca="false">MAX(BI104-(BJ104-BI104)*(S105^2/O105^2-1),0)</f>
        <v>#DIV/0!</v>
      </c>
      <c r="BN104" s="541" t="e">
        <f aca="false">MAX(BL104+(BL104-BK104)*(S106^2/O106^2-1),0)</f>
        <v>#DIV/0!</v>
      </c>
      <c r="BO104" s="530" t="n">
        <f aca="false">CHOOSE(Underlying,AI104,AL104)</f>
        <v>20</v>
      </c>
      <c r="BP104" s="529" t="n">
        <f aca="false">CHOOSE(Underlying,AJ104,AM104)</f>
        <v>14</v>
      </c>
      <c r="BQ104" s="529" t="n">
        <f aca="false">CHOOSE(Underlying,AK104,AN104)</f>
        <v>6</v>
      </c>
      <c r="BR104" s="463" t="str">
        <f aca="false">IF(BD104,IF(Underlying=1,X104,Z104)+UnderlyingPriceAsian-SwapPriceCurve,"")</f>
        <v/>
      </c>
      <c r="BS104" s="463" t="str">
        <f aca="false">IF(BD104,Strike1/BR104-1,"")</f>
        <v/>
      </c>
      <c r="BT104" s="464" t="str">
        <f aca="false">IF(BD104,Strike2/BR104-1,"")</f>
        <v/>
      </c>
      <c r="BU104" s="465" t="str">
        <f aca="false">IF(BD104,IF(Underlying=1,L105,R105)+UnderlyingPriceAsian-SwapPriceCurve,"")</f>
        <v/>
      </c>
      <c r="BV104" s="465" t="str">
        <f aca="false">IF(BD104,IF(Underlying=1,L106,R106)+UnderlyingPriceAsian-SwapPriceCurve,"")</f>
        <v/>
      </c>
      <c r="BW104" s="466" t="str">
        <f aca="false">IF(BD104,IF(Underlying=1,O105,AT105),"")</f>
        <v/>
      </c>
      <c r="BX104" s="467" t="str">
        <f aca="false">IF(BD104,IF(Underlying=1,O106,AT106),"")</f>
        <v/>
      </c>
      <c r="BY104" s="466" t="str">
        <f aca="false">IF(BD104,IF(BS104&gt;0,IF(BS104&gt;0.2,BC104-BB104,IF(BS104&gt;0.1,BB104-BA104,BA104)),IF(BS104&lt;-0.2,AX104-AY104,IF(BS104&lt;-0.1,AY104-AZ104,AZ104))),"")</f>
        <v/>
      </c>
      <c r="BZ104" s="467" t="str">
        <f aca="false">IF(BD104,IF(BT104&gt;0,IF(BT104&gt;0.2,BC104-BB104,IF(BT104&gt;0.1,BB104-BA104,BA104)),IF(BT104&lt;-0.2,AX104-AY104,IF(BT104&lt;-0.1,AY104-AZ104,AZ104))),"")</f>
        <v/>
      </c>
      <c r="CA104" s="468" t="str">
        <f aca="false">IF($BD104,$BW104+IF(VolSkewFlag=1,IF(BS104&gt;0,$BA104*MIN(BS104/10%,1)+($BB104-$BA104)*MAX(0,MIN(BS104/10%-1,1))+($BC104-$BB104)*MAX(0,BS104/10%-2),$AZ104*MIN(-BS104/10%,1)+($AY104-$AZ104)*MAX(0,MIN(-BS104/10%-1,1))+($AX104-$AY104)*MAX(0,-BS104/10%-2)),0),"")</f>
        <v/>
      </c>
      <c r="CB104" s="468" t="str">
        <f aca="false">IF($BD104,$BX104+IF(VolSkewFlag=1,IF(BS104&gt;0,$BA104*MIN(BS104/10%,1)+($BB104-$BA104)*MAX(0,MIN(BS104/10%-1,1))+($BC104-$BB104)*MAX(0,BS104/10%-2),$AZ104*MIN(-BS104/10%,1)+($AY104-$AZ104)*MAX(0,MIN(-BS104/10%-1,1))+($AX104-$AY104)*MAX(0,-BS104/10%-2)),0),"")</f>
        <v/>
      </c>
      <c r="CC104" s="468" t="str">
        <f aca="false">IF($BD104,$BW104+IF(VolSkewFlag=1,IF(BT104&gt;0,$BA104*MIN(BT104/10%,1)+($BB104-$BA104)*MAX(0,MIN(BT104/10%-1,1))+($BC104-$BB104)*MAX(0,BT104/10%-2),$AZ104*MIN(-BT104/10%,1)+($AY104-$AZ104)*MAX(0,MIN(-BT104/10%-1,1))+($AX104-$AY104)*MAX(0,-BT104/10%-2)),0),"")</f>
        <v/>
      </c>
      <c r="CD104" s="468" t="str">
        <f aca="false">IF($BD104,$BX104+IF(VolSkewFlag=1,IF(BT104&gt;0,$BA104*MIN(BT104/10%,1)+($BB104-$BA104)*MAX(0,MIN(BT104/10%-1,1))+($BC104-$BB104)*MAX(0,BT104/10%-2),$AZ104*MIN(-BT104/10%,1)+($AY104-$AZ104)*MAX(0,MIN(-BT104/10%-1,1))+($AX104-$AY104)*MAX(0,-BT104/10%-2)),0),"")</f>
        <v/>
      </c>
      <c r="CE104" s="469" t="n">
        <v>1</v>
      </c>
      <c r="CF104" s="470" t="n">
        <f aca="false">IF(BD104,xCrudeAPO(BU104,BV104,CA104,CB104,S105,S106,BI104,BL104,BP104,BQ104,0,Strike1,AO104,CE104,0,BL104,IF(OptControl=4,0,1),0,1),0)</f>
        <v>0</v>
      </c>
      <c r="CG104" s="470" t="n">
        <f aca="false">IF(BD104,xCrudeAPO(BU104,BV104,CA104,CB104,S105,S106,BI104,BL104,BP104,BQ104,0,Strike1,AO104,CE104,0,BL104,IF(OptControl=4,0,1),1,1)+xCrudeAPO(BU104,BV104,CA104,CB104,S105,S106,BI104,BL104,BP104,BQ104,0,Strike1,AO104,CE104,0,BL104,IF(OptControl=4,0,1),1,2)+IF(OR(VolSkewFlag=2,ABS(BS104)&lt;0.0001),0,IF(BS104&gt;0,-1,1)*CH104*Strike1/BR104^2*BY104/10%),0)</f>
        <v>0</v>
      </c>
      <c r="CH104" s="470" t="n">
        <f aca="false">IF(BD104,(xCrudeAPO(BU104,BV104,CA104,CB104,S105,S106,BI104,BL104,BP104,BQ104,0,Strike1,AO104,CE104,0,BL104,IF(OptControl=4,0,1),3,1)+xCrudeAPO(BU104,BV104,CA104,CB104,S105,S106,BI104,BL104,BP104,BQ104,0,Strike1,AO104,CE104,0,BL104,IF(OptControl=4,0,1),3,2))/100,0)</f>
        <v>0</v>
      </c>
      <c r="CI104" s="470" t="n">
        <f aca="false">IF(BD104,xCrudeAPO(BU104,BV104,CA104,CB104,S105,S106,BI104-DaysForThetaCalculation/365.25,BL104-DaysForThetaCalculation/365.25,BP104,BQ104,0,Strike1,AO104,CE104,0,BL104,IF(OptControl=4,0,1),0,1)-xCrudeAPO(BU104,BV104,CA104,CB104,S105,S106,BI104,BL104,BP104,BQ104,0,Strike1,AO104,CE104,0,BL104,IF(OptControl=4,0,1),0,1),0)</f>
        <v>0</v>
      </c>
      <c r="CJ104" s="471" t="n">
        <f aca="false">IF(BD104,xCrudeAPO(BU104,BV104,CC104,CD104,S105,S106,BI104,BL104,BP104,BQ104,0,Strike2,AO104,CE104,0,BL104,IF(OptControl=3,1,0),0,1),0)</f>
        <v>0</v>
      </c>
      <c r="CK104" s="470" t="n">
        <f aca="false">IF(BD104,xCrudeAPO(BU104,BV104,CC104,CD104,S105,S106,BI104,BL104,BP104,BQ104,0,Strike2,AO104,CE104,0,BL104,IF(OptControl=3,1,0),1,1)+xCrudeAPO(BU104,BV104,CC104,CD104,S105,S106,BI104,BL104,BP104,BQ104,0,Strike2,AO104,CE104,0,BL104,IF(OptControl=3,1,0),1,2)+IF(OR(VolSkewFlag=2,ABS(BT104)&lt;0.0001),0,IF(BT104&gt;0,-1,1)*CL104*Strike2/BR104^2*BZ104/10%),0)</f>
        <v>0</v>
      </c>
      <c r="CL104" s="470" t="n">
        <f aca="false">IF(BD104,(xCrudeAPO(BU104,BV104,CC104,CD104,S105,S106,BI104,BL104,BP104,BQ104,0,Strike2,AO104,CE104,0,BL104,IF(OptControl=3,1,0),3,1)+xCrudeAPO(BU104,BV104,CC104,CD104,S105,S106,BI104,BL104,BP104,BQ104,0,Strike2,AO104,CE104,0,BL104,IF(OptControl=3,1,0),3,2))/100,0)</f>
        <v>0</v>
      </c>
      <c r="CM104" s="472" t="n">
        <f aca="false">IF(BD104,xCrudeAPO(BU104,BV104,CC104,CD104,S105,S106,BI104-DaysForThetaCalculation/365.25,BL104-DaysForThetaCalculation/365.25,BP104,BQ104,0,Strike2,AO104,CE104,0,BL104,IF(OptControl=3,1,0),0,1)-xCrudeAPO(BU104,BV104,CC104,CD104,S105,S106,BI104,BL104,BP104,BQ104,0,Strike2,AO104,CE104,0,BL104,IF(OptControl=3,1,0),0,1),0)</f>
        <v>0</v>
      </c>
      <c r="CN104" s="3"/>
      <c r="CO104" s="543" t="str">
        <f aca="false">IF(BD104,CHOOSE(Underlying,AD104,AF104)-DateToday+1,"")</f>
        <v/>
      </c>
      <c r="CP104" s="582" t="str">
        <f aca="false">IF(BD104,CHOOSE(Underlying,L104,R104),"")</f>
        <v/>
      </c>
      <c r="CQ104" s="544" t="str">
        <f aca="false">IF(BD104,Strike1/CP104-1,"")</f>
        <v/>
      </c>
      <c r="CR104" s="544" t="str">
        <f aca="false">IF(BD104,Strike2/CP104-1,"")</f>
        <v/>
      </c>
      <c r="CS104" s="544" t="str">
        <f aca="false">IF(BD104,IF(CQ104&gt;0,IF(CQ104&gt;0.2,BC103-BB103,IF(CQ104&gt;0.1,BB103-BA103,BA103)),IF(CQ104&lt;-0.2,AX103-AY103,IF(CQ104&lt;-0.1,AY103-AZ103,AZ103))),"")</f>
        <v/>
      </c>
      <c r="CT104" s="544" t="str">
        <f aca="false">IF(BD104,IF(CR104&gt;0,IF(CR104&gt;0.2,BC103-BB103,IF(CR104&gt;0.1,BB103-BA103,BA103)),IF(CR104&lt;-0.2,AX103-AY103,IF(CR104&lt;-0.1,AY103-AZ103,AZ103))),"")</f>
        <v/>
      </c>
      <c r="CU104" s="545" t="str">
        <f aca="false">IF(BD104,CHOOSE(Underlying,O104,AT104),"")</f>
        <v/>
      </c>
      <c r="CV104" s="545" t="str">
        <f aca="false">IF(BD104,CU104+IF(VolSkewFlag=1,IF(CQ104&gt;0,BA103*MIN(CQ104/10%,1)+(BB103-BA103)*MAX(0,MIN(CQ104/10%-1,1))+(BC103-BB103)*MAX(0,CQ104/10%-2),AZ103*MIN(-CQ104/10%,1)+(AY103-AZ103)*MAX(0,MIN(-CQ104/10%-1,1))+(AX103-AY103)*MAX(0,-CQ104/10%-2)),0),"")</f>
        <v/>
      </c>
      <c r="CW104" s="545" t="str">
        <f aca="false">IF(BD104,CU104+IF(VolSkewFlag=1,IF(CR104&gt;0,BA103*MIN(CR104/10%,1)+(BB103-BA103)*MAX(0,MIN(CR104/10%-1,1))+(BC103-BB103)*MAX(0,CR104/10%-2),AZ103*MIN(-CR104/10%,1)+(AY103-AZ103)*MAX(0,MIN(-CR104/10%-1,1))+(AX103-AY103)*MAX(0,-CR104/10%-2)),0),"")</f>
        <v/>
      </c>
      <c r="CX104" s="470" t="n">
        <f aca="false">IF(BD104,EURO(CP104,Strike1,AO104,AO104,CV104,CO104,IF(OptControl=4,0,1),0),0)</f>
        <v>0</v>
      </c>
      <c r="CY104" s="470" t="n">
        <f aca="false">IF(BD104,EURO(CP104,Strike1,AO104,AO104,CV104,CO104,IF(OptControl=4,0,1),1)+IF(OR(VolSkewFlag=2,ABS(CQ104)&lt;0.0001),0,IF(CQ104&gt;0,-1,1)*CZ104*100*Strike1/CP104^2*CS104/10%),0)</f>
        <v>0</v>
      </c>
      <c r="CZ104" s="470" t="n">
        <f aca="false">IF(BD104,EURO(CP104,Strike1,AO104,AO104,CV104,CO104,IF(OptControl=4,0,1),3)/100,0)</f>
        <v>0</v>
      </c>
      <c r="DA104" s="470" t="n">
        <f aca="false">IF(BD104,EURO(CP104,Strike1,AO104,AO104,CV104,CO104,IF(OptControl=4,0,1),0)-EURO(CP104,Strike1,AO104,AO104,CV104,CO104-1,IF(OptControl=4,0,1),0),0)</f>
        <v>0</v>
      </c>
      <c r="DB104" s="470" t="n">
        <f aca="false">IF(BD104,EURO(CP104,Strike2,AO104,AO104,CW104,CO104,IF(OptControl=3,1,0),0),0)</f>
        <v>0</v>
      </c>
      <c r="DC104" s="470" t="n">
        <f aca="false">IF(BD104,EURO(CP104,Strike2,AO104,AO104,CW104,CO104,IF(OptControl=3,1,0),1)+IF(OR(VolSkewFlag=2,ABS(CR104)&lt;0.0001),0,IF(CR104&gt;0,-1,1)*DD104*100*Strike2/CP104^2*CT104/10%),0)</f>
        <v>0</v>
      </c>
      <c r="DD104" s="470" t="n">
        <f aca="false">IF(BD104,EURO(CP104,Strike2,AO104,AO104,CW104,CO104,IF(OptControl=3,1,0),3)/100,0)</f>
        <v>0</v>
      </c>
      <c r="DE104" s="472" t="n">
        <f aca="false">IF(BD104,EURO(CP104,Strike2,AO104,AO104,CW104,CO104,IF(OptControl=3,1,0),0)-EURO(CP104,Strike2,AO104,AO104,CW104,CO104-1,IF(OptControl=3,1,0),0),0)</f>
        <v>0</v>
      </c>
      <c r="DG104" s="481" t="n">
        <f aca="false">EOMONTH(DG103,0)+1</f>
        <v>48245</v>
      </c>
      <c r="DH104" s="478" t="n">
        <v>18.4016666666667</v>
      </c>
      <c r="DI104" s="479" t="n">
        <v>18.46125</v>
      </c>
      <c r="DJ104" s="480" t="n">
        <f aca="false">DG104</f>
        <v>48245</v>
      </c>
      <c r="DK104" s="478" t="n">
        <v>17.2219547442898</v>
      </c>
      <c r="DL104" s="479" t="n">
        <v>17.29275</v>
      </c>
      <c r="DM104" s="481" t="n">
        <f aca="false">DG104</f>
        <v>48245</v>
      </c>
      <c r="DN104" s="482" t="n">
        <f aca="false">DK104+BrentPhyBrentSpread</f>
        <v>17.2719547442898</v>
      </c>
      <c r="DO104" s="481" t="n">
        <f aca="false">DG104</f>
        <v>48245</v>
      </c>
      <c r="DP104" s="483" t="n">
        <f aca="false">DL104+DQ104</f>
        <v>17.29275</v>
      </c>
      <c r="DQ104" s="546" t="n">
        <v>0</v>
      </c>
      <c r="DR104" s="480" t="n">
        <f aca="false">DG104</f>
        <v>48245</v>
      </c>
      <c r="DS104" s="485" t="n">
        <v>0.1742</v>
      </c>
      <c r="DT104" s="486" t="n">
        <v>0.17342</v>
      </c>
      <c r="DU104" s="480" t="n">
        <f aca="false">DG104</f>
        <v>48245</v>
      </c>
      <c r="DV104" s="485" t="n">
        <v>0.1742</v>
      </c>
      <c r="DW104" s="486" t="n">
        <v>0.17342</v>
      </c>
      <c r="DX104" s="481" t="n">
        <f aca="false">DG104</f>
        <v>48245</v>
      </c>
      <c r="DY104" s="486" t="n">
        <v>0.35</v>
      </c>
      <c r="DZ104" s="481" t="n">
        <f aca="false">DR104</f>
        <v>48245</v>
      </c>
      <c r="EA104" s="486" t="n">
        <f aca="false">DT104</f>
        <v>0.17342</v>
      </c>
      <c r="EB104" s="195"/>
      <c r="EC104" s="547" t="str">
        <f aca="false">IF(BD104,IF(Underlying=1,AS104,AU104),"")</f>
        <v/>
      </c>
      <c r="ED104" s="548" t="str">
        <f aca="false">IF($BD104,$EC104+IF(VolSkewFlag=1,IF(BS104&gt;0,$BA104*MIN(BS104/10%,1)+($BB104-$BA104)*MAX(0,MIN(BS104/10%-1,1))+($BC104-$BB104)*MAX(0,BS104/10%-2),$AZ104*MIN(-BS104/10%,1)+($AY104-$AZ104)*MAX(0,MIN(-BS104/10%-1,1))+($AX104-$AY104)*MAX(0,-BS104/10%-2)),0),"")</f>
        <v/>
      </c>
      <c r="EE104" s="549" t="str">
        <f aca="false">IF($BD104,$EC104+IF(VolSkewFlag=1,IF(BT104&gt;0,$BA104*MIN(BT104/10%,1)+($BB104-$BA104)*MAX(0,MIN(BT104/10%-1,1))+($BC104-$BB104)*MAX(0,BT104/10%-2),$AZ104*MIN(-BT104/10%,1)+($AY104-$AZ104)*MAX(0,MIN(-BT104/10%-1,1))+($AX104-$AY104)*MAX(0,-BT104/10%-2)),0),"")</f>
        <v/>
      </c>
      <c r="EF104" s="550" t="n">
        <f aca="false">IF(BD104,xASN(BR104,Strike1,AO104,ED104,0,BO104,0,BI104,BL104,IF(OptControl=4,0,1),0),0)</f>
        <v>0</v>
      </c>
      <c r="EG104" s="551" t="n">
        <f aca="false">IF(BD104,xASN(BR104,Strike2,AO104,EE104,0,BO104,0,BI104,BL104,IF(OptControl=3,1,0),0),0)</f>
        <v>0</v>
      </c>
      <c r="EL104" s="1"/>
      <c r="EM104" s="195"/>
      <c r="EN104" s="240"/>
      <c r="EO104" s="240"/>
      <c r="EP104" s="195"/>
      <c r="EQ104" s="407" t="s">
        <v>331</v>
      </c>
      <c r="ES104" s="130"/>
      <c r="ET104" s="19"/>
      <c r="EU104" s="672"/>
      <c r="EV104" s="478"/>
      <c r="EW104" s="131"/>
      <c r="EX104" s="131"/>
      <c r="EY104" s="129"/>
      <c r="EZ104" s="129"/>
      <c r="FA104" s="129"/>
      <c r="FB104" s="129"/>
      <c r="FC104" s="129"/>
      <c r="FD104" s="129"/>
      <c r="FE104" s="129"/>
      <c r="FF104" s="129"/>
      <c r="FG104" s="129"/>
      <c r="FH104" s="129"/>
      <c r="FI104" s="129"/>
      <c r="FJ104" s="571" t="n">
        <v>10</v>
      </c>
      <c r="FK104" s="150" t="e">
        <f aca="false">IF($FJ29&lt;FK$94,"",SQRT(FK29/FK$15))</f>
        <v>#DIV/0!</v>
      </c>
      <c r="FL104" s="150" t="n">
        <f aca="false">IF($FJ29&lt;FL$94,"",SQRT(FL29/FL$15))</f>
        <v>-0</v>
      </c>
      <c r="FM104" s="150" t="n">
        <f aca="false">IF($FJ29&lt;FM$94,"",SQRT(FM29/FM$15))</f>
        <v>0.222047987187329</v>
      </c>
      <c r="FN104" s="150" t="n">
        <f aca="false">IF($FJ29&lt;FN$94,"",SQRT(FN29/FN$15))</f>
        <v>0.228013180214058</v>
      </c>
      <c r="FO104" s="150" t="n">
        <f aca="false">IF($FJ29&lt;FO$94,"",SQRT(FO29/FO$15))</f>
        <v>0.237161546174924</v>
      </c>
      <c r="FP104" s="150" t="n">
        <f aca="false">IF($FJ29&lt;FP$94,"",SQRT(FP29/FP$15))</f>
        <v>0.24999290886564</v>
      </c>
      <c r="FQ104" s="150" t="n">
        <f aca="false">IF($FJ29&lt;FQ$94,"",SQRT(FQ29/FQ$15))</f>
        <v>0.267350068100153</v>
      </c>
      <c r="FR104" s="150" t="n">
        <f aca="false">IF($FJ29&lt;FR$94,"",SQRT(FR29/FR$15))</f>
        <v>0.290561710889803</v>
      </c>
      <c r="FS104" s="150" t="n">
        <f aca="false">IF($FJ29&lt;FS$94,"",SQRT(FS29/FS$15))</f>
        <v>0.321694608317325</v>
      </c>
      <c r="FT104" s="150" t="n">
        <f aca="false">IF($FJ29&lt;FT$94,"",SQRT(FT29/FT$15))</f>
        <v>0.364004516601563</v>
      </c>
      <c r="FU104" s="150" t="str">
        <f aca="false">IF($FJ29&lt;FU$94,"",SQRT(FU29/FU$15))</f>
        <v/>
      </c>
      <c r="FV104" s="150" t="str">
        <f aca="false">IF($FJ29&lt;FV$94,"",SQRT(FV29/FV$15))</f>
        <v/>
      </c>
      <c r="FW104" s="150" t="str">
        <f aca="false">IF($FJ29&lt;FW$94,"",SQRT(FW29/FW$15))</f>
        <v/>
      </c>
      <c r="FX104" s="150" t="str">
        <f aca="false">IF($FJ29&lt;FX$94,"",SQRT(FX29/FX$15))</f>
        <v/>
      </c>
      <c r="FY104" s="150" t="str">
        <f aca="false">IF($FJ29&lt;FY$94,"",SQRT(FY29/FY$15))</f>
        <v/>
      </c>
      <c r="FZ104" s="150" t="str">
        <f aca="false">IF($FJ29&lt;FZ$94,"",SQRT(FZ29/FZ$15))</f>
        <v/>
      </c>
      <c r="GA104" s="150" t="str">
        <f aca="false">IF($FJ29&lt;GA$94,"",SQRT(GA29/GA$15))</f>
        <v/>
      </c>
      <c r="GB104" s="150" t="str">
        <f aca="false">IF($FJ29&lt;GB$94,"",SQRT(GB29/GB$15))</f>
        <v/>
      </c>
      <c r="GC104" s="150" t="str">
        <f aca="false">IF($FJ29&lt;GC$94,"",SQRT(GC29/GC$15))</f>
        <v/>
      </c>
      <c r="GD104" s="150" t="str">
        <f aca="false">IF($FJ29&lt;GD$94,"",SQRT(GD29/GD$15))</f>
        <v/>
      </c>
      <c r="GE104" s="150" t="str">
        <f aca="false">IF($FJ29&lt;GE$94,"",SQRT(GE29/GE$15))</f>
        <v/>
      </c>
      <c r="GF104" s="150" t="str">
        <f aca="false">IF($FJ29&lt;GF$94,"",SQRT(GF29/GF$15))</f>
        <v/>
      </c>
      <c r="GG104" s="150" t="str">
        <f aca="false">IF($FJ29&lt;GG$94,"",SQRT(GG29/GG$15))</f>
        <v/>
      </c>
      <c r="GH104" s="150" t="str">
        <f aca="false">IF($FJ29&lt;GH$94,"",SQRT(GH29/GH$15))</f>
        <v/>
      </c>
      <c r="GI104" s="150" t="str">
        <f aca="false">IF($FJ29&lt;GI$94,"",SQRT(GI29/GI$15))</f>
        <v/>
      </c>
      <c r="GJ104" s="150" t="str">
        <f aca="false">IF($FJ29&lt;GJ$94,"",SQRT(GJ29/GJ$15))</f>
        <v/>
      </c>
      <c r="GK104" s="150" t="str">
        <f aca="false">IF($FJ29&lt;GK$94,"",SQRT(GK29/GK$15))</f>
        <v/>
      </c>
      <c r="GL104" s="150" t="str">
        <f aca="false">IF($FJ29&lt;GL$94,"",SQRT(GL29/GL$15))</f>
        <v/>
      </c>
      <c r="GM104" s="150" t="str">
        <f aca="false">IF($FJ29&lt;GM$94,"",SQRT(GM29/GM$15))</f>
        <v/>
      </c>
      <c r="GN104" s="150" t="str">
        <f aca="false">IF($FJ29&lt;GN$94,"",SQRT(GN29/GN$15))</f>
        <v/>
      </c>
      <c r="GO104" s="150" t="str">
        <f aca="false">IF($FJ29&lt;GO$94,"",SQRT(GO29/GO$15))</f>
        <v/>
      </c>
      <c r="GP104" s="150" t="str">
        <f aca="false">IF($FJ29&lt;GP$94,"",SQRT(GP29/GP$15))</f>
        <v/>
      </c>
      <c r="GQ104" s="150" t="str">
        <f aca="false">IF($FJ29&lt;GQ$94,"",SQRT(GQ29/GQ$15))</f>
        <v/>
      </c>
      <c r="GR104" s="150" t="str">
        <f aca="false">IF($FJ29&lt;GR$94,"",SQRT(GR29/GR$15))</f>
        <v/>
      </c>
      <c r="GS104" s="150" t="str">
        <f aca="false">IF($FJ29&lt;GS$94,"",SQRT(GS29/GS$15))</f>
        <v/>
      </c>
      <c r="GT104" s="150" t="str">
        <f aca="false">IF($FJ29&lt;GT$94,"",SQRT(GT29/GT$15))</f>
        <v/>
      </c>
      <c r="GU104" s="150" t="str">
        <f aca="false">IF($FJ29&lt;GU$94,"",SQRT(GU29/GU$15))</f>
        <v/>
      </c>
      <c r="GV104" s="150" t="str">
        <f aca="false">IF($FJ29&lt;GV$94,"",SQRT(GV29/GV$15))</f>
        <v/>
      </c>
      <c r="GW104" s="150" t="str">
        <f aca="false">IF($FJ29&lt;GW$94,"",SQRT(GW29/GW$15))</f>
        <v/>
      </c>
      <c r="GX104" s="150" t="str">
        <f aca="false">IF($FJ29&lt;GX$94,"",SQRT(GX29/GX$15))</f>
        <v/>
      </c>
      <c r="GY104" s="150" t="str">
        <f aca="false">IF($FJ29&lt;GY$94,"",SQRT(GY29/GY$15))</f>
        <v/>
      </c>
      <c r="GZ104" s="150" t="str">
        <f aca="false">IF($FJ29&lt;GZ$94,"",SQRT(GZ29/GZ$15))</f>
        <v/>
      </c>
      <c r="HA104" s="150" t="str">
        <f aca="false">IF($FJ29&lt;HA$94,"",SQRT(HA29/HA$15))</f>
        <v/>
      </c>
      <c r="HB104" s="150" t="str">
        <f aca="false">IF($FJ29&lt;HB$94,"",SQRT(HB29/HB$15))</f>
        <v/>
      </c>
      <c r="HC104" s="150" t="str">
        <f aca="false">IF($FJ29&lt;HC$94,"",SQRT(HC29/HC$15))</f>
        <v/>
      </c>
      <c r="HD104" s="150" t="str">
        <f aca="false">IF($FJ29&lt;HD$94,"",SQRT(HD29/HD$15))</f>
        <v/>
      </c>
      <c r="HE104" s="150" t="str">
        <f aca="false">IF($FJ29&lt;HE$94,"",SQRT(HE29/HE$15))</f>
        <v/>
      </c>
      <c r="HF104" s="150" t="str">
        <f aca="false">IF($FJ29&lt;HF$94,"",SQRT(HF29/HF$15))</f>
        <v/>
      </c>
      <c r="HG104" s="150" t="str">
        <f aca="false">IF($FJ29&lt;HG$94,"",SQRT(HG29/HG$15))</f>
        <v/>
      </c>
      <c r="HH104" s="150" t="str">
        <f aca="false">IF($FJ29&lt;HH$94,"",SQRT(HH29/HH$15))</f>
        <v/>
      </c>
      <c r="HI104" s="150" t="str">
        <f aca="false">IF($FJ29&lt;HI$94,"",SQRT(HI29/HI$15))</f>
        <v/>
      </c>
      <c r="HJ104" s="150" t="str">
        <f aca="false">IF($FJ29&lt;HJ$94,"",SQRT(HJ29/HJ$15))</f>
        <v/>
      </c>
      <c r="HK104" s="150" t="str">
        <f aca="false">IF($FJ29&lt;HK$94,"",SQRT(HK29/HK$15))</f>
        <v/>
      </c>
      <c r="HL104" s="150" t="str">
        <f aca="false">IF($FJ29&lt;HL$94,"",SQRT(HL29/HL$15))</f>
        <v/>
      </c>
      <c r="HM104" s="150" t="str">
        <f aca="false">IF($FJ29&lt;HM$94,"",SQRT(HM29/HM$15))</f>
        <v/>
      </c>
      <c r="HN104" s="150" t="str">
        <f aca="false">IF($FJ29&lt;HN$94,"",SQRT(HN29/HN$15))</f>
        <v/>
      </c>
      <c r="HO104" s="150" t="str">
        <f aca="false">IF($FJ29&lt;HO$94,"",SQRT(HO29/HO$15))</f>
        <v/>
      </c>
      <c r="HP104" s="150" t="str">
        <f aca="false">IF($FJ29&lt;HP$94,"",SQRT(HP29/HP$15))</f>
        <v/>
      </c>
      <c r="HQ104" s="150" t="str">
        <f aca="false">IF($FJ29&lt;HQ$94,"",SQRT(HQ29/HQ$15))</f>
        <v/>
      </c>
      <c r="HR104" s="150" t="str">
        <f aca="false">IF($FJ29&lt;HR$94,"",SQRT(HR29/HR$15))</f>
        <v/>
      </c>
      <c r="HS104" s="150" t="str">
        <f aca="false">IF($FJ29&lt;HS$94,"",SQRT(HS29/HS$15))</f>
        <v/>
      </c>
      <c r="HT104" s="150" t="str">
        <f aca="false">IF($FJ29&lt;HT$94,"",SQRT(HT29/HT$15))</f>
        <v/>
      </c>
      <c r="HU104" s="150" t="str">
        <f aca="false">IF($FJ29&lt;HU$94,"",SQRT(HU29/HU$15))</f>
        <v/>
      </c>
      <c r="HV104" s="150" t="str">
        <f aca="false">IF($FJ29&lt;HV$94,"",SQRT(HV29/HV$15))</f>
        <v/>
      </c>
      <c r="HW104" s="150" t="str">
        <f aca="false">IF($FJ29&lt;HW$94,"",SQRT(HW29/HW$15))</f>
        <v/>
      </c>
      <c r="HX104" s="150" t="str">
        <f aca="false">IF($FJ29&lt;HX$94,"",SQRT(HX29/HX$15))</f>
        <v/>
      </c>
      <c r="HY104" s="150" t="str">
        <f aca="false">IF($FJ29&lt;HY$94,"",SQRT(HY29/HY$15))</f>
        <v/>
      </c>
      <c r="HZ104" s="150" t="str">
        <f aca="false">IF($FJ29&lt;HZ$94,"",SQRT(HZ29/HZ$15))</f>
        <v/>
      </c>
      <c r="IA104" s="150" t="str">
        <f aca="false">IF($FJ29&lt;IA$94,"",SQRT(IA29/IA$15))</f>
        <v/>
      </c>
      <c r="IB104" s="150" t="str">
        <f aca="false">IF($FJ29&lt;IB$94,"",SQRT(IB29/IB$15))</f>
        <v/>
      </c>
      <c r="IC104" s="150" t="str">
        <f aca="false">IF($FJ29&lt;IC$94,"",SQRT(IC29/IC$15))</f>
        <v/>
      </c>
      <c r="ID104" s="572" t="str">
        <f aca="false">IF($FJ29&lt;ID$94,"",SQRT(ID29/ID$15))</f>
        <v/>
      </c>
      <c r="IE104" s="129"/>
    </row>
    <row r="105" customFormat="false" ht="12.75" hidden="false" customHeight="false" outlineLevel="0" collapsed="false">
      <c r="H105" s="219" t="n">
        <f aca="false">VLOOKUP(I105,$EJ$20:$EL$54,3)</f>
        <v>0</v>
      </c>
      <c r="I105" s="511" t="n">
        <f aca="false">EOMONTH(I104,0)+1</f>
        <v>39356</v>
      </c>
      <c r="J105" s="512"/>
      <c r="K105" s="513" t="s">
        <v>280</v>
      </c>
      <c r="L105" s="514" t="n">
        <f aca="false">IF(ISNUMBER(K105),J105+K105/100,IF(K105="extra",L104+VLOOKUP(BF105,PriceSpreadTable,2)/12,IF(K105="inter",interpolateprices($K$19:$L$200,ROW(K105)-ROW(FirstPricingMonth)+1),interpolatechanges($J$19:$K$200,ROW(K105)-ROW(FirstPricingMonth)+1))))</f>
        <v>0.3375</v>
      </c>
      <c r="M105" s="515"/>
      <c r="N105" s="516" t="n">
        <v>0</v>
      </c>
      <c r="O105" s="515" t="n">
        <f aca="false">M105+N105</f>
        <v>0</v>
      </c>
      <c r="P105" s="512"/>
      <c r="Q105" s="513" t="s">
        <v>280</v>
      </c>
      <c r="R105" s="512" t="e">
        <f aca="false">IF(ISNUMBER(Q105),P105+Q105/100,IF(Q105="extra",(Z103*AL103-R104*AM103)/AN103,IF(Q105="inter",interpolateprices($Q$19:$R$260,ROW(Q105)-ROW(FirstPricingMonth)+1),interpolatechanges($P$19:$Q$260,ROW(Q105)-ROW(FirstPricingMonth)+1))))</f>
        <v>#VALUE!</v>
      </c>
      <c r="S105" s="597" t="n">
        <f aca="false">S$19+(S104-S$19)*S$18</f>
        <v>0.36000000000128</v>
      </c>
      <c r="T105" s="575" t="n">
        <f aca="false">SQRT((1-(1-T104^2/U104)*T$18)*U105)</f>
        <v>0.999999814814282</v>
      </c>
      <c r="U105" s="576" t="n">
        <f aca="false">1-(1-U104)*U$18</f>
        <v>0.99999999999964</v>
      </c>
      <c r="V105" s="521" t="n">
        <v>0</v>
      </c>
      <c r="W105" s="577" t="n">
        <f aca="false">(J106*AJ105+J107*AK105)/AI105</f>
        <v>0</v>
      </c>
      <c r="X105" s="578" t="n">
        <f aca="false">(L106*AJ105+L107*AK105)/AI105</f>
        <v>0.38804347826087</v>
      </c>
      <c r="Y105" s="579" t="n">
        <f aca="false">IF(Q107="extra",W105-AA105,(P106*AM105+P107*AN105)/AL105)</f>
        <v>-1.1543</v>
      </c>
      <c r="Z105" s="579" t="n">
        <f aca="false">IF(Q107="extra",X105-AB105,(R106*AM105+R107*AN105)/AL105)</f>
        <v>-0.76625652173913</v>
      </c>
      <c r="AA105" s="523" t="n">
        <f aca="false">IF(Q107="extra",INDEX(BrentSeasonalityTable,INT((BG105-1)/3)+1)*VLOOKUP(MAX(BF105,$AB$4),PriceSpreadTable,3),W105-Y105)</f>
        <v>1.1543</v>
      </c>
      <c r="AB105" s="524" t="n">
        <f aca="false">IF(Q107="extra",INDEX(BrentSeasonalityTable,INT((BG105-1)/3)+1)*VLOOKUP(MAX(BF105,$AB$4),PriceSpreadTable,3),X105-Z105)</f>
        <v>1.1543</v>
      </c>
      <c r="AC105" s="646" t="n">
        <v>39345</v>
      </c>
      <c r="AD105" s="646" t="n">
        <v>39341</v>
      </c>
      <c r="AE105" s="646" t="n">
        <v>39340</v>
      </c>
      <c r="AF105" s="646" t="n">
        <v>39336</v>
      </c>
      <c r="AG105" s="438" t="s">
        <v>278</v>
      </c>
      <c r="AH105" s="439" t="s">
        <v>278</v>
      </c>
      <c r="AI105" s="528" t="n">
        <v>23</v>
      </c>
      <c r="AJ105" s="529" t="n">
        <v>15</v>
      </c>
      <c r="AK105" s="529" t="n">
        <v>8</v>
      </c>
      <c r="AL105" s="530" t="n">
        <v>23</v>
      </c>
      <c r="AM105" s="529" t="n">
        <v>10</v>
      </c>
      <c r="AN105" s="531" t="n">
        <v>13</v>
      </c>
      <c r="AO105" s="532"/>
      <c r="AP105" s="465" t="n">
        <f aca="false">(1+AO105/2)^(-2*BL105)</f>
        <v>1</v>
      </c>
      <c r="AQ105" s="532"/>
      <c r="AR105" s="465" t="n">
        <f aca="false">(1+AQ105/2)^(-2*BH105/365.25)</f>
        <v>1</v>
      </c>
      <c r="AS105" s="580" t="n">
        <f aca="false">(O106*AJ105+O107*AK105)/AI105</f>
        <v>0</v>
      </c>
      <c r="AT105" s="468" t="n">
        <f aca="false">O105*VLOOKUP(BF105,BrentVolTable,2)+VLOOKUP(BF105,BrentVolTable,3)</f>
        <v>0</v>
      </c>
      <c r="AU105" s="468" t="n">
        <f aca="false">(AT106*AM105+AT107*AN105)/AL105</f>
        <v>0</v>
      </c>
      <c r="AV105" s="595" t="n">
        <f aca="false">SQRT(MAX(0.000000000001,(O105^2*BH105-S105^2*(BH105-BH104))/BH104))</f>
        <v>0.0246444098890566</v>
      </c>
      <c r="AW105" s="451" t="n">
        <f aca="false">IF($I105-DateToday+15&gt;=$T$8,"",IF($I105-DateToday+15&lt;$T$5,1,MATCH($I105-DateToday+15,$T$5:$T$8)))</f>
        <v>1</v>
      </c>
      <c r="AX105" s="468" t="n">
        <f aca="false">IF($AW105="",AX104^2/AX103,INDEX(U$5:U$8,$AW105)^((INDEX($T$5:$T$8,$AW105+1)-($I105-DateToday+15))/(INDEX($T$5:$T$8,$AW105+1)-INDEX($T$5:$T$8,$AW105)))/INDEX(U$5:U$8,$AW105+1)^((INDEX($T$5:$T$8,$AW105)-($I105-DateToday+15))/(INDEX($T$5:$T$8,$AW105+1)-INDEX($T$5:$T$8,$AW105))))</f>
        <v>2.04072192886277</v>
      </c>
      <c r="AY105" s="468" t="n">
        <f aca="false">IF($AW105="",AY104^2/AY103,INDEX(V$5:V$8,$AW105)^((INDEX($T$5:$T$8,$AW105+1)-($I105-DateToday+15))/(INDEX($T$5:$T$8,$AW105+1)-INDEX($T$5:$T$8,$AW105)))/INDEX(V$5:V$8,$AW105+1)^((INDEX($T$5:$T$8,$AW105)-($I105-DateToday+15))/(INDEX($T$5:$T$8,$AW105+1)-INDEX($T$5:$T$8,$AW105))))</f>
        <v>145.503705992002</v>
      </c>
      <c r="AZ105" s="468" t="n">
        <f aca="false">IF($AW105="",AZ104^2/AZ103,INDEX(W$5:W$8,$AW105)^((INDEX($T$5:$T$8,$AW105+1)-($I105-DateToday+15))/(INDEX($T$5:$T$8,$AW105+1)-INDEX($T$5:$T$8,$AW105)))/INDEX(W$5:W$8,$AW105+1)^((INDEX($T$5:$T$8,$AW105)-($I105-DateToday+15))/(INDEX($T$5:$T$8,$AW105+1)-INDEX($T$5:$T$8,$AW105))))</f>
        <v>645041.294851613</v>
      </c>
      <c r="BA105" s="468" t="n">
        <f aca="false">IF($AW105="",BA104^2/BA103,INDEX(X$5:X$8,$AW105)^((INDEX($T$5:$T$8,$AW105+1)-($I105-DateToday+15))/(INDEX($T$5:$T$8,$AW105+1)-INDEX($T$5:$T$8,$AW105)))/INDEX(X$5:X$8,$AW105+1)^((INDEX($T$5:$T$8,$AW105)-($I105-DateToday+15))/(INDEX($T$5:$T$8,$AW105+1)-INDEX($T$5:$T$8,$AW105))))</f>
        <v>13711978.2856845</v>
      </c>
      <c r="BB105" s="468" t="n">
        <f aca="false">IF($AW105="",BB104^2/BB103,INDEX(Y$5:Y$8,$AW105)^((INDEX($T$5:$T$8,$AW105+1)-($I105-DateToday+15))/(INDEX($T$5:$T$8,$AW105+1)-INDEX($T$5:$T$8,$AW105)))/INDEX(Y$5:Y$8,$AW105+1)^((INDEX($T$5:$T$8,$AW105)-($I105-DateToday+15))/(INDEX($T$5:$T$8,$AW105+1)-INDEX($T$5:$T$8,$AW105))))</f>
        <v>163470120.093426</v>
      </c>
      <c r="BC105" s="468" t="n">
        <f aca="false">IF($AW105="",BC104^2/BC103,INDEX(Z$5:Z$8,$AW105)^((INDEX($T$5:$T$8,$AW105+1)-($I105-DateToday+15))/(INDEX($T$5:$T$8,$AW105+1)-INDEX($T$5:$T$8,$AW105)))/INDEX(Z$5:Z$8,$AW105+1)^((INDEX($T$5:$T$8,$AW105)-($I105-DateToday+15))/(INDEX($T$5:$T$8,$AW105+1)-INDEX($T$5:$T$8,$AW105))))</f>
        <v>723894851.448797</v>
      </c>
      <c r="BD105" s="535" t="n">
        <f aca="false">IF(OR(DateStart&gt;=I106,DateEnd&lt;I105),0,IF(VolumeOverrideFlag,V105,Volume))</f>
        <v>0</v>
      </c>
      <c r="BE105" s="536" t="n">
        <f aca="false">IF(OR(DateStart2&gt;=I106,DateEnd2&lt;I105),0,IF(VolumeOverrideFlag,V105,VolumeSwaption))</f>
        <v>0</v>
      </c>
      <c r="BF105" s="537" t="n">
        <f aca="false">YEAR(I105)</f>
        <v>2007</v>
      </c>
      <c r="BG105" s="538" t="n">
        <f aca="false">MONTH(I105)</f>
        <v>10</v>
      </c>
      <c r="BH105" s="539" t="n">
        <f aca="false">AD105-DateToday+1</f>
        <v>-6584</v>
      </c>
      <c r="BI105" s="540" t="n">
        <f aca="false">(I105-DateToday+1)/365.25</f>
        <v>-17.9849418206708</v>
      </c>
      <c r="BJ105" s="541" t="n">
        <f aca="false">BI105+(BL105-BI105)*CHOOSE(Underlying,AJ105/AI105,AM105/AL105)</f>
        <v>-17.9313751748356</v>
      </c>
      <c r="BK105" s="541" t="n">
        <f aca="false">BJ105+1/365.25</f>
        <v>-17.9286373240485</v>
      </c>
      <c r="BL105" s="541" t="n">
        <f aca="false">(I106-DateToday)/365.25</f>
        <v>-17.9028062970568</v>
      </c>
      <c r="BM105" s="542" t="e">
        <f aca="false">MAX(BI105-(BJ105-BI105)*(S106^2/O106^2-1),0)</f>
        <v>#DIV/0!</v>
      </c>
      <c r="BN105" s="541" t="e">
        <f aca="false">MAX(BL105+(BL105-BK105)*(S107^2/O107^2-1),0)</f>
        <v>#DIV/0!</v>
      </c>
      <c r="BO105" s="530" t="n">
        <f aca="false">CHOOSE(Underlying,AI105,AL105)</f>
        <v>23</v>
      </c>
      <c r="BP105" s="529" t="n">
        <f aca="false">CHOOSE(Underlying,AJ105,AM105)</f>
        <v>15</v>
      </c>
      <c r="BQ105" s="529" t="n">
        <f aca="false">CHOOSE(Underlying,AK105,AN105)</f>
        <v>8</v>
      </c>
      <c r="BR105" s="463" t="str">
        <f aca="false">IF(BD105,IF(Underlying=1,X105,Z105)+UnderlyingPriceAsian-SwapPriceCurve,"")</f>
        <v/>
      </c>
      <c r="BS105" s="463" t="str">
        <f aca="false">IF(BD105,Strike1/BR105-1,"")</f>
        <v/>
      </c>
      <c r="BT105" s="464" t="str">
        <f aca="false">IF(BD105,Strike2/BR105-1,"")</f>
        <v/>
      </c>
      <c r="BU105" s="465" t="str">
        <f aca="false">IF(BD105,IF(Underlying=1,L106,R106)+UnderlyingPriceAsian-SwapPriceCurve,"")</f>
        <v/>
      </c>
      <c r="BV105" s="465" t="str">
        <f aca="false">IF(BD105,IF(Underlying=1,L107,R107)+UnderlyingPriceAsian-SwapPriceCurve,"")</f>
        <v/>
      </c>
      <c r="BW105" s="466" t="str">
        <f aca="false">IF(BD105,IF(Underlying=1,O106,AT106),"")</f>
        <v/>
      </c>
      <c r="BX105" s="467" t="str">
        <f aca="false">IF(BD105,IF(Underlying=1,O107,AT107),"")</f>
        <v/>
      </c>
      <c r="BY105" s="466" t="str">
        <f aca="false">IF(BD105,IF(BS105&gt;0,IF(BS105&gt;0.2,BC105-BB105,IF(BS105&gt;0.1,BB105-BA105,BA105)),IF(BS105&lt;-0.2,AX105-AY105,IF(BS105&lt;-0.1,AY105-AZ105,AZ105))),"")</f>
        <v/>
      </c>
      <c r="BZ105" s="467" t="str">
        <f aca="false">IF(BD105,IF(BT105&gt;0,IF(BT105&gt;0.2,BC105-BB105,IF(BT105&gt;0.1,BB105-BA105,BA105)),IF(BT105&lt;-0.2,AX105-AY105,IF(BT105&lt;-0.1,AY105-AZ105,AZ105))),"")</f>
        <v/>
      </c>
      <c r="CA105" s="468" t="str">
        <f aca="false">IF($BD105,$BW105+IF(VolSkewFlag=1,IF(BS105&gt;0,$BA105*MIN(BS105/10%,1)+($BB105-$BA105)*MAX(0,MIN(BS105/10%-1,1))+($BC105-$BB105)*MAX(0,BS105/10%-2),$AZ105*MIN(-BS105/10%,1)+($AY105-$AZ105)*MAX(0,MIN(-BS105/10%-1,1))+($AX105-$AY105)*MAX(0,-BS105/10%-2)),0),"")</f>
        <v/>
      </c>
      <c r="CB105" s="468" t="str">
        <f aca="false">IF($BD105,$BX105+IF(VolSkewFlag=1,IF(BS105&gt;0,$BA105*MIN(BS105/10%,1)+($BB105-$BA105)*MAX(0,MIN(BS105/10%-1,1))+($BC105-$BB105)*MAX(0,BS105/10%-2),$AZ105*MIN(-BS105/10%,1)+($AY105-$AZ105)*MAX(0,MIN(-BS105/10%-1,1))+($AX105-$AY105)*MAX(0,-BS105/10%-2)),0),"")</f>
        <v/>
      </c>
      <c r="CC105" s="468" t="str">
        <f aca="false">IF($BD105,$BW105+IF(VolSkewFlag=1,IF(BT105&gt;0,$BA105*MIN(BT105/10%,1)+($BB105-$BA105)*MAX(0,MIN(BT105/10%-1,1))+($BC105-$BB105)*MAX(0,BT105/10%-2),$AZ105*MIN(-BT105/10%,1)+($AY105-$AZ105)*MAX(0,MIN(-BT105/10%-1,1))+($AX105-$AY105)*MAX(0,-BT105/10%-2)),0),"")</f>
        <v/>
      </c>
      <c r="CD105" s="468" t="str">
        <f aca="false">IF($BD105,$BX105+IF(VolSkewFlag=1,IF(BT105&gt;0,$BA105*MIN(BT105/10%,1)+($BB105-$BA105)*MAX(0,MIN(BT105/10%-1,1))+($BC105-$BB105)*MAX(0,BT105/10%-2),$AZ105*MIN(-BT105/10%,1)+($AY105-$AZ105)*MAX(0,MIN(-BT105/10%-1,1))+($AX105-$AY105)*MAX(0,-BT105/10%-2)),0),"")</f>
        <v/>
      </c>
      <c r="CE105" s="469" t="n">
        <v>1</v>
      </c>
      <c r="CF105" s="470" t="n">
        <f aca="false">IF(BD105,xCrudeAPO(BU105,BV105,CA105,CB105,S106,S107,BI105,BL105,BP105,BQ105,0,Strike1,AO105,CE105,0,BL105,IF(OptControl=4,0,1),0,1),0)</f>
        <v>0</v>
      </c>
      <c r="CG105" s="470" t="n">
        <f aca="false">IF(BD105,xCrudeAPO(BU105,BV105,CA105,CB105,S106,S107,BI105,BL105,BP105,BQ105,0,Strike1,AO105,CE105,0,BL105,IF(OptControl=4,0,1),1,1)+xCrudeAPO(BU105,BV105,CA105,CB105,S106,S107,BI105,BL105,BP105,BQ105,0,Strike1,AO105,CE105,0,BL105,IF(OptControl=4,0,1),1,2)+IF(OR(VolSkewFlag=2,ABS(BS105)&lt;0.0001),0,IF(BS105&gt;0,-1,1)*CH105*Strike1/BR105^2*BY105/10%),0)</f>
        <v>0</v>
      </c>
      <c r="CH105" s="470" t="n">
        <f aca="false">IF(BD105,(xCrudeAPO(BU105,BV105,CA105,CB105,S106,S107,BI105,BL105,BP105,BQ105,0,Strike1,AO105,CE105,0,BL105,IF(OptControl=4,0,1),3,1)+xCrudeAPO(BU105,BV105,CA105,CB105,S106,S107,BI105,BL105,BP105,BQ105,0,Strike1,AO105,CE105,0,BL105,IF(OptControl=4,0,1),3,2))/100,0)</f>
        <v>0</v>
      </c>
      <c r="CI105" s="470" t="n">
        <f aca="false">IF(BD105,xCrudeAPO(BU105,BV105,CA105,CB105,S106,S107,BI105-DaysForThetaCalculation/365.25,BL105-DaysForThetaCalculation/365.25,BP105,BQ105,0,Strike1,AO105,CE105,0,BL105,IF(OptControl=4,0,1),0,1)-xCrudeAPO(BU105,BV105,CA105,CB105,S106,S107,BI105,BL105,BP105,BQ105,0,Strike1,AO105,CE105,0,BL105,IF(OptControl=4,0,1),0,1),0)</f>
        <v>0</v>
      </c>
      <c r="CJ105" s="471" t="n">
        <f aca="false">IF(BD105,xCrudeAPO(BU105,BV105,CC105,CD105,S106,S107,BI105,BL105,BP105,BQ105,0,Strike2,AO105,CE105,0,BL105,IF(OptControl=3,1,0),0,1),0)</f>
        <v>0</v>
      </c>
      <c r="CK105" s="470" t="n">
        <f aca="false">IF(BD105,xCrudeAPO(BU105,BV105,CC105,CD105,S106,S107,BI105,BL105,BP105,BQ105,0,Strike2,AO105,CE105,0,BL105,IF(OptControl=3,1,0),1,1)+xCrudeAPO(BU105,BV105,CC105,CD105,S106,S107,BI105,BL105,BP105,BQ105,0,Strike2,AO105,CE105,0,BL105,IF(OptControl=3,1,0),1,2)+IF(OR(VolSkewFlag=2,ABS(BT105)&lt;0.0001),0,IF(BT105&gt;0,-1,1)*CL105*Strike2/BR105^2*BZ105/10%),0)</f>
        <v>0</v>
      </c>
      <c r="CL105" s="470" t="n">
        <f aca="false">IF(BD105,(xCrudeAPO(BU105,BV105,CC105,CD105,S106,S107,BI105,BL105,BP105,BQ105,0,Strike2,AO105,CE105,0,BL105,IF(OptControl=3,1,0),3,1)+xCrudeAPO(BU105,BV105,CC105,CD105,S106,S107,BI105,BL105,BP105,BQ105,0,Strike2,AO105,CE105,0,BL105,IF(OptControl=3,1,0),3,2))/100,0)</f>
        <v>0</v>
      </c>
      <c r="CM105" s="472" t="n">
        <f aca="false">IF(BD105,xCrudeAPO(BU105,BV105,CC105,CD105,S106,S107,BI105-DaysForThetaCalculation/365.25,BL105-DaysForThetaCalculation/365.25,BP105,BQ105,0,Strike2,AO105,CE105,0,BL105,IF(OptControl=3,1,0),0,1)-xCrudeAPO(BU105,BV105,CC105,CD105,S106,S107,BI105,BL105,BP105,BQ105,0,Strike2,AO105,CE105,0,BL105,IF(OptControl=3,1,0),0,1),0)</f>
        <v>0</v>
      </c>
      <c r="CN105" s="3"/>
      <c r="CO105" s="543" t="str">
        <f aca="false">IF(BD105,CHOOSE(Underlying,AD105,AF105)-DateToday+1,"")</f>
        <v/>
      </c>
      <c r="CP105" s="582" t="str">
        <f aca="false">IF(BD105,CHOOSE(Underlying,L105,R105),"")</f>
        <v/>
      </c>
      <c r="CQ105" s="544" t="str">
        <f aca="false">IF(BD105,Strike1/CP105-1,"")</f>
        <v/>
      </c>
      <c r="CR105" s="544" t="str">
        <f aca="false">IF(BD105,Strike2/CP105-1,"")</f>
        <v/>
      </c>
      <c r="CS105" s="544" t="str">
        <f aca="false">IF(BD105,IF(CQ105&gt;0,IF(CQ105&gt;0.2,BC104-BB104,IF(CQ105&gt;0.1,BB104-BA104,BA104)),IF(CQ105&lt;-0.2,AX104-AY104,IF(CQ105&lt;-0.1,AY104-AZ104,AZ104))),"")</f>
        <v/>
      </c>
      <c r="CT105" s="544" t="str">
        <f aca="false">IF(BD105,IF(CR105&gt;0,IF(CR105&gt;0.2,BC104-BB104,IF(CR105&gt;0.1,BB104-BA104,BA104)),IF(CR105&lt;-0.2,AX104-AY104,IF(CR105&lt;-0.1,AY104-AZ104,AZ104))),"")</f>
        <v/>
      </c>
      <c r="CU105" s="545" t="str">
        <f aca="false">IF(BD105,CHOOSE(Underlying,O105,AT105),"")</f>
        <v/>
      </c>
      <c r="CV105" s="545" t="str">
        <f aca="false">IF(BD105,CU105+IF(VolSkewFlag=1,IF(CQ105&gt;0,BA104*MIN(CQ105/10%,1)+(BB104-BA104)*MAX(0,MIN(CQ105/10%-1,1))+(BC104-BB104)*MAX(0,CQ105/10%-2),AZ104*MIN(-CQ105/10%,1)+(AY104-AZ104)*MAX(0,MIN(-CQ105/10%-1,1))+(AX104-AY104)*MAX(0,-CQ105/10%-2)),0),"")</f>
        <v/>
      </c>
      <c r="CW105" s="545" t="str">
        <f aca="false">IF(BD105,CU105+IF(VolSkewFlag=1,IF(CR105&gt;0,BA104*MIN(CR105/10%,1)+(BB104-BA104)*MAX(0,MIN(CR105/10%-1,1))+(BC104-BB104)*MAX(0,CR105/10%-2),AZ104*MIN(-CR105/10%,1)+(AY104-AZ104)*MAX(0,MIN(-CR105/10%-1,1))+(AX104-AY104)*MAX(0,-CR105/10%-2)),0),"")</f>
        <v/>
      </c>
      <c r="CX105" s="470" t="n">
        <f aca="false">IF(BD105,EURO(CP105,Strike1,AO105,AO105,CV105,CO105,IF(OptControl=4,0,1),0),0)</f>
        <v>0</v>
      </c>
      <c r="CY105" s="470" t="n">
        <f aca="false">IF(BD105,EURO(CP105,Strike1,AO105,AO105,CV105,CO105,IF(OptControl=4,0,1),1)+IF(OR(VolSkewFlag=2,ABS(CQ105)&lt;0.0001),0,IF(CQ105&gt;0,-1,1)*CZ105*100*Strike1/CP105^2*CS105/10%),0)</f>
        <v>0</v>
      </c>
      <c r="CZ105" s="470" t="n">
        <f aca="false">IF(BD105,EURO(CP105,Strike1,AO105,AO105,CV105,CO105,IF(OptControl=4,0,1),3)/100,0)</f>
        <v>0</v>
      </c>
      <c r="DA105" s="470" t="n">
        <f aca="false">IF(BD105,EURO(CP105,Strike1,AO105,AO105,CV105,CO105,IF(OptControl=4,0,1),0)-EURO(CP105,Strike1,AO105,AO105,CV105,CO105-1,IF(OptControl=4,0,1),0),0)</f>
        <v>0</v>
      </c>
      <c r="DB105" s="470" t="n">
        <f aca="false">IF(BD105,EURO(CP105,Strike2,AO105,AO105,CW105,CO105,IF(OptControl=3,1,0),0),0)</f>
        <v>0</v>
      </c>
      <c r="DC105" s="470" t="n">
        <f aca="false">IF(BD105,EURO(CP105,Strike2,AO105,AO105,CW105,CO105,IF(OptControl=3,1,0),1)+IF(OR(VolSkewFlag=2,ABS(CR105)&lt;0.0001),0,IF(CR105&gt;0,-1,1)*DD105*100*Strike2/CP105^2*CT105/10%),0)</f>
        <v>0</v>
      </c>
      <c r="DD105" s="470" t="n">
        <f aca="false">IF(BD105,EURO(CP105,Strike2,AO105,AO105,CW105,CO105,IF(OptControl=3,1,0),3)/100,0)</f>
        <v>0</v>
      </c>
      <c r="DE105" s="472" t="n">
        <f aca="false">IF(BD105,EURO(CP105,Strike2,AO105,AO105,CW105,CO105,IF(OptControl=3,1,0),0)-EURO(CP105,Strike2,AO105,AO105,CW105,CO105-1,IF(OptControl=3,1,0),0),0)</f>
        <v>0</v>
      </c>
      <c r="DG105" s="481" t="n">
        <f aca="false">EOMONTH(DG104,0)+1</f>
        <v>48274</v>
      </c>
      <c r="DH105" s="478" t="n">
        <v>18.4475</v>
      </c>
      <c r="DI105" s="479" t="n">
        <v>18.51</v>
      </c>
      <c r="DJ105" s="480" t="n">
        <f aca="false">DG105</f>
        <v>48274</v>
      </c>
      <c r="DK105" s="478" t="n">
        <v>17.2691338949789</v>
      </c>
      <c r="DL105" s="479" t="n">
        <v>17.3415</v>
      </c>
      <c r="DM105" s="481" t="n">
        <f aca="false">DG105</f>
        <v>48274</v>
      </c>
      <c r="DN105" s="482" t="n">
        <f aca="false">DK105+BrentPhyBrentSpread</f>
        <v>17.3191338949789</v>
      </c>
      <c r="DO105" s="481" t="n">
        <f aca="false">DG105</f>
        <v>48274</v>
      </c>
      <c r="DP105" s="483" t="n">
        <f aca="false">DL105+DQ105</f>
        <v>17.3415</v>
      </c>
      <c r="DQ105" s="546" t="n">
        <v>0</v>
      </c>
      <c r="DR105" s="480" t="n">
        <f aca="false">DG105</f>
        <v>48274</v>
      </c>
      <c r="DS105" s="485" t="n">
        <v>0.1736</v>
      </c>
      <c r="DT105" s="486" t="n">
        <v>0.172781818181818</v>
      </c>
      <c r="DU105" s="480" t="n">
        <f aca="false">DG105</f>
        <v>48274</v>
      </c>
      <c r="DV105" s="485" t="n">
        <v>0.1736</v>
      </c>
      <c r="DW105" s="486" t="n">
        <v>0.172781818181818</v>
      </c>
      <c r="DX105" s="481" t="n">
        <f aca="false">DG105</f>
        <v>48274</v>
      </c>
      <c r="DY105" s="486" t="n">
        <v>0.35</v>
      </c>
      <c r="DZ105" s="481" t="n">
        <f aca="false">DR105</f>
        <v>48274</v>
      </c>
      <c r="EA105" s="486" t="n">
        <f aca="false">DT105</f>
        <v>0.172781818181818</v>
      </c>
      <c r="EB105" s="195"/>
      <c r="EC105" s="547" t="str">
        <f aca="false">IF(BD105,IF(Underlying=1,AS105,AU105),"")</f>
        <v/>
      </c>
      <c r="ED105" s="548" t="str">
        <f aca="false">IF($BD105,$EC105+IF(VolSkewFlag=1,IF(BS105&gt;0,$BA105*MIN(BS105/10%,1)+($BB105-$BA105)*MAX(0,MIN(BS105/10%-1,1))+($BC105-$BB105)*MAX(0,BS105/10%-2),$AZ105*MIN(-BS105/10%,1)+($AY105-$AZ105)*MAX(0,MIN(-BS105/10%-1,1))+($AX105-$AY105)*MAX(0,-BS105/10%-2)),0),"")</f>
        <v/>
      </c>
      <c r="EE105" s="549" t="str">
        <f aca="false">IF($BD105,$EC105+IF(VolSkewFlag=1,IF(BT105&gt;0,$BA105*MIN(BT105/10%,1)+($BB105-$BA105)*MAX(0,MIN(BT105/10%-1,1))+($BC105-$BB105)*MAX(0,BT105/10%-2),$AZ105*MIN(-BT105/10%,1)+($AY105-$AZ105)*MAX(0,MIN(-BT105/10%-1,1))+($AX105-$AY105)*MAX(0,-BT105/10%-2)),0),"")</f>
        <v/>
      </c>
      <c r="EF105" s="550" t="n">
        <f aca="false">IF(BD105,xASN(BR105,Strike1,AO105,ED105,0,BO105,0,BI105,BL105,IF(OptControl=4,0,1),0),0)</f>
        <v>0</v>
      </c>
      <c r="EG105" s="551" t="n">
        <f aca="false">IF(BD105,xASN(BR105,Strike2,AO105,EE105,0,BO105,0,BI105,BL105,IF(OptControl=3,1,0),0),0)</f>
        <v>0</v>
      </c>
      <c r="EL105" s="1"/>
      <c r="EM105" s="195"/>
      <c r="EN105" s="240"/>
      <c r="EO105" s="240"/>
      <c r="EP105" s="195"/>
      <c r="EQ105" s="407" t="s">
        <v>332</v>
      </c>
      <c r="ES105" s="130"/>
      <c r="ET105" s="19"/>
      <c r="EU105" s="672"/>
      <c r="EV105" s="478"/>
      <c r="EW105" s="131"/>
      <c r="EX105" s="131"/>
      <c r="EY105" s="129"/>
      <c r="EZ105" s="129"/>
      <c r="FA105" s="129"/>
      <c r="FB105" s="129"/>
      <c r="FC105" s="129"/>
      <c r="FD105" s="129"/>
      <c r="FE105" s="129"/>
      <c r="FF105" s="129"/>
      <c r="FG105" s="129"/>
      <c r="FH105" s="129"/>
      <c r="FI105" s="129"/>
      <c r="FJ105" s="571" t="n">
        <v>11</v>
      </c>
      <c r="FK105" s="150" t="e">
        <f aca="false">IF($FJ30&lt;FK$94,"",SQRT(FK30/FK$15))</f>
        <v>#DIV/0!</v>
      </c>
      <c r="FL105" s="150" t="n">
        <f aca="false">IF($FJ30&lt;FL$94,"",SQRT(FL30/FL$15))</f>
        <v>-0</v>
      </c>
      <c r="FM105" s="150" t="n">
        <f aca="false">IF($FJ30&lt;FM$94,"",SQRT(FM30/FM$15))</f>
        <v>0.213554552453045</v>
      </c>
      <c r="FN105" s="150" t="n">
        <f aca="false">IF($FJ30&lt;FN$94,"",SQRT(FN30/FN$15))</f>
        <v>0.217777833587573</v>
      </c>
      <c r="FO105" s="150" t="n">
        <f aca="false">IF($FJ30&lt;FO$94,"",SQRT(FO30/FO$15))</f>
        <v>0.22466004521091</v>
      </c>
      <c r="FP105" s="150" t="n">
        <f aca="false">IF($FJ30&lt;FP$94,"",SQRT(FP30/FP$15))</f>
        <v>0.234506752747593</v>
      </c>
      <c r="FQ105" s="150" t="n">
        <f aca="false">IF($FJ30&lt;FQ$94,"",SQRT(FQ30/FQ$15))</f>
        <v>0.247870327563951</v>
      </c>
      <c r="FR105" s="150" t="n">
        <f aca="false">IF($FJ30&lt;FR$94,"",SQRT(FR30/FR$15))</f>
        <v>0.26563302437068</v>
      </c>
      <c r="FS105" s="150" t="n">
        <f aca="false">IF($FJ30&lt;FS$94,"",SQRT(FS30/FS$15))</f>
        <v>0.289153074393389</v>
      </c>
      <c r="FT105" s="150" t="n">
        <f aca="false">IF($FJ30&lt;FT$94,"",SQRT(FT30/FT$15))</f>
        <v>0.320519234079321</v>
      </c>
      <c r="FU105" s="150" t="n">
        <f aca="false">IF($FJ30&lt;FU$94,"",SQRT(FU30/FU$15))</f>
        <v>0.363003387451172</v>
      </c>
      <c r="FV105" s="150" t="str">
        <f aca="false">IF($FJ30&lt;FV$94,"",SQRT(FV30/FV$15))</f>
        <v/>
      </c>
      <c r="FW105" s="150" t="str">
        <f aca="false">IF($FJ30&lt;FW$94,"",SQRT(FW30/FW$15))</f>
        <v/>
      </c>
      <c r="FX105" s="150" t="str">
        <f aca="false">IF($FJ30&lt;FX$94,"",SQRT(FX30/FX$15))</f>
        <v/>
      </c>
      <c r="FY105" s="150" t="str">
        <f aca="false">IF($FJ30&lt;FY$94,"",SQRT(FY30/FY$15))</f>
        <v/>
      </c>
      <c r="FZ105" s="150" t="str">
        <f aca="false">IF($FJ30&lt;FZ$94,"",SQRT(FZ30/FZ$15))</f>
        <v/>
      </c>
      <c r="GA105" s="150" t="str">
        <f aca="false">IF($FJ30&lt;GA$94,"",SQRT(GA30/GA$15))</f>
        <v/>
      </c>
      <c r="GB105" s="150" t="str">
        <f aca="false">IF($FJ30&lt;GB$94,"",SQRT(GB30/GB$15))</f>
        <v/>
      </c>
      <c r="GC105" s="150" t="str">
        <f aca="false">IF($FJ30&lt;GC$94,"",SQRT(GC30/GC$15))</f>
        <v/>
      </c>
      <c r="GD105" s="150" t="str">
        <f aca="false">IF($FJ30&lt;GD$94,"",SQRT(GD30/GD$15))</f>
        <v/>
      </c>
      <c r="GE105" s="150" t="str">
        <f aca="false">IF($FJ30&lt;GE$94,"",SQRT(GE30/GE$15))</f>
        <v/>
      </c>
      <c r="GF105" s="150" t="str">
        <f aca="false">IF($FJ30&lt;GF$94,"",SQRT(GF30/GF$15))</f>
        <v/>
      </c>
      <c r="GG105" s="150" t="str">
        <f aca="false">IF($FJ30&lt;GG$94,"",SQRT(GG30/GG$15))</f>
        <v/>
      </c>
      <c r="GH105" s="150" t="str">
        <f aca="false">IF($FJ30&lt;GH$94,"",SQRT(GH30/GH$15))</f>
        <v/>
      </c>
      <c r="GI105" s="150" t="str">
        <f aca="false">IF($FJ30&lt;GI$94,"",SQRT(GI30/GI$15))</f>
        <v/>
      </c>
      <c r="GJ105" s="150" t="str">
        <f aca="false">IF($FJ30&lt;GJ$94,"",SQRT(GJ30/GJ$15))</f>
        <v/>
      </c>
      <c r="GK105" s="150" t="str">
        <f aca="false">IF($FJ30&lt;GK$94,"",SQRT(GK30/GK$15))</f>
        <v/>
      </c>
      <c r="GL105" s="150" t="str">
        <f aca="false">IF($FJ30&lt;GL$94,"",SQRT(GL30/GL$15))</f>
        <v/>
      </c>
      <c r="GM105" s="150" t="str">
        <f aca="false">IF($FJ30&lt;GM$94,"",SQRT(GM30/GM$15))</f>
        <v/>
      </c>
      <c r="GN105" s="150" t="str">
        <f aca="false">IF($FJ30&lt;GN$94,"",SQRT(GN30/GN$15))</f>
        <v/>
      </c>
      <c r="GO105" s="150" t="str">
        <f aca="false">IF($FJ30&lt;GO$94,"",SQRT(GO30/GO$15))</f>
        <v/>
      </c>
      <c r="GP105" s="150" t="str">
        <f aca="false">IF($FJ30&lt;GP$94,"",SQRT(GP30/GP$15))</f>
        <v/>
      </c>
      <c r="GQ105" s="150" t="str">
        <f aca="false">IF($FJ30&lt;GQ$94,"",SQRT(GQ30/GQ$15))</f>
        <v/>
      </c>
      <c r="GR105" s="150" t="str">
        <f aca="false">IF($FJ30&lt;GR$94,"",SQRT(GR30/GR$15))</f>
        <v/>
      </c>
      <c r="GS105" s="150" t="str">
        <f aca="false">IF($FJ30&lt;GS$94,"",SQRT(GS30/GS$15))</f>
        <v/>
      </c>
      <c r="GT105" s="150" t="str">
        <f aca="false">IF($FJ30&lt;GT$94,"",SQRT(GT30/GT$15))</f>
        <v/>
      </c>
      <c r="GU105" s="150" t="str">
        <f aca="false">IF($FJ30&lt;GU$94,"",SQRT(GU30/GU$15))</f>
        <v/>
      </c>
      <c r="GV105" s="150" t="str">
        <f aca="false">IF($FJ30&lt;GV$94,"",SQRT(GV30/GV$15))</f>
        <v/>
      </c>
      <c r="GW105" s="150" t="str">
        <f aca="false">IF($FJ30&lt;GW$94,"",SQRT(GW30/GW$15))</f>
        <v/>
      </c>
      <c r="GX105" s="150" t="str">
        <f aca="false">IF($FJ30&lt;GX$94,"",SQRT(GX30/GX$15))</f>
        <v/>
      </c>
      <c r="GY105" s="150" t="str">
        <f aca="false">IF($FJ30&lt;GY$94,"",SQRT(GY30/GY$15))</f>
        <v/>
      </c>
      <c r="GZ105" s="150" t="str">
        <f aca="false">IF($FJ30&lt;GZ$94,"",SQRT(GZ30/GZ$15))</f>
        <v/>
      </c>
      <c r="HA105" s="150" t="str">
        <f aca="false">IF($FJ30&lt;HA$94,"",SQRT(HA30/HA$15))</f>
        <v/>
      </c>
      <c r="HB105" s="150" t="str">
        <f aca="false">IF($FJ30&lt;HB$94,"",SQRT(HB30/HB$15))</f>
        <v/>
      </c>
      <c r="HC105" s="150" t="str">
        <f aca="false">IF($FJ30&lt;HC$94,"",SQRT(HC30/HC$15))</f>
        <v/>
      </c>
      <c r="HD105" s="150" t="str">
        <f aca="false">IF($FJ30&lt;HD$94,"",SQRT(HD30/HD$15))</f>
        <v/>
      </c>
      <c r="HE105" s="150" t="str">
        <f aca="false">IF($FJ30&lt;HE$94,"",SQRT(HE30/HE$15))</f>
        <v/>
      </c>
      <c r="HF105" s="150" t="str">
        <f aca="false">IF($FJ30&lt;HF$94,"",SQRT(HF30/HF$15))</f>
        <v/>
      </c>
      <c r="HG105" s="150" t="str">
        <f aca="false">IF($FJ30&lt;HG$94,"",SQRT(HG30/HG$15))</f>
        <v/>
      </c>
      <c r="HH105" s="150" t="str">
        <f aca="false">IF($FJ30&lt;HH$94,"",SQRT(HH30/HH$15))</f>
        <v/>
      </c>
      <c r="HI105" s="150" t="str">
        <f aca="false">IF($FJ30&lt;HI$94,"",SQRT(HI30/HI$15))</f>
        <v/>
      </c>
      <c r="HJ105" s="150" t="str">
        <f aca="false">IF($FJ30&lt;HJ$94,"",SQRT(HJ30/HJ$15))</f>
        <v/>
      </c>
      <c r="HK105" s="150" t="str">
        <f aca="false">IF($FJ30&lt;HK$94,"",SQRT(HK30/HK$15))</f>
        <v/>
      </c>
      <c r="HL105" s="150" t="str">
        <f aca="false">IF($FJ30&lt;HL$94,"",SQRT(HL30/HL$15))</f>
        <v/>
      </c>
      <c r="HM105" s="150" t="str">
        <f aca="false">IF($FJ30&lt;HM$94,"",SQRT(HM30/HM$15))</f>
        <v/>
      </c>
      <c r="HN105" s="150" t="str">
        <f aca="false">IF($FJ30&lt;HN$94,"",SQRT(HN30/HN$15))</f>
        <v/>
      </c>
      <c r="HO105" s="150" t="str">
        <f aca="false">IF($FJ30&lt;HO$94,"",SQRT(HO30/HO$15))</f>
        <v/>
      </c>
      <c r="HP105" s="150" t="str">
        <f aca="false">IF($FJ30&lt;HP$94,"",SQRT(HP30/HP$15))</f>
        <v/>
      </c>
      <c r="HQ105" s="150" t="str">
        <f aca="false">IF($FJ30&lt;HQ$94,"",SQRT(HQ30/HQ$15))</f>
        <v/>
      </c>
      <c r="HR105" s="150" t="str">
        <f aca="false">IF($FJ30&lt;HR$94,"",SQRT(HR30/HR$15))</f>
        <v/>
      </c>
      <c r="HS105" s="150" t="str">
        <f aca="false">IF($FJ30&lt;HS$94,"",SQRT(HS30/HS$15))</f>
        <v/>
      </c>
      <c r="HT105" s="150" t="str">
        <f aca="false">IF($FJ30&lt;HT$94,"",SQRT(HT30/HT$15))</f>
        <v/>
      </c>
      <c r="HU105" s="150" t="str">
        <f aca="false">IF($FJ30&lt;HU$94,"",SQRT(HU30/HU$15))</f>
        <v/>
      </c>
      <c r="HV105" s="150" t="str">
        <f aca="false">IF($FJ30&lt;HV$94,"",SQRT(HV30/HV$15))</f>
        <v/>
      </c>
      <c r="HW105" s="150" t="str">
        <f aca="false">IF($FJ30&lt;HW$94,"",SQRT(HW30/HW$15))</f>
        <v/>
      </c>
      <c r="HX105" s="150" t="str">
        <f aca="false">IF($FJ30&lt;HX$94,"",SQRT(HX30/HX$15))</f>
        <v/>
      </c>
      <c r="HY105" s="150" t="str">
        <f aca="false">IF($FJ30&lt;HY$94,"",SQRT(HY30/HY$15))</f>
        <v/>
      </c>
      <c r="HZ105" s="150" t="str">
        <f aca="false">IF($FJ30&lt;HZ$94,"",SQRT(HZ30/HZ$15))</f>
        <v/>
      </c>
      <c r="IA105" s="150" t="str">
        <f aca="false">IF($FJ30&lt;IA$94,"",SQRT(IA30/IA$15))</f>
        <v/>
      </c>
      <c r="IB105" s="150" t="str">
        <f aca="false">IF($FJ30&lt;IB$94,"",SQRT(IB30/IB$15))</f>
        <v/>
      </c>
      <c r="IC105" s="150" t="str">
        <f aca="false">IF($FJ30&lt;IC$94,"",SQRT(IC30/IC$15))</f>
        <v/>
      </c>
      <c r="ID105" s="572" t="str">
        <f aca="false">IF($FJ30&lt;ID$94,"",SQRT(ID30/ID$15))</f>
        <v/>
      </c>
      <c r="IE105" s="129"/>
    </row>
    <row r="106" customFormat="false" ht="12.75" hidden="false" customHeight="false" outlineLevel="0" collapsed="false">
      <c r="H106" s="219" t="n">
        <f aca="false">VLOOKUP(I106,$EJ$20:$EL$54,3)</f>
        <v>0</v>
      </c>
      <c r="I106" s="511" t="n">
        <f aca="false">EOMONTH(I105,0)+1</f>
        <v>39387</v>
      </c>
      <c r="J106" s="512"/>
      <c r="K106" s="513" t="s">
        <v>280</v>
      </c>
      <c r="L106" s="514" t="n">
        <f aca="false">IF(ISNUMBER(K106),J106+K106/100,IF(K106="extra",L105+VLOOKUP(BF106,PriceSpreadTable,2)/12,IF(K106="inter",interpolateprices($K$19:$L$200,ROW(K106)-ROW(FirstPricingMonth)+1),interpolatechanges($J$19:$K$200,ROW(K106)-ROW(FirstPricingMonth)+1))))</f>
        <v>0.375</v>
      </c>
      <c r="M106" s="515"/>
      <c r="N106" s="516" t="n">
        <v>0</v>
      </c>
      <c r="O106" s="515" t="n">
        <f aca="false">M106+N106</f>
        <v>0</v>
      </c>
      <c r="P106" s="512"/>
      <c r="Q106" s="513" t="s">
        <v>280</v>
      </c>
      <c r="R106" s="512" t="e">
        <f aca="false">IF(ISNUMBER(Q106),P106+Q106/100,IF(Q106="extra",(Z104*AL104-R105*AM104)/AN104,IF(Q106="inter",interpolateprices($Q$19:$R$260,ROW(Q106)-ROW(FirstPricingMonth)+1),interpolatechanges($P$19:$Q$260,ROW(Q106)-ROW(FirstPricingMonth)+1))))</f>
        <v>#VALUE!</v>
      </c>
      <c r="S106" s="597" t="n">
        <f aca="false">S$19+(S105-S$19)*S$18</f>
        <v>0.36000000000096</v>
      </c>
      <c r="T106" s="575" t="n">
        <f aca="false">SQRT((1-(1-T105^2/U105)*T$18)*U106)</f>
        <v>0.999999841666232</v>
      </c>
      <c r="U106" s="576" t="n">
        <f aca="false">1-(1-U105)*U$18</f>
        <v>0.99999999999973</v>
      </c>
      <c r="V106" s="521" t="n">
        <v>0</v>
      </c>
      <c r="W106" s="577" t="n">
        <f aca="false">(J107*AJ106+J108*AK106)/AI106</f>
        <v>0</v>
      </c>
      <c r="X106" s="578" t="n">
        <f aca="false">(L107*AJ106+L108*AK106)/AI106</f>
        <v>0.426136363636364</v>
      </c>
      <c r="Y106" s="579" t="n">
        <f aca="false">IF(Q108="extra",W106-AA106,(P107*AM106+P108*AN106)/AL106)</f>
        <v>-1.1543</v>
      </c>
      <c r="Z106" s="579" t="n">
        <f aca="false">IF(Q108="extra",X106-AB106,(R107*AM106+R108*AN106)/AL106)</f>
        <v>-0.728163636363636</v>
      </c>
      <c r="AA106" s="523" t="n">
        <f aca="false">IF(Q108="extra",INDEX(BrentSeasonalityTable,INT((BG106-1)/3)+1)*VLOOKUP(MAX(BF106,$AB$4),PriceSpreadTable,3),W106-Y106)</f>
        <v>1.1543</v>
      </c>
      <c r="AB106" s="524" t="n">
        <f aca="false">IF(Q108="extra",INDEX(BrentSeasonalityTable,INT((BG106-1)/3)+1)*VLOOKUP(MAX(BF106,$AB$4),PriceSpreadTable,3),X106-Z106)</f>
        <v>1.1543</v>
      </c>
      <c r="AC106" s="646" t="n">
        <v>39375</v>
      </c>
      <c r="AD106" s="646" t="n">
        <v>39371</v>
      </c>
      <c r="AE106" s="646" t="n">
        <v>39370</v>
      </c>
      <c r="AF106" s="646" t="n">
        <v>39366</v>
      </c>
      <c r="AG106" s="438" t="s">
        <v>278</v>
      </c>
      <c r="AH106" s="439" t="s">
        <v>278</v>
      </c>
      <c r="AI106" s="528" t="n">
        <v>22</v>
      </c>
      <c r="AJ106" s="529" t="n">
        <v>14</v>
      </c>
      <c r="AK106" s="529" t="n">
        <v>8</v>
      </c>
      <c r="AL106" s="530" t="n">
        <v>22</v>
      </c>
      <c r="AM106" s="529" t="n">
        <v>10</v>
      </c>
      <c r="AN106" s="531" t="n">
        <v>12</v>
      </c>
      <c r="AO106" s="532"/>
      <c r="AP106" s="465" t="n">
        <f aca="false">(1+AO106/2)^(-2*BL106)</f>
        <v>1</v>
      </c>
      <c r="AQ106" s="532"/>
      <c r="AR106" s="465" t="n">
        <f aca="false">(1+AQ106/2)^(-2*BH106/365.25)</f>
        <v>1</v>
      </c>
      <c r="AS106" s="580" t="n">
        <f aca="false">(O107*AJ106+O108*AK106)/AI106</f>
        <v>0</v>
      </c>
      <c r="AT106" s="468" t="n">
        <f aca="false">O106*VLOOKUP(BF106,BrentVolTable,2)+VLOOKUP(BF106,BrentVolTable,3)</f>
        <v>0</v>
      </c>
      <c r="AU106" s="468" t="n">
        <f aca="false">(AT107*AM106+AT108*AN106)/AL106</f>
        <v>0</v>
      </c>
      <c r="AV106" s="595" t="n">
        <f aca="false">SQRT(MAX(0.000000000001,(O106^2*BH106-S106^2*(BH106-BH105))/BH105))</f>
        <v>0.0243006682776314</v>
      </c>
      <c r="AW106" s="451" t="n">
        <f aca="false">IF($I106-DateToday+15&gt;=$T$8,"",IF($I106-DateToday+15&lt;$T$5,1,MATCH($I106-DateToday+15,$T$5:$T$8)))</f>
        <v>1</v>
      </c>
      <c r="AX106" s="468" t="n">
        <f aca="false">IF($AW106="",AX105^2/AX104,INDEX(U$5:U$8,$AW106)^((INDEX($T$5:$T$8,$AW106+1)-($I106-DateToday+15))/(INDEX($T$5:$T$8,$AW106+1)-INDEX($T$5:$T$8,$AW106)))/INDEX(U$5:U$8,$AW106+1)^((INDEX($T$5:$T$8,$AW106)-($I106-DateToday+15))/(INDEX($T$5:$T$8,$AW106+1)-INDEX($T$5:$T$8,$AW106))))</f>
        <v>1.99676650633346</v>
      </c>
      <c r="AY106" s="468" t="n">
        <f aca="false">IF($AW106="",AY105^2/AY104,INDEX(V$5:V$8,$AW106)^((INDEX($T$5:$T$8,$AW106+1)-($I106-DateToday+15))/(INDEX($T$5:$T$8,$AW106+1)-INDEX($T$5:$T$8,$AW106)))/INDEX(V$5:V$8,$AW106+1)^((INDEX($T$5:$T$8,$AW106)-($I106-DateToday+15))/(INDEX($T$5:$T$8,$AW106+1)-INDEX($T$5:$T$8,$AW106))))</f>
        <v>139.391904344313</v>
      </c>
      <c r="AZ106" s="468" t="n">
        <f aca="false">IF($AW106="",AZ105^2/AZ104,INDEX(W$5:W$8,$AW106)^((INDEX($T$5:$T$8,$AW106+1)-($I106-DateToday+15))/(INDEX($T$5:$T$8,$AW106+1)-INDEX($T$5:$T$8,$AW106)))/INDEX(W$5:W$8,$AW106+1)^((INDEX($T$5:$T$8,$AW106)-($I106-DateToday+15))/(INDEX($T$5:$T$8,$AW106+1)-INDEX($T$5:$T$8,$AW106))))</f>
        <v>593192.054237695</v>
      </c>
      <c r="BA106" s="468" t="n">
        <f aca="false">IF($AW106="",BA105^2/BA104,INDEX(X$5:X$8,$AW106)^((INDEX($T$5:$T$8,$AW106+1)-($I106-DateToday+15))/(INDEX($T$5:$T$8,$AW106+1)-INDEX($T$5:$T$8,$AW106)))/INDEX(X$5:X$8,$AW106+1)^((INDEX($T$5:$T$8,$AW106)-($I106-DateToday+15))/(INDEX($T$5:$T$8,$AW106+1)-INDEX($T$5:$T$8,$AW106))))</f>
        <v>12338187.7679684</v>
      </c>
      <c r="BB106" s="468" t="n">
        <f aca="false">IF($AW106="",BB105^2/BB104,INDEX(Y$5:Y$8,$AW106)^((INDEX($T$5:$T$8,$AW106+1)-($I106-DateToday+15))/(INDEX($T$5:$T$8,$AW106+1)-INDEX($T$5:$T$8,$AW106)))/INDEX(Y$5:Y$8,$AW106+1)^((INDEX($T$5:$T$8,$AW106)-($I106-DateToday+15))/(INDEX($T$5:$T$8,$AW106+1)-INDEX($T$5:$T$8,$AW106))))</f>
        <v>145616476.539677</v>
      </c>
      <c r="BC106" s="468" t="n">
        <f aca="false">IF($AW106="",BC105^2/BC104,INDEX(Z$5:Z$8,$AW106)^((INDEX($T$5:$T$8,$AW106+1)-($I106-DateToday+15))/(INDEX($T$5:$T$8,$AW106+1)-INDEX($T$5:$T$8,$AW106)))/INDEX(Z$5:Z$8,$AW106+1)^((INDEX($T$5:$T$8,$AW106)-($I106-DateToday+15))/(INDEX($T$5:$T$8,$AW106+1)-INDEX($T$5:$T$8,$AW106))))</f>
        <v>641090247.207876</v>
      </c>
      <c r="BD106" s="535" t="n">
        <f aca="false">IF(OR(DateStart&gt;=I107,DateEnd&lt;I106),0,IF(VolumeOverrideFlag,V106,Volume))</f>
        <v>0</v>
      </c>
      <c r="BE106" s="536" t="n">
        <f aca="false">IF(OR(DateStart2&gt;=I107,DateEnd2&lt;I106),0,IF(VolumeOverrideFlag,V106,VolumeSwaption))</f>
        <v>0</v>
      </c>
      <c r="BF106" s="537" t="n">
        <f aca="false">YEAR(I106)</f>
        <v>2007</v>
      </c>
      <c r="BG106" s="538" t="n">
        <f aca="false">MONTH(I106)</f>
        <v>11</v>
      </c>
      <c r="BH106" s="539" t="n">
        <f aca="false">AD106-DateToday+1</f>
        <v>-6554</v>
      </c>
      <c r="BI106" s="540" t="n">
        <f aca="false">(I106-DateToday+1)/365.25</f>
        <v>-17.9000684462697</v>
      </c>
      <c r="BJ106" s="541" t="n">
        <f aca="false">BI106+(BL106-BI106)*CHOOSE(Underlying,AJ106/AI106,AM106/AL106)</f>
        <v>-17.8495426544708</v>
      </c>
      <c r="BK106" s="541" t="n">
        <f aca="false">BJ106+1/365.25</f>
        <v>-17.8468048036837</v>
      </c>
      <c r="BL106" s="541" t="n">
        <f aca="false">(I107-DateToday)/365.25</f>
        <v>-17.8206707734429</v>
      </c>
      <c r="BM106" s="542" t="e">
        <f aca="false">MAX(BI106-(BJ106-BI106)*(S107^2/O107^2-1),0)</f>
        <v>#DIV/0!</v>
      </c>
      <c r="BN106" s="541" t="e">
        <f aca="false">MAX(BL106+(BL106-BK106)*(S108^2/O108^2-1),0)</f>
        <v>#DIV/0!</v>
      </c>
      <c r="BO106" s="530" t="n">
        <f aca="false">CHOOSE(Underlying,AI106,AL106)</f>
        <v>22</v>
      </c>
      <c r="BP106" s="529" t="n">
        <f aca="false">CHOOSE(Underlying,AJ106,AM106)</f>
        <v>14</v>
      </c>
      <c r="BQ106" s="529" t="n">
        <f aca="false">CHOOSE(Underlying,AK106,AN106)</f>
        <v>8</v>
      </c>
      <c r="BR106" s="463" t="str">
        <f aca="false">IF(BD106,IF(Underlying=1,X106,Z106)+UnderlyingPriceAsian-SwapPriceCurve,"")</f>
        <v/>
      </c>
      <c r="BS106" s="463" t="str">
        <f aca="false">IF(BD106,Strike1/BR106-1,"")</f>
        <v/>
      </c>
      <c r="BT106" s="464" t="str">
        <f aca="false">IF(BD106,Strike2/BR106-1,"")</f>
        <v/>
      </c>
      <c r="BU106" s="465" t="str">
        <f aca="false">IF(BD106,IF(Underlying=1,L107,R107)+UnderlyingPriceAsian-SwapPriceCurve,"")</f>
        <v/>
      </c>
      <c r="BV106" s="465" t="str">
        <f aca="false">IF(BD106,IF(Underlying=1,L108,R108)+UnderlyingPriceAsian-SwapPriceCurve,"")</f>
        <v/>
      </c>
      <c r="BW106" s="466" t="str">
        <f aca="false">IF(BD106,IF(Underlying=1,O107,AT107),"")</f>
        <v/>
      </c>
      <c r="BX106" s="467" t="str">
        <f aca="false">IF(BD106,IF(Underlying=1,O108,AT108),"")</f>
        <v/>
      </c>
      <c r="BY106" s="466" t="str">
        <f aca="false">IF(BD106,IF(BS106&gt;0,IF(BS106&gt;0.2,BC106-BB106,IF(BS106&gt;0.1,BB106-BA106,BA106)),IF(BS106&lt;-0.2,AX106-AY106,IF(BS106&lt;-0.1,AY106-AZ106,AZ106))),"")</f>
        <v/>
      </c>
      <c r="BZ106" s="467" t="str">
        <f aca="false">IF(BD106,IF(BT106&gt;0,IF(BT106&gt;0.2,BC106-BB106,IF(BT106&gt;0.1,BB106-BA106,BA106)),IF(BT106&lt;-0.2,AX106-AY106,IF(BT106&lt;-0.1,AY106-AZ106,AZ106))),"")</f>
        <v/>
      </c>
      <c r="CA106" s="468" t="str">
        <f aca="false">IF($BD106,$BW106+IF(VolSkewFlag=1,IF(BS106&gt;0,$BA106*MIN(BS106/10%,1)+($BB106-$BA106)*MAX(0,MIN(BS106/10%-1,1))+($BC106-$BB106)*MAX(0,BS106/10%-2),$AZ106*MIN(-BS106/10%,1)+($AY106-$AZ106)*MAX(0,MIN(-BS106/10%-1,1))+($AX106-$AY106)*MAX(0,-BS106/10%-2)),0),"")</f>
        <v/>
      </c>
      <c r="CB106" s="468" t="str">
        <f aca="false">IF($BD106,$BX106+IF(VolSkewFlag=1,IF(BS106&gt;0,$BA106*MIN(BS106/10%,1)+($BB106-$BA106)*MAX(0,MIN(BS106/10%-1,1))+($BC106-$BB106)*MAX(0,BS106/10%-2),$AZ106*MIN(-BS106/10%,1)+($AY106-$AZ106)*MAX(0,MIN(-BS106/10%-1,1))+($AX106-$AY106)*MAX(0,-BS106/10%-2)),0),"")</f>
        <v/>
      </c>
      <c r="CC106" s="468" t="str">
        <f aca="false">IF($BD106,$BW106+IF(VolSkewFlag=1,IF(BT106&gt;0,$BA106*MIN(BT106/10%,1)+($BB106-$BA106)*MAX(0,MIN(BT106/10%-1,1))+($BC106-$BB106)*MAX(0,BT106/10%-2),$AZ106*MIN(-BT106/10%,1)+($AY106-$AZ106)*MAX(0,MIN(-BT106/10%-1,1))+($AX106-$AY106)*MAX(0,-BT106/10%-2)),0),"")</f>
        <v/>
      </c>
      <c r="CD106" s="468" t="str">
        <f aca="false">IF($BD106,$BX106+IF(VolSkewFlag=1,IF(BT106&gt;0,$BA106*MIN(BT106/10%,1)+($BB106-$BA106)*MAX(0,MIN(BT106/10%-1,1))+($BC106-$BB106)*MAX(0,BT106/10%-2),$AZ106*MIN(-BT106/10%,1)+($AY106-$AZ106)*MAX(0,MIN(-BT106/10%-1,1))+($AX106-$AY106)*MAX(0,-BT106/10%-2)),0),"")</f>
        <v/>
      </c>
      <c r="CE106" s="469" t="n">
        <v>1</v>
      </c>
      <c r="CF106" s="470" t="n">
        <f aca="false">IF(BD106,xCrudeAPO(BU106,BV106,CA106,CB106,S107,S108,BI106,BL106,BP106,BQ106,0,Strike1,AO106,CE106,0,BL106,IF(OptControl=4,0,1),0,1),0)</f>
        <v>0</v>
      </c>
      <c r="CG106" s="470" t="n">
        <f aca="false">IF(BD106,xCrudeAPO(BU106,BV106,CA106,CB106,S107,S108,BI106,BL106,BP106,BQ106,0,Strike1,AO106,CE106,0,BL106,IF(OptControl=4,0,1),1,1)+xCrudeAPO(BU106,BV106,CA106,CB106,S107,S108,BI106,BL106,BP106,BQ106,0,Strike1,AO106,CE106,0,BL106,IF(OptControl=4,0,1),1,2)+IF(OR(VolSkewFlag=2,ABS(BS106)&lt;0.0001),0,IF(BS106&gt;0,-1,1)*CH106*Strike1/BR106^2*BY106/10%),0)</f>
        <v>0</v>
      </c>
      <c r="CH106" s="470" t="n">
        <f aca="false">IF(BD106,(xCrudeAPO(BU106,BV106,CA106,CB106,S107,S108,BI106,BL106,BP106,BQ106,0,Strike1,AO106,CE106,0,BL106,IF(OptControl=4,0,1),3,1)+xCrudeAPO(BU106,BV106,CA106,CB106,S107,S108,BI106,BL106,BP106,BQ106,0,Strike1,AO106,CE106,0,BL106,IF(OptControl=4,0,1),3,2))/100,0)</f>
        <v>0</v>
      </c>
      <c r="CI106" s="470" t="n">
        <f aca="false">IF(BD106,xCrudeAPO(BU106,BV106,CA106,CB106,S107,S108,BI106-DaysForThetaCalculation/365.25,BL106-DaysForThetaCalculation/365.25,BP106,BQ106,0,Strike1,AO106,CE106,0,BL106,IF(OptControl=4,0,1),0,1)-xCrudeAPO(BU106,BV106,CA106,CB106,S107,S108,BI106,BL106,BP106,BQ106,0,Strike1,AO106,CE106,0,BL106,IF(OptControl=4,0,1),0,1),0)</f>
        <v>0</v>
      </c>
      <c r="CJ106" s="471" t="n">
        <f aca="false">IF(BD106,xCrudeAPO(BU106,BV106,CC106,CD106,S107,S108,BI106,BL106,BP106,BQ106,0,Strike2,AO106,CE106,0,BL106,IF(OptControl=3,1,0),0,1),0)</f>
        <v>0</v>
      </c>
      <c r="CK106" s="470" t="n">
        <f aca="false">IF(BD106,xCrudeAPO(BU106,BV106,CC106,CD106,S107,S108,BI106,BL106,BP106,BQ106,0,Strike2,AO106,CE106,0,BL106,IF(OptControl=3,1,0),1,1)+xCrudeAPO(BU106,BV106,CC106,CD106,S107,S108,BI106,BL106,BP106,BQ106,0,Strike2,AO106,CE106,0,BL106,IF(OptControl=3,1,0),1,2)+IF(OR(VolSkewFlag=2,ABS(BT106)&lt;0.0001),0,IF(BT106&gt;0,-1,1)*CL106*Strike2/BR106^2*BZ106/10%),0)</f>
        <v>0</v>
      </c>
      <c r="CL106" s="470" t="n">
        <f aca="false">IF(BD106,(xCrudeAPO(BU106,BV106,CC106,CD106,S107,S108,BI106,BL106,BP106,BQ106,0,Strike2,AO106,CE106,0,BL106,IF(OptControl=3,1,0),3,1)+xCrudeAPO(BU106,BV106,CC106,CD106,S107,S108,BI106,BL106,BP106,BQ106,0,Strike2,AO106,CE106,0,BL106,IF(OptControl=3,1,0),3,2))/100,0)</f>
        <v>0</v>
      </c>
      <c r="CM106" s="472" t="n">
        <f aca="false">IF(BD106,xCrudeAPO(BU106,BV106,CC106,CD106,S107,S108,BI106-DaysForThetaCalculation/365.25,BL106-DaysForThetaCalculation/365.25,BP106,BQ106,0,Strike2,AO106,CE106,0,BL106,IF(OptControl=3,1,0),0,1)-xCrudeAPO(BU106,BV106,CC106,CD106,S107,S108,BI106,BL106,BP106,BQ106,0,Strike2,AO106,CE106,0,BL106,IF(OptControl=3,1,0),0,1),0)</f>
        <v>0</v>
      </c>
      <c r="CN106" s="3"/>
      <c r="CO106" s="543" t="str">
        <f aca="false">IF(BD106,CHOOSE(Underlying,AD106,AF106)-DateToday+1,"")</f>
        <v/>
      </c>
      <c r="CP106" s="582" t="str">
        <f aca="false">IF(BD106,CHOOSE(Underlying,L106,R106),"")</f>
        <v/>
      </c>
      <c r="CQ106" s="544" t="str">
        <f aca="false">IF(BD106,Strike1/CP106-1,"")</f>
        <v/>
      </c>
      <c r="CR106" s="544" t="str">
        <f aca="false">IF(BD106,Strike2/CP106-1,"")</f>
        <v/>
      </c>
      <c r="CS106" s="544" t="str">
        <f aca="false">IF(BD106,IF(CQ106&gt;0,IF(CQ106&gt;0.2,BC105-BB105,IF(CQ106&gt;0.1,BB105-BA105,BA105)),IF(CQ106&lt;-0.2,AX105-AY105,IF(CQ106&lt;-0.1,AY105-AZ105,AZ105))),"")</f>
        <v/>
      </c>
      <c r="CT106" s="544" t="str">
        <f aca="false">IF(BD106,IF(CR106&gt;0,IF(CR106&gt;0.2,BC105-BB105,IF(CR106&gt;0.1,BB105-BA105,BA105)),IF(CR106&lt;-0.2,AX105-AY105,IF(CR106&lt;-0.1,AY105-AZ105,AZ105))),"")</f>
        <v/>
      </c>
      <c r="CU106" s="545" t="str">
        <f aca="false">IF(BD106,CHOOSE(Underlying,O106,AT106),"")</f>
        <v/>
      </c>
      <c r="CV106" s="545" t="str">
        <f aca="false">IF(BD106,CU106+IF(VolSkewFlag=1,IF(CQ106&gt;0,BA105*MIN(CQ106/10%,1)+(BB105-BA105)*MAX(0,MIN(CQ106/10%-1,1))+(BC105-BB105)*MAX(0,CQ106/10%-2),AZ105*MIN(-CQ106/10%,1)+(AY105-AZ105)*MAX(0,MIN(-CQ106/10%-1,1))+(AX105-AY105)*MAX(0,-CQ106/10%-2)),0),"")</f>
        <v/>
      </c>
      <c r="CW106" s="545" t="str">
        <f aca="false">IF(BD106,CU106+IF(VolSkewFlag=1,IF(CR106&gt;0,BA105*MIN(CR106/10%,1)+(BB105-BA105)*MAX(0,MIN(CR106/10%-1,1))+(BC105-BB105)*MAX(0,CR106/10%-2),AZ105*MIN(-CR106/10%,1)+(AY105-AZ105)*MAX(0,MIN(-CR106/10%-1,1))+(AX105-AY105)*MAX(0,-CR106/10%-2)),0),"")</f>
        <v/>
      </c>
      <c r="CX106" s="470" t="n">
        <f aca="false">IF(BD106,EURO(CP106,Strike1,AO106,AO106,CV106,CO106,IF(OptControl=4,0,1),0),0)</f>
        <v>0</v>
      </c>
      <c r="CY106" s="470" t="n">
        <f aca="false">IF(BD106,EURO(CP106,Strike1,AO106,AO106,CV106,CO106,IF(OptControl=4,0,1),1)+IF(OR(VolSkewFlag=2,ABS(CQ106)&lt;0.0001),0,IF(CQ106&gt;0,-1,1)*CZ106*100*Strike1/CP106^2*CS106/10%),0)</f>
        <v>0</v>
      </c>
      <c r="CZ106" s="470" t="n">
        <f aca="false">IF(BD106,EURO(CP106,Strike1,AO106,AO106,CV106,CO106,IF(OptControl=4,0,1),3)/100,0)</f>
        <v>0</v>
      </c>
      <c r="DA106" s="470" t="n">
        <f aca="false">IF(BD106,EURO(CP106,Strike1,AO106,AO106,CV106,CO106,IF(OptControl=4,0,1),0)-EURO(CP106,Strike1,AO106,AO106,CV106,CO106-1,IF(OptControl=4,0,1),0),0)</f>
        <v>0</v>
      </c>
      <c r="DB106" s="470" t="n">
        <f aca="false">IF(BD106,EURO(CP106,Strike2,AO106,AO106,CW106,CO106,IF(OptControl=3,1,0),0),0)</f>
        <v>0</v>
      </c>
      <c r="DC106" s="470" t="n">
        <f aca="false">IF(BD106,EURO(CP106,Strike2,AO106,AO106,CW106,CO106,IF(OptControl=3,1,0),1)+IF(OR(VolSkewFlag=2,ABS(CR106)&lt;0.0001),0,IF(CR106&gt;0,-1,1)*DD106*100*Strike2/CP106^2*CT106/10%),0)</f>
        <v>0</v>
      </c>
      <c r="DD106" s="470" t="n">
        <f aca="false">IF(BD106,EURO(CP106,Strike2,AO106,AO106,CW106,CO106,IF(OptControl=3,1,0),3)/100,0)</f>
        <v>0</v>
      </c>
      <c r="DE106" s="472" t="n">
        <f aca="false">IF(BD106,EURO(CP106,Strike2,AO106,AO106,CW106,CO106,IF(OptControl=3,1,0),0)-EURO(CP106,Strike2,AO106,AO106,CW106,CO106-1,IF(OptControl=3,1,0),0),0)</f>
        <v>0</v>
      </c>
      <c r="DG106" s="481" t="n">
        <f aca="false">EOMONTH(DG105,0)+1</f>
        <v>48305</v>
      </c>
      <c r="DH106" s="478" t="n">
        <v>18.4933333333333</v>
      </c>
      <c r="DI106" s="479" t="n">
        <v>18.5522619047619</v>
      </c>
      <c r="DJ106" s="480" t="n">
        <f aca="false">DG106</f>
        <v>48305</v>
      </c>
      <c r="DK106" s="478" t="n">
        <v>17.3163661050212</v>
      </c>
      <c r="DL106" s="479" t="n">
        <v>17.2607619047619</v>
      </c>
      <c r="DM106" s="481" t="n">
        <f aca="false">DG106</f>
        <v>48305</v>
      </c>
      <c r="DN106" s="482" t="n">
        <f aca="false">DK106+BrentPhyBrentSpread</f>
        <v>17.3663661050212</v>
      </c>
      <c r="DO106" s="481" t="n">
        <f aca="false">DG106</f>
        <v>48305</v>
      </c>
      <c r="DP106" s="483" t="n">
        <f aca="false">DL106+DQ106</f>
        <v>17.2607619047619</v>
      </c>
      <c r="DQ106" s="546" t="n">
        <v>0</v>
      </c>
      <c r="DR106" s="480" t="n">
        <f aca="false">DG106</f>
        <v>48305</v>
      </c>
      <c r="DS106" s="485" t="n">
        <v>0.173</v>
      </c>
      <c r="DT106" s="486" t="n">
        <v>0.172228571428571</v>
      </c>
      <c r="DU106" s="480" t="n">
        <f aca="false">DG106</f>
        <v>48305</v>
      </c>
      <c r="DV106" s="485" t="n">
        <v>0.173</v>
      </c>
      <c r="DW106" s="486" t="n">
        <v>0.172228571428571</v>
      </c>
      <c r="DX106" s="481" t="n">
        <f aca="false">DG106</f>
        <v>48305</v>
      </c>
      <c r="DY106" s="486" t="n">
        <v>0.35</v>
      </c>
      <c r="DZ106" s="481" t="n">
        <f aca="false">DR106</f>
        <v>48305</v>
      </c>
      <c r="EA106" s="486" t="n">
        <f aca="false">DT106</f>
        <v>0.172228571428571</v>
      </c>
      <c r="EB106" s="195"/>
      <c r="EC106" s="547" t="str">
        <f aca="false">IF(BD106,IF(Underlying=1,AS106,AU106),"")</f>
        <v/>
      </c>
      <c r="ED106" s="548" t="str">
        <f aca="false">IF($BD106,$EC106+IF(VolSkewFlag=1,IF(BS106&gt;0,$BA106*MIN(BS106/10%,1)+($BB106-$BA106)*MAX(0,MIN(BS106/10%-1,1))+($BC106-$BB106)*MAX(0,BS106/10%-2),$AZ106*MIN(-BS106/10%,1)+($AY106-$AZ106)*MAX(0,MIN(-BS106/10%-1,1))+($AX106-$AY106)*MAX(0,-BS106/10%-2)),0),"")</f>
        <v/>
      </c>
      <c r="EE106" s="549" t="str">
        <f aca="false">IF($BD106,$EC106+IF(VolSkewFlag=1,IF(BT106&gt;0,$BA106*MIN(BT106/10%,1)+($BB106-$BA106)*MAX(0,MIN(BT106/10%-1,1))+($BC106-$BB106)*MAX(0,BT106/10%-2),$AZ106*MIN(-BT106/10%,1)+($AY106-$AZ106)*MAX(0,MIN(-BT106/10%-1,1))+($AX106-$AY106)*MAX(0,-BT106/10%-2)),0),"")</f>
        <v/>
      </c>
      <c r="EF106" s="550" t="n">
        <f aca="false">IF(BD106,xASN(BR106,Strike1,AO106,ED106,0,BO106,0,BI106,BL106,IF(OptControl=4,0,1),0),0)</f>
        <v>0</v>
      </c>
      <c r="EG106" s="551" t="n">
        <f aca="false">IF(BD106,xASN(BR106,Strike2,AO106,EE106,0,BO106,0,BI106,BL106,IF(OptControl=3,1,0),0),0)</f>
        <v>0</v>
      </c>
      <c r="EL106" s="1"/>
      <c r="EM106" s="195"/>
      <c r="EN106" s="240"/>
      <c r="EO106" s="240"/>
      <c r="EP106" s="195"/>
      <c r="EQ106" s="407" t="s">
        <v>333</v>
      </c>
      <c r="ES106" s="130"/>
      <c r="ET106" s="19"/>
      <c r="EU106" s="672"/>
      <c r="EV106" s="478"/>
      <c r="EW106" s="131"/>
      <c r="EX106" s="131"/>
      <c r="EY106" s="129"/>
      <c r="EZ106" s="129"/>
      <c r="FA106" s="129"/>
      <c r="FB106" s="129"/>
      <c r="FC106" s="129"/>
      <c r="FD106" s="129"/>
      <c r="FE106" s="129"/>
      <c r="FF106" s="129"/>
      <c r="FG106" s="129"/>
      <c r="FH106" s="129"/>
      <c r="FI106" s="129"/>
      <c r="FJ106" s="571" t="n">
        <v>12</v>
      </c>
      <c r="FK106" s="150" t="e">
        <f aca="false">IF($FJ31&lt;FK$94,"",SQRT(FK31/FK$15))</f>
        <v>#DIV/0!</v>
      </c>
      <c r="FL106" s="150" t="n">
        <f aca="false">IF($FJ31&lt;FL$94,"",SQRT(FL31/FL$15))</f>
        <v>-0</v>
      </c>
      <c r="FM106" s="150" t="n">
        <f aca="false">IF($FJ31&lt;FM$94,"",SQRT(FM31/FM$15))</f>
        <v>0.206590458080968</v>
      </c>
      <c r="FN106" s="150" t="n">
        <f aca="false">IF($FJ31&lt;FN$94,"",SQRT(FN31/FN$15))</f>
        <v>0.20944773413664</v>
      </c>
      <c r="FO106" s="150" t="n">
        <f aca="false">IF($FJ31&lt;FO$94,"",SQRT(FO31/FO$15))</f>
        <v>0.214575218387755</v>
      </c>
      <c r="FP106" s="150" t="n">
        <f aca="false">IF($FJ31&lt;FP$94,"",SQRT(FP31/FP$15))</f>
        <v>0.222145193958549</v>
      </c>
      <c r="FQ106" s="150" t="n">
        <f aca="false">IF($FJ31&lt;FQ$94,"",SQRT(FQ31/FQ$15))</f>
        <v>0.232515657677094</v>
      </c>
      <c r="FR106" s="150" t="n">
        <f aca="false">IF($FJ31&lt;FR$94,"",SQRT(FR31/FR$15))</f>
        <v>0.246278391587684</v>
      </c>
      <c r="FS106" s="150" t="n">
        <f aca="false">IF($FJ31&lt;FS$94,"",SQRT(FS31/FS$15))</f>
        <v>0.264345241573575</v>
      </c>
      <c r="FT106" s="150" t="n">
        <f aca="false">IF($FJ31&lt;FT$94,"",SQRT(FT31/FT$15))</f>
        <v>0.288096597021079</v>
      </c>
      <c r="FU106" s="150" t="n">
        <f aca="false">IF($FJ31&lt;FU$94,"",SQRT(FU31/FU$15))</f>
        <v>0.319637703400819</v>
      </c>
      <c r="FV106" s="150" t="n">
        <f aca="false">IF($FJ31&lt;FV$94,"",SQRT(FV31/FV$15))</f>
        <v>0.362252540588379</v>
      </c>
      <c r="FW106" s="150" t="str">
        <f aca="false">IF($FJ31&lt;FW$94,"",SQRT(FW31/FW$15))</f>
        <v/>
      </c>
      <c r="FX106" s="150" t="str">
        <f aca="false">IF($FJ31&lt;FX$94,"",SQRT(FX31/FX$15))</f>
        <v/>
      </c>
      <c r="FY106" s="150" t="str">
        <f aca="false">IF($FJ31&lt;FY$94,"",SQRT(FY31/FY$15))</f>
        <v/>
      </c>
      <c r="FZ106" s="150" t="str">
        <f aca="false">IF($FJ31&lt;FZ$94,"",SQRT(FZ31/FZ$15))</f>
        <v/>
      </c>
      <c r="GA106" s="150" t="str">
        <f aca="false">IF($FJ31&lt;GA$94,"",SQRT(GA31/GA$15))</f>
        <v/>
      </c>
      <c r="GB106" s="150" t="str">
        <f aca="false">IF($FJ31&lt;GB$94,"",SQRT(GB31/GB$15))</f>
        <v/>
      </c>
      <c r="GC106" s="150" t="str">
        <f aca="false">IF($FJ31&lt;GC$94,"",SQRT(GC31/GC$15))</f>
        <v/>
      </c>
      <c r="GD106" s="150" t="str">
        <f aca="false">IF($FJ31&lt;GD$94,"",SQRT(GD31/GD$15))</f>
        <v/>
      </c>
      <c r="GE106" s="150" t="str">
        <f aca="false">IF($FJ31&lt;GE$94,"",SQRT(GE31/GE$15))</f>
        <v/>
      </c>
      <c r="GF106" s="150" t="str">
        <f aca="false">IF($FJ31&lt;GF$94,"",SQRT(GF31/GF$15))</f>
        <v/>
      </c>
      <c r="GG106" s="150" t="str">
        <f aca="false">IF($FJ31&lt;GG$94,"",SQRT(GG31/GG$15))</f>
        <v/>
      </c>
      <c r="GH106" s="150" t="str">
        <f aca="false">IF($FJ31&lt;GH$94,"",SQRT(GH31/GH$15))</f>
        <v/>
      </c>
      <c r="GI106" s="150" t="str">
        <f aca="false">IF($FJ31&lt;GI$94,"",SQRT(GI31/GI$15))</f>
        <v/>
      </c>
      <c r="GJ106" s="150" t="str">
        <f aca="false">IF($FJ31&lt;GJ$94,"",SQRT(GJ31/GJ$15))</f>
        <v/>
      </c>
      <c r="GK106" s="150" t="str">
        <f aca="false">IF($FJ31&lt;GK$94,"",SQRT(GK31/GK$15))</f>
        <v/>
      </c>
      <c r="GL106" s="150" t="str">
        <f aca="false">IF($FJ31&lt;GL$94,"",SQRT(GL31/GL$15))</f>
        <v/>
      </c>
      <c r="GM106" s="150" t="str">
        <f aca="false">IF($FJ31&lt;GM$94,"",SQRT(GM31/GM$15))</f>
        <v/>
      </c>
      <c r="GN106" s="150" t="str">
        <f aca="false">IF($FJ31&lt;GN$94,"",SQRT(GN31/GN$15))</f>
        <v/>
      </c>
      <c r="GO106" s="150" t="str">
        <f aca="false">IF($FJ31&lt;GO$94,"",SQRT(GO31/GO$15))</f>
        <v/>
      </c>
      <c r="GP106" s="150" t="str">
        <f aca="false">IF($FJ31&lt;GP$94,"",SQRT(GP31/GP$15))</f>
        <v/>
      </c>
      <c r="GQ106" s="150" t="str">
        <f aca="false">IF($FJ31&lt;GQ$94,"",SQRT(GQ31/GQ$15))</f>
        <v/>
      </c>
      <c r="GR106" s="150" t="str">
        <f aca="false">IF($FJ31&lt;GR$94,"",SQRT(GR31/GR$15))</f>
        <v/>
      </c>
      <c r="GS106" s="150" t="str">
        <f aca="false">IF($FJ31&lt;GS$94,"",SQRT(GS31/GS$15))</f>
        <v/>
      </c>
      <c r="GT106" s="150" t="str">
        <f aca="false">IF($FJ31&lt;GT$94,"",SQRT(GT31/GT$15))</f>
        <v/>
      </c>
      <c r="GU106" s="150" t="str">
        <f aca="false">IF($FJ31&lt;GU$94,"",SQRT(GU31/GU$15))</f>
        <v/>
      </c>
      <c r="GV106" s="150" t="str">
        <f aca="false">IF($FJ31&lt;GV$94,"",SQRT(GV31/GV$15))</f>
        <v/>
      </c>
      <c r="GW106" s="150" t="str">
        <f aca="false">IF($FJ31&lt;GW$94,"",SQRT(GW31/GW$15))</f>
        <v/>
      </c>
      <c r="GX106" s="150" t="str">
        <f aca="false">IF($FJ31&lt;GX$94,"",SQRT(GX31/GX$15))</f>
        <v/>
      </c>
      <c r="GY106" s="150" t="str">
        <f aca="false">IF($FJ31&lt;GY$94,"",SQRT(GY31/GY$15))</f>
        <v/>
      </c>
      <c r="GZ106" s="150" t="str">
        <f aca="false">IF($FJ31&lt;GZ$94,"",SQRT(GZ31/GZ$15))</f>
        <v/>
      </c>
      <c r="HA106" s="150" t="str">
        <f aca="false">IF($FJ31&lt;HA$94,"",SQRT(HA31/HA$15))</f>
        <v/>
      </c>
      <c r="HB106" s="150" t="str">
        <f aca="false">IF($FJ31&lt;HB$94,"",SQRT(HB31/HB$15))</f>
        <v/>
      </c>
      <c r="HC106" s="150" t="str">
        <f aca="false">IF($FJ31&lt;HC$94,"",SQRT(HC31/HC$15))</f>
        <v/>
      </c>
      <c r="HD106" s="150" t="str">
        <f aca="false">IF($FJ31&lt;HD$94,"",SQRT(HD31/HD$15))</f>
        <v/>
      </c>
      <c r="HE106" s="150" t="str">
        <f aca="false">IF($FJ31&lt;HE$94,"",SQRT(HE31/HE$15))</f>
        <v/>
      </c>
      <c r="HF106" s="150" t="str">
        <f aca="false">IF($FJ31&lt;HF$94,"",SQRT(HF31/HF$15))</f>
        <v/>
      </c>
      <c r="HG106" s="150" t="str">
        <f aca="false">IF($FJ31&lt;HG$94,"",SQRT(HG31/HG$15))</f>
        <v/>
      </c>
      <c r="HH106" s="150" t="str">
        <f aca="false">IF($FJ31&lt;HH$94,"",SQRT(HH31/HH$15))</f>
        <v/>
      </c>
      <c r="HI106" s="150" t="str">
        <f aca="false">IF($FJ31&lt;HI$94,"",SQRT(HI31/HI$15))</f>
        <v/>
      </c>
      <c r="HJ106" s="150" t="str">
        <f aca="false">IF($FJ31&lt;HJ$94,"",SQRT(HJ31/HJ$15))</f>
        <v/>
      </c>
      <c r="HK106" s="150" t="str">
        <f aca="false">IF($FJ31&lt;HK$94,"",SQRT(HK31/HK$15))</f>
        <v/>
      </c>
      <c r="HL106" s="150" t="str">
        <f aca="false">IF($FJ31&lt;HL$94,"",SQRT(HL31/HL$15))</f>
        <v/>
      </c>
      <c r="HM106" s="150" t="str">
        <f aca="false">IF($FJ31&lt;HM$94,"",SQRT(HM31/HM$15))</f>
        <v/>
      </c>
      <c r="HN106" s="150" t="str">
        <f aca="false">IF($FJ31&lt;HN$94,"",SQRT(HN31/HN$15))</f>
        <v/>
      </c>
      <c r="HO106" s="150" t="str">
        <f aca="false">IF($FJ31&lt;HO$94,"",SQRT(HO31/HO$15))</f>
        <v/>
      </c>
      <c r="HP106" s="150" t="str">
        <f aca="false">IF($FJ31&lt;HP$94,"",SQRT(HP31/HP$15))</f>
        <v/>
      </c>
      <c r="HQ106" s="150" t="str">
        <f aca="false">IF($FJ31&lt;HQ$94,"",SQRT(HQ31/HQ$15))</f>
        <v/>
      </c>
      <c r="HR106" s="150" t="str">
        <f aca="false">IF($FJ31&lt;HR$94,"",SQRT(HR31/HR$15))</f>
        <v/>
      </c>
      <c r="HS106" s="150" t="str">
        <f aca="false">IF($FJ31&lt;HS$94,"",SQRT(HS31/HS$15))</f>
        <v/>
      </c>
      <c r="HT106" s="150" t="str">
        <f aca="false">IF($FJ31&lt;HT$94,"",SQRT(HT31/HT$15))</f>
        <v/>
      </c>
      <c r="HU106" s="150" t="str">
        <f aca="false">IF($FJ31&lt;HU$94,"",SQRT(HU31/HU$15))</f>
        <v/>
      </c>
      <c r="HV106" s="150" t="str">
        <f aca="false">IF($FJ31&lt;HV$94,"",SQRT(HV31/HV$15))</f>
        <v/>
      </c>
      <c r="HW106" s="150" t="str">
        <f aca="false">IF($FJ31&lt;HW$94,"",SQRT(HW31/HW$15))</f>
        <v/>
      </c>
      <c r="HX106" s="150" t="str">
        <f aca="false">IF($FJ31&lt;HX$94,"",SQRT(HX31/HX$15))</f>
        <v/>
      </c>
      <c r="HY106" s="150" t="str">
        <f aca="false">IF($FJ31&lt;HY$94,"",SQRT(HY31/HY$15))</f>
        <v/>
      </c>
      <c r="HZ106" s="150" t="str">
        <f aca="false">IF($FJ31&lt;HZ$94,"",SQRT(HZ31/HZ$15))</f>
        <v/>
      </c>
      <c r="IA106" s="150" t="str">
        <f aca="false">IF($FJ31&lt;IA$94,"",SQRT(IA31/IA$15))</f>
        <v/>
      </c>
      <c r="IB106" s="150" t="str">
        <f aca="false">IF($FJ31&lt;IB$94,"",SQRT(IB31/IB$15))</f>
        <v/>
      </c>
      <c r="IC106" s="150" t="str">
        <f aca="false">IF($FJ31&lt;IC$94,"",SQRT(IC31/IC$15))</f>
        <v/>
      </c>
      <c r="ID106" s="572" t="str">
        <f aca="false">IF($FJ31&lt;ID$94,"",SQRT(ID31/ID$15))</f>
        <v/>
      </c>
      <c r="IE106" s="129"/>
    </row>
    <row r="107" customFormat="false" ht="12.75" hidden="false" customHeight="false" outlineLevel="0" collapsed="false">
      <c r="H107" s="219" t="n">
        <f aca="false">VLOOKUP(I107,$EJ$20:$EL$54,3)</f>
        <v>0</v>
      </c>
      <c r="I107" s="511" t="n">
        <f aca="false">EOMONTH(I106,0)+1</f>
        <v>39417</v>
      </c>
      <c r="J107" s="512"/>
      <c r="K107" s="513" t="s">
        <v>280</v>
      </c>
      <c r="L107" s="514" t="n">
        <f aca="false">IF(ISNUMBER(K107),J107+K107/100,IF(K107="extra",L106+VLOOKUP(BF107,PriceSpreadTable,2)/12,IF(K107="inter",interpolateprices($K$19:$L$200,ROW(K107)-ROW(FirstPricingMonth)+1),interpolatechanges($J$19:$K$200,ROW(K107)-ROW(FirstPricingMonth)+1))))</f>
        <v>0.4125</v>
      </c>
      <c r="M107" s="515"/>
      <c r="N107" s="516" t="n">
        <v>0</v>
      </c>
      <c r="O107" s="515" t="n">
        <f aca="false">M107+N107</f>
        <v>0</v>
      </c>
      <c r="P107" s="512"/>
      <c r="Q107" s="513" t="s">
        <v>280</v>
      </c>
      <c r="R107" s="512" t="e">
        <f aca="false">IF(ISNUMBER(Q107),P107+Q107/100,IF(Q107="extra",(Z105*AL105-R106*AM105)/AN105,IF(Q107="inter",interpolateprices($Q$19:$R$260,ROW(Q107)-ROW(FirstPricingMonth)+1),interpolatechanges($P$19:$Q$260,ROW(Q107)-ROW(FirstPricingMonth)+1))))</f>
        <v>#VALUE!</v>
      </c>
      <c r="S107" s="597" t="n">
        <f aca="false">S$19+(S106-S$19)*S$18</f>
        <v>0.36000000000072</v>
      </c>
      <c r="T107" s="575" t="n">
        <f aca="false">SQRT((1-(1-T106^2/U106)*T$18)*U107)</f>
        <v>0.999999864624644</v>
      </c>
      <c r="U107" s="576" t="n">
        <f aca="false">1-(1-U106)*U$18</f>
        <v>0.999999999999798</v>
      </c>
      <c r="V107" s="521" t="n">
        <v>0</v>
      </c>
      <c r="W107" s="577" t="n">
        <f aca="false">(J108*AJ107+J109*AK107)/AI107</f>
        <v>0</v>
      </c>
      <c r="X107" s="578" t="n">
        <f aca="false">(L108*AJ107+L109*AK107)/AI107</f>
        <v>0.46125</v>
      </c>
      <c r="Y107" s="579" t="n">
        <f aca="false">IF(Q109="extra",W107-AA107,(P108*AM107+P109*AN107)/AL107)</f>
        <v>-1.1543</v>
      </c>
      <c r="Z107" s="579" t="n">
        <f aca="false">IF(Q109="extra",X107-AB107,(R108*AM107+R109*AN107)/AL107)</f>
        <v>-0.69305</v>
      </c>
      <c r="AA107" s="523" t="n">
        <f aca="false">IF(Q109="extra",INDEX(BrentSeasonalityTable,INT((BG107-1)/3)+1)*VLOOKUP(MAX(BF107,$AB$4),PriceSpreadTable,3),W107-Y107)</f>
        <v>1.1543</v>
      </c>
      <c r="AB107" s="524" t="n">
        <f aca="false">IF(Q109="extra",INDEX(BrentSeasonalityTable,INT((BG107-1)/3)+1)*VLOOKUP(MAX(BF107,$AB$4),PriceSpreadTable,3),X107-Z107)</f>
        <v>1.1543</v>
      </c>
      <c r="AC107" s="646" t="n">
        <v>39406</v>
      </c>
      <c r="AD107" s="646" t="n">
        <v>39402</v>
      </c>
      <c r="AE107" s="646" t="n">
        <v>39401</v>
      </c>
      <c r="AF107" s="646" t="n">
        <v>39397</v>
      </c>
      <c r="AG107" s="438" t="s">
        <v>278</v>
      </c>
      <c r="AH107" s="439" t="s">
        <v>278</v>
      </c>
      <c r="AI107" s="528" t="n">
        <v>20</v>
      </c>
      <c r="AJ107" s="529" t="n">
        <v>14</v>
      </c>
      <c r="AK107" s="529" t="n">
        <v>6</v>
      </c>
      <c r="AL107" s="530" t="n">
        <v>20</v>
      </c>
      <c r="AM107" s="529" t="n">
        <v>10</v>
      </c>
      <c r="AN107" s="531" t="n">
        <v>10</v>
      </c>
      <c r="AO107" s="532"/>
      <c r="AP107" s="465" t="n">
        <f aca="false">(1+AO107/2)^(-2*BL107)</f>
        <v>1</v>
      </c>
      <c r="AQ107" s="532"/>
      <c r="AR107" s="465" t="n">
        <f aca="false">(1+AQ107/2)^(-2*BH107/365.25)</f>
        <v>1</v>
      </c>
      <c r="AS107" s="580" t="n">
        <f aca="false">(O108*AJ107+O109*AK107)/AI107</f>
        <v>0</v>
      </c>
      <c r="AT107" s="468" t="n">
        <f aca="false">O107*VLOOKUP(BF107,BrentVolTable,2)+VLOOKUP(BF107,BrentVolTable,3)</f>
        <v>0</v>
      </c>
      <c r="AU107" s="468" t="n">
        <f aca="false">(AT108*AM107+AT109*AN107)/AL107</f>
        <v>0</v>
      </c>
      <c r="AV107" s="595" t="n">
        <f aca="false">SQRT(MAX(0.000000000001,(O107^2*BH107-S107^2*(BH107-BH106))/BH106))</f>
        <v>0.0247588306437379</v>
      </c>
      <c r="AW107" s="451" t="n">
        <f aca="false">IF($I107-DateToday+15&gt;=$T$8,"",IF($I107-DateToday+15&lt;$T$5,1,MATCH($I107-DateToday+15,$T$5:$T$8)))</f>
        <v>1</v>
      </c>
      <c r="AX107" s="468" t="n">
        <f aca="false">IF($AW107="",AX106^2/AX105,INDEX(U$5:U$8,$AW107)^((INDEX($T$5:$T$8,$AW107+1)-($I107-DateToday+15))/(INDEX($T$5:$T$8,$AW107+1)-INDEX($T$5:$T$8,$AW107)))/INDEX(U$5:U$8,$AW107+1)^((INDEX($T$5:$T$8,$AW107)-($I107-DateToday+15))/(INDEX($T$5:$T$8,$AW107+1)-INDEX($T$5:$T$8,$AW107))))</f>
        <v>1.95513065469366</v>
      </c>
      <c r="AY107" s="468" t="n">
        <f aca="false">IF($AW107="",AY106^2/AY105,INDEX(V$5:V$8,$AW107)^((INDEX($T$5:$T$8,$AW107+1)-($I107-DateToday+15))/(INDEX($T$5:$T$8,$AW107+1)-INDEX($T$5:$T$8,$AW107)))/INDEX(V$5:V$8,$AW107+1)^((INDEX($T$5:$T$8,$AW107)-($I107-DateToday+15))/(INDEX($T$5:$T$8,$AW107+1)-INDEX($T$5:$T$8,$AW107))))</f>
        <v>133.721803510855</v>
      </c>
      <c r="AZ107" s="468" t="n">
        <f aca="false">IF($AW107="",AZ106^2/AZ105,INDEX(W$5:W$8,$AW107)^((INDEX($T$5:$T$8,$AW107+1)-($I107-DateToday+15))/(INDEX($T$5:$T$8,$AW107+1)-INDEX($T$5:$T$8,$AW107)))/INDEX(W$5:W$8,$AW107+1)^((INDEX($T$5:$T$8,$AW107)-($I107-DateToday+15))/(INDEX($T$5:$T$8,$AW107+1)-INDEX($T$5:$T$8,$AW107))))</f>
        <v>546987.086240676</v>
      </c>
      <c r="BA107" s="468" t="n">
        <f aca="false">IF($AW107="",BA106^2/BA105,INDEX(X$5:X$8,$AW107)^((INDEX($T$5:$T$8,$AW107+1)-($I107-DateToday+15))/(INDEX($T$5:$T$8,$AW107+1)-INDEX($T$5:$T$8,$AW107)))/INDEX(X$5:X$8,$AW107+1)^((INDEX($T$5:$T$8,$AW107)-($I107-DateToday+15))/(INDEX($T$5:$T$8,$AW107+1)-INDEX($T$5:$T$8,$AW107))))</f>
        <v>11139908.5419865</v>
      </c>
      <c r="BB107" s="468" t="n">
        <f aca="false">IF($AW107="",BB106^2/BB105,INDEX(Y$5:Y$8,$AW107)^((INDEX($T$5:$T$8,$AW107+1)-($I107-DateToday+15))/(INDEX($T$5:$T$8,$AW107+1)-INDEX($T$5:$T$8,$AW107)))/INDEX(Y$5:Y$8,$AW107+1)^((INDEX($T$5:$T$8,$AW107)-($I107-DateToday+15))/(INDEX($T$5:$T$8,$AW107+1)-INDEX($T$5:$T$8,$AW107))))</f>
        <v>130197578.959473</v>
      </c>
      <c r="BC107" s="468" t="n">
        <f aca="false">IF($AW107="",BC106^2/BC105,INDEX(Z$5:Z$8,$AW107)^((INDEX($T$5:$T$8,$AW107+1)-($I107-DateToday+15))/(INDEX($T$5:$T$8,$AW107+1)-INDEX($T$5:$T$8,$AW107)))/INDEX(Z$5:Z$8,$AW107+1)^((INDEX($T$5:$T$8,$AW107)-($I107-DateToday+15))/(INDEX($T$5:$T$8,$AW107+1)-INDEX($T$5:$T$8,$AW107))))</f>
        <v>569986630.508927</v>
      </c>
      <c r="BD107" s="535" t="n">
        <f aca="false">IF(OR(DateStart&gt;=I108,DateEnd&lt;I107),0,IF(VolumeOverrideFlag,V107,Volume))</f>
        <v>0</v>
      </c>
      <c r="BE107" s="536" t="n">
        <f aca="false">IF(OR(DateStart2&gt;=I108,DateEnd2&lt;I107),0,IF(VolumeOverrideFlag,V107,VolumeSwaption))</f>
        <v>0</v>
      </c>
      <c r="BF107" s="537" t="n">
        <f aca="false">YEAR(I107)</f>
        <v>2007</v>
      </c>
      <c r="BG107" s="538" t="n">
        <f aca="false">MONTH(I107)</f>
        <v>12</v>
      </c>
      <c r="BH107" s="539" t="n">
        <f aca="false">AD107-DateToday+1</f>
        <v>-6523</v>
      </c>
      <c r="BI107" s="540" t="n">
        <f aca="false">(I107-DateToday+1)/365.25</f>
        <v>-17.8179329226557</v>
      </c>
      <c r="BJ107" s="541" t="n">
        <f aca="false">BI107+(BL107-BI107)*CHOOSE(Underlying,AJ107/AI107,AM107/AL107)</f>
        <v>-17.7604380561259</v>
      </c>
      <c r="BK107" s="541" t="n">
        <f aca="false">BJ107+1/365.25</f>
        <v>-17.7577002053388</v>
      </c>
      <c r="BL107" s="541" t="n">
        <f aca="false">(I108-DateToday)/365.25</f>
        <v>-17.7357973990418</v>
      </c>
      <c r="BM107" s="542" t="e">
        <f aca="false">MAX(BI107-(BJ107-BI107)*(S108^2/O108^2-1),0)</f>
        <v>#DIV/0!</v>
      </c>
      <c r="BN107" s="541" t="e">
        <f aca="false">MAX(BL107+(BL107-BK107)*(S109^2/O109^2-1),0)</f>
        <v>#DIV/0!</v>
      </c>
      <c r="BO107" s="530" t="n">
        <f aca="false">CHOOSE(Underlying,AI107,AL107)</f>
        <v>20</v>
      </c>
      <c r="BP107" s="529" t="n">
        <f aca="false">CHOOSE(Underlying,AJ107,AM107)</f>
        <v>14</v>
      </c>
      <c r="BQ107" s="529" t="n">
        <f aca="false">CHOOSE(Underlying,AK107,AN107)</f>
        <v>6</v>
      </c>
      <c r="BR107" s="463" t="str">
        <f aca="false">IF(BD107,IF(Underlying=1,X107,Z107)+UnderlyingPriceAsian-SwapPriceCurve,"")</f>
        <v/>
      </c>
      <c r="BS107" s="463" t="str">
        <f aca="false">IF(BD107,Strike1/BR107-1,"")</f>
        <v/>
      </c>
      <c r="BT107" s="464" t="str">
        <f aca="false">IF(BD107,Strike2/BR107-1,"")</f>
        <v/>
      </c>
      <c r="BU107" s="465" t="str">
        <f aca="false">IF(BD107,IF(Underlying=1,L108,R108)+UnderlyingPriceAsian-SwapPriceCurve,"")</f>
        <v/>
      </c>
      <c r="BV107" s="465" t="str">
        <f aca="false">IF(BD107,IF(Underlying=1,L109,R109)+UnderlyingPriceAsian-SwapPriceCurve,"")</f>
        <v/>
      </c>
      <c r="BW107" s="466" t="str">
        <f aca="false">IF(BD107,IF(Underlying=1,O108,AT108),"")</f>
        <v/>
      </c>
      <c r="BX107" s="467" t="str">
        <f aca="false">IF(BD107,IF(Underlying=1,O109,AT109),"")</f>
        <v/>
      </c>
      <c r="BY107" s="466" t="str">
        <f aca="false">IF(BD107,IF(BS107&gt;0,IF(BS107&gt;0.2,BC107-BB107,IF(BS107&gt;0.1,BB107-BA107,BA107)),IF(BS107&lt;-0.2,AX107-AY107,IF(BS107&lt;-0.1,AY107-AZ107,AZ107))),"")</f>
        <v/>
      </c>
      <c r="BZ107" s="467" t="str">
        <f aca="false">IF(BD107,IF(BT107&gt;0,IF(BT107&gt;0.2,BC107-BB107,IF(BT107&gt;0.1,BB107-BA107,BA107)),IF(BT107&lt;-0.2,AX107-AY107,IF(BT107&lt;-0.1,AY107-AZ107,AZ107))),"")</f>
        <v/>
      </c>
      <c r="CA107" s="468" t="str">
        <f aca="false">IF($BD107,$BW107+IF(VolSkewFlag=1,IF(BS107&gt;0,$BA107*MIN(BS107/10%,1)+($BB107-$BA107)*MAX(0,MIN(BS107/10%-1,1))+($BC107-$BB107)*MAX(0,BS107/10%-2),$AZ107*MIN(-BS107/10%,1)+($AY107-$AZ107)*MAX(0,MIN(-BS107/10%-1,1))+($AX107-$AY107)*MAX(0,-BS107/10%-2)),0),"")</f>
        <v/>
      </c>
      <c r="CB107" s="468" t="str">
        <f aca="false">IF($BD107,$BX107+IF(VolSkewFlag=1,IF(BS107&gt;0,$BA107*MIN(BS107/10%,1)+($BB107-$BA107)*MAX(0,MIN(BS107/10%-1,1))+($BC107-$BB107)*MAX(0,BS107/10%-2),$AZ107*MIN(-BS107/10%,1)+($AY107-$AZ107)*MAX(0,MIN(-BS107/10%-1,1))+($AX107-$AY107)*MAX(0,-BS107/10%-2)),0),"")</f>
        <v/>
      </c>
      <c r="CC107" s="468" t="str">
        <f aca="false">IF($BD107,$BW107+IF(VolSkewFlag=1,IF(BT107&gt;0,$BA107*MIN(BT107/10%,1)+($BB107-$BA107)*MAX(0,MIN(BT107/10%-1,1))+($BC107-$BB107)*MAX(0,BT107/10%-2),$AZ107*MIN(-BT107/10%,1)+($AY107-$AZ107)*MAX(0,MIN(-BT107/10%-1,1))+($AX107-$AY107)*MAX(0,-BT107/10%-2)),0),"")</f>
        <v/>
      </c>
      <c r="CD107" s="468" t="str">
        <f aca="false">IF($BD107,$BX107+IF(VolSkewFlag=1,IF(BT107&gt;0,$BA107*MIN(BT107/10%,1)+($BB107-$BA107)*MAX(0,MIN(BT107/10%-1,1))+($BC107-$BB107)*MAX(0,BT107/10%-2),$AZ107*MIN(-BT107/10%,1)+($AY107-$AZ107)*MAX(0,MIN(-BT107/10%-1,1))+($AX107-$AY107)*MAX(0,-BT107/10%-2)),0),"")</f>
        <v/>
      </c>
      <c r="CE107" s="469" t="n">
        <v>1</v>
      </c>
      <c r="CF107" s="470" t="n">
        <f aca="false">IF(BD107,xCrudeAPO(BU107,BV107,CA107,CB107,S108,S109,BI107,BL107,BP107,BQ107,0,Strike1,AO107,CE107,0,BL107,IF(OptControl=4,0,1),0,1),0)</f>
        <v>0</v>
      </c>
      <c r="CG107" s="470" t="n">
        <f aca="false">IF(BD107,xCrudeAPO(BU107,BV107,CA107,CB107,S108,S109,BI107,BL107,BP107,BQ107,0,Strike1,AO107,CE107,0,BL107,IF(OptControl=4,0,1),1,1)+xCrudeAPO(BU107,BV107,CA107,CB107,S108,S109,BI107,BL107,BP107,BQ107,0,Strike1,AO107,CE107,0,BL107,IF(OptControl=4,0,1),1,2)+IF(OR(VolSkewFlag=2,ABS(BS107)&lt;0.0001),0,IF(BS107&gt;0,-1,1)*CH107*Strike1/BR107^2*BY107/10%),0)</f>
        <v>0</v>
      </c>
      <c r="CH107" s="470" t="n">
        <f aca="false">IF(BD107,(xCrudeAPO(BU107,BV107,CA107,CB107,S108,S109,BI107,BL107,BP107,BQ107,0,Strike1,AO107,CE107,0,BL107,IF(OptControl=4,0,1),3,1)+xCrudeAPO(BU107,BV107,CA107,CB107,S108,S109,BI107,BL107,BP107,BQ107,0,Strike1,AO107,CE107,0,BL107,IF(OptControl=4,0,1),3,2))/100,0)</f>
        <v>0</v>
      </c>
      <c r="CI107" s="470" t="n">
        <f aca="false">IF(BD107,xCrudeAPO(BU107,BV107,CA107,CB107,S108,S109,BI107-DaysForThetaCalculation/365.25,BL107-DaysForThetaCalculation/365.25,BP107,BQ107,0,Strike1,AO107,CE107,0,BL107,IF(OptControl=4,0,1),0,1)-xCrudeAPO(BU107,BV107,CA107,CB107,S108,S109,BI107,BL107,BP107,BQ107,0,Strike1,AO107,CE107,0,BL107,IF(OptControl=4,0,1),0,1),0)</f>
        <v>0</v>
      </c>
      <c r="CJ107" s="471" t="n">
        <f aca="false">IF(BD107,xCrudeAPO(BU107,BV107,CC107,CD107,S108,S109,BI107,BL107,BP107,BQ107,0,Strike2,AO107,CE107,0,BL107,IF(OptControl=3,1,0),0,1),0)</f>
        <v>0</v>
      </c>
      <c r="CK107" s="470" t="n">
        <f aca="false">IF(BD107,xCrudeAPO(BU107,BV107,CC107,CD107,S108,S109,BI107,BL107,BP107,BQ107,0,Strike2,AO107,CE107,0,BL107,IF(OptControl=3,1,0),1,1)+xCrudeAPO(BU107,BV107,CC107,CD107,S108,S109,BI107,BL107,BP107,BQ107,0,Strike2,AO107,CE107,0,BL107,IF(OptControl=3,1,0),1,2)+IF(OR(VolSkewFlag=2,ABS(BT107)&lt;0.0001),0,IF(BT107&gt;0,-1,1)*CL107*Strike2/BR107^2*BZ107/10%),0)</f>
        <v>0</v>
      </c>
      <c r="CL107" s="470" t="n">
        <f aca="false">IF(BD107,(xCrudeAPO(BU107,BV107,CC107,CD107,S108,S109,BI107,BL107,BP107,BQ107,0,Strike2,AO107,CE107,0,BL107,IF(OptControl=3,1,0),3,1)+xCrudeAPO(BU107,BV107,CC107,CD107,S108,S109,BI107,BL107,BP107,BQ107,0,Strike2,AO107,CE107,0,BL107,IF(OptControl=3,1,0),3,2))/100,0)</f>
        <v>0</v>
      </c>
      <c r="CM107" s="472" t="n">
        <f aca="false">IF(BD107,xCrudeAPO(BU107,BV107,CC107,CD107,S108,S109,BI107-DaysForThetaCalculation/365.25,BL107-DaysForThetaCalculation/365.25,BP107,BQ107,0,Strike2,AO107,CE107,0,BL107,IF(OptControl=3,1,0),0,1)-xCrudeAPO(BU107,BV107,CC107,CD107,S108,S109,BI107,BL107,BP107,BQ107,0,Strike2,AO107,CE107,0,BL107,IF(OptControl=3,1,0),0,1),0)</f>
        <v>0</v>
      </c>
      <c r="CN107" s="3"/>
      <c r="CO107" s="543" t="str">
        <f aca="false">IF(BD107,CHOOSE(Underlying,AD107,AF107)-DateToday+1,"")</f>
        <v/>
      </c>
      <c r="CP107" s="582" t="str">
        <f aca="false">IF(BD107,CHOOSE(Underlying,L107,R107),"")</f>
        <v/>
      </c>
      <c r="CQ107" s="544" t="str">
        <f aca="false">IF(BD107,Strike1/CP107-1,"")</f>
        <v/>
      </c>
      <c r="CR107" s="544" t="str">
        <f aca="false">IF(BD107,Strike2/CP107-1,"")</f>
        <v/>
      </c>
      <c r="CS107" s="544" t="str">
        <f aca="false">IF(BD107,IF(CQ107&gt;0,IF(CQ107&gt;0.2,BC106-BB106,IF(CQ107&gt;0.1,BB106-BA106,BA106)),IF(CQ107&lt;-0.2,AX106-AY106,IF(CQ107&lt;-0.1,AY106-AZ106,AZ106))),"")</f>
        <v/>
      </c>
      <c r="CT107" s="544" t="str">
        <f aca="false">IF(BD107,IF(CR107&gt;0,IF(CR107&gt;0.2,BC106-BB106,IF(CR107&gt;0.1,BB106-BA106,BA106)),IF(CR107&lt;-0.2,AX106-AY106,IF(CR107&lt;-0.1,AY106-AZ106,AZ106))),"")</f>
        <v/>
      </c>
      <c r="CU107" s="545" t="str">
        <f aca="false">IF(BD107,CHOOSE(Underlying,O107,AT107),"")</f>
        <v/>
      </c>
      <c r="CV107" s="545" t="str">
        <f aca="false">IF(BD107,CU107+IF(VolSkewFlag=1,IF(CQ107&gt;0,BA106*MIN(CQ107/10%,1)+(BB106-BA106)*MAX(0,MIN(CQ107/10%-1,1))+(BC106-BB106)*MAX(0,CQ107/10%-2),AZ106*MIN(-CQ107/10%,1)+(AY106-AZ106)*MAX(0,MIN(-CQ107/10%-1,1))+(AX106-AY106)*MAX(0,-CQ107/10%-2)),0),"")</f>
        <v/>
      </c>
      <c r="CW107" s="545" t="str">
        <f aca="false">IF(BD107,CU107+IF(VolSkewFlag=1,IF(CR107&gt;0,BA106*MIN(CR107/10%,1)+(BB106-BA106)*MAX(0,MIN(CR107/10%-1,1))+(BC106-BB106)*MAX(0,CR107/10%-2),AZ106*MIN(-CR107/10%,1)+(AY106-AZ106)*MAX(0,MIN(-CR107/10%-1,1))+(AX106-AY106)*MAX(0,-CR107/10%-2)),0),"")</f>
        <v/>
      </c>
      <c r="CX107" s="470" t="n">
        <f aca="false">IF(BD107,EURO(CP107,Strike1,AO107,AO107,CV107,CO107,IF(OptControl=4,0,1),0),0)</f>
        <v>0</v>
      </c>
      <c r="CY107" s="470" t="n">
        <f aca="false">IF(BD107,EURO(CP107,Strike1,AO107,AO107,CV107,CO107,IF(OptControl=4,0,1),1)+IF(OR(VolSkewFlag=2,ABS(CQ107)&lt;0.0001),0,IF(CQ107&gt;0,-1,1)*CZ107*100*Strike1/CP107^2*CS107/10%),0)</f>
        <v>0</v>
      </c>
      <c r="CZ107" s="470" t="n">
        <f aca="false">IF(BD107,EURO(CP107,Strike1,AO107,AO107,CV107,CO107,IF(OptControl=4,0,1),3)/100,0)</f>
        <v>0</v>
      </c>
      <c r="DA107" s="470" t="n">
        <f aca="false">IF(BD107,EURO(CP107,Strike1,AO107,AO107,CV107,CO107,IF(OptControl=4,0,1),0)-EURO(CP107,Strike1,AO107,AO107,CV107,CO107-1,IF(OptControl=4,0,1),0),0)</f>
        <v>0</v>
      </c>
      <c r="DB107" s="470" t="n">
        <f aca="false">IF(BD107,EURO(CP107,Strike2,AO107,AO107,CW107,CO107,IF(OptControl=3,1,0),0),0)</f>
        <v>0</v>
      </c>
      <c r="DC107" s="470" t="n">
        <f aca="false">IF(BD107,EURO(CP107,Strike2,AO107,AO107,CW107,CO107,IF(OptControl=3,1,0),1)+IF(OR(VolSkewFlag=2,ABS(CR107)&lt;0.0001),0,IF(CR107&gt;0,-1,1)*DD107*100*Strike2/CP107^2*CT107/10%),0)</f>
        <v>0</v>
      </c>
      <c r="DD107" s="470" t="n">
        <f aca="false">IF(BD107,EURO(CP107,Strike2,AO107,AO107,CW107,CO107,IF(OptControl=3,1,0),3)/100,0)</f>
        <v>0</v>
      </c>
      <c r="DE107" s="472" t="n">
        <f aca="false">IF(BD107,EURO(CP107,Strike2,AO107,AO107,CW107,CO107,IF(OptControl=3,1,0),0)-EURO(CP107,Strike2,AO107,AO107,CW107,CO107-1,IF(OptControl=3,1,0),0),0)</f>
        <v>0</v>
      </c>
      <c r="DG107" s="481" t="n">
        <f aca="false">EOMONTH(DG106,0)+1</f>
        <v>48335</v>
      </c>
      <c r="DH107" s="478" t="n">
        <v>18.5391666666667</v>
      </c>
      <c r="DI107" s="479" t="n">
        <v>18.6029347826087</v>
      </c>
      <c r="DJ107" s="480" t="n">
        <f aca="false">DG107</f>
        <v>48335</v>
      </c>
      <c r="DK107" s="478" t="n">
        <v>17.3624449124824</v>
      </c>
      <c r="DL107" s="479" t="n">
        <v>17.3114347826087</v>
      </c>
      <c r="DM107" s="481" t="n">
        <f aca="false">DG107</f>
        <v>48335</v>
      </c>
      <c r="DN107" s="482" t="n">
        <f aca="false">DK107+BrentPhyBrentSpread</f>
        <v>17.4124449124824</v>
      </c>
      <c r="DO107" s="481" t="n">
        <f aca="false">DG107</f>
        <v>48335</v>
      </c>
      <c r="DP107" s="483" t="n">
        <f aca="false">DL107+DQ107</f>
        <v>17.3114347826087</v>
      </c>
      <c r="DQ107" s="546" t="n">
        <v>0</v>
      </c>
      <c r="DR107" s="480" t="n">
        <f aca="false">DG107</f>
        <v>48335</v>
      </c>
      <c r="DS107" s="485" t="n">
        <v>0.1724</v>
      </c>
      <c r="DT107" s="486" t="n">
        <v>0.171565217391304</v>
      </c>
      <c r="DU107" s="480" t="n">
        <f aca="false">DG107</f>
        <v>48335</v>
      </c>
      <c r="DV107" s="485" t="n">
        <v>0.1724</v>
      </c>
      <c r="DW107" s="486" t="n">
        <v>0.171565217391304</v>
      </c>
      <c r="DX107" s="481" t="n">
        <f aca="false">DG107</f>
        <v>48335</v>
      </c>
      <c r="DY107" s="486" t="n">
        <v>0.35</v>
      </c>
      <c r="DZ107" s="481" t="n">
        <f aca="false">DR107</f>
        <v>48335</v>
      </c>
      <c r="EA107" s="486" t="n">
        <f aca="false">DT107</f>
        <v>0.171565217391304</v>
      </c>
      <c r="EB107" s="195"/>
      <c r="EC107" s="547" t="str">
        <f aca="false">IF(BD107,IF(Underlying=1,AS107,AU107),"")</f>
        <v/>
      </c>
      <c r="ED107" s="548" t="str">
        <f aca="false">IF($BD107,$EC107+IF(VolSkewFlag=1,IF(BS107&gt;0,$BA107*MIN(BS107/10%,1)+($BB107-$BA107)*MAX(0,MIN(BS107/10%-1,1))+($BC107-$BB107)*MAX(0,BS107/10%-2),$AZ107*MIN(-BS107/10%,1)+($AY107-$AZ107)*MAX(0,MIN(-BS107/10%-1,1))+($AX107-$AY107)*MAX(0,-BS107/10%-2)),0),"")</f>
        <v/>
      </c>
      <c r="EE107" s="549" t="str">
        <f aca="false">IF($BD107,$EC107+IF(VolSkewFlag=1,IF(BT107&gt;0,$BA107*MIN(BT107/10%,1)+($BB107-$BA107)*MAX(0,MIN(BT107/10%-1,1))+($BC107-$BB107)*MAX(0,BT107/10%-2),$AZ107*MIN(-BT107/10%,1)+($AY107-$AZ107)*MAX(0,MIN(-BT107/10%-1,1))+($AX107-$AY107)*MAX(0,-BT107/10%-2)),0),"")</f>
        <v/>
      </c>
      <c r="EF107" s="550" t="n">
        <f aca="false">IF(BD107,xASN(BR107,Strike1,AO107,ED107,0,BO107,0,BI107,BL107,IF(OptControl=4,0,1),0),0)</f>
        <v>0</v>
      </c>
      <c r="EG107" s="551" t="n">
        <f aca="false">IF(BD107,xASN(BR107,Strike2,AO107,EE107,0,BO107,0,BI107,BL107,IF(OptControl=3,1,0),0),0)</f>
        <v>0</v>
      </c>
      <c r="EL107" s="1"/>
      <c r="EM107" s="195"/>
      <c r="EN107" s="240"/>
      <c r="EO107" s="240"/>
      <c r="EP107" s="195"/>
      <c r="EQ107" s="407" t="s">
        <v>334</v>
      </c>
      <c r="ES107" s="130"/>
      <c r="ET107" s="19"/>
      <c r="EU107" s="672"/>
      <c r="EV107" s="478"/>
      <c r="EW107" s="131"/>
      <c r="EX107" s="131"/>
      <c r="EY107" s="129"/>
      <c r="EZ107" s="129"/>
      <c r="FA107" s="129"/>
      <c r="FB107" s="129"/>
      <c r="FC107" s="129"/>
      <c r="FD107" s="129"/>
      <c r="FE107" s="129"/>
      <c r="FF107" s="129"/>
      <c r="FG107" s="129"/>
      <c r="FH107" s="129"/>
      <c r="FI107" s="129"/>
      <c r="FJ107" s="571" t="n">
        <v>13</v>
      </c>
      <c r="FK107" s="150" t="e">
        <f aca="false">IF($FJ32&lt;FK$94,"",SQRT(FK32/FK$15))</f>
        <v>#DIV/0!</v>
      </c>
      <c r="FL107" s="150" t="n">
        <f aca="false">IF($FJ32&lt;FL$94,"",SQRT(FL32/FL$15))</f>
        <v>-0</v>
      </c>
      <c r="FM107" s="150" t="n">
        <f aca="false">IF($FJ32&lt;FM$94,"",SQRT(FM32/FM$15))</f>
        <v>0.200844337886404</v>
      </c>
      <c r="FN107" s="150" t="n">
        <f aca="false">IF($FJ32&lt;FN$94,"",SQRT(FN32/FN$15))</f>
        <v>0.202617564656334</v>
      </c>
      <c r="FO107" s="150" t="n">
        <f aca="false">IF($FJ32&lt;FO$94,"",SQRT(FO32/FO$15))</f>
        <v>0.206367620399337</v>
      </c>
      <c r="FP107" s="150" t="n">
        <f aca="false">IF($FJ32&lt;FP$94,"",SQRT(FP32/FP$15))</f>
        <v>0.212173256987893</v>
      </c>
      <c r="FQ107" s="150" t="n">
        <f aca="false">IF($FJ32&lt;FQ$94,"",SQRT(FQ32/FQ$15))</f>
        <v>0.220259055519279</v>
      </c>
      <c r="FR107" s="150" t="n">
        <f aca="false">IF($FJ32&lt;FR$94,"",SQRT(FR32/FR$15))</f>
        <v>0.23102233637422</v>
      </c>
      <c r="FS107" s="150" t="n">
        <f aca="false">IF($FJ32&lt;FS$94,"",SQRT(FS32/FS$15))</f>
        <v>0.245084439605484</v>
      </c>
      <c r="FT107" s="150" t="n">
        <f aca="false">IF($FJ32&lt;FT$94,"",SQRT(FT32/FT$15))</f>
        <v>0.263379404475747</v>
      </c>
      <c r="FU107" s="150" t="n">
        <f aca="false">IF($FJ32&lt;FU$94,"",SQRT(FU32/FU$15))</f>
        <v>0.287304238991847</v>
      </c>
      <c r="FV107" s="150" t="n">
        <f aca="false">IF($FJ32&lt;FV$94,"",SQRT(FV32/FV$15))</f>
        <v>0.318976555391942</v>
      </c>
      <c r="FW107" s="150" t="n">
        <f aca="false">IF($FJ32&lt;FW$94,"",SQRT(FW32/FW$15))</f>
        <v>0.361689405441284</v>
      </c>
      <c r="FX107" s="150" t="str">
        <f aca="false">IF($FJ32&lt;FX$94,"",SQRT(FX32/FX$15))</f>
        <v/>
      </c>
      <c r="FY107" s="150" t="str">
        <f aca="false">IF($FJ32&lt;FY$94,"",SQRT(FY32/FY$15))</f>
        <v/>
      </c>
      <c r="FZ107" s="150" t="str">
        <f aca="false">IF($FJ32&lt;FZ$94,"",SQRT(FZ32/FZ$15))</f>
        <v/>
      </c>
      <c r="GA107" s="150" t="str">
        <f aca="false">IF($FJ32&lt;GA$94,"",SQRT(GA32/GA$15))</f>
        <v/>
      </c>
      <c r="GB107" s="150" t="str">
        <f aca="false">IF($FJ32&lt;GB$94,"",SQRT(GB32/GB$15))</f>
        <v/>
      </c>
      <c r="GC107" s="150" t="str">
        <f aca="false">IF($FJ32&lt;GC$94,"",SQRT(GC32/GC$15))</f>
        <v/>
      </c>
      <c r="GD107" s="150" t="str">
        <f aca="false">IF($FJ32&lt;GD$94,"",SQRT(GD32/GD$15))</f>
        <v/>
      </c>
      <c r="GE107" s="150" t="str">
        <f aca="false">IF($FJ32&lt;GE$94,"",SQRT(GE32/GE$15))</f>
        <v/>
      </c>
      <c r="GF107" s="150" t="str">
        <f aca="false">IF($FJ32&lt;GF$94,"",SQRT(GF32/GF$15))</f>
        <v/>
      </c>
      <c r="GG107" s="150" t="str">
        <f aca="false">IF($FJ32&lt;GG$94,"",SQRT(GG32/GG$15))</f>
        <v/>
      </c>
      <c r="GH107" s="150" t="str">
        <f aca="false">IF($FJ32&lt;GH$94,"",SQRT(GH32/GH$15))</f>
        <v/>
      </c>
      <c r="GI107" s="150" t="str">
        <f aca="false">IF($FJ32&lt;GI$94,"",SQRT(GI32/GI$15))</f>
        <v/>
      </c>
      <c r="GJ107" s="150" t="str">
        <f aca="false">IF($FJ32&lt;GJ$94,"",SQRT(GJ32/GJ$15))</f>
        <v/>
      </c>
      <c r="GK107" s="150" t="str">
        <f aca="false">IF($FJ32&lt;GK$94,"",SQRT(GK32/GK$15))</f>
        <v/>
      </c>
      <c r="GL107" s="150" t="str">
        <f aca="false">IF($FJ32&lt;GL$94,"",SQRT(GL32/GL$15))</f>
        <v/>
      </c>
      <c r="GM107" s="150" t="str">
        <f aca="false">IF($FJ32&lt;GM$94,"",SQRT(GM32/GM$15))</f>
        <v/>
      </c>
      <c r="GN107" s="150" t="str">
        <f aca="false">IF($FJ32&lt;GN$94,"",SQRT(GN32/GN$15))</f>
        <v/>
      </c>
      <c r="GO107" s="150" t="str">
        <f aca="false">IF($FJ32&lt;GO$94,"",SQRT(GO32/GO$15))</f>
        <v/>
      </c>
      <c r="GP107" s="150" t="str">
        <f aca="false">IF($FJ32&lt;GP$94,"",SQRT(GP32/GP$15))</f>
        <v/>
      </c>
      <c r="GQ107" s="150" t="str">
        <f aca="false">IF($FJ32&lt;GQ$94,"",SQRT(GQ32/GQ$15))</f>
        <v/>
      </c>
      <c r="GR107" s="150" t="str">
        <f aca="false">IF($FJ32&lt;GR$94,"",SQRT(GR32/GR$15))</f>
        <v/>
      </c>
      <c r="GS107" s="150" t="str">
        <f aca="false">IF($FJ32&lt;GS$94,"",SQRT(GS32/GS$15))</f>
        <v/>
      </c>
      <c r="GT107" s="150" t="str">
        <f aca="false">IF($FJ32&lt;GT$94,"",SQRT(GT32/GT$15))</f>
        <v/>
      </c>
      <c r="GU107" s="150" t="str">
        <f aca="false">IF($FJ32&lt;GU$94,"",SQRT(GU32/GU$15))</f>
        <v/>
      </c>
      <c r="GV107" s="150" t="str">
        <f aca="false">IF($FJ32&lt;GV$94,"",SQRT(GV32/GV$15))</f>
        <v/>
      </c>
      <c r="GW107" s="150" t="str">
        <f aca="false">IF($FJ32&lt;GW$94,"",SQRT(GW32/GW$15))</f>
        <v/>
      </c>
      <c r="GX107" s="150" t="str">
        <f aca="false">IF($FJ32&lt;GX$94,"",SQRT(GX32/GX$15))</f>
        <v/>
      </c>
      <c r="GY107" s="150" t="str">
        <f aca="false">IF($FJ32&lt;GY$94,"",SQRT(GY32/GY$15))</f>
        <v/>
      </c>
      <c r="GZ107" s="150" t="str">
        <f aca="false">IF($FJ32&lt;GZ$94,"",SQRT(GZ32/GZ$15))</f>
        <v/>
      </c>
      <c r="HA107" s="150" t="str">
        <f aca="false">IF($FJ32&lt;HA$94,"",SQRT(HA32/HA$15))</f>
        <v/>
      </c>
      <c r="HB107" s="150" t="str">
        <f aca="false">IF($FJ32&lt;HB$94,"",SQRT(HB32/HB$15))</f>
        <v/>
      </c>
      <c r="HC107" s="150" t="str">
        <f aca="false">IF($FJ32&lt;HC$94,"",SQRT(HC32/HC$15))</f>
        <v/>
      </c>
      <c r="HD107" s="150" t="str">
        <f aca="false">IF($FJ32&lt;HD$94,"",SQRT(HD32/HD$15))</f>
        <v/>
      </c>
      <c r="HE107" s="150" t="str">
        <f aca="false">IF($FJ32&lt;HE$94,"",SQRT(HE32/HE$15))</f>
        <v/>
      </c>
      <c r="HF107" s="150" t="str">
        <f aca="false">IF($FJ32&lt;HF$94,"",SQRT(HF32/HF$15))</f>
        <v/>
      </c>
      <c r="HG107" s="150" t="str">
        <f aca="false">IF($FJ32&lt;HG$94,"",SQRT(HG32/HG$15))</f>
        <v/>
      </c>
      <c r="HH107" s="150" t="str">
        <f aca="false">IF($FJ32&lt;HH$94,"",SQRT(HH32/HH$15))</f>
        <v/>
      </c>
      <c r="HI107" s="150" t="str">
        <f aca="false">IF($FJ32&lt;HI$94,"",SQRT(HI32/HI$15))</f>
        <v/>
      </c>
      <c r="HJ107" s="150" t="str">
        <f aca="false">IF($FJ32&lt;HJ$94,"",SQRT(HJ32/HJ$15))</f>
        <v/>
      </c>
      <c r="HK107" s="150" t="str">
        <f aca="false">IF($FJ32&lt;HK$94,"",SQRT(HK32/HK$15))</f>
        <v/>
      </c>
      <c r="HL107" s="150" t="str">
        <f aca="false">IF($FJ32&lt;HL$94,"",SQRT(HL32/HL$15))</f>
        <v/>
      </c>
      <c r="HM107" s="150" t="str">
        <f aca="false">IF($FJ32&lt;HM$94,"",SQRT(HM32/HM$15))</f>
        <v/>
      </c>
      <c r="HN107" s="150" t="str">
        <f aca="false">IF($FJ32&lt;HN$94,"",SQRT(HN32/HN$15))</f>
        <v/>
      </c>
      <c r="HO107" s="150" t="str">
        <f aca="false">IF($FJ32&lt;HO$94,"",SQRT(HO32/HO$15))</f>
        <v/>
      </c>
      <c r="HP107" s="150" t="str">
        <f aca="false">IF($FJ32&lt;HP$94,"",SQRT(HP32/HP$15))</f>
        <v/>
      </c>
      <c r="HQ107" s="150" t="str">
        <f aca="false">IF($FJ32&lt;HQ$94,"",SQRT(HQ32/HQ$15))</f>
        <v/>
      </c>
      <c r="HR107" s="150" t="str">
        <f aca="false">IF($FJ32&lt;HR$94,"",SQRT(HR32/HR$15))</f>
        <v/>
      </c>
      <c r="HS107" s="150" t="str">
        <f aca="false">IF($FJ32&lt;HS$94,"",SQRT(HS32/HS$15))</f>
        <v/>
      </c>
      <c r="HT107" s="150" t="str">
        <f aca="false">IF($FJ32&lt;HT$94,"",SQRT(HT32/HT$15))</f>
        <v/>
      </c>
      <c r="HU107" s="150" t="str">
        <f aca="false">IF($FJ32&lt;HU$94,"",SQRT(HU32/HU$15))</f>
        <v/>
      </c>
      <c r="HV107" s="150" t="str">
        <f aca="false">IF($FJ32&lt;HV$94,"",SQRT(HV32/HV$15))</f>
        <v/>
      </c>
      <c r="HW107" s="150" t="str">
        <f aca="false">IF($FJ32&lt;HW$94,"",SQRT(HW32/HW$15))</f>
        <v/>
      </c>
      <c r="HX107" s="150" t="str">
        <f aca="false">IF($FJ32&lt;HX$94,"",SQRT(HX32/HX$15))</f>
        <v/>
      </c>
      <c r="HY107" s="150" t="str">
        <f aca="false">IF($FJ32&lt;HY$94,"",SQRT(HY32/HY$15))</f>
        <v/>
      </c>
      <c r="HZ107" s="150" t="str">
        <f aca="false">IF($FJ32&lt;HZ$94,"",SQRT(HZ32/HZ$15))</f>
        <v/>
      </c>
      <c r="IA107" s="150" t="str">
        <f aca="false">IF($FJ32&lt;IA$94,"",SQRT(IA32/IA$15))</f>
        <v/>
      </c>
      <c r="IB107" s="150" t="str">
        <f aca="false">IF($FJ32&lt;IB$94,"",SQRT(IB32/IB$15))</f>
        <v/>
      </c>
      <c r="IC107" s="150" t="str">
        <f aca="false">IF($FJ32&lt;IC$94,"",SQRT(IC32/IC$15))</f>
        <v/>
      </c>
      <c r="ID107" s="572" t="str">
        <f aca="false">IF($FJ32&lt;ID$94,"",SQRT(ID32/ID$15))</f>
        <v/>
      </c>
      <c r="IE107" s="129"/>
    </row>
    <row r="108" customFormat="false" ht="12.75" hidden="false" customHeight="false" outlineLevel="0" collapsed="false">
      <c r="H108" s="219" t="n">
        <f aca="false">VLOOKUP(I108,$EJ$20:$EL$54,3)</f>
        <v>0</v>
      </c>
      <c r="I108" s="511" t="n">
        <f aca="false">EOMONTH(I107,0)+1</f>
        <v>39448</v>
      </c>
      <c r="J108" s="512"/>
      <c r="K108" s="513" t="s">
        <v>280</v>
      </c>
      <c r="L108" s="514" t="n">
        <f aca="false">IF(ISNUMBER(K108),J108+K108/100,IF(K108="extra",L107+VLOOKUP(BF108,PriceSpreadTable,2)/12,IF(K108="inter",interpolateprices($K$19:$L$200,ROW(K108)-ROW(FirstPricingMonth)+1),interpolatechanges($J$19:$K$200,ROW(K108)-ROW(FirstPricingMonth)+1))))</f>
        <v>0.45</v>
      </c>
      <c r="M108" s="515"/>
      <c r="N108" s="516" t="n">
        <v>0</v>
      </c>
      <c r="O108" s="515" t="n">
        <f aca="false">M108+N108</f>
        <v>0</v>
      </c>
      <c r="P108" s="512"/>
      <c r="Q108" s="513" t="s">
        <v>280</v>
      </c>
      <c r="R108" s="512" t="e">
        <f aca="false">IF(ISNUMBER(Q108),P108+Q108/100,IF(Q108="extra",(Z106*AL106-R107*AM106)/AN106,IF(Q108="inter",interpolateprices($Q$19:$R$260,ROW(Q108)-ROW(FirstPricingMonth)+1),interpolatechanges($P$19:$Q$260,ROW(Q108)-ROW(FirstPricingMonth)+1))))</f>
        <v>#VALUE!</v>
      </c>
      <c r="S108" s="597" t="n">
        <f aca="false">S$19+(S107-S$19)*S$18</f>
        <v>0.36000000000054</v>
      </c>
      <c r="T108" s="575" t="n">
        <f aca="false">SQRT((1-(1-T107^2/U107)*T$18)*U108)</f>
        <v>0.999999884254082</v>
      </c>
      <c r="U108" s="576" t="n">
        <f aca="false">1-(1-U107)*U$18</f>
        <v>0.999999999999848</v>
      </c>
      <c r="V108" s="521" t="n">
        <v>0</v>
      </c>
      <c r="W108" s="577" t="n">
        <f aca="false">(J109*AJ108+J110*AK108)/AI108</f>
        <v>0</v>
      </c>
      <c r="X108" s="578" t="n">
        <f aca="false">(L109*AJ108+L110*AK108)/AI108</f>
        <v>0.502840909090909</v>
      </c>
      <c r="Y108" s="579" t="n">
        <f aca="false">IF(Q110="extra",W108-AA108,(P109*AM108+P110*AN108)/AL108)</f>
        <v>-1.159</v>
      </c>
      <c r="Z108" s="579" t="n">
        <f aca="false">IF(Q110="extra",X108-AB108,(R109*AM108+R110*AN108)/AL108)</f>
        <v>-0.656159090909091</v>
      </c>
      <c r="AA108" s="523" t="n">
        <f aca="false">IF(Q110="extra",INDEX(BrentSeasonalityTable,INT((BG108-1)/3)+1)*VLOOKUP(MAX(BF108,$AB$4),PriceSpreadTable,3),W108-Y108)</f>
        <v>1.159</v>
      </c>
      <c r="AB108" s="524" t="n">
        <f aca="false">IF(Q110="extra",INDEX(BrentSeasonalityTable,INT((BG108-1)/3)+1)*VLOOKUP(MAX(BF108,$AB$4),PriceSpreadTable,3),X108-Z108)</f>
        <v>1.159</v>
      </c>
      <c r="AC108" s="646" t="n">
        <v>39436</v>
      </c>
      <c r="AD108" s="646" t="n">
        <v>39432</v>
      </c>
      <c r="AE108" s="646" t="n">
        <v>39431</v>
      </c>
      <c r="AF108" s="646" t="n">
        <v>39427</v>
      </c>
      <c r="AG108" s="438" t="s">
        <v>278</v>
      </c>
      <c r="AH108" s="439" t="s">
        <v>278</v>
      </c>
      <c r="AI108" s="528" t="n">
        <v>22</v>
      </c>
      <c r="AJ108" s="529" t="n">
        <v>13</v>
      </c>
      <c r="AK108" s="529" t="n">
        <v>9</v>
      </c>
      <c r="AL108" s="530" t="n">
        <v>22</v>
      </c>
      <c r="AM108" s="529" t="n">
        <v>9</v>
      </c>
      <c r="AN108" s="531" t="n">
        <v>13</v>
      </c>
      <c r="AO108" s="532"/>
      <c r="AP108" s="465" t="n">
        <f aca="false">(1+AO108/2)^(-2*BL108)</f>
        <v>1</v>
      </c>
      <c r="AQ108" s="532"/>
      <c r="AR108" s="465" t="n">
        <f aca="false">(1+AQ108/2)^(-2*BH108/365.25)</f>
        <v>1</v>
      </c>
      <c r="AS108" s="580" t="n">
        <f aca="false">(O109*AJ108+O110*AK108)/AI108</f>
        <v>0</v>
      </c>
      <c r="AT108" s="468" t="n">
        <f aca="false">O108*VLOOKUP(BF108,BrentVolTable,2)+VLOOKUP(BF108,BrentVolTable,3)</f>
        <v>0</v>
      </c>
      <c r="AU108" s="468" t="n">
        <f aca="false">(AT109*AM108+AT110*AN108)/AL108</f>
        <v>0</v>
      </c>
      <c r="AV108" s="595" t="n">
        <f aca="false">SQRT(MAX(0.000000000001,(O108^2*BH108-S108^2*(BH108-BH107))/BH107))</f>
        <v>0.0244140280306347</v>
      </c>
      <c r="AW108" s="451" t="n">
        <f aca="false">IF($I108-DateToday+15&gt;=$T$8,"",IF($I108-DateToday+15&lt;$T$5,1,MATCH($I108-DateToday+15,$T$5:$T$8)))</f>
        <v>1</v>
      </c>
      <c r="AX108" s="468" t="n">
        <f aca="false">IF($AW108="",AX107^2/AX106,INDEX(U$5:U$8,$AW108)^((INDEX($T$5:$T$8,$AW108+1)-($I108-DateToday+15))/(INDEX($T$5:$T$8,$AW108+1)-INDEX($T$5:$T$8,$AW108)))/INDEX(U$5:U$8,$AW108+1)^((INDEX($T$5:$T$8,$AW108)-($I108-DateToday+15))/(INDEX($T$5:$T$8,$AW108+1)-INDEX($T$5:$T$8,$AW108))))</f>
        <v>1.91301879574237</v>
      </c>
      <c r="AY108" s="468" t="n">
        <f aca="false">IF($AW108="",AY107^2/AY106,INDEX(V$5:V$8,$AW108)^((INDEX($T$5:$T$8,$AW108+1)-($I108-DateToday+15))/(INDEX($T$5:$T$8,$AW108+1)-INDEX($T$5:$T$8,$AW108)))/INDEX(V$5:V$8,$AW108+1)^((INDEX($T$5:$T$8,$AW108)-($I108-DateToday+15))/(INDEX($T$5:$T$8,$AW108+1)-INDEX($T$5:$T$8,$AW108))))</f>
        <v>128.104894075748</v>
      </c>
      <c r="AZ108" s="468" t="n">
        <f aca="false">IF($AW108="",AZ107^2/AZ106,INDEX(W$5:W$8,$AW108)^((INDEX($T$5:$T$8,$AW108+1)-($I108-DateToday+15))/(INDEX($T$5:$T$8,$AW108+1)-INDEX($T$5:$T$8,$AW108)))/INDEX(W$5:W$8,$AW108+1)^((INDEX($T$5:$T$8,$AW108)-($I108-DateToday+15))/(INDEX($T$5:$T$8,$AW108+1)-INDEX($T$5:$T$8,$AW108))))</f>
        <v>503019.567767734</v>
      </c>
      <c r="BA108" s="468" t="n">
        <f aca="false">IF($AW108="",BA107^2/BA106,INDEX(X$5:X$8,$AW108)^((INDEX($T$5:$T$8,$AW108+1)-($I108-DateToday+15))/(INDEX($T$5:$T$8,$AW108+1)-INDEX($T$5:$T$8,$AW108)))/INDEX(X$5:X$8,$AW108+1)^((INDEX($T$5:$T$8,$AW108)-($I108-DateToday+15))/(INDEX($T$5:$T$8,$AW108+1)-INDEX($T$5:$T$8,$AW108))))</f>
        <v>10023811.3308945</v>
      </c>
      <c r="BB108" s="468" t="n">
        <f aca="false">IF($AW108="",BB107^2/BB106,INDEX(Y$5:Y$8,$AW108)^((INDEX($T$5:$T$8,$AW108+1)-($I108-DateToday+15))/(INDEX($T$5:$T$8,$AW108+1)-INDEX($T$5:$T$8,$AW108)))/INDEX(Y$5:Y$8,$AW108+1)^((INDEX($T$5:$T$8,$AW108)-($I108-DateToday+15))/(INDEX($T$5:$T$8,$AW108+1)-INDEX($T$5:$T$8,$AW108))))</f>
        <v>115977847.76349</v>
      </c>
      <c r="BC108" s="468" t="n">
        <f aca="false">IF($AW108="",BC107^2/BC106,INDEX(Z$5:Z$8,$AW108)^((INDEX($T$5:$T$8,$AW108+1)-($I108-DateToday+15))/(INDEX($T$5:$T$8,$AW108+1)-INDEX($T$5:$T$8,$AW108)))/INDEX(Z$5:Z$8,$AW108+1)^((INDEX($T$5:$T$8,$AW108)-($I108-DateToday+15))/(INDEX($T$5:$T$8,$AW108+1)-INDEX($T$5:$T$8,$AW108))))</f>
        <v>504787220.308057</v>
      </c>
      <c r="BD108" s="535" t="n">
        <f aca="false">IF(OR(DateStart&gt;=I109,DateEnd&lt;I108),0,IF(VolumeOverrideFlag,V108,Volume))</f>
        <v>0</v>
      </c>
      <c r="BE108" s="536" t="n">
        <f aca="false">IF(OR(DateStart2&gt;=I109,DateEnd2&lt;I108),0,IF(VolumeOverrideFlag,V108,VolumeSwaption))</f>
        <v>0</v>
      </c>
      <c r="BF108" s="537" t="n">
        <f aca="false">YEAR(I108)</f>
        <v>2008</v>
      </c>
      <c r="BG108" s="538" t="n">
        <f aca="false">MONTH(I108)</f>
        <v>1</v>
      </c>
      <c r="BH108" s="539" t="n">
        <f aca="false">AD108-DateToday+1</f>
        <v>-6493</v>
      </c>
      <c r="BI108" s="540" t="n">
        <f aca="false">(I108-DateToday+1)/365.25</f>
        <v>-17.7330595482546</v>
      </c>
      <c r="BJ108" s="541" t="n">
        <f aca="false">BI108+(BL108-BI108)*CHOOSE(Underlying,AJ108/AI108,AM108/AL108)</f>
        <v>-17.6845249206646</v>
      </c>
      <c r="BK108" s="541" t="n">
        <f aca="false">BJ108+1/365.25</f>
        <v>-17.6817870698774</v>
      </c>
      <c r="BL108" s="541" t="n">
        <f aca="false">(I109-DateToday)/365.25</f>
        <v>-17.6509240246407</v>
      </c>
      <c r="BM108" s="542" t="e">
        <f aca="false">MAX(BI108-(BJ108-BI108)*(S109^2/O109^2-1),0)</f>
        <v>#DIV/0!</v>
      </c>
      <c r="BN108" s="541" t="e">
        <f aca="false">MAX(BL108+(BL108-BK108)*(S110^2/O110^2-1),0)</f>
        <v>#DIV/0!</v>
      </c>
      <c r="BO108" s="530" t="n">
        <f aca="false">CHOOSE(Underlying,AI108,AL108)</f>
        <v>22</v>
      </c>
      <c r="BP108" s="529" t="n">
        <f aca="false">CHOOSE(Underlying,AJ108,AM108)</f>
        <v>13</v>
      </c>
      <c r="BQ108" s="529" t="n">
        <f aca="false">CHOOSE(Underlying,AK108,AN108)</f>
        <v>9</v>
      </c>
      <c r="BR108" s="463" t="str">
        <f aca="false">IF(BD108,IF(Underlying=1,X108,Z108)+UnderlyingPriceAsian-SwapPriceCurve,"")</f>
        <v/>
      </c>
      <c r="BS108" s="463" t="str">
        <f aca="false">IF(BD108,Strike1/BR108-1,"")</f>
        <v/>
      </c>
      <c r="BT108" s="464" t="str">
        <f aca="false">IF(BD108,Strike2/BR108-1,"")</f>
        <v/>
      </c>
      <c r="BU108" s="465" t="str">
        <f aca="false">IF(BD108,IF(Underlying=1,L109,R109)+UnderlyingPriceAsian-SwapPriceCurve,"")</f>
        <v/>
      </c>
      <c r="BV108" s="465" t="str">
        <f aca="false">IF(BD108,IF(Underlying=1,L110,R110)+UnderlyingPriceAsian-SwapPriceCurve,"")</f>
        <v/>
      </c>
      <c r="BW108" s="466" t="str">
        <f aca="false">IF(BD108,IF(Underlying=1,O109,AT109),"")</f>
        <v/>
      </c>
      <c r="BX108" s="467" t="str">
        <f aca="false">IF(BD108,IF(Underlying=1,O110,AT110),"")</f>
        <v/>
      </c>
      <c r="BY108" s="466" t="str">
        <f aca="false">IF(BD108,IF(BS108&gt;0,IF(BS108&gt;0.2,BC108-BB108,IF(BS108&gt;0.1,BB108-BA108,BA108)),IF(BS108&lt;-0.2,AX108-AY108,IF(BS108&lt;-0.1,AY108-AZ108,AZ108))),"")</f>
        <v/>
      </c>
      <c r="BZ108" s="467" t="str">
        <f aca="false">IF(BD108,IF(BT108&gt;0,IF(BT108&gt;0.2,BC108-BB108,IF(BT108&gt;0.1,BB108-BA108,BA108)),IF(BT108&lt;-0.2,AX108-AY108,IF(BT108&lt;-0.1,AY108-AZ108,AZ108))),"")</f>
        <v/>
      </c>
      <c r="CA108" s="468" t="str">
        <f aca="false">IF($BD108,$BW108+IF(VolSkewFlag=1,IF(BS108&gt;0,$BA108*MIN(BS108/10%,1)+($BB108-$BA108)*MAX(0,MIN(BS108/10%-1,1))+($BC108-$BB108)*MAX(0,BS108/10%-2),$AZ108*MIN(-BS108/10%,1)+($AY108-$AZ108)*MAX(0,MIN(-BS108/10%-1,1))+($AX108-$AY108)*MAX(0,-BS108/10%-2)),0),"")</f>
        <v/>
      </c>
      <c r="CB108" s="468" t="str">
        <f aca="false">IF($BD108,$BX108+IF(VolSkewFlag=1,IF(BS108&gt;0,$BA108*MIN(BS108/10%,1)+($BB108-$BA108)*MAX(0,MIN(BS108/10%-1,1))+($BC108-$BB108)*MAX(0,BS108/10%-2),$AZ108*MIN(-BS108/10%,1)+($AY108-$AZ108)*MAX(0,MIN(-BS108/10%-1,1))+($AX108-$AY108)*MAX(0,-BS108/10%-2)),0),"")</f>
        <v/>
      </c>
      <c r="CC108" s="468" t="str">
        <f aca="false">IF($BD108,$BW108+IF(VolSkewFlag=1,IF(BT108&gt;0,$BA108*MIN(BT108/10%,1)+($BB108-$BA108)*MAX(0,MIN(BT108/10%-1,1))+($BC108-$BB108)*MAX(0,BT108/10%-2),$AZ108*MIN(-BT108/10%,1)+($AY108-$AZ108)*MAX(0,MIN(-BT108/10%-1,1))+($AX108-$AY108)*MAX(0,-BT108/10%-2)),0),"")</f>
        <v/>
      </c>
      <c r="CD108" s="468" t="str">
        <f aca="false">IF($BD108,$BX108+IF(VolSkewFlag=1,IF(BT108&gt;0,$BA108*MIN(BT108/10%,1)+($BB108-$BA108)*MAX(0,MIN(BT108/10%-1,1))+($BC108-$BB108)*MAX(0,BT108/10%-2),$AZ108*MIN(-BT108/10%,1)+($AY108-$AZ108)*MAX(0,MIN(-BT108/10%-1,1))+($AX108-$AY108)*MAX(0,-BT108/10%-2)),0),"")</f>
        <v/>
      </c>
      <c r="CE108" s="469" t="n">
        <v>1</v>
      </c>
      <c r="CF108" s="470" t="n">
        <f aca="false">IF(BD108,xCrudeAPO(BU108,BV108,CA108,CB108,S109,S110,BI108,BL108,BP108,BQ108,0,Strike1,AO108,CE108,0,BL108,IF(OptControl=4,0,1),0,1),0)</f>
        <v>0</v>
      </c>
      <c r="CG108" s="470" t="n">
        <f aca="false">IF(BD108,xCrudeAPO(BU108,BV108,CA108,CB108,S109,S110,BI108,BL108,BP108,BQ108,0,Strike1,AO108,CE108,0,BL108,IF(OptControl=4,0,1),1,1)+xCrudeAPO(BU108,BV108,CA108,CB108,S109,S110,BI108,BL108,BP108,BQ108,0,Strike1,AO108,CE108,0,BL108,IF(OptControl=4,0,1),1,2)+IF(OR(VolSkewFlag=2,ABS(BS108)&lt;0.0001),0,IF(BS108&gt;0,-1,1)*CH108*Strike1/BR108^2*BY108/10%),0)</f>
        <v>0</v>
      </c>
      <c r="CH108" s="470" t="n">
        <f aca="false">IF(BD108,(xCrudeAPO(BU108,BV108,CA108,CB108,S109,S110,BI108,BL108,BP108,BQ108,0,Strike1,AO108,CE108,0,BL108,IF(OptControl=4,0,1),3,1)+xCrudeAPO(BU108,BV108,CA108,CB108,S109,S110,BI108,BL108,BP108,BQ108,0,Strike1,AO108,CE108,0,BL108,IF(OptControl=4,0,1),3,2))/100,0)</f>
        <v>0</v>
      </c>
      <c r="CI108" s="470" t="n">
        <f aca="false">IF(BD108,xCrudeAPO(BU108,BV108,CA108,CB108,S109,S110,BI108-DaysForThetaCalculation/365.25,BL108-DaysForThetaCalculation/365.25,BP108,BQ108,0,Strike1,AO108,CE108,0,BL108,IF(OptControl=4,0,1),0,1)-xCrudeAPO(BU108,BV108,CA108,CB108,S109,S110,BI108,BL108,BP108,BQ108,0,Strike1,AO108,CE108,0,BL108,IF(OptControl=4,0,1),0,1),0)</f>
        <v>0</v>
      </c>
      <c r="CJ108" s="471" t="n">
        <f aca="false">IF(BD108,xCrudeAPO(BU108,BV108,CC108,CD108,S109,S110,BI108,BL108,BP108,BQ108,0,Strike2,AO108,CE108,0,BL108,IF(OptControl=3,1,0),0,1),0)</f>
        <v>0</v>
      </c>
      <c r="CK108" s="470" t="n">
        <f aca="false">IF(BD108,xCrudeAPO(BU108,BV108,CC108,CD108,S109,S110,BI108,BL108,BP108,BQ108,0,Strike2,AO108,CE108,0,BL108,IF(OptControl=3,1,0),1,1)+xCrudeAPO(BU108,BV108,CC108,CD108,S109,S110,BI108,BL108,BP108,BQ108,0,Strike2,AO108,CE108,0,BL108,IF(OptControl=3,1,0),1,2)+IF(OR(VolSkewFlag=2,ABS(BT108)&lt;0.0001),0,IF(BT108&gt;0,-1,1)*CL108*Strike2/BR108^2*BZ108/10%),0)</f>
        <v>0</v>
      </c>
      <c r="CL108" s="470" t="n">
        <f aca="false">IF(BD108,(xCrudeAPO(BU108,BV108,CC108,CD108,S109,S110,BI108,BL108,BP108,BQ108,0,Strike2,AO108,CE108,0,BL108,IF(OptControl=3,1,0),3,1)+xCrudeAPO(BU108,BV108,CC108,CD108,S109,S110,BI108,BL108,BP108,BQ108,0,Strike2,AO108,CE108,0,BL108,IF(OptControl=3,1,0),3,2))/100,0)</f>
        <v>0</v>
      </c>
      <c r="CM108" s="472" t="n">
        <f aca="false">IF(BD108,xCrudeAPO(BU108,BV108,CC108,CD108,S109,S110,BI108-DaysForThetaCalculation/365.25,BL108-DaysForThetaCalculation/365.25,BP108,BQ108,0,Strike2,AO108,CE108,0,BL108,IF(OptControl=3,1,0),0,1)-xCrudeAPO(BU108,BV108,CC108,CD108,S109,S110,BI108,BL108,BP108,BQ108,0,Strike2,AO108,CE108,0,BL108,IF(OptControl=3,1,0),0,1),0)</f>
        <v>0</v>
      </c>
      <c r="CN108" s="3"/>
      <c r="CO108" s="543" t="str">
        <f aca="false">IF(BD108,CHOOSE(Underlying,AD108,AF108)-DateToday+1,"")</f>
        <v/>
      </c>
      <c r="CP108" s="582" t="str">
        <f aca="false">IF(BD108,CHOOSE(Underlying,L108,R108),"")</f>
        <v/>
      </c>
      <c r="CQ108" s="544" t="str">
        <f aca="false">IF(BD108,Strike1/CP108-1,"")</f>
        <v/>
      </c>
      <c r="CR108" s="544" t="str">
        <f aca="false">IF(BD108,Strike2/CP108-1,"")</f>
        <v/>
      </c>
      <c r="CS108" s="544" t="str">
        <f aca="false">IF(BD108,IF(CQ108&gt;0,IF(CQ108&gt;0.2,BC107-BB107,IF(CQ108&gt;0.1,BB107-BA107,BA107)),IF(CQ108&lt;-0.2,AX107-AY107,IF(CQ108&lt;-0.1,AY107-AZ107,AZ107))),"")</f>
        <v/>
      </c>
      <c r="CT108" s="544" t="str">
        <f aca="false">IF(BD108,IF(CR108&gt;0,IF(CR108&gt;0.2,BC107-BB107,IF(CR108&gt;0.1,BB107-BA107,BA107)),IF(CR108&lt;-0.2,AX107-AY107,IF(CR108&lt;-0.1,AY107-AZ107,AZ107))),"")</f>
        <v/>
      </c>
      <c r="CU108" s="545" t="str">
        <f aca="false">IF(BD108,CHOOSE(Underlying,O108,AT108),"")</f>
        <v/>
      </c>
      <c r="CV108" s="545" t="str">
        <f aca="false">IF(BD108,CU108+IF(VolSkewFlag=1,IF(CQ108&gt;0,BA107*MIN(CQ108/10%,1)+(BB107-BA107)*MAX(0,MIN(CQ108/10%-1,1))+(BC107-BB107)*MAX(0,CQ108/10%-2),AZ107*MIN(-CQ108/10%,1)+(AY107-AZ107)*MAX(0,MIN(-CQ108/10%-1,1))+(AX107-AY107)*MAX(0,-CQ108/10%-2)),0),"")</f>
        <v/>
      </c>
      <c r="CW108" s="545" t="str">
        <f aca="false">IF(BD108,CU108+IF(VolSkewFlag=1,IF(CR108&gt;0,BA107*MIN(CR108/10%,1)+(BB107-BA107)*MAX(0,MIN(CR108/10%-1,1))+(BC107-BB107)*MAX(0,CR108/10%-2),AZ107*MIN(-CR108/10%,1)+(AY107-AZ107)*MAX(0,MIN(-CR108/10%-1,1))+(AX107-AY107)*MAX(0,-CR108/10%-2)),0),"")</f>
        <v/>
      </c>
      <c r="CX108" s="470" t="n">
        <f aca="false">IF(BD108,EURO(CP108,Strike1,AO108,AO108,CV108,CO108,IF(OptControl=4,0,1),0),0)</f>
        <v>0</v>
      </c>
      <c r="CY108" s="470" t="n">
        <f aca="false">IF(BD108,EURO(CP108,Strike1,AO108,AO108,CV108,CO108,IF(OptControl=4,0,1),1)+IF(OR(VolSkewFlag=2,ABS(CQ108)&lt;0.0001),0,IF(CQ108&gt;0,-1,1)*CZ108*100*Strike1/CP108^2*CS108/10%),0)</f>
        <v>0</v>
      </c>
      <c r="CZ108" s="470" t="n">
        <f aca="false">IF(BD108,EURO(CP108,Strike1,AO108,AO108,CV108,CO108,IF(OptControl=4,0,1),3)/100,0)</f>
        <v>0</v>
      </c>
      <c r="DA108" s="470" t="n">
        <f aca="false">IF(BD108,EURO(CP108,Strike1,AO108,AO108,CV108,CO108,IF(OptControl=4,0,1),0)-EURO(CP108,Strike1,AO108,AO108,CV108,CO108-1,IF(OptControl=4,0,1),0),0)</f>
        <v>0</v>
      </c>
      <c r="DB108" s="470" t="n">
        <f aca="false">IF(BD108,EURO(CP108,Strike2,AO108,AO108,CW108,CO108,IF(OptControl=3,1,0),0),0)</f>
        <v>0</v>
      </c>
      <c r="DC108" s="470" t="n">
        <f aca="false">IF(BD108,EURO(CP108,Strike2,AO108,AO108,CW108,CO108,IF(OptControl=3,1,0),1)+IF(OR(VolSkewFlag=2,ABS(CR108)&lt;0.0001),0,IF(CR108&gt;0,-1,1)*DD108*100*Strike2/CP108^2*CT108/10%),0)</f>
        <v>0</v>
      </c>
      <c r="DD108" s="470" t="n">
        <f aca="false">IF(BD108,EURO(CP108,Strike2,AO108,AO108,CW108,CO108,IF(OptControl=3,1,0),3)/100,0)</f>
        <v>0</v>
      </c>
      <c r="DE108" s="472" t="n">
        <f aca="false">IF(BD108,EURO(CP108,Strike2,AO108,AO108,CW108,CO108,IF(OptControl=3,1,0),0)-EURO(CP108,Strike2,AO108,AO108,CW108,CO108-1,IF(OptControl=3,1,0),0),0)</f>
        <v>0</v>
      </c>
      <c r="DG108" s="481" t="n">
        <f aca="false">EOMONTH(DG107,0)+1</f>
        <v>48366</v>
      </c>
      <c r="DH108" s="478" t="n">
        <v>18.585</v>
      </c>
      <c r="DI108" s="479" t="n">
        <v>18.6461111111111</v>
      </c>
      <c r="DJ108" s="480" t="n">
        <f aca="false">DG108</f>
        <v>48366</v>
      </c>
      <c r="DK108" s="478" t="n">
        <v>17.1683228068342</v>
      </c>
      <c r="DL108" s="479" t="n">
        <v>17.3546111111111</v>
      </c>
      <c r="DM108" s="481" t="n">
        <f aca="false">DG108</f>
        <v>48366</v>
      </c>
      <c r="DN108" s="482" t="n">
        <f aca="false">DK108+BrentPhyBrentSpread</f>
        <v>17.2183228068342</v>
      </c>
      <c r="DO108" s="481" t="n">
        <f aca="false">DG108</f>
        <v>48366</v>
      </c>
      <c r="DP108" s="483" t="n">
        <f aca="false">DL108+DQ108</f>
        <v>17.3546111111111</v>
      </c>
      <c r="DQ108" s="546" t="n">
        <v>0</v>
      </c>
      <c r="DR108" s="480" t="n">
        <f aca="false">DG108</f>
        <v>48366</v>
      </c>
      <c r="DS108" s="485" t="n">
        <v>0.1718</v>
      </c>
      <c r="DT108" s="486" t="n">
        <v>0.171</v>
      </c>
      <c r="DU108" s="480" t="n">
        <f aca="false">DG108</f>
        <v>48366</v>
      </c>
      <c r="DV108" s="485" t="n">
        <v>0.1718</v>
      </c>
      <c r="DW108" s="486" t="n">
        <v>0.171</v>
      </c>
      <c r="DX108" s="481" t="n">
        <f aca="false">DG108</f>
        <v>48366</v>
      </c>
      <c r="DY108" s="486" t="n">
        <v>0.35</v>
      </c>
      <c r="DZ108" s="481" t="n">
        <f aca="false">DR108</f>
        <v>48366</v>
      </c>
      <c r="EA108" s="486" t="n">
        <f aca="false">DT108</f>
        <v>0.171</v>
      </c>
      <c r="EB108" s="195"/>
      <c r="EC108" s="547" t="str">
        <f aca="false">IF(BD108,IF(Underlying=1,AS108,AU108),"")</f>
        <v/>
      </c>
      <c r="ED108" s="548" t="str">
        <f aca="false">IF($BD108,$EC108+IF(VolSkewFlag=1,IF(BS108&gt;0,$BA108*MIN(BS108/10%,1)+($BB108-$BA108)*MAX(0,MIN(BS108/10%-1,1))+($BC108-$BB108)*MAX(0,BS108/10%-2),$AZ108*MIN(-BS108/10%,1)+($AY108-$AZ108)*MAX(0,MIN(-BS108/10%-1,1))+($AX108-$AY108)*MAX(0,-BS108/10%-2)),0),"")</f>
        <v/>
      </c>
      <c r="EE108" s="549" t="str">
        <f aca="false">IF($BD108,$EC108+IF(VolSkewFlag=1,IF(BT108&gt;0,$BA108*MIN(BT108/10%,1)+($BB108-$BA108)*MAX(0,MIN(BT108/10%-1,1))+($BC108-$BB108)*MAX(0,BT108/10%-2),$AZ108*MIN(-BT108/10%,1)+($AY108-$AZ108)*MAX(0,MIN(-BT108/10%-1,1))+($AX108-$AY108)*MAX(0,-BT108/10%-2)),0),"")</f>
        <v/>
      </c>
      <c r="EF108" s="550" t="n">
        <f aca="false">IF(BD108,xASN(BR108,Strike1,AO108,ED108,0,BO108,0,BI108,BL108,IF(OptControl=4,0,1),0),0)</f>
        <v>0</v>
      </c>
      <c r="EG108" s="551" t="n">
        <f aca="false">IF(BD108,xASN(BR108,Strike2,AO108,EE108,0,BO108,0,BI108,BL108,IF(OptControl=3,1,0),0),0)</f>
        <v>0</v>
      </c>
      <c r="EL108" s="1"/>
      <c r="EM108" s="195"/>
      <c r="EN108" s="240"/>
      <c r="EO108" s="240"/>
      <c r="EP108" s="195"/>
      <c r="EQ108" s="407" t="s">
        <v>335</v>
      </c>
      <c r="ES108" s="130"/>
      <c r="ET108" s="19"/>
      <c r="EU108" s="672"/>
      <c r="EV108" s="478"/>
      <c r="EW108" s="131"/>
      <c r="EX108" s="131"/>
      <c r="EY108" s="129"/>
      <c r="EZ108" s="129"/>
      <c r="FA108" s="129"/>
      <c r="FB108" s="129"/>
      <c r="FC108" s="129"/>
      <c r="FD108" s="129"/>
      <c r="FE108" s="129"/>
      <c r="FF108" s="129"/>
      <c r="FG108" s="129"/>
      <c r="FH108" s="129"/>
      <c r="FI108" s="129"/>
      <c r="FJ108" s="571" t="n">
        <v>14</v>
      </c>
      <c r="FK108" s="150" t="e">
        <f aca="false">IF($FJ33&lt;FK$94,"",SQRT(FK33/FK$15))</f>
        <v>#DIV/0!</v>
      </c>
      <c r="FL108" s="150" t="n">
        <f aca="false">IF($FJ33&lt;FL$94,"",SQRT(FL33/FL$15))</f>
        <v>-0</v>
      </c>
      <c r="FM108" s="150" t="n">
        <f aca="false">IF($FJ33&lt;FM$94,"",SQRT(FM33/FM$15))</f>
        <v>0.196077919594167</v>
      </c>
      <c r="FN108" s="150" t="n">
        <f aca="false">IF($FJ33&lt;FN$94,"",SQRT(FN33/FN$15))</f>
        <v>0.196981946773204</v>
      </c>
      <c r="FO108" s="150" t="n">
        <f aca="false">IF($FJ33&lt;FO$94,"",SQRT(FO33/FO$15))</f>
        <v>0.199637894587858</v>
      </c>
      <c r="FP108" s="150" t="n">
        <f aca="false">IF($FJ33&lt;FP$94,"",SQRT(FP33/FP$15))</f>
        <v>0.204057535096359</v>
      </c>
      <c r="FQ108" s="150" t="n">
        <f aca="false">IF($FJ33&lt;FQ$94,"",SQRT(FQ33/FQ$15))</f>
        <v>0.210371785937995</v>
      </c>
      <c r="FR108" s="150" t="n">
        <f aca="false">IF($FJ33&lt;FR$94,"",SQRT(FR33/FR$15))</f>
        <v>0.218844451689826</v>
      </c>
      <c r="FS108" s="150" t="n">
        <f aca="false">IF($FJ33&lt;FS$94,"",SQRT(FS33/FS$15))</f>
        <v>0.229902345397065</v>
      </c>
      <c r="FT108" s="150" t="n">
        <f aca="false">IF($FJ33&lt;FT$94,"",SQRT(FT33/FT$15))</f>
        <v>0.244188975618833</v>
      </c>
      <c r="FU108" s="150" t="n">
        <f aca="false">IF($FJ33&lt;FU$94,"",SQRT(FU33/FU$15))</f>
        <v>0.262655026652375</v>
      </c>
      <c r="FV108" s="150" t="n">
        <f aca="false">IF($FJ33&lt;FV$94,"",SQRT(FV33/FV$15))</f>
        <v>0.286709970469922</v>
      </c>
      <c r="FW108" s="150" t="n">
        <f aca="false">IF($FJ33&lt;FW$94,"",SQRT(FW33/FW$15))</f>
        <v>0.318480694385285</v>
      </c>
      <c r="FX108" s="150" t="n">
        <f aca="false">IF($FJ33&lt;FX$94,"",SQRT(FX33/FX$15))</f>
        <v>0.361267054080963</v>
      </c>
      <c r="FY108" s="150" t="str">
        <f aca="false">IF($FJ33&lt;FY$94,"",SQRT(FY33/FY$15))</f>
        <v/>
      </c>
      <c r="FZ108" s="150" t="str">
        <f aca="false">IF($FJ33&lt;FZ$94,"",SQRT(FZ33/FZ$15))</f>
        <v/>
      </c>
      <c r="GA108" s="150" t="str">
        <f aca="false">IF($FJ33&lt;GA$94,"",SQRT(GA33/GA$15))</f>
        <v/>
      </c>
      <c r="GB108" s="150" t="str">
        <f aca="false">IF($FJ33&lt;GB$94,"",SQRT(GB33/GB$15))</f>
        <v/>
      </c>
      <c r="GC108" s="150" t="str">
        <f aca="false">IF($FJ33&lt;GC$94,"",SQRT(GC33/GC$15))</f>
        <v/>
      </c>
      <c r="GD108" s="150" t="str">
        <f aca="false">IF($FJ33&lt;GD$94,"",SQRT(GD33/GD$15))</f>
        <v/>
      </c>
      <c r="GE108" s="150" t="str">
        <f aca="false">IF($FJ33&lt;GE$94,"",SQRT(GE33/GE$15))</f>
        <v/>
      </c>
      <c r="GF108" s="150" t="str">
        <f aca="false">IF($FJ33&lt;GF$94,"",SQRT(GF33/GF$15))</f>
        <v/>
      </c>
      <c r="GG108" s="150" t="str">
        <f aca="false">IF($FJ33&lt;GG$94,"",SQRT(GG33/GG$15))</f>
        <v/>
      </c>
      <c r="GH108" s="150" t="str">
        <f aca="false">IF($FJ33&lt;GH$94,"",SQRT(GH33/GH$15))</f>
        <v/>
      </c>
      <c r="GI108" s="150" t="str">
        <f aca="false">IF($FJ33&lt;GI$94,"",SQRT(GI33/GI$15))</f>
        <v/>
      </c>
      <c r="GJ108" s="150" t="str">
        <f aca="false">IF($FJ33&lt;GJ$94,"",SQRT(GJ33/GJ$15))</f>
        <v/>
      </c>
      <c r="GK108" s="150" t="str">
        <f aca="false">IF($FJ33&lt;GK$94,"",SQRT(GK33/GK$15))</f>
        <v/>
      </c>
      <c r="GL108" s="150" t="str">
        <f aca="false">IF($FJ33&lt;GL$94,"",SQRT(GL33/GL$15))</f>
        <v/>
      </c>
      <c r="GM108" s="150" t="str">
        <f aca="false">IF($FJ33&lt;GM$94,"",SQRT(GM33/GM$15))</f>
        <v/>
      </c>
      <c r="GN108" s="150" t="str">
        <f aca="false">IF($FJ33&lt;GN$94,"",SQRT(GN33/GN$15))</f>
        <v/>
      </c>
      <c r="GO108" s="150" t="str">
        <f aca="false">IF($FJ33&lt;GO$94,"",SQRT(GO33/GO$15))</f>
        <v/>
      </c>
      <c r="GP108" s="150" t="str">
        <f aca="false">IF($FJ33&lt;GP$94,"",SQRT(GP33/GP$15))</f>
        <v/>
      </c>
      <c r="GQ108" s="150" t="str">
        <f aca="false">IF($FJ33&lt;GQ$94,"",SQRT(GQ33/GQ$15))</f>
        <v/>
      </c>
      <c r="GR108" s="150" t="str">
        <f aca="false">IF($FJ33&lt;GR$94,"",SQRT(GR33/GR$15))</f>
        <v/>
      </c>
      <c r="GS108" s="150" t="str">
        <f aca="false">IF($FJ33&lt;GS$94,"",SQRT(GS33/GS$15))</f>
        <v/>
      </c>
      <c r="GT108" s="150" t="str">
        <f aca="false">IF($FJ33&lt;GT$94,"",SQRT(GT33/GT$15))</f>
        <v/>
      </c>
      <c r="GU108" s="150" t="str">
        <f aca="false">IF($FJ33&lt;GU$94,"",SQRT(GU33/GU$15))</f>
        <v/>
      </c>
      <c r="GV108" s="150" t="str">
        <f aca="false">IF($FJ33&lt;GV$94,"",SQRT(GV33/GV$15))</f>
        <v/>
      </c>
      <c r="GW108" s="150" t="str">
        <f aca="false">IF($FJ33&lt;GW$94,"",SQRT(GW33/GW$15))</f>
        <v/>
      </c>
      <c r="GX108" s="150" t="str">
        <f aca="false">IF($FJ33&lt;GX$94,"",SQRT(GX33/GX$15))</f>
        <v/>
      </c>
      <c r="GY108" s="150" t="str">
        <f aca="false">IF($FJ33&lt;GY$94,"",SQRT(GY33/GY$15))</f>
        <v/>
      </c>
      <c r="GZ108" s="150" t="str">
        <f aca="false">IF($FJ33&lt;GZ$94,"",SQRT(GZ33/GZ$15))</f>
        <v/>
      </c>
      <c r="HA108" s="150" t="str">
        <f aca="false">IF($FJ33&lt;HA$94,"",SQRT(HA33/HA$15))</f>
        <v/>
      </c>
      <c r="HB108" s="150" t="str">
        <f aca="false">IF($FJ33&lt;HB$94,"",SQRT(HB33/HB$15))</f>
        <v/>
      </c>
      <c r="HC108" s="150" t="str">
        <f aca="false">IF($FJ33&lt;HC$94,"",SQRT(HC33/HC$15))</f>
        <v/>
      </c>
      <c r="HD108" s="150" t="str">
        <f aca="false">IF($FJ33&lt;HD$94,"",SQRT(HD33/HD$15))</f>
        <v/>
      </c>
      <c r="HE108" s="150" t="str">
        <f aca="false">IF($FJ33&lt;HE$94,"",SQRT(HE33/HE$15))</f>
        <v/>
      </c>
      <c r="HF108" s="150" t="str">
        <f aca="false">IF($FJ33&lt;HF$94,"",SQRT(HF33/HF$15))</f>
        <v/>
      </c>
      <c r="HG108" s="150" t="str">
        <f aca="false">IF($FJ33&lt;HG$94,"",SQRT(HG33/HG$15))</f>
        <v/>
      </c>
      <c r="HH108" s="150" t="str">
        <f aca="false">IF($FJ33&lt;HH$94,"",SQRT(HH33/HH$15))</f>
        <v/>
      </c>
      <c r="HI108" s="150" t="str">
        <f aca="false">IF($FJ33&lt;HI$94,"",SQRT(HI33/HI$15))</f>
        <v/>
      </c>
      <c r="HJ108" s="150" t="str">
        <f aca="false">IF($FJ33&lt;HJ$94,"",SQRT(HJ33/HJ$15))</f>
        <v/>
      </c>
      <c r="HK108" s="150" t="str">
        <f aca="false">IF($FJ33&lt;HK$94,"",SQRT(HK33/HK$15))</f>
        <v/>
      </c>
      <c r="HL108" s="150" t="str">
        <f aca="false">IF($FJ33&lt;HL$94,"",SQRT(HL33/HL$15))</f>
        <v/>
      </c>
      <c r="HM108" s="150" t="str">
        <f aca="false">IF($FJ33&lt;HM$94,"",SQRT(HM33/HM$15))</f>
        <v/>
      </c>
      <c r="HN108" s="150" t="str">
        <f aca="false">IF($FJ33&lt;HN$94,"",SQRT(HN33/HN$15))</f>
        <v/>
      </c>
      <c r="HO108" s="150" t="str">
        <f aca="false">IF($FJ33&lt;HO$94,"",SQRT(HO33/HO$15))</f>
        <v/>
      </c>
      <c r="HP108" s="150" t="str">
        <f aca="false">IF($FJ33&lt;HP$94,"",SQRT(HP33/HP$15))</f>
        <v/>
      </c>
      <c r="HQ108" s="150" t="str">
        <f aca="false">IF($FJ33&lt;HQ$94,"",SQRT(HQ33/HQ$15))</f>
        <v/>
      </c>
      <c r="HR108" s="150" t="str">
        <f aca="false">IF($FJ33&lt;HR$94,"",SQRT(HR33/HR$15))</f>
        <v/>
      </c>
      <c r="HS108" s="150" t="str">
        <f aca="false">IF($FJ33&lt;HS$94,"",SQRT(HS33/HS$15))</f>
        <v/>
      </c>
      <c r="HT108" s="150" t="str">
        <f aca="false">IF($FJ33&lt;HT$94,"",SQRT(HT33/HT$15))</f>
        <v/>
      </c>
      <c r="HU108" s="150" t="str">
        <f aca="false">IF($FJ33&lt;HU$94,"",SQRT(HU33/HU$15))</f>
        <v/>
      </c>
      <c r="HV108" s="150" t="str">
        <f aca="false">IF($FJ33&lt;HV$94,"",SQRT(HV33/HV$15))</f>
        <v/>
      </c>
      <c r="HW108" s="150" t="str">
        <f aca="false">IF($FJ33&lt;HW$94,"",SQRT(HW33/HW$15))</f>
        <v/>
      </c>
      <c r="HX108" s="150" t="str">
        <f aca="false">IF($FJ33&lt;HX$94,"",SQRT(HX33/HX$15))</f>
        <v/>
      </c>
      <c r="HY108" s="150" t="str">
        <f aca="false">IF($FJ33&lt;HY$94,"",SQRT(HY33/HY$15))</f>
        <v/>
      </c>
      <c r="HZ108" s="150" t="str">
        <f aca="false">IF($FJ33&lt;HZ$94,"",SQRT(HZ33/HZ$15))</f>
        <v/>
      </c>
      <c r="IA108" s="150" t="str">
        <f aca="false">IF($FJ33&lt;IA$94,"",SQRT(IA33/IA$15))</f>
        <v/>
      </c>
      <c r="IB108" s="150" t="str">
        <f aca="false">IF($FJ33&lt;IB$94,"",SQRT(IB33/IB$15))</f>
        <v/>
      </c>
      <c r="IC108" s="150" t="str">
        <f aca="false">IF($FJ33&lt;IC$94,"",SQRT(IC33/IC$15))</f>
        <v/>
      </c>
      <c r="ID108" s="572" t="str">
        <f aca="false">IF($FJ33&lt;ID$94,"",SQRT(ID33/ID$15))</f>
        <v/>
      </c>
      <c r="IE108" s="129"/>
    </row>
    <row r="109" customFormat="false" ht="12.75" hidden="false" customHeight="false" outlineLevel="0" collapsed="false">
      <c r="H109" s="219" t="n">
        <f aca="false">VLOOKUP(I109,$EJ$20:$EL$54,3)</f>
        <v>0</v>
      </c>
      <c r="I109" s="511" t="n">
        <f aca="false">EOMONTH(I108,0)+1</f>
        <v>39479</v>
      </c>
      <c r="J109" s="512"/>
      <c r="K109" s="513" t="s">
        <v>280</v>
      </c>
      <c r="L109" s="514" t="n">
        <f aca="false">IF(ISNUMBER(K109),J109+K109/100,IF(K109="extra",L108+VLOOKUP(BF109,PriceSpreadTable,2)/12,IF(K109="inter",interpolateprices($K$19:$L$200,ROW(K109)-ROW(FirstPricingMonth)+1),interpolatechanges($J$19:$K$200,ROW(K109)-ROW(FirstPricingMonth)+1))))</f>
        <v>0.4875</v>
      </c>
      <c r="M109" s="515"/>
      <c r="N109" s="516" t="n">
        <v>0</v>
      </c>
      <c r="O109" s="515" t="n">
        <f aca="false">M109+N109</f>
        <v>0</v>
      </c>
      <c r="P109" s="512"/>
      <c r="Q109" s="513" t="s">
        <v>280</v>
      </c>
      <c r="R109" s="512" t="e">
        <f aca="false">IF(ISNUMBER(Q109),P109+Q109/100,IF(Q109="extra",(Z107*AL107-R108*AM107)/AN107,IF(Q109="inter",interpolateprices($Q$19:$R$260,ROW(Q109)-ROW(FirstPricingMonth)+1),interpolatechanges($P$19:$Q$260,ROW(Q109)-ROW(FirstPricingMonth)+1))))</f>
        <v>#VALUE!</v>
      </c>
      <c r="S109" s="597" t="n">
        <f aca="false">S$19+(S108-S$19)*S$18</f>
        <v>0.360000000000405</v>
      </c>
      <c r="T109" s="575" t="n">
        <f aca="false">SQRT((1-(1-T108^2/U108)*T$18)*U109)</f>
        <v>0.999999901037249</v>
      </c>
      <c r="U109" s="576" t="n">
        <f aca="false">1-(1-U108)*U$18</f>
        <v>0.999999999999886</v>
      </c>
      <c r="V109" s="521" t="n">
        <v>0</v>
      </c>
      <c r="W109" s="577" t="n">
        <f aca="false">(J110*AJ109+J111*AK109)/AI109</f>
        <v>0</v>
      </c>
      <c r="X109" s="578" t="n">
        <f aca="false">(L110*AJ109+L111*AK109)/AI109</f>
        <v>0.5375</v>
      </c>
      <c r="Y109" s="579" t="n">
        <f aca="false">IF(Q111="extra",W109-AA109,(P110*AM109+P111*AN109)/AL109)</f>
        <v>-1.159</v>
      </c>
      <c r="Z109" s="579" t="n">
        <f aca="false">IF(Q111="extra",X109-AB109,(R110*AM109+R111*AN109)/AL109)</f>
        <v>-0.6215</v>
      </c>
      <c r="AA109" s="523" t="n">
        <f aca="false">IF(Q111="extra",INDEX(BrentSeasonalityTable,INT((BG109-1)/3)+1)*VLOOKUP(MAX(BF109,$AB$4),PriceSpreadTable,3),W109-Y109)</f>
        <v>1.159</v>
      </c>
      <c r="AB109" s="524" t="n">
        <f aca="false">IF(Q111="extra",INDEX(BrentSeasonalityTable,INT((BG109-1)/3)+1)*VLOOKUP(MAX(BF109,$AB$4),PriceSpreadTable,3),X109-Z109)</f>
        <v>1.159</v>
      </c>
      <c r="AC109" s="646" t="n">
        <v>39467</v>
      </c>
      <c r="AD109" s="646" t="n">
        <v>39463</v>
      </c>
      <c r="AE109" s="646" t="n">
        <v>39462</v>
      </c>
      <c r="AF109" s="646" t="n">
        <v>39458</v>
      </c>
      <c r="AG109" s="438" t="s">
        <v>278</v>
      </c>
      <c r="AH109" s="439" t="s">
        <v>278</v>
      </c>
      <c r="AI109" s="528" t="n">
        <v>21</v>
      </c>
      <c r="AJ109" s="529" t="n">
        <v>14</v>
      </c>
      <c r="AK109" s="529" t="n">
        <v>7</v>
      </c>
      <c r="AL109" s="530" t="n">
        <v>21</v>
      </c>
      <c r="AM109" s="529" t="n">
        <v>10</v>
      </c>
      <c r="AN109" s="531" t="n">
        <v>11</v>
      </c>
      <c r="AO109" s="532"/>
      <c r="AP109" s="465" t="n">
        <f aca="false">(1+AO109/2)^(-2*BL109)</f>
        <v>1</v>
      </c>
      <c r="AQ109" s="532"/>
      <c r="AR109" s="465" t="n">
        <f aca="false">(1+AQ109/2)^(-2*BH109/365.25)</f>
        <v>1</v>
      </c>
      <c r="AS109" s="580" t="n">
        <f aca="false">(O110*AJ109+O111*AK109)/AI109</f>
        <v>0</v>
      </c>
      <c r="AT109" s="468" t="n">
        <f aca="false">O109*VLOOKUP(BF109,BrentVolTable,2)+VLOOKUP(BF109,BrentVolTable,3)</f>
        <v>0</v>
      </c>
      <c r="AU109" s="468" t="n">
        <f aca="false">(AT110*AM109+AT111*AN109)/AL109</f>
        <v>0</v>
      </c>
      <c r="AV109" s="595" t="n">
        <f aca="false">SQRT(MAX(0.000000000001,(O109^2*BH109-S109^2*(BH109-BH108))/BH108))</f>
        <v>0.0248748600634681</v>
      </c>
      <c r="AW109" s="451" t="n">
        <f aca="false">IF($I109-DateToday+15&gt;=$T$8,"",IF($I109-DateToday+15&lt;$T$5,1,MATCH($I109-DateToday+15,$T$5:$T$8)))</f>
        <v>1</v>
      </c>
      <c r="AX109" s="468" t="n">
        <f aca="false">IF($AW109="",AX108^2/AX107,INDEX(U$5:U$8,$AW109)^((INDEX($T$5:$T$8,$AW109+1)-($I109-DateToday+15))/(INDEX($T$5:$T$8,$AW109+1)-INDEX($T$5:$T$8,$AW109)))/INDEX(U$5:U$8,$AW109+1)^((INDEX($T$5:$T$8,$AW109)-($I109-DateToday+15))/(INDEX($T$5:$T$8,$AW109+1)-INDEX($T$5:$T$8,$AW109))))</f>
        <v>1.87181399057804</v>
      </c>
      <c r="AY109" s="468" t="n">
        <f aca="false">IF($AW109="",AY108^2/AY107,INDEX(V$5:V$8,$AW109)^((INDEX($T$5:$T$8,$AW109+1)-($I109-DateToday+15))/(INDEX($T$5:$T$8,$AW109+1)-INDEX($T$5:$T$8,$AW109)))/INDEX(V$5:V$8,$AW109+1)^((INDEX($T$5:$T$8,$AW109)-($I109-DateToday+15))/(INDEX($T$5:$T$8,$AW109+1)-INDEX($T$5:$T$8,$AW109))))</f>
        <v>122.723919774432</v>
      </c>
      <c r="AZ109" s="468" t="n">
        <f aca="false">IF($AW109="",AZ108^2/AZ107,INDEX(W$5:W$8,$AW109)^((INDEX($T$5:$T$8,$AW109+1)-($I109-DateToday+15))/(INDEX($T$5:$T$8,$AW109+1)-INDEX($T$5:$T$8,$AW109)))/INDEX(W$5:W$8,$AW109+1)^((INDEX($T$5:$T$8,$AW109)-($I109-DateToday+15))/(INDEX($T$5:$T$8,$AW109+1)-INDEX($T$5:$T$8,$AW109))))</f>
        <v>462586.214413669</v>
      </c>
      <c r="BA109" s="468" t="n">
        <f aca="false">IF($AW109="",BA108^2/BA107,INDEX(X$5:X$8,$AW109)^((INDEX($T$5:$T$8,$AW109+1)-($I109-DateToday+15))/(INDEX($T$5:$T$8,$AW109+1)-INDEX($T$5:$T$8,$AW109)))/INDEX(X$5:X$8,$AW109+1)^((INDEX($T$5:$T$8,$AW109)-($I109-DateToday+15))/(INDEX($T$5:$T$8,$AW109+1)-INDEX($T$5:$T$8,$AW109))))</f>
        <v>9019534.87487538</v>
      </c>
      <c r="BB109" s="468" t="n">
        <f aca="false">IF($AW109="",BB108^2/BB107,INDEX(Y$5:Y$8,$AW109)^((INDEX($T$5:$T$8,$AW109+1)-($I109-DateToday+15))/(INDEX($T$5:$T$8,$AW109+1)-INDEX($T$5:$T$8,$AW109)))/INDEX(Y$5:Y$8,$AW109+1)^((INDEX($T$5:$T$8,$AW109)-($I109-DateToday+15))/(INDEX($T$5:$T$8,$AW109+1)-INDEX($T$5:$T$8,$AW109))))</f>
        <v>103311146.638434</v>
      </c>
      <c r="BC109" s="468" t="n">
        <f aca="false">IF($AW109="",BC108^2/BC107,INDEX(Z$5:Z$8,$AW109)^((INDEX($T$5:$T$8,$AW109+1)-($I109-DateToday+15))/(INDEX($T$5:$T$8,$AW109+1)-INDEX($T$5:$T$8,$AW109)))/INDEX(Z$5:Z$8,$AW109+1)^((INDEX($T$5:$T$8,$AW109)-($I109-DateToday+15))/(INDEX($T$5:$T$8,$AW109+1)-INDEX($T$5:$T$8,$AW109))))</f>
        <v>447045815.019943</v>
      </c>
      <c r="BD109" s="535" t="n">
        <f aca="false">IF(OR(DateStart&gt;=I110,DateEnd&lt;I109),0,IF(VolumeOverrideFlag,V109,Volume))</f>
        <v>0</v>
      </c>
      <c r="BE109" s="536" t="n">
        <f aca="false">IF(OR(DateStart2&gt;=I110,DateEnd2&lt;I109),0,IF(VolumeOverrideFlag,V109,VolumeSwaption))</f>
        <v>0</v>
      </c>
      <c r="BF109" s="537" t="n">
        <f aca="false">YEAR(I109)</f>
        <v>2008</v>
      </c>
      <c r="BG109" s="538" t="n">
        <f aca="false">MONTH(I109)</f>
        <v>2</v>
      </c>
      <c r="BH109" s="539" t="n">
        <f aca="false">AD109-DateToday+1</f>
        <v>-6462</v>
      </c>
      <c r="BI109" s="540" t="n">
        <f aca="false">(I109-DateToday+1)/365.25</f>
        <v>-17.6481861738535</v>
      </c>
      <c r="BJ109" s="541" t="n">
        <f aca="false">BI109+(BL109-BI109)*CHOOSE(Underlying,AJ109/AI109,AM109/AL109)</f>
        <v>-17.5970796258271</v>
      </c>
      <c r="BK109" s="541" t="n">
        <f aca="false">BJ109+1/365.25</f>
        <v>-17.5943417750399</v>
      </c>
      <c r="BL109" s="541" t="n">
        <f aca="false">(I110-DateToday)/365.25</f>
        <v>-17.5715263518138</v>
      </c>
      <c r="BM109" s="542" t="e">
        <f aca="false">MAX(BI109-(BJ109-BI109)*(S110^2/O110^2-1),0)</f>
        <v>#DIV/0!</v>
      </c>
      <c r="BN109" s="541" t="e">
        <f aca="false">MAX(BL109+(BL109-BK109)*(S111^2/O111^2-1),0)</f>
        <v>#DIV/0!</v>
      </c>
      <c r="BO109" s="530" t="n">
        <f aca="false">CHOOSE(Underlying,AI109,AL109)</f>
        <v>21</v>
      </c>
      <c r="BP109" s="529" t="n">
        <f aca="false">CHOOSE(Underlying,AJ109,AM109)</f>
        <v>14</v>
      </c>
      <c r="BQ109" s="529" t="n">
        <f aca="false">CHOOSE(Underlying,AK109,AN109)</f>
        <v>7</v>
      </c>
      <c r="BR109" s="463" t="str">
        <f aca="false">IF(BD109,IF(Underlying=1,X109,Z109)+UnderlyingPriceAsian-SwapPriceCurve,"")</f>
        <v/>
      </c>
      <c r="BS109" s="463" t="str">
        <f aca="false">IF(BD109,Strike1/BR109-1,"")</f>
        <v/>
      </c>
      <c r="BT109" s="464" t="str">
        <f aca="false">IF(BD109,Strike2/BR109-1,"")</f>
        <v/>
      </c>
      <c r="BU109" s="465" t="str">
        <f aca="false">IF(BD109,IF(Underlying=1,L110,R110)+UnderlyingPriceAsian-SwapPriceCurve,"")</f>
        <v/>
      </c>
      <c r="BV109" s="465" t="str">
        <f aca="false">IF(BD109,IF(Underlying=1,L111,R111)+UnderlyingPriceAsian-SwapPriceCurve,"")</f>
        <v/>
      </c>
      <c r="BW109" s="466" t="str">
        <f aca="false">IF(BD109,IF(Underlying=1,O110,AT110),"")</f>
        <v/>
      </c>
      <c r="BX109" s="467" t="str">
        <f aca="false">IF(BD109,IF(Underlying=1,O111,AT111),"")</f>
        <v/>
      </c>
      <c r="BY109" s="466" t="str">
        <f aca="false">IF(BD109,IF(BS109&gt;0,IF(BS109&gt;0.2,BC109-BB109,IF(BS109&gt;0.1,BB109-BA109,BA109)),IF(BS109&lt;-0.2,AX109-AY109,IF(BS109&lt;-0.1,AY109-AZ109,AZ109))),"")</f>
        <v/>
      </c>
      <c r="BZ109" s="467" t="str">
        <f aca="false">IF(BD109,IF(BT109&gt;0,IF(BT109&gt;0.2,BC109-BB109,IF(BT109&gt;0.1,BB109-BA109,BA109)),IF(BT109&lt;-0.2,AX109-AY109,IF(BT109&lt;-0.1,AY109-AZ109,AZ109))),"")</f>
        <v/>
      </c>
      <c r="CA109" s="468" t="str">
        <f aca="false">IF($BD109,$BW109+IF(VolSkewFlag=1,IF(BS109&gt;0,$BA109*MIN(BS109/10%,1)+($BB109-$BA109)*MAX(0,MIN(BS109/10%-1,1))+($BC109-$BB109)*MAX(0,BS109/10%-2),$AZ109*MIN(-BS109/10%,1)+($AY109-$AZ109)*MAX(0,MIN(-BS109/10%-1,1))+($AX109-$AY109)*MAX(0,-BS109/10%-2)),0),"")</f>
        <v/>
      </c>
      <c r="CB109" s="468" t="str">
        <f aca="false">IF($BD109,$BX109+IF(VolSkewFlag=1,IF(BS109&gt;0,$BA109*MIN(BS109/10%,1)+($BB109-$BA109)*MAX(0,MIN(BS109/10%-1,1))+($BC109-$BB109)*MAX(0,BS109/10%-2),$AZ109*MIN(-BS109/10%,1)+($AY109-$AZ109)*MAX(0,MIN(-BS109/10%-1,1))+($AX109-$AY109)*MAX(0,-BS109/10%-2)),0),"")</f>
        <v/>
      </c>
      <c r="CC109" s="468" t="str">
        <f aca="false">IF($BD109,$BW109+IF(VolSkewFlag=1,IF(BT109&gt;0,$BA109*MIN(BT109/10%,1)+($BB109-$BA109)*MAX(0,MIN(BT109/10%-1,1))+($BC109-$BB109)*MAX(0,BT109/10%-2),$AZ109*MIN(-BT109/10%,1)+($AY109-$AZ109)*MAX(0,MIN(-BT109/10%-1,1))+($AX109-$AY109)*MAX(0,-BT109/10%-2)),0),"")</f>
        <v/>
      </c>
      <c r="CD109" s="468" t="str">
        <f aca="false">IF($BD109,$BX109+IF(VolSkewFlag=1,IF(BT109&gt;0,$BA109*MIN(BT109/10%,1)+($BB109-$BA109)*MAX(0,MIN(BT109/10%-1,1))+($BC109-$BB109)*MAX(0,BT109/10%-2),$AZ109*MIN(-BT109/10%,1)+($AY109-$AZ109)*MAX(0,MIN(-BT109/10%-1,1))+($AX109-$AY109)*MAX(0,-BT109/10%-2)),0),"")</f>
        <v/>
      </c>
      <c r="CE109" s="469" t="n">
        <v>1</v>
      </c>
      <c r="CF109" s="470" t="n">
        <f aca="false">IF(BD109,xCrudeAPO(BU109,BV109,CA109,CB109,S110,S111,BI109,BL109,BP109,BQ109,0,Strike1,AO109,CE109,0,BL109,IF(OptControl=4,0,1),0,1),0)</f>
        <v>0</v>
      </c>
      <c r="CG109" s="470" t="n">
        <f aca="false">IF(BD109,xCrudeAPO(BU109,BV109,CA109,CB109,S110,S111,BI109,BL109,BP109,BQ109,0,Strike1,AO109,CE109,0,BL109,IF(OptControl=4,0,1),1,1)+xCrudeAPO(BU109,BV109,CA109,CB109,S110,S111,BI109,BL109,BP109,BQ109,0,Strike1,AO109,CE109,0,BL109,IF(OptControl=4,0,1),1,2)+IF(OR(VolSkewFlag=2,ABS(BS109)&lt;0.0001),0,IF(BS109&gt;0,-1,1)*CH109*Strike1/BR109^2*BY109/10%),0)</f>
        <v>0</v>
      </c>
      <c r="CH109" s="470" t="n">
        <f aca="false">IF(BD109,(xCrudeAPO(BU109,BV109,CA109,CB109,S110,S111,BI109,BL109,BP109,BQ109,0,Strike1,AO109,CE109,0,BL109,IF(OptControl=4,0,1),3,1)+xCrudeAPO(BU109,BV109,CA109,CB109,S110,S111,BI109,BL109,BP109,BQ109,0,Strike1,AO109,CE109,0,BL109,IF(OptControl=4,0,1),3,2))/100,0)</f>
        <v>0</v>
      </c>
      <c r="CI109" s="470" t="n">
        <f aca="false">IF(BD109,xCrudeAPO(BU109,BV109,CA109,CB109,S110,S111,BI109-DaysForThetaCalculation/365.25,BL109-DaysForThetaCalculation/365.25,BP109,BQ109,0,Strike1,AO109,CE109,0,BL109,IF(OptControl=4,0,1),0,1)-xCrudeAPO(BU109,BV109,CA109,CB109,S110,S111,BI109,BL109,BP109,BQ109,0,Strike1,AO109,CE109,0,BL109,IF(OptControl=4,0,1),0,1),0)</f>
        <v>0</v>
      </c>
      <c r="CJ109" s="471" t="n">
        <f aca="false">IF(BD109,xCrudeAPO(BU109,BV109,CC109,CD109,S110,S111,BI109,BL109,BP109,BQ109,0,Strike2,AO109,CE109,0,BL109,IF(OptControl=3,1,0),0,1),0)</f>
        <v>0</v>
      </c>
      <c r="CK109" s="470" t="n">
        <f aca="false">IF(BD109,xCrudeAPO(BU109,BV109,CC109,CD109,S110,S111,BI109,BL109,BP109,BQ109,0,Strike2,AO109,CE109,0,BL109,IF(OptControl=3,1,0),1,1)+xCrudeAPO(BU109,BV109,CC109,CD109,S110,S111,BI109,BL109,BP109,BQ109,0,Strike2,AO109,CE109,0,BL109,IF(OptControl=3,1,0),1,2)+IF(OR(VolSkewFlag=2,ABS(BT109)&lt;0.0001),0,IF(BT109&gt;0,-1,1)*CL109*Strike2/BR109^2*BZ109/10%),0)</f>
        <v>0</v>
      </c>
      <c r="CL109" s="470" t="n">
        <f aca="false">IF(BD109,(xCrudeAPO(BU109,BV109,CC109,CD109,S110,S111,BI109,BL109,BP109,BQ109,0,Strike2,AO109,CE109,0,BL109,IF(OptControl=3,1,0),3,1)+xCrudeAPO(BU109,BV109,CC109,CD109,S110,S111,BI109,BL109,BP109,BQ109,0,Strike2,AO109,CE109,0,BL109,IF(OptControl=3,1,0),3,2))/100,0)</f>
        <v>0</v>
      </c>
      <c r="CM109" s="472" t="n">
        <f aca="false">IF(BD109,xCrudeAPO(BU109,BV109,CC109,CD109,S110,S111,BI109-DaysForThetaCalculation/365.25,BL109-DaysForThetaCalculation/365.25,BP109,BQ109,0,Strike2,AO109,CE109,0,BL109,IF(OptControl=3,1,0),0,1)-xCrudeAPO(BU109,BV109,CC109,CD109,S110,S111,BI109,BL109,BP109,BQ109,0,Strike2,AO109,CE109,0,BL109,IF(OptControl=3,1,0),0,1),0)</f>
        <v>0</v>
      </c>
      <c r="CN109" s="3"/>
      <c r="CO109" s="543" t="str">
        <f aca="false">IF(BD109,CHOOSE(Underlying,AD109,AF109)-DateToday+1,"")</f>
        <v/>
      </c>
      <c r="CP109" s="582" t="str">
        <f aca="false">IF(BD109,CHOOSE(Underlying,L109,R109),"")</f>
        <v/>
      </c>
      <c r="CQ109" s="544" t="str">
        <f aca="false">IF(BD109,Strike1/CP109-1,"")</f>
        <v/>
      </c>
      <c r="CR109" s="544" t="str">
        <f aca="false">IF(BD109,Strike2/CP109-1,"")</f>
        <v/>
      </c>
      <c r="CS109" s="544" t="str">
        <f aca="false">IF(BD109,IF(CQ109&gt;0,IF(CQ109&gt;0.2,BC108-BB108,IF(CQ109&gt;0.1,BB108-BA108,BA108)),IF(CQ109&lt;-0.2,AX108-AY108,IF(CQ109&lt;-0.1,AY108-AZ108,AZ108))),"")</f>
        <v/>
      </c>
      <c r="CT109" s="544" t="str">
        <f aca="false">IF(BD109,IF(CR109&gt;0,IF(CR109&gt;0.2,BC108-BB108,IF(CR109&gt;0.1,BB108-BA108,BA108)),IF(CR109&lt;-0.2,AX108-AY108,IF(CR109&lt;-0.1,AY108-AZ108,AZ108))),"")</f>
        <v/>
      </c>
      <c r="CU109" s="545" t="str">
        <f aca="false">IF(BD109,CHOOSE(Underlying,O109,AT109),"")</f>
        <v/>
      </c>
      <c r="CV109" s="545" t="str">
        <f aca="false">IF(BD109,CU109+IF(VolSkewFlag=1,IF(CQ109&gt;0,BA108*MIN(CQ109/10%,1)+(BB108-BA108)*MAX(0,MIN(CQ109/10%-1,1))+(BC108-BB108)*MAX(0,CQ109/10%-2),AZ108*MIN(-CQ109/10%,1)+(AY108-AZ108)*MAX(0,MIN(-CQ109/10%-1,1))+(AX108-AY108)*MAX(0,-CQ109/10%-2)),0),"")</f>
        <v/>
      </c>
      <c r="CW109" s="545" t="str">
        <f aca="false">IF(BD109,CU109+IF(VolSkewFlag=1,IF(CR109&gt;0,BA108*MIN(CR109/10%,1)+(BB108-BA108)*MAX(0,MIN(CR109/10%-1,1))+(BC108-BB108)*MAX(0,CR109/10%-2),AZ108*MIN(-CR109/10%,1)+(AY108-AZ108)*MAX(0,MIN(-CR109/10%-1,1))+(AX108-AY108)*MAX(0,-CR109/10%-2)),0),"")</f>
        <v/>
      </c>
      <c r="CX109" s="470" t="n">
        <f aca="false">IF(BD109,EURO(CP109,Strike1,AO109,AO109,CV109,CO109,IF(OptControl=4,0,1),0),0)</f>
        <v>0</v>
      </c>
      <c r="CY109" s="470" t="n">
        <f aca="false">IF(BD109,EURO(CP109,Strike1,AO109,AO109,CV109,CO109,IF(OptControl=4,0,1),1)+IF(OR(VolSkewFlag=2,ABS(CQ109)&lt;0.0001),0,IF(CQ109&gt;0,-1,1)*CZ109*100*Strike1/CP109^2*CS109/10%),0)</f>
        <v>0</v>
      </c>
      <c r="CZ109" s="470" t="n">
        <f aca="false">IF(BD109,EURO(CP109,Strike1,AO109,AO109,CV109,CO109,IF(OptControl=4,0,1),3)/100,0)</f>
        <v>0</v>
      </c>
      <c r="DA109" s="470" t="n">
        <f aca="false">IF(BD109,EURO(CP109,Strike1,AO109,AO109,CV109,CO109,IF(OptControl=4,0,1),0)-EURO(CP109,Strike1,AO109,AO109,CV109,CO109-1,IF(OptControl=4,0,1),0),0)</f>
        <v>0</v>
      </c>
      <c r="DB109" s="470" t="n">
        <f aca="false">IF(BD109,EURO(CP109,Strike2,AO109,AO109,CW109,CO109,IF(OptControl=3,1,0),0),0)</f>
        <v>0</v>
      </c>
      <c r="DC109" s="470" t="n">
        <f aca="false">IF(BD109,EURO(CP109,Strike2,AO109,AO109,CW109,CO109,IF(OptControl=3,1,0),1)+IF(OR(VolSkewFlag=2,ABS(CR109)&lt;0.0001),0,IF(CR109&gt;0,-1,1)*DD109*100*Strike2/CP109^2*CT109/10%),0)</f>
        <v>0</v>
      </c>
      <c r="DD109" s="470" t="n">
        <f aca="false">IF(BD109,EURO(CP109,Strike2,AO109,AO109,CW109,CO109,IF(OptControl=3,1,0),3)/100,0)</f>
        <v>0</v>
      </c>
      <c r="DE109" s="472" t="n">
        <f aca="false">IF(BD109,EURO(CP109,Strike2,AO109,AO109,CW109,CO109,IF(OptControl=3,1,0),0)-EURO(CP109,Strike2,AO109,AO109,CW109,CO109-1,IF(OptControl=3,1,0),0),0)</f>
        <v>0</v>
      </c>
      <c r="DG109" s="481" t="n">
        <f aca="false">EOMONTH(DG108,0)+1</f>
        <v>48396</v>
      </c>
      <c r="DH109" s="478" t="n">
        <v>18.6308333333333</v>
      </c>
      <c r="DI109" s="479" t="n">
        <v>18.6919444444445</v>
      </c>
      <c r="DJ109" s="480" t="n">
        <f aca="false">DG109</f>
        <v>48396</v>
      </c>
      <c r="DK109" s="478" t="n">
        <v>17.4215209178198</v>
      </c>
      <c r="DL109" s="479" t="n">
        <v>17.4250444444445</v>
      </c>
      <c r="DM109" s="481" t="n">
        <f aca="false">DG109</f>
        <v>48396</v>
      </c>
      <c r="DN109" s="482" t="n">
        <f aca="false">DK109+BrentPhyBrentSpread</f>
        <v>17.4715209178198</v>
      </c>
      <c r="DO109" s="481" t="n">
        <f aca="false">DG109</f>
        <v>48396</v>
      </c>
      <c r="DP109" s="483" t="n">
        <f aca="false">DL109+DQ109</f>
        <v>17.4250444444445</v>
      </c>
      <c r="DQ109" s="546" t="n">
        <v>0</v>
      </c>
      <c r="DR109" s="480" t="n">
        <f aca="false">DG109</f>
        <v>48396</v>
      </c>
      <c r="DS109" s="485" t="n">
        <v>0.1712</v>
      </c>
      <c r="DT109" s="486" t="n">
        <v>0.1704</v>
      </c>
      <c r="DU109" s="480" t="n">
        <f aca="false">DG109</f>
        <v>48396</v>
      </c>
      <c r="DV109" s="485" t="n">
        <v>0.1712</v>
      </c>
      <c r="DW109" s="486" t="n">
        <v>0.1704</v>
      </c>
      <c r="DX109" s="481" t="n">
        <f aca="false">DG109</f>
        <v>48396</v>
      </c>
      <c r="DY109" s="486" t="n">
        <v>0.35</v>
      </c>
      <c r="DZ109" s="481" t="n">
        <f aca="false">DR109</f>
        <v>48396</v>
      </c>
      <c r="EA109" s="486" t="n">
        <f aca="false">DT109</f>
        <v>0.1704</v>
      </c>
      <c r="EB109" s="195"/>
      <c r="EC109" s="547" t="str">
        <f aca="false">IF(BD109,IF(Underlying=1,AS109,AU109),"")</f>
        <v/>
      </c>
      <c r="ED109" s="548" t="str">
        <f aca="false">IF($BD109,$EC109+IF(VolSkewFlag=1,IF(BS109&gt;0,$BA109*MIN(BS109/10%,1)+($BB109-$BA109)*MAX(0,MIN(BS109/10%-1,1))+($BC109-$BB109)*MAX(0,BS109/10%-2),$AZ109*MIN(-BS109/10%,1)+($AY109-$AZ109)*MAX(0,MIN(-BS109/10%-1,1))+($AX109-$AY109)*MAX(0,-BS109/10%-2)),0),"")</f>
        <v/>
      </c>
      <c r="EE109" s="549" t="str">
        <f aca="false">IF($BD109,$EC109+IF(VolSkewFlag=1,IF(BT109&gt;0,$BA109*MIN(BT109/10%,1)+($BB109-$BA109)*MAX(0,MIN(BT109/10%-1,1))+($BC109-$BB109)*MAX(0,BT109/10%-2),$AZ109*MIN(-BT109/10%,1)+($AY109-$AZ109)*MAX(0,MIN(-BT109/10%-1,1))+($AX109-$AY109)*MAX(0,-BT109/10%-2)),0),"")</f>
        <v/>
      </c>
      <c r="EF109" s="550" t="n">
        <f aca="false">IF(BD109,xASN(BR109,Strike1,AO109,ED109,0,BO109,0,BI109,BL109,IF(OptControl=4,0,1),0),0)</f>
        <v>0</v>
      </c>
      <c r="EG109" s="551" t="n">
        <f aca="false">IF(BD109,xASN(BR109,Strike2,AO109,EE109,0,BO109,0,BI109,BL109,IF(OptControl=3,1,0),0),0)</f>
        <v>0</v>
      </c>
      <c r="EL109" s="1"/>
      <c r="EM109" s="195"/>
      <c r="EN109" s="240"/>
      <c r="EO109" s="240"/>
      <c r="EP109" s="195"/>
      <c r="EQ109" s="407" t="s">
        <v>336</v>
      </c>
      <c r="ES109" s="130"/>
      <c r="ET109" s="19"/>
      <c r="EU109" s="672"/>
      <c r="EV109" s="478"/>
      <c r="EW109" s="131"/>
      <c r="EX109" s="131"/>
      <c r="EY109" s="129"/>
      <c r="EZ109" s="129"/>
      <c r="FA109" s="129"/>
      <c r="FB109" s="129"/>
      <c r="FC109" s="129"/>
      <c r="FD109" s="129"/>
      <c r="FE109" s="129"/>
      <c r="FF109" s="129"/>
      <c r="FG109" s="129"/>
      <c r="FH109" s="129"/>
      <c r="FI109" s="129"/>
      <c r="FJ109" s="571" t="n">
        <v>15</v>
      </c>
      <c r="FK109" s="150" t="e">
        <f aca="false">IF($FJ34&lt;FK$94,"",SQRT(FK34/FK$15))</f>
        <v>#DIV/0!</v>
      </c>
      <c r="FL109" s="150" t="n">
        <f aca="false">IF($FJ34&lt;FL$94,"",SQRT(FL34/FL$15))</f>
        <v>-0</v>
      </c>
      <c r="FM109" s="150" t="n">
        <f aca="false">IF($FJ34&lt;FM$94,"",SQRT(FM34/FM$15))</f>
        <v>0.192106333317883</v>
      </c>
      <c r="FN109" s="150" t="n">
        <f aca="false">IF($FJ34&lt;FN$94,"",SQRT(FN34/FN$15))</f>
        <v>0.192307190371203</v>
      </c>
      <c r="FO109" s="150" t="n">
        <f aca="false">IF($FJ34&lt;FO$94,"",SQRT(FO34/FO$15))</f>
        <v>0.194085153438304</v>
      </c>
      <c r="FP109" s="150" t="n">
        <f aca="false">IF($FJ34&lt;FP$94,"",SQRT(FP34/FP$15))</f>
        <v>0.197403142036502</v>
      </c>
      <c r="FQ109" s="150" t="n">
        <f aca="false">IF($FJ34&lt;FQ$94,"",SQRT(FQ34/FQ$15))</f>
        <v>0.202324971119126</v>
      </c>
      <c r="FR109" s="150" t="n">
        <f aca="false">IF($FJ34&lt;FR$94,"",SQRT(FR34/FR$15))</f>
        <v>0.209020682650572</v>
      </c>
      <c r="FS109" s="150" t="n">
        <f aca="false">IF($FJ34&lt;FS$94,"",SQRT(FS34/FS$15))</f>
        <v>0.217783498817736</v>
      </c>
      <c r="FT109" s="150" t="n">
        <f aca="false">IF($FJ34&lt;FT$94,"",SQRT(FT34/FT$15))</f>
        <v>0.229062352164198</v>
      </c>
      <c r="FU109" s="150" t="n">
        <f aca="false">IF($FJ34&lt;FU$94,"",SQRT(FU34/FU$15))</f>
        <v>0.243517377628846</v>
      </c>
      <c r="FV109" s="150" t="n">
        <f aca="false">IF($FJ34&lt;FV$94,"",SQRT(FV34/FV$15))</f>
        <v>0.262111743284847</v>
      </c>
      <c r="FW109" s="150" t="n">
        <f aca="false">IF($FJ34&lt;FW$94,"",SQRT(FW34/FW$15))</f>
        <v>0.286264269078479</v>
      </c>
      <c r="FX109" s="150" t="n">
        <f aca="false">IF($FJ34&lt;FX$94,"",SQRT(FX34/FX$15))</f>
        <v>0.318108798630292</v>
      </c>
      <c r="FY109" s="150" t="n">
        <f aca="false">IF($FJ34&lt;FY$94,"",SQRT(FY34/FY$15))</f>
        <v>0.360950290560722</v>
      </c>
      <c r="FZ109" s="150" t="str">
        <f aca="false">IF($FJ34&lt;FZ$94,"",SQRT(FZ34/FZ$15))</f>
        <v/>
      </c>
      <c r="GA109" s="150" t="str">
        <f aca="false">IF($FJ34&lt;GA$94,"",SQRT(GA34/GA$15))</f>
        <v/>
      </c>
      <c r="GB109" s="150" t="str">
        <f aca="false">IF($FJ34&lt;GB$94,"",SQRT(GB34/GB$15))</f>
        <v/>
      </c>
      <c r="GC109" s="150" t="str">
        <f aca="false">IF($FJ34&lt;GC$94,"",SQRT(GC34/GC$15))</f>
        <v/>
      </c>
      <c r="GD109" s="150" t="str">
        <f aca="false">IF($FJ34&lt;GD$94,"",SQRT(GD34/GD$15))</f>
        <v/>
      </c>
      <c r="GE109" s="150" t="str">
        <f aca="false">IF($FJ34&lt;GE$94,"",SQRT(GE34/GE$15))</f>
        <v/>
      </c>
      <c r="GF109" s="150" t="str">
        <f aca="false">IF($FJ34&lt;GF$94,"",SQRT(GF34/GF$15))</f>
        <v/>
      </c>
      <c r="GG109" s="150" t="str">
        <f aca="false">IF($FJ34&lt;GG$94,"",SQRT(GG34/GG$15))</f>
        <v/>
      </c>
      <c r="GH109" s="150" t="str">
        <f aca="false">IF($FJ34&lt;GH$94,"",SQRT(GH34/GH$15))</f>
        <v/>
      </c>
      <c r="GI109" s="150" t="str">
        <f aca="false">IF($FJ34&lt;GI$94,"",SQRT(GI34/GI$15))</f>
        <v/>
      </c>
      <c r="GJ109" s="150" t="str">
        <f aca="false">IF($FJ34&lt;GJ$94,"",SQRT(GJ34/GJ$15))</f>
        <v/>
      </c>
      <c r="GK109" s="150" t="str">
        <f aca="false">IF($FJ34&lt;GK$94,"",SQRT(GK34/GK$15))</f>
        <v/>
      </c>
      <c r="GL109" s="150" t="str">
        <f aca="false">IF($FJ34&lt;GL$94,"",SQRT(GL34/GL$15))</f>
        <v/>
      </c>
      <c r="GM109" s="150" t="str">
        <f aca="false">IF($FJ34&lt;GM$94,"",SQRT(GM34/GM$15))</f>
        <v/>
      </c>
      <c r="GN109" s="150" t="str">
        <f aca="false">IF($FJ34&lt;GN$94,"",SQRT(GN34/GN$15))</f>
        <v/>
      </c>
      <c r="GO109" s="150" t="str">
        <f aca="false">IF($FJ34&lt;GO$94,"",SQRT(GO34/GO$15))</f>
        <v/>
      </c>
      <c r="GP109" s="150" t="str">
        <f aca="false">IF($FJ34&lt;GP$94,"",SQRT(GP34/GP$15))</f>
        <v/>
      </c>
      <c r="GQ109" s="150" t="str">
        <f aca="false">IF($FJ34&lt;GQ$94,"",SQRT(GQ34/GQ$15))</f>
        <v/>
      </c>
      <c r="GR109" s="150" t="str">
        <f aca="false">IF($FJ34&lt;GR$94,"",SQRT(GR34/GR$15))</f>
        <v/>
      </c>
      <c r="GS109" s="150" t="str">
        <f aca="false">IF($FJ34&lt;GS$94,"",SQRT(GS34/GS$15))</f>
        <v/>
      </c>
      <c r="GT109" s="150" t="str">
        <f aca="false">IF($FJ34&lt;GT$94,"",SQRT(GT34/GT$15))</f>
        <v/>
      </c>
      <c r="GU109" s="150" t="str">
        <f aca="false">IF($FJ34&lt;GU$94,"",SQRT(GU34/GU$15))</f>
        <v/>
      </c>
      <c r="GV109" s="150" t="str">
        <f aca="false">IF($FJ34&lt;GV$94,"",SQRT(GV34/GV$15))</f>
        <v/>
      </c>
      <c r="GW109" s="150" t="str">
        <f aca="false">IF($FJ34&lt;GW$94,"",SQRT(GW34/GW$15))</f>
        <v/>
      </c>
      <c r="GX109" s="150" t="str">
        <f aca="false">IF($FJ34&lt;GX$94,"",SQRT(GX34/GX$15))</f>
        <v/>
      </c>
      <c r="GY109" s="150" t="str">
        <f aca="false">IF($FJ34&lt;GY$94,"",SQRT(GY34/GY$15))</f>
        <v/>
      </c>
      <c r="GZ109" s="150" t="str">
        <f aca="false">IF($FJ34&lt;GZ$94,"",SQRT(GZ34/GZ$15))</f>
        <v/>
      </c>
      <c r="HA109" s="150" t="str">
        <f aca="false">IF($FJ34&lt;HA$94,"",SQRT(HA34/HA$15))</f>
        <v/>
      </c>
      <c r="HB109" s="150" t="str">
        <f aca="false">IF($FJ34&lt;HB$94,"",SQRT(HB34/HB$15))</f>
        <v/>
      </c>
      <c r="HC109" s="150" t="str">
        <f aca="false">IF($FJ34&lt;HC$94,"",SQRT(HC34/HC$15))</f>
        <v/>
      </c>
      <c r="HD109" s="150" t="str">
        <f aca="false">IF($FJ34&lt;HD$94,"",SQRT(HD34/HD$15))</f>
        <v/>
      </c>
      <c r="HE109" s="150" t="str">
        <f aca="false">IF($FJ34&lt;HE$94,"",SQRT(HE34/HE$15))</f>
        <v/>
      </c>
      <c r="HF109" s="150" t="str">
        <f aca="false">IF($FJ34&lt;HF$94,"",SQRT(HF34/HF$15))</f>
        <v/>
      </c>
      <c r="HG109" s="150" t="str">
        <f aca="false">IF($FJ34&lt;HG$94,"",SQRT(HG34/HG$15))</f>
        <v/>
      </c>
      <c r="HH109" s="150" t="str">
        <f aca="false">IF($FJ34&lt;HH$94,"",SQRT(HH34/HH$15))</f>
        <v/>
      </c>
      <c r="HI109" s="150" t="str">
        <f aca="false">IF($FJ34&lt;HI$94,"",SQRT(HI34/HI$15))</f>
        <v/>
      </c>
      <c r="HJ109" s="150" t="str">
        <f aca="false">IF($FJ34&lt;HJ$94,"",SQRT(HJ34/HJ$15))</f>
        <v/>
      </c>
      <c r="HK109" s="150" t="str">
        <f aca="false">IF($FJ34&lt;HK$94,"",SQRT(HK34/HK$15))</f>
        <v/>
      </c>
      <c r="HL109" s="150" t="str">
        <f aca="false">IF($FJ34&lt;HL$94,"",SQRT(HL34/HL$15))</f>
        <v/>
      </c>
      <c r="HM109" s="150" t="str">
        <f aca="false">IF($FJ34&lt;HM$94,"",SQRT(HM34/HM$15))</f>
        <v/>
      </c>
      <c r="HN109" s="150" t="str">
        <f aca="false">IF($FJ34&lt;HN$94,"",SQRT(HN34/HN$15))</f>
        <v/>
      </c>
      <c r="HO109" s="150" t="str">
        <f aca="false">IF($FJ34&lt;HO$94,"",SQRT(HO34/HO$15))</f>
        <v/>
      </c>
      <c r="HP109" s="150" t="str">
        <f aca="false">IF($FJ34&lt;HP$94,"",SQRT(HP34/HP$15))</f>
        <v/>
      </c>
      <c r="HQ109" s="150" t="str">
        <f aca="false">IF($FJ34&lt;HQ$94,"",SQRT(HQ34/HQ$15))</f>
        <v/>
      </c>
      <c r="HR109" s="150" t="str">
        <f aca="false">IF($FJ34&lt;HR$94,"",SQRT(HR34/HR$15))</f>
        <v/>
      </c>
      <c r="HS109" s="150" t="str">
        <f aca="false">IF($FJ34&lt;HS$94,"",SQRT(HS34/HS$15))</f>
        <v/>
      </c>
      <c r="HT109" s="150" t="str">
        <f aca="false">IF($FJ34&lt;HT$94,"",SQRT(HT34/HT$15))</f>
        <v/>
      </c>
      <c r="HU109" s="150" t="str">
        <f aca="false">IF($FJ34&lt;HU$94,"",SQRT(HU34/HU$15))</f>
        <v/>
      </c>
      <c r="HV109" s="150" t="str">
        <f aca="false">IF($FJ34&lt;HV$94,"",SQRT(HV34/HV$15))</f>
        <v/>
      </c>
      <c r="HW109" s="150" t="str">
        <f aca="false">IF($FJ34&lt;HW$94,"",SQRT(HW34/HW$15))</f>
        <v/>
      </c>
      <c r="HX109" s="150" t="str">
        <f aca="false">IF($FJ34&lt;HX$94,"",SQRT(HX34/HX$15))</f>
        <v/>
      </c>
      <c r="HY109" s="150" t="str">
        <f aca="false">IF($FJ34&lt;HY$94,"",SQRT(HY34/HY$15))</f>
        <v/>
      </c>
      <c r="HZ109" s="150" t="str">
        <f aca="false">IF($FJ34&lt;HZ$94,"",SQRT(HZ34/HZ$15))</f>
        <v/>
      </c>
      <c r="IA109" s="150" t="str">
        <f aca="false">IF($FJ34&lt;IA$94,"",SQRT(IA34/IA$15))</f>
        <v/>
      </c>
      <c r="IB109" s="150" t="str">
        <f aca="false">IF($FJ34&lt;IB$94,"",SQRT(IB34/IB$15))</f>
        <v/>
      </c>
      <c r="IC109" s="150" t="str">
        <f aca="false">IF($FJ34&lt;IC$94,"",SQRT(IC34/IC$15))</f>
        <v/>
      </c>
      <c r="ID109" s="572" t="str">
        <f aca="false">IF($FJ34&lt;ID$94,"",SQRT(ID34/ID$15))</f>
        <v/>
      </c>
      <c r="IE109" s="129"/>
    </row>
    <row r="110" customFormat="false" ht="12.75" hidden="false" customHeight="false" outlineLevel="0" collapsed="false">
      <c r="H110" s="219" t="n">
        <f aca="false">VLOOKUP(I110,$EJ$20:$EL$54,3)</f>
        <v>0</v>
      </c>
      <c r="I110" s="511" t="n">
        <f aca="false">EOMONTH(I109,0)+1</f>
        <v>39508</v>
      </c>
      <c r="J110" s="512"/>
      <c r="K110" s="513" t="s">
        <v>280</v>
      </c>
      <c r="L110" s="514" t="n">
        <f aca="false">IF(ISNUMBER(K110),J110+K110/100,IF(K110="extra",L109+VLOOKUP(BF110,PriceSpreadTable,2)/12,IF(K110="inter",interpolateprices($K$19:$L$200,ROW(K110)-ROW(FirstPricingMonth)+1),interpolatechanges($J$19:$K$200,ROW(K110)-ROW(FirstPricingMonth)+1))))</f>
        <v>0.525</v>
      </c>
      <c r="M110" s="515"/>
      <c r="N110" s="516" t="n">
        <v>0</v>
      </c>
      <c r="O110" s="515" t="n">
        <f aca="false">M110+N110</f>
        <v>0</v>
      </c>
      <c r="P110" s="512"/>
      <c r="Q110" s="513" t="s">
        <v>280</v>
      </c>
      <c r="R110" s="512" t="e">
        <f aca="false">IF(ISNUMBER(Q110),P110+Q110/100,IF(Q110="extra",(Z108*AL108-R109*AM108)/AN108,IF(Q110="inter",interpolateprices($Q$19:$R$260,ROW(Q110)-ROW(FirstPricingMonth)+1),interpolatechanges($P$19:$Q$260,ROW(Q110)-ROW(FirstPricingMonth)+1))))</f>
        <v>#VALUE!</v>
      </c>
      <c r="S110" s="597" t="n">
        <f aca="false">S$19+(S109-S$19)*S$18</f>
        <v>0.360000000000304</v>
      </c>
      <c r="T110" s="575" t="n">
        <f aca="false">SQRT((1-(1-T109^2/U109)*T$18)*U110)</f>
        <v>0.999999915386855</v>
      </c>
      <c r="U110" s="576" t="n">
        <f aca="false">1-(1-U109)*U$18</f>
        <v>0.999999999999915</v>
      </c>
      <c r="V110" s="521" t="n">
        <v>0</v>
      </c>
      <c r="W110" s="577" t="n">
        <f aca="false">(J111*AJ110+J112*AK110)/AI110</f>
        <v>0</v>
      </c>
      <c r="X110" s="578" t="n">
        <f aca="false">(L111*AJ110+L112*AK110)/AI110</f>
        <v>0.575</v>
      </c>
      <c r="Y110" s="579" t="n">
        <f aca="false">IF(Q112="extra",W110-AA110,(P111*AM110+P112*AN110)/AL110)</f>
        <v>-1.159</v>
      </c>
      <c r="Z110" s="579" t="n">
        <f aca="false">IF(Q112="extra",X110-AB110,(R111*AM110+R112*AN110)/AL110)</f>
        <v>-0.584</v>
      </c>
      <c r="AA110" s="523" t="n">
        <f aca="false">IF(Q112="extra",INDEX(BrentSeasonalityTable,INT((BG110-1)/3)+1)*VLOOKUP(MAX(BF110,$AB$4),PriceSpreadTable,3),W110-Y110)</f>
        <v>1.159</v>
      </c>
      <c r="AB110" s="524" t="n">
        <f aca="false">IF(Q112="extra",INDEX(BrentSeasonalityTable,INT((BG110-1)/3)+1)*VLOOKUP(MAX(BF110,$AB$4),PriceSpreadTable,3),X110-Z110)</f>
        <v>1.159</v>
      </c>
      <c r="AC110" s="646" t="n">
        <v>39498</v>
      </c>
      <c r="AD110" s="646" t="n">
        <v>39494</v>
      </c>
      <c r="AE110" s="646" t="n">
        <v>39493</v>
      </c>
      <c r="AF110" s="646" t="n">
        <v>39489</v>
      </c>
      <c r="AG110" s="438" t="s">
        <v>278</v>
      </c>
      <c r="AH110" s="439" t="s">
        <v>278</v>
      </c>
      <c r="AI110" s="528" t="n">
        <v>21</v>
      </c>
      <c r="AJ110" s="529" t="n">
        <v>14</v>
      </c>
      <c r="AK110" s="529" t="n">
        <v>7</v>
      </c>
      <c r="AL110" s="530" t="n">
        <v>21</v>
      </c>
      <c r="AM110" s="529" t="n">
        <v>10</v>
      </c>
      <c r="AN110" s="531" t="n">
        <v>11</v>
      </c>
      <c r="AO110" s="532"/>
      <c r="AP110" s="465" t="n">
        <f aca="false">(1+AO110/2)^(-2*BL110)</f>
        <v>1</v>
      </c>
      <c r="AQ110" s="532"/>
      <c r="AR110" s="465" t="n">
        <f aca="false">(1+AQ110/2)^(-2*BH110/365.25)</f>
        <v>1</v>
      </c>
      <c r="AS110" s="580" t="n">
        <f aca="false">(O111*AJ110+O112*AK110)/AI110</f>
        <v>0</v>
      </c>
      <c r="AT110" s="468" t="n">
        <f aca="false">O110*VLOOKUP(BF110,BrentVolTable,2)+VLOOKUP(BF110,BrentVolTable,3)</f>
        <v>0</v>
      </c>
      <c r="AU110" s="468" t="n">
        <f aca="false">(AT111*AM110+AT112*AN110)/AL110</f>
        <v>0</v>
      </c>
      <c r="AV110" s="595" t="n">
        <f aca="false">SQRT(MAX(0.000000000001,(O110^2*BH110-S110^2*(BH110-BH109))/BH109))</f>
        <v>0.0249344544656517</v>
      </c>
      <c r="AW110" s="451" t="n">
        <f aca="false">IF($I110-DateToday+15&gt;=$T$8,"",IF($I110-DateToday+15&lt;$T$5,1,MATCH($I110-DateToday+15,$T$5:$T$8)))</f>
        <v>1</v>
      </c>
      <c r="AX110" s="468" t="n">
        <f aca="false">IF($AW110="",AX109^2/AX108,INDEX(U$5:U$8,$AW110)^((INDEX($T$5:$T$8,$AW110+1)-($I110-DateToday+15))/(INDEX($T$5:$T$8,$AW110+1)-INDEX($T$5:$T$8,$AW110)))/INDEX(U$5:U$8,$AW110+1)^((INDEX($T$5:$T$8,$AW110)-($I110-DateToday+15))/(INDEX($T$5:$T$8,$AW110+1)-INDEX($T$5:$T$8,$AW110))))</f>
        <v>1.8340714092492</v>
      </c>
      <c r="AY110" s="468" t="n">
        <f aca="false">IF($AW110="",AY109^2/AY108,INDEX(V$5:V$8,$AW110)^((INDEX($T$5:$T$8,$AW110+1)-($I110-DateToday+15))/(INDEX($T$5:$T$8,$AW110+1)-INDEX($T$5:$T$8,$AW110)))/INDEX(V$5:V$8,$AW110+1)^((INDEX($T$5:$T$8,$AW110)-($I110-DateToday+15))/(INDEX($T$5:$T$8,$AW110+1)-INDEX($T$5:$T$8,$AW110))))</f>
        <v>117.894913884526</v>
      </c>
      <c r="AZ110" s="468" t="n">
        <f aca="false">IF($AW110="",AZ109^2/AZ108,INDEX(W$5:W$8,$AW110)^((INDEX($T$5:$T$8,$AW110+1)-($I110-DateToday+15))/(INDEX($T$5:$T$8,$AW110+1)-INDEX($T$5:$T$8,$AW110)))/INDEX(W$5:W$8,$AW110+1)^((INDEX($T$5:$T$8,$AW110)-($I110-DateToday+15))/(INDEX($T$5:$T$8,$AW110+1)-INDEX($T$5:$T$8,$AW110))))</f>
        <v>427708.987350108</v>
      </c>
      <c r="BA110" s="468" t="n">
        <f aca="false">IF($AW110="",BA109^2/BA108,INDEX(X$5:X$8,$AW110)^((INDEX($T$5:$T$8,$AW110+1)-($I110-DateToday+15))/(INDEX($T$5:$T$8,$AW110+1)-INDEX($T$5:$T$8,$AW110)))/INDEX(X$5:X$8,$AW110+1)^((INDEX($T$5:$T$8,$AW110)-($I110-DateToday+15))/(INDEX($T$5:$T$8,$AW110+1)-INDEX($T$5:$T$8,$AW110))))</f>
        <v>8171341.92893498</v>
      </c>
      <c r="BB110" s="468" t="n">
        <f aca="false">IF($AW110="",BB109^2/BB108,INDEX(Y$5:Y$8,$AW110)^((INDEX($T$5:$T$8,$AW110+1)-($I110-DateToday+15))/(INDEX($T$5:$T$8,$AW110+1)-INDEX($T$5:$T$8,$AW110)))/INDEX(Y$5:Y$8,$AW110+1)^((INDEX($T$5:$T$8,$AW110)-($I110-DateToday+15))/(INDEX($T$5:$T$8,$AW110+1)-INDEX($T$5:$T$8,$AW110))))</f>
        <v>92717097.0849732</v>
      </c>
      <c r="BC110" s="468" t="n">
        <f aca="false">IF($AW110="",BC109^2/BC108,INDEX(Z$5:Z$8,$AW110)^((INDEX($T$5:$T$8,$AW110+1)-($I110-DateToday+15))/(INDEX($T$5:$T$8,$AW110+1)-INDEX($T$5:$T$8,$AW110)))/INDEX(Z$5:Z$8,$AW110+1)^((INDEX($T$5:$T$8,$AW110)-($I110-DateToday+15))/(INDEX($T$5:$T$8,$AW110+1)-INDEX($T$5:$T$8,$AW110))))</f>
        <v>399024304.512046</v>
      </c>
      <c r="BD110" s="535" t="n">
        <f aca="false">IF(OR(DateStart&gt;=I111,DateEnd&lt;I110),0,IF(VolumeOverrideFlag,V110,Volume))</f>
        <v>0</v>
      </c>
      <c r="BE110" s="536" t="n">
        <f aca="false">IF(OR(DateStart2&gt;=I111,DateEnd2&lt;I110),0,IF(VolumeOverrideFlag,V110,VolumeSwaption))</f>
        <v>0</v>
      </c>
      <c r="BF110" s="537" t="n">
        <f aca="false">YEAR(I110)</f>
        <v>2008</v>
      </c>
      <c r="BG110" s="538" t="n">
        <f aca="false">MONTH(I110)</f>
        <v>3</v>
      </c>
      <c r="BH110" s="539" t="n">
        <f aca="false">AD110-DateToday+1</f>
        <v>-6431</v>
      </c>
      <c r="BI110" s="540" t="n">
        <f aca="false">(I110-DateToday+1)/365.25</f>
        <v>-17.5687885010267</v>
      </c>
      <c r="BJ110" s="541" t="n">
        <f aca="false">BI110+(BL110-BI110)*CHOOSE(Underlying,AJ110/AI110,AM110/AL110)</f>
        <v>-17.5140314852841</v>
      </c>
      <c r="BK110" s="541" t="n">
        <f aca="false">BJ110+1/365.25</f>
        <v>-17.5112936344969</v>
      </c>
      <c r="BL110" s="541" t="n">
        <f aca="false">(I111-DateToday)/365.25</f>
        <v>-17.4866529774127</v>
      </c>
      <c r="BM110" s="542" t="e">
        <f aca="false">MAX(BI110-(BJ110-BI110)*(S111^2/O111^2-1),0)</f>
        <v>#DIV/0!</v>
      </c>
      <c r="BN110" s="541" t="e">
        <f aca="false">MAX(BL110+(BL110-BK110)*(S112^2/O112^2-1),0)</f>
        <v>#DIV/0!</v>
      </c>
      <c r="BO110" s="530" t="n">
        <f aca="false">CHOOSE(Underlying,AI110,AL110)</f>
        <v>21</v>
      </c>
      <c r="BP110" s="529" t="n">
        <f aca="false">CHOOSE(Underlying,AJ110,AM110)</f>
        <v>14</v>
      </c>
      <c r="BQ110" s="529" t="n">
        <f aca="false">CHOOSE(Underlying,AK110,AN110)</f>
        <v>7</v>
      </c>
      <c r="BR110" s="463" t="str">
        <f aca="false">IF(BD110,IF(Underlying=1,X110,Z110)+UnderlyingPriceAsian-SwapPriceCurve,"")</f>
        <v/>
      </c>
      <c r="BS110" s="463" t="str">
        <f aca="false">IF(BD110,Strike1/BR110-1,"")</f>
        <v/>
      </c>
      <c r="BT110" s="464" t="str">
        <f aca="false">IF(BD110,Strike2/BR110-1,"")</f>
        <v/>
      </c>
      <c r="BU110" s="465" t="str">
        <f aca="false">IF(BD110,IF(Underlying=1,L111,R111)+UnderlyingPriceAsian-SwapPriceCurve,"")</f>
        <v/>
      </c>
      <c r="BV110" s="465" t="str">
        <f aca="false">IF(BD110,IF(Underlying=1,L112,R112)+UnderlyingPriceAsian-SwapPriceCurve,"")</f>
        <v/>
      </c>
      <c r="BW110" s="466" t="str">
        <f aca="false">IF(BD110,IF(Underlying=1,O111,AT111),"")</f>
        <v/>
      </c>
      <c r="BX110" s="467" t="str">
        <f aca="false">IF(BD110,IF(Underlying=1,O112,AT112),"")</f>
        <v/>
      </c>
      <c r="BY110" s="466" t="str">
        <f aca="false">IF(BD110,IF(BS110&gt;0,IF(BS110&gt;0.2,BC110-BB110,IF(BS110&gt;0.1,BB110-BA110,BA110)),IF(BS110&lt;-0.2,AX110-AY110,IF(BS110&lt;-0.1,AY110-AZ110,AZ110))),"")</f>
        <v/>
      </c>
      <c r="BZ110" s="467" t="str">
        <f aca="false">IF(BD110,IF(BT110&gt;0,IF(BT110&gt;0.2,BC110-BB110,IF(BT110&gt;0.1,BB110-BA110,BA110)),IF(BT110&lt;-0.2,AX110-AY110,IF(BT110&lt;-0.1,AY110-AZ110,AZ110))),"")</f>
        <v/>
      </c>
      <c r="CA110" s="468" t="str">
        <f aca="false">IF($BD110,$BW110+IF(VolSkewFlag=1,IF(BS110&gt;0,$BA110*MIN(BS110/10%,1)+($BB110-$BA110)*MAX(0,MIN(BS110/10%-1,1))+($BC110-$BB110)*MAX(0,BS110/10%-2),$AZ110*MIN(-BS110/10%,1)+($AY110-$AZ110)*MAX(0,MIN(-BS110/10%-1,1))+($AX110-$AY110)*MAX(0,-BS110/10%-2)),0),"")</f>
        <v/>
      </c>
      <c r="CB110" s="468" t="str">
        <f aca="false">IF($BD110,$BX110+IF(VolSkewFlag=1,IF(BS110&gt;0,$BA110*MIN(BS110/10%,1)+($BB110-$BA110)*MAX(0,MIN(BS110/10%-1,1))+($BC110-$BB110)*MAX(0,BS110/10%-2),$AZ110*MIN(-BS110/10%,1)+($AY110-$AZ110)*MAX(0,MIN(-BS110/10%-1,1))+($AX110-$AY110)*MAX(0,-BS110/10%-2)),0),"")</f>
        <v/>
      </c>
      <c r="CC110" s="468" t="str">
        <f aca="false">IF($BD110,$BW110+IF(VolSkewFlag=1,IF(BT110&gt;0,$BA110*MIN(BT110/10%,1)+($BB110-$BA110)*MAX(0,MIN(BT110/10%-1,1))+($BC110-$BB110)*MAX(0,BT110/10%-2),$AZ110*MIN(-BT110/10%,1)+($AY110-$AZ110)*MAX(0,MIN(-BT110/10%-1,1))+($AX110-$AY110)*MAX(0,-BT110/10%-2)),0),"")</f>
        <v/>
      </c>
      <c r="CD110" s="468" t="str">
        <f aca="false">IF($BD110,$BX110+IF(VolSkewFlag=1,IF(BT110&gt;0,$BA110*MIN(BT110/10%,1)+($BB110-$BA110)*MAX(0,MIN(BT110/10%-1,1))+($BC110-$BB110)*MAX(0,BT110/10%-2),$AZ110*MIN(-BT110/10%,1)+($AY110-$AZ110)*MAX(0,MIN(-BT110/10%-1,1))+($AX110-$AY110)*MAX(0,-BT110/10%-2)),0),"")</f>
        <v/>
      </c>
      <c r="CE110" s="469" t="n">
        <v>1</v>
      </c>
      <c r="CF110" s="470" t="n">
        <f aca="false">IF(BD110,xCrudeAPO(BU110,BV110,CA110,CB110,S111,S112,BI110,BL110,BP110,BQ110,0,Strike1,AO110,CE110,0,BL110,IF(OptControl=4,0,1),0,1),0)</f>
        <v>0</v>
      </c>
      <c r="CG110" s="470" t="n">
        <f aca="false">IF(BD110,xCrudeAPO(BU110,BV110,CA110,CB110,S111,S112,BI110,BL110,BP110,BQ110,0,Strike1,AO110,CE110,0,BL110,IF(OptControl=4,0,1),1,1)+xCrudeAPO(BU110,BV110,CA110,CB110,S111,S112,BI110,BL110,BP110,BQ110,0,Strike1,AO110,CE110,0,BL110,IF(OptControl=4,0,1),1,2)+IF(OR(VolSkewFlag=2,ABS(BS110)&lt;0.0001),0,IF(BS110&gt;0,-1,1)*CH110*Strike1/BR110^2*BY110/10%),0)</f>
        <v>0</v>
      </c>
      <c r="CH110" s="470" t="n">
        <f aca="false">IF(BD110,(xCrudeAPO(BU110,BV110,CA110,CB110,S111,S112,BI110,BL110,BP110,BQ110,0,Strike1,AO110,CE110,0,BL110,IF(OptControl=4,0,1),3,1)+xCrudeAPO(BU110,BV110,CA110,CB110,S111,S112,BI110,BL110,BP110,BQ110,0,Strike1,AO110,CE110,0,BL110,IF(OptControl=4,0,1),3,2))/100,0)</f>
        <v>0</v>
      </c>
      <c r="CI110" s="470" t="n">
        <f aca="false">IF(BD110,xCrudeAPO(BU110,BV110,CA110,CB110,S111,S112,BI110-DaysForThetaCalculation/365.25,BL110-DaysForThetaCalculation/365.25,BP110,BQ110,0,Strike1,AO110,CE110,0,BL110,IF(OptControl=4,0,1),0,1)-xCrudeAPO(BU110,BV110,CA110,CB110,S111,S112,BI110,BL110,BP110,BQ110,0,Strike1,AO110,CE110,0,BL110,IF(OptControl=4,0,1),0,1),0)</f>
        <v>0</v>
      </c>
      <c r="CJ110" s="471" t="n">
        <f aca="false">IF(BD110,xCrudeAPO(BU110,BV110,CC110,CD110,S111,S112,BI110,BL110,BP110,BQ110,0,Strike2,AO110,CE110,0,BL110,IF(OptControl=3,1,0),0,1),0)</f>
        <v>0</v>
      </c>
      <c r="CK110" s="470" t="n">
        <f aca="false">IF(BD110,xCrudeAPO(BU110,BV110,CC110,CD110,S111,S112,BI110,BL110,BP110,BQ110,0,Strike2,AO110,CE110,0,BL110,IF(OptControl=3,1,0),1,1)+xCrudeAPO(BU110,BV110,CC110,CD110,S111,S112,BI110,BL110,BP110,BQ110,0,Strike2,AO110,CE110,0,BL110,IF(OptControl=3,1,0),1,2)+IF(OR(VolSkewFlag=2,ABS(BT110)&lt;0.0001),0,IF(BT110&gt;0,-1,1)*CL110*Strike2/BR110^2*BZ110/10%),0)</f>
        <v>0</v>
      </c>
      <c r="CL110" s="470" t="n">
        <f aca="false">IF(BD110,(xCrudeAPO(BU110,BV110,CC110,CD110,S111,S112,BI110,BL110,BP110,BQ110,0,Strike2,AO110,CE110,0,BL110,IF(OptControl=3,1,0),3,1)+xCrudeAPO(BU110,BV110,CC110,CD110,S111,S112,BI110,BL110,BP110,BQ110,0,Strike2,AO110,CE110,0,BL110,IF(OptControl=3,1,0),3,2))/100,0)</f>
        <v>0</v>
      </c>
      <c r="CM110" s="472" t="n">
        <f aca="false">IF(BD110,xCrudeAPO(BU110,BV110,CC110,CD110,S111,S112,BI110-DaysForThetaCalculation/365.25,BL110-DaysForThetaCalculation/365.25,BP110,BQ110,0,Strike2,AO110,CE110,0,BL110,IF(OptControl=3,1,0),0,1)-xCrudeAPO(BU110,BV110,CC110,CD110,S111,S112,BI110,BL110,BP110,BQ110,0,Strike2,AO110,CE110,0,BL110,IF(OptControl=3,1,0),0,1),0)</f>
        <v>0</v>
      </c>
      <c r="CN110" s="3"/>
      <c r="CO110" s="543" t="str">
        <f aca="false">IF(BD110,CHOOSE(Underlying,AD110,AF110)-DateToday+1,"")</f>
        <v/>
      </c>
      <c r="CP110" s="582" t="str">
        <f aca="false">IF(BD110,CHOOSE(Underlying,L110,R110),"")</f>
        <v/>
      </c>
      <c r="CQ110" s="544" t="str">
        <f aca="false">IF(BD110,Strike1/CP110-1,"")</f>
        <v/>
      </c>
      <c r="CR110" s="544" t="str">
        <f aca="false">IF(BD110,Strike2/CP110-1,"")</f>
        <v/>
      </c>
      <c r="CS110" s="544" t="str">
        <f aca="false">IF(BD110,IF(CQ110&gt;0,IF(CQ110&gt;0.2,BC109-BB109,IF(CQ110&gt;0.1,BB109-BA109,BA109)),IF(CQ110&lt;-0.2,AX109-AY109,IF(CQ110&lt;-0.1,AY109-AZ109,AZ109))),"")</f>
        <v/>
      </c>
      <c r="CT110" s="544" t="str">
        <f aca="false">IF(BD110,IF(CR110&gt;0,IF(CR110&gt;0.2,BC109-BB109,IF(CR110&gt;0.1,BB109-BA109,BA109)),IF(CR110&lt;-0.2,AX109-AY109,IF(CR110&lt;-0.1,AY109-AZ109,AZ109))),"")</f>
        <v/>
      </c>
      <c r="CU110" s="545" t="str">
        <f aca="false">IF(BD110,CHOOSE(Underlying,O110,AT110),"")</f>
        <v/>
      </c>
      <c r="CV110" s="545" t="str">
        <f aca="false">IF(BD110,CU110+IF(VolSkewFlag=1,IF(CQ110&gt;0,BA109*MIN(CQ110/10%,1)+(BB109-BA109)*MAX(0,MIN(CQ110/10%-1,1))+(BC109-BB109)*MAX(0,CQ110/10%-2),AZ109*MIN(-CQ110/10%,1)+(AY109-AZ109)*MAX(0,MIN(-CQ110/10%-1,1))+(AX109-AY109)*MAX(0,-CQ110/10%-2)),0),"")</f>
        <v/>
      </c>
      <c r="CW110" s="545" t="str">
        <f aca="false">IF(BD110,CU110+IF(VolSkewFlag=1,IF(CR110&gt;0,BA109*MIN(CR110/10%,1)+(BB109-BA109)*MAX(0,MIN(CR110/10%-1,1))+(BC109-BB109)*MAX(0,CR110/10%-2),AZ109*MIN(-CR110/10%,1)+(AY109-AZ109)*MAX(0,MIN(-CR110/10%-1,1))+(AX109-AY109)*MAX(0,-CR110/10%-2)),0),"")</f>
        <v/>
      </c>
      <c r="CX110" s="470" t="n">
        <f aca="false">IF(BD110,EURO(CP110,Strike1,AO110,AO110,CV110,CO110,IF(OptControl=4,0,1),0),0)</f>
        <v>0</v>
      </c>
      <c r="CY110" s="470" t="n">
        <f aca="false">IF(BD110,EURO(CP110,Strike1,AO110,AO110,CV110,CO110,IF(OptControl=4,0,1),1)+IF(OR(VolSkewFlag=2,ABS(CQ110)&lt;0.0001),0,IF(CQ110&gt;0,-1,1)*CZ110*100*Strike1/CP110^2*CS110/10%),0)</f>
        <v>0</v>
      </c>
      <c r="CZ110" s="470" t="n">
        <f aca="false">IF(BD110,EURO(CP110,Strike1,AO110,AO110,CV110,CO110,IF(OptControl=4,0,1),3)/100,0)</f>
        <v>0</v>
      </c>
      <c r="DA110" s="470" t="n">
        <f aca="false">IF(BD110,EURO(CP110,Strike1,AO110,AO110,CV110,CO110,IF(OptControl=4,0,1),0)-EURO(CP110,Strike1,AO110,AO110,CV110,CO110-1,IF(OptControl=4,0,1),0),0)</f>
        <v>0</v>
      </c>
      <c r="DB110" s="470" t="n">
        <f aca="false">IF(BD110,EURO(CP110,Strike2,AO110,AO110,CW110,CO110,IF(OptControl=3,1,0),0),0)</f>
        <v>0</v>
      </c>
      <c r="DC110" s="470" t="n">
        <f aca="false">IF(BD110,EURO(CP110,Strike2,AO110,AO110,CW110,CO110,IF(OptControl=3,1,0),1)+IF(OR(VolSkewFlag=2,ABS(CR110)&lt;0.0001),0,IF(CR110&gt;0,-1,1)*DD110*100*Strike2/CP110^2*CT110/10%),0)</f>
        <v>0</v>
      </c>
      <c r="DD110" s="470" t="n">
        <f aca="false">IF(BD110,EURO(CP110,Strike2,AO110,AO110,CW110,CO110,IF(OptControl=3,1,0),3)/100,0)</f>
        <v>0</v>
      </c>
      <c r="DE110" s="472" t="n">
        <f aca="false">IF(BD110,EURO(CP110,Strike2,AO110,AO110,CW110,CO110,IF(OptControl=3,1,0),0)-EURO(CP110,Strike2,AO110,AO110,CW110,CO110-1,IF(OptControl=3,1,0),0),0)</f>
        <v>0</v>
      </c>
      <c r="DG110" s="481" t="n">
        <f aca="false">EOMONTH(DG109,0)+1</f>
        <v>48427</v>
      </c>
      <c r="DH110" s="478" t="n">
        <v>18.6766666666667</v>
      </c>
      <c r="DI110" s="479" t="n">
        <v>18.7404347826087</v>
      </c>
      <c r="DJ110" s="480" t="n">
        <f aca="false">DG110</f>
        <v>48427</v>
      </c>
      <c r="DK110" s="478" t="n">
        <v>17.2937840141032</v>
      </c>
      <c r="DL110" s="479" t="n">
        <v>17.4735347826087</v>
      </c>
      <c r="DM110" s="481" t="n">
        <f aca="false">DG110</f>
        <v>48427</v>
      </c>
      <c r="DN110" s="482" t="n">
        <f aca="false">DK110+BrentPhyBrentSpread</f>
        <v>17.3437840141032</v>
      </c>
      <c r="DO110" s="481" t="n">
        <f aca="false">DG110</f>
        <v>48427</v>
      </c>
      <c r="DP110" s="483" t="n">
        <f aca="false">DL110+DQ110</f>
        <v>17.4735347826087</v>
      </c>
      <c r="DQ110" s="546" t="n">
        <v>0</v>
      </c>
      <c r="DR110" s="480" t="n">
        <f aca="false">DG110</f>
        <v>48427</v>
      </c>
      <c r="DS110" s="485" t="n">
        <v>0.1706</v>
      </c>
      <c r="DT110" s="486" t="n">
        <v>0.169765217391304</v>
      </c>
      <c r="DU110" s="480" t="n">
        <f aca="false">DG110</f>
        <v>48427</v>
      </c>
      <c r="DV110" s="485" t="n">
        <v>0.1706</v>
      </c>
      <c r="DW110" s="486" t="n">
        <v>0.169765217391304</v>
      </c>
      <c r="DX110" s="481" t="n">
        <f aca="false">DG110</f>
        <v>48427</v>
      </c>
      <c r="DY110" s="486" t="n">
        <v>0.35</v>
      </c>
      <c r="DZ110" s="481" t="n">
        <f aca="false">DR110</f>
        <v>48427</v>
      </c>
      <c r="EA110" s="486" t="n">
        <f aca="false">DT110</f>
        <v>0.169765217391304</v>
      </c>
      <c r="EB110" s="195"/>
      <c r="EC110" s="547" t="str">
        <f aca="false">IF(BD110,IF(Underlying=1,AS110,AU110),"")</f>
        <v/>
      </c>
      <c r="ED110" s="548" t="str">
        <f aca="false">IF($BD110,$EC110+IF(VolSkewFlag=1,IF(BS110&gt;0,$BA110*MIN(BS110/10%,1)+($BB110-$BA110)*MAX(0,MIN(BS110/10%-1,1))+($BC110-$BB110)*MAX(0,BS110/10%-2),$AZ110*MIN(-BS110/10%,1)+($AY110-$AZ110)*MAX(0,MIN(-BS110/10%-1,1))+($AX110-$AY110)*MAX(0,-BS110/10%-2)),0),"")</f>
        <v/>
      </c>
      <c r="EE110" s="549" t="str">
        <f aca="false">IF($BD110,$EC110+IF(VolSkewFlag=1,IF(BT110&gt;0,$BA110*MIN(BT110/10%,1)+($BB110-$BA110)*MAX(0,MIN(BT110/10%-1,1))+($BC110-$BB110)*MAX(0,BT110/10%-2),$AZ110*MIN(-BT110/10%,1)+($AY110-$AZ110)*MAX(0,MIN(-BT110/10%-1,1))+($AX110-$AY110)*MAX(0,-BT110/10%-2)),0),"")</f>
        <v/>
      </c>
      <c r="EF110" s="550" t="n">
        <f aca="false">IF(BD110,xASN(BR110,Strike1,AO110,ED110,0,BO110,0,BI110,BL110,IF(OptControl=4,0,1),0),0)</f>
        <v>0</v>
      </c>
      <c r="EG110" s="551" t="n">
        <f aca="false">IF(BD110,xASN(BR110,Strike2,AO110,EE110,0,BO110,0,BI110,BL110,IF(OptControl=3,1,0),0),0)</f>
        <v>0</v>
      </c>
      <c r="EL110" s="1"/>
      <c r="EM110" s="195"/>
      <c r="EN110" s="240"/>
      <c r="EO110" s="240"/>
      <c r="EP110" s="195"/>
      <c r="EQ110" s="407" t="s">
        <v>337</v>
      </c>
      <c r="ES110" s="130"/>
      <c r="ET110" s="19"/>
      <c r="EU110" s="672"/>
      <c r="EV110" s="478"/>
      <c r="EW110" s="131"/>
      <c r="EX110" s="131"/>
      <c r="EY110" s="129"/>
      <c r="EZ110" s="129"/>
      <c r="FA110" s="129"/>
      <c r="FB110" s="129"/>
      <c r="FC110" s="129"/>
      <c r="FD110" s="129"/>
      <c r="FE110" s="129"/>
      <c r="FF110" s="129"/>
      <c r="FG110" s="129"/>
      <c r="FH110" s="129"/>
      <c r="FI110" s="129"/>
      <c r="FJ110" s="571" t="n">
        <v>16</v>
      </c>
      <c r="FK110" s="150" t="e">
        <f aca="false">IF($FJ35&lt;FK$94,"",SQRT(FK35/FK$15))</f>
        <v>#DIV/0!</v>
      </c>
      <c r="FL110" s="150" t="n">
        <f aca="false">IF($FJ35&lt;FL$94,"",SQRT(FL35/FL$15))</f>
        <v>-0</v>
      </c>
      <c r="FM110" s="150" t="n">
        <f aca="false">IF($FJ35&lt;FM$94,"",SQRT(FM35/FM$15))</f>
        <v>0.188784379185473</v>
      </c>
      <c r="FN110" s="150" t="n">
        <f aca="false">IF($FJ35&lt;FN$94,"",SQRT(FN35/FN$15))</f>
        <v>0.188411980754078</v>
      </c>
      <c r="FO110" s="150" t="n">
        <f aca="false">IF($FJ35&lt;FO$94,"",SQRT(FO35/FO$15))</f>
        <v>0.189479143453979</v>
      </c>
      <c r="FP110" s="150" t="n">
        <f aca="false">IF($FJ35&lt;FP$94,"",SQRT(FP35/FP$15))</f>
        <v>0.191912558437129</v>
      </c>
      <c r="FQ110" s="150" t="n">
        <f aca="false">IF($FJ35&lt;FQ$94,"",SQRT(FQ35/FQ$15))</f>
        <v>0.195727077622984</v>
      </c>
      <c r="FR110" s="150" t="n">
        <f aca="false">IF($FJ35&lt;FR$94,"",SQRT(FR35/FR$15))</f>
        <v>0.201025548136201</v>
      </c>
      <c r="FS110" s="150" t="n">
        <f aca="false">IF($FJ35&lt;FS$94,"",SQRT(FS35/FS$15))</f>
        <v>0.208007355185005</v>
      </c>
      <c r="FT110" s="150" t="n">
        <f aca="false">IF($FJ35&lt;FT$94,"",SQRT(FT35/FT$15))</f>
        <v>0.216987784163669</v>
      </c>
      <c r="FU110" s="150" t="n">
        <f aca="false">IF($FJ35&lt;FU$94,"",SQRT(FU35/FU$15))</f>
        <v>0.228432357239549</v>
      </c>
      <c r="FV110" s="150" t="n">
        <f aca="false">IF($FJ35&lt;FV$94,"",SQRT(FV35/FV$15))</f>
        <v>0.243013679136355</v>
      </c>
      <c r="FW110" s="150" t="n">
        <f aca="false">IF($FJ35&lt;FW$94,"",SQRT(FW35/FW$15))</f>
        <v>0.261704280759201</v>
      </c>
      <c r="FX110" s="150" t="n">
        <f aca="false">IF($FJ35&lt;FX$94,"",SQRT(FX35/FX$15))</f>
        <v>0.285929993034897</v>
      </c>
      <c r="FY110" s="150" t="n">
        <f aca="false">IF($FJ35&lt;FY$94,"",SQRT(FY35/FY$15))</f>
        <v>0.317829876814047</v>
      </c>
      <c r="FZ110" s="150" t="n">
        <f aca="false">IF($FJ35&lt;FZ$94,"",SQRT(FZ35/FZ$15))</f>
        <v>0.360712717920542</v>
      </c>
      <c r="GA110" s="150" t="str">
        <f aca="false">IF($FJ35&lt;GA$94,"",SQRT(GA35/GA$15))</f>
        <v/>
      </c>
      <c r="GB110" s="150" t="str">
        <f aca="false">IF($FJ35&lt;GB$94,"",SQRT(GB35/GB$15))</f>
        <v/>
      </c>
      <c r="GC110" s="150" t="str">
        <f aca="false">IF($FJ35&lt;GC$94,"",SQRT(GC35/GC$15))</f>
        <v/>
      </c>
      <c r="GD110" s="150" t="str">
        <f aca="false">IF($FJ35&lt;GD$94,"",SQRT(GD35/GD$15))</f>
        <v/>
      </c>
      <c r="GE110" s="150" t="str">
        <f aca="false">IF($FJ35&lt;GE$94,"",SQRT(GE35/GE$15))</f>
        <v/>
      </c>
      <c r="GF110" s="150" t="str">
        <f aca="false">IF($FJ35&lt;GF$94,"",SQRT(GF35/GF$15))</f>
        <v/>
      </c>
      <c r="GG110" s="150" t="str">
        <f aca="false">IF($FJ35&lt;GG$94,"",SQRT(GG35/GG$15))</f>
        <v/>
      </c>
      <c r="GH110" s="150" t="str">
        <f aca="false">IF($FJ35&lt;GH$94,"",SQRT(GH35/GH$15))</f>
        <v/>
      </c>
      <c r="GI110" s="150" t="str">
        <f aca="false">IF($FJ35&lt;GI$94,"",SQRT(GI35/GI$15))</f>
        <v/>
      </c>
      <c r="GJ110" s="150" t="str">
        <f aca="false">IF($FJ35&lt;GJ$94,"",SQRT(GJ35/GJ$15))</f>
        <v/>
      </c>
      <c r="GK110" s="150" t="str">
        <f aca="false">IF($FJ35&lt;GK$94,"",SQRT(GK35/GK$15))</f>
        <v/>
      </c>
      <c r="GL110" s="150" t="str">
        <f aca="false">IF($FJ35&lt;GL$94,"",SQRT(GL35/GL$15))</f>
        <v/>
      </c>
      <c r="GM110" s="150" t="str">
        <f aca="false">IF($FJ35&lt;GM$94,"",SQRT(GM35/GM$15))</f>
        <v/>
      </c>
      <c r="GN110" s="150" t="str">
        <f aca="false">IF($FJ35&lt;GN$94,"",SQRT(GN35/GN$15))</f>
        <v/>
      </c>
      <c r="GO110" s="150" t="str">
        <f aca="false">IF($FJ35&lt;GO$94,"",SQRT(GO35/GO$15))</f>
        <v/>
      </c>
      <c r="GP110" s="150" t="str">
        <f aca="false">IF($FJ35&lt;GP$94,"",SQRT(GP35/GP$15))</f>
        <v/>
      </c>
      <c r="GQ110" s="150" t="str">
        <f aca="false">IF($FJ35&lt;GQ$94,"",SQRT(GQ35/GQ$15))</f>
        <v/>
      </c>
      <c r="GR110" s="150" t="str">
        <f aca="false">IF($FJ35&lt;GR$94,"",SQRT(GR35/GR$15))</f>
        <v/>
      </c>
      <c r="GS110" s="150" t="str">
        <f aca="false">IF($FJ35&lt;GS$94,"",SQRT(GS35/GS$15))</f>
        <v/>
      </c>
      <c r="GT110" s="150" t="str">
        <f aca="false">IF($FJ35&lt;GT$94,"",SQRT(GT35/GT$15))</f>
        <v/>
      </c>
      <c r="GU110" s="150" t="str">
        <f aca="false">IF($FJ35&lt;GU$94,"",SQRT(GU35/GU$15))</f>
        <v/>
      </c>
      <c r="GV110" s="150" t="str">
        <f aca="false">IF($FJ35&lt;GV$94,"",SQRT(GV35/GV$15))</f>
        <v/>
      </c>
      <c r="GW110" s="150" t="str">
        <f aca="false">IF($FJ35&lt;GW$94,"",SQRT(GW35/GW$15))</f>
        <v/>
      </c>
      <c r="GX110" s="150" t="str">
        <f aca="false">IF($FJ35&lt;GX$94,"",SQRT(GX35/GX$15))</f>
        <v/>
      </c>
      <c r="GY110" s="150" t="str">
        <f aca="false">IF($FJ35&lt;GY$94,"",SQRT(GY35/GY$15))</f>
        <v/>
      </c>
      <c r="GZ110" s="150" t="str">
        <f aca="false">IF($FJ35&lt;GZ$94,"",SQRT(GZ35/GZ$15))</f>
        <v/>
      </c>
      <c r="HA110" s="150" t="str">
        <f aca="false">IF($FJ35&lt;HA$94,"",SQRT(HA35/HA$15))</f>
        <v/>
      </c>
      <c r="HB110" s="150" t="str">
        <f aca="false">IF($FJ35&lt;HB$94,"",SQRT(HB35/HB$15))</f>
        <v/>
      </c>
      <c r="HC110" s="150" t="str">
        <f aca="false">IF($FJ35&lt;HC$94,"",SQRT(HC35/HC$15))</f>
        <v/>
      </c>
      <c r="HD110" s="150" t="str">
        <f aca="false">IF($FJ35&lt;HD$94,"",SQRT(HD35/HD$15))</f>
        <v/>
      </c>
      <c r="HE110" s="150" t="str">
        <f aca="false">IF($FJ35&lt;HE$94,"",SQRT(HE35/HE$15))</f>
        <v/>
      </c>
      <c r="HF110" s="150" t="str">
        <f aca="false">IF($FJ35&lt;HF$94,"",SQRT(HF35/HF$15))</f>
        <v/>
      </c>
      <c r="HG110" s="150" t="str">
        <f aca="false">IF($FJ35&lt;HG$94,"",SQRT(HG35/HG$15))</f>
        <v/>
      </c>
      <c r="HH110" s="150" t="str">
        <f aca="false">IF($FJ35&lt;HH$94,"",SQRT(HH35/HH$15))</f>
        <v/>
      </c>
      <c r="HI110" s="150" t="str">
        <f aca="false">IF($FJ35&lt;HI$94,"",SQRT(HI35/HI$15))</f>
        <v/>
      </c>
      <c r="HJ110" s="150" t="str">
        <f aca="false">IF($FJ35&lt;HJ$94,"",SQRT(HJ35/HJ$15))</f>
        <v/>
      </c>
      <c r="HK110" s="150" t="str">
        <f aca="false">IF($FJ35&lt;HK$94,"",SQRT(HK35/HK$15))</f>
        <v/>
      </c>
      <c r="HL110" s="150" t="str">
        <f aca="false">IF($FJ35&lt;HL$94,"",SQRT(HL35/HL$15))</f>
        <v/>
      </c>
      <c r="HM110" s="150" t="str">
        <f aca="false">IF($FJ35&lt;HM$94,"",SQRT(HM35/HM$15))</f>
        <v/>
      </c>
      <c r="HN110" s="150" t="str">
        <f aca="false">IF($FJ35&lt;HN$94,"",SQRT(HN35/HN$15))</f>
        <v/>
      </c>
      <c r="HO110" s="150" t="str">
        <f aca="false">IF($FJ35&lt;HO$94,"",SQRT(HO35/HO$15))</f>
        <v/>
      </c>
      <c r="HP110" s="150" t="str">
        <f aca="false">IF($FJ35&lt;HP$94,"",SQRT(HP35/HP$15))</f>
        <v/>
      </c>
      <c r="HQ110" s="150" t="str">
        <f aca="false">IF($FJ35&lt;HQ$94,"",SQRT(HQ35/HQ$15))</f>
        <v/>
      </c>
      <c r="HR110" s="150" t="str">
        <f aca="false">IF($FJ35&lt;HR$94,"",SQRT(HR35/HR$15))</f>
        <v/>
      </c>
      <c r="HS110" s="150" t="str">
        <f aca="false">IF($FJ35&lt;HS$94,"",SQRT(HS35/HS$15))</f>
        <v/>
      </c>
      <c r="HT110" s="150" t="str">
        <f aca="false">IF($FJ35&lt;HT$94,"",SQRT(HT35/HT$15))</f>
        <v/>
      </c>
      <c r="HU110" s="150" t="str">
        <f aca="false">IF($FJ35&lt;HU$94,"",SQRT(HU35/HU$15))</f>
        <v/>
      </c>
      <c r="HV110" s="150" t="str">
        <f aca="false">IF($FJ35&lt;HV$94,"",SQRT(HV35/HV$15))</f>
        <v/>
      </c>
      <c r="HW110" s="150" t="str">
        <f aca="false">IF($FJ35&lt;HW$94,"",SQRT(HW35/HW$15))</f>
        <v/>
      </c>
      <c r="HX110" s="150" t="str">
        <f aca="false">IF($FJ35&lt;HX$94,"",SQRT(HX35/HX$15))</f>
        <v/>
      </c>
      <c r="HY110" s="150" t="str">
        <f aca="false">IF($FJ35&lt;HY$94,"",SQRT(HY35/HY$15))</f>
        <v/>
      </c>
      <c r="HZ110" s="150" t="str">
        <f aca="false">IF($FJ35&lt;HZ$94,"",SQRT(HZ35/HZ$15))</f>
        <v/>
      </c>
      <c r="IA110" s="150" t="str">
        <f aca="false">IF($FJ35&lt;IA$94,"",SQRT(IA35/IA$15))</f>
        <v/>
      </c>
      <c r="IB110" s="150" t="str">
        <f aca="false">IF($FJ35&lt;IB$94,"",SQRT(IB35/IB$15))</f>
        <v/>
      </c>
      <c r="IC110" s="150" t="str">
        <f aca="false">IF($FJ35&lt;IC$94,"",SQRT(IC35/IC$15))</f>
        <v/>
      </c>
      <c r="ID110" s="572" t="str">
        <f aca="false">IF($FJ35&lt;ID$94,"",SQRT(ID35/ID$15))</f>
        <v/>
      </c>
      <c r="IE110" s="129"/>
    </row>
    <row r="111" customFormat="false" ht="12.75" hidden="false" customHeight="false" outlineLevel="0" collapsed="false">
      <c r="H111" s="219" t="n">
        <f aca="false">VLOOKUP(I111,$EJ$20:$EL$54,3)</f>
        <v>0</v>
      </c>
      <c r="I111" s="511" t="n">
        <f aca="false">EOMONTH(I110,0)+1</f>
        <v>39539</v>
      </c>
      <c r="J111" s="512"/>
      <c r="K111" s="513" t="s">
        <v>280</v>
      </c>
      <c r="L111" s="514" t="n">
        <f aca="false">IF(ISNUMBER(K111),J111+K111/100,IF(K111="extra",L110+VLOOKUP(BF111,PriceSpreadTable,2)/12,IF(K111="inter",interpolateprices($K$19:$L$200,ROW(K111)-ROW(FirstPricingMonth)+1),interpolatechanges($J$19:$K$200,ROW(K111)-ROW(FirstPricingMonth)+1))))</f>
        <v>0.5625</v>
      </c>
      <c r="M111" s="515"/>
      <c r="N111" s="516" t="n">
        <v>0</v>
      </c>
      <c r="O111" s="515" t="n">
        <f aca="false">M111+N111</f>
        <v>0</v>
      </c>
      <c r="P111" s="512"/>
      <c r="Q111" s="513" t="s">
        <v>280</v>
      </c>
      <c r="R111" s="512" t="e">
        <f aca="false">IF(ISNUMBER(Q111),P111+Q111/100,IF(Q111="extra",(Z109*AL109-R110*AM109)/AN109,IF(Q111="inter",interpolateprices($Q$19:$R$260,ROW(Q111)-ROW(FirstPricingMonth)+1),interpolatechanges($P$19:$Q$260,ROW(Q111)-ROW(FirstPricingMonth)+1))))</f>
        <v>#VALUE!</v>
      </c>
      <c r="S111" s="597" t="n">
        <f aca="false">S$19+(S110-S$19)*S$18</f>
        <v>0.360000000000228</v>
      </c>
      <c r="T111" s="575" t="n">
        <f aca="false">SQRT((1-(1-T110^2/U110)*T$18)*U111)</f>
        <v>0.999999927655766</v>
      </c>
      <c r="U111" s="576" t="n">
        <f aca="false">1-(1-U110)*U$18</f>
        <v>0.999999999999936</v>
      </c>
      <c r="V111" s="521" t="n">
        <v>0</v>
      </c>
      <c r="W111" s="577" t="n">
        <f aca="false">(J112*AJ111+J113*AK111)/AI111</f>
        <v>0</v>
      </c>
      <c r="X111" s="578" t="n">
        <f aca="false">(L112*AJ111+L113*AK111)/AI111</f>
        <v>0.613636363636363</v>
      </c>
      <c r="Y111" s="579" t="n">
        <f aca="false">IF(Q113="extra",W111-AA111,(P112*AM111+P113*AN111)/AL111)</f>
        <v>-1.281</v>
      </c>
      <c r="Z111" s="579" t="n">
        <f aca="false">IF(Q113="extra",X111-AB111,(R112*AM111+R113*AN111)/AL111)</f>
        <v>-0.667363636363637</v>
      </c>
      <c r="AA111" s="523" t="n">
        <f aca="false">IF(Q113="extra",INDEX(BrentSeasonalityTable,INT((BG111-1)/3)+1)*VLOOKUP(MAX(BF111,$AB$4),PriceSpreadTable,3),W111-Y111)</f>
        <v>1.281</v>
      </c>
      <c r="AB111" s="524" t="n">
        <f aca="false">IF(Q113="extra",INDEX(BrentSeasonalityTable,INT((BG111-1)/3)+1)*VLOOKUP(MAX(BF111,$AB$4),PriceSpreadTable,3),X111-Z111)</f>
        <v>1.281</v>
      </c>
      <c r="AC111" s="646" t="n">
        <v>39527</v>
      </c>
      <c r="AD111" s="646" t="n">
        <v>39523</v>
      </c>
      <c r="AE111" s="646" t="n">
        <v>39522</v>
      </c>
      <c r="AF111" s="646" t="n">
        <v>39518</v>
      </c>
      <c r="AG111" s="438" t="s">
        <v>278</v>
      </c>
      <c r="AH111" s="439" t="s">
        <v>278</v>
      </c>
      <c r="AI111" s="528" t="n">
        <v>22</v>
      </c>
      <c r="AJ111" s="529" t="n">
        <v>14</v>
      </c>
      <c r="AK111" s="529" t="n">
        <v>8</v>
      </c>
      <c r="AL111" s="530" t="n">
        <v>22</v>
      </c>
      <c r="AM111" s="529" t="n">
        <v>10</v>
      </c>
      <c r="AN111" s="531" t="n">
        <v>12</v>
      </c>
      <c r="AO111" s="532"/>
      <c r="AP111" s="465" t="n">
        <f aca="false">(1+AO111/2)^(-2*BL111)</f>
        <v>1</v>
      </c>
      <c r="AQ111" s="532"/>
      <c r="AR111" s="465" t="n">
        <f aca="false">(1+AQ111/2)^(-2*BH111/365.25)</f>
        <v>1</v>
      </c>
      <c r="AS111" s="580" t="n">
        <f aca="false">(O112*AJ111+O113*AK111)/AI111</f>
        <v>0</v>
      </c>
      <c r="AT111" s="468" t="n">
        <f aca="false">O111*VLOOKUP(BF111,BrentVolTable,2)+VLOOKUP(BF111,BrentVolTable,3)</f>
        <v>0</v>
      </c>
      <c r="AU111" s="468" t="n">
        <f aca="false">(AT112*AM111+AT113*AN111)/AL111</f>
        <v>0</v>
      </c>
      <c r="AV111" s="595" t="n">
        <f aca="false">SQRT(MAX(0.000000000001,(O111^2*BH111-S111^2*(BH111-BH110))/BH110))</f>
        <v>0.0241747641024011</v>
      </c>
      <c r="AW111" s="451" t="n">
        <f aca="false">IF($I111-DateToday+15&gt;=$T$8,"",IF($I111-DateToday+15&lt;$T$5,1,MATCH($I111-DateToday+15,$T$5:$T$8)))</f>
        <v>1</v>
      </c>
      <c r="AX111" s="468" t="n">
        <f aca="false">IF($AW111="",AX110^2/AX109,INDEX(U$5:U$8,$AW111)^((INDEX($T$5:$T$8,$AW111+1)-($I111-DateToday+15))/(INDEX($T$5:$T$8,$AW111+1)-INDEX($T$5:$T$8,$AW111)))/INDEX(U$5:U$8,$AW111+1)^((INDEX($T$5:$T$8,$AW111)-($I111-DateToday+15))/(INDEX($T$5:$T$8,$AW111+1)-INDEX($T$5:$T$8,$AW111))))</f>
        <v>1.79456706394754</v>
      </c>
      <c r="AY111" s="468" t="n">
        <f aca="false">IF($AW111="",AY110^2/AY109,INDEX(V$5:V$8,$AW111)^((INDEX($T$5:$T$8,$AW111+1)-($I111-DateToday+15))/(INDEX($T$5:$T$8,$AW111+1)-INDEX($T$5:$T$8,$AW111)))/INDEX(V$5:V$8,$AW111+1)^((INDEX($T$5:$T$8,$AW111)-($I111-DateToday+15))/(INDEX($T$5:$T$8,$AW111+1)-INDEX($T$5:$T$8,$AW111))))</f>
        <v>112.942804080717</v>
      </c>
      <c r="AZ111" s="468" t="n">
        <f aca="false">IF($AW111="",AZ110^2/AZ109,INDEX(W$5:W$8,$AW111)^((INDEX($T$5:$T$8,$AW111+1)-($I111-DateToday+15))/(INDEX($T$5:$T$8,$AW111+1)-INDEX($T$5:$T$8,$AW111)))/INDEX(W$5:W$8,$AW111+1)^((INDEX($T$5:$T$8,$AW111)-($I111-DateToday+15))/(INDEX($T$5:$T$8,$AW111+1)-INDEX($T$5:$T$8,$AW111))))</f>
        <v>393329.194343286</v>
      </c>
      <c r="BA111" s="468" t="n">
        <f aca="false">IF($AW111="",BA110^2/BA109,INDEX(X$5:X$8,$AW111)^((INDEX($T$5:$T$8,$AW111+1)-($I111-DateToday+15))/(INDEX($T$5:$T$8,$AW111+1)-INDEX($T$5:$T$8,$AW111)))/INDEX(X$5:X$8,$AW111+1)^((INDEX($T$5:$T$8,$AW111)-($I111-DateToday+15))/(INDEX($T$5:$T$8,$AW111+1)-INDEX($T$5:$T$8,$AW111))))</f>
        <v>7352662.68184873</v>
      </c>
      <c r="BB111" s="468" t="n">
        <f aca="false">IF($AW111="",BB110^2/BB109,INDEX(Y$5:Y$8,$AW111)^((INDEX($T$5:$T$8,$AW111+1)-($I111-DateToday+15))/(INDEX($T$5:$T$8,$AW111+1)-INDEX($T$5:$T$8,$AW111)))/INDEX(Y$5:Y$8,$AW111+1)^((INDEX($T$5:$T$8,$AW111)-($I111-DateToday+15))/(INDEX($T$5:$T$8,$AW111+1)-INDEX($T$5:$T$8,$AW111))))</f>
        <v>82590855.0430181</v>
      </c>
      <c r="BC111" s="468" t="n">
        <f aca="false">IF($AW111="",BC110^2/BC109,INDEX(Z$5:Z$8,$AW111)^((INDEX($T$5:$T$8,$AW111+1)-($I111-DateToday+15))/(INDEX($T$5:$T$8,$AW111+1)-INDEX($T$5:$T$8,$AW111)))/INDEX(Z$5:Z$8,$AW111+1)^((INDEX($T$5:$T$8,$AW111)-($I111-DateToday+15))/(INDEX($T$5:$T$8,$AW111+1)-INDEX($T$5:$T$8,$AW111))))</f>
        <v>353380866.723394</v>
      </c>
      <c r="BD111" s="535" t="n">
        <f aca="false">IF(OR(DateStart&gt;=I112,DateEnd&lt;I111),0,IF(VolumeOverrideFlag,V111,Volume))</f>
        <v>0</v>
      </c>
      <c r="BE111" s="536" t="n">
        <f aca="false">IF(OR(DateStart2&gt;=I112,DateEnd2&lt;I111),0,IF(VolumeOverrideFlag,V111,VolumeSwaption))</f>
        <v>0</v>
      </c>
      <c r="BF111" s="537" t="n">
        <f aca="false">YEAR(I111)</f>
        <v>2008</v>
      </c>
      <c r="BG111" s="538" t="n">
        <f aca="false">MONTH(I111)</f>
        <v>4</v>
      </c>
      <c r="BH111" s="539" t="n">
        <f aca="false">AD111-DateToday+1</f>
        <v>-6402</v>
      </c>
      <c r="BI111" s="540" t="n">
        <f aca="false">(I111-DateToday+1)/365.25</f>
        <v>-17.4839151266256</v>
      </c>
      <c r="BJ111" s="541" t="n">
        <f aca="false">BI111+(BL111-BI111)*CHOOSE(Underlying,AJ111/AI111,AM111/AL111)</f>
        <v>-17.4333893348267</v>
      </c>
      <c r="BK111" s="541" t="n">
        <f aca="false">BJ111+1/365.25</f>
        <v>-17.4306514840396</v>
      </c>
      <c r="BL111" s="541" t="n">
        <f aca="false">(I112-DateToday)/365.25</f>
        <v>-17.4045174537988</v>
      </c>
      <c r="BM111" s="542" t="e">
        <f aca="false">MAX(BI111-(BJ111-BI111)*(S112^2/O112^2-1),0)</f>
        <v>#DIV/0!</v>
      </c>
      <c r="BN111" s="541" t="e">
        <f aca="false">MAX(BL111+(BL111-BK111)*(S113^2/O113^2-1),0)</f>
        <v>#DIV/0!</v>
      </c>
      <c r="BO111" s="530" t="n">
        <f aca="false">CHOOSE(Underlying,AI111,AL111)</f>
        <v>22</v>
      </c>
      <c r="BP111" s="529" t="n">
        <f aca="false">CHOOSE(Underlying,AJ111,AM111)</f>
        <v>14</v>
      </c>
      <c r="BQ111" s="529" t="n">
        <f aca="false">CHOOSE(Underlying,AK111,AN111)</f>
        <v>8</v>
      </c>
      <c r="BR111" s="463" t="str">
        <f aca="false">IF(BD111,IF(Underlying=1,X111,Z111)+UnderlyingPriceAsian-SwapPriceCurve,"")</f>
        <v/>
      </c>
      <c r="BS111" s="463" t="str">
        <f aca="false">IF(BD111,Strike1/BR111-1,"")</f>
        <v/>
      </c>
      <c r="BT111" s="464" t="str">
        <f aca="false">IF(BD111,Strike2/BR111-1,"")</f>
        <v/>
      </c>
      <c r="BU111" s="465" t="str">
        <f aca="false">IF(BD111,IF(Underlying=1,L112,R112)+UnderlyingPriceAsian-SwapPriceCurve,"")</f>
        <v/>
      </c>
      <c r="BV111" s="465" t="str">
        <f aca="false">IF(BD111,IF(Underlying=1,L113,R113)+UnderlyingPriceAsian-SwapPriceCurve,"")</f>
        <v/>
      </c>
      <c r="BW111" s="466" t="str">
        <f aca="false">IF(BD111,IF(Underlying=1,O112,AT112),"")</f>
        <v/>
      </c>
      <c r="BX111" s="467" t="str">
        <f aca="false">IF(BD111,IF(Underlying=1,O113,AT113),"")</f>
        <v/>
      </c>
      <c r="BY111" s="466" t="str">
        <f aca="false">IF(BD111,IF(BS111&gt;0,IF(BS111&gt;0.2,BC111-BB111,IF(BS111&gt;0.1,BB111-BA111,BA111)),IF(BS111&lt;-0.2,AX111-AY111,IF(BS111&lt;-0.1,AY111-AZ111,AZ111))),"")</f>
        <v/>
      </c>
      <c r="BZ111" s="467" t="str">
        <f aca="false">IF(BD111,IF(BT111&gt;0,IF(BT111&gt;0.2,BC111-BB111,IF(BT111&gt;0.1,BB111-BA111,BA111)),IF(BT111&lt;-0.2,AX111-AY111,IF(BT111&lt;-0.1,AY111-AZ111,AZ111))),"")</f>
        <v/>
      </c>
      <c r="CA111" s="468" t="str">
        <f aca="false">IF($BD111,$BW111+IF(VolSkewFlag=1,IF(BS111&gt;0,$BA111*MIN(BS111/10%,1)+($BB111-$BA111)*MAX(0,MIN(BS111/10%-1,1))+($BC111-$BB111)*MAX(0,BS111/10%-2),$AZ111*MIN(-BS111/10%,1)+($AY111-$AZ111)*MAX(0,MIN(-BS111/10%-1,1))+($AX111-$AY111)*MAX(0,-BS111/10%-2)),0),"")</f>
        <v/>
      </c>
      <c r="CB111" s="468" t="str">
        <f aca="false">IF($BD111,$BX111+IF(VolSkewFlag=1,IF(BS111&gt;0,$BA111*MIN(BS111/10%,1)+($BB111-$BA111)*MAX(0,MIN(BS111/10%-1,1))+($BC111-$BB111)*MAX(0,BS111/10%-2),$AZ111*MIN(-BS111/10%,1)+($AY111-$AZ111)*MAX(0,MIN(-BS111/10%-1,1))+($AX111-$AY111)*MAX(0,-BS111/10%-2)),0),"")</f>
        <v/>
      </c>
      <c r="CC111" s="468" t="str">
        <f aca="false">IF($BD111,$BW111+IF(VolSkewFlag=1,IF(BT111&gt;0,$BA111*MIN(BT111/10%,1)+($BB111-$BA111)*MAX(0,MIN(BT111/10%-1,1))+($BC111-$BB111)*MAX(0,BT111/10%-2),$AZ111*MIN(-BT111/10%,1)+($AY111-$AZ111)*MAX(0,MIN(-BT111/10%-1,1))+($AX111-$AY111)*MAX(0,-BT111/10%-2)),0),"")</f>
        <v/>
      </c>
      <c r="CD111" s="468" t="str">
        <f aca="false">IF($BD111,$BX111+IF(VolSkewFlag=1,IF(BT111&gt;0,$BA111*MIN(BT111/10%,1)+($BB111-$BA111)*MAX(0,MIN(BT111/10%-1,1))+($BC111-$BB111)*MAX(0,BT111/10%-2),$AZ111*MIN(-BT111/10%,1)+($AY111-$AZ111)*MAX(0,MIN(-BT111/10%-1,1))+($AX111-$AY111)*MAX(0,-BT111/10%-2)),0),"")</f>
        <v/>
      </c>
      <c r="CE111" s="469" t="n">
        <v>1</v>
      </c>
      <c r="CF111" s="470" t="n">
        <f aca="false">IF(BD111,xCrudeAPO(BU111,BV111,CA111,CB111,S112,S113,BI111,BL111,BP111,BQ111,0,Strike1,AO111,CE111,0,BL111,IF(OptControl=4,0,1),0,1),0)</f>
        <v>0</v>
      </c>
      <c r="CG111" s="470" t="n">
        <f aca="false">IF(BD111,xCrudeAPO(BU111,BV111,CA111,CB111,S112,S113,BI111,BL111,BP111,BQ111,0,Strike1,AO111,CE111,0,BL111,IF(OptControl=4,0,1),1,1)+xCrudeAPO(BU111,BV111,CA111,CB111,S112,S113,BI111,BL111,BP111,BQ111,0,Strike1,AO111,CE111,0,BL111,IF(OptControl=4,0,1),1,2)+IF(OR(VolSkewFlag=2,ABS(BS111)&lt;0.0001),0,IF(BS111&gt;0,-1,1)*CH111*Strike1/BR111^2*BY111/10%),0)</f>
        <v>0</v>
      </c>
      <c r="CH111" s="470" t="n">
        <f aca="false">IF(BD111,(xCrudeAPO(BU111,BV111,CA111,CB111,S112,S113,BI111,BL111,BP111,BQ111,0,Strike1,AO111,CE111,0,BL111,IF(OptControl=4,0,1),3,1)+xCrudeAPO(BU111,BV111,CA111,CB111,S112,S113,BI111,BL111,BP111,BQ111,0,Strike1,AO111,CE111,0,BL111,IF(OptControl=4,0,1),3,2))/100,0)</f>
        <v>0</v>
      </c>
      <c r="CI111" s="470" t="n">
        <f aca="false">IF(BD111,xCrudeAPO(BU111,BV111,CA111,CB111,S112,S113,BI111-DaysForThetaCalculation/365.25,BL111-DaysForThetaCalculation/365.25,BP111,BQ111,0,Strike1,AO111,CE111,0,BL111,IF(OptControl=4,0,1),0,1)-xCrudeAPO(BU111,BV111,CA111,CB111,S112,S113,BI111,BL111,BP111,BQ111,0,Strike1,AO111,CE111,0,BL111,IF(OptControl=4,0,1),0,1),0)</f>
        <v>0</v>
      </c>
      <c r="CJ111" s="471" t="n">
        <f aca="false">IF(BD111,xCrudeAPO(BU111,BV111,CC111,CD111,S112,S113,BI111,BL111,BP111,BQ111,0,Strike2,AO111,CE111,0,BL111,IF(OptControl=3,1,0),0,1),0)</f>
        <v>0</v>
      </c>
      <c r="CK111" s="470" t="n">
        <f aca="false">IF(BD111,xCrudeAPO(BU111,BV111,CC111,CD111,S112,S113,BI111,BL111,BP111,BQ111,0,Strike2,AO111,CE111,0,BL111,IF(OptControl=3,1,0),1,1)+xCrudeAPO(BU111,BV111,CC111,CD111,S112,S113,BI111,BL111,BP111,BQ111,0,Strike2,AO111,CE111,0,BL111,IF(OptControl=3,1,0),1,2)+IF(OR(VolSkewFlag=2,ABS(BT111)&lt;0.0001),0,IF(BT111&gt;0,-1,1)*CL111*Strike2/BR111^2*BZ111/10%),0)</f>
        <v>0</v>
      </c>
      <c r="CL111" s="470" t="n">
        <f aca="false">IF(BD111,(xCrudeAPO(BU111,BV111,CC111,CD111,S112,S113,BI111,BL111,BP111,BQ111,0,Strike2,AO111,CE111,0,BL111,IF(OptControl=3,1,0),3,1)+xCrudeAPO(BU111,BV111,CC111,CD111,S112,S113,BI111,BL111,BP111,BQ111,0,Strike2,AO111,CE111,0,BL111,IF(OptControl=3,1,0),3,2))/100,0)</f>
        <v>0</v>
      </c>
      <c r="CM111" s="472" t="n">
        <f aca="false">IF(BD111,xCrudeAPO(BU111,BV111,CC111,CD111,S112,S113,BI111-DaysForThetaCalculation/365.25,BL111-DaysForThetaCalculation/365.25,BP111,BQ111,0,Strike2,AO111,CE111,0,BL111,IF(OptControl=3,1,0),0,1)-xCrudeAPO(BU111,BV111,CC111,CD111,S112,S113,BI111,BL111,BP111,BQ111,0,Strike2,AO111,CE111,0,BL111,IF(OptControl=3,1,0),0,1),0)</f>
        <v>0</v>
      </c>
      <c r="CN111" s="3"/>
      <c r="CO111" s="543" t="str">
        <f aca="false">IF(BD111,CHOOSE(Underlying,AD111,AF111)-DateToday+1,"")</f>
        <v/>
      </c>
      <c r="CP111" s="582" t="str">
        <f aca="false">IF(BD111,CHOOSE(Underlying,L111,R111),"")</f>
        <v/>
      </c>
      <c r="CQ111" s="544" t="str">
        <f aca="false">IF(BD111,Strike1/CP111-1,"")</f>
        <v/>
      </c>
      <c r="CR111" s="544" t="str">
        <f aca="false">IF(BD111,Strike2/CP111-1,"")</f>
        <v/>
      </c>
      <c r="CS111" s="544" t="str">
        <f aca="false">IF(BD111,IF(CQ111&gt;0,IF(CQ111&gt;0.2,BC110-BB110,IF(CQ111&gt;0.1,BB110-BA110,BA110)),IF(CQ111&lt;-0.2,AX110-AY110,IF(CQ111&lt;-0.1,AY110-AZ110,AZ110))),"")</f>
        <v/>
      </c>
      <c r="CT111" s="544" t="str">
        <f aca="false">IF(BD111,IF(CR111&gt;0,IF(CR111&gt;0.2,BC110-BB110,IF(CR111&gt;0.1,BB110-BA110,BA110)),IF(CR111&lt;-0.2,AX110-AY110,IF(CR111&lt;-0.1,AY110-AZ110,AZ110))),"")</f>
        <v/>
      </c>
      <c r="CU111" s="545" t="str">
        <f aca="false">IF(BD111,CHOOSE(Underlying,O111,AT111),"")</f>
        <v/>
      </c>
      <c r="CV111" s="545" t="str">
        <f aca="false">IF(BD111,CU111+IF(VolSkewFlag=1,IF(CQ111&gt;0,BA110*MIN(CQ111/10%,1)+(BB110-BA110)*MAX(0,MIN(CQ111/10%-1,1))+(BC110-BB110)*MAX(0,CQ111/10%-2),AZ110*MIN(-CQ111/10%,1)+(AY110-AZ110)*MAX(0,MIN(-CQ111/10%-1,1))+(AX110-AY110)*MAX(0,-CQ111/10%-2)),0),"")</f>
        <v/>
      </c>
      <c r="CW111" s="545" t="str">
        <f aca="false">IF(BD111,CU111+IF(VolSkewFlag=1,IF(CR111&gt;0,BA110*MIN(CR111/10%,1)+(BB110-BA110)*MAX(0,MIN(CR111/10%-1,1))+(BC110-BB110)*MAX(0,CR111/10%-2),AZ110*MIN(-CR111/10%,1)+(AY110-AZ110)*MAX(0,MIN(-CR111/10%-1,1))+(AX110-AY110)*MAX(0,-CR111/10%-2)),0),"")</f>
        <v/>
      </c>
      <c r="CX111" s="470" t="n">
        <f aca="false">IF(BD111,EURO(CP111,Strike1,AO111,AO111,CV111,CO111,IF(OptControl=4,0,1),0),0)</f>
        <v>0</v>
      </c>
      <c r="CY111" s="470" t="n">
        <f aca="false">IF(BD111,EURO(CP111,Strike1,AO111,AO111,CV111,CO111,IF(OptControl=4,0,1),1)+IF(OR(VolSkewFlag=2,ABS(CQ111)&lt;0.0001),0,IF(CQ111&gt;0,-1,1)*CZ111*100*Strike1/CP111^2*CS111/10%),0)</f>
        <v>0</v>
      </c>
      <c r="CZ111" s="470" t="n">
        <f aca="false">IF(BD111,EURO(CP111,Strike1,AO111,AO111,CV111,CO111,IF(OptControl=4,0,1),3)/100,0)</f>
        <v>0</v>
      </c>
      <c r="DA111" s="470" t="n">
        <f aca="false">IF(BD111,EURO(CP111,Strike1,AO111,AO111,CV111,CO111,IF(OptControl=4,0,1),0)-EURO(CP111,Strike1,AO111,AO111,CV111,CO111-1,IF(OptControl=4,0,1),0),0)</f>
        <v>0</v>
      </c>
      <c r="DB111" s="470" t="n">
        <f aca="false">IF(BD111,EURO(CP111,Strike2,AO111,AO111,CW111,CO111,IF(OptControl=3,1,0),0),0)</f>
        <v>0</v>
      </c>
      <c r="DC111" s="470" t="n">
        <f aca="false">IF(BD111,EURO(CP111,Strike2,AO111,AO111,CW111,CO111,IF(OptControl=3,1,0),1)+IF(OR(VolSkewFlag=2,ABS(CR111)&lt;0.0001),0,IF(CR111&gt;0,-1,1)*DD111*100*Strike2/CP111^2*CT111/10%),0)</f>
        <v>0</v>
      </c>
      <c r="DD111" s="470" t="n">
        <f aca="false">IF(BD111,EURO(CP111,Strike2,AO111,AO111,CW111,CO111,IF(OptControl=3,1,0),3)/100,0)</f>
        <v>0</v>
      </c>
      <c r="DE111" s="472" t="n">
        <f aca="false">IF(BD111,EURO(CP111,Strike2,AO111,AO111,CW111,CO111,IF(OptControl=3,1,0),0)-EURO(CP111,Strike2,AO111,AO111,CW111,CO111-1,IF(OptControl=3,1,0),0),0)</f>
        <v>0</v>
      </c>
      <c r="DG111" s="481" t="n">
        <f aca="false">EOMONTH(DG110,0)+1</f>
        <v>48458</v>
      </c>
      <c r="DH111" s="478" t="n">
        <v>18.7225</v>
      </c>
      <c r="DI111" s="479" t="n">
        <v>18.7820833333333</v>
      </c>
      <c r="DJ111" s="480" t="n">
        <f aca="false">DG111</f>
        <v>48458</v>
      </c>
      <c r="DK111" s="478" t="n">
        <v>17.5344281363955</v>
      </c>
      <c r="DL111" s="479" t="n">
        <v>17.5151833333333</v>
      </c>
      <c r="DM111" s="481" t="n">
        <f aca="false">DG111</f>
        <v>48458</v>
      </c>
      <c r="DN111" s="482" t="n">
        <f aca="false">DK111+BrentPhyBrentSpread</f>
        <v>17.5844281363955</v>
      </c>
      <c r="DO111" s="481" t="n">
        <f aca="false">DG111</f>
        <v>48458</v>
      </c>
      <c r="DP111" s="483" t="n">
        <f aca="false">DL111+DQ111</f>
        <v>17.5151833333333</v>
      </c>
      <c r="DQ111" s="546" t="n">
        <v>0</v>
      </c>
      <c r="DR111" s="480" t="n">
        <f aca="false">DG111</f>
        <v>48458</v>
      </c>
      <c r="DS111" s="485" t="n">
        <v>0.17</v>
      </c>
      <c r="DT111" s="486" t="n">
        <v>0.16922</v>
      </c>
      <c r="DU111" s="480" t="n">
        <f aca="false">DG111</f>
        <v>48458</v>
      </c>
      <c r="DV111" s="485" t="n">
        <v>0.17</v>
      </c>
      <c r="DW111" s="486" t="n">
        <v>0.16922</v>
      </c>
      <c r="DX111" s="481" t="n">
        <f aca="false">DG111</f>
        <v>48458</v>
      </c>
      <c r="DY111" s="486" t="n">
        <v>0.35</v>
      </c>
      <c r="DZ111" s="481" t="n">
        <f aca="false">DR111</f>
        <v>48458</v>
      </c>
      <c r="EA111" s="486" t="n">
        <f aca="false">DT111</f>
        <v>0.16922</v>
      </c>
      <c r="EB111" s="195"/>
      <c r="EC111" s="547" t="str">
        <f aca="false">IF(BD111,IF(Underlying=1,AS111,AU111),"")</f>
        <v/>
      </c>
      <c r="ED111" s="548" t="str">
        <f aca="false">IF($BD111,$EC111+IF(VolSkewFlag=1,IF(BS111&gt;0,$BA111*MIN(BS111/10%,1)+($BB111-$BA111)*MAX(0,MIN(BS111/10%-1,1))+($BC111-$BB111)*MAX(0,BS111/10%-2),$AZ111*MIN(-BS111/10%,1)+($AY111-$AZ111)*MAX(0,MIN(-BS111/10%-1,1))+($AX111-$AY111)*MAX(0,-BS111/10%-2)),0),"")</f>
        <v/>
      </c>
      <c r="EE111" s="549" t="str">
        <f aca="false">IF($BD111,$EC111+IF(VolSkewFlag=1,IF(BT111&gt;0,$BA111*MIN(BT111/10%,1)+($BB111-$BA111)*MAX(0,MIN(BT111/10%-1,1))+($BC111-$BB111)*MAX(0,BT111/10%-2),$AZ111*MIN(-BT111/10%,1)+($AY111-$AZ111)*MAX(0,MIN(-BT111/10%-1,1))+($AX111-$AY111)*MAX(0,-BT111/10%-2)),0),"")</f>
        <v/>
      </c>
      <c r="EF111" s="550" t="n">
        <f aca="false">IF(BD111,xASN(BR111,Strike1,AO111,ED111,0,BO111,0,BI111,BL111,IF(OptControl=4,0,1),0),0)</f>
        <v>0</v>
      </c>
      <c r="EG111" s="551" t="n">
        <f aca="false">IF(BD111,xASN(BR111,Strike2,AO111,EE111,0,BO111,0,BI111,BL111,IF(OptControl=3,1,0),0),0)</f>
        <v>0</v>
      </c>
      <c r="EL111" s="1"/>
      <c r="EM111" s="195"/>
      <c r="EN111" s="240"/>
      <c r="EO111" s="240"/>
      <c r="EP111" s="195"/>
      <c r="EQ111" s="407" t="s">
        <v>338</v>
      </c>
      <c r="ES111" s="130"/>
      <c r="ET111" s="19"/>
      <c r="EU111" s="672"/>
      <c r="EV111" s="478"/>
      <c r="EW111" s="131"/>
      <c r="EX111" s="131"/>
      <c r="EY111" s="129"/>
      <c r="EZ111" s="129"/>
      <c r="FA111" s="129"/>
      <c r="FB111" s="129"/>
      <c r="FC111" s="129"/>
      <c r="FD111" s="129"/>
      <c r="FE111" s="129"/>
      <c r="FF111" s="129"/>
      <c r="FG111" s="129"/>
      <c r="FH111" s="129"/>
      <c r="FI111" s="129"/>
      <c r="FJ111" s="571" t="n">
        <v>17</v>
      </c>
      <c r="FK111" s="150" t="e">
        <f aca="false">IF($FJ36&lt;FK$94,"",SQRT(FK36/FK$15))</f>
        <v>#DIV/0!</v>
      </c>
      <c r="FL111" s="150" t="n">
        <f aca="false">IF($FJ36&lt;FL$94,"",SQRT(FL36/FL$15))</f>
        <v>-0</v>
      </c>
      <c r="FM111" s="150" t="n">
        <f aca="false">IF($FJ36&lt;FM$94,"",SQRT(FM36/FM$15))</f>
        <v>0.185996774846007</v>
      </c>
      <c r="FN111" s="150" t="n">
        <f aca="false">IF($FJ36&lt;FN$94,"",SQRT(FN36/FN$15))</f>
        <v>0.185153910354983</v>
      </c>
      <c r="FO111" s="150" t="n">
        <f aca="false">IF($FJ36&lt;FO$94,"",SQRT(FO36/FO$15))</f>
        <v>0.185641216331223</v>
      </c>
      <c r="FP111" s="150" t="n">
        <f aca="false">IF($FJ36&lt;FP$94,"",SQRT(FP36/FP$15))</f>
        <v>0.187358108266061</v>
      </c>
      <c r="FQ111" s="150" t="n">
        <f aca="false">IF($FJ36&lt;FQ$94,"",SQRT(FQ36/FQ$15))</f>
        <v>0.190283112186247</v>
      </c>
      <c r="FR111" s="150" t="n">
        <f aca="false">IF($FJ36&lt;FR$94,"",SQRT(FR36/FR$15))</f>
        <v>0.194470029312846</v>
      </c>
      <c r="FS111" s="150" t="n">
        <f aca="false">IF($FJ36&lt;FS$94,"",SQRT(FS36/FS$15))</f>
        <v>0.200050980899007</v>
      </c>
      <c r="FT111" s="150" t="n">
        <f aca="false">IF($FJ36&lt;FT$94,"",SQRT(FT36/FT$15))</f>
        <v>0.20724735958583</v>
      </c>
      <c r="FU111" s="150" t="n">
        <f aca="false">IF($FJ36&lt;FU$94,"",SQRT(FU36/FU$15))</f>
        <v>0.216390998173118</v>
      </c>
      <c r="FV111" s="150" t="n">
        <f aca="false">IF($FJ36&lt;FV$94,"",SQRT(FV36/FV$15))</f>
        <v>0.227959861046061</v>
      </c>
      <c r="FW111" s="150" t="n">
        <f aca="false">IF($FJ36&lt;FW$94,"",SQRT(FW36/FW$15))</f>
        <v>0.242635905266987</v>
      </c>
      <c r="FX111" s="150" t="n">
        <f aca="false">IF($FJ36&lt;FX$94,"",SQRT(FX36/FX$15))</f>
        <v>0.261398683864966</v>
      </c>
      <c r="FY111" s="150" t="n">
        <f aca="false">IF($FJ36&lt;FY$94,"",SQRT(FY36/FY$15))</f>
        <v>0.28567928600221</v>
      </c>
      <c r="FZ111" s="150" t="n">
        <f aca="false">IF($FJ36&lt;FZ$94,"",SQRT(FZ36/FZ$15))</f>
        <v>0.317620685451863</v>
      </c>
      <c r="GA111" s="150" t="n">
        <f aca="false">IF($FJ36&lt;GA$94,"",SQRT(GA36/GA$15))</f>
        <v>0.360534538440406</v>
      </c>
      <c r="GB111" s="150" t="str">
        <f aca="false">IF($FJ36&lt;GB$94,"",SQRT(GB36/GB$15))</f>
        <v/>
      </c>
      <c r="GC111" s="150" t="str">
        <f aca="false">IF($FJ36&lt;GC$94,"",SQRT(GC36/GC$15))</f>
        <v/>
      </c>
      <c r="GD111" s="150" t="str">
        <f aca="false">IF($FJ36&lt;GD$94,"",SQRT(GD36/GD$15))</f>
        <v/>
      </c>
      <c r="GE111" s="150" t="str">
        <f aca="false">IF($FJ36&lt;GE$94,"",SQRT(GE36/GE$15))</f>
        <v/>
      </c>
      <c r="GF111" s="150" t="str">
        <f aca="false">IF($FJ36&lt;GF$94,"",SQRT(GF36/GF$15))</f>
        <v/>
      </c>
      <c r="GG111" s="150" t="str">
        <f aca="false">IF($FJ36&lt;GG$94,"",SQRT(GG36/GG$15))</f>
        <v/>
      </c>
      <c r="GH111" s="150" t="str">
        <f aca="false">IF($FJ36&lt;GH$94,"",SQRT(GH36/GH$15))</f>
        <v/>
      </c>
      <c r="GI111" s="150" t="str">
        <f aca="false">IF($FJ36&lt;GI$94,"",SQRT(GI36/GI$15))</f>
        <v/>
      </c>
      <c r="GJ111" s="150" t="str">
        <f aca="false">IF($FJ36&lt;GJ$94,"",SQRT(GJ36/GJ$15))</f>
        <v/>
      </c>
      <c r="GK111" s="150" t="str">
        <f aca="false">IF($FJ36&lt;GK$94,"",SQRT(GK36/GK$15))</f>
        <v/>
      </c>
      <c r="GL111" s="150" t="str">
        <f aca="false">IF($FJ36&lt;GL$94,"",SQRT(GL36/GL$15))</f>
        <v/>
      </c>
      <c r="GM111" s="150" t="str">
        <f aca="false">IF($FJ36&lt;GM$94,"",SQRT(GM36/GM$15))</f>
        <v/>
      </c>
      <c r="GN111" s="150" t="str">
        <f aca="false">IF($FJ36&lt;GN$94,"",SQRT(GN36/GN$15))</f>
        <v/>
      </c>
      <c r="GO111" s="150" t="str">
        <f aca="false">IF($FJ36&lt;GO$94,"",SQRT(GO36/GO$15))</f>
        <v/>
      </c>
      <c r="GP111" s="150" t="str">
        <f aca="false">IF($FJ36&lt;GP$94,"",SQRT(GP36/GP$15))</f>
        <v/>
      </c>
      <c r="GQ111" s="150" t="str">
        <f aca="false">IF($FJ36&lt;GQ$94,"",SQRT(GQ36/GQ$15))</f>
        <v/>
      </c>
      <c r="GR111" s="150" t="str">
        <f aca="false">IF($FJ36&lt;GR$94,"",SQRT(GR36/GR$15))</f>
        <v/>
      </c>
      <c r="GS111" s="150" t="str">
        <f aca="false">IF($FJ36&lt;GS$94,"",SQRT(GS36/GS$15))</f>
        <v/>
      </c>
      <c r="GT111" s="150" t="str">
        <f aca="false">IF($FJ36&lt;GT$94,"",SQRT(GT36/GT$15))</f>
        <v/>
      </c>
      <c r="GU111" s="150" t="str">
        <f aca="false">IF($FJ36&lt;GU$94,"",SQRT(GU36/GU$15))</f>
        <v/>
      </c>
      <c r="GV111" s="150" t="str">
        <f aca="false">IF($FJ36&lt;GV$94,"",SQRT(GV36/GV$15))</f>
        <v/>
      </c>
      <c r="GW111" s="150" t="str">
        <f aca="false">IF($FJ36&lt;GW$94,"",SQRT(GW36/GW$15))</f>
        <v/>
      </c>
      <c r="GX111" s="150" t="str">
        <f aca="false">IF($FJ36&lt;GX$94,"",SQRT(GX36/GX$15))</f>
        <v/>
      </c>
      <c r="GY111" s="150" t="str">
        <f aca="false">IF($FJ36&lt;GY$94,"",SQRT(GY36/GY$15))</f>
        <v/>
      </c>
      <c r="GZ111" s="150" t="str">
        <f aca="false">IF($FJ36&lt;GZ$94,"",SQRT(GZ36/GZ$15))</f>
        <v/>
      </c>
      <c r="HA111" s="150" t="str">
        <f aca="false">IF($FJ36&lt;HA$94,"",SQRT(HA36/HA$15))</f>
        <v/>
      </c>
      <c r="HB111" s="150" t="str">
        <f aca="false">IF($FJ36&lt;HB$94,"",SQRT(HB36/HB$15))</f>
        <v/>
      </c>
      <c r="HC111" s="150" t="str">
        <f aca="false">IF($FJ36&lt;HC$94,"",SQRT(HC36/HC$15))</f>
        <v/>
      </c>
      <c r="HD111" s="150" t="str">
        <f aca="false">IF($FJ36&lt;HD$94,"",SQRT(HD36/HD$15))</f>
        <v/>
      </c>
      <c r="HE111" s="150" t="str">
        <f aca="false">IF($FJ36&lt;HE$94,"",SQRT(HE36/HE$15))</f>
        <v/>
      </c>
      <c r="HF111" s="150" t="str">
        <f aca="false">IF($FJ36&lt;HF$94,"",SQRT(HF36/HF$15))</f>
        <v/>
      </c>
      <c r="HG111" s="150" t="str">
        <f aca="false">IF($FJ36&lt;HG$94,"",SQRT(HG36/HG$15))</f>
        <v/>
      </c>
      <c r="HH111" s="150" t="str">
        <f aca="false">IF($FJ36&lt;HH$94,"",SQRT(HH36/HH$15))</f>
        <v/>
      </c>
      <c r="HI111" s="150" t="str">
        <f aca="false">IF($FJ36&lt;HI$94,"",SQRT(HI36/HI$15))</f>
        <v/>
      </c>
      <c r="HJ111" s="150" t="str">
        <f aca="false">IF($FJ36&lt;HJ$94,"",SQRT(HJ36/HJ$15))</f>
        <v/>
      </c>
      <c r="HK111" s="150" t="str">
        <f aca="false">IF($FJ36&lt;HK$94,"",SQRT(HK36/HK$15))</f>
        <v/>
      </c>
      <c r="HL111" s="150" t="str">
        <f aca="false">IF($FJ36&lt;HL$94,"",SQRT(HL36/HL$15))</f>
        <v/>
      </c>
      <c r="HM111" s="150" t="str">
        <f aca="false">IF($FJ36&lt;HM$94,"",SQRT(HM36/HM$15))</f>
        <v/>
      </c>
      <c r="HN111" s="150" t="str">
        <f aca="false">IF($FJ36&lt;HN$94,"",SQRT(HN36/HN$15))</f>
        <v/>
      </c>
      <c r="HO111" s="150" t="str">
        <f aca="false">IF($FJ36&lt;HO$94,"",SQRT(HO36/HO$15))</f>
        <v/>
      </c>
      <c r="HP111" s="150" t="str">
        <f aca="false">IF($FJ36&lt;HP$94,"",SQRT(HP36/HP$15))</f>
        <v/>
      </c>
      <c r="HQ111" s="150" t="str">
        <f aca="false">IF($FJ36&lt;HQ$94,"",SQRT(HQ36/HQ$15))</f>
        <v/>
      </c>
      <c r="HR111" s="150" t="str">
        <f aca="false">IF($FJ36&lt;HR$94,"",SQRT(HR36/HR$15))</f>
        <v/>
      </c>
      <c r="HS111" s="150" t="str">
        <f aca="false">IF($FJ36&lt;HS$94,"",SQRT(HS36/HS$15))</f>
        <v/>
      </c>
      <c r="HT111" s="150" t="str">
        <f aca="false">IF($FJ36&lt;HT$94,"",SQRT(HT36/HT$15))</f>
        <v/>
      </c>
      <c r="HU111" s="150" t="str">
        <f aca="false">IF($FJ36&lt;HU$94,"",SQRT(HU36/HU$15))</f>
        <v/>
      </c>
      <c r="HV111" s="150" t="str">
        <f aca="false">IF($FJ36&lt;HV$94,"",SQRT(HV36/HV$15))</f>
        <v/>
      </c>
      <c r="HW111" s="150" t="str">
        <f aca="false">IF($FJ36&lt;HW$94,"",SQRT(HW36/HW$15))</f>
        <v/>
      </c>
      <c r="HX111" s="150" t="str">
        <f aca="false">IF($FJ36&lt;HX$94,"",SQRT(HX36/HX$15))</f>
        <v/>
      </c>
      <c r="HY111" s="150" t="str">
        <f aca="false">IF($FJ36&lt;HY$94,"",SQRT(HY36/HY$15))</f>
        <v/>
      </c>
      <c r="HZ111" s="150" t="str">
        <f aca="false">IF($FJ36&lt;HZ$94,"",SQRT(HZ36/HZ$15))</f>
        <v/>
      </c>
      <c r="IA111" s="150" t="str">
        <f aca="false">IF($FJ36&lt;IA$94,"",SQRT(IA36/IA$15))</f>
        <v/>
      </c>
      <c r="IB111" s="150" t="str">
        <f aca="false">IF($FJ36&lt;IB$94,"",SQRT(IB36/IB$15))</f>
        <v/>
      </c>
      <c r="IC111" s="150" t="str">
        <f aca="false">IF($FJ36&lt;IC$94,"",SQRT(IC36/IC$15))</f>
        <v/>
      </c>
      <c r="ID111" s="572" t="str">
        <f aca="false">IF($FJ36&lt;ID$94,"",SQRT(ID36/ID$15))</f>
        <v/>
      </c>
      <c r="IE111" s="129"/>
    </row>
    <row r="112" customFormat="false" ht="12.75" hidden="false" customHeight="false" outlineLevel="0" collapsed="false">
      <c r="H112" s="219" t="n">
        <f aca="false">VLOOKUP(I112,$EJ$20:$EL$54,3)</f>
        <v>0</v>
      </c>
      <c r="I112" s="511" t="n">
        <f aca="false">EOMONTH(I111,0)+1</f>
        <v>39569</v>
      </c>
      <c r="J112" s="512"/>
      <c r="K112" s="513" t="s">
        <v>280</v>
      </c>
      <c r="L112" s="514" t="n">
        <f aca="false">IF(ISNUMBER(K112),J112+K112/100,IF(K112="extra",L111+VLOOKUP(BF112,PriceSpreadTable,2)/12,IF(K112="inter",interpolateprices($K$19:$L$200,ROW(K112)-ROW(FirstPricingMonth)+1),interpolatechanges($J$19:$K$200,ROW(K112)-ROW(FirstPricingMonth)+1))))</f>
        <v>0.6</v>
      </c>
      <c r="M112" s="515"/>
      <c r="N112" s="516" t="n">
        <v>0</v>
      </c>
      <c r="O112" s="515" t="n">
        <f aca="false">M112+N112</f>
        <v>0</v>
      </c>
      <c r="P112" s="512"/>
      <c r="Q112" s="513" t="s">
        <v>280</v>
      </c>
      <c r="R112" s="512" t="e">
        <f aca="false">IF(ISNUMBER(Q112),P112+Q112/100,IF(Q112="extra",(Z110*AL110-R111*AM110)/AN110,IF(Q112="inter",interpolateprices($Q$19:$R$260,ROW(Q112)-ROW(FirstPricingMonth)+1),interpolatechanges($P$19:$Q$260,ROW(Q112)-ROW(FirstPricingMonth)+1))))</f>
        <v>#VALUE!</v>
      </c>
      <c r="S112" s="597" t="n">
        <f aca="false">S$19+(S111-S$19)*S$18</f>
        <v>0.360000000000171</v>
      </c>
      <c r="T112" s="575" t="n">
        <f aca="false">SQRT((1-(1-T111^2/U111)*T$18)*U112)</f>
        <v>0.999999938145683</v>
      </c>
      <c r="U112" s="576" t="n">
        <f aca="false">1-(1-U111)*U$18</f>
        <v>0.999999999999952</v>
      </c>
      <c r="V112" s="521" t="n">
        <v>0</v>
      </c>
      <c r="W112" s="577" t="n">
        <f aca="false">(J113*AJ112+J114*AK112)/AI112</f>
        <v>0</v>
      </c>
      <c r="X112" s="578" t="n">
        <f aca="false">(L113*AJ112+L114*AK112)/AI112</f>
        <v>0.651136363636363</v>
      </c>
      <c r="Y112" s="579" t="n">
        <f aca="false">IF(Q114="extra",W112-AA112,(P113*AM112+P114*AN112)/AL112)</f>
        <v>-1.281</v>
      </c>
      <c r="Z112" s="579" t="n">
        <f aca="false">IF(Q114="extra",X112-AB112,(R113*AM112+R114*AN112)/AL112)</f>
        <v>-0.629863636363637</v>
      </c>
      <c r="AA112" s="523" t="n">
        <f aca="false">IF(Q114="extra",INDEX(BrentSeasonalityTable,INT((BG112-1)/3)+1)*VLOOKUP(MAX(BF112,$AB$4),PriceSpreadTable,3),W112-Y112)</f>
        <v>1.281</v>
      </c>
      <c r="AB112" s="524" t="n">
        <f aca="false">IF(Q114="extra",INDEX(BrentSeasonalityTable,INT((BG112-1)/3)+1)*VLOOKUP(MAX(BF112,$AB$4),PriceSpreadTable,3),X112-Z112)</f>
        <v>1.281</v>
      </c>
      <c r="AC112" s="646" t="n">
        <v>39558</v>
      </c>
      <c r="AD112" s="646" t="n">
        <v>39554</v>
      </c>
      <c r="AE112" s="646" t="n">
        <v>39553</v>
      </c>
      <c r="AF112" s="646" t="n">
        <v>39549</v>
      </c>
      <c r="AG112" s="438" t="s">
        <v>278</v>
      </c>
      <c r="AH112" s="439" t="s">
        <v>278</v>
      </c>
      <c r="AI112" s="528" t="n">
        <v>22</v>
      </c>
      <c r="AJ112" s="529" t="n">
        <v>14</v>
      </c>
      <c r="AK112" s="529" t="n">
        <v>8</v>
      </c>
      <c r="AL112" s="530" t="n">
        <v>22</v>
      </c>
      <c r="AM112" s="529" t="n">
        <v>10</v>
      </c>
      <c r="AN112" s="531" t="n">
        <v>12</v>
      </c>
      <c r="AO112" s="532"/>
      <c r="AP112" s="465" t="n">
        <f aca="false">(1+AO112/2)^(-2*BL112)</f>
        <v>1</v>
      </c>
      <c r="AQ112" s="532"/>
      <c r="AR112" s="465" t="n">
        <f aca="false">(1+AQ112/2)^(-2*BH112/365.25)</f>
        <v>1</v>
      </c>
      <c r="AS112" s="580" t="n">
        <f aca="false">(O113*AJ112+O114*AK112)/AI112</f>
        <v>0</v>
      </c>
      <c r="AT112" s="468" t="n">
        <f aca="false">O112*VLOOKUP(BF112,BrentVolTable,2)+VLOOKUP(BF112,BrentVolTable,3)</f>
        <v>0</v>
      </c>
      <c r="AU112" s="468" t="n">
        <f aca="false">(AT113*AM112+AT114*AN112)/AL112</f>
        <v>0</v>
      </c>
      <c r="AV112" s="595" t="n">
        <f aca="false">SQRT(MAX(0.000000000001,(O112^2*BH112-S112^2*(BH112-BH111))/BH111))</f>
        <v>0.0250510257157298</v>
      </c>
      <c r="AW112" s="451" t="n">
        <f aca="false">IF($I112-DateToday+15&gt;=$T$8,"",IF($I112-DateToday+15&lt;$T$5,1,MATCH($I112-DateToday+15,$T$5:$T$8)))</f>
        <v>1</v>
      </c>
      <c r="AX112" s="468" t="n">
        <f aca="false">IF($AW112="",AX111^2/AX110,INDEX(U$5:U$8,$AW112)^((INDEX($T$5:$T$8,$AW112+1)-($I112-DateToday+15))/(INDEX($T$5:$T$8,$AW112+1)-INDEX($T$5:$T$8,$AW112)))/INDEX(U$5:U$8,$AW112+1)^((INDEX($T$5:$T$8,$AW112)-($I112-DateToday+15))/(INDEX($T$5:$T$8,$AW112+1)-INDEX($T$5:$T$8,$AW112))))</f>
        <v>1.75714740181118</v>
      </c>
      <c r="AY112" s="468" t="n">
        <f aca="false">IF($AW112="",AY111^2/AY110,INDEX(V$5:V$8,$AW112)^((INDEX($T$5:$T$8,$AW112+1)-($I112-DateToday+15))/(INDEX($T$5:$T$8,$AW112+1)-INDEX($T$5:$T$8,$AW112)))/INDEX(V$5:V$8,$AW112+1)^((INDEX($T$5:$T$8,$AW112)-($I112-DateToday+15))/(INDEX($T$5:$T$8,$AW112+1)-INDEX($T$5:$T$8,$AW112))))</f>
        <v>108.348583989074</v>
      </c>
      <c r="AZ112" s="468" t="n">
        <f aca="false">IF($AW112="",AZ111^2/AZ110,INDEX(W$5:W$8,$AW112)^((INDEX($T$5:$T$8,$AW112+1)-($I112-DateToday+15))/(INDEX($T$5:$T$8,$AW112+1)-INDEX($T$5:$T$8,$AW112)))/INDEX(W$5:W$8,$AW112+1)^((INDEX($T$5:$T$8,$AW112)-($I112-DateToday+15))/(INDEX($T$5:$T$8,$AW112+1)-INDEX($T$5:$T$8,$AW112))))</f>
        <v>362691.961920677</v>
      </c>
      <c r="BA112" s="468" t="n">
        <f aca="false">IF($AW112="",BA111^2/BA110,INDEX(X$5:X$8,$AW112)^((INDEX($T$5:$T$8,$AW112+1)-($I112-DateToday+15))/(INDEX($T$5:$T$8,$AW112+1)-INDEX($T$5:$T$8,$AW112)))/INDEX(X$5:X$8,$AW112+1)^((INDEX($T$5:$T$8,$AW112)-($I112-DateToday+15))/(INDEX($T$5:$T$8,$AW112+1)-INDEX($T$5:$T$8,$AW112))))</f>
        <v>6638575.40152827</v>
      </c>
      <c r="BB112" s="468" t="n">
        <f aca="false">IF($AW112="",BB111^2/BB110,INDEX(Y$5:Y$8,$AW112)^((INDEX($T$5:$T$8,$AW112+1)-($I112-DateToday+15))/(INDEX($T$5:$T$8,$AW112+1)-INDEX($T$5:$T$8,$AW112)))/INDEX(Y$5:Y$8,$AW112+1)^((INDEX($T$5:$T$8,$AW112)-($I112-DateToday+15))/(INDEX($T$5:$T$8,$AW112+1)-INDEX($T$5:$T$8,$AW112))))</f>
        <v>73845553.9257869</v>
      </c>
      <c r="BC112" s="468" t="n">
        <f aca="false">IF($AW112="",BC111^2/BC110,INDEX(Z$5:Z$8,$AW112)^((INDEX($T$5:$T$8,$AW112+1)-($I112-DateToday+15))/(INDEX($T$5:$T$8,$AW112+1)-INDEX($T$5:$T$8,$AW112)))/INDEX(Z$5:Z$8,$AW112+1)^((INDEX($T$5:$T$8,$AW112)-($I112-DateToday+15))/(INDEX($T$5:$T$8,$AW112+1)-INDEX($T$5:$T$8,$AW112))))</f>
        <v>314187230.873097</v>
      </c>
      <c r="BD112" s="535" t="n">
        <f aca="false">IF(OR(DateStart&gt;=I113,DateEnd&lt;I112),0,IF(VolumeOverrideFlag,V112,Volume))</f>
        <v>0</v>
      </c>
      <c r="BE112" s="536" t="n">
        <f aca="false">IF(OR(DateStart2&gt;=I113,DateEnd2&lt;I112),0,IF(VolumeOverrideFlag,V112,VolumeSwaption))</f>
        <v>0</v>
      </c>
      <c r="BF112" s="537" t="n">
        <f aca="false">YEAR(I112)</f>
        <v>2008</v>
      </c>
      <c r="BG112" s="538" t="n">
        <f aca="false">MONTH(I112)</f>
        <v>5</v>
      </c>
      <c r="BH112" s="539" t="n">
        <f aca="false">AD112-DateToday+1</f>
        <v>-6371</v>
      </c>
      <c r="BI112" s="540" t="n">
        <f aca="false">(I112-DateToday+1)/365.25</f>
        <v>-17.4017796030116</v>
      </c>
      <c r="BJ112" s="541" t="n">
        <f aca="false">BI112+(BL112-BI112)*CHOOSE(Underlying,AJ112/AI112,AM112/AL112)</f>
        <v>-17.34951154253</v>
      </c>
      <c r="BK112" s="541" t="n">
        <f aca="false">BJ112+1/365.25</f>
        <v>-17.3467736917429</v>
      </c>
      <c r="BL112" s="541" t="n">
        <f aca="false">(I113-DateToday)/365.25</f>
        <v>-17.3196440793977</v>
      </c>
      <c r="BM112" s="542" t="e">
        <f aca="false">MAX(BI112-(BJ112-BI112)*(S113^2/O113^2-1),0)</f>
        <v>#DIV/0!</v>
      </c>
      <c r="BN112" s="541" t="e">
        <f aca="false">MAX(BL112+(BL112-BK112)*(S114^2/O114^2-1),0)</f>
        <v>#DIV/0!</v>
      </c>
      <c r="BO112" s="530" t="n">
        <f aca="false">CHOOSE(Underlying,AI112,AL112)</f>
        <v>22</v>
      </c>
      <c r="BP112" s="529" t="n">
        <f aca="false">CHOOSE(Underlying,AJ112,AM112)</f>
        <v>14</v>
      </c>
      <c r="BQ112" s="529" t="n">
        <f aca="false">CHOOSE(Underlying,AK112,AN112)</f>
        <v>8</v>
      </c>
      <c r="BR112" s="463" t="str">
        <f aca="false">IF(BD112,IF(Underlying=1,X112,Z112)+UnderlyingPriceAsian-SwapPriceCurve,"")</f>
        <v/>
      </c>
      <c r="BS112" s="463" t="str">
        <f aca="false">IF(BD112,Strike1/BR112-1,"")</f>
        <v/>
      </c>
      <c r="BT112" s="464" t="str">
        <f aca="false">IF(BD112,Strike2/BR112-1,"")</f>
        <v/>
      </c>
      <c r="BU112" s="465" t="str">
        <f aca="false">IF(BD112,IF(Underlying=1,L113,R113)+UnderlyingPriceAsian-SwapPriceCurve,"")</f>
        <v/>
      </c>
      <c r="BV112" s="465" t="str">
        <f aca="false">IF(BD112,IF(Underlying=1,L114,R114)+UnderlyingPriceAsian-SwapPriceCurve,"")</f>
        <v/>
      </c>
      <c r="BW112" s="466" t="str">
        <f aca="false">IF(BD112,IF(Underlying=1,O113,AT113),"")</f>
        <v/>
      </c>
      <c r="BX112" s="467" t="str">
        <f aca="false">IF(BD112,IF(Underlying=1,O114,AT114),"")</f>
        <v/>
      </c>
      <c r="BY112" s="466" t="str">
        <f aca="false">IF(BD112,IF(BS112&gt;0,IF(BS112&gt;0.2,BC112-BB112,IF(BS112&gt;0.1,BB112-BA112,BA112)),IF(BS112&lt;-0.2,AX112-AY112,IF(BS112&lt;-0.1,AY112-AZ112,AZ112))),"")</f>
        <v/>
      </c>
      <c r="BZ112" s="467" t="str">
        <f aca="false">IF(BD112,IF(BT112&gt;0,IF(BT112&gt;0.2,BC112-BB112,IF(BT112&gt;0.1,BB112-BA112,BA112)),IF(BT112&lt;-0.2,AX112-AY112,IF(BT112&lt;-0.1,AY112-AZ112,AZ112))),"")</f>
        <v/>
      </c>
      <c r="CA112" s="468" t="str">
        <f aca="false">IF($BD112,$BW112+IF(VolSkewFlag=1,IF(BS112&gt;0,$BA112*MIN(BS112/10%,1)+($BB112-$BA112)*MAX(0,MIN(BS112/10%-1,1))+($BC112-$BB112)*MAX(0,BS112/10%-2),$AZ112*MIN(-BS112/10%,1)+($AY112-$AZ112)*MAX(0,MIN(-BS112/10%-1,1))+($AX112-$AY112)*MAX(0,-BS112/10%-2)),0),"")</f>
        <v/>
      </c>
      <c r="CB112" s="468" t="str">
        <f aca="false">IF($BD112,$BX112+IF(VolSkewFlag=1,IF(BS112&gt;0,$BA112*MIN(BS112/10%,1)+($BB112-$BA112)*MAX(0,MIN(BS112/10%-1,1))+($BC112-$BB112)*MAX(0,BS112/10%-2),$AZ112*MIN(-BS112/10%,1)+($AY112-$AZ112)*MAX(0,MIN(-BS112/10%-1,1))+($AX112-$AY112)*MAX(0,-BS112/10%-2)),0),"")</f>
        <v/>
      </c>
      <c r="CC112" s="468" t="str">
        <f aca="false">IF($BD112,$BW112+IF(VolSkewFlag=1,IF(BT112&gt;0,$BA112*MIN(BT112/10%,1)+($BB112-$BA112)*MAX(0,MIN(BT112/10%-1,1))+($BC112-$BB112)*MAX(0,BT112/10%-2),$AZ112*MIN(-BT112/10%,1)+($AY112-$AZ112)*MAX(0,MIN(-BT112/10%-1,1))+($AX112-$AY112)*MAX(0,-BT112/10%-2)),0),"")</f>
        <v/>
      </c>
      <c r="CD112" s="468" t="str">
        <f aca="false">IF($BD112,$BX112+IF(VolSkewFlag=1,IF(BT112&gt;0,$BA112*MIN(BT112/10%,1)+($BB112-$BA112)*MAX(0,MIN(BT112/10%-1,1))+($BC112-$BB112)*MAX(0,BT112/10%-2),$AZ112*MIN(-BT112/10%,1)+($AY112-$AZ112)*MAX(0,MIN(-BT112/10%-1,1))+($AX112-$AY112)*MAX(0,-BT112/10%-2)),0),"")</f>
        <v/>
      </c>
      <c r="CE112" s="469" t="n">
        <v>1</v>
      </c>
      <c r="CF112" s="470" t="n">
        <f aca="false">IF(BD112,xCrudeAPO(BU112,BV112,CA112,CB112,S113,S114,BI112,BL112,BP112,BQ112,0,Strike1,AO112,CE112,0,BL112,IF(OptControl=4,0,1),0,1),0)</f>
        <v>0</v>
      </c>
      <c r="CG112" s="470" t="n">
        <f aca="false">IF(BD112,xCrudeAPO(BU112,BV112,CA112,CB112,S113,S114,BI112,BL112,BP112,BQ112,0,Strike1,AO112,CE112,0,BL112,IF(OptControl=4,0,1),1,1)+xCrudeAPO(BU112,BV112,CA112,CB112,S113,S114,BI112,BL112,BP112,BQ112,0,Strike1,AO112,CE112,0,BL112,IF(OptControl=4,0,1),1,2)+IF(OR(VolSkewFlag=2,ABS(BS112)&lt;0.0001),0,IF(BS112&gt;0,-1,1)*CH112*Strike1/BR112^2*BY112/10%),0)</f>
        <v>0</v>
      </c>
      <c r="CH112" s="470" t="n">
        <f aca="false">IF(BD112,(xCrudeAPO(BU112,BV112,CA112,CB112,S113,S114,BI112,BL112,BP112,BQ112,0,Strike1,AO112,CE112,0,BL112,IF(OptControl=4,0,1),3,1)+xCrudeAPO(BU112,BV112,CA112,CB112,S113,S114,BI112,BL112,BP112,BQ112,0,Strike1,AO112,CE112,0,BL112,IF(OptControl=4,0,1),3,2))/100,0)</f>
        <v>0</v>
      </c>
      <c r="CI112" s="470" t="n">
        <f aca="false">IF(BD112,xCrudeAPO(BU112,BV112,CA112,CB112,S113,S114,BI112-DaysForThetaCalculation/365.25,BL112-DaysForThetaCalculation/365.25,BP112,BQ112,0,Strike1,AO112,CE112,0,BL112,IF(OptControl=4,0,1),0,1)-xCrudeAPO(BU112,BV112,CA112,CB112,S113,S114,BI112,BL112,BP112,BQ112,0,Strike1,AO112,CE112,0,BL112,IF(OptControl=4,0,1),0,1),0)</f>
        <v>0</v>
      </c>
      <c r="CJ112" s="471" t="n">
        <f aca="false">IF(BD112,xCrudeAPO(BU112,BV112,CC112,CD112,S113,S114,BI112,BL112,BP112,BQ112,0,Strike2,AO112,CE112,0,BL112,IF(OptControl=3,1,0),0,1),0)</f>
        <v>0</v>
      </c>
      <c r="CK112" s="470" t="n">
        <f aca="false">IF(BD112,xCrudeAPO(BU112,BV112,CC112,CD112,S113,S114,BI112,BL112,BP112,BQ112,0,Strike2,AO112,CE112,0,BL112,IF(OptControl=3,1,0),1,1)+xCrudeAPO(BU112,BV112,CC112,CD112,S113,S114,BI112,BL112,BP112,BQ112,0,Strike2,AO112,CE112,0,BL112,IF(OptControl=3,1,0),1,2)+IF(OR(VolSkewFlag=2,ABS(BT112)&lt;0.0001),0,IF(BT112&gt;0,-1,1)*CL112*Strike2/BR112^2*BZ112/10%),0)</f>
        <v>0</v>
      </c>
      <c r="CL112" s="470" t="n">
        <f aca="false">IF(BD112,(xCrudeAPO(BU112,BV112,CC112,CD112,S113,S114,BI112,BL112,BP112,BQ112,0,Strike2,AO112,CE112,0,BL112,IF(OptControl=3,1,0),3,1)+xCrudeAPO(BU112,BV112,CC112,CD112,S113,S114,BI112,BL112,BP112,BQ112,0,Strike2,AO112,CE112,0,BL112,IF(OptControl=3,1,0),3,2))/100,0)</f>
        <v>0</v>
      </c>
      <c r="CM112" s="472" t="n">
        <f aca="false">IF(BD112,xCrudeAPO(BU112,BV112,CC112,CD112,S113,S114,BI112-DaysForThetaCalculation/365.25,BL112-DaysForThetaCalculation/365.25,BP112,BQ112,0,Strike2,AO112,CE112,0,BL112,IF(OptControl=3,1,0),0,1)-xCrudeAPO(BU112,BV112,CC112,CD112,S113,S114,BI112,BL112,BP112,BQ112,0,Strike2,AO112,CE112,0,BL112,IF(OptControl=3,1,0),0,1),0)</f>
        <v>0</v>
      </c>
      <c r="CN112" s="3"/>
      <c r="CO112" s="543" t="str">
        <f aca="false">IF(BD112,CHOOSE(Underlying,AD112,AF112)-DateToday+1,"")</f>
        <v/>
      </c>
      <c r="CP112" s="582" t="str">
        <f aca="false">IF(BD112,CHOOSE(Underlying,L112,R112),"")</f>
        <v/>
      </c>
      <c r="CQ112" s="544" t="str">
        <f aca="false">IF(BD112,Strike1/CP112-1,"")</f>
        <v/>
      </c>
      <c r="CR112" s="544" t="str">
        <f aca="false">IF(BD112,Strike2/CP112-1,"")</f>
        <v/>
      </c>
      <c r="CS112" s="544" t="str">
        <f aca="false">IF(BD112,IF(CQ112&gt;0,IF(CQ112&gt;0.2,BC111-BB111,IF(CQ112&gt;0.1,BB111-BA111,BA111)),IF(CQ112&lt;-0.2,AX111-AY111,IF(CQ112&lt;-0.1,AY111-AZ111,AZ111))),"")</f>
        <v/>
      </c>
      <c r="CT112" s="544" t="str">
        <f aca="false">IF(BD112,IF(CR112&gt;0,IF(CR112&gt;0.2,BC111-BB111,IF(CR112&gt;0.1,BB111-BA111,BA111)),IF(CR112&lt;-0.2,AX111-AY111,IF(CR112&lt;-0.1,AY111-AZ111,AZ111))),"")</f>
        <v/>
      </c>
      <c r="CU112" s="545" t="str">
        <f aca="false">IF(BD112,CHOOSE(Underlying,O112,AT112),"")</f>
        <v/>
      </c>
      <c r="CV112" s="545" t="str">
        <f aca="false">IF(BD112,CU112+IF(VolSkewFlag=1,IF(CQ112&gt;0,BA111*MIN(CQ112/10%,1)+(BB111-BA111)*MAX(0,MIN(CQ112/10%-1,1))+(BC111-BB111)*MAX(0,CQ112/10%-2),AZ111*MIN(-CQ112/10%,1)+(AY111-AZ111)*MAX(0,MIN(-CQ112/10%-1,1))+(AX111-AY111)*MAX(0,-CQ112/10%-2)),0),"")</f>
        <v/>
      </c>
      <c r="CW112" s="545" t="str">
        <f aca="false">IF(BD112,CU112+IF(VolSkewFlag=1,IF(CR112&gt;0,BA111*MIN(CR112/10%,1)+(BB111-BA111)*MAX(0,MIN(CR112/10%-1,1))+(BC111-BB111)*MAX(0,CR112/10%-2),AZ111*MIN(-CR112/10%,1)+(AY111-AZ111)*MAX(0,MIN(-CR112/10%-1,1))+(AX111-AY111)*MAX(0,-CR112/10%-2)),0),"")</f>
        <v/>
      </c>
      <c r="CX112" s="470" t="n">
        <f aca="false">IF(BD112,EURO(CP112,Strike1,AO112,AO112,CV112,CO112,IF(OptControl=4,0,1),0),0)</f>
        <v>0</v>
      </c>
      <c r="CY112" s="470" t="n">
        <f aca="false">IF(BD112,EURO(CP112,Strike1,AO112,AO112,CV112,CO112,IF(OptControl=4,0,1),1)+IF(OR(VolSkewFlag=2,ABS(CQ112)&lt;0.0001),0,IF(CQ112&gt;0,-1,1)*CZ112*100*Strike1/CP112^2*CS112/10%),0)</f>
        <v>0</v>
      </c>
      <c r="CZ112" s="470" t="n">
        <f aca="false">IF(BD112,EURO(CP112,Strike1,AO112,AO112,CV112,CO112,IF(OptControl=4,0,1),3)/100,0)</f>
        <v>0</v>
      </c>
      <c r="DA112" s="470" t="n">
        <f aca="false">IF(BD112,EURO(CP112,Strike1,AO112,AO112,CV112,CO112,IF(OptControl=4,0,1),0)-EURO(CP112,Strike1,AO112,AO112,CV112,CO112-1,IF(OptControl=4,0,1),0),0)</f>
        <v>0</v>
      </c>
      <c r="DB112" s="470" t="n">
        <f aca="false">IF(BD112,EURO(CP112,Strike2,AO112,AO112,CW112,CO112,IF(OptControl=3,1,0),0),0)</f>
        <v>0</v>
      </c>
      <c r="DC112" s="470" t="n">
        <f aca="false">IF(BD112,EURO(CP112,Strike2,AO112,AO112,CW112,CO112,IF(OptControl=3,1,0),1)+IF(OR(VolSkewFlag=2,ABS(CR112)&lt;0.0001),0,IF(CR112&gt;0,-1,1)*DD112*100*Strike2/CP112^2*CT112/10%),0)</f>
        <v>0</v>
      </c>
      <c r="DD112" s="470" t="n">
        <f aca="false">IF(BD112,EURO(CP112,Strike2,AO112,AO112,CW112,CO112,IF(OptControl=3,1,0),3)/100,0)</f>
        <v>0</v>
      </c>
      <c r="DE112" s="472" t="n">
        <f aca="false">IF(BD112,EURO(CP112,Strike2,AO112,AO112,CW112,CO112,IF(OptControl=3,1,0),0)-EURO(CP112,Strike2,AO112,AO112,CW112,CO112-1,IF(OptControl=3,1,0),0),0)</f>
        <v>0</v>
      </c>
      <c r="DG112" s="481" t="n">
        <f aca="false">EOMONTH(DG111,0)+1</f>
        <v>48488</v>
      </c>
      <c r="DH112" s="478" t="n">
        <v>18.7683333333333</v>
      </c>
      <c r="DI112" s="479" t="n">
        <v>18.8301086956522</v>
      </c>
      <c r="DJ112" s="480" t="n">
        <f aca="false">DG112</f>
        <v>48488</v>
      </c>
      <c r="DK112" s="478" t="n">
        <v>17.4266937412342</v>
      </c>
      <c r="DL112" s="479" t="n">
        <v>17.6370086956522</v>
      </c>
      <c r="DM112" s="481" t="n">
        <f aca="false">DG112</f>
        <v>48488</v>
      </c>
      <c r="DN112" s="482" t="n">
        <f aca="false">DK112+BrentPhyBrentSpread</f>
        <v>17.4766937412342</v>
      </c>
      <c r="DO112" s="481" t="n">
        <f aca="false">DG112</f>
        <v>48488</v>
      </c>
      <c r="DP112" s="483" t="n">
        <f aca="false">DL112+DQ112</f>
        <v>17.6370086956522</v>
      </c>
      <c r="DQ112" s="546" t="n">
        <v>0</v>
      </c>
      <c r="DR112" s="480" t="n">
        <f aca="false">DG112</f>
        <v>48488</v>
      </c>
      <c r="DS112" s="485" t="n">
        <v>0.1694</v>
      </c>
      <c r="DT112" s="486" t="n">
        <v>0.168591304347826</v>
      </c>
      <c r="DU112" s="480" t="n">
        <f aca="false">DG112</f>
        <v>48488</v>
      </c>
      <c r="DV112" s="485" t="n">
        <v>0.1694</v>
      </c>
      <c r="DW112" s="486" t="n">
        <v>0.168591304347826</v>
      </c>
      <c r="DX112" s="481" t="n">
        <f aca="false">DG112</f>
        <v>48488</v>
      </c>
      <c r="DY112" s="486" t="n">
        <v>0.35</v>
      </c>
      <c r="DZ112" s="481" t="n">
        <f aca="false">DR112</f>
        <v>48488</v>
      </c>
      <c r="EA112" s="486" t="n">
        <f aca="false">DT112</f>
        <v>0.168591304347826</v>
      </c>
      <c r="EB112" s="195"/>
      <c r="EC112" s="547" t="str">
        <f aca="false">IF(BD112,IF(Underlying=1,AS112,AU112),"")</f>
        <v/>
      </c>
      <c r="ED112" s="548" t="str">
        <f aca="false">IF($BD112,$EC112+IF(VolSkewFlag=1,IF(BS112&gt;0,$BA112*MIN(BS112/10%,1)+($BB112-$BA112)*MAX(0,MIN(BS112/10%-1,1))+($BC112-$BB112)*MAX(0,BS112/10%-2),$AZ112*MIN(-BS112/10%,1)+($AY112-$AZ112)*MAX(0,MIN(-BS112/10%-1,1))+($AX112-$AY112)*MAX(0,-BS112/10%-2)),0),"")</f>
        <v/>
      </c>
      <c r="EE112" s="549" t="str">
        <f aca="false">IF($BD112,$EC112+IF(VolSkewFlag=1,IF(BT112&gt;0,$BA112*MIN(BT112/10%,1)+($BB112-$BA112)*MAX(0,MIN(BT112/10%-1,1))+($BC112-$BB112)*MAX(0,BT112/10%-2),$AZ112*MIN(-BT112/10%,1)+($AY112-$AZ112)*MAX(0,MIN(-BT112/10%-1,1))+($AX112-$AY112)*MAX(0,-BT112/10%-2)),0),"")</f>
        <v/>
      </c>
      <c r="EF112" s="550" t="n">
        <f aca="false">IF(BD112,xASN(BR112,Strike1,AO112,ED112,0,BO112,0,BI112,BL112,IF(OptControl=4,0,1),0),0)</f>
        <v>0</v>
      </c>
      <c r="EG112" s="551" t="n">
        <f aca="false">IF(BD112,xASN(BR112,Strike2,AO112,EE112,0,BO112,0,BI112,BL112,IF(OptControl=3,1,0),0),0)</f>
        <v>0</v>
      </c>
      <c r="EL112" s="1"/>
      <c r="EM112" s="195"/>
      <c r="EN112" s="240"/>
      <c r="EO112" s="240"/>
      <c r="EP112" s="195"/>
      <c r="EQ112" s="407" t="s">
        <v>339</v>
      </c>
      <c r="ES112" s="130"/>
      <c r="ET112" s="19"/>
      <c r="EU112" s="672"/>
      <c r="EV112" s="478"/>
      <c r="EW112" s="131"/>
      <c r="EX112" s="131"/>
      <c r="EY112" s="129"/>
      <c r="EZ112" s="129"/>
      <c r="FA112" s="129"/>
      <c r="FB112" s="129"/>
      <c r="FC112" s="129"/>
      <c r="FD112" s="129"/>
      <c r="FE112" s="129"/>
      <c r="FF112" s="129"/>
      <c r="FG112" s="129"/>
      <c r="FH112" s="129"/>
      <c r="FI112" s="129"/>
      <c r="FJ112" s="571" t="n">
        <v>18</v>
      </c>
      <c r="FK112" s="150" t="e">
        <f aca="false">IF($FJ37&lt;FK$94,"",SQRT(FK37/FK$15))</f>
        <v>#DIV/0!</v>
      </c>
      <c r="FL112" s="150" t="n">
        <f aca="false">IF($FJ37&lt;FL$94,"",SQRT(FL37/FL$15))</f>
        <v>-0</v>
      </c>
      <c r="FM112" s="150" t="n">
        <f aca="false">IF($FJ37&lt;FM$94,"",SQRT(FM37/FM$15))</f>
        <v>0.183651112602063</v>
      </c>
      <c r="FN112" s="150" t="n">
        <f aca="false">IF($FJ37&lt;FN$94,"",SQRT(FN37/FN$15))</f>
        <v>0.182419913791277</v>
      </c>
      <c r="FO112" s="150" t="n">
        <f aca="false">IF($FJ37&lt;FO$94,"",SQRT(FO37/FO$15))</f>
        <v>0.182431058732116</v>
      </c>
      <c r="FP112" s="150" t="n">
        <f aca="false">IF($FJ37&lt;FP$94,"",SQRT(FP37/FP$15))</f>
        <v>0.183563143014083</v>
      </c>
      <c r="FQ112" s="150" t="n">
        <f aca="false">IF($FJ37&lt;FQ$94,"",SQRT(FQ37/FQ$15))</f>
        <v>0.185767331875123</v>
      </c>
      <c r="FR112" s="150" t="n">
        <f aca="false">IF($FJ37&lt;FR$94,"",SQRT(FR37/FR$15))</f>
        <v>0.189061027498086</v>
      </c>
      <c r="FS112" s="150" t="n">
        <f aca="false">IF($FJ37&lt;FS$94,"",SQRT(FS37/FS$15))</f>
        <v>0.193527243080243</v>
      </c>
      <c r="FT112" s="150" t="n">
        <f aca="false">IF($FJ37&lt;FT$94,"",SQRT(FT37/FT$15))</f>
        <v>0.199320055471112</v>
      </c>
      <c r="FU112" s="150" t="n">
        <f aca="false">IF($FJ37&lt;FU$94,"",SQRT(FU37/FU$15))</f>
        <v>0.206677362886448</v>
      </c>
      <c r="FV112" s="150" t="n">
        <f aca="false">IF($FJ37&lt;FV$94,"",SQRT(FV37/FV$15))</f>
        <v>0.215943408680205</v>
      </c>
      <c r="FW112" s="150" t="n">
        <f aca="false">IF($FJ37&lt;FW$94,"",SQRT(FW37/FW$15))</f>
        <v>0.227605488900946</v>
      </c>
      <c r="FX112" s="150" t="n">
        <f aca="false">IF($FJ37&lt;FX$94,"",SQRT(FX37/FX$15))</f>
        <v>0.242352574864961</v>
      </c>
      <c r="FY112" s="150" t="n">
        <f aca="false">IF($FJ37&lt;FY$94,"",SQRT(FY37/FY$15))</f>
        <v>0.26116948619429</v>
      </c>
      <c r="FZ112" s="150" t="n">
        <f aca="false">IF($FJ37&lt;FZ$94,"",SQRT(FZ37/FZ$15))</f>
        <v>0.285491255727695</v>
      </c>
      <c r="GA112" s="150" t="n">
        <f aca="false">IF($FJ37&lt;GA$94,"",SQRT(GA37/GA$15))</f>
        <v>0.317463791930225</v>
      </c>
      <c r="GB112" s="150" t="n">
        <f aca="false">IF($FJ37&lt;GB$94,"",SQRT(GB37/GB$15))</f>
        <v>0.360400903830305</v>
      </c>
      <c r="GC112" s="150" t="str">
        <f aca="false">IF($FJ37&lt;GC$94,"",SQRT(GC37/GC$15))</f>
        <v/>
      </c>
      <c r="GD112" s="150" t="str">
        <f aca="false">IF($FJ37&lt;GD$94,"",SQRT(GD37/GD$15))</f>
        <v/>
      </c>
      <c r="GE112" s="150" t="str">
        <f aca="false">IF($FJ37&lt;GE$94,"",SQRT(GE37/GE$15))</f>
        <v/>
      </c>
      <c r="GF112" s="150" t="str">
        <f aca="false">IF($FJ37&lt;GF$94,"",SQRT(GF37/GF$15))</f>
        <v/>
      </c>
      <c r="GG112" s="150" t="str">
        <f aca="false">IF($FJ37&lt;GG$94,"",SQRT(GG37/GG$15))</f>
        <v/>
      </c>
      <c r="GH112" s="150" t="str">
        <f aca="false">IF($FJ37&lt;GH$94,"",SQRT(GH37/GH$15))</f>
        <v/>
      </c>
      <c r="GI112" s="150" t="str">
        <f aca="false">IF($FJ37&lt;GI$94,"",SQRT(GI37/GI$15))</f>
        <v/>
      </c>
      <c r="GJ112" s="150" t="str">
        <f aca="false">IF($FJ37&lt;GJ$94,"",SQRT(GJ37/GJ$15))</f>
        <v/>
      </c>
      <c r="GK112" s="150" t="str">
        <f aca="false">IF($FJ37&lt;GK$94,"",SQRT(GK37/GK$15))</f>
        <v/>
      </c>
      <c r="GL112" s="150" t="str">
        <f aca="false">IF($FJ37&lt;GL$94,"",SQRT(GL37/GL$15))</f>
        <v/>
      </c>
      <c r="GM112" s="150" t="str">
        <f aca="false">IF($FJ37&lt;GM$94,"",SQRT(GM37/GM$15))</f>
        <v/>
      </c>
      <c r="GN112" s="150" t="str">
        <f aca="false">IF($FJ37&lt;GN$94,"",SQRT(GN37/GN$15))</f>
        <v/>
      </c>
      <c r="GO112" s="150" t="str">
        <f aca="false">IF($FJ37&lt;GO$94,"",SQRT(GO37/GO$15))</f>
        <v/>
      </c>
      <c r="GP112" s="150" t="str">
        <f aca="false">IF($FJ37&lt;GP$94,"",SQRT(GP37/GP$15))</f>
        <v/>
      </c>
      <c r="GQ112" s="150" t="str">
        <f aca="false">IF($FJ37&lt;GQ$94,"",SQRT(GQ37/GQ$15))</f>
        <v/>
      </c>
      <c r="GR112" s="150" t="str">
        <f aca="false">IF($FJ37&lt;GR$94,"",SQRT(GR37/GR$15))</f>
        <v/>
      </c>
      <c r="GS112" s="150" t="str">
        <f aca="false">IF($FJ37&lt;GS$94,"",SQRT(GS37/GS$15))</f>
        <v/>
      </c>
      <c r="GT112" s="150" t="str">
        <f aca="false">IF($FJ37&lt;GT$94,"",SQRT(GT37/GT$15))</f>
        <v/>
      </c>
      <c r="GU112" s="150" t="str">
        <f aca="false">IF($FJ37&lt;GU$94,"",SQRT(GU37/GU$15))</f>
        <v/>
      </c>
      <c r="GV112" s="150" t="str">
        <f aca="false">IF($FJ37&lt;GV$94,"",SQRT(GV37/GV$15))</f>
        <v/>
      </c>
      <c r="GW112" s="150" t="str">
        <f aca="false">IF($FJ37&lt;GW$94,"",SQRT(GW37/GW$15))</f>
        <v/>
      </c>
      <c r="GX112" s="150" t="str">
        <f aca="false">IF($FJ37&lt;GX$94,"",SQRT(GX37/GX$15))</f>
        <v/>
      </c>
      <c r="GY112" s="150" t="str">
        <f aca="false">IF($FJ37&lt;GY$94,"",SQRT(GY37/GY$15))</f>
        <v/>
      </c>
      <c r="GZ112" s="150" t="str">
        <f aca="false">IF($FJ37&lt;GZ$94,"",SQRT(GZ37/GZ$15))</f>
        <v/>
      </c>
      <c r="HA112" s="150" t="str">
        <f aca="false">IF($FJ37&lt;HA$94,"",SQRT(HA37/HA$15))</f>
        <v/>
      </c>
      <c r="HB112" s="150" t="str">
        <f aca="false">IF($FJ37&lt;HB$94,"",SQRT(HB37/HB$15))</f>
        <v/>
      </c>
      <c r="HC112" s="150" t="str">
        <f aca="false">IF($FJ37&lt;HC$94,"",SQRT(HC37/HC$15))</f>
        <v/>
      </c>
      <c r="HD112" s="150" t="str">
        <f aca="false">IF($FJ37&lt;HD$94,"",SQRT(HD37/HD$15))</f>
        <v/>
      </c>
      <c r="HE112" s="150" t="str">
        <f aca="false">IF($FJ37&lt;HE$94,"",SQRT(HE37/HE$15))</f>
        <v/>
      </c>
      <c r="HF112" s="150" t="str">
        <f aca="false">IF($FJ37&lt;HF$94,"",SQRT(HF37/HF$15))</f>
        <v/>
      </c>
      <c r="HG112" s="150" t="str">
        <f aca="false">IF($FJ37&lt;HG$94,"",SQRT(HG37/HG$15))</f>
        <v/>
      </c>
      <c r="HH112" s="150" t="str">
        <f aca="false">IF($FJ37&lt;HH$94,"",SQRT(HH37/HH$15))</f>
        <v/>
      </c>
      <c r="HI112" s="150" t="str">
        <f aca="false">IF($FJ37&lt;HI$94,"",SQRT(HI37/HI$15))</f>
        <v/>
      </c>
      <c r="HJ112" s="150" t="str">
        <f aca="false">IF($FJ37&lt;HJ$94,"",SQRT(HJ37/HJ$15))</f>
        <v/>
      </c>
      <c r="HK112" s="150" t="str">
        <f aca="false">IF($FJ37&lt;HK$94,"",SQRT(HK37/HK$15))</f>
        <v/>
      </c>
      <c r="HL112" s="150" t="str">
        <f aca="false">IF($FJ37&lt;HL$94,"",SQRT(HL37/HL$15))</f>
        <v/>
      </c>
      <c r="HM112" s="150" t="str">
        <f aca="false">IF($FJ37&lt;HM$94,"",SQRT(HM37/HM$15))</f>
        <v/>
      </c>
      <c r="HN112" s="150" t="str">
        <f aca="false">IF($FJ37&lt;HN$94,"",SQRT(HN37/HN$15))</f>
        <v/>
      </c>
      <c r="HO112" s="150" t="str">
        <f aca="false">IF($FJ37&lt;HO$94,"",SQRT(HO37/HO$15))</f>
        <v/>
      </c>
      <c r="HP112" s="150" t="str">
        <f aca="false">IF($FJ37&lt;HP$94,"",SQRT(HP37/HP$15))</f>
        <v/>
      </c>
      <c r="HQ112" s="150" t="str">
        <f aca="false">IF($FJ37&lt;HQ$94,"",SQRT(HQ37/HQ$15))</f>
        <v/>
      </c>
      <c r="HR112" s="150" t="str">
        <f aca="false">IF($FJ37&lt;HR$94,"",SQRT(HR37/HR$15))</f>
        <v/>
      </c>
      <c r="HS112" s="150" t="str">
        <f aca="false">IF($FJ37&lt;HS$94,"",SQRT(HS37/HS$15))</f>
        <v/>
      </c>
      <c r="HT112" s="150" t="str">
        <f aca="false">IF($FJ37&lt;HT$94,"",SQRT(HT37/HT$15))</f>
        <v/>
      </c>
      <c r="HU112" s="150" t="str">
        <f aca="false">IF($FJ37&lt;HU$94,"",SQRT(HU37/HU$15))</f>
        <v/>
      </c>
      <c r="HV112" s="150" t="str">
        <f aca="false">IF($FJ37&lt;HV$94,"",SQRT(HV37/HV$15))</f>
        <v/>
      </c>
      <c r="HW112" s="150" t="str">
        <f aca="false">IF($FJ37&lt;HW$94,"",SQRT(HW37/HW$15))</f>
        <v/>
      </c>
      <c r="HX112" s="150" t="str">
        <f aca="false">IF($FJ37&lt;HX$94,"",SQRT(HX37/HX$15))</f>
        <v/>
      </c>
      <c r="HY112" s="150" t="str">
        <f aca="false">IF($FJ37&lt;HY$94,"",SQRT(HY37/HY$15))</f>
        <v/>
      </c>
      <c r="HZ112" s="150" t="str">
        <f aca="false">IF($FJ37&lt;HZ$94,"",SQRT(HZ37/HZ$15))</f>
        <v/>
      </c>
      <c r="IA112" s="150" t="str">
        <f aca="false">IF($FJ37&lt;IA$94,"",SQRT(IA37/IA$15))</f>
        <v/>
      </c>
      <c r="IB112" s="150" t="str">
        <f aca="false">IF($FJ37&lt;IB$94,"",SQRT(IB37/IB$15))</f>
        <v/>
      </c>
      <c r="IC112" s="150" t="str">
        <f aca="false">IF($FJ37&lt;IC$94,"",SQRT(IC37/IC$15))</f>
        <v/>
      </c>
      <c r="ID112" s="572" t="str">
        <f aca="false">IF($FJ37&lt;ID$94,"",SQRT(ID37/ID$15))</f>
        <v/>
      </c>
      <c r="IE112" s="129"/>
    </row>
    <row r="113" customFormat="false" ht="12.75" hidden="false" customHeight="false" outlineLevel="0" collapsed="false">
      <c r="H113" s="219" t="n">
        <f aca="false">VLOOKUP(I113,$EJ$20:$EL$54,3)</f>
        <v>0</v>
      </c>
      <c r="I113" s="511" t="n">
        <f aca="false">EOMONTH(I112,0)+1</f>
        <v>39600</v>
      </c>
      <c r="J113" s="512"/>
      <c r="K113" s="513" t="s">
        <v>280</v>
      </c>
      <c r="L113" s="514" t="n">
        <f aca="false">IF(ISNUMBER(K113),J113+K113/100,IF(K113="extra",L112+VLOOKUP(BF113,PriceSpreadTable,2)/12,IF(K113="inter",interpolateprices($K$19:$L$200,ROW(K113)-ROW(FirstPricingMonth)+1),interpolatechanges($J$19:$K$200,ROW(K113)-ROW(FirstPricingMonth)+1))))</f>
        <v>0.6375</v>
      </c>
      <c r="M113" s="515"/>
      <c r="N113" s="516" t="n">
        <v>0</v>
      </c>
      <c r="O113" s="515" t="n">
        <f aca="false">M113+N113</f>
        <v>0</v>
      </c>
      <c r="P113" s="512"/>
      <c r="Q113" s="513" t="s">
        <v>280</v>
      </c>
      <c r="R113" s="512" t="e">
        <f aca="false">IF(ISNUMBER(Q113),P113+Q113/100,IF(Q113="extra",(Z111*AL111-R112*AM111)/AN111,IF(Q113="inter",interpolateprices($Q$19:$R$260,ROW(Q113)-ROW(FirstPricingMonth)+1),interpolatechanges($P$19:$Q$260,ROW(Q113)-ROW(FirstPricingMonth)+1))))</f>
        <v>#VALUE!</v>
      </c>
      <c r="S113" s="597" t="n">
        <f aca="false">S$19+(S112-S$19)*S$18</f>
        <v>0.360000000000128</v>
      </c>
      <c r="T113" s="575" t="n">
        <f aca="false">SQRT((1-(1-T112^2/U112)*T$18)*U113)</f>
        <v>0.999999947114562</v>
      </c>
      <c r="U113" s="576" t="n">
        <f aca="false">1-(1-U112)*U$18</f>
        <v>0.999999999999964</v>
      </c>
      <c r="V113" s="521" t="n">
        <v>0</v>
      </c>
      <c r="W113" s="577" t="n">
        <f aca="false">(J114*AJ113+J115*AK113)/AI113</f>
        <v>0</v>
      </c>
      <c r="X113" s="578" t="n">
        <f aca="false">(L114*AJ113+L115*AK113)/AI113</f>
        <v>0.685714285714286</v>
      </c>
      <c r="Y113" s="579" t="n">
        <f aca="false">IF(Q115="extra",W113-AA113,(P114*AM113+P115*AN113)/AL113)</f>
        <v>-1.281</v>
      </c>
      <c r="Z113" s="579" t="n">
        <f aca="false">IF(Q115="extra",X113-AB113,(R114*AM113+R115*AN113)/AL113)</f>
        <v>-0.595285714285714</v>
      </c>
      <c r="AA113" s="523" t="n">
        <f aca="false">IF(Q115="extra",INDEX(BrentSeasonalityTable,INT((BG113-1)/3)+1)*VLOOKUP(MAX(BF113,$AB$4),PriceSpreadTable,3),W113-Y113)</f>
        <v>1.281</v>
      </c>
      <c r="AB113" s="524" t="n">
        <f aca="false">IF(Q115="extra",INDEX(BrentSeasonalityTable,INT((BG113-1)/3)+1)*VLOOKUP(MAX(BF113,$AB$4),PriceSpreadTable,3),X113-Z113)</f>
        <v>1.281</v>
      </c>
      <c r="AC113" s="646" t="n">
        <v>39588</v>
      </c>
      <c r="AD113" s="646" t="n">
        <v>39584</v>
      </c>
      <c r="AE113" s="646" t="n">
        <v>39583</v>
      </c>
      <c r="AF113" s="646" t="n">
        <v>39579</v>
      </c>
      <c r="AG113" s="438" t="s">
        <v>278</v>
      </c>
      <c r="AH113" s="439" t="s">
        <v>278</v>
      </c>
      <c r="AI113" s="528" t="n">
        <v>21</v>
      </c>
      <c r="AJ113" s="529" t="n">
        <v>15</v>
      </c>
      <c r="AK113" s="529" t="n">
        <v>6</v>
      </c>
      <c r="AL113" s="530" t="n">
        <v>21</v>
      </c>
      <c r="AM113" s="529" t="n">
        <v>10</v>
      </c>
      <c r="AN113" s="531" t="n">
        <v>11</v>
      </c>
      <c r="AO113" s="532"/>
      <c r="AP113" s="465" t="n">
        <f aca="false">(1+AO113/2)^(-2*BL113)</f>
        <v>1</v>
      </c>
      <c r="AQ113" s="532"/>
      <c r="AR113" s="465" t="n">
        <f aca="false">(1+AQ113/2)^(-2*BH113/365.25)</f>
        <v>1</v>
      </c>
      <c r="AS113" s="580" t="n">
        <f aca="false">(O114*AJ113+O115*AK113)/AI113</f>
        <v>0</v>
      </c>
      <c r="AT113" s="468" t="n">
        <f aca="false">O113*VLOOKUP(BF113,BrentVolTable,2)+VLOOKUP(BF113,BrentVolTable,3)</f>
        <v>0</v>
      </c>
      <c r="AU113" s="468" t="n">
        <f aca="false">(AT114*AM113+AT115*AN113)/AL113</f>
        <v>0</v>
      </c>
      <c r="AV113" s="595" t="n">
        <f aca="false">SQRT(MAX(0.000000000001,(O113^2*BH113-S113^2*(BH113-BH112))/BH112))</f>
        <v>0.024703547609202</v>
      </c>
      <c r="AW113" s="451" t="n">
        <f aca="false">IF($I113-DateToday+15&gt;=$T$8,"",IF($I113-DateToday+15&lt;$T$5,1,MATCH($I113-DateToday+15,$T$5:$T$8)))</f>
        <v>1</v>
      </c>
      <c r="AX113" s="468" t="n">
        <f aca="false">IF($AW113="",AX112^2/AX111,INDEX(U$5:U$8,$AW113)^((INDEX($T$5:$T$8,$AW113+1)-($I113-DateToday+15))/(INDEX($T$5:$T$8,$AW113+1)-INDEX($T$5:$T$8,$AW113)))/INDEX(U$5:U$8,$AW113+1)^((INDEX($T$5:$T$8,$AW113)-($I113-DateToday+15))/(INDEX($T$5:$T$8,$AW113+1)-INDEX($T$5:$T$8,$AW113))))</f>
        <v>1.71929993450047</v>
      </c>
      <c r="AY113" s="468" t="n">
        <f aca="false">IF($AW113="",AY112^2/AY111,INDEX(V$5:V$8,$AW113)^((INDEX($T$5:$T$8,$AW113+1)-($I113-DateToday+15))/(INDEX($T$5:$T$8,$AW113+1)-INDEX($T$5:$T$8,$AW113)))/INDEX(V$5:V$8,$AW113+1)^((INDEX($T$5:$T$8,$AW113)-($I113-DateToday+15))/(INDEX($T$5:$T$8,$AW113+1)-INDEX($T$5:$T$8,$AW113))))</f>
        <v>103.797462423926</v>
      </c>
      <c r="AZ113" s="468" t="n">
        <f aca="false">IF($AW113="",AZ112^2/AZ111,INDEX(W$5:W$8,$AW113)^((INDEX($T$5:$T$8,$AW113+1)-($I113-DateToday+15))/(INDEX($T$5:$T$8,$AW113+1)-INDEX($T$5:$T$8,$AW113)))/INDEX(W$5:W$8,$AW113+1)^((INDEX($T$5:$T$8,$AW113)-($I113-DateToday+15))/(INDEX($T$5:$T$8,$AW113+1)-INDEX($T$5:$T$8,$AW113))))</f>
        <v>333538.32020432</v>
      </c>
      <c r="BA113" s="468" t="n">
        <f aca="false">IF($AW113="",BA112^2/BA111,INDEX(X$5:X$8,$AW113)^((INDEX($T$5:$T$8,$AW113+1)-($I113-DateToday+15))/(INDEX($T$5:$T$8,$AW113+1)-INDEX($T$5:$T$8,$AW113)))/INDEX(X$5:X$8,$AW113+1)^((INDEX($T$5:$T$8,$AW113)-($I113-DateToday+15))/(INDEX($T$5:$T$8,$AW113+1)-INDEX($T$5:$T$8,$AW113))))</f>
        <v>5973462.62584043</v>
      </c>
      <c r="BB113" s="468" t="n">
        <f aca="false">IF($AW113="",BB112^2/BB111,INDEX(Y$5:Y$8,$AW113)^((INDEX($T$5:$T$8,$AW113+1)-($I113-DateToday+15))/(INDEX($T$5:$T$8,$AW113+1)-INDEX($T$5:$T$8,$AW113)))/INDEX(Y$5:Y$8,$AW113+1)^((INDEX($T$5:$T$8,$AW113)-($I113-DateToday+15))/(INDEX($T$5:$T$8,$AW113+1)-INDEX($T$5:$T$8,$AW113))))</f>
        <v>65780396.8373436</v>
      </c>
      <c r="BC113" s="468" t="n">
        <f aca="false">IF($AW113="",BC112^2/BC111,INDEX(Z$5:Z$8,$AW113)^((INDEX($T$5:$T$8,$AW113+1)-($I113-DateToday+15))/(INDEX($T$5:$T$8,$AW113+1)-INDEX($T$5:$T$8,$AW113)))/INDEX(Z$5:Z$8,$AW113+1)^((INDEX($T$5:$T$8,$AW113)-($I113-DateToday+15))/(INDEX($T$5:$T$8,$AW113+1)-INDEX($T$5:$T$8,$AW113))))</f>
        <v>278248103.446055</v>
      </c>
      <c r="BD113" s="535" t="n">
        <f aca="false">IF(OR(DateStart&gt;=I114,DateEnd&lt;I113),0,IF(VolumeOverrideFlag,V113,Volume))</f>
        <v>0</v>
      </c>
      <c r="BE113" s="536" t="n">
        <f aca="false">IF(OR(DateStart2&gt;=I114,DateEnd2&lt;I113),0,IF(VolumeOverrideFlag,V113,VolumeSwaption))</f>
        <v>0</v>
      </c>
      <c r="BF113" s="537" t="n">
        <f aca="false">YEAR(I113)</f>
        <v>2008</v>
      </c>
      <c r="BG113" s="538" t="n">
        <f aca="false">MONTH(I113)</f>
        <v>6</v>
      </c>
      <c r="BH113" s="539" t="n">
        <f aca="false">AD113-DateToday+1</f>
        <v>-6341</v>
      </c>
      <c r="BI113" s="540" t="n">
        <f aca="false">(I113-DateToday+1)/365.25</f>
        <v>-17.3169062286105</v>
      </c>
      <c r="BJ113" s="541" t="n">
        <f aca="false">BI113+(BL113-BI113)*CHOOSE(Underlying,AJ113/AI113,AM113/AL113)</f>
        <v>-17.2601936051628</v>
      </c>
      <c r="BK113" s="541" t="n">
        <f aca="false">BJ113+1/365.25</f>
        <v>-17.2574557543757</v>
      </c>
      <c r="BL113" s="541" t="n">
        <f aca="false">(I114-DateToday)/365.25</f>
        <v>-17.2375085557837</v>
      </c>
      <c r="BM113" s="542" t="e">
        <f aca="false">MAX(BI113-(BJ113-BI113)*(S114^2/O114^2-1),0)</f>
        <v>#DIV/0!</v>
      </c>
      <c r="BN113" s="541" t="e">
        <f aca="false">MAX(BL113+(BL113-BK113)*(S115^2/O115^2-1),0)</f>
        <v>#DIV/0!</v>
      </c>
      <c r="BO113" s="530" t="n">
        <f aca="false">CHOOSE(Underlying,AI113,AL113)</f>
        <v>21</v>
      </c>
      <c r="BP113" s="529" t="n">
        <f aca="false">CHOOSE(Underlying,AJ113,AM113)</f>
        <v>15</v>
      </c>
      <c r="BQ113" s="529" t="n">
        <f aca="false">CHOOSE(Underlying,AK113,AN113)</f>
        <v>6</v>
      </c>
      <c r="BR113" s="463" t="str">
        <f aca="false">IF(BD113,IF(Underlying=1,X113,Z113)+UnderlyingPriceAsian-SwapPriceCurve,"")</f>
        <v/>
      </c>
      <c r="BS113" s="463" t="str">
        <f aca="false">IF(BD113,Strike1/BR113-1,"")</f>
        <v/>
      </c>
      <c r="BT113" s="464" t="str">
        <f aca="false">IF(BD113,Strike2/BR113-1,"")</f>
        <v/>
      </c>
      <c r="BU113" s="465" t="str">
        <f aca="false">IF(BD113,IF(Underlying=1,L114,R114)+UnderlyingPriceAsian-SwapPriceCurve,"")</f>
        <v/>
      </c>
      <c r="BV113" s="465" t="str">
        <f aca="false">IF(BD113,IF(Underlying=1,L115,R115)+UnderlyingPriceAsian-SwapPriceCurve,"")</f>
        <v/>
      </c>
      <c r="BW113" s="466" t="str">
        <f aca="false">IF(BD113,IF(Underlying=1,O114,AT114),"")</f>
        <v/>
      </c>
      <c r="BX113" s="467" t="str">
        <f aca="false">IF(BD113,IF(Underlying=1,O115,AT115),"")</f>
        <v/>
      </c>
      <c r="BY113" s="466" t="str">
        <f aca="false">IF(BD113,IF(BS113&gt;0,IF(BS113&gt;0.2,BC113-BB113,IF(BS113&gt;0.1,BB113-BA113,BA113)),IF(BS113&lt;-0.2,AX113-AY113,IF(BS113&lt;-0.1,AY113-AZ113,AZ113))),"")</f>
        <v/>
      </c>
      <c r="BZ113" s="467" t="str">
        <f aca="false">IF(BD113,IF(BT113&gt;0,IF(BT113&gt;0.2,BC113-BB113,IF(BT113&gt;0.1,BB113-BA113,BA113)),IF(BT113&lt;-0.2,AX113-AY113,IF(BT113&lt;-0.1,AY113-AZ113,AZ113))),"")</f>
        <v/>
      </c>
      <c r="CA113" s="468" t="str">
        <f aca="false">IF($BD113,$BW113+IF(VolSkewFlag=1,IF(BS113&gt;0,$BA113*MIN(BS113/10%,1)+($BB113-$BA113)*MAX(0,MIN(BS113/10%-1,1))+($BC113-$BB113)*MAX(0,BS113/10%-2),$AZ113*MIN(-BS113/10%,1)+($AY113-$AZ113)*MAX(0,MIN(-BS113/10%-1,1))+($AX113-$AY113)*MAX(0,-BS113/10%-2)),0),"")</f>
        <v/>
      </c>
      <c r="CB113" s="468" t="str">
        <f aca="false">IF($BD113,$BX113+IF(VolSkewFlag=1,IF(BS113&gt;0,$BA113*MIN(BS113/10%,1)+($BB113-$BA113)*MAX(0,MIN(BS113/10%-1,1))+($BC113-$BB113)*MAX(0,BS113/10%-2),$AZ113*MIN(-BS113/10%,1)+($AY113-$AZ113)*MAX(0,MIN(-BS113/10%-1,1))+($AX113-$AY113)*MAX(0,-BS113/10%-2)),0),"")</f>
        <v/>
      </c>
      <c r="CC113" s="468" t="str">
        <f aca="false">IF($BD113,$BW113+IF(VolSkewFlag=1,IF(BT113&gt;0,$BA113*MIN(BT113/10%,1)+($BB113-$BA113)*MAX(0,MIN(BT113/10%-1,1))+($BC113-$BB113)*MAX(0,BT113/10%-2),$AZ113*MIN(-BT113/10%,1)+($AY113-$AZ113)*MAX(0,MIN(-BT113/10%-1,1))+($AX113-$AY113)*MAX(0,-BT113/10%-2)),0),"")</f>
        <v/>
      </c>
      <c r="CD113" s="468" t="str">
        <f aca="false">IF($BD113,$BX113+IF(VolSkewFlag=1,IF(BT113&gt;0,$BA113*MIN(BT113/10%,1)+($BB113-$BA113)*MAX(0,MIN(BT113/10%-1,1))+($BC113-$BB113)*MAX(0,BT113/10%-2),$AZ113*MIN(-BT113/10%,1)+($AY113-$AZ113)*MAX(0,MIN(-BT113/10%-1,1))+($AX113-$AY113)*MAX(0,-BT113/10%-2)),0),"")</f>
        <v/>
      </c>
      <c r="CE113" s="469" t="n">
        <v>1</v>
      </c>
      <c r="CF113" s="470" t="n">
        <f aca="false">IF(BD113,xCrudeAPO(BU113,BV113,CA113,CB113,S114,S115,BI113,BL113,BP113,BQ113,0,Strike1,AO113,CE113,0,BL113,IF(OptControl=4,0,1),0,1),0)</f>
        <v>0</v>
      </c>
      <c r="CG113" s="470" t="n">
        <f aca="false">IF(BD113,xCrudeAPO(BU113,BV113,CA113,CB113,S114,S115,BI113,BL113,BP113,BQ113,0,Strike1,AO113,CE113,0,BL113,IF(OptControl=4,0,1),1,1)+xCrudeAPO(BU113,BV113,CA113,CB113,S114,S115,BI113,BL113,BP113,BQ113,0,Strike1,AO113,CE113,0,BL113,IF(OptControl=4,0,1),1,2)+IF(OR(VolSkewFlag=2,ABS(BS113)&lt;0.0001),0,IF(BS113&gt;0,-1,1)*CH113*Strike1/BR113^2*BY113/10%),0)</f>
        <v>0</v>
      </c>
      <c r="CH113" s="470" t="n">
        <f aca="false">IF(BD113,(xCrudeAPO(BU113,BV113,CA113,CB113,S114,S115,BI113,BL113,BP113,BQ113,0,Strike1,AO113,CE113,0,BL113,IF(OptControl=4,0,1),3,1)+xCrudeAPO(BU113,BV113,CA113,CB113,S114,S115,BI113,BL113,BP113,BQ113,0,Strike1,AO113,CE113,0,BL113,IF(OptControl=4,0,1),3,2))/100,0)</f>
        <v>0</v>
      </c>
      <c r="CI113" s="470" t="n">
        <f aca="false">IF(BD113,xCrudeAPO(BU113,BV113,CA113,CB113,S114,S115,BI113-DaysForThetaCalculation/365.25,BL113-DaysForThetaCalculation/365.25,BP113,BQ113,0,Strike1,AO113,CE113,0,BL113,IF(OptControl=4,0,1),0,1)-xCrudeAPO(BU113,BV113,CA113,CB113,S114,S115,BI113,BL113,BP113,BQ113,0,Strike1,AO113,CE113,0,BL113,IF(OptControl=4,0,1),0,1),0)</f>
        <v>0</v>
      </c>
      <c r="CJ113" s="471" t="n">
        <f aca="false">IF(BD113,xCrudeAPO(BU113,BV113,CC113,CD113,S114,S115,BI113,BL113,BP113,BQ113,0,Strike2,AO113,CE113,0,BL113,IF(OptControl=3,1,0),0,1),0)</f>
        <v>0</v>
      </c>
      <c r="CK113" s="470" t="n">
        <f aca="false">IF(BD113,xCrudeAPO(BU113,BV113,CC113,CD113,S114,S115,BI113,BL113,BP113,BQ113,0,Strike2,AO113,CE113,0,BL113,IF(OptControl=3,1,0),1,1)+xCrudeAPO(BU113,BV113,CC113,CD113,S114,S115,BI113,BL113,BP113,BQ113,0,Strike2,AO113,CE113,0,BL113,IF(OptControl=3,1,0),1,2)+IF(OR(VolSkewFlag=2,ABS(BT113)&lt;0.0001),0,IF(BT113&gt;0,-1,1)*CL113*Strike2/BR113^2*BZ113/10%),0)</f>
        <v>0</v>
      </c>
      <c r="CL113" s="470" t="n">
        <f aca="false">IF(BD113,(xCrudeAPO(BU113,BV113,CC113,CD113,S114,S115,BI113,BL113,BP113,BQ113,0,Strike2,AO113,CE113,0,BL113,IF(OptControl=3,1,0),3,1)+xCrudeAPO(BU113,BV113,CC113,CD113,S114,S115,BI113,BL113,BP113,BQ113,0,Strike2,AO113,CE113,0,BL113,IF(OptControl=3,1,0),3,2))/100,0)</f>
        <v>0</v>
      </c>
      <c r="CM113" s="472" t="n">
        <f aca="false">IF(BD113,xCrudeAPO(BU113,BV113,CC113,CD113,S114,S115,BI113-DaysForThetaCalculation/365.25,BL113-DaysForThetaCalculation/365.25,BP113,BQ113,0,Strike2,AO113,CE113,0,BL113,IF(OptControl=3,1,0),0,1)-xCrudeAPO(BU113,BV113,CC113,CD113,S114,S115,BI113,BL113,BP113,BQ113,0,Strike2,AO113,CE113,0,BL113,IF(OptControl=3,1,0),0,1),0)</f>
        <v>0</v>
      </c>
      <c r="CN113" s="3"/>
      <c r="CO113" s="543" t="str">
        <f aca="false">IF(BD113,CHOOSE(Underlying,AD113,AF113)-DateToday+1,"")</f>
        <v/>
      </c>
      <c r="CP113" s="582" t="str">
        <f aca="false">IF(BD113,CHOOSE(Underlying,L113,R113),"")</f>
        <v/>
      </c>
      <c r="CQ113" s="544" t="str">
        <f aca="false">IF(BD113,Strike1/CP113-1,"")</f>
        <v/>
      </c>
      <c r="CR113" s="544" t="str">
        <f aca="false">IF(BD113,Strike2/CP113-1,"")</f>
        <v/>
      </c>
      <c r="CS113" s="544" t="str">
        <f aca="false">IF(BD113,IF(CQ113&gt;0,IF(CQ113&gt;0.2,BC112-BB112,IF(CQ113&gt;0.1,BB112-BA112,BA112)),IF(CQ113&lt;-0.2,AX112-AY112,IF(CQ113&lt;-0.1,AY112-AZ112,AZ112))),"")</f>
        <v/>
      </c>
      <c r="CT113" s="544" t="str">
        <f aca="false">IF(BD113,IF(CR113&gt;0,IF(CR113&gt;0.2,BC112-BB112,IF(CR113&gt;0.1,BB112-BA112,BA112)),IF(CR113&lt;-0.2,AX112-AY112,IF(CR113&lt;-0.1,AY112-AZ112,AZ112))),"")</f>
        <v/>
      </c>
      <c r="CU113" s="545" t="str">
        <f aca="false">IF(BD113,CHOOSE(Underlying,O113,AT113),"")</f>
        <v/>
      </c>
      <c r="CV113" s="545" t="str">
        <f aca="false">IF(BD113,CU113+IF(VolSkewFlag=1,IF(CQ113&gt;0,BA112*MIN(CQ113/10%,1)+(BB112-BA112)*MAX(0,MIN(CQ113/10%-1,1))+(BC112-BB112)*MAX(0,CQ113/10%-2),AZ112*MIN(-CQ113/10%,1)+(AY112-AZ112)*MAX(0,MIN(-CQ113/10%-1,1))+(AX112-AY112)*MAX(0,-CQ113/10%-2)),0),"")</f>
        <v/>
      </c>
      <c r="CW113" s="545" t="str">
        <f aca="false">IF(BD113,CU113+IF(VolSkewFlag=1,IF(CR113&gt;0,BA112*MIN(CR113/10%,1)+(BB112-BA112)*MAX(0,MIN(CR113/10%-1,1))+(BC112-BB112)*MAX(0,CR113/10%-2),AZ112*MIN(-CR113/10%,1)+(AY112-AZ112)*MAX(0,MIN(-CR113/10%-1,1))+(AX112-AY112)*MAX(0,-CR113/10%-2)),0),"")</f>
        <v/>
      </c>
      <c r="CX113" s="470" t="n">
        <f aca="false">IF(BD113,EURO(CP113,Strike1,AO113,AO113,CV113,CO113,IF(OptControl=4,0,1),0),0)</f>
        <v>0</v>
      </c>
      <c r="CY113" s="470" t="n">
        <f aca="false">IF(BD113,EURO(CP113,Strike1,AO113,AO113,CV113,CO113,IF(OptControl=4,0,1),1)+IF(OR(VolSkewFlag=2,ABS(CQ113)&lt;0.0001),0,IF(CQ113&gt;0,-1,1)*CZ113*100*Strike1/CP113^2*CS113/10%),0)</f>
        <v>0</v>
      </c>
      <c r="CZ113" s="470" t="n">
        <f aca="false">IF(BD113,EURO(CP113,Strike1,AO113,AO113,CV113,CO113,IF(OptControl=4,0,1),3)/100,0)</f>
        <v>0</v>
      </c>
      <c r="DA113" s="470" t="n">
        <f aca="false">IF(BD113,EURO(CP113,Strike1,AO113,AO113,CV113,CO113,IF(OptControl=4,0,1),0)-EURO(CP113,Strike1,AO113,AO113,CV113,CO113-1,IF(OptControl=4,0,1),0),0)</f>
        <v>0</v>
      </c>
      <c r="DB113" s="470" t="n">
        <f aca="false">IF(BD113,EURO(CP113,Strike2,AO113,AO113,CW113,CO113,IF(OptControl=3,1,0),0),0)</f>
        <v>0</v>
      </c>
      <c r="DC113" s="470" t="n">
        <f aca="false">IF(BD113,EURO(CP113,Strike2,AO113,AO113,CW113,CO113,IF(OptControl=3,1,0),1)+IF(OR(VolSkewFlag=2,ABS(CR113)&lt;0.0001),0,IF(CR113&gt;0,-1,1)*DD113*100*Strike2/CP113^2*CT113/10%),0)</f>
        <v>0</v>
      </c>
      <c r="DD113" s="470" t="n">
        <f aca="false">IF(BD113,EURO(CP113,Strike2,AO113,AO113,CW113,CO113,IF(OptControl=3,1,0),3)/100,0)</f>
        <v>0</v>
      </c>
      <c r="DE113" s="472" t="n">
        <f aca="false">IF(BD113,EURO(CP113,Strike2,AO113,AO113,CW113,CO113,IF(OptControl=3,1,0),0)-EURO(CP113,Strike2,AO113,AO113,CW113,CO113-1,IF(OptControl=3,1,0),0),0)</f>
        <v>0</v>
      </c>
      <c r="DG113" s="481" t="n">
        <f aca="false">EOMONTH(DG112,0)+1</f>
        <v>48519</v>
      </c>
      <c r="DH113" s="478" t="n">
        <v>18.8141666666667</v>
      </c>
      <c r="DI113" s="479" t="n">
        <v>18.8781818181818</v>
      </c>
      <c r="DJ113" s="480" t="n">
        <f aca="false">DG113</f>
        <v>48519</v>
      </c>
      <c r="DK113" s="478" t="n">
        <v>17.6036729254324</v>
      </c>
      <c r="DL113" s="479" t="n">
        <v>17.6850818181818</v>
      </c>
      <c r="DM113" s="481" t="n">
        <f aca="false">DG113</f>
        <v>48519</v>
      </c>
      <c r="DN113" s="482" t="n">
        <f aca="false">DK113+BrentPhyBrentSpread</f>
        <v>17.6536729254324</v>
      </c>
      <c r="DO113" s="481" t="n">
        <f aca="false">DG113</f>
        <v>48519</v>
      </c>
      <c r="DP113" s="483" t="n">
        <f aca="false">DL113+DQ113</f>
        <v>17.6850818181818</v>
      </c>
      <c r="DQ113" s="546" t="n">
        <v>0</v>
      </c>
      <c r="DR113" s="480" t="n">
        <f aca="false">DG113</f>
        <v>48519</v>
      </c>
      <c r="DS113" s="485" t="n">
        <v>0.1688</v>
      </c>
      <c r="DT113" s="486" t="n">
        <v>0.167981818181818</v>
      </c>
      <c r="DU113" s="480" t="n">
        <f aca="false">DG113</f>
        <v>48519</v>
      </c>
      <c r="DV113" s="485" t="n">
        <v>0.1688</v>
      </c>
      <c r="DW113" s="486" t="n">
        <v>0.167981818181818</v>
      </c>
      <c r="DX113" s="481" t="n">
        <f aca="false">DG113</f>
        <v>48519</v>
      </c>
      <c r="DY113" s="486" t="n">
        <v>0.35</v>
      </c>
      <c r="DZ113" s="481" t="n">
        <f aca="false">DR113</f>
        <v>48519</v>
      </c>
      <c r="EA113" s="486" t="n">
        <f aca="false">DT113</f>
        <v>0.167981818181818</v>
      </c>
      <c r="EB113" s="195"/>
      <c r="EC113" s="547" t="str">
        <f aca="false">IF(BD113,IF(Underlying=1,AS113,AU113),"")</f>
        <v/>
      </c>
      <c r="ED113" s="548" t="str">
        <f aca="false">IF($BD113,$EC113+IF(VolSkewFlag=1,IF(BS113&gt;0,$BA113*MIN(BS113/10%,1)+($BB113-$BA113)*MAX(0,MIN(BS113/10%-1,1))+($BC113-$BB113)*MAX(0,BS113/10%-2),$AZ113*MIN(-BS113/10%,1)+($AY113-$AZ113)*MAX(0,MIN(-BS113/10%-1,1))+($AX113-$AY113)*MAX(0,-BS113/10%-2)),0),"")</f>
        <v/>
      </c>
      <c r="EE113" s="549" t="str">
        <f aca="false">IF($BD113,$EC113+IF(VolSkewFlag=1,IF(BT113&gt;0,$BA113*MIN(BT113/10%,1)+($BB113-$BA113)*MAX(0,MIN(BT113/10%-1,1))+($BC113-$BB113)*MAX(0,BT113/10%-2),$AZ113*MIN(-BT113/10%,1)+($AY113-$AZ113)*MAX(0,MIN(-BT113/10%-1,1))+($AX113-$AY113)*MAX(0,-BT113/10%-2)),0),"")</f>
        <v/>
      </c>
      <c r="EF113" s="550" t="n">
        <f aca="false">IF(BD113,xASN(BR113,Strike1,AO113,ED113,0,BO113,0,BI113,BL113,IF(OptControl=4,0,1),0),0)</f>
        <v>0</v>
      </c>
      <c r="EG113" s="551" t="n">
        <f aca="false">IF(BD113,xASN(BR113,Strike2,AO113,EE113,0,BO113,0,BI113,BL113,IF(OptControl=3,1,0),0),0)</f>
        <v>0</v>
      </c>
      <c r="EL113" s="1"/>
      <c r="EM113" s="195"/>
      <c r="EN113" s="240"/>
      <c r="EO113" s="240"/>
      <c r="EP113" s="195"/>
      <c r="EQ113" s="407" t="s">
        <v>340</v>
      </c>
      <c r="ES113" s="130"/>
      <c r="ET113" s="19"/>
      <c r="EU113" s="672"/>
      <c r="EV113" s="478"/>
      <c r="EW113" s="131"/>
      <c r="EX113" s="131"/>
      <c r="EY113" s="129"/>
      <c r="EZ113" s="129"/>
      <c r="FA113" s="129"/>
      <c r="FB113" s="129"/>
      <c r="FC113" s="129"/>
      <c r="FD113" s="129"/>
      <c r="FE113" s="129"/>
      <c r="FF113" s="129"/>
      <c r="FG113" s="129"/>
      <c r="FH113" s="129"/>
      <c r="FI113" s="129"/>
      <c r="FJ113" s="571" t="n">
        <v>19</v>
      </c>
      <c r="FK113" s="150" t="e">
        <f aca="false">IF($FJ38&lt;FK$94,"",SQRT(FK38/FK$15))</f>
        <v>#DIV/0!</v>
      </c>
      <c r="FL113" s="150" t="n">
        <f aca="false">IF($FJ38&lt;FL$94,"",SQRT(FL38/FL$15))</f>
        <v>-0</v>
      </c>
      <c r="FM113" s="150" t="n">
        <f aca="false">IF($FJ38&lt;FM$94,"",SQRT(FM38/FM$15))</f>
        <v>0.181672694184368</v>
      </c>
      <c r="FN113" s="150" t="n">
        <f aca="false">IF($FJ38&lt;FN$94,"",SQRT(FN38/FN$15))</f>
        <v>0.180119360436639</v>
      </c>
      <c r="FO113" s="150" t="n">
        <f aca="false">IF($FJ38&lt;FO$94,"",SQRT(FO38/FO$15))</f>
        <v>0.179737268000228</v>
      </c>
      <c r="FP113" s="150" t="n">
        <f aca="false">IF($FJ38&lt;FP$94,"",SQRT(FP38/FP$15))</f>
        <v>0.180388920014965</v>
      </c>
      <c r="FQ113" s="150" t="n">
        <f aca="false">IF($FJ38&lt;FQ$94,"",SQRT(FQ38/FQ$15))</f>
        <v>0.182004588026227</v>
      </c>
      <c r="FR113" s="150" t="n">
        <f aca="false">IF($FJ38&lt;FR$94,"",SQRT(FR38/FR$15))</f>
        <v>0.184574249581919</v>
      </c>
      <c r="FS113" s="150" t="n">
        <f aca="false">IF($FJ38&lt;FS$94,"",SQRT(FS38/FS$15))</f>
        <v>0.188144463981966</v>
      </c>
      <c r="FT113" s="150" t="n">
        <f aca="false">IF($FJ38&lt;FT$94,"",SQRT(FT38/FT$15))</f>
        <v>0.19282015340579</v>
      </c>
      <c r="FU113" s="150" t="n">
        <f aca="false">IF($FJ38&lt;FU$94,"",SQRT(FU38/FU$15))</f>
        <v>0.19877186140019</v>
      </c>
      <c r="FV113" s="150" t="n">
        <f aca="false">IF($FJ38&lt;FV$94,"",SQRT(FV38/FV$15))</f>
        <v>0.206249865361912</v>
      </c>
      <c r="FW113" s="150" t="n">
        <f aca="false">IF($FJ38&lt;FW$94,"",SQRT(FW38/FW$15))</f>
        <v>0.215607716560521</v>
      </c>
      <c r="FX113" s="150" t="n">
        <f aca="false">IF($FJ38&lt;FX$94,"",SQRT(FX38/FX$15))</f>
        <v>0.227339709792109</v>
      </c>
      <c r="FY113" s="150" t="n">
        <f aca="false">IF($FJ38&lt;FY$94,"",SQRT(FY38/FY$15))</f>
        <v>0.242140077063441</v>
      </c>
      <c r="FZ113" s="150" t="n">
        <f aca="false">IF($FJ38&lt;FZ$94,"",SQRT(FZ38/FZ$15))</f>
        <v>0.260997587941283</v>
      </c>
      <c r="GA113" s="150" t="n">
        <f aca="false">IF($FJ38&lt;GA$94,"",SQRT(GA38/GA$15))</f>
        <v>0.285350233021808</v>
      </c>
      <c r="GB113" s="150" t="n">
        <f aca="false">IF($FJ38&lt;GB$94,"",SQRT(GB38/GB$15))</f>
        <v>0.317346121788997</v>
      </c>
      <c r="GC113" s="150" t="n">
        <f aca="false">IF($FJ38&lt;GC$94,"",SQRT(GC38/GC$15))</f>
        <v>0.360300677872729</v>
      </c>
      <c r="GD113" s="150" t="str">
        <f aca="false">IF($FJ38&lt;GD$94,"",SQRT(GD38/GD$15))</f>
        <v/>
      </c>
      <c r="GE113" s="150" t="str">
        <f aca="false">IF($FJ38&lt;GE$94,"",SQRT(GE38/GE$15))</f>
        <v/>
      </c>
      <c r="GF113" s="150" t="str">
        <f aca="false">IF($FJ38&lt;GF$94,"",SQRT(GF38/GF$15))</f>
        <v/>
      </c>
      <c r="GG113" s="150" t="str">
        <f aca="false">IF($FJ38&lt;GG$94,"",SQRT(GG38/GG$15))</f>
        <v/>
      </c>
      <c r="GH113" s="150" t="str">
        <f aca="false">IF($FJ38&lt;GH$94,"",SQRT(GH38/GH$15))</f>
        <v/>
      </c>
      <c r="GI113" s="150" t="str">
        <f aca="false">IF($FJ38&lt;GI$94,"",SQRT(GI38/GI$15))</f>
        <v/>
      </c>
      <c r="GJ113" s="150" t="str">
        <f aca="false">IF($FJ38&lt;GJ$94,"",SQRT(GJ38/GJ$15))</f>
        <v/>
      </c>
      <c r="GK113" s="150" t="str">
        <f aca="false">IF($FJ38&lt;GK$94,"",SQRT(GK38/GK$15))</f>
        <v/>
      </c>
      <c r="GL113" s="150" t="str">
        <f aca="false">IF($FJ38&lt;GL$94,"",SQRT(GL38/GL$15))</f>
        <v/>
      </c>
      <c r="GM113" s="150" t="str">
        <f aca="false">IF($FJ38&lt;GM$94,"",SQRT(GM38/GM$15))</f>
        <v/>
      </c>
      <c r="GN113" s="150" t="str">
        <f aca="false">IF($FJ38&lt;GN$94,"",SQRT(GN38/GN$15))</f>
        <v/>
      </c>
      <c r="GO113" s="150" t="str">
        <f aca="false">IF($FJ38&lt;GO$94,"",SQRT(GO38/GO$15))</f>
        <v/>
      </c>
      <c r="GP113" s="150" t="str">
        <f aca="false">IF($FJ38&lt;GP$94,"",SQRT(GP38/GP$15))</f>
        <v/>
      </c>
      <c r="GQ113" s="150" t="str">
        <f aca="false">IF($FJ38&lt;GQ$94,"",SQRT(GQ38/GQ$15))</f>
        <v/>
      </c>
      <c r="GR113" s="150" t="str">
        <f aca="false">IF($FJ38&lt;GR$94,"",SQRT(GR38/GR$15))</f>
        <v/>
      </c>
      <c r="GS113" s="150" t="str">
        <f aca="false">IF($FJ38&lt;GS$94,"",SQRT(GS38/GS$15))</f>
        <v/>
      </c>
      <c r="GT113" s="150" t="str">
        <f aca="false">IF($FJ38&lt;GT$94,"",SQRT(GT38/GT$15))</f>
        <v/>
      </c>
      <c r="GU113" s="150" t="str">
        <f aca="false">IF($FJ38&lt;GU$94,"",SQRT(GU38/GU$15))</f>
        <v/>
      </c>
      <c r="GV113" s="150" t="str">
        <f aca="false">IF($FJ38&lt;GV$94,"",SQRT(GV38/GV$15))</f>
        <v/>
      </c>
      <c r="GW113" s="150" t="str">
        <f aca="false">IF($FJ38&lt;GW$94,"",SQRT(GW38/GW$15))</f>
        <v/>
      </c>
      <c r="GX113" s="150" t="str">
        <f aca="false">IF($FJ38&lt;GX$94,"",SQRT(GX38/GX$15))</f>
        <v/>
      </c>
      <c r="GY113" s="150" t="str">
        <f aca="false">IF($FJ38&lt;GY$94,"",SQRT(GY38/GY$15))</f>
        <v/>
      </c>
      <c r="GZ113" s="150" t="str">
        <f aca="false">IF($FJ38&lt;GZ$94,"",SQRT(GZ38/GZ$15))</f>
        <v/>
      </c>
      <c r="HA113" s="150" t="str">
        <f aca="false">IF($FJ38&lt;HA$94,"",SQRT(HA38/HA$15))</f>
        <v/>
      </c>
      <c r="HB113" s="150" t="str">
        <f aca="false">IF($FJ38&lt;HB$94,"",SQRT(HB38/HB$15))</f>
        <v/>
      </c>
      <c r="HC113" s="150" t="str">
        <f aca="false">IF($FJ38&lt;HC$94,"",SQRT(HC38/HC$15))</f>
        <v/>
      </c>
      <c r="HD113" s="150" t="str">
        <f aca="false">IF($FJ38&lt;HD$94,"",SQRT(HD38/HD$15))</f>
        <v/>
      </c>
      <c r="HE113" s="150" t="str">
        <f aca="false">IF($FJ38&lt;HE$94,"",SQRT(HE38/HE$15))</f>
        <v/>
      </c>
      <c r="HF113" s="150" t="str">
        <f aca="false">IF($FJ38&lt;HF$94,"",SQRT(HF38/HF$15))</f>
        <v/>
      </c>
      <c r="HG113" s="150" t="str">
        <f aca="false">IF($FJ38&lt;HG$94,"",SQRT(HG38/HG$15))</f>
        <v/>
      </c>
      <c r="HH113" s="150" t="str">
        <f aca="false">IF($FJ38&lt;HH$94,"",SQRT(HH38/HH$15))</f>
        <v/>
      </c>
      <c r="HI113" s="150" t="str">
        <f aca="false">IF($FJ38&lt;HI$94,"",SQRT(HI38/HI$15))</f>
        <v/>
      </c>
      <c r="HJ113" s="150" t="str">
        <f aca="false">IF($FJ38&lt;HJ$94,"",SQRT(HJ38/HJ$15))</f>
        <v/>
      </c>
      <c r="HK113" s="150" t="str">
        <f aca="false">IF($FJ38&lt;HK$94,"",SQRT(HK38/HK$15))</f>
        <v/>
      </c>
      <c r="HL113" s="150" t="str">
        <f aca="false">IF($FJ38&lt;HL$94,"",SQRT(HL38/HL$15))</f>
        <v/>
      </c>
      <c r="HM113" s="150" t="str">
        <f aca="false">IF($FJ38&lt;HM$94,"",SQRT(HM38/HM$15))</f>
        <v/>
      </c>
      <c r="HN113" s="150" t="str">
        <f aca="false">IF($FJ38&lt;HN$94,"",SQRT(HN38/HN$15))</f>
        <v/>
      </c>
      <c r="HO113" s="150" t="str">
        <f aca="false">IF($FJ38&lt;HO$94,"",SQRT(HO38/HO$15))</f>
        <v/>
      </c>
      <c r="HP113" s="150" t="str">
        <f aca="false">IF($FJ38&lt;HP$94,"",SQRT(HP38/HP$15))</f>
        <v/>
      </c>
      <c r="HQ113" s="150" t="str">
        <f aca="false">IF($FJ38&lt;HQ$94,"",SQRT(HQ38/HQ$15))</f>
        <v/>
      </c>
      <c r="HR113" s="150" t="str">
        <f aca="false">IF($FJ38&lt;HR$94,"",SQRT(HR38/HR$15))</f>
        <v/>
      </c>
      <c r="HS113" s="150" t="str">
        <f aca="false">IF($FJ38&lt;HS$94,"",SQRT(HS38/HS$15))</f>
        <v/>
      </c>
      <c r="HT113" s="150" t="str">
        <f aca="false">IF($FJ38&lt;HT$94,"",SQRT(HT38/HT$15))</f>
        <v/>
      </c>
      <c r="HU113" s="150" t="str">
        <f aca="false">IF($FJ38&lt;HU$94,"",SQRT(HU38/HU$15))</f>
        <v/>
      </c>
      <c r="HV113" s="150" t="str">
        <f aca="false">IF($FJ38&lt;HV$94,"",SQRT(HV38/HV$15))</f>
        <v/>
      </c>
      <c r="HW113" s="150" t="str">
        <f aca="false">IF($FJ38&lt;HW$94,"",SQRT(HW38/HW$15))</f>
        <v/>
      </c>
      <c r="HX113" s="150" t="str">
        <f aca="false">IF($FJ38&lt;HX$94,"",SQRT(HX38/HX$15))</f>
        <v/>
      </c>
      <c r="HY113" s="150" t="str">
        <f aca="false">IF($FJ38&lt;HY$94,"",SQRT(HY38/HY$15))</f>
        <v/>
      </c>
      <c r="HZ113" s="150" t="str">
        <f aca="false">IF($FJ38&lt;HZ$94,"",SQRT(HZ38/HZ$15))</f>
        <v/>
      </c>
      <c r="IA113" s="150" t="str">
        <f aca="false">IF($FJ38&lt;IA$94,"",SQRT(IA38/IA$15))</f>
        <v/>
      </c>
      <c r="IB113" s="150" t="str">
        <f aca="false">IF($FJ38&lt;IB$94,"",SQRT(IB38/IB$15))</f>
        <v/>
      </c>
      <c r="IC113" s="150" t="str">
        <f aca="false">IF($FJ38&lt;IC$94,"",SQRT(IC38/IC$15))</f>
        <v/>
      </c>
      <c r="ID113" s="572" t="str">
        <f aca="false">IF($FJ38&lt;ID$94,"",SQRT(ID38/ID$15))</f>
        <v/>
      </c>
      <c r="IE113" s="129"/>
    </row>
    <row r="114" customFormat="false" ht="12.75" hidden="false" customHeight="false" outlineLevel="0" collapsed="false">
      <c r="H114" s="219" t="n">
        <f aca="false">VLOOKUP(I114,$EJ$20:$EL$54,3)</f>
        <v>0</v>
      </c>
      <c r="I114" s="511" t="n">
        <f aca="false">EOMONTH(I113,0)+1</f>
        <v>39630</v>
      </c>
      <c r="J114" s="512"/>
      <c r="K114" s="513" t="s">
        <v>280</v>
      </c>
      <c r="L114" s="514" t="n">
        <f aca="false">IF(ISNUMBER(K114),J114+K114/100,IF(K114="extra",L113+VLOOKUP(BF114,PriceSpreadTable,2)/12,IF(K114="inter",interpolateprices($K$19:$L$200,ROW(K114)-ROW(FirstPricingMonth)+1),interpolatechanges($J$19:$K$200,ROW(K114)-ROW(FirstPricingMonth)+1))))</f>
        <v>0.675</v>
      </c>
      <c r="M114" s="515"/>
      <c r="N114" s="516" t="n">
        <v>0</v>
      </c>
      <c r="O114" s="515" t="n">
        <f aca="false">M114+N114</f>
        <v>0</v>
      </c>
      <c r="P114" s="512"/>
      <c r="Q114" s="513" t="s">
        <v>280</v>
      </c>
      <c r="R114" s="512" t="e">
        <f aca="false">IF(ISNUMBER(Q114),P114+Q114/100,IF(Q114="extra",(Z112*AL112-R113*AM112)/AN112,IF(Q114="inter",interpolateprices($Q$19:$R$260,ROW(Q114)-ROW(FirstPricingMonth)+1),interpolatechanges($P$19:$Q$260,ROW(Q114)-ROW(FirstPricingMonth)+1))))</f>
        <v>#VALUE!</v>
      </c>
      <c r="S114" s="597" t="n">
        <f aca="false">S$19+(S113-S$19)*S$18</f>
        <v>0.360000000000096</v>
      </c>
      <c r="T114" s="575" t="n">
        <f aca="false">SQRT((1-(1-T113^2/U113)*T$18)*U114)</f>
        <v>0.999999954782952</v>
      </c>
      <c r="U114" s="576" t="n">
        <f aca="false">1-(1-U113)*U$18</f>
        <v>0.999999999999973</v>
      </c>
      <c r="V114" s="521" t="n">
        <v>0</v>
      </c>
      <c r="W114" s="577" t="n">
        <f aca="false">(J115*AJ114+J116*AK114)/AI114</f>
        <v>0</v>
      </c>
      <c r="X114" s="578" t="n">
        <f aca="false">(L115*AJ114+L116*AK114)/AI114</f>
        <v>0.727840909090909</v>
      </c>
      <c r="Y114" s="579" t="n">
        <f aca="false">IF(Q116="extra",W114-AA114,(P115*AM114+P116*AN114)/AL114)</f>
        <v>-1.2566</v>
      </c>
      <c r="Z114" s="579" t="n">
        <f aca="false">IF(Q116="extra",X114-AB114,(R115*AM114+R116*AN114)/AL114)</f>
        <v>-0.528759090909091</v>
      </c>
      <c r="AA114" s="523" t="n">
        <f aca="false">IF(Q116="extra",INDEX(BrentSeasonalityTable,INT((BG114-1)/3)+1)*VLOOKUP(MAX(BF114,$AB$4),PriceSpreadTable,3),W114-Y114)</f>
        <v>1.2566</v>
      </c>
      <c r="AB114" s="524" t="n">
        <f aca="false">IF(Q116="extra",INDEX(BrentSeasonalityTable,INT((BG114-1)/3)+1)*VLOOKUP(MAX(BF114,$AB$4),PriceSpreadTable,3),X114-Z114)</f>
        <v>1.2566</v>
      </c>
      <c r="AC114" s="646" t="n">
        <v>39619</v>
      </c>
      <c r="AD114" s="646" t="n">
        <v>39615</v>
      </c>
      <c r="AE114" s="646" t="n">
        <v>39614</v>
      </c>
      <c r="AF114" s="646" t="n">
        <v>39610</v>
      </c>
      <c r="AG114" s="438" t="s">
        <v>278</v>
      </c>
      <c r="AH114" s="439" t="s">
        <v>278</v>
      </c>
      <c r="AI114" s="528" t="n">
        <v>22</v>
      </c>
      <c r="AJ114" s="529" t="n">
        <v>13</v>
      </c>
      <c r="AK114" s="529" t="n">
        <v>9</v>
      </c>
      <c r="AL114" s="530" t="n">
        <v>23</v>
      </c>
      <c r="AM114" s="529" t="n">
        <v>10</v>
      </c>
      <c r="AN114" s="531" t="n">
        <v>13</v>
      </c>
      <c r="AO114" s="532"/>
      <c r="AP114" s="465" t="n">
        <f aca="false">(1+AO114/2)^(-2*BL114)</f>
        <v>1</v>
      </c>
      <c r="AQ114" s="532"/>
      <c r="AR114" s="465" t="n">
        <f aca="false">(1+AQ114/2)^(-2*BH114/365.25)</f>
        <v>1</v>
      </c>
      <c r="AS114" s="580" t="n">
        <f aca="false">(O115*AJ114+O116*AK114)/AI114</f>
        <v>0</v>
      </c>
      <c r="AT114" s="468" t="n">
        <f aca="false">O114*VLOOKUP(BF114,BrentVolTable,2)+VLOOKUP(BF114,BrentVolTable,3)</f>
        <v>0</v>
      </c>
      <c r="AU114" s="468" t="n">
        <f aca="false">(AT115*AM114+AT116*AN114)/AL114</f>
        <v>0</v>
      </c>
      <c r="AV114" s="595" t="n">
        <f aca="false">SQRT(MAX(0.000000000001,(O114^2*BH114-S114^2*(BH114-BH113))/BH113))</f>
        <v>0.0251712319177986</v>
      </c>
      <c r="AW114" s="451" t="n">
        <f aca="false">IF($I114-DateToday+15&gt;=$T$8,"",IF($I114-DateToday+15&lt;$T$5,1,MATCH($I114-DateToday+15,$T$5:$T$8)))</f>
        <v>1</v>
      </c>
      <c r="AX114" s="468" t="n">
        <f aca="false">IF($AW114="",AX113^2/AX112,INDEX(U$5:U$8,$AW114)^((INDEX($T$5:$T$8,$AW114+1)-($I114-DateToday+15))/(INDEX($T$5:$T$8,$AW114+1)-INDEX($T$5:$T$8,$AW114)))/INDEX(U$5:U$8,$AW114+1)^((INDEX($T$5:$T$8,$AW114)-($I114-DateToday+15))/(INDEX($T$5:$T$8,$AW114+1)-INDEX($T$5:$T$8,$AW114))))</f>
        <v>1.68344971527347</v>
      </c>
      <c r="AY114" s="468" t="n">
        <f aca="false">IF($AW114="",AY113^2/AY112,INDEX(V$5:V$8,$AW114)^((INDEX($T$5:$T$8,$AW114+1)-($I114-DateToday+15))/(INDEX($T$5:$T$8,$AW114+1)-INDEX($T$5:$T$8,$AW114)))/INDEX(V$5:V$8,$AW114+1)^((INDEX($T$5:$T$8,$AW114)-($I114-DateToday+15))/(INDEX($T$5:$T$8,$AW114+1)-INDEX($T$5:$T$8,$AW114))))</f>
        <v>99.5752510912865</v>
      </c>
      <c r="AZ114" s="468" t="n">
        <f aca="false">IF($AW114="",AZ113^2/AZ112,INDEX(W$5:W$8,$AW114)^((INDEX($T$5:$T$8,$AW114+1)-($I114-DateToday+15))/(INDEX($T$5:$T$8,$AW114+1)-INDEX($T$5:$T$8,$AW114)))/INDEX(W$5:W$8,$AW114+1)^((INDEX($T$5:$T$8,$AW114)-($I114-DateToday+15))/(INDEX($T$5:$T$8,$AW114+1)-INDEX($T$5:$T$8,$AW114))))</f>
        <v>307558.323842729</v>
      </c>
      <c r="BA114" s="468" t="n">
        <f aca="false">IF($AW114="",BA113^2/BA112,INDEX(X$5:X$8,$AW114)^((INDEX($T$5:$T$8,$AW114+1)-($I114-DateToday+15))/(INDEX($T$5:$T$8,$AW114+1)-INDEX($T$5:$T$8,$AW114)))/INDEX(X$5:X$8,$AW114+1)^((INDEX($T$5:$T$8,$AW114)-($I114-DateToday+15))/(INDEX($T$5:$T$8,$AW114+1)-INDEX($T$5:$T$8,$AW114))))</f>
        <v>5393322.63232317</v>
      </c>
      <c r="BB114" s="468" t="n">
        <f aca="false">IF($AW114="",BB113^2/BB112,INDEX(Y$5:Y$8,$AW114)^((INDEX($T$5:$T$8,$AW114+1)-($I114-DateToday+15))/(INDEX($T$5:$T$8,$AW114+1)-INDEX($T$5:$T$8,$AW114)))/INDEX(Y$5:Y$8,$AW114+1)^((INDEX($T$5:$T$8,$AW114)-($I114-DateToday+15))/(INDEX($T$5:$T$8,$AW114+1)-INDEX($T$5:$T$8,$AW114))))</f>
        <v>58815105.3694941</v>
      </c>
      <c r="BC114" s="468" t="n">
        <f aca="false">IF($AW114="",BC113^2/BC112,INDEX(Z$5:Z$8,$AW114)^((INDEX($T$5:$T$8,$AW114+1)-($I114-DateToday+15))/(INDEX($T$5:$T$8,$AW114+1)-INDEX($T$5:$T$8,$AW114)))/INDEX(Z$5:Z$8,$AW114+1)^((INDEX($T$5:$T$8,$AW114)-($I114-DateToday+15))/(INDEX($T$5:$T$8,$AW114+1)-INDEX($T$5:$T$8,$AW114))))</f>
        <v>247387477.222517</v>
      </c>
      <c r="BD114" s="535" t="n">
        <f aca="false">IF(OR(DateStart&gt;=I115,DateEnd&lt;I114),0,IF(VolumeOverrideFlag,V114,Volume))</f>
        <v>0</v>
      </c>
      <c r="BE114" s="536" t="n">
        <f aca="false">IF(OR(DateStart2&gt;=I115,DateEnd2&lt;I114),0,IF(VolumeOverrideFlag,V114,VolumeSwaption))</f>
        <v>0</v>
      </c>
      <c r="BF114" s="537" t="n">
        <f aca="false">YEAR(I114)</f>
        <v>2008</v>
      </c>
      <c r="BG114" s="538" t="n">
        <f aca="false">MONTH(I114)</f>
        <v>7</v>
      </c>
      <c r="BH114" s="539" t="n">
        <f aca="false">AD114-DateToday+1</f>
        <v>-6310</v>
      </c>
      <c r="BI114" s="540" t="n">
        <f aca="false">(I114-DateToday+1)/365.25</f>
        <v>-17.2347707049966</v>
      </c>
      <c r="BJ114" s="541" t="n">
        <f aca="false">BI114+(BL114-BI114)*CHOOSE(Underlying,AJ114/AI114,AM114/AL114)</f>
        <v>-17.1862360774065</v>
      </c>
      <c r="BK114" s="541" t="n">
        <f aca="false">BJ114+1/365.25</f>
        <v>-17.1834982266194</v>
      </c>
      <c r="BL114" s="541" t="n">
        <f aca="false">(I115-DateToday)/365.25</f>
        <v>-17.1526351813826</v>
      </c>
      <c r="BM114" s="542" t="e">
        <f aca="false">MAX(BI114-(BJ114-BI114)*(S115^2/O115^2-1),0)</f>
        <v>#DIV/0!</v>
      </c>
      <c r="BN114" s="541" t="e">
        <f aca="false">MAX(BL114+(BL114-BK114)*(S116^2/O116^2-1),0)</f>
        <v>#DIV/0!</v>
      </c>
      <c r="BO114" s="530" t="n">
        <f aca="false">CHOOSE(Underlying,AI114,AL114)</f>
        <v>22</v>
      </c>
      <c r="BP114" s="529" t="n">
        <f aca="false">CHOOSE(Underlying,AJ114,AM114)</f>
        <v>13</v>
      </c>
      <c r="BQ114" s="529" t="n">
        <f aca="false">CHOOSE(Underlying,AK114,AN114)</f>
        <v>9</v>
      </c>
      <c r="BR114" s="463" t="str">
        <f aca="false">IF(BD114,IF(Underlying=1,X114,Z114)+UnderlyingPriceAsian-SwapPriceCurve,"")</f>
        <v/>
      </c>
      <c r="BS114" s="463" t="str">
        <f aca="false">IF(BD114,Strike1/BR114-1,"")</f>
        <v/>
      </c>
      <c r="BT114" s="464" t="str">
        <f aca="false">IF(BD114,Strike2/BR114-1,"")</f>
        <v/>
      </c>
      <c r="BU114" s="465" t="str">
        <f aca="false">IF(BD114,IF(Underlying=1,L115,R115)+UnderlyingPriceAsian-SwapPriceCurve,"")</f>
        <v/>
      </c>
      <c r="BV114" s="465" t="str">
        <f aca="false">IF(BD114,IF(Underlying=1,L116,R116)+UnderlyingPriceAsian-SwapPriceCurve,"")</f>
        <v/>
      </c>
      <c r="BW114" s="466" t="str">
        <f aca="false">IF(BD114,IF(Underlying=1,O115,AT115),"")</f>
        <v/>
      </c>
      <c r="BX114" s="467" t="str">
        <f aca="false">IF(BD114,IF(Underlying=1,O116,AT116),"")</f>
        <v/>
      </c>
      <c r="BY114" s="466" t="str">
        <f aca="false">IF(BD114,IF(BS114&gt;0,IF(BS114&gt;0.2,BC114-BB114,IF(BS114&gt;0.1,BB114-BA114,BA114)),IF(BS114&lt;-0.2,AX114-AY114,IF(BS114&lt;-0.1,AY114-AZ114,AZ114))),"")</f>
        <v/>
      </c>
      <c r="BZ114" s="467" t="str">
        <f aca="false">IF(BD114,IF(BT114&gt;0,IF(BT114&gt;0.2,BC114-BB114,IF(BT114&gt;0.1,BB114-BA114,BA114)),IF(BT114&lt;-0.2,AX114-AY114,IF(BT114&lt;-0.1,AY114-AZ114,AZ114))),"")</f>
        <v/>
      </c>
      <c r="CA114" s="468" t="str">
        <f aca="false">IF($BD114,$BW114+IF(VolSkewFlag=1,IF(BS114&gt;0,$BA114*MIN(BS114/10%,1)+($BB114-$BA114)*MAX(0,MIN(BS114/10%-1,1))+($BC114-$BB114)*MAX(0,BS114/10%-2),$AZ114*MIN(-BS114/10%,1)+($AY114-$AZ114)*MAX(0,MIN(-BS114/10%-1,1))+($AX114-$AY114)*MAX(0,-BS114/10%-2)),0),"")</f>
        <v/>
      </c>
      <c r="CB114" s="468" t="str">
        <f aca="false">IF($BD114,$BX114+IF(VolSkewFlag=1,IF(BS114&gt;0,$BA114*MIN(BS114/10%,1)+($BB114-$BA114)*MAX(0,MIN(BS114/10%-1,1))+($BC114-$BB114)*MAX(0,BS114/10%-2),$AZ114*MIN(-BS114/10%,1)+($AY114-$AZ114)*MAX(0,MIN(-BS114/10%-1,1))+($AX114-$AY114)*MAX(0,-BS114/10%-2)),0),"")</f>
        <v/>
      </c>
      <c r="CC114" s="468" t="str">
        <f aca="false">IF($BD114,$BW114+IF(VolSkewFlag=1,IF(BT114&gt;0,$BA114*MIN(BT114/10%,1)+($BB114-$BA114)*MAX(0,MIN(BT114/10%-1,1))+($BC114-$BB114)*MAX(0,BT114/10%-2),$AZ114*MIN(-BT114/10%,1)+($AY114-$AZ114)*MAX(0,MIN(-BT114/10%-1,1))+($AX114-$AY114)*MAX(0,-BT114/10%-2)),0),"")</f>
        <v/>
      </c>
      <c r="CD114" s="468" t="str">
        <f aca="false">IF($BD114,$BX114+IF(VolSkewFlag=1,IF(BT114&gt;0,$BA114*MIN(BT114/10%,1)+($BB114-$BA114)*MAX(0,MIN(BT114/10%-1,1))+($BC114-$BB114)*MAX(0,BT114/10%-2),$AZ114*MIN(-BT114/10%,1)+($AY114-$AZ114)*MAX(0,MIN(-BT114/10%-1,1))+($AX114-$AY114)*MAX(0,-BT114/10%-2)),0),"")</f>
        <v/>
      </c>
      <c r="CE114" s="469" t="n">
        <v>1</v>
      </c>
      <c r="CF114" s="470" t="n">
        <f aca="false">IF(BD114,xCrudeAPO(BU114,BV114,CA114,CB114,S115,S116,BI114,BL114,BP114,BQ114,0,Strike1,AO114,CE114,0,BL114,IF(OptControl=4,0,1),0,1),0)</f>
        <v>0</v>
      </c>
      <c r="CG114" s="470" t="n">
        <f aca="false">IF(BD114,xCrudeAPO(BU114,BV114,CA114,CB114,S115,S116,BI114,BL114,BP114,BQ114,0,Strike1,AO114,CE114,0,BL114,IF(OptControl=4,0,1),1,1)+xCrudeAPO(BU114,BV114,CA114,CB114,S115,S116,BI114,BL114,BP114,BQ114,0,Strike1,AO114,CE114,0,BL114,IF(OptControl=4,0,1),1,2)+IF(OR(VolSkewFlag=2,ABS(BS114)&lt;0.0001),0,IF(BS114&gt;0,-1,1)*CH114*Strike1/BR114^2*BY114/10%),0)</f>
        <v>0</v>
      </c>
      <c r="CH114" s="470" t="n">
        <f aca="false">IF(BD114,(xCrudeAPO(BU114,BV114,CA114,CB114,S115,S116,BI114,BL114,BP114,BQ114,0,Strike1,AO114,CE114,0,BL114,IF(OptControl=4,0,1),3,1)+xCrudeAPO(BU114,BV114,CA114,CB114,S115,S116,BI114,BL114,BP114,BQ114,0,Strike1,AO114,CE114,0,BL114,IF(OptControl=4,0,1),3,2))/100,0)</f>
        <v>0</v>
      </c>
      <c r="CI114" s="470" t="n">
        <f aca="false">IF(BD114,xCrudeAPO(BU114,BV114,CA114,CB114,S115,S116,BI114-DaysForThetaCalculation/365.25,BL114-DaysForThetaCalculation/365.25,BP114,BQ114,0,Strike1,AO114,CE114,0,BL114,IF(OptControl=4,0,1),0,1)-xCrudeAPO(BU114,BV114,CA114,CB114,S115,S116,BI114,BL114,BP114,BQ114,0,Strike1,AO114,CE114,0,BL114,IF(OptControl=4,0,1),0,1),0)</f>
        <v>0</v>
      </c>
      <c r="CJ114" s="471" t="n">
        <f aca="false">IF(BD114,xCrudeAPO(BU114,BV114,CC114,CD114,S115,S116,BI114,BL114,BP114,BQ114,0,Strike2,AO114,CE114,0,BL114,IF(OptControl=3,1,0),0,1),0)</f>
        <v>0</v>
      </c>
      <c r="CK114" s="470" t="n">
        <f aca="false">IF(BD114,xCrudeAPO(BU114,BV114,CC114,CD114,S115,S116,BI114,BL114,BP114,BQ114,0,Strike2,AO114,CE114,0,BL114,IF(OptControl=3,1,0),1,1)+xCrudeAPO(BU114,BV114,CC114,CD114,S115,S116,BI114,BL114,BP114,BQ114,0,Strike2,AO114,CE114,0,BL114,IF(OptControl=3,1,0),1,2)+IF(OR(VolSkewFlag=2,ABS(BT114)&lt;0.0001),0,IF(BT114&gt;0,-1,1)*CL114*Strike2/BR114^2*BZ114/10%),0)</f>
        <v>0</v>
      </c>
      <c r="CL114" s="470" t="n">
        <f aca="false">IF(BD114,(xCrudeAPO(BU114,BV114,CC114,CD114,S115,S116,BI114,BL114,BP114,BQ114,0,Strike2,AO114,CE114,0,BL114,IF(OptControl=3,1,0),3,1)+xCrudeAPO(BU114,BV114,CC114,CD114,S115,S116,BI114,BL114,BP114,BQ114,0,Strike2,AO114,CE114,0,BL114,IF(OptControl=3,1,0),3,2))/100,0)</f>
        <v>0</v>
      </c>
      <c r="CM114" s="472" t="n">
        <f aca="false">IF(BD114,xCrudeAPO(BU114,BV114,CC114,CD114,S115,S116,BI114-DaysForThetaCalculation/365.25,BL114-DaysForThetaCalculation/365.25,BP114,BQ114,0,Strike2,AO114,CE114,0,BL114,IF(OptControl=3,1,0),0,1)-xCrudeAPO(BU114,BV114,CC114,CD114,S115,S116,BI114,BL114,BP114,BQ114,0,Strike2,AO114,CE114,0,BL114,IF(OptControl=3,1,0),0,1),0)</f>
        <v>0</v>
      </c>
      <c r="CN114" s="3"/>
      <c r="CO114" s="543" t="str">
        <f aca="false">IF(BD114,CHOOSE(Underlying,AD114,AF114)-DateToday+1,"")</f>
        <v/>
      </c>
      <c r="CP114" s="582" t="str">
        <f aca="false">IF(BD114,CHOOSE(Underlying,L114,R114),"")</f>
        <v/>
      </c>
      <c r="CQ114" s="544" t="str">
        <f aca="false">IF(BD114,Strike1/CP114-1,"")</f>
        <v/>
      </c>
      <c r="CR114" s="544" t="str">
        <f aca="false">IF(BD114,Strike2/CP114-1,"")</f>
        <v/>
      </c>
      <c r="CS114" s="544" t="str">
        <f aca="false">IF(BD114,IF(CQ114&gt;0,IF(CQ114&gt;0.2,BC113-BB113,IF(CQ114&gt;0.1,BB113-BA113,BA113)),IF(CQ114&lt;-0.2,AX113-AY113,IF(CQ114&lt;-0.1,AY113-AZ113,AZ113))),"")</f>
        <v/>
      </c>
      <c r="CT114" s="544" t="str">
        <f aca="false">IF(BD114,IF(CR114&gt;0,IF(CR114&gt;0.2,BC113-BB113,IF(CR114&gt;0.1,BB113-BA113,BA113)),IF(CR114&lt;-0.2,AX113-AY113,IF(CR114&lt;-0.1,AY113-AZ113,AZ113))),"")</f>
        <v/>
      </c>
      <c r="CU114" s="545" t="str">
        <f aca="false">IF(BD114,CHOOSE(Underlying,O114,AT114),"")</f>
        <v/>
      </c>
      <c r="CV114" s="545" t="str">
        <f aca="false">IF(BD114,CU114+IF(VolSkewFlag=1,IF(CQ114&gt;0,BA113*MIN(CQ114/10%,1)+(BB113-BA113)*MAX(0,MIN(CQ114/10%-1,1))+(BC113-BB113)*MAX(0,CQ114/10%-2),AZ113*MIN(-CQ114/10%,1)+(AY113-AZ113)*MAX(0,MIN(-CQ114/10%-1,1))+(AX113-AY113)*MAX(0,-CQ114/10%-2)),0),"")</f>
        <v/>
      </c>
      <c r="CW114" s="545" t="str">
        <f aca="false">IF(BD114,CU114+IF(VolSkewFlag=1,IF(CR114&gt;0,BA113*MIN(CR114/10%,1)+(BB113-BA113)*MAX(0,MIN(CR114/10%-1,1))+(BC113-BB113)*MAX(0,CR114/10%-2),AZ113*MIN(-CR114/10%,1)+(AY113-AZ113)*MAX(0,MIN(-CR114/10%-1,1))+(AX113-AY113)*MAX(0,-CR114/10%-2)),0),"")</f>
        <v/>
      </c>
      <c r="CX114" s="470" t="n">
        <f aca="false">IF(BD114,EURO(CP114,Strike1,AO114,AO114,CV114,CO114,IF(OptControl=4,0,1),0),0)</f>
        <v>0</v>
      </c>
      <c r="CY114" s="470" t="n">
        <f aca="false">IF(BD114,EURO(CP114,Strike1,AO114,AO114,CV114,CO114,IF(OptControl=4,0,1),1)+IF(OR(VolSkewFlag=2,ABS(CQ114)&lt;0.0001),0,IF(CQ114&gt;0,-1,1)*CZ114*100*Strike1/CP114^2*CS114/10%),0)</f>
        <v>0</v>
      </c>
      <c r="CZ114" s="470" t="n">
        <f aca="false">IF(BD114,EURO(CP114,Strike1,AO114,AO114,CV114,CO114,IF(OptControl=4,0,1),3)/100,0)</f>
        <v>0</v>
      </c>
      <c r="DA114" s="470" t="n">
        <f aca="false">IF(BD114,EURO(CP114,Strike1,AO114,AO114,CV114,CO114,IF(OptControl=4,0,1),0)-EURO(CP114,Strike1,AO114,AO114,CV114,CO114-1,IF(OptControl=4,0,1),0),0)</f>
        <v>0</v>
      </c>
      <c r="DB114" s="470" t="n">
        <f aca="false">IF(BD114,EURO(CP114,Strike2,AO114,AO114,CW114,CO114,IF(OptControl=3,1,0),0),0)</f>
        <v>0</v>
      </c>
      <c r="DC114" s="470" t="n">
        <f aca="false">IF(BD114,EURO(CP114,Strike2,AO114,AO114,CW114,CO114,IF(OptControl=3,1,0),1)+IF(OR(VolSkewFlag=2,ABS(CR114)&lt;0.0001),0,IF(CR114&gt;0,-1,1)*DD114*100*Strike2/CP114^2*CT114/10%),0)</f>
        <v>0</v>
      </c>
      <c r="DD114" s="470" t="n">
        <f aca="false">IF(BD114,EURO(CP114,Strike2,AO114,AO114,CW114,CO114,IF(OptControl=3,1,0),3)/100,0)</f>
        <v>0</v>
      </c>
      <c r="DE114" s="472" t="n">
        <f aca="false">IF(BD114,EURO(CP114,Strike2,AO114,AO114,CW114,CO114,IF(OptControl=3,1,0),0)-EURO(CP114,Strike2,AO114,AO114,CW114,CO114-1,IF(OptControl=3,1,0),0),0)</f>
        <v>0</v>
      </c>
      <c r="DG114" s="481" t="n">
        <f aca="false">EOMONTH(DG113,0)+1</f>
        <v>48549</v>
      </c>
      <c r="DH114" s="478" t="n">
        <v>18.86</v>
      </c>
      <c r="DI114" s="479" t="n">
        <v>18.925</v>
      </c>
      <c r="DJ114" s="480" t="n">
        <f aca="false">DG114</f>
        <v>48549</v>
      </c>
      <c r="DK114" s="478" t="n">
        <v>17.6626515958212</v>
      </c>
      <c r="DL114" s="479" t="n">
        <v>17.7319</v>
      </c>
      <c r="DM114" s="481" t="n">
        <f aca="false">DG114</f>
        <v>48549</v>
      </c>
      <c r="DN114" s="482" t="n">
        <f aca="false">DK114+BrentPhyBrentSpread</f>
        <v>17.7126515958212</v>
      </c>
      <c r="DO114" s="481" t="n">
        <f aca="false">DG114</f>
        <v>48549</v>
      </c>
      <c r="DP114" s="483" t="n">
        <f aca="false">DL114+DQ114</f>
        <v>17.7319</v>
      </c>
      <c r="DQ114" s="546" t="n">
        <v>0</v>
      </c>
      <c r="DR114" s="480" t="n">
        <f aca="false">DG114</f>
        <v>48549</v>
      </c>
      <c r="DS114" s="485" t="n">
        <v>0.1682</v>
      </c>
      <c r="DT114" s="486" t="n">
        <v>0.16742</v>
      </c>
      <c r="DU114" s="480" t="n">
        <f aca="false">DG114</f>
        <v>48549</v>
      </c>
      <c r="DV114" s="485" t="n">
        <v>0.1682</v>
      </c>
      <c r="DW114" s="486" t="n">
        <v>0.16742</v>
      </c>
      <c r="DX114" s="481" t="n">
        <f aca="false">DG114</f>
        <v>48549</v>
      </c>
      <c r="DY114" s="486" t="n">
        <v>0.35</v>
      </c>
      <c r="DZ114" s="481" t="n">
        <f aca="false">DR114</f>
        <v>48549</v>
      </c>
      <c r="EA114" s="486" t="n">
        <f aca="false">DT114</f>
        <v>0.16742</v>
      </c>
      <c r="EB114" s="195"/>
      <c r="EC114" s="547" t="str">
        <f aca="false">IF(BD114,IF(Underlying=1,AS114,AU114),"")</f>
        <v/>
      </c>
      <c r="ED114" s="548" t="str">
        <f aca="false">IF($BD114,$EC114+IF(VolSkewFlag=1,IF(BS114&gt;0,$BA114*MIN(BS114/10%,1)+($BB114-$BA114)*MAX(0,MIN(BS114/10%-1,1))+($BC114-$BB114)*MAX(0,BS114/10%-2),$AZ114*MIN(-BS114/10%,1)+($AY114-$AZ114)*MAX(0,MIN(-BS114/10%-1,1))+($AX114-$AY114)*MAX(0,-BS114/10%-2)),0),"")</f>
        <v/>
      </c>
      <c r="EE114" s="549" t="str">
        <f aca="false">IF($BD114,$EC114+IF(VolSkewFlag=1,IF(BT114&gt;0,$BA114*MIN(BT114/10%,1)+($BB114-$BA114)*MAX(0,MIN(BT114/10%-1,1))+($BC114-$BB114)*MAX(0,BT114/10%-2),$AZ114*MIN(-BT114/10%,1)+($AY114-$AZ114)*MAX(0,MIN(-BT114/10%-1,1))+($AX114-$AY114)*MAX(0,-BT114/10%-2)),0),"")</f>
        <v/>
      </c>
      <c r="EF114" s="550" t="n">
        <f aca="false">IF(BD114,xASN(BR114,Strike1,AO114,ED114,0,BO114,0,BI114,BL114,IF(OptControl=4,0,1),0),0)</f>
        <v>0</v>
      </c>
      <c r="EG114" s="551" t="n">
        <f aca="false">IF(BD114,xASN(BR114,Strike2,AO114,EE114,0,BO114,0,BI114,BL114,IF(OptControl=3,1,0),0),0)</f>
        <v>0</v>
      </c>
      <c r="EL114" s="1"/>
      <c r="EM114" s="195"/>
      <c r="EN114" s="240"/>
      <c r="EO114" s="240"/>
      <c r="EP114" s="195"/>
      <c r="EQ114" s="407" t="s">
        <v>341</v>
      </c>
      <c r="ES114" s="130"/>
      <c r="ET114" s="19"/>
      <c r="EU114" s="672"/>
      <c r="EV114" s="478"/>
      <c r="EW114" s="131"/>
      <c r="EX114" s="131"/>
      <c r="EY114" s="129"/>
      <c r="EZ114" s="129"/>
      <c r="FA114" s="129"/>
      <c r="FB114" s="129"/>
      <c r="FC114" s="129"/>
      <c r="FD114" s="129"/>
      <c r="FE114" s="129"/>
      <c r="FF114" s="129"/>
      <c r="FG114" s="129"/>
      <c r="FH114" s="129"/>
      <c r="FI114" s="129"/>
      <c r="FJ114" s="571" t="n">
        <v>20</v>
      </c>
      <c r="FK114" s="150" t="e">
        <f aca="false">IF($FJ39&lt;FK$94,"",SQRT(FK39/FK$15))</f>
        <v>#DIV/0!</v>
      </c>
      <c r="FL114" s="150" t="n">
        <f aca="false">IF($FJ39&lt;FL$94,"",SQRT(FL39/FL$15))</f>
        <v>-0</v>
      </c>
      <c r="FM114" s="150" t="n">
        <f aca="false">IF($FJ39&lt;FM$94,"",SQRT(FM39/FM$15))</f>
        <v>0.18000068802062</v>
      </c>
      <c r="FN114" s="150" t="n">
        <f aca="false">IF($FJ39&lt;FN$94,"",SQRT(FN39/FN$15))</f>
        <v>0.178178988526976</v>
      </c>
      <c r="FO114" s="150" t="n">
        <f aca="false">IF($FJ39&lt;FO$94,"",SQRT(FO39/FO$15))</f>
        <v>0.177470546312571</v>
      </c>
      <c r="FP114" s="150" t="n">
        <f aca="false">IF($FJ39&lt;FP$94,"",SQRT(FP39/FP$15))</f>
        <v>0.177725283656942</v>
      </c>
      <c r="FQ114" s="150" t="n">
        <f aca="false">IF($FJ39&lt;FQ$94,"",SQRT(FQ39/FQ$15))</f>
        <v>0.178857315977102</v>
      </c>
      <c r="FR114" s="150" t="n">
        <f aca="false">IF($FJ39&lt;FR$94,"",SQRT(FR39/FR$15))</f>
        <v>0.180835671785336</v>
      </c>
      <c r="FS114" s="150" t="n">
        <f aca="false">IF($FJ39&lt;FS$94,"",SQRT(FS39/FS$15))</f>
        <v>0.183679437862017</v>
      </c>
      <c r="FT114" s="150" t="n">
        <f aca="false">IF($FJ39&lt;FT$94,"",SQRT(FT39/FT$15))</f>
        <v>0.187457041344875</v>
      </c>
      <c r="FU114" s="150" t="n">
        <f aca="false">IF($FJ39&lt;FU$94,"",SQRT(FU39/FU$15))</f>
        <v>0.19228983614995</v>
      </c>
      <c r="FV114" s="150" t="n">
        <f aca="false">IF($FJ39&lt;FV$94,"",SQRT(FV39/FV$15))</f>
        <v>0.198360715846999</v>
      </c>
      <c r="FW114" s="150" t="n">
        <f aca="false">IF($FJ39&lt;FW$94,"",SQRT(FW39/FW$15))</f>
        <v>0.20592924221851</v>
      </c>
      <c r="FX114" s="150" t="n">
        <f aca="false">IF($FJ39&lt;FX$94,"",SQRT(FX39/FX$15))</f>
        <v>0.215355947470757</v>
      </c>
      <c r="FY114" s="150" t="n">
        <f aca="false">IF($FJ39&lt;FY$94,"",SQRT(FY39/FY$15))</f>
        <v>0.227140375460481</v>
      </c>
      <c r="FZ114" s="150" t="n">
        <f aca="false">IF($FJ39&lt;FZ$94,"",SQRT(FZ39/FZ$15))</f>
        <v>0.241980703712302</v>
      </c>
      <c r="GA114" s="150" t="n">
        <f aca="false">IF($FJ39&lt;GA$94,"",SQRT(GA39/GA$15))</f>
        <v>0.260868664251527</v>
      </c>
      <c r="GB114" s="150" t="n">
        <f aca="false">IF($FJ39&lt;GB$94,"",SQRT(GB39/GB$15))</f>
        <v>0.285244465992394</v>
      </c>
      <c r="GC114" s="150" t="n">
        <f aca="false">IF($FJ39&lt;GC$94,"",SQRT(GC39/GC$15))</f>
        <v>0.317257869183076</v>
      </c>
      <c r="GD114" s="150" t="n">
        <f aca="false">IF($FJ39&lt;GD$94,"",SQRT(GD39/GD$15))</f>
        <v>0.360225508404546</v>
      </c>
      <c r="GE114" s="150" t="str">
        <f aca="false">IF($FJ39&lt;GE$94,"",SQRT(GE39/GE$15))</f>
        <v/>
      </c>
      <c r="GF114" s="150" t="str">
        <f aca="false">IF($FJ39&lt;GF$94,"",SQRT(GF39/GF$15))</f>
        <v/>
      </c>
      <c r="GG114" s="150" t="str">
        <f aca="false">IF($FJ39&lt;GG$94,"",SQRT(GG39/GG$15))</f>
        <v/>
      </c>
      <c r="GH114" s="150" t="str">
        <f aca="false">IF($FJ39&lt;GH$94,"",SQRT(GH39/GH$15))</f>
        <v/>
      </c>
      <c r="GI114" s="150" t="str">
        <f aca="false">IF($FJ39&lt;GI$94,"",SQRT(GI39/GI$15))</f>
        <v/>
      </c>
      <c r="GJ114" s="150" t="str">
        <f aca="false">IF($FJ39&lt;GJ$94,"",SQRT(GJ39/GJ$15))</f>
        <v/>
      </c>
      <c r="GK114" s="150" t="str">
        <f aca="false">IF($FJ39&lt;GK$94,"",SQRT(GK39/GK$15))</f>
        <v/>
      </c>
      <c r="GL114" s="150" t="str">
        <f aca="false">IF($FJ39&lt;GL$94,"",SQRT(GL39/GL$15))</f>
        <v/>
      </c>
      <c r="GM114" s="150" t="str">
        <f aca="false">IF($FJ39&lt;GM$94,"",SQRT(GM39/GM$15))</f>
        <v/>
      </c>
      <c r="GN114" s="150" t="str">
        <f aca="false">IF($FJ39&lt;GN$94,"",SQRT(GN39/GN$15))</f>
        <v/>
      </c>
      <c r="GO114" s="150" t="str">
        <f aca="false">IF($FJ39&lt;GO$94,"",SQRT(GO39/GO$15))</f>
        <v/>
      </c>
      <c r="GP114" s="150" t="str">
        <f aca="false">IF($FJ39&lt;GP$94,"",SQRT(GP39/GP$15))</f>
        <v/>
      </c>
      <c r="GQ114" s="150" t="str">
        <f aca="false">IF($FJ39&lt;GQ$94,"",SQRT(GQ39/GQ$15))</f>
        <v/>
      </c>
      <c r="GR114" s="150" t="str">
        <f aca="false">IF($FJ39&lt;GR$94,"",SQRT(GR39/GR$15))</f>
        <v/>
      </c>
      <c r="GS114" s="150" t="str">
        <f aca="false">IF($FJ39&lt;GS$94,"",SQRT(GS39/GS$15))</f>
        <v/>
      </c>
      <c r="GT114" s="150" t="str">
        <f aca="false">IF($FJ39&lt;GT$94,"",SQRT(GT39/GT$15))</f>
        <v/>
      </c>
      <c r="GU114" s="150" t="str">
        <f aca="false">IF($FJ39&lt;GU$94,"",SQRT(GU39/GU$15))</f>
        <v/>
      </c>
      <c r="GV114" s="150" t="str">
        <f aca="false">IF($FJ39&lt;GV$94,"",SQRT(GV39/GV$15))</f>
        <v/>
      </c>
      <c r="GW114" s="150" t="str">
        <f aca="false">IF($FJ39&lt;GW$94,"",SQRT(GW39/GW$15))</f>
        <v/>
      </c>
      <c r="GX114" s="150" t="str">
        <f aca="false">IF($FJ39&lt;GX$94,"",SQRT(GX39/GX$15))</f>
        <v/>
      </c>
      <c r="GY114" s="150" t="str">
        <f aca="false">IF($FJ39&lt;GY$94,"",SQRT(GY39/GY$15))</f>
        <v/>
      </c>
      <c r="GZ114" s="150" t="str">
        <f aca="false">IF($FJ39&lt;GZ$94,"",SQRT(GZ39/GZ$15))</f>
        <v/>
      </c>
      <c r="HA114" s="150" t="str">
        <f aca="false">IF($FJ39&lt;HA$94,"",SQRT(HA39/HA$15))</f>
        <v/>
      </c>
      <c r="HB114" s="150" t="str">
        <f aca="false">IF($FJ39&lt;HB$94,"",SQRT(HB39/HB$15))</f>
        <v/>
      </c>
      <c r="HC114" s="150" t="str">
        <f aca="false">IF($FJ39&lt;HC$94,"",SQRT(HC39/HC$15))</f>
        <v/>
      </c>
      <c r="HD114" s="150" t="str">
        <f aca="false">IF($FJ39&lt;HD$94,"",SQRT(HD39/HD$15))</f>
        <v/>
      </c>
      <c r="HE114" s="150" t="str">
        <f aca="false">IF($FJ39&lt;HE$94,"",SQRT(HE39/HE$15))</f>
        <v/>
      </c>
      <c r="HF114" s="150" t="str">
        <f aca="false">IF($FJ39&lt;HF$94,"",SQRT(HF39/HF$15))</f>
        <v/>
      </c>
      <c r="HG114" s="150" t="str">
        <f aca="false">IF($FJ39&lt;HG$94,"",SQRT(HG39/HG$15))</f>
        <v/>
      </c>
      <c r="HH114" s="150" t="str">
        <f aca="false">IF($FJ39&lt;HH$94,"",SQRT(HH39/HH$15))</f>
        <v/>
      </c>
      <c r="HI114" s="150" t="str">
        <f aca="false">IF($FJ39&lt;HI$94,"",SQRT(HI39/HI$15))</f>
        <v/>
      </c>
      <c r="HJ114" s="150" t="str">
        <f aca="false">IF($FJ39&lt;HJ$94,"",SQRT(HJ39/HJ$15))</f>
        <v/>
      </c>
      <c r="HK114" s="150" t="str">
        <f aca="false">IF($FJ39&lt;HK$94,"",SQRT(HK39/HK$15))</f>
        <v/>
      </c>
      <c r="HL114" s="150" t="str">
        <f aca="false">IF($FJ39&lt;HL$94,"",SQRT(HL39/HL$15))</f>
        <v/>
      </c>
      <c r="HM114" s="150" t="str">
        <f aca="false">IF($FJ39&lt;HM$94,"",SQRT(HM39/HM$15))</f>
        <v/>
      </c>
      <c r="HN114" s="150" t="str">
        <f aca="false">IF($FJ39&lt;HN$94,"",SQRT(HN39/HN$15))</f>
        <v/>
      </c>
      <c r="HO114" s="150" t="str">
        <f aca="false">IF($FJ39&lt;HO$94,"",SQRT(HO39/HO$15))</f>
        <v/>
      </c>
      <c r="HP114" s="150" t="str">
        <f aca="false">IF($FJ39&lt;HP$94,"",SQRT(HP39/HP$15))</f>
        <v/>
      </c>
      <c r="HQ114" s="150" t="str">
        <f aca="false">IF($FJ39&lt;HQ$94,"",SQRT(HQ39/HQ$15))</f>
        <v/>
      </c>
      <c r="HR114" s="150" t="str">
        <f aca="false">IF($FJ39&lt;HR$94,"",SQRT(HR39/HR$15))</f>
        <v/>
      </c>
      <c r="HS114" s="150" t="str">
        <f aca="false">IF($FJ39&lt;HS$94,"",SQRT(HS39/HS$15))</f>
        <v/>
      </c>
      <c r="HT114" s="150" t="str">
        <f aca="false">IF($FJ39&lt;HT$94,"",SQRT(HT39/HT$15))</f>
        <v/>
      </c>
      <c r="HU114" s="150" t="str">
        <f aca="false">IF($FJ39&lt;HU$94,"",SQRT(HU39/HU$15))</f>
        <v/>
      </c>
      <c r="HV114" s="150" t="str">
        <f aca="false">IF($FJ39&lt;HV$94,"",SQRT(HV39/HV$15))</f>
        <v/>
      </c>
      <c r="HW114" s="150" t="str">
        <f aca="false">IF($FJ39&lt;HW$94,"",SQRT(HW39/HW$15))</f>
        <v/>
      </c>
      <c r="HX114" s="150" t="str">
        <f aca="false">IF($FJ39&lt;HX$94,"",SQRT(HX39/HX$15))</f>
        <v/>
      </c>
      <c r="HY114" s="150" t="str">
        <f aca="false">IF($FJ39&lt;HY$94,"",SQRT(HY39/HY$15))</f>
        <v/>
      </c>
      <c r="HZ114" s="150" t="str">
        <f aca="false">IF($FJ39&lt;HZ$94,"",SQRT(HZ39/HZ$15))</f>
        <v/>
      </c>
      <c r="IA114" s="150" t="str">
        <f aca="false">IF($FJ39&lt;IA$94,"",SQRT(IA39/IA$15))</f>
        <v/>
      </c>
      <c r="IB114" s="150" t="str">
        <f aca="false">IF($FJ39&lt;IB$94,"",SQRT(IB39/IB$15))</f>
        <v/>
      </c>
      <c r="IC114" s="150" t="str">
        <f aca="false">IF($FJ39&lt;IC$94,"",SQRT(IC39/IC$15))</f>
        <v/>
      </c>
      <c r="ID114" s="572" t="str">
        <f aca="false">IF($FJ39&lt;ID$94,"",SQRT(ID39/ID$15))</f>
        <v/>
      </c>
      <c r="IE114" s="129"/>
    </row>
    <row r="115" customFormat="false" ht="12.75" hidden="false" customHeight="false" outlineLevel="0" collapsed="false">
      <c r="H115" s="219" t="n">
        <f aca="false">VLOOKUP(I115,$EJ$20:$EL$54,3)</f>
        <v>0</v>
      </c>
      <c r="I115" s="511" t="n">
        <f aca="false">EOMONTH(I114,0)+1</f>
        <v>39661</v>
      </c>
      <c r="J115" s="512"/>
      <c r="K115" s="513" t="s">
        <v>280</v>
      </c>
      <c r="L115" s="514" t="n">
        <f aca="false">IF(ISNUMBER(K115),J115+K115/100,IF(K115="extra",L114+VLOOKUP(BF115,PriceSpreadTable,2)/12,IF(K115="inter",interpolateprices($K$19:$L$200,ROW(K115)-ROW(FirstPricingMonth)+1),interpolatechanges($J$19:$K$200,ROW(K115)-ROW(FirstPricingMonth)+1))))</f>
        <v>0.7125</v>
      </c>
      <c r="M115" s="515"/>
      <c r="N115" s="516" t="n">
        <v>0</v>
      </c>
      <c r="O115" s="515" t="n">
        <f aca="false">M115+N115</f>
        <v>0</v>
      </c>
      <c r="P115" s="512"/>
      <c r="Q115" s="513" t="s">
        <v>280</v>
      </c>
      <c r="R115" s="512" t="e">
        <f aca="false">IF(ISNUMBER(Q115),P115+Q115/100,IF(Q115="extra",(Z113*AL113-R114*AM113)/AN113,IF(Q115="inter",interpolateprices($Q$19:$R$260,ROW(Q115)-ROW(FirstPricingMonth)+1),interpolatechanges($P$19:$Q$260,ROW(Q115)-ROW(FirstPricingMonth)+1))))</f>
        <v>#VALUE!</v>
      </c>
      <c r="S115" s="597" t="n">
        <f aca="false">S$19+(S114-S$19)*S$18</f>
        <v>0.360000000000072</v>
      </c>
      <c r="T115" s="575" t="n">
        <f aca="false">SQRT((1-(1-T114^2/U114)*T$18)*U115)</f>
        <v>0.999999961339426</v>
      </c>
      <c r="U115" s="576" t="n">
        <f aca="false">1-(1-U114)*U$18</f>
        <v>0.99999999999998</v>
      </c>
      <c r="V115" s="521" t="n">
        <v>0</v>
      </c>
      <c r="W115" s="577" t="n">
        <f aca="false">(J116*AJ115+J117*AK115)/AI115</f>
        <v>0</v>
      </c>
      <c r="X115" s="578" t="n">
        <f aca="false">(L116*AJ115+L117*AK115)/AI115</f>
        <v>0.7625</v>
      </c>
      <c r="Y115" s="579" t="n">
        <f aca="false">IF(Q117="extra",W115-AA115,(P116*AM115+P117*AN115)/AL115)</f>
        <v>-1.2566</v>
      </c>
      <c r="Z115" s="579" t="n">
        <f aca="false">IF(Q117="extra",X115-AB115,(R116*AM115+R117*AN115)/AL115)</f>
        <v>-0.4941</v>
      </c>
      <c r="AA115" s="523" t="n">
        <f aca="false">IF(Q117="extra",INDEX(BrentSeasonalityTable,INT((BG115-1)/3)+1)*VLOOKUP(MAX(BF115,$AB$4),PriceSpreadTable,3),W115-Y115)</f>
        <v>1.2566</v>
      </c>
      <c r="AB115" s="524" t="n">
        <f aca="false">IF(Q117="extra",INDEX(BrentSeasonalityTable,INT((BG115-1)/3)+1)*VLOOKUP(MAX(BF115,$AB$4),PriceSpreadTable,3),X115-Z115)</f>
        <v>1.2566</v>
      </c>
      <c r="AC115" s="646" t="n">
        <v>39649</v>
      </c>
      <c r="AD115" s="646" t="n">
        <v>39645</v>
      </c>
      <c r="AE115" s="646" t="n">
        <v>39644</v>
      </c>
      <c r="AF115" s="646" t="n">
        <v>39640</v>
      </c>
      <c r="AG115" s="438" t="s">
        <v>278</v>
      </c>
      <c r="AH115" s="439" t="s">
        <v>278</v>
      </c>
      <c r="AI115" s="528" t="n">
        <v>21</v>
      </c>
      <c r="AJ115" s="529" t="n">
        <v>14</v>
      </c>
      <c r="AK115" s="529" t="n">
        <v>7</v>
      </c>
      <c r="AL115" s="530" t="n">
        <v>21</v>
      </c>
      <c r="AM115" s="529" t="n">
        <v>10</v>
      </c>
      <c r="AN115" s="531" t="n">
        <v>11</v>
      </c>
      <c r="AO115" s="532"/>
      <c r="AP115" s="465" t="n">
        <f aca="false">(1+AO115/2)^(-2*BL115)</f>
        <v>1</v>
      </c>
      <c r="AQ115" s="532"/>
      <c r="AR115" s="465" t="n">
        <f aca="false">(1+AQ115/2)^(-2*BH115/365.25)</f>
        <v>1</v>
      </c>
      <c r="AS115" s="580" t="n">
        <f aca="false">(O116*AJ115+O117*AK115)/AI115</f>
        <v>0</v>
      </c>
      <c r="AT115" s="468" t="n">
        <f aca="false">O115*VLOOKUP(BF115,BrentVolTable,2)+VLOOKUP(BF115,BrentVolTable,3)</f>
        <v>0</v>
      </c>
      <c r="AU115" s="468" t="n">
        <f aca="false">(AT116*AM115+AT117*AN115)/AL115</f>
        <v>0</v>
      </c>
      <c r="AV115" s="595" t="n">
        <f aca="false">SQRT(MAX(0.000000000001,(O115^2*BH115-S115^2*(BH115-BH114))/BH114))</f>
        <v>0.024822667418105</v>
      </c>
      <c r="AW115" s="451" t="n">
        <f aca="false">IF($I115-DateToday+15&gt;=$T$8,"",IF($I115-DateToday+15&lt;$T$5,1,MATCH($I115-DateToday+15,$T$5:$T$8)))</f>
        <v>1</v>
      </c>
      <c r="AX115" s="468" t="n">
        <f aca="false">IF($AW115="",AX114^2/AX113,INDEX(U$5:U$8,$AW115)^((INDEX($T$5:$T$8,$AW115+1)-($I115-DateToday+15))/(INDEX($T$5:$T$8,$AW115+1)-INDEX($T$5:$T$8,$AW115)))/INDEX(U$5:U$8,$AW115+1)^((INDEX($T$5:$T$8,$AW115)-($I115-DateToday+15))/(INDEX($T$5:$T$8,$AW115+1)-INDEX($T$5:$T$8,$AW115))))</f>
        <v>1.64718963373314</v>
      </c>
      <c r="AY115" s="468" t="n">
        <f aca="false">IF($AW115="",AY114^2/AY113,INDEX(V$5:V$8,$AW115)^((INDEX($T$5:$T$8,$AW115+1)-($I115-DateToday+15))/(INDEX($T$5:$T$8,$AW115+1)-INDEX($T$5:$T$8,$AW115)))/INDEX(V$5:V$8,$AW115+1)^((INDEX($T$5:$T$8,$AW115)-($I115-DateToday+15))/(INDEX($T$5:$T$8,$AW115+1)-INDEX($T$5:$T$8,$AW115))))</f>
        <v>95.3926484590058</v>
      </c>
      <c r="AZ115" s="468" t="n">
        <f aca="false">IF($AW115="",AZ114^2/AZ113,INDEX(W$5:W$8,$AW115)^((INDEX($T$5:$T$8,$AW115+1)-($I115-DateToday+15))/(INDEX($T$5:$T$8,$AW115+1)-INDEX($T$5:$T$8,$AW115)))/INDEX(W$5:W$8,$AW115+1)^((INDEX($T$5:$T$8,$AW115)-($I115-DateToday+15))/(INDEX($T$5:$T$8,$AW115+1)-INDEX($T$5:$T$8,$AW115))))</f>
        <v>282836.394156966</v>
      </c>
      <c r="BA115" s="468" t="n">
        <f aca="false">IF($AW115="",BA114^2/BA113,INDEX(X$5:X$8,$AW115)^((INDEX($T$5:$T$8,$AW115+1)-($I115-DateToday+15))/(INDEX($T$5:$T$8,$AW115+1)-INDEX($T$5:$T$8,$AW115)))/INDEX(X$5:X$8,$AW115+1)^((INDEX($T$5:$T$8,$AW115)-($I115-DateToday+15))/(INDEX($T$5:$T$8,$AW115+1)-INDEX($T$5:$T$8,$AW115))))</f>
        <v>4852970.5885189</v>
      </c>
      <c r="BB115" s="468" t="n">
        <f aca="false">IF($AW115="",BB114^2/BB113,INDEX(Y$5:Y$8,$AW115)^((INDEX($T$5:$T$8,$AW115+1)-($I115-DateToday+15))/(INDEX($T$5:$T$8,$AW115+1)-INDEX($T$5:$T$8,$AW115)))/INDEX(Y$5:Y$8,$AW115+1)^((INDEX($T$5:$T$8,$AW115)-($I115-DateToday+15))/(INDEX($T$5:$T$8,$AW115+1)-INDEX($T$5:$T$8,$AW115))))</f>
        <v>52391522.1101006</v>
      </c>
      <c r="BC115" s="468" t="n">
        <f aca="false">IF($AW115="",BC114^2/BC113,INDEX(Z$5:Z$8,$AW115)^((INDEX($T$5:$T$8,$AW115+1)-($I115-DateToday+15))/(INDEX($T$5:$T$8,$AW115+1)-INDEX($T$5:$T$8,$AW115)))/INDEX(Z$5:Z$8,$AW115+1)^((INDEX($T$5:$T$8,$AW115)-($I115-DateToday+15))/(INDEX($T$5:$T$8,$AW115+1)-INDEX($T$5:$T$8,$AW115))))</f>
        <v>219089414.175692</v>
      </c>
      <c r="BD115" s="535" t="n">
        <f aca="false">IF(OR(DateStart&gt;=I116,DateEnd&lt;I115),0,IF(VolumeOverrideFlag,V115,Volume))</f>
        <v>0</v>
      </c>
      <c r="BE115" s="536" t="n">
        <f aca="false">IF(OR(DateStart2&gt;=I116,DateEnd2&lt;I115),0,IF(VolumeOverrideFlag,V115,VolumeSwaption))</f>
        <v>0</v>
      </c>
      <c r="BF115" s="537" t="n">
        <f aca="false">YEAR(I115)</f>
        <v>2008</v>
      </c>
      <c r="BG115" s="538" t="n">
        <f aca="false">MONTH(I115)</f>
        <v>8</v>
      </c>
      <c r="BH115" s="539" t="n">
        <f aca="false">AD115-DateToday+1</f>
        <v>-6280</v>
      </c>
      <c r="BI115" s="540" t="n">
        <f aca="false">(I115-DateToday+1)/365.25</f>
        <v>-17.1498973305955</v>
      </c>
      <c r="BJ115" s="541" t="n">
        <f aca="false">BI115+(BL115-BI115)*CHOOSE(Underlying,AJ115/AI115,AM115/AL115)</f>
        <v>-17.0951403148528</v>
      </c>
      <c r="BK115" s="541" t="n">
        <f aca="false">BJ115+1/365.25</f>
        <v>-17.0924024640657</v>
      </c>
      <c r="BL115" s="541" t="n">
        <f aca="false">(I116-DateToday)/365.25</f>
        <v>-17.0677618069815</v>
      </c>
      <c r="BM115" s="542" t="e">
        <f aca="false">MAX(BI115-(BJ115-BI115)*(S116^2/O116^2-1),0)</f>
        <v>#DIV/0!</v>
      </c>
      <c r="BN115" s="541" t="e">
        <f aca="false">MAX(BL115+(BL115-BK115)*(S117^2/O117^2-1),0)</f>
        <v>#DIV/0!</v>
      </c>
      <c r="BO115" s="530" t="n">
        <f aca="false">CHOOSE(Underlying,AI115,AL115)</f>
        <v>21</v>
      </c>
      <c r="BP115" s="529" t="n">
        <f aca="false">CHOOSE(Underlying,AJ115,AM115)</f>
        <v>14</v>
      </c>
      <c r="BQ115" s="529" t="n">
        <f aca="false">CHOOSE(Underlying,AK115,AN115)</f>
        <v>7</v>
      </c>
      <c r="BR115" s="463" t="str">
        <f aca="false">IF(BD115,IF(Underlying=1,X115,Z115)+UnderlyingPriceAsian-SwapPriceCurve,"")</f>
        <v/>
      </c>
      <c r="BS115" s="463" t="str">
        <f aca="false">IF(BD115,Strike1/BR115-1,"")</f>
        <v/>
      </c>
      <c r="BT115" s="464" t="str">
        <f aca="false">IF(BD115,Strike2/BR115-1,"")</f>
        <v/>
      </c>
      <c r="BU115" s="465" t="str">
        <f aca="false">IF(BD115,IF(Underlying=1,L116,R116)+UnderlyingPriceAsian-SwapPriceCurve,"")</f>
        <v/>
      </c>
      <c r="BV115" s="465" t="str">
        <f aca="false">IF(BD115,IF(Underlying=1,L117,R117)+UnderlyingPriceAsian-SwapPriceCurve,"")</f>
        <v/>
      </c>
      <c r="BW115" s="466" t="str">
        <f aca="false">IF(BD115,IF(Underlying=1,O116,AT116),"")</f>
        <v/>
      </c>
      <c r="BX115" s="467" t="str">
        <f aca="false">IF(BD115,IF(Underlying=1,O117,AT117),"")</f>
        <v/>
      </c>
      <c r="BY115" s="466" t="str">
        <f aca="false">IF(BD115,IF(BS115&gt;0,IF(BS115&gt;0.2,BC115-BB115,IF(BS115&gt;0.1,BB115-BA115,BA115)),IF(BS115&lt;-0.2,AX115-AY115,IF(BS115&lt;-0.1,AY115-AZ115,AZ115))),"")</f>
        <v/>
      </c>
      <c r="BZ115" s="467" t="str">
        <f aca="false">IF(BD115,IF(BT115&gt;0,IF(BT115&gt;0.2,BC115-BB115,IF(BT115&gt;0.1,BB115-BA115,BA115)),IF(BT115&lt;-0.2,AX115-AY115,IF(BT115&lt;-0.1,AY115-AZ115,AZ115))),"")</f>
        <v/>
      </c>
      <c r="CA115" s="468" t="str">
        <f aca="false">IF($BD115,$BW115+IF(VolSkewFlag=1,IF(BS115&gt;0,$BA115*MIN(BS115/10%,1)+($BB115-$BA115)*MAX(0,MIN(BS115/10%-1,1))+($BC115-$BB115)*MAX(0,BS115/10%-2),$AZ115*MIN(-BS115/10%,1)+($AY115-$AZ115)*MAX(0,MIN(-BS115/10%-1,1))+($AX115-$AY115)*MAX(0,-BS115/10%-2)),0),"")</f>
        <v/>
      </c>
      <c r="CB115" s="468" t="str">
        <f aca="false">IF($BD115,$BX115+IF(VolSkewFlag=1,IF(BS115&gt;0,$BA115*MIN(BS115/10%,1)+($BB115-$BA115)*MAX(0,MIN(BS115/10%-1,1))+($BC115-$BB115)*MAX(0,BS115/10%-2),$AZ115*MIN(-BS115/10%,1)+($AY115-$AZ115)*MAX(0,MIN(-BS115/10%-1,1))+($AX115-$AY115)*MAX(0,-BS115/10%-2)),0),"")</f>
        <v/>
      </c>
      <c r="CC115" s="468" t="str">
        <f aca="false">IF($BD115,$BW115+IF(VolSkewFlag=1,IF(BT115&gt;0,$BA115*MIN(BT115/10%,1)+($BB115-$BA115)*MAX(0,MIN(BT115/10%-1,1))+($BC115-$BB115)*MAX(0,BT115/10%-2),$AZ115*MIN(-BT115/10%,1)+($AY115-$AZ115)*MAX(0,MIN(-BT115/10%-1,1))+($AX115-$AY115)*MAX(0,-BT115/10%-2)),0),"")</f>
        <v/>
      </c>
      <c r="CD115" s="468" t="str">
        <f aca="false">IF($BD115,$BX115+IF(VolSkewFlag=1,IF(BT115&gt;0,$BA115*MIN(BT115/10%,1)+($BB115-$BA115)*MAX(0,MIN(BT115/10%-1,1))+($BC115-$BB115)*MAX(0,BT115/10%-2),$AZ115*MIN(-BT115/10%,1)+($AY115-$AZ115)*MAX(0,MIN(-BT115/10%-1,1))+($AX115-$AY115)*MAX(0,-BT115/10%-2)),0),"")</f>
        <v/>
      </c>
      <c r="CE115" s="469" t="n">
        <v>1</v>
      </c>
      <c r="CF115" s="470" t="n">
        <f aca="false">IF(BD115,xCrudeAPO(BU115,BV115,CA115,CB115,S116,S117,BI115,BL115,BP115,BQ115,0,Strike1,AO115,CE115,0,BL115,IF(OptControl=4,0,1),0,1),0)</f>
        <v>0</v>
      </c>
      <c r="CG115" s="470" t="n">
        <f aca="false">IF(BD115,xCrudeAPO(BU115,BV115,CA115,CB115,S116,S117,BI115,BL115,BP115,BQ115,0,Strike1,AO115,CE115,0,BL115,IF(OptControl=4,0,1),1,1)+xCrudeAPO(BU115,BV115,CA115,CB115,S116,S117,BI115,BL115,BP115,BQ115,0,Strike1,AO115,CE115,0,BL115,IF(OptControl=4,0,1),1,2)+IF(OR(VolSkewFlag=2,ABS(BS115)&lt;0.0001),0,IF(BS115&gt;0,-1,1)*CH115*Strike1/BR115^2*BY115/10%),0)</f>
        <v>0</v>
      </c>
      <c r="CH115" s="470" t="n">
        <f aca="false">IF(BD115,(xCrudeAPO(BU115,BV115,CA115,CB115,S116,S117,BI115,BL115,BP115,BQ115,0,Strike1,AO115,CE115,0,BL115,IF(OptControl=4,0,1),3,1)+xCrudeAPO(BU115,BV115,CA115,CB115,S116,S117,BI115,BL115,BP115,BQ115,0,Strike1,AO115,CE115,0,BL115,IF(OptControl=4,0,1),3,2))/100,0)</f>
        <v>0</v>
      </c>
      <c r="CI115" s="470" t="n">
        <f aca="false">IF(BD115,xCrudeAPO(BU115,BV115,CA115,CB115,S116,S117,BI115-DaysForThetaCalculation/365.25,BL115-DaysForThetaCalculation/365.25,BP115,BQ115,0,Strike1,AO115,CE115,0,BL115,IF(OptControl=4,0,1),0,1)-xCrudeAPO(BU115,BV115,CA115,CB115,S116,S117,BI115,BL115,BP115,BQ115,0,Strike1,AO115,CE115,0,BL115,IF(OptControl=4,0,1),0,1),0)</f>
        <v>0</v>
      </c>
      <c r="CJ115" s="471" t="n">
        <f aca="false">IF(BD115,xCrudeAPO(BU115,BV115,CC115,CD115,S116,S117,BI115,BL115,BP115,BQ115,0,Strike2,AO115,CE115,0,BL115,IF(OptControl=3,1,0),0,1),0)</f>
        <v>0</v>
      </c>
      <c r="CK115" s="470" t="n">
        <f aca="false">IF(BD115,xCrudeAPO(BU115,BV115,CC115,CD115,S116,S117,BI115,BL115,BP115,BQ115,0,Strike2,AO115,CE115,0,BL115,IF(OptControl=3,1,0),1,1)+xCrudeAPO(BU115,BV115,CC115,CD115,S116,S117,BI115,BL115,BP115,BQ115,0,Strike2,AO115,CE115,0,BL115,IF(OptControl=3,1,0),1,2)+IF(OR(VolSkewFlag=2,ABS(BT115)&lt;0.0001),0,IF(BT115&gt;0,-1,1)*CL115*Strike2/BR115^2*BZ115/10%),0)</f>
        <v>0</v>
      </c>
      <c r="CL115" s="470" t="n">
        <f aca="false">IF(BD115,(xCrudeAPO(BU115,BV115,CC115,CD115,S116,S117,BI115,BL115,BP115,BQ115,0,Strike2,AO115,CE115,0,BL115,IF(OptControl=3,1,0),3,1)+xCrudeAPO(BU115,BV115,CC115,CD115,S116,S117,BI115,BL115,BP115,BQ115,0,Strike2,AO115,CE115,0,BL115,IF(OptControl=3,1,0),3,2))/100,0)</f>
        <v>0</v>
      </c>
      <c r="CM115" s="472" t="n">
        <f aca="false">IF(BD115,xCrudeAPO(BU115,BV115,CC115,CD115,S116,S117,BI115-DaysForThetaCalculation/365.25,BL115-DaysForThetaCalculation/365.25,BP115,BQ115,0,Strike2,AO115,CE115,0,BL115,IF(OptControl=3,1,0),0,1)-xCrudeAPO(BU115,BV115,CC115,CD115,S116,S117,BI115,BL115,BP115,BQ115,0,Strike2,AO115,CE115,0,BL115,IF(OptControl=3,1,0),0,1),0)</f>
        <v>0</v>
      </c>
      <c r="CN115" s="3"/>
      <c r="CO115" s="543" t="str">
        <f aca="false">IF(BD115,CHOOSE(Underlying,AD115,AF115)-DateToday+1,"")</f>
        <v/>
      </c>
      <c r="CP115" s="582" t="str">
        <f aca="false">IF(BD115,CHOOSE(Underlying,L115,R115),"")</f>
        <v/>
      </c>
      <c r="CQ115" s="544" t="str">
        <f aca="false">IF(BD115,Strike1/CP115-1,"")</f>
        <v/>
      </c>
      <c r="CR115" s="544" t="str">
        <f aca="false">IF(BD115,Strike2/CP115-1,"")</f>
        <v/>
      </c>
      <c r="CS115" s="544" t="str">
        <f aca="false">IF(BD115,IF(CQ115&gt;0,IF(CQ115&gt;0.2,BC114-BB114,IF(CQ115&gt;0.1,BB114-BA114,BA114)),IF(CQ115&lt;-0.2,AX114-AY114,IF(CQ115&lt;-0.1,AY114-AZ114,AZ114))),"")</f>
        <v/>
      </c>
      <c r="CT115" s="544" t="str">
        <f aca="false">IF(BD115,IF(CR115&gt;0,IF(CR115&gt;0.2,BC114-BB114,IF(CR115&gt;0.1,BB114-BA114,BA114)),IF(CR115&lt;-0.2,AX114-AY114,IF(CR115&lt;-0.1,AY114-AZ114,AZ114))),"")</f>
        <v/>
      </c>
      <c r="CU115" s="545" t="str">
        <f aca="false">IF(BD115,CHOOSE(Underlying,O115,AT115),"")</f>
        <v/>
      </c>
      <c r="CV115" s="545" t="str">
        <f aca="false">IF(BD115,CU115+IF(VolSkewFlag=1,IF(CQ115&gt;0,BA114*MIN(CQ115/10%,1)+(BB114-BA114)*MAX(0,MIN(CQ115/10%-1,1))+(BC114-BB114)*MAX(0,CQ115/10%-2),AZ114*MIN(-CQ115/10%,1)+(AY114-AZ114)*MAX(0,MIN(-CQ115/10%-1,1))+(AX114-AY114)*MAX(0,-CQ115/10%-2)),0),"")</f>
        <v/>
      </c>
      <c r="CW115" s="545" t="str">
        <f aca="false">IF(BD115,CU115+IF(VolSkewFlag=1,IF(CR115&gt;0,BA114*MIN(CR115/10%,1)+(BB114-BA114)*MAX(0,MIN(CR115/10%-1,1))+(BC114-BB114)*MAX(0,CR115/10%-2),AZ114*MIN(-CR115/10%,1)+(AY114-AZ114)*MAX(0,MIN(-CR115/10%-1,1))+(AX114-AY114)*MAX(0,-CR115/10%-2)),0),"")</f>
        <v/>
      </c>
      <c r="CX115" s="470" t="n">
        <f aca="false">IF(BD115,EURO(CP115,Strike1,AO115,AO115,CV115,CO115,IF(OptControl=4,0,1),0),0)</f>
        <v>0</v>
      </c>
      <c r="CY115" s="470" t="n">
        <f aca="false">IF(BD115,EURO(CP115,Strike1,AO115,AO115,CV115,CO115,IF(OptControl=4,0,1),1)+IF(OR(VolSkewFlag=2,ABS(CQ115)&lt;0.0001),0,IF(CQ115&gt;0,-1,1)*CZ115*100*Strike1/CP115^2*CS115/10%),0)</f>
        <v>0</v>
      </c>
      <c r="CZ115" s="470" t="n">
        <f aca="false">IF(BD115,EURO(CP115,Strike1,AO115,AO115,CV115,CO115,IF(OptControl=4,0,1),3)/100,0)</f>
        <v>0</v>
      </c>
      <c r="DA115" s="470" t="n">
        <f aca="false">IF(BD115,EURO(CP115,Strike1,AO115,AO115,CV115,CO115,IF(OptControl=4,0,1),0)-EURO(CP115,Strike1,AO115,AO115,CV115,CO115-1,IF(OptControl=4,0,1),0),0)</f>
        <v>0</v>
      </c>
      <c r="DB115" s="470" t="n">
        <f aca="false">IF(BD115,EURO(CP115,Strike2,AO115,AO115,CW115,CO115,IF(OptControl=3,1,0),0),0)</f>
        <v>0</v>
      </c>
      <c r="DC115" s="470" t="n">
        <f aca="false">IF(BD115,EURO(CP115,Strike2,AO115,AO115,CW115,CO115,IF(OptControl=3,1,0),1)+IF(OR(VolSkewFlag=2,ABS(CR115)&lt;0.0001),0,IF(CR115&gt;0,-1,1)*DD115*100*Strike2/CP115^2*CT115/10%),0)</f>
        <v>0</v>
      </c>
      <c r="DD115" s="470" t="n">
        <f aca="false">IF(BD115,EURO(CP115,Strike2,AO115,AO115,CW115,CO115,IF(OptControl=3,1,0),3)/100,0)</f>
        <v>0</v>
      </c>
      <c r="DE115" s="472" t="n">
        <f aca="false">IF(BD115,EURO(CP115,Strike2,AO115,AO115,CW115,CO115,IF(OptControl=3,1,0),0)-EURO(CP115,Strike2,AO115,AO115,CW115,CO115-1,IF(OptControl=3,1,0),0),0)</f>
        <v>0</v>
      </c>
      <c r="DG115" s="481" t="n">
        <f aca="false">EOMONTH(DG114,0)+1</f>
        <v>48580</v>
      </c>
      <c r="DH115" s="478" t="n">
        <v>18.91</v>
      </c>
      <c r="DI115" s="479" t="n">
        <v>18.9804545454546</v>
      </c>
      <c r="DJ115" s="480" t="n">
        <f aca="false">DG115</f>
        <v>48580</v>
      </c>
      <c r="DK115" s="478" t="n">
        <v>17.703773670149</v>
      </c>
      <c r="DL115" s="479" t="n">
        <v>17.8119545454546</v>
      </c>
      <c r="DM115" s="481" t="n">
        <f aca="false">DG115</f>
        <v>48580</v>
      </c>
      <c r="DN115" s="482" t="n">
        <f aca="false">DK115+BrentPhyBrentSpread</f>
        <v>17.753773670149</v>
      </c>
      <c r="DO115" s="481" t="n">
        <f aca="false">DG115</f>
        <v>48580</v>
      </c>
      <c r="DP115" s="483" t="n">
        <f aca="false">DL115+DQ115</f>
        <v>17.8119545454546</v>
      </c>
      <c r="DQ115" s="546" t="n">
        <v>0</v>
      </c>
      <c r="DR115" s="480" t="n">
        <f aca="false">DG115</f>
        <v>48580</v>
      </c>
      <c r="DS115" s="485" t="n">
        <v>0.1676</v>
      </c>
      <c r="DT115" s="486" t="n">
        <v>0.166754545454546</v>
      </c>
      <c r="DU115" s="480" t="n">
        <f aca="false">DG115</f>
        <v>48580</v>
      </c>
      <c r="DV115" s="485" t="n">
        <v>0.1676</v>
      </c>
      <c r="DW115" s="486" t="n">
        <v>0.166754545454546</v>
      </c>
      <c r="DX115" s="481" t="n">
        <f aca="false">DG115</f>
        <v>48580</v>
      </c>
      <c r="DY115" s="486" t="n">
        <v>0.35</v>
      </c>
      <c r="DZ115" s="481" t="n">
        <f aca="false">DR115</f>
        <v>48580</v>
      </c>
      <c r="EA115" s="486" t="n">
        <f aca="false">DT115</f>
        <v>0.166754545454546</v>
      </c>
      <c r="EB115" s="195"/>
      <c r="EC115" s="547" t="str">
        <f aca="false">IF(BD115,IF(Underlying=1,AS115,AU115),"")</f>
        <v/>
      </c>
      <c r="ED115" s="548" t="str">
        <f aca="false">IF($BD115,$EC115+IF(VolSkewFlag=1,IF(BS115&gt;0,$BA115*MIN(BS115/10%,1)+($BB115-$BA115)*MAX(0,MIN(BS115/10%-1,1))+($BC115-$BB115)*MAX(0,BS115/10%-2),$AZ115*MIN(-BS115/10%,1)+($AY115-$AZ115)*MAX(0,MIN(-BS115/10%-1,1))+($AX115-$AY115)*MAX(0,-BS115/10%-2)),0),"")</f>
        <v/>
      </c>
      <c r="EE115" s="549" t="str">
        <f aca="false">IF($BD115,$EC115+IF(VolSkewFlag=1,IF(BT115&gt;0,$BA115*MIN(BT115/10%,1)+($BB115-$BA115)*MAX(0,MIN(BT115/10%-1,1))+($BC115-$BB115)*MAX(0,BT115/10%-2),$AZ115*MIN(-BT115/10%,1)+($AY115-$AZ115)*MAX(0,MIN(-BT115/10%-1,1))+($AX115-$AY115)*MAX(0,-BT115/10%-2)),0),"")</f>
        <v/>
      </c>
      <c r="EF115" s="550" t="n">
        <f aca="false">IF(BD115,xASN(BR115,Strike1,AO115,ED115,0,BO115,0,BI115,BL115,IF(OptControl=4,0,1),0),0)</f>
        <v>0</v>
      </c>
      <c r="EG115" s="551" t="n">
        <f aca="false">IF(BD115,xASN(BR115,Strike2,AO115,EE115,0,BO115,0,BI115,BL115,IF(OptControl=3,1,0),0),0)</f>
        <v>0</v>
      </c>
      <c r="EL115" s="1"/>
      <c r="EM115" s="195"/>
      <c r="EN115" s="240"/>
      <c r="EO115" s="240"/>
      <c r="EP115" s="195"/>
      <c r="EQ115" s="407" t="s">
        <v>342</v>
      </c>
      <c r="ES115" s="130"/>
      <c r="ET115" s="19"/>
      <c r="EU115" s="672"/>
      <c r="EV115" s="478"/>
      <c r="EW115" s="131"/>
      <c r="EX115" s="131"/>
      <c r="EY115" s="129"/>
      <c r="EZ115" s="129"/>
      <c r="FA115" s="129"/>
      <c r="FB115" s="129"/>
      <c r="FC115" s="129"/>
      <c r="FD115" s="129"/>
      <c r="FE115" s="129"/>
      <c r="FF115" s="129"/>
      <c r="FG115" s="129"/>
      <c r="FH115" s="129"/>
      <c r="FI115" s="129"/>
      <c r="FJ115" s="571" t="n">
        <v>21</v>
      </c>
      <c r="FK115" s="150" t="e">
        <f aca="false">IF($FJ40&lt;FK$94,"",SQRT(FK40/FK$15))</f>
        <v>#DIV/0!</v>
      </c>
      <c r="FL115" s="150" t="n">
        <f aca="false">IF($FJ40&lt;FL$94,"",SQRT(FL40/FL$15))</f>
        <v>-0</v>
      </c>
      <c r="FM115" s="150" t="n">
        <f aca="false">IF($FJ40&lt;FM$94,"",SQRT(FM40/FM$15))</f>
        <v>0.178585232195858</v>
      </c>
      <c r="FN115" s="150" t="n">
        <f aca="false">IF($FJ40&lt;FN$94,"",SQRT(FN40/FN$15))</f>
        <v>0.176539136327916</v>
      </c>
      <c r="FO115" s="150" t="n">
        <f aca="false">IF($FJ40&lt;FO$94,"",SQRT(FO40/FO$15))</f>
        <v>0.175558709283932</v>
      </c>
      <c r="FP115" s="150" t="n">
        <f aca="false">IF($FJ40&lt;FP$94,"",SQRT(FP40/FP$15))</f>
        <v>0.17548393571952</v>
      </c>
      <c r="FQ115" s="150" t="n">
        <f aca="false">IF($FJ40&lt;FQ$94,"",SQRT(FQ40/FQ$15))</f>
        <v>0.176216295399478</v>
      </c>
      <c r="FR115" s="150" t="n">
        <f aca="false">IF($FJ40&lt;FR$94,"",SQRT(FR40/FR$15))</f>
        <v>0.177708612948705</v>
      </c>
      <c r="FS115" s="150" t="n">
        <f aca="false">IF($FJ40&lt;FS$94,"",SQRT(FS40/FS$15))</f>
        <v>0.179958984604667</v>
      </c>
      <c r="FT115" s="150" t="n">
        <f aca="false">IF($FJ40&lt;FT$94,"",SQRT(FT40/FT$15))</f>
        <v>0.18300832907209</v>
      </c>
      <c r="FU115" s="150" t="n">
        <f aca="false">IF($FJ40&lt;FU$94,"",SQRT(FU40/FU$15))</f>
        <v>0.186941474367057</v>
      </c>
      <c r="FV115" s="150" t="n">
        <f aca="false">IF($FJ40&lt;FV$94,"",SQRT(FV40/FV$15))</f>
        <v>0.191892098208071</v>
      </c>
      <c r="FW115" s="150" t="n">
        <f aca="false">IF($FJ40&lt;FW$94,"",SQRT(FW40/FW$15))</f>
        <v>0.198052356682106</v>
      </c>
      <c r="FX115" s="150" t="n">
        <f aca="false">IF($FJ40&lt;FX$94,"",SQRT(FX40/FX$15))</f>
        <v>0.205688774860958</v>
      </c>
      <c r="FY115" s="150" t="n">
        <f aca="false">IF($FJ40&lt;FY$94,"",SQRT(FY40/FY$15))</f>
        <v>0.215167120653434</v>
      </c>
      <c r="FZ115" s="150" t="n">
        <f aca="false">IF($FJ40&lt;FZ$94,"",SQRT(FZ40/FZ$15))</f>
        <v>0.226990874711761</v>
      </c>
      <c r="GA115" s="150" t="n">
        <f aca="false">IF($FJ40&lt;GA$94,"",SQRT(GA40/GA$15))</f>
        <v>0.241861173698947</v>
      </c>
      <c r="GB115" s="150" t="n">
        <f aca="false">IF($FJ40&lt;GB$94,"",SQRT(GB40/GB$15))</f>
        <v>0.260771971484211</v>
      </c>
      <c r="GC115" s="150" t="n">
        <f aca="false">IF($FJ40&lt;GC$94,"",SQRT(GC40/GC$15))</f>
        <v>0.285165140720332</v>
      </c>
      <c r="GD115" s="150" t="n">
        <f aca="false">IF($FJ40&lt;GD$94,"",SQRT(GD40/GD$15))</f>
        <v>0.317191679728635</v>
      </c>
      <c r="GE115" s="150" t="n">
        <f aca="false">IF($FJ40&lt;GE$94,"",SQRT(GE40/GE$15))</f>
        <v>0.36016913130341</v>
      </c>
      <c r="GF115" s="150" t="str">
        <f aca="false">IF($FJ40&lt;GF$94,"",SQRT(GF40/GF$15))</f>
        <v/>
      </c>
      <c r="GG115" s="150" t="str">
        <f aca="false">IF($FJ40&lt;GG$94,"",SQRT(GG40/GG$15))</f>
        <v/>
      </c>
      <c r="GH115" s="150" t="str">
        <f aca="false">IF($FJ40&lt;GH$94,"",SQRT(GH40/GH$15))</f>
        <v/>
      </c>
      <c r="GI115" s="150" t="str">
        <f aca="false">IF($FJ40&lt;GI$94,"",SQRT(GI40/GI$15))</f>
        <v/>
      </c>
      <c r="GJ115" s="150" t="str">
        <f aca="false">IF($FJ40&lt;GJ$94,"",SQRT(GJ40/GJ$15))</f>
        <v/>
      </c>
      <c r="GK115" s="150" t="str">
        <f aca="false">IF($FJ40&lt;GK$94,"",SQRT(GK40/GK$15))</f>
        <v/>
      </c>
      <c r="GL115" s="150" t="str">
        <f aca="false">IF($FJ40&lt;GL$94,"",SQRT(GL40/GL$15))</f>
        <v/>
      </c>
      <c r="GM115" s="150" t="str">
        <f aca="false">IF($FJ40&lt;GM$94,"",SQRT(GM40/GM$15))</f>
        <v/>
      </c>
      <c r="GN115" s="150" t="str">
        <f aca="false">IF($FJ40&lt;GN$94,"",SQRT(GN40/GN$15))</f>
        <v/>
      </c>
      <c r="GO115" s="150" t="str">
        <f aca="false">IF($FJ40&lt;GO$94,"",SQRT(GO40/GO$15))</f>
        <v/>
      </c>
      <c r="GP115" s="150" t="str">
        <f aca="false">IF($FJ40&lt;GP$94,"",SQRT(GP40/GP$15))</f>
        <v/>
      </c>
      <c r="GQ115" s="150" t="str">
        <f aca="false">IF($FJ40&lt;GQ$94,"",SQRT(GQ40/GQ$15))</f>
        <v/>
      </c>
      <c r="GR115" s="150" t="str">
        <f aca="false">IF($FJ40&lt;GR$94,"",SQRT(GR40/GR$15))</f>
        <v/>
      </c>
      <c r="GS115" s="150" t="str">
        <f aca="false">IF($FJ40&lt;GS$94,"",SQRT(GS40/GS$15))</f>
        <v/>
      </c>
      <c r="GT115" s="150" t="str">
        <f aca="false">IF($FJ40&lt;GT$94,"",SQRT(GT40/GT$15))</f>
        <v/>
      </c>
      <c r="GU115" s="150" t="str">
        <f aca="false">IF($FJ40&lt;GU$94,"",SQRT(GU40/GU$15))</f>
        <v/>
      </c>
      <c r="GV115" s="150" t="str">
        <f aca="false">IF($FJ40&lt;GV$94,"",SQRT(GV40/GV$15))</f>
        <v/>
      </c>
      <c r="GW115" s="150" t="str">
        <f aca="false">IF($FJ40&lt;GW$94,"",SQRT(GW40/GW$15))</f>
        <v/>
      </c>
      <c r="GX115" s="150" t="str">
        <f aca="false">IF($FJ40&lt;GX$94,"",SQRT(GX40/GX$15))</f>
        <v/>
      </c>
      <c r="GY115" s="150" t="str">
        <f aca="false">IF($FJ40&lt;GY$94,"",SQRT(GY40/GY$15))</f>
        <v/>
      </c>
      <c r="GZ115" s="150" t="str">
        <f aca="false">IF($FJ40&lt;GZ$94,"",SQRT(GZ40/GZ$15))</f>
        <v/>
      </c>
      <c r="HA115" s="150" t="str">
        <f aca="false">IF($FJ40&lt;HA$94,"",SQRT(HA40/HA$15))</f>
        <v/>
      </c>
      <c r="HB115" s="150" t="str">
        <f aca="false">IF($FJ40&lt;HB$94,"",SQRT(HB40/HB$15))</f>
        <v/>
      </c>
      <c r="HC115" s="150" t="str">
        <f aca="false">IF($FJ40&lt;HC$94,"",SQRT(HC40/HC$15))</f>
        <v/>
      </c>
      <c r="HD115" s="150" t="str">
        <f aca="false">IF($FJ40&lt;HD$94,"",SQRT(HD40/HD$15))</f>
        <v/>
      </c>
      <c r="HE115" s="150" t="str">
        <f aca="false">IF($FJ40&lt;HE$94,"",SQRT(HE40/HE$15))</f>
        <v/>
      </c>
      <c r="HF115" s="150" t="str">
        <f aca="false">IF($FJ40&lt;HF$94,"",SQRT(HF40/HF$15))</f>
        <v/>
      </c>
      <c r="HG115" s="150" t="str">
        <f aca="false">IF($FJ40&lt;HG$94,"",SQRT(HG40/HG$15))</f>
        <v/>
      </c>
      <c r="HH115" s="150" t="str">
        <f aca="false">IF($FJ40&lt;HH$94,"",SQRT(HH40/HH$15))</f>
        <v/>
      </c>
      <c r="HI115" s="150" t="str">
        <f aca="false">IF($FJ40&lt;HI$94,"",SQRT(HI40/HI$15))</f>
        <v/>
      </c>
      <c r="HJ115" s="150" t="str">
        <f aca="false">IF($FJ40&lt;HJ$94,"",SQRT(HJ40/HJ$15))</f>
        <v/>
      </c>
      <c r="HK115" s="150" t="str">
        <f aca="false">IF($FJ40&lt;HK$94,"",SQRT(HK40/HK$15))</f>
        <v/>
      </c>
      <c r="HL115" s="150" t="str">
        <f aca="false">IF($FJ40&lt;HL$94,"",SQRT(HL40/HL$15))</f>
        <v/>
      </c>
      <c r="HM115" s="150" t="str">
        <f aca="false">IF($FJ40&lt;HM$94,"",SQRT(HM40/HM$15))</f>
        <v/>
      </c>
      <c r="HN115" s="150" t="str">
        <f aca="false">IF($FJ40&lt;HN$94,"",SQRT(HN40/HN$15))</f>
        <v/>
      </c>
      <c r="HO115" s="150" t="str">
        <f aca="false">IF($FJ40&lt;HO$94,"",SQRT(HO40/HO$15))</f>
        <v/>
      </c>
      <c r="HP115" s="150" t="str">
        <f aca="false">IF($FJ40&lt;HP$94,"",SQRT(HP40/HP$15))</f>
        <v/>
      </c>
      <c r="HQ115" s="150" t="str">
        <f aca="false">IF($FJ40&lt;HQ$94,"",SQRT(HQ40/HQ$15))</f>
        <v/>
      </c>
      <c r="HR115" s="150" t="str">
        <f aca="false">IF($FJ40&lt;HR$94,"",SQRT(HR40/HR$15))</f>
        <v/>
      </c>
      <c r="HS115" s="150" t="str">
        <f aca="false">IF($FJ40&lt;HS$94,"",SQRT(HS40/HS$15))</f>
        <v/>
      </c>
      <c r="HT115" s="150" t="str">
        <f aca="false">IF($FJ40&lt;HT$94,"",SQRT(HT40/HT$15))</f>
        <v/>
      </c>
      <c r="HU115" s="150" t="str">
        <f aca="false">IF($FJ40&lt;HU$94,"",SQRT(HU40/HU$15))</f>
        <v/>
      </c>
      <c r="HV115" s="150" t="str">
        <f aca="false">IF($FJ40&lt;HV$94,"",SQRT(HV40/HV$15))</f>
        <v/>
      </c>
      <c r="HW115" s="150" t="str">
        <f aca="false">IF($FJ40&lt;HW$94,"",SQRT(HW40/HW$15))</f>
        <v/>
      </c>
      <c r="HX115" s="150" t="str">
        <f aca="false">IF($FJ40&lt;HX$94,"",SQRT(HX40/HX$15))</f>
        <v/>
      </c>
      <c r="HY115" s="150" t="str">
        <f aca="false">IF($FJ40&lt;HY$94,"",SQRT(HY40/HY$15))</f>
        <v/>
      </c>
      <c r="HZ115" s="150" t="str">
        <f aca="false">IF($FJ40&lt;HZ$94,"",SQRT(HZ40/HZ$15))</f>
        <v/>
      </c>
      <c r="IA115" s="150" t="str">
        <f aca="false">IF($FJ40&lt;IA$94,"",SQRT(IA40/IA$15))</f>
        <v/>
      </c>
      <c r="IB115" s="150" t="str">
        <f aca="false">IF($FJ40&lt;IB$94,"",SQRT(IB40/IB$15))</f>
        <v/>
      </c>
      <c r="IC115" s="150" t="str">
        <f aca="false">IF($FJ40&lt;IC$94,"",SQRT(IC40/IC$15))</f>
        <v/>
      </c>
      <c r="ID115" s="572" t="str">
        <f aca="false">IF($FJ40&lt;ID$94,"",SQRT(ID40/ID$15))</f>
        <v/>
      </c>
      <c r="IE115" s="129"/>
    </row>
    <row r="116" customFormat="false" ht="12.75" hidden="false" customHeight="false" outlineLevel="0" collapsed="false">
      <c r="H116" s="219" t="n">
        <f aca="false">VLOOKUP(I116,$EJ$20:$EL$54,3)</f>
        <v>0</v>
      </c>
      <c r="I116" s="511" t="n">
        <f aca="false">EOMONTH(I115,0)+1</f>
        <v>39692</v>
      </c>
      <c r="J116" s="512"/>
      <c r="K116" s="513" t="s">
        <v>280</v>
      </c>
      <c r="L116" s="514" t="n">
        <f aca="false">IF(ISNUMBER(K116),J116+K116/100,IF(K116="extra",L115+VLOOKUP(BF116,PriceSpreadTable,2)/12,IF(K116="inter",interpolateprices($K$19:$L$200,ROW(K116)-ROW(FirstPricingMonth)+1),interpolatechanges($J$19:$K$200,ROW(K116)-ROW(FirstPricingMonth)+1))))</f>
        <v>0.75</v>
      </c>
      <c r="M116" s="515"/>
      <c r="N116" s="516" t="n">
        <v>0</v>
      </c>
      <c r="O116" s="515" t="n">
        <f aca="false">M116+N116</f>
        <v>0</v>
      </c>
      <c r="P116" s="512"/>
      <c r="Q116" s="513" t="s">
        <v>280</v>
      </c>
      <c r="R116" s="512" t="e">
        <f aca="false">IF(ISNUMBER(Q116),P116+Q116/100,IF(Q116="extra",(Z114*AL114-R115*AM114)/AN114,IF(Q116="inter",interpolateprices($Q$19:$R$260,ROW(Q116)-ROW(FirstPricingMonth)+1),interpolatechanges($P$19:$Q$260,ROW(Q116)-ROW(FirstPricingMonth)+1))))</f>
        <v>#VALUE!</v>
      </c>
      <c r="S116" s="597" t="n">
        <f aca="false">S$19+(S115-S$19)*S$18</f>
        <v>0.360000000000054</v>
      </c>
      <c r="T116" s="575" t="n">
        <f aca="false">SQRT((1-(1-T115^2/U115)*T$18)*U116)</f>
        <v>0.99999996694521</v>
      </c>
      <c r="U116" s="576" t="n">
        <f aca="false">1-(1-U115)*U$18</f>
        <v>0.999999999999985</v>
      </c>
      <c r="V116" s="521" t="n">
        <v>0</v>
      </c>
      <c r="W116" s="577" t="n">
        <f aca="false">(J117*AJ116+J118*AK116)/AI116</f>
        <v>0</v>
      </c>
      <c r="X116" s="578" t="n">
        <f aca="false">(L117*AJ116+L118*AK116)/AI116</f>
        <v>0.799431818181818</v>
      </c>
      <c r="Y116" s="579" t="n">
        <f aca="false">IF(Q118="extra",W116-AA116,(P117*AM116+P118*AN116)/AL116)</f>
        <v>-1.2566</v>
      </c>
      <c r="Z116" s="579" t="n">
        <f aca="false">IF(Q118="extra",X116-AB116,(R117*AM116+R118*AN116)/AL116)</f>
        <v>-0.457168181818182</v>
      </c>
      <c r="AA116" s="523" t="n">
        <f aca="false">IF(Q118="extra",INDEX(BrentSeasonalityTable,INT((BG116-1)/3)+1)*VLOOKUP(MAX(BF116,$AB$4),PriceSpreadTable,3),W116-Y116)</f>
        <v>1.2566</v>
      </c>
      <c r="AB116" s="524" t="n">
        <f aca="false">IF(Q118="extra",INDEX(BrentSeasonalityTable,INT((BG116-1)/3)+1)*VLOOKUP(MAX(BF116,$AB$4),PriceSpreadTable,3),X116-Z116)</f>
        <v>1.2566</v>
      </c>
      <c r="AC116" s="646" t="n">
        <v>39680</v>
      </c>
      <c r="AD116" s="646" t="n">
        <v>39676</v>
      </c>
      <c r="AE116" s="646" t="n">
        <v>39675</v>
      </c>
      <c r="AF116" s="646" t="n">
        <v>39671</v>
      </c>
      <c r="AG116" s="438" t="s">
        <v>278</v>
      </c>
      <c r="AH116" s="439" t="s">
        <v>278</v>
      </c>
      <c r="AI116" s="528" t="n">
        <v>22</v>
      </c>
      <c r="AJ116" s="529" t="n">
        <v>15</v>
      </c>
      <c r="AK116" s="529" t="n">
        <v>7</v>
      </c>
      <c r="AL116" s="530" t="n">
        <v>22</v>
      </c>
      <c r="AM116" s="529" t="n">
        <v>10</v>
      </c>
      <c r="AN116" s="531" t="n">
        <v>12</v>
      </c>
      <c r="AO116" s="532"/>
      <c r="AP116" s="465" t="n">
        <f aca="false">(1+AO116/2)^(-2*BL116)</f>
        <v>1</v>
      </c>
      <c r="AQ116" s="532"/>
      <c r="AR116" s="465" t="n">
        <f aca="false">(1+AQ116/2)^(-2*BH116/365.25)</f>
        <v>1</v>
      </c>
      <c r="AS116" s="580" t="n">
        <f aca="false">(O117*AJ116+O118*AK116)/AI116</f>
        <v>0</v>
      </c>
      <c r="AT116" s="468" t="n">
        <f aca="false">O116*VLOOKUP(BF116,BrentVolTable,2)+VLOOKUP(BF116,BrentVolTable,3)</f>
        <v>0</v>
      </c>
      <c r="AU116" s="468" t="n">
        <f aca="false">(AT117*AM116+AT118*AN116)/AL116</f>
        <v>0</v>
      </c>
      <c r="AV116" s="595" t="n">
        <f aca="false">SQRT(MAX(0.000000000001,(O116^2*BH116-S116^2*(BH116-BH115))/BH115))</f>
        <v>0.025293185306128</v>
      </c>
      <c r="AW116" s="451" t="n">
        <f aca="false">IF($I116-DateToday+15&gt;=$T$8,"",IF($I116-DateToday+15&lt;$T$5,1,MATCH($I116-DateToday+15,$T$5:$T$8)))</f>
        <v>1</v>
      </c>
      <c r="AX116" s="468" t="n">
        <f aca="false">IF($AW116="",AX115^2/AX114,INDEX(U$5:U$8,$AW116)^((INDEX($T$5:$T$8,$AW116+1)-($I116-DateToday+15))/(INDEX($T$5:$T$8,$AW116+1)-INDEX($T$5:$T$8,$AW116)))/INDEX(U$5:U$8,$AW116+1)^((INDEX($T$5:$T$8,$AW116)-($I116-DateToday+15))/(INDEX($T$5:$T$8,$AW116+1)-INDEX($T$5:$T$8,$AW116))))</f>
        <v>1.61171056364887</v>
      </c>
      <c r="AY116" s="468" t="n">
        <f aca="false">IF($AW116="",AY115^2/AY114,INDEX(V$5:V$8,$AW116)^((INDEX($T$5:$T$8,$AW116+1)-($I116-DateToday+15))/(INDEX($T$5:$T$8,$AW116+1)-INDEX($T$5:$T$8,$AW116)))/INDEX(V$5:V$8,$AW116+1)^((INDEX($T$5:$T$8,$AW116)-($I116-DateToday+15))/(INDEX($T$5:$T$8,$AW116+1)-INDEX($T$5:$T$8,$AW116))))</f>
        <v>91.3857337068743</v>
      </c>
      <c r="AZ116" s="468" t="n">
        <f aca="false">IF($AW116="",AZ115^2/AZ114,INDEX(W$5:W$8,$AW116)^((INDEX($T$5:$T$8,$AW116+1)-($I116-DateToday+15))/(INDEX($T$5:$T$8,$AW116+1)-INDEX($T$5:$T$8,$AW116)))/INDEX(W$5:W$8,$AW116+1)^((INDEX($T$5:$T$8,$AW116)-($I116-DateToday+15))/(INDEX($T$5:$T$8,$AW116+1)-INDEX($T$5:$T$8,$AW116))))</f>
        <v>260101.64465788</v>
      </c>
      <c r="BA116" s="468" t="n">
        <f aca="false">IF($AW116="",BA115^2/BA114,INDEX(X$5:X$8,$AW116)^((INDEX($T$5:$T$8,$AW116+1)-($I116-DateToday+15))/(INDEX($T$5:$T$8,$AW116+1)-INDEX($T$5:$T$8,$AW116)))/INDEX(X$5:X$8,$AW116+1)^((INDEX($T$5:$T$8,$AW116)-($I116-DateToday+15))/(INDEX($T$5:$T$8,$AW116+1)-INDEX($T$5:$T$8,$AW116))))</f>
        <v>4366755.91997445</v>
      </c>
      <c r="BB116" s="468" t="n">
        <f aca="false">IF($AW116="",BB115^2/BB114,INDEX(Y$5:Y$8,$AW116)^((INDEX($T$5:$T$8,$AW116+1)-($I116-DateToday+15))/(INDEX($T$5:$T$8,$AW116+1)-INDEX($T$5:$T$8,$AW116)))/INDEX(Y$5:Y$8,$AW116+1)^((INDEX($T$5:$T$8,$AW116)-($I116-DateToday+15))/(INDEX($T$5:$T$8,$AW116+1)-INDEX($T$5:$T$8,$AW116))))</f>
        <v>46669500.4925869</v>
      </c>
      <c r="BC116" s="468" t="n">
        <f aca="false">IF($AW116="",BC115^2/BC114,INDEX(Z$5:Z$8,$AW116)^((INDEX($T$5:$T$8,$AW116+1)-($I116-DateToday+15))/(INDEX($T$5:$T$8,$AW116+1)-INDEX($T$5:$T$8,$AW116)))/INDEX(Z$5:Z$8,$AW116+1)^((INDEX($T$5:$T$8,$AW116)-($I116-DateToday+15))/(INDEX($T$5:$T$8,$AW116+1)-INDEX($T$5:$T$8,$AW116))))</f>
        <v>194028299.018034</v>
      </c>
      <c r="BD116" s="535" t="n">
        <f aca="false">IF(OR(DateStart&gt;=I117,DateEnd&lt;I116),0,IF(VolumeOverrideFlag,V116,Volume))</f>
        <v>0</v>
      </c>
      <c r="BE116" s="536" t="n">
        <f aca="false">IF(OR(DateStart2&gt;=I117,DateEnd2&lt;I116),0,IF(VolumeOverrideFlag,V116,VolumeSwaption))</f>
        <v>0</v>
      </c>
      <c r="BF116" s="537" t="n">
        <f aca="false">YEAR(I116)</f>
        <v>2008</v>
      </c>
      <c r="BG116" s="538" t="n">
        <f aca="false">MONTH(I116)</f>
        <v>9</v>
      </c>
      <c r="BH116" s="539" t="n">
        <f aca="false">AD116-DateToday+1</f>
        <v>-6249</v>
      </c>
      <c r="BI116" s="540" t="n">
        <f aca="false">(I116-DateToday+1)/365.25</f>
        <v>-17.0650239561944</v>
      </c>
      <c r="BJ116" s="541" t="n">
        <f aca="false">BI116+(BL116-BI116)*CHOOSE(Underlying,AJ116/AI116,AM116/AL116)</f>
        <v>-17.010889179267</v>
      </c>
      <c r="BK116" s="541" t="n">
        <f aca="false">BJ116+1/365.25</f>
        <v>-17.0081513284799</v>
      </c>
      <c r="BL116" s="541" t="n">
        <f aca="false">(I117-DateToday)/365.25</f>
        <v>-16.9856262833676</v>
      </c>
      <c r="BM116" s="542" t="e">
        <f aca="false">MAX(BI116-(BJ116-BI116)*(S117^2/O117^2-1),0)</f>
        <v>#DIV/0!</v>
      </c>
      <c r="BN116" s="541" t="e">
        <f aca="false">MAX(BL116+(BL116-BK116)*(S118^2/O118^2-1),0)</f>
        <v>#DIV/0!</v>
      </c>
      <c r="BO116" s="530" t="n">
        <f aca="false">CHOOSE(Underlying,AI116,AL116)</f>
        <v>22</v>
      </c>
      <c r="BP116" s="529" t="n">
        <f aca="false">CHOOSE(Underlying,AJ116,AM116)</f>
        <v>15</v>
      </c>
      <c r="BQ116" s="529" t="n">
        <f aca="false">CHOOSE(Underlying,AK116,AN116)</f>
        <v>7</v>
      </c>
      <c r="BR116" s="463" t="str">
        <f aca="false">IF(BD116,IF(Underlying=1,X116,Z116)+UnderlyingPriceAsian-SwapPriceCurve,"")</f>
        <v/>
      </c>
      <c r="BS116" s="463" t="str">
        <f aca="false">IF(BD116,Strike1/BR116-1,"")</f>
        <v/>
      </c>
      <c r="BT116" s="464" t="str">
        <f aca="false">IF(BD116,Strike2/BR116-1,"")</f>
        <v/>
      </c>
      <c r="BU116" s="465" t="str">
        <f aca="false">IF(BD116,IF(Underlying=1,L117,R117)+UnderlyingPriceAsian-SwapPriceCurve,"")</f>
        <v/>
      </c>
      <c r="BV116" s="465" t="str">
        <f aca="false">IF(BD116,IF(Underlying=1,L118,R118)+UnderlyingPriceAsian-SwapPriceCurve,"")</f>
        <v/>
      </c>
      <c r="BW116" s="466" t="str">
        <f aca="false">IF(BD116,IF(Underlying=1,O117,AT117),"")</f>
        <v/>
      </c>
      <c r="BX116" s="467" t="str">
        <f aca="false">IF(BD116,IF(Underlying=1,O118,AT118),"")</f>
        <v/>
      </c>
      <c r="BY116" s="466" t="str">
        <f aca="false">IF(BD116,IF(BS116&gt;0,IF(BS116&gt;0.2,BC116-BB116,IF(BS116&gt;0.1,BB116-BA116,BA116)),IF(BS116&lt;-0.2,AX116-AY116,IF(BS116&lt;-0.1,AY116-AZ116,AZ116))),"")</f>
        <v/>
      </c>
      <c r="BZ116" s="467" t="str">
        <f aca="false">IF(BD116,IF(BT116&gt;0,IF(BT116&gt;0.2,BC116-BB116,IF(BT116&gt;0.1,BB116-BA116,BA116)),IF(BT116&lt;-0.2,AX116-AY116,IF(BT116&lt;-0.1,AY116-AZ116,AZ116))),"")</f>
        <v/>
      </c>
      <c r="CA116" s="468" t="str">
        <f aca="false">IF($BD116,$BW116+IF(VolSkewFlag=1,IF(BS116&gt;0,$BA116*MIN(BS116/10%,1)+($BB116-$BA116)*MAX(0,MIN(BS116/10%-1,1))+($BC116-$BB116)*MAX(0,BS116/10%-2),$AZ116*MIN(-BS116/10%,1)+($AY116-$AZ116)*MAX(0,MIN(-BS116/10%-1,1))+($AX116-$AY116)*MAX(0,-BS116/10%-2)),0),"")</f>
        <v/>
      </c>
      <c r="CB116" s="468" t="str">
        <f aca="false">IF($BD116,$BX116+IF(VolSkewFlag=1,IF(BS116&gt;0,$BA116*MIN(BS116/10%,1)+($BB116-$BA116)*MAX(0,MIN(BS116/10%-1,1))+($BC116-$BB116)*MAX(0,BS116/10%-2),$AZ116*MIN(-BS116/10%,1)+($AY116-$AZ116)*MAX(0,MIN(-BS116/10%-1,1))+($AX116-$AY116)*MAX(0,-BS116/10%-2)),0),"")</f>
        <v/>
      </c>
      <c r="CC116" s="468" t="str">
        <f aca="false">IF($BD116,$BW116+IF(VolSkewFlag=1,IF(BT116&gt;0,$BA116*MIN(BT116/10%,1)+($BB116-$BA116)*MAX(0,MIN(BT116/10%-1,1))+($BC116-$BB116)*MAX(0,BT116/10%-2),$AZ116*MIN(-BT116/10%,1)+($AY116-$AZ116)*MAX(0,MIN(-BT116/10%-1,1))+($AX116-$AY116)*MAX(0,-BT116/10%-2)),0),"")</f>
        <v/>
      </c>
      <c r="CD116" s="468" t="str">
        <f aca="false">IF($BD116,$BX116+IF(VolSkewFlag=1,IF(BT116&gt;0,$BA116*MIN(BT116/10%,1)+($BB116-$BA116)*MAX(0,MIN(BT116/10%-1,1))+($BC116-$BB116)*MAX(0,BT116/10%-2),$AZ116*MIN(-BT116/10%,1)+($AY116-$AZ116)*MAX(0,MIN(-BT116/10%-1,1))+($AX116-$AY116)*MAX(0,-BT116/10%-2)),0),"")</f>
        <v/>
      </c>
      <c r="CE116" s="469" t="n">
        <v>1</v>
      </c>
      <c r="CF116" s="470" t="n">
        <f aca="false">IF(BD116,xCrudeAPO(BU116,BV116,CA116,CB116,S117,S118,BI116,BL116,BP116,BQ116,0,Strike1,AO116,CE116,0,BL116,IF(OptControl=4,0,1),0,1),0)</f>
        <v>0</v>
      </c>
      <c r="CG116" s="470" t="n">
        <f aca="false">IF(BD116,xCrudeAPO(BU116,BV116,CA116,CB116,S117,S118,BI116,BL116,BP116,BQ116,0,Strike1,AO116,CE116,0,BL116,IF(OptControl=4,0,1),1,1)+xCrudeAPO(BU116,BV116,CA116,CB116,S117,S118,BI116,BL116,BP116,BQ116,0,Strike1,AO116,CE116,0,BL116,IF(OptControl=4,0,1),1,2)+IF(OR(VolSkewFlag=2,ABS(BS116)&lt;0.0001),0,IF(BS116&gt;0,-1,1)*CH116*Strike1/BR116^2*BY116/10%),0)</f>
        <v>0</v>
      </c>
      <c r="CH116" s="470" t="n">
        <f aca="false">IF(BD116,(xCrudeAPO(BU116,BV116,CA116,CB116,S117,S118,BI116,BL116,BP116,BQ116,0,Strike1,AO116,CE116,0,BL116,IF(OptControl=4,0,1),3,1)+xCrudeAPO(BU116,BV116,CA116,CB116,S117,S118,BI116,BL116,BP116,BQ116,0,Strike1,AO116,CE116,0,BL116,IF(OptControl=4,0,1),3,2))/100,0)</f>
        <v>0</v>
      </c>
      <c r="CI116" s="470" t="n">
        <f aca="false">IF(BD116,xCrudeAPO(BU116,BV116,CA116,CB116,S117,S118,BI116-DaysForThetaCalculation/365.25,BL116-DaysForThetaCalculation/365.25,BP116,BQ116,0,Strike1,AO116,CE116,0,BL116,IF(OptControl=4,0,1),0,1)-xCrudeAPO(BU116,BV116,CA116,CB116,S117,S118,BI116,BL116,BP116,BQ116,0,Strike1,AO116,CE116,0,BL116,IF(OptControl=4,0,1),0,1),0)</f>
        <v>0</v>
      </c>
      <c r="CJ116" s="471" t="n">
        <f aca="false">IF(BD116,xCrudeAPO(BU116,BV116,CC116,CD116,S117,S118,BI116,BL116,BP116,BQ116,0,Strike2,AO116,CE116,0,BL116,IF(OptControl=3,1,0),0,1),0)</f>
        <v>0</v>
      </c>
      <c r="CK116" s="470" t="n">
        <f aca="false">IF(BD116,xCrudeAPO(BU116,BV116,CC116,CD116,S117,S118,BI116,BL116,BP116,BQ116,0,Strike2,AO116,CE116,0,BL116,IF(OptControl=3,1,0),1,1)+xCrudeAPO(BU116,BV116,CC116,CD116,S117,S118,BI116,BL116,BP116,BQ116,0,Strike2,AO116,CE116,0,BL116,IF(OptControl=3,1,0),1,2)+IF(OR(VolSkewFlag=2,ABS(BT116)&lt;0.0001),0,IF(BT116&gt;0,-1,1)*CL116*Strike2/BR116^2*BZ116/10%),0)</f>
        <v>0</v>
      </c>
      <c r="CL116" s="470" t="n">
        <f aca="false">IF(BD116,(xCrudeAPO(BU116,BV116,CC116,CD116,S117,S118,BI116,BL116,BP116,BQ116,0,Strike2,AO116,CE116,0,BL116,IF(OptControl=3,1,0),3,1)+xCrudeAPO(BU116,BV116,CC116,CD116,S117,S118,BI116,BL116,BP116,BQ116,0,Strike2,AO116,CE116,0,BL116,IF(OptControl=3,1,0),3,2))/100,0)</f>
        <v>0</v>
      </c>
      <c r="CM116" s="472" t="n">
        <f aca="false">IF(BD116,xCrudeAPO(BU116,BV116,CC116,CD116,S117,S118,BI116-DaysForThetaCalculation/365.25,BL116-DaysForThetaCalculation/365.25,BP116,BQ116,0,Strike2,AO116,CE116,0,BL116,IF(OptControl=3,1,0),0,1)-xCrudeAPO(BU116,BV116,CC116,CD116,S117,S118,BI116,BL116,BP116,BQ116,0,Strike2,AO116,CE116,0,BL116,IF(OptControl=3,1,0),0,1),0)</f>
        <v>0</v>
      </c>
      <c r="CN116" s="3"/>
      <c r="CO116" s="543" t="str">
        <f aca="false">IF(BD116,CHOOSE(Underlying,AD116,AF116)-DateToday+1,"")</f>
        <v/>
      </c>
      <c r="CP116" s="582" t="str">
        <f aca="false">IF(BD116,CHOOSE(Underlying,L116,R116),"")</f>
        <v/>
      </c>
      <c r="CQ116" s="544" t="str">
        <f aca="false">IF(BD116,Strike1/CP116-1,"")</f>
        <v/>
      </c>
      <c r="CR116" s="544" t="str">
        <f aca="false">IF(BD116,Strike2/CP116-1,"")</f>
        <v/>
      </c>
      <c r="CS116" s="544" t="str">
        <f aca="false">IF(BD116,IF(CQ116&gt;0,IF(CQ116&gt;0.2,BC115-BB115,IF(CQ116&gt;0.1,BB115-BA115,BA115)),IF(CQ116&lt;-0.2,AX115-AY115,IF(CQ116&lt;-0.1,AY115-AZ115,AZ115))),"")</f>
        <v/>
      </c>
      <c r="CT116" s="544" t="str">
        <f aca="false">IF(BD116,IF(CR116&gt;0,IF(CR116&gt;0.2,BC115-BB115,IF(CR116&gt;0.1,BB115-BA115,BA115)),IF(CR116&lt;-0.2,AX115-AY115,IF(CR116&lt;-0.1,AY115-AZ115,AZ115))),"")</f>
        <v/>
      </c>
      <c r="CU116" s="545" t="str">
        <f aca="false">IF(BD116,CHOOSE(Underlying,O116,AT116),"")</f>
        <v/>
      </c>
      <c r="CV116" s="545" t="str">
        <f aca="false">IF(BD116,CU116+IF(VolSkewFlag=1,IF(CQ116&gt;0,BA115*MIN(CQ116/10%,1)+(BB115-BA115)*MAX(0,MIN(CQ116/10%-1,1))+(BC115-BB115)*MAX(0,CQ116/10%-2),AZ115*MIN(-CQ116/10%,1)+(AY115-AZ115)*MAX(0,MIN(-CQ116/10%-1,1))+(AX115-AY115)*MAX(0,-CQ116/10%-2)),0),"")</f>
        <v/>
      </c>
      <c r="CW116" s="545" t="str">
        <f aca="false">IF(BD116,CU116+IF(VolSkewFlag=1,IF(CR116&gt;0,BA115*MIN(CR116/10%,1)+(BB115-BA115)*MAX(0,MIN(CR116/10%-1,1))+(BC115-BB115)*MAX(0,CR116/10%-2),AZ115*MIN(-CR116/10%,1)+(AY115-AZ115)*MAX(0,MIN(-CR116/10%-1,1))+(AX115-AY115)*MAX(0,-CR116/10%-2)),0),"")</f>
        <v/>
      </c>
      <c r="CX116" s="470" t="n">
        <f aca="false">IF(BD116,EURO(CP116,Strike1,AO116,AO116,CV116,CO116,IF(OptControl=4,0,1),0),0)</f>
        <v>0</v>
      </c>
      <c r="CY116" s="470" t="n">
        <f aca="false">IF(BD116,EURO(CP116,Strike1,AO116,AO116,CV116,CO116,IF(OptControl=4,0,1),1)+IF(OR(VolSkewFlag=2,ABS(CQ116)&lt;0.0001),0,IF(CQ116&gt;0,-1,1)*CZ116*100*Strike1/CP116^2*CS116/10%),0)</f>
        <v>0</v>
      </c>
      <c r="CZ116" s="470" t="n">
        <f aca="false">IF(BD116,EURO(CP116,Strike1,AO116,AO116,CV116,CO116,IF(OptControl=4,0,1),3)/100,0)</f>
        <v>0</v>
      </c>
      <c r="DA116" s="470" t="n">
        <f aca="false">IF(BD116,EURO(CP116,Strike1,AO116,AO116,CV116,CO116,IF(OptControl=4,0,1),0)-EURO(CP116,Strike1,AO116,AO116,CV116,CO116-1,IF(OptControl=4,0,1),0),0)</f>
        <v>0</v>
      </c>
      <c r="DB116" s="470" t="n">
        <f aca="false">IF(BD116,EURO(CP116,Strike2,AO116,AO116,CW116,CO116,IF(OptControl=3,1,0),0),0)</f>
        <v>0</v>
      </c>
      <c r="DC116" s="470" t="n">
        <f aca="false">IF(BD116,EURO(CP116,Strike2,AO116,AO116,CW116,CO116,IF(OptControl=3,1,0),1)+IF(OR(VolSkewFlag=2,ABS(CR116)&lt;0.0001),0,IF(CR116&gt;0,-1,1)*DD116*100*Strike2/CP116^2*CT116/10%),0)</f>
        <v>0</v>
      </c>
      <c r="DD116" s="470" t="n">
        <f aca="false">IF(BD116,EURO(CP116,Strike2,AO116,AO116,CW116,CO116,IF(OptControl=3,1,0),3)/100,0)</f>
        <v>0</v>
      </c>
      <c r="DE116" s="472" t="n">
        <f aca="false">IF(BD116,EURO(CP116,Strike2,AO116,AO116,CW116,CO116,IF(OptControl=3,1,0),0)-EURO(CP116,Strike2,AO116,AO116,CW116,CO116-1,IF(OptControl=3,1,0),0),0)</f>
        <v>0</v>
      </c>
      <c r="DG116" s="481" t="n">
        <f aca="false">EOMONTH(DG115,0)+1</f>
        <v>48611</v>
      </c>
      <c r="DH116" s="478" t="n">
        <v>18.96</v>
      </c>
      <c r="DI116" s="479" t="n">
        <v>19.0266666666667</v>
      </c>
      <c r="DJ116" s="480" t="n">
        <f aca="false">DG116</f>
        <v>48611</v>
      </c>
      <c r="DK116" s="478" t="n">
        <v>17.760026329851</v>
      </c>
      <c r="DL116" s="479" t="n">
        <v>17.8581666666667</v>
      </c>
      <c r="DM116" s="481" t="n">
        <f aca="false">DG116</f>
        <v>48611</v>
      </c>
      <c r="DN116" s="482" t="n">
        <f aca="false">DK116+BrentPhyBrentSpread</f>
        <v>17.810026329851</v>
      </c>
      <c r="DO116" s="481" t="n">
        <f aca="false">DG116</f>
        <v>48611</v>
      </c>
      <c r="DP116" s="483" t="n">
        <f aca="false">DL116+DQ116</f>
        <v>17.8581666666667</v>
      </c>
      <c r="DQ116" s="546" t="n">
        <v>0</v>
      </c>
      <c r="DR116" s="480" t="n">
        <f aca="false">DG116</f>
        <v>48611</v>
      </c>
      <c r="DS116" s="485" t="n">
        <v>0.167</v>
      </c>
      <c r="DT116" s="486" t="n">
        <v>0.1662</v>
      </c>
      <c r="DU116" s="480" t="n">
        <f aca="false">DG116</f>
        <v>48611</v>
      </c>
      <c r="DV116" s="485" t="n">
        <v>0.167</v>
      </c>
      <c r="DW116" s="486" t="n">
        <v>0.1662</v>
      </c>
      <c r="DX116" s="481" t="n">
        <f aca="false">DG116</f>
        <v>48611</v>
      </c>
      <c r="DY116" s="486" t="n">
        <v>0.35</v>
      </c>
      <c r="DZ116" s="481" t="n">
        <f aca="false">DR116</f>
        <v>48611</v>
      </c>
      <c r="EA116" s="486" t="n">
        <f aca="false">DT116</f>
        <v>0.1662</v>
      </c>
      <c r="EB116" s="195"/>
      <c r="EC116" s="547" t="str">
        <f aca="false">IF(BD116,IF(Underlying=1,AS116,AU116),"")</f>
        <v/>
      </c>
      <c r="ED116" s="548" t="str">
        <f aca="false">IF($BD116,$EC116+IF(VolSkewFlag=1,IF(BS116&gt;0,$BA116*MIN(BS116/10%,1)+($BB116-$BA116)*MAX(0,MIN(BS116/10%-1,1))+($BC116-$BB116)*MAX(0,BS116/10%-2),$AZ116*MIN(-BS116/10%,1)+($AY116-$AZ116)*MAX(0,MIN(-BS116/10%-1,1))+($AX116-$AY116)*MAX(0,-BS116/10%-2)),0),"")</f>
        <v/>
      </c>
      <c r="EE116" s="549" t="str">
        <f aca="false">IF($BD116,$EC116+IF(VolSkewFlag=1,IF(BT116&gt;0,$BA116*MIN(BT116/10%,1)+($BB116-$BA116)*MAX(0,MIN(BT116/10%-1,1))+($BC116-$BB116)*MAX(0,BT116/10%-2),$AZ116*MIN(-BT116/10%,1)+($AY116-$AZ116)*MAX(0,MIN(-BT116/10%-1,1))+($AX116-$AY116)*MAX(0,-BT116/10%-2)),0),"")</f>
        <v/>
      </c>
      <c r="EF116" s="550" t="n">
        <f aca="false">IF(BD116,xASN(BR116,Strike1,AO116,ED116,0,BO116,0,BI116,BL116,IF(OptControl=4,0,1),0),0)</f>
        <v>0</v>
      </c>
      <c r="EG116" s="551" t="n">
        <f aca="false">IF(BD116,xASN(BR116,Strike2,AO116,EE116,0,BO116,0,BI116,BL116,IF(OptControl=3,1,0),0),0)</f>
        <v>0</v>
      </c>
      <c r="EL116" s="1"/>
      <c r="EM116" s="195"/>
      <c r="EN116" s="240"/>
      <c r="EO116" s="240"/>
      <c r="EP116" s="195"/>
      <c r="EQ116" s="407" t="s">
        <v>343</v>
      </c>
      <c r="ES116" s="130"/>
      <c r="ET116" s="19"/>
      <c r="EU116" s="672"/>
      <c r="EV116" s="478"/>
      <c r="EW116" s="131"/>
      <c r="EX116" s="131"/>
      <c r="EY116" s="129"/>
      <c r="EZ116" s="129"/>
      <c r="FA116" s="129"/>
      <c r="FB116" s="129"/>
      <c r="FC116" s="129"/>
      <c r="FD116" s="129"/>
      <c r="FE116" s="129"/>
      <c r="FF116" s="129"/>
      <c r="FG116" s="129"/>
      <c r="FH116" s="129"/>
      <c r="FI116" s="129"/>
      <c r="FJ116" s="571" t="n">
        <v>22</v>
      </c>
      <c r="FK116" s="150" t="e">
        <f aca="false">IF($FJ41&lt;FK$94,"",SQRT(FK41/FK$15))</f>
        <v>#DIV/0!</v>
      </c>
      <c r="FL116" s="150" t="n">
        <f aca="false">IF($FJ41&lt;FL$94,"",SQRT(FL41/FL$15))</f>
        <v>-0</v>
      </c>
      <c r="FM116" s="150" t="n">
        <f aca="false">IF($FJ41&lt;FM$94,"",SQRT(FM41/FM$15))</f>
        <v>0.177385223291007</v>
      </c>
      <c r="FN116" s="150" t="n">
        <f aca="false">IF($FJ41&lt;FN$94,"",SQRT(FN41/FN$15))</f>
        <v>0.175150900807476</v>
      </c>
      <c r="FO116" s="150" t="n">
        <f aca="false">IF($FJ41&lt;FO$94,"",SQRT(FO41/FO$15))</f>
        <v>0.173942972558388</v>
      </c>
      <c r="FP116" s="150" t="n">
        <f aca="false">IF($FJ41&lt;FP$94,"",SQRT(FP41/FP$15))</f>
        <v>0.173593499851649</v>
      </c>
      <c r="FQ116" s="150" t="n">
        <f aca="false">IF($FJ41&lt;FQ$94,"",SQRT(FQ41/FQ$15))</f>
        <v>0.173993977774731</v>
      </c>
      <c r="FR116" s="150" t="n">
        <f aca="false">IF($FJ41&lt;FR$94,"",SQRT(FR41/FR$15))</f>
        <v>0.175084554206379</v>
      </c>
      <c r="FS116" s="150" t="n">
        <f aca="false">IF($FJ41&lt;FS$94,"",SQRT(FS41/FS$15))</f>
        <v>0.176847085677407</v>
      </c>
      <c r="FT116" s="150" t="n">
        <f aca="false">IF($FJ41&lt;FT$94,"",SQRT(FT41/FT$15))</f>
        <v>0.179301469219166</v>
      </c>
      <c r="FU116" s="150" t="n">
        <f aca="false">IF($FJ41&lt;FU$94,"",SQRT(FU41/FU$15))</f>
        <v>0.182504997479644</v>
      </c>
      <c r="FV116" s="150" t="n">
        <f aca="false">IF($FJ41&lt;FV$94,"",SQRT(FV41/FV$15))</f>
        <v>0.186554799133694</v>
      </c>
      <c r="FW116" s="150" t="n">
        <f aca="false">IF($FJ41&lt;FW$94,"",SQRT(FW41/FW$15))</f>
        <v>0.191593794751661</v>
      </c>
      <c r="FX116" s="150" t="n">
        <f aca="false">IF($FJ41&lt;FX$94,"",SQRT(FX41/FX$15))</f>
        <v>0.197821087308436</v>
      </c>
      <c r="FY116" s="150" t="n">
        <f aca="false">IF($FJ41&lt;FY$94,"",SQRT(FY41/FY$15))</f>
        <v>0.205508424342795</v>
      </c>
      <c r="FZ116" s="150" t="n">
        <f aca="false">IF($FJ41&lt;FZ$94,"",SQRT(FZ41/FZ$15))</f>
        <v>0.215025500540442</v>
      </c>
      <c r="GA116" s="150" t="n">
        <f aca="false">IF($FJ41&lt;GA$94,"",SQRT(GA41/GA$15))</f>
        <v>0.22687874915022</v>
      </c>
      <c r="GB116" s="150" t="n">
        <f aca="false">IF($FJ41&lt;GB$94,"",SQRT(GB41/GB$15))</f>
        <v>0.241771526188931</v>
      </c>
      <c r="GC116" s="150" t="n">
        <f aca="false">IF($FJ41&lt;GC$94,"",SQRT(GC41/GC$15))</f>
        <v>0.260699451908723</v>
      </c>
      <c r="GD116" s="150" t="n">
        <f aca="false">IF($FJ41&lt;GD$94,"",SQRT(GD41/GD$15))</f>
        <v>0.285105646766287</v>
      </c>
      <c r="GE116" s="150" t="n">
        <f aca="false">IF($FJ41&lt;GE$94,"",SQRT(GE41/GE$15))</f>
        <v>0.317142037637804</v>
      </c>
      <c r="GF116" s="150" t="n">
        <f aca="false">IF($FJ41&lt;GF$94,"",SQRT(GF41/GF$15))</f>
        <v>0.360126848477557</v>
      </c>
      <c r="GG116" s="150" t="str">
        <f aca="false">IF($FJ41&lt;GG$94,"",SQRT(GG41/GG$15))</f>
        <v/>
      </c>
      <c r="GH116" s="150" t="str">
        <f aca="false">IF($FJ41&lt;GH$94,"",SQRT(GH41/GH$15))</f>
        <v/>
      </c>
      <c r="GI116" s="150" t="str">
        <f aca="false">IF($FJ41&lt;GI$94,"",SQRT(GI41/GI$15))</f>
        <v/>
      </c>
      <c r="GJ116" s="150" t="str">
        <f aca="false">IF($FJ41&lt;GJ$94,"",SQRT(GJ41/GJ$15))</f>
        <v/>
      </c>
      <c r="GK116" s="150" t="str">
        <f aca="false">IF($FJ41&lt;GK$94,"",SQRT(GK41/GK$15))</f>
        <v/>
      </c>
      <c r="GL116" s="150" t="str">
        <f aca="false">IF($FJ41&lt;GL$94,"",SQRT(GL41/GL$15))</f>
        <v/>
      </c>
      <c r="GM116" s="150" t="str">
        <f aca="false">IF($FJ41&lt;GM$94,"",SQRT(GM41/GM$15))</f>
        <v/>
      </c>
      <c r="GN116" s="150" t="str">
        <f aca="false">IF($FJ41&lt;GN$94,"",SQRT(GN41/GN$15))</f>
        <v/>
      </c>
      <c r="GO116" s="150" t="str">
        <f aca="false">IF($FJ41&lt;GO$94,"",SQRT(GO41/GO$15))</f>
        <v/>
      </c>
      <c r="GP116" s="150" t="str">
        <f aca="false">IF($FJ41&lt;GP$94,"",SQRT(GP41/GP$15))</f>
        <v/>
      </c>
      <c r="GQ116" s="150" t="str">
        <f aca="false">IF($FJ41&lt;GQ$94,"",SQRT(GQ41/GQ$15))</f>
        <v/>
      </c>
      <c r="GR116" s="150" t="str">
        <f aca="false">IF($FJ41&lt;GR$94,"",SQRT(GR41/GR$15))</f>
        <v/>
      </c>
      <c r="GS116" s="150" t="str">
        <f aca="false">IF($FJ41&lt;GS$94,"",SQRT(GS41/GS$15))</f>
        <v/>
      </c>
      <c r="GT116" s="150" t="str">
        <f aca="false">IF($FJ41&lt;GT$94,"",SQRT(GT41/GT$15))</f>
        <v/>
      </c>
      <c r="GU116" s="150" t="str">
        <f aca="false">IF($FJ41&lt;GU$94,"",SQRT(GU41/GU$15))</f>
        <v/>
      </c>
      <c r="GV116" s="150" t="str">
        <f aca="false">IF($FJ41&lt;GV$94,"",SQRT(GV41/GV$15))</f>
        <v/>
      </c>
      <c r="GW116" s="150" t="str">
        <f aca="false">IF($FJ41&lt;GW$94,"",SQRT(GW41/GW$15))</f>
        <v/>
      </c>
      <c r="GX116" s="150" t="str">
        <f aca="false">IF($FJ41&lt;GX$94,"",SQRT(GX41/GX$15))</f>
        <v/>
      </c>
      <c r="GY116" s="150" t="str">
        <f aca="false">IF($FJ41&lt;GY$94,"",SQRT(GY41/GY$15))</f>
        <v/>
      </c>
      <c r="GZ116" s="150" t="str">
        <f aca="false">IF($FJ41&lt;GZ$94,"",SQRT(GZ41/GZ$15))</f>
        <v/>
      </c>
      <c r="HA116" s="150" t="str">
        <f aca="false">IF($FJ41&lt;HA$94,"",SQRT(HA41/HA$15))</f>
        <v/>
      </c>
      <c r="HB116" s="150" t="str">
        <f aca="false">IF($FJ41&lt;HB$94,"",SQRT(HB41/HB$15))</f>
        <v/>
      </c>
      <c r="HC116" s="150" t="str">
        <f aca="false">IF($FJ41&lt;HC$94,"",SQRT(HC41/HC$15))</f>
        <v/>
      </c>
      <c r="HD116" s="150" t="str">
        <f aca="false">IF($FJ41&lt;HD$94,"",SQRT(HD41/HD$15))</f>
        <v/>
      </c>
      <c r="HE116" s="150" t="str">
        <f aca="false">IF($FJ41&lt;HE$94,"",SQRT(HE41/HE$15))</f>
        <v/>
      </c>
      <c r="HF116" s="150" t="str">
        <f aca="false">IF($FJ41&lt;HF$94,"",SQRT(HF41/HF$15))</f>
        <v/>
      </c>
      <c r="HG116" s="150" t="str">
        <f aca="false">IF($FJ41&lt;HG$94,"",SQRT(HG41/HG$15))</f>
        <v/>
      </c>
      <c r="HH116" s="150" t="str">
        <f aca="false">IF($FJ41&lt;HH$94,"",SQRT(HH41/HH$15))</f>
        <v/>
      </c>
      <c r="HI116" s="150" t="str">
        <f aca="false">IF($FJ41&lt;HI$94,"",SQRT(HI41/HI$15))</f>
        <v/>
      </c>
      <c r="HJ116" s="150" t="str">
        <f aca="false">IF($FJ41&lt;HJ$94,"",SQRT(HJ41/HJ$15))</f>
        <v/>
      </c>
      <c r="HK116" s="150" t="str">
        <f aca="false">IF($FJ41&lt;HK$94,"",SQRT(HK41/HK$15))</f>
        <v/>
      </c>
      <c r="HL116" s="150" t="str">
        <f aca="false">IF($FJ41&lt;HL$94,"",SQRT(HL41/HL$15))</f>
        <v/>
      </c>
      <c r="HM116" s="150" t="str">
        <f aca="false">IF($FJ41&lt;HM$94,"",SQRT(HM41/HM$15))</f>
        <v/>
      </c>
      <c r="HN116" s="150" t="str">
        <f aca="false">IF($FJ41&lt;HN$94,"",SQRT(HN41/HN$15))</f>
        <v/>
      </c>
      <c r="HO116" s="150" t="str">
        <f aca="false">IF($FJ41&lt;HO$94,"",SQRT(HO41/HO$15))</f>
        <v/>
      </c>
      <c r="HP116" s="150" t="str">
        <f aca="false">IF($FJ41&lt;HP$94,"",SQRT(HP41/HP$15))</f>
        <v/>
      </c>
      <c r="HQ116" s="150" t="str">
        <f aca="false">IF($FJ41&lt;HQ$94,"",SQRT(HQ41/HQ$15))</f>
        <v/>
      </c>
      <c r="HR116" s="150" t="str">
        <f aca="false">IF($FJ41&lt;HR$94,"",SQRT(HR41/HR$15))</f>
        <v/>
      </c>
      <c r="HS116" s="150" t="str">
        <f aca="false">IF($FJ41&lt;HS$94,"",SQRT(HS41/HS$15))</f>
        <v/>
      </c>
      <c r="HT116" s="150" t="str">
        <f aca="false">IF($FJ41&lt;HT$94,"",SQRT(HT41/HT$15))</f>
        <v/>
      </c>
      <c r="HU116" s="150" t="str">
        <f aca="false">IF($FJ41&lt;HU$94,"",SQRT(HU41/HU$15))</f>
        <v/>
      </c>
      <c r="HV116" s="150" t="str">
        <f aca="false">IF($FJ41&lt;HV$94,"",SQRT(HV41/HV$15))</f>
        <v/>
      </c>
      <c r="HW116" s="150" t="str">
        <f aca="false">IF($FJ41&lt;HW$94,"",SQRT(HW41/HW$15))</f>
        <v/>
      </c>
      <c r="HX116" s="150" t="str">
        <f aca="false">IF($FJ41&lt;HX$94,"",SQRT(HX41/HX$15))</f>
        <v/>
      </c>
      <c r="HY116" s="150" t="str">
        <f aca="false">IF($FJ41&lt;HY$94,"",SQRT(HY41/HY$15))</f>
        <v/>
      </c>
      <c r="HZ116" s="150" t="str">
        <f aca="false">IF($FJ41&lt;HZ$94,"",SQRT(HZ41/HZ$15))</f>
        <v/>
      </c>
      <c r="IA116" s="150" t="str">
        <f aca="false">IF($FJ41&lt;IA$94,"",SQRT(IA41/IA$15))</f>
        <v/>
      </c>
      <c r="IB116" s="150" t="str">
        <f aca="false">IF($FJ41&lt;IB$94,"",SQRT(IB41/IB$15))</f>
        <v/>
      </c>
      <c r="IC116" s="150" t="str">
        <f aca="false">IF($FJ41&lt;IC$94,"",SQRT(IC41/IC$15))</f>
        <v/>
      </c>
      <c r="ID116" s="572" t="str">
        <f aca="false">IF($FJ41&lt;ID$94,"",SQRT(ID41/ID$15))</f>
        <v/>
      </c>
      <c r="IE116" s="129"/>
    </row>
    <row r="117" customFormat="false" ht="12.75" hidden="false" customHeight="false" outlineLevel="0" collapsed="false">
      <c r="H117" s="219" t="n">
        <f aca="false">VLOOKUP(I117,$EJ$20:$EL$54,3)</f>
        <v>0</v>
      </c>
      <c r="I117" s="511" t="n">
        <f aca="false">EOMONTH(I116,0)+1</f>
        <v>39722</v>
      </c>
      <c r="J117" s="512"/>
      <c r="K117" s="513" t="s">
        <v>280</v>
      </c>
      <c r="L117" s="514" t="n">
        <f aca="false">IF(ISNUMBER(K117),J117+K117/100,IF(K117="extra",L116+VLOOKUP(BF117,PriceSpreadTable,2)/12,IF(K117="inter",interpolateprices($K$19:$L$200,ROW(K117)-ROW(FirstPricingMonth)+1),interpolatechanges($J$19:$K$200,ROW(K117)-ROW(FirstPricingMonth)+1))))</f>
        <v>0.7875</v>
      </c>
      <c r="M117" s="515"/>
      <c r="N117" s="516" t="n">
        <v>0</v>
      </c>
      <c r="O117" s="515" t="n">
        <f aca="false">M117+N117</f>
        <v>0</v>
      </c>
      <c r="P117" s="512"/>
      <c r="Q117" s="513" t="s">
        <v>280</v>
      </c>
      <c r="R117" s="512" t="e">
        <f aca="false">IF(ISNUMBER(Q117),P117+Q117/100,IF(Q117="extra",(Z115*AL115-R116*AM115)/AN115,IF(Q117="inter",interpolateprices($Q$19:$R$260,ROW(Q117)-ROW(FirstPricingMonth)+1),interpolatechanges($P$19:$Q$260,ROW(Q117)-ROW(FirstPricingMonth)+1))))</f>
        <v>#VALUE!</v>
      </c>
      <c r="S117" s="597" t="n">
        <f aca="false">S$19+(S116-S$19)*S$18</f>
        <v>0.360000000000041</v>
      </c>
      <c r="T117" s="575" t="n">
        <f aca="false">SQRT((1-(1-T116^2/U116)*T$18)*U117)</f>
        <v>0.999999971738156</v>
      </c>
      <c r="U117" s="576" t="n">
        <f aca="false">1-(1-U116)*U$18</f>
        <v>0.999999999999989</v>
      </c>
      <c r="V117" s="521" t="n">
        <v>0</v>
      </c>
      <c r="W117" s="577" t="n">
        <f aca="false">(J118*AJ117+J119*AK117)/AI117</f>
        <v>0</v>
      </c>
      <c r="X117" s="578" t="n">
        <f aca="false">(L118*AJ117+L119*AK117)/AI117</f>
        <v>0.839673913043478</v>
      </c>
      <c r="Y117" s="579" t="n">
        <f aca="false">IF(Q119="extra",W117-AA117,(P118*AM117+P119*AN117)/AL117)</f>
        <v>-1.1834</v>
      </c>
      <c r="Z117" s="579" t="n">
        <f aca="false">IF(Q119="extra",X117-AB117,(R118*AM117+R119*AN117)/AL117)</f>
        <v>-0.343726086956522</v>
      </c>
      <c r="AA117" s="523" t="n">
        <f aca="false">IF(Q119="extra",INDEX(BrentSeasonalityTable,INT((BG117-1)/3)+1)*VLOOKUP(MAX(BF117,$AB$4),PriceSpreadTable,3),W117-Y117)</f>
        <v>1.1834</v>
      </c>
      <c r="AB117" s="524" t="n">
        <f aca="false">IF(Q119="extra",INDEX(BrentSeasonalityTable,INT((BG117-1)/3)+1)*VLOOKUP(MAX(BF117,$AB$4),PriceSpreadTable,3),X117-Z117)</f>
        <v>1.1834</v>
      </c>
      <c r="AC117" s="646" t="n">
        <v>39711</v>
      </c>
      <c r="AD117" s="646" t="n">
        <v>39707</v>
      </c>
      <c r="AE117" s="646" t="n">
        <v>39706</v>
      </c>
      <c r="AF117" s="646" t="n">
        <v>39702</v>
      </c>
      <c r="AG117" s="438" t="s">
        <v>278</v>
      </c>
      <c r="AH117" s="439" t="s">
        <v>278</v>
      </c>
      <c r="AI117" s="528" t="n">
        <v>23</v>
      </c>
      <c r="AJ117" s="529" t="n">
        <v>14</v>
      </c>
      <c r="AK117" s="529" t="n">
        <v>9</v>
      </c>
      <c r="AL117" s="530" t="n">
        <v>23</v>
      </c>
      <c r="AM117" s="529" t="n">
        <v>10</v>
      </c>
      <c r="AN117" s="531" t="n">
        <v>13</v>
      </c>
      <c r="AO117" s="532"/>
      <c r="AP117" s="465" t="n">
        <f aca="false">(1+AO117/2)^(-2*BL117)</f>
        <v>1</v>
      </c>
      <c r="AQ117" s="532"/>
      <c r="AR117" s="465" t="n">
        <f aca="false">(1+AQ117/2)^(-2*BH117/365.25)</f>
        <v>1</v>
      </c>
      <c r="AS117" s="580" t="n">
        <f aca="false">(O118*AJ117+O119*AK117)/AI117</f>
        <v>0</v>
      </c>
      <c r="AT117" s="468" t="n">
        <f aca="false">O117*VLOOKUP(BF117,BrentVolTable,2)+VLOOKUP(BF117,BrentVolTable,3)</f>
        <v>0</v>
      </c>
      <c r="AU117" s="468" t="n">
        <f aca="false">(AT118*AM117+AT119*AN117)/AL117</f>
        <v>0</v>
      </c>
      <c r="AV117" s="595" t="n">
        <f aca="false">SQRT(MAX(0.000000000001,(O117^2*BH117-S117^2*(BH117-BH116))/BH116))</f>
        <v>0.0253558448295234</v>
      </c>
      <c r="AW117" s="451" t="n">
        <f aca="false">IF($I117-DateToday+15&gt;=$T$8,"",IF($I117-DateToday+15&lt;$T$5,1,MATCH($I117-DateToday+15,$T$5:$T$8)))</f>
        <v>1</v>
      </c>
      <c r="AX117" s="468" t="n">
        <f aca="false">IF($AW117="",AX116^2/AX115,INDEX(U$5:U$8,$AW117)^((INDEX($T$5:$T$8,$AW117+1)-($I117-DateToday+15))/(INDEX($T$5:$T$8,$AW117+1)-INDEX($T$5:$T$8,$AW117)))/INDEX(U$5:U$8,$AW117+1)^((INDEX($T$5:$T$8,$AW117)-($I117-DateToday+15))/(INDEX($T$5:$T$8,$AW117+1)-INDEX($T$5:$T$8,$AW117))))</f>
        <v>1.57810375899668</v>
      </c>
      <c r="AY117" s="468" t="n">
        <f aca="false">IF($AW117="",AY116^2/AY115,INDEX(V$5:V$8,$AW117)^((INDEX($T$5:$T$8,$AW117+1)-($I117-DateToday+15))/(INDEX($T$5:$T$8,$AW117+1)-INDEX($T$5:$T$8,$AW117)))/INDEX(V$5:V$8,$AW117+1)^((INDEX($T$5:$T$8,$AW117)-($I117-DateToday+15))/(INDEX($T$5:$T$8,$AW117+1)-INDEX($T$5:$T$8,$AW117))))</f>
        <v>87.6683992799226</v>
      </c>
      <c r="AZ117" s="468" t="n">
        <f aca="false">IF($AW117="",AZ116^2/AZ115,INDEX(W$5:W$8,$AW117)^((INDEX($T$5:$T$8,$AW117+1)-($I117-DateToday+15))/(INDEX($T$5:$T$8,$AW117+1)-INDEX($T$5:$T$8,$AW117)))/INDEX(W$5:W$8,$AW117+1)^((INDEX($T$5:$T$8,$AW117)-($I117-DateToday+15))/(INDEX($T$5:$T$8,$AW117+1)-INDEX($T$5:$T$8,$AW117))))</f>
        <v>239841.78432844</v>
      </c>
      <c r="BA117" s="468" t="n">
        <f aca="false">IF($AW117="",BA116^2/BA115,INDEX(X$5:X$8,$AW117)^((INDEX($T$5:$T$8,$AW117+1)-($I117-DateToday+15))/(INDEX($T$5:$T$8,$AW117+1)-INDEX($T$5:$T$8,$AW117)))/INDEX(X$5:X$8,$AW117+1)^((INDEX($T$5:$T$8,$AW117)-($I117-DateToday+15))/(INDEX($T$5:$T$8,$AW117+1)-INDEX($T$5:$T$8,$AW117))))</f>
        <v>3942658.5563873</v>
      </c>
      <c r="BB117" s="468" t="n">
        <f aca="false">IF($AW117="",BB116^2/BB115,INDEX(Y$5:Y$8,$AW117)^((INDEX($T$5:$T$8,$AW117+1)-($I117-DateToday+15))/(INDEX($T$5:$T$8,$AW117+1)-INDEX($T$5:$T$8,$AW117)))/INDEX(Y$5:Y$8,$AW117+1)^((INDEX($T$5:$T$8,$AW117)-($I117-DateToday+15))/(INDEX($T$5:$T$8,$AW117+1)-INDEX($T$5:$T$8,$AW117))))</f>
        <v>41727805.2578561</v>
      </c>
      <c r="BC117" s="468" t="n">
        <f aca="false">IF($AW117="",BC116^2/BC115,INDEX(Z$5:Z$8,$AW117)^((INDEX($T$5:$T$8,$AW117+1)-($I117-DateToday+15))/(INDEX($T$5:$T$8,$AW117+1)-INDEX($T$5:$T$8,$AW117)))/INDEX(Z$5:Z$8,$AW117+1)^((INDEX($T$5:$T$8,$AW117)-($I117-DateToday+15))/(INDEX($T$5:$T$8,$AW117+1)-INDEX($T$5:$T$8,$AW117))))</f>
        <v>172508530.370464</v>
      </c>
      <c r="BD117" s="535" t="n">
        <f aca="false">IF(OR(DateStart&gt;=I118,DateEnd&lt;I117),0,IF(VolumeOverrideFlag,V117,Volume))</f>
        <v>0</v>
      </c>
      <c r="BE117" s="536" t="n">
        <f aca="false">IF(OR(DateStart2&gt;=I118,DateEnd2&lt;I117),0,IF(VolumeOverrideFlag,V117,VolumeSwaption))</f>
        <v>0</v>
      </c>
      <c r="BF117" s="537" t="n">
        <f aca="false">YEAR(I117)</f>
        <v>2008</v>
      </c>
      <c r="BG117" s="538" t="n">
        <f aca="false">MONTH(I117)</f>
        <v>10</v>
      </c>
      <c r="BH117" s="539" t="n">
        <f aca="false">AD117-DateToday+1</f>
        <v>-6218</v>
      </c>
      <c r="BI117" s="540" t="n">
        <f aca="false">(I117-DateToday+1)/365.25</f>
        <v>-16.9828884325804</v>
      </c>
      <c r="BJ117" s="541" t="n">
        <f aca="false">BI117+(BL117-BI117)*CHOOSE(Underlying,AJ117/AI117,AM117/AL117)</f>
        <v>-16.9328928964676</v>
      </c>
      <c r="BK117" s="541" t="n">
        <f aca="false">BJ117+1/365.25</f>
        <v>-16.9301550456804</v>
      </c>
      <c r="BL117" s="541" t="n">
        <f aca="false">(I118-DateToday)/365.25</f>
        <v>-16.9007529089665</v>
      </c>
      <c r="BM117" s="542" t="e">
        <f aca="false">MAX(BI117-(BJ117-BI117)*(S118^2/O118^2-1),0)</f>
        <v>#DIV/0!</v>
      </c>
      <c r="BN117" s="541" t="e">
        <f aca="false">MAX(BL117+(BL117-BK117)*(S119^2/O119^2-1),0)</f>
        <v>#DIV/0!</v>
      </c>
      <c r="BO117" s="530" t="n">
        <f aca="false">CHOOSE(Underlying,AI117,AL117)</f>
        <v>23</v>
      </c>
      <c r="BP117" s="529" t="n">
        <f aca="false">CHOOSE(Underlying,AJ117,AM117)</f>
        <v>14</v>
      </c>
      <c r="BQ117" s="529" t="n">
        <f aca="false">CHOOSE(Underlying,AK117,AN117)</f>
        <v>9</v>
      </c>
      <c r="BR117" s="463" t="str">
        <f aca="false">IF(BD117,IF(Underlying=1,X117,Z117)+UnderlyingPriceAsian-SwapPriceCurve,"")</f>
        <v/>
      </c>
      <c r="BS117" s="463" t="str">
        <f aca="false">IF(BD117,Strike1/BR117-1,"")</f>
        <v/>
      </c>
      <c r="BT117" s="464" t="str">
        <f aca="false">IF(BD117,Strike2/BR117-1,"")</f>
        <v/>
      </c>
      <c r="BU117" s="465" t="str">
        <f aca="false">IF(BD117,IF(Underlying=1,L118,R118)+UnderlyingPriceAsian-SwapPriceCurve,"")</f>
        <v/>
      </c>
      <c r="BV117" s="465" t="str">
        <f aca="false">IF(BD117,IF(Underlying=1,L119,R119)+UnderlyingPriceAsian-SwapPriceCurve,"")</f>
        <v/>
      </c>
      <c r="BW117" s="466" t="str">
        <f aca="false">IF(BD117,IF(Underlying=1,O118,AT118),"")</f>
        <v/>
      </c>
      <c r="BX117" s="467" t="str">
        <f aca="false">IF(BD117,IF(Underlying=1,O119,AT119),"")</f>
        <v/>
      </c>
      <c r="BY117" s="466" t="str">
        <f aca="false">IF(BD117,IF(BS117&gt;0,IF(BS117&gt;0.2,BC117-BB117,IF(BS117&gt;0.1,BB117-BA117,BA117)),IF(BS117&lt;-0.2,AX117-AY117,IF(BS117&lt;-0.1,AY117-AZ117,AZ117))),"")</f>
        <v/>
      </c>
      <c r="BZ117" s="467" t="str">
        <f aca="false">IF(BD117,IF(BT117&gt;0,IF(BT117&gt;0.2,BC117-BB117,IF(BT117&gt;0.1,BB117-BA117,BA117)),IF(BT117&lt;-0.2,AX117-AY117,IF(BT117&lt;-0.1,AY117-AZ117,AZ117))),"")</f>
        <v/>
      </c>
      <c r="CA117" s="468" t="str">
        <f aca="false">IF($BD117,$BW117+IF(VolSkewFlag=1,IF(BS117&gt;0,$BA117*MIN(BS117/10%,1)+($BB117-$BA117)*MAX(0,MIN(BS117/10%-1,1))+($BC117-$BB117)*MAX(0,BS117/10%-2),$AZ117*MIN(-BS117/10%,1)+($AY117-$AZ117)*MAX(0,MIN(-BS117/10%-1,1))+($AX117-$AY117)*MAX(0,-BS117/10%-2)),0),"")</f>
        <v/>
      </c>
      <c r="CB117" s="468" t="str">
        <f aca="false">IF($BD117,$BX117+IF(VolSkewFlag=1,IF(BS117&gt;0,$BA117*MIN(BS117/10%,1)+($BB117-$BA117)*MAX(0,MIN(BS117/10%-1,1))+($BC117-$BB117)*MAX(0,BS117/10%-2),$AZ117*MIN(-BS117/10%,1)+($AY117-$AZ117)*MAX(0,MIN(-BS117/10%-1,1))+($AX117-$AY117)*MAX(0,-BS117/10%-2)),0),"")</f>
        <v/>
      </c>
      <c r="CC117" s="468" t="str">
        <f aca="false">IF($BD117,$BW117+IF(VolSkewFlag=1,IF(BT117&gt;0,$BA117*MIN(BT117/10%,1)+($BB117-$BA117)*MAX(0,MIN(BT117/10%-1,1))+($BC117-$BB117)*MAX(0,BT117/10%-2),$AZ117*MIN(-BT117/10%,1)+($AY117-$AZ117)*MAX(0,MIN(-BT117/10%-1,1))+($AX117-$AY117)*MAX(0,-BT117/10%-2)),0),"")</f>
        <v/>
      </c>
      <c r="CD117" s="468" t="str">
        <f aca="false">IF($BD117,$BX117+IF(VolSkewFlag=1,IF(BT117&gt;0,$BA117*MIN(BT117/10%,1)+($BB117-$BA117)*MAX(0,MIN(BT117/10%-1,1))+($BC117-$BB117)*MAX(0,BT117/10%-2),$AZ117*MIN(-BT117/10%,1)+($AY117-$AZ117)*MAX(0,MIN(-BT117/10%-1,1))+($AX117-$AY117)*MAX(0,-BT117/10%-2)),0),"")</f>
        <v/>
      </c>
      <c r="CE117" s="469" t="n">
        <v>1</v>
      </c>
      <c r="CF117" s="470" t="n">
        <f aca="false">IF(BD117,xCrudeAPO(BU117,BV117,CA117,CB117,S118,S119,BI117,BL117,BP117,BQ117,0,Strike1,AO117,CE117,0,BL117,IF(OptControl=4,0,1),0,1),0)</f>
        <v>0</v>
      </c>
      <c r="CG117" s="470" t="n">
        <f aca="false">IF(BD117,xCrudeAPO(BU117,BV117,CA117,CB117,S118,S119,BI117,BL117,BP117,BQ117,0,Strike1,AO117,CE117,0,BL117,IF(OptControl=4,0,1),1,1)+xCrudeAPO(BU117,BV117,CA117,CB117,S118,S119,BI117,BL117,BP117,BQ117,0,Strike1,AO117,CE117,0,BL117,IF(OptControl=4,0,1),1,2)+IF(OR(VolSkewFlag=2,ABS(BS117)&lt;0.0001),0,IF(BS117&gt;0,-1,1)*CH117*Strike1/BR117^2*BY117/10%),0)</f>
        <v>0</v>
      </c>
      <c r="CH117" s="470" t="n">
        <f aca="false">IF(BD117,(xCrudeAPO(BU117,BV117,CA117,CB117,S118,S119,BI117,BL117,BP117,BQ117,0,Strike1,AO117,CE117,0,BL117,IF(OptControl=4,0,1),3,1)+xCrudeAPO(BU117,BV117,CA117,CB117,S118,S119,BI117,BL117,BP117,BQ117,0,Strike1,AO117,CE117,0,BL117,IF(OptControl=4,0,1),3,2))/100,0)</f>
        <v>0</v>
      </c>
      <c r="CI117" s="470" t="n">
        <f aca="false">IF(BD117,xCrudeAPO(BU117,BV117,CA117,CB117,S118,S119,BI117-DaysForThetaCalculation/365.25,BL117-DaysForThetaCalculation/365.25,BP117,BQ117,0,Strike1,AO117,CE117,0,BL117,IF(OptControl=4,0,1),0,1)-xCrudeAPO(BU117,BV117,CA117,CB117,S118,S119,BI117,BL117,BP117,BQ117,0,Strike1,AO117,CE117,0,BL117,IF(OptControl=4,0,1),0,1),0)</f>
        <v>0</v>
      </c>
      <c r="CJ117" s="471" t="n">
        <f aca="false">IF(BD117,xCrudeAPO(BU117,BV117,CC117,CD117,S118,S119,BI117,BL117,BP117,BQ117,0,Strike2,AO117,CE117,0,BL117,IF(OptControl=3,1,0),0,1),0)</f>
        <v>0</v>
      </c>
      <c r="CK117" s="470" t="n">
        <f aca="false">IF(BD117,xCrudeAPO(BU117,BV117,CC117,CD117,S118,S119,BI117,BL117,BP117,BQ117,0,Strike2,AO117,CE117,0,BL117,IF(OptControl=3,1,0),1,1)+xCrudeAPO(BU117,BV117,CC117,CD117,S118,S119,BI117,BL117,BP117,BQ117,0,Strike2,AO117,CE117,0,BL117,IF(OptControl=3,1,0),1,2)+IF(OR(VolSkewFlag=2,ABS(BT117)&lt;0.0001),0,IF(BT117&gt;0,-1,1)*CL117*Strike2/BR117^2*BZ117/10%),0)</f>
        <v>0</v>
      </c>
      <c r="CL117" s="470" t="n">
        <f aca="false">IF(BD117,(xCrudeAPO(BU117,BV117,CC117,CD117,S118,S119,BI117,BL117,BP117,BQ117,0,Strike2,AO117,CE117,0,BL117,IF(OptControl=3,1,0),3,1)+xCrudeAPO(BU117,BV117,CC117,CD117,S118,S119,BI117,BL117,BP117,BQ117,0,Strike2,AO117,CE117,0,BL117,IF(OptControl=3,1,0),3,2))/100,0)</f>
        <v>0</v>
      </c>
      <c r="CM117" s="472" t="n">
        <f aca="false">IF(BD117,xCrudeAPO(BU117,BV117,CC117,CD117,S118,S119,BI117-DaysForThetaCalculation/365.25,BL117-DaysForThetaCalculation/365.25,BP117,BQ117,0,Strike2,AO117,CE117,0,BL117,IF(OptControl=3,1,0),0,1)-xCrudeAPO(BU117,BV117,CC117,CD117,S118,S119,BI117,BL117,BP117,BQ117,0,Strike2,AO117,CE117,0,BL117,IF(OptControl=3,1,0),0,1),0)</f>
        <v>0</v>
      </c>
      <c r="CN117" s="3"/>
      <c r="CO117" s="543" t="str">
        <f aca="false">IF(BD117,CHOOSE(Underlying,AD117,AF117)-DateToday+1,"")</f>
        <v/>
      </c>
      <c r="CP117" s="582" t="str">
        <f aca="false">IF(BD117,CHOOSE(Underlying,L117,R117),"")</f>
        <v/>
      </c>
      <c r="CQ117" s="544" t="str">
        <f aca="false">IF(BD117,Strike1/CP117-1,"")</f>
        <v/>
      </c>
      <c r="CR117" s="544" t="str">
        <f aca="false">IF(BD117,Strike2/CP117-1,"")</f>
        <v/>
      </c>
      <c r="CS117" s="544" t="str">
        <f aca="false">IF(BD117,IF(CQ117&gt;0,IF(CQ117&gt;0.2,BC116-BB116,IF(CQ117&gt;0.1,BB116-BA116,BA116)),IF(CQ117&lt;-0.2,AX116-AY116,IF(CQ117&lt;-0.1,AY116-AZ116,AZ116))),"")</f>
        <v/>
      </c>
      <c r="CT117" s="544" t="str">
        <f aca="false">IF(BD117,IF(CR117&gt;0,IF(CR117&gt;0.2,BC116-BB116,IF(CR117&gt;0.1,BB116-BA116,BA116)),IF(CR117&lt;-0.2,AX116-AY116,IF(CR117&lt;-0.1,AY116-AZ116,AZ116))),"")</f>
        <v/>
      </c>
      <c r="CU117" s="545" t="str">
        <f aca="false">IF(BD117,CHOOSE(Underlying,O117,AT117),"")</f>
        <v/>
      </c>
      <c r="CV117" s="545" t="str">
        <f aca="false">IF(BD117,CU117+IF(VolSkewFlag=1,IF(CQ117&gt;0,BA116*MIN(CQ117/10%,1)+(BB116-BA116)*MAX(0,MIN(CQ117/10%-1,1))+(BC116-BB116)*MAX(0,CQ117/10%-2),AZ116*MIN(-CQ117/10%,1)+(AY116-AZ116)*MAX(0,MIN(-CQ117/10%-1,1))+(AX116-AY116)*MAX(0,-CQ117/10%-2)),0),"")</f>
        <v/>
      </c>
      <c r="CW117" s="545" t="str">
        <f aca="false">IF(BD117,CU117+IF(VolSkewFlag=1,IF(CR117&gt;0,BA116*MIN(CR117/10%,1)+(BB116-BA116)*MAX(0,MIN(CR117/10%-1,1))+(BC116-BB116)*MAX(0,CR117/10%-2),AZ116*MIN(-CR117/10%,1)+(AY116-AZ116)*MAX(0,MIN(-CR117/10%-1,1))+(AX116-AY116)*MAX(0,-CR117/10%-2)),0),"")</f>
        <v/>
      </c>
      <c r="CX117" s="470" t="n">
        <f aca="false">IF(BD117,EURO(CP117,Strike1,AO117,AO117,CV117,CO117,IF(OptControl=4,0,1),0),0)</f>
        <v>0</v>
      </c>
      <c r="CY117" s="470" t="n">
        <f aca="false">IF(BD117,EURO(CP117,Strike1,AO117,AO117,CV117,CO117,IF(OptControl=4,0,1),1)+IF(OR(VolSkewFlag=2,ABS(CQ117)&lt;0.0001),0,IF(CQ117&gt;0,-1,1)*CZ117*100*Strike1/CP117^2*CS117/10%),0)</f>
        <v>0</v>
      </c>
      <c r="CZ117" s="470" t="n">
        <f aca="false">IF(BD117,EURO(CP117,Strike1,AO117,AO117,CV117,CO117,IF(OptControl=4,0,1),3)/100,0)</f>
        <v>0</v>
      </c>
      <c r="DA117" s="470" t="n">
        <f aca="false">IF(BD117,EURO(CP117,Strike1,AO117,AO117,CV117,CO117,IF(OptControl=4,0,1),0)-EURO(CP117,Strike1,AO117,AO117,CV117,CO117-1,IF(OptControl=4,0,1),0),0)</f>
        <v>0</v>
      </c>
      <c r="DB117" s="470" t="n">
        <f aca="false">IF(BD117,EURO(CP117,Strike2,AO117,AO117,CW117,CO117,IF(OptControl=3,1,0),0),0)</f>
        <v>0</v>
      </c>
      <c r="DC117" s="470" t="n">
        <f aca="false">IF(BD117,EURO(CP117,Strike2,AO117,AO117,CW117,CO117,IF(OptControl=3,1,0),1)+IF(OR(VolSkewFlag=2,ABS(CR117)&lt;0.0001),0,IF(CR117&gt;0,-1,1)*DD117*100*Strike2/CP117^2*CT117/10%),0)</f>
        <v>0</v>
      </c>
      <c r="DD117" s="470" t="n">
        <f aca="false">IF(BD117,EURO(CP117,Strike2,AO117,AO117,CW117,CO117,IF(OptControl=3,1,0),3)/100,0)</f>
        <v>0</v>
      </c>
      <c r="DE117" s="472" t="n">
        <f aca="false">IF(BD117,EURO(CP117,Strike2,AO117,AO117,CW117,CO117,IF(OptControl=3,1,0),0)-EURO(CP117,Strike2,AO117,AO117,CW117,CO117-1,IF(OptControl=3,1,0),0),0)</f>
        <v>0</v>
      </c>
      <c r="DG117" s="481" t="n">
        <f aca="false">EOMONTH(DG116,0)+1</f>
        <v>48639</v>
      </c>
      <c r="DH117" s="478" t="n">
        <v>19.01</v>
      </c>
      <c r="DI117" s="479" t="n">
        <v>19.0766666666667</v>
      </c>
      <c r="DJ117" s="480" t="n">
        <f aca="false">DG117</f>
        <v>48639</v>
      </c>
      <c r="DK117" s="478" t="n">
        <v>17.8479048485647</v>
      </c>
      <c r="DL117" s="479" t="n">
        <v>17.9081666666667</v>
      </c>
      <c r="DM117" s="481" t="n">
        <f aca="false">DG117</f>
        <v>48639</v>
      </c>
      <c r="DN117" s="482" t="n">
        <f aca="false">DK117+BrentPhyBrentSpread</f>
        <v>17.8979048485647</v>
      </c>
      <c r="DO117" s="481" t="n">
        <f aca="false">DG117</f>
        <v>48639</v>
      </c>
      <c r="DP117" s="483" t="n">
        <f aca="false">DL117+DQ117</f>
        <v>17.9081666666667</v>
      </c>
      <c r="DQ117" s="546" t="n">
        <v>0</v>
      </c>
      <c r="DR117" s="480" t="n">
        <f aca="false">DG117</f>
        <v>48639</v>
      </c>
      <c r="DS117" s="485" t="n">
        <v>0.1664</v>
      </c>
      <c r="DT117" s="486" t="n">
        <v>0.1656</v>
      </c>
      <c r="DU117" s="480" t="n">
        <f aca="false">DG117</f>
        <v>48639</v>
      </c>
      <c r="DV117" s="485" t="n">
        <v>0.1664</v>
      </c>
      <c r="DW117" s="486" t="n">
        <v>0.1656</v>
      </c>
      <c r="DX117" s="481" t="n">
        <f aca="false">DG117</f>
        <v>48639</v>
      </c>
      <c r="DY117" s="486" t="n">
        <v>0.35</v>
      </c>
      <c r="DZ117" s="481" t="n">
        <f aca="false">DR117</f>
        <v>48639</v>
      </c>
      <c r="EA117" s="486" t="n">
        <f aca="false">DT117</f>
        <v>0.1656</v>
      </c>
      <c r="EB117" s="195"/>
      <c r="EC117" s="547" t="str">
        <f aca="false">IF(BD117,IF(Underlying=1,AS117,AU117),"")</f>
        <v/>
      </c>
      <c r="ED117" s="548" t="str">
        <f aca="false">IF($BD117,$EC117+IF(VolSkewFlag=1,IF(BS117&gt;0,$BA117*MIN(BS117/10%,1)+($BB117-$BA117)*MAX(0,MIN(BS117/10%-1,1))+($BC117-$BB117)*MAX(0,BS117/10%-2),$AZ117*MIN(-BS117/10%,1)+($AY117-$AZ117)*MAX(0,MIN(-BS117/10%-1,1))+($AX117-$AY117)*MAX(0,-BS117/10%-2)),0),"")</f>
        <v/>
      </c>
      <c r="EE117" s="549" t="str">
        <f aca="false">IF($BD117,$EC117+IF(VolSkewFlag=1,IF(BT117&gt;0,$BA117*MIN(BT117/10%,1)+($BB117-$BA117)*MAX(0,MIN(BT117/10%-1,1))+($BC117-$BB117)*MAX(0,BT117/10%-2),$AZ117*MIN(-BT117/10%,1)+($AY117-$AZ117)*MAX(0,MIN(-BT117/10%-1,1))+($AX117-$AY117)*MAX(0,-BT117/10%-2)),0),"")</f>
        <v/>
      </c>
      <c r="EF117" s="550" t="n">
        <f aca="false">IF(BD117,xASN(BR117,Strike1,AO117,ED117,0,BO117,0,BI117,BL117,IF(OptControl=4,0,1),0),0)</f>
        <v>0</v>
      </c>
      <c r="EG117" s="551" t="n">
        <f aca="false">IF(BD117,xASN(BR117,Strike2,AO117,EE117,0,BO117,0,BI117,BL117,IF(OptControl=3,1,0),0),0)</f>
        <v>0</v>
      </c>
      <c r="EL117" s="1"/>
      <c r="EM117" s="195"/>
      <c r="EN117" s="240"/>
      <c r="EO117" s="240"/>
      <c r="EP117" s="195"/>
      <c r="EQ117" s="407" t="s">
        <v>344</v>
      </c>
      <c r="ES117" s="130"/>
      <c r="ET117" s="19"/>
      <c r="EU117" s="672"/>
      <c r="EV117" s="478"/>
      <c r="EW117" s="131"/>
      <c r="EX117" s="131"/>
      <c r="EY117" s="129"/>
      <c r="EZ117" s="129"/>
      <c r="FA117" s="129"/>
      <c r="FB117" s="129"/>
      <c r="FC117" s="129"/>
      <c r="FD117" s="129"/>
      <c r="FE117" s="129"/>
      <c r="FF117" s="129"/>
      <c r="FG117" s="129"/>
      <c r="FH117" s="129"/>
      <c r="FI117" s="129"/>
      <c r="FJ117" s="571" t="n">
        <v>23</v>
      </c>
      <c r="FK117" s="150" t="e">
        <f aca="false">IF($FJ42&lt;FK$94,"",SQRT(FK42/FK$15))</f>
        <v>#DIV/0!</v>
      </c>
      <c r="FL117" s="150" t="n">
        <f aca="false">IF($FJ42&lt;FL$94,"",SQRT(FL42/FL$15))</f>
        <v>-0</v>
      </c>
      <c r="FM117" s="150" t="n">
        <f aca="false">IF($FJ42&lt;FM$94,"",SQRT(FM42/FM$15))</f>
        <v>0.176366609312212</v>
      </c>
      <c r="FN117" s="150" t="n">
        <f aca="false">IF($FJ42&lt;FN$94,"",SQRT(FN42/FN$15))</f>
        <v>0.17397396899695</v>
      </c>
      <c r="FO117" s="150" t="n">
        <f aca="false">IF($FJ42&lt;FO$94,"",SQRT(FO42/FO$15))</f>
        <v>0.172575152266189</v>
      </c>
      <c r="FP117" s="150" t="n">
        <f aca="false">IF($FJ42&lt;FP$94,"",SQRT(FP42/FP$15))</f>
        <v>0.171995849731242</v>
      </c>
      <c r="FQ117" s="150" t="n">
        <f aca="false">IF($FJ42&lt;FQ$94,"",SQRT(FQ42/FQ$15))</f>
        <v>0.172119592777437</v>
      </c>
      <c r="FR117" s="150" t="n">
        <f aca="false">IF($FJ42&lt;FR$94,"",SQRT(FR42/FR$15))</f>
        <v>0.17287650931614</v>
      </c>
      <c r="FS117" s="150" t="n">
        <f aca="false">IF($FJ42&lt;FS$94,"",SQRT(FS42/FS$15))</f>
        <v>0.174235748311555</v>
      </c>
      <c r="FT117" s="150" t="n">
        <f aca="false">IF($FJ42&lt;FT$94,"",SQRT(FT42/FT$15))</f>
        <v>0.176200940223934</v>
      </c>
      <c r="FU117" s="150" t="n">
        <f aca="false">IF($FJ42&lt;FU$94,"",SQRT(FU42/FU$15))</f>
        <v>0.17880833268004</v>
      </c>
      <c r="FV117" s="150" t="n">
        <f aca="false">IF($FJ42&lt;FV$94,"",SQRT(FV42/FV$15))</f>
        <v>0.18212749878531</v>
      </c>
      <c r="FW117" s="150" t="n">
        <f aca="false">IF($FJ42&lt;FW$94,"",SQRT(FW42/FW$15))</f>
        <v>0.186264792708671</v>
      </c>
      <c r="FX117" s="150" t="n">
        <f aca="false">IF($FJ42&lt;FX$94,"",SQRT(FX42/FX$15))</f>
        <v>0.191370067159354</v>
      </c>
      <c r="FY117" s="150" t="n">
        <f aca="false">IF($FJ42&lt;FY$94,"",SQRT(FY42/FY$15))</f>
        <v>0.197647635278184</v>
      </c>
      <c r="FZ117" s="150" t="n">
        <f aca="false">IF($FJ42&lt;FZ$94,"",SQRT(FZ42/FZ$15))</f>
        <v>0.205373161454172</v>
      </c>
      <c r="GA117" s="150" t="n">
        <f aca="false">IF($FJ42&lt;GA$94,"",SQRT(GA42/GA$15))</f>
        <v>0.214919285455699</v>
      </c>
      <c r="GB117" s="150" t="n">
        <f aca="false">IF($FJ42&lt;GB$94,"",SQRT(GB42/GB$15))</f>
        <v>0.226794654979065</v>
      </c>
      <c r="GC117" s="150" t="n">
        <f aca="false">IF($FJ42&lt;GC$94,"",SQRT(GC42/GC$15))</f>
        <v>0.241704290556419</v>
      </c>
      <c r="GD117" s="150" t="n">
        <f aca="false">IF($FJ42&lt;GD$94,"",SQRT(GD42/GD$15))</f>
        <v>0.260645062227108</v>
      </c>
      <c r="GE117" s="150" t="n">
        <f aca="false">IF($FJ42&lt;GE$94,"",SQRT(GE42/GE$15))</f>
        <v>0.285061026300752</v>
      </c>
      <c r="GF117" s="150" t="n">
        <f aca="false">IF($FJ42&lt;GF$94,"",SQRT(GF42/GF$15))</f>
        <v>0.317104806069681</v>
      </c>
      <c r="GG117" s="150" t="n">
        <f aca="false">IF($FJ42&lt;GG$94,"",SQRT(GG42/GG$15))</f>
        <v>0.360095136358168</v>
      </c>
      <c r="GH117" s="150" t="str">
        <f aca="false">IF($FJ42&lt;GH$94,"",SQRT(GH42/GH$15))</f>
        <v/>
      </c>
      <c r="GI117" s="150" t="str">
        <f aca="false">IF($FJ42&lt;GI$94,"",SQRT(GI42/GI$15))</f>
        <v/>
      </c>
      <c r="GJ117" s="150" t="str">
        <f aca="false">IF($FJ42&lt;GJ$94,"",SQRT(GJ42/GJ$15))</f>
        <v/>
      </c>
      <c r="GK117" s="150" t="str">
        <f aca="false">IF($FJ42&lt;GK$94,"",SQRT(GK42/GK$15))</f>
        <v/>
      </c>
      <c r="GL117" s="150" t="str">
        <f aca="false">IF($FJ42&lt;GL$94,"",SQRT(GL42/GL$15))</f>
        <v/>
      </c>
      <c r="GM117" s="150" t="str">
        <f aca="false">IF($FJ42&lt;GM$94,"",SQRT(GM42/GM$15))</f>
        <v/>
      </c>
      <c r="GN117" s="150" t="str">
        <f aca="false">IF($FJ42&lt;GN$94,"",SQRT(GN42/GN$15))</f>
        <v/>
      </c>
      <c r="GO117" s="150" t="str">
        <f aca="false">IF($FJ42&lt;GO$94,"",SQRT(GO42/GO$15))</f>
        <v/>
      </c>
      <c r="GP117" s="150" t="str">
        <f aca="false">IF($FJ42&lt;GP$94,"",SQRT(GP42/GP$15))</f>
        <v/>
      </c>
      <c r="GQ117" s="150" t="str">
        <f aca="false">IF($FJ42&lt;GQ$94,"",SQRT(GQ42/GQ$15))</f>
        <v/>
      </c>
      <c r="GR117" s="150" t="str">
        <f aca="false">IF($FJ42&lt;GR$94,"",SQRT(GR42/GR$15))</f>
        <v/>
      </c>
      <c r="GS117" s="150" t="str">
        <f aca="false">IF($FJ42&lt;GS$94,"",SQRT(GS42/GS$15))</f>
        <v/>
      </c>
      <c r="GT117" s="150" t="str">
        <f aca="false">IF($FJ42&lt;GT$94,"",SQRT(GT42/GT$15))</f>
        <v/>
      </c>
      <c r="GU117" s="150" t="str">
        <f aca="false">IF($FJ42&lt;GU$94,"",SQRT(GU42/GU$15))</f>
        <v/>
      </c>
      <c r="GV117" s="150" t="str">
        <f aca="false">IF($FJ42&lt;GV$94,"",SQRT(GV42/GV$15))</f>
        <v/>
      </c>
      <c r="GW117" s="150" t="str">
        <f aca="false">IF($FJ42&lt;GW$94,"",SQRT(GW42/GW$15))</f>
        <v/>
      </c>
      <c r="GX117" s="150" t="str">
        <f aca="false">IF($FJ42&lt;GX$94,"",SQRT(GX42/GX$15))</f>
        <v/>
      </c>
      <c r="GY117" s="150" t="str">
        <f aca="false">IF($FJ42&lt;GY$94,"",SQRT(GY42/GY$15))</f>
        <v/>
      </c>
      <c r="GZ117" s="150" t="str">
        <f aca="false">IF($FJ42&lt;GZ$94,"",SQRT(GZ42/GZ$15))</f>
        <v/>
      </c>
      <c r="HA117" s="150" t="str">
        <f aca="false">IF($FJ42&lt;HA$94,"",SQRT(HA42/HA$15))</f>
        <v/>
      </c>
      <c r="HB117" s="150" t="str">
        <f aca="false">IF($FJ42&lt;HB$94,"",SQRT(HB42/HB$15))</f>
        <v/>
      </c>
      <c r="HC117" s="150" t="str">
        <f aca="false">IF($FJ42&lt;HC$94,"",SQRT(HC42/HC$15))</f>
        <v/>
      </c>
      <c r="HD117" s="150" t="str">
        <f aca="false">IF($FJ42&lt;HD$94,"",SQRT(HD42/HD$15))</f>
        <v/>
      </c>
      <c r="HE117" s="150" t="str">
        <f aca="false">IF($FJ42&lt;HE$94,"",SQRT(HE42/HE$15))</f>
        <v/>
      </c>
      <c r="HF117" s="150" t="str">
        <f aca="false">IF($FJ42&lt;HF$94,"",SQRT(HF42/HF$15))</f>
        <v/>
      </c>
      <c r="HG117" s="150" t="str">
        <f aca="false">IF($FJ42&lt;HG$94,"",SQRT(HG42/HG$15))</f>
        <v/>
      </c>
      <c r="HH117" s="150" t="str">
        <f aca="false">IF($FJ42&lt;HH$94,"",SQRT(HH42/HH$15))</f>
        <v/>
      </c>
      <c r="HI117" s="150" t="str">
        <f aca="false">IF($FJ42&lt;HI$94,"",SQRT(HI42/HI$15))</f>
        <v/>
      </c>
      <c r="HJ117" s="150" t="str">
        <f aca="false">IF($FJ42&lt;HJ$94,"",SQRT(HJ42/HJ$15))</f>
        <v/>
      </c>
      <c r="HK117" s="150" t="str">
        <f aca="false">IF($FJ42&lt;HK$94,"",SQRT(HK42/HK$15))</f>
        <v/>
      </c>
      <c r="HL117" s="150" t="str">
        <f aca="false">IF($FJ42&lt;HL$94,"",SQRT(HL42/HL$15))</f>
        <v/>
      </c>
      <c r="HM117" s="150" t="str">
        <f aca="false">IF($FJ42&lt;HM$94,"",SQRT(HM42/HM$15))</f>
        <v/>
      </c>
      <c r="HN117" s="150" t="str">
        <f aca="false">IF($FJ42&lt;HN$94,"",SQRT(HN42/HN$15))</f>
        <v/>
      </c>
      <c r="HO117" s="150" t="str">
        <f aca="false">IF($FJ42&lt;HO$94,"",SQRT(HO42/HO$15))</f>
        <v/>
      </c>
      <c r="HP117" s="150" t="str">
        <f aca="false">IF($FJ42&lt;HP$94,"",SQRT(HP42/HP$15))</f>
        <v/>
      </c>
      <c r="HQ117" s="150" t="str">
        <f aca="false">IF($FJ42&lt;HQ$94,"",SQRT(HQ42/HQ$15))</f>
        <v/>
      </c>
      <c r="HR117" s="150" t="str">
        <f aca="false">IF($FJ42&lt;HR$94,"",SQRT(HR42/HR$15))</f>
        <v/>
      </c>
      <c r="HS117" s="150" t="str">
        <f aca="false">IF($FJ42&lt;HS$94,"",SQRT(HS42/HS$15))</f>
        <v/>
      </c>
      <c r="HT117" s="150" t="str">
        <f aca="false">IF($FJ42&lt;HT$94,"",SQRT(HT42/HT$15))</f>
        <v/>
      </c>
      <c r="HU117" s="150" t="str">
        <f aca="false">IF($FJ42&lt;HU$94,"",SQRT(HU42/HU$15))</f>
        <v/>
      </c>
      <c r="HV117" s="150" t="str">
        <f aca="false">IF($FJ42&lt;HV$94,"",SQRT(HV42/HV$15))</f>
        <v/>
      </c>
      <c r="HW117" s="150" t="str">
        <f aca="false">IF($FJ42&lt;HW$94,"",SQRT(HW42/HW$15))</f>
        <v/>
      </c>
      <c r="HX117" s="150" t="str">
        <f aca="false">IF($FJ42&lt;HX$94,"",SQRT(HX42/HX$15))</f>
        <v/>
      </c>
      <c r="HY117" s="150" t="str">
        <f aca="false">IF($FJ42&lt;HY$94,"",SQRT(HY42/HY$15))</f>
        <v/>
      </c>
      <c r="HZ117" s="150" t="str">
        <f aca="false">IF($FJ42&lt;HZ$94,"",SQRT(HZ42/HZ$15))</f>
        <v/>
      </c>
      <c r="IA117" s="150" t="str">
        <f aca="false">IF($FJ42&lt;IA$94,"",SQRT(IA42/IA$15))</f>
        <v/>
      </c>
      <c r="IB117" s="150" t="str">
        <f aca="false">IF($FJ42&lt;IB$94,"",SQRT(IB42/IB$15))</f>
        <v/>
      </c>
      <c r="IC117" s="150" t="str">
        <f aca="false">IF($FJ42&lt;IC$94,"",SQRT(IC42/IC$15))</f>
        <v/>
      </c>
      <c r="ID117" s="572" t="str">
        <f aca="false">IF($FJ42&lt;ID$94,"",SQRT(ID42/ID$15))</f>
        <v/>
      </c>
      <c r="IE117" s="129"/>
    </row>
    <row r="118" customFormat="false" ht="12.75" hidden="false" customHeight="false" outlineLevel="0" collapsed="false">
      <c r="H118" s="219" t="n">
        <f aca="false">VLOOKUP(I118,$EJ$20:$EL$54,3)</f>
        <v>0</v>
      </c>
      <c r="I118" s="511" t="n">
        <f aca="false">EOMONTH(I117,0)+1</f>
        <v>39753</v>
      </c>
      <c r="J118" s="512"/>
      <c r="K118" s="513" t="s">
        <v>280</v>
      </c>
      <c r="L118" s="514" t="n">
        <f aca="false">IF(ISNUMBER(K118),J118+K118/100,IF(K118="extra",L117+VLOOKUP(BF118,PriceSpreadTable,2)/12,IF(K118="inter",interpolateprices($K$19:$L$200,ROW(K118)-ROW(FirstPricingMonth)+1),interpolatechanges($J$19:$K$200,ROW(K118)-ROW(FirstPricingMonth)+1))))</f>
        <v>0.825</v>
      </c>
      <c r="M118" s="515"/>
      <c r="N118" s="516" t="n">
        <v>0</v>
      </c>
      <c r="O118" s="515" t="n">
        <f aca="false">M118+N118</f>
        <v>0</v>
      </c>
      <c r="P118" s="512"/>
      <c r="Q118" s="513" t="s">
        <v>280</v>
      </c>
      <c r="R118" s="512" t="e">
        <f aca="false">IF(ISNUMBER(Q118),P118+Q118/100,IF(Q118="extra",(Z116*AL116-R117*AM116)/AN116,IF(Q118="inter",interpolateprices($Q$19:$R$260,ROW(Q118)-ROW(FirstPricingMonth)+1),interpolatechanges($P$19:$Q$260,ROW(Q118)-ROW(FirstPricingMonth)+1))))</f>
        <v>#VALUE!</v>
      </c>
      <c r="S118" s="597" t="n">
        <f aca="false">S$19+(S117-S$19)*S$18</f>
        <v>0.36000000000003</v>
      </c>
      <c r="T118" s="575" t="n">
        <f aca="false">SQRT((1-(1-T117^2/U117)*T$18)*U118)</f>
        <v>0.999999975836124</v>
      </c>
      <c r="U118" s="576" t="n">
        <f aca="false">1-(1-U117)*U$18</f>
        <v>0.999999999999992</v>
      </c>
      <c r="V118" s="521" t="n">
        <v>0</v>
      </c>
      <c r="W118" s="577" t="n">
        <f aca="false">(J119*AJ118+J120*AK118)/AI118</f>
        <v>0</v>
      </c>
      <c r="X118" s="578" t="n">
        <f aca="false">(L119*AJ118+L120*AK118)/AI118</f>
        <v>0.87375</v>
      </c>
      <c r="Y118" s="579" t="n">
        <f aca="false">IF(Q120="extra",W118-AA118,(P119*AM118+P120*AN118)/AL118)</f>
        <v>-1.1834</v>
      </c>
      <c r="Z118" s="579" t="n">
        <f aca="false">IF(Q120="extra",X118-AB118,(R119*AM118+R120*AN118)/AL118)</f>
        <v>-0.30965</v>
      </c>
      <c r="AA118" s="523" t="n">
        <f aca="false">IF(Q120="extra",INDEX(BrentSeasonalityTable,INT((BG118-1)/3)+1)*VLOOKUP(MAX(BF118,$AB$4),PriceSpreadTable,3),W118-Y118)</f>
        <v>1.1834</v>
      </c>
      <c r="AB118" s="524" t="n">
        <f aca="false">IF(Q120="extra",INDEX(BrentSeasonalityTable,INT((BG118-1)/3)+1)*VLOOKUP(MAX(BF118,$AB$4),PriceSpreadTable,3),X118-Z118)</f>
        <v>1.1834</v>
      </c>
      <c r="AC118" s="646" t="n">
        <v>39741</v>
      </c>
      <c r="AD118" s="646" t="n">
        <v>39737</v>
      </c>
      <c r="AE118" s="646" t="n">
        <v>39736</v>
      </c>
      <c r="AF118" s="646" t="n">
        <v>39732</v>
      </c>
      <c r="AG118" s="438" t="s">
        <v>278</v>
      </c>
      <c r="AH118" s="439" t="s">
        <v>278</v>
      </c>
      <c r="AI118" s="528" t="n">
        <v>20</v>
      </c>
      <c r="AJ118" s="529" t="n">
        <v>14</v>
      </c>
      <c r="AK118" s="529" t="n">
        <v>6</v>
      </c>
      <c r="AL118" s="530" t="n">
        <v>20</v>
      </c>
      <c r="AM118" s="529" t="n">
        <v>10</v>
      </c>
      <c r="AN118" s="531" t="n">
        <v>10</v>
      </c>
      <c r="AO118" s="532"/>
      <c r="AP118" s="465" t="n">
        <f aca="false">(1+AO118/2)^(-2*BL118)</f>
        <v>1</v>
      </c>
      <c r="AQ118" s="532"/>
      <c r="AR118" s="465" t="n">
        <f aca="false">(1+AQ118/2)^(-2*BH118/365.25)</f>
        <v>1</v>
      </c>
      <c r="AS118" s="580" t="n">
        <f aca="false">(O119*AJ118+O120*AK118)/AI118</f>
        <v>0</v>
      </c>
      <c r="AT118" s="468" t="n">
        <f aca="false">O118*VLOOKUP(BF118,BrentVolTable,2)+VLOOKUP(BF118,BrentVolTable,3)</f>
        <v>0</v>
      </c>
      <c r="AU118" s="468" t="n">
        <f aca="false">(AT119*AM118+AT120*AN118)/AL118</f>
        <v>0</v>
      </c>
      <c r="AV118" s="595" t="n">
        <f aca="false">SQRT(MAX(0.000000000001,(O118^2*BH118-S118^2*(BH118-BH117))/BH117))</f>
        <v>0.0250056281860287</v>
      </c>
      <c r="AW118" s="451" t="n">
        <f aca="false">IF($I118-DateToday+15&gt;=$T$8,"",IF($I118-DateToday+15&lt;$T$5,1,MATCH($I118-DateToday+15,$T$5:$T$8)))</f>
        <v>1</v>
      </c>
      <c r="AX118" s="468" t="n">
        <f aca="false">IF($AW118="",AX117^2/AX116,INDEX(U$5:U$8,$AW118)^((INDEX($T$5:$T$8,$AW118+1)-($I118-DateToday+15))/(INDEX($T$5:$T$8,$AW118+1)-INDEX($T$5:$T$8,$AW118)))/INDEX(U$5:U$8,$AW118+1)^((INDEX($T$5:$T$8,$AW118)-($I118-DateToday+15))/(INDEX($T$5:$T$8,$AW118+1)-INDEX($T$5:$T$8,$AW118))))</f>
        <v>1.54411274016128</v>
      </c>
      <c r="AY118" s="468" t="n">
        <f aca="false">IF($AW118="",AY117^2/AY116,INDEX(V$5:V$8,$AW118)^((INDEX($T$5:$T$8,$AW118+1)-($I118-DateToday+15))/(INDEX($T$5:$T$8,$AW118+1)-INDEX($T$5:$T$8,$AW118)))/INDEX(V$5:V$8,$AW118+1)^((INDEX($T$5:$T$8,$AW118)-($I118-DateToday+15))/(INDEX($T$5:$T$8,$AW118+1)-INDEX($T$5:$T$8,$AW118))))</f>
        <v>83.9859372868327</v>
      </c>
      <c r="AZ118" s="468" t="n">
        <f aca="false">IF($AW118="",AZ117^2/AZ116,INDEX(W$5:W$8,$AW118)^((INDEX($T$5:$T$8,$AW118+1)-($I118-DateToday+15))/(INDEX($T$5:$T$8,$AW118+1)-INDEX($T$5:$T$8,$AW118)))/INDEX(W$5:W$8,$AW118+1)^((INDEX($T$5:$T$8,$AW118)-($I118-DateToday+15))/(INDEX($T$5:$T$8,$AW118+1)-INDEX($T$5:$T$8,$AW118))))</f>
        <v>220562.996312585</v>
      </c>
      <c r="BA118" s="468" t="n">
        <f aca="false">IF($AW118="",BA117^2/BA116,INDEX(X$5:X$8,$AW118)^((INDEX($T$5:$T$8,$AW118+1)-($I118-DateToday+15))/(INDEX($T$5:$T$8,$AW118+1)-INDEX($T$5:$T$8,$AW118)))/INDEX(X$5:X$8,$AW118+1)^((INDEX($T$5:$T$8,$AW118)-($I118-DateToday+15))/(INDEX($T$5:$T$8,$AW118+1)-INDEX($T$5:$T$8,$AW118))))</f>
        <v>3547647.21473339</v>
      </c>
      <c r="BB118" s="468" t="n">
        <f aca="false">IF($AW118="",BB117^2/BB116,INDEX(Y$5:Y$8,$AW118)^((INDEX($T$5:$T$8,$AW118+1)-($I118-DateToday+15))/(INDEX($T$5:$T$8,$AW118+1)-INDEX($T$5:$T$8,$AW118)))/INDEX(Y$5:Y$8,$AW118+1)^((INDEX($T$5:$T$8,$AW118)-($I118-DateToday+15))/(INDEX($T$5:$T$8,$AW118+1)-INDEX($T$5:$T$8,$AW118))))</f>
        <v>37170438.0709458</v>
      </c>
      <c r="BC118" s="468" t="n">
        <f aca="false">IF($AW118="",BC117^2/BC116,INDEX(Z$5:Z$8,$AW118)^((INDEX($T$5:$T$8,$AW118+1)-($I118-DateToday+15))/(INDEX($T$5:$T$8,$AW118+1)-INDEX($T$5:$T$8,$AW118)))/INDEX(Z$5:Z$8,$AW118+1)^((INDEX($T$5:$T$8,$AW118)-($I118-DateToday+15))/(INDEX($T$5:$T$8,$AW118+1)-INDEX($T$5:$T$8,$AW118))))</f>
        <v>152775691.330484</v>
      </c>
      <c r="BD118" s="535" t="n">
        <f aca="false">IF(OR(DateStart&gt;=I119,DateEnd&lt;I118),0,IF(VolumeOverrideFlag,V118,Volume))</f>
        <v>0</v>
      </c>
      <c r="BE118" s="536" t="n">
        <f aca="false">IF(OR(DateStart2&gt;=I119,DateEnd2&lt;I118),0,IF(VolumeOverrideFlag,V118,VolumeSwaption))</f>
        <v>0</v>
      </c>
      <c r="BF118" s="537" t="n">
        <f aca="false">YEAR(I118)</f>
        <v>2008</v>
      </c>
      <c r="BG118" s="538" t="n">
        <f aca="false">MONTH(I118)</f>
        <v>11</v>
      </c>
      <c r="BH118" s="539" t="n">
        <f aca="false">AD118-DateToday+1</f>
        <v>-6188</v>
      </c>
      <c r="BI118" s="540" t="n">
        <f aca="false">(I118-DateToday+1)/365.25</f>
        <v>-16.8980150581793</v>
      </c>
      <c r="BJ118" s="541" t="n">
        <f aca="false">BI118+(BL118-BI118)*CHOOSE(Underlying,AJ118/AI118,AM118/AL118)</f>
        <v>-16.8424366872006</v>
      </c>
      <c r="BK118" s="541" t="n">
        <f aca="false">BJ118+1/365.25</f>
        <v>-16.8396988364134</v>
      </c>
      <c r="BL118" s="541" t="n">
        <f aca="false">(I119-DateToday)/365.25</f>
        <v>-16.8186173853525</v>
      </c>
      <c r="BM118" s="542" t="e">
        <f aca="false">MAX(BI118-(BJ118-BI118)*(S119^2/O119^2-1),0)</f>
        <v>#DIV/0!</v>
      </c>
      <c r="BN118" s="541" t="e">
        <f aca="false">MAX(BL118+(BL118-BK118)*(S120^2/O120^2-1),0)</f>
        <v>#DIV/0!</v>
      </c>
      <c r="BO118" s="530" t="n">
        <f aca="false">CHOOSE(Underlying,AI118,AL118)</f>
        <v>20</v>
      </c>
      <c r="BP118" s="529" t="n">
        <f aca="false">CHOOSE(Underlying,AJ118,AM118)</f>
        <v>14</v>
      </c>
      <c r="BQ118" s="529" t="n">
        <f aca="false">CHOOSE(Underlying,AK118,AN118)</f>
        <v>6</v>
      </c>
      <c r="BR118" s="463" t="str">
        <f aca="false">IF(BD118,IF(Underlying=1,X118,Z118)+UnderlyingPriceAsian-SwapPriceCurve,"")</f>
        <v/>
      </c>
      <c r="BS118" s="463" t="str">
        <f aca="false">IF(BD118,Strike1/BR118-1,"")</f>
        <v/>
      </c>
      <c r="BT118" s="464" t="str">
        <f aca="false">IF(BD118,Strike2/BR118-1,"")</f>
        <v/>
      </c>
      <c r="BU118" s="465" t="str">
        <f aca="false">IF(BD118,IF(Underlying=1,L119,R119)+UnderlyingPriceAsian-SwapPriceCurve,"")</f>
        <v/>
      </c>
      <c r="BV118" s="465" t="str">
        <f aca="false">IF(BD118,IF(Underlying=1,L120,R120)+UnderlyingPriceAsian-SwapPriceCurve,"")</f>
        <v/>
      </c>
      <c r="BW118" s="466" t="str">
        <f aca="false">IF(BD118,IF(Underlying=1,O119,AT119),"")</f>
        <v/>
      </c>
      <c r="BX118" s="467" t="str">
        <f aca="false">IF(BD118,IF(Underlying=1,O120,AT120),"")</f>
        <v/>
      </c>
      <c r="BY118" s="466" t="str">
        <f aca="false">IF(BD118,IF(BS118&gt;0,IF(BS118&gt;0.2,BC118-BB118,IF(BS118&gt;0.1,BB118-BA118,BA118)),IF(BS118&lt;-0.2,AX118-AY118,IF(BS118&lt;-0.1,AY118-AZ118,AZ118))),"")</f>
        <v/>
      </c>
      <c r="BZ118" s="467" t="str">
        <f aca="false">IF(BD118,IF(BT118&gt;0,IF(BT118&gt;0.2,BC118-BB118,IF(BT118&gt;0.1,BB118-BA118,BA118)),IF(BT118&lt;-0.2,AX118-AY118,IF(BT118&lt;-0.1,AY118-AZ118,AZ118))),"")</f>
        <v/>
      </c>
      <c r="CA118" s="468" t="str">
        <f aca="false">IF($BD118,$BW118+IF(VolSkewFlag=1,IF(BS118&gt;0,$BA118*MIN(BS118/10%,1)+($BB118-$BA118)*MAX(0,MIN(BS118/10%-1,1))+($BC118-$BB118)*MAX(0,BS118/10%-2),$AZ118*MIN(-BS118/10%,1)+($AY118-$AZ118)*MAX(0,MIN(-BS118/10%-1,1))+($AX118-$AY118)*MAX(0,-BS118/10%-2)),0),"")</f>
        <v/>
      </c>
      <c r="CB118" s="468" t="str">
        <f aca="false">IF($BD118,$BX118+IF(VolSkewFlag=1,IF(BS118&gt;0,$BA118*MIN(BS118/10%,1)+($BB118-$BA118)*MAX(0,MIN(BS118/10%-1,1))+($BC118-$BB118)*MAX(0,BS118/10%-2),$AZ118*MIN(-BS118/10%,1)+($AY118-$AZ118)*MAX(0,MIN(-BS118/10%-1,1))+($AX118-$AY118)*MAX(0,-BS118/10%-2)),0),"")</f>
        <v/>
      </c>
      <c r="CC118" s="468" t="str">
        <f aca="false">IF($BD118,$BW118+IF(VolSkewFlag=1,IF(BT118&gt;0,$BA118*MIN(BT118/10%,1)+($BB118-$BA118)*MAX(0,MIN(BT118/10%-1,1))+($BC118-$BB118)*MAX(0,BT118/10%-2),$AZ118*MIN(-BT118/10%,1)+($AY118-$AZ118)*MAX(0,MIN(-BT118/10%-1,1))+($AX118-$AY118)*MAX(0,-BT118/10%-2)),0),"")</f>
        <v/>
      </c>
      <c r="CD118" s="468" t="str">
        <f aca="false">IF($BD118,$BX118+IF(VolSkewFlag=1,IF(BT118&gt;0,$BA118*MIN(BT118/10%,1)+($BB118-$BA118)*MAX(0,MIN(BT118/10%-1,1))+($BC118-$BB118)*MAX(0,BT118/10%-2),$AZ118*MIN(-BT118/10%,1)+($AY118-$AZ118)*MAX(0,MIN(-BT118/10%-1,1))+($AX118-$AY118)*MAX(0,-BT118/10%-2)),0),"")</f>
        <v/>
      </c>
      <c r="CE118" s="469" t="n">
        <v>1</v>
      </c>
      <c r="CF118" s="470" t="n">
        <f aca="false">IF(BD118,xCrudeAPO(BU118,BV118,CA118,CB118,S119,S120,BI118,BL118,BP118,BQ118,0,Strike1,AO118,CE118,0,BL118,IF(OptControl=4,0,1),0,1),0)</f>
        <v>0</v>
      </c>
      <c r="CG118" s="470" t="n">
        <f aca="false">IF(BD118,xCrudeAPO(BU118,BV118,CA118,CB118,S119,S120,BI118,BL118,BP118,BQ118,0,Strike1,AO118,CE118,0,BL118,IF(OptControl=4,0,1),1,1)+xCrudeAPO(BU118,BV118,CA118,CB118,S119,S120,BI118,BL118,BP118,BQ118,0,Strike1,AO118,CE118,0,BL118,IF(OptControl=4,0,1),1,2)+IF(OR(VolSkewFlag=2,ABS(BS118)&lt;0.0001),0,IF(BS118&gt;0,-1,1)*CH118*Strike1/BR118^2*BY118/10%),0)</f>
        <v>0</v>
      </c>
      <c r="CH118" s="470" t="n">
        <f aca="false">IF(BD118,(xCrudeAPO(BU118,BV118,CA118,CB118,S119,S120,BI118,BL118,BP118,BQ118,0,Strike1,AO118,CE118,0,BL118,IF(OptControl=4,0,1),3,1)+xCrudeAPO(BU118,BV118,CA118,CB118,S119,S120,BI118,BL118,BP118,BQ118,0,Strike1,AO118,CE118,0,BL118,IF(OptControl=4,0,1),3,2))/100,0)</f>
        <v>0</v>
      </c>
      <c r="CI118" s="470" t="n">
        <f aca="false">IF(BD118,xCrudeAPO(BU118,BV118,CA118,CB118,S119,S120,BI118-DaysForThetaCalculation/365.25,BL118-DaysForThetaCalculation/365.25,BP118,BQ118,0,Strike1,AO118,CE118,0,BL118,IF(OptControl=4,0,1),0,1)-xCrudeAPO(BU118,BV118,CA118,CB118,S119,S120,BI118,BL118,BP118,BQ118,0,Strike1,AO118,CE118,0,BL118,IF(OptControl=4,0,1),0,1),0)</f>
        <v>0</v>
      </c>
      <c r="CJ118" s="471" t="n">
        <f aca="false">IF(BD118,xCrudeAPO(BU118,BV118,CC118,CD118,S119,S120,BI118,BL118,BP118,BQ118,0,Strike2,AO118,CE118,0,BL118,IF(OptControl=3,1,0),0,1),0)</f>
        <v>0</v>
      </c>
      <c r="CK118" s="470" t="n">
        <f aca="false">IF(BD118,xCrudeAPO(BU118,BV118,CC118,CD118,S119,S120,BI118,BL118,BP118,BQ118,0,Strike2,AO118,CE118,0,BL118,IF(OptControl=3,1,0),1,1)+xCrudeAPO(BU118,BV118,CC118,CD118,S119,S120,BI118,BL118,BP118,BQ118,0,Strike2,AO118,CE118,0,BL118,IF(OptControl=3,1,0),1,2)+IF(OR(VolSkewFlag=2,ABS(BT118)&lt;0.0001),0,IF(BT118&gt;0,-1,1)*CL118*Strike2/BR118^2*BZ118/10%),0)</f>
        <v>0</v>
      </c>
      <c r="CL118" s="470" t="n">
        <f aca="false">IF(BD118,(xCrudeAPO(BU118,BV118,CC118,CD118,S119,S120,BI118,BL118,BP118,BQ118,0,Strike2,AO118,CE118,0,BL118,IF(OptControl=3,1,0),3,1)+xCrudeAPO(BU118,BV118,CC118,CD118,S119,S120,BI118,BL118,BP118,BQ118,0,Strike2,AO118,CE118,0,BL118,IF(OptControl=3,1,0),3,2))/100,0)</f>
        <v>0</v>
      </c>
      <c r="CM118" s="472" t="n">
        <f aca="false">IF(BD118,xCrudeAPO(BU118,BV118,CC118,CD118,S119,S120,BI118-DaysForThetaCalculation/365.25,BL118-DaysForThetaCalculation/365.25,BP118,BQ118,0,Strike2,AO118,CE118,0,BL118,IF(OptControl=3,1,0),0,1)-xCrudeAPO(BU118,BV118,CC118,CD118,S119,S120,BI118,BL118,BP118,BQ118,0,Strike2,AO118,CE118,0,BL118,IF(OptControl=3,1,0),0,1),0)</f>
        <v>0</v>
      </c>
      <c r="CN118" s="3"/>
      <c r="CO118" s="543" t="str">
        <f aca="false">IF(BD118,CHOOSE(Underlying,AD118,AF118)-DateToday+1,"")</f>
        <v/>
      </c>
      <c r="CP118" s="582" t="str">
        <f aca="false">IF(BD118,CHOOSE(Underlying,L118,R118),"")</f>
        <v/>
      </c>
      <c r="CQ118" s="544" t="str">
        <f aca="false">IF(BD118,Strike1/CP118-1,"")</f>
        <v/>
      </c>
      <c r="CR118" s="544" t="str">
        <f aca="false">IF(BD118,Strike2/CP118-1,"")</f>
        <v/>
      </c>
      <c r="CS118" s="544" t="str">
        <f aca="false">IF(BD118,IF(CQ118&gt;0,IF(CQ118&gt;0.2,BC117-BB117,IF(CQ118&gt;0.1,BB117-BA117,BA117)),IF(CQ118&lt;-0.2,AX117-AY117,IF(CQ118&lt;-0.1,AY117-AZ117,AZ117))),"")</f>
        <v/>
      </c>
      <c r="CT118" s="544" t="str">
        <f aca="false">IF(BD118,IF(CR118&gt;0,IF(CR118&gt;0.2,BC117-BB117,IF(CR118&gt;0.1,BB117-BA117,BA117)),IF(CR118&lt;-0.2,AX117-AY117,IF(CR118&lt;-0.1,AY117-AZ117,AZ117))),"")</f>
        <v/>
      </c>
      <c r="CU118" s="545" t="str">
        <f aca="false">IF(BD118,CHOOSE(Underlying,O118,AT118),"")</f>
        <v/>
      </c>
      <c r="CV118" s="545" t="str">
        <f aca="false">IF(BD118,CU118+IF(VolSkewFlag=1,IF(CQ118&gt;0,BA117*MIN(CQ118/10%,1)+(BB117-BA117)*MAX(0,MIN(CQ118/10%-1,1))+(BC117-BB117)*MAX(0,CQ118/10%-2),AZ117*MIN(-CQ118/10%,1)+(AY117-AZ117)*MAX(0,MIN(-CQ118/10%-1,1))+(AX117-AY117)*MAX(0,-CQ118/10%-2)),0),"")</f>
        <v/>
      </c>
      <c r="CW118" s="545" t="str">
        <f aca="false">IF(BD118,CU118+IF(VolSkewFlag=1,IF(CR118&gt;0,BA117*MIN(CR118/10%,1)+(BB117-BA117)*MAX(0,MIN(CR118/10%-1,1))+(BC117-BB117)*MAX(0,CR118/10%-2),AZ117*MIN(-CR118/10%,1)+(AY117-AZ117)*MAX(0,MIN(-CR118/10%-1,1))+(AX117-AY117)*MAX(0,-CR118/10%-2)),0),"")</f>
        <v/>
      </c>
      <c r="CX118" s="470" t="n">
        <f aca="false">IF(BD118,EURO(CP118,Strike1,AO118,AO118,CV118,CO118,IF(OptControl=4,0,1),0),0)</f>
        <v>0</v>
      </c>
      <c r="CY118" s="470" t="n">
        <f aca="false">IF(BD118,EURO(CP118,Strike1,AO118,AO118,CV118,CO118,IF(OptControl=4,0,1),1)+IF(OR(VolSkewFlag=2,ABS(CQ118)&lt;0.0001),0,IF(CQ118&gt;0,-1,1)*CZ118*100*Strike1/CP118^2*CS118/10%),0)</f>
        <v>0</v>
      </c>
      <c r="CZ118" s="470" t="n">
        <f aca="false">IF(BD118,EURO(CP118,Strike1,AO118,AO118,CV118,CO118,IF(OptControl=4,0,1),3)/100,0)</f>
        <v>0</v>
      </c>
      <c r="DA118" s="470" t="n">
        <f aca="false">IF(BD118,EURO(CP118,Strike1,AO118,AO118,CV118,CO118,IF(OptControl=4,0,1),0)-EURO(CP118,Strike1,AO118,AO118,CV118,CO118-1,IF(OptControl=4,0,1),0),0)</f>
        <v>0</v>
      </c>
      <c r="DB118" s="470" t="n">
        <f aca="false">IF(BD118,EURO(CP118,Strike2,AO118,AO118,CW118,CO118,IF(OptControl=3,1,0),0),0)</f>
        <v>0</v>
      </c>
      <c r="DC118" s="470" t="n">
        <f aca="false">IF(BD118,EURO(CP118,Strike2,AO118,AO118,CW118,CO118,IF(OptControl=3,1,0),1)+IF(OR(VolSkewFlag=2,ABS(CR118)&lt;0.0001),0,IF(CR118&gt;0,-1,1)*DD118*100*Strike2/CP118^2*CT118/10%),0)</f>
        <v>0</v>
      </c>
      <c r="DD118" s="470" t="n">
        <f aca="false">IF(BD118,EURO(CP118,Strike2,AO118,AO118,CW118,CO118,IF(OptControl=3,1,0),3)/100,0)</f>
        <v>0</v>
      </c>
      <c r="DE118" s="472" t="n">
        <f aca="false">IF(BD118,EURO(CP118,Strike2,AO118,AO118,CW118,CO118,IF(OptControl=3,1,0),0)-EURO(CP118,Strike2,AO118,AO118,CW118,CO118-1,IF(OptControl=3,1,0),0),0)</f>
        <v>0</v>
      </c>
      <c r="DG118" s="481" t="n">
        <f aca="false">EOMONTH(DG117,0)+1</f>
        <v>48670</v>
      </c>
      <c r="DH118" s="478" t="n">
        <v>19.06</v>
      </c>
      <c r="DI118" s="479" t="n">
        <v>19.1281818181818</v>
      </c>
      <c r="DJ118" s="480" t="n">
        <f aca="false">DG118</f>
        <v>48670</v>
      </c>
      <c r="DK118" s="478" t="n">
        <v>17.8674955922139</v>
      </c>
      <c r="DL118" s="479" t="n">
        <v>17.8366818181818</v>
      </c>
      <c r="DM118" s="481" t="n">
        <f aca="false">DG118</f>
        <v>48670</v>
      </c>
      <c r="DN118" s="482" t="n">
        <f aca="false">DK118+BrentPhyBrentSpread</f>
        <v>17.9174955922139</v>
      </c>
      <c r="DO118" s="481" t="n">
        <f aca="false">DG118</f>
        <v>48670</v>
      </c>
      <c r="DP118" s="483" t="n">
        <f aca="false">DL118+DQ118</f>
        <v>17.8366818181818</v>
      </c>
      <c r="DQ118" s="546" t="n">
        <v>0</v>
      </c>
      <c r="DR118" s="480" t="n">
        <f aca="false">DG118</f>
        <v>48670</v>
      </c>
      <c r="DS118" s="485" t="n">
        <v>0.1658</v>
      </c>
      <c r="DT118" s="486" t="n">
        <v>0.164981818181818</v>
      </c>
      <c r="DU118" s="480" t="n">
        <f aca="false">DG118</f>
        <v>48670</v>
      </c>
      <c r="DV118" s="485" t="n">
        <v>0.1658</v>
      </c>
      <c r="DW118" s="486" t="n">
        <v>0.164981818181818</v>
      </c>
      <c r="DX118" s="481" t="n">
        <f aca="false">DG118</f>
        <v>48670</v>
      </c>
      <c r="DY118" s="486" t="n">
        <v>0.35</v>
      </c>
      <c r="DZ118" s="481" t="n">
        <f aca="false">DR118</f>
        <v>48670</v>
      </c>
      <c r="EA118" s="486" t="n">
        <f aca="false">DT118</f>
        <v>0.164981818181818</v>
      </c>
      <c r="EB118" s="195"/>
      <c r="EC118" s="547" t="str">
        <f aca="false">IF(BD118,IF(Underlying=1,AS118,AU118),"")</f>
        <v/>
      </c>
      <c r="ED118" s="548" t="str">
        <f aca="false">IF($BD118,$EC118+IF(VolSkewFlag=1,IF(BS118&gt;0,$BA118*MIN(BS118/10%,1)+($BB118-$BA118)*MAX(0,MIN(BS118/10%-1,1))+($BC118-$BB118)*MAX(0,BS118/10%-2),$AZ118*MIN(-BS118/10%,1)+($AY118-$AZ118)*MAX(0,MIN(-BS118/10%-1,1))+($AX118-$AY118)*MAX(0,-BS118/10%-2)),0),"")</f>
        <v/>
      </c>
      <c r="EE118" s="549" t="str">
        <f aca="false">IF($BD118,$EC118+IF(VolSkewFlag=1,IF(BT118&gt;0,$BA118*MIN(BT118/10%,1)+($BB118-$BA118)*MAX(0,MIN(BT118/10%-1,1))+($BC118-$BB118)*MAX(0,BT118/10%-2),$AZ118*MIN(-BT118/10%,1)+($AY118-$AZ118)*MAX(0,MIN(-BT118/10%-1,1))+($AX118-$AY118)*MAX(0,-BT118/10%-2)),0),"")</f>
        <v/>
      </c>
      <c r="EF118" s="550" t="n">
        <f aca="false">IF(BD118,xASN(BR118,Strike1,AO118,ED118,0,BO118,0,BI118,BL118,IF(OptControl=4,0,1),0),0)</f>
        <v>0</v>
      </c>
      <c r="EG118" s="551" t="n">
        <f aca="false">IF(BD118,xASN(BR118,Strike2,AO118,EE118,0,BO118,0,BI118,BL118,IF(OptControl=3,1,0),0),0)</f>
        <v>0</v>
      </c>
      <c r="EL118" s="1"/>
      <c r="EM118" s="195"/>
      <c r="EN118" s="240"/>
      <c r="EO118" s="240"/>
      <c r="EP118" s="195"/>
      <c r="EQ118" s="407" t="s">
        <v>345</v>
      </c>
      <c r="ES118" s="130"/>
      <c r="ET118" s="19"/>
      <c r="EU118" s="672"/>
      <c r="EV118" s="478"/>
      <c r="EW118" s="131"/>
      <c r="EX118" s="131"/>
      <c r="EY118" s="129"/>
      <c r="EZ118" s="129"/>
      <c r="FA118" s="129"/>
      <c r="FB118" s="129"/>
      <c r="FC118" s="129"/>
      <c r="FD118" s="129"/>
      <c r="FE118" s="129"/>
      <c r="FF118" s="129"/>
      <c r="FG118" s="129"/>
      <c r="FH118" s="129"/>
      <c r="FI118" s="129"/>
      <c r="FJ118" s="571" t="n">
        <v>24</v>
      </c>
      <c r="FK118" s="150" t="e">
        <f aca="false">IF($FJ43&lt;FK$94,"",SQRT(FK43/FK$15))</f>
        <v>#DIV/0!</v>
      </c>
      <c r="FL118" s="150" t="n">
        <f aca="false">IF($FJ43&lt;FL$94,"",SQRT(FL43/FL$15))</f>
        <v>-0</v>
      </c>
      <c r="FM118" s="150" t="n">
        <f aca="false">IF($FJ43&lt;FM$94,"",SQRT(FM43/FM$15))</f>
        <v>0.175501057765977</v>
      </c>
      <c r="FN118" s="150" t="n">
        <f aca="false">IF($FJ43&lt;FN$94,"",SQRT(FN43/FN$15))</f>
        <v>0.172974943748515</v>
      </c>
      <c r="FO118" s="150" t="n">
        <f aca="false">IF($FJ43&lt;FO$94,"",SQRT(FO43/FO$15))</f>
        <v>0.171415528276406</v>
      </c>
      <c r="FP118" s="150" t="n">
        <f aca="false">IF($FJ43&lt;FP$94,"",SQRT(FP43/FP$15))</f>
        <v>0.170643340860225</v>
      </c>
      <c r="FQ118" s="150" t="n">
        <f aca="false">IF($FJ43&lt;FQ$94,"",SQRT(FQ43/FQ$15))</f>
        <v>0.170535507610882</v>
      </c>
      <c r="FR118" s="150" t="n">
        <f aca="false">IF($FJ43&lt;FR$94,"",SQRT(FR43/FR$15))</f>
        <v>0.171014162471778</v>
      </c>
      <c r="FS118" s="150" t="n">
        <f aca="false">IF($FJ43&lt;FS$94,"",SQRT(FS43/FS$15))</f>
        <v>0.172038407972196</v>
      </c>
      <c r="FT118" s="150" t="n">
        <f aca="false">IF($FJ43&lt;FT$94,"",SQRT(FT43/FT$15))</f>
        <v>0.173599143890438</v>
      </c>
      <c r="FU118" s="150" t="n">
        <f aca="false">IF($FJ43&lt;FU$94,"",SQRT(FU43/FU$15))</f>
        <v>0.175716331133829</v>
      </c>
      <c r="FV118" s="150" t="n">
        <f aca="false">IF($FJ43&lt;FV$94,"",SQRT(FV43/FV$15))</f>
        <v>0.178438480275695</v>
      </c>
      <c r="FW118" s="150" t="n">
        <f aca="false">IF($FJ43&lt;FW$94,"",SQRT(FW43/FW$15))</f>
        <v>0.18184437476456</v>
      </c>
      <c r="FX118" s="150" t="n">
        <f aca="false">IF($FJ43&lt;FX$94,"",SQRT(FX43/FX$15))</f>
        <v>0.186047287889904</v>
      </c>
      <c r="FY118" s="150" t="n">
        <f aca="false">IF($FJ43&lt;FY$94,"",SQRT(FY43/FY$15))</f>
        <v>0.191202271465123</v>
      </c>
      <c r="FZ118" s="150" t="n">
        <f aca="false">IF($FJ43&lt;FZ$94,"",SQRT(FZ43/FZ$15))</f>
        <v>0.197517546255494</v>
      </c>
      <c r="GA118" s="150" t="n">
        <f aca="false">IF($FJ43&lt;GA$94,"",SQRT(GA43/GA$15))</f>
        <v>0.205271714287705</v>
      </c>
      <c r="GB118" s="150" t="n">
        <f aca="false">IF($FJ43&lt;GB$94,"",SQRT(GB43/GB$15))</f>
        <v>0.214839624142141</v>
      </c>
      <c r="GC118" s="150" t="n">
        <f aca="false">IF($FJ43&lt;GC$94,"",SQRT(GC43/GC$15))</f>
        <v>0.226731584350698</v>
      </c>
      <c r="GD118" s="150" t="n">
        <f aca="false">IF($FJ43&lt;GD$94,"",SQRT(GD43/GD$15))</f>
        <v>0.241653863832035</v>
      </c>
      <c r="GE118" s="150" t="n">
        <f aca="false">IF($FJ43&lt;GE$94,"",SQRT(GE43/GE$15))</f>
        <v>0.260604269965896</v>
      </c>
      <c r="GF118" s="150" t="n">
        <f aca="false">IF($FJ43&lt;GF$94,"",SQRT(GF43/GF$15))</f>
        <v>0.285027560951602</v>
      </c>
      <c r="GG118" s="150" t="n">
        <f aca="false">IF($FJ43&lt;GG$94,"",SQRT(GG43/GG$15))</f>
        <v>0.317076882393589</v>
      </c>
      <c r="GH118" s="150" t="n">
        <f aca="false">IF($FJ43&lt;GH$94,"",SQRT(GH43/GH$15))</f>
        <v>0.360071352268626</v>
      </c>
      <c r="GI118" s="150" t="str">
        <f aca="false">IF($FJ43&lt;GI$94,"",SQRT(GI43/GI$15))</f>
        <v/>
      </c>
      <c r="GJ118" s="150" t="str">
        <f aca="false">IF($FJ43&lt;GJ$94,"",SQRT(GJ43/GJ$15))</f>
        <v/>
      </c>
      <c r="GK118" s="150" t="str">
        <f aca="false">IF($FJ43&lt;GK$94,"",SQRT(GK43/GK$15))</f>
        <v/>
      </c>
      <c r="GL118" s="150" t="str">
        <f aca="false">IF($FJ43&lt;GL$94,"",SQRT(GL43/GL$15))</f>
        <v/>
      </c>
      <c r="GM118" s="150" t="str">
        <f aca="false">IF($FJ43&lt;GM$94,"",SQRT(GM43/GM$15))</f>
        <v/>
      </c>
      <c r="GN118" s="150" t="str">
        <f aca="false">IF($FJ43&lt;GN$94,"",SQRT(GN43/GN$15))</f>
        <v/>
      </c>
      <c r="GO118" s="150" t="str">
        <f aca="false">IF($FJ43&lt;GO$94,"",SQRT(GO43/GO$15))</f>
        <v/>
      </c>
      <c r="GP118" s="150" t="str">
        <f aca="false">IF($FJ43&lt;GP$94,"",SQRT(GP43/GP$15))</f>
        <v/>
      </c>
      <c r="GQ118" s="150" t="str">
        <f aca="false">IF($FJ43&lt;GQ$94,"",SQRT(GQ43/GQ$15))</f>
        <v/>
      </c>
      <c r="GR118" s="150" t="str">
        <f aca="false">IF($FJ43&lt;GR$94,"",SQRT(GR43/GR$15))</f>
        <v/>
      </c>
      <c r="GS118" s="150" t="str">
        <f aca="false">IF($FJ43&lt;GS$94,"",SQRT(GS43/GS$15))</f>
        <v/>
      </c>
      <c r="GT118" s="150" t="str">
        <f aca="false">IF($FJ43&lt;GT$94,"",SQRT(GT43/GT$15))</f>
        <v/>
      </c>
      <c r="GU118" s="150" t="str">
        <f aca="false">IF($FJ43&lt;GU$94,"",SQRT(GU43/GU$15))</f>
        <v/>
      </c>
      <c r="GV118" s="150" t="str">
        <f aca="false">IF($FJ43&lt;GV$94,"",SQRT(GV43/GV$15))</f>
        <v/>
      </c>
      <c r="GW118" s="150" t="str">
        <f aca="false">IF($FJ43&lt;GW$94,"",SQRT(GW43/GW$15))</f>
        <v/>
      </c>
      <c r="GX118" s="150" t="str">
        <f aca="false">IF($FJ43&lt;GX$94,"",SQRT(GX43/GX$15))</f>
        <v/>
      </c>
      <c r="GY118" s="150" t="str">
        <f aca="false">IF($FJ43&lt;GY$94,"",SQRT(GY43/GY$15))</f>
        <v/>
      </c>
      <c r="GZ118" s="150" t="str">
        <f aca="false">IF($FJ43&lt;GZ$94,"",SQRT(GZ43/GZ$15))</f>
        <v/>
      </c>
      <c r="HA118" s="150" t="str">
        <f aca="false">IF($FJ43&lt;HA$94,"",SQRT(HA43/HA$15))</f>
        <v/>
      </c>
      <c r="HB118" s="150" t="str">
        <f aca="false">IF($FJ43&lt;HB$94,"",SQRT(HB43/HB$15))</f>
        <v/>
      </c>
      <c r="HC118" s="150" t="str">
        <f aca="false">IF($FJ43&lt;HC$94,"",SQRT(HC43/HC$15))</f>
        <v/>
      </c>
      <c r="HD118" s="150" t="str">
        <f aca="false">IF($FJ43&lt;HD$94,"",SQRT(HD43/HD$15))</f>
        <v/>
      </c>
      <c r="HE118" s="150" t="str">
        <f aca="false">IF($FJ43&lt;HE$94,"",SQRT(HE43/HE$15))</f>
        <v/>
      </c>
      <c r="HF118" s="150" t="str">
        <f aca="false">IF($FJ43&lt;HF$94,"",SQRT(HF43/HF$15))</f>
        <v/>
      </c>
      <c r="HG118" s="150" t="str">
        <f aca="false">IF($FJ43&lt;HG$94,"",SQRT(HG43/HG$15))</f>
        <v/>
      </c>
      <c r="HH118" s="150" t="str">
        <f aca="false">IF($FJ43&lt;HH$94,"",SQRT(HH43/HH$15))</f>
        <v/>
      </c>
      <c r="HI118" s="150" t="str">
        <f aca="false">IF($FJ43&lt;HI$94,"",SQRT(HI43/HI$15))</f>
        <v/>
      </c>
      <c r="HJ118" s="150" t="str">
        <f aca="false">IF($FJ43&lt;HJ$94,"",SQRT(HJ43/HJ$15))</f>
        <v/>
      </c>
      <c r="HK118" s="150" t="str">
        <f aca="false">IF($FJ43&lt;HK$94,"",SQRT(HK43/HK$15))</f>
        <v/>
      </c>
      <c r="HL118" s="150" t="str">
        <f aca="false">IF($FJ43&lt;HL$94,"",SQRT(HL43/HL$15))</f>
        <v/>
      </c>
      <c r="HM118" s="150" t="str">
        <f aca="false">IF($FJ43&lt;HM$94,"",SQRT(HM43/HM$15))</f>
        <v/>
      </c>
      <c r="HN118" s="150" t="str">
        <f aca="false">IF($FJ43&lt;HN$94,"",SQRT(HN43/HN$15))</f>
        <v/>
      </c>
      <c r="HO118" s="150" t="str">
        <f aca="false">IF($FJ43&lt;HO$94,"",SQRT(HO43/HO$15))</f>
        <v/>
      </c>
      <c r="HP118" s="150" t="str">
        <f aca="false">IF($FJ43&lt;HP$94,"",SQRT(HP43/HP$15))</f>
        <v/>
      </c>
      <c r="HQ118" s="150" t="str">
        <f aca="false">IF($FJ43&lt;HQ$94,"",SQRT(HQ43/HQ$15))</f>
        <v/>
      </c>
      <c r="HR118" s="150" t="str">
        <f aca="false">IF($FJ43&lt;HR$94,"",SQRT(HR43/HR$15))</f>
        <v/>
      </c>
      <c r="HS118" s="150" t="str">
        <f aca="false">IF($FJ43&lt;HS$94,"",SQRT(HS43/HS$15))</f>
        <v/>
      </c>
      <c r="HT118" s="150" t="str">
        <f aca="false">IF($FJ43&lt;HT$94,"",SQRT(HT43/HT$15))</f>
        <v/>
      </c>
      <c r="HU118" s="150" t="str">
        <f aca="false">IF($FJ43&lt;HU$94,"",SQRT(HU43/HU$15))</f>
        <v/>
      </c>
      <c r="HV118" s="150" t="str">
        <f aca="false">IF($FJ43&lt;HV$94,"",SQRT(HV43/HV$15))</f>
        <v/>
      </c>
      <c r="HW118" s="150" t="str">
        <f aca="false">IF($FJ43&lt;HW$94,"",SQRT(HW43/HW$15))</f>
        <v/>
      </c>
      <c r="HX118" s="150" t="str">
        <f aca="false">IF($FJ43&lt;HX$94,"",SQRT(HX43/HX$15))</f>
        <v/>
      </c>
      <c r="HY118" s="150" t="str">
        <f aca="false">IF($FJ43&lt;HY$94,"",SQRT(HY43/HY$15))</f>
        <v/>
      </c>
      <c r="HZ118" s="150" t="str">
        <f aca="false">IF($FJ43&lt;HZ$94,"",SQRT(HZ43/HZ$15))</f>
        <v/>
      </c>
      <c r="IA118" s="150" t="str">
        <f aca="false">IF($FJ43&lt;IA$94,"",SQRT(IA43/IA$15))</f>
        <v/>
      </c>
      <c r="IB118" s="150" t="str">
        <f aca="false">IF($FJ43&lt;IB$94,"",SQRT(IB43/IB$15))</f>
        <v/>
      </c>
      <c r="IC118" s="150" t="str">
        <f aca="false">IF($FJ43&lt;IC$94,"",SQRT(IC43/IC$15))</f>
        <v/>
      </c>
      <c r="ID118" s="572" t="str">
        <f aca="false">IF($FJ43&lt;ID$94,"",SQRT(ID43/ID$15))</f>
        <v/>
      </c>
      <c r="IE118" s="129"/>
    </row>
    <row r="119" customFormat="false" ht="12.75" hidden="false" customHeight="false" outlineLevel="0" collapsed="false">
      <c r="H119" s="219" t="n">
        <f aca="false">VLOOKUP(I119,$EJ$20:$EL$54,3)</f>
        <v>0</v>
      </c>
      <c r="I119" s="511" t="n">
        <f aca="false">EOMONTH(I118,0)+1</f>
        <v>39783</v>
      </c>
      <c r="J119" s="512"/>
      <c r="K119" s="513" t="s">
        <v>280</v>
      </c>
      <c r="L119" s="514" t="n">
        <f aca="false">IF(ISNUMBER(K119),J119+K119/100,IF(K119="extra",L118+VLOOKUP(BF119,PriceSpreadTable,2)/12,IF(K119="inter",interpolateprices($K$19:$L$200,ROW(K119)-ROW(FirstPricingMonth)+1),interpolatechanges($J$19:$K$200,ROW(K119)-ROW(FirstPricingMonth)+1))))</f>
        <v>0.8625</v>
      </c>
      <c r="M119" s="515"/>
      <c r="N119" s="516" t="n">
        <v>0</v>
      </c>
      <c r="O119" s="515" t="n">
        <f aca="false">M119+N119</f>
        <v>0</v>
      </c>
      <c r="P119" s="512"/>
      <c r="Q119" s="513" t="s">
        <v>280</v>
      </c>
      <c r="R119" s="512" t="e">
        <f aca="false">IF(ISNUMBER(Q119),P119+Q119/100,IF(Q119="extra",(Z117*AL117-R118*AM117)/AN117,IF(Q119="inter",interpolateprices($Q$19:$R$260,ROW(Q119)-ROW(FirstPricingMonth)+1),interpolatechanges($P$19:$Q$260,ROW(Q119)-ROW(FirstPricingMonth)+1))))</f>
        <v>#VALUE!</v>
      </c>
      <c r="S119" s="597" t="n">
        <f aca="false">S$19+(S118-S$19)*S$18</f>
        <v>0.360000000000023</v>
      </c>
      <c r="T119" s="575" t="n">
        <f aca="false">SQRT((1-(1-T118^2/U118)*T$18)*U119)</f>
        <v>0.999999979339886</v>
      </c>
      <c r="U119" s="576" t="n">
        <f aca="false">1-(1-U118)*U$18</f>
        <v>0.999999999999994</v>
      </c>
      <c r="V119" s="521" t="n">
        <v>0</v>
      </c>
      <c r="W119" s="577" t="n">
        <f aca="false">(J120*AJ119+J121*AK119)/AI119</f>
        <v>0</v>
      </c>
      <c r="X119" s="578" t="n">
        <f aca="false">(L120*AJ119+L121*AK119)/AI119</f>
        <v>0.911931818181818</v>
      </c>
      <c r="Y119" s="579" t="n">
        <f aca="false">IF(Q121="extra",W119-AA119,(P120*AM119+P121*AN119)/AL119)</f>
        <v>-1.1834</v>
      </c>
      <c r="Z119" s="579" t="n">
        <f aca="false">IF(Q121="extra",X119-AB119,(R120*AM119+R121*AN119)/AL119)</f>
        <v>-0.271468181818182</v>
      </c>
      <c r="AA119" s="523" t="n">
        <f aca="false">IF(Q121="extra",INDEX(BrentSeasonalityTable,INT((BG119-1)/3)+1)*VLOOKUP(MAX(BF119,$AB$4),PriceSpreadTable,3),W119-Y119)</f>
        <v>1.1834</v>
      </c>
      <c r="AB119" s="524" t="n">
        <f aca="false">IF(Q121="extra",INDEX(BrentSeasonalityTable,INT((BG119-1)/3)+1)*VLOOKUP(MAX(BF119,$AB$4),PriceSpreadTable,3),X119-Z119)</f>
        <v>1.1834</v>
      </c>
      <c r="AC119" s="646" t="n">
        <v>39772</v>
      </c>
      <c r="AD119" s="646" t="n">
        <v>39768</v>
      </c>
      <c r="AE119" s="646" t="n">
        <v>39767</v>
      </c>
      <c r="AF119" s="646" t="n">
        <v>39763</v>
      </c>
      <c r="AG119" s="438" t="s">
        <v>278</v>
      </c>
      <c r="AH119" s="439" t="s">
        <v>278</v>
      </c>
      <c r="AI119" s="528" t="n">
        <v>22</v>
      </c>
      <c r="AJ119" s="529" t="n">
        <v>15</v>
      </c>
      <c r="AK119" s="529" t="n">
        <v>7</v>
      </c>
      <c r="AL119" s="530" t="n">
        <v>22</v>
      </c>
      <c r="AM119" s="529" t="n">
        <v>10</v>
      </c>
      <c r="AN119" s="531" t="n">
        <v>12</v>
      </c>
      <c r="AO119" s="532"/>
      <c r="AP119" s="465" t="n">
        <f aca="false">(1+AO119/2)^(-2*BL119)</f>
        <v>1</v>
      </c>
      <c r="AQ119" s="532"/>
      <c r="AR119" s="465" t="n">
        <f aca="false">(1+AQ119/2)^(-2*BH119/365.25)</f>
        <v>1</v>
      </c>
      <c r="AS119" s="580" t="n">
        <f aca="false">(O120*AJ119+O121*AK119)/AI119</f>
        <v>0</v>
      </c>
      <c r="AT119" s="468" t="n">
        <f aca="false">O119*VLOOKUP(BF119,BrentVolTable,2)+VLOOKUP(BF119,BrentVolTable,3)</f>
        <v>0</v>
      </c>
      <c r="AU119" s="468" t="n">
        <f aca="false">(AT120*AM119+AT121*AN119)/AL119</f>
        <v>0</v>
      </c>
      <c r="AV119" s="595" t="n">
        <f aca="false">SQRT(MAX(0.000000000001,(O119^2*BH119-S119^2*(BH119-BH118))/BH118))</f>
        <v>0.0254805146283841</v>
      </c>
      <c r="AW119" s="451" t="n">
        <f aca="false">IF($I119-DateToday+15&gt;=$T$8,"",IF($I119-DateToday+15&lt;$T$5,1,MATCH($I119-DateToday+15,$T$5:$T$8)))</f>
        <v>1</v>
      </c>
      <c r="AX119" s="468" t="n">
        <f aca="false">IF($AW119="",AX118^2/AX117,INDEX(U$5:U$8,$AW119)^((INDEX($T$5:$T$8,$AW119+1)-($I119-DateToday+15))/(INDEX($T$5:$T$8,$AW119+1)-INDEX($T$5:$T$8,$AW119)))/INDEX(U$5:U$8,$AW119+1)^((INDEX($T$5:$T$8,$AW119)-($I119-DateToday+15))/(INDEX($T$5:$T$8,$AW119+1)-INDEX($T$5:$T$8,$AW119))))</f>
        <v>1.51191546082964</v>
      </c>
      <c r="AY119" s="468" t="n">
        <f aca="false">IF($AW119="",AY118^2/AY117,INDEX(V$5:V$8,$AW119)^((INDEX($T$5:$T$8,$AW119+1)-($I119-DateToday+15))/(INDEX($T$5:$T$8,$AW119+1)-INDEX($T$5:$T$8,$AW119)))/INDEX(V$5:V$8,$AW119+1)^((INDEX($T$5:$T$8,$AW119)-($I119-DateToday+15))/(INDEX($T$5:$T$8,$AW119+1)-INDEX($T$5:$T$8,$AW119))))</f>
        <v>80.5696073697631</v>
      </c>
      <c r="AZ119" s="468" t="n">
        <f aca="false">IF($AW119="",AZ118^2/AZ117,INDEX(W$5:W$8,$AW119)^((INDEX($T$5:$T$8,$AW119+1)-($I119-DateToday+15))/(INDEX($T$5:$T$8,$AW119+1)-INDEX($T$5:$T$8,$AW119)))/INDEX(W$5:W$8,$AW119+1)^((INDEX($T$5:$T$8,$AW119)-($I119-DateToday+15))/(INDEX($T$5:$T$8,$AW119+1)-INDEX($T$5:$T$8,$AW119))))</f>
        <v>203382.88387995</v>
      </c>
      <c r="BA119" s="468" t="n">
        <f aca="false">IF($AW119="",BA118^2/BA117,INDEX(X$5:X$8,$AW119)^((INDEX($T$5:$T$8,$AW119+1)-($I119-DateToday+15))/(INDEX($T$5:$T$8,$AW119+1)-INDEX($T$5:$T$8,$AW119)))/INDEX(X$5:X$8,$AW119+1)^((INDEX($T$5:$T$8,$AW119)-($I119-DateToday+15))/(INDEX($T$5:$T$8,$AW119+1)-INDEX($T$5:$T$8,$AW119))))</f>
        <v>3203101.31881473</v>
      </c>
      <c r="BB119" s="468" t="n">
        <f aca="false">IF($AW119="",BB118^2/BB117,INDEX(Y$5:Y$8,$AW119)^((INDEX($T$5:$T$8,$AW119+1)-($I119-DateToday+15))/(INDEX($T$5:$T$8,$AW119+1)-INDEX($T$5:$T$8,$AW119)))/INDEX(Y$5:Y$8,$AW119+1)^((INDEX($T$5:$T$8,$AW119)-($I119-DateToday+15))/(INDEX($T$5:$T$8,$AW119+1)-INDEX($T$5:$T$8,$AW119))))</f>
        <v>33234570.4325676</v>
      </c>
      <c r="BC119" s="468" t="n">
        <f aca="false">IF($AW119="",BC118^2/BC117,INDEX(Z$5:Z$8,$AW119)^((INDEX($T$5:$T$8,$AW119+1)-($I119-DateToday+15))/(INDEX($T$5:$T$8,$AW119+1)-INDEX($T$5:$T$8,$AW119)))/INDEX(Z$5:Z$8,$AW119+1)^((INDEX($T$5:$T$8,$AW119)-($I119-DateToday+15))/(INDEX($T$5:$T$8,$AW119+1)-INDEX($T$5:$T$8,$AW119))))</f>
        <v>135831268.537296</v>
      </c>
      <c r="BD119" s="535" t="n">
        <f aca="false">IF(OR(DateStart&gt;=I120,DateEnd&lt;I119),0,IF(VolumeOverrideFlag,V119,Volume))</f>
        <v>0</v>
      </c>
      <c r="BE119" s="536" t="n">
        <f aca="false">IF(OR(DateStart2&gt;=I120,DateEnd2&lt;I119),0,IF(VolumeOverrideFlag,V119,VolumeSwaption))</f>
        <v>0</v>
      </c>
      <c r="BF119" s="537" t="n">
        <f aca="false">YEAR(I119)</f>
        <v>2008</v>
      </c>
      <c r="BG119" s="538" t="n">
        <f aca="false">MONTH(I119)</f>
        <v>12</v>
      </c>
      <c r="BH119" s="539" t="n">
        <f aca="false">AD119-DateToday+1</f>
        <v>-6157</v>
      </c>
      <c r="BI119" s="540" t="n">
        <f aca="false">(I119-DateToday+1)/365.25</f>
        <v>-16.8158795345654</v>
      </c>
      <c r="BJ119" s="541" t="n">
        <f aca="false">BI119+(BL119-BI119)*CHOOSE(Underlying,AJ119/AI119,AM119/AL119)</f>
        <v>-16.7598780411922</v>
      </c>
      <c r="BK119" s="541" t="n">
        <f aca="false">BJ119+1/365.25</f>
        <v>-16.7571401904051</v>
      </c>
      <c r="BL119" s="541" t="n">
        <f aca="false">(I120-DateToday)/365.25</f>
        <v>-16.7337440109514</v>
      </c>
      <c r="BM119" s="542" t="e">
        <f aca="false">MAX(BI119-(BJ119-BI119)*(S120^2/O120^2-1),0)</f>
        <v>#DIV/0!</v>
      </c>
      <c r="BN119" s="541" t="e">
        <f aca="false">MAX(BL119+(BL119-BK119)*(S121^2/O121^2-1),0)</f>
        <v>#DIV/0!</v>
      </c>
      <c r="BO119" s="530" t="n">
        <f aca="false">CHOOSE(Underlying,AI119,AL119)</f>
        <v>22</v>
      </c>
      <c r="BP119" s="529" t="n">
        <f aca="false">CHOOSE(Underlying,AJ119,AM119)</f>
        <v>15</v>
      </c>
      <c r="BQ119" s="529" t="n">
        <f aca="false">CHOOSE(Underlying,AK119,AN119)</f>
        <v>7</v>
      </c>
      <c r="BR119" s="463" t="str">
        <f aca="false">IF(BD119,IF(Underlying=1,X119,Z119)+UnderlyingPriceAsian-SwapPriceCurve,"")</f>
        <v/>
      </c>
      <c r="BS119" s="463" t="str">
        <f aca="false">IF(BD119,Strike1/BR119-1,"")</f>
        <v/>
      </c>
      <c r="BT119" s="464" t="str">
        <f aca="false">IF(BD119,Strike2/BR119-1,"")</f>
        <v/>
      </c>
      <c r="BU119" s="465" t="str">
        <f aca="false">IF(BD119,IF(Underlying=1,L120,R120)+UnderlyingPriceAsian-SwapPriceCurve,"")</f>
        <v/>
      </c>
      <c r="BV119" s="465" t="str">
        <f aca="false">IF(BD119,IF(Underlying=1,L121,R121)+UnderlyingPriceAsian-SwapPriceCurve,"")</f>
        <v/>
      </c>
      <c r="BW119" s="466" t="str">
        <f aca="false">IF(BD119,IF(Underlying=1,O120,AT120),"")</f>
        <v/>
      </c>
      <c r="BX119" s="467" t="str">
        <f aca="false">IF(BD119,IF(Underlying=1,O121,AT121),"")</f>
        <v/>
      </c>
      <c r="BY119" s="466" t="str">
        <f aca="false">IF(BD119,IF(BS119&gt;0,IF(BS119&gt;0.2,BC119-BB119,IF(BS119&gt;0.1,BB119-BA119,BA119)),IF(BS119&lt;-0.2,AX119-AY119,IF(BS119&lt;-0.1,AY119-AZ119,AZ119))),"")</f>
        <v/>
      </c>
      <c r="BZ119" s="467" t="str">
        <f aca="false">IF(BD119,IF(BT119&gt;0,IF(BT119&gt;0.2,BC119-BB119,IF(BT119&gt;0.1,BB119-BA119,BA119)),IF(BT119&lt;-0.2,AX119-AY119,IF(BT119&lt;-0.1,AY119-AZ119,AZ119))),"")</f>
        <v/>
      </c>
      <c r="CA119" s="468" t="str">
        <f aca="false">IF($BD119,$BW119+IF(VolSkewFlag=1,IF(BS119&gt;0,$BA119*MIN(BS119/10%,1)+($BB119-$BA119)*MAX(0,MIN(BS119/10%-1,1))+($BC119-$BB119)*MAX(0,BS119/10%-2),$AZ119*MIN(-BS119/10%,1)+($AY119-$AZ119)*MAX(0,MIN(-BS119/10%-1,1))+($AX119-$AY119)*MAX(0,-BS119/10%-2)),0),"")</f>
        <v/>
      </c>
      <c r="CB119" s="468" t="str">
        <f aca="false">IF($BD119,$BX119+IF(VolSkewFlag=1,IF(BS119&gt;0,$BA119*MIN(BS119/10%,1)+($BB119-$BA119)*MAX(0,MIN(BS119/10%-1,1))+($BC119-$BB119)*MAX(0,BS119/10%-2),$AZ119*MIN(-BS119/10%,1)+($AY119-$AZ119)*MAX(0,MIN(-BS119/10%-1,1))+($AX119-$AY119)*MAX(0,-BS119/10%-2)),0),"")</f>
        <v/>
      </c>
      <c r="CC119" s="468" t="str">
        <f aca="false">IF($BD119,$BW119+IF(VolSkewFlag=1,IF(BT119&gt;0,$BA119*MIN(BT119/10%,1)+($BB119-$BA119)*MAX(0,MIN(BT119/10%-1,1))+($BC119-$BB119)*MAX(0,BT119/10%-2),$AZ119*MIN(-BT119/10%,1)+($AY119-$AZ119)*MAX(0,MIN(-BT119/10%-1,1))+($AX119-$AY119)*MAX(0,-BT119/10%-2)),0),"")</f>
        <v/>
      </c>
      <c r="CD119" s="468" t="str">
        <f aca="false">IF($BD119,$BX119+IF(VolSkewFlag=1,IF(BT119&gt;0,$BA119*MIN(BT119/10%,1)+($BB119-$BA119)*MAX(0,MIN(BT119/10%-1,1))+($BC119-$BB119)*MAX(0,BT119/10%-2),$AZ119*MIN(-BT119/10%,1)+($AY119-$AZ119)*MAX(0,MIN(-BT119/10%-1,1))+($AX119-$AY119)*MAX(0,-BT119/10%-2)),0),"")</f>
        <v/>
      </c>
      <c r="CE119" s="469" t="n">
        <v>1</v>
      </c>
      <c r="CF119" s="470" t="n">
        <f aca="false">IF(BD119,xCrudeAPO(BU119,BV119,CA119,CB119,S120,S121,BI119,BL119,BP119,BQ119,0,Strike1,AO119,CE119,0,BL119,IF(OptControl=4,0,1),0,1),0)</f>
        <v>0</v>
      </c>
      <c r="CG119" s="470" t="n">
        <f aca="false">IF(BD119,xCrudeAPO(BU119,BV119,CA119,CB119,S120,S121,BI119,BL119,BP119,BQ119,0,Strike1,AO119,CE119,0,BL119,IF(OptControl=4,0,1),1,1)+xCrudeAPO(BU119,BV119,CA119,CB119,S120,S121,BI119,BL119,BP119,BQ119,0,Strike1,AO119,CE119,0,BL119,IF(OptControl=4,0,1),1,2)+IF(OR(VolSkewFlag=2,ABS(BS119)&lt;0.0001),0,IF(BS119&gt;0,-1,1)*CH119*Strike1/BR119^2*BY119/10%),0)</f>
        <v>0</v>
      </c>
      <c r="CH119" s="470" t="n">
        <f aca="false">IF(BD119,(xCrudeAPO(BU119,BV119,CA119,CB119,S120,S121,BI119,BL119,BP119,BQ119,0,Strike1,AO119,CE119,0,BL119,IF(OptControl=4,0,1),3,1)+xCrudeAPO(BU119,BV119,CA119,CB119,S120,S121,BI119,BL119,BP119,BQ119,0,Strike1,AO119,CE119,0,BL119,IF(OptControl=4,0,1),3,2))/100,0)</f>
        <v>0</v>
      </c>
      <c r="CI119" s="470" t="n">
        <f aca="false">IF(BD119,xCrudeAPO(BU119,BV119,CA119,CB119,S120,S121,BI119-DaysForThetaCalculation/365.25,BL119-DaysForThetaCalculation/365.25,BP119,BQ119,0,Strike1,AO119,CE119,0,BL119,IF(OptControl=4,0,1),0,1)-xCrudeAPO(BU119,BV119,CA119,CB119,S120,S121,BI119,BL119,BP119,BQ119,0,Strike1,AO119,CE119,0,BL119,IF(OptControl=4,0,1),0,1),0)</f>
        <v>0</v>
      </c>
      <c r="CJ119" s="471" t="n">
        <f aca="false">IF(BD119,xCrudeAPO(BU119,BV119,CC119,CD119,S120,S121,BI119,BL119,BP119,BQ119,0,Strike2,AO119,CE119,0,BL119,IF(OptControl=3,1,0),0,1),0)</f>
        <v>0</v>
      </c>
      <c r="CK119" s="470" t="n">
        <f aca="false">IF(BD119,xCrudeAPO(BU119,BV119,CC119,CD119,S120,S121,BI119,BL119,BP119,BQ119,0,Strike2,AO119,CE119,0,BL119,IF(OptControl=3,1,0),1,1)+xCrudeAPO(BU119,BV119,CC119,CD119,S120,S121,BI119,BL119,BP119,BQ119,0,Strike2,AO119,CE119,0,BL119,IF(OptControl=3,1,0),1,2)+IF(OR(VolSkewFlag=2,ABS(BT119)&lt;0.0001),0,IF(BT119&gt;0,-1,1)*CL119*Strike2/BR119^2*BZ119/10%),0)</f>
        <v>0</v>
      </c>
      <c r="CL119" s="470" t="n">
        <f aca="false">IF(BD119,(xCrudeAPO(BU119,BV119,CC119,CD119,S120,S121,BI119,BL119,BP119,BQ119,0,Strike2,AO119,CE119,0,BL119,IF(OptControl=3,1,0),3,1)+xCrudeAPO(BU119,BV119,CC119,CD119,S120,S121,BI119,BL119,BP119,BQ119,0,Strike2,AO119,CE119,0,BL119,IF(OptControl=3,1,0),3,2))/100,0)</f>
        <v>0</v>
      </c>
      <c r="CM119" s="472" t="n">
        <f aca="false">IF(BD119,xCrudeAPO(BU119,BV119,CC119,CD119,S120,S121,BI119-DaysForThetaCalculation/365.25,BL119-DaysForThetaCalculation/365.25,BP119,BQ119,0,Strike2,AO119,CE119,0,BL119,IF(OptControl=3,1,0),0,1)-xCrudeAPO(BU119,BV119,CC119,CD119,S120,S121,BI119,BL119,BP119,BQ119,0,Strike2,AO119,CE119,0,BL119,IF(OptControl=3,1,0),0,1),0)</f>
        <v>0</v>
      </c>
      <c r="CN119" s="3"/>
      <c r="CO119" s="543" t="str">
        <f aca="false">IF(BD119,CHOOSE(Underlying,AD119,AF119)-DateToday+1,"")</f>
        <v/>
      </c>
      <c r="CP119" s="582" t="str">
        <f aca="false">IF(BD119,CHOOSE(Underlying,L119,R119),"")</f>
        <v/>
      </c>
      <c r="CQ119" s="544" t="str">
        <f aca="false">IF(BD119,Strike1/CP119-1,"")</f>
        <v/>
      </c>
      <c r="CR119" s="544" t="str">
        <f aca="false">IF(BD119,Strike2/CP119-1,"")</f>
        <v/>
      </c>
      <c r="CS119" s="544" t="str">
        <f aca="false">IF(BD119,IF(CQ119&gt;0,IF(CQ119&gt;0.2,BC118-BB118,IF(CQ119&gt;0.1,BB118-BA118,BA118)),IF(CQ119&lt;-0.2,AX118-AY118,IF(CQ119&lt;-0.1,AY118-AZ118,AZ118))),"")</f>
        <v/>
      </c>
      <c r="CT119" s="544" t="str">
        <f aca="false">IF(BD119,IF(CR119&gt;0,IF(CR119&gt;0.2,BC118-BB118,IF(CR119&gt;0.1,BB118-BA118,BA118)),IF(CR119&lt;-0.2,AX118-AY118,IF(CR119&lt;-0.1,AY118-AZ118,AZ118))),"")</f>
        <v/>
      </c>
      <c r="CU119" s="545" t="str">
        <f aca="false">IF(BD119,CHOOSE(Underlying,O119,AT119),"")</f>
        <v/>
      </c>
      <c r="CV119" s="545" t="str">
        <f aca="false">IF(BD119,CU119+IF(VolSkewFlag=1,IF(CQ119&gt;0,BA118*MIN(CQ119/10%,1)+(BB118-BA118)*MAX(0,MIN(CQ119/10%-1,1))+(BC118-BB118)*MAX(0,CQ119/10%-2),AZ118*MIN(-CQ119/10%,1)+(AY118-AZ118)*MAX(0,MIN(-CQ119/10%-1,1))+(AX118-AY118)*MAX(0,-CQ119/10%-2)),0),"")</f>
        <v/>
      </c>
      <c r="CW119" s="545" t="str">
        <f aca="false">IF(BD119,CU119+IF(VolSkewFlag=1,IF(CR119&gt;0,BA118*MIN(CR119/10%,1)+(BB118-BA118)*MAX(0,MIN(CR119/10%-1,1))+(BC118-BB118)*MAX(0,CR119/10%-2),AZ118*MIN(-CR119/10%,1)+(AY118-AZ118)*MAX(0,MIN(-CR119/10%-1,1))+(AX118-AY118)*MAX(0,-CR119/10%-2)),0),"")</f>
        <v/>
      </c>
      <c r="CX119" s="470" t="n">
        <f aca="false">IF(BD119,EURO(CP119,Strike1,AO119,AO119,CV119,CO119,IF(OptControl=4,0,1),0),0)</f>
        <v>0</v>
      </c>
      <c r="CY119" s="470" t="n">
        <f aca="false">IF(BD119,EURO(CP119,Strike1,AO119,AO119,CV119,CO119,IF(OptControl=4,0,1),1)+IF(OR(VolSkewFlag=2,ABS(CQ119)&lt;0.0001),0,IF(CQ119&gt;0,-1,1)*CZ119*100*Strike1/CP119^2*CS119/10%),0)</f>
        <v>0</v>
      </c>
      <c r="CZ119" s="470" t="n">
        <f aca="false">IF(BD119,EURO(CP119,Strike1,AO119,AO119,CV119,CO119,IF(OptControl=4,0,1),3)/100,0)</f>
        <v>0</v>
      </c>
      <c r="DA119" s="470" t="n">
        <f aca="false">IF(BD119,EURO(CP119,Strike1,AO119,AO119,CV119,CO119,IF(OptControl=4,0,1),0)-EURO(CP119,Strike1,AO119,AO119,CV119,CO119-1,IF(OptControl=4,0,1),0),0)</f>
        <v>0</v>
      </c>
      <c r="DB119" s="470" t="n">
        <f aca="false">IF(BD119,EURO(CP119,Strike2,AO119,AO119,CW119,CO119,IF(OptControl=3,1,0),0),0)</f>
        <v>0</v>
      </c>
      <c r="DC119" s="470" t="n">
        <f aca="false">IF(BD119,EURO(CP119,Strike2,AO119,AO119,CW119,CO119,IF(OptControl=3,1,0),1)+IF(OR(VolSkewFlag=2,ABS(CR119)&lt;0.0001),0,IF(CR119&gt;0,-1,1)*DD119*100*Strike2/CP119^2*CT119/10%),0)</f>
        <v>0</v>
      </c>
      <c r="DD119" s="470" t="n">
        <f aca="false">IF(BD119,EURO(CP119,Strike2,AO119,AO119,CW119,CO119,IF(OptControl=3,1,0),3)/100,0)</f>
        <v>0</v>
      </c>
      <c r="DE119" s="472" t="n">
        <f aca="false">IF(BD119,EURO(CP119,Strike2,AO119,AO119,CW119,CO119,IF(OptControl=3,1,0),0)-EURO(CP119,Strike2,AO119,AO119,CW119,CO119-1,IF(OptControl=3,1,0),0),0)</f>
        <v>0</v>
      </c>
      <c r="DG119" s="481" t="n">
        <f aca="false">EOMONTH(DG118,0)+1</f>
        <v>48700</v>
      </c>
      <c r="DH119" s="478" t="n">
        <v>19.11</v>
      </c>
      <c r="DI119" s="479" t="n">
        <v>19.1781818181818</v>
      </c>
      <c r="DJ119" s="480" t="n">
        <f aca="false">DG119</f>
        <v>48700</v>
      </c>
      <c r="DK119" s="478" t="n">
        <v>17.9451403707146</v>
      </c>
      <c r="DL119" s="479" t="n">
        <v>17.8866818181818</v>
      </c>
      <c r="DM119" s="481" t="n">
        <f aca="false">DG119</f>
        <v>48700</v>
      </c>
      <c r="DN119" s="482" t="n">
        <f aca="false">DK119+BrentPhyBrentSpread</f>
        <v>17.9951403707146</v>
      </c>
      <c r="DO119" s="481" t="n">
        <f aca="false">DG119</f>
        <v>48700</v>
      </c>
      <c r="DP119" s="483" t="n">
        <f aca="false">DL119+DQ119</f>
        <v>17.8866818181818</v>
      </c>
      <c r="DQ119" s="546" t="n">
        <v>0</v>
      </c>
      <c r="DR119" s="480" t="n">
        <f aca="false">DG119</f>
        <v>48700</v>
      </c>
      <c r="DS119" s="485" t="n">
        <v>0.1652</v>
      </c>
      <c r="DT119" s="486" t="n">
        <v>0.164381818181818</v>
      </c>
      <c r="DU119" s="480" t="n">
        <f aca="false">DG119</f>
        <v>48700</v>
      </c>
      <c r="DV119" s="485" t="n">
        <v>0.1652</v>
      </c>
      <c r="DW119" s="486" t="n">
        <v>0.164381818181818</v>
      </c>
      <c r="DX119" s="481" t="n">
        <f aca="false">DG119</f>
        <v>48700</v>
      </c>
      <c r="DY119" s="486" t="n">
        <v>0.35</v>
      </c>
      <c r="DZ119" s="481" t="n">
        <f aca="false">DR119</f>
        <v>48700</v>
      </c>
      <c r="EA119" s="486" t="n">
        <f aca="false">DT119</f>
        <v>0.164381818181818</v>
      </c>
      <c r="EB119" s="195"/>
      <c r="EC119" s="547" t="str">
        <f aca="false">IF(BD119,IF(Underlying=1,AS119,AU119),"")</f>
        <v/>
      </c>
      <c r="ED119" s="548" t="str">
        <f aca="false">IF($BD119,$EC119+IF(VolSkewFlag=1,IF(BS119&gt;0,$BA119*MIN(BS119/10%,1)+($BB119-$BA119)*MAX(0,MIN(BS119/10%-1,1))+($BC119-$BB119)*MAX(0,BS119/10%-2),$AZ119*MIN(-BS119/10%,1)+($AY119-$AZ119)*MAX(0,MIN(-BS119/10%-1,1))+($AX119-$AY119)*MAX(0,-BS119/10%-2)),0),"")</f>
        <v/>
      </c>
      <c r="EE119" s="549" t="str">
        <f aca="false">IF($BD119,$EC119+IF(VolSkewFlag=1,IF(BT119&gt;0,$BA119*MIN(BT119/10%,1)+($BB119-$BA119)*MAX(0,MIN(BT119/10%-1,1))+($BC119-$BB119)*MAX(0,BT119/10%-2),$AZ119*MIN(-BT119/10%,1)+($AY119-$AZ119)*MAX(0,MIN(-BT119/10%-1,1))+($AX119-$AY119)*MAX(0,-BT119/10%-2)),0),"")</f>
        <v/>
      </c>
      <c r="EF119" s="550" t="n">
        <f aca="false">IF(BD119,xASN(BR119,Strike1,AO119,ED119,0,BO119,0,BI119,BL119,IF(OptControl=4,0,1),0),0)</f>
        <v>0</v>
      </c>
      <c r="EG119" s="551" t="n">
        <f aca="false">IF(BD119,xASN(BR119,Strike2,AO119,EE119,0,BO119,0,BI119,BL119,IF(OptControl=3,1,0),0),0)</f>
        <v>0</v>
      </c>
      <c r="EL119" s="1"/>
      <c r="EM119" s="195"/>
      <c r="EN119" s="240"/>
      <c r="EO119" s="240"/>
      <c r="EP119" s="195"/>
      <c r="EQ119" s="407" t="s">
        <v>346</v>
      </c>
      <c r="ES119" s="130"/>
      <c r="ET119" s="19"/>
      <c r="EU119" s="672"/>
      <c r="EV119" s="478"/>
      <c r="EW119" s="131"/>
      <c r="EX119" s="131"/>
      <c r="EY119" s="129"/>
      <c r="EZ119" s="129"/>
      <c r="FA119" s="129"/>
      <c r="FB119" s="129"/>
      <c r="FC119" s="129"/>
      <c r="FD119" s="129"/>
      <c r="FE119" s="129"/>
      <c r="FF119" s="129"/>
      <c r="FG119" s="129"/>
      <c r="FH119" s="129"/>
      <c r="FI119" s="129"/>
      <c r="FJ119" s="571" t="n">
        <v>25</v>
      </c>
      <c r="FK119" s="150" t="e">
        <f aca="false">IF($FJ44&lt;FK$94,"",SQRT(FK44/FK$15))</f>
        <v>#DIV/0!</v>
      </c>
      <c r="FL119" s="150" t="n">
        <f aca="false">IF($FJ44&lt;FL$94,"",SQRT(FL44/FL$15))</f>
        <v>-0</v>
      </c>
      <c r="FM119" s="150" t="n">
        <f aca="false">IF($FJ44&lt;FM$94,"",SQRT(FM44/FM$15))</f>
        <v>0.174764906233937</v>
      </c>
      <c r="FN119" s="150" t="n">
        <f aca="false">IF($FJ44&lt;FN$94,"",SQRT(FN44/FN$15))</f>
        <v>0.172126037424324</v>
      </c>
      <c r="FO119" s="150" t="n">
        <f aca="false">IF($FJ44&lt;FO$94,"",SQRT(FO44/FO$15))</f>
        <v>0.170431194575743</v>
      </c>
      <c r="FP119" s="150" t="n">
        <f aca="false">IF($FJ44&lt;FP$94,"",SQRT(FP44/FP$15))</f>
        <v>0.169496697735999</v>
      </c>
      <c r="FQ119" s="150" t="n">
        <f aca="false">IF($FJ44&lt;FQ$94,"",SQRT(FQ44/FQ$15))</f>
        <v>0.169194482305751</v>
      </c>
      <c r="FR119" s="150" t="n">
        <f aca="false">IF($FJ44&lt;FR$94,"",SQRT(FR44/FR$15))</f>
        <v>0.169440251020613</v>
      </c>
      <c r="FS119" s="150" t="n">
        <f aca="false">IF($FJ44&lt;FS$94,"",SQRT(FS44/FS$15))</f>
        <v>0.170185089742534</v>
      </c>
      <c r="FT119" s="150" t="n">
        <f aca="false">IF($FJ44&lt;FT$94,"",SQRT(FT44/FT$15))</f>
        <v>0.171409831964239</v>
      </c>
      <c r="FU119" s="150" t="n">
        <f aca="false">IF($FJ44&lt;FU$94,"",SQRT(FU44/FU$15))</f>
        <v>0.173121690574599</v>
      </c>
      <c r="FV119" s="150" t="n">
        <f aca="false">IF($FJ44&lt;FV$94,"",SQRT(FV44/FV$15))</f>
        <v>0.17535287431625</v>
      </c>
      <c r="FW119" s="150" t="n">
        <f aca="false">IF($FJ44&lt;FW$94,"",SQRT(FW44/FW$15))</f>
        <v>0.178161090972437</v>
      </c>
      <c r="FX119" s="150" t="n">
        <f aca="false">IF($FJ44&lt;FX$94,"",SQRT(FX44/FX$15))</f>
        <v>0.181632031748997</v>
      </c>
      <c r="FY119" s="150" t="n">
        <f aca="false">IF($FJ44&lt;FY$94,"",SQRT(FY44/FY$15))</f>
        <v>0.185884159275829</v>
      </c>
      <c r="FZ119" s="150" t="n">
        <f aca="false">IF($FJ44&lt;FZ$94,"",SQRT(FZ44/FZ$15))</f>
        <v>0.19107642469445</v>
      </c>
      <c r="GA119" s="150" t="n">
        <f aca="false">IF($FJ44&lt;GA$94,"",SQRT(GA44/GA$15))</f>
        <v>0.197419979488477</v>
      </c>
      <c r="GB119" s="150" t="n">
        <f aca="false">IF($FJ44&lt;GB$94,"",SQRT(GB44/GB$15))</f>
        <v>0.205195628912855</v>
      </c>
      <c r="GC119" s="150" t="n">
        <f aca="false">IF($FJ44&lt;GC$94,"",SQRT(GC44/GC$15))</f>
        <v>0.214779878156972</v>
      </c>
      <c r="GD119" s="150" t="n">
        <f aca="false">IF($FJ44&lt;GD$94,"",SQRT(GD44/GD$15))</f>
        <v>0.226684281379424</v>
      </c>
      <c r="GE119" s="150" t="n">
        <f aca="false">IF($FJ44&lt;GE$94,"",SQRT(GE44/GE$15))</f>
        <v>0.241616043788747</v>
      </c>
      <c r="GF119" s="150" t="n">
        <f aca="false">IF($FJ44&lt;GF$94,"",SQRT(GF44/GF$15))</f>
        <v>0.260573675769988</v>
      </c>
      <c r="GG119" s="150" t="n">
        <f aca="false">IF($FJ44&lt;GG$94,"",SQRT(GG44/GG$15))</f>
        <v>0.285002461939738</v>
      </c>
      <c r="GH119" s="150" t="n">
        <f aca="false">IF($FJ44&lt;GH$94,"",SQRT(GH44/GH$15))</f>
        <v>0.31705593963652</v>
      </c>
      <c r="GI119" s="150" t="n">
        <f aca="false">IF($FJ44&lt;GI$94,"",SQRT(GI44/GI$15))</f>
        <v>0.36005351420147</v>
      </c>
      <c r="GJ119" s="150" t="str">
        <f aca="false">IF($FJ44&lt;GJ$94,"",SQRT(GJ44/GJ$15))</f>
        <v/>
      </c>
      <c r="GK119" s="150" t="str">
        <f aca="false">IF($FJ44&lt;GK$94,"",SQRT(GK44/GK$15))</f>
        <v/>
      </c>
      <c r="GL119" s="150" t="str">
        <f aca="false">IF($FJ44&lt;GL$94,"",SQRT(GL44/GL$15))</f>
        <v/>
      </c>
      <c r="GM119" s="150" t="str">
        <f aca="false">IF($FJ44&lt;GM$94,"",SQRT(GM44/GM$15))</f>
        <v/>
      </c>
      <c r="GN119" s="150" t="str">
        <f aca="false">IF($FJ44&lt;GN$94,"",SQRT(GN44/GN$15))</f>
        <v/>
      </c>
      <c r="GO119" s="150" t="str">
        <f aca="false">IF($FJ44&lt;GO$94,"",SQRT(GO44/GO$15))</f>
        <v/>
      </c>
      <c r="GP119" s="150" t="str">
        <f aca="false">IF($FJ44&lt;GP$94,"",SQRT(GP44/GP$15))</f>
        <v/>
      </c>
      <c r="GQ119" s="150" t="str">
        <f aca="false">IF($FJ44&lt;GQ$94,"",SQRT(GQ44/GQ$15))</f>
        <v/>
      </c>
      <c r="GR119" s="150" t="str">
        <f aca="false">IF($FJ44&lt;GR$94,"",SQRT(GR44/GR$15))</f>
        <v/>
      </c>
      <c r="GS119" s="150" t="str">
        <f aca="false">IF($FJ44&lt;GS$94,"",SQRT(GS44/GS$15))</f>
        <v/>
      </c>
      <c r="GT119" s="150" t="str">
        <f aca="false">IF($FJ44&lt;GT$94,"",SQRT(GT44/GT$15))</f>
        <v/>
      </c>
      <c r="GU119" s="150" t="str">
        <f aca="false">IF($FJ44&lt;GU$94,"",SQRT(GU44/GU$15))</f>
        <v/>
      </c>
      <c r="GV119" s="150" t="str">
        <f aca="false">IF($FJ44&lt;GV$94,"",SQRT(GV44/GV$15))</f>
        <v/>
      </c>
      <c r="GW119" s="150" t="str">
        <f aca="false">IF($FJ44&lt;GW$94,"",SQRT(GW44/GW$15))</f>
        <v/>
      </c>
      <c r="GX119" s="150" t="str">
        <f aca="false">IF($FJ44&lt;GX$94,"",SQRT(GX44/GX$15))</f>
        <v/>
      </c>
      <c r="GY119" s="150" t="str">
        <f aca="false">IF($FJ44&lt;GY$94,"",SQRT(GY44/GY$15))</f>
        <v/>
      </c>
      <c r="GZ119" s="150" t="str">
        <f aca="false">IF($FJ44&lt;GZ$94,"",SQRT(GZ44/GZ$15))</f>
        <v/>
      </c>
      <c r="HA119" s="150" t="str">
        <f aca="false">IF($FJ44&lt;HA$94,"",SQRT(HA44/HA$15))</f>
        <v/>
      </c>
      <c r="HB119" s="150" t="str">
        <f aca="false">IF($FJ44&lt;HB$94,"",SQRT(HB44/HB$15))</f>
        <v/>
      </c>
      <c r="HC119" s="150" t="str">
        <f aca="false">IF($FJ44&lt;HC$94,"",SQRT(HC44/HC$15))</f>
        <v/>
      </c>
      <c r="HD119" s="150" t="str">
        <f aca="false">IF($FJ44&lt;HD$94,"",SQRT(HD44/HD$15))</f>
        <v/>
      </c>
      <c r="HE119" s="150" t="str">
        <f aca="false">IF($FJ44&lt;HE$94,"",SQRT(HE44/HE$15))</f>
        <v/>
      </c>
      <c r="HF119" s="150" t="str">
        <f aca="false">IF($FJ44&lt;HF$94,"",SQRT(HF44/HF$15))</f>
        <v/>
      </c>
      <c r="HG119" s="150" t="str">
        <f aca="false">IF($FJ44&lt;HG$94,"",SQRT(HG44/HG$15))</f>
        <v/>
      </c>
      <c r="HH119" s="150" t="str">
        <f aca="false">IF($FJ44&lt;HH$94,"",SQRT(HH44/HH$15))</f>
        <v/>
      </c>
      <c r="HI119" s="150" t="str">
        <f aca="false">IF($FJ44&lt;HI$94,"",SQRT(HI44/HI$15))</f>
        <v/>
      </c>
      <c r="HJ119" s="150" t="str">
        <f aca="false">IF($FJ44&lt;HJ$94,"",SQRT(HJ44/HJ$15))</f>
        <v/>
      </c>
      <c r="HK119" s="150" t="str">
        <f aca="false">IF($FJ44&lt;HK$94,"",SQRT(HK44/HK$15))</f>
        <v/>
      </c>
      <c r="HL119" s="150" t="str">
        <f aca="false">IF($FJ44&lt;HL$94,"",SQRT(HL44/HL$15))</f>
        <v/>
      </c>
      <c r="HM119" s="150" t="str">
        <f aca="false">IF($FJ44&lt;HM$94,"",SQRT(HM44/HM$15))</f>
        <v/>
      </c>
      <c r="HN119" s="150" t="str">
        <f aca="false">IF($FJ44&lt;HN$94,"",SQRT(HN44/HN$15))</f>
        <v/>
      </c>
      <c r="HO119" s="150" t="str">
        <f aca="false">IF($FJ44&lt;HO$94,"",SQRT(HO44/HO$15))</f>
        <v/>
      </c>
      <c r="HP119" s="150" t="str">
        <f aca="false">IF($FJ44&lt;HP$94,"",SQRT(HP44/HP$15))</f>
        <v/>
      </c>
      <c r="HQ119" s="150" t="str">
        <f aca="false">IF($FJ44&lt;HQ$94,"",SQRT(HQ44/HQ$15))</f>
        <v/>
      </c>
      <c r="HR119" s="150" t="str">
        <f aca="false">IF($FJ44&lt;HR$94,"",SQRT(HR44/HR$15))</f>
        <v/>
      </c>
      <c r="HS119" s="150" t="str">
        <f aca="false">IF($FJ44&lt;HS$94,"",SQRT(HS44/HS$15))</f>
        <v/>
      </c>
      <c r="HT119" s="150" t="str">
        <f aca="false">IF($FJ44&lt;HT$94,"",SQRT(HT44/HT$15))</f>
        <v/>
      </c>
      <c r="HU119" s="150" t="str">
        <f aca="false">IF($FJ44&lt;HU$94,"",SQRT(HU44/HU$15))</f>
        <v/>
      </c>
      <c r="HV119" s="150" t="str">
        <f aca="false">IF($FJ44&lt;HV$94,"",SQRT(HV44/HV$15))</f>
        <v/>
      </c>
      <c r="HW119" s="150" t="str">
        <f aca="false">IF($FJ44&lt;HW$94,"",SQRT(HW44/HW$15))</f>
        <v/>
      </c>
      <c r="HX119" s="150" t="str">
        <f aca="false">IF($FJ44&lt;HX$94,"",SQRT(HX44/HX$15))</f>
        <v/>
      </c>
      <c r="HY119" s="150" t="str">
        <f aca="false">IF($FJ44&lt;HY$94,"",SQRT(HY44/HY$15))</f>
        <v/>
      </c>
      <c r="HZ119" s="150" t="str">
        <f aca="false">IF($FJ44&lt;HZ$94,"",SQRT(HZ44/HZ$15))</f>
        <v/>
      </c>
      <c r="IA119" s="150" t="str">
        <f aca="false">IF($FJ44&lt;IA$94,"",SQRT(IA44/IA$15))</f>
        <v/>
      </c>
      <c r="IB119" s="150" t="str">
        <f aca="false">IF($FJ44&lt;IB$94,"",SQRT(IB44/IB$15))</f>
        <v/>
      </c>
      <c r="IC119" s="150" t="str">
        <f aca="false">IF($FJ44&lt;IC$94,"",SQRT(IC44/IC$15))</f>
        <v/>
      </c>
      <c r="ID119" s="572" t="str">
        <f aca="false">IF($FJ44&lt;ID$94,"",SQRT(ID44/ID$15))</f>
        <v/>
      </c>
      <c r="IE119" s="129"/>
    </row>
    <row r="120" customFormat="false" ht="12.75" hidden="false" customHeight="false" outlineLevel="0" collapsed="false">
      <c r="H120" s="219" t="n">
        <f aca="false">VLOOKUP(I120,$EJ$20:$EL$54,3)</f>
        <v>0</v>
      </c>
      <c r="I120" s="511" t="n">
        <f aca="false">EOMONTH(I119,0)+1</f>
        <v>39814</v>
      </c>
      <c r="J120" s="512"/>
      <c r="K120" s="513" t="s">
        <v>280</v>
      </c>
      <c r="L120" s="514" t="n">
        <f aca="false">IF(ISNUMBER(K120),J120+K120/100,IF(K120="extra",L119+VLOOKUP(BF120,PriceSpreadTable,2)/12,IF(K120="inter",interpolateprices($K$19:$L$200,ROW(K120)-ROW(FirstPricingMonth)+1),interpolatechanges($J$19:$K$200,ROW(K120)-ROW(FirstPricingMonth)+1))))</f>
        <v>0.9</v>
      </c>
      <c r="M120" s="515"/>
      <c r="N120" s="516" t="n">
        <v>0</v>
      </c>
      <c r="O120" s="515" t="n">
        <f aca="false">M120+N120</f>
        <v>0</v>
      </c>
      <c r="P120" s="512"/>
      <c r="Q120" s="513" t="s">
        <v>280</v>
      </c>
      <c r="R120" s="512" t="e">
        <f aca="false">IF(ISNUMBER(Q120),P120+Q120/100,IF(Q120="extra",(Z118*AL118-R119*AM118)/AN118,IF(Q120="inter",interpolateprices($Q$19:$R$260,ROW(Q120)-ROW(FirstPricingMonth)+1),interpolatechanges($P$19:$Q$260,ROW(Q120)-ROW(FirstPricingMonth)+1))))</f>
        <v>#VALUE!</v>
      </c>
      <c r="S120" s="597" t="n">
        <f aca="false">S$19+(S119-S$19)*S$18</f>
        <v>0.360000000000017</v>
      </c>
      <c r="T120" s="575" t="n">
        <f aca="false">SQRT((1-(1-T119^2/U119)*T$18)*U120)</f>
        <v>0.999999982335603</v>
      </c>
      <c r="U120" s="576" t="n">
        <f aca="false">1-(1-U119)*U$18</f>
        <v>0.999999999999995</v>
      </c>
      <c r="V120" s="521" t="n">
        <v>0</v>
      </c>
      <c r="W120" s="577" t="n">
        <f aca="false">(J121*AJ120+J122*AK120)/AI120</f>
        <v>0</v>
      </c>
      <c r="X120" s="578" t="n">
        <f aca="false">(L121*AJ120+L122*AK120)/AI120</f>
        <v>0.951785714285714</v>
      </c>
      <c r="Y120" s="579" t="n">
        <f aca="false">IF(Q122="extra",W120-AA120,(P121*AM120+P122*AN120)/AL120)</f>
        <v>-1.1685</v>
      </c>
      <c r="Z120" s="579" t="n">
        <f aca="false">IF(Q122="extra",X120-AB120,(R121*AM120+R122*AN120)/AL120)</f>
        <v>-0.216714285714286</v>
      </c>
      <c r="AA120" s="523" t="n">
        <f aca="false">IF(Q122="extra",INDEX(BrentSeasonalityTable,INT((BG120-1)/3)+1)*VLOOKUP(MAX(BF120,$AB$4),PriceSpreadTable,3),W120-Y120)</f>
        <v>1.1685</v>
      </c>
      <c r="AB120" s="524" t="n">
        <f aca="false">IF(Q122="extra",INDEX(BrentSeasonalityTable,INT((BG120-1)/3)+1)*VLOOKUP(MAX(BF120,$AB$4),PriceSpreadTable,3),X120-Z120)</f>
        <v>1.1685</v>
      </c>
      <c r="AC120" s="646" t="n">
        <v>39802</v>
      </c>
      <c r="AD120" s="646" t="n">
        <v>39798</v>
      </c>
      <c r="AE120" s="646" t="n">
        <v>39797</v>
      </c>
      <c r="AF120" s="646" t="n">
        <v>39793</v>
      </c>
      <c r="AG120" s="438" t="s">
        <v>278</v>
      </c>
      <c r="AH120" s="439" t="s">
        <v>278</v>
      </c>
      <c r="AI120" s="528" t="n">
        <v>21</v>
      </c>
      <c r="AJ120" s="529" t="n">
        <v>13</v>
      </c>
      <c r="AK120" s="529" t="n">
        <v>8</v>
      </c>
      <c r="AL120" s="530" t="n">
        <v>21</v>
      </c>
      <c r="AM120" s="529" t="n">
        <v>9</v>
      </c>
      <c r="AN120" s="531" t="n">
        <v>12</v>
      </c>
      <c r="AO120" s="532"/>
      <c r="AP120" s="465" t="n">
        <f aca="false">(1+AO120/2)^(-2*BL120)</f>
        <v>1</v>
      </c>
      <c r="AQ120" s="532"/>
      <c r="AR120" s="465" t="n">
        <f aca="false">(1+AQ120/2)^(-2*BH120/365.25)</f>
        <v>1</v>
      </c>
      <c r="AS120" s="580" t="n">
        <f aca="false">(O121*AJ120+O122*AK120)/AI120</f>
        <v>0</v>
      </c>
      <c r="AT120" s="468" t="n">
        <f aca="false">O120*VLOOKUP(BF120,BrentVolTable,2)+VLOOKUP(BF120,BrentVolTable,3)</f>
        <v>0</v>
      </c>
      <c r="AU120" s="468" t="n">
        <f aca="false">(AT121*AM120+AT122*AN120)/AL120</f>
        <v>0</v>
      </c>
      <c r="AV120" s="595" t="n">
        <f aca="false">SQRT(MAX(0.000000000001,(O120^2*BH120-S120^2*(BH120-BH119))/BH119))</f>
        <v>0.0251291935477698</v>
      </c>
      <c r="AW120" s="451" t="n">
        <f aca="false">IF($I120-DateToday+15&gt;=$T$8,"",IF($I120-DateToday+15&lt;$T$5,1,MATCH($I120-DateToday+15,$T$5:$T$8)))</f>
        <v>1</v>
      </c>
      <c r="AX120" s="468" t="n">
        <f aca="false">IF($AW120="",AX119^2/AX118,INDEX(U$5:U$8,$AW120)^((INDEX($T$5:$T$8,$AW120+1)-($I120-DateToday+15))/(INDEX($T$5:$T$8,$AW120+1)-INDEX($T$5:$T$8,$AW120)))/INDEX(U$5:U$8,$AW120+1)^((INDEX($T$5:$T$8,$AW120)-($I120-DateToday+15))/(INDEX($T$5:$T$8,$AW120+1)-INDEX($T$5:$T$8,$AW120))))</f>
        <v>1.4793500818971</v>
      </c>
      <c r="AY120" s="468" t="n">
        <f aca="false">IF($AW120="",AY119^2/AY118,INDEX(V$5:V$8,$AW120)^((INDEX($T$5:$T$8,$AW120+1)-($I120-DateToday+15))/(INDEX($T$5:$T$8,$AW120+1)-INDEX($T$5:$T$8,$AW120)))/INDEX(V$5:V$8,$AW120+1)^((INDEX($T$5:$T$8,$AW120)-($I120-DateToday+15))/(INDEX($T$5:$T$8,$AW120+1)-INDEX($T$5:$T$8,$AW120))))</f>
        <v>77.1853261535635</v>
      </c>
      <c r="AZ120" s="468" t="n">
        <f aca="false">IF($AW120="",AZ119^2/AZ118,INDEX(W$5:W$8,$AW120)^((INDEX($T$5:$T$8,$AW120+1)-($I120-DateToday+15))/(INDEX($T$5:$T$8,$AW120+1)-INDEX($T$5:$T$8,$AW120)))/INDEX(W$5:W$8,$AW120+1)^((INDEX($T$5:$T$8,$AW120)-($I120-DateToday+15))/(INDEX($T$5:$T$8,$AW120+1)-INDEX($T$5:$T$8,$AW120))))</f>
        <v>187034.708705413</v>
      </c>
      <c r="BA120" s="468" t="n">
        <f aca="false">IF($AW120="",BA119^2/BA118,INDEX(X$5:X$8,$AW120)^((INDEX($T$5:$T$8,$AW120+1)-($I120-DateToday+15))/(INDEX($T$5:$T$8,$AW120+1)-INDEX($T$5:$T$8,$AW120)))/INDEX(X$5:X$8,$AW120+1)^((INDEX($T$5:$T$8,$AW120)-($I120-DateToday+15))/(INDEX($T$5:$T$8,$AW120+1)-INDEX($T$5:$T$8,$AW120))))</f>
        <v>2882185.53792657</v>
      </c>
      <c r="BB120" s="468" t="n">
        <f aca="false">IF($AW120="",BB119^2/BB118,INDEX(Y$5:Y$8,$AW120)^((INDEX($T$5:$T$8,$AW120+1)-($I120-DateToday+15))/(INDEX($T$5:$T$8,$AW120+1)-INDEX($T$5:$T$8,$AW120)))/INDEX(Y$5:Y$8,$AW120+1)^((INDEX($T$5:$T$8,$AW120)-($I120-DateToday+15))/(INDEX($T$5:$T$8,$AW120+1)-INDEX($T$5:$T$8,$AW120))))</f>
        <v>29604805.1040418</v>
      </c>
      <c r="BC120" s="468" t="n">
        <f aca="false">IF($AW120="",BC119^2/BC118,INDEX(Z$5:Z$8,$AW120)^((INDEX($T$5:$T$8,$AW120+1)-($I120-DateToday+15))/(INDEX($T$5:$T$8,$AW120+1)-INDEX($T$5:$T$8,$AW120)))/INDEX(Z$5:Z$8,$AW120+1)^((INDEX($T$5:$T$8,$AW120)-($I120-DateToday+15))/(INDEX($T$5:$T$8,$AW120+1)-INDEX($T$5:$T$8,$AW120))))</f>
        <v>120293853.935904</v>
      </c>
      <c r="BD120" s="535" t="n">
        <f aca="false">IF(OR(DateStart&gt;=I121,DateEnd&lt;I120),0,IF(VolumeOverrideFlag,V120,Volume))</f>
        <v>0</v>
      </c>
      <c r="BE120" s="536" t="n">
        <f aca="false">IF(OR(DateStart2&gt;=I121,DateEnd2&lt;I120),0,IF(VolumeOverrideFlag,V120,VolumeSwaption))</f>
        <v>0</v>
      </c>
      <c r="BF120" s="537" t="n">
        <f aca="false">YEAR(I120)</f>
        <v>2009</v>
      </c>
      <c r="BG120" s="538" t="n">
        <f aca="false">MONTH(I120)</f>
        <v>1</v>
      </c>
      <c r="BH120" s="539" t="n">
        <f aca="false">AD120-DateToday+1</f>
        <v>-6127</v>
      </c>
      <c r="BI120" s="540" t="n">
        <f aca="false">(I120-DateToday+1)/365.25</f>
        <v>-16.7310061601643</v>
      </c>
      <c r="BJ120" s="541" t="n">
        <f aca="false">BI120+(BL120-BI120)*CHOOSE(Underlying,AJ120/AI120,AM120/AL120)</f>
        <v>-16.6801603598318</v>
      </c>
      <c r="BK120" s="541" t="n">
        <f aca="false">BJ120+1/365.25</f>
        <v>-16.6774225090447</v>
      </c>
      <c r="BL120" s="541" t="n">
        <f aca="false">(I121-DateToday)/365.25</f>
        <v>-16.6488706365503</v>
      </c>
      <c r="BM120" s="542" t="e">
        <f aca="false">MAX(BI120-(BJ120-BI120)*(S121^2/O121^2-1),0)</f>
        <v>#DIV/0!</v>
      </c>
      <c r="BN120" s="541" t="e">
        <f aca="false">MAX(BL120+(BL120-BK120)*(S122^2/O122^2-1),0)</f>
        <v>#DIV/0!</v>
      </c>
      <c r="BO120" s="530" t="n">
        <f aca="false">CHOOSE(Underlying,AI120,AL120)</f>
        <v>21</v>
      </c>
      <c r="BP120" s="529" t="n">
        <f aca="false">CHOOSE(Underlying,AJ120,AM120)</f>
        <v>13</v>
      </c>
      <c r="BQ120" s="529" t="n">
        <f aca="false">CHOOSE(Underlying,AK120,AN120)</f>
        <v>8</v>
      </c>
      <c r="BR120" s="463" t="str">
        <f aca="false">IF(BD120,IF(Underlying=1,X120,Z120)+UnderlyingPriceAsian-SwapPriceCurve,"")</f>
        <v/>
      </c>
      <c r="BS120" s="463" t="str">
        <f aca="false">IF(BD120,Strike1/BR120-1,"")</f>
        <v/>
      </c>
      <c r="BT120" s="464" t="str">
        <f aca="false">IF(BD120,Strike2/BR120-1,"")</f>
        <v/>
      </c>
      <c r="BU120" s="465" t="str">
        <f aca="false">IF(BD120,IF(Underlying=1,L121,R121)+UnderlyingPriceAsian-SwapPriceCurve,"")</f>
        <v/>
      </c>
      <c r="BV120" s="465" t="str">
        <f aca="false">IF(BD120,IF(Underlying=1,L122,R122)+UnderlyingPriceAsian-SwapPriceCurve,"")</f>
        <v/>
      </c>
      <c r="BW120" s="466" t="str">
        <f aca="false">IF(BD120,IF(Underlying=1,O121,AT121),"")</f>
        <v/>
      </c>
      <c r="BX120" s="467" t="str">
        <f aca="false">IF(BD120,IF(Underlying=1,O122,AT122),"")</f>
        <v/>
      </c>
      <c r="BY120" s="466" t="str">
        <f aca="false">IF(BD120,IF(BS120&gt;0,IF(BS120&gt;0.2,BC120-BB120,IF(BS120&gt;0.1,BB120-BA120,BA120)),IF(BS120&lt;-0.2,AX120-AY120,IF(BS120&lt;-0.1,AY120-AZ120,AZ120))),"")</f>
        <v/>
      </c>
      <c r="BZ120" s="467" t="str">
        <f aca="false">IF(BD120,IF(BT120&gt;0,IF(BT120&gt;0.2,BC120-BB120,IF(BT120&gt;0.1,BB120-BA120,BA120)),IF(BT120&lt;-0.2,AX120-AY120,IF(BT120&lt;-0.1,AY120-AZ120,AZ120))),"")</f>
        <v/>
      </c>
      <c r="CA120" s="468" t="str">
        <f aca="false">IF($BD120,$BW120+IF(VolSkewFlag=1,IF(BS120&gt;0,$BA120*MIN(BS120/10%,1)+($BB120-$BA120)*MAX(0,MIN(BS120/10%-1,1))+($BC120-$BB120)*MAX(0,BS120/10%-2),$AZ120*MIN(-BS120/10%,1)+($AY120-$AZ120)*MAX(0,MIN(-BS120/10%-1,1))+($AX120-$AY120)*MAX(0,-BS120/10%-2)),0),"")</f>
        <v/>
      </c>
      <c r="CB120" s="468" t="str">
        <f aca="false">IF($BD120,$BX120+IF(VolSkewFlag=1,IF(BS120&gt;0,$BA120*MIN(BS120/10%,1)+($BB120-$BA120)*MAX(0,MIN(BS120/10%-1,1))+($BC120-$BB120)*MAX(0,BS120/10%-2),$AZ120*MIN(-BS120/10%,1)+($AY120-$AZ120)*MAX(0,MIN(-BS120/10%-1,1))+($AX120-$AY120)*MAX(0,-BS120/10%-2)),0),"")</f>
        <v/>
      </c>
      <c r="CC120" s="468" t="str">
        <f aca="false">IF($BD120,$BW120+IF(VolSkewFlag=1,IF(BT120&gt;0,$BA120*MIN(BT120/10%,1)+($BB120-$BA120)*MAX(0,MIN(BT120/10%-1,1))+($BC120-$BB120)*MAX(0,BT120/10%-2),$AZ120*MIN(-BT120/10%,1)+($AY120-$AZ120)*MAX(0,MIN(-BT120/10%-1,1))+($AX120-$AY120)*MAX(0,-BT120/10%-2)),0),"")</f>
        <v/>
      </c>
      <c r="CD120" s="468" t="str">
        <f aca="false">IF($BD120,$BX120+IF(VolSkewFlag=1,IF(BT120&gt;0,$BA120*MIN(BT120/10%,1)+($BB120-$BA120)*MAX(0,MIN(BT120/10%-1,1))+($BC120-$BB120)*MAX(0,BT120/10%-2),$AZ120*MIN(-BT120/10%,1)+($AY120-$AZ120)*MAX(0,MIN(-BT120/10%-1,1))+($AX120-$AY120)*MAX(0,-BT120/10%-2)),0),"")</f>
        <v/>
      </c>
      <c r="CE120" s="469" t="n">
        <v>1</v>
      </c>
      <c r="CF120" s="470" t="n">
        <f aca="false">IF(BD120,xCrudeAPO(BU120,BV120,CA120,CB120,S121,S122,BI120,BL120,BP120,BQ120,0,Strike1,AO120,CE120,0,BL120,IF(OptControl=4,0,1),0,1),0)</f>
        <v>0</v>
      </c>
      <c r="CG120" s="470" t="n">
        <f aca="false">IF(BD120,xCrudeAPO(BU120,BV120,CA120,CB120,S121,S122,BI120,BL120,BP120,BQ120,0,Strike1,AO120,CE120,0,BL120,IF(OptControl=4,0,1),1,1)+xCrudeAPO(BU120,BV120,CA120,CB120,S121,S122,BI120,BL120,BP120,BQ120,0,Strike1,AO120,CE120,0,BL120,IF(OptControl=4,0,1),1,2)+IF(OR(VolSkewFlag=2,ABS(BS120)&lt;0.0001),0,IF(BS120&gt;0,-1,1)*CH120*Strike1/BR120^2*BY120/10%),0)</f>
        <v>0</v>
      </c>
      <c r="CH120" s="470" t="n">
        <f aca="false">IF(BD120,(xCrudeAPO(BU120,BV120,CA120,CB120,S121,S122,BI120,BL120,BP120,BQ120,0,Strike1,AO120,CE120,0,BL120,IF(OptControl=4,0,1),3,1)+xCrudeAPO(BU120,BV120,CA120,CB120,S121,S122,BI120,BL120,BP120,BQ120,0,Strike1,AO120,CE120,0,BL120,IF(OptControl=4,0,1),3,2))/100,0)</f>
        <v>0</v>
      </c>
      <c r="CI120" s="470" t="n">
        <f aca="false">IF(BD120,xCrudeAPO(BU120,BV120,CA120,CB120,S121,S122,BI120-DaysForThetaCalculation/365.25,BL120-DaysForThetaCalculation/365.25,BP120,BQ120,0,Strike1,AO120,CE120,0,BL120,IF(OptControl=4,0,1),0,1)-xCrudeAPO(BU120,BV120,CA120,CB120,S121,S122,BI120,BL120,BP120,BQ120,0,Strike1,AO120,CE120,0,BL120,IF(OptControl=4,0,1),0,1),0)</f>
        <v>0</v>
      </c>
      <c r="CJ120" s="471" t="n">
        <f aca="false">IF(BD120,xCrudeAPO(BU120,BV120,CC120,CD120,S121,S122,BI120,BL120,BP120,BQ120,0,Strike2,AO120,CE120,0,BL120,IF(OptControl=3,1,0),0,1),0)</f>
        <v>0</v>
      </c>
      <c r="CK120" s="470" t="n">
        <f aca="false">IF(BD120,xCrudeAPO(BU120,BV120,CC120,CD120,S121,S122,BI120,BL120,BP120,BQ120,0,Strike2,AO120,CE120,0,BL120,IF(OptControl=3,1,0),1,1)+xCrudeAPO(BU120,BV120,CC120,CD120,S121,S122,BI120,BL120,BP120,BQ120,0,Strike2,AO120,CE120,0,BL120,IF(OptControl=3,1,0),1,2)+IF(OR(VolSkewFlag=2,ABS(BT120)&lt;0.0001),0,IF(BT120&gt;0,-1,1)*CL120*Strike2/BR120^2*BZ120/10%),0)</f>
        <v>0</v>
      </c>
      <c r="CL120" s="470" t="n">
        <f aca="false">IF(BD120,(xCrudeAPO(BU120,BV120,CC120,CD120,S121,S122,BI120,BL120,BP120,BQ120,0,Strike2,AO120,CE120,0,BL120,IF(OptControl=3,1,0),3,1)+xCrudeAPO(BU120,BV120,CC120,CD120,S121,S122,BI120,BL120,BP120,BQ120,0,Strike2,AO120,CE120,0,BL120,IF(OptControl=3,1,0),3,2))/100,0)</f>
        <v>0</v>
      </c>
      <c r="CM120" s="472" t="n">
        <f aca="false">IF(BD120,xCrudeAPO(BU120,BV120,CC120,CD120,S121,S122,BI120-DaysForThetaCalculation/365.25,BL120-DaysForThetaCalculation/365.25,BP120,BQ120,0,Strike2,AO120,CE120,0,BL120,IF(OptControl=3,1,0),0,1)-xCrudeAPO(BU120,BV120,CC120,CD120,S121,S122,BI120,BL120,BP120,BQ120,0,Strike2,AO120,CE120,0,BL120,IF(OptControl=3,1,0),0,1),0)</f>
        <v>0</v>
      </c>
      <c r="CN120" s="3"/>
      <c r="CO120" s="543" t="str">
        <f aca="false">IF(BD120,CHOOSE(Underlying,AD120,AF120)-DateToday+1,"")</f>
        <v/>
      </c>
      <c r="CP120" s="582" t="str">
        <f aca="false">IF(BD120,CHOOSE(Underlying,L120,R120),"")</f>
        <v/>
      </c>
      <c r="CQ120" s="544" t="str">
        <f aca="false">IF(BD120,Strike1/CP120-1,"")</f>
        <v/>
      </c>
      <c r="CR120" s="544" t="str">
        <f aca="false">IF(BD120,Strike2/CP120-1,"")</f>
        <v/>
      </c>
      <c r="CS120" s="544" t="str">
        <f aca="false">IF(BD120,IF(CQ120&gt;0,IF(CQ120&gt;0.2,BC119-BB119,IF(CQ120&gt;0.1,BB119-BA119,BA119)),IF(CQ120&lt;-0.2,AX119-AY119,IF(CQ120&lt;-0.1,AY119-AZ119,AZ119))),"")</f>
        <v/>
      </c>
      <c r="CT120" s="544" t="str">
        <f aca="false">IF(BD120,IF(CR120&gt;0,IF(CR120&gt;0.2,BC119-BB119,IF(CR120&gt;0.1,BB119-BA119,BA119)),IF(CR120&lt;-0.2,AX119-AY119,IF(CR120&lt;-0.1,AY119-AZ119,AZ119))),"")</f>
        <v/>
      </c>
      <c r="CU120" s="545" t="str">
        <f aca="false">IF(BD120,CHOOSE(Underlying,O120,AT120),"")</f>
        <v/>
      </c>
      <c r="CV120" s="545" t="str">
        <f aca="false">IF(BD120,CU120+IF(VolSkewFlag=1,IF(CQ120&gt;0,BA119*MIN(CQ120/10%,1)+(BB119-BA119)*MAX(0,MIN(CQ120/10%-1,1))+(BC119-BB119)*MAX(0,CQ120/10%-2),AZ119*MIN(-CQ120/10%,1)+(AY119-AZ119)*MAX(0,MIN(-CQ120/10%-1,1))+(AX119-AY119)*MAX(0,-CQ120/10%-2)),0),"")</f>
        <v/>
      </c>
      <c r="CW120" s="545" t="str">
        <f aca="false">IF(BD120,CU120+IF(VolSkewFlag=1,IF(CR120&gt;0,BA119*MIN(CR120/10%,1)+(BB119-BA119)*MAX(0,MIN(CR120/10%-1,1))+(BC119-BB119)*MAX(0,CR120/10%-2),AZ119*MIN(-CR120/10%,1)+(AY119-AZ119)*MAX(0,MIN(-CR120/10%-1,1))+(AX119-AY119)*MAX(0,-CR120/10%-2)),0),"")</f>
        <v/>
      </c>
      <c r="CX120" s="470" t="n">
        <f aca="false">IF(BD120,EURO(CP120,Strike1,AO120,AO120,CV120,CO120,IF(OptControl=4,0,1),0),0)</f>
        <v>0</v>
      </c>
      <c r="CY120" s="470" t="n">
        <f aca="false">IF(BD120,EURO(CP120,Strike1,AO120,AO120,CV120,CO120,IF(OptControl=4,0,1),1)+IF(OR(VolSkewFlag=2,ABS(CQ120)&lt;0.0001),0,IF(CQ120&gt;0,-1,1)*CZ120*100*Strike1/CP120^2*CS120/10%),0)</f>
        <v>0</v>
      </c>
      <c r="CZ120" s="470" t="n">
        <f aca="false">IF(BD120,EURO(CP120,Strike1,AO120,AO120,CV120,CO120,IF(OptControl=4,0,1),3)/100,0)</f>
        <v>0</v>
      </c>
      <c r="DA120" s="470" t="n">
        <f aca="false">IF(BD120,EURO(CP120,Strike1,AO120,AO120,CV120,CO120,IF(OptControl=4,0,1),0)-EURO(CP120,Strike1,AO120,AO120,CV120,CO120-1,IF(OptControl=4,0,1),0),0)</f>
        <v>0</v>
      </c>
      <c r="DB120" s="470" t="n">
        <f aca="false">IF(BD120,EURO(CP120,Strike2,AO120,AO120,CW120,CO120,IF(OptControl=3,1,0),0),0)</f>
        <v>0</v>
      </c>
      <c r="DC120" s="470" t="n">
        <f aca="false">IF(BD120,EURO(CP120,Strike2,AO120,AO120,CW120,CO120,IF(OptControl=3,1,0),1)+IF(OR(VolSkewFlag=2,ABS(CR120)&lt;0.0001),0,IF(CR120&gt;0,-1,1)*DD120*100*Strike2/CP120^2*CT120/10%),0)</f>
        <v>0</v>
      </c>
      <c r="DD120" s="470" t="n">
        <f aca="false">IF(BD120,EURO(CP120,Strike2,AO120,AO120,CW120,CO120,IF(OptControl=3,1,0),3)/100,0)</f>
        <v>0</v>
      </c>
      <c r="DE120" s="472" t="n">
        <f aca="false">IF(BD120,EURO(CP120,Strike2,AO120,AO120,CW120,CO120,IF(OptControl=3,1,0),0)-EURO(CP120,Strike2,AO120,AO120,CW120,CO120-1,IF(OptControl=3,1,0),0),0)</f>
        <v>0</v>
      </c>
      <c r="DG120" s="481" t="n">
        <f aca="false">EOMONTH(DG119,0)+1</f>
        <v>48731</v>
      </c>
      <c r="DH120" s="478" t="n">
        <v>19.16</v>
      </c>
      <c r="DI120" s="479" t="n">
        <v>19.2242857142857</v>
      </c>
      <c r="DJ120" s="480" t="n">
        <f aca="false">DG120</f>
        <v>48731</v>
      </c>
      <c r="DK120" s="478" t="n">
        <v>17.7462996910712</v>
      </c>
      <c r="DL120" s="479" t="n">
        <v>17.9327857142857</v>
      </c>
      <c r="DM120" s="481" t="n">
        <f aca="false">DG120</f>
        <v>48731</v>
      </c>
      <c r="DN120" s="482" t="n">
        <f aca="false">DK120+BrentPhyBrentSpread</f>
        <v>17.7962996910712</v>
      </c>
      <c r="DO120" s="481" t="n">
        <f aca="false">DG120</f>
        <v>48731</v>
      </c>
      <c r="DP120" s="483" t="n">
        <f aca="false">DL120+DQ120</f>
        <v>17.9327857142857</v>
      </c>
      <c r="DQ120" s="546" t="n">
        <v>0</v>
      </c>
      <c r="DR120" s="480" t="n">
        <f aca="false">DG120</f>
        <v>48731</v>
      </c>
      <c r="DS120" s="485" t="n">
        <v>0.1646</v>
      </c>
      <c r="DT120" s="486" t="n">
        <v>0.163828571428571</v>
      </c>
      <c r="DU120" s="480" t="n">
        <f aca="false">DG120</f>
        <v>48731</v>
      </c>
      <c r="DV120" s="485" t="n">
        <v>0.1646</v>
      </c>
      <c r="DW120" s="486" t="n">
        <v>0.163828571428571</v>
      </c>
      <c r="DX120" s="481" t="n">
        <f aca="false">DG120</f>
        <v>48731</v>
      </c>
      <c r="DY120" s="486" t="n">
        <v>0.35</v>
      </c>
      <c r="DZ120" s="481" t="n">
        <f aca="false">DR120</f>
        <v>48731</v>
      </c>
      <c r="EA120" s="486" t="n">
        <f aca="false">DT120</f>
        <v>0.163828571428571</v>
      </c>
      <c r="EB120" s="195"/>
      <c r="EC120" s="547" t="str">
        <f aca="false">IF(BD120,IF(Underlying=1,AS120,AU120),"")</f>
        <v/>
      </c>
      <c r="ED120" s="548" t="str">
        <f aca="false">IF($BD120,$EC120+IF(VolSkewFlag=1,IF(BS120&gt;0,$BA120*MIN(BS120/10%,1)+($BB120-$BA120)*MAX(0,MIN(BS120/10%-1,1))+($BC120-$BB120)*MAX(0,BS120/10%-2),$AZ120*MIN(-BS120/10%,1)+($AY120-$AZ120)*MAX(0,MIN(-BS120/10%-1,1))+($AX120-$AY120)*MAX(0,-BS120/10%-2)),0),"")</f>
        <v/>
      </c>
      <c r="EE120" s="549" t="str">
        <f aca="false">IF($BD120,$EC120+IF(VolSkewFlag=1,IF(BT120&gt;0,$BA120*MIN(BT120/10%,1)+($BB120-$BA120)*MAX(0,MIN(BT120/10%-1,1))+($BC120-$BB120)*MAX(0,BT120/10%-2),$AZ120*MIN(-BT120/10%,1)+($AY120-$AZ120)*MAX(0,MIN(-BT120/10%-1,1))+($AX120-$AY120)*MAX(0,-BT120/10%-2)),0),"")</f>
        <v/>
      </c>
      <c r="EF120" s="550" t="n">
        <f aca="false">IF(BD120,xASN(BR120,Strike1,AO120,ED120,0,BO120,0,BI120,BL120,IF(OptControl=4,0,1),0),0)</f>
        <v>0</v>
      </c>
      <c r="EG120" s="551" t="n">
        <f aca="false">IF(BD120,xASN(BR120,Strike2,AO120,EE120,0,BO120,0,BI120,BL120,IF(OptControl=3,1,0),0),0)</f>
        <v>0</v>
      </c>
      <c r="EL120" s="1"/>
      <c r="EM120" s="195"/>
      <c r="EN120" s="240"/>
      <c r="EO120" s="240"/>
      <c r="EP120" s="195"/>
      <c r="EQ120" s="407" t="s">
        <v>347</v>
      </c>
      <c r="ES120" s="130"/>
      <c r="ET120" s="19"/>
      <c r="EU120" s="672"/>
      <c r="EV120" s="478"/>
      <c r="EW120" s="131"/>
      <c r="EX120" s="131"/>
      <c r="EY120" s="129"/>
      <c r="EZ120" s="129"/>
      <c r="FA120" s="129"/>
      <c r="FB120" s="129"/>
      <c r="FC120" s="129"/>
      <c r="FD120" s="129"/>
      <c r="FE120" s="129"/>
      <c r="FF120" s="129"/>
      <c r="FG120" s="129"/>
      <c r="FH120" s="129"/>
      <c r="FI120" s="129"/>
      <c r="FJ120" s="571" t="n">
        <v>26</v>
      </c>
      <c r="FK120" s="150" t="e">
        <f aca="false">IF($FJ45&lt;FK$94,"",SQRT(FK45/FK$15))</f>
        <v>#DIV/0!</v>
      </c>
      <c r="FL120" s="150" t="n">
        <f aca="false">IF($FJ45&lt;FL$94,"",SQRT(FL45/FL$15))</f>
        <v>-0</v>
      </c>
      <c r="FM120" s="150" t="n">
        <f aca="false">IF($FJ45&lt;FM$94,"",SQRT(FM45/FM$15))</f>
        <v>0.17413832806722</v>
      </c>
      <c r="FN120" s="150" t="n">
        <f aca="false">IF($FJ45&lt;FN$94,"",SQRT(FN45/FN$15))</f>
        <v>0.171404042652515</v>
      </c>
      <c r="FO120" s="150" t="n">
        <f aca="false">IF($FJ45&lt;FO$94,"",SQRT(FO45/FO$15))</f>
        <v>0.169594772168084</v>
      </c>
      <c r="FP120" s="150" t="n">
        <f aca="false">IF($FJ45&lt;FP$94,"",SQRT(FP45/FP$15))</f>
        <v>0.168523382696164</v>
      </c>
      <c r="FQ120" s="150" t="n">
        <f aca="false">IF($FJ45&lt;FQ$94,"",SQRT(FQ45/FQ$15))</f>
        <v>0.168057574830693</v>
      </c>
      <c r="FR120" s="150" t="n">
        <f aca="false">IF($FJ45&lt;FR$94,"",SQRT(FR45/FR$15))</f>
        <v>0.168107838389896</v>
      </c>
      <c r="FS120" s="150" t="n">
        <f aca="false">IF($FJ45&lt;FS$94,"",SQRT(FS45/FS$15))</f>
        <v>0.16861880857791</v>
      </c>
      <c r="FT120" s="150" t="n">
        <f aca="false">IF($FJ45&lt;FT$94,"",SQRT(FT45/FT$15))</f>
        <v>0.169563285195601</v>
      </c>
      <c r="FU120" s="150" t="n">
        <f aca="false">IF($FJ45&lt;FU$94,"",SQRT(FU45/FU$15))</f>
        <v>0.170938399958271</v>
      </c>
      <c r="FV120" s="150" t="n">
        <f aca="false">IF($FJ45&lt;FV$94,"",SQRT(FV45/FV$15))</f>
        <v>0.17276360058772</v>
      </c>
      <c r="FW120" s="150" t="n">
        <f aca="false">IF($FJ45&lt;FW$94,"",SQRT(FW45/FW$15))</f>
        <v>0.175080281703066</v>
      </c>
      <c r="FX120" s="150" t="n">
        <f aca="false">IF($FJ45&lt;FX$94,"",SQRT(FX45/FX$15))</f>
        <v>0.177953048994993</v>
      </c>
      <c r="FY120" s="150" t="n">
        <f aca="false">IF($FJ45&lt;FY$94,"",SQRT(FY45/FY$15))</f>
        <v>0.181472774487325</v>
      </c>
      <c r="FZ120" s="150" t="n">
        <f aca="false">IF($FJ45&lt;FZ$94,"",SQRT(FZ45/FZ$15))</f>
        <v>0.185761812815273</v>
      </c>
      <c r="GA120" s="150" t="n">
        <f aca="false">IF($FJ45&lt;GA$94,"",SQRT(GA45/GA$15))</f>
        <v>0.190982039616446</v>
      </c>
      <c r="GB120" s="150" t="n">
        <f aca="false">IF($FJ45&lt;GB$94,"",SQRT(GB45/GB$15))</f>
        <v>0.197346804413214</v>
      </c>
      <c r="GC120" s="150" t="n">
        <f aca="false">IF($FJ45&lt;GC$94,"",SQRT(GC45/GC$15))</f>
        <v>0.205138564881717</v>
      </c>
      <c r="GD120" s="150" t="n">
        <f aca="false">IF($FJ45&lt;GD$94,"",SQRT(GD45/GD$15))</f>
        <v>0.214735068668096</v>
      </c>
      <c r="GE120" s="150" t="n">
        <f aca="false">IF($FJ45&lt;GE$94,"",SQRT(GE45/GE$15))</f>
        <v>0.226648804150967</v>
      </c>
      <c r="GF120" s="150" t="n">
        <f aca="false">IF($FJ45&lt;GF$94,"",SQRT(GF45/GF$15))</f>
        <v>0.241587678756281</v>
      </c>
      <c r="GG120" s="150" t="n">
        <f aca="false">IF($FJ45&lt;GG$94,"",SQRT(GG45/GG$15))</f>
        <v>0.260550730123056</v>
      </c>
      <c r="GH120" s="150" t="n">
        <f aca="false">IF($FJ45&lt;GH$94,"",SQRT(GH45/GH$15))</f>
        <v>0.284983637680841</v>
      </c>
      <c r="GI120" s="150" t="n">
        <f aca="false">IF($FJ45&lt;GI$94,"",SQRT(GI45/GI$15))</f>
        <v>0.317040232568718</v>
      </c>
      <c r="GJ120" s="150" t="n">
        <f aca="false">IF($FJ45&lt;GJ$94,"",SQRT(GJ45/GJ$15))</f>
        <v>0.360040135651102</v>
      </c>
      <c r="GK120" s="150" t="str">
        <f aca="false">IF($FJ45&lt;GK$94,"",SQRT(GK45/GK$15))</f>
        <v/>
      </c>
      <c r="GL120" s="150" t="str">
        <f aca="false">IF($FJ45&lt;GL$94,"",SQRT(GL45/GL$15))</f>
        <v/>
      </c>
      <c r="GM120" s="150" t="str">
        <f aca="false">IF($FJ45&lt;GM$94,"",SQRT(GM45/GM$15))</f>
        <v/>
      </c>
      <c r="GN120" s="150" t="str">
        <f aca="false">IF($FJ45&lt;GN$94,"",SQRT(GN45/GN$15))</f>
        <v/>
      </c>
      <c r="GO120" s="150" t="str">
        <f aca="false">IF($FJ45&lt;GO$94,"",SQRT(GO45/GO$15))</f>
        <v/>
      </c>
      <c r="GP120" s="150" t="str">
        <f aca="false">IF($FJ45&lt;GP$94,"",SQRT(GP45/GP$15))</f>
        <v/>
      </c>
      <c r="GQ120" s="150" t="str">
        <f aca="false">IF($FJ45&lt;GQ$94,"",SQRT(GQ45/GQ$15))</f>
        <v/>
      </c>
      <c r="GR120" s="150" t="str">
        <f aca="false">IF($FJ45&lt;GR$94,"",SQRT(GR45/GR$15))</f>
        <v/>
      </c>
      <c r="GS120" s="150" t="str">
        <f aca="false">IF($FJ45&lt;GS$94,"",SQRT(GS45/GS$15))</f>
        <v/>
      </c>
      <c r="GT120" s="150" t="str">
        <f aca="false">IF($FJ45&lt;GT$94,"",SQRT(GT45/GT$15))</f>
        <v/>
      </c>
      <c r="GU120" s="150" t="str">
        <f aca="false">IF($FJ45&lt;GU$94,"",SQRT(GU45/GU$15))</f>
        <v/>
      </c>
      <c r="GV120" s="150" t="str">
        <f aca="false">IF($FJ45&lt;GV$94,"",SQRT(GV45/GV$15))</f>
        <v/>
      </c>
      <c r="GW120" s="150" t="str">
        <f aca="false">IF($FJ45&lt;GW$94,"",SQRT(GW45/GW$15))</f>
        <v/>
      </c>
      <c r="GX120" s="150" t="str">
        <f aca="false">IF($FJ45&lt;GX$94,"",SQRT(GX45/GX$15))</f>
        <v/>
      </c>
      <c r="GY120" s="150" t="str">
        <f aca="false">IF($FJ45&lt;GY$94,"",SQRT(GY45/GY$15))</f>
        <v/>
      </c>
      <c r="GZ120" s="150" t="str">
        <f aca="false">IF($FJ45&lt;GZ$94,"",SQRT(GZ45/GZ$15))</f>
        <v/>
      </c>
      <c r="HA120" s="150" t="str">
        <f aca="false">IF($FJ45&lt;HA$94,"",SQRT(HA45/HA$15))</f>
        <v/>
      </c>
      <c r="HB120" s="150" t="str">
        <f aca="false">IF($FJ45&lt;HB$94,"",SQRT(HB45/HB$15))</f>
        <v/>
      </c>
      <c r="HC120" s="150" t="str">
        <f aca="false">IF($FJ45&lt;HC$94,"",SQRT(HC45/HC$15))</f>
        <v/>
      </c>
      <c r="HD120" s="150" t="str">
        <f aca="false">IF($FJ45&lt;HD$94,"",SQRT(HD45/HD$15))</f>
        <v/>
      </c>
      <c r="HE120" s="150" t="str">
        <f aca="false">IF($FJ45&lt;HE$94,"",SQRT(HE45/HE$15))</f>
        <v/>
      </c>
      <c r="HF120" s="150" t="str">
        <f aca="false">IF($FJ45&lt;HF$94,"",SQRT(HF45/HF$15))</f>
        <v/>
      </c>
      <c r="HG120" s="150" t="str">
        <f aca="false">IF($FJ45&lt;HG$94,"",SQRT(HG45/HG$15))</f>
        <v/>
      </c>
      <c r="HH120" s="150" t="str">
        <f aca="false">IF($FJ45&lt;HH$94,"",SQRT(HH45/HH$15))</f>
        <v/>
      </c>
      <c r="HI120" s="150" t="str">
        <f aca="false">IF($FJ45&lt;HI$94,"",SQRT(HI45/HI$15))</f>
        <v/>
      </c>
      <c r="HJ120" s="150" t="str">
        <f aca="false">IF($FJ45&lt;HJ$94,"",SQRT(HJ45/HJ$15))</f>
        <v/>
      </c>
      <c r="HK120" s="150" t="str">
        <f aca="false">IF($FJ45&lt;HK$94,"",SQRT(HK45/HK$15))</f>
        <v/>
      </c>
      <c r="HL120" s="150" t="str">
        <f aca="false">IF($FJ45&lt;HL$94,"",SQRT(HL45/HL$15))</f>
        <v/>
      </c>
      <c r="HM120" s="150" t="str">
        <f aca="false">IF($FJ45&lt;HM$94,"",SQRT(HM45/HM$15))</f>
        <v/>
      </c>
      <c r="HN120" s="150" t="str">
        <f aca="false">IF($FJ45&lt;HN$94,"",SQRT(HN45/HN$15))</f>
        <v/>
      </c>
      <c r="HO120" s="150" t="str">
        <f aca="false">IF($FJ45&lt;HO$94,"",SQRT(HO45/HO$15))</f>
        <v/>
      </c>
      <c r="HP120" s="150" t="str">
        <f aca="false">IF($FJ45&lt;HP$94,"",SQRT(HP45/HP$15))</f>
        <v/>
      </c>
      <c r="HQ120" s="150" t="str">
        <f aca="false">IF($FJ45&lt;HQ$94,"",SQRT(HQ45/HQ$15))</f>
        <v/>
      </c>
      <c r="HR120" s="150" t="str">
        <f aca="false">IF($FJ45&lt;HR$94,"",SQRT(HR45/HR$15))</f>
        <v/>
      </c>
      <c r="HS120" s="150" t="str">
        <f aca="false">IF($FJ45&lt;HS$94,"",SQRT(HS45/HS$15))</f>
        <v/>
      </c>
      <c r="HT120" s="150" t="str">
        <f aca="false">IF($FJ45&lt;HT$94,"",SQRT(HT45/HT$15))</f>
        <v/>
      </c>
      <c r="HU120" s="150" t="str">
        <f aca="false">IF($FJ45&lt;HU$94,"",SQRT(HU45/HU$15))</f>
        <v/>
      </c>
      <c r="HV120" s="150" t="str">
        <f aca="false">IF($FJ45&lt;HV$94,"",SQRT(HV45/HV$15))</f>
        <v/>
      </c>
      <c r="HW120" s="150" t="str">
        <f aca="false">IF($FJ45&lt;HW$94,"",SQRT(HW45/HW$15))</f>
        <v/>
      </c>
      <c r="HX120" s="150" t="str">
        <f aca="false">IF($FJ45&lt;HX$94,"",SQRT(HX45/HX$15))</f>
        <v/>
      </c>
      <c r="HY120" s="150" t="str">
        <f aca="false">IF($FJ45&lt;HY$94,"",SQRT(HY45/HY$15))</f>
        <v/>
      </c>
      <c r="HZ120" s="150" t="str">
        <f aca="false">IF($FJ45&lt;HZ$94,"",SQRT(HZ45/HZ$15))</f>
        <v/>
      </c>
      <c r="IA120" s="150" t="str">
        <f aca="false">IF($FJ45&lt;IA$94,"",SQRT(IA45/IA$15))</f>
        <v/>
      </c>
      <c r="IB120" s="150" t="str">
        <f aca="false">IF($FJ45&lt;IB$94,"",SQRT(IB45/IB$15))</f>
        <v/>
      </c>
      <c r="IC120" s="150" t="str">
        <f aca="false">IF($FJ45&lt;IC$94,"",SQRT(IC45/IC$15))</f>
        <v/>
      </c>
      <c r="ID120" s="572" t="str">
        <f aca="false">IF($FJ45&lt;ID$94,"",SQRT(ID45/ID$15))</f>
        <v/>
      </c>
      <c r="IE120" s="129"/>
    </row>
    <row r="121" customFormat="false" ht="12.75" hidden="false" customHeight="false" outlineLevel="0" collapsed="false">
      <c r="H121" s="219" t="n">
        <f aca="false">VLOOKUP(I121,$EJ$20:$EL$54,3)</f>
        <v>0</v>
      </c>
      <c r="I121" s="511" t="n">
        <f aca="false">EOMONTH(I120,0)+1</f>
        <v>39845</v>
      </c>
      <c r="J121" s="512"/>
      <c r="K121" s="513" t="s">
        <v>280</v>
      </c>
      <c r="L121" s="514" t="n">
        <f aca="false">IF(ISNUMBER(K121),J121+K121/100,IF(K121="extra",L120+VLOOKUP(BF121,PriceSpreadTable,2)/12,IF(K121="inter",interpolateprices($K$19:$L$200,ROW(K121)-ROW(FirstPricingMonth)+1),interpolatechanges($J$19:$K$200,ROW(K121)-ROW(FirstPricingMonth)+1))))</f>
        <v>0.9375</v>
      </c>
      <c r="M121" s="515"/>
      <c r="N121" s="516" t="n">
        <v>0</v>
      </c>
      <c r="O121" s="515" t="n">
        <f aca="false">M121+N121</f>
        <v>0</v>
      </c>
      <c r="P121" s="512"/>
      <c r="Q121" s="513" t="s">
        <v>280</v>
      </c>
      <c r="R121" s="512" t="e">
        <f aca="false">IF(ISNUMBER(Q121),P121+Q121/100,IF(Q121="extra",(Z119*AL119-R120*AM119)/AN119,IF(Q121="inter",interpolateprices($Q$19:$R$260,ROW(Q121)-ROW(FirstPricingMonth)+1),interpolatechanges($P$19:$Q$260,ROW(Q121)-ROW(FirstPricingMonth)+1))))</f>
        <v>#VALUE!</v>
      </c>
      <c r="S121" s="597" t="n">
        <f aca="false">S$19+(S120-S$19)*S$18</f>
        <v>0.360000000000013</v>
      </c>
      <c r="T121" s="575" t="n">
        <f aca="false">SQRT((1-(1-T120^2/U120)*T$18)*U121)</f>
        <v>0.999999984896941</v>
      </c>
      <c r="U121" s="576" t="n">
        <f aca="false">1-(1-U120)*U$18</f>
        <v>0.999999999999996</v>
      </c>
      <c r="V121" s="521" t="n">
        <v>0</v>
      </c>
      <c r="W121" s="577" t="n">
        <f aca="false">(J122*AJ121+J123*AK121)/AI121</f>
        <v>0</v>
      </c>
      <c r="X121" s="578" t="n">
        <f aca="false">(L122*AJ121+L123*AK121)/AI121</f>
        <v>0.984375</v>
      </c>
      <c r="Y121" s="579" t="n">
        <f aca="false">IF(Q123="extra",W121-AA121,(P122*AM121+P123*AN121)/AL121)</f>
        <v>-1.1685</v>
      </c>
      <c r="Z121" s="579" t="n">
        <f aca="false">IF(Q123="extra",X121-AB121,(R122*AM121+R123*AN121)/AL121)</f>
        <v>-0.184125</v>
      </c>
      <c r="AA121" s="523" t="n">
        <f aca="false">IF(Q123="extra",INDEX(BrentSeasonalityTable,INT((BG121-1)/3)+1)*VLOOKUP(MAX(BF121,$AB$4),PriceSpreadTable,3),W121-Y121)</f>
        <v>1.1685</v>
      </c>
      <c r="AB121" s="524" t="n">
        <f aca="false">IF(Q123="extra",INDEX(BrentSeasonalityTable,INT((BG121-1)/3)+1)*VLOOKUP(MAX(BF121,$AB$4),PriceSpreadTable,3),X121-Z121)</f>
        <v>1.1685</v>
      </c>
      <c r="AC121" s="646" t="n">
        <v>39833</v>
      </c>
      <c r="AD121" s="646" t="n">
        <v>39829</v>
      </c>
      <c r="AE121" s="646" t="n">
        <v>39828</v>
      </c>
      <c r="AF121" s="646" t="n">
        <v>39824</v>
      </c>
      <c r="AG121" s="438" t="s">
        <v>278</v>
      </c>
      <c r="AH121" s="439" t="s">
        <v>278</v>
      </c>
      <c r="AI121" s="528" t="n">
        <v>20</v>
      </c>
      <c r="AJ121" s="529" t="n">
        <v>15</v>
      </c>
      <c r="AK121" s="529" t="n">
        <v>5</v>
      </c>
      <c r="AL121" s="530" t="n">
        <v>20</v>
      </c>
      <c r="AM121" s="529" t="n">
        <v>10</v>
      </c>
      <c r="AN121" s="531" t="n">
        <v>10</v>
      </c>
      <c r="AO121" s="532"/>
      <c r="AP121" s="465" t="n">
        <f aca="false">(1+AO121/2)^(-2*BL121)</f>
        <v>1</v>
      </c>
      <c r="AQ121" s="532"/>
      <c r="AR121" s="465" t="n">
        <f aca="false">(1+AQ121/2)^(-2*BH121/365.25)</f>
        <v>1</v>
      </c>
      <c r="AS121" s="580" t="n">
        <f aca="false">(O122*AJ121+O123*AK121)/AI121</f>
        <v>0</v>
      </c>
      <c r="AT121" s="468" t="n">
        <f aca="false">O121*VLOOKUP(BF121,BrentVolTable,2)+VLOOKUP(BF121,BrentVolTable,3)</f>
        <v>0</v>
      </c>
      <c r="AU121" s="468" t="n">
        <f aca="false">(AT122*AM121+AT123*AN121)/AL121</f>
        <v>0</v>
      </c>
      <c r="AV121" s="595" t="n">
        <f aca="false">SQRT(MAX(0.000000000001,(O121^2*BH121-S121^2*(BH121-BH120))/BH120))</f>
        <v>0.0256070416298879</v>
      </c>
      <c r="AW121" s="451" t="n">
        <f aca="false">IF($I121-DateToday+15&gt;=$T$8,"",IF($I121-DateToday+15&lt;$T$5,1,MATCH($I121-DateToday+15,$T$5:$T$8)))</f>
        <v>1</v>
      </c>
      <c r="AX121" s="468" t="n">
        <f aca="false">IF($AW121="",AX120^2/AX119,INDEX(U$5:U$8,$AW121)^((INDEX($T$5:$T$8,$AW121+1)-($I121-DateToday+15))/(INDEX($T$5:$T$8,$AW121+1)-INDEX($T$5:$T$8,$AW121)))/INDEX(U$5:U$8,$AW121+1)^((INDEX($T$5:$T$8,$AW121)-($I121-DateToday+15))/(INDEX($T$5:$T$8,$AW121+1)-INDEX($T$5:$T$8,$AW121))))</f>
        <v>1.44748613365463</v>
      </c>
      <c r="AY121" s="468" t="n">
        <f aca="false">IF($AW121="",AY120^2/AY119,INDEX(V$5:V$8,$AW121)^((INDEX($T$5:$T$8,$AW121+1)-($I121-DateToday+15))/(INDEX($T$5:$T$8,$AW121+1)-INDEX($T$5:$T$8,$AW121)))/INDEX(V$5:V$8,$AW121+1)^((INDEX($T$5:$T$8,$AW121)-($I121-DateToday+15))/(INDEX($T$5:$T$8,$AW121+1)-INDEX($T$5:$T$8,$AW121))))</f>
        <v>73.9431997737126</v>
      </c>
      <c r="AZ121" s="468" t="n">
        <f aca="false">IF($AW121="",AZ120^2/AZ119,INDEX(W$5:W$8,$AW121)^((INDEX($T$5:$T$8,$AW121+1)-($I121-DateToday+15))/(INDEX($T$5:$T$8,$AW121+1)-INDEX($T$5:$T$8,$AW121)))/INDEX(W$5:W$8,$AW121+1)^((INDEX($T$5:$T$8,$AW121)-($I121-DateToday+15))/(INDEX($T$5:$T$8,$AW121+1)-INDEX($T$5:$T$8,$AW121))))</f>
        <v>172000.620667605</v>
      </c>
      <c r="BA121" s="468" t="n">
        <f aca="false">IF($AW121="",BA120^2/BA119,INDEX(X$5:X$8,$AW121)^((INDEX($T$5:$T$8,$AW121+1)-($I121-DateToday+15))/(INDEX($T$5:$T$8,$AW121+1)-INDEX($T$5:$T$8,$AW121)))/INDEX(X$5:X$8,$AW121+1)^((INDEX($T$5:$T$8,$AW121)-($I121-DateToday+15))/(INDEX($T$5:$T$8,$AW121+1)-INDEX($T$5:$T$8,$AW121))))</f>
        <v>2593422.01454527</v>
      </c>
      <c r="BB121" s="468" t="n">
        <f aca="false">IF($AW121="",BB120^2/BB119,INDEX(Y$5:Y$8,$AW121)^((INDEX($T$5:$T$8,$AW121+1)-($I121-DateToday+15))/(INDEX($T$5:$T$8,$AW121+1)-INDEX($T$5:$T$8,$AW121)))/INDEX(Y$5:Y$8,$AW121+1)^((INDEX($T$5:$T$8,$AW121)-($I121-DateToday+15))/(INDEX($T$5:$T$8,$AW121+1)-INDEX($T$5:$T$8,$AW121))))</f>
        <v>26371470.244413</v>
      </c>
      <c r="BC121" s="468" t="n">
        <f aca="false">IF($AW121="",BC120^2/BC119,INDEX(Z$5:Z$8,$AW121)^((INDEX($T$5:$T$8,$AW121+1)-($I121-DateToday+15))/(INDEX($T$5:$T$8,$AW121+1)-INDEX($T$5:$T$8,$AW121)))/INDEX(Z$5:Z$8,$AW121+1)^((INDEX($T$5:$T$8,$AW121)-($I121-DateToday+15))/(INDEX($T$5:$T$8,$AW121+1)-INDEX($T$5:$T$8,$AW121))))</f>
        <v>106533727.105547</v>
      </c>
      <c r="BD121" s="535" t="n">
        <f aca="false">IF(OR(DateStart&gt;=I122,DateEnd&lt;I121),0,IF(VolumeOverrideFlag,V121,Volume))</f>
        <v>0</v>
      </c>
      <c r="BE121" s="536" t="n">
        <f aca="false">IF(OR(DateStart2&gt;=I122,DateEnd2&lt;I121),0,IF(VolumeOverrideFlag,V121,VolumeSwaption))</f>
        <v>0</v>
      </c>
      <c r="BF121" s="537" t="n">
        <f aca="false">YEAR(I121)</f>
        <v>2009</v>
      </c>
      <c r="BG121" s="538" t="n">
        <f aca="false">MONTH(I121)</f>
        <v>2</v>
      </c>
      <c r="BH121" s="539" t="n">
        <f aca="false">AD121-DateToday+1</f>
        <v>-6096</v>
      </c>
      <c r="BI121" s="540" t="n">
        <f aca="false">(I121-DateToday+1)/365.25</f>
        <v>-16.6461327857632</v>
      </c>
      <c r="BJ121" s="541" t="n">
        <f aca="false">BI121+(BL121-BI121)*CHOOSE(Underlying,AJ121/AI121,AM121/AL121)</f>
        <v>-16.5906913073238</v>
      </c>
      <c r="BK121" s="541" t="n">
        <f aca="false">BJ121+1/365.25</f>
        <v>-16.5879534565366</v>
      </c>
      <c r="BL121" s="541" t="n">
        <f aca="false">(I122-DateToday)/365.25</f>
        <v>-16.5722108145106</v>
      </c>
      <c r="BM121" s="542" t="e">
        <f aca="false">MAX(BI121-(BJ121-BI121)*(S122^2/O122^2-1),0)</f>
        <v>#DIV/0!</v>
      </c>
      <c r="BN121" s="541" t="e">
        <f aca="false">MAX(BL121+(BL121-BK121)*(S123^2/O123^2-1),0)</f>
        <v>#DIV/0!</v>
      </c>
      <c r="BO121" s="530" t="n">
        <f aca="false">CHOOSE(Underlying,AI121,AL121)</f>
        <v>20</v>
      </c>
      <c r="BP121" s="529" t="n">
        <f aca="false">CHOOSE(Underlying,AJ121,AM121)</f>
        <v>15</v>
      </c>
      <c r="BQ121" s="529" t="n">
        <f aca="false">CHOOSE(Underlying,AK121,AN121)</f>
        <v>5</v>
      </c>
      <c r="BR121" s="463" t="str">
        <f aca="false">IF(BD121,IF(Underlying=1,X121,Z121)+UnderlyingPriceAsian-SwapPriceCurve,"")</f>
        <v/>
      </c>
      <c r="BS121" s="463" t="str">
        <f aca="false">IF(BD121,Strike1/BR121-1,"")</f>
        <v/>
      </c>
      <c r="BT121" s="464" t="str">
        <f aca="false">IF(BD121,Strike2/BR121-1,"")</f>
        <v/>
      </c>
      <c r="BU121" s="465" t="str">
        <f aca="false">IF(BD121,IF(Underlying=1,L122,R122)+UnderlyingPriceAsian-SwapPriceCurve,"")</f>
        <v/>
      </c>
      <c r="BV121" s="465" t="str">
        <f aca="false">IF(BD121,IF(Underlying=1,L123,R123)+UnderlyingPriceAsian-SwapPriceCurve,"")</f>
        <v/>
      </c>
      <c r="BW121" s="466" t="str">
        <f aca="false">IF(BD121,IF(Underlying=1,O122,AT122),"")</f>
        <v/>
      </c>
      <c r="BX121" s="467" t="str">
        <f aca="false">IF(BD121,IF(Underlying=1,O123,AT123),"")</f>
        <v/>
      </c>
      <c r="BY121" s="466" t="str">
        <f aca="false">IF(BD121,IF(BS121&gt;0,IF(BS121&gt;0.2,BC121-BB121,IF(BS121&gt;0.1,BB121-BA121,BA121)),IF(BS121&lt;-0.2,AX121-AY121,IF(BS121&lt;-0.1,AY121-AZ121,AZ121))),"")</f>
        <v/>
      </c>
      <c r="BZ121" s="467" t="str">
        <f aca="false">IF(BD121,IF(BT121&gt;0,IF(BT121&gt;0.2,BC121-BB121,IF(BT121&gt;0.1,BB121-BA121,BA121)),IF(BT121&lt;-0.2,AX121-AY121,IF(BT121&lt;-0.1,AY121-AZ121,AZ121))),"")</f>
        <v/>
      </c>
      <c r="CA121" s="468" t="str">
        <f aca="false">IF($BD121,$BW121+IF(VolSkewFlag=1,IF(BS121&gt;0,$BA121*MIN(BS121/10%,1)+($BB121-$BA121)*MAX(0,MIN(BS121/10%-1,1))+($BC121-$BB121)*MAX(0,BS121/10%-2),$AZ121*MIN(-BS121/10%,1)+($AY121-$AZ121)*MAX(0,MIN(-BS121/10%-1,1))+($AX121-$AY121)*MAX(0,-BS121/10%-2)),0),"")</f>
        <v/>
      </c>
      <c r="CB121" s="468" t="str">
        <f aca="false">IF($BD121,$BX121+IF(VolSkewFlag=1,IF(BS121&gt;0,$BA121*MIN(BS121/10%,1)+($BB121-$BA121)*MAX(0,MIN(BS121/10%-1,1))+($BC121-$BB121)*MAX(0,BS121/10%-2),$AZ121*MIN(-BS121/10%,1)+($AY121-$AZ121)*MAX(0,MIN(-BS121/10%-1,1))+($AX121-$AY121)*MAX(0,-BS121/10%-2)),0),"")</f>
        <v/>
      </c>
      <c r="CC121" s="468" t="str">
        <f aca="false">IF($BD121,$BW121+IF(VolSkewFlag=1,IF(BT121&gt;0,$BA121*MIN(BT121/10%,1)+($BB121-$BA121)*MAX(0,MIN(BT121/10%-1,1))+($BC121-$BB121)*MAX(0,BT121/10%-2),$AZ121*MIN(-BT121/10%,1)+($AY121-$AZ121)*MAX(0,MIN(-BT121/10%-1,1))+($AX121-$AY121)*MAX(0,-BT121/10%-2)),0),"")</f>
        <v/>
      </c>
      <c r="CD121" s="468" t="str">
        <f aca="false">IF($BD121,$BX121+IF(VolSkewFlag=1,IF(BT121&gt;0,$BA121*MIN(BT121/10%,1)+($BB121-$BA121)*MAX(0,MIN(BT121/10%-1,1))+($BC121-$BB121)*MAX(0,BT121/10%-2),$AZ121*MIN(-BT121/10%,1)+($AY121-$AZ121)*MAX(0,MIN(-BT121/10%-1,1))+($AX121-$AY121)*MAX(0,-BT121/10%-2)),0),"")</f>
        <v/>
      </c>
      <c r="CE121" s="469" t="n">
        <v>1</v>
      </c>
      <c r="CF121" s="470" t="n">
        <f aca="false">IF(BD121,xCrudeAPO(BU121,BV121,CA121,CB121,S122,S123,BI121,BL121,BP121,BQ121,0,Strike1,AO121,CE121,0,BL121,IF(OptControl=4,0,1),0,1),0)</f>
        <v>0</v>
      </c>
      <c r="CG121" s="470" t="n">
        <f aca="false">IF(BD121,xCrudeAPO(BU121,BV121,CA121,CB121,S122,S123,BI121,BL121,BP121,BQ121,0,Strike1,AO121,CE121,0,BL121,IF(OptControl=4,0,1),1,1)+xCrudeAPO(BU121,BV121,CA121,CB121,S122,S123,BI121,BL121,BP121,BQ121,0,Strike1,AO121,CE121,0,BL121,IF(OptControl=4,0,1),1,2)+IF(OR(VolSkewFlag=2,ABS(BS121)&lt;0.0001),0,IF(BS121&gt;0,-1,1)*CH121*Strike1/BR121^2*BY121/10%),0)</f>
        <v>0</v>
      </c>
      <c r="CH121" s="470" t="n">
        <f aca="false">IF(BD121,(xCrudeAPO(BU121,BV121,CA121,CB121,S122,S123,BI121,BL121,BP121,BQ121,0,Strike1,AO121,CE121,0,BL121,IF(OptControl=4,0,1),3,1)+xCrudeAPO(BU121,BV121,CA121,CB121,S122,S123,BI121,BL121,BP121,BQ121,0,Strike1,AO121,CE121,0,BL121,IF(OptControl=4,0,1),3,2))/100,0)</f>
        <v>0</v>
      </c>
      <c r="CI121" s="470" t="n">
        <f aca="false">IF(BD121,xCrudeAPO(BU121,BV121,CA121,CB121,S122,S123,BI121-DaysForThetaCalculation/365.25,BL121-DaysForThetaCalculation/365.25,BP121,BQ121,0,Strike1,AO121,CE121,0,BL121,IF(OptControl=4,0,1),0,1)-xCrudeAPO(BU121,BV121,CA121,CB121,S122,S123,BI121,BL121,BP121,BQ121,0,Strike1,AO121,CE121,0,BL121,IF(OptControl=4,0,1),0,1),0)</f>
        <v>0</v>
      </c>
      <c r="CJ121" s="471" t="n">
        <f aca="false">IF(BD121,xCrudeAPO(BU121,BV121,CC121,CD121,S122,S123,BI121,BL121,BP121,BQ121,0,Strike2,AO121,CE121,0,BL121,IF(OptControl=3,1,0),0,1),0)</f>
        <v>0</v>
      </c>
      <c r="CK121" s="470" t="n">
        <f aca="false">IF(BD121,xCrudeAPO(BU121,BV121,CC121,CD121,S122,S123,BI121,BL121,BP121,BQ121,0,Strike2,AO121,CE121,0,BL121,IF(OptControl=3,1,0),1,1)+xCrudeAPO(BU121,BV121,CC121,CD121,S122,S123,BI121,BL121,BP121,BQ121,0,Strike2,AO121,CE121,0,BL121,IF(OptControl=3,1,0),1,2)+IF(OR(VolSkewFlag=2,ABS(BT121)&lt;0.0001),0,IF(BT121&gt;0,-1,1)*CL121*Strike2/BR121^2*BZ121/10%),0)</f>
        <v>0</v>
      </c>
      <c r="CL121" s="470" t="n">
        <f aca="false">IF(BD121,(xCrudeAPO(BU121,BV121,CC121,CD121,S122,S123,BI121,BL121,BP121,BQ121,0,Strike2,AO121,CE121,0,BL121,IF(OptControl=3,1,0),3,1)+xCrudeAPO(BU121,BV121,CC121,CD121,S122,S123,BI121,BL121,BP121,BQ121,0,Strike2,AO121,CE121,0,BL121,IF(OptControl=3,1,0),3,2))/100,0)</f>
        <v>0</v>
      </c>
      <c r="CM121" s="472" t="n">
        <f aca="false">IF(BD121,xCrudeAPO(BU121,BV121,CC121,CD121,S122,S123,BI121-DaysForThetaCalculation/365.25,BL121-DaysForThetaCalculation/365.25,BP121,BQ121,0,Strike2,AO121,CE121,0,BL121,IF(OptControl=3,1,0),0,1)-xCrudeAPO(BU121,BV121,CC121,CD121,S122,S123,BI121,BL121,BP121,BQ121,0,Strike2,AO121,CE121,0,BL121,IF(OptControl=3,1,0),0,1),0)</f>
        <v>0</v>
      </c>
      <c r="CN121" s="3"/>
      <c r="CO121" s="543" t="str">
        <f aca="false">IF(BD121,CHOOSE(Underlying,AD121,AF121)-DateToday+1,"")</f>
        <v/>
      </c>
      <c r="CP121" s="582" t="str">
        <f aca="false">IF(BD121,CHOOSE(Underlying,L121,R121),"")</f>
        <v/>
      </c>
      <c r="CQ121" s="544" t="str">
        <f aca="false">IF(BD121,Strike1/CP121-1,"")</f>
        <v/>
      </c>
      <c r="CR121" s="544" t="str">
        <f aca="false">IF(BD121,Strike2/CP121-1,"")</f>
        <v/>
      </c>
      <c r="CS121" s="544" t="str">
        <f aca="false">IF(BD121,IF(CQ121&gt;0,IF(CQ121&gt;0.2,BC120-BB120,IF(CQ121&gt;0.1,BB120-BA120,BA120)),IF(CQ121&lt;-0.2,AX120-AY120,IF(CQ121&lt;-0.1,AY120-AZ120,AZ120))),"")</f>
        <v/>
      </c>
      <c r="CT121" s="544" t="str">
        <f aca="false">IF(BD121,IF(CR121&gt;0,IF(CR121&gt;0.2,BC120-BB120,IF(CR121&gt;0.1,BB120-BA120,BA120)),IF(CR121&lt;-0.2,AX120-AY120,IF(CR121&lt;-0.1,AY120-AZ120,AZ120))),"")</f>
        <v/>
      </c>
      <c r="CU121" s="545" t="str">
        <f aca="false">IF(BD121,CHOOSE(Underlying,O121,AT121),"")</f>
        <v/>
      </c>
      <c r="CV121" s="545" t="str">
        <f aca="false">IF(BD121,CU121+IF(VolSkewFlag=1,IF(CQ121&gt;0,BA120*MIN(CQ121/10%,1)+(BB120-BA120)*MAX(0,MIN(CQ121/10%-1,1))+(BC120-BB120)*MAX(0,CQ121/10%-2),AZ120*MIN(-CQ121/10%,1)+(AY120-AZ120)*MAX(0,MIN(-CQ121/10%-1,1))+(AX120-AY120)*MAX(0,-CQ121/10%-2)),0),"")</f>
        <v/>
      </c>
      <c r="CW121" s="545" t="str">
        <f aca="false">IF(BD121,CU121+IF(VolSkewFlag=1,IF(CR121&gt;0,BA120*MIN(CR121/10%,1)+(BB120-BA120)*MAX(0,MIN(CR121/10%-1,1))+(BC120-BB120)*MAX(0,CR121/10%-2),AZ120*MIN(-CR121/10%,1)+(AY120-AZ120)*MAX(0,MIN(-CR121/10%-1,1))+(AX120-AY120)*MAX(0,-CR121/10%-2)),0),"")</f>
        <v/>
      </c>
      <c r="CX121" s="470" t="n">
        <f aca="false">IF(BD121,EURO(CP121,Strike1,AO121,AO121,CV121,CO121,IF(OptControl=4,0,1),0),0)</f>
        <v>0</v>
      </c>
      <c r="CY121" s="470" t="n">
        <f aca="false">IF(BD121,EURO(CP121,Strike1,AO121,AO121,CV121,CO121,IF(OptControl=4,0,1),1)+IF(OR(VolSkewFlag=2,ABS(CQ121)&lt;0.0001),0,IF(CQ121&gt;0,-1,1)*CZ121*100*Strike1/CP121^2*CS121/10%),0)</f>
        <v>0</v>
      </c>
      <c r="CZ121" s="470" t="n">
        <f aca="false">IF(BD121,EURO(CP121,Strike1,AO121,AO121,CV121,CO121,IF(OptControl=4,0,1),3)/100,0)</f>
        <v>0</v>
      </c>
      <c r="DA121" s="470" t="n">
        <f aca="false">IF(BD121,EURO(CP121,Strike1,AO121,AO121,CV121,CO121,IF(OptControl=4,0,1),0)-EURO(CP121,Strike1,AO121,AO121,CV121,CO121-1,IF(OptControl=4,0,1),0),0)</f>
        <v>0</v>
      </c>
      <c r="DB121" s="470" t="n">
        <f aca="false">IF(BD121,EURO(CP121,Strike2,AO121,AO121,CW121,CO121,IF(OptControl=3,1,0),0),0)</f>
        <v>0</v>
      </c>
      <c r="DC121" s="470" t="n">
        <f aca="false">IF(BD121,EURO(CP121,Strike2,AO121,AO121,CW121,CO121,IF(OptControl=3,1,0),1)+IF(OR(VolSkewFlag=2,ABS(CR121)&lt;0.0001),0,IF(CR121&gt;0,-1,1)*DD121*100*Strike2/CP121^2*CT121/10%),0)</f>
        <v>0</v>
      </c>
      <c r="DD121" s="470" t="n">
        <f aca="false">IF(BD121,EURO(CP121,Strike2,AO121,AO121,CW121,CO121,IF(OptControl=3,1,0),3)/100,0)</f>
        <v>0</v>
      </c>
      <c r="DE121" s="472" t="n">
        <f aca="false">IF(BD121,EURO(CP121,Strike2,AO121,AO121,CW121,CO121,IF(OptControl=3,1,0),0)-EURO(CP121,Strike2,AO121,AO121,CW121,CO121-1,IF(OptControl=3,1,0),0),0)</f>
        <v>0</v>
      </c>
      <c r="DG121" s="481" t="n">
        <f aca="false">EOMONTH(DG120,0)+1</f>
        <v>48761</v>
      </c>
      <c r="DH121" s="478" t="n">
        <v>19.21</v>
      </c>
      <c r="DI121" s="479" t="n">
        <v>19.2804545454546</v>
      </c>
      <c r="DJ121" s="480" t="n">
        <f aca="false">DG121</f>
        <v>48761</v>
      </c>
      <c r="DK121" s="478" t="n">
        <v>18.0036669241074</v>
      </c>
      <c r="DL121" s="479" t="n">
        <v>18.0135545454546</v>
      </c>
      <c r="DM121" s="481" t="n">
        <f aca="false">DG121</f>
        <v>48761</v>
      </c>
      <c r="DN121" s="482" t="n">
        <f aca="false">DK121+BrentPhyBrentSpread</f>
        <v>18.0536669241074</v>
      </c>
      <c r="DO121" s="481" t="n">
        <f aca="false">DG121</f>
        <v>48761</v>
      </c>
      <c r="DP121" s="483" t="n">
        <f aca="false">DL121+DQ121</f>
        <v>18.0135545454546</v>
      </c>
      <c r="DQ121" s="546" t="n">
        <v>0</v>
      </c>
      <c r="DR121" s="480" t="n">
        <f aca="false">DG121</f>
        <v>48761</v>
      </c>
      <c r="DS121" s="485" t="n">
        <v>0.164</v>
      </c>
      <c r="DT121" s="486" t="n">
        <v>0.163154545454545</v>
      </c>
      <c r="DU121" s="480" t="n">
        <f aca="false">DG121</f>
        <v>48761</v>
      </c>
      <c r="DV121" s="485" t="n">
        <v>0.164</v>
      </c>
      <c r="DW121" s="486" t="n">
        <v>0.163154545454545</v>
      </c>
      <c r="DX121" s="481" t="n">
        <f aca="false">DG121</f>
        <v>48761</v>
      </c>
      <c r="DY121" s="486" t="n">
        <v>0.35</v>
      </c>
      <c r="DZ121" s="481" t="n">
        <f aca="false">DR121</f>
        <v>48761</v>
      </c>
      <c r="EA121" s="486" t="n">
        <f aca="false">DT121</f>
        <v>0.163154545454545</v>
      </c>
      <c r="EB121" s="195"/>
      <c r="EC121" s="547" t="str">
        <f aca="false">IF(BD121,IF(Underlying=1,AS121,AU121),"")</f>
        <v/>
      </c>
      <c r="ED121" s="548" t="str">
        <f aca="false">IF($BD121,$EC121+IF(VolSkewFlag=1,IF(BS121&gt;0,$BA121*MIN(BS121/10%,1)+($BB121-$BA121)*MAX(0,MIN(BS121/10%-1,1))+($BC121-$BB121)*MAX(0,BS121/10%-2),$AZ121*MIN(-BS121/10%,1)+($AY121-$AZ121)*MAX(0,MIN(-BS121/10%-1,1))+($AX121-$AY121)*MAX(0,-BS121/10%-2)),0),"")</f>
        <v/>
      </c>
      <c r="EE121" s="549" t="str">
        <f aca="false">IF($BD121,$EC121+IF(VolSkewFlag=1,IF(BT121&gt;0,$BA121*MIN(BT121/10%,1)+($BB121-$BA121)*MAX(0,MIN(BT121/10%-1,1))+($BC121-$BB121)*MAX(0,BT121/10%-2),$AZ121*MIN(-BT121/10%,1)+($AY121-$AZ121)*MAX(0,MIN(-BT121/10%-1,1))+($AX121-$AY121)*MAX(0,-BT121/10%-2)),0),"")</f>
        <v/>
      </c>
      <c r="EF121" s="550" t="n">
        <f aca="false">IF(BD121,xASN(BR121,Strike1,AO121,ED121,0,BO121,0,BI121,BL121,IF(OptControl=4,0,1),0),0)</f>
        <v>0</v>
      </c>
      <c r="EG121" s="551" t="n">
        <f aca="false">IF(BD121,xASN(BR121,Strike2,AO121,EE121,0,BO121,0,BI121,BL121,IF(OptControl=3,1,0),0),0)</f>
        <v>0</v>
      </c>
      <c r="EL121" s="1"/>
      <c r="EM121" s="195"/>
      <c r="EN121" s="240"/>
      <c r="EO121" s="240"/>
      <c r="EP121" s="195"/>
      <c r="EQ121" s="407" t="s">
        <v>348</v>
      </c>
      <c r="ES121" s="130"/>
      <c r="ET121" s="19"/>
      <c r="EU121" s="672"/>
      <c r="EV121" s="478"/>
      <c r="EW121" s="131"/>
      <c r="EX121" s="131"/>
      <c r="EY121" s="129"/>
      <c r="EZ121" s="129"/>
      <c r="FA121" s="129"/>
      <c r="FB121" s="129"/>
      <c r="FC121" s="129"/>
      <c r="FD121" s="129"/>
      <c r="FE121" s="129"/>
      <c r="FF121" s="129"/>
      <c r="FG121" s="129"/>
      <c r="FH121" s="129"/>
      <c r="FI121" s="129"/>
      <c r="FJ121" s="571" t="n">
        <v>27</v>
      </c>
      <c r="FK121" s="150" t="e">
        <f aca="false">IF($FJ46&lt;FK$94,"",SQRT(FK46/FK$15))</f>
        <v>#DIV/0!</v>
      </c>
      <c r="FL121" s="150" t="n">
        <f aca="false">IF($FJ46&lt;FL$94,"",SQRT(FL46/FL$15))</f>
        <v>-0</v>
      </c>
      <c r="FM121" s="150" t="n">
        <f aca="false">IF($FJ46&lt;FM$94,"",SQRT(FM46/FM$15))</f>
        <v>0.173604663626347</v>
      </c>
      <c r="FN121" s="150" t="n">
        <f aca="false">IF($FJ46&lt;FN$94,"",SQRT(FN46/FN$15))</f>
        <v>0.170789514065927</v>
      </c>
      <c r="FO121" s="150" t="n">
        <f aca="false">IF($FJ46&lt;FO$94,"",SQRT(FO46/FO$15))</f>
        <v>0.168883394966449</v>
      </c>
      <c r="FP121" s="150" t="n">
        <f aca="false">IF($FJ46&lt;FP$94,"",SQRT(FP46/FP$15))</f>
        <v>0.167696323225904</v>
      </c>
      <c r="FQ121" s="150" t="n">
        <f aca="false">IF($FJ46&lt;FQ$94,"",SQRT(FQ46/FQ$15))</f>
        <v>0.167092523786479</v>
      </c>
      <c r="FR121" s="150" t="n">
        <f aca="false">IF($FJ46&lt;FR$94,"",SQRT(FR46/FR$15))</f>
        <v>0.166978232651714</v>
      </c>
      <c r="FS121" s="150" t="n">
        <f aca="false">IF($FJ46&lt;FS$94,"",SQRT(FS46/FS$15))</f>
        <v>0.167292855453004</v>
      </c>
      <c r="FT121" s="150" t="n">
        <f aca="false">IF($FJ46&lt;FT$94,"",SQRT(FT46/FT$15))</f>
        <v>0.168002726745884</v>
      </c>
      <c r="FU121" s="150" t="n">
        <f aca="false">IF($FJ46&lt;FU$94,"",SQRT(FU46/FU$15))</f>
        <v>0.169096931785401</v>
      </c>
      <c r="FV121" s="150" t="n">
        <f aca="false">IF($FJ46&lt;FV$94,"",SQRT(FV46/FV$15))</f>
        <v>0.170584825953795</v>
      </c>
      <c r="FW121" s="150" t="n">
        <f aca="false">IF($FJ46&lt;FW$94,"",SQRT(FW46/FW$15))</f>
        <v>0.172495033097561</v>
      </c>
      <c r="FX121" s="150" t="n">
        <f aca="false">IF($FJ46&lt;FX$94,"",SQRT(FX46/FX$15))</f>
        <v>0.174875837243178</v>
      </c>
      <c r="FY121" s="150" t="n">
        <f aca="false">IF($FJ46&lt;FY$94,"",SQRT(FY46/FY$15))</f>
        <v>0.17779701751191</v>
      </c>
      <c r="FZ121" s="150" t="n">
        <f aca="false">IF($FJ46&lt;FZ$94,"",SQRT(FZ46/FZ$15))</f>
        <v>0.181353331541071</v>
      </c>
      <c r="GA121" s="150" t="n">
        <f aca="false">IF($FJ46&lt;GA$94,"",SQRT(GA46/GA$15))</f>
        <v>0.185670052969855</v>
      </c>
      <c r="GB121" s="150" t="n">
        <f aca="false">IF($FJ46&lt;GB$94,"",SQRT(GB46/GB$15))</f>
        <v>0.190911250807942</v>
      </c>
      <c r="GC121" s="150" t="n">
        <f aca="false">IF($FJ46&lt;GC$94,"",SQRT(GC46/GC$15))</f>
        <v>0.197291923106767</v>
      </c>
      <c r="GD121" s="150" t="n">
        <f aca="false">IF($FJ46&lt;GD$94,"",SQRT(GD46/GD$15))</f>
        <v>0.205095766858364</v>
      </c>
      <c r="GE121" s="150" t="n">
        <f aca="false">IF($FJ46&lt;GE$94,"",SQRT(GE46/GE$15))</f>
        <v>0.214701461551438</v>
      </c>
      <c r="GF121" s="150" t="n">
        <f aca="false">IF($FJ46&lt;GF$94,"",SQRT(GF46/GF$15))</f>
        <v>0.226622196229625</v>
      </c>
      <c r="GG121" s="150" t="n">
        <f aca="false">IF($FJ46&lt;GG$94,"",SQRT(GG46/GG$15))</f>
        <v>0.241566404981931</v>
      </c>
      <c r="GH121" s="150" t="n">
        <f aca="false">IF($FJ46&lt;GH$94,"",SQRT(GH46/GH$15))</f>
        <v>0.260533520887857</v>
      </c>
      <c r="GI121" s="150" t="n">
        <f aca="false">IF($FJ46&lt;GI$94,"",SQRT(GI46/GI$15))</f>
        <v>0.284969519486668</v>
      </c>
      <c r="GJ121" s="150" t="n">
        <f aca="false">IF($FJ46&lt;GJ$94,"",SQRT(GJ46/GJ$15))</f>
        <v>0.317028452267866</v>
      </c>
      <c r="GK121" s="150" t="n">
        <f aca="false">IF($FJ46&lt;GK$94,"",SQRT(GK46/GK$15))</f>
        <v>0.360030101738327</v>
      </c>
      <c r="GL121" s="150" t="str">
        <f aca="false">IF($FJ46&lt;GL$94,"",SQRT(GL46/GL$15))</f>
        <v/>
      </c>
      <c r="GM121" s="150" t="str">
        <f aca="false">IF($FJ46&lt;GM$94,"",SQRT(GM46/GM$15))</f>
        <v/>
      </c>
      <c r="GN121" s="150" t="str">
        <f aca="false">IF($FJ46&lt;GN$94,"",SQRT(GN46/GN$15))</f>
        <v/>
      </c>
      <c r="GO121" s="150" t="str">
        <f aca="false">IF($FJ46&lt;GO$94,"",SQRT(GO46/GO$15))</f>
        <v/>
      </c>
      <c r="GP121" s="150" t="str">
        <f aca="false">IF($FJ46&lt;GP$94,"",SQRT(GP46/GP$15))</f>
        <v/>
      </c>
      <c r="GQ121" s="150" t="str">
        <f aca="false">IF($FJ46&lt;GQ$94,"",SQRT(GQ46/GQ$15))</f>
        <v/>
      </c>
      <c r="GR121" s="150" t="str">
        <f aca="false">IF($FJ46&lt;GR$94,"",SQRT(GR46/GR$15))</f>
        <v/>
      </c>
      <c r="GS121" s="150" t="str">
        <f aca="false">IF($FJ46&lt;GS$94,"",SQRT(GS46/GS$15))</f>
        <v/>
      </c>
      <c r="GT121" s="150" t="str">
        <f aca="false">IF($FJ46&lt;GT$94,"",SQRT(GT46/GT$15))</f>
        <v/>
      </c>
      <c r="GU121" s="150" t="str">
        <f aca="false">IF($FJ46&lt;GU$94,"",SQRT(GU46/GU$15))</f>
        <v/>
      </c>
      <c r="GV121" s="150" t="str">
        <f aca="false">IF($FJ46&lt;GV$94,"",SQRT(GV46/GV$15))</f>
        <v/>
      </c>
      <c r="GW121" s="150" t="str">
        <f aca="false">IF($FJ46&lt;GW$94,"",SQRT(GW46/GW$15))</f>
        <v/>
      </c>
      <c r="GX121" s="150" t="str">
        <f aca="false">IF($FJ46&lt;GX$94,"",SQRT(GX46/GX$15))</f>
        <v/>
      </c>
      <c r="GY121" s="150" t="str">
        <f aca="false">IF($FJ46&lt;GY$94,"",SQRT(GY46/GY$15))</f>
        <v/>
      </c>
      <c r="GZ121" s="150" t="str">
        <f aca="false">IF($FJ46&lt;GZ$94,"",SQRT(GZ46/GZ$15))</f>
        <v/>
      </c>
      <c r="HA121" s="150" t="str">
        <f aca="false">IF($FJ46&lt;HA$94,"",SQRT(HA46/HA$15))</f>
        <v/>
      </c>
      <c r="HB121" s="150" t="str">
        <f aca="false">IF($FJ46&lt;HB$94,"",SQRT(HB46/HB$15))</f>
        <v/>
      </c>
      <c r="HC121" s="150" t="str">
        <f aca="false">IF($FJ46&lt;HC$94,"",SQRT(HC46/HC$15))</f>
        <v/>
      </c>
      <c r="HD121" s="150" t="str">
        <f aca="false">IF($FJ46&lt;HD$94,"",SQRT(HD46/HD$15))</f>
        <v/>
      </c>
      <c r="HE121" s="150" t="str">
        <f aca="false">IF($FJ46&lt;HE$94,"",SQRT(HE46/HE$15))</f>
        <v/>
      </c>
      <c r="HF121" s="150" t="str">
        <f aca="false">IF($FJ46&lt;HF$94,"",SQRT(HF46/HF$15))</f>
        <v/>
      </c>
      <c r="HG121" s="150" t="str">
        <f aca="false">IF($FJ46&lt;HG$94,"",SQRT(HG46/HG$15))</f>
        <v/>
      </c>
      <c r="HH121" s="150" t="str">
        <f aca="false">IF($FJ46&lt;HH$94,"",SQRT(HH46/HH$15))</f>
        <v/>
      </c>
      <c r="HI121" s="150" t="str">
        <f aca="false">IF($FJ46&lt;HI$94,"",SQRT(HI46/HI$15))</f>
        <v/>
      </c>
      <c r="HJ121" s="150" t="str">
        <f aca="false">IF($FJ46&lt;HJ$94,"",SQRT(HJ46/HJ$15))</f>
        <v/>
      </c>
      <c r="HK121" s="150" t="str">
        <f aca="false">IF($FJ46&lt;HK$94,"",SQRT(HK46/HK$15))</f>
        <v/>
      </c>
      <c r="HL121" s="150" t="str">
        <f aca="false">IF($FJ46&lt;HL$94,"",SQRT(HL46/HL$15))</f>
        <v/>
      </c>
      <c r="HM121" s="150" t="str">
        <f aca="false">IF($FJ46&lt;HM$94,"",SQRT(HM46/HM$15))</f>
        <v/>
      </c>
      <c r="HN121" s="150" t="str">
        <f aca="false">IF($FJ46&lt;HN$94,"",SQRT(HN46/HN$15))</f>
        <v/>
      </c>
      <c r="HO121" s="150" t="str">
        <f aca="false">IF($FJ46&lt;HO$94,"",SQRT(HO46/HO$15))</f>
        <v/>
      </c>
      <c r="HP121" s="150" t="str">
        <f aca="false">IF($FJ46&lt;HP$94,"",SQRT(HP46/HP$15))</f>
        <v/>
      </c>
      <c r="HQ121" s="150" t="str">
        <f aca="false">IF($FJ46&lt;HQ$94,"",SQRT(HQ46/HQ$15))</f>
        <v/>
      </c>
      <c r="HR121" s="150" t="str">
        <f aca="false">IF($FJ46&lt;HR$94,"",SQRT(HR46/HR$15))</f>
        <v/>
      </c>
      <c r="HS121" s="150" t="str">
        <f aca="false">IF($FJ46&lt;HS$94,"",SQRT(HS46/HS$15))</f>
        <v/>
      </c>
      <c r="HT121" s="150" t="str">
        <f aca="false">IF($FJ46&lt;HT$94,"",SQRT(HT46/HT$15))</f>
        <v/>
      </c>
      <c r="HU121" s="150" t="str">
        <f aca="false">IF($FJ46&lt;HU$94,"",SQRT(HU46/HU$15))</f>
        <v/>
      </c>
      <c r="HV121" s="150" t="str">
        <f aca="false">IF($FJ46&lt;HV$94,"",SQRT(HV46/HV$15))</f>
        <v/>
      </c>
      <c r="HW121" s="150" t="str">
        <f aca="false">IF($FJ46&lt;HW$94,"",SQRT(HW46/HW$15))</f>
        <v/>
      </c>
      <c r="HX121" s="150" t="str">
        <f aca="false">IF($FJ46&lt;HX$94,"",SQRT(HX46/HX$15))</f>
        <v/>
      </c>
      <c r="HY121" s="150" t="str">
        <f aca="false">IF($FJ46&lt;HY$94,"",SQRT(HY46/HY$15))</f>
        <v/>
      </c>
      <c r="HZ121" s="150" t="str">
        <f aca="false">IF($FJ46&lt;HZ$94,"",SQRT(HZ46/HZ$15))</f>
        <v/>
      </c>
      <c r="IA121" s="150" t="str">
        <f aca="false">IF($FJ46&lt;IA$94,"",SQRT(IA46/IA$15))</f>
        <v/>
      </c>
      <c r="IB121" s="150" t="str">
        <f aca="false">IF($FJ46&lt;IB$94,"",SQRT(IB46/IB$15))</f>
        <v/>
      </c>
      <c r="IC121" s="150" t="str">
        <f aca="false">IF($FJ46&lt;IC$94,"",SQRT(IC46/IC$15))</f>
        <v/>
      </c>
      <c r="ID121" s="572" t="str">
        <f aca="false">IF($FJ46&lt;ID$94,"",SQRT(ID46/ID$15))</f>
        <v/>
      </c>
      <c r="IE121" s="129"/>
    </row>
    <row r="122" customFormat="false" ht="12.75" hidden="false" customHeight="false" outlineLevel="0" collapsed="false">
      <c r="H122" s="219" t="n">
        <f aca="false">VLOOKUP(I122,$EJ$20:$EL$54,3)</f>
        <v>0</v>
      </c>
      <c r="I122" s="511" t="n">
        <f aca="false">EOMONTH(I121,0)+1</f>
        <v>39873</v>
      </c>
      <c r="J122" s="512"/>
      <c r="K122" s="513" t="s">
        <v>280</v>
      </c>
      <c r="L122" s="514" t="n">
        <f aca="false">IF(ISNUMBER(K122),J122+K122/100,IF(K122="extra",L121+VLOOKUP(BF122,PriceSpreadTable,2)/12,IF(K122="inter",interpolateprices($K$19:$L$200,ROW(K122)-ROW(FirstPricingMonth)+1),interpolatechanges($J$19:$K$200,ROW(K122)-ROW(FirstPricingMonth)+1))))</f>
        <v>0.975</v>
      </c>
      <c r="M122" s="515"/>
      <c r="N122" s="516" t="n">
        <v>0</v>
      </c>
      <c r="O122" s="515" t="n">
        <f aca="false">M122+N122</f>
        <v>0</v>
      </c>
      <c r="P122" s="512"/>
      <c r="Q122" s="513" t="s">
        <v>280</v>
      </c>
      <c r="R122" s="512" t="e">
        <f aca="false">IF(ISNUMBER(Q122),P122+Q122/100,IF(Q122="extra",(Z120*AL120-R121*AM120)/AN120,IF(Q122="inter",interpolateprices($Q$19:$R$260,ROW(Q122)-ROW(FirstPricingMonth)+1),interpolatechanges($P$19:$Q$260,ROW(Q122)-ROW(FirstPricingMonth)+1))))</f>
        <v>#VALUE!</v>
      </c>
      <c r="S122" s="597" t="n">
        <f aca="false">S$19+(S121-S$19)*S$18</f>
        <v>0.36000000000001</v>
      </c>
      <c r="T122" s="575" t="n">
        <f aca="false">SQRT((1-(1-T121^2/U121)*T$18)*U122)</f>
        <v>0.999999987086885</v>
      </c>
      <c r="U122" s="576" t="n">
        <f aca="false">1-(1-U121)*U$18</f>
        <v>0.999999999999997</v>
      </c>
      <c r="V122" s="521" t="n">
        <v>0</v>
      </c>
      <c r="W122" s="577" t="n">
        <f aca="false">(J123*AJ122+J124*AK122)/AI122</f>
        <v>0</v>
      </c>
      <c r="X122" s="578" t="n">
        <f aca="false">(L123*AJ122+L124*AK122)/AI122</f>
        <v>1.02443181818182</v>
      </c>
      <c r="Y122" s="579" t="n">
        <f aca="false">IF(Q124="extra",W122-AA122,(P123*AM122+P124*AN122)/AL122)</f>
        <v>-1.1685</v>
      </c>
      <c r="Z122" s="579" t="n">
        <f aca="false">IF(Q124="extra",X122-AB122,(R123*AM122+R124*AN122)/AL122)</f>
        <v>-0.144068181818182</v>
      </c>
      <c r="AA122" s="523" t="n">
        <f aca="false">IF(Q124="extra",INDEX(BrentSeasonalityTable,INT((BG122-1)/3)+1)*VLOOKUP(MAX(BF122,$AB$4),PriceSpreadTable,3),W122-Y122)</f>
        <v>1.1685</v>
      </c>
      <c r="AB122" s="524" t="n">
        <f aca="false">IF(Q124="extra",INDEX(BrentSeasonalityTable,INT((BG122-1)/3)+1)*VLOOKUP(MAX(BF122,$AB$4),PriceSpreadTable,3),X122-Z122)</f>
        <v>1.1685</v>
      </c>
      <c r="AC122" s="646" t="n">
        <v>39864</v>
      </c>
      <c r="AD122" s="646" t="n">
        <v>39860</v>
      </c>
      <c r="AE122" s="646" t="n">
        <v>39859</v>
      </c>
      <c r="AF122" s="646" t="n">
        <v>39855</v>
      </c>
      <c r="AG122" s="438" t="s">
        <v>278</v>
      </c>
      <c r="AH122" s="439" t="s">
        <v>278</v>
      </c>
      <c r="AI122" s="528" t="n">
        <v>22</v>
      </c>
      <c r="AJ122" s="529" t="n">
        <v>15</v>
      </c>
      <c r="AK122" s="529" t="n">
        <v>7</v>
      </c>
      <c r="AL122" s="530" t="n">
        <v>22</v>
      </c>
      <c r="AM122" s="529" t="n">
        <v>10</v>
      </c>
      <c r="AN122" s="531" t="n">
        <v>12</v>
      </c>
      <c r="AO122" s="532"/>
      <c r="AP122" s="465" t="n">
        <f aca="false">(1+AO122/2)^(-2*BL122)</f>
        <v>1</v>
      </c>
      <c r="AQ122" s="532"/>
      <c r="AR122" s="465" t="n">
        <f aca="false">(1+AQ122/2)^(-2*BH122/365.25)</f>
        <v>1</v>
      </c>
      <c r="AS122" s="580" t="n">
        <f aca="false">(O123*AJ122+O124*AK122)/AI122</f>
        <v>0</v>
      </c>
      <c r="AT122" s="468" t="n">
        <f aca="false">O122*VLOOKUP(BF122,BrentVolTable,2)+VLOOKUP(BF122,BrentVolTable,3)</f>
        <v>0</v>
      </c>
      <c r="AU122" s="468" t="n">
        <f aca="false">(AT123*AM122+AT124*AN122)/AL122</f>
        <v>0</v>
      </c>
      <c r="AV122" s="595" t="n">
        <f aca="false">SQRT(MAX(0.000000000001,(O122^2*BH122-S122^2*(BH122-BH121))/BH121))</f>
        <v>0.025672068831909</v>
      </c>
      <c r="AW122" s="451" t="n">
        <f aca="false">IF($I122-DateToday+15&gt;=$T$8,"",IF($I122-DateToday+15&lt;$T$5,1,MATCH($I122-DateToday+15,$T$5:$T$8)))</f>
        <v>1</v>
      </c>
      <c r="AX122" s="468" t="n">
        <f aca="false">IF($AW122="",AX121^2/AX120,INDEX(U$5:U$8,$AW122)^((INDEX($T$5:$T$8,$AW122+1)-($I122-DateToday+15))/(INDEX($T$5:$T$8,$AW122+1)-INDEX($T$5:$T$8,$AW122)))/INDEX(U$5:U$8,$AW122+1)^((INDEX($T$5:$T$8,$AW122)-($I122-DateToday+15))/(INDEX($T$5:$T$8,$AW122+1)-INDEX($T$5:$T$8,$AW122))))</f>
        <v>1.41929611442563</v>
      </c>
      <c r="AY122" s="468" t="n">
        <f aca="false">IF($AW122="",AY121^2/AY120,INDEX(V$5:V$8,$AW122)^((INDEX($T$5:$T$8,$AW122+1)-($I122-DateToday+15))/(INDEX($T$5:$T$8,$AW122+1)-INDEX($T$5:$T$8,$AW122)))/INDEX(V$5:V$8,$AW122+1)^((INDEX($T$5:$T$8,$AW122)-($I122-DateToday+15))/(INDEX($T$5:$T$8,$AW122+1)-INDEX($T$5:$T$8,$AW122))))</f>
        <v>71.1320408206855</v>
      </c>
      <c r="AZ122" s="468" t="n">
        <f aca="false">IF($AW122="",AZ121^2/AZ120,INDEX(W$5:W$8,$AW122)^((INDEX($T$5:$T$8,$AW122+1)-($I122-DateToday+15))/(INDEX($T$5:$T$8,$AW122+1)-INDEX($T$5:$T$8,$AW122)))/INDEX(W$5:W$8,$AW122+1)^((INDEX($T$5:$T$8,$AW122)-($I122-DateToday+15))/(INDEX($T$5:$T$8,$AW122+1)-INDEX($T$5:$T$8,$AW122))))</f>
        <v>159462.89551452</v>
      </c>
      <c r="BA122" s="468" t="n">
        <f aca="false">IF($AW122="",BA121^2/BA120,INDEX(X$5:X$8,$AW122)^((INDEX($T$5:$T$8,$AW122+1)-($I122-DateToday+15))/(INDEX($T$5:$T$8,$AW122+1)-INDEX($T$5:$T$8,$AW122)))/INDEX(X$5:X$8,$AW122+1)^((INDEX($T$5:$T$8,$AW122)-($I122-DateToday+15))/(INDEX($T$5:$T$8,$AW122+1)-INDEX($T$5:$T$8,$AW122))))</f>
        <v>2357552.79165435</v>
      </c>
      <c r="BB122" s="468" t="n">
        <f aca="false">IF($AW122="",BB121^2/BB120,INDEX(Y$5:Y$8,$AW122)^((INDEX($T$5:$T$8,$AW122+1)-($I122-DateToday+15))/(INDEX($T$5:$T$8,$AW122+1)-INDEX($T$5:$T$8,$AW122)))/INDEX(Y$5:Y$8,$AW122+1)^((INDEX($T$5:$T$8,$AW122)-($I122-DateToday+15))/(INDEX($T$5:$T$8,$AW122+1)-INDEX($T$5:$T$8,$AW122))))</f>
        <v>23755667.6402767</v>
      </c>
      <c r="BC122" s="468" t="n">
        <f aca="false">IF($AW122="",BC121^2/BC120,INDEX(Z$5:Z$8,$AW122)^((INDEX($T$5:$T$8,$AW122+1)-($I122-DateToday+15))/(INDEX($T$5:$T$8,$AW122+1)-INDEX($T$5:$T$8,$AW122)))/INDEX(Z$5:Z$8,$AW122+1)^((INDEX($T$5:$T$8,$AW122)-($I122-DateToday+15))/(INDEX($T$5:$T$8,$AW122+1)-INDEX($T$5:$T$8,$AW122))))</f>
        <v>95463258.3369768</v>
      </c>
      <c r="BD122" s="535" t="n">
        <f aca="false">IF(OR(DateStart&gt;=I123,DateEnd&lt;I122),0,IF(VolumeOverrideFlag,V122,Volume))</f>
        <v>0</v>
      </c>
      <c r="BE122" s="536" t="n">
        <f aca="false">IF(OR(DateStart2&gt;=I123,DateEnd2&lt;I122),0,IF(VolumeOverrideFlag,V122,VolumeSwaption))</f>
        <v>0</v>
      </c>
      <c r="BF122" s="537" t="n">
        <f aca="false">YEAR(I122)</f>
        <v>2009</v>
      </c>
      <c r="BG122" s="538" t="n">
        <f aca="false">MONTH(I122)</f>
        <v>3</v>
      </c>
      <c r="BH122" s="539" t="n">
        <f aca="false">AD122-DateToday+1</f>
        <v>-6065</v>
      </c>
      <c r="BI122" s="540" t="n">
        <f aca="false">(I122-DateToday+1)/365.25</f>
        <v>-16.5694729637235</v>
      </c>
      <c r="BJ122" s="541" t="n">
        <f aca="false">BI122+(BL122-BI122)*CHOOSE(Underlying,AJ122/AI122,AM122/AL122)</f>
        <v>-16.5134714703503</v>
      </c>
      <c r="BK122" s="541" t="n">
        <f aca="false">BJ122+1/365.25</f>
        <v>-16.5107336195632</v>
      </c>
      <c r="BL122" s="541" t="n">
        <f aca="false">(I123-DateToday)/365.25</f>
        <v>-16.4873374401095</v>
      </c>
      <c r="BM122" s="542" t="e">
        <f aca="false">MAX(BI122-(BJ122-BI122)*(S123^2/O123^2-1),0)</f>
        <v>#DIV/0!</v>
      </c>
      <c r="BN122" s="541" t="e">
        <f aca="false">MAX(BL122+(BL122-BK122)*(S124^2/O124^2-1),0)</f>
        <v>#DIV/0!</v>
      </c>
      <c r="BO122" s="530" t="n">
        <f aca="false">CHOOSE(Underlying,AI122,AL122)</f>
        <v>22</v>
      </c>
      <c r="BP122" s="529" t="n">
        <f aca="false">CHOOSE(Underlying,AJ122,AM122)</f>
        <v>15</v>
      </c>
      <c r="BQ122" s="529" t="n">
        <f aca="false">CHOOSE(Underlying,AK122,AN122)</f>
        <v>7</v>
      </c>
      <c r="BR122" s="463" t="str">
        <f aca="false">IF(BD122,IF(Underlying=1,X122,Z122)+UnderlyingPriceAsian-SwapPriceCurve,"")</f>
        <v/>
      </c>
      <c r="BS122" s="463" t="str">
        <f aca="false">IF(BD122,Strike1/BR122-1,"")</f>
        <v/>
      </c>
      <c r="BT122" s="464" t="str">
        <f aca="false">IF(BD122,Strike2/BR122-1,"")</f>
        <v/>
      </c>
      <c r="BU122" s="465" t="str">
        <f aca="false">IF(BD122,IF(Underlying=1,L123,R123)+UnderlyingPriceAsian-SwapPriceCurve,"")</f>
        <v/>
      </c>
      <c r="BV122" s="465" t="str">
        <f aca="false">IF(BD122,IF(Underlying=1,L124,R124)+UnderlyingPriceAsian-SwapPriceCurve,"")</f>
        <v/>
      </c>
      <c r="BW122" s="466" t="str">
        <f aca="false">IF(BD122,IF(Underlying=1,O123,AT123),"")</f>
        <v/>
      </c>
      <c r="BX122" s="467" t="str">
        <f aca="false">IF(BD122,IF(Underlying=1,O124,AT124),"")</f>
        <v/>
      </c>
      <c r="BY122" s="466" t="str">
        <f aca="false">IF(BD122,IF(BS122&gt;0,IF(BS122&gt;0.2,BC122-BB122,IF(BS122&gt;0.1,BB122-BA122,BA122)),IF(BS122&lt;-0.2,AX122-AY122,IF(BS122&lt;-0.1,AY122-AZ122,AZ122))),"")</f>
        <v/>
      </c>
      <c r="BZ122" s="467" t="str">
        <f aca="false">IF(BD122,IF(BT122&gt;0,IF(BT122&gt;0.2,BC122-BB122,IF(BT122&gt;0.1,BB122-BA122,BA122)),IF(BT122&lt;-0.2,AX122-AY122,IF(BT122&lt;-0.1,AY122-AZ122,AZ122))),"")</f>
        <v/>
      </c>
      <c r="CA122" s="468" t="str">
        <f aca="false">IF($BD122,$BW122+IF(VolSkewFlag=1,IF(BS122&gt;0,$BA122*MIN(BS122/10%,1)+($BB122-$BA122)*MAX(0,MIN(BS122/10%-1,1))+($BC122-$BB122)*MAX(0,BS122/10%-2),$AZ122*MIN(-BS122/10%,1)+($AY122-$AZ122)*MAX(0,MIN(-BS122/10%-1,1))+($AX122-$AY122)*MAX(0,-BS122/10%-2)),0),"")</f>
        <v/>
      </c>
      <c r="CB122" s="468" t="str">
        <f aca="false">IF($BD122,$BX122+IF(VolSkewFlag=1,IF(BS122&gt;0,$BA122*MIN(BS122/10%,1)+($BB122-$BA122)*MAX(0,MIN(BS122/10%-1,1))+($BC122-$BB122)*MAX(0,BS122/10%-2),$AZ122*MIN(-BS122/10%,1)+($AY122-$AZ122)*MAX(0,MIN(-BS122/10%-1,1))+($AX122-$AY122)*MAX(0,-BS122/10%-2)),0),"")</f>
        <v/>
      </c>
      <c r="CC122" s="468" t="str">
        <f aca="false">IF($BD122,$BW122+IF(VolSkewFlag=1,IF(BT122&gt;0,$BA122*MIN(BT122/10%,1)+($BB122-$BA122)*MAX(0,MIN(BT122/10%-1,1))+($BC122-$BB122)*MAX(0,BT122/10%-2),$AZ122*MIN(-BT122/10%,1)+($AY122-$AZ122)*MAX(0,MIN(-BT122/10%-1,1))+($AX122-$AY122)*MAX(0,-BT122/10%-2)),0),"")</f>
        <v/>
      </c>
      <c r="CD122" s="468" t="str">
        <f aca="false">IF($BD122,$BX122+IF(VolSkewFlag=1,IF(BT122&gt;0,$BA122*MIN(BT122/10%,1)+($BB122-$BA122)*MAX(0,MIN(BT122/10%-1,1))+($BC122-$BB122)*MAX(0,BT122/10%-2),$AZ122*MIN(-BT122/10%,1)+($AY122-$AZ122)*MAX(0,MIN(-BT122/10%-1,1))+($AX122-$AY122)*MAX(0,-BT122/10%-2)),0),"")</f>
        <v/>
      </c>
      <c r="CE122" s="469" t="n">
        <v>1</v>
      </c>
      <c r="CF122" s="470" t="n">
        <f aca="false">IF(BD122,xCrudeAPO(BU122,BV122,CA122,CB122,S123,S124,BI122,BL122,BP122,BQ122,0,Strike1,AO122,CE122,0,BL122,IF(OptControl=4,0,1),0,1),0)</f>
        <v>0</v>
      </c>
      <c r="CG122" s="470" t="n">
        <f aca="false">IF(BD122,xCrudeAPO(BU122,BV122,CA122,CB122,S123,S124,BI122,BL122,BP122,BQ122,0,Strike1,AO122,CE122,0,BL122,IF(OptControl=4,0,1),1,1)+xCrudeAPO(BU122,BV122,CA122,CB122,S123,S124,BI122,BL122,BP122,BQ122,0,Strike1,AO122,CE122,0,BL122,IF(OptControl=4,0,1),1,2)+IF(OR(VolSkewFlag=2,ABS(BS122)&lt;0.0001),0,IF(BS122&gt;0,-1,1)*CH122*Strike1/BR122^2*BY122/10%),0)</f>
        <v>0</v>
      </c>
      <c r="CH122" s="470" t="n">
        <f aca="false">IF(BD122,(xCrudeAPO(BU122,BV122,CA122,CB122,S123,S124,BI122,BL122,BP122,BQ122,0,Strike1,AO122,CE122,0,BL122,IF(OptControl=4,0,1),3,1)+xCrudeAPO(BU122,BV122,CA122,CB122,S123,S124,BI122,BL122,BP122,BQ122,0,Strike1,AO122,CE122,0,BL122,IF(OptControl=4,0,1),3,2))/100,0)</f>
        <v>0</v>
      </c>
      <c r="CI122" s="470" t="n">
        <f aca="false">IF(BD122,xCrudeAPO(BU122,BV122,CA122,CB122,S123,S124,BI122-DaysForThetaCalculation/365.25,BL122-DaysForThetaCalculation/365.25,BP122,BQ122,0,Strike1,AO122,CE122,0,BL122,IF(OptControl=4,0,1),0,1)-xCrudeAPO(BU122,BV122,CA122,CB122,S123,S124,BI122,BL122,BP122,BQ122,0,Strike1,AO122,CE122,0,BL122,IF(OptControl=4,0,1),0,1),0)</f>
        <v>0</v>
      </c>
      <c r="CJ122" s="471" t="n">
        <f aca="false">IF(BD122,xCrudeAPO(BU122,BV122,CC122,CD122,S123,S124,BI122,BL122,BP122,BQ122,0,Strike2,AO122,CE122,0,BL122,IF(OptControl=3,1,0),0,1),0)</f>
        <v>0</v>
      </c>
      <c r="CK122" s="470" t="n">
        <f aca="false">IF(BD122,xCrudeAPO(BU122,BV122,CC122,CD122,S123,S124,BI122,BL122,BP122,BQ122,0,Strike2,AO122,CE122,0,BL122,IF(OptControl=3,1,0),1,1)+xCrudeAPO(BU122,BV122,CC122,CD122,S123,S124,BI122,BL122,BP122,BQ122,0,Strike2,AO122,CE122,0,BL122,IF(OptControl=3,1,0),1,2)+IF(OR(VolSkewFlag=2,ABS(BT122)&lt;0.0001),0,IF(BT122&gt;0,-1,1)*CL122*Strike2/BR122^2*BZ122/10%),0)</f>
        <v>0</v>
      </c>
      <c r="CL122" s="470" t="n">
        <f aca="false">IF(BD122,(xCrudeAPO(BU122,BV122,CC122,CD122,S123,S124,BI122,BL122,BP122,BQ122,0,Strike2,AO122,CE122,0,BL122,IF(OptControl=3,1,0),3,1)+xCrudeAPO(BU122,BV122,CC122,CD122,S123,S124,BI122,BL122,BP122,BQ122,0,Strike2,AO122,CE122,0,BL122,IF(OptControl=3,1,0),3,2))/100,0)</f>
        <v>0</v>
      </c>
      <c r="CM122" s="472" t="n">
        <f aca="false">IF(BD122,xCrudeAPO(BU122,BV122,CC122,CD122,S123,S124,BI122-DaysForThetaCalculation/365.25,BL122-DaysForThetaCalculation/365.25,BP122,BQ122,0,Strike2,AO122,CE122,0,BL122,IF(OptControl=3,1,0),0,1)-xCrudeAPO(BU122,BV122,CC122,CD122,S123,S124,BI122,BL122,BP122,BQ122,0,Strike2,AO122,CE122,0,BL122,IF(OptControl=3,1,0),0,1),0)</f>
        <v>0</v>
      </c>
      <c r="CN122" s="3"/>
      <c r="CO122" s="543" t="str">
        <f aca="false">IF(BD122,CHOOSE(Underlying,AD122,AF122)-DateToday+1,"")</f>
        <v/>
      </c>
      <c r="CP122" s="582" t="str">
        <f aca="false">IF(BD122,CHOOSE(Underlying,L122,R122),"")</f>
        <v/>
      </c>
      <c r="CQ122" s="544" t="str">
        <f aca="false">IF(BD122,Strike1/CP122-1,"")</f>
        <v/>
      </c>
      <c r="CR122" s="544" t="str">
        <f aca="false">IF(BD122,Strike2/CP122-1,"")</f>
        <v/>
      </c>
      <c r="CS122" s="544" t="str">
        <f aca="false">IF(BD122,IF(CQ122&gt;0,IF(CQ122&gt;0.2,BC121-BB121,IF(CQ122&gt;0.1,BB121-BA121,BA121)),IF(CQ122&lt;-0.2,AX121-AY121,IF(CQ122&lt;-0.1,AY121-AZ121,AZ121))),"")</f>
        <v/>
      </c>
      <c r="CT122" s="544" t="str">
        <f aca="false">IF(BD122,IF(CR122&gt;0,IF(CR122&gt;0.2,BC121-BB121,IF(CR122&gt;0.1,BB121-BA121,BA121)),IF(CR122&lt;-0.2,AX121-AY121,IF(CR122&lt;-0.1,AY121-AZ121,AZ121))),"")</f>
        <v/>
      </c>
      <c r="CU122" s="545" t="str">
        <f aca="false">IF(BD122,CHOOSE(Underlying,O122,AT122),"")</f>
        <v/>
      </c>
      <c r="CV122" s="545" t="str">
        <f aca="false">IF(BD122,CU122+IF(VolSkewFlag=1,IF(CQ122&gt;0,BA121*MIN(CQ122/10%,1)+(BB121-BA121)*MAX(0,MIN(CQ122/10%-1,1))+(BC121-BB121)*MAX(0,CQ122/10%-2),AZ121*MIN(-CQ122/10%,1)+(AY121-AZ121)*MAX(0,MIN(-CQ122/10%-1,1))+(AX121-AY121)*MAX(0,-CQ122/10%-2)),0),"")</f>
        <v/>
      </c>
      <c r="CW122" s="545" t="str">
        <f aca="false">IF(BD122,CU122+IF(VolSkewFlag=1,IF(CR122&gt;0,BA121*MIN(CR122/10%,1)+(BB121-BA121)*MAX(0,MIN(CR122/10%-1,1))+(BC121-BB121)*MAX(0,CR122/10%-2),AZ121*MIN(-CR122/10%,1)+(AY121-AZ121)*MAX(0,MIN(-CR122/10%-1,1))+(AX121-AY121)*MAX(0,-CR122/10%-2)),0),"")</f>
        <v/>
      </c>
      <c r="CX122" s="470" t="n">
        <f aca="false">IF(BD122,EURO(CP122,Strike1,AO122,AO122,CV122,CO122,IF(OptControl=4,0,1),0),0)</f>
        <v>0</v>
      </c>
      <c r="CY122" s="470" t="n">
        <f aca="false">IF(BD122,EURO(CP122,Strike1,AO122,AO122,CV122,CO122,IF(OptControl=4,0,1),1)+IF(OR(VolSkewFlag=2,ABS(CQ122)&lt;0.0001),0,IF(CQ122&gt;0,-1,1)*CZ122*100*Strike1/CP122^2*CS122/10%),0)</f>
        <v>0</v>
      </c>
      <c r="CZ122" s="470" t="n">
        <f aca="false">IF(BD122,EURO(CP122,Strike1,AO122,AO122,CV122,CO122,IF(OptControl=4,0,1),3)/100,0)</f>
        <v>0</v>
      </c>
      <c r="DA122" s="470" t="n">
        <f aca="false">IF(BD122,EURO(CP122,Strike1,AO122,AO122,CV122,CO122,IF(OptControl=4,0,1),0)-EURO(CP122,Strike1,AO122,AO122,CV122,CO122-1,IF(OptControl=4,0,1),0),0)</f>
        <v>0</v>
      </c>
      <c r="DB122" s="470" t="n">
        <f aca="false">IF(BD122,EURO(CP122,Strike2,AO122,AO122,CW122,CO122,IF(OptControl=3,1,0),0),0)</f>
        <v>0</v>
      </c>
      <c r="DC122" s="470" t="n">
        <f aca="false">IF(BD122,EURO(CP122,Strike2,AO122,AO122,CW122,CO122,IF(OptControl=3,1,0),1)+IF(OR(VolSkewFlag=2,ABS(CR122)&lt;0.0001),0,IF(CR122&gt;0,-1,1)*DD122*100*Strike2/CP122^2*CT122/10%),0)</f>
        <v>0</v>
      </c>
      <c r="DD122" s="470" t="n">
        <f aca="false">IF(BD122,EURO(CP122,Strike2,AO122,AO122,CW122,CO122,IF(OptControl=3,1,0),3)/100,0)</f>
        <v>0</v>
      </c>
      <c r="DE122" s="472" t="n">
        <f aca="false">IF(BD122,EURO(CP122,Strike2,AO122,AO122,CW122,CO122,IF(OptControl=3,1,0),0)-EURO(CP122,Strike2,AO122,AO122,CW122,CO122-1,IF(OptControl=3,1,0),0),0)</f>
        <v>0</v>
      </c>
      <c r="DG122" s="481" t="n">
        <f aca="false">EOMONTH(DG121,0)+1</f>
        <v>48792</v>
      </c>
      <c r="DH122" s="478" t="n">
        <v>19.26</v>
      </c>
      <c r="DI122" s="479" t="n">
        <v>19.3266666666667</v>
      </c>
      <c r="DJ122" s="480" t="n">
        <f aca="false">DG122</f>
        <v>48792</v>
      </c>
      <c r="DK122" s="478" t="n">
        <v>17.8683482508115</v>
      </c>
      <c r="DL122" s="479" t="n">
        <v>18.0597666666667</v>
      </c>
      <c r="DM122" s="481" t="n">
        <f aca="false">DG122</f>
        <v>48792</v>
      </c>
      <c r="DN122" s="482" t="n">
        <f aca="false">DK122+BrentPhyBrentSpread</f>
        <v>17.9183482508115</v>
      </c>
      <c r="DO122" s="481" t="n">
        <f aca="false">DG122</f>
        <v>48792</v>
      </c>
      <c r="DP122" s="483" t="n">
        <f aca="false">DL122+DQ122</f>
        <v>18.0597666666667</v>
      </c>
      <c r="DQ122" s="546" t="n">
        <v>0</v>
      </c>
      <c r="DR122" s="480" t="n">
        <f aca="false">DG122</f>
        <v>48792</v>
      </c>
      <c r="DS122" s="485" t="n">
        <v>0.163399999999999</v>
      </c>
      <c r="DT122" s="486" t="n">
        <v>0.162599999999999</v>
      </c>
      <c r="DU122" s="480" t="n">
        <f aca="false">DG122</f>
        <v>48792</v>
      </c>
      <c r="DV122" s="485" t="n">
        <v>0.163399999999999</v>
      </c>
      <c r="DW122" s="486" t="n">
        <v>0.162599999999999</v>
      </c>
      <c r="DX122" s="481" t="n">
        <f aca="false">DG122</f>
        <v>48792</v>
      </c>
      <c r="DY122" s="486" t="n">
        <v>0.35</v>
      </c>
      <c r="DZ122" s="481" t="n">
        <f aca="false">DR122</f>
        <v>48792</v>
      </c>
      <c r="EA122" s="486" t="n">
        <f aca="false">DT122</f>
        <v>0.162599999999999</v>
      </c>
      <c r="EB122" s="195"/>
      <c r="EC122" s="547" t="str">
        <f aca="false">IF(BD122,IF(Underlying=1,AS122,AU122),"")</f>
        <v/>
      </c>
      <c r="ED122" s="548" t="str">
        <f aca="false">IF($BD122,$EC122+IF(VolSkewFlag=1,IF(BS122&gt;0,$BA122*MIN(BS122/10%,1)+($BB122-$BA122)*MAX(0,MIN(BS122/10%-1,1))+($BC122-$BB122)*MAX(0,BS122/10%-2),$AZ122*MIN(-BS122/10%,1)+($AY122-$AZ122)*MAX(0,MIN(-BS122/10%-1,1))+($AX122-$AY122)*MAX(0,-BS122/10%-2)),0),"")</f>
        <v/>
      </c>
      <c r="EE122" s="549" t="str">
        <f aca="false">IF($BD122,$EC122+IF(VolSkewFlag=1,IF(BT122&gt;0,$BA122*MIN(BT122/10%,1)+($BB122-$BA122)*MAX(0,MIN(BT122/10%-1,1))+($BC122-$BB122)*MAX(0,BT122/10%-2),$AZ122*MIN(-BT122/10%,1)+($AY122-$AZ122)*MAX(0,MIN(-BT122/10%-1,1))+($AX122-$AY122)*MAX(0,-BT122/10%-2)),0),"")</f>
        <v/>
      </c>
      <c r="EF122" s="550" t="n">
        <f aca="false">IF(BD122,xASN(BR122,Strike1,AO122,ED122,0,BO122,0,BI122,BL122,IF(OptControl=4,0,1),0),0)</f>
        <v>0</v>
      </c>
      <c r="EG122" s="551" t="n">
        <f aca="false">IF(BD122,xASN(BR122,Strike2,AO122,EE122,0,BO122,0,BI122,BL122,IF(OptControl=3,1,0),0),0)</f>
        <v>0</v>
      </c>
      <c r="EL122" s="1"/>
      <c r="EM122" s="195"/>
      <c r="EN122" s="240"/>
      <c r="EO122" s="240"/>
      <c r="EP122" s="195"/>
      <c r="EQ122" s="407" t="s">
        <v>349</v>
      </c>
      <c r="ES122" s="130"/>
      <c r="ET122" s="19"/>
      <c r="EU122" s="672"/>
      <c r="EV122" s="478"/>
      <c r="EW122" s="131"/>
      <c r="EX122" s="131"/>
      <c r="EY122" s="129"/>
      <c r="EZ122" s="129"/>
      <c r="FA122" s="129"/>
      <c r="FB122" s="129"/>
      <c r="FC122" s="129"/>
      <c r="FD122" s="129"/>
      <c r="FE122" s="129"/>
      <c r="FF122" s="129"/>
      <c r="FG122" s="129"/>
      <c r="FH122" s="129"/>
      <c r="FI122" s="129"/>
      <c r="FJ122" s="571" t="n">
        <v>28</v>
      </c>
      <c r="FK122" s="150" t="e">
        <f aca="false">IF($FJ47&lt;FK$94,"",SQRT(FK47/FK$15))</f>
        <v>#DIV/0!</v>
      </c>
      <c r="FL122" s="150" t="n">
        <f aca="false">IF($FJ47&lt;FL$94,"",SQRT(FL47/FL$15))</f>
        <v>-0</v>
      </c>
      <c r="FM122" s="150" t="n">
        <f aca="false">IF($FJ47&lt;FM$94,"",SQRT(FM47/FM$15))</f>
        <v>0.173149880188298</v>
      </c>
      <c r="FN122" s="150" t="n">
        <f aca="false">IF($FJ47&lt;FN$94,"",SQRT(FN47/FN$15))</f>
        <v>0.170266112402764</v>
      </c>
      <c r="FO122" s="150" t="n">
        <f aca="false">IF($FJ47&lt;FO$94,"",SQRT(FO47/FO$15))</f>
        <v>0.168277903564957</v>
      </c>
      <c r="FP122" s="150" t="n">
        <f aca="false">IF($FJ47&lt;FP$94,"",SQRT(FP47/FP$15))</f>
        <v>0.166992909201899</v>
      </c>
      <c r="FQ122" s="150" t="n">
        <f aca="false">IF($FJ47&lt;FQ$94,"",SQRT(FQ47/FQ$15))</f>
        <v>0.166272486519268</v>
      </c>
      <c r="FR122" s="150" t="n">
        <f aca="false">IF($FJ47&lt;FR$94,"",SQRT(FR47/FR$15))</f>
        <v>0.166019379604216</v>
      </c>
      <c r="FS122" s="150" t="n">
        <f aca="false">IF($FJ47&lt;FS$94,"",SQRT(FS47/FS$15))</f>
        <v>0.166168726017479</v>
      </c>
      <c r="FT122" s="150" t="n">
        <f aca="false">IF($FJ47&lt;FT$94,"",SQRT(FT47/FT$15))</f>
        <v>0.166681618250336</v>
      </c>
      <c r="FU122" s="150" t="n">
        <f aca="false">IF($FJ47&lt;FU$94,"",SQRT(FU47/FU$15))</f>
        <v>0.167540665371864</v>
      </c>
      <c r="FV122" s="150" t="n">
        <f aca="false">IF($FJ47&lt;FV$94,"",SQRT(FV47/FV$15))</f>
        <v>0.168747166727751</v>
      </c>
      <c r="FW122" s="150" t="n">
        <f aca="false">IF($FJ47&lt;FW$94,"",SQRT(FW47/FW$15))</f>
        <v>0.170319645450437</v>
      </c>
      <c r="FX122" s="150" t="n">
        <f aca="false">IF($FJ47&lt;FX$94,"",SQRT(FX47/FX$15))</f>
        <v>0.172293607479942</v>
      </c>
      <c r="FY122" s="150" t="n">
        <f aca="false">IF($FJ47&lt;FY$94,"",SQRT(FY47/FY$15))</f>
        <v>0.174722503898262</v>
      </c>
      <c r="FZ122" s="150" t="n">
        <f aca="false">IF($FJ47&lt;FZ$94,"",SQRT(FZ47/FZ$15))</f>
        <v>0.177679993899598</v>
      </c>
      <c r="GA122" s="150" t="n">
        <f aca="false">IF($FJ47&lt;GA$94,"",SQRT(GA47/GA$15))</f>
        <v>0.18126374933138</v>
      </c>
      <c r="GB122" s="150" t="n">
        <f aca="false">IF($FJ47&lt;GB$94,"",SQRT(GB47/GB$15))</f>
        <v>0.185601233085792</v>
      </c>
      <c r="GC122" s="150" t="n">
        <f aca="false">IF($FJ47&lt;GC$94,"",SQRT(GC47/GC$15))</f>
        <v>0.190858159201565</v>
      </c>
      <c r="GD122" s="150" t="n">
        <f aca="false">IF($FJ47&lt;GD$94,"",SQRT(GD47/GD$15))</f>
        <v>0.197250762126932</v>
      </c>
      <c r="GE122" s="150" t="n">
        <f aca="false">IF($FJ47&lt;GE$94,"",SQRT(GE47/GE$15))</f>
        <v>0.205063668340849</v>
      </c>
      <c r="GF122" s="150" t="n">
        <f aca="false">IF($FJ47&lt;GF$94,"",SQRT(GF47/GF$15))</f>
        <v>0.214676256213945</v>
      </c>
      <c r="GG122" s="150" t="n">
        <f aca="false">IF($FJ47&lt;GG$94,"",SQRT(GG47/GG$15))</f>
        <v>0.226602240288619</v>
      </c>
      <c r="GH122" s="150" t="n">
        <f aca="false">IF($FJ47&lt;GH$94,"",SQRT(GH47/GH$15))</f>
        <v>0.241550449651169</v>
      </c>
      <c r="GI122" s="150" t="n">
        <f aca="false">IF($FJ47&lt;GI$94,"",SQRT(GI47/GI$15))</f>
        <v>0.260520613961458</v>
      </c>
      <c r="GJ122" s="150" t="n">
        <f aca="false">IF($FJ47&lt;GJ$94,"",SQRT(GJ47/GJ$15))</f>
        <v>0.284958930841038</v>
      </c>
      <c r="GK122" s="150" t="n">
        <f aca="false">IF($FJ47&lt;GK$94,"",SQRT(GK47/GK$15))</f>
        <v>0.317019617042228</v>
      </c>
      <c r="GL122" s="150" t="n">
        <f aca="false">IF($FJ47&lt;GL$94,"",SQRT(GL47/GL$15))</f>
        <v>0.360022576303745</v>
      </c>
      <c r="GM122" s="150" t="str">
        <f aca="false">IF($FJ47&lt;GM$94,"",SQRT(GM47/GM$15))</f>
        <v/>
      </c>
      <c r="GN122" s="150" t="str">
        <f aca="false">IF($FJ47&lt;GN$94,"",SQRT(GN47/GN$15))</f>
        <v/>
      </c>
      <c r="GO122" s="150" t="str">
        <f aca="false">IF($FJ47&lt;GO$94,"",SQRT(GO47/GO$15))</f>
        <v/>
      </c>
      <c r="GP122" s="150" t="str">
        <f aca="false">IF($FJ47&lt;GP$94,"",SQRT(GP47/GP$15))</f>
        <v/>
      </c>
      <c r="GQ122" s="150" t="str">
        <f aca="false">IF($FJ47&lt;GQ$94,"",SQRT(GQ47/GQ$15))</f>
        <v/>
      </c>
      <c r="GR122" s="150" t="str">
        <f aca="false">IF($FJ47&lt;GR$94,"",SQRT(GR47/GR$15))</f>
        <v/>
      </c>
      <c r="GS122" s="150" t="str">
        <f aca="false">IF($FJ47&lt;GS$94,"",SQRT(GS47/GS$15))</f>
        <v/>
      </c>
      <c r="GT122" s="150" t="str">
        <f aca="false">IF($FJ47&lt;GT$94,"",SQRT(GT47/GT$15))</f>
        <v/>
      </c>
      <c r="GU122" s="150" t="str">
        <f aca="false">IF($FJ47&lt;GU$94,"",SQRT(GU47/GU$15))</f>
        <v/>
      </c>
      <c r="GV122" s="150" t="str">
        <f aca="false">IF($FJ47&lt;GV$94,"",SQRT(GV47/GV$15))</f>
        <v/>
      </c>
      <c r="GW122" s="150" t="str">
        <f aca="false">IF($FJ47&lt;GW$94,"",SQRT(GW47/GW$15))</f>
        <v/>
      </c>
      <c r="GX122" s="150" t="str">
        <f aca="false">IF($FJ47&lt;GX$94,"",SQRT(GX47/GX$15))</f>
        <v/>
      </c>
      <c r="GY122" s="150" t="str">
        <f aca="false">IF($FJ47&lt;GY$94,"",SQRT(GY47/GY$15))</f>
        <v/>
      </c>
      <c r="GZ122" s="150" t="str">
        <f aca="false">IF($FJ47&lt;GZ$94,"",SQRT(GZ47/GZ$15))</f>
        <v/>
      </c>
      <c r="HA122" s="150" t="str">
        <f aca="false">IF($FJ47&lt;HA$94,"",SQRT(HA47/HA$15))</f>
        <v/>
      </c>
      <c r="HB122" s="150" t="str">
        <f aca="false">IF($FJ47&lt;HB$94,"",SQRT(HB47/HB$15))</f>
        <v/>
      </c>
      <c r="HC122" s="150" t="str">
        <f aca="false">IF($FJ47&lt;HC$94,"",SQRT(HC47/HC$15))</f>
        <v/>
      </c>
      <c r="HD122" s="150" t="str">
        <f aca="false">IF($FJ47&lt;HD$94,"",SQRT(HD47/HD$15))</f>
        <v/>
      </c>
      <c r="HE122" s="150" t="str">
        <f aca="false">IF($FJ47&lt;HE$94,"",SQRT(HE47/HE$15))</f>
        <v/>
      </c>
      <c r="HF122" s="150" t="str">
        <f aca="false">IF($FJ47&lt;HF$94,"",SQRT(HF47/HF$15))</f>
        <v/>
      </c>
      <c r="HG122" s="150" t="str">
        <f aca="false">IF($FJ47&lt;HG$94,"",SQRT(HG47/HG$15))</f>
        <v/>
      </c>
      <c r="HH122" s="150" t="str">
        <f aca="false">IF($FJ47&lt;HH$94,"",SQRT(HH47/HH$15))</f>
        <v/>
      </c>
      <c r="HI122" s="150" t="str">
        <f aca="false">IF($FJ47&lt;HI$94,"",SQRT(HI47/HI$15))</f>
        <v/>
      </c>
      <c r="HJ122" s="150" t="str">
        <f aca="false">IF($FJ47&lt;HJ$94,"",SQRT(HJ47/HJ$15))</f>
        <v/>
      </c>
      <c r="HK122" s="150" t="str">
        <f aca="false">IF($FJ47&lt;HK$94,"",SQRT(HK47/HK$15))</f>
        <v/>
      </c>
      <c r="HL122" s="150" t="str">
        <f aca="false">IF($FJ47&lt;HL$94,"",SQRT(HL47/HL$15))</f>
        <v/>
      </c>
      <c r="HM122" s="150" t="str">
        <f aca="false">IF($FJ47&lt;HM$94,"",SQRT(HM47/HM$15))</f>
        <v/>
      </c>
      <c r="HN122" s="150" t="str">
        <f aca="false">IF($FJ47&lt;HN$94,"",SQRT(HN47/HN$15))</f>
        <v/>
      </c>
      <c r="HO122" s="150" t="str">
        <f aca="false">IF($FJ47&lt;HO$94,"",SQRT(HO47/HO$15))</f>
        <v/>
      </c>
      <c r="HP122" s="150" t="str">
        <f aca="false">IF($FJ47&lt;HP$94,"",SQRT(HP47/HP$15))</f>
        <v/>
      </c>
      <c r="HQ122" s="150" t="str">
        <f aca="false">IF($FJ47&lt;HQ$94,"",SQRT(HQ47/HQ$15))</f>
        <v/>
      </c>
      <c r="HR122" s="150" t="str">
        <f aca="false">IF($FJ47&lt;HR$94,"",SQRT(HR47/HR$15))</f>
        <v/>
      </c>
      <c r="HS122" s="150" t="str">
        <f aca="false">IF($FJ47&lt;HS$94,"",SQRT(HS47/HS$15))</f>
        <v/>
      </c>
      <c r="HT122" s="150" t="str">
        <f aca="false">IF($FJ47&lt;HT$94,"",SQRT(HT47/HT$15))</f>
        <v/>
      </c>
      <c r="HU122" s="150" t="str">
        <f aca="false">IF($FJ47&lt;HU$94,"",SQRT(HU47/HU$15))</f>
        <v/>
      </c>
      <c r="HV122" s="150" t="str">
        <f aca="false">IF($FJ47&lt;HV$94,"",SQRT(HV47/HV$15))</f>
        <v/>
      </c>
      <c r="HW122" s="150" t="str">
        <f aca="false">IF($FJ47&lt;HW$94,"",SQRT(HW47/HW$15))</f>
        <v/>
      </c>
      <c r="HX122" s="150" t="str">
        <f aca="false">IF($FJ47&lt;HX$94,"",SQRT(HX47/HX$15))</f>
        <v/>
      </c>
      <c r="HY122" s="150" t="str">
        <f aca="false">IF($FJ47&lt;HY$94,"",SQRT(HY47/HY$15))</f>
        <v/>
      </c>
      <c r="HZ122" s="150" t="str">
        <f aca="false">IF($FJ47&lt;HZ$94,"",SQRT(HZ47/HZ$15))</f>
        <v/>
      </c>
      <c r="IA122" s="150" t="str">
        <f aca="false">IF($FJ47&lt;IA$94,"",SQRT(IA47/IA$15))</f>
        <v/>
      </c>
      <c r="IB122" s="150" t="str">
        <f aca="false">IF($FJ47&lt;IB$94,"",SQRT(IB47/IB$15))</f>
        <v/>
      </c>
      <c r="IC122" s="150" t="str">
        <f aca="false">IF($FJ47&lt;IC$94,"",SQRT(IC47/IC$15))</f>
        <v/>
      </c>
      <c r="ID122" s="572" t="str">
        <f aca="false">IF($FJ47&lt;ID$94,"",SQRT(ID47/ID$15))</f>
        <v/>
      </c>
      <c r="IE122" s="129"/>
    </row>
    <row r="123" customFormat="false" ht="12.75" hidden="false" customHeight="false" outlineLevel="0" collapsed="false">
      <c r="H123" s="219" t="n">
        <f aca="false">VLOOKUP(I123,$EJ$20:$EL$54,3)</f>
        <v>0</v>
      </c>
      <c r="I123" s="511" t="n">
        <f aca="false">EOMONTH(I122,0)+1</f>
        <v>39904</v>
      </c>
      <c r="J123" s="512"/>
      <c r="K123" s="513" t="s">
        <v>280</v>
      </c>
      <c r="L123" s="514" t="n">
        <f aca="false">IF(ISNUMBER(K123),J123+K123/100,IF(K123="extra",L122+VLOOKUP(BF123,PriceSpreadTable,2)/12,IF(K123="inter",interpolateprices($K$19:$L$200,ROW(K123)-ROW(FirstPricingMonth)+1),interpolatechanges($J$19:$K$200,ROW(K123)-ROW(FirstPricingMonth)+1))))</f>
        <v>1.0125</v>
      </c>
      <c r="M123" s="515"/>
      <c r="N123" s="516" t="n">
        <v>0</v>
      </c>
      <c r="O123" s="515" t="n">
        <f aca="false">M123+N123</f>
        <v>0</v>
      </c>
      <c r="P123" s="512"/>
      <c r="Q123" s="513" t="s">
        <v>280</v>
      </c>
      <c r="R123" s="512" t="e">
        <f aca="false">IF(ISNUMBER(Q123),P123+Q123/100,IF(Q123="extra",(Z121*AL121-R122*AM121)/AN121,IF(Q123="inter",interpolateprices($Q$19:$R$260,ROW(Q123)-ROW(FirstPricingMonth)+1),interpolatechanges($P$19:$Q$260,ROW(Q123)-ROW(FirstPricingMonth)+1))))</f>
        <v>#VALUE!</v>
      </c>
      <c r="S123" s="597" t="n">
        <f aca="false">S$19+(S122-S$19)*S$18</f>
        <v>0.360000000000007</v>
      </c>
      <c r="T123" s="575" t="n">
        <f aca="false">SQRT((1-(1-T122^2/U122)*T$18)*U123)</f>
        <v>0.999999988959288</v>
      </c>
      <c r="U123" s="576" t="n">
        <f aca="false">1-(1-U122)*U$18</f>
        <v>1</v>
      </c>
      <c r="V123" s="521" t="n">
        <v>0</v>
      </c>
      <c r="W123" s="577" t="n">
        <f aca="false">(J124*AJ123+J125*AK123)/AI123</f>
        <v>0</v>
      </c>
      <c r="X123" s="578" t="n">
        <f aca="false">(L124*AJ123+L125*AK123)/AI123</f>
        <v>1.06363636363636</v>
      </c>
      <c r="Y123" s="579" t="n">
        <f aca="false">IF(Q125="extra",W123-AA123,(P124*AM123+P125*AN123)/AL123)</f>
        <v>-1.2915</v>
      </c>
      <c r="Z123" s="579" t="n">
        <f aca="false">IF(Q125="extra",X123-AB123,(R124*AM123+R125*AN123)/AL123)</f>
        <v>-0.227863636363637</v>
      </c>
      <c r="AA123" s="523" t="n">
        <f aca="false">IF(Q125="extra",INDEX(BrentSeasonalityTable,INT((BG123-1)/3)+1)*VLOOKUP(MAX(BF123,$AB$4),PriceSpreadTable,3),W123-Y123)</f>
        <v>1.2915</v>
      </c>
      <c r="AB123" s="524" t="n">
        <f aca="false">IF(Q125="extra",INDEX(BrentSeasonalityTable,INT((BG123-1)/3)+1)*VLOOKUP(MAX(BF123,$AB$4),PriceSpreadTable,3),X123-Z123)</f>
        <v>1.2915</v>
      </c>
      <c r="AC123" s="646" t="n">
        <v>39892</v>
      </c>
      <c r="AD123" s="646" t="n">
        <v>39888</v>
      </c>
      <c r="AE123" s="646" t="n">
        <v>39887</v>
      </c>
      <c r="AF123" s="646" t="n">
        <v>39883</v>
      </c>
      <c r="AG123" s="438" t="s">
        <v>278</v>
      </c>
      <c r="AH123" s="439" t="s">
        <v>278</v>
      </c>
      <c r="AI123" s="528" t="n">
        <v>22</v>
      </c>
      <c r="AJ123" s="529" t="n">
        <v>14</v>
      </c>
      <c r="AK123" s="529" t="n">
        <v>8</v>
      </c>
      <c r="AL123" s="530" t="n">
        <v>22</v>
      </c>
      <c r="AM123" s="529" t="n">
        <v>10</v>
      </c>
      <c r="AN123" s="531" t="n">
        <v>12</v>
      </c>
      <c r="AO123" s="532"/>
      <c r="AP123" s="465" t="n">
        <f aca="false">(1+AO123/2)^(-2*BL123)</f>
        <v>1</v>
      </c>
      <c r="AQ123" s="532"/>
      <c r="AR123" s="465" t="n">
        <f aca="false">(1+AQ123/2)^(-2*BH123/365.25)</f>
        <v>1</v>
      </c>
      <c r="AS123" s="580" t="n">
        <f aca="false">(O124*AJ123+O125*AK123)/AI123</f>
        <v>0</v>
      </c>
      <c r="AT123" s="468" t="n">
        <f aca="false">O123*VLOOKUP(BF123,BrentVolTable,2)+VLOOKUP(BF123,BrentVolTable,3)</f>
        <v>0</v>
      </c>
      <c r="AU123" s="468" t="n">
        <f aca="false">(AT124*AM123+AT125*AN123)/AL123</f>
        <v>0</v>
      </c>
      <c r="AV123" s="595" t="n">
        <f aca="false">SQRT(MAX(0.000000000001,(O123^2*BH123-S123^2*(BH123-BH122))/BH122))</f>
        <v>0.0244605441331757</v>
      </c>
      <c r="AW123" s="451" t="n">
        <f aca="false">IF($I123-DateToday+15&gt;=$T$8,"",IF($I123-DateToday+15&lt;$T$5,1,MATCH($I123-DateToday+15,$T$5:$T$8)))</f>
        <v>1</v>
      </c>
      <c r="AX123" s="468" t="n">
        <f aca="false">IF($AW123="",AX122^2/AX121,INDEX(U$5:U$8,$AW123)^((INDEX($T$5:$T$8,$AW123+1)-($I123-DateToday+15))/(INDEX($T$5:$T$8,$AW123+1)-INDEX($T$5:$T$8,$AW123)))/INDEX(U$5:U$8,$AW123+1)^((INDEX($T$5:$T$8,$AW123)-($I123-DateToday+15))/(INDEX($T$5:$T$8,$AW123+1)-INDEX($T$5:$T$8,$AW123))))</f>
        <v>1.38872567779659</v>
      </c>
      <c r="AY123" s="468" t="n">
        <f aca="false">IF($AW123="",AY122^2/AY121,INDEX(V$5:V$8,$AW123)^((INDEX($T$5:$T$8,$AW123+1)-($I123-DateToday+15))/(INDEX($T$5:$T$8,$AW123+1)-INDEX($T$5:$T$8,$AW123)))/INDEX(V$5:V$8,$AW123+1)^((INDEX($T$5:$T$8,$AW123)-($I123-DateToday+15))/(INDEX($T$5:$T$8,$AW123+1)-INDEX($T$5:$T$8,$AW123))))</f>
        <v>68.1441792997204</v>
      </c>
      <c r="AZ123" s="468" t="n">
        <f aca="false">IF($AW123="",AZ122^2/AZ121,INDEX(W$5:W$8,$AW123)^((INDEX($T$5:$T$8,$AW123+1)-($I123-DateToday+15))/(INDEX($T$5:$T$8,$AW123+1)-INDEX($T$5:$T$8,$AW123)))/INDEX(W$5:W$8,$AW123+1)^((INDEX($T$5:$T$8,$AW123)-($I123-DateToday+15))/(INDEX($T$5:$T$8,$AW123+1)-INDEX($T$5:$T$8,$AW123))))</f>
        <v>146645.0649283</v>
      </c>
      <c r="BA123" s="468" t="n">
        <f aca="false">IF($AW123="",BA122^2/BA121,INDEX(X$5:X$8,$AW123)^((INDEX($T$5:$T$8,$AW123+1)-($I123-DateToday+15))/(INDEX($T$5:$T$8,$AW123+1)-INDEX($T$5:$T$8,$AW123)))/INDEX(X$5:X$8,$AW123+1)^((INDEX($T$5:$T$8,$AW123)-($I123-DateToday+15))/(INDEX($T$5:$T$8,$AW123+1)-INDEX($T$5:$T$8,$AW123))))</f>
        <v>2121351.74154247</v>
      </c>
      <c r="BB123" s="468" t="n">
        <f aca="false">IF($AW123="",BB122^2/BB121,INDEX(Y$5:Y$8,$AW123)^((INDEX($T$5:$T$8,$AW123+1)-($I123-DateToday+15))/(INDEX($T$5:$T$8,$AW123+1)-INDEX($T$5:$T$8,$AW123)))/INDEX(Y$5:Y$8,$AW123+1)^((INDEX($T$5:$T$8,$AW123)-($I123-DateToday+15))/(INDEX($T$5:$T$8,$AW123+1)-INDEX($T$5:$T$8,$AW123))))</f>
        <v>21161155.4310213</v>
      </c>
      <c r="BC123" s="468" t="n">
        <f aca="false">IF($AW123="",BC122^2/BC121,INDEX(Z$5:Z$8,$AW123)^((INDEX($T$5:$T$8,$AW123+1)-($I123-DateToday+15))/(INDEX($T$5:$T$8,$AW123+1)-INDEX($T$5:$T$8,$AW123)))/INDEX(Z$5:Z$8,$AW123+1)^((INDEX($T$5:$T$8,$AW123)-($I123-DateToday+15))/(INDEX($T$5:$T$8,$AW123+1)-INDEX($T$5:$T$8,$AW123))))</f>
        <v>84543444.07069</v>
      </c>
      <c r="BD123" s="535" t="n">
        <f aca="false">IF(OR(DateStart&gt;=I124,DateEnd&lt;I123),0,IF(VolumeOverrideFlag,V123,Volume))</f>
        <v>0</v>
      </c>
      <c r="BE123" s="536" t="n">
        <f aca="false">IF(OR(DateStart2&gt;=I124,DateEnd2&lt;I123),0,IF(VolumeOverrideFlag,V123,VolumeSwaption))</f>
        <v>0</v>
      </c>
      <c r="BF123" s="537" t="n">
        <f aca="false">YEAR(I123)</f>
        <v>2009</v>
      </c>
      <c r="BG123" s="538" t="n">
        <f aca="false">MONTH(I123)</f>
        <v>4</v>
      </c>
      <c r="BH123" s="539" t="n">
        <f aca="false">AD123-DateToday+1</f>
        <v>-6037</v>
      </c>
      <c r="BI123" s="540" t="n">
        <f aca="false">(I123-DateToday+1)/365.25</f>
        <v>-16.4845995893224</v>
      </c>
      <c r="BJ123" s="541" t="n">
        <f aca="false">BI123+(BL123-BI123)*CHOOSE(Underlying,AJ123/AI123,AM123/AL123)</f>
        <v>-16.4340737975235</v>
      </c>
      <c r="BK123" s="541" t="n">
        <f aca="false">BJ123+1/365.25</f>
        <v>-16.4313359467364</v>
      </c>
      <c r="BL123" s="541" t="n">
        <f aca="false">(I124-DateToday)/365.25</f>
        <v>-16.4052019164956</v>
      </c>
      <c r="BM123" s="542" t="e">
        <f aca="false">MAX(BI123-(BJ123-BI123)*(S124^2/O124^2-1),0)</f>
        <v>#DIV/0!</v>
      </c>
      <c r="BN123" s="541" t="e">
        <f aca="false">MAX(BL123+(BL123-BK123)*(S125^2/O125^2-1),0)</f>
        <v>#DIV/0!</v>
      </c>
      <c r="BO123" s="530" t="n">
        <f aca="false">CHOOSE(Underlying,AI123,AL123)</f>
        <v>22</v>
      </c>
      <c r="BP123" s="529" t="n">
        <f aca="false">CHOOSE(Underlying,AJ123,AM123)</f>
        <v>14</v>
      </c>
      <c r="BQ123" s="529" t="n">
        <f aca="false">CHOOSE(Underlying,AK123,AN123)</f>
        <v>8</v>
      </c>
      <c r="BR123" s="463" t="str">
        <f aca="false">IF(BD123,IF(Underlying=1,X123,Z123)+UnderlyingPriceAsian-SwapPriceCurve,"")</f>
        <v/>
      </c>
      <c r="BS123" s="463" t="str">
        <f aca="false">IF(BD123,Strike1/BR123-1,"")</f>
        <v/>
      </c>
      <c r="BT123" s="464" t="str">
        <f aca="false">IF(BD123,Strike2/BR123-1,"")</f>
        <v/>
      </c>
      <c r="BU123" s="465" t="str">
        <f aca="false">IF(BD123,IF(Underlying=1,L124,R124)+UnderlyingPriceAsian-SwapPriceCurve,"")</f>
        <v/>
      </c>
      <c r="BV123" s="465" t="str">
        <f aca="false">IF(BD123,IF(Underlying=1,L125,R125)+UnderlyingPriceAsian-SwapPriceCurve,"")</f>
        <v/>
      </c>
      <c r="BW123" s="466" t="str">
        <f aca="false">IF(BD123,IF(Underlying=1,O124,AT124),"")</f>
        <v/>
      </c>
      <c r="BX123" s="467" t="str">
        <f aca="false">IF(BD123,IF(Underlying=1,O125,AT125),"")</f>
        <v/>
      </c>
      <c r="BY123" s="466" t="str">
        <f aca="false">IF(BD123,IF(BS123&gt;0,IF(BS123&gt;0.2,BC123-BB123,IF(BS123&gt;0.1,BB123-BA123,BA123)),IF(BS123&lt;-0.2,AX123-AY123,IF(BS123&lt;-0.1,AY123-AZ123,AZ123))),"")</f>
        <v/>
      </c>
      <c r="BZ123" s="467" t="str">
        <f aca="false">IF(BD123,IF(BT123&gt;0,IF(BT123&gt;0.2,BC123-BB123,IF(BT123&gt;0.1,BB123-BA123,BA123)),IF(BT123&lt;-0.2,AX123-AY123,IF(BT123&lt;-0.1,AY123-AZ123,AZ123))),"")</f>
        <v/>
      </c>
      <c r="CA123" s="468" t="str">
        <f aca="false">IF($BD123,$BW123+IF(VolSkewFlag=1,IF(BS123&gt;0,$BA123*MIN(BS123/10%,1)+($BB123-$BA123)*MAX(0,MIN(BS123/10%-1,1))+($BC123-$BB123)*MAX(0,BS123/10%-2),$AZ123*MIN(-BS123/10%,1)+($AY123-$AZ123)*MAX(0,MIN(-BS123/10%-1,1))+($AX123-$AY123)*MAX(0,-BS123/10%-2)),0),"")</f>
        <v/>
      </c>
      <c r="CB123" s="468" t="str">
        <f aca="false">IF($BD123,$BX123+IF(VolSkewFlag=1,IF(BS123&gt;0,$BA123*MIN(BS123/10%,1)+($BB123-$BA123)*MAX(0,MIN(BS123/10%-1,1))+($BC123-$BB123)*MAX(0,BS123/10%-2),$AZ123*MIN(-BS123/10%,1)+($AY123-$AZ123)*MAX(0,MIN(-BS123/10%-1,1))+($AX123-$AY123)*MAX(0,-BS123/10%-2)),0),"")</f>
        <v/>
      </c>
      <c r="CC123" s="468" t="str">
        <f aca="false">IF($BD123,$BW123+IF(VolSkewFlag=1,IF(BT123&gt;0,$BA123*MIN(BT123/10%,1)+($BB123-$BA123)*MAX(0,MIN(BT123/10%-1,1))+($BC123-$BB123)*MAX(0,BT123/10%-2),$AZ123*MIN(-BT123/10%,1)+($AY123-$AZ123)*MAX(0,MIN(-BT123/10%-1,1))+($AX123-$AY123)*MAX(0,-BT123/10%-2)),0),"")</f>
        <v/>
      </c>
      <c r="CD123" s="468" t="str">
        <f aca="false">IF($BD123,$BX123+IF(VolSkewFlag=1,IF(BT123&gt;0,$BA123*MIN(BT123/10%,1)+($BB123-$BA123)*MAX(0,MIN(BT123/10%-1,1))+($BC123-$BB123)*MAX(0,BT123/10%-2),$AZ123*MIN(-BT123/10%,1)+($AY123-$AZ123)*MAX(0,MIN(-BT123/10%-1,1))+($AX123-$AY123)*MAX(0,-BT123/10%-2)),0),"")</f>
        <v/>
      </c>
      <c r="CE123" s="469" t="n">
        <v>1</v>
      </c>
      <c r="CF123" s="470" t="n">
        <f aca="false">IF(BD123,xCrudeAPO(BU123,BV123,CA123,CB123,S124,S125,BI123,BL123,BP123,BQ123,0,Strike1,AO123,CE123,0,BL123,IF(OptControl=4,0,1),0,1),0)</f>
        <v>0</v>
      </c>
      <c r="CG123" s="470" t="n">
        <f aca="false">IF(BD123,xCrudeAPO(BU123,BV123,CA123,CB123,S124,S125,BI123,BL123,BP123,BQ123,0,Strike1,AO123,CE123,0,BL123,IF(OptControl=4,0,1),1,1)+xCrudeAPO(BU123,BV123,CA123,CB123,S124,S125,BI123,BL123,BP123,BQ123,0,Strike1,AO123,CE123,0,BL123,IF(OptControl=4,0,1),1,2)+IF(OR(VolSkewFlag=2,ABS(BS123)&lt;0.0001),0,IF(BS123&gt;0,-1,1)*CH123*Strike1/BR123^2*BY123/10%),0)</f>
        <v>0</v>
      </c>
      <c r="CH123" s="470" t="n">
        <f aca="false">IF(BD123,(xCrudeAPO(BU123,BV123,CA123,CB123,S124,S125,BI123,BL123,BP123,BQ123,0,Strike1,AO123,CE123,0,BL123,IF(OptControl=4,0,1),3,1)+xCrudeAPO(BU123,BV123,CA123,CB123,S124,S125,BI123,BL123,BP123,BQ123,0,Strike1,AO123,CE123,0,BL123,IF(OptControl=4,0,1),3,2))/100,0)</f>
        <v>0</v>
      </c>
      <c r="CI123" s="470" t="n">
        <f aca="false">IF(BD123,xCrudeAPO(BU123,BV123,CA123,CB123,S124,S125,BI123-DaysForThetaCalculation/365.25,BL123-DaysForThetaCalculation/365.25,BP123,BQ123,0,Strike1,AO123,CE123,0,BL123,IF(OptControl=4,0,1),0,1)-xCrudeAPO(BU123,BV123,CA123,CB123,S124,S125,BI123,BL123,BP123,BQ123,0,Strike1,AO123,CE123,0,BL123,IF(OptControl=4,0,1),0,1),0)</f>
        <v>0</v>
      </c>
      <c r="CJ123" s="471" t="n">
        <f aca="false">IF(BD123,xCrudeAPO(BU123,BV123,CC123,CD123,S124,S125,BI123,BL123,BP123,BQ123,0,Strike2,AO123,CE123,0,BL123,IF(OptControl=3,1,0),0,1),0)</f>
        <v>0</v>
      </c>
      <c r="CK123" s="470" t="n">
        <f aca="false">IF(BD123,xCrudeAPO(BU123,BV123,CC123,CD123,S124,S125,BI123,BL123,BP123,BQ123,0,Strike2,AO123,CE123,0,BL123,IF(OptControl=3,1,0),1,1)+xCrudeAPO(BU123,BV123,CC123,CD123,S124,S125,BI123,BL123,BP123,BQ123,0,Strike2,AO123,CE123,0,BL123,IF(OptControl=3,1,0),1,2)+IF(OR(VolSkewFlag=2,ABS(BT123)&lt;0.0001),0,IF(BT123&gt;0,-1,1)*CL123*Strike2/BR123^2*BZ123/10%),0)</f>
        <v>0</v>
      </c>
      <c r="CL123" s="470" t="n">
        <f aca="false">IF(BD123,(xCrudeAPO(BU123,BV123,CC123,CD123,S124,S125,BI123,BL123,BP123,BQ123,0,Strike2,AO123,CE123,0,BL123,IF(OptControl=3,1,0),3,1)+xCrudeAPO(BU123,BV123,CC123,CD123,S124,S125,BI123,BL123,BP123,BQ123,0,Strike2,AO123,CE123,0,BL123,IF(OptControl=3,1,0),3,2))/100,0)</f>
        <v>0</v>
      </c>
      <c r="CM123" s="472" t="n">
        <f aca="false">IF(BD123,xCrudeAPO(BU123,BV123,CC123,CD123,S124,S125,BI123-DaysForThetaCalculation/365.25,BL123-DaysForThetaCalculation/365.25,BP123,BQ123,0,Strike2,AO123,CE123,0,BL123,IF(OptControl=3,1,0),0,1)-xCrudeAPO(BU123,BV123,CC123,CD123,S124,S125,BI123,BL123,BP123,BQ123,0,Strike2,AO123,CE123,0,BL123,IF(OptControl=3,1,0),0,1),0)</f>
        <v>0</v>
      </c>
      <c r="CN123" s="3"/>
      <c r="CO123" s="543" t="str">
        <f aca="false">IF(BD123,CHOOSE(Underlying,AD123,AF123)-DateToday+1,"")</f>
        <v/>
      </c>
      <c r="CP123" s="582" t="str">
        <f aca="false">IF(BD123,CHOOSE(Underlying,L123,R123),"")</f>
        <v/>
      </c>
      <c r="CQ123" s="544" t="str">
        <f aca="false">IF(BD123,Strike1/CP123-1,"")</f>
        <v/>
      </c>
      <c r="CR123" s="544" t="str">
        <f aca="false">IF(BD123,Strike2/CP123-1,"")</f>
        <v/>
      </c>
      <c r="CS123" s="544" t="str">
        <f aca="false">IF(BD123,IF(CQ123&gt;0,IF(CQ123&gt;0.2,BC122-BB122,IF(CQ123&gt;0.1,BB122-BA122,BA122)),IF(CQ123&lt;-0.2,AX122-AY122,IF(CQ123&lt;-0.1,AY122-AZ122,AZ122))),"")</f>
        <v/>
      </c>
      <c r="CT123" s="544" t="str">
        <f aca="false">IF(BD123,IF(CR123&gt;0,IF(CR123&gt;0.2,BC122-BB122,IF(CR123&gt;0.1,BB122-BA122,BA122)),IF(CR123&lt;-0.2,AX122-AY122,IF(CR123&lt;-0.1,AY122-AZ122,AZ122))),"")</f>
        <v/>
      </c>
      <c r="CU123" s="545" t="str">
        <f aca="false">IF(BD123,CHOOSE(Underlying,O123,AT123),"")</f>
        <v/>
      </c>
      <c r="CV123" s="545" t="str">
        <f aca="false">IF(BD123,CU123+IF(VolSkewFlag=1,IF(CQ123&gt;0,BA122*MIN(CQ123/10%,1)+(BB122-BA122)*MAX(0,MIN(CQ123/10%-1,1))+(BC122-BB122)*MAX(0,CQ123/10%-2),AZ122*MIN(-CQ123/10%,1)+(AY122-AZ122)*MAX(0,MIN(-CQ123/10%-1,1))+(AX122-AY122)*MAX(0,-CQ123/10%-2)),0),"")</f>
        <v/>
      </c>
      <c r="CW123" s="545" t="str">
        <f aca="false">IF(BD123,CU123+IF(VolSkewFlag=1,IF(CR123&gt;0,BA122*MIN(CR123/10%,1)+(BB122-BA122)*MAX(0,MIN(CR123/10%-1,1))+(BC122-BB122)*MAX(0,CR123/10%-2),AZ122*MIN(-CR123/10%,1)+(AY122-AZ122)*MAX(0,MIN(-CR123/10%-1,1))+(AX122-AY122)*MAX(0,-CR123/10%-2)),0),"")</f>
        <v/>
      </c>
      <c r="CX123" s="470" t="n">
        <f aca="false">IF(BD123,EURO(CP123,Strike1,AO123,AO123,CV123,CO123,IF(OptControl=4,0,1),0),0)</f>
        <v>0</v>
      </c>
      <c r="CY123" s="470" t="n">
        <f aca="false">IF(BD123,EURO(CP123,Strike1,AO123,AO123,CV123,CO123,IF(OptControl=4,0,1),1)+IF(OR(VolSkewFlag=2,ABS(CQ123)&lt;0.0001),0,IF(CQ123&gt;0,-1,1)*CZ123*100*Strike1/CP123^2*CS123/10%),0)</f>
        <v>0</v>
      </c>
      <c r="CZ123" s="470" t="n">
        <f aca="false">IF(BD123,EURO(CP123,Strike1,AO123,AO123,CV123,CO123,IF(OptControl=4,0,1),3)/100,0)</f>
        <v>0</v>
      </c>
      <c r="DA123" s="470" t="n">
        <f aca="false">IF(BD123,EURO(CP123,Strike1,AO123,AO123,CV123,CO123,IF(OptControl=4,0,1),0)-EURO(CP123,Strike1,AO123,AO123,CV123,CO123-1,IF(OptControl=4,0,1),0),0)</f>
        <v>0</v>
      </c>
      <c r="DB123" s="470" t="n">
        <f aca="false">IF(BD123,EURO(CP123,Strike2,AO123,AO123,CW123,CO123,IF(OptControl=3,1,0),0),0)</f>
        <v>0</v>
      </c>
      <c r="DC123" s="470" t="n">
        <f aca="false">IF(BD123,EURO(CP123,Strike2,AO123,AO123,CW123,CO123,IF(OptControl=3,1,0),1)+IF(OR(VolSkewFlag=2,ABS(CR123)&lt;0.0001),0,IF(CR123&gt;0,-1,1)*DD123*100*Strike2/CP123^2*CT123/10%),0)</f>
        <v>0</v>
      </c>
      <c r="DD123" s="470" t="n">
        <f aca="false">IF(BD123,EURO(CP123,Strike2,AO123,AO123,CW123,CO123,IF(OptControl=3,1,0),3)/100,0)</f>
        <v>0</v>
      </c>
      <c r="DE123" s="472" t="n">
        <f aca="false">IF(BD123,EURO(CP123,Strike2,AO123,AO123,CW123,CO123,IF(OptControl=3,1,0),0)-EURO(CP123,Strike2,AO123,AO123,CW123,CO123-1,IF(OptControl=3,1,0),0),0)</f>
        <v>0</v>
      </c>
      <c r="DG123" s="481" t="n">
        <f aca="false">EOMONTH(DG122,0)+1</f>
        <v>48823</v>
      </c>
      <c r="DH123" s="478" t="n">
        <v>19.31</v>
      </c>
      <c r="DI123" s="479" t="n">
        <v>19.3759090909091</v>
      </c>
      <c r="DJ123" s="480" t="n">
        <f aca="false">DG123</f>
        <v>48823</v>
      </c>
      <c r="DK123" s="478" t="n">
        <v>18.12525169518</v>
      </c>
      <c r="DL123" s="479" t="n">
        <v>18.1090090909091</v>
      </c>
      <c r="DM123" s="481" t="n">
        <f aca="false">DG123</f>
        <v>48823</v>
      </c>
      <c r="DN123" s="482" t="n">
        <f aca="false">DK123+BrentPhyBrentSpread</f>
        <v>18.17525169518</v>
      </c>
      <c r="DO123" s="481" t="n">
        <f aca="false">DG123</f>
        <v>48823</v>
      </c>
      <c r="DP123" s="483" t="n">
        <f aca="false">DL123+DQ123</f>
        <v>18.1090090909091</v>
      </c>
      <c r="DQ123" s="546" t="n">
        <v>0</v>
      </c>
      <c r="DR123" s="480" t="n">
        <f aca="false">DG123</f>
        <v>48823</v>
      </c>
      <c r="DS123" s="485" t="n">
        <v>0.162799999999999</v>
      </c>
      <c r="DT123" s="486" t="n">
        <v>0.16200909090909</v>
      </c>
      <c r="DU123" s="480" t="n">
        <f aca="false">DG123</f>
        <v>48823</v>
      </c>
      <c r="DV123" s="485" t="n">
        <v>0.162799999999999</v>
      </c>
      <c r="DW123" s="486" t="n">
        <v>0.16200909090909</v>
      </c>
      <c r="DX123" s="481" t="n">
        <f aca="false">DG123</f>
        <v>48823</v>
      </c>
      <c r="DY123" s="486" t="n">
        <v>0.35</v>
      </c>
      <c r="DZ123" s="481" t="n">
        <f aca="false">DR123</f>
        <v>48823</v>
      </c>
      <c r="EA123" s="486" t="n">
        <f aca="false">DT123</f>
        <v>0.16200909090909</v>
      </c>
      <c r="EB123" s="195"/>
      <c r="EC123" s="547" t="str">
        <f aca="false">IF(BD123,IF(Underlying=1,AS123,AU123),"")</f>
        <v/>
      </c>
      <c r="ED123" s="548" t="str">
        <f aca="false">IF($BD123,$EC123+IF(VolSkewFlag=1,IF(BS123&gt;0,$BA123*MIN(BS123/10%,1)+($BB123-$BA123)*MAX(0,MIN(BS123/10%-1,1))+($BC123-$BB123)*MAX(0,BS123/10%-2),$AZ123*MIN(-BS123/10%,1)+($AY123-$AZ123)*MAX(0,MIN(-BS123/10%-1,1))+($AX123-$AY123)*MAX(0,-BS123/10%-2)),0),"")</f>
        <v/>
      </c>
      <c r="EE123" s="549" t="str">
        <f aca="false">IF($BD123,$EC123+IF(VolSkewFlag=1,IF(BT123&gt;0,$BA123*MIN(BT123/10%,1)+($BB123-$BA123)*MAX(0,MIN(BT123/10%-1,1))+($BC123-$BB123)*MAX(0,BT123/10%-2),$AZ123*MIN(-BT123/10%,1)+($AY123-$AZ123)*MAX(0,MIN(-BT123/10%-1,1))+($AX123-$AY123)*MAX(0,-BT123/10%-2)),0),"")</f>
        <v/>
      </c>
      <c r="EF123" s="550" t="n">
        <f aca="false">IF(BD123,xASN(BR123,Strike1,AO123,ED123,0,BO123,0,BI123,BL123,IF(OptControl=4,0,1),0),0)</f>
        <v>0</v>
      </c>
      <c r="EG123" s="551" t="n">
        <f aca="false">IF(BD123,xASN(BR123,Strike2,AO123,EE123,0,BO123,0,BI123,BL123,IF(OptControl=3,1,0),0),0)</f>
        <v>0</v>
      </c>
      <c r="EL123" s="1"/>
      <c r="EM123" s="195"/>
      <c r="EN123" s="240"/>
      <c r="EO123" s="240"/>
      <c r="EP123" s="195"/>
      <c r="EQ123" s="407" t="s">
        <v>350</v>
      </c>
      <c r="ES123" s="130"/>
      <c r="ET123" s="19"/>
      <c r="EU123" s="672"/>
      <c r="EV123" s="478"/>
      <c r="EW123" s="131"/>
      <c r="EX123" s="131"/>
      <c r="EY123" s="129"/>
      <c r="EZ123" s="129"/>
      <c r="FA123" s="129"/>
      <c r="FB123" s="129"/>
      <c r="FC123" s="129"/>
      <c r="FD123" s="129"/>
      <c r="FE123" s="129"/>
      <c r="FF123" s="129"/>
      <c r="FG123" s="129"/>
      <c r="FH123" s="129"/>
      <c r="FI123" s="129"/>
      <c r="FJ123" s="571" t="n">
        <v>29</v>
      </c>
      <c r="FK123" s="150" t="e">
        <f aca="false">IF($FJ48&lt;FK$94,"",SQRT(FK48/FK$15))</f>
        <v>#DIV/0!</v>
      </c>
      <c r="FL123" s="150" t="n">
        <f aca="false">IF($FJ48&lt;FL$94,"",SQRT(FL48/FL$15))</f>
        <v>-0</v>
      </c>
      <c r="FM123" s="150" t="n">
        <f aca="false">IF($FJ48&lt;FM$94,"",SQRT(FM48/FM$15))</f>
        <v>0.172762132795135</v>
      </c>
      <c r="FN123" s="150" t="n">
        <f aca="false">IF($FJ48&lt;FN$94,"",SQRT(FN48/FN$15))</f>
        <v>0.169820074800061</v>
      </c>
      <c r="FO123" s="150" t="n">
        <f aca="false">IF($FJ48&lt;FO$94,"",SQRT(FO48/FO$15))</f>
        <v>0.167762198985076</v>
      </c>
      <c r="FP123" s="150" t="n">
        <f aca="false">IF($FJ48&lt;FP$94,"",SQRT(FP48/FP$15))</f>
        <v>0.16639419568923</v>
      </c>
      <c r="FQ123" s="150" t="n">
        <f aca="false">IF($FJ48&lt;FQ$94,"",SQRT(FQ48/FQ$15))</f>
        <v>0.165575044878487</v>
      </c>
      <c r="FR123" s="150" t="n">
        <f aca="false">IF($FJ48&lt;FR$94,"",SQRT(FR48/FR$15))</f>
        <v>0.165204608989292</v>
      </c>
      <c r="FS123" s="150" t="n">
        <f aca="false">IF($FJ48&lt;FS$94,"",SQRT(FS48/FS$15))</f>
        <v>0.165214521467519</v>
      </c>
      <c r="FT123" s="150" t="n">
        <f aca="false">IF($FJ48&lt;FT$94,"",SQRT(FT48/FT$15))</f>
        <v>0.165561596041804</v>
      </c>
      <c r="FU123" s="150" t="n">
        <f aca="false">IF($FJ48&lt;FU$94,"",SQRT(FU48/FU$15))</f>
        <v>0.166223190348334</v>
      </c>
      <c r="FV123" s="150" t="n">
        <f aca="false">IF($FJ48&lt;FV$94,"",SQRT(FV48/FV$15))</f>
        <v>0.167194119341349</v>
      </c>
      <c r="FW123" s="150" t="n">
        <f aca="false">IF($FJ48&lt;FW$94,"",SQRT(FW48/FW$15))</f>
        <v>0.168484842934513</v>
      </c>
      <c r="FX123" s="150" t="n">
        <f aca="false">IF($FJ48&lt;FX$94,"",SQRT(FX48/FX$15))</f>
        <v>0.17012076007292</v>
      </c>
      <c r="FY123" s="150" t="n">
        <f aca="false">IF($FJ48&lt;FY$94,"",SQRT(FY48/FY$15))</f>
        <v>0.172142538266727</v>
      </c>
      <c r="FZ123" s="150" t="n">
        <f aca="false">IF($FJ48&lt;FZ$94,"",SQRT(FZ48/FZ$15))</f>
        <v>0.174607503889575</v>
      </c>
      <c r="GA123" s="150" t="n">
        <f aca="false">IF($FJ48&lt;GA$94,"",SQRT(GA48/GA$15))</f>
        <v>0.177592226190364</v>
      </c>
      <c r="GB123" s="150" t="n">
        <f aca="false">IF($FJ48&lt;GB$94,"",SQRT(GB48/GB$15))</f>
        <v>0.181196562674112</v>
      </c>
      <c r="GC123" s="150" t="n">
        <f aca="false">IF($FJ48&lt;GC$94,"",SQRT(GC48/GC$15))</f>
        <v>0.185549618172745</v>
      </c>
      <c r="GD123" s="150" t="n">
        <f aca="false">IF($FJ48&lt;GD$94,"",SQRT(GD48/GD$15))</f>
        <v>0.190818340496781</v>
      </c>
      <c r="GE123" s="150" t="n">
        <f aca="false">IF($FJ48&lt;GE$94,"",SQRT(GE48/GE$15))</f>
        <v>0.197219891392055</v>
      </c>
      <c r="GF123" s="150" t="n">
        <f aca="false">IF($FJ48&lt;GF$94,"",SQRT(GF48/GF$15))</f>
        <v>0.205039594452712</v>
      </c>
      <c r="GG123" s="150" t="n">
        <f aca="false">IF($FJ48&lt;GG$94,"",SQRT(GG48/GG$15))</f>
        <v>0.214657352210826</v>
      </c>
      <c r="GH123" s="150" t="n">
        <f aca="false">IF($FJ48&lt;GH$94,"",SQRT(GH48/GH$15))</f>
        <v>0.226587273332864</v>
      </c>
      <c r="GI123" s="150" t="n">
        <f aca="false">IF($FJ48&lt;GI$94,"",SQRT(GI48/GI$15))</f>
        <v>0.241538483153098</v>
      </c>
      <c r="GJ123" s="150" t="n">
        <f aca="false">IF($FJ48&lt;GJ$94,"",SQRT(GJ48/GJ$15))</f>
        <v>0.260510933766659</v>
      </c>
      <c r="GK123" s="150" t="n">
        <f aca="false">IF($FJ48&lt;GK$94,"",SQRT(GK48/GK$15))</f>
        <v>0.284950989356816</v>
      </c>
      <c r="GL123" s="150" t="n">
        <f aca="false">IF($FJ48&lt;GL$94,"",SQRT(GL48/GL$15))</f>
        <v>0.317012990622999</v>
      </c>
      <c r="GM123" s="150" t="n">
        <f aca="false">IF($FJ48&lt;GM$94,"",SQRT(GM48/GM$15))</f>
        <v>0.360016932227809</v>
      </c>
      <c r="GN123" s="150" t="str">
        <f aca="false">IF($FJ48&lt;GN$94,"",SQRT(GN48/GN$15))</f>
        <v/>
      </c>
      <c r="GO123" s="150" t="str">
        <f aca="false">IF($FJ48&lt;GO$94,"",SQRT(GO48/GO$15))</f>
        <v/>
      </c>
      <c r="GP123" s="150" t="str">
        <f aca="false">IF($FJ48&lt;GP$94,"",SQRT(GP48/GP$15))</f>
        <v/>
      </c>
      <c r="GQ123" s="150" t="str">
        <f aca="false">IF($FJ48&lt;GQ$94,"",SQRT(GQ48/GQ$15))</f>
        <v/>
      </c>
      <c r="GR123" s="150" t="str">
        <f aca="false">IF($FJ48&lt;GR$94,"",SQRT(GR48/GR$15))</f>
        <v/>
      </c>
      <c r="GS123" s="150" t="str">
        <f aca="false">IF($FJ48&lt;GS$94,"",SQRT(GS48/GS$15))</f>
        <v/>
      </c>
      <c r="GT123" s="150" t="str">
        <f aca="false">IF($FJ48&lt;GT$94,"",SQRT(GT48/GT$15))</f>
        <v/>
      </c>
      <c r="GU123" s="150" t="str">
        <f aca="false">IF($FJ48&lt;GU$94,"",SQRT(GU48/GU$15))</f>
        <v/>
      </c>
      <c r="GV123" s="150" t="str">
        <f aca="false">IF($FJ48&lt;GV$94,"",SQRT(GV48/GV$15))</f>
        <v/>
      </c>
      <c r="GW123" s="150" t="str">
        <f aca="false">IF($FJ48&lt;GW$94,"",SQRT(GW48/GW$15))</f>
        <v/>
      </c>
      <c r="GX123" s="150" t="str">
        <f aca="false">IF($FJ48&lt;GX$94,"",SQRT(GX48/GX$15))</f>
        <v/>
      </c>
      <c r="GY123" s="150" t="str">
        <f aca="false">IF($FJ48&lt;GY$94,"",SQRT(GY48/GY$15))</f>
        <v/>
      </c>
      <c r="GZ123" s="150" t="str">
        <f aca="false">IF($FJ48&lt;GZ$94,"",SQRT(GZ48/GZ$15))</f>
        <v/>
      </c>
      <c r="HA123" s="150" t="str">
        <f aca="false">IF($FJ48&lt;HA$94,"",SQRT(HA48/HA$15))</f>
        <v/>
      </c>
      <c r="HB123" s="150" t="str">
        <f aca="false">IF($FJ48&lt;HB$94,"",SQRT(HB48/HB$15))</f>
        <v/>
      </c>
      <c r="HC123" s="150" t="str">
        <f aca="false">IF($FJ48&lt;HC$94,"",SQRT(HC48/HC$15))</f>
        <v/>
      </c>
      <c r="HD123" s="150" t="str">
        <f aca="false">IF($FJ48&lt;HD$94,"",SQRT(HD48/HD$15))</f>
        <v/>
      </c>
      <c r="HE123" s="150" t="str">
        <f aca="false">IF($FJ48&lt;HE$94,"",SQRT(HE48/HE$15))</f>
        <v/>
      </c>
      <c r="HF123" s="150" t="str">
        <f aca="false">IF($FJ48&lt;HF$94,"",SQRT(HF48/HF$15))</f>
        <v/>
      </c>
      <c r="HG123" s="150" t="str">
        <f aca="false">IF($FJ48&lt;HG$94,"",SQRT(HG48/HG$15))</f>
        <v/>
      </c>
      <c r="HH123" s="150" t="str">
        <f aca="false">IF($FJ48&lt;HH$94,"",SQRT(HH48/HH$15))</f>
        <v/>
      </c>
      <c r="HI123" s="150" t="str">
        <f aca="false">IF($FJ48&lt;HI$94,"",SQRT(HI48/HI$15))</f>
        <v/>
      </c>
      <c r="HJ123" s="150" t="str">
        <f aca="false">IF($FJ48&lt;HJ$94,"",SQRT(HJ48/HJ$15))</f>
        <v/>
      </c>
      <c r="HK123" s="150" t="str">
        <f aca="false">IF($FJ48&lt;HK$94,"",SQRT(HK48/HK$15))</f>
        <v/>
      </c>
      <c r="HL123" s="150" t="str">
        <f aca="false">IF($FJ48&lt;HL$94,"",SQRT(HL48/HL$15))</f>
        <v/>
      </c>
      <c r="HM123" s="150" t="str">
        <f aca="false">IF($FJ48&lt;HM$94,"",SQRT(HM48/HM$15))</f>
        <v/>
      </c>
      <c r="HN123" s="150" t="str">
        <f aca="false">IF($FJ48&lt;HN$94,"",SQRT(HN48/HN$15))</f>
        <v/>
      </c>
      <c r="HO123" s="150" t="str">
        <f aca="false">IF($FJ48&lt;HO$94,"",SQRT(HO48/HO$15))</f>
        <v/>
      </c>
      <c r="HP123" s="150" t="str">
        <f aca="false">IF($FJ48&lt;HP$94,"",SQRT(HP48/HP$15))</f>
        <v/>
      </c>
      <c r="HQ123" s="150" t="str">
        <f aca="false">IF($FJ48&lt;HQ$94,"",SQRT(HQ48/HQ$15))</f>
        <v/>
      </c>
      <c r="HR123" s="150" t="str">
        <f aca="false">IF($FJ48&lt;HR$94,"",SQRT(HR48/HR$15))</f>
        <v/>
      </c>
      <c r="HS123" s="150" t="str">
        <f aca="false">IF($FJ48&lt;HS$94,"",SQRT(HS48/HS$15))</f>
        <v/>
      </c>
      <c r="HT123" s="150" t="str">
        <f aca="false">IF($FJ48&lt;HT$94,"",SQRT(HT48/HT$15))</f>
        <v/>
      </c>
      <c r="HU123" s="150" t="str">
        <f aca="false">IF($FJ48&lt;HU$94,"",SQRT(HU48/HU$15))</f>
        <v/>
      </c>
      <c r="HV123" s="150" t="str">
        <f aca="false">IF($FJ48&lt;HV$94,"",SQRT(HV48/HV$15))</f>
        <v/>
      </c>
      <c r="HW123" s="150" t="str">
        <f aca="false">IF($FJ48&lt;HW$94,"",SQRT(HW48/HW$15))</f>
        <v/>
      </c>
      <c r="HX123" s="150" t="str">
        <f aca="false">IF($FJ48&lt;HX$94,"",SQRT(HX48/HX$15))</f>
        <v/>
      </c>
      <c r="HY123" s="150" t="str">
        <f aca="false">IF($FJ48&lt;HY$94,"",SQRT(HY48/HY$15))</f>
        <v/>
      </c>
      <c r="HZ123" s="150" t="str">
        <f aca="false">IF($FJ48&lt;HZ$94,"",SQRT(HZ48/HZ$15))</f>
        <v/>
      </c>
      <c r="IA123" s="150" t="str">
        <f aca="false">IF($FJ48&lt;IA$94,"",SQRT(IA48/IA$15))</f>
        <v/>
      </c>
      <c r="IB123" s="150" t="str">
        <f aca="false">IF($FJ48&lt;IB$94,"",SQRT(IB48/IB$15))</f>
        <v/>
      </c>
      <c r="IC123" s="150" t="str">
        <f aca="false">IF($FJ48&lt;IC$94,"",SQRT(IC48/IC$15))</f>
        <v/>
      </c>
      <c r="ID123" s="572" t="str">
        <f aca="false">IF($FJ48&lt;ID$94,"",SQRT(ID48/ID$15))</f>
        <v/>
      </c>
      <c r="IE123" s="129"/>
    </row>
    <row r="124" customFormat="false" ht="12.75" hidden="false" customHeight="false" outlineLevel="0" collapsed="false">
      <c r="H124" s="219" t="n">
        <f aca="false">VLOOKUP(I124,$EJ$20:$EL$54,3)</f>
        <v>0</v>
      </c>
      <c r="I124" s="511" t="n">
        <f aca="false">EOMONTH(I123,0)+1</f>
        <v>39934</v>
      </c>
      <c r="J124" s="512"/>
      <c r="K124" s="513" t="s">
        <v>280</v>
      </c>
      <c r="L124" s="514" t="n">
        <f aca="false">IF(ISNUMBER(K124),J124+K124/100,IF(K124="extra",L123+VLOOKUP(BF124,PriceSpreadTable,2)/12,IF(K124="inter",interpolateprices($K$19:$L$200,ROW(K124)-ROW(FirstPricingMonth)+1),interpolatechanges($J$19:$K$200,ROW(K124)-ROW(FirstPricingMonth)+1))))</f>
        <v>1.05</v>
      </c>
      <c r="M124" s="515"/>
      <c r="N124" s="516" t="n">
        <v>0</v>
      </c>
      <c r="O124" s="515" t="n">
        <f aca="false">M124+N124</f>
        <v>0</v>
      </c>
      <c r="P124" s="512"/>
      <c r="Q124" s="513" t="s">
        <v>280</v>
      </c>
      <c r="R124" s="512" t="e">
        <f aca="false">IF(ISNUMBER(Q124),P124+Q124/100,IF(Q124="extra",(Z122*AL122-R123*AM122)/AN122,IF(Q124="inter",interpolateprices($Q$19:$R$260,ROW(Q124)-ROW(FirstPricingMonth)+1),interpolatechanges($P$19:$Q$260,ROW(Q124)-ROW(FirstPricingMonth)+1))))</f>
        <v>#VALUE!</v>
      </c>
      <c r="S124" s="597" t="n">
        <f aca="false">S$19+(S123-S$19)*S$18</f>
        <v>0.360000000000005</v>
      </c>
      <c r="T124" s="575" t="n">
        <f aca="false">SQRT((1-(1-T123^2/U123)*T$18)*U124)</f>
        <v>0.999999990560191</v>
      </c>
      <c r="U124" s="576" t="n">
        <f aca="false">1-(1-U123)*U$18</f>
        <v>1</v>
      </c>
      <c r="V124" s="521" t="n">
        <v>0</v>
      </c>
      <c r="W124" s="577" t="n">
        <f aca="false">(J125*AJ124+J126*AK124)/AI124</f>
        <v>0</v>
      </c>
      <c r="X124" s="578" t="n">
        <f aca="false">(L125*AJ124+L126*AK124)/AI124</f>
        <v>1.1</v>
      </c>
      <c r="Y124" s="579" t="n">
        <f aca="false">IF(Q126="extra",W124-AA124,(P125*AM124+P126*AN124)/AL124)</f>
        <v>-1.2915</v>
      </c>
      <c r="Z124" s="579" t="n">
        <f aca="false">IF(Q126="extra",X124-AB124,(R125*AM124+R126*AN124)/AL124)</f>
        <v>-0.1915</v>
      </c>
      <c r="AA124" s="523" t="n">
        <f aca="false">IF(Q126="extra",INDEX(BrentSeasonalityTable,INT((BG124-1)/3)+1)*VLOOKUP(MAX(BF124,$AB$4),PriceSpreadTable,3),W124-Y124)</f>
        <v>1.2915</v>
      </c>
      <c r="AB124" s="524" t="n">
        <f aca="false">IF(Q126="extra",INDEX(BrentSeasonalityTable,INT((BG124-1)/3)+1)*VLOOKUP(MAX(BF124,$AB$4),PriceSpreadTable,3),X124-Z124)</f>
        <v>1.2915</v>
      </c>
      <c r="AC124" s="646" t="n">
        <v>39923</v>
      </c>
      <c r="AD124" s="646" t="n">
        <v>39919</v>
      </c>
      <c r="AE124" s="646" t="n">
        <v>39918</v>
      </c>
      <c r="AF124" s="646" t="n">
        <v>39914</v>
      </c>
      <c r="AG124" s="438" t="s">
        <v>278</v>
      </c>
      <c r="AH124" s="439" t="s">
        <v>278</v>
      </c>
      <c r="AI124" s="528" t="n">
        <v>21</v>
      </c>
      <c r="AJ124" s="529" t="n">
        <v>14</v>
      </c>
      <c r="AK124" s="529" t="n">
        <v>7</v>
      </c>
      <c r="AL124" s="530" t="n">
        <v>21</v>
      </c>
      <c r="AM124" s="529" t="n">
        <v>10</v>
      </c>
      <c r="AN124" s="531" t="n">
        <v>11</v>
      </c>
      <c r="AO124" s="532"/>
      <c r="AP124" s="465" t="n">
        <f aca="false">(1+AO124/2)^(-2*BL124)</f>
        <v>1</v>
      </c>
      <c r="AQ124" s="532"/>
      <c r="AR124" s="465" t="n">
        <f aca="false">(1+AQ124/2)^(-2*BH124/365.25)</f>
        <v>1</v>
      </c>
      <c r="AS124" s="580" t="n">
        <f aca="false">(O125*AJ124+O126*AK124)/AI124</f>
        <v>0</v>
      </c>
      <c r="AT124" s="468" t="n">
        <f aca="false">O124*VLOOKUP(BF124,BrentVolTable,2)+VLOOKUP(BF124,BrentVolTable,3)</f>
        <v>0</v>
      </c>
      <c r="AU124" s="468" t="n">
        <f aca="false">(AT125*AM124+AT126*AN124)/AL124</f>
        <v>0</v>
      </c>
      <c r="AV124" s="595" t="n">
        <f aca="false">SQRT(MAX(0.000000000001,(O124^2*BH124-S124^2*(BH124-BH123))/BH123))</f>
        <v>0.0257972112317999</v>
      </c>
      <c r="AW124" s="451" t="n">
        <f aca="false">IF($I124-DateToday+15&gt;=$T$8,"",IF($I124-DateToday+15&lt;$T$5,1,MATCH($I124-DateToday+15,$T$5:$T$8)))</f>
        <v>1</v>
      </c>
      <c r="AX124" s="468" t="n">
        <f aca="false">IF($AW124="",AX123^2/AX122,INDEX(U$5:U$8,$AW124)^((INDEX($T$5:$T$8,$AW124+1)-($I124-DateToday+15))/(INDEX($T$5:$T$8,$AW124+1)-INDEX($T$5:$T$8,$AW124)))/INDEX(U$5:U$8,$AW124+1)^((INDEX($T$5:$T$8,$AW124)-($I124-DateToday+15))/(INDEX($T$5:$T$8,$AW124+1)-INDEX($T$5:$T$8,$AW124))))</f>
        <v>1.35976847318317</v>
      </c>
      <c r="AY124" s="468" t="n">
        <f aca="false">IF($AW124="",AY123^2/AY122,INDEX(V$5:V$8,$AW124)^((INDEX($T$5:$T$8,$AW124+1)-($I124-DateToday+15))/(INDEX($T$5:$T$8,$AW124+1)-INDEX($T$5:$T$8,$AW124)))/INDEX(V$5:V$8,$AW124+1)^((INDEX($T$5:$T$8,$AW124)-($I124-DateToday+15))/(INDEX($T$5:$T$8,$AW124+1)-INDEX($T$5:$T$8,$AW124))))</f>
        <v>65.3722509753306</v>
      </c>
      <c r="AZ124" s="468" t="n">
        <f aca="false">IF($AW124="",AZ123^2/AZ122,INDEX(W$5:W$8,$AW124)^((INDEX($T$5:$T$8,$AW124+1)-($I124-DateToday+15))/(INDEX($T$5:$T$8,$AW124+1)-INDEX($T$5:$T$8,$AW124)))/INDEX(W$5:W$8,$AW124+1)^((INDEX($T$5:$T$8,$AW124)-($I124-DateToday+15))/(INDEX($T$5:$T$8,$AW124+1)-INDEX($T$5:$T$8,$AW124))))</f>
        <v>135222.574550137</v>
      </c>
      <c r="BA124" s="468" t="n">
        <f aca="false">IF($AW124="",BA123^2/BA122,INDEX(X$5:X$8,$AW124)^((INDEX($T$5:$T$8,$AW124+1)-($I124-DateToday+15))/(INDEX($T$5:$T$8,$AW124+1)-INDEX($T$5:$T$8,$AW124)))/INDEX(X$5:X$8,$AW124+1)^((INDEX($T$5:$T$8,$AW124)-($I124-DateToday+15))/(INDEX($T$5:$T$8,$AW124+1)-INDEX($T$5:$T$8,$AW124))))</f>
        <v>1915327.01808267</v>
      </c>
      <c r="BB124" s="468" t="n">
        <f aca="false">IF($AW124="",BB123^2/BB122,INDEX(Y$5:Y$8,$AW124)^((INDEX($T$5:$T$8,$AW124+1)-($I124-DateToday+15))/(INDEX($T$5:$T$8,$AW124+1)-INDEX($T$5:$T$8,$AW124)))/INDEX(Y$5:Y$8,$AW124+1)^((INDEX($T$5:$T$8,$AW124)-($I124-DateToday+15))/(INDEX($T$5:$T$8,$AW124+1)-INDEX($T$5:$T$8,$AW124))))</f>
        <v>18920463.3333741</v>
      </c>
      <c r="BC124" s="468" t="n">
        <f aca="false">IF($AW124="",BC123^2/BC122,INDEX(Z$5:Z$8,$AW124)^((INDEX($T$5:$T$8,$AW124+1)-($I124-DateToday+15))/(INDEX($T$5:$T$8,$AW124+1)-INDEX($T$5:$T$8,$AW124)))/INDEX(Z$5:Z$8,$AW124+1)^((INDEX($T$5:$T$8,$AW124)-($I124-DateToday+15))/(INDEX($T$5:$T$8,$AW124+1)-INDEX($T$5:$T$8,$AW124))))</f>
        <v>75166691.4718282</v>
      </c>
      <c r="BD124" s="535" t="n">
        <f aca="false">IF(OR(DateStart&gt;=I125,DateEnd&lt;I124),0,IF(VolumeOverrideFlag,V124,Volume))</f>
        <v>0</v>
      </c>
      <c r="BE124" s="536" t="n">
        <f aca="false">IF(OR(DateStart2&gt;=I125,DateEnd2&lt;I124),0,IF(VolumeOverrideFlag,V124,VolumeSwaption))</f>
        <v>0</v>
      </c>
      <c r="BF124" s="537" t="n">
        <f aca="false">YEAR(I124)</f>
        <v>2009</v>
      </c>
      <c r="BG124" s="538" t="n">
        <f aca="false">MONTH(I124)</f>
        <v>5</v>
      </c>
      <c r="BH124" s="539" t="n">
        <f aca="false">AD124-DateToday+1</f>
        <v>-6006</v>
      </c>
      <c r="BI124" s="540" t="n">
        <f aca="false">(I124-DateToday+1)/365.25</f>
        <v>-16.4024640657084</v>
      </c>
      <c r="BJ124" s="541" t="n">
        <f aca="false">BI124+(BL124-BI124)*CHOOSE(Underlying,AJ124/AI124,AM124/AL124)</f>
        <v>-16.3477070499658</v>
      </c>
      <c r="BK124" s="541" t="n">
        <f aca="false">BJ124+1/365.25</f>
        <v>-16.3449691991786</v>
      </c>
      <c r="BL124" s="541" t="n">
        <f aca="false">(I125-DateToday)/365.25</f>
        <v>-16.3203285420945</v>
      </c>
      <c r="BM124" s="542" t="e">
        <f aca="false">MAX(BI124-(BJ124-BI124)*(S125^2/O125^2-1),0)</f>
        <v>#DIV/0!</v>
      </c>
      <c r="BN124" s="541" t="e">
        <f aca="false">MAX(BL124+(BL124-BK124)*(S126^2/O126^2-1),0)</f>
        <v>#DIV/0!</v>
      </c>
      <c r="BO124" s="530" t="n">
        <f aca="false">CHOOSE(Underlying,AI124,AL124)</f>
        <v>21</v>
      </c>
      <c r="BP124" s="529" t="n">
        <f aca="false">CHOOSE(Underlying,AJ124,AM124)</f>
        <v>14</v>
      </c>
      <c r="BQ124" s="529" t="n">
        <f aca="false">CHOOSE(Underlying,AK124,AN124)</f>
        <v>7</v>
      </c>
      <c r="BR124" s="463" t="str">
        <f aca="false">IF(BD124,IF(Underlying=1,X124,Z124)+UnderlyingPriceAsian-SwapPriceCurve,"")</f>
        <v/>
      </c>
      <c r="BS124" s="463" t="str">
        <f aca="false">IF(BD124,Strike1/BR124-1,"")</f>
        <v/>
      </c>
      <c r="BT124" s="464" t="str">
        <f aca="false">IF(BD124,Strike2/BR124-1,"")</f>
        <v/>
      </c>
      <c r="BU124" s="465" t="str">
        <f aca="false">IF(BD124,IF(Underlying=1,L125,R125)+UnderlyingPriceAsian-SwapPriceCurve,"")</f>
        <v/>
      </c>
      <c r="BV124" s="465" t="str">
        <f aca="false">IF(BD124,IF(Underlying=1,L126,R126)+UnderlyingPriceAsian-SwapPriceCurve,"")</f>
        <v/>
      </c>
      <c r="BW124" s="466" t="str">
        <f aca="false">IF(BD124,IF(Underlying=1,O125,AT125),"")</f>
        <v/>
      </c>
      <c r="BX124" s="467" t="str">
        <f aca="false">IF(BD124,IF(Underlying=1,O126,AT126),"")</f>
        <v/>
      </c>
      <c r="BY124" s="466" t="str">
        <f aca="false">IF(BD124,IF(BS124&gt;0,IF(BS124&gt;0.2,BC124-BB124,IF(BS124&gt;0.1,BB124-BA124,BA124)),IF(BS124&lt;-0.2,AX124-AY124,IF(BS124&lt;-0.1,AY124-AZ124,AZ124))),"")</f>
        <v/>
      </c>
      <c r="BZ124" s="467" t="str">
        <f aca="false">IF(BD124,IF(BT124&gt;0,IF(BT124&gt;0.2,BC124-BB124,IF(BT124&gt;0.1,BB124-BA124,BA124)),IF(BT124&lt;-0.2,AX124-AY124,IF(BT124&lt;-0.1,AY124-AZ124,AZ124))),"")</f>
        <v/>
      </c>
      <c r="CA124" s="468" t="str">
        <f aca="false">IF($BD124,$BW124+IF(VolSkewFlag=1,IF(BS124&gt;0,$BA124*MIN(BS124/10%,1)+($BB124-$BA124)*MAX(0,MIN(BS124/10%-1,1))+($BC124-$BB124)*MAX(0,BS124/10%-2),$AZ124*MIN(-BS124/10%,1)+($AY124-$AZ124)*MAX(0,MIN(-BS124/10%-1,1))+($AX124-$AY124)*MAX(0,-BS124/10%-2)),0),"")</f>
        <v/>
      </c>
      <c r="CB124" s="468" t="str">
        <f aca="false">IF($BD124,$BX124+IF(VolSkewFlag=1,IF(BS124&gt;0,$BA124*MIN(BS124/10%,1)+($BB124-$BA124)*MAX(0,MIN(BS124/10%-1,1))+($BC124-$BB124)*MAX(0,BS124/10%-2),$AZ124*MIN(-BS124/10%,1)+($AY124-$AZ124)*MAX(0,MIN(-BS124/10%-1,1))+($AX124-$AY124)*MAX(0,-BS124/10%-2)),0),"")</f>
        <v/>
      </c>
      <c r="CC124" s="468" t="str">
        <f aca="false">IF($BD124,$BW124+IF(VolSkewFlag=1,IF(BT124&gt;0,$BA124*MIN(BT124/10%,1)+($BB124-$BA124)*MAX(0,MIN(BT124/10%-1,1))+($BC124-$BB124)*MAX(0,BT124/10%-2),$AZ124*MIN(-BT124/10%,1)+($AY124-$AZ124)*MAX(0,MIN(-BT124/10%-1,1))+($AX124-$AY124)*MAX(0,-BT124/10%-2)),0),"")</f>
        <v/>
      </c>
      <c r="CD124" s="468" t="str">
        <f aca="false">IF($BD124,$BX124+IF(VolSkewFlag=1,IF(BT124&gt;0,$BA124*MIN(BT124/10%,1)+($BB124-$BA124)*MAX(0,MIN(BT124/10%-1,1))+($BC124-$BB124)*MAX(0,BT124/10%-2),$AZ124*MIN(-BT124/10%,1)+($AY124-$AZ124)*MAX(0,MIN(-BT124/10%-1,1))+($AX124-$AY124)*MAX(0,-BT124/10%-2)),0),"")</f>
        <v/>
      </c>
      <c r="CE124" s="469" t="n">
        <v>1</v>
      </c>
      <c r="CF124" s="470" t="n">
        <f aca="false">IF(BD124,xCrudeAPO(BU124,BV124,CA124,CB124,S125,S126,BI124,BL124,BP124,BQ124,0,Strike1,AO124,CE124,0,BL124,IF(OptControl=4,0,1),0,1),0)</f>
        <v>0</v>
      </c>
      <c r="CG124" s="470" t="n">
        <f aca="false">IF(BD124,xCrudeAPO(BU124,BV124,CA124,CB124,S125,S126,BI124,BL124,BP124,BQ124,0,Strike1,AO124,CE124,0,BL124,IF(OptControl=4,0,1),1,1)+xCrudeAPO(BU124,BV124,CA124,CB124,S125,S126,BI124,BL124,BP124,BQ124,0,Strike1,AO124,CE124,0,BL124,IF(OptControl=4,0,1),1,2)+IF(OR(VolSkewFlag=2,ABS(BS124)&lt;0.0001),0,IF(BS124&gt;0,-1,1)*CH124*Strike1/BR124^2*BY124/10%),0)</f>
        <v>0</v>
      </c>
      <c r="CH124" s="470" t="n">
        <f aca="false">IF(BD124,(xCrudeAPO(BU124,BV124,CA124,CB124,S125,S126,BI124,BL124,BP124,BQ124,0,Strike1,AO124,CE124,0,BL124,IF(OptControl=4,0,1),3,1)+xCrudeAPO(BU124,BV124,CA124,CB124,S125,S126,BI124,BL124,BP124,BQ124,0,Strike1,AO124,CE124,0,BL124,IF(OptControl=4,0,1),3,2))/100,0)</f>
        <v>0</v>
      </c>
      <c r="CI124" s="470" t="n">
        <f aca="false">IF(BD124,xCrudeAPO(BU124,BV124,CA124,CB124,S125,S126,BI124-DaysForThetaCalculation/365.25,BL124-DaysForThetaCalculation/365.25,BP124,BQ124,0,Strike1,AO124,CE124,0,BL124,IF(OptControl=4,0,1),0,1)-xCrudeAPO(BU124,BV124,CA124,CB124,S125,S126,BI124,BL124,BP124,BQ124,0,Strike1,AO124,CE124,0,BL124,IF(OptControl=4,0,1),0,1),0)</f>
        <v>0</v>
      </c>
      <c r="CJ124" s="471" t="n">
        <f aca="false">IF(BD124,xCrudeAPO(BU124,BV124,CC124,CD124,S125,S126,BI124,BL124,BP124,BQ124,0,Strike2,AO124,CE124,0,BL124,IF(OptControl=3,1,0),0,1),0)</f>
        <v>0</v>
      </c>
      <c r="CK124" s="470" t="n">
        <f aca="false">IF(BD124,xCrudeAPO(BU124,BV124,CC124,CD124,S125,S126,BI124,BL124,BP124,BQ124,0,Strike2,AO124,CE124,0,BL124,IF(OptControl=3,1,0),1,1)+xCrudeAPO(BU124,BV124,CC124,CD124,S125,S126,BI124,BL124,BP124,BQ124,0,Strike2,AO124,CE124,0,BL124,IF(OptControl=3,1,0),1,2)+IF(OR(VolSkewFlag=2,ABS(BT124)&lt;0.0001),0,IF(BT124&gt;0,-1,1)*CL124*Strike2/BR124^2*BZ124/10%),0)</f>
        <v>0</v>
      </c>
      <c r="CL124" s="470" t="n">
        <f aca="false">IF(BD124,(xCrudeAPO(BU124,BV124,CC124,CD124,S125,S126,BI124,BL124,BP124,BQ124,0,Strike2,AO124,CE124,0,BL124,IF(OptControl=3,1,0),3,1)+xCrudeAPO(BU124,BV124,CC124,CD124,S125,S126,BI124,BL124,BP124,BQ124,0,Strike2,AO124,CE124,0,BL124,IF(OptControl=3,1,0),3,2))/100,0)</f>
        <v>0</v>
      </c>
      <c r="CM124" s="472" t="n">
        <f aca="false">IF(BD124,xCrudeAPO(BU124,BV124,CC124,CD124,S125,S126,BI124-DaysForThetaCalculation/365.25,BL124-DaysForThetaCalculation/365.25,BP124,BQ124,0,Strike2,AO124,CE124,0,BL124,IF(OptControl=3,1,0),0,1)-xCrudeAPO(BU124,BV124,CC124,CD124,S125,S126,BI124,BL124,BP124,BQ124,0,Strike2,AO124,CE124,0,BL124,IF(OptControl=3,1,0),0,1),0)</f>
        <v>0</v>
      </c>
      <c r="CN124" s="3"/>
      <c r="CO124" s="543" t="str">
        <f aca="false">IF(BD124,CHOOSE(Underlying,AD124,AF124)-DateToday+1,"")</f>
        <v/>
      </c>
      <c r="CP124" s="582" t="str">
        <f aca="false">IF(BD124,CHOOSE(Underlying,L124,R124),"")</f>
        <v/>
      </c>
      <c r="CQ124" s="544" t="str">
        <f aca="false">IF(BD124,Strike1/CP124-1,"")</f>
        <v/>
      </c>
      <c r="CR124" s="544" t="str">
        <f aca="false">IF(BD124,Strike2/CP124-1,"")</f>
        <v/>
      </c>
      <c r="CS124" s="544" t="str">
        <f aca="false">IF(BD124,IF(CQ124&gt;0,IF(CQ124&gt;0.2,BC123-BB123,IF(CQ124&gt;0.1,BB123-BA123,BA123)),IF(CQ124&lt;-0.2,AX123-AY123,IF(CQ124&lt;-0.1,AY123-AZ123,AZ123))),"")</f>
        <v/>
      </c>
      <c r="CT124" s="544" t="str">
        <f aca="false">IF(BD124,IF(CR124&gt;0,IF(CR124&gt;0.2,BC123-BB123,IF(CR124&gt;0.1,BB123-BA123,BA123)),IF(CR124&lt;-0.2,AX123-AY123,IF(CR124&lt;-0.1,AY123-AZ123,AZ123))),"")</f>
        <v/>
      </c>
      <c r="CU124" s="545" t="str">
        <f aca="false">IF(BD124,CHOOSE(Underlying,O124,AT124),"")</f>
        <v/>
      </c>
      <c r="CV124" s="545" t="str">
        <f aca="false">IF(BD124,CU124+IF(VolSkewFlag=1,IF(CQ124&gt;0,BA123*MIN(CQ124/10%,1)+(BB123-BA123)*MAX(0,MIN(CQ124/10%-1,1))+(BC123-BB123)*MAX(0,CQ124/10%-2),AZ123*MIN(-CQ124/10%,1)+(AY123-AZ123)*MAX(0,MIN(-CQ124/10%-1,1))+(AX123-AY123)*MAX(0,-CQ124/10%-2)),0),"")</f>
        <v/>
      </c>
      <c r="CW124" s="545" t="str">
        <f aca="false">IF(BD124,CU124+IF(VolSkewFlag=1,IF(CR124&gt;0,BA123*MIN(CR124/10%,1)+(BB123-BA123)*MAX(0,MIN(CR124/10%-1,1))+(BC123-BB123)*MAX(0,CR124/10%-2),AZ123*MIN(-CR124/10%,1)+(AY123-AZ123)*MAX(0,MIN(-CR124/10%-1,1))+(AX123-AY123)*MAX(0,-CR124/10%-2)),0),"")</f>
        <v/>
      </c>
      <c r="CX124" s="470" t="n">
        <f aca="false">IF(BD124,EURO(CP124,Strike1,AO124,AO124,CV124,CO124,IF(OptControl=4,0,1),0),0)</f>
        <v>0</v>
      </c>
      <c r="CY124" s="470" t="n">
        <f aca="false">IF(BD124,EURO(CP124,Strike1,AO124,AO124,CV124,CO124,IF(OptControl=4,0,1),1)+IF(OR(VolSkewFlag=2,ABS(CQ124)&lt;0.0001),0,IF(CQ124&gt;0,-1,1)*CZ124*100*Strike1/CP124^2*CS124/10%),0)</f>
        <v>0</v>
      </c>
      <c r="CZ124" s="470" t="n">
        <f aca="false">IF(BD124,EURO(CP124,Strike1,AO124,AO124,CV124,CO124,IF(OptControl=4,0,1),3)/100,0)</f>
        <v>0</v>
      </c>
      <c r="DA124" s="470" t="n">
        <f aca="false">IF(BD124,EURO(CP124,Strike1,AO124,AO124,CV124,CO124,IF(OptControl=4,0,1),0)-EURO(CP124,Strike1,AO124,AO124,CV124,CO124-1,IF(OptControl=4,0,1),0),0)</f>
        <v>0</v>
      </c>
      <c r="DB124" s="470" t="n">
        <f aca="false">IF(BD124,EURO(CP124,Strike2,AO124,AO124,CW124,CO124,IF(OptControl=3,1,0),0),0)</f>
        <v>0</v>
      </c>
      <c r="DC124" s="470" t="n">
        <f aca="false">IF(BD124,EURO(CP124,Strike2,AO124,AO124,CW124,CO124,IF(OptControl=3,1,0),1)+IF(OR(VolSkewFlag=2,ABS(CR124)&lt;0.0001),0,IF(CR124&gt;0,-1,1)*DD124*100*Strike2/CP124^2*CT124/10%),0)</f>
        <v>0</v>
      </c>
      <c r="DD124" s="470" t="n">
        <f aca="false">IF(BD124,EURO(CP124,Strike2,AO124,AO124,CW124,CO124,IF(OptControl=3,1,0),3)/100,0)</f>
        <v>0</v>
      </c>
      <c r="DE124" s="472" t="n">
        <f aca="false">IF(BD124,EURO(CP124,Strike2,AO124,AO124,CW124,CO124,IF(OptControl=3,1,0),0)-EURO(CP124,Strike2,AO124,AO124,CW124,CO124-1,IF(OptControl=3,1,0),0),0)</f>
        <v>0</v>
      </c>
      <c r="DG124" s="481" t="n">
        <f aca="false">EOMONTH(DG123,0)+1</f>
        <v>48853</v>
      </c>
      <c r="DH124" s="478" t="n">
        <v>19.36</v>
      </c>
      <c r="DI124" s="479" t="n">
        <v>19.4295652173913</v>
      </c>
      <c r="DJ124" s="480" t="n">
        <f aca="false">DG124</f>
        <v>48853</v>
      </c>
      <c r="DK124" s="478" t="n">
        <v>18.0002348225637</v>
      </c>
      <c r="DL124" s="479" t="n">
        <v>18.2364652173913</v>
      </c>
      <c r="DM124" s="481" t="n">
        <f aca="false">DG124</f>
        <v>48853</v>
      </c>
      <c r="DN124" s="482" t="n">
        <f aca="false">DK124+BrentPhyBrentSpread</f>
        <v>18.0502348225637</v>
      </c>
      <c r="DO124" s="481" t="n">
        <f aca="false">DG124</f>
        <v>48853</v>
      </c>
      <c r="DP124" s="483" t="n">
        <f aca="false">DL124+DQ124</f>
        <v>18.2364652173913</v>
      </c>
      <c r="DQ124" s="546" t="n">
        <v>0</v>
      </c>
      <c r="DR124" s="480" t="n">
        <f aca="false">DG124</f>
        <v>48853</v>
      </c>
      <c r="DS124" s="485" t="n">
        <v>0.162199999999999</v>
      </c>
      <c r="DT124" s="486" t="n">
        <v>0.161365217391303</v>
      </c>
      <c r="DU124" s="480" t="n">
        <f aca="false">DG124</f>
        <v>48853</v>
      </c>
      <c r="DV124" s="485" t="n">
        <v>0.162199999999999</v>
      </c>
      <c r="DW124" s="486" t="n">
        <v>0.161365217391303</v>
      </c>
      <c r="DX124" s="481" t="n">
        <f aca="false">DG124</f>
        <v>48853</v>
      </c>
      <c r="DY124" s="486" t="n">
        <v>0.35</v>
      </c>
      <c r="DZ124" s="481" t="n">
        <f aca="false">DR124</f>
        <v>48853</v>
      </c>
      <c r="EA124" s="486" t="n">
        <f aca="false">DT124</f>
        <v>0.161365217391303</v>
      </c>
      <c r="EB124" s="195"/>
      <c r="EC124" s="547" t="str">
        <f aca="false">IF(BD124,IF(Underlying=1,AS124,AU124),"")</f>
        <v/>
      </c>
      <c r="ED124" s="548" t="str">
        <f aca="false">IF($BD124,$EC124+IF(VolSkewFlag=1,IF(BS124&gt;0,$BA124*MIN(BS124/10%,1)+($BB124-$BA124)*MAX(0,MIN(BS124/10%-1,1))+($BC124-$BB124)*MAX(0,BS124/10%-2),$AZ124*MIN(-BS124/10%,1)+($AY124-$AZ124)*MAX(0,MIN(-BS124/10%-1,1))+($AX124-$AY124)*MAX(0,-BS124/10%-2)),0),"")</f>
        <v/>
      </c>
      <c r="EE124" s="549" t="str">
        <f aca="false">IF($BD124,$EC124+IF(VolSkewFlag=1,IF(BT124&gt;0,$BA124*MIN(BT124/10%,1)+($BB124-$BA124)*MAX(0,MIN(BT124/10%-1,1))+($BC124-$BB124)*MAX(0,BT124/10%-2),$AZ124*MIN(-BT124/10%,1)+($AY124-$AZ124)*MAX(0,MIN(-BT124/10%-1,1))+($AX124-$AY124)*MAX(0,-BT124/10%-2)),0),"")</f>
        <v/>
      </c>
      <c r="EF124" s="550" t="n">
        <f aca="false">IF(BD124,xASN(BR124,Strike1,AO124,ED124,0,BO124,0,BI124,BL124,IF(OptControl=4,0,1),0),0)</f>
        <v>0</v>
      </c>
      <c r="EG124" s="551" t="n">
        <f aca="false">IF(BD124,xASN(BR124,Strike2,AO124,EE124,0,BO124,0,BI124,BL124,IF(OptControl=3,1,0),0),0)</f>
        <v>0</v>
      </c>
      <c r="EL124" s="1"/>
      <c r="EM124" s="195"/>
      <c r="EN124" s="240"/>
      <c r="EO124" s="240"/>
      <c r="EP124" s="195"/>
      <c r="EQ124" s="407" t="s">
        <v>351</v>
      </c>
      <c r="ES124" s="130"/>
      <c r="ET124" s="19"/>
      <c r="EU124" s="672"/>
      <c r="EV124" s="478"/>
      <c r="EW124" s="131"/>
      <c r="EX124" s="131"/>
      <c r="EY124" s="129"/>
      <c r="EZ124" s="129"/>
      <c r="FA124" s="129"/>
      <c r="FB124" s="129"/>
      <c r="FC124" s="129"/>
      <c r="FD124" s="129"/>
      <c r="FE124" s="129"/>
      <c r="FF124" s="129"/>
      <c r="FG124" s="129"/>
      <c r="FH124" s="129"/>
      <c r="FI124" s="129"/>
      <c r="FJ124" s="571" t="n">
        <v>30</v>
      </c>
      <c r="FK124" s="150" t="e">
        <f aca="false">IF($FJ49&lt;FK$94,"",SQRT(FK49/FK$15))</f>
        <v>#DIV/0!</v>
      </c>
      <c r="FL124" s="150" t="n">
        <f aca="false">IF($FJ49&lt;FL$94,"",SQRT(FL49/FL$15))</f>
        <v>-0</v>
      </c>
      <c r="FM124" s="150" t="n">
        <f aca="false">IF($FJ49&lt;FM$94,"",SQRT(FM49/FM$15))</f>
        <v>0.1724314049873</v>
      </c>
      <c r="FN124" s="150" t="n">
        <f aca="false">IF($FJ49&lt;FN$94,"",SQRT(FN49/FN$15))</f>
        <v>0.169439784087537</v>
      </c>
      <c r="FO124" s="150" t="n">
        <f aca="false">IF($FJ49&lt;FO$94,"",SQRT(FO49/FO$15))</f>
        <v>0.167322720758884</v>
      </c>
      <c r="FP124" s="150" t="n">
        <f aca="false">IF($FJ49&lt;FP$94,"",SQRT(FP49/FP$15))</f>
        <v>0.16588426392181</v>
      </c>
      <c r="FQ124" s="150" t="n">
        <f aca="false">IF($FJ49&lt;FQ$94,"",SQRT(FQ49/FQ$15))</f>
        <v>0.164981414782435</v>
      </c>
      <c r="FR124" s="150" t="n">
        <f aca="false">IF($FJ49&lt;FR$94,"",SQRT(FR49/FR$15))</f>
        <v>0.164511646635927</v>
      </c>
      <c r="FS124" s="150" t="n">
        <f aca="false">IF($FJ49&lt;FS$94,"",SQRT(FS49/FS$15))</f>
        <v>0.16440370084181</v>
      </c>
      <c r="FT124" s="150" t="n">
        <f aca="false">IF($FJ49&lt;FT$94,"",SQRT(FT49/FT$15))</f>
        <v>0.164610877864996</v>
      </c>
      <c r="FU124" s="150" t="n">
        <f aca="false">IF($FJ49&lt;FU$94,"",SQRT(FU49/FU$15))</f>
        <v>0.165106248560047</v>
      </c>
      <c r="FV124" s="150" t="n">
        <f aca="false">IF($FJ49&lt;FV$94,"",SQRT(FV49/FV$15))</f>
        <v>0.165879369421833</v>
      </c>
      <c r="FW124" s="150" t="n">
        <f aca="false">IF($FJ49&lt;FW$94,"",SQRT(FW49/FW$15))</f>
        <v>0.166934209818462</v>
      </c>
      <c r="FX124" s="150" t="n">
        <f aca="false">IF($FJ49&lt;FX$94,"",SQRT(FX49/FX$15))</f>
        <v>0.168288100089585</v>
      </c>
      <c r="FY124" s="150" t="n">
        <f aca="false">IF($FJ49&lt;FY$94,"",SQRT(FY49/FY$15))</f>
        <v>0.169971596039781</v>
      </c>
      <c r="FZ124" s="150" t="n">
        <f aca="false">IF($FJ49&lt;FZ$94,"",SQRT(FZ49/FZ$15))</f>
        <v>0.172029236356816</v>
      </c>
      <c r="GA124" s="150" t="n">
        <f aca="false">IF($FJ49&lt;GA$94,"",SQRT(GA49/GA$15))</f>
        <v>0.17452125388306</v>
      </c>
      <c r="GB124" s="150" t="n">
        <f aca="false">IF($FJ49&lt;GB$94,"",SQRT(GB49/GB$15))</f>
        <v>0.177526400408438</v>
      </c>
      <c r="GC124" s="150" t="n">
        <f aca="false">IF($FJ49&lt;GC$94,"",SQRT(GC49/GC$15))</f>
        <v>0.181146172681161</v>
      </c>
      <c r="GD124" s="150" t="n">
        <f aca="false">IF($FJ49&lt;GD$94,"",SQRT(GD49/GD$15))</f>
        <v>0.18551090698796</v>
      </c>
      <c r="GE124" s="150" t="n">
        <f aca="false">IF($FJ49&lt;GE$94,"",SQRT(GE49/GE$15))</f>
        <v>0.190788476468194</v>
      </c>
      <c r="GF124" s="150" t="n">
        <f aca="false">IF($FJ49&lt;GF$94,"",SQRT(GF49/GF$15))</f>
        <v>0.197196738340898</v>
      </c>
      <c r="GG124" s="150" t="n">
        <f aca="false">IF($FJ49&lt;GG$94,"",SQRT(GG49/GG$15))</f>
        <v>0.20502153903661</v>
      </c>
      <c r="GH124" s="150" t="n">
        <f aca="false">IF($FJ49&lt;GH$94,"",SQRT(GH49/GH$15))</f>
        <v>0.214643174208486</v>
      </c>
      <c r="GI124" s="150" t="n">
        <f aca="false">IF($FJ49&lt;GI$94,"",SQRT(GI49/GI$15))</f>
        <v>0.226576048116047</v>
      </c>
      <c r="GJ124" s="150" t="n">
        <f aca="false">IF($FJ49&lt;GJ$94,"",SQRT(GJ49/GJ$15))</f>
        <v>0.241529508279544</v>
      </c>
      <c r="GK124" s="150" t="n">
        <f aca="false">IF($FJ49&lt;GK$94,"",SQRT(GK49/GK$15))</f>
        <v>0.26050367362056</v>
      </c>
      <c r="GL124" s="150" t="n">
        <f aca="false">IF($FJ49&lt;GL$94,"",SQRT(GL49/GL$15))</f>
        <v>0.284945033243649</v>
      </c>
      <c r="GM124" s="150" t="n">
        <f aca="false">IF($FJ49&lt;GM$94,"",SQRT(GM49/GM$15))</f>
        <v>0.317008020808577</v>
      </c>
      <c r="GN124" s="150" t="n">
        <f aca="false">IF($FJ49&lt;GN$94,"",SQRT(GN49/GN$15))</f>
        <v>0.360012699170857</v>
      </c>
      <c r="GO124" s="150" t="str">
        <f aca="false">IF($FJ49&lt;GO$94,"",SQRT(GO49/GO$15))</f>
        <v/>
      </c>
      <c r="GP124" s="150" t="str">
        <f aca="false">IF($FJ49&lt;GP$94,"",SQRT(GP49/GP$15))</f>
        <v/>
      </c>
      <c r="GQ124" s="150" t="str">
        <f aca="false">IF($FJ49&lt;GQ$94,"",SQRT(GQ49/GQ$15))</f>
        <v/>
      </c>
      <c r="GR124" s="150" t="str">
        <f aca="false">IF($FJ49&lt;GR$94,"",SQRT(GR49/GR$15))</f>
        <v/>
      </c>
      <c r="GS124" s="150" t="str">
        <f aca="false">IF($FJ49&lt;GS$94,"",SQRT(GS49/GS$15))</f>
        <v/>
      </c>
      <c r="GT124" s="150" t="str">
        <f aca="false">IF($FJ49&lt;GT$94,"",SQRT(GT49/GT$15))</f>
        <v/>
      </c>
      <c r="GU124" s="150" t="str">
        <f aca="false">IF($FJ49&lt;GU$94,"",SQRT(GU49/GU$15))</f>
        <v/>
      </c>
      <c r="GV124" s="150" t="str">
        <f aca="false">IF($FJ49&lt;GV$94,"",SQRT(GV49/GV$15))</f>
        <v/>
      </c>
      <c r="GW124" s="150" t="str">
        <f aca="false">IF($FJ49&lt;GW$94,"",SQRT(GW49/GW$15))</f>
        <v/>
      </c>
      <c r="GX124" s="150" t="str">
        <f aca="false">IF($FJ49&lt;GX$94,"",SQRT(GX49/GX$15))</f>
        <v/>
      </c>
      <c r="GY124" s="150" t="str">
        <f aca="false">IF($FJ49&lt;GY$94,"",SQRT(GY49/GY$15))</f>
        <v/>
      </c>
      <c r="GZ124" s="150" t="str">
        <f aca="false">IF($FJ49&lt;GZ$94,"",SQRT(GZ49/GZ$15))</f>
        <v/>
      </c>
      <c r="HA124" s="150" t="str">
        <f aca="false">IF($FJ49&lt;HA$94,"",SQRT(HA49/HA$15))</f>
        <v/>
      </c>
      <c r="HB124" s="150" t="str">
        <f aca="false">IF($FJ49&lt;HB$94,"",SQRT(HB49/HB$15))</f>
        <v/>
      </c>
      <c r="HC124" s="150" t="str">
        <f aca="false">IF($FJ49&lt;HC$94,"",SQRT(HC49/HC$15))</f>
        <v/>
      </c>
      <c r="HD124" s="150" t="str">
        <f aca="false">IF($FJ49&lt;HD$94,"",SQRT(HD49/HD$15))</f>
        <v/>
      </c>
      <c r="HE124" s="150" t="str">
        <f aca="false">IF($FJ49&lt;HE$94,"",SQRT(HE49/HE$15))</f>
        <v/>
      </c>
      <c r="HF124" s="150" t="str">
        <f aca="false">IF($FJ49&lt;HF$94,"",SQRT(HF49/HF$15))</f>
        <v/>
      </c>
      <c r="HG124" s="150" t="str">
        <f aca="false">IF($FJ49&lt;HG$94,"",SQRT(HG49/HG$15))</f>
        <v/>
      </c>
      <c r="HH124" s="150" t="str">
        <f aca="false">IF($FJ49&lt;HH$94,"",SQRT(HH49/HH$15))</f>
        <v/>
      </c>
      <c r="HI124" s="150" t="str">
        <f aca="false">IF($FJ49&lt;HI$94,"",SQRT(HI49/HI$15))</f>
        <v/>
      </c>
      <c r="HJ124" s="150" t="str">
        <f aca="false">IF($FJ49&lt;HJ$94,"",SQRT(HJ49/HJ$15))</f>
        <v/>
      </c>
      <c r="HK124" s="150" t="str">
        <f aca="false">IF($FJ49&lt;HK$94,"",SQRT(HK49/HK$15))</f>
        <v/>
      </c>
      <c r="HL124" s="150" t="str">
        <f aca="false">IF($FJ49&lt;HL$94,"",SQRT(HL49/HL$15))</f>
        <v/>
      </c>
      <c r="HM124" s="150" t="str">
        <f aca="false">IF($FJ49&lt;HM$94,"",SQRT(HM49/HM$15))</f>
        <v/>
      </c>
      <c r="HN124" s="150" t="str">
        <f aca="false">IF($FJ49&lt;HN$94,"",SQRT(HN49/HN$15))</f>
        <v/>
      </c>
      <c r="HO124" s="150" t="str">
        <f aca="false">IF($FJ49&lt;HO$94,"",SQRT(HO49/HO$15))</f>
        <v/>
      </c>
      <c r="HP124" s="150" t="str">
        <f aca="false">IF($FJ49&lt;HP$94,"",SQRT(HP49/HP$15))</f>
        <v/>
      </c>
      <c r="HQ124" s="150" t="str">
        <f aca="false">IF($FJ49&lt;HQ$94,"",SQRT(HQ49/HQ$15))</f>
        <v/>
      </c>
      <c r="HR124" s="150" t="str">
        <f aca="false">IF($FJ49&lt;HR$94,"",SQRT(HR49/HR$15))</f>
        <v/>
      </c>
      <c r="HS124" s="150" t="str">
        <f aca="false">IF($FJ49&lt;HS$94,"",SQRT(HS49/HS$15))</f>
        <v/>
      </c>
      <c r="HT124" s="150" t="str">
        <f aca="false">IF($FJ49&lt;HT$94,"",SQRT(HT49/HT$15))</f>
        <v/>
      </c>
      <c r="HU124" s="150" t="str">
        <f aca="false">IF($FJ49&lt;HU$94,"",SQRT(HU49/HU$15))</f>
        <v/>
      </c>
      <c r="HV124" s="150" t="str">
        <f aca="false">IF($FJ49&lt;HV$94,"",SQRT(HV49/HV$15))</f>
        <v/>
      </c>
      <c r="HW124" s="150" t="str">
        <f aca="false">IF($FJ49&lt;HW$94,"",SQRT(HW49/HW$15))</f>
        <v/>
      </c>
      <c r="HX124" s="150" t="str">
        <f aca="false">IF($FJ49&lt;HX$94,"",SQRT(HX49/HX$15))</f>
        <v/>
      </c>
      <c r="HY124" s="150" t="str">
        <f aca="false">IF($FJ49&lt;HY$94,"",SQRT(HY49/HY$15))</f>
        <v/>
      </c>
      <c r="HZ124" s="150" t="str">
        <f aca="false">IF($FJ49&lt;HZ$94,"",SQRT(HZ49/HZ$15))</f>
        <v/>
      </c>
      <c r="IA124" s="150" t="str">
        <f aca="false">IF($FJ49&lt;IA$94,"",SQRT(IA49/IA$15))</f>
        <v/>
      </c>
      <c r="IB124" s="150" t="str">
        <f aca="false">IF($FJ49&lt;IB$94,"",SQRT(IB49/IB$15))</f>
        <v/>
      </c>
      <c r="IC124" s="150" t="str">
        <f aca="false">IF($FJ49&lt;IC$94,"",SQRT(IC49/IC$15))</f>
        <v/>
      </c>
      <c r="ID124" s="572" t="str">
        <f aca="false">IF($FJ49&lt;ID$94,"",SQRT(ID49/ID$15))</f>
        <v/>
      </c>
      <c r="IE124" s="129"/>
    </row>
    <row r="125" customFormat="false" ht="12.75" hidden="false" customHeight="false" outlineLevel="0" collapsed="false">
      <c r="H125" s="219" t="n">
        <f aca="false">VLOOKUP(I125,$EJ$20:$EL$54,3)</f>
        <v>0</v>
      </c>
      <c r="I125" s="511" t="n">
        <f aca="false">EOMONTH(I124,0)+1</f>
        <v>39965</v>
      </c>
      <c r="J125" s="512"/>
      <c r="K125" s="513" t="s">
        <v>280</v>
      </c>
      <c r="L125" s="514" t="n">
        <f aca="false">IF(ISNUMBER(K125),J125+K125/100,IF(K125="extra",L124+VLOOKUP(BF125,PriceSpreadTable,2)/12,IF(K125="inter",interpolateprices($K$19:$L$200,ROW(K125)-ROW(FirstPricingMonth)+1),interpolatechanges($J$19:$K$200,ROW(K125)-ROW(FirstPricingMonth)+1))))</f>
        <v>1.0875</v>
      </c>
      <c r="M125" s="515"/>
      <c r="N125" s="516" t="n">
        <v>0</v>
      </c>
      <c r="O125" s="515" t="n">
        <f aca="false">M125+N125</f>
        <v>0</v>
      </c>
      <c r="P125" s="512"/>
      <c r="Q125" s="513" t="s">
        <v>280</v>
      </c>
      <c r="R125" s="512" t="e">
        <f aca="false">IF(ISNUMBER(Q125),P125+Q125/100,IF(Q125="extra",(Z123*AL123-R124*AM123)/AN123,IF(Q125="inter",interpolateprices($Q$19:$R$260,ROW(Q125)-ROW(FirstPricingMonth)+1),interpolatechanges($P$19:$Q$260,ROW(Q125)-ROW(FirstPricingMonth)+1))))</f>
        <v>#VALUE!</v>
      </c>
      <c r="S125" s="597" t="n">
        <f aca="false">S$19+(S124-S$19)*S$18</f>
        <v>0.360000000000004</v>
      </c>
      <c r="T125" s="575" t="n">
        <f aca="false">SQRT((1-(1-T124^2/U124)*T$18)*U125)</f>
        <v>0.999999991928963</v>
      </c>
      <c r="U125" s="576" t="n">
        <f aca="false">1-(1-U124)*U$18</f>
        <v>1</v>
      </c>
      <c r="V125" s="521" t="n">
        <v>0</v>
      </c>
      <c r="W125" s="577" t="n">
        <f aca="false">(J126*AJ125+J127*AK125)/AI125</f>
        <v>0</v>
      </c>
      <c r="X125" s="578" t="n">
        <f aca="false">(L126*AJ125+L127*AK125)/AI125</f>
        <v>1.13693181818182</v>
      </c>
      <c r="Y125" s="579" t="n">
        <f aca="false">IF(Q127="extra",W125-AA125,(P126*AM125+P127*AN125)/AL125)</f>
        <v>-1.2915</v>
      </c>
      <c r="Z125" s="579" t="n">
        <f aca="false">IF(Q127="extra",X125-AB125,(R126*AM125+R127*AN125)/AL125)</f>
        <v>-0.154568181818182</v>
      </c>
      <c r="AA125" s="523" t="n">
        <f aca="false">IF(Q127="extra",INDEX(BrentSeasonalityTable,INT((BG125-1)/3)+1)*VLOOKUP(MAX(BF125,$AB$4),PriceSpreadTable,3),W125-Y125)</f>
        <v>1.2915</v>
      </c>
      <c r="AB125" s="524" t="n">
        <f aca="false">IF(Q127="extra",INDEX(BrentSeasonalityTable,INT((BG125-1)/3)+1)*VLOOKUP(MAX(BF125,$AB$4),PriceSpreadTable,3),X125-Z125)</f>
        <v>1.2915</v>
      </c>
      <c r="AC125" s="646" t="n">
        <v>39953</v>
      </c>
      <c r="AD125" s="646" t="n">
        <v>39949</v>
      </c>
      <c r="AE125" s="646" t="n">
        <v>39948</v>
      </c>
      <c r="AF125" s="646" t="n">
        <v>39944</v>
      </c>
      <c r="AG125" s="438" t="s">
        <v>278</v>
      </c>
      <c r="AH125" s="439" t="s">
        <v>278</v>
      </c>
      <c r="AI125" s="528" t="n">
        <v>22</v>
      </c>
      <c r="AJ125" s="529" t="n">
        <v>15</v>
      </c>
      <c r="AK125" s="529" t="n">
        <v>7</v>
      </c>
      <c r="AL125" s="530" t="n">
        <v>22</v>
      </c>
      <c r="AM125" s="529" t="n">
        <v>10</v>
      </c>
      <c r="AN125" s="531" t="n">
        <v>12</v>
      </c>
      <c r="AO125" s="532"/>
      <c r="AP125" s="465" t="n">
        <f aca="false">(1+AO125/2)^(-2*BL125)</f>
        <v>1</v>
      </c>
      <c r="AQ125" s="532"/>
      <c r="AR125" s="465" t="n">
        <f aca="false">(1+AQ125/2)^(-2*BH125/365.25)</f>
        <v>1</v>
      </c>
      <c r="AS125" s="580" t="n">
        <f aca="false">(O126*AJ125+O127*AK125)/AI125</f>
        <v>0</v>
      </c>
      <c r="AT125" s="468" t="n">
        <f aca="false">O125*VLOOKUP(BF125,BrentVolTable,2)+VLOOKUP(BF125,BrentVolTable,3)</f>
        <v>0</v>
      </c>
      <c r="AU125" s="468" t="n">
        <f aca="false">(AT126*AM125+AT127*AN125)/AL125</f>
        <v>0</v>
      </c>
      <c r="AV125" s="595" t="n">
        <f aca="false">SQRT(MAX(0.000000000001,(O125^2*BH125-S125^2*(BH125-BH124))/BH124))</f>
        <v>0.0254431257386482</v>
      </c>
      <c r="AW125" s="451" t="n">
        <f aca="false">IF($I125-DateToday+15&gt;=$T$8,"",IF($I125-DateToday+15&lt;$T$5,1,MATCH($I125-DateToday+15,$T$5:$T$8)))</f>
        <v>1</v>
      </c>
      <c r="AX125" s="468" t="n">
        <f aca="false">IF($AW125="",AX124^2/AX123,INDEX(U$5:U$8,$AW125)^((INDEX($T$5:$T$8,$AW125+1)-($I125-DateToday+15))/(INDEX($T$5:$T$8,$AW125+1)-INDEX($T$5:$T$8,$AW125)))/INDEX(U$5:U$8,$AW125+1)^((INDEX($T$5:$T$8,$AW125)-($I125-DateToday+15))/(INDEX($T$5:$T$8,$AW125+1)-INDEX($T$5:$T$8,$AW125))))</f>
        <v>1.33048021154622</v>
      </c>
      <c r="AY125" s="468" t="n">
        <f aca="false">IF($AW125="",AY124^2/AY123,INDEX(V$5:V$8,$AW125)^((INDEX($T$5:$T$8,$AW125+1)-($I125-DateToday+15))/(INDEX($T$5:$T$8,$AW125+1)-INDEX($T$5:$T$8,$AW125)))/INDEX(V$5:V$8,$AW125+1)^((INDEX($T$5:$T$8,$AW125)-($I125-DateToday+15))/(INDEX($T$5:$T$8,$AW125+1)-INDEX($T$5:$T$8,$AW125))))</f>
        <v>62.6263261997369</v>
      </c>
      <c r="AZ125" s="468" t="n">
        <f aca="false">IF($AW125="",AZ124^2/AZ123,INDEX(W$5:W$8,$AW125)^((INDEX($T$5:$T$8,$AW125+1)-($I125-DateToday+15))/(INDEX($T$5:$T$8,$AW125+1)-INDEX($T$5:$T$8,$AW125)))/INDEX(W$5:W$8,$AW125+1)^((INDEX($T$5:$T$8,$AW125)-($I125-DateToday+15))/(INDEX($T$5:$T$8,$AW125+1)-INDEX($T$5:$T$8,$AW125))))</f>
        <v>124353.211828334</v>
      </c>
      <c r="BA125" s="468" t="n">
        <f aca="false">IF($AW125="",BA124^2/BA123,INDEX(X$5:X$8,$AW125)^((INDEX($T$5:$T$8,$AW125+1)-($I125-DateToday+15))/(INDEX($T$5:$T$8,$AW125+1)-INDEX($T$5:$T$8,$AW125)))/INDEX(X$5:X$8,$AW125+1)^((INDEX($T$5:$T$8,$AW125)-($I125-DateToday+15))/(INDEX($T$5:$T$8,$AW125+1)-INDEX($T$5:$T$8,$AW125))))</f>
        <v>1723432.16228972</v>
      </c>
      <c r="BB125" s="468" t="n">
        <f aca="false">IF($AW125="",BB124^2/BB123,INDEX(Y$5:Y$8,$AW125)^((INDEX($T$5:$T$8,$AW125+1)-($I125-DateToday+15))/(INDEX($T$5:$T$8,$AW125+1)-INDEX($T$5:$T$8,$AW125)))/INDEX(Y$5:Y$8,$AW125+1)^((INDEX($T$5:$T$8,$AW125)-($I125-DateToday+15))/(INDEX($T$5:$T$8,$AW125+1)-INDEX($T$5:$T$8,$AW125))))</f>
        <v>16854035.4869103</v>
      </c>
      <c r="BC125" s="468" t="n">
        <f aca="false">IF($AW125="",BC124^2/BC123,INDEX(Z$5:Z$8,$AW125)^((INDEX($T$5:$T$8,$AW125+1)-($I125-DateToday+15))/(INDEX($T$5:$T$8,$AW125+1)-INDEX($T$5:$T$8,$AW125)))/INDEX(Z$5:Z$8,$AW125+1)^((INDEX($T$5:$T$8,$AW125)-($I125-DateToday+15))/(INDEX($T$5:$T$8,$AW125+1)-INDEX($T$5:$T$8,$AW125))))</f>
        <v>66568553.0447249</v>
      </c>
      <c r="BD125" s="535" t="n">
        <f aca="false">IF(OR(DateStart&gt;=I126,DateEnd&lt;I125),0,IF(VolumeOverrideFlag,V125,Volume))</f>
        <v>0</v>
      </c>
      <c r="BE125" s="536" t="n">
        <f aca="false">IF(OR(DateStart2&gt;=I126,DateEnd2&lt;I125),0,IF(VolumeOverrideFlag,V125,VolumeSwaption))</f>
        <v>0</v>
      </c>
      <c r="BF125" s="537" t="n">
        <f aca="false">YEAR(I125)</f>
        <v>2009</v>
      </c>
      <c r="BG125" s="538" t="n">
        <f aca="false">MONTH(I125)</f>
        <v>6</v>
      </c>
      <c r="BH125" s="539" t="n">
        <f aca="false">AD125-DateToday+1</f>
        <v>-5976</v>
      </c>
      <c r="BI125" s="540" t="n">
        <f aca="false">(I125-DateToday+1)/365.25</f>
        <v>-16.3175906913073</v>
      </c>
      <c r="BJ125" s="541" t="n">
        <f aca="false">BI125+(BL125-BI125)*CHOOSE(Underlying,AJ125/AI125,AM125/AL125)</f>
        <v>-16.2634559143799</v>
      </c>
      <c r="BK125" s="541" t="n">
        <f aca="false">BJ125+1/365.25</f>
        <v>-16.2607180635928</v>
      </c>
      <c r="BL125" s="541" t="n">
        <f aca="false">(I126-DateToday)/365.25</f>
        <v>-16.2381930184805</v>
      </c>
      <c r="BM125" s="542" t="e">
        <f aca="false">MAX(BI125-(BJ125-BI125)*(S126^2/O126^2-1),0)</f>
        <v>#DIV/0!</v>
      </c>
      <c r="BN125" s="541" t="e">
        <f aca="false">MAX(BL125+(BL125-BK125)*(S127^2/O127^2-1),0)</f>
        <v>#DIV/0!</v>
      </c>
      <c r="BO125" s="530" t="n">
        <f aca="false">CHOOSE(Underlying,AI125,AL125)</f>
        <v>22</v>
      </c>
      <c r="BP125" s="529" t="n">
        <f aca="false">CHOOSE(Underlying,AJ125,AM125)</f>
        <v>15</v>
      </c>
      <c r="BQ125" s="529" t="n">
        <f aca="false">CHOOSE(Underlying,AK125,AN125)</f>
        <v>7</v>
      </c>
      <c r="BR125" s="463" t="str">
        <f aca="false">IF(BD125,IF(Underlying=1,X125,Z125)+UnderlyingPriceAsian-SwapPriceCurve,"")</f>
        <v/>
      </c>
      <c r="BS125" s="463" t="str">
        <f aca="false">IF(BD125,Strike1/BR125-1,"")</f>
        <v/>
      </c>
      <c r="BT125" s="464" t="str">
        <f aca="false">IF(BD125,Strike2/BR125-1,"")</f>
        <v/>
      </c>
      <c r="BU125" s="465" t="str">
        <f aca="false">IF(BD125,IF(Underlying=1,L126,R126)+UnderlyingPriceAsian-SwapPriceCurve,"")</f>
        <v/>
      </c>
      <c r="BV125" s="465" t="str">
        <f aca="false">IF(BD125,IF(Underlying=1,L127,R127)+UnderlyingPriceAsian-SwapPriceCurve,"")</f>
        <v/>
      </c>
      <c r="BW125" s="466" t="str">
        <f aca="false">IF(BD125,IF(Underlying=1,O126,AT126),"")</f>
        <v/>
      </c>
      <c r="BX125" s="467" t="str">
        <f aca="false">IF(BD125,IF(Underlying=1,O127,AT127),"")</f>
        <v/>
      </c>
      <c r="BY125" s="466" t="str">
        <f aca="false">IF(BD125,IF(BS125&gt;0,IF(BS125&gt;0.2,BC125-BB125,IF(BS125&gt;0.1,BB125-BA125,BA125)),IF(BS125&lt;-0.2,AX125-AY125,IF(BS125&lt;-0.1,AY125-AZ125,AZ125))),"")</f>
        <v/>
      </c>
      <c r="BZ125" s="467" t="str">
        <f aca="false">IF(BD125,IF(BT125&gt;0,IF(BT125&gt;0.2,BC125-BB125,IF(BT125&gt;0.1,BB125-BA125,BA125)),IF(BT125&lt;-0.2,AX125-AY125,IF(BT125&lt;-0.1,AY125-AZ125,AZ125))),"")</f>
        <v/>
      </c>
      <c r="CA125" s="468" t="str">
        <f aca="false">IF($BD125,$BW125+IF(VolSkewFlag=1,IF(BS125&gt;0,$BA125*MIN(BS125/10%,1)+($BB125-$BA125)*MAX(0,MIN(BS125/10%-1,1))+($BC125-$BB125)*MAX(0,BS125/10%-2),$AZ125*MIN(-BS125/10%,1)+($AY125-$AZ125)*MAX(0,MIN(-BS125/10%-1,1))+($AX125-$AY125)*MAX(0,-BS125/10%-2)),0),"")</f>
        <v/>
      </c>
      <c r="CB125" s="468" t="str">
        <f aca="false">IF($BD125,$BX125+IF(VolSkewFlag=1,IF(BS125&gt;0,$BA125*MIN(BS125/10%,1)+($BB125-$BA125)*MAX(0,MIN(BS125/10%-1,1))+($BC125-$BB125)*MAX(0,BS125/10%-2),$AZ125*MIN(-BS125/10%,1)+($AY125-$AZ125)*MAX(0,MIN(-BS125/10%-1,1))+($AX125-$AY125)*MAX(0,-BS125/10%-2)),0),"")</f>
        <v/>
      </c>
      <c r="CC125" s="468" t="str">
        <f aca="false">IF($BD125,$BW125+IF(VolSkewFlag=1,IF(BT125&gt;0,$BA125*MIN(BT125/10%,1)+($BB125-$BA125)*MAX(0,MIN(BT125/10%-1,1))+($BC125-$BB125)*MAX(0,BT125/10%-2),$AZ125*MIN(-BT125/10%,1)+($AY125-$AZ125)*MAX(0,MIN(-BT125/10%-1,1))+($AX125-$AY125)*MAX(0,-BT125/10%-2)),0),"")</f>
        <v/>
      </c>
      <c r="CD125" s="468" t="str">
        <f aca="false">IF($BD125,$BX125+IF(VolSkewFlag=1,IF(BT125&gt;0,$BA125*MIN(BT125/10%,1)+($BB125-$BA125)*MAX(0,MIN(BT125/10%-1,1))+($BC125-$BB125)*MAX(0,BT125/10%-2),$AZ125*MIN(-BT125/10%,1)+($AY125-$AZ125)*MAX(0,MIN(-BT125/10%-1,1))+($AX125-$AY125)*MAX(0,-BT125/10%-2)),0),"")</f>
        <v/>
      </c>
      <c r="CE125" s="469" t="n">
        <v>1</v>
      </c>
      <c r="CF125" s="470" t="n">
        <f aca="false">IF(BD125,xCrudeAPO(BU125,BV125,CA125,CB125,S126,S127,BI125,BL125,BP125,BQ125,0,Strike1,AO125,CE125,0,BL125,IF(OptControl=4,0,1),0,1),0)</f>
        <v>0</v>
      </c>
      <c r="CG125" s="470" t="n">
        <f aca="false">IF(BD125,xCrudeAPO(BU125,BV125,CA125,CB125,S126,S127,BI125,BL125,BP125,BQ125,0,Strike1,AO125,CE125,0,BL125,IF(OptControl=4,0,1),1,1)+xCrudeAPO(BU125,BV125,CA125,CB125,S126,S127,BI125,BL125,BP125,BQ125,0,Strike1,AO125,CE125,0,BL125,IF(OptControl=4,0,1),1,2)+IF(OR(VolSkewFlag=2,ABS(BS125)&lt;0.0001),0,IF(BS125&gt;0,-1,1)*CH125*Strike1/BR125^2*BY125/10%),0)</f>
        <v>0</v>
      </c>
      <c r="CH125" s="470" t="n">
        <f aca="false">IF(BD125,(xCrudeAPO(BU125,BV125,CA125,CB125,S126,S127,BI125,BL125,BP125,BQ125,0,Strike1,AO125,CE125,0,BL125,IF(OptControl=4,0,1),3,1)+xCrudeAPO(BU125,BV125,CA125,CB125,S126,S127,BI125,BL125,BP125,BQ125,0,Strike1,AO125,CE125,0,BL125,IF(OptControl=4,0,1),3,2))/100,0)</f>
        <v>0</v>
      </c>
      <c r="CI125" s="470" t="n">
        <f aca="false">IF(BD125,xCrudeAPO(BU125,BV125,CA125,CB125,S126,S127,BI125-DaysForThetaCalculation/365.25,BL125-DaysForThetaCalculation/365.25,BP125,BQ125,0,Strike1,AO125,CE125,0,BL125,IF(OptControl=4,0,1),0,1)-xCrudeAPO(BU125,BV125,CA125,CB125,S126,S127,BI125,BL125,BP125,BQ125,0,Strike1,AO125,CE125,0,BL125,IF(OptControl=4,0,1),0,1),0)</f>
        <v>0</v>
      </c>
      <c r="CJ125" s="471" t="n">
        <f aca="false">IF(BD125,xCrudeAPO(BU125,BV125,CC125,CD125,S126,S127,BI125,BL125,BP125,BQ125,0,Strike2,AO125,CE125,0,BL125,IF(OptControl=3,1,0),0,1),0)</f>
        <v>0</v>
      </c>
      <c r="CK125" s="470" t="n">
        <f aca="false">IF(BD125,xCrudeAPO(BU125,BV125,CC125,CD125,S126,S127,BI125,BL125,BP125,BQ125,0,Strike2,AO125,CE125,0,BL125,IF(OptControl=3,1,0),1,1)+xCrudeAPO(BU125,BV125,CC125,CD125,S126,S127,BI125,BL125,BP125,BQ125,0,Strike2,AO125,CE125,0,BL125,IF(OptControl=3,1,0),1,2)+IF(OR(VolSkewFlag=2,ABS(BT125)&lt;0.0001),0,IF(BT125&gt;0,-1,1)*CL125*Strike2/BR125^2*BZ125/10%),0)</f>
        <v>0</v>
      </c>
      <c r="CL125" s="470" t="n">
        <f aca="false">IF(BD125,(xCrudeAPO(BU125,BV125,CC125,CD125,S126,S127,BI125,BL125,BP125,BQ125,0,Strike2,AO125,CE125,0,BL125,IF(OptControl=3,1,0),3,1)+xCrudeAPO(BU125,BV125,CC125,CD125,S126,S127,BI125,BL125,BP125,BQ125,0,Strike2,AO125,CE125,0,BL125,IF(OptControl=3,1,0),3,2))/100,0)</f>
        <v>0</v>
      </c>
      <c r="CM125" s="472" t="n">
        <f aca="false">IF(BD125,xCrudeAPO(BU125,BV125,CC125,CD125,S126,S127,BI125-DaysForThetaCalculation/365.25,BL125-DaysForThetaCalculation/365.25,BP125,BQ125,0,Strike2,AO125,CE125,0,BL125,IF(OptControl=3,1,0),0,1)-xCrudeAPO(BU125,BV125,CC125,CD125,S126,S127,BI125,BL125,BP125,BQ125,0,Strike2,AO125,CE125,0,BL125,IF(OptControl=3,1,0),0,1),0)</f>
        <v>0</v>
      </c>
      <c r="CN125" s="3"/>
      <c r="CO125" s="543" t="str">
        <f aca="false">IF(BD125,CHOOSE(Underlying,AD125,AF125)-DateToday+1,"")</f>
        <v/>
      </c>
      <c r="CP125" s="582" t="str">
        <f aca="false">IF(BD125,CHOOSE(Underlying,L125,R125),"")</f>
        <v/>
      </c>
      <c r="CQ125" s="544" t="str">
        <f aca="false">IF(BD125,Strike1/CP125-1,"")</f>
        <v/>
      </c>
      <c r="CR125" s="544" t="str">
        <f aca="false">IF(BD125,Strike2/CP125-1,"")</f>
        <v/>
      </c>
      <c r="CS125" s="544" t="str">
        <f aca="false">IF(BD125,IF(CQ125&gt;0,IF(CQ125&gt;0.2,BC124-BB124,IF(CQ125&gt;0.1,BB124-BA124,BA124)),IF(CQ125&lt;-0.2,AX124-AY124,IF(CQ125&lt;-0.1,AY124-AZ124,AZ124))),"")</f>
        <v/>
      </c>
      <c r="CT125" s="544" t="str">
        <f aca="false">IF(BD125,IF(CR125&gt;0,IF(CR125&gt;0.2,BC124-BB124,IF(CR125&gt;0.1,BB124-BA124,BA124)),IF(CR125&lt;-0.2,AX124-AY124,IF(CR125&lt;-0.1,AY124-AZ124,AZ124))),"")</f>
        <v/>
      </c>
      <c r="CU125" s="545" t="str">
        <f aca="false">IF(BD125,CHOOSE(Underlying,O125,AT125),"")</f>
        <v/>
      </c>
      <c r="CV125" s="545" t="str">
        <f aca="false">IF(BD125,CU125+IF(VolSkewFlag=1,IF(CQ125&gt;0,BA124*MIN(CQ125/10%,1)+(BB124-BA124)*MAX(0,MIN(CQ125/10%-1,1))+(BC124-BB124)*MAX(0,CQ125/10%-2),AZ124*MIN(-CQ125/10%,1)+(AY124-AZ124)*MAX(0,MIN(-CQ125/10%-1,1))+(AX124-AY124)*MAX(0,-CQ125/10%-2)),0),"")</f>
        <v/>
      </c>
      <c r="CW125" s="545" t="str">
        <f aca="false">IF(BD125,CU125+IF(VolSkewFlag=1,IF(CR125&gt;0,BA124*MIN(CR125/10%,1)+(BB124-BA124)*MAX(0,MIN(CR125/10%-1,1))+(BC124-BB124)*MAX(0,CR125/10%-2),AZ124*MIN(-CR125/10%,1)+(AY124-AZ124)*MAX(0,MIN(-CR125/10%-1,1))+(AX124-AY124)*MAX(0,-CR125/10%-2)),0),"")</f>
        <v/>
      </c>
      <c r="CX125" s="470" t="n">
        <f aca="false">IF(BD125,EURO(CP125,Strike1,AO125,AO125,CV125,CO125,IF(OptControl=4,0,1),0),0)</f>
        <v>0</v>
      </c>
      <c r="CY125" s="470" t="n">
        <f aca="false">IF(BD125,EURO(CP125,Strike1,AO125,AO125,CV125,CO125,IF(OptControl=4,0,1),1)+IF(OR(VolSkewFlag=2,ABS(CQ125)&lt;0.0001),0,IF(CQ125&gt;0,-1,1)*CZ125*100*Strike1/CP125^2*CS125/10%),0)</f>
        <v>0</v>
      </c>
      <c r="CZ125" s="470" t="n">
        <f aca="false">IF(BD125,EURO(CP125,Strike1,AO125,AO125,CV125,CO125,IF(OptControl=4,0,1),3)/100,0)</f>
        <v>0</v>
      </c>
      <c r="DA125" s="470" t="n">
        <f aca="false">IF(BD125,EURO(CP125,Strike1,AO125,AO125,CV125,CO125,IF(OptControl=4,0,1),0)-EURO(CP125,Strike1,AO125,AO125,CV125,CO125-1,IF(OptControl=4,0,1),0),0)</f>
        <v>0</v>
      </c>
      <c r="DB125" s="470" t="n">
        <f aca="false">IF(BD125,EURO(CP125,Strike2,AO125,AO125,CW125,CO125,IF(OptControl=3,1,0),0),0)</f>
        <v>0</v>
      </c>
      <c r="DC125" s="470" t="n">
        <f aca="false">IF(BD125,EURO(CP125,Strike2,AO125,AO125,CW125,CO125,IF(OptControl=3,1,0),1)+IF(OR(VolSkewFlag=2,ABS(CR125)&lt;0.0001),0,IF(CR125&gt;0,-1,1)*DD125*100*Strike2/CP125^2*CT125/10%),0)</f>
        <v>0</v>
      </c>
      <c r="DD125" s="470" t="n">
        <f aca="false">IF(BD125,EURO(CP125,Strike2,AO125,AO125,CW125,CO125,IF(OptControl=3,1,0),3)/100,0)</f>
        <v>0</v>
      </c>
      <c r="DE125" s="472" t="n">
        <f aca="false">IF(BD125,EURO(CP125,Strike2,AO125,AO125,CW125,CO125,IF(OptControl=3,1,0),0)-EURO(CP125,Strike2,AO125,AO125,CW125,CO125-1,IF(OptControl=3,1,0),0),0)</f>
        <v>0</v>
      </c>
      <c r="DG125" s="481" t="n">
        <f aca="false">EOMONTH(DG124,0)+1</f>
        <v>48884</v>
      </c>
      <c r="DH125" s="478" t="n">
        <v>19.41</v>
      </c>
      <c r="DI125" s="479" t="n">
        <v>19.475</v>
      </c>
      <c r="DJ125" s="480" t="n">
        <f aca="false">DG125</f>
        <v>48884</v>
      </c>
      <c r="DK125" s="478" t="n">
        <v>18.1996543145303</v>
      </c>
      <c r="DL125" s="479" t="n">
        <v>18.2819</v>
      </c>
      <c r="DM125" s="481" t="n">
        <f aca="false">DG125</f>
        <v>48884</v>
      </c>
      <c r="DN125" s="482" t="n">
        <f aca="false">DK125+BrentPhyBrentSpread</f>
        <v>18.2496543145303</v>
      </c>
      <c r="DO125" s="481" t="n">
        <f aca="false">DG125</f>
        <v>48884</v>
      </c>
      <c r="DP125" s="483" t="n">
        <f aca="false">DL125+DQ125</f>
        <v>18.2819</v>
      </c>
      <c r="DQ125" s="546" t="n">
        <v>0</v>
      </c>
      <c r="DR125" s="480" t="n">
        <f aca="false">DG125</f>
        <v>48884</v>
      </c>
      <c r="DS125" s="485" t="n">
        <v>0.161599999999999</v>
      </c>
      <c r="DT125" s="486" t="n">
        <v>0.160819999999999</v>
      </c>
      <c r="DU125" s="480" t="n">
        <f aca="false">DG125</f>
        <v>48884</v>
      </c>
      <c r="DV125" s="485" t="n">
        <v>0.161599999999999</v>
      </c>
      <c r="DW125" s="486" t="n">
        <v>0.160819999999999</v>
      </c>
      <c r="DX125" s="481" t="n">
        <f aca="false">DG125</f>
        <v>48884</v>
      </c>
      <c r="DY125" s="486" t="n">
        <v>0.35</v>
      </c>
      <c r="DZ125" s="481" t="n">
        <f aca="false">DR125</f>
        <v>48884</v>
      </c>
      <c r="EA125" s="486" t="n">
        <f aca="false">DT125</f>
        <v>0.160819999999999</v>
      </c>
      <c r="EB125" s="195"/>
      <c r="EC125" s="547" t="str">
        <f aca="false">IF(BD125,IF(Underlying=1,AS125,AU125),"")</f>
        <v/>
      </c>
      <c r="ED125" s="548" t="str">
        <f aca="false">IF($BD125,$EC125+IF(VolSkewFlag=1,IF(BS125&gt;0,$BA125*MIN(BS125/10%,1)+($BB125-$BA125)*MAX(0,MIN(BS125/10%-1,1))+($BC125-$BB125)*MAX(0,BS125/10%-2),$AZ125*MIN(-BS125/10%,1)+($AY125-$AZ125)*MAX(0,MIN(-BS125/10%-1,1))+($AX125-$AY125)*MAX(0,-BS125/10%-2)),0),"")</f>
        <v/>
      </c>
      <c r="EE125" s="549" t="str">
        <f aca="false">IF($BD125,$EC125+IF(VolSkewFlag=1,IF(BT125&gt;0,$BA125*MIN(BT125/10%,1)+($BB125-$BA125)*MAX(0,MIN(BT125/10%-1,1))+($BC125-$BB125)*MAX(0,BT125/10%-2),$AZ125*MIN(-BT125/10%,1)+($AY125-$AZ125)*MAX(0,MIN(-BT125/10%-1,1))+($AX125-$AY125)*MAX(0,-BT125/10%-2)),0),"")</f>
        <v/>
      </c>
      <c r="EF125" s="550" t="n">
        <f aca="false">IF(BD125,xASN(BR125,Strike1,AO125,ED125,0,BO125,0,BI125,BL125,IF(OptControl=4,0,1),0),0)</f>
        <v>0</v>
      </c>
      <c r="EG125" s="551" t="n">
        <f aca="false">IF(BD125,xASN(BR125,Strike2,AO125,EE125,0,BO125,0,BI125,BL125,IF(OptControl=3,1,0),0),0)</f>
        <v>0</v>
      </c>
      <c r="EL125" s="1"/>
      <c r="EM125" s="195"/>
      <c r="EN125" s="240"/>
      <c r="EO125" s="240"/>
      <c r="EP125" s="195"/>
      <c r="EQ125" s="407" t="s">
        <v>352</v>
      </c>
      <c r="ES125" s="130"/>
      <c r="ET125" s="19"/>
      <c r="EU125" s="672"/>
      <c r="EV125" s="478"/>
      <c r="EW125" s="131"/>
      <c r="EX125" s="131"/>
      <c r="EY125" s="129"/>
      <c r="EZ125" s="129"/>
      <c r="FA125" s="129"/>
      <c r="FB125" s="129"/>
      <c r="FC125" s="129"/>
      <c r="FD125" s="129"/>
      <c r="FE125" s="129"/>
      <c r="FF125" s="129"/>
      <c r="FG125" s="129"/>
      <c r="FH125" s="129"/>
      <c r="FI125" s="129"/>
      <c r="FJ125" s="571" t="n">
        <v>31</v>
      </c>
      <c r="FK125" s="150" t="e">
        <f aca="false">IF($FJ50&lt;FK$94,"",SQRT(FK50/FK$15))</f>
        <v>#DIV/0!</v>
      </c>
      <c r="FL125" s="150" t="n">
        <f aca="false">IF($FJ50&lt;FL$94,"",SQRT(FL50/FL$15))</f>
        <v>-0</v>
      </c>
      <c r="FM125" s="150" t="n">
        <f aca="false">IF($FJ50&lt;FM$94,"",SQRT(FM50/FM$15))</f>
        <v>0.172149213272947</v>
      </c>
      <c r="FN125" s="150" t="n">
        <f aca="false">IF($FJ50&lt;FN$94,"",SQRT(FN50/FN$15))</f>
        <v>0.169115416429852</v>
      </c>
      <c r="FO125" s="150" t="n">
        <f aca="false">IF($FJ50&lt;FO$94,"",SQRT(FO50/FO$15))</f>
        <v>0.166948022556838</v>
      </c>
      <c r="FP125" s="150" t="n">
        <f aca="false">IF($FJ50&lt;FP$94,"",SQRT(FP50/FP$15))</f>
        <v>0.165449705228001</v>
      </c>
      <c r="FQ125" s="150" t="n">
        <f aca="false">IF($FJ50&lt;FQ$94,"",SQRT(FQ50/FQ$15))</f>
        <v>0.164475812624361</v>
      </c>
      <c r="FR125" s="150" t="n">
        <f aca="false">IF($FJ50&lt;FR$94,"",SQRT(FR50/FR$15))</f>
        <v>0.163921829102338</v>
      </c>
      <c r="FS125" s="150" t="n">
        <f aca="false">IF($FJ50&lt;FS$94,"",SQRT(FS50/FS$15))</f>
        <v>0.163714097954008</v>
      </c>
      <c r="FT125" s="150" t="n">
        <f aca="false">IF($FJ50&lt;FT$94,"",SQRT(FT50/FT$15))</f>
        <v>0.163803019731198</v>
      </c>
      <c r="FU125" s="150" t="n">
        <f aca="false">IF($FJ50&lt;FU$94,"",SQRT(FU50/FU$15))</f>
        <v>0.164158145163103</v>
      </c>
      <c r="FV125" s="150" t="n">
        <f aca="false">IF($FJ50&lt;FV$94,"",SQRT(FV50/FV$15))</f>
        <v>0.164764737948729</v>
      </c>
      <c r="FW125" s="150" t="n">
        <f aca="false">IF($FJ50&lt;FW$94,"",SQRT(FW50/FW$15))</f>
        <v>0.165621503726958</v>
      </c>
      <c r="FX125" s="150" t="n">
        <f aca="false">IF($FJ50&lt;FX$94,"",SQRT(FX50/FX$15))</f>
        <v>0.166739277676298</v>
      </c>
      <c r="FY125" s="150" t="n">
        <f aca="false">IF($FJ50&lt;FY$94,"",SQRT(FY50/FY$15))</f>
        <v>0.168140542955889</v>
      </c>
      <c r="FZ125" s="150" t="n">
        <f aca="false">IF($FJ50&lt;FZ$94,"",SQRT(FZ50/FZ$15))</f>
        <v>0.169859723014927</v>
      </c>
      <c r="GA125" s="150" t="n">
        <f aca="false">IF($FJ50&lt;GA$94,"",SQRT(GA50/GA$15))</f>
        <v>0.171944259924383</v>
      </c>
      <c r="GB125" s="150" t="n">
        <f aca="false">IF($FJ50&lt;GB$94,"",SQRT(GB50/GB$15))</f>
        <v>0.174456566378173</v>
      </c>
      <c r="GC125" s="150" t="n">
        <f aca="false">IF($FJ50&lt;GC$94,"",SQRT(GC50/GC$15))</f>
        <v>0.177477031071994</v>
      </c>
      <c r="GD125" s="150" t="n">
        <f aca="false">IF($FJ50&lt;GD$94,"",SQRT(GD50/GD$15))</f>
        <v>0.181108380186448</v>
      </c>
      <c r="GE125" s="150" t="n">
        <f aca="false">IF($FJ50&lt;GE$94,"",SQRT(GE50/GE$15))</f>
        <v>0.185481873599371</v>
      </c>
      <c r="GF125" s="150" t="n">
        <f aca="false">IF($FJ50&lt;GF$94,"",SQRT(GF50/GF$15))</f>
        <v>0.190766078446753</v>
      </c>
      <c r="GG125" s="150" t="n">
        <f aca="false">IF($FJ50&lt;GG$94,"",SQRT(GG50/GG$15))</f>
        <v>0.19717937355253</v>
      </c>
      <c r="GH125" s="150" t="n">
        <f aca="false">IF($FJ50&lt;GH$94,"",SQRT(GH50/GH$15))</f>
        <v>0.205007997474534</v>
      </c>
      <c r="GI125" s="150" t="n">
        <f aca="false">IF($FJ50&lt;GI$94,"",SQRT(GI50/GI$15))</f>
        <v>0.214632540706731</v>
      </c>
      <c r="GJ125" s="150" t="n">
        <f aca="false">IF($FJ50&lt;GJ$94,"",SQRT(GJ50/GJ$15))</f>
        <v>0.226567629203435</v>
      </c>
      <c r="GK125" s="150" t="n">
        <f aca="false">IF($FJ50&lt;GK$94,"",SQRT(GK50/GK$15))</f>
        <v>0.241522777124379</v>
      </c>
      <c r="GL125" s="150" t="n">
        <f aca="false">IF($FJ50&lt;GL$94,"",SQRT(GL50/GL$15))</f>
        <v>0.260498228510985</v>
      </c>
      <c r="GM125" s="150" t="n">
        <f aca="false">IF($FJ50&lt;GM$94,"",SQRT(GM50/GM$15))</f>
        <v>0.284940566158774</v>
      </c>
      <c r="GN125" s="150" t="n">
        <f aca="false">IF($FJ50&lt;GN$94,"",SQRT(GN50/GN$15))</f>
        <v>0.317004293447761</v>
      </c>
      <c r="GO125" s="150" t="n">
        <f aca="false">IF($FJ50&lt;GO$94,"",SQRT(GO50/GO$15))</f>
        <v>0.360009524378142</v>
      </c>
      <c r="GP125" s="150" t="str">
        <f aca="false">IF($FJ50&lt;GP$94,"",SQRT(GP50/GP$15))</f>
        <v/>
      </c>
      <c r="GQ125" s="150" t="str">
        <f aca="false">IF($FJ50&lt;GQ$94,"",SQRT(GQ50/GQ$15))</f>
        <v/>
      </c>
      <c r="GR125" s="150" t="str">
        <f aca="false">IF($FJ50&lt;GR$94,"",SQRT(GR50/GR$15))</f>
        <v/>
      </c>
      <c r="GS125" s="150" t="str">
        <f aca="false">IF($FJ50&lt;GS$94,"",SQRT(GS50/GS$15))</f>
        <v/>
      </c>
      <c r="GT125" s="150" t="str">
        <f aca="false">IF($FJ50&lt;GT$94,"",SQRT(GT50/GT$15))</f>
        <v/>
      </c>
      <c r="GU125" s="150" t="str">
        <f aca="false">IF($FJ50&lt;GU$94,"",SQRT(GU50/GU$15))</f>
        <v/>
      </c>
      <c r="GV125" s="150" t="str">
        <f aca="false">IF($FJ50&lt;GV$94,"",SQRT(GV50/GV$15))</f>
        <v/>
      </c>
      <c r="GW125" s="150" t="str">
        <f aca="false">IF($FJ50&lt;GW$94,"",SQRT(GW50/GW$15))</f>
        <v/>
      </c>
      <c r="GX125" s="150" t="str">
        <f aca="false">IF($FJ50&lt;GX$94,"",SQRT(GX50/GX$15))</f>
        <v/>
      </c>
      <c r="GY125" s="150" t="str">
        <f aca="false">IF($FJ50&lt;GY$94,"",SQRT(GY50/GY$15))</f>
        <v/>
      </c>
      <c r="GZ125" s="150" t="str">
        <f aca="false">IF($FJ50&lt;GZ$94,"",SQRT(GZ50/GZ$15))</f>
        <v/>
      </c>
      <c r="HA125" s="150" t="str">
        <f aca="false">IF($FJ50&lt;HA$94,"",SQRT(HA50/HA$15))</f>
        <v/>
      </c>
      <c r="HB125" s="150" t="str">
        <f aca="false">IF($FJ50&lt;HB$94,"",SQRT(HB50/HB$15))</f>
        <v/>
      </c>
      <c r="HC125" s="150" t="str">
        <f aca="false">IF($FJ50&lt;HC$94,"",SQRT(HC50/HC$15))</f>
        <v/>
      </c>
      <c r="HD125" s="150" t="str">
        <f aca="false">IF($FJ50&lt;HD$94,"",SQRT(HD50/HD$15))</f>
        <v/>
      </c>
      <c r="HE125" s="150" t="str">
        <f aca="false">IF($FJ50&lt;HE$94,"",SQRT(HE50/HE$15))</f>
        <v/>
      </c>
      <c r="HF125" s="150" t="str">
        <f aca="false">IF($FJ50&lt;HF$94,"",SQRT(HF50/HF$15))</f>
        <v/>
      </c>
      <c r="HG125" s="150" t="str">
        <f aca="false">IF($FJ50&lt;HG$94,"",SQRT(HG50/HG$15))</f>
        <v/>
      </c>
      <c r="HH125" s="150" t="str">
        <f aca="false">IF($FJ50&lt;HH$94,"",SQRT(HH50/HH$15))</f>
        <v/>
      </c>
      <c r="HI125" s="150" t="str">
        <f aca="false">IF($FJ50&lt;HI$94,"",SQRT(HI50/HI$15))</f>
        <v/>
      </c>
      <c r="HJ125" s="150" t="str">
        <f aca="false">IF($FJ50&lt;HJ$94,"",SQRT(HJ50/HJ$15))</f>
        <v/>
      </c>
      <c r="HK125" s="150" t="str">
        <f aca="false">IF($FJ50&lt;HK$94,"",SQRT(HK50/HK$15))</f>
        <v/>
      </c>
      <c r="HL125" s="150" t="str">
        <f aca="false">IF($FJ50&lt;HL$94,"",SQRT(HL50/HL$15))</f>
        <v/>
      </c>
      <c r="HM125" s="150" t="str">
        <f aca="false">IF($FJ50&lt;HM$94,"",SQRT(HM50/HM$15))</f>
        <v/>
      </c>
      <c r="HN125" s="150" t="str">
        <f aca="false">IF($FJ50&lt;HN$94,"",SQRT(HN50/HN$15))</f>
        <v/>
      </c>
      <c r="HO125" s="150" t="str">
        <f aca="false">IF($FJ50&lt;HO$94,"",SQRT(HO50/HO$15))</f>
        <v/>
      </c>
      <c r="HP125" s="150" t="str">
        <f aca="false">IF($FJ50&lt;HP$94,"",SQRT(HP50/HP$15))</f>
        <v/>
      </c>
      <c r="HQ125" s="150" t="str">
        <f aca="false">IF($FJ50&lt;HQ$94,"",SQRT(HQ50/HQ$15))</f>
        <v/>
      </c>
      <c r="HR125" s="150" t="str">
        <f aca="false">IF($FJ50&lt;HR$94,"",SQRT(HR50/HR$15))</f>
        <v/>
      </c>
      <c r="HS125" s="150" t="str">
        <f aca="false">IF($FJ50&lt;HS$94,"",SQRT(HS50/HS$15))</f>
        <v/>
      </c>
      <c r="HT125" s="150" t="str">
        <f aca="false">IF($FJ50&lt;HT$94,"",SQRT(HT50/HT$15))</f>
        <v/>
      </c>
      <c r="HU125" s="150" t="str">
        <f aca="false">IF($FJ50&lt;HU$94,"",SQRT(HU50/HU$15))</f>
        <v/>
      </c>
      <c r="HV125" s="150" t="str">
        <f aca="false">IF($FJ50&lt;HV$94,"",SQRT(HV50/HV$15))</f>
        <v/>
      </c>
      <c r="HW125" s="150" t="str">
        <f aca="false">IF($FJ50&lt;HW$94,"",SQRT(HW50/HW$15))</f>
        <v/>
      </c>
      <c r="HX125" s="150" t="str">
        <f aca="false">IF($FJ50&lt;HX$94,"",SQRT(HX50/HX$15))</f>
        <v/>
      </c>
      <c r="HY125" s="150" t="str">
        <f aca="false">IF($FJ50&lt;HY$94,"",SQRT(HY50/HY$15))</f>
        <v/>
      </c>
      <c r="HZ125" s="150" t="str">
        <f aca="false">IF($FJ50&lt;HZ$94,"",SQRT(HZ50/HZ$15))</f>
        <v/>
      </c>
      <c r="IA125" s="150" t="str">
        <f aca="false">IF($FJ50&lt;IA$94,"",SQRT(IA50/IA$15))</f>
        <v/>
      </c>
      <c r="IB125" s="150" t="str">
        <f aca="false">IF($FJ50&lt;IB$94,"",SQRT(IB50/IB$15))</f>
        <v/>
      </c>
      <c r="IC125" s="150" t="str">
        <f aca="false">IF($FJ50&lt;IC$94,"",SQRT(IC50/IC$15))</f>
        <v/>
      </c>
      <c r="ID125" s="572" t="str">
        <f aca="false">IF($FJ50&lt;ID$94,"",SQRT(ID50/ID$15))</f>
        <v/>
      </c>
      <c r="IE125" s="129"/>
    </row>
    <row r="126" customFormat="false" ht="12.75" hidden="false" customHeight="false" outlineLevel="0" collapsed="false">
      <c r="H126" s="219" t="n">
        <f aca="false">VLOOKUP(I126,$EJ$20:$EL$54,3)</f>
        <v>0</v>
      </c>
      <c r="I126" s="511" t="n">
        <f aca="false">EOMONTH(I125,0)+1</f>
        <v>39995</v>
      </c>
      <c r="J126" s="512"/>
      <c r="K126" s="513" t="s">
        <v>280</v>
      </c>
      <c r="L126" s="514" t="n">
        <f aca="false">IF(ISNUMBER(K126),J126+K126/100,IF(K126="extra",L125+VLOOKUP(BF126,PriceSpreadTable,2)/12,IF(K126="inter",interpolateprices($K$19:$L$200,ROW(K126)-ROW(FirstPricingMonth)+1),interpolatechanges($J$19:$K$200,ROW(K126)-ROW(FirstPricingMonth)+1))))</f>
        <v>1.125</v>
      </c>
      <c r="M126" s="515"/>
      <c r="N126" s="516" t="n">
        <v>0</v>
      </c>
      <c r="O126" s="515" t="n">
        <f aca="false">M126+N126</f>
        <v>0</v>
      </c>
      <c r="P126" s="512"/>
      <c r="Q126" s="513" t="s">
        <v>280</v>
      </c>
      <c r="R126" s="512" t="e">
        <f aca="false">IF(ISNUMBER(Q126),P126+Q126/100,IF(Q126="extra",(Z124*AL124-R125*AM124)/AN124,IF(Q126="inter",interpolateprices($Q$19:$R$260,ROW(Q126)-ROW(FirstPricingMonth)+1),interpolatechanges($P$19:$Q$260,ROW(Q126)-ROW(FirstPricingMonth)+1))))</f>
        <v>#VALUE!</v>
      </c>
      <c r="S126" s="597" t="n">
        <f aca="false">S$19+(S125-S$19)*S$18</f>
        <v>0.360000000000003</v>
      </c>
      <c r="T126" s="575" t="n">
        <f aca="false">SQRT((1-(1-T125^2/U125)*T$18)*U126)</f>
        <v>0.999999993099264</v>
      </c>
      <c r="U126" s="576" t="n">
        <f aca="false">1-(1-U125)*U$18</f>
        <v>1</v>
      </c>
      <c r="V126" s="521" t="n">
        <v>0</v>
      </c>
      <c r="W126" s="577" t="n">
        <f aca="false">(J127*AJ126+J128*AK126)/AI126</f>
        <v>0</v>
      </c>
      <c r="X126" s="578" t="n">
        <f aca="false">(L127*AJ126+L128*AK126)/AI126</f>
        <v>1.17717391304348</v>
      </c>
      <c r="Y126" s="579" t="n">
        <f aca="false">IF(Q128="extra",W126-AA126,(P127*AM126+P128*AN126)/AL126)</f>
        <v>-1.2669</v>
      </c>
      <c r="Z126" s="579" t="n">
        <f aca="false">IF(Q128="extra",X126-AB126,(R127*AM126+R128*AN126)/AL126)</f>
        <v>-0.0897260869565215</v>
      </c>
      <c r="AA126" s="523" t="n">
        <f aca="false">IF(Q128="extra",INDEX(BrentSeasonalityTable,INT((BG126-1)/3)+1)*VLOOKUP(MAX(BF126,$AB$4),PriceSpreadTable,3),W126-Y126)</f>
        <v>1.2669</v>
      </c>
      <c r="AB126" s="524" t="n">
        <f aca="false">IF(Q128="extra",INDEX(BrentSeasonalityTable,INT((BG126-1)/3)+1)*VLOOKUP(MAX(BF126,$AB$4),PriceSpreadTable,3),X126-Z126)</f>
        <v>1.2669</v>
      </c>
      <c r="AC126" s="646" t="n">
        <v>39984</v>
      </c>
      <c r="AD126" s="646" t="n">
        <v>39980</v>
      </c>
      <c r="AE126" s="646" t="n">
        <v>39979</v>
      </c>
      <c r="AF126" s="646" t="n">
        <v>39975</v>
      </c>
      <c r="AG126" s="438" t="s">
        <v>278</v>
      </c>
      <c r="AH126" s="439" t="s">
        <v>278</v>
      </c>
      <c r="AI126" s="528" t="n">
        <v>23</v>
      </c>
      <c r="AJ126" s="529" t="n">
        <v>14</v>
      </c>
      <c r="AK126" s="529" t="n">
        <v>9</v>
      </c>
      <c r="AL126" s="530" t="n">
        <v>23</v>
      </c>
      <c r="AM126" s="529" t="n">
        <v>10</v>
      </c>
      <c r="AN126" s="531" t="n">
        <v>13</v>
      </c>
      <c r="AO126" s="532"/>
      <c r="AP126" s="465" t="n">
        <f aca="false">(1+AO126/2)^(-2*BL126)</f>
        <v>1</v>
      </c>
      <c r="AQ126" s="532"/>
      <c r="AR126" s="465" t="n">
        <f aca="false">(1+AQ126/2)^(-2*BH126/365.25)</f>
        <v>1</v>
      </c>
      <c r="AS126" s="580" t="n">
        <f aca="false">(O127*AJ126+O128*AK126)/AI126</f>
        <v>0</v>
      </c>
      <c r="AT126" s="468" t="n">
        <f aca="false">O126*VLOOKUP(BF126,BrentVolTable,2)+VLOOKUP(BF126,BrentVolTable,3)</f>
        <v>0</v>
      </c>
      <c r="AU126" s="468" t="n">
        <f aca="false">(AT127*AM126+AT128*AN126)/AL126</f>
        <v>0</v>
      </c>
      <c r="AV126" s="595" t="n">
        <f aca="false">SQRT(MAX(0.000000000001,(O126^2*BH126-S126^2*(BH126-BH125))/BH125))</f>
        <v>0.0259285394233173</v>
      </c>
      <c r="AW126" s="451" t="n">
        <f aca="false">IF($I126-DateToday+15&gt;=$T$8,"",IF($I126-DateToday+15&lt;$T$5,1,MATCH($I126-DateToday+15,$T$5:$T$8)))</f>
        <v>1</v>
      </c>
      <c r="AX126" s="468" t="n">
        <f aca="false">IF($AW126="",AX125^2/AX124,INDEX(U$5:U$8,$AW126)^((INDEX($T$5:$T$8,$AW126+1)-($I126-DateToday+15))/(INDEX($T$5:$T$8,$AW126+1)-INDEX($T$5:$T$8,$AW126)))/INDEX(U$5:U$8,$AW126+1)^((INDEX($T$5:$T$8,$AW126)-($I126-DateToday+15))/(INDEX($T$5:$T$8,$AW126+1)-INDEX($T$5:$T$8,$AW126))))</f>
        <v>1.30273752028916</v>
      </c>
      <c r="AY126" s="468" t="n">
        <f aca="false">IF($AW126="",AY125^2/AY124,INDEX(V$5:V$8,$AW126)^((INDEX($T$5:$T$8,$AW126+1)-($I126-DateToday+15))/(INDEX($T$5:$T$8,$AW126+1)-INDEX($T$5:$T$8,$AW126)))/INDEX(V$5:V$8,$AW126+1)^((INDEX($T$5:$T$8,$AW126)-($I126-DateToday+15))/(INDEX($T$5:$T$8,$AW126+1)-INDEX($T$5:$T$8,$AW126))))</f>
        <v>60.0788498161415</v>
      </c>
      <c r="AZ126" s="468" t="n">
        <f aca="false">IF($AW126="",AZ125^2/AZ124,INDEX(W$5:W$8,$AW126)^((INDEX($T$5:$T$8,$AW126+1)-($I126-DateToday+15))/(INDEX($T$5:$T$8,$AW126+1)-INDEX($T$5:$T$8,$AW126)))/INDEX(W$5:W$8,$AW126+1)^((INDEX($T$5:$T$8,$AW126)-($I126-DateToday+15))/(INDEX($T$5:$T$8,$AW126+1)-INDEX($T$5:$T$8,$AW126))))</f>
        <v>114667.08044507</v>
      </c>
      <c r="BA126" s="468" t="n">
        <f aca="false">IF($AW126="",BA125^2/BA124,INDEX(X$5:X$8,$AW126)^((INDEX($T$5:$T$8,$AW126+1)-($I126-DateToday+15))/(INDEX($T$5:$T$8,$AW126+1)-INDEX($T$5:$T$8,$AW126)))/INDEX(X$5:X$8,$AW126+1)^((INDEX($T$5:$T$8,$AW126)-($I126-DateToday+15))/(INDEX($T$5:$T$8,$AW126+1)-INDEX($T$5:$T$8,$AW126))))</f>
        <v>1556053.20872716</v>
      </c>
      <c r="BB126" s="468" t="n">
        <f aca="false">IF($AW126="",BB125^2/BB124,INDEX(Y$5:Y$8,$AW126)^((INDEX($T$5:$T$8,$AW126+1)-($I126-DateToday+15))/(INDEX($T$5:$T$8,$AW126+1)-INDEX($T$5:$T$8,$AW126)))/INDEX(Y$5:Y$8,$AW126+1)^((INDEX($T$5:$T$8,$AW126)-($I126-DateToday+15))/(INDEX($T$5:$T$8,$AW126+1)-INDEX($T$5:$T$8,$AW126))))</f>
        <v>15069411.568236</v>
      </c>
      <c r="BC126" s="468" t="n">
        <f aca="false">IF($AW126="",BC125^2/BC124,INDEX(Z$5:Z$8,$AW126)^((INDEX($T$5:$T$8,$AW126+1)-($I126-DateToday+15))/(INDEX($T$5:$T$8,$AW126+1)-INDEX($T$5:$T$8,$AW126)))/INDEX(Z$5:Z$8,$AW126+1)^((INDEX($T$5:$T$8,$AW126)-($I126-DateToday+15))/(INDEX($T$5:$T$8,$AW126+1)-INDEX($T$5:$T$8,$AW126))))</f>
        <v>59185403.9475261</v>
      </c>
      <c r="BD126" s="535" t="n">
        <f aca="false">IF(OR(DateStart&gt;=I127,DateEnd&lt;I126),0,IF(VolumeOverrideFlag,V126,Volume))</f>
        <v>0</v>
      </c>
      <c r="BE126" s="536" t="n">
        <f aca="false">IF(OR(DateStart2&gt;=I127,DateEnd2&lt;I126),0,IF(VolumeOverrideFlag,V126,VolumeSwaption))</f>
        <v>0</v>
      </c>
      <c r="BF126" s="537" t="n">
        <f aca="false">YEAR(I126)</f>
        <v>2009</v>
      </c>
      <c r="BG126" s="538" t="n">
        <f aca="false">MONTH(I126)</f>
        <v>7</v>
      </c>
      <c r="BH126" s="539" t="n">
        <f aca="false">AD126-DateToday+1</f>
        <v>-5945</v>
      </c>
      <c r="BI126" s="540" t="n">
        <f aca="false">(I126-DateToday+1)/365.25</f>
        <v>-16.2354551676934</v>
      </c>
      <c r="BJ126" s="541" t="n">
        <f aca="false">BI126+(BL126-BI126)*CHOOSE(Underlying,AJ126/AI126,AM126/AL126)</f>
        <v>-16.1854596315805</v>
      </c>
      <c r="BK126" s="541" t="n">
        <f aca="false">BJ126+1/365.25</f>
        <v>-16.1827217807934</v>
      </c>
      <c r="BL126" s="541" t="n">
        <f aca="false">(I127-DateToday)/365.25</f>
        <v>-16.1533196440794</v>
      </c>
      <c r="BM126" s="542" t="e">
        <f aca="false">MAX(BI126-(BJ126-BI126)*(S127^2/O127^2-1),0)</f>
        <v>#DIV/0!</v>
      </c>
      <c r="BN126" s="541" t="e">
        <f aca="false">MAX(BL126+(BL126-BK126)*(S128^2/O128^2-1),0)</f>
        <v>#DIV/0!</v>
      </c>
      <c r="BO126" s="530" t="n">
        <f aca="false">CHOOSE(Underlying,AI126,AL126)</f>
        <v>23</v>
      </c>
      <c r="BP126" s="529" t="n">
        <f aca="false">CHOOSE(Underlying,AJ126,AM126)</f>
        <v>14</v>
      </c>
      <c r="BQ126" s="529" t="n">
        <f aca="false">CHOOSE(Underlying,AK126,AN126)</f>
        <v>9</v>
      </c>
      <c r="BR126" s="463" t="str">
        <f aca="false">IF(BD126,IF(Underlying=1,X126,Z126)+UnderlyingPriceAsian-SwapPriceCurve,"")</f>
        <v/>
      </c>
      <c r="BS126" s="463" t="str">
        <f aca="false">IF(BD126,Strike1/BR126-1,"")</f>
        <v/>
      </c>
      <c r="BT126" s="464" t="str">
        <f aca="false">IF(BD126,Strike2/BR126-1,"")</f>
        <v/>
      </c>
      <c r="BU126" s="465" t="str">
        <f aca="false">IF(BD126,IF(Underlying=1,L127,R127)+UnderlyingPriceAsian-SwapPriceCurve,"")</f>
        <v/>
      </c>
      <c r="BV126" s="465" t="str">
        <f aca="false">IF(BD126,IF(Underlying=1,L128,R128)+UnderlyingPriceAsian-SwapPriceCurve,"")</f>
        <v/>
      </c>
      <c r="BW126" s="466" t="str">
        <f aca="false">IF(BD126,IF(Underlying=1,O127,AT127),"")</f>
        <v/>
      </c>
      <c r="BX126" s="467" t="str">
        <f aca="false">IF(BD126,IF(Underlying=1,O128,AT128),"")</f>
        <v/>
      </c>
      <c r="BY126" s="466" t="str">
        <f aca="false">IF(BD126,IF(BS126&gt;0,IF(BS126&gt;0.2,BC126-BB126,IF(BS126&gt;0.1,BB126-BA126,BA126)),IF(BS126&lt;-0.2,AX126-AY126,IF(BS126&lt;-0.1,AY126-AZ126,AZ126))),"")</f>
        <v/>
      </c>
      <c r="BZ126" s="467" t="str">
        <f aca="false">IF(BD126,IF(BT126&gt;0,IF(BT126&gt;0.2,BC126-BB126,IF(BT126&gt;0.1,BB126-BA126,BA126)),IF(BT126&lt;-0.2,AX126-AY126,IF(BT126&lt;-0.1,AY126-AZ126,AZ126))),"")</f>
        <v/>
      </c>
      <c r="CA126" s="468" t="str">
        <f aca="false">IF($BD126,$BW126+IF(VolSkewFlag=1,IF(BS126&gt;0,$BA126*MIN(BS126/10%,1)+($BB126-$BA126)*MAX(0,MIN(BS126/10%-1,1))+($BC126-$BB126)*MAX(0,BS126/10%-2),$AZ126*MIN(-BS126/10%,1)+($AY126-$AZ126)*MAX(0,MIN(-BS126/10%-1,1))+($AX126-$AY126)*MAX(0,-BS126/10%-2)),0),"")</f>
        <v/>
      </c>
      <c r="CB126" s="468" t="str">
        <f aca="false">IF($BD126,$BX126+IF(VolSkewFlag=1,IF(BS126&gt;0,$BA126*MIN(BS126/10%,1)+($BB126-$BA126)*MAX(0,MIN(BS126/10%-1,1))+($BC126-$BB126)*MAX(0,BS126/10%-2),$AZ126*MIN(-BS126/10%,1)+($AY126-$AZ126)*MAX(0,MIN(-BS126/10%-1,1))+($AX126-$AY126)*MAX(0,-BS126/10%-2)),0),"")</f>
        <v/>
      </c>
      <c r="CC126" s="468" t="str">
        <f aca="false">IF($BD126,$BW126+IF(VolSkewFlag=1,IF(BT126&gt;0,$BA126*MIN(BT126/10%,1)+($BB126-$BA126)*MAX(0,MIN(BT126/10%-1,1))+($BC126-$BB126)*MAX(0,BT126/10%-2),$AZ126*MIN(-BT126/10%,1)+($AY126-$AZ126)*MAX(0,MIN(-BT126/10%-1,1))+($AX126-$AY126)*MAX(0,-BT126/10%-2)),0),"")</f>
        <v/>
      </c>
      <c r="CD126" s="468" t="str">
        <f aca="false">IF($BD126,$BX126+IF(VolSkewFlag=1,IF(BT126&gt;0,$BA126*MIN(BT126/10%,1)+($BB126-$BA126)*MAX(0,MIN(BT126/10%-1,1))+($BC126-$BB126)*MAX(0,BT126/10%-2),$AZ126*MIN(-BT126/10%,1)+($AY126-$AZ126)*MAX(0,MIN(-BT126/10%-1,1))+($AX126-$AY126)*MAX(0,-BT126/10%-2)),0),"")</f>
        <v/>
      </c>
      <c r="CE126" s="469" t="n">
        <v>1</v>
      </c>
      <c r="CF126" s="470" t="n">
        <f aca="false">IF(BD126,xCrudeAPO(BU126,BV126,CA126,CB126,S127,S128,BI126,BL126,BP126,BQ126,0,Strike1,AO126,CE126,0,BL126,IF(OptControl=4,0,1),0,1),0)</f>
        <v>0</v>
      </c>
      <c r="CG126" s="470" t="n">
        <f aca="false">IF(BD126,xCrudeAPO(BU126,BV126,CA126,CB126,S127,S128,BI126,BL126,BP126,BQ126,0,Strike1,AO126,CE126,0,BL126,IF(OptControl=4,0,1),1,1)+xCrudeAPO(BU126,BV126,CA126,CB126,S127,S128,BI126,BL126,BP126,BQ126,0,Strike1,AO126,CE126,0,BL126,IF(OptControl=4,0,1),1,2)+IF(OR(VolSkewFlag=2,ABS(BS126)&lt;0.0001),0,IF(BS126&gt;0,-1,1)*CH126*Strike1/BR126^2*BY126/10%),0)</f>
        <v>0</v>
      </c>
      <c r="CH126" s="470" t="n">
        <f aca="false">IF(BD126,(xCrudeAPO(BU126,BV126,CA126,CB126,S127,S128,BI126,BL126,BP126,BQ126,0,Strike1,AO126,CE126,0,BL126,IF(OptControl=4,0,1),3,1)+xCrudeAPO(BU126,BV126,CA126,CB126,S127,S128,BI126,BL126,BP126,BQ126,0,Strike1,AO126,CE126,0,BL126,IF(OptControl=4,0,1),3,2))/100,0)</f>
        <v>0</v>
      </c>
      <c r="CI126" s="470" t="n">
        <f aca="false">IF(BD126,xCrudeAPO(BU126,BV126,CA126,CB126,S127,S128,BI126-DaysForThetaCalculation/365.25,BL126-DaysForThetaCalculation/365.25,BP126,BQ126,0,Strike1,AO126,CE126,0,BL126,IF(OptControl=4,0,1),0,1)-xCrudeAPO(BU126,BV126,CA126,CB126,S127,S128,BI126,BL126,BP126,BQ126,0,Strike1,AO126,CE126,0,BL126,IF(OptControl=4,0,1),0,1),0)</f>
        <v>0</v>
      </c>
      <c r="CJ126" s="471" t="n">
        <f aca="false">IF(BD126,xCrudeAPO(BU126,BV126,CC126,CD126,S127,S128,BI126,BL126,BP126,BQ126,0,Strike2,AO126,CE126,0,BL126,IF(OptControl=3,1,0),0,1),0)</f>
        <v>0</v>
      </c>
      <c r="CK126" s="470" t="n">
        <f aca="false">IF(BD126,xCrudeAPO(BU126,BV126,CC126,CD126,S127,S128,BI126,BL126,BP126,BQ126,0,Strike2,AO126,CE126,0,BL126,IF(OptControl=3,1,0),1,1)+xCrudeAPO(BU126,BV126,CC126,CD126,S127,S128,BI126,BL126,BP126,BQ126,0,Strike2,AO126,CE126,0,BL126,IF(OptControl=3,1,0),1,2)+IF(OR(VolSkewFlag=2,ABS(BT126)&lt;0.0001),0,IF(BT126&gt;0,-1,1)*CL126*Strike2/BR126^2*BZ126/10%),0)</f>
        <v>0</v>
      </c>
      <c r="CL126" s="470" t="n">
        <f aca="false">IF(BD126,(xCrudeAPO(BU126,BV126,CC126,CD126,S127,S128,BI126,BL126,BP126,BQ126,0,Strike2,AO126,CE126,0,BL126,IF(OptControl=3,1,0),3,1)+xCrudeAPO(BU126,BV126,CC126,CD126,S127,S128,BI126,BL126,BP126,BQ126,0,Strike2,AO126,CE126,0,BL126,IF(OptControl=3,1,0),3,2))/100,0)</f>
        <v>0</v>
      </c>
      <c r="CM126" s="472" t="n">
        <f aca="false">IF(BD126,xCrudeAPO(BU126,BV126,CC126,CD126,S127,S128,BI126-DaysForThetaCalculation/365.25,BL126-DaysForThetaCalculation/365.25,BP126,BQ126,0,Strike2,AO126,CE126,0,BL126,IF(OptControl=3,1,0),0,1)-xCrudeAPO(BU126,BV126,CC126,CD126,S127,S128,BI126,BL126,BP126,BQ126,0,Strike2,AO126,CE126,0,BL126,IF(OptControl=3,1,0),0,1),0)</f>
        <v>0</v>
      </c>
      <c r="CN126" s="3"/>
      <c r="CO126" s="543" t="str">
        <f aca="false">IF(BD126,CHOOSE(Underlying,AD126,AF126)-DateToday+1,"")</f>
        <v/>
      </c>
      <c r="CP126" s="582" t="str">
        <f aca="false">IF(BD126,CHOOSE(Underlying,L126,R126),"")</f>
        <v/>
      </c>
      <c r="CQ126" s="544" t="str">
        <f aca="false">IF(BD126,Strike1/CP126-1,"")</f>
        <v/>
      </c>
      <c r="CR126" s="544" t="str">
        <f aca="false">IF(BD126,Strike2/CP126-1,"")</f>
        <v/>
      </c>
      <c r="CS126" s="544" t="str">
        <f aca="false">IF(BD126,IF(CQ126&gt;0,IF(CQ126&gt;0.2,BC125-BB125,IF(CQ126&gt;0.1,BB125-BA125,BA125)),IF(CQ126&lt;-0.2,AX125-AY125,IF(CQ126&lt;-0.1,AY125-AZ125,AZ125))),"")</f>
        <v/>
      </c>
      <c r="CT126" s="544" t="str">
        <f aca="false">IF(BD126,IF(CR126&gt;0,IF(CR126&gt;0.2,BC125-BB125,IF(CR126&gt;0.1,BB125-BA125,BA125)),IF(CR126&lt;-0.2,AX125-AY125,IF(CR126&lt;-0.1,AY125-AZ125,AZ125))),"")</f>
        <v/>
      </c>
      <c r="CU126" s="545" t="str">
        <f aca="false">IF(BD126,CHOOSE(Underlying,O126,AT126),"")</f>
        <v/>
      </c>
      <c r="CV126" s="545" t="str">
        <f aca="false">IF(BD126,CU126+IF(VolSkewFlag=1,IF(CQ126&gt;0,BA125*MIN(CQ126/10%,1)+(BB125-BA125)*MAX(0,MIN(CQ126/10%-1,1))+(BC125-BB125)*MAX(0,CQ126/10%-2),AZ125*MIN(-CQ126/10%,1)+(AY125-AZ125)*MAX(0,MIN(-CQ126/10%-1,1))+(AX125-AY125)*MAX(0,-CQ126/10%-2)),0),"")</f>
        <v/>
      </c>
      <c r="CW126" s="545" t="str">
        <f aca="false">IF(BD126,CU126+IF(VolSkewFlag=1,IF(CR126&gt;0,BA125*MIN(CR126/10%,1)+(BB125-BA125)*MAX(0,MIN(CR126/10%-1,1))+(BC125-BB125)*MAX(0,CR126/10%-2),AZ125*MIN(-CR126/10%,1)+(AY125-AZ125)*MAX(0,MIN(-CR126/10%-1,1))+(AX125-AY125)*MAX(0,-CR126/10%-2)),0),"")</f>
        <v/>
      </c>
      <c r="CX126" s="470" t="n">
        <f aca="false">IF(BD126,EURO(CP126,Strike1,AO126,AO126,CV126,CO126,IF(OptControl=4,0,1),0),0)</f>
        <v>0</v>
      </c>
      <c r="CY126" s="470" t="n">
        <f aca="false">IF(BD126,EURO(CP126,Strike1,AO126,AO126,CV126,CO126,IF(OptControl=4,0,1),1)+IF(OR(VolSkewFlag=2,ABS(CQ126)&lt;0.0001),0,IF(CQ126&gt;0,-1,1)*CZ126*100*Strike1/CP126^2*CS126/10%),0)</f>
        <v>0</v>
      </c>
      <c r="CZ126" s="470" t="n">
        <f aca="false">IF(BD126,EURO(CP126,Strike1,AO126,AO126,CV126,CO126,IF(OptControl=4,0,1),3)/100,0)</f>
        <v>0</v>
      </c>
      <c r="DA126" s="470" t="n">
        <f aca="false">IF(BD126,EURO(CP126,Strike1,AO126,AO126,CV126,CO126,IF(OptControl=4,0,1),0)-EURO(CP126,Strike1,AO126,AO126,CV126,CO126-1,IF(OptControl=4,0,1),0),0)</f>
        <v>0</v>
      </c>
      <c r="DB126" s="470" t="n">
        <f aca="false">IF(BD126,EURO(CP126,Strike2,AO126,AO126,CW126,CO126,IF(OptControl=3,1,0),0),0)</f>
        <v>0</v>
      </c>
      <c r="DC126" s="470" t="n">
        <f aca="false">IF(BD126,EURO(CP126,Strike2,AO126,AO126,CW126,CO126,IF(OptControl=3,1,0),1)+IF(OR(VolSkewFlag=2,ABS(CR126)&lt;0.0001),0,IF(CR126&gt;0,-1,1)*DD126*100*Strike2/CP126^2*CT126/10%),0)</f>
        <v>0</v>
      </c>
      <c r="DD126" s="470" t="n">
        <f aca="false">IF(BD126,EURO(CP126,Strike2,AO126,AO126,CW126,CO126,IF(OptControl=3,1,0),3)/100,0)</f>
        <v>0</v>
      </c>
      <c r="DE126" s="472" t="n">
        <f aca="false">IF(BD126,EURO(CP126,Strike2,AO126,AO126,CW126,CO126,IF(OptControl=3,1,0),0)-EURO(CP126,Strike2,AO126,AO126,CW126,CO126-1,IF(OptControl=3,1,0),0),0)</f>
        <v>0</v>
      </c>
      <c r="DG126" s="481" t="n">
        <f aca="false">EOMONTH(DG125,0)+1</f>
        <v>48914</v>
      </c>
      <c r="DH126" s="478" t="n">
        <v>19.46</v>
      </c>
      <c r="DI126" s="479" t="n">
        <v>19.5259090909091</v>
      </c>
      <c r="DJ126" s="480" t="n">
        <f aca="false">DG126</f>
        <v>48914</v>
      </c>
      <c r="DK126" s="478" t="n">
        <v>18.2647812965152</v>
      </c>
      <c r="DL126" s="479" t="n">
        <v>18.3328090909091</v>
      </c>
      <c r="DM126" s="481" t="n">
        <f aca="false">DG126</f>
        <v>48914</v>
      </c>
      <c r="DN126" s="482" t="n">
        <f aca="false">DK126+BrentPhyBrentSpread</f>
        <v>18.3147812965152</v>
      </c>
      <c r="DO126" s="481" t="n">
        <f aca="false">DG126</f>
        <v>48914</v>
      </c>
      <c r="DP126" s="483" t="n">
        <f aca="false">DL126+DQ126</f>
        <v>18.3328090909091</v>
      </c>
      <c r="DQ126" s="546" t="n">
        <v>0</v>
      </c>
      <c r="DR126" s="480" t="n">
        <f aca="false">DG126</f>
        <v>48914</v>
      </c>
      <c r="DS126" s="485" t="n">
        <v>0.160999999999999</v>
      </c>
      <c r="DT126" s="486" t="n">
        <v>0.16020909090909</v>
      </c>
      <c r="DU126" s="480" t="n">
        <f aca="false">DG126</f>
        <v>48914</v>
      </c>
      <c r="DV126" s="485" t="n">
        <v>0.160999999999999</v>
      </c>
      <c r="DW126" s="486" t="n">
        <v>0.16020909090909</v>
      </c>
      <c r="DX126" s="481" t="n">
        <f aca="false">DG126</f>
        <v>48914</v>
      </c>
      <c r="DY126" s="486" t="n">
        <v>0.35</v>
      </c>
      <c r="DZ126" s="481" t="n">
        <f aca="false">DR126</f>
        <v>48914</v>
      </c>
      <c r="EA126" s="486" t="n">
        <f aca="false">DT126</f>
        <v>0.16020909090909</v>
      </c>
      <c r="EB126" s="195"/>
      <c r="EC126" s="547" t="str">
        <f aca="false">IF(BD126,IF(Underlying=1,AS126,AU126),"")</f>
        <v/>
      </c>
      <c r="ED126" s="548" t="str">
        <f aca="false">IF($BD126,$EC126+IF(VolSkewFlag=1,IF(BS126&gt;0,$BA126*MIN(BS126/10%,1)+($BB126-$BA126)*MAX(0,MIN(BS126/10%-1,1))+($BC126-$BB126)*MAX(0,BS126/10%-2),$AZ126*MIN(-BS126/10%,1)+($AY126-$AZ126)*MAX(0,MIN(-BS126/10%-1,1))+($AX126-$AY126)*MAX(0,-BS126/10%-2)),0),"")</f>
        <v/>
      </c>
      <c r="EE126" s="549" t="str">
        <f aca="false">IF($BD126,$EC126+IF(VolSkewFlag=1,IF(BT126&gt;0,$BA126*MIN(BT126/10%,1)+($BB126-$BA126)*MAX(0,MIN(BT126/10%-1,1))+($BC126-$BB126)*MAX(0,BT126/10%-2),$AZ126*MIN(-BT126/10%,1)+($AY126-$AZ126)*MAX(0,MIN(-BT126/10%-1,1))+($AX126-$AY126)*MAX(0,-BT126/10%-2)),0),"")</f>
        <v/>
      </c>
      <c r="EF126" s="550" t="n">
        <f aca="false">IF(BD126,xASN(BR126,Strike1,AO126,ED126,0,BO126,0,BI126,BL126,IF(OptControl=4,0,1),0),0)</f>
        <v>0</v>
      </c>
      <c r="EG126" s="551" t="n">
        <f aca="false">IF(BD126,xASN(BR126,Strike2,AO126,EE126,0,BO126,0,BI126,BL126,IF(OptControl=3,1,0),0),0)</f>
        <v>0</v>
      </c>
      <c r="EL126" s="1"/>
      <c r="EM126" s="195"/>
      <c r="EN126" s="240"/>
      <c r="EO126" s="240"/>
      <c r="EP126" s="195"/>
      <c r="EQ126" s="407" t="s">
        <v>353</v>
      </c>
      <c r="ES126" s="130"/>
      <c r="ET126" s="19"/>
      <c r="EU126" s="672"/>
      <c r="EV126" s="478"/>
      <c r="EW126" s="131"/>
      <c r="EX126" s="131"/>
      <c r="EY126" s="129"/>
      <c r="EZ126" s="129"/>
      <c r="FA126" s="129"/>
      <c r="FB126" s="129"/>
      <c r="FC126" s="129"/>
      <c r="FD126" s="129"/>
      <c r="FE126" s="129"/>
      <c r="FF126" s="129"/>
      <c r="FG126" s="129"/>
      <c r="FH126" s="129"/>
      <c r="FI126" s="129"/>
      <c r="FJ126" s="571" t="n">
        <v>32</v>
      </c>
      <c r="FK126" s="150" t="e">
        <f aca="false">IF($FJ51&lt;FK$94,"",SQRT(FK51/FK$15))</f>
        <v>#DIV/0!</v>
      </c>
      <c r="FL126" s="150" t="n">
        <f aca="false">IF($FJ51&lt;FL$94,"",SQRT(FL51/FL$15))</f>
        <v>-0</v>
      </c>
      <c r="FM126" s="150" t="n">
        <f aca="false">IF($FJ51&lt;FM$94,"",SQRT(FM51/FM$15))</f>
        <v>0.171908362832964</v>
      </c>
      <c r="FN126" s="150" t="n">
        <f aca="false">IF($FJ51&lt;FN$94,"",SQRT(FN51/FN$15))</f>
        <v>0.168838651479237</v>
      </c>
      <c r="FO126" s="150" t="n">
        <f aca="false">IF($FJ51&lt;FO$94,"",SQRT(FO51/FO$15))</f>
        <v>0.166628425011766</v>
      </c>
      <c r="FP126" s="150" t="n">
        <f aca="false">IF($FJ51&lt;FP$94,"",SQRT(FP51/FP$15))</f>
        <v>0.165079201408813</v>
      </c>
      <c r="FQ126" s="150" t="n">
        <f aca="false">IF($FJ51&lt;FQ$94,"",SQRT(FQ51/FQ$15))</f>
        <v>0.164044943579839</v>
      </c>
      <c r="FR126" s="150" t="n">
        <f aca="false">IF($FJ51&lt;FR$94,"",SQRT(FR51/FR$15))</f>
        <v>0.163419474151274</v>
      </c>
      <c r="FS126" s="150" t="n">
        <f aca="false">IF($FJ51&lt;FS$94,"",SQRT(FS51/FS$15))</f>
        <v>0.163127139842266</v>
      </c>
      <c r="FT126" s="150" t="n">
        <f aca="false">IF($FJ51&lt;FT$94,"",SQRT(FT51/FT$15))</f>
        <v>0.163115936442568</v>
      </c>
      <c r="FU126" s="150" t="n">
        <f aca="false">IF($FJ51&lt;FU$94,"",SQRT(FU51/FU$15))</f>
        <v>0.16335250889824</v>
      </c>
      <c r="FV126" s="150" t="n">
        <f aca="false">IF($FJ51&lt;FV$94,"",SQRT(FV51/FV$15))</f>
        <v>0.163818595636684</v>
      </c>
      <c r="FW126" s="150" t="n">
        <f aca="false">IF($FJ51&lt;FW$94,"",SQRT(FW51/FW$15))</f>
        <v>0.164508604990241</v>
      </c>
      <c r="FX126" s="150" t="n">
        <f aca="false">IF($FJ51&lt;FX$94,"",SQRT(FX51/FX$15))</f>
        <v>0.165428104455801</v>
      </c>
      <c r="FY126" s="150" t="n">
        <f aca="false">IF($FJ51&lt;FY$94,"",SQRT(FY51/FY$15))</f>
        <v>0.166593078569674</v>
      </c>
      <c r="FZ126" s="150" t="n">
        <f aca="false">IF($FJ51&lt;FZ$94,"",SQRT(FZ51/FZ$15))</f>
        <v>0.168029875105617</v>
      </c>
      <c r="GA126" s="150" t="n">
        <f aca="false">IF($FJ51&lt;GA$94,"",SQRT(GA51/GA$15))</f>
        <v>0.169775818246287</v>
      </c>
      <c r="GB126" s="150" t="n">
        <f aca="false">IF($FJ51&lt;GB$94,"",SQRT(GB51/GB$15))</f>
        <v>0.171880527600058</v>
      </c>
      <c r="GC126" s="150" t="n">
        <f aca="false">IF($FJ51&lt;GC$94,"",SQRT(GC51/GC$15))</f>
        <v>0.174408050749508</v>
      </c>
      <c r="GD126" s="150" t="n">
        <f aca="false">IF($FJ51&lt;GD$94,"",SQRT(GD51/GD$15))</f>
        <v>0.177440004069661</v>
      </c>
      <c r="GE126" s="150" t="n">
        <f aca="false">IF($FJ51&lt;GE$94,"",SQRT(GE51/GE$15))</f>
        <v>0.181080035815413</v>
      </c>
      <c r="GF126" s="150" t="n">
        <f aca="false">IF($FJ51&lt;GF$94,"",SQRT(GF51/GF$15))</f>
        <v>0.185460098557929</v>
      </c>
      <c r="GG126" s="150" t="n">
        <f aca="false">IF($FJ51&lt;GG$94,"",SQRT(GG51/GG$15))</f>
        <v>0.190749279930673</v>
      </c>
      <c r="GH126" s="150" t="n">
        <f aca="false">IF($FJ51&lt;GH$94,"",SQRT(GH51/GH$15))</f>
        <v>0.197166349961254</v>
      </c>
      <c r="GI126" s="150" t="n">
        <f aca="false">IF($FJ51&lt;GI$94,"",SQRT(GI51/GI$15))</f>
        <v>0.204997841302976</v>
      </c>
      <c r="GJ126" s="150" t="n">
        <f aca="false">IF($FJ51&lt;GJ$94,"",SQRT(GJ51/GJ$15))</f>
        <v>0.214624565580415</v>
      </c>
      <c r="GK126" s="150" t="n">
        <f aca="false">IF($FJ51&lt;GK$94,"",SQRT(GK51/GK$15))</f>
        <v>0.226561315018976</v>
      </c>
      <c r="GL126" s="150" t="n">
        <f aca="false">IF($FJ51&lt;GL$94,"",SQRT(GL51/GL$15))</f>
        <v>0.241517728758005</v>
      </c>
      <c r="GM126" s="150" t="n">
        <f aca="false">IF($FJ51&lt;GM$94,"",SQRT(GM51/GM$15))</f>
        <v>0.260494144678804</v>
      </c>
      <c r="GN126" s="150" t="n">
        <f aca="false">IF($FJ51&lt;GN$94,"",SQRT(GN51/GN$15))</f>
        <v>0.284937215845118</v>
      </c>
      <c r="GO126" s="150" t="n">
        <f aca="false">IF($FJ51&lt;GO$94,"",SQRT(GO51/GO$15))</f>
        <v>0.317001497927149</v>
      </c>
      <c r="GP126" s="150" t="n">
        <f aca="false">IF($FJ51&lt;GP$94,"",SQRT(GP51/GP$15))</f>
        <v>0.360007143283607</v>
      </c>
      <c r="GQ126" s="150" t="str">
        <f aca="false">IF($FJ51&lt;GQ$94,"",SQRT(GQ51/GQ$15))</f>
        <v/>
      </c>
      <c r="GR126" s="150" t="str">
        <f aca="false">IF($FJ51&lt;GR$94,"",SQRT(GR51/GR$15))</f>
        <v/>
      </c>
      <c r="GS126" s="150" t="str">
        <f aca="false">IF($FJ51&lt;GS$94,"",SQRT(GS51/GS$15))</f>
        <v/>
      </c>
      <c r="GT126" s="150" t="str">
        <f aca="false">IF($FJ51&lt;GT$94,"",SQRT(GT51/GT$15))</f>
        <v/>
      </c>
      <c r="GU126" s="150" t="str">
        <f aca="false">IF($FJ51&lt;GU$94,"",SQRT(GU51/GU$15))</f>
        <v/>
      </c>
      <c r="GV126" s="150" t="str">
        <f aca="false">IF($FJ51&lt;GV$94,"",SQRT(GV51/GV$15))</f>
        <v/>
      </c>
      <c r="GW126" s="150" t="str">
        <f aca="false">IF($FJ51&lt;GW$94,"",SQRT(GW51/GW$15))</f>
        <v/>
      </c>
      <c r="GX126" s="150" t="str">
        <f aca="false">IF($FJ51&lt;GX$94,"",SQRT(GX51/GX$15))</f>
        <v/>
      </c>
      <c r="GY126" s="150" t="str">
        <f aca="false">IF($FJ51&lt;GY$94,"",SQRT(GY51/GY$15))</f>
        <v/>
      </c>
      <c r="GZ126" s="150" t="str">
        <f aca="false">IF($FJ51&lt;GZ$94,"",SQRT(GZ51/GZ$15))</f>
        <v/>
      </c>
      <c r="HA126" s="150" t="str">
        <f aca="false">IF($FJ51&lt;HA$94,"",SQRT(HA51/HA$15))</f>
        <v/>
      </c>
      <c r="HB126" s="150" t="str">
        <f aca="false">IF($FJ51&lt;HB$94,"",SQRT(HB51/HB$15))</f>
        <v/>
      </c>
      <c r="HC126" s="150" t="str">
        <f aca="false">IF($FJ51&lt;HC$94,"",SQRT(HC51/HC$15))</f>
        <v/>
      </c>
      <c r="HD126" s="150" t="str">
        <f aca="false">IF($FJ51&lt;HD$94,"",SQRT(HD51/HD$15))</f>
        <v/>
      </c>
      <c r="HE126" s="150" t="str">
        <f aca="false">IF($FJ51&lt;HE$94,"",SQRT(HE51/HE$15))</f>
        <v/>
      </c>
      <c r="HF126" s="150" t="str">
        <f aca="false">IF($FJ51&lt;HF$94,"",SQRT(HF51/HF$15))</f>
        <v/>
      </c>
      <c r="HG126" s="150" t="str">
        <f aca="false">IF($FJ51&lt;HG$94,"",SQRT(HG51/HG$15))</f>
        <v/>
      </c>
      <c r="HH126" s="150" t="str">
        <f aca="false">IF($FJ51&lt;HH$94,"",SQRT(HH51/HH$15))</f>
        <v/>
      </c>
      <c r="HI126" s="150" t="str">
        <f aca="false">IF($FJ51&lt;HI$94,"",SQRT(HI51/HI$15))</f>
        <v/>
      </c>
      <c r="HJ126" s="150" t="str">
        <f aca="false">IF($FJ51&lt;HJ$94,"",SQRT(HJ51/HJ$15))</f>
        <v/>
      </c>
      <c r="HK126" s="150" t="str">
        <f aca="false">IF($FJ51&lt;HK$94,"",SQRT(HK51/HK$15))</f>
        <v/>
      </c>
      <c r="HL126" s="150" t="str">
        <f aca="false">IF($FJ51&lt;HL$94,"",SQRT(HL51/HL$15))</f>
        <v/>
      </c>
      <c r="HM126" s="150" t="str">
        <f aca="false">IF($FJ51&lt;HM$94,"",SQRT(HM51/HM$15))</f>
        <v/>
      </c>
      <c r="HN126" s="150" t="str">
        <f aca="false">IF($FJ51&lt;HN$94,"",SQRT(HN51/HN$15))</f>
        <v/>
      </c>
      <c r="HO126" s="150" t="str">
        <f aca="false">IF($FJ51&lt;HO$94,"",SQRT(HO51/HO$15))</f>
        <v/>
      </c>
      <c r="HP126" s="150" t="str">
        <f aca="false">IF($FJ51&lt;HP$94,"",SQRT(HP51/HP$15))</f>
        <v/>
      </c>
      <c r="HQ126" s="150" t="str">
        <f aca="false">IF($FJ51&lt;HQ$94,"",SQRT(HQ51/HQ$15))</f>
        <v/>
      </c>
      <c r="HR126" s="150" t="str">
        <f aca="false">IF($FJ51&lt;HR$94,"",SQRT(HR51/HR$15))</f>
        <v/>
      </c>
      <c r="HS126" s="150" t="str">
        <f aca="false">IF($FJ51&lt;HS$94,"",SQRT(HS51/HS$15))</f>
        <v/>
      </c>
      <c r="HT126" s="150" t="str">
        <f aca="false">IF($FJ51&lt;HT$94,"",SQRT(HT51/HT$15))</f>
        <v/>
      </c>
      <c r="HU126" s="150" t="str">
        <f aca="false">IF($FJ51&lt;HU$94,"",SQRT(HU51/HU$15))</f>
        <v/>
      </c>
      <c r="HV126" s="150" t="str">
        <f aca="false">IF($FJ51&lt;HV$94,"",SQRT(HV51/HV$15))</f>
        <v/>
      </c>
      <c r="HW126" s="150" t="str">
        <f aca="false">IF($FJ51&lt;HW$94,"",SQRT(HW51/HW$15))</f>
        <v/>
      </c>
      <c r="HX126" s="150" t="str">
        <f aca="false">IF($FJ51&lt;HX$94,"",SQRT(HX51/HX$15))</f>
        <v/>
      </c>
      <c r="HY126" s="150" t="str">
        <f aca="false">IF($FJ51&lt;HY$94,"",SQRT(HY51/HY$15))</f>
        <v/>
      </c>
      <c r="HZ126" s="150" t="str">
        <f aca="false">IF($FJ51&lt;HZ$94,"",SQRT(HZ51/HZ$15))</f>
        <v/>
      </c>
      <c r="IA126" s="150" t="str">
        <f aca="false">IF($FJ51&lt;IA$94,"",SQRT(IA51/IA$15))</f>
        <v/>
      </c>
      <c r="IB126" s="150" t="str">
        <f aca="false">IF($FJ51&lt;IB$94,"",SQRT(IB51/IB$15))</f>
        <v/>
      </c>
      <c r="IC126" s="150" t="str">
        <f aca="false">IF($FJ51&lt;IC$94,"",SQRT(IC51/IC$15))</f>
        <v/>
      </c>
      <c r="ID126" s="572" t="str">
        <f aca="false">IF($FJ51&lt;ID$94,"",SQRT(ID51/ID$15))</f>
        <v/>
      </c>
      <c r="IE126" s="129"/>
    </row>
    <row r="127" customFormat="false" ht="12.75" hidden="false" customHeight="false" outlineLevel="0" collapsed="false">
      <c r="H127" s="219" t="n">
        <f aca="false">VLOOKUP(I127,$EJ$20:$EL$54,3)</f>
        <v>0</v>
      </c>
      <c r="I127" s="511" t="n">
        <f aca="false">EOMONTH(I126,0)+1</f>
        <v>40026</v>
      </c>
      <c r="J127" s="512"/>
      <c r="K127" s="513" t="s">
        <v>280</v>
      </c>
      <c r="L127" s="514" t="n">
        <f aca="false">IF(ISNUMBER(K127),J127+K127/100,IF(K127="extra",L126+VLOOKUP(BF127,PriceSpreadTable,2)/12,IF(K127="inter",interpolateprices($K$19:$L$200,ROW(K127)-ROW(FirstPricingMonth)+1),interpolatechanges($J$19:$K$200,ROW(K127)-ROW(FirstPricingMonth)+1))))</f>
        <v>1.1625</v>
      </c>
      <c r="M127" s="515"/>
      <c r="N127" s="516" t="n">
        <v>0</v>
      </c>
      <c r="O127" s="515" t="n">
        <f aca="false">M127+N127</f>
        <v>0</v>
      </c>
      <c r="P127" s="512"/>
      <c r="Q127" s="513" t="s">
        <v>280</v>
      </c>
      <c r="R127" s="512" t="e">
        <f aca="false">IF(ISNUMBER(Q127),P127+Q127/100,IF(Q127="extra",(Z125*AL125-R126*AM125)/AN125,IF(Q127="inter",interpolateprices($Q$19:$R$260,ROW(Q127)-ROW(FirstPricingMonth)+1),interpolatechanges($P$19:$Q$260,ROW(Q127)-ROW(FirstPricingMonth)+1))))</f>
        <v>#VALUE!</v>
      </c>
      <c r="S127" s="597" t="n">
        <f aca="false">S$19+(S126-S$19)*S$18</f>
        <v>0.360000000000002</v>
      </c>
      <c r="T127" s="575" t="n">
        <f aca="false">SQRT((1-(1-T126^2/U126)*T$18)*U127)</f>
        <v>0.99999999409987</v>
      </c>
      <c r="U127" s="576" t="n">
        <f aca="false">1-(1-U126)*U$18</f>
        <v>1</v>
      </c>
      <c r="V127" s="521" t="n">
        <v>0</v>
      </c>
      <c r="W127" s="577" t="n">
        <f aca="false">(J128*AJ127+J129*AK127)/AI127</f>
        <v>0</v>
      </c>
      <c r="X127" s="578" t="n">
        <f aca="false">(L128*AJ127+L129*AK127)/AI127</f>
        <v>1.2125</v>
      </c>
      <c r="Y127" s="579" t="n">
        <f aca="false">IF(Q129="extra",W127-AA127,(P128*AM127+P129*AN127)/AL127)</f>
        <v>-1.2669</v>
      </c>
      <c r="Z127" s="579" t="n">
        <f aca="false">IF(Q129="extra",X127-AB127,(R128*AM127+R129*AN127)/AL127)</f>
        <v>-0.0543999999999996</v>
      </c>
      <c r="AA127" s="523" t="n">
        <f aca="false">IF(Q129="extra",INDEX(BrentSeasonalityTable,INT((BG127-1)/3)+1)*VLOOKUP(MAX(BF127,$AB$4),PriceSpreadTable,3),W127-Y127)</f>
        <v>1.2669</v>
      </c>
      <c r="AB127" s="524" t="n">
        <f aca="false">IF(Q129="extra",INDEX(BrentSeasonalityTable,INT((BG127-1)/3)+1)*VLOOKUP(MAX(BF127,$AB$4),PriceSpreadTable,3),X127-Z127)</f>
        <v>1.2669</v>
      </c>
      <c r="AC127" s="646" t="n">
        <v>40014</v>
      </c>
      <c r="AD127" s="646" t="n">
        <v>40010</v>
      </c>
      <c r="AE127" s="646" t="n">
        <v>40009</v>
      </c>
      <c r="AF127" s="646" t="n">
        <v>40005</v>
      </c>
      <c r="AG127" s="438" t="s">
        <v>278</v>
      </c>
      <c r="AH127" s="439" t="s">
        <v>278</v>
      </c>
      <c r="AI127" s="528" t="n">
        <v>21</v>
      </c>
      <c r="AJ127" s="529" t="n">
        <v>14</v>
      </c>
      <c r="AK127" s="529" t="n">
        <v>7</v>
      </c>
      <c r="AL127" s="530" t="n">
        <v>21</v>
      </c>
      <c r="AM127" s="529" t="n">
        <v>10</v>
      </c>
      <c r="AN127" s="531" t="n">
        <v>11</v>
      </c>
      <c r="AO127" s="532"/>
      <c r="AP127" s="465" t="n">
        <f aca="false">(1+AO127/2)^(-2*BL127)</f>
        <v>1</v>
      </c>
      <c r="AQ127" s="532"/>
      <c r="AR127" s="465" t="n">
        <f aca="false">(1+AQ127/2)^(-2*BH127/365.25)</f>
        <v>1</v>
      </c>
      <c r="AS127" s="580" t="n">
        <f aca="false">(O128*AJ127+O129*AK127)/AI127</f>
        <v>0</v>
      </c>
      <c r="AT127" s="468" t="n">
        <f aca="false">O127*VLOOKUP(BF127,BrentVolTable,2)+VLOOKUP(BF127,BrentVolTable,3)</f>
        <v>0</v>
      </c>
      <c r="AU127" s="468" t="n">
        <f aca="false">(AT128*AM127+AT129*AN127)/AL127</f>
        <v>0</v>
      </c>
      <c r="AV127" s="595" t="n">
        <f aca="false">SQRT(MAX(0.000000000001,(O127^2*BH127-S127^2*(BH127-BH126))/BH126))</f>
        <v>0.0255733250427599</v>
      </c>
      <c r="AW127" s="451" t="n">
        <f aca="false">IF($I127-DateToday+15&gt;=$T$8,"",IF($I127-DateToday+15&lt;$T$5,1,MATCH($I127-DateToday+15,$T$5:$T$8)))</f>
        <v>1</v>
      </c>
      <c r="AX127" s="468" t="n">
        <f aca="false">IF($AW127="",AX126^2/AX125,INDEX(U$5:U$8,$AW127)^((INDEX($T$5:$T$8,$AW127+1)-($I127-DateToday+15))/(INDEX($T$5:$T$8,$AW127+1)-INDEX($T$5:$T$8,$AW127)))/INDEX(U$5:U$8,$AW127+1)^((INDEX($T$5:$T$8,$AW127)-($I127-DateToday+15))/(INDEX($T$5:$T$8,$AW127+1)-INDEX($T$5:$T$8,$AW127))))</f>
        <v>1.27467765709114</v>
      </c>
      <c r="AY127" s="468" t="n">
        <f aca="false">IF($AW127="",AY126^2/AY125,INDEX(V$5:V$8,$AW127)^((INDEX($T$5:$T$8,$AW127+1)-($I127-DateToday+15))/(INDEX($T$5:$T$8,$AW127+1)-INDEX($T$5:$T$8,$AW127)))/INDEX(V$5:V$8,$AW127+1)^((INDEX($T$5:$T$8,$AW127)-($I127-DateToday+15))/(INDEX($T$5:$T$8,$AW127+1)-INDEX($T$5:$T$8,$AW127))))</f>
        <v>57.555271390464</v>
      </c>
      <c r="AZ127" s="468" t="n">
        <f aca="false">IF($AW127="",AZ126^2/AZ125,INDEX(W$5:W$8,$AW127)^((INDEX($T$5:$T$8,$AW127+1)-($I127-DateToday+15))/(INDEX($T$5:$T$8,$AW127+1)-INDEX($T$5:$T$8,$AW127)))/INDEX(W$5:W$8,$AW127+1)^((INDEX($T$5:$T$8,$AW127)-($I127-DateToday+15))/(INDEX($T$5:$T$8,$AW127+1)-INDEX($T$5:$T$8,$AW127))))</f>
        <v>105449.994512828</v>
      </c>
      <c r="BA127" s="468" t="n">
        <f aca="false">IF($AW127="",BA126^2/BA125,INDEX(X$5:X$8,$AW127)^((INDEX($T$5:$T$8,$AW127+1)-($I127-DateToday+15))/(INDEX($T$5:$T$8,$AW127+1)-INDEX($T$5:$T$8,$AW127)))/INDEX(X$5:X$8,$AW127+1)^((INDEX($T$5:$T$8,$AW127)-($I127-DateToday+15))/(INDEX($T$5:$T$8,$AW127+1)-INDEX($T$5:$T$8,$AW127))))</f>
        <v>1400153.66610296</v>
      </c>
      <c r="BB127" s="468" t="n">
        <f aca="false">IF($AW127="",BB126^2/BB125,INDEX(Y$5:Y$8,$AW127)^((INDEX($T$5:$T$8,$AW127+1)-($I127-DateToday+15))/(INDEX($T$5:$T$8,$AW127+1)-INDEX($T$5:$T$8,$AW127)))/INDEX(Y$5:Y$8,$AW127+1)^((INDEX($T$5:$T$8,$AW127)-($I127-DateToday+15))/(INDEX($T$5:$T$8,$AW127+1)-INDEX($T$5:$T$8,$AW127))))</f>
        <v>13423582.3332034</v>
      </c>
      <c r="BC127" s="468" t="n">
        <f aca="false">IF($AW127="",BC126^2/BC125,INDEX(Z$5:Z$8,$AW127)^((INDEX($T$5:$T$8,$AW127+1)-($I127-DateToday+15))/(INDEX($T$5:$T$8,$AW127+1)-INDEX($T$5:$T$8,$AW127)))/INDEX(Z$5:Z$8,$AW127+1)^((INDEX($T$5:$T$8,$AW127)-($I127-DateToday+15))/(INDEX($T$5:$T$8,$AW127+1)-INDEX($T$5:$T$8,$AW127))))</f>
        <v>52415326.855659</v>
      </c>
      <c r="BD127" s="535" t="n">
        <f aca="false">IF(OR(DateStart&gt;=I128,DateEnd&lt;I127),0,IF(VolumeOverrideFlag,V127,Volume))</f>
        <v>0</v>
      </c>
      <c r="BE127" s="536" t="n">
        <f aca="false">IF(OR(DateStart2&gt;=I128,DateEnd2&lt;I127),0,IF(VolumeOverrideFlag,V127,VolumeSwaption))</f>
        <v>0</v>
      </c>
      <c r="BF127" s="537" t="n">
        <f aca="false">YEAR(I127)</f>
        <v>2009</v>
      </c>
      <c r="BG127" s="538" t="n">
        <f aca="false">MONTH(I127)</f>
        <v>8</v>
      </c>
      <c r="BH127" s="539" t="n">
        <f aca="false">AD127-DateToday+1</f>
        <v>-5915</v>
      </c>
      <c r="BI127" s="540" t="n">
        <f aca="false">(I127-DateToday+1)/365.25</f>
        <v>-16.1505817932923</v>
      </c>
      <c r="BJ127" s="541" t="n">
        <f aca="false">BI127+(BL127-BI127)*CHOOSE(Underlying,AJ127/AI127,AM127/AL127)</f>
        <v>-16.0958247775496</v>
      </c>
      <c r="BK127" s="541" t="n">
        <f aca="false">BJ127+1/365.25</f>
        <v>-16.0930869267625</v>
      </c>
      <c r="BL127" s="541" t="n">
        <f aca="false">(I128-DateToday)/365.25</f>
        <v>-16.0684462696783</v>
      </c>
      <c r="BM127" s="542" t="e">
        <f aca="false">MAX(BI127-(BJ127-BI127)*(S128^2/O128^2-1),0)</f>
        <v>#DIV/0!</v>
      </c>
      <c r="BN127" s="541" t="e">
        <f aca="false">MAX(BL127+(BL127-BK127)*(S129^2/O129^2-1),0)</f>
        <v>#DIV/0!</v>
      </c>
      <c r="BO127" s="530" t="n">
        <f aca="false">CHOOSE(Underlying,AI127,AL127)</f>
        <v>21</v>
      </c>
      <c r="BP127" s="529" t="n">
        <f aca="false">CHOOSE(Underlying,AJ127,AM127)</f>
        <v>14</v>
      </c>
      <c r="BQ127" s="529" t="n">
        <f aca="false">CHOOSE(Underlying,AK127,AN127)</f>
        <v>7</v>
      </c>
      <c r="BR127" s="463" t="str">
        <f aca="false">IF(BD127,IF(Underlying=1,X127,Z127)+UnderlyingPriceAsian-SwapPriceCurve,"")</f>
        <v/>
      </c>
      <c r="BS127" s="463" t="str">
        <f aca="false">IF(BD127,Strike1/BR127-1,"")</f>
        <v/>
      </c>
      <c r="BT127" s="464" t="str">
        <f aca="false">IF(BD127,Strike2/BR127-1,"")</f>
        <v/>
      </c>
      <c r="BU127" s="465" t="str">
        <f aca="false">IF(BD127,IF(Underlying=1,L128,R128)+UnderlyingPriceAsian-SwapPriceCurve,"")</f>
        <v/>
      </c>
      <c r="BV127" s="465" t="str">
        <f aca="false">IF(BD127,IF(Underlying=1,L129,R129)+UnderlyingPriceAsian-SwapPriceCurve,"")</f>
        <v/>
      </c>
      <c r="BW127" s="466" t="str">
        <f aca="false">IF(BD127,IF(Underlying=1,O128,AT128),"")</f>
        <v/>
      </c>
      <c r="BX127" s="467" t="str">
        <f aca="false">IF(BD127,IF(Underlying=1,O129,AT129),"")</f>
        <v/>
      </c>
      <c r="BY127" s="466" t="str">
        <f aca="false">IF(BD127,IF(BS127&gt;0,IF(BS127&gt;0.2,BC127-BB127,IF(BS127&gt;0.1,BB127-BA127,BA127)),IF(BS127&lt;-0.2,AX127-AY127,IF(BS127&lt;-0.1,AY127-AZ127,AZ127))),"")</f>
        <v/>
      </c>
      <c r="BZ127" s="467" t="str">
        <f aca="false">IF(BD127,IF(BT127&gt;0,IF(BT127&gt;0.2,BC127-BB127,IF(BT127&gt;0.1,BB127-BA127,BA127)),IF(BT127&lt;-0.2,AX127-AY127,IF(BT127&lt;-0.1,AY127-AZ127,AZ127))),"")</f>
        <v/>
      </c>
      <c r="CA127" s="468" t="str">
        <f aca="false">IF($BD127,$BW127+IF(VolSkewFlag=1,IF(BS127&gt;0,$BA127*MIN(BS127/10%,1)+($BB127-$BA127)*MAX(0,MIN(BS127/10%-1,1))+($BC127-$BB127)*MAX(0,BS127/10%-2),$AZ127*MIN(-BS127/10%,1)+($AY127-$AZ127)*MAX(0,MIN(-BS127/10%-1,1))+($AX127-$AY127)*MAX(0,-BS127/10%-2)),0),"")</f>
        <v/>
      </c>
      <c r="CB127" s="468" t="str">
        <f aca="false">IF($BD127,$BX127+IF(VolSkewFlag=1,IF(BS127&gt;0,$BA127*MIN(BS127/10%,1)+($BB127-$BA127)*MAX(0,MIN(BS127/10%-1,1))+($BC127-$BB127)*MAX(0,BS127/10%-2),$AZ127*MIN(-BS127/10%,1)+($AY127-$AZ127)*MAX(0,MIN(-BS127/10%-1,1))+($AX127-$AY127)*MAX(0,-BS127/10%-2)),0),"")</f>
        <v/>
      </c>
      <c r="CC127" s="468" t="str">
        <f aca="false">IF($BD127,$BW127+IF(VolSkewFlag=1,IF(BT127&gt;0,$BA127*MIN(BT127/10%,1)+($BB127-$BA127)*MAX(0,MIN(BT127/10%-1,1))+($BC127-$BB127)*MAX(0,BT127/10%-2),$AZ127*MIN(-BT127/10%,1)+($AY127-$AZ127)*MAX(0,MIN(-BT127/10%-1,1))+($AX127-$AY127)*MAX(0,-BT127/10%-2)),0),"")</f>
        <v/>
      </c>
      <c r="CD127" s="468" t="str">
        <f aca="false">IF($BD127,$BX127+IF(VolSkewFlag=1,IF(BT127&gt;0,$BA127*MIN(BT127/10%,1)+($BB127-$BA127)*MAX(0,MIN(BT127/10%-1,1))+($BC127-$BB127)*MAX(0,BT127/10%-2),$AZ127*MIN(-BT127/10%,1)+($AY127-$AZ127)*MAX(0,MIN(-BT127/10%-1,1))+($AX127-$AY127)*MAX(0,-BT127/10%-2)),0),"")</f>
        <v/>
      </c>
      <c r="CE127" s="469" t="n">
        <v>1</v>
      </c>
      <c r="CF127" s="470" t="n">
        <f aca="false">IF(BD127,xCrudeAPO(BU127,BV127,CA127,CB127,S128,S129,BI127,BL127,BP127,BQ127,0,Strike1,AO127,CE127,0,BL127,IF(OptControl=4,0,1),0,1),0)</f>
        <v>0</v>
      </c>
      <c r="CG127" s="470" t="n">
        <f aca="false">IF(BD127,xCrudeAPO(BU127,BV127,CA127,CB127,S128,S129,BI127,BL127,BP127,BQ127,0,Strike1,AO127,CE127,0,BL127,IF(OptControl=4,0,1),1,1)+xCrudeAPO(BU127,BV127,CA127,CB127,S128,S129,BI127,BL127,BP127,BQ127,0,Strike1,AO127,CE127,0,BL127,IF(OptControl=4,0,1),1,2)+IF(OR(VolSkewFlag=2,ABS(BS127)&lt;0.0001),0,IF(BS127&gt;0,-1,1)*CH127*Strike1/BR127^2*BY127/10%),0)</f>
        <v>0</v>
      </c>
      <c r="CH127" s="470" t="n">
        <f aca="false">IF(BD127,(xCrudeAPO(BU127,BV127,CA127,CB127,S128,S129,BI127,BL127,BP127,BQ127,0,Strike1,AO127,CE127,0,BL127,IF(OptControl=4,0,1),3,1)+xCrudeAPO(BU127,BV127,CA127,CB127,S128,S129,BI127,BL127,BP127,BQ127,0,Strike1,AO127,CE127,0,BL127,IF(OptControl=4,0,1),3,2))/100,0)</f>
        <v>0</v>
      </c>
      <c r="CI127" s="470" t="n">
        <f aca="false">IF(BD127,xCrudeAPO(BU127,BV127,CA127,CB127,S128,S129,BI127-DaysForThetaCalculation/365.25,BL127-DaysForThetaCalculation/365.25,BP127,BQ127,0,Strike1,AO127,CE127,0,BL127,IF(OptControl=4,0,1),0,1)-xCrudeAPO(BU127,BV127,CA127,CB127,S128,S129,BI127,BL127,BP127,BQ127,0,Strike1,AO127,CE127,0,BL127,IF(OptControl=4,0,1),0,1),0)</f>
        <v>0</v>
      </c>
      <c r="CJ127" s="471" t="n">
        <f aca="false">IF(BD127,xCrudeAPO(BU127,BV127,CC127,CD127,S128,S129,BI127,BL127,BP127,BQ127,0,Strike2,AO127,CE127,0,BL127,IF(OptControl=3,1,0),0,1),0)</f>
        <v>0</v>
      </c>
      <c r="CK127" s="470" t="n">
        <f aca="false">IF(BD127,xCrudeAPO(BU127,BV127,CC127,CD127,S128,S129,BI127,BL127,BP127,BQ127,0,Strike2,AO127,CE127,0,BL127,IF(OptControl=3,1,0),1,1)+xCrudeAPO(BU127,BV127,CC127,CD127,S128,S129,BI127,BL127,BP127,BQ127,0,Strike2,AO127,CE127,0,BL127,IF(OptControl=3,1,0),1,2)+IF(OR(VolSkewFlag=2,ABS(BT127)&lt;0.0001),0,IF(BT127&gt;0,-1,1)*CL127*Strike2/BR127^2*BZ127/10%),0)</f>
        <v>0</v>
      </c>
      <c r="CL127" s="470" t="n">
        <f aca="false">IF(BD127,(xCrudeAPO(BU127,BV127,CC127,CD127,S128,S129,BI127,BL127,BP127,BQ127,0,Strike2,AO127,CE127,0,BL127,IF(OptControl=3,1,0),3,1)+xCrudeAPO(BU127,BV127,CC127,CD127,S128,S129,BI127,BL127,BP127,BQ127,0,Strike2,AO127,CE127,0,BL127,IF(OptControl=3,1,0),3,2))/100,0)</f>
        <v>0</v>
      </c>
      <c r="CM127" s="472" t="n">
        <f aca="false">IF(BD127,xCrudeAPO(BU127,BV127,CC127,CD127,S128,S129,BI127-DaysForThetaCalculation/365.25,BL127-DaysForThetaCalculation/365.25,BP127,BQ127,0,Strike2,AO127,CE127,0,BL127,IF(OptControl=3,1,0),0,1)-xCrudeAPO(BU127,BV127,CC127,CD127,S128,S129,BI127,BL127,BP127,BQ127,0,Strike2,AO127,CE127,0,BL127,IF(OptControl=3,1,0),0,1),0)</f>
        <v>0</v>
      </c>
      <c r="CN127" s="3"/>
      <c r="CO127" s="543" t="str">
        <f aca="false">IF(BD127,CHOOSE(Underlying,AD127,AF127)-DateToday+1,"")</f>
        <v/>
      </c>
      <c r="CP127" s="582" t="str">
        <f aca="false">IF(BD127,CHOOSE(Underlying,L127,R127),"")</f>
        <v/>
      </c>
      <c r="CQ127" s="544" t="str">
        <f aca="false">IF(BD127,Strike1/CP127-1,"")</f>
        <v/>
      </c>
      <c r="CR127" s="544" t="str">
        <f aca="false">IF(BD127,Strike2/CP127-1,"")</f>
        <v/>
      </c>
      <c r="CS127" s="544" t="str">
        <f aca="false">IF(BD127,IF(CQ127&gt;0,IF(CQ127&gt;0.2,BC126-BB126,IF(CQ127&gt;0.1,BB126-BA126,BA126)),IF(CQ127&lt;-0.2,AX126-AY126,IF(CQ127&lt;-0.1,AY126-AZ126,AZ126))),"")</f>
        <v/>
      </c>
      <c r="CT127" s="544" t="str">
        <f aca="false">IF(BD127,IF(CR127&gt;0,IF(CR127&gt;0.2,BC126-BB126,IF(CR127&gt;0.1,BB126-BA126,BA126)),IF(CR127&lt;-0.2,AX126-AY126,IF(CR127&lt;-0.1,AY126-AZ126,AZ126))),"")</f>
        <v/>
      </c>
      <c r="CU127" s="545" t="str">
        <f aca="false">IF(BD127,CHOOSE(Underlying,O127,AT127),"")</f>
        <v/>
      </c>
      <c r="CV127" s="545" t="str">
        <f aca="false">IF(BD127,CU127+IF(VolSkewFlag=1,IF(CQ127&gt;0,BA126*MIN(CQ127/10%,1)+(BB126-BA126)*MAX(0,MIN(CQ127/10%-1,1))+(BC126-BB126)*MAX(0,CQ127/10%-2),AZ126*MIN(-CQ127/10%,1)+(AY126-AZ126)*MAX(0,MIN(-CQ127/10%-1,1))+(AX126-AY126)*MAX(0,-CQ127/10%-2)),0),"")</f>
        <v/>
      </c>
      <c r="CW127" s="545" t="str">
        <f aca="false">IF(BD127,CU127+IF(VolSkewFlag=1,IF(CR127&gt;0,BA126*MIN(CR127/10%,1)+(BB126-BA126)*MAX(0,MIN(CR127/10%-1,1))+(BC126-BB126)*MAX(0,CR127/10%-2),AZ126*MIN(-CR127/10%,1)+(AY126-AZ126)*MAX(0,MIN(-CR127/10%-1,1))+(AX126-AY126)*MAX(0,-CR127/10%-2)),0),"")</f>
        <v/>
      </c>
      <c r="CX127" s="470" t="n">
        <f aca="false">IF(BD127,EURO(CP127,Strike1,AO127,AO127,CV127,CO127,IF(OptControl=4,0,1),0),0)</f>
        <v>0</v>
      </c>
      <c r="CY127" s="470" t="n">
        <f aca="false">IF(BD127,EURO(CP127,Strike1,AO127,AO127,CV127,CO127,IF(OptControl=4,0,1),1)+IF(OR(VolSkewFlag=2,ABS(CQ127)&lt;0.0001),0,IF(CQ127&gt;0,-1,1)*CZ127*100*Strike1/CP127^2*CS127/10%),0)</f>
        <v>0</v>
      </c>
      <c r="CZ127" s="470" t="n">
        <f aca="false">IF(BD127,EURO(CP127,Strike1,AO127,AO127,CV127,CO127,IF(OptControl=4,0,1),3)/100,0)</f>
        <v>0</v>
      </c>
      <c r="DA127" s="470" t="n">
        <f aca="false">IF(BD127,EURO(CP127,Strike1,AO127,AO127,CV127,CO127,IF(OptControl=4,0,1),0)-EURO(CP127,Strike1,AO127,AO127,CV127,CO127-1,IF(OptControl=4,0,1),0),0)</f>
        <v>0</v>
      </c>
      <c r="DB127" s="470" t="n">
        <f aca="false">IF(BD127,EURO(CP127,Strike2,AO127,AO127,CW127,CO127,IF(OptControl=3,1,0),0),0)</f>
        <v>0</v>
      </c>
      <c r="DC127" s="470" t="n">
        <f aca="false">IF(BD127,EURO(CP127,Strike2,AO127,AO127,CW127,CO127,IF(OptControl=3,1,0),1)+IF(OR(VolSkewFlag=2,ABS(CR127)&lt;0.0001),0,IF(CR127&gt;0,-1,1)*DD127*100*Strike2/CP127^2*CT127/10%),0)</f>
        <v>0</v>
      </c>
      <c r="DD127" s="470" t="n">
        <f aca="false">IF(BD127,EURO(CP127,Strike2,AO127,AO127,CW127,CO127,IF(OptControl=3,1,0),3)/100,0)</f>
        <v>0</v>
      </c>
      <c r="DE127" s="472" t="n">
        <f aca="false">IF(BD127,EURO(CP127,Strike2,AO127,AO127,CW127,CO127,IF(OptControl=3,1,0),0)-EURO(CP127,Strike2,AO127,AO127,CW127,CO127-1,IF(OptControl=3,1,0),0),0)</f>
        <v>0</v>
      </c>
      <c r="DG127" s="481" t="n">
        <f aca="false">EOMONTH(DG126,0)+1</f>
        <v>48945</v>
      </c>
      <c r="DH127" s="478" t="n">
        <v>19.51</v>
      </c>
      <c r="DI127" s="479" t="n">
        <v>19.5790476190476</v>
      </c>
      <c r="DJ127" s="480" t="n">
        <f aca="false">DG127</f>
        <v>48945</v>
      </c>
      <c r="DK127" s="478" t="n">
        <v>18.2990187034849</v>
      </c>
      <c r="DL127" s="479" t="n">
        <v>18.4105476190476</v>
      </c>
      <c r="DM127" s="481" t="n">
        <f aca="false">DG127</f>
        <v>48945</v>
      </c>
      <c r="DN127" s="482" t="n">
        <f aca="false">DK127+BrentPhyBrentSpread</f>
        <v>18.3490187034849</v>
      </c>
      <c r="DO127" s="481" t="n">
        <f aca="false">DG127</f>
        <v>48945</v>
      </c>
      <c r="DP127" s="483" t="n">
        <f aca="false">DL127+DQ127</f>
        <v>18.4105476190476</v>
      </c>
      <c r="DQ127" s="546" t="n">
        <v>0</v>
      </c>
      <c r="DR127" s="480" t="n">
        <f aca="false">DG127</f>
        <v>48945</v>
      </c>
      <c r="DS127" s="485" t="n">
        <v>0.160399999999999</v>
      </c>
      <c r="DT127" s="486" t="n">
        <v>0.159571428571428</v>
      </c>
      <c r="DU127" s="480" t="n">
        <f aca="false">DG127</f>
        <v>48945</v>
      </c>
      <c r="DV127" s="485" t="n">
        <v>0.160399999999999</v>
      </c>
      <c r="DW127" s="486" t="n">
        <v>0.159571428571428</v>
      </c>
      <c r="DX127" s="481" t="n">
        <f aca="false">DG127</f>
        <v>48945</v>
      </c>
      <c r="DY127" s="486" t="n">
        <v>0.35</v>
      </c>
      <c r="DZ127" s="481" t="n">
        <f aca="false">DR127</f>
        <v>48945</v>
      </c>
      <c r="EA127" s="486" t="n">
        <f aca="false">DT127</f>
        <v>0.159571428571428</v>
      </c>
      <c r="EB127" s="195"/>
      <c r="EC127" s="547" t="str">
        <f aca="false">IF(BD127,IF(Underlying=1,AS127,AU127),"")</f>
        <v/>
      </c>
      <c r="ED127" s="548" t="str">
        <f aca="false">IF($BD127,$EC127+IF(VolSkewFlag=1,IF(BS127&gt;0,$BA127*MIN(BS127/10%,1)+($BB127-$BA127)*MAX(0,MIN(BS127/10%-1,1))+($BC127-$BB127)*MAX(0,BS127/10%-2),$AZ127*MIN(-BS127/10%,1)+($AY127-$AZ127)*MAX(0,MIN(-BS127/10%-1,1))+($AX127-$AY127)*MAX(0,-BS127/10%-2)),0),"")</f>
        <v/>
      </c>
      <c r="EE127" s="549" t="str">
        <f aca="false">IF($BD127,$EC127+IF(VolSkewFlag=1,IF(BT127&gt;0,$BA127*MIN(BT127/10%,1)+($BB127-$BA127)*MAX(0,MIN(BT127/10%-1,1))+($BC127-$BB127)*MAX(0,BT127/10%-2),$AZ127*MIN(-BT127/10%,1)+($AY127-$AZ127)*MAX(0,MIN(-BT127/10%-1,1))+($AX127-$AY127)*MAX(0,-BT127/10%-2)),0),"")</f>
        <v/>
      </c>
      <c r="EF127" s="550" t="n">
        <f aca="false">IF(BD127,xASN(BR127,Strike1,AO127,ED127,0,BO127,0,BI127,BL127,IF(OptControl=4,0,1),0),0)</f>
        <v>0</v>
      </c>
      <c r="EG127" s="551" t="n">
        <f aca="false">IF(BD127,xASN(BR127,Strike2,AO127,EE127,0,BO127,0,BI127,BL127,IF(OptControl=3,1,0),0),0)</f>
        <v>0</v>
      </c>
      <c r="EL127" s="1"/>
      <c r="EM127" s="195"/>
      <c r="EN127" s="240"/>
      <c r="EO127" s="240"/>
      <c r="EP127" s="195"/>
      <c r="EQ127" s="407" t="s">
        <v>354</v>
      </c>
      <c r="ES127" s="130"/>
      <c r="ET127" s="19"/>
      <c r="EU127" s="672"/>
      <c r="EV127" s="478"/>
      <c r="EW127" s="131"/>
      <c r="EX127" s="131"/>
      <c r="EY127" s="129"/>
      <c r="EZ127" s="129"/>
      <c r="FA127" s="129"/>
      <c r="FB127" s="129"/>
      <c r="FC127" s="129"/>
      <c r="FD127" s="129"/>
      <c r="FE127" s="129"/>
      <c r="FF127" s="129"/>
      <c r="FG127" s="129"/>
      <c r="FH127" s="129"/>
      <c r="FI127" s="129"/>
      <c r="FJ127" s="571" t="n">
        <v>33</v>
      </c>
      <c r="FK127" s="150" t="e">
        <f aca="false">IF($FJ52&lt;FK$94,"",SQRT(FK52/FK$15))</f>
        <v>#DIV/0!</v>
      </c>
      <c r="FL127" s="150" t="n">
        <f aca="false">IF($FJ52&lt;FL$94,"",SQRT(FL52/FL$15))</f>
        <v>-0</v>
      </c>
      <c r="FM127" s="150" t="n">
        <f aca="false">IF($FJ52&lt;FM$94,"",SQRT(FM52/FM$15))</f>
        <v>0.171702744698823</v>
      </c>
      <c r="FN127" s="150" t="n">
        <f aca="false">IF($FJ52&lt;FN$94,"",SQRT(FN52/FN$15))</f>
        <v>0.168602432778484</v>
      </c>
      <c r="FO127" s="150" t="n">
        <f aca="false">IF($FJ52&lt;FO$94,"",SQRT(FO52/FO$15))</f>
        <v>0.166355730133954</v>
      </c>
      <c r="FP127" s="150" t="n">
        <f aca="false">IF($FJ52&lt;FP$94,"",SQRT(FP52/FP$15))</f>
        <v>0.164763181448201</v>
      </c>
      <c r="FQ127" s="150" t="n">
        <f aca="false">IF($FJ52&lt;FQ$94,"",SQRT(FQ52/FQ$15))</f>
        <v>0.163677585547795</v>
      </c>
      <c r="FR127" s="150" t="n">
        <f aca="false">IF($FJ52&lt;FR$94,"",SQRT(FR52/FR$15))</f>
        <v>0.162991372343717</v>
      </c>
      <c r="FS127" s="150" t="n">
        <f aca="false">IF($FJ52&lt;FS$94,"",SQRT(FS52/FS$15))</f>
        <v>0.162627220296459</v>
      </c>
      <c r="FT127" s="150" t="n">
        <f aca="false">IF($FJ52&lt;FT$94,"",SQRT(FT52/FT$15))</f>
        <v>0.162531122897212</v>
      </c>
      <c r="FU127" s="150" t="n">
        <f aca="false">IF($FJ52&lt;FU$94,"",SQRT(FU52/FU$15))</f>
        <v>0.162667315308989</v>
      </c>
      <c r="FV127" s="150" t="n">
        <f aca="false">IF($FJ52&lt;FV$94,"",SQRT(FV52/FV$15))</f>
        <v>0.163014625773521</v>
      </c>
      <c r="FW127" s="150" t="n">
        <f aca="false">IF($FJ52&lt;FW$94,"",SQRT(FW52/FW$15))</f>
        <v>0.16356393349187</v>
      </c>
      <c r="FX127" s="150" t="n">
        <f aca="false">IF($FJ52&lt;FX$94,"",SQRT(FX52/FX$15))</f>
        <v>0.164316505271375</v>
      </c>
      <c r="FY127" s="150" t="n">
        <f aca="false">IF($FJ52&lt;FY$94,"",SQRT(FY52/FY$15))</f>
        <v>0.165283055002433</v>
      </c>
      <c r="FZ127" s="150" t="n">
        <f aca="false">IF($FJ52&lt;FZ$94,"",SQRT(FZ52/FZ$15))</f>
        <v>0.166483429239706</v>
      </c>
      <c r="GA127" s="150" t="n">
        <f aca="false">IF($FJ52&lt;GA$94,"",SQRT(GA52/GA$15))</f>
        <v>0.167946874217913</v>
      </c>
      <c r="GB127" s="150" t="n">
        <f aca="false">IF($FJ52&lt;GB$94,"",SQRT(GB52/GB$15))</f>
        <v>0.169712889669807</v>
      </c>
      <c r="GC127" s="150" t="n">
        <f aca="false">IF($FJ52&lt;GC$94,"",SQRT(GC52/GC$15))</f>
        <v>0.171832728356815</v>
      </c>
      <c r="GD127" s="150" t="n">
        <f aca="false">IF($FJ52&lt;GD$94,"",SQRT(GD52/GD$15))</f>
        <v>0.17437166402801</v>
      </c>
      <c r="GE127" s="150" t="n">
        <f aca="false">IF($FJ52&lt;GE$94,"",SQRT(GE52/GE$15))</f>
        <v>0.177412233817911</v>
      </c>
      <c r="GF127" s="150" t="n">
        <f aca="false">IF($FJ52&lt;GF$94,"",SQRT(GF52/GF$15))</f>
        <v>0.181058777537137</v>
      </c>
      <c r="GG127" s="150" t="n">
        <f aca="false">IF($FJ52&lt;GG$94,"",SQRT(GG52/GG$15))</f>
        <v>0.185443767276848</v>
      </c>
      <c r="GH127" s="150" t="n">
        <f aca="false">IF($FJ52&lt;GH$94,"",SQRT(GH52/GH$15))</f>
        <v>0.190736681043613</v>
      </c>
      <c r="GI127" s="150" t="n">
        <f aca="false">IF($FJ52&lt;GI$94,"",SQRT(GI52/GI$15))</f>
        <v>0.197156582267797</v>
      </c>
      <c r="GJ127" s="150" t="n">
        <f aca="false">IF($FJ52&lt;GJ$94,"",SQRT(GJ52/GJ$15))</f>
        <v>0.204990224174308</v>
      </c>
      <c r="GK127" s="150" t="n">
        <f aca="false">IF($FJ52&lt;GK$94,"",SQRT(GK52/GK$15))</f>
        <v>0.214618584235678</v>
      </c>
      <c r="GL127" s="150" t="n">
        <f aca="false">IF($FJ52&lt;GL$94,"",SQRT(GL52/GL$15))</f>
        <v>0.226556579380632</v>
      </c>
      <c r="GM127" s="150" t="n">
        <f aca="false">IF($FJ52&lt;GM$94,"",SQRT(GM52/GM$15))</f>
        <v>0.241513942483224</v>
      </c>
      <c r="GN127" s="150" t="n">
        <f aca="false">IF($FJ52&lt;GN$94,"",SQRT(GN52/GN$15))</f>
        <v>0.260491081804668</v>
      </c>
      <c r="GO127" s="150" t="n">
        <f aca="false">IF($FJ52&lt;GO$94,"",SQRT(GO52/GO$15))</f>
        <v>0.284934703109876</v>
      </c>
      <c r="GP127" s="150" t="n">
        <f aca="false">IF($FJ52&lt;GP$94,"",SQRT(GP52/GP$15))</f>
        <v>0.31699940128669</v>
      </c>
      <c r="GQ127" s="150" t="n">
        <f aca="false">IF($FJ52&lt;GQ$94,"",SQRT(GQ52/GQ$15))</f>
        <v>0.360005357462705</v>
      </c>
      <c r="GR127" s="150" t="str">
        <f aca="false">IF($FJ52&lt;GR$94,"",SQRT(GR52/GR$15))</f>
        <v/>
      </c>
      <c r="GS127" s="150" t="str">
        <f aca="false">IF($FJ52&lt;GS$94,"",SQRT(GS52/GS$15))</f>
        <v/>
      </c>
      <c r="GT127" s="150" t="str">
        <f aca="false">IF($FJ52&lt;GT$94,"",SQRT(GT52/GT$15))</f>
        <v/>
      </c>
      <c r="GU127" s="150" t="str">
        <f aca="false">IF($FJ52&lt;GU$94,"",SQRT(GU52/GU$15))</f>
        <v/>
      </c>
      <c r="GV127" s="150" t="str">
        <f aca="false">IF($FJ52&lt;GV$94,"",SQRT(GV52/GV$15))</f>
        <v/>
      </c>
      <c r="GW127" s="150" t="str">
        <f aca="false">IF($FJ52&lt;GW$94,"",SQRT(GW52/GW$15))</f>
        <v/>
      </c>
      <c r="GX127" s="150" t="str">
        <f aca="false">IF($FJ52&lt;GX$94,"",SQRT(GX52/GX$15))</f>
        <v/>
      </c>
      <c r="GY127" s="150" t="str">
        <f aca="false">IF($FJ52&lt;GY$94,"",SQRT(GY52/GY$15))</f>
        <v/>
      </c>
      <c r="GZ127" s="150" t="str">
        <f aca="false">IF($FJ52&lt;GZ$94,"",SQRT(GZ52/GZ$15))</f>
        <v/>
      </c>
      <c r="HA127" s="150" t="str">
        <f aca="false">IF($FJ52&lt;HA$94,"",SQRT(HA52/HA$15))</f>
        <v/>
      </c>
      <c r="HB127" s="150" t="str">
        <f aca="false">IF($FJ52&lt;HB$94,"",SQRT(HB52/HB$15))</f>
        <v/>
      </c>
      <c r="HC127" s="150" t="str">
        <f aca="false">IF($FJ52&lt;HC$94,"",SQRT(HC52/HC$15))</f>
        <v/>
      </c>
      <c r="HD127" s="150" t="str">
        <f aca="false">IF($FJ52&lt;HD$94,"",SQRT(HD52/HD$15))</f>
        <v/>
      </c>
      <c r="HE127" s="150" t="str">
        <f aca="false">IF($FJ52&lt;HE$94,"",SQRT(HE52/HE$15))</f>
        <v/>
      </c>
      <c r="HF127" s="150" t="str">
        <f aca="false">IF($FJ52&lt;HF$94,"",SQRT(HF52/HF$15))</f>
        <v/>
      </c>
      <c r="HG127" s="150" t="str">
        <f aca="false">IF($FJ52&lt;HG$94,"",SQRT(HG52/HG$15))</f>
        <v/>
      </c>
      <c r="HH127" s="150" t="str">
        <f aca="false">IF($FJ52&lt;HH$94,"",SQRT(HH52/HH$15))</f>
        <v/>
      </c>
      <c r="HI127" s="150" t="str">
        <f aca="false">IF($FJ52&lt;HI$94,"",SQRT(HI52/HI$15))</f>
        <v/>
      </c>
      <c r="HJ127" s="150" t="str">
        <f aca="false">IF($FJ52&lt;HJ$94,"",SQRT(HJ52/HJ$15))</f>
        <v/>
      </c>
      <c r="HK127" s="150" t="str">
        <f aca="false">IF($FJ52&lt;HK$94,"",SQRT(HK52/HK$15))</f>
        <v/>
      </c>
      <c r="HL127" s="150" t="str">
        <f aca="false">IF($FJ52&lt;HL$94,"",SQRT(HL52/HL$15))</f>
        <v/>
      </c>
      <c r="HM127" s="150" t="str">
        <f aca="false">IF($FJ52&lt;HM$94,"",SQRT(HM52/HM$15))</f>
        <v/>
      </c>
      <c r="HN127" s="150" t="str">
        <f aca="false">IF($FJ52&lt;HN$94,"",SQRT(HN52/HN$15))</f>
        <v/>
      </c>
      <c r="HO127" s="150" t="str">
        <f aca="false">IF($FJ52&lt;HO$94,"",SQRT(HO52/HO$15))</f>
        <v/>
      </c>
      <c r="HP127" s="150" t="str">
        <f aca="false">IF($FJ52&lt;HP$94,"",SQRT(HP52/HP$15))</f>
        <v/>
      </c>
      <c r="HQ127" s="150" t="str">
        <f aca="false">IF($FJ52&lt;HQ$94,"",SQRT(HQ52/HQ$15))</f>
        <v/>
      </c>
      <c r="HR127" s="150" t="str">
        <f aca="false">IF($FJ52&lt;HR$94,"",SQRT(HR52/HR$15))</f>
        <v/>
      </c>
      <c r="HS127" s="150" t="str">
        <f aca="false">IF($FJ52&lt;HS$94,"",SQRT(HS52/HS$15))</f>
        <v/>
      </c>
      <c r="HT127" s="150" t="str">
        <f aca="false">IF($FJ52&lt;HT$94,"",SQRT(HT52/HT$15))</f>
        <v/>
      </c>
      <c r="HU127" s="150" t="str">
        <f aca="false">IF($FJ52&lt;HU$94,"",SQRT(HU52/HU$15))</f>
        <v/>
      </c>
      <c r="HV127" s="150" t="str">
        <f aca="false">IF($FJ52&lt;HV$94,"",SQRT(HV52/HV$15))</f>
        <v/>
      </c>
      <c r="HW127" s="150" t="str">
        <f aca="false">IF($FJ52&lt;HW$94,"",SQRT(HW52/HW$15))</f>
        <v/>
      </c>
      <c r="HX127" s="150" t="str">
        <f aca="false">IF($FJ52&lt;HX$94,"",SQRT(HX52/HX$15))</f>
        <v/>
      </c>
      <c r="HY127" s="150" t="str">
        <f aca="false">IF($FJ52&lt;HY$94,"",SQRT(HY52/HY$15))</f>
        <v/>
      </c>
      <c r="HZ127" s="150" t="str">
        <f aca="false">IF($FJ52&lt;HZ$94,"",SQRT(HZ52/HZ$15))</f>
        <v/>
      </c>
      <c r="IA127" s="150" t="str">
        <f aca="false">IF($FJ52&lt;IA$94,"",SQRT(IA52/IA$15))</f>
        <v/>
      </c>
      <c r="IB127" s="150" t="str">
        <f aca="false">IF($FJ52&lt;IB$94,"",SQRT(IB52/IB$15))</f>
        <v/>
      </c>
      <c r="IC127" s="150" t="str">
        <f aca="false">IF($FJ52&lt;IC$94,"",SQRT(IC52/IC$15))</f>
        <v/>
      </c>
      <c r="ID127" s="572" t="str">
        <f aca="false">IF($FJ52&lt;ID$94,"",SQRT(ID52/ID$15))</f>
        <v/>
      </c>
      <c r="IE127" s="129"/>
    </row>
    <row r="128" customFormat="false" ht="12.75" hidden="false" customHeight="false" outlineLevel="0" collapsed="false">
      <c r="H128" s="219" t="n">
        <f aca="false">VLOOKUP(I128,$EJ$20:$EL$54,3)</f>
        <v>0</v>
      </c>
      <c r="I128" s="511" t="n">
        <f aca="false">EOMONTH(I127,0)+1</f>
        <v>40057</v>
      </c>
      <c r="J128" s="512"/>
      <c r="K128" s="513" t="s">
        <v>280</v>
      </c>
      <c r="L128" s="514" t="n">
        <f aca="false">IF(ISNUMBER(K128),J128+K128/100,IF(K128="extra",L127+VLOOKUP(BF128,PriceSpreadTable,2)/12,IF(K128="inter",interpolateprices($K$19:$L$200,ROW(K128)-ROW(FirstPricingMonth)+1),interpolatechanges($J$19:$K$200,ROW(K128)-ROW(FirstPricingMonth)+1))))</f>
        <v>1.2</v>
      </c>
      <c r="M128" s="515"/>
      <c r="N128" s="516" t="n">
        <v>0</v>
      </c>
      <c r="O128" s="515" t="n">
        <f aca="false">M128+N128</f>
        <v>0</v>
      </c>
      <c r="P128" s="512"/>
      <c r="Q128" s="513" t="s">
        <v>280</v>
      </c>
      <c r="R128" s="512" t="e">
        <f aca="false">IF(ISNUMBER(Q128),P128+Q128/100,IF(Q128="extra",(Z126*AL126-R127*AM126)/AN126,IF(Q128="inter",interpolateprices($Q$19:$R$260,ROW(Q128)-ROW(FirstPricingMonth)+1),interpolatechanges($P$19:$Q$260,ROW(Q128)-ROW(FirstPricingMonth)+1))))</f>
        <v>#VALUE!</v>
      </c>
      <c r="S128" s="597" t="n">
        <f aca="false">S$19+(S127-S$19)*S$18</f>
        <v>0.360000000000002</v>
      </c>
      <c r="T128" s="575" t="n">
        <f aca="false">SQRT((1-(1-T127^2/U127)*T$18)*U128)</f>
        <v>0.999999994955389</v>
      </c>
      <c r="U128" s="576" t="n">
        <f aca="false">1-(1-U127)*U$18</f>
        <v>1</v>
      </c>
      <c r="V128" s="521" t="n">
        <v>0</v>
      </c>
      <c r="W128" s="577" t="n">
        <f aca="false">(J129*AJ128+J130*AK128)/AI128</f>
        <v>0</v>
      </c>
      <c r="X128" s="578" t="n">
        <f aca="false">(L129*AJ128+L130*AK128)/AI128</f>
        <v>1.25113636363636</v>
      </c>
      <c r="Y128" s="579" t="n">
        <f aca="false">IF(Q130="extra",W128-AA128,(P129*AM128+P130*AN128)/AL128)</f>
        <v>-1.2669</v>
      </c>
      <c r="Z128" s="579" t="n">
        <f aca="false">IF(Q130="extra",X128-AB128,(R129*AM128+R130*AN128)/AL128)</f>
        <v>-0.015763636363636</v>
      </c>
      <c r="AA128" s="523" t="n">
        <f aca="false">IF(Q130="extra",INDEX(BrentSeasonalityTable,INT((BG128-1)/3)+1)*VLOOKUP(MAX(BF128,$AB$4),PriceSpreadTable,3),W128-Y128)</f>
        <v>1.2669</v>
      </c>
      <c r="AB128" s="524" t="n">
        <f aca="false">IF(Q130="extra",INDEX(BrentSeasonalityTable,INT((BG128-1)/3)+1)*VLOOKUP(MAX(BF128,$AB$4),PriceSpreadTable,3),X128-Z128)</f>
        <v>1.2669</v>
      </c>
      <c r="AC128" s="646" t="n">
        <v>40045</v>
      </c>
      <c r="AD128" s="646" t="n">
        <v>40041</v>
      </c>
      <c r="AE128" s="646" t="n">
        <v>40040</v>
      </c>
      <c r="AF128" s="646" t="n">
        <v>40036</v>
      </c>
      <c r="AG128" s="438" t="s">
        <v>278</v>
      </c>
      <c r="AH128" s="439" t="s">
        <v>278</v>
      </c>
      <c r="AI128" s="528" t="n">
        <v>22</v>
      </c>
      <c r="AJ128" s="529" t="n">
        <v>14</v>
      </c>
      <c r="AK128" s="529" t="n">
        <v>8</v>
      </c>
      <c r="AL128" s="530" t="n">
        <v>22</v>
      </c>
      <c r="AM128" s="529" t="n">
        <v>10</v>
      </c>
      <c r="AN128" s="531" t="n">
        <v>12</v>
      </c>
      <c r="AO128" s="532"/>
      <c r="AP128" s="465" t="n">
        <f aca="false">(1+AO128/2)^(-2*BL128)</f>
        <v>1</v>
      </c>
      <c r="AQ128" s="532"/>
      <c r="AR128" s="465" t="n">
        <f aca="false">(1+AQ128/2)^(-2*BH128/365.25)</f>
        <v>1</v>
      </c>
      <c r="AS128" s="580" t="n">
        <f aca="false">(O129*AJ128+O130*AK128)/AI128</f>
        <v>0</v>
      </c>
      <c r="AT128" s="468" t="n">
        <f aca="false">O128*VLOOKUP(BF128,BrentVolTable,2)+VLOOKUP(BF128,BrentVolTable,3)</f>
        <v>0</v>
      </c>
      <c r="AU128" s="468" t="n">
        <f aca="false">(AT129*AM128+AT130*AN128)/AL128</f>
        <v>0</v>
      </c>
      <c r="AV128" s="595" t="n">
        <f aca="false">SQRT(MAX(0.000000000001,(O128^2*BH128-S128^2*(BH128-BH127))/BH127))</f>
        <v>0.0260618939477813</v>
      </c>
      <c r="AW128" s="451" t="n">
        <f aca="false">IF($I128-DateToday+15&gt;=$T$8,"",IF($I128-DateToday+15&lt;$T$5,1,MATCH($I128-DateToday+15,$T$5:$T$8)))</f>
        <v>1</v>
      </c>
      <c r="AX128" s="468" t="n">
        <f aca="false">IF($AW128="",AX127^2/AX126,INDEX(U$5:U$8,$AW128)^((INDEX($T$5:$T$8,$AW128+1)-($I128-DateToday+15))/(INDEX($T$5:$T$8,$AW128+1)-INDEX($T$5:$T$8,$AW128)))/INDEX(U$5:U$8,$AW128+1)^((INDEX($T$5:$T$8,$AW128)-($I128-DateToday+15))/(INDEX($T$5:$T$8,$AW128+1)-INDEX($T$5:$T$8,$AW128))))</f>
        <v>1.24722217958896</v>
      </c>
      <c r="AY128" s="468" t="n">
        <f aca="false">IF($AW128="",AY127^2/AY126,INDEX(V$5:V$8,$AW128)^((INDEX($T$5:$T$8,$AW128+1)-($I128-DateToday+15))/(INDEX($T$5:$T$8,$AW128+1)-INDEX($T$5:$T$8,$AW128)))/INDEX(V$5:V$8,$AW128+1)^((INDEX($T$5:$T$8,$AW128)-($I128-DateToday+15))/(INDEX($T$5:$T$8,$AW128+1)-INDEX($T$5:$T$8,$AW128))))</f>
        <v>55.1376944626519</v>
      </c>
      <c r="AZ128" s="468" t="n">
        <f aca="false">IF($AW128="",AZ127^2/AZ126,INDEX(W$5:W$8,$AW128)^((INDEX($T$5:$T$8,$AW128+1)-($I128-DateToday+15))/(INDEX($T$5:$T$8,$AW128+1)-INDEX($T$5:$T$8,$AW128)))/INDEX(W$5:W$8,$AW128+1)^((INDEX($T$5:$T$8,$AW128)-($I128-DateToday+15))/(INDEX($T$5:$T$8,$AW128+1)-INDEX($T$5:$T$8,$AW128))))</f>
        <v>96973.7896839728</v>
      </c>
      <c r="BA128" s="468" t="n">
        <f aca="false">IF($AW128="",BA127^2/BA126,INDEX(X$5:X$8,$AW128)^((INDEX($T$5:$T$8,$AW128+1)-($I128-DateToday+15))/(INDEX($T$5:$T$8,$AW128+1)-INDEX($T$5:$T$8,$AW128)))/INDEX(X$5:X$8,$AW128+1)^((INDEX($T$5:$T$8,$AW128)-($I128-DateToday+15))/(INDEX($T$5:$T$8,$AW128+1)-INDEX($T$5:$T$8,$AW128))))</f>
        <v>1259873.55554839</v>
      </c>
      <c r="BB128" s="468" t="n">
        <f aca="false">IF($AW128="",BB127^2/BB126,INDEX(Y$5:Y$8,$AW128)^((INDEX($T$5:$T$8,$AW128+1)-($I128-DateToday+15))/(INDEX($T$5:$T$8,$AW128+1)-INDEX($T$5:$T$8,$AW128)))/INDEX(Y$5:Y$8,$AW128+1)^((INDEX($T$5:$T$8,$AW128)-($I128-DateToday+15))/(INDEX($T$5:$T$8,$AW128+1)-INDEX($T$5:$T$8,$AW128))))</f>
        <v>11957504.8992696</v>
      </c>
      <c r="BC128" s="468" t="n">
        <f aca="false">IF($AW128="",BC127^2/BC126,INDEX(Z$5:Z$8,$AW128)^((INDEX($T$5:$T$8,$AW128+1)-($I128-DateToday+15))/(INDEX($T$5:$T$8,$AW128+1)-INDEX($T$5:$T$8,$AW128)))/INDEX(Z$5:Z$8,$AW128+1)^((INDEX($T$5:$T$8,$AW128)-($I128-DateToday+15))/(INDEX($T$5:$T$8,$AW128+1)-INDEX($T$5:$T$8,$AW128))))</f>
        <v>46419662.7232855</v>
      </c>
      <c r="BD128" s="535" t="n">
        <f aca="false">IF(OR(DateStart&gt;=I129,DateEnd&lt;I128),0,IF(VolumeOverrideFlag,V128,Volume))</f>
        <v>0</v>
      </c>
      <c r="BE128" s="536" t="n">
        <f aca="false">IF(OR(DateStart2&gt;=I129,DateEnd2&lt;I128),0,IF(VolumeOverrideFlag,V128,VolumeSwaption))</f>
        <v>0</v>
      </c>
      <c r="BF128" s="537" t="n">
        <f aca="false">YEAR(I128)</f>
        <v>2009</v>
      </c>
      <c r="BG128" s="538" t="n">
        <f aca="false">MONTH(I128)</f>
        <v>9</v>
      </c>
      <c r="BH128" s="539" t="n">
        <f aca="false">AD128-DateToday+1</f>
        <v>-5884</v>
      </c>
      <c r="BI128" s="540" t="n">
        <f aca="false">(I128-DateToday+1)/365.25</f>
        <v>-16.0657084188912</v>
      </c>
      <c r="BJ128" s="541" t="n">
        <f aca="false">BI128+(BL128-BI128)*CHOOSE(Underlying,AJ128/AI128,AM128/AL128)</f>
        <v>-16.0151826270923</v>
      </c>
      <c r="BK128" s="541" t="n">
        <f aca="false">BJ128+1/365.25</f>
        <v>-16.0124447763051</v>
      </c>
      <c r="BL128" s="541" t="n">
        <f aca="false">(I129-DateToday)/365.25</f>
        <v>-15.9863107460643</v>
      </c>
      <c r="BM128" s="542" t="e">
        <f aca="false">MAX(BI128-(BJ128-BI128)*(S129^2/O129^2-1),0)</f>
        <v>#DIV/0!</v>
      </c>
      <c r="BN128" s="541" t="e">
        <f aca="false">MAX(BL128+(BL128-BK128)*(S130^2/O130^2-1),0)</f>
        <v>#DIV/0!</v>
      </c>
      <c r="BO128" s="530" t="n">
        <f aca="false">CHOOSE(Underlying,AI128,AL128)</f>
        <v>22</v>
      </c>
      <c r="BP128" s="529" t="n">
        <f aca="false">CHOOSE(Underlying,AJ128,AM128)</f>
        <v>14</v>
      </c>
      <c r="BQ128" s="529" t="n">
        <f aca="false">CHOOSE(Underlying,AK128,AN128)</f>
        <v>8</v>
      </c>
      <c r="BR128" s="463" t="str">
        <f aca="false">IF(BD128,IF(Underlying=1,X128,Z128)+UnderlyingPriceAsian-SwapPriceCurve,"")</f>
        <v/>
      </c>
      <c r="BS128" s="463" t="str">
        <f aca="false">IF(BD128,Strike1/BR128-1,"")</f>
        <v/>
      </c>
      <c r="BT128" s="464" t="str">
        <f aca="false">IF(BD128,Strike2/BR128-1,"")</f>
        <v/>
      </c>
      <c r="BU128" s="465" t="str">
        <f aca="false">IF(BD128,IF(Underlying=1,L129,R129)+UnderlyingPriceAsian-SwapPriceCurve,"")</f>
        <v/>
      </c>
      <c r="BV128" s="465" t="str">
        <f aca="false">IF(BD128,IF(Underlying=1,L130,R130)+UnderlyingPriceAsian-SwapPriceCurve,"")</f>
        <v/>
      </c>
      <c r="BW128" s="466" t="str">
        <f aca="false">IF(BD128,IF(Underlying=1,O129,AT129),"")</f>
        <v/>
      </c>
      <c r="BX128" s="467" t="str">
        <f aca="false">IF(BD128,IF(Underlying=1,O130,AT130),"")</f>
        <v/>
      </c>
      <c r="BY128" s="466" t="str">
        <f aca="false">IF(BD128,IF(BS128&gt;0,IF(BS128&gt;0.2,BC128-BB128,IF(BS128&gt;0.1,BB128-BA128,BA128)),IF(BS128&lt;-0.2,AX128-AY128,IF(BS128&lt;-0.1,AY128-AZ128,AZ128))),"")</f>
        <v/>
      </c>
      <c r="BZ128" s="467" t="str">
        <f aca="false">IF(BD128,IF(BT128&gt;0,IF(BT128&gt;0.2,BC128-BB128,IF(BT128&gt;0.1,BB128-BA128,BA128)),IF(BT128&lt;-0.2,AX128-AY128,IF(BT128&lt;-0.1,AY128-AZ128,AZ128))),"")</f>
        <v/>
      </c>
      <c r="CA128" s="468" t="str">
        <f aca="false">IF($BD128,$BW128+IF(VolSkewFlag=1,IF(BS128&gt;0,$BA128*MIN(BS128/10%,1)+($BB128-$BA128)*MAX(0,MIN(BS128/10%-1,1))+($BC128-$BB128)*MAX(0,BS128/10%-2),$AZ128*MIN(-BS128/10%,1)+($AY128-$AZ128)*MAX(0,MIN(-BS128/10%-1,1))+($AX128-$AY128)*MAX(0,-BS128/10%-2)),0),"")</f>
        <v/>
      </c>
      <c r="CB128" s="468" t="str">
        <f aca="false">IF($BD128,$BX128+IF(VolSkewFlag=1,IF(BS128&gt;0,$BA128*MIN(BS128/10%,1)+($BB128-$BA128)*MAX(0,MIN(BS128/10%-1,1))+($BC128-$BB128)*MAX(0,BS128/10%-2),$AZ128*MIN(-BS128/10%,1)+($AY128-$AZ128)*MAX(0,MIN(-BS128/10%-1,1))+($AX128-$AY128)*MAX(0,-BS128/10%-2)),0),"")</f>
        <v/>
      </c>
      <c r="CC128" s="468" t="str">
        <f aca="false">IF($BD128,$BW128+IF(VolSkewFlag=1,IF(BT128&gt;0,$BA128*MIN(BT128/10%,1)+($BB128-$BA128)*MAX(0,MIN(BT128/10%-1,1))+($BC128-$BB128)*MAX(0,BT128/10%-2),$AZ128*MIN(-BT128/10%,1)+($AY128-$AZ128)*MAX(0,MIN(-BT128/10%-1,1))+($AX128-$AY128)*MAX(0,-BT128/10%-2)),0),"")</f>
        <v/>
      </c>
      <c r="CD128" s="468" t="str">
        <f aca="false">IF($BD128,$BX128+IF(VolSkewFlag=1,IF(BT128&gt;0,$BA128*MIN(BT128/10%,1)+($BB128-$BA128)*MAX(0,MIN(BT128/10%-1,1))+($BC128-$BB128)*MAX(0,BT128/10%-2),$AZ128*MIN(-BT128/10%,1)+($AY128-$AZ128)*MAX(0,MIN(-BT128/10%-1,1))+($AX128-$AY128)*MAX(0,-BT128/10%-2)),0),"")</f>
        <v/>
      </c>
      <c r="CE128" s="469" t="n">
        <v>1</v>
      </c>
      <c r="CF128" s="470" t="n">
        <f aca="false">IF(BD128,xCrudeAPO(BU128,BV128,CA128,CB128,S129,S130,BI128,BL128,BP128,BQ128,0,Strike1,AO128,CE128,0,BL128,IF(OptControl=4,0,1),0,1),0)</f>
        <v>0</v>
      </c>
      <c r="CG128" s="470" t="n">
        <f aca="false">IF(BD128,xCrudeAPO(BU128,BV128,CA128,CB128,S129,S130,BI128,BL128,BP128,BQ128,0,Strike1,AO128,CE128,0,BL128,IF(OptControl=4,0,1),1,1)+xCrudeAPO(BU128,BV128,CA128,CB128,S129,S130,BI128,BL128,BP128,BQ128,0,Strike1,AO128,CE128,0,BL128,IF(OptControl=4,0,1),1,2)+IF(OR(VolSkewFlag=2,ABS(BS128)&lt;0.0001),0,IF(BS128&gt;0,-1,1)*CH128*Strike1/BR128^2*BY128/10%),0)</f>
        <v>0</v>
      </c>
      <c r="CH128" s="470" t="n">
        <f aca="false">IF(BD128,(xCrudeAPO(BU128,BV128,CA128,CB128,S129,S130,BI128,BL128,BP128,BQ128,0,Strike1,AO128,CE128,0,BL128,IF(OptControl=4,0,1),3,1)+xCrudeAPO(BU128,BV128,CA128,CB128,S129,S130,BI128,BL128,BP128,BQ128,0,Strike1,AO128,CE128,0,BL128,IF(OptControl=4,0,1),3,2))/100,0)</f>
        <v>0</v>
      </c>
      <c r="CI128" s="470" t="n">
        <f aca="false">IF(BD128,xCrudeAPO(BU128,BV128,CA128,CB128,S129,S130,BI128-DaysForThetaCalculation/365.25,BL128-DaysForThetaCalculation/365.25,BP128,BQ128,0,Strike1,AO128,CE128,0,BL128,IF(OptControl=4,0,1),0,1)-xCrudeAPO(BU128,BV128,CA128,CB128,S129,S130,BI128,BL128,BP128,BQ128,0,Strike1,AO128,CE128,0,BL128,IF(OptControl=4,0,1),0,1),0)</f>
        <v>0</v>
      </c>
      <c r="CJ128" s="471" t="n">
        <f aca="false">IF(BD128,xCrudeAPO(BU128,BV128,CC128,CD128,S129,S130,BI128,BL128,BP128,BQ128,0,Strike2,AO128,CE128,0,BL128,IF(OptControl=3,1,0),0,1),0)</f>
        <v>0</v>
      </c>
      <c r="CK128" s="470" t="n">
        <f aca="false">IF(BD128,xCrudeAPO(BU128,BV128,CC128,CD128,S129,S130,BI128,BL128,BP128,BQ128,0,Strike2,AO128,CE128,0,BL128,IF(OptControl=3,1,0),1,1)+xCrudeAPO(BU128,BV128,CC128,CD128,S129,S130,BI128,BL128,BP128,BQ128,0,Strike2,AO128,CE128,0,BL128,IF(OptControl=3,1,0),1,2)+IF(OR(VolSkewFlag=2,ABS(BT128)&lt;0.0001),0,IF(BT128&gt;0,-1,1)*CL128*Strike2/BR128^2*BZ128/10%),0)</f>
        <v>0</v>
      </c>
      <c r="CL128" s="470" t="n">
        <f aca="false">IF(BD128,(xCrudeAPO(BU128,BV128,CC128,CD128,S129,S130,BI128,BL128,BP128,BQ128,0,Strike2,AO128,CE128,0,BL128,IF(OptControl=3,1,0),3,1)+xCrudeAPO(BU128,BV128,CC128,CD128,S129,S130,BI128,BL128,BP128,BQ128,0,Strike2,AO128,CE128,0,BL128,IF(OptControl=3,1,0),3,2))/100,0)</f>
        <v>0</v>
      </c>
      <c r="CM128" s="472" t="n">
        <f aca="false">IF(BD128,xCrudeAPO(BU128,BV128,CC128,CD128,S129,S130,BI128-DaysForThetaCalculation/365.25,BL128-DaysForThetaCalculation/365.25,BP128,BQ128,0,Strike2,AO128,CE128,0,BL128,IF(OptControl=3,1,0),0,1)-xCrudeAPO(BU128,BV128,CC128,CD128,S129,S130,BI128,BL128,BP128,BQ128,0,Strike2,AO128,CE128,0,BL128,IF(OptControl=3,1,0),0,1),0)</f>
        <v>0</v>
      </c>
      <c r="CN128" s="3"/>
      <c r="CO128" s="543" t="str">
        <f aca="false">IF(BD128,CHOOSE(Underlying,AD128,AF128)-DateToday+1,"")</f>
        <v/>
      </c>
      <c r="CP128" s="582" t="str">
        <f aca="false">IF(BD128,CHOOSE(Underlying,L128,R128),"")</f>
        <v/>
      </c>
      <c r="CQ128" s="544" t="str">
        <f aca="false">IF(BD128,Strike1/CP128-1,"")</f>
        <v/>
      </c>
      <c r="CR128" s="544" t="str">
        <f aca="false">IF(BD128,Strike2/CP128-1,"")</f>
        <v/>
      </c>
      <c r="CS128" s="544" t="str">
        <f aca="false">IF(BD128,IF(CQ128&gt;0,IF(CQ128&gt;0.2,BC127-BB127,IF(CQ128&gt;0.1,BB127-BA127,BA127)),IF(CQ128&lt;-0.2,AX127-AY127,IF(CQ128&lt;-0.1,AY127-AZ127,AZ127))),"")</f>
        <v/>
      </c>
      <c r="CT128" s="544" t="str">
        <f aca="false">IF(BD128,IF(CR128&gt;0,IF(CR128&gt;0.2,BC127-BB127,IF(CR128&gt;0.1,BB127-BA127,BA127)),IF(CR128&lt;-0.2,AX127-AY127,IF(CR128&lt;-0.1,AY127-AZ127,AZ127))),"")</f>
        <v/>
      </c>
      <c r="CU128" s="545" t="str">
        <f aca="false">IF(BD128,CHOOSE(Underlying,O128,AT128),"")</f>
        <v/>
      </c>
      <c r="CV128" s="545" t="str">
        <f aca="false">IF(BD128,CU128+IF(VolSkewFlag=1,IF(CQ128&gt;0,BA127*MIN(CQ128/10%,1)+(BB127-BA127)*MAX(0,MIN(CQ128/10%-1,1))+(BC127-BB127)*MAX(0,CQ128/10%-2),AZ127*MIN(-CQ128/10%,1)+(AY127-AZ127)*MAX(0,MIN(-CQ128/10%-1,1))+(AX127-AY127)*MAX(0,-CQ128/10%-2)),0),"")</f>
        <v/>
      </c>
      <c r="CW128" s="545" t="str">
        <f aca="false">IF(BD128,CU128+IF(VolSkewFlag=1,IF(CR128&gt;0,BA127*MIN(CR128/10%,1)+(BB127-BA127)*MAX(0,MIN(CR128/10%-1,1))+(BC127-BB127)*MAX(0,CR128/10%-2),AZ127*MIN(-CR128/10%,1)+(AY127-AZ127)*MAX(0,MIN(-CR128/10%-1,1))+(AX127-AY127)*MAX(0,-CR128/10%-2)),0),"")</f>
        <v/>
      </c>
      <c r="CX128" s="470" t="n">
        <f aca="false">IF(BD128,EURO(CP128,Strike1,AO128,AO128,CV128,CO128,IF(OptControl=4,0,1),0),0)</f>
        <v>0</v>
      </c>
      <c r="CY128" s="470" t="n">
        <f aca="false">IF(BD128,EURO(CP128,Strike1,AO128,AO128,CV128,CO128,IF(OptControl=4,0,1),1)+IF(OR(VolSkewFlag=2,ABS(CQ128)&lt;0.0001),0,IF(CQ128&gt;0,-1,1)*CZ128*100*Strike1/CP128^2*CS128/10%),0)</f>
        <v>0</v>
      </c>
      <c r="CZ128" s="470" t="n">
        <f aca="false">IF(BD128,EURO(CP128,Strike1,AO128,AO128,CV128,CO128,IF(OptControl=4,0,1),3)/100,0)</f>
        <v>0</v>
      </c>
      <c r="DA128" s="470" t="n">
        <f aca="false">IF(BD128,EURO(CP128,Strike1,AO128,AO128,CV128,CO128,IF(OptControl=4,0,1),0)-EURO(CP128,Strike1,AO128,AO128,CV128,CO128-1,IF(OptControl=4,0,1),0),0)</f>
        <v>0</v>
      </c>
      <c r="DB128" s="470" t="n">
        <f aca="false">IF(BD128,EURO(CP128,Strike2,AO128,AO128,CW128,CO128,IF(OptControl=3,1,0),0),0)</f>
        <v>0</v>
      </c>
      <c r="DC128" s="470" t="n">
        <f aca="false">IF(BD128,EURO(CP128,Strike2,AO128,AO128,CW128,CO128,IF(OptControl=3,1,0),1)+IF(OR(VolSkewFlag=2,ABS(CR128)&lt;0.0001),0,IF(CR128&gt;0,-1,1)*DD128*100*Strike2/CP128^2*CT128/10%),0)</f>
        <v>0</v>
      </c>
      <c r="DD128" s="470" t="n">
        <f aca="false">IF(BD128,EURO(CP128,Strike2,AO128,AO128,CW128,CO128,IF(OptControl=3,1,0),3)/100,0)</f>
        <v>0</v>
      </c>
      <c r="DE128" s="472" t="n">
        <f aca="false">IF(BD128,EURO(CP128,Strike2,AO128,AO128,CW128,CO128,IF(OptControl=3,1,0),0)-EURO(CP128,Strike2,AO128,AO128,CW128,CO128-1,IF(OptControl=3,1,0),0),0)</f>
        <v>0</v>
      </c>
      <c r="DG128" s="481" t="n">
        <f aca="false">EOMONTH(DG127,0)+1</f>
        <v>48976</v>
      </c>
      <c r="DH128" s="478" t="n">
        <v>19.56</v>
      </c>
      <c r="DI128" s="479" t="n">
        <v>19.6225</v>
      </c>
      <c r="DJ128" s="480" t="n">
        <f aca="false">DG128</f>
        <v>48976</v>
      </c>
      <c r="DK128" s="478" t="n">
        <v>18.360967747096</v>
      </c>
      <c r="DL128" s="479" t="n">
        <v>18.454</v>
      </c>
      <c r="DM128" s="481" t="n">
        <f aca="false">DG128</f>
        <v>48976</v>
      </c>
      <c r="DN128" s="482" t="n">
        <f aca="false">DK128+BrentPhyBrentSpread</f>
        <v>18.410967747096</v>
      </c>
      <c r="DO128" s="481" t="n">
        <f aca="false">DG128</f>
        <v>48976</v>
      </c>
      <c r="DP128" s="483" t="n">
        <f aca="false">DL128+DQ128</f>
        <v>18.454</v>
      </c>
      <c r="DQ128" s="546" t="n">
        <v>0</v>
      </c>
      <c r="DR128" s="480" t="n">
        <f aca="false">DG128</f>
        <v>48976</v>
      </c>
      <c r="DS128" s="485" t="n">
        <v>0.159799999999999</v>
      </c>
      <c r="DT128" s="486" t="n">
        <v>0.159049999999999</v>
      </c>
      <c r="DU128" s="480" t="n">
        <f aca="false">DG128</f>
        <v>48976</v>
      </c>
      <c r="DV128" s="485" t="n">
        <v>0.159799999999999</v>
      </c>
      <c r="DW128" s="486" t="n">
        <v>0.159049999999999</v>
      </c>
      <c r="DX128" s="481" t="n">
        <f aca="false">DG128</f>
        <v>48976</v>
      </c>
      <c r="DY128" s="486" t="n">
        <v>0.35</v>
      </c>
      <c r="DZ128" s="481" t="n">
        <f aca="false">DR128</f>
        <v>48976</v>
      </c>
      <c r="EA128" s="486" t="n">
        <f aca="false">DT128</f>
        <v>0.159049999999999</v>
      </c>
      <c r="EB128" s="195"/>
      <c r="EC128" s="547" t="str">
        <f aca="false">IF(BD128,IF(Underlying=1,AS128,AU128),"")</f>
        <v/>
      </c>
      <c r="ED128" s="548" t="str">
        <f aca="false">IF($BD128,$EC128+IF(VolSkewFlag=1,IF(BS128&gt;0,$BA128*MIN(BS128/10%,1)+($BB128-$BA128)*MAX(0,MIN(BS128/10%-1,1))+($BC128-$BB128)*MAX(0,BS128/10%-2),$AZ128*MIN(-BS128/10%,1)+($AY128-$AZ128)*MAX(0,MIN(-BS128/10%-1,1))+($AX128-$AY128)*MAX(0,-BS128/10%-2)),0),"")</f>
        <v/>
      </c>
      <c r="EE128" s="549" t="str">
        <f aca="false">IF($BD128,$EC128+IF(VolSkewFlag=1,IF(BT128&gt;0,$BA128*MIN(BT128/10%,1)+($BB128-$BA128)*MAX(0,MIN(BT128/10%-1,1))+($BC128-$BB128)*MAX(0,BT128/10%-2),$AZ128*MIN(-BT128/10%,1)+($AY128-$AZ128)*MAX(0,MIN(-BT128/10%-1,1))+($AX128-$AY128)*MAX(0,-BT128/10%-2)),0),"")</f>
        <v/>
      </c>
      <c r="EF128" s="550" t="n">
        <f aca="false">IF(BD128,xASN(BR128,Strike1,AO128,ED128,0,BO128,0,BI128,BL128,IF(OptControl=4,0,1),0),0)</f>
        <v>0</v>
      </c>
      <c r="EG128" s="551" t="n">
        <f aca="false">IF(BD128,xASN(BR128,Strike2,AO128,EE128,0,BO128,0,BI128,BL128,IF(OptControl=3,1,0),0),0)</f>
        <v>0</v>
      </c>
      <c r="EL128" s="1"/>
      <c r="EM128" s="195"/>
      <c r="EN128" s="240"/>
      <c r="EO128" s="240"/>
      <c r="EP128" s="195"/>
      <c r="EQ128" s="407" t="s">
        <v>355</v>
      </c>
      <c r="ES128" s="130"/>
      <c r="ET128" s="19"/>
      <c r="EU128" s="672"/>
      <c r="EV128" s="478"/>
      <c r="EW128" s="131"/>
      <c r="EX128" s="131"/>
      <c r="EY128" s="129"/>
      <c r="EZ128" s="129"/>
      <c r="FA128" s="129"/>
      <c r="FB128" s="129"/>
      <c r="FC128" s="129"/>
      <c r="FD128" s="129"/>
      <c r="FE128" s="129"/>
      <c r="FF128" s="129"/>
      <c r="FG128" s="129"/>
      <c r="FH128" s="129"/>
      <c r="FI128" s="129"/>
      <c r="FJ128" s="571" t="n">
        <v>34</v>
      </c>
      <c r="FK128" s="150" t="e">
        <f aca="false">IF($FJ53&lt;FK$94,"",SQRT(FK53/FK$15))</f>
        <v>#DIV/0!</v>
      </c>
      <c r="FL128" s="150" t="n">
        <f aca="false">IF($FJ53&lt;FL$94,"",SQRT(FL53/FL$15))</f>
        <v>-0</v>
      </c>
      <c r="FM128" s="150" t="n">
        <f aca="false">IF($FJ53&lt;FM$94,"",SQRT(FM53/FM$15))</f>
        <v>0.171527166713653</v>
      </c>
      <c r="FN128" s="150" t="n">
        <f aca="false">IF($FJ53&lt;FN$94,"",SQRT(FN53/FN$15))</f>
        <v>0.16840076883923</v>
      </c>
      <c r="FO128" s="150" t="n">
        <f aca="false">IF($FJ53&lt;FO$94,"",SQRT(FO53/FO$15))</f>
        <v>0.166122985237624</v>
      </c>
      <c r="FP128" s="150" t="n">
        <f aca="false">IF($FJ53&lt;FP$94,"",SQRT(FP53/FP$15))</f>
        <v>0.164493539124992</v>
      </c>
      <c r="FQ128" s="150" t="n">
        <f aca="false">IF($FJ53&lt;FQ$94,"",SQRT(FQ53/FQ$15))</f>
        <v>0.163364248775528</v>
      </c>
      <c r="FR128" s="150" t="n">
        <f aca="false">IF($FJ53&lt;FR$94,"",SQRT(FR53/FR$15))</f>
        <v>0.162626373652031</v>
      </c>
      <c r="FS128" s="150" t="n">
        <f aca="false">IF($FJ53&lt;FS$94,"",SQRT(FS53/FS$15))</f>
        <v>0.162201193916626</v>
      </c>
      <c r="FT128" s="150" t="n">
        <f aca="false">IF($FJ53&lt;FT$94,"",SQRT(FT53/FT$15))</f>
        <v>0.162033029905347</v>
      </c>
      <c r="FU128" s="150" t="n">
        <f aca="false">IF($FJ53&lt;FU$94,"",SQRT(FU53/FU$15))</f>
        <v>0.162084110188421</v>
      </c>
      <c r="FV128" s="150" t="n">
        <f aca="false">IF($FJ53&lt;FV$94,"",SQRT(FV53/FV$15))</f>
        <v>0.162330849458804</v>
      </c>
      <c r="FW128" s="150" t="n">
        <f aca="false">IF($FJ53&lt;FW$94,"",SQRT(FW53/FW$15))</f>
        <v>0.162761213429981</v>
      </c>
      <c r="FX128" s="150" t="n">
        <f aca="false">IF($FJ53&lt;FX$94,"",SQRT(FX53/FX$15))</f>
        <v>0.163372936883259</v>
      </c>
      <c r="FY128" s="150" t="n">
        <f aca="false">IF($FJ53&lt;FY$94,"",SQRT(FY53/FY$15))</f>
        <v>0.164172430482225</v>
      </c>
      <c r="FZ128" s="150" t="n">
        <f aca="false">IF($FJ53&lt;FZ$94,"",SQRT(FZ53/FZ$15))</f>
        <v>0.165174267912407</v>
      </c>
      <c r="GA128" s="150" t="n">
        <f aca="false">IF($FJ53&lt;GA$94,"",SQRT(GA53/GA$15))</f>
        <v>0.166401192242231</v>
      </c>
      <c r="GB128" s="150" t="n">
        <f aca="false">IF($FJ53&lt;GB$94,"",SQRT(GB53/GB$15))</f>
        <v>0.167884623552135</v>
      </c>
      <c r="GC128" s="150" t="n">
        <f aca="false">IF($FJ53&lt;GC$94,"",SQRT(GC53/GC$15))</f>
        <v>0.169665693237447</v>
      </c>
      <c r="GD128" s="150" t="n">
        <f aca="false">IF($FJ53&lt;GD$94,"",SQRT(GD53/GD$15))</f>
        <v>0.171796878924382</v>
      </c>
      <c r="GE128" s="150" t="n">
        <f aca="false">IF($FJ53&lt;GE$94,"",SQRT(GE53/GE$15))</f>
        <v>0.174344373986886</v>
      </c>
      <c r="GF128" s="150" t="n">
        <f aca="false">IF($FJ53&lt;GF$94,"",SQRT(GF53/GF$15))</f>
        <v>0.177391406129098</v>
      </c>
      <c r="GG128" s="150" t="n">
        <f aca="false">IF($FJ53&lt;GG$94,"",SQRT(GG53/GG$15))</f>
        <v>0.18104283382843</v>
      </c>
      <c r="GH128" s="150" t="n">
        <f aca="false">IF($FJ53&lt;GH$94,"",SQRT(GH53/GH$15))</f>
        <v>0.185431518816037</v>
      </c>
      <c r="GI128" s="150" t="n">
        <f aca="false">IF($FJ53&lt;GI$94,"",SQRT(GI53/GI$15))</f>
        <v>0.190727231878318</v>
      </c>
      <c r="GJ128" s="150" t="n">
        <f aca="false">IF($FJ53&lt;GJ$94,"",SQRT(GJ53/GJ$15))</f>
        <v>0.197149256497704</v>
      </c>
      <c r="GK128" s="150" t="n">
        <f aca="false">IF($FJ53&lt;GK$94,"",SQRT(GK53/GK$15))</f>
        <v>0.204984511327807</v>
      </c>
      <c r="GL128" s="150" t="n">
        <f aca="false">IF($FJ53&lt;GL$94,"",SQRT(GL53/GL$15))</f>
        <v>0.214614098227125</v>
      </c>
      <c r="GM128" s="150" t="n">
        <f aca="false">IF($FJ53&lt;GM$94,"",SQRT(GM53/GM$15))</f>
        <v>0.226553027651874</v>
      </c>
      <c r="GN128" s="150" t="n">
        <f aca="false">IF($FJ53&lt;GN$94,"",SQRT(GN53/GN$15))</f>
        <v>0.241511102777139</v>
      </c>
      <c r="GO128" s="150" t="n">
        <f aca="false">IF($FJ53&lt;GO$94,"",SQRT(GO53/GO$15))</f>
        <v>0.260488784649067</v>
      </c>
      <c r="GP128" s="150" t="n">
        <f aca="false">IF($FJ53&lt;GP$94,"",SQRT(GP53/GP$15))</f>
        <v>0.284932818558444</v>
      </c>
      <c r="GQ128" s="150" t="n">
        <f aca="false">IF($FJ53&lt;GQ$94,"",SQRT(GQ53/GQ$15))</f>
        <v>0.316997828806345</v>
      </c>
      <c r="GR128" s="150" t="n">
        <f aca="false">IF($FJ53&lt;GR$94,"",SQRT(GR53/GR$15))</f>
        <v>0.360004018097029</v>
      </c>
      <c r="GS128" s="150" t="str">
        <f aca="false">IF($FJ53&lt;GS$94,"",SQRT(GS53/GS$15))</f>
        <v/>
      </c>
      <c r="GT128" s="150" t="str">
        <f aca="false">IF($FJ53&lt;GT$94,"",SQRT(GT53/GT$15))</f>
        <v/>
      </c>
      <c r="GU128" s="150" t="str">
        <f aca="false">IF($FJ53&lt;GU$94,"",SQRT(GU53/GU$15))</f>
        <v/>
      </c>
      <c r="GV128" s="150" t="str">
        <f aca="false">IF($FJ53&lt;GV$94,"",SQRT(GV53/GV$15))</f>
        <v/>
      </c>
      <c r="GW128" s="150" t="str">
        <f aca="false">IF($FJ53&lt;GW$94,"",SQRT(GW53/GW$15))</f>
        <v/>
      </c>
      <c r="GX128" s="150" t="str">
        <f aca="false">IF($FJ53&lt;GX$94,"",SQRT(GX53/GX$15))</f>
        <v/>
      </c>
      <c r="GY128" s="150" t="str">
        <f aca="false">IF($FJ53&lt;GY$94,"",SQRT(GY53/GY$15))</f>
        <v/>
      </c>
      <c r="GZ128" s="150" t="str">
        <f aca="false">IF($FJ53&lt;GZ$94,"",SQRT(GZ53/GZ$15))</f>
        <v/>
      </c>
      <c r="HA128" s="150" t="str">
        <f aca="false">IF($FJ53&lt;HA$94,"",SQRT(HA53/HA$15))</f>
        <v/>
      </c>
      <c r="HB128" s="150" t="str">
        <f aca="false">IF($FJ53&lt;HB$94,"",SQRT(HB53/HB$15))</f>
        <v/>
      </c>
      <c r="HC128" s="150" t="str">
        <f aca="false">IF($FJ53&lt;HC$94,"",SQRT(HC53/HC$15))</f>
        <v/>
      </c>
      <c r="HD128" s="150" t="str">
        <f aca="false">IF($FJ53&lt;HD$94,"",SQRT(HD53/HD$15))</f>
        <v/>
      </c>
      <c r="HE128" s="150" t="str">
        <f aca="false">IF($FJ53&lt;HE$94,"",SQRT(HE53/HE$15))</f>
        <v/>
      </c>
      <c r="HF128" s="150" t="str">
        <f aca="false">IF($FJ53&lt;HF$94,"",SQRT(HF53/HF$15))</f>
        <v/>
      </c>
      <c r="HG128" s="150" t="str">
        <f aca="false">IF($FJ53&lt;HG$94,"",SQRT(HG53/HG$15))</f>
        <v/>
      </c>
      <c r="HH128" s="150" t="str">
        <f aca="false">IF($FJ53&lt;HH$94,"",SQRT(HH53/HH$15))</f>
        <v/>
      </c>
      <c r="HI128" s="150" t="str">
        <f aca="false">IF($FJ53&lt;HI$94,"",SQRT(HI53/HI$15))</f>
        <v/>
      </c>
      <c r="HJ128" s="150" t="str">
        <f aca="false">IF($FJ53&lt;HJ$94,"",SQRT(HJ53/HJ$15))</f>
        <v/>
      </c>
      <c r="HK128" s="150" t="str">
        <f aca="false">IF($FJ53&lt;HK$94,"",SQRT(HK53/HK$15))</f>
        <v/>
      </c>
      <c r="HL128" s="150" t="str">
        <f aca="false">IF($FJ53&lt;HL$94,"",SQRT(HL53/HL$15))</f>
        <v/>
      </c>
      <c r="HM128" s="150" t="str">
        <f aca="false">IF($FJ53&lt;HM$94,"",SQRT(HM53/HM$15))</f>
        <v/>
      </c>
      <c r="HN128" s="150" t="str">
        <f aca="false">IF($FJ53&lt;HN$94,"",SQRT(HN53/HN$15))</f>
        <v/>
      </c>
      <c r="HO128" s="150" t="str">
        <f aca="false">IF($FJ53&lt;HO$94,"",SQRT(HO53/HO$15))</f>
        <v/>
      </c>
      <c r="HP128" s="150" t="str">
        <f aca="false">IF($FJ53&lt;HP$94,"",SQRT(HP53/HP$15))</f>
        <v/>
      </c>
      <c r="HQ128" s="150" t="str">
        <f aca="false">IF($FJ53&lt;HQ$94,"",SQRT(HQ53/HQ$15))</f>
        <v/>
      </c>
      <c r="HR128" s="150" t="str">
        <f aca="false">IF($FJ53&lt;HR$94,"",SQRT(HR53/HR$15))</f>
        <v/>
      </c>
      <c r="HS128" s="150" t="str">
        <f aca="false">IF($FJ53&lt;HS$94,"",SQRT(HS53/HS$15))</f>
        <v/>
      </c>
      <c r="HT128" s="150" t="str">
        <f aca="false">IF($FJ53&lt;HT$94,"",SQRT(HT53/HT$15))</f>
        <v/>
      </c>
      <c r="HU128" s="150" t="str">
        <f aca="false">IF($FJ53&lt;HU$94,"",SQRT(HU53/HU$15))</f>
        <v/>
      </c>
      <c r="HV128" s="150" t="str">
        <f aca="false">IF($FJ53&lt;HV$94,"",SQRT(HV53/HV$15))</f>
        <v/>
      </c>
      <c r="HW128" s="150" t="str">
        <f aca="false">IF($FJ53&lt;HW$94,"",SQRT(HW53/HW$15))</f>
        <v/>
      </c>
      <c r="HX128" s="150" t="str">
        <f aca="false">IF($FJ53&lt;HX$94,"",SQRT(HX53/HX$15))</f>
        <v/>
      </c>
      <c r="HY128" s="150" t="str">
        <f aca="false">IF($FJ53&lt;HY$94,"",SQRT(HY53/HY$15))</f>
        <v/>
      </c>
      <c r="HZ128" s="150" t="str">
        <f aca="false">IF($FJ53&lt;HZ$94,"",SQRT(HZ53/HZ$15))</f>
        <v/>
      </c>
      <c r="IA128" s="150" t="str">
        <f aca="false">IF($FJ53&lt;IA$94,"",SQRT(IA53/IA$15))</f>
        <v/>
      </c>
      <c r="IB128" s="150" t="str">
        <f aca="false">IF($FJ53&lt;IB$94,"",SQRT(IB53/IB$15))</f>
        <v/>
      </c>
      <c r="IC128" s="150" t="str">
        <f aca="false">IF($FJ53&lt;IC$94,"",SQRT(IC53/IC$15))</f>
        <v/>
      </c>
      <c r="ID128" s="572" t="str">
        <f aca="false">IF($FJ53&lt;ID$94,"",SQRT(ID53/ID$15))</f>
        <v/>
      </c>
      <c r="IE128" s="129"/>
    </row>
    <row r="129" customFormat="false" ht="12.75" hidden="false" customHeight="false" outlineLevel="0" collapsed="false">
      <c r="H129" s="219" t="n">
        <f aca="false">VLOOKUP(I129,$EJ$20:$EL$54,3)</f>
        <v>0</v>
      </c>
      <c r="I129" s="511" t="n">
        <f aca="false">EOMONTH(I128,0)+1</f>
        <v>40087</v>
      </c>
      <c r="J129" s="512"/>
      <c r="K129" s="513" t="s">
        <v>280</v>
      </c>
      <c r="L129" s="514" t="n">
        <f aca="false">IF(ISNUMBER(K129),J129+K129/100,IF(K129="extra",L128+VLOOKUP(BF129,PriceSpreadTable,2)/12,IF(K129="inter",interpolateprices($K$19:$L$200,ROW(K129)-ROW(FirstPricingMonth)+1),interpolatechanges($J$19:$K$200,ROW(K129)-ROW(FirstPricingMonth)+1))))</f>
        <v>1.2375</v>
      </c>
      <c r="M129" s="515"/>
      <c r="N129" s="516" t="n">
        <v>0</v>
      </c>
      <c r="O129" s="515" t="n">
        <f aca="false">M129+N129</f>
        <v>0</v>
      </c>
      <c r="P129" s="512"/>
      <c r="Q129" s="513" t="s">
        <v>280</v>
      </c>
      <c r="R129" s="512" t="e">
        <f aca="false">IF(ISNUMBER(Q129),P129+Q129/100,IF(Q129="extra",(Z127*AL127-R128*AM127)/AN127,IF(Q129="inter",interpolateprices($Q$19:$R$260,ROW(Q129)-ROW(FirstPricingMonth)+1),interpolatechanges($P$19:$Q$260,ROW(Q129)-ROW(FirstPricingMonth)+1))))</f>
        <v>#VALUE!</v>
      </c>
      <c r="S129" s="597" t="n">
        <f aca="false">S$19+(S128-S$19)*S$18</f>
        <v>0.360000000000001</v>
      </c>
      <c r="T129" s="575" t="n">
        <f aca="false">SQRT((1-(1-T128^2/U128)*T$18)*U129)</f>
        <v>0.999999995686858</v>
      </c>
      <c r="U129" s="576" t="n">
        <f aca="false">1-(1-U128)*U$18</f>
        <v>1</v>
      </c>
      <c r="V129" s="521" t="n">
        <v>0</v>
      </c>
      <c r="W129" s="577" t="n">
        <f aca="false">(J130*AJ129+J131*AK129)/AI129</f>
        <v>0</v>
      </c>
      <c r="X129" s="578" t="n">
        <f aca="false">(L130*AJ129+L131*AK129)/AI129</f>
        <v>1.28863636363636</v>
      </c>
      <c r="Y129" s="579" t="n">
        <f aca="false">IF(Q131="extra",W129-AA129,(P130*AM129+P131*AN129)/AL129)</f>
        <v>-1.1931</v>
      </c>
      <c r="Z129" s="579" t="n">
        <f aca="false">IF(Q131="extra",X129-AB129,(R130*AM129+R131*AN129)/AL129)</f>
        <v>0.095536363636364</v>
      </c>
      <c r="AA129" s="523" t="n">
        <f aca="false">IF(Q131="extra",INDEX(BrentSeasonalityTable,INT((BG129-1)/3)+1)*VLOOKUP(MAX(BF129,$AB$4),PriceSpreadTable,3),W129-Y129)</f>
        <v>1.1931</v>
      </c>
      <c r="AB129" s="524" t="n">
        <f aca="false">IF(Q131="extra",INDEX(BrentSeasonalityTable,INT((BG129-1)/3)+1)*VLOOKUP(MAX(BF129,$AB$4),PriceSpreadTable,3),X129-Z129)</f>
        <v>1.1931</v>
      </c>
      <c r="AC129" s="646" t="n">
        <v>40076</v>
      </c>
      <c r="AD129" s="646" t="n">
        <v>40072</v>
      </c>
      <c r="AE129" s="646" t="n">
        <v>40071</v>
      </c>
      <c r="AF129" s="646" t="n">
        <v>40067</v>
      </c>
      <c r="AG129" s="438" t="s">
        <v>278</v>
      </c>
      <c r="AH129" s="439" t="s">
        <v>278</v>
      </c>
      <c r="AI129" s="528" t="n">
        <v>22</v>
      </c>
      <c r="AJ129" s="529" t="n">
        <v>14</v>
      </c>
      <c r="AK129" s="529" t="n">
        <v>8</v>
      </c>
      <c r="AL129" s="530" t="n">
        <v>22</v>
      </c>
      <c r="AM129" s="529" t="n">
        <v>10</v>
      </c>
      <c r="AN129" s="531" t="n">
        <v>12</v>
      </c>
      <c r="AO129" s="532"/>
      <c r="AP129" s="465" t="n">
        <f aca="false">(1+AO129/2)^(-2*BL129)</f>
        <v>1</v>
      </c>
      <c r="AQ129" s="532"/>
      <c r="AR129" s="465" t="n">
        <f aca="false">(1+AQ129/2)^(-2*BH129/365.25)</f>
        <v>1</v>
      </c>
      <c r="AS129" s="580" t="n">
        <f aca="false">(O130*AJ129+O131*AK129)/AI129</f>
        <v>0</v>
      </c>
      <c r="AT129" s="468" t="n">
        <f aca="false">O129*VLOOKUP(BF129,BrentVolTable,2)+VLOOKUP(BF129,BrentVolTable,3)</f>
        <v>0</v>
      </c>
      <c r="AU129" s="468" t="n">
        <f aca="false">(AT130*AM129+AT131*AN129)/AL129</f>
        <v>0</v>
      </c>
      <c r="AV129" s="595" t="n">
        <f aca="false">SQRT(MAX(0.000000000001,(O129^2*BH129-S129^2*(BH129-BH128))/BH128))</f>
        <v>0.0261304576265244</v>
      </c>
      <c r="AW129" s="451" t="n">
        <f aca="false">IF($I129-DateToday+15&gt;=$T$8,"",IF($I129-DateToday+15&lt;$T$5,1,MATCH($I129-DateToday+15,$T$5:$T$8)))</f>
        <v>1</v>
      </c>
      <c r="AX129" s="468" t="n">
        <f aca="false">IF($AW129="",AX128^2/AX127,INDEX(U$5:U$8,$AW129)^((INDEX($T$5:$T$8,$AW129+1)-($I129-DateToday+15))/(INDEX($T$5:$T$8,$AW129+1)-INDEX($T$5:$T$8,$AW129)))/INDEX(U$5:U$8,$AW129+1)^((INDEX($T$5:$T$8,$AW129)-($I129-DateToday+15))/(INDEX($T$5:$T$8,$AW129+1)-INDEX($T$5:$T$8,$AW129))))</f>
        <v>1.22121555464481</v>
      </c>
      <c r="AY129" s="468" t="n">
        <f aca="false">IF($AW129="",AY128^2/AY127,INDEX(V$5:V$8,$AW129)^((INDEX($T$5:$T$8,$AW129+1)-($I129-DateToday+15))/(INDEX($T$5:$T$8,$AW129+1)-INDEX($T$5:$T$8,$AW129)))/INDEX(V$5:V$8,$AW129+1)^((INDEX($T$5:$T$8,$AW129)-($I129-DateToday+15))/(INDEX($T$5:$T$8,$AW129+1)-INDEX($T$5:$T$8,$AW129))))</f>
        <v>52.8948361790362</v>
      </c>
      <c r="AZ129" s="468" t="n">
        <f aca="false">IF($AW129="",AZ128^2/AZ127,INDEX(W$5:W$8,$AW129)^((INDEX($T$5:$T$8,$AW129+1)-($I129-DateToday+15))/(INDEX($T$5:$T$8,$AW129+1)-INDEX($T$5:$T$8,$AW129)))/INDEX(W$5:W$8,$AW129+1)^((INDEX($T$5:$T$8,$AW129)-($I129-DateToday+15))/(INDEX($T$5:$T$8,$AW129+1)-INDEX($T$5:$T$8,$AW129))))</f>
        <v>89420.2986739564</v>
      </c>
      <c r="BA129" s="468" t="n">
        <f aca="false">IF($AW129="",BA128^2/BA127,INDEX(X$5:X$8,$AW129)^((INDEX($T$5:$T$8,$AW129+1)-($I129-DateToday+15))/(INDEX($T$5:$T$8,$AW129+1)-INDEX($T$5:$T$8,$AW129)))/INDEX(X$5:X$8,$AW129+1)^((INDEX($T$5:$T$8,$AW129)-($I129-DateToday+15))/(INDEX($T$5:$T$8,$AW129+1)-INDEX($T$5:$T$8,$AW129))))</f>
        <v>1137515.20460021</v>
      </c>
      <c r="BB129" s="468" t="n">
        <f aca="false">IF($AW129="",BB128^2/BB127,INDEX(Y$5:Y$8,$AW129)^((INDEX($T$5:$T$8,$AW129+1)-($I129-DateToday+15))/(INDEX($T$5:$T$8,$AW129+1)-INDEX($T$5:$T$8,$AW129)))/INDEX(Y$5:Y$8,$AW129+1)^((INDEX($T$5:$T$8,$AW129)-($I129-DateToday+15))/(INDEX($T$5:$T$8,$AW129+1)-INDEX($T$5:$T$8,$AW129))))</f>
        <v>10691360.1075683</v>
      </c>
      <c r="BC129" s="468" t="n">
        <f aca="false">IF($AW129="",BC128^2/BC127,INDEX(Z$5:Z$8,$AW129)^((INDEX($T$5:$T$8,$AW129+1)-($I129-DateToday+15))/(INDEX($T$5:$T$8,$AW129+1)-INDEX($T$5:$T$8,$AW129)))/INDEX(Z$5:Z$8,$AW129+1)^((INDEX($T$5:$T$8,$AW129)-($I129-DateToday+15))/(INDEX($T$5:$T$8,$AW129+1)-INDEX($T$5:$T$8,$AW129))))</f>
        <v>41271236.398059</v>
      </c>
      <c r="BD129" s="535" t="n">
        <f aca="false">IF(OR(DateStart&gt;=I130,DateEnd&lt;I129),0,IF(VolumeOverrideFlag,V129,Volume))</f>
        <v>0</v>
      </c>
      <c r="BE129" s="536" t="n">
        <f aca="false">IF(OR(DateStart2&gt;=I130,DateEnd2&lt;I129),0,IF(VolumeOverrideFlag,V129,VolumeSwaption))</f>
        <v>0</v>
      </c>
      <c r="BF129" s="537" t="n">
        <f aca="false">YEAR(I129)</f>
        <v>2009</v>
      </c>
      <c r="BG129" s="538" t="n">
        <f aca="false">MONTH(I129)</f>
        <v>10</v>
      </c>
      <c r="BH129" s="539" t="n">
        <f aca="false">AD129-DateToday+1</f>
        <v>-5853</v>
      </c>
      <c r="BI129" s="540" t="n">
        <f aca="false">(I129-DateToday+1)/365.25</f>
        <v>-15.9835728952772</v>
      </c>
      <c r="BJ129" s="541" t="n">
        <f aca="false">BI129+(BL129-BI129)*CHOOSE(Underlying,AJ129/AI129,AM129/AL129)</f>
        <v>-15.9313048347956</v>
      </c>
      <c r="BK129" s="541" t="n">
        <f aca="false">BJ129+1/365.25</f>
        <v>-15.9285669840085</v>
      </c>
      <c r="BL129" s="541" t="n">
        <f aca="false">(I130-DateToday)/365.25</f>
        <v>-15.9014373716632</v>
      </c>
      <c r="BM129" s="542" t="e">
        <f aca="false">MAX(BI129-(BJ129-BI129)*(S130^2/O130^2-1),0)</f>
        <v>#DIV/0!</v>
      </c>
      <c r="BN129" s="541" t="e">
        <f aca="false">MAX(BL129+(BL129-BK129)*(S131^2/O131^2-1),0)</f>
        <v>#DIV/0!</v>
      </c>
      <c r="BO129" s="530" t="n">
        <f aca="false">CHOOSE(Underlying,AI129,AL129)</f>
        <v>22</v>
      </c>
      <c r="BP129" s="529" t="n">
        <f aca="false">CHOOSE(Underlying,AJ129,AM129)</f>
        <v>14</v>
      </c>
      <c r="BQ129" s="529" t="n">
        <f aca="false">CHOOSE(Underlying,AK129,AN129)</f>
        <v>8</v>
      </c>
      <c r="BR129" s="463" t="str">
        <f aca="false">IF(BD129,IF(Underlying=1,X129,Z129)+UnderlyingPriceAsian-SwapPriceCurve,"")</f>
        <v/>
      </c>
      <c r="BS129" s="463" t="str">
        <f aca="false">IF(BD129,Strike1/BR129-1,"")</f>
        <v/>
      </c>
      <c r="BT129" s="464" t="str">
        <f aca="false">IF(BD129,Strike2/BR129-1,"")</f>
        <v/>
      </c>
      <c r="BU129" s="465" t="str">
        <f aca="false">IF(BD129,IF(Underlying=1,L130,R130)+UnderlyingPriceAsian-SwapPriceCurve,"")</f>
        <v/>
      </c>
      <c r="BV129" s="465" t="str">
        <f aca="false">IF(BD129,IF(Underlying=1,L131,R131)+UnderlyingPriceAsian-SwapPriceCurve,"")</f>
        <v/>
      </c>
      <c r="BW129" s="466" t="str">
        <f aca="false">IF(BD129,IF(Underlying=1,O130,AT130),"")</f>
        <v/>
      </c>
      <c r="BX129" s="467" t="str">
        <f aca="false">IF(BD129,IF(Underlying=1,O131,AT131),"")</f>
        <v/>
      </c>
      <c r="BY129" s="466" t="str">
        <f aca="false">IF(BD129,IF(BS129&gt;0,IF(BS129&gt;0.2,BC129-BB129,IF(BS129&gt;0.1,BB129-BA129,BA129)),IF(BS129&lt;-0.2,AX129-AY129,IF(BS129&lt;-0.1,AY129-AZ129,AZ129))),"")</f>
        <v/>
      </c>
      <c r="BZ129" s="467" t="str">
        <f aca="false">IF(BD129,IF(BT129&gt;0,IF(BT129&gt;0.2,BC129-BB129,IF(BT129&gt;0.1,BB129-BA129,BA129)),IF(BT129&lt;-0.2,AX129-AY129,IF(BT129&lt;-0.1,AY129-AZ129,AZ129))),"")</f>
        <v/>
      </c>
      <c r="CA129" s="468" t="str">
        <f aca="false">IF($BD129,$BW129+IF(VolSkewFlag=1,IF(BS129&gt;0,$BA129*MIN(BS129/10%,1)+($BB129-$BA129)*MAX(0,MIN(BS129/10%-1,1))+($BC129-$BB129)*MAX(0,BS129/10%-2),$AZ129*MIN(-BS129/10%,1)+($AY129-$AZ129)*MAX(0,MIN(-BS129/10%-1,1))+($AX129-$AY129)*MAX(0,-BS129/10%-2)),0),"")</f>
        <v/>
      </c>
      <c r="CB129" s="468" t="str">
        <f aca="false">IF($BD129,$BX129+IF(VolSkewFlag=1,IF(BS129&gt;0,$BA129*MIN(BS129/10%,1)+($BB129-$BA129)*MAX(0,MIN(BS129/10%-1,1))+($BC129-$BB129)*MAX(0,BS129/10%-2),$AZ129*MIN(-BS129/10%,1)+($AY129-$AZ129)*MAX(0,MIN(-BS129/10%-1,1))+($AX129-$AY129)*MAX(0,-BS129/10%-2)),0),"")</f>
        <v/>
      </c>
      <c r="CC129" s="468" t="str">
        <f aca="false">IF($BD129,$BW129+IF(VolSkewFlag=1,IF(BT129&gt;0,$BA129*MIN(BT129/10%,1)+($BB129-$BA129)*MAX(0,MIN(BT129/10%-1,1))+($BC129-$BB129)*MAX(0,BT129/10%-2),$AZ129*MIN(-BT129/10%,1)+($AY129-$AZ129)*MAX(0,MIN(-BT129/10%-1,1))+($AX129-$AY129)*MAX(0,-BT129/10%-2)),0),"")</f>
        <v/>
      </c>
      <c r="CD129" s="468" t="str">
        <f aca="false">IF($BD129,$BX129+IF(VolSkewFlag=1,IF(BT129&gt;0,$BA129*MIN(BT129/10%,1)+($BB129-$BA129)*MAX(0,MIN(BT129/10%-1,1))+($BC129-$BB129)*MAX(0,BT129/10%-2),$AZ129*MIN(-BT129/10%,1)+($AY129-$AZ129)*MAX(0,MIN(-BT129/10%-1,1))+($AX129-$AY129)*MAX(0,-BT129/10%-2)),0),"")</f>
        <v/>
      </c>
      <c r="CE129" s="469" t="n">
        <v>1</v>
      </c>
      <c r="CF129" s="470" t="n">
        <f aca="false">IF(BD129,xCrudeAPO(BU129,BV129,CA129,CB129,S130,S131,BI129,BL129,BP129,BQ129,0,Strike1,AO129,CE129,0,BL129,IF(OptControl=4,0,1),0,1),0)</f>
        <v>0</v>
      </c>
      <c r="CG129" s="470" t="n">
        <f aca="false">IF(BD129,xCrudeAPO(BU129,BV129,CA129,CB129,S130,S131,BI129,BL129,BP129,BQ129,0,Strike1,AO129,CE129,0,BL129,IF(OptControl=4,0,1),1,1)+xCrudeAPO(BU129,BV129,CA129,CB129,S130,S131,BI129,BL129,BP129,BQ129,0,Strike1,AO129,CE129,0,BL129,IF(OptControl=4,0,1),1,2)+IF(OR(VolSkewFlag=2,ABS(BS129)&lt;0.0001),0,IF(BS129&gt;0,-1,1)*CH129*Strike1/BR129^2*BY129/10%),0)</f>
        <v>0</v>
      </c>
      <c r="CH129" s="470" t="n">
        <f aca="false">IF(BD129,(xCrudeAPO(BU129,BV129,CA129,CB129,S130,S131,BI129,BL129,BP129,BQ129,0,Strike1,AO129,CE129,0,BL129,IF(OptControl=4,0,1),3,1)+xCrudeAPO(BU129,BV129,CA129,CB129,S130,S131,BI129,BL129,BP129,BQ129,0,Strike1,AO129,CE129,0,BL129,IF(OptControl=4,0,1),3,2))/100,0)</f>
        <v>0</v>
      </c>
      <c r="CI129" s="470" t="n">
        <f aca="false">IF(BD129,xCrudeAPO(BU129,BV129,CA129,CB129,S130,S131,BI129-DaysForThetaCalculation/365.25,BL129-DaysForThetaCalculation/365.25,BP129,BQ129,0,Strike1,AO129,CE129,0,BL129,IF(OptControl=4,0,1),0,1)-xCrudeAPO(BU129,BV129,CA129,CB129,S130,S131,BI129,BL129,BP129,BQ129,0,Strike1,AO129,CE129,0,BL129,IF(OptControl=4,0,1),0,1),0)</f>
        <v>0</v>
      </c>
      <c r="CJ129" s="471" t="n">
        <f aca="false">IF(BD129,xCrudeAPO(BU129,BV129,CC129,CD129,S130,S131,BI129,BL129,BP129,BQ129,0,Strike2,AO129,CE129,0,BL129,IF(OptControl=3,1,0),0,1),0)</f>
        <v>0</v>
      </c>
      <c r="CK129" s="470" t="n">
        <f aca="false">IF(BD129,xCrudeAPO(BU129,BV129,CC129,CD129,S130,S131,BI129,BL129,BP129,BQ129,0,Strike2,AO129,CE129,0,BL129,IF(OptControl=3,1,0),1,1)+xCrudeAPO(BU129,BV129,CC129,CD129,S130,S131,BI129,BL129,BP129,BQ129,0,Strike2,AO129,CE129,0,BL129,IF(OptControl=3,1,0),1,2)+IF(OR(VolSkewFlag=2,ABS(BT129)&lt;0.0001),0,IF(BT129&gt;0,-1,1)*CL129*Strike2/BR129^2*BZ129/10%),0)</f>
        <v>0</v>
      </c>
      <c r="CL129" s="470" t="n">
        <f aca="false">IF(BD129,(xCrudeAPO(BU129,BV129,CC129,CD129,S130,S131,BI129,BL129,BP129,BQ129,0,Strike2,AO129,CE129,0,BL129,IF(OptControl=3,1,0),3,1)+xCrudeAPO(BU129,BV129,CC129,CD129,S130,S131,BI129,BL129,BP129,BQ129,0,Strike2,AO129,CE129,0,BL129,IF(OptControl=3,1,0),3,2))/100,0)</f>
        <v>0</v>
      </c>
      <c r="CM129" s="472" t="n">
        <f aca="false">IF(BD129,xCrudeAPO(BU129,BV129,CC129,CD129,S130,S131,BI129-DaysForThetaCalculation/365.25,BL129-DaysForThetaCalculation/365.25,BP129,BQ129,0,Strike2,AO129,CE129,0,BL129,IF(OptControl=3,1,0),0,1)-xCrudeAPO(BU129,BV129,CC129,CD129,S130,S131,BI129,BL129,BP129,BQ129,0,Strike2,AO129,CE129,0,BL129,IF(OptControl=3,1,0),0,1),0)</f>
        <v>0</v>
      </c>
      <c r="CN129" s="3"/>
      <c r="CO129" s="543" t="str">
        <f aca="false">IF(BD129,CHOOSE(Underlying,AD129,AF129)-DateToday+1,"")</f>
        <v/>
      </c>
      <c r="CP129" s="582" t="str">
        <f aca="false">IF(BD129,CHOOSE(Underlying,L129,R129),"")</f>
        <v/>
      </c>
      <c r="CQ129" s="544" t="str">
        <f aca="false">IF(BD129,Strike1/CP129-1,"")</f>
        <v/>
      </c>
      <c r="CR129" s="544" t="str">
        <f aca="false">IF(BD129,Strike2/CP129-1,"")</f>
        <v/>
      </c>
      <c r="CS129" s="544" t="str">
        <f aca="false">IF(BD129,IF(CQ129&gt;0,IF(CQ129&gt;0.2,BC128-BB128,IF(CQ129&gt;0.1,BB128-BA128,BA128)),IF(CQ129&lt;-0.2,AX128-AY128,IF(CQ129&lt;-0.1,AY128-AZ128,AZ128))),"")</f>
        <v/>
      </c>
      <c r="CT129" s="544" t="str">
        <f aca="false">IF(BD129,IF(CR129&gt;0,IF(CR129&gt;0.2,BC128-BB128,IF(CR129&gt;0.1,BB128-BA128,BA128)),IF(CR129&lt;-0.2,AX128-AY128,IF(CR129&lt;-0.1,AY128-AZ128,AZ128))),"")</f>
        <v/>
      </c>
      <c r="CU129" s="545" t="str">
        <f aca="false">IF(BD129,CHOOSE(Underlying,O129,AT129),"")</f>
        <v/>
      </c>
      <c r="CV129" s="545" t="str">
        <f aca="false">IF(BD129,CU129+IF(VolSkewFlag=1,IF(CQ129&gt;0,BA128*MIN(CQ129/10%,1)+(BB128-BA128)*MAX(0,MIN(CQ129/10%-1,1))+(BC128-BB128)*MAX(0,CQ129/10%-2),AZ128*MIN(-CQ129/10%,1)+(AY128-AZ128)*MAX(0,MIN(-CQ129/10%-1,1))+(AX128-AY128)*MAX(0,-CQ129/10%-2)),0),"")</f>
        <v/>
      </c>
      <c r="CW129" s="545" t="str">
        <f aca="false">IF(BD129,CU129+IF(VolSkewFlag=1,IF(CR129&gt;0,BA128*MIN(CR129/10%,1)+(BB128-BA128)*MAX(0,MIN(CR129/10%-1,1))+(BC128-BB128)*MAX(0,CR129/10%-2),AZ128*MIN(-CR129/10%,1)+(AY128-AZ128)*MAX(0,MIN(-CR129/10%-1,1))+(AX128-AY128)*MAX(0,-CR129/10%-2)),0),"")</f>
        <v/>
      </c>
      <c r="CX129" s="470" t="n">
        <f aca="false">IF(BD129,EURO(CP129,Strike1,AO129,AO129,CV129,CO129,IF(OptControl=4,0,1),0),0)</f>
        <v>0</v>
      </c>
      <c r="CY129" s="470" t="n">
        <f aca="false">IF(BD129,EURO(CP129,Strike1,AO129,AO129,CV129,CO129,IF(OptControl=4,0,1),1)+IF(OR(VolSkewFlag=2,ABS(CQ129)&lt;0.0001),0,IF(CQ129&gt;0,-1,1)*CZ129*100*Strike1/CP129^2*CS129/10%),0)</f>
        <v>0</v>
      </c>
      <c r="CZ129" s="470" t="n">
        <f aca="false">IF(BD129,EURO(CP129,Strike1,AO129,AO129,CV129,CO129,IF(OptControl=4,0,1),3)/100,0)</f>
        <v>0</v>
      </c>
      <c r="DA129" s="470" t="n">
        <f aca="false">IF(BD129,EURO(CP129,Strike1,AO129,AO129,CV129,CO129,IF(OptControl=4,0,1),0)-EURO(CP129,Strike1,AO129,AO129,CV129,CO129-1,IF(OptControl=4,0,1),0),0)</f>
        <v>0</v>
      </c>
      <c r="DB129" s="470" t="n">
        <f aca="false">IF(BD129,EURO(CP129,Strike2,AO129,AO129,CW129,CO129,IF(OptControl=3,1,0),0),0)</f>
        <v>0</v>
      </c>
      <c r="DC129" s="470" t="n">
        <f aca="false">IF(BD129,EURO(CP129,Strike2,AO129,AO129,CW129,CO129,IF(OptControl=3,1,0),1)+IF(OR(VolSkewFlag=2,ABS(CR129)&lt;0.0001),0,IF(CR129&gt;0,-1,1)*DD129*100*Strike2/CP129^2*CT129/10%),0)</f>
        <v>0</v>
      </c>
      <c r="DD129" s="470" t="n">
        <f aca="false">IF(BD129,EURO(CP129,Strike2,AO129,AO129,CW129,CO129,IF(OptControl=3,1,0),3)/100,0)</f>
        <v>0</v>
      </c>
      <c r="DE129" s="472" t="n">
        <f aca="false">IF(BD129,EURO(CP129,Strike2,AO129,AO129,CW129,CO129,IF(OptControl=3,1,0),0)-EURO(CP129,Strike2,AO129,AO129,CW129,CO129-1,IF(OptControl=3,1,0),0),0)</f>
        <v>0</v>
      </c>
      <c r="DG129" s="481" t="n">
        <f aca="false">EOMONTH(DG128,0)+1</f>
        <v>49004</v>
      </c>
      <c r="DH129" s="478" t="n">
        <v>19.61</v>
      </c>
      <c r="DI129" s="479" t="n">
        <v>19.6759090909091</v>
      </c>
      <c r="DJ129" s="480" t="n">
        <f aca="false">DG129</f>
        <v>49004</v>
      </c>
      <c r="DK129" s="478" t="n">
        <v>18.4477325230114</v>
      </c>
      <c r="DL129" s="479" t="n">
        <v>18.5074090909091</v>
      </c>
      <c r="DM129" s="481" t="n">
        <f aca="false">DG129</f>
        <v>49004</v>
      </c>
      <c r="DN129" s="482" t="n">
        <f aca="false">DK129+BrentPhyBrentSpread</f>
        <v>18.4977325230114</v>
      </c>
      <c r="DO129" s="481" t="n">
        <f aca="false">DG129</f>
        <v>49004</v>
      </c>
      <c r="DP129" s="483" t="n">
        <f aca="false">DL129+DQ129</f>
        <v>18.5074090909091</v>
      </c>
      <c r="DQ129" s="546" t="n">
        <v>0</v>
      </c>
      <c r="DR129" s="480" t="n">
        <f aca="false">DG129</f>
        <v>49004</v>
      </c>
      <c r="DS129" s="485" t="n">
        <v>0.159199999999999</v>
      </c>
      <c r="DT129" s="486" t="n">
        <v>0.15840909090909</v>
      </c>
      <c r="DU129" s="480" t="n">
        <f aca="false">DG129</f>
        <v>49004</v>
      </c>
      <c r="DV129" s="485" t="n">
        <v>0.159199999999999</v>
      </c>
      <c r="DW129" s="486" t="n">
        <v>0.15840909090909</v>
      </c>
      <c r="DX129" s="481" t="n">
        <f aca="false">DG129</f>
        <v>49004</v>
      </c>
      <c r="DY129" s="486" t="n">
        <v>0.35</v>
      </c>
      <c r="DZ129" s="481" t="n">
        <f aca="false">DR129</f>
        <v>49004</v>
      </c>
      <c r="EA129" s="486" t="n">
        <f aca="false">DT129</f>
        <v>0.15840909090909</v>
      </c>
      <c r="EB129" s="195"/>
      <c r="EC129" s="547" t="str">
        <f aca="false">IF(BD129,IF(Underlying=1,AS129,AU129),"")</f>
        <v/>
      </c>
      <c r="ED129" s="548" t="str">
        <f aca="false">IF($BD129,$EC129+IF(VolSkewFlag=1,IF(BS129&gt;0,$BA129*MIN(BS129/10%,1)+($BB129-$BA129)*MAX(0,MIN(BS129/10%-1,1))+($BC129-$BB129)*MAX(0,BS129/10%-2),$AZ129*MIN(-BS129/10%,1)+($AY129-$AZ129)*MAX(0,MIN(-BS129/10%-1,1))+($AX129-$AY129)*MAX(0,-BS129/10%-2)),0),"")</f>
        <v/>
      </c>
      <c r="EE129" s="549" t="str">
        <f aca="false">IF($BD129,$EC129+IF(VolSkewFlag=1,IF(BT129&gt;0,$BA129*MIN(BT129/10%,1)+($BB129-$BA129)*MAX(0,MIN(BT129/10%-1,1))+($BC129-$BB129)*MAX(0,BT129/10%-2),$AZ129*MIN(-BT129/10%,1)+($AY129-$AZ129)*MAX(0,MIN(-BT129/10%-1,1))+($AX129-$AY129)*MAX(0,-BT129/10%-2)),0),"")</f>
        <v/>
      </c>
      <c r="EF129" s="550" t="n">
        <f aca="false">IF(BD129,xASN(BR129,Strike1,AO129,ED129,0,BO129,0,BI129,BL129,IF(OptControl=4,0,1),0),0)</f>
        <v>0</v>
      </c>
      <c r="EG129" s="551" t="n">
        <f aca="false">IF(BD129,xASN(BR129,Strike2,AO129,EE129,0,BO129,0,BI129,BL129,IF(OptControl=3,1,0),0),0)</f>
        <v>0</v>
      </c>
      <c r="EL129" s="1"/>
      <c r="EM129" s="195"/>
      <c r="EN129" s="240"/>
      <c r="EO129" s="240"/>
      <c r="EP129" s="195"/>
      <c r="EQ129" s="407" t="s">
        <v>356</v>
      </c>
      <c r="ES129" s="130"/>
      <c r="ET129" s="19"/>
      <c r="EU129" s="672"/>
      <c r="EV129" s="478"/>
      <c r="EW129" s="131"/>
      <c r="EX129" s="131"/>
      <c r="EY129" s="129"/>
      <c r="EZ129" s="129"/>
      <c r="FA129" s="129"/>
      <c r="FB129" s="129"/>
      <c r="FC129" s="129"/>
      <c r="FD129" s="129"/>
      <c r="FE129" s="129"/>
      <c r="FF129" s="129"/>
      <c r="FG129" s="129"/>
      <c r="FH129" s="129"/>
      <c r="FI129" s="129"/>
      <c r="FJ129" s="571" t="n">
        <v>35</v>
      </c>
      <c r="FK129" s="150" t="e">
        <f aca="false">IF($FJ54&lt;FK$94,"",SQRT(FK54/FK$15))</f>
        <v>#DIV/0!</v>
      </c>
      <c r="FL129" s="150" t="n">
        <f aca="false">IF($FJ54&lt;FL$94,"",SQRT(FL54/FL$15))</f>
        <v>-0</v>
      </c>
      <c r="FM129" s="150" t="n">
        <f aca="false">IF($FJ54&lt;FM$94,"",SQRT(FM54/FM$15))</f>
        <v>0.171377212171247</v>
      </c>
      <c r="FN129" s="150" t="n">
        <f aca="false">IF($FJ54&lt;FN$94,"",SQRT(FN54/FN$15))</f>
        <v>0.168228567353775</v>
      </c>
      <c r="FO129" s="150" t="n">
        <f aca="false">IF($FJ54&lt;FO$94,"",SQRT(FO54/FO$15))</f>
        <v>0.165924286944535</v>
      </c>
      <c r="FP129" s="150" t="n">
        <f aca="false">IF($FJ54&lt;FP$94,"",SQRT(FP54/FP$15))</f>
        <v>0.164263399581979</v>
      </c>
      <c r="FQ129" s="150" t="n">
        <f aca="false">IF($FJ54&lt;FQ$94,"",SQRT(FQ54/FQ$15))</f>
        <v>0.16309689586827</v>
      </c>
      <c r="FR129" s="150" t="n">
        <f aca="false">IF($FJ54&lt;FR$94,"",SQRT(FR54/FR$15))</f>
        <v>0.162315049271023</v>
      </c>
      <c r="FS129" s="150" t="n">
        <f aca="false">IF($FJ54&lt;FS$94,"",SQRT(FS54/FS$15))</f>
        <v>0.161837964730209</v>
      </c>
      <c r="FT129" s="150" t="n">
        <f aca="false">IF($FJ54&lt;FT$94,"",SQRT(FT54/FT$15))</f>
        <v>0.161608560096307</v>
      </c>
      <c r="FU129" s="150" t="n">
        <f aca="false">IF($FJ54&lt;FU$94,"",SQRT(FU54/FU$15))</f>
        <v>0.161587387112014</v>
      </c>
      <c r="FV129" s="150" t="n">
        <f aca="false">IF($FJ54&lt;FV$94,"",SQRT(FV54/FV$15))</f>
        <v>0.161748850656828</v>
      </c>
      <c r="FW129" s="150" t="n">
        <f aca="false">IF($FJ54&lt;FW$94,"",SQRT(FW54/FW$15))</f>
        <v>0.162078500071165</v>
      </c>
      <c r="FX129" s="150" t="n">
        <f aca="false">IF($FJ54&lt;FX$94,"",SQRT(FX54/FX$15))</f>
        <v>0.162571154172327</v>
      </c>
      <c r="FY129" s="150" t="n">
        <f aca="false">IF($FJ54&lt;FY$94,"",SQRT(FY54/FY$15))</f>
        <v>0.163229689426801</v>
      </c>
      <c r="FZ129" s="150" t="n">
        <f aca="false">IF($FJ54&lt;FZ$94,"",SQRT(FZ54/FZ$15))</f>
        <v>0.164064374390363</v>
      </c>
      <c r="GA129" s="150" t="n">
        <f aca="false">IF($FJ54&lt;GA$94,"",SQRT(GA54/GA$15))</f>
        <v>0.165092677594888</v>
      </c>
      <c r="GB129" s="150" t="n">
        <f aca="false">IF($FJ54&lt;GB$94,"",SQRT(GB54/GB$15))</f>
        <v>0.166339514494124</v>
      </c>
      <c r="GC129" s="150" t="n">
        <f aca="false">IF($FJ54&lt;GC$94,"",SQRT(GC54/GC$15))</f>
        <v>0.167837935552802</v>
      </c>
      <c r="GD129" s="150" t="n">
        <f aca="false">IF($FJ54&lt;GD$94,"",SQRT(GD54/GD$15))</f>
        <v>0.169630295913177</v>
      </c>
      <c r="GE129" s="150" t="n">
        <f aca="false">IF($FJ54&lt;GE$94,"",SQRT(GE54/GE$15))</f>
        <v>0.171769991850057</v>
      </c>
      <c r="GF129" s="150" t="n">
        <f aca="false">IF($FJ54&lt;GF$94,"",SQRT(GF54/GF$15))</f>
        <v>0.174323906456043</v>
      </c>
      <c r="GG129" s="150" t="n">
        <f aca="false">IF($FJ54&lt;GG$94,"",SQRT(GG54/GG$15))</f>
        <v>0.177375785362489</v>
      </c>
      <c r="GH129" s="150" t="n">
        <f aca="false">IF($FJ54&lt;GH$94,"",SQRT(GH54/GH$15))</f>
        <v>0.181030876046899</v>
      </c>
      <c r="GI129" s="150" t="n">
        <f aca="false">IF($FJ54&lt;GI$94,"",SQRT(GI54/GI$15))</f>
        <v>0.185422332470428</v>
      </c>
      <c r="GJ129" s="150" t="n">
        <f aca="false">IF($FJ54&lt;GJ$94,"",SQRT(GJ54/GJ$15))</f>
        <v>0.190720145004346</v>
      </c>
      <c r="GK129" s="150" t="n">
        <f aca="false">IF($FJ54&lt;GK$94,"",SQRT(GK54/GK$15))</f>
        <v>0.197143762170135</v>
      </c>
      <c r="GL129" s="150" t="n">
        <f aca="false">IF($FJ54&lt;GL$94,"",SQRT(GL54/GL$15))</f>
        <v>0.204980226692931</v>
      </c>
      <c r="GM129" s="150" t="n">
        <f aca="false">IF($FJ54&lt;GM$94,"",SQRT(GM54/GM$15))</f>
        <v>0.21461073372071</v>
      </c>
      <c r="GN129" s="150" t="n">
        <f aca="false">IF($FJ54&lt;GN$94,"",SQRT(GN54/GN$15))</f>
        <v>0.226550363855305</v>
      </c>
      <c r="GO129" s="150" t="n">
        <f aca="false">IF($FJ54&lt;GO$94,"",SQRT(GO54/GO$15))</f>
        <v>0.241508972997575</v>
      </c>
      <c r="GP129" s="150" t="n">
        <f aca="false">IF($FJ54&lt;GP$94,"",SQRT(GP54/GP$15))</f>
        <v>0.260487061782365</v>
      </c>
      <c r="GQ129" s="150" t="n">
        <f aca="false">IF($FJ54&lt;GQ$94,"",SQRT(GQ54/GQ$15))</f>
        <v>0.28493140514487</v>
      </c>
      <c r="GR129" s="150" t="n">
        <f aca="false">IF($FJ54&lt;GR$94,"",SQRT(GR54/GR$15))</f>
        <v>0.316996649446087</v>
      </c>
      <c r="GS129" s="150" t="n">
        <f aca="false">IF($FJ54&lt;GS$94,"",SQRT(GS54/GS$15))</f>
        <v>0.360003013572772</v>
      </c>
      <c r="GT129" s="150" t="str">
        <f aca="false">IF($FJ54&lt;GT$94,"",SQRT(GT54/GT$15))</f>
        <v/>
      </c>
      <c r="GU129" s="150" t="str">
        <f aca="false">IF($FJ54&lt;GU$94,"",SQRT(GU54/GU$15))</f>
        <v/>
      </c>
      <c r="GV129" s="150" t="str">
        <f aca="false">IF($FJ54&lt;GV$94,"",SQRT(GV54/GV$15))</f>
        <v/>
      </c>
      <c r="GW129" s="150" t="str">
        <f aca="false">IF($FJ54&lt;GW$94,"",SQRT(GW54/GW$15))</f>
        <v/>
      </c>
      <c r="GX129" s="150" t="str">
        <f aca="false">IF($FJ54&lt;GX$94,"",SQRT(GX54/GX$15))</f>
        <v/>
      </c>
      <c r="GY129" s="150" t="str">
        <f aca="false">IF($FJ54&lt;GY$94,"",SQRT(GY54/GY$15))</f>
        <v/>
      </c>
      <c r="GZ129" s="150" t="str">
        <f aca="false">IF($FJ54&lt;GZ$94,"",SQRT(GZ54/GZ$15))</f>
        <v/>
      </c>
      <c r="HA129" s="150" t="str">
        <f aca="false">IF($FJ54&lt;HA$94,"",SQRT(HA54/HA$15))</f>
        <v/>
      </c>
      <c r="HB129" s="150" t="str">
        <f aca="false">IF($FJ54&lt;HB$94,"",SQRT(HB54/HB$15))</f>
        <v/>
      </c>
      <c r="HC129" s="150" t="str">
        <f aca="false">IF($FJ54&lt;HC$94,"",SQRT(HC54/HC$15))</f>
        <v/>
      </c>
      <c r="HD129" s="150" t="str">
        <f aca="false">IF($FJ54&lt;HD$94,"",SQRT(HD54/HD$15))</f>
        <v/>
      </c>
      <c r="HE129" s="150" t="str">
        <f aca="false">IF($FJ54&lt;HE$94,"",SQRT(HE54/HE$15))</f>
        <v/>
      </c>
      <c r="HF129" s="150" t="str">
        <f aca="false">IF($FJ54&lt;HF$94,"",SQRT(HF54/HF$15))</f>
        <v/>
      </c>
      <c r="HG129" s="150" t="str">
        <f aca="false">IF($FJ54&lt;HG$94,"",SQRT(HG54/HG$15))</f>
        <v/>
      </c>
      <c r="HH129" s="150" t="str">
        <f aca="false">IF($FJ54&lt;HH$94,"",SQRT(HH54/HH$15))</f>
        <v/>
      </c>
      <c r="HI129" s="150" t="str">
        <f aca="false">IF($FJ54&lt;HI$94,"",SQRT(HI54/HI$15))</f>
        <v/>
      </c>
      <c r="HJ129" s="150" t="str">
        <f aca="false">IF($FJ54&lt;HJ$94,"",SQRT(HJ54/HJ$15))</f>
        <v/>
      </c>
      <c r="HK129" s="150" t="str">
        <f aca="false">IF($FJ54&lt;HK$94,"",SQRT(HK54/HK$15))</f>
        <v/>
      </c>
      <c r="HL129" s="150" t="str">
        <f aca="false">IF($FJ54&lt;HL$94,"",SQRT(HL54/HL$15))</f>
        <v/>
      </c>
      <c r="HM129" s="150" t="str">
        <f aca="false">IF($FJ54&lt;HM$94,"",SQRT(HM54/HM$15))</f>
        <v/>
      </c>
      <c r="HN129" s="150" t="str">
        <f aca="false">IF($FJ54&lt;HN$94,"",SQRT(HN54/HN$15))</f>
        <v/>
      </c>
      <c r="HO129" s="150" t="str">
        <f aca="false">IF($FJ54&lt;HO$94,"",SQRT(HO54/HO$15))</f>
        <v/>
      </c>
      <c r="HP129" s="150" t="str">
        <f aca="false">IF($FJ54&lt;HP$94,"",SQRT(HP54/HP$15))</f>
        <v/>
      </c>
      <c r="HQ129" s="150" t="str">
        <f aca="false">IF($FJ54&lt;HQ$94,"",SQRT(HQ54/HQ$15))</f>
        <v/>
      </c>
      <c r="HR129" s="150" t="str">
        <f aca="false">IF($FJ54&lt;HR$94,"",SQRT(HR54/HR$15))</f>
        <v/>
      </c>
      <c r="HS129" s="150" t="str">
        <f aca="false">IF($FJ54&lt;HS$94,"",SQRT(HS54/HS$15))</f>
        <v/>
      </c>
      <c r="HT129" s="150" t="str">
        <f aca="false">IF($FJ54&lt;HT$94,"",SQRT(HT54/HT$15))</f>
        <v/>
      </c>
      <c r="HU129" s="150" t="str">
        <f aca="false">IF($FJ54&lt;HU$94,"",SQRT(HU54/HU$15))</f>
        <v/>
      </c>
      <c r="HV129" s="150" t="str">
        <f aca="false">IF($FJ54&lt;HV$94,"",SQRT(HV54/HV$15))</f>
        <v/>
      </c>
      <c r="HW129" s="150" t="str">
        <f aca="false">IF($FJ54&lt;HW$94,"",SQRT(HW54/HW$15))</f>
        <v/>
      </c>
      <c r="HX129" s="150" t="str">
        <f aca="false">IF($FJ54&lt;HX$94,"",SQRT(HX54/HX$15))</f>
        <v/>
      </c>
      <c r="HY129" s="150" t="str">
        <f aca="false">IF($FJ54&lt;HY$94,"",SQRT(HY54/HY$15))</f>
        <v/>
      </c>
      <c r="HZ129" s="150" t="str">
        <f aca="false">IF($FJ54&lt;HZ$94,"",SQRT(HZ54/HZ$15))</f>
        <v/>
      </c>
      <c r="IA129" s="150" t="str">
        <f aca="false">IF($FJ54&lt;IA$94,"",SQRT(IA54/IA$15))</f>
        <v/>
      </c>
      <c r="IB129" s="150" t="str">
        <f aca="false">IF($FJ54&lt;IB$94,"",SQRT(IB54/IB$15))</f>
        <v/>
      </c>
      <c r="IC129" s="150" t="str">
        <f aca="false">IF($FJ54&lt;IC$94,"",SQRT(IC54/IC$15))</f>
        <v/>
      </c>
      <c r="ID129" s="572" t="str">
        <f aca="false">IF($FJ54&lt;ID$94,"",SQRT(ID54/ID$15))</f>
        <v/>
      </c>
      <c r="IE129" s="129"/>
    </row>
    <row r="130" customFormat="false" ht="12.75" hidden="false" customHeight="false" outlineLevel="0" collapsed="false">
      <c r="H130" s="219" t="n">
        <f aca="false">VLOOKUP(I130,$EJ$20:$EL$54,3)</f>
        <v>0</v>
      </c>
      <c r="I130" s="511" t="n">
        <f aca="false">EOMONTH(I129,0)+1</f>
        <v>40118</v>
      </c>
      <c r="J130" s="512"/>
      <c r="K130" s="513" t="s">
        <v>280</v>
      </c>
      <c r="L130" s="514" t="n">
        <f aca="false">IF(ISNUMBER(K130),J130+K130/100,IF(K130="extra",L129+VLOOKUP(BF130,PriceSpreadTable,2)/12,IF(K130="inter",interpolateprices($K$19:$L$200,ROW(K130)-ROW(FirstPricingMonth)+1),interpolatechanges($J$19:$K$200,ROW(K130)-ROW(FirstPricingMonth)+1))))</f>
        <v>1.275</v>
      </c>
      <c r="M130" s="515"/>
      <c r="N130" s="516" t="n">
        <v>0</v>
      </c>
      <c r="O130" s="515" t="n">
        <f aca="false">M130+N130</f>
        <v>0</v>
      </c>
      <c r="P130" s="512"/>
      <c r="Q130" s="513" t="s">
        <v>280</v>
      </c>
      <c r="R130" s="512" t="e">
        <f aca="false">IF(ISNUMBER(Q130),P130+Q130/100,IF(Q130="extra",(Z128*AL128-R129*AM128)/AN128,IF(Q130="inter",interpolateprices($Q$19:$R$260,ROW(Q130)-ROW(FirstPricingMonth)+1),interpolatechanges($P$19:$Q$260,ROW(Q130)-ROW(FirstPricingMonth)+1))))</f>
        <v>#VALUE!</v>
      </c>
      <c r="S130" s="597" t="n">
        <f aca="false">S$19+(S129-S$19)*S$18</f>
        <v>0.360000000000001</v>
      </c>
      <c r="T130" s="575" t="n">
        <f aca="false">SQRT((1-(1-T129^2/U129)*T$18)*U130)</f>
        <v>0.999999996312263</v>
      </c>
      <c r="U130" s="576" t="n">
        <f aca="false">1-(1-U129)*U$18</f>
        <v>1</v>
      </c>
      <c r="V130" s="521" t="n">
        <v>0</v>
      </c>
      <c r="W130" s="577" t="n">
        <f aca="false">(J131*AJ130+J132*AK130)/AI130</f>
        <v>0</v>
      </c>
      <c r="X130" s="578" t="n">
        <f aca="false">(L131*AJ130+L132*AK130)/AI130</f>
        <v>1.32321428571429</v>
      </c>
      <c r="Y130" s="579" t="n">
        <f aca="false">IF(Q132="extra",W130-AA130,(P131*AM130+P132*AN130)/AL130)</f>
        <v>-1.1931</v>
      </c>
      <c r="Z130" s="579" t="n">
        <f aca="false">IF(Q132="extra",X130-AB130,(R131*AM130+R132*AN130)/AL130)</f>
        <v>0.130114285714286</v>
      </c>
      <c r="AA130" s="523" t="n">
        <f aca="false">IF(Q132="extra",INDEX(BrentSeasonalityTable,INT((BG130-1)/3)+1)*VLOOKUP(MAX(BF130,$AB$4),PriceSpreadTable,3),W130-Y130)</f>
        <v>1.1931</v>
      </c>
      <c r="AB130" s="524" t="n">
        <f aca="false">IF(Q132="extra",INDEX(BrentSeasonalityTable,INT((BG130-1)/3)+1)*VLOOKUP(MAX(BF130,$AB$4),PriceSpreadTable,3),X130-Z130)</f>
        <v>1.1931</v>
      </c>
      <c r="AC130" s="646" t="n">
        <v>40106</v>
      </c>
      <c r="AD130" s="646" t="n">
        <v>40102</v>
      </c>
      <c r="AE130" s="646" t="n">
        <v>40101</v>
      </c>
      <c r="AF130" s="646" t="n">
        <v>40097</v>
      </c>
      <c r="AG130" s="438" t="s">
        <v>278</v>
      </c>
      <c r="AH130" s="439" t="s">
        <v>278</v>
      </c>
      <c r="AI130" s="528" t="n">
        <v>21</v>
      </c>
      <c r="AJ130" s="529" t="n">
        <v>15</v>
      </c>
      <c r="AK130" s="529" t="n">
        <v>6</v>
      </c>
      <c r="AL130" s="530" t="n">
        <v>21</v>
      </c>
      <c r="AM130" s="529" t="n">
        <v>10</v>
      </c>
      <c r="AN130" s="531" t="n">
        <v>11</v>
      </c>
      <c r="AO130" s="532"/>
      <c r="AP130" s="465" t="n">
        <f aca="false">(1+AO130/2)^(-2*BL130)</f>
        <v>1</v>
      </c>
      <c r="AQ130" s="532"/>
      <c r="AR130" s="465" t="n">
        <f aca="false">(1+AQ130/2)^(-2*BH130/365.25)</f>
        <v>1</v>
      </c>
      <c r="AS130" s="580" t="n">
        <f aca="false">(O131*AJ130+O132*AK130)/AI130</f>
        <v>0</v>
      </c>
      <c r="AT130" s="468" t="n">
        <f aca="false">O130*VLOOKUP(BF130,BrentVolTable,2)+VLOOKUP(BF130,BrentVolTable,3)</f>
        <v>0</v>
      </c>
      <c r="AU130" s="468" t="n">
        <f aca="false">(AT131*AM130+AT132*AN130)/AL130</f>
        <v>0</v>
      </c>
      <c r="AV130" s="595" t="n">
        <f aca="false">SQRT(MAX(0.000000000001,(O130^2*BH130-S130^2*(BH130-BH129))/BH129))</f>
        <v>0.0257735277156083</v>
      </c>
      <c r="AW130" s="451" t="n">
        <f aca="false">IF($I130-DateToday+15&gt;=$T$8,"",IF($I130-DateToday+15&lt;$T$5,1,MATCH($I130-DateToday+15,$T$5:$T$8)))</f>
        <v>1</v>
      </c>
      <c r="AX130" s="468" t="n">
        <f aca="false">IF($AW130="",AX129^2/AX128,INDEX(U$5:U$8,$AW130)^((INDEX($T$5:$T$8,$AW130+1)-($I130-DateToday+15))/(INDEX($T$5:$T$8,$AW130+1)-INDEX($T$5:$T$8,$AW130)))/INDEX(U$5:U$8,$AW130+1)^((INDEX($T$5:$T$8,$AW130)-($I130-DateToday+15))/(INDEX($T$5:$T$8,$AW130+1)-INDEX($T$5:$T$8,$AW130))))</f>
        <v>1.19491160556456</v>
      </c>
      <c r="AY130" s="468" t="n">
        <f aca="false">IF($AW130="",AY129^2/AY128,INDEX(V$5:V$8,$AW130)^((INDEX($T$5:$T$8,$AW130+1)-($I130-DateToday+15))/(INDEX($T$5:$T$8,$AW130+1)-INDEX($T$5:$T$8,$AW130)))/INDEX(V$5:V$8,$AW130+1)^((INDEX($T$5:$T$8,$AW130)-($I130-DateToday+15))/(INDEX($T$5:$T$8,$AW130+1)-INDEX($T$5:$T$8,$AW130))))</f>
        <v>50.6730182211415</v>
      </c>
      <c r="AZ130" s="468" t="n">
        <f aca="false">IF($AW130="",AZ129^2/AZ128,INDEX(W$5:W$8,$AW130)^((INDEX($T$5:$T$8,$AW130+1)-($I130-DateToday+15))/(INDEX($T$5:$T$8,$AW130+1)-INDEX($T$5:$T$8,$AW130)))/INDEX(W$5:W$8,$AW130+1)^((INDEX($T$5:$T$8,$AW130)-($I130-DateToday+15))/(INDEX($T$5:$T$8,$AW130+1)-INDEX($T$5:$T$8,$AW130))))</f>
        <v>82232.5812073081</v>
      </c>
      <c r="BA130" s="468" t="n">
        <f aca="false">IF($AW130="",BA129^2/BA128,INDEX(X$5:X$8,$AW130)^((INDEX($T$5:$T$8,$AW130+1)-($I130-DateToday+15))/(INDEX($T$5:$T$8,$AW130+1)-INDEX($T$5:$T$8,$AW130)))/INDEX(X$5:X$8,$AW130+1)^((INDEX($T$5:$T$8,$AW130)-($I130-DateToday+15))/(INDEX($T$5:$T$8,$AW130+1)-INDEX($T$5:$T$8,$AW130))))</f>
        <v>1023548.60041814</v>
      </c>
      <c r="BB130" s="468" t="n">
        <f aca="false">IF($AW130="",BB129^2/BB128,INDEX(Y$5:Y$8,$AW130)^((INDEX($T$5:$T$8,$AW130+1)-($I130-DateToday+15))/(INDEX($T$5:$T$8,$AW130+1)-INDEX($T$5:$T$8,$AW130)))/INDEX(Y$5:Y$8,$AW130+1)^((INDEX($T$5:$T$8,$AW130)-($I130-DateToday+15))/(INDEX($T$5:$T$8,$AW130+1)-INDEX($T$5:$T$8,$AW130))))</f>
        <v>9523686.57581696</v>
      </c>
      <c r="BC130" s="468" t="n">
        <f aca="false">IF($AW130="",BC129^2/BC128,INDEX(Z$5:Z$8,$AW130)^((INDEX($T$5:$T$8,$AW130+1)-($I130-DateToday+15))/(INDEX($T$5:$T$8,$AW130+1)-INDEX($T$5:$T$8,$AW130)))/INDEX(Z$5:Z$8,$AW130+1)^((INDEX($T$5:$T$8,$AW130)-($I130-DateToday+15))/(INDEX($T$5:$T$8,$AW130+1)-INDEX($T$5:$T$8,$AW130))))</f>
        <v>36550318.1740447</v>
      </c>
      <c r="BD130" s="535" t="n">
        <f aca="false">IF(OR(DateStart&gt;=I131,DateEnd&lt;I130),0,IF(VolumeOverrideFlag,V130,Volume))</f>
        <v>0</v>
      </c>
      <c r="BE130" s="536" t="n">
        <f aca="false">IF(OR(DateStart2&gt;=I131,DateEnd2&lt;I130),0,IF(VolumeOverrideFlag,V130,VolumeSwaption))</f>
        <v>0</v>
      </c>
      <c r="BF130" s="537" t="n">
        <f aca="false">YEAR(I130)</f>
        <v>2009</v>
      </c>
      <c r="BG130" s="538" t="n">
        <f aca="false">MONTH(I130)</f>
        <v>11</v>
      </c>
      <c r="BH130" s="539" t="n">
        <f aca="false">AD130-DateToday+1</f>
        <v>-5823</v>
      </c>
      <c r="BI130" s="540" t="n">
        <f aca="false">(I130-DateToday+1)/365.25</f>
        <v>-15.8986995208761</v>
      </c>
      <c r="BJ130" s="541" t="n">
        <f aca="false">BI130+(BL130-BI130)*CHOOSE(Underlying,AJ130/AI130,AM130/AL130)</f>
        <v>-15.8419868974284</v>
      </c>
      <c r="BK130" s="541" t="n">
        <f aca="false">BJ130+1/365.25</f>
        <v>-15.8392490466412</v>
      </c>
      <c r="BL130" s="541" t="n">
        <f aca="false">(I131-DateToday)/365.25</f>
        <v>-15.8193018480493</v>
      </c>
      <c r="BM130" s="542" t="e">
        <f aca="false">MAX(BI130-(BJ130-BI130)*(S131^2/O131^2-1),0)</f>
        <v>#DIV/0!</v>
      </c>
      <c r="BN130" s="541" t="e">
        <f aca="false">MAX(BL130+(BL130-BK130)*(S132^2/O132^2-1),0)</f>
        <v>#DIV/0!</v>
      </c>
      <c r="BO130" s="530" t="n">
        <f aca="false">CHOOSE(Underlying,AI130,AL130)</f>
        <v>21</v>
      </c>
      <c r="BP130" s="529" t="n">
        <f aca="false">CHOOSE(Underlying,AJ130,AM130)</f>
        <v>15</v>
      </c>
      <c r="BQ130" s="529" t="n">
        <f aca="false">CHOOSE(Underlying,AK130,AN130)</f>
        <v>6</v>
      </c>
      <c r="BR130" s="463" t="str">
        <f aca="false">IF(BD130,IF(Underlying=1,X130,Z130)+UnderlyingPriceAsian-SwapPriceCurve,"")</f>
        <v/>
      </c>
      <c r="BS130" s="463" t="str">
        <f aca="false">IF(BD130,Strike1/BR130-1,"")</f>
        <v/>
      </c>
      <c r="BT130" s="464" t="str">
        <f aca="false">IF(BD130,Strike2/BR130-1,"")</f>
        <v/>
      </c>
      <c r="BU130" s="465" t="str">
        <f aca="false">IF(BD130,IF(Underlying=1,L131,R131)+UnderlyingPriceAsian-SwapPriceCurve,"")</f>
        <v/>
      </c>
      <c r="BV130" s="465" t="str">
        <f aca="false">IF(BD130,IF(Underlying=1,L132,R132)+UnderlyingPriceAsian-SwapPriceCurve,"")</f>
        <v/>
      </c>
      <c r="BW130" s="466" t="str">
        <f aca="false">IF(BD130,IF(Underlying=1,O131,AT131),"")</f>
        <v/>
      </c>
      <c r="BX130" s="467" t="str">
        <f aca="false">IF(BD130,IF(Underlying=1,O132,AT132),"")</f>
        <v/>
      </c>
      <c r="BY130" s="466" t="str">
        <f aca="false">IF(BD130,IF(BS130&gt;0,IF(BS130&gt;0.2,BC130-BB130,IF(BS130&gt;0.1,BB130-BA130,BA130)),IF(BS130&lt;-0.2,AX130-AY130,IF(BS130&lt;-0.1,AY130-AZ130,AZ130))),"")</f>
        <v/>
      </c>
      <c r="BZ130" s="467" t="str">
        <f aca="false">IF(BD130,IF(BT130&gt;0,IF(BT130&gt;0.2,BC130-BB130,IF(BT130&gt;0.1,BB130-BA130,BA130)),IF(BT130&lt;-0.2,AX130-AY130,IF(BT130&lt;-0.1,AY130-AZ130,AZ130))),"")</f>
        <v/>
      </c>
      <c r="CA130" s="468" t="str">
        <f aca="false">IF($BD130,$BW130+IF(VolSkewFlag=1,IF(BS130&gt;0,$BA130*MIN(BS130/10%,1)+($BB130-$BA130)*MAX(0,MIN(BS130/10%-1,1))+($BC130-$BB130)*MAX(0,BS130/10%-2),$AZ130*MIN(-BS130/10%,1)+($AY130-$AZ130)*MAX(0,MIN(-BS130/10%-1,1))+($AX130-$AY130)*MAX(0,-BS130/10%-2)),0),"")</f>
        <v/>
      </c>
      <c r="CB130" s="468" t="str">
        <f aca="false">IF($BD130,$BX130+IF(VolSkewFlag=1,IF(BS130&gt;0,$BA130*MIN(BS130/10%,1)+($BB130-$BA130)*MAX(0,MIN(BS130/10%-1,1))+($BC130-$BB130)*MAX(0,BS130/10%-2),$AZ130*MIN(-BS130/10%,1)+($AY130-$AZ130)*MAX(0,MIN(-BS130/10%-1,1))+($AX130-$AY130)*MAX(0,-BS130/10%-2)),0),"")</f>
        <v/>
      </c>
      <c r="CC130" s="468" t="str">
        <f aca="false">IF($BD130,$BW130+IF(VolSkewFlag=1,IF(BT130&gt;0,$BA130*MIN(BT130/10%,1)+($BB130-$BA130)*MAX(0,MIN(BT130/10%-1,1))+($BC130-$BB130)*MAX(0,BT130/10%-2),$AZ130*MIN(-BT130/10%,1)+($AY130-$AZ130)*MAX(0,MIN(-BT130/10%-1,1))+($AX130-$AY130)*MAX(0,-BT130/10%-2)),0),"")</f>
        <v/>
      </c>
      <c r="CD130" s="468" t="str">
        <f aca="false">IF($BD130,$BX130+IF(VolSkewFlag=1,IF(BT130&gt;0,$BA130*MIN(BT130/10%,1)+($BB130-$BA130)*MAX(0,MIN(BT130/10%-1,1))+($BC130-$BB130)*MAX(0,BT130/10%-2),$AZ130*MIN(-BT130/10%,1)+($AY130-$AZ130)*MAX(0,MIN(-BT130/10%-1,1))+($AX130-$AY130)*MAX(0,-BT130/10%-2)),0),"")</f>
        <v/>
      </c>
      <c r="CE130" s="469" t="n">
        <v>1</v>
      </c>
      <c r="CF130" s="470" t="n">
        <f aca="false">IF(BD130,xCrudeAPO(BU130,BV130,CA130,CB130,S131,S132,BI130,BL130,BP130,BQ130,0,Strike1,AO130,CE130,0,BL130,IF(OptControl=4,0,1),0,1),0)</f>
        <v>0</v>
      </c>
      <c r="CG130" s="470" t="n">
        <f aca="false">IF(BD130,xCrudeAPO(BU130,BV130,CA130,CB130,S131,S132,BI130,BL130,BP130,BQ130,0,Strike1,AO130,CE130,0,BL130,IF(OptControl=4,0,1),1,1)+xCrudeAPO(BU130,BV130,CA130,CB130,S131,S132,BI130,BL130,BP130,BQ130,0,Strike1,AO130,CE130,0,BL130,IF(OptControl=4,0,1),1,2)+IF(OR(VolSkewFlag=2,ABS(BS130)&lt;0.0001),0,IF(BS130&gt;0,-1,1)*CH130*Strike1/BR130^2*BY130/10%),0)</f>
        <v>0</v>
      </c>
      <c r="CH130" s="470" t="n">
        <f aca="false">IF(BD130,(xCrudeAPO(BU130,BV130,CA130,CB130,S131,S132,BI130,BL130,BP130,BQ130,0,Strike1,AO130,CE130,0,BL130,IF(OptControl=4,0,1),3,1)+xCrudeAPO(BU130,BV130,CA130,CB130,S131,S132,BI130,BL130,BP130,BQ130,0,Strike1,AO130,CE130,0,BL130,IF(OptControl=4,0,1),3,2))/100,0)</f>
        <v>0</v>
      </c>
      <c r="CI130" s="470" t="n">
        <f aca="false">IF(BD130,xCrudeAPO(BU130,BV130,CA130,CB130,S131,S132,BI130-DaysForThetaCalculation/365.25,BL130-DaysForThetaCalculation/365.25,BP130,BQ130,0,Strike1,AO130,CE130,0,BL130,IF(OptControl=4,0,1),0,1)-xCrudeAPO(BU130,BV130,CA130,CB130,S131,S132,BI130,BL130,BP130,BQ130,0,Strike1,AO130,CE130,0,BL130,IF(OptControl=4,0,1),0,1),0)</f>
        <v>0</v>
      </c>
      <c r="CJ130" s="471" t="n">
        <f aca="false">IF(BD130,xCrudeAPO(BU130,BV130,CC130,CD130,S131,S132,BI130,BL130,BP130,BQ130,0,Strike2,AO130,CE130,0,BL130,IF(OptControl=3,1,0),0,1),0)</f>
        <v>0</v>
      </c>
      <c r="CK130" s="470" t="n">
        <f aca="false">IF(BD130,xCrudeAPO(BU130,BV130,CC130,CD130,S131,S132,BI130,BL130,BP130,BQ130,0,Strike2,AO130,CE130,0,BL130,IF(OptControl=3,1,0),1,1)+xCrudeAPO(BU130,BV130,CC130,CD130,S131,S132,BI130,BL130,BP130,BQ130,0,Strike2,AO130,CE130,0,BL130,IF(OptControl=3,1,0),1,2)+IF(OR(VolSkewFlag=2,ABS(BT130)&lt;0.0001),0,IF(BT130&gt;0,-1,1)*CL130*Strike2/BR130^2*BZ130/10%),0)</f>
        <v>0</v>
      </c>
      <c r="CL130" s="470" t="n">
        <f aca="false">IF(BD130,(xCrudeAPO(BU130,BV130,CC130,CD130,S131,S132,BI130,BL130,BP130,BQ130,0,Strike2,AO130,CE130,0,BL130,IF(OptControl=3,1,0),3,1)+xCrudeAPO(BU130,BV130,CC130,CD130,S131,S132,BI130,BL130,BP130,BQ130,0,Strike2,AO130,CE130,0,BL130,IF(OptControl=3,1,0),3,2))/100,0)</f>
        <v>0</v>
      </c>
      <c r="CM130" s="472" t="n">
        <f aca="false">IF(BD130,xCrudeAPO(BU130,BV130,CC130,CD130,S131,S132,BI130-DaysForThetaCalculation/365.25,BL130-DaysForThetaCalculation/365.25,BP130,BQ130,0,Strike2,AO130,CE130,0,BL130,IF(OptControl=3,1,0),0,1)-xCrudeAPO(BU130,BV130,CC130,CD130,S131,S132,BI130,BL130,BP130,BQ130,0,Strike2,AO130,CE130,0,BL130,IF(OptControl=3,1,0),0,1),0)</f>
        <v>0</v>
      </c>
      <c r="CN130" s="3"/>
      <c r="CO130" s="543" t="str">
        <f aca="false">IF(BD130,CHOOSE(Underlying,AD130,AF130)-DateToday+1,"")</f>
        <v/>
      </c>
      <c r="CP130" s="582" t="str">
        <f aca="false">IF(BD130,CHOOSE(Underlying,L130,R130),"")</f>
        <v/>
      </c>
      <c r="CQ130" s="544" t="str">
        <f aca="false">IF(BD130,Strike1/CP130-1,"")</f>
        <v/>
      </c>
      <c r="CR130" s="544" t="str">
        <f aca="false">IF(BD130,Strike2/CP130-1,"")</f>
        <v/>
      </c>
      <c r="CS130" s="544" t="str">
        <f aca="false">IF(BD130,IF(CQ130&gt;0,IF(CQ130&gt;0.2,BC129-BB129,IF(CQ130&gt;0.1,BB129-BA129,BA129)),IF(CQ130&lt;-0.2,AX129-AY129,IF(CQ130&lt;-0.1,AY129-AZ129,AZ129))),"")</f>
        <v/>
      </c>
      <c r="CT130" s="544" t="str">
        <f aca="false">IF(BD130,IF(CR130&gt;0,IF(CR130&gt;0.2,BC129-BB129,IF(CR130&gt;0.1,BB129-BA129,BA129)),IF(CR130&lt;-0.2,AX129-AY129,IF(CR130&lt;-0.1,AY129-AZ129,AZ129))),"")</f>
        <v/>
      </c>
      <c r="CU130" s="545" t="str">
        <f aca="false">IF(BD130,CHOOSE(Underlying,O130,AT130),"")</f>
        <v/>
      </c>
      <c r="CV130" s="545" t="str">
        <f aca="false">IF(BD130,CU130+IF(VolSkewFlag=1,IF(CQ130&gt;0,BA129*MIN(CQ130/10%,1)+(BB129-BA129)*MAX(0,MIN(CQ130/10%-1,1))+(BC129-BB129)*MAX(0,CQ130/10%-2),AZ129*MIN(-CQ130/10%,1)+(AY129-AZ129)*MAX(0,MIN(-CQ130/10%-1,1))+(AX129-AY129)*MAX(0,-CQ130/10%-2)),0),"")</f>
        <v/>
      </c>
      <c r="CW130" s="545" t="str">
        <f aca="false">IF(BD130,CU130+IF(VolSkewFlag=1,IF(CR130&gt;0,BA129*MIN(CR130/10%,1)+(BB129-BA129)*MAX(0,MIN(CR130/10%-1,1))+(BC129-BB129)*MAX(0,CR130/10%-2),AZ129*MIN(-CR130/10%,1)+(AY129-AZ129)*MAX(0,MIN(-CR130/10%-1,1))+(AX129-AY129)*MAX(0,-CR130/10%-2)),0),"")</f>
        <v/>
      </c>
      <c r="CX130" s="470" t="n">
        <f aca="false">IF(BD130,EURO(CP130,Strike1,AO130,AO130,CV130,CO130,IF(OptControl=4,0,1),0),0)</f>
        <v>0</v>
      </c>
      <c r="CY130" s="470" t="n">
        <f aca="false">IF(BD130,EURO(CP130,Strike1,AO130,AO130,CV130,CO130,IF(OptControl=4,0,1),1)+IF(OR(VolSkewFlag=2,ABS(CQ130)&lt;0.0001),0,IF(CQ130&gt;0,-1,1)*CZ130*100*Strike1/CP130^2*CS130/10%),0)</f>
        <v>0</v>
      </c>
      <c r="CZ130" s="470" t="n">
        <f aca="false">IF(BD130,EURO(CP130,Strike1,AO130,AO130,CV130,CO130,IF(OptControl=4,0,1),3)/100,0)</f>
        <v>0</v>
      </c>
      <c r="DA130" s="470" t="n">
        <f aca="false">IF(BD130,EURO(CP130,Strike1,AO130,AO130,CV130,CO130,IF(OptControl=4,0,1),0)-EURO(CP130,Strike1,AO130,AO130,CV130,CO130-1,IF(OptControl=4,0,1),0),0)</f>
        <v>0</v>
      </c>
      <c r="DB130" s="470" t="n">
        <f aca="false">IF(BD130,EURO(CP130,Strike2,AO130,AO130,CW130,CO130,IF(OptControl=3,1,0),0),0)</f>
        <v>0</v>
      </c>
      <c r="DC130" s="470" t="n">
        <f aca="false">IF(BD130,EURO(CP130,Strike2,AO130,AO130,CW130,CO130,IF(OptControl=3,1,0),1)+IF(OR(VolSkewFlag=2,ABS(CR130)&lt;0.0001),0,IF(CR130&gt;0,-1,1)*DD130*100*Strike2/CP130^2*CT130/10%),0)</f>
        <v>0</v>
      </c>
      <c r="DD130" s="470" t="n">
        <f aca="false">IF(BD130,EURO(CP130,Strike2,AO130,AO130,CW130,CO130,IF(OptControl=3,1,0),3)/100,0)</f>
        <v>0</v>
      </c>
      <c r="DE130" s="472" t="n">
        <f aca="false">IF(BD130,EURO(CP130,Strike2,AO130,AO130,CW130,CO130,IF(OptControl=3,1,0),0)-EURO(CP130,Strike2,AO130,AO130,CW130,CO130-1,IF(OptControl=3,1,0),0),0)</f>
        <v>0</v>
      </c>
      <c r="DG130" s="481" t="n">
        <f aca="false">EOMONTH(DG129,0)+1</f>
        <v>49035</v>
      </c>
      <c r="DH130" s="478" t="n">
        <v>19.66</v>
      </c>
      <c r="DI130" s="479" t="n">
        <v>19.7281818181818</v>
      </c>
      <c r="DJ130" s="480" t="n">
        <f aca="false">DG130</f>
        <v>49035</v>
      </c>
      <c r="DK130" s="478" t="n">
        <v>18.4602674769887</v>
      </c>
      <c r="DL130" s="479" t="n">
        <v>18.4366818181818</v>
      </c>
      <c r="DM130" s="481" t="n">
        <f aca="false">DG130</f>
        <v>49035</v>
      </c>
      <c r="DN130" s="482" t="n">
        <f aca="false">DK130+BrentPhyBrentSpread</f>
        <v>18.5102674769887</v>
      </c>
      <c r="DO130" s="481" t="n">
        <f aca="false">DG130</f>
        <v>49035</v>
      </c>
      <c r="DP130" s="483" t="n">
        <f aca="false">DL130+DQ130</f>
        <v>18.4366818181818</v>
      </c>
      <c r="DQ130" s="546" t="n">
        <v>0</v>
      </c>
      <c r="DR130" s="480" t="n">
        <f aca="false">DG130</f>
        <v>49035</v>
      </c>
      <c r="DS130" s="485" t="n">
        <v>0.158599999999999</v>
      </c>
      <c r="DT130" s="486" t="n">
        <v>0.157781818181817</v>
      </c>
      <c r="DU130" s="480" t="n">
        <f aca="false">DG130</f>
        <v>49035</v>
      </c>
      <c r="DV130" s="485" t="n">
        <v>0.158599999999999</v>
      </c>
      <c r="DW130" s="486" t="n">
        <v>0.157781818181817</v>
      </c>
      <c r="DX130" s="481" t="n">
        <f aca="false">DG130</f>
        <v>49035</v>
      </c>
      <c r="DY130" s="486" t="n">
        <v>0.35</v>
      </c>
      <c r="DZ130" s="481" t="n">
        <f aca="false">DR130</f>
        <v>49035</v>
      </c>
      <c r="EA130" s="486" t="n">
        <f aca="false">DT130</f>
        <v>0.157781818181817</v>
      </c>
      <c r="EB130" s="195"/>
      <c r="EC130" s="547" t="str">
        <f aca="false">IF(BD130,IF(Underlying=1,AS130,AU130),"")</f>
        <v/>
      </c>
      <c r="ED130" s="548" t="str">
        <f aca="false">IF($BD130,$EC130+IF(VolSkewFlag=1,IF(BS130&gt;0,$BA130*MIN(BS130/10%,1)+($BB130-$BA130)*MAX(0,MIN(BS130/10%-1,1))+($BC130-$BB130)*MAX(0,BS130/10%-2),$AZ130*MIN(-BS130/10%,1)+($AY130-$AZ130)*MAX(0,MIN(-BS130/10%-1,1))+($AX130-$AY130)*MAX(0,-BS130/10%-2)),0),"")</f>
        <v/>
      </c>
      <c r="EE130" s="549" t="str">
        <f aca="false">IF($BD130,$EC130+IF(VolSkewFlag=1,IF(BT130&gt;0,$BA130*MIN(BT130/10%,1)+($BB130-$BA130)*MAX(0,MIN(BT130/10%-1,1))+($BC130-$BB130)*MAX(0,BT130/10%-2),$AZ130*MIN(-BT130/10%,1)+($AY130-$AZ130)*MAX(0,MIN(-BT130/10%-1,1))+($AX130-$AY130)*MAX(0,-BT130/10%-2)),0),"")</f>
        <v/>
      </c>
      <c r="EF130" s="550" t="n">
        <f aca="false">IF(BD130,xASN(BR130,Strike1,AO130,ED130,0,BO130,0,BI130,BL130,IF(OptControl=4,0,1),0),0)</f>
        <v>0</v>
      </c>
      <c r="EG130" s="551" t="n">
        <f aca="false">IF(BD130,xASN(BR130,Strike2,AO130,EE130,0,BO130,0,BI130,BL130,IF(OptControl=3,1,0),0),0)</f>
        <v>0</v>
      </c>
      <c r="EL130" s="1"/>
      <c r="EM130" s="195"/>
      <c r="EN130" s="240"/>
      <c r="EO130" s="240"/>
      <c r="EP130" s="195"/>
      <c r="EQ130" s="407" t="s">
        <v>357</v>
      </c>
      <c r="ES130" s="130"/>
      <c r="ET130" s="19"/>
      <c r="EU130" s="672"/>
      <c r="EV130" s="478"/>
      <c r="EW130" s="131"/>
      <c r="EX130" s="131"/>
      <c r="EY130" s="129"/>
      <c r="EZ130" s="129"/>
      <c r="FA130" s="129"/>
      <c r="FB130" s="129"/>
      <c r="FC130" s="129"/>
      <c r="FD130" s="129"/>
      <c r="FE130" s="129"/>
      <c r="FF130" s="129"/>
      <c r="FG130" s="129"/>
      <c r="FH130" s="129"/>
      <c r="FI130" s="129"/>
      <c r="FJ130" s="571" t="n">
        <v>36</v>
      </c>
      <c r="FK130" s="150" t="e">
        <f aca="false">IF($FJ55&lt;FK$94,"",SQRT(FK55/FK$15))</f>
        <v>#DIV/0!</v>
      </c>
      <c r="FL130" s="150" t="n">
        <f aca="false">IF($FJ55&lt;FL$94,"",SQRT(FL55/FL$15))</f>
        <v>-0</v>
      </c>
      <c r="FM130" s="150" t="n">
        <f aca="false">IF($FJ55&lt;FM$94,"",SQRT(FM55/FM$15))</f>
        <v>0.171249121248993</v>
      </c>
      <c r="FN130" s="150" t="n">
        <f aca="false">IF($FJ55&lt;FN$94,"",SQRT(FN55/FN$15))</f>
        <v>0.168081496552569</v>
      </c>
      <c r="FO130" s="150" t="n">
        <f aca="false">IF($FJ55&lt;FO$94,"",SQRT(FO55/FO$15))</f>
        <v>0.165754617833866</v>
      </c>
      <c r="FP130" s="150" t="n">
        <f aca="false">IF($FJ55&lt;FP$94,"",SQRT(FP55/FP$15))</f>
        <v>0.164066925523515</v>
      </c>
      <c r="FQ130" s="150" t="n">
        <f aca="false">IF($FJ55&lt;FQ$94,"",SQRT(FQ55/FQ$15))</f>
        <v>0.162868710340245</v>
      </c>
      <c r="FR130" s="150" t="n">
        <f aca="false">IF($FJ55&lt;FR$94,"",SQRT(FR55/FR$15))</f>
        <v>0.162049413425729</v>
      </c>
      <c r="FS130" s="150" t="n">
        <f aca="false">IF($FJ55&lt;FS$94,"",SQRT(FS55/FS$15))</f>
        <v>0.161528149642644</v>
      </c>
      <c r="FT130" s="150" t="n">
        <f aca="false">IF($FJ55&lt;FT$94,"",SQRT(FT55/FT$15))</f>
        <v>0.161246658038842</v>
      </c>
      <c r="FU130" s="150" t="n">
        <f aca="false">IF($FJ55&lt;FU$94,"",SQRT(FU55/FU$15))</f>
        <v>0.161164084731068</v>
      </c>
      <c r="FV130" s="150" t="n">
        <f aca="false">IF($FJ55&lt;FV$94,"",SQRT(FV55/FV$15))</f>
        <v>0.161253155017014</v>
      </c>
      <c r="FW130" s="150" t="n">
        <f aca="false">IF($FJ55&lt;FW$94,"",SQRT(FW55/FW$15))</f>
        <v>0.161497406008133</v>
      </c>
      <c r="FX130" s="150" t="n">
        <f aca="false">IF($FJ55&lt;FX$94,"",SQRT(FX55/FX$15))</f>
        <v>0.161889238030436</v>
      </c>
      <c r="FY130" s="150" t="n">
        <f aca="false">IF($FJ55&lt;FY$94,"",SQRT(FY55/FY$15))</f>
        <v>0.162428609729086</v>
      </c>
      <c r="FZ130" s="150" t="n">
        <f aca="false">IF($FJ55&lt;FZ$94,"",SQRT(FZ55/FZ$15))</f>
        <v>0.163122253834457</v>
      </c>
      <c r="GA130" s="150" t="n">
        <f aca="false">IF($FJ55&lt;GA$94,"",SQRT(GA55/GA$15))</f>
        <v>0.163983332321466</v>
      </c>
      <c r="GB130" s="150" t="n">
        <f aca="false">IF($FJ55&lt;GB$94,"",SQRT(GB55/GB$15))</f>
        <v>0.165031484856749</v>
      </c>
      <c r="GC130" s="150" t="n">
        <f aca="false">IF($FJ55&lt;GC$94,"",SQRT(GC55/GC$15))</f>
        <v>0.166293256183044</v>
      </c>
      <c r="GD130" s="150" t="n">
        <f aca="false">IF($FJ55&lt;GD$94,"",SQRT(GD55/GD$15))</f>
        <v>0.167802919553301</v>
      </c>
      <c r="GE130" s="150" t="n">
        <f aca="false">IF($FJ55&lt;GE$94,"",SQRT(GE55/GE$15))</f>
        <v>0.169603747919974</v>
      </c>
      <c r="GF130" s="150" t="n">
        <f aca="false">IF($FJ55&lt;GF$94,"",SQRT(GF55/GF$15))</f>
        <v>0.171749826544314</v>
      </c>
      <c r="GG130" s="150" t="n">
        <f aca="false">IF($FJ55&lt;GG$94,"",SQRT(GG55/GG$15))</f>
        <v>0.17430855580791</v>
      </c>
      <c r="GH130" s="150" t="n">
        <f aca="false">IF($FJ55&lt;GH$94,"",SQRT(GH55/GH$15))</f>
        <v>0.177364069787532</v>
      </c>
      <c r="GI130" s="150" t="n">
        <f aca="false">IF($FJ55&lt;GI$94,"",SQRT(GI55/GI$15))</f>
        <v>0.181021907710752</v>
      </c>
      <c r="GJ130" s="150" t="n">
        <f aca="false">IF($FJ55&lt;GJ$94,"",SQRT(GJ55/GJ$15))</f>
        <v>0.185415442711222</v>
      </c>
      <c r="GK130" s="150" t="n">
        <f aca="false">IF($FJ55&lt;GK$94,"",SQRT(GK55/GK$15))</f>
        <v>0.190714829848868</v>
      </c>
      <c r="GL130" s="150" t="n">
        <f aca="false">IF($FJ55&lt;GL$94,"",SQRT(GL55/GL$15))</f>
        <v>0.197139641424458</v>
      </c>
      <c r="GM130" s="150" t="n">
        <f aca="false">IF($FJ55&lt;GM$94,"",SQRT(GM55/GM$15))</f>
        <v>0.204977013216774</v>
      </c>
      <c r="GN130" s="150" t="n">
        <f aca="false">IF($FJ55&lt;GN$94,"",SQRT(GN55/GN$15))</f>
        <v>0.2146082103409</v>
      </c>
      <c r="GO130" s="150" t="n">
        <f aca="false">IF($FJ55&lt;GO$94,"",SQRT(GO55/GO$15))</f>
        <v>0.226548366007878</v>
      </c>
      <c r="GP130" s="150" t="n">
        <f aca="false">IF($FJ55&lt;GP$94,"",SQRT(GP55/GP$15))</f>
        <v>0.241507375662902</v>
      </c>
      <c r="GQ130" s="150" t="n">
        <f aca="false">IF($FJ55&lt;GQ$94,"",SQRT(GQ55/GQ$15))</f>
        <v>0.260485769632339</v>
      </c>
      <c r="GR130" s="150" t="n">
        <f aca="false">IF($FJ55&lt;GR$94,"",SQRT(GR55/GR$15))</f>
        <v>0.28493034508469</v>
      </c>
      <c r="GS130" s="150" t="n">
        <f aca="false">IF($FJ55&lt;GS$94,"",SQRT(GS55/GS$15))</f>
        <v>0.316995764925893</v>
      </c>
      <c r="GT130" s="150" t="n">
        <f aca="false">IF($FJ55&lt;GT$94,"",SQRT(GT55/GT$15))</f>
        <v>0.360002260179579</v>
      </c>
      <c r="GU130" s="150" t="str">
        <f aca="false">IF($FJ55&lt;GU$94,"",SQRT(GU55/GU$15))</f>
        <v/>
      </c>
      <c r="GV130" s="150" t="str">
        <f aca="false">IF($FJ55&lt;GV$94,"",SQRT(GV55/GV$15))</f>
        <v/>
      </c>
      <c r="GW130" s="150" t="str">
        <f aca="false">IF($FJ55&lt;GW$94,"",SQRT(GW55/GW$15))</f>
        <v/>
      </c>
      <c r="GX130" s="150" t="str">
        <f aca="false">IF($FJ55&lt;GX$94,"",SQRT(GX55/GX$15))</f>
        <v/>
      </c>
      <c r="GY130" s="150" t="str">
        <f aca="false">IF($FJ55&lt;GY$94,"",SQRT(GY55/GY$15))</f>
        <v/>
      </c>
      <c r="GZ130" s="150" t="str">
        <f aca="false">IF($FJ55&lt;GZ$94,"",SQRT(GZ55/GZ$15))</f>
        <v/>
      </c>
      <c r="HA130" s="150" t="str">
        <f aca="false">IF($FJ55&lt;HA$94,"",SQRT(HA55/HA$15))</f>
        <v/>
      </c>
      <c r="HB130" s="150" t="str">
        <f aca="false">IF($FJ55&lt;HB$94,"",SQRT(HB55/HB$15))</f>
        <v/>
      </c>
      <c r="HC130" s="150" t="str">
        <f aca="false">IF($FJ55&lt;HC$94,"",SQRT(HC55/HC$15))</f>
        <v/>
      </c>
      <c r="HD130" s="150" t="str">
        <f aca="false">IF($FJ55&lt;HD$94,"",SQRT(HD55/HD$15))</f>
        <v/>
      </c>
      <c r="HE130" s="150" t="str">
        <f aca="false">IF($FJ55&lt;HE$94,"",SQRT(HE55/HE$15))</f>
        <v/>
      </c>
      <c r="HF130" s="150" t="str">
        <f aca="false">IF($FJ55&lt;HF$94,"",SQRT(HF55/HF$15))</f>
        <v/>
      </c>
      <c r="HG130" s="150" t="str">
        <f aca="false">IF($FJ55&lt;HG$94,"",SQRT(HG55/HG$15))</f>
        <v/>
      </c>
      <c r="HH130" s="150" t="str">
        <f aca="false">IF($FJ55&lt;HH$94,"",SQRT(HH55/HH$15))</f>
        <v/>
      </c>
      <c r="HI130" s="150" t="str">
        <f aca="false">IF($FJ55&lt;HI$94,"",SQRT(HI55/HI$15))</f>
        <v/>
      </c>
      <c r="HJ130" s="150" t="str">
        <f aca="false">IF($FJ55&lt;HJ$94,"",SQRT(HJ55/HJ$15))</f>
        <v/>
      </c>
      <c r="HK130" s="150" t="str">
        <f aca="false">IF($FJ55&lt;HK$94,"",SQRT(HK55/HK$15))</f>
        <v/>
      </c>
      <c r="HL130" s="150" t="str">
        <f aca="false">IF($FJ55&lt;HL$94,"",SQRT(HL55/HL$15))</f>
        <v/>
      </c>
      <c r="HM130" s="150" t="str">
        <f aca="false">IF($FJ55&lt;HM$94,"",SQRT(HM55/HM$15))</f>
        <v/>
      </c>
      <c r="HN130" s="150" t="str">
        <f aca="false">IF($FJ55&lt;HN$94,"",SQRT(HN55/HN$15))</f>
        <v/>
      </c>
      <c r="HO130" s="150" t="str">
        <f aca="false">IF($FJ55&lt;HO$94,"",SQRT(HO55/HO$15))</f>
        <v/>
      </c>
      <c r="HP130" s="150" t="str">
        <f aca="false">IF($FJ55&lt;HP$94,"",SQRT(HP55/HP$15))</f>
        <v/>
      </c>
      <c r="HQ130" s="150" t="str">
        <f aca="false">IF($FJ55&lt;HQ$94,"",SQRT(HQ55/HQ$15))</f>
        <v/>
      </c>
      <c r="HR130" s="150" t="str">
        <f aca="false">IF($FJ55&lt;HR$94,"",SQRT(HR55/HR$15))</f>
        <v/>
      </c>
      <c r="HS130" s="150" t="str">
        <f aca="false">IF($FJ55&lt;HS$94,"",SQRT(HS55/HS$15))</f>
        <v/>
      </c>
      <c r="HT130" s="150" t="str">
        <f aca="false">IF($FJ55&lt;HT$94,"",SQRT(HT55/HT$15))</f>
        <v/>
      </c>
      <c r="HU130" s="150" t="str">
        <f aca="false">IF($FJ55&lt;HU$94,"",SQRT(HU55/HU$15))</f>
        <v/>
      </c>
      <c r="HV130" s="150" t="str">
        <f aca="false">IF($FJ55&lt;HV$94,"",SQRT(HV55/HV$15))</f>
        <v/>
      </c>
      <c r="HW130" s="150" t="str">
        <f aca="false">IF($FJ55&lt;HW$94,"",SQRT(HW55/HW$15))</f>
        <v/>
      </c>
      <c r="HX130" s="150" t="str">
        <f aca="false">IF($FJ55&lt;HX$94,"",SQRT(HX55/HX$15))</f>
        <v/>
      </c>
      <c r="HY130" s="150" t="str">
        <f aca="false">IF($FJ55&lt;HY$94,"",SQRT(HY55/HY$15))</f>
        <v/>
      </c>
      <c r="HZ130" s="150" t="str">
        <f aca="false">IF($FJ55&lt;HZ$94,"",SQRT(HZ55/HZ$15))</f>
        <v/>
      </c>
      <c r="IA130" s="150" t="str">
        <f aca="false">IF($FJ55&lt;IA$94,"",SQRT(IA55/IA$15))</f>
        <v/>
      </c>
      <c r="IB130" s="150" t="str">
        <f aca="false">IF($FJ55&lt;IB$94,"",SQRT(IB55/IB$15))</f>
        <v/>
      </c>
      <c r="IC130" s="150" t="str">
        <f aca="false">IF($FJ55&lt;IC$94,"",SQRT(IC55/IC$15))</f>
        <v/>
      </c>
      <c r="ID130" s="572" t="str">
        <f aca="false">IF($FJ55&lt;ID$94,"",SQRT(ID55/ID$15))</f>
        <v/>
      </c>
      <c r="IE130" s="129"/>
    </row>
    <row r="131" customFormat="false" ht="12.75" hidden="false" customHeight="false" outlineLevel="0" collapsed="false">
      <c r="H131" s="219" t="n">
        <f aca="false">VLOOKUP(I131,$EJ$20:$EL$54,3)</f>
        <v>0</v>
      </c>
      <c r="I131" s="511" t="n">
        <f aca="false">EOMONTH(I130,0)+1</f>
        <v>40148</v>
      </c>
      <c r="J131" s="512"/>
      <c r="K131" s="513" t="s">
        <v>280</v>
      </c>
      <c r="L131" s="514" t="n">
        <f aca="false">IF(ISNUMBER(K131),J131+K131/100,IF(K131="extra",L130+VLOOKUP(BF131,PriceSpreadTable,2)/12,IF(K131="inter",interpolateprices($K$19:$L$200,ROW(K131)-ROW(FirstPricingMonth)+1),interpolatechanges($J$19:$K$200,ROW(K131)-ROW(FirstPricingMonth)+1))))</f>
        <v>1.3125</v>
      </c>
      <c r="M131" s="515"/>
      <c r="N131" s="516" t="n">
        <v>0</v>
      </c>
      <c r="O131" s="515" t="n">
        <f aca="false">M131+N131</f>
        <v>0</v>
      </c>
      <c r="P131" s="512"/>
      <c r="Q131" s="513" t="s">
        <v>280</v>
      </c>
      <c r="R131" s="512" t="e">
        <f aca="false">IF(ISNUMBER(Q131),P131+Q131/100,IF(Q131="extra",(Z129*AL129-R130*AM129)/AN129,IF(Q131="inter",interpolateprices($Q$19:$R$260,ROW(Q131)-ROW(FirstPricingMonth)+1),interpolatechanges($P$19:$Q$260,ROW(Q131)-ROW(FirstPricingMonth)+1))))</f>
        <v>#VALUE!</v>
      </c>
      <c r="S131" s="597" t="n">
        <f aca="false">S$19+(S130-S$19)*S$18</f>
        <v>0.36</v>
      </c>
      <c r="T131" s="575" t="n">
        <f aca="false">SQRT((1-(1-T130^2/U130)*T$18)*U131)</f>
        <v>0.999999996846985</v>
      </c>
      <c r="U131" s="576" t="n">
        <f aca="false">1-(1-U130)*U$18</f>
        <v>1</v>
      </c>
      <c r="V131" s="521" t="n">
        <v>0</v>
      </c>
      <c r="W131" s="577" t="n">
        <f aca="false">(J132*AJ131+J133*AK131)/AI131</f>
        <v>0</v>
      </c>
      <c r="X131" s="578" t="n">
        <f aca="false">(L132*AJ131+L133*AK131)/AI131</f>
        <v>1.36363636363636</v>
      </c>
      <c r="Y131" s="579" t="n">
        <f aca="false">IF(Q133="extra",W131-AA131,(P132*AM131+P133*AN131)/AL131)</f>
        <v>-1.1931</v>
      </c>
      <c r="Z131" s="579" t="n">
        <f aca="false">IF(Q133="extra",X131-AB131,(R132*AM131+R133*AN131)/AL131)</f>
        <v>0.170536363636364</v>
      </c>
      <c r="AA131" s="523" t="n">
        <f aca="false">IF(Q133="extra",INDEX(BrentSeasonalityTable,INT((BG131-1)/3)+1)*VLOOKUP(MAX(BF131,$AB$4),PriceSpreadTable,3),W131-Y131)</f>
        <v>1.1931</v>
      </c>
      <c r="AB131" s="524" t="n">
        <f aca="false">IF(Q133="extra",INDEX(BrentSeasonalityTable,INT((BG131-1)/3)+1)*VLOOKUP(MAX(BF131,$AB$4),PriceSpreadTable,3),X131-Z131)</f>
        <v>1.1931</v>
      </c>
      <c r="AC131" s="646" t="n">
        <v>40137</v>
      </c>
      <c r="AD131" s="646" t="n">
        <v>40133</v>
      </c>
      <c r="AE131" s="646" t="n">
        <v>40132</v>
      </c>
      <c r="AF131" s="646" t="n">
        <v>40128</v>
      </c>
      <c r="AG131" s="438" t="s">
        <v>278</v>
      </c>
      <c r="AH131" s="439" t="s">
        <v>278</v>
      </c>
      <c r="AI131" s="528" t="n">
        <v>22</v>
      </c>
      <c r="AJ131" s="529" t="n">
        <v>14</v>
      </c>
      <c r="AK131" s="529" t="n">
        <v>8</v>
      </c>
      <c r="AL131" s="530" t="n">
        <v>22</v>
      </c>
      <c r="AM131" s="529" t="n">
        <v>10</v>
      </c>
      <c r="AN131" s="531" t="n">
        <v>12</v>
      </c>
      <c r="AO131" s="532"/>
      <c r="AP131" s="465" t="n">
        <f aca="false">(1+AO131/2)^(-2*BL131)</f>
        <v>1</v>
      </c>
      <c r="AQ131" s="532"/>
      <c r="AR131" s="465" t="n">
        <f aca="false">(1+AQ131/2)^(-2*BH131/365.25)</f>
        <v>1</v>
      </c>
      <c r="AS131" s="580" t="n">
        <f aca="false">(O132*AJ131+O133*AK131)/AI131</f>
        <v>0</v>
      </c>
      <c r="AT131" s="468" t="n">
        <f aca="false">O131*VLOOKUP(BF131,BrentVolTable,2)+VLOOKUP(BF131,BrentVolTable,3)</f>
        <v>0</v>
      </c>
      <c r="AU131" s="468" t="n">
        <f aca="false">(AT132*AM131+AT133*AN131)/AL131</f>
        <v>0</v>
      </c>
      <c r="AV131" s="595" t="n">
        <f aca="false">SQRT(MAX(0.000000000001,(O131^2*BH131-S131^2*(BH131-BH130))/BH130))</f>
        <v>0.0262669684613276</v>
      </c>
      <c r="AW131" s="451" t="n">
        <f aca="false">IF($I131-DateToday+15&gt;=$T$8,"",IF($I131-DateToday+15&lt;$T$5,1,MATCH($I131-DateToday+15,$T$5:$T$8)))</f>
        <v>1</v>
      </c>
      <c r="AX131" s="468" t="n">
        <f aca="false">IF($AW131="",AX130^2/AX129,INDEX(U$5:U$8,$AW131)^((INDEX($T$5:$T$8,$AW131+1)-($I131-DateToday+15))/(INDEX($T$5:$T$8,$AW131+1)-INDEX($T$5:$T$8,$AW131)))/INDEX(U$5:U$8,$AW131+1)^((INDEX($T$5:$T$8,$AW131)-($I131-DateToday+15))/(INDEX($T$5:$T$8,$AW131+1)-INDEX($T$5:$T$8,$AW131))))</f>
        <v>1.16999574175466</v>
      </c>
      <c r="AY131" s="468" t="n">
        <f aca="false">IF($AW131="",AY130^2/AY129,INDEX(V$5:V$8,$AW131)^((INDEX($T$5:$T$8,$AW131+1)-($I131-DateToday+15))/(INDEX($T$5:$T$8,$AW131+1)-INDEX($T$5:$T$8,$AW131)))/INDEX(V$5:V$8,$AW131+1)^((INDEX($T$5:$T$8,$AW131)-($I131-DateToday+15))/(INDEX($T$5:$T$8,$AW131+1)-INDEX($T$5:$T$8,$AW131))))</f>
        <v>48.6117713775673</v>
      </c>
      <c r="AZ131" s="468" t="n">
        <f aca="false">IF($AW131="",AZ130^2/AZ129,INDEX(W$5:W$8,$AW131)^((INDEX($T$5:$T$8,$AW131+1)-($I131-DateToday+15))/(INDEX($T$5:$T$8,$AW131+1)-INDEX($T$5:$T$8,$AW131)))/INDEX(W$5:W$8,$AW131+1)^((INDEX($T$5:$T$8,$AW131)-($I131-DateToday+15))/(INDEX($T$5:$T$8,$AW131+1)-INDEX($T$5:$T$8,$AW131))))</f>
        <v>75827.3137128224</v>
      </c>
      <c r="BA131" s="468" t="n">
        <f aca="false">IF($AW131="",BA130^2/BA129,INDEX(X$5:X$8,$AW131)^((INDEX($T$5:$T$8,$AW131+1)-($I131-DateToday+15))/(INDEX($T$5:$T$8,$AW131+1)-INDEX($T$5:$T$8,$AW131)))/INDEX(X$5:X$8,$AW131+1)^((INDEX($T$5:$T$8,$AW131)-($I131-DateToday+15))/(INDEX($T$5:$T$8,$AW131+1)-INDEX($T$5:$T$8,$AW131))))</f>
        <v>924142.022423922</v>
      </c>
      <c r="BB131" s="468" t="n">
        <f aca="false">IF($AW131="",BB130^2/BB129,INDEX(Y$5:Y$8,$AW131)^((INDEX($T$5:$T$8,$AW131+1)-($I131-DateToday+15))/(INDEX($T$5:$T$8,$AW131+1)-INDEX($T$5:$T$8,$AW131)))/INDEX(Y$5:Y$8,$AW131+1)^((INDEX($T$5:$T$8,$AW131)-($I131-DateToday+15))/(INDEX($T$5:$T$8,$AW131+1)-INDEX($T$5:$T$8,$AW131))))</f>
        <v>8515251.60068236</v>
      </c>
      <c r="BC131" s="468" t="n">
        <f aca="false">IF($AW131="",BC130^2/BC129,INDEX(Z$5:Z$8,$AW131)^((INDEX($T$5:$T$8,$AW131+1)-($I131-DateToday+15))/(INDEX($T$5:$T$8,$AW131+1)-INDEX($T$5:$T$8,$AW131)))/INDEX(Z$5:Z$8,$AW131+1)^((INDEX($T$5:$T$8,$AW131)-($I131-DateToday+15))/(INDEX($T$5:$T$8,$AW131+1)-INDEX($T$5:$T$8,$AW131))))</f>
        <v>32496505.4308457</v>
      </c>
      <c r="BD131" s="535" t="n">
        <f aca="false">IF(OR(DateStart&gt;=I132,DateEnd&lt;I131),0,IF(VolumeOverrideFlag,V131,Volume))</f>
        <v>0</v>
      </c>
      <c r="BE131" s="536" t="n">
        <f aca="false">IF(OR(DateStart2&gt;=I132,DateEnd2&lt;I131),0,IF(VolumeOverrideFlag,V131,VolumeSwaption))</f>
        <v>0</v>
      </c>
      <c r="BF131" s="537" t="n">
        <f aca="false">YEAR(I131)</f>
        <v>2009</v>
      </c>
      <c r="BG131" s="538" t="n">
        <f aca="false">MONTH(I131)</f>
        <v>12</v>
      </c>
      <c r="BH131" s="539" t="n">
        <f aca="false">AD131-DateToday+1</f>
        <v>-5792</v>
      </c>
      <c r="BI131" s="540" t="n">
        <f aca="false">(I131-DateToday+1)/365.25</f>
        <v>-15.8165639972621</v>
      </c>
      <c r="BJ131" s="541" t="n">
        <f aca="false">BI131+(BL131-BI131)*CHOOSE(Underlying,AJ131/AI131,AM131/AL131)</f>
        <v>-15.7642959367805</v>
      </c>
      <c r="BK131" s="541" t="n">
        <f aca="false">BJ131+1/365.25</f>
        <v>-15.7615580859934</v>
      </c>
      <c r="BL131" s="541" t="n">
        <f aca="false">(I132-DateToday)/365.25</f>
        <v>-15.7344284736482</v>
      </c>
      <c r="BM131" s="542" t="e">
        <f aca="false">MAX(BI131-(BJ131-BI131)*(S132^2/O132^2-1),0)</f>
        <v>#DIV/0!</v>
      </c>
      <c r="BN131" s="541" t="e">
        <f aca="false">MAX(BL131+(BL131-BK131)*(S133^2/O133^2-1),0)</f>
        <v>#DIV/0!</v>
      </c>
      <c r="BO131" s="530" t="n">
        <f aca="false">CHOOSE(Underlying,AI131,AL131)</f>
        <v>22</v>
      </c>
      <c r="BP131" s="529" t="n">
        <f aca="false">CHOOSE(Underlying,AJ131,AM131)</f>
        <v>14</v>
      </c>
      <c r="BQ131" s="529" t="n">
        <f aca="false">CHOOSE(Underlying,AK131,AN131)</f>
        <v>8</v>
      </c>
      <c r="BR131" s="463" t="str">
        <f aca="false">IF(BD131,IF(Underlying=1,X131,Z131)+UnderlyingPriceAsian-SwapPriceCurve,"")</f>
        <v/>
      </c>
      <c r="BS131" s="463" t="str">
        <f aca="false">IF(BD131,Strike1/BR131-1,"")</f>
        <v/>
      </c>
      <c r="BT131" s="464" t="str">
        <f aca="false">IF(BD131,Strike2/BR131-1,"")</f>
        <v/>
      </c>
      <c r="BU131" s="465" t="str">
        <f aca="false">IF(BD131,IF(Underlying=1,L132,R132)+UnderlyingPriceAsian-SwapPriceCurve,"")</f>
        <v/>
      </c>
      <c r="BV131" s="465" t="str">
        <f aca="false">IF(BD131,IF(Underlying=1,L133,R133)+UnderlyingPriceAsian-SwapPriceCurve,"")</f>
        <v/>
      </c>
      <c r="BW131" s="466" t="str">
        <f aca="false">IF(BD131,IF(Underlying=1,O132,AT132),"")</f>
        <v/>
      </c>
      <c r="BX131" s="467" t="str">
        <f aca="false">IF(BD131,IF(Underlying=1,O133,AT133),"")</f>
        <v/>
      </c>
      <c r="BY131" s="466" t="str">
        <f aca="false">IF(BD131,IF(BS131&gt;0,IF(BS131&gt;0.2,BC131-BB131,IF(BS131&gt;0.1,BB131-BA131,BA131)),IF(BS131&lt;-0.2,AX131-AY131,IF(BS131&lt;-0.1,AY131-AZ131,AZ131))),"")</f>
        <v/>
      </c>
      <c r="BZ131" s="467" t="str">
        <f aca="false">IF(BD131,IF(BT131&gt;0,IF(BT131&gt;0.2,BC131-BB131,IF(BT131&gt;0.1,BB131-BA131,BA131)),IF(BT131&lt;-0.2,AX131-AY131,IF(BT131&lt;-0.1,AY131-AZ131,AZ131))),"")</f>
        <v/>
      </c>
      <c r="CA131" s="468" t="str">
        <f aca="false">IF($BD131,$BW131+IF(VolSkewFlag=1,IF(BS131&gt;0,$BA131*MIN(BS131/10%,1)+($BB131-$BA131)*MAX(0,MIN(BS131/10%-1,1))+($BC131-$BB131)*MAX(0,BS131/10%-2),$AZ131*MIN(-BS131/10%,1)+($AY131-$AZ131)*MAX(0,MIN(-BS131/10%-1,1))+($AX131-$AY131)*MAX(0,-BS131/10%-2)),0),"")</f>
        <v/>
      </c>
      <c r="CB131" s="468" t="str">
        <f aca="false">IF($BD131,$BX131+IF(VolSkewFlag=1,IF(BS131&gt;0,$BA131*MIN(BS131/10%,1)+($BB131-$BA131)*MAX(0,MIN(BS131/10%-1,1))+($BC131-$BB131)*MAX(0,BS131/10%-2),$AZ131*MIN(-BS131/10%,1)+($AY131-$AZ131)*MAX(0,MIN(-BS131/10%-1,1))+($AX131-$AY131)*MAX(0,-BS131/10%-2)),0),"")</f>
        <v/>
      </c>
      <c r="CC131" s="468" t="str">
        <f aca="false">IF($BD131,$BW131+IF(VolSkewFlag=1,IF(BT131&gt;0,$BA131*MIN(BT131/10%,1)+($BB131-$BA131)*MAX(0,MIN(BT131/10%-1,1))+($BC131-$BB131)*MAX(0,BT131/10%-2),$AZ131*MIN(-BT131/10%,1)+($AY131-$AZ131)*MAX(0,MIN(-BT131/10%-1,1))+($AX131-$AY131)*MAX(0,-BT131/10%-2)),0),"")</f>
        <v/>
      </c>
      <c r="CD131" s="468" t="str">
        <f aca="false">IF($BD131,$BX131+IF(VolSkewFlag=1,IF(BT131&gt;0,$BA131*MIN(BT131/10%,1)+($BB131-$BA131)*MAX(0,MIN(BT131/10%-1,1))+($BC131-$BB131)*MAX(0,BT131/10%-2),$AZ131*MIN(-BT131/10%,1)+($AY131-$AZ131)*MAX(0,MIN(-BT131/10%-1,1))+($AX131-$AY131)*MAX(0,-BT131/10%-2)),0),"")</f>
        <v/>
      </c>
      <c r="CE131" s="469" t="n">
        <v>1</v>
      </c>
      <c r="CF131" s="470" t="n">
        <f aca="false">IF(BD131,xCrudeAPO(BU131,BV131,CA131,CB131,S132,S133,BI131,BL131,BP131,BQ131,0,Strike1,AO131,CE131,0,BL131,IF(OptControl=4,0,1),0,1),0)</f>
        <v>0</v>
      </c>
      <c r="CG131" s="470" t="n">
        <f aca="false">IF(BD131,xCrudeAPO(BU131,BV131,CA131,CB131,S132,S133,BI131,BL131,BP131,BQ131,0,Strike1,AO131,CE131,0,BL131,IF(OptControl=4,0,1),1,1)+xCrudeAPO(BU131,BV131,CA131,CB131,S132,S133,BI131,BL131,BP131,BQ131,0,Strike1,AO131,CE131,0,BL131,IF(OptControl=4,0,1),1,2)+IF(OR(VolSkewFlag=2,ABS(BS131)&lt;0.0001),0,IF(BS131&gt;0,-1,1)*CH131*Strike1/BR131^2*BY131/10%),0)</f>
        <v>0</v>
      </c>
      <c r="CH131" s="470" t="n">
        <f aca="false">IF(BD131,(xCrudeAPO(BU131,BV131,CA131,CB131,S132,S133,BI131,BL131,BP131,BQ131,0,Strike1,AO131,CE131,0,BL131,IF(OptControl=4,0,1),3,1)+xCrudeAPO(BU131,BV131,CA131,CB131,S132,S133,BI131,BL131,BP131,BQ131,0,Strike1,AO131,CE131,0,BL131,IF(OptControl=4,0,1),3,2))/100,0)</f>
        <v>0</v>
      </c>
      <c r="CI131" s="470" t="n">
        <f aca="false">IF(BD131,xCrudeAPO(BU131,BV131,CA131,CB131,S132,S133,BI131-DaysForThetaCalculation/365.25,BL131-DaysForThetaCalculation/365.25,BP131,BQ131,0,Strike1,AO131,CE131,0,BL131,IF(OptControl=4,0,1),0,1)-xCrudeAPO(BU131,BV131,CA131,CB131,S132,S133,BI131,BL131,BP131,BQ131,0,Strike1,AO131,CE131,0,BL131,IF(OptControl=4,0,1),0,1),0)</f>
        <v>0</v>
      </c>
      <c r="CJ131" s="471" t="n">
        <f aca="false">IF(BD131,xCrudeAPO(BU131,BV131,CC131,CD131,S132,S133,BI131,BL131,BP131,BQ131,0,Strike2,AO131,CE131,0,BL131,IF(OptControl=3,1,0),0,1),0)</f>
        <v>0</v>
      </c>
      <c r="CK131" s="470" t="n">
        <f aca="false">IF(BD131,xCrudeAPO(BU131,BV131,CC131,CD131,S132,S133,BI131,BL131,BP131,BQ131,0,Strike2,AO131,CE131,0,BL131,IF(OptControl=3,1,0),1,1)+xCrudeAPO(BU131,BV131,CC131,CD131,S132,S133,BI131,BL131,BP131,BQ131,0,Strike2,AO131,CE131,0,BL131,IF(OptControl=3,1,0),1,2)+IF(OR(VolSkewFlag=2,ABS(BT131)&lt;0.0001),0,IF(BT131&gt;0,-1,1)*CL131*Strike2/BR131^2*BZ131/10%),0)</f>
        <v>0</v>
      </c>
      <c r="CL131" s="470" t="n">
        <f aca="false">IF(BD131,(xCrudeAPO(BU131,BV131,CC131,CD131,S132,S133,BI131,BL131,BP131,BQ131,0,Strike2,AO131,CE131,0,BL131,IF(OptControl=3,1,0),3,1)+xCrudeAPO(BU131,BV131,CC131,CD131,S132,S133,BI131,BL131,BP131,BQ131,0,Strike2,AO131,CE131,0,BL131,IF(OptControl=3,1,0),3,2))/100,0)</f>
        <v>0</v>
      </c>
      <c r="CM131" s="472" t="n">
        <f aca="false">IF(BD131,xCrudeAPO(BU131,BV131,CC131,CD131,S132,S133,BI131-DaysForThetaCalculation/365.25,BL131-DaysForThetaCalculation/365.25,BP131,BQ131,0,Strike2,AO131,CE131,0,BL131,IF(OptControl=3,1,0),0,1)-xCrudeAPO(BU131,BV131,CC131,CD131,S132,S133,BI131,BL131,BP131,BQ131,0,Strike2,AO131,CE131,0,BL131,IF(OptControl=3,1,0),0,1),0)</f>
        <v>0</v>
      </c>
      <c r="CN131" s="3"/>
      <c r="CO131" s="543" t="str">
        <f aca="false">IF(BD131,CHOOSE(Underlying,AD131,AF131)-DateToday+1,"")</f>
        <v/>
      </c>
      <c r="CP131" s="582" t="str">
        <f aca="false">IF(BD131,CHOOSE(Underlying,L131,R131),"")</f>
        <v/>
      </c>
      <c r="CQ131" s="544" t="str">
        <f aca="false">IF(BD131,Strike1/CP131-1,"")</f>
        <v/>
      </c>
      <c r="CR131" s="544" t="str">
        <f aca="false">IF(BD131,Strike2/CP131-1,"")</f>
        <v/>
      </c>
      <c r="CS131" s="544" t="str">
        <f aca="false">IF(BD131,IF(CQ131&gt;0,IF(CQ131&gt;0.2,BC130-BB130,IF(CQ131&gt;0.1,BB130-BA130,BA130)),IF(CQ131&lt;-0.2,AX130-AY130,IF(CQ131&lt;-0.1,AY130-AZ130,AZ130))),"")</f>
        <v/>
      </c>
      <c r="CT131" s="544" t="str">
        <f aca="false">IF(BD131,IF(CR131&gt;0,IF(CR131&gt;0.2,BC130-BB130,IF(CR131&gt;0.1,BB130-BA130,BA130)),IF(CR131&lt;-0.2,AX130-AY130,IF(CR131&lt;-0.1,AY130-AZ130,AZ130))),"")</f>
        <v/>
      </c>
      <c r="CU131" s="545" t="str">
        <f aca="false">IF(BD131,CHOOSE(Underlying,O131,AT131),"")</f>
        <v/>
      </c>
      <c r="CV131" s="545" t="str">
        <f aca="false">IF(BD131,CU131+IF(VolSkewFlag=1,IF(CQ131&gt;0,BA130*MIN(CQ131/10%,1)+(BB130-BA130)*MAX(0,MIN(CQ131/10%-1,1))+(BC130-BB130)*MAX(0,CQ131/10%-2),AZ130*MIN(-CQ131/10%,1)+(AY130-AZ130)*MAX(0,MIN(-CQ131/10%-1,1))+(AX130-AY130)*MAX(0,-CQ131/10%-2)),0),"")</f>
        <v/>
      </c>
      <c r="CW131" s="545" t="str">
        <f aca="false">IF(BD131,CU131+IF(VolSkewFlag=1,IF(CR131&gt;0,BA130*MIN(CR131/10%,1)+(BB130-BA130)*MAX(0,MIN(CR131/10%-1,1))+(BC130-BB130)*MAX(0,CR131/10%-2),AZ130*MIN(-CR131/10%,1)+(AY130-AZ130)*MAX(0,MIN(-CR131/10%-1,1))+(AX130-AY130)*MAX(0,-CR131/10%-2)),0),"")</f>
        <v/>
      </c>
      <c r="CX131" s="470" t="n">
        <f aca="false">IF(BD131,EURO(CP131,Strike1,AO131,AO131,CV131,CO131,IF(OptControl=4,0,1),0),0)</f>
        <v>0</v>
      </c>
      <c r="CY131" s="470" t="n">
        <f aca="false">IF(BD131,EURO(CP131,Strike1,AO131,AO131,CV131,CO131,IF(OptControl=4,0,1),1)+IF(OR(VolSkewFlag=2,ABS(CQ131)&lt;0.0001),0,IF(CQ131&gt;0,-1,1)*CZ131*100*Strike1/CP131^2*CS131/10%),0)</f>
        <v>0</v>
      </c>
      <c r="CZ131" s="470" t="n">
        <f aca="false">IF(BD131,EURO(CP131,Strike1,AO131,AO131,CV131,CO131,IF(OptControl=4,0,1),3)/100,0)</f>
        <v>0</v>
      </c>
      <c r="DA131" s="470" t="n">
        <f aca="false">IF(BD131,EURO(CP131,Strike1,AO131,AO131,CV131,CO131,IF(OptControl=4,0,1),0)-EURO(CP131,Strike1,AO131,AO131,CV131,CO131-1,IF(OptControl=4,0,1),0),0)</f>
        <v>0</v>
      </c>
      <c r="DB131" s="470" t="n">
        <f aca="false">IF(BD131,EURO(CP131,Strike2,AO131,AO131,CW131,CO131,IF(OptControl=3,1,0),0),0)</f>
        <v>0</v>
      </c>
      <c r="DC131" s="470" t="n">
        <f aca="false">IF(BD131,EURO(CP131,Strike2,AO131,AO131,CW131,CO131,IF(OptControl=3,1,0),1)+IF(OR(VolSkewFlag=2,ABS(CR131)&lt;0.0001),0,IF(CR131&gt;0,-1,1)*DD131*100*Strike2/CP131^2*CT131/10%),0)</f>
        <v>0</v>
      </c>
      <c r="DD131" s="470" t="n">
        <f aca="false">IF(BD131,EURO(CP131,Strike2,AO131,AO131,CW131,CO131,IF(OptControl=3,1,0),3)/100,0)</f>
        <v>0</v>
      </c>
      <c r="DE131" s="472" t="n">
        <f aca="false">IF(BD131,EURO(CP131,Strike2,AO131,AO131,CW131,CO131,IF(OptControl=3,1,0),0)-EURO(CP131,Strike2,AO131,AO131,CW131,CO131-1,IF(OptControl=3,1,0),0),0)</f>
        <v>0</v>
      </c>
      <c r="DG131" s="481" t="n">
        <f aca="false">EOMONTH(DG130,0)+1</f>
        <v>49065</v>
      </c>
      <c r="DH131" s="478" t="n">
        <v>19.71</v>
      </c>
      <c r="DI131" s="479" t="n">
        <v>19.7766666666667</v>
      </c>
      <c r="DJ131" s="480" t="n">
        <f aca="false">DG131</f>
        <v>49065</v>
      </c>
      <c r="DK131" s="478" t="n">
        <v>18.5466937691762</v>
      </c>
      <c r="DL131" s="479" t="n">
        <v>18.4851666666667</v>
      </c>
      <c r="DM131" s="481" t="n">
        <f aca="false">DG131</f>
        <v>49065</v>
      </c>
      <c r="DN131" s="482" t="n">
        <f aca="false">DK131+BrentPhyBrentSpread</f>
        <v>18.5966937691762</v>
      </c>
      <c r="DO131" s="481" t="n">
        <f aca="false">DG131</f>
        <v>49065</v>
      </c>
      <c r="DP131" s="483" t="n">
        <f aca="false">DL131+DQ131</f>
        <v>18.4851666666667</v>
      </c>
      <c r="DQ131" s="546" t="n">
        <v>0</v>
      </c>
      <c r="DR131" s="480" t="n">
        <f aca="false">DG131</f>
        <v>49065</v>
      </c>
      <c r="DS131" s="485" t="n">
        <v>0.157999999999999</v>
      </c>
      <c r="DT131" s="486" t="n">
        <v>0.157199999999999</v>
      </c>
      <c r="DU131" s="480" t="n">
        <f aca="false">DG131</f>
        <v>49065</v>
      </c>
      <c r="DV131" s="485" t="n">
        <v>0.157999999999999</v>
      </c>
      <c r="DW131" s="486" t="n">
        <v>0.157199999999999</v>
      </c>
      <c r="DX131" s="481" t="n">
        <f aca="false">DG131</f>
        <v>49065</v>
      </c>
      <c r="DY131" s="486" t="n">
        <v>0.35</v>
      </c>
      <c r="DZ131" s="481" t="n">
        <f aca="false">DR131</f>
        <v>49065</v>
      </c>
      <c r="EA131" s="486" t="n">
        <f aca="false">DT131</f>
        <v>0.157199999999999</v>
      </c>
      <c r="EB131" s="195"/>
      <c r="EC131" s="547" t="str">
        <f aca="false">IF(BD131,IF(Underlying=1,AS131,AU131),"")</f>
        <v/>
      </c>
      <c r="ED131" s="548" t="str">
        <f aca="false">IF($BD131,$EC131+IF(VolSkewFlag=1,IF(BS131&gt;0,$BA131*MIN(BS131/10%,1)+($BB131-$BA131)*MAX(0,MIN(BS131/10%-1,1))+($BC131-$BB131)*MAX(0,BS131/10%-2),$AZ131*MIN(-BS131/10%,1)+($AY131-$AZ131)*MAX(0,MIN(-BS131/10%-1,1))+($AX131-$AY131)*MAX(0,-BS131/10%-2)),0),"")</f>
        <v/>
      </c>
      <c r="EE131" s="549" t="str">
        <f aca="false">IF($BD131,$EC131+IF(VolSkewFlag=1,IF(BT131&gt;0,$BA131*MIN(BT131/10%,1)+($BB131-$BA131)*MAX(0,MIN(BT131/10%-1,1))+($BC131-$BB131)*MAX(0,BT131/10%-2),$AZ131*MIN(-BT131/10%,1)+($AY131-$AZ131)*MAX(0,MIN(-BT131/10%-1,1))+($AX131-$AY131)*MAX(0,-BT131/10%-2)),0),"")</f>
        <v/>
      </c>
      <c r="EF131" s="550" t="n">
        <f aca="false">IF(BD131,xASN(BR131,Strike1,AO131,ED131,0,BO131,0,BI131,BL131,IF(OptControl=4,0,1),0),0)</f>
        <v>0</v>
      </c>
      <c r="EG131" s="551" t="n">
        <f aca="false">IF(BD131,xASN(BR131,Strike2,AO131,EE131,0,BO131,0,BI131,BL131,IF(OptControl=3,1,0),0),0)</f>
        <v>0</v>
      </c>
      <c r="EL131" s="1"/>
      <c r="EM131" s="195"/>
      <c r="EN131" s="240"/>
      <c r="EO131" s="240"/>
      <c r="EP131" s="195"/>
      <c r="EQ131" s="407" t="s">
        <v>358</v>
      </c>
      <c r="ES131" s="130"/>
      <c r="ET131" s="19"/>
      <c r="EU131" s="672"/>
      <c r="EV131" s="478"/>
      <c r="EW131" s="131"/>
      <c r="EX131" s="131"/>
      <c r="EY131" s="129"/>
      <c r="EZ131" s="129"/>
      <c r="FA131" s="129"/>
      <c r="FB131" s="129"/>
      <c r="FC131" s="129"/>
      <c r="FD131" s="129"/>
      <c r="FE131" s="129"/>
      <c r="FF131" s="129"/>
      <c r="FG131" s="129"/>
      <c r="FH131" s="129"/>
      <c r="FI131" s="129"/>
      <c r="FJ131" s="571" t="n">
        <v>37</v>
      </c>
      <c r="FK131" s="150" t="e">
        <f aca="false">IF($FJ56&lt;FK$94,"",SQRT(FK56/FK$15))</f>
        <v>#DIV/0!</v>
      </c>
      <c r="FL131" s="150" t="n">
        <f aca="false">IF($FJ56&lt;FL$94,"",SQRT(FL56/FL$15))</f>
        <v>-0</v>
      </c>
      <c r="FM131" s="150" t="n">
        <f aca="false">IF($FJ56&lt;FM$94,"",SQRT(FM56/FM$15))</f>
        <v>0.171139691300226</v>
      </c>
      <c r="FN131" s="150" t="n">
        <f aca="false">IF($FJ56&lt;FN$94,"",SQRT(FN56/FN$15))</f>
        <v>0.167955868917282</v>
      </c>
      <c r="FO131" s="150" t="n">
        <f aca="false">IF($FJ56&lt;FO$94,"",SQRT(FO56/FO$15))</f>
        <v>0.165609709838561</v>
      </c>
      <c r="FP131" s="150" t="n">
        <f aca="false">IF($FJ56&lt;FP$94,"",SQRT(FP56/FP$15))</f>
        <v>0.163899155693935</v>
      </c>
      <c r="FQ131" s="150" t="n">
        <f aca="false">IF($FJ56&lt;FQ$94,"",SQRT(FQ56/FQ$15))</f>
        <v>0.162673904457749</v>
      </c>
      <c r="FR131" s="150" t="n">
        <f aca="false">IF($FJ56&lt;FR$94,"",SQRT(FR56/FR$15))</f>
        <v>0.161822693408945</v>
      </c>
      <c r="FS131" s="150" t="n">
        <f aca="false">IF($FJ56&lt;FS$94,"",SQRT(FS56/FS$15))</f>
        <v>0.161263801593823</v>
      </c>
      <c r="FT131" s="150" t="n">
        <f aca="false">IF($FJ56&lt;FT$94,"",SQRT(FT56/FT$15))</f>
        <v>0.16093797492136</v>
      </c>
      <c r="FU131" s="150" t="n">
        <f aca="false">IF($FJ56&lt;FU$94,"",SQRT(FU56/FU$15))</f>
        <v>0.160803178020316</v>
      </c>
      <c r="FV131" s="150" t="n">
        <f aca="false">IF($FJ56&lt;FV$94,"",SQRT(FV56/FV$15))</f>
        <v>0.160830728207139</v>
      </c>
      <c r="FW131" s="150" t="n">
        <f aca="false">IF($FJ56&lt;FW$94,"",SQRT(FW56/FW$15))</f>
        <v>0.161002480945763</v>
      </c>
      <c r="FX131" s="150" t="n">
        <f aca="false">IF($FJ56&lt;FX$94,"",SQRT(FX56/FX$15))</f>
        <v>0.161308822521612</v>
      </c>
      <c r="FY131" s="150" t="n">
        <f aca="false">IF($FJ56&lt;FY$94,"",SQRT(FY56/FY$15))</f>
        <v>0.16174729149989</v>
      </c>
      <c r="FZ131" s="150" t="n">
        <f aca="false">IF($FJ56&lt;FZ$94,"",SQRT(FZ56/FZ$15))</f>
        <v>0.162321701396655</v>
      </c>
      <c r="GA131" s="150" t="n">
        <f aca="false">IF($FJ56&lt;GA$94,"",SQRT(GA56/GA$15))</f>
        <v>0.163041677140199</v>
      </c>
      <c r="GB131" s="150" t="n">
        <f aca="false">IF($FJ56&lt;GB$94,"",SQRT(GB56/GB$15))</f>
        <v>0.163922550769794</v>
      </c>
      <c r="GC131" s="150" t="n">
        <f aca="false">IF($FJ56&lt;GC$94,"",SQRT(GC56/GC$15))</f>
        <v>0.164985590303144</v>
      </c>
      <c r="GD131" s="150" t="n">
        <f aca="false">IF($FJ56&lt;GD$94,"",SQRT(GD56/GD$15))</f>
        <v>0.166258562449734</v>
      </c>
      <c r="GE131" s="150" t="n">
        <f aca="false">IF($FJ56&lt;GE$94,"",SQRT(GE56/GE$15))</f>
        <v>0.167776657553676</v>
      </c>
      <c r="GF131" s="150" t="n">
        <f aca="false">IF($FJ56&lt;GF$94,"",SQRT(GF56/GF$15))</f>
        <v>0.169583836925072</v>
      </c>
      <c r="GG131" s="150" t="n">
        <f aca="false">IF($FJ56&lt;GG$94,"",SQRT(GG56/GG$15))</f>
        <v>0.171734702565007</v>
      </c>
      <c r="GH131" s="150" t="n">
        <f aca="false">IF($FJ56&lt;GH$94,"",SQRT(GH56/GH$15))</f>
        <v>0.174297042821811</v>
      </c>
      <c r="GI131" s="150" t="n">
        <f aca="false">IF($FJ56&lt;GI$94,"",SQRT(GI56/GI$15))</f>
        <v>0.177355283106314</v>
      </c>
      <c r="GJ131" s="150" t="n">
        <f aca="false">IF($FJ56&lt;GJ$94,"",SQRT(GJ56/GJ$15))</f>
        <v>0.181015181458641</v>
      </c>
      <c r="GK131" s="150" t="n">
        <f aca="false">IF($FJ56&lt;GK$94,"",SQRT(GK56/GK$15))</f>
        <v>0.185410275391817</v>
      </c>
      <c r="GL131" s="150" t="n">
        <f aca="false">IF($FJ56&lt;GL$94,"",SQRT(GL56/GL$15))</f>
        <v>0.190710843482259</v>
      </c>
      <c r="GM131" s="150" t="n">
        <f aca="false">IF($FJ56&lt;GM$94,"",SQRT(GM56/GM$15))</f>
        <v>0.1971365508652</v>
      </c>
      <c r="GN131" s="150" t="n">
        <f aca="false">IF($FJ56&lt;GN$94,"",SQRT(GN56/GN$15))</f>
        <v>0.204974603109657</v>
      </c>
      <c r="GO131" s="150" t="n">
        <f aca="false">IF($FJ56&lt;GO$94,"",SQRT(GO56/GO$15))</f>
        <v>0.214606317806041</v>
      </c>
      <c r="GP131" s="150" t="n">
        <f aca="false">IF($FJ56&lt;GP$94,"",SQRT(GP56/GP$15))</f>
        <v>0.226546867622308</v>
      </c>
      <c r="GQ131" s="150" t="n">
        <f aca="false">IF($FJ56&lt;GQ$94,"",SQRT(GQ56/GQ$15))</f>
        <v>0.241506177661897</v>
      </c>
      <c r="GR131" s="150" t="n">
        <f aca="false">IF($FJ56&lt;GR$94,"",SQRT(GR56/GR$15))</f>
        <v>0.26048480051982</v>
      </c>
      <c r="GS131" s="150" t="n">
        <f aca="false">IF($FJ56&lt;GS$94,"",SQRT(GS56/GS$15))</f>
        <v>0.284929550039555</v>
      </c>
      <c r="GT131" s="150" t="n">
        <f aca="false">IF($FJ56&lt;GT$94,"",SQRT(GT56/GT$15))</f>
        <v>0.316995101535748</v>
      </c>
      <c r="GU131" s="150" t="n">
        <f aca="false">IF($FJ56&lt;GU$94,"",SQRT(GU56/GU$15))</f>
        <v>0.360001695134684</v>
      </c>
      <c r="GV131" s="150" t="str">
        <f aca="false">IF($FJ56&lt;GV$94,"",SQRT(GV56/GV$15))</f>
        <v/>
      </c>
      <c r="GW131" s="150" t="str">
        <f aca="false">IF($FJ56&lt;GW$94,"",SQRT(GW56/GW$15))</f>
        <v/>
      </c>
      <c r="GX131" s="150" t="str">
        <f aca="false">IF($FJ56&lt;GX$94,"",SQRT(GX56/GX$15))</f>
        <v/>
      </c>
      <c r="GY131" s="150" t="str">
        <f aca="false">IF($FJ56&lt;GY$94,"",SQRT(GY56/GY$15))</f>
        <v/>
      </c>
      <c r="GZ131" s="150" t="str">
        <f aca="false">IF($FJ56&lt;GZ$94,"",SQRT(GZ56/GZ$15))</f>
        <v/>
      </c>
      <c r="HA131" s="150" t="str">
        <f aca="false">IF($FJ56&lt;HA$94,"",SQRT(HA56/HA$15))</f>
        <v/>
      </c>
      <c r="HB131" s="150" t="str">
        <f aca="false">IF($FJ56&lt;HB$94,"",SQRT(HB56/HB$15))</f>
        <v/>
      </c>
      <c r="HC131" s="150" t="str">
        <f aca="false">IF($FJ56&lt;HC$94,"",SQRT(HC56/HC$15))</f>
        <v/>
      </c>
      <c r="HD131" s="150" t="str">
        <f aca="false">IF($FJ56&lt;HD$94,"",SQRT(HD56/HD$15))</f>
        <v/>
      </c>
      <c r="HE131" s="150" t="str">
        <f aca="false">IF($FJ56&lt;HE$94,"",SQRT(HE56/HE$15))</f>
        <v/>
      </c>
      <c r="HF131" s="150" t="str">
        <f aca="false">IF($FJ56&lt;HF$94,"",SQRT(HF56/HF$15))</f>
        <v/>
      </c>
      <c r="HG131" s="150" t="str">
        <f aca="false">IF($FJ56&lt;HG$94,"",SQRT(HG56/HG$15))</f>
        <v/>
      </c>
      <c r="HH131" s="150" t="str">
        <f aca="false">IF($FJ56&lt;HH$94,"",SQRT(HH56/HH$15))</f>
        <v/>
      </c>
      <c r="HI131" s="150" t="str">
        <f aca="false">IF($FJ56&lt;HI$94,"",SQRT(HI56/HI$15))</f>
        <v/>
      </c>
      <c r="HJ131" s="150" t="str">
        <f aca="false">IF($FJ56&lt;HJ$94,"",SQRT(HJ56/HJ$15))</f>
        <v/>
      </c>
      <c r="HK131" s="150" t="str">
        <f aca="false">IF($FJ56&lt;HK$94,"",SQRT(HK56/HK$15))</f>
        <v/>
      </c>
      <c r="HL131" s="150" t="str">
        <f aca="false">IF($FJ56&lt;HL$94,"",SQRT(HL56/HL$15))</f>
        <v/>
      </c>
      <c r="HM131" s="150" t="str">
        <f aca="false">IF($FJ56&lt;HM$94,"",SQRT(HM56/HM$15))</f>
        <v/>
      </c>
      <c r="HN131" s="150" t="str">
        <f aca="false">IF($FJ56&lt;HN$94,"",SQRT(HN56/HN$15))</f>
        <v/>
      </c>
      <c r="HO131" s="150" t="str">
        <f aca="false">IF($FJ56&lt;HO$94,"",SQRT(HO56/HO$15))</f>
        <v/>
      </c>
      <c r="HP131" s="150" t="str">
        <f aca="false">IF($FJ56&lt;HP$94,"",SQRT(HP56/HP$15))</f>
        <v/>
      </c>
      <c r="HQ131" s="150" t="str">
        <f aca="false">IF($FJ56&lt;HQ$94,"",SQRT(HQ56/HQ$15))</f>
        <v/>
      </c>
      <c r="HR131" s="150" t="str">
        <f aca="false">IF($FJ56&lt;HR$94,"",SQRT(HR56/HR$15))</f>
        <v/>
      </c>
      <c r="HS131" s="150" t="str">
        <f aca="false">IF($FJ56&lt;HS$94,"",SQRT(HS56/HS$15))</f>
        <v/>
      </c>
      <c r="HT131" s="150" t="str">
        <f aca="false">IF($FJ56&lt;HT$94,"",SQRT(HT56/HT$15))</f>
        <v/>
      </c>
      <c r="HU131" s="150" t="str">
        <f aca="false">IF($FJ56&lt;HU$94,"",SQRT(HU56/HU$15))</f>
        <v/>
      </c>
      <c r="HV131" s="150" t="str">
        <f aca="false">IF($FJ56&lt;HV$94,"",SQRT(HV56/HV$15))</f>
        <v/>
      </c>
      <c r="HW131" s="150" t="str">
        <f aca="false">IF($FJ56&lt;HW$94,"",SQRT(HW56/HW$15))</f>
        <v/>
      </c>
      <c r="HX131" s="150" t="str">
        <f aca="false">IF($FJ56&lt;HX$94,"",SQRT(HX56/HX$15))</f>
        <v/>
      </c>
      <c r="HY131" s="150" t="str">
        <f aca="false">IF($FJ56&lt;HY$94,"",SQRT(HY56/HY$15))</f>
        <v/>
      </c>
      <c r="HZ131" s="150" t="str">
        <f aca="false">IF($FJ56&lt;HZ$94,"",SQRT(HZ56/HZ$15))</f>
        <v/>
      </c>
      <c r="IA131" s="150" t="str">
        <f aca="false">IF($FJ56&lt;IA$94,"",SQRT(IA56/IA$15))</f>
        <v/>
      </c>
      <c r="IB131" s="150" t="str">
        <f aca="false">IF($FJ56&lt;IB$94,"",SQRT(IB56/IB$15))</f>
        <v/>
      </c>
      <c r="IC131" s="150" t="str">
        <f aca="false">IF($FJ56&lt;IC$94,"",SQRT(IC56/IC$15))</f>
        <v/>
      </c>
      <c r="ID131" s="572" t="str">
        <f aca="false">IF($FJ56&lt;ID$94,"",SQRT(ID56/ID$15))</f>
        <v/>
      </c>
      <c r="IE131" s="129"/>
    </row>
    <row r="132" customFormat="false" ht="12.75" hidden="false" customHeight="false" outlineLevel="0" collapsed="false">
      <c r="H132" s="219" t="n">
        <f aca="false">VLOOKUP(I132,$EJ$20:$EL$54,3)</f>
        <v>0</v>
      </c>
      <c r="I132" s="511" t="n">
        <f aca="false">EOMONTH(I131,0)+1</f>
        <v>40179</v>
      </c>
      <c r="J132" s="512"/>
      <c r="K132" s="513" t="s">
        <v>280</v>
      </c>
      <c r="L132" s="514" t="n">
        <f aca="false">IF(ISNUMBER(K132),J132+K132/100,IF(K132="extra",L131+VLOOKUP(BF132,PriceSpreadTable,2)/12,IF(K132="inter",interpolateprices($K$19:$L$200,ROW(K132)-ROW(FirstPricingMonth)+1),interpolatechanges($J$19:$K$200,ROW(K132)-ROW(FirstPricingMonth)+1))))</f>
        <v>1.35</v>
      </c>
      <c r="M132" s="515"/>
      <c r="N132" s="516" t="n">
        <v>0</v>
      </c>
      <c r="O132" s="515" t="n">
        <f aca="false">M132+N132</f>
        <v>0</v>
      </c>
      <c r="P132" s="512"/>
      <c r="Q132" s="513" t="s">
        <v>280</v>
      </c>
      <c r="R132" s="512" t="e">
        <f aca="false">IF(ISNUMBER(Q132),P132+Q132/100,IF(Q132="extra",(Z130*AL130-R131*AM130)/AN130,IF(Q132="inter",interpolateprices($Q$19:$R$260,ROW(Q132)-ROW(FirstPricingMonth)+1),interpolatechanges($P$19:$Q$260,ROW(Q132)-ROW(FirstPricingMonth)+1))))</f>
        <v>#VALUE!</v>
      </c>
      <c r="S132" s="597" t="n">
        <f aca="false">S$19+(S131-S$19)*S$18</f>
        <v>0.36</v>
      </c>
      <c r="T132" s="575" t="n">
        <f aca="false">SQRT((1-(1-T131^2/U131)*T$18)*U132)</f>
        <v>0.999999997304172</v>
      </c>
      <c r="U132" s="576" t="n">
        <f aca="false">1-(1-U131)*U$18</f>
        <v>1</v>
      </c>
      <c r="V132" s="521" t="n">
        <v>0</v>
      </c>
      <c r="W132" s="577" t="n">
        <f aca="false">(J133*AJ132+J134*AK132)/AI132</f>
        <v>0</v>
      </c>
      <c r="X132" s="578" t="n">
        <f aca="false">(L133*AJ132+L134*AK132)/AI132</f>
        <v>1.400625</v>
      </c>
      <c r="Y132" s="579" t="n">
        <f aca="false">IF(Q134="extra",W132-AA132,(P133*AM132+P134*AN132)/AL132)</f>
        <v>-1.1685</v>
      </c>
      <c r="Z132" s="579" t="n">
        <f aca="false">IF(Q134="extra",X132-AB132,(R133*AM132+R134*AN132)/AL132)</f>
        <v>0.232125000000001</v>
      </c>
      <c r="AA132" s="523" t="n">
        <f aca="false">IF(Q134="extra",INDEX(BrentSeasonalityTable,INT((BG132-1)/3)+1)*VLOOKUP(MAX(BF132,$AB$4),PriceSpreadTable,3),W132-Y132)</f>
        <v>1.1685</v>
      </c>
      <c r="AB132" s="524" t="n">
        <f aca="false">IF(Q134="extra",INDEX(BrentSeasonalityTable,INT((BG132-1)/3)+1)*VLOOKUP(MAX(BF132,$AB$4),PriceSpreadTable,3),X132-Z132)</f>
        <v>1.1685</v>
      </c>
      <c r="AC132" s="646" t="n">
        <v>40167</v>
      </c>
      <c r="AD132" s="646" t="n">
        <v>40163</v>
      </c>
      <c r="AE132" s="646" t="n">
        <v>40162</v>
      </c>
      <c r="AF132" s="646" t="n">
        <v>40158</v>
      </c>
      <c r="AG132" s="438" t="s">
        <v>278</v>
      </c>
      <c r="AH132" s="439" t="s">
        <v>278</v>
      </c>
      <c r="AI132" s="528" t="n">
        <v>20</v>
      </c>
      <c r="AJ132" s="529" t="n">
        <v>13</v>
      </c>
      <c r="AK132" s="529" t="n">
        <v>7</v>
      </c>
      <c r="AL132" s="530" t="n">
        <v>20</v>
      </c>
      <c r="AM132" s="529" t="n">
        <v>9</v>
      </c>
      <c r="AN132" s="531" t="n">
        <v>11</v>
      </c>
      <c r="AO132" s="532"/>
      <c r="AP132" s="465" t="n">
        <f aca="false">(1+AO132/2)^(-2*BL132)</f>
        <v>1</v>
      </c>
      <c r="AQ132" s="532"/>
      <c r="AR132" s="465" t="n">
        <f aca="false">(1+AQ132/2)^(-2*BH132/365.25)</f>
        <v>1</v>
      </c>
      <c r="AS132" s="580" t="n">
        <f aca="false">(O133*AJ132+O134*AK132)/AI132</f>
        <v>0</v>
      </c>
      <c r="AT132" s="468" t="n">
        <f aca="false">O132*VLOOKUP(BF132,BrentVolTable,2)+VLOOKUP(BF132,BrentVolTable,3)</f>
        <v>0</v>
      </c>
      <c r="AU132" s="468" t="n">
        <f aca="false">(AT133*AM132+AT134*AN132)/AL132</f>
        <v>0</v>
      </c>
      <c r="AV132" s="595" t="n">
        <f aca="false">SQRT(MAX(0.000000000001,(O132^2*BH132-S132^2*(BH132-BH131))/BH131))</f>
        <v>0.0259088926477386</v>
      </c>
      <c r="AW132" s="451" t="n">
        <f aca="false">IF($I132-DateToday+15&gt;=$T$8,"",IF($I132-DateToday+15&lt;$T$5,1,MATCH($I132-DateToday+15,$T$5:$T$8)))</f>
        <v>1</v>
      </c>
      <c r="AX132" s="468" t="n">
        <f aca="false">IF($AW132="",AX131^2/AX130,INDEX(U$5:U$8,$AW132)^((INDEX($T$5:$T$8,$AW132+1)-($I132-DateToday+15))/(INDEX($T$5:$T$8,$AW132+1)-INDEX($T$5:$T$8,$AW132)))/INDEX(U$5:U$8,$AW132+1)^((INDEX($T$5:$T$8,$AW132)-($I132-DateToday+15))/(INDEX($T$5:$T$8,$AW132+1)-INDEX($T$5:$T$8,$AW132))))</f>
        <v>1.14479502407777</v>
      </c>
      <c r="AY132" s="468" t="n">
        <f aca="false">IF($AW132="",AY131^2/AY130,INDEX(V$5:V$8,$AW132)^((INDEX($T$5:$T$8,$AW132+1)-($I132-DateToday+15))/(INDEX($T$5:$T$8,$AW132+1)-INDEX($T$5:$T$8,$AW132)))/INDEX(V$5:V$8,$AW132+1)^((INDEX($T$5:$T$8,$AW132)-($I132-DateToday+15))/(INDEX($T$5:$T$8,$AW132+1)-INDEX($T$5:$T$8,$AW132))))</f>
        <v>46.569861156952</v>
      </c>
      <c r="AZ132" s="468" t="n">
        <f aca="false">IF($AW132="",AZ131^2/AZ130,INDEX(W$5:W$8,$AW132)^((INDEX($T$5:$T$8,$AW132+1)-($I132-DateToday+15))/(INDEX($T$5:$T$8,$AW132+1)-INDEX($T$5:$T$8,$AW132)))/INDEX(W$5:W$8,$AW132+1)^((INDEX($T$5:$T$8,$AW132)-($I132-DateToday+15))/(INDEX($T$5:$T$8,$AW132+1)-INDEX($T$5:$T$8,$AW132))))</f>
        <v>69732.2176853539</v>
      </c>
      <c r="BA132" s="468" t="n">
        <f aca="false">IF($AW132="",BA131^2/BA130,INDEX(X$5:X$8,$AW132)^((INDEX($T$5:$T$8,$AW132+1)-($I132-DateToday+15))/(INDEX($T$5:$T$8,$AW132+1)-INDEX($T$5:$T$8,$AW132)))/INDEX(X$5:X$8,$AW132+1)^((INDEX($T$5:$T$8,$AW132)-($I132-DateToday+15))/(INDEX($T$5:$T$8,$AW132+1)-INDEX($T$5:$T$8,$AW132))))</f>
        <v>831553.081501046</v>
      </c>
      <c r="BB132" s="468" t="n">
        <f aca="false">IF($AW132="",BB131^2/BB130,INDEX(Y$5:Y$8,$AW132)^((INDEX($T$5:$T$8,$AW132+1)-($I132-DateToday+15))/(INDEX($T$5:$T$8,$AW132+1)-INDEX($T$5:$T$8,$AW132)))/INDEX(Y$5:Y$8,$AW132+1)^((INDEX($T$5:$T$8,$AW132)-($I132-DateToday+15))/(INDEX($T$5:$T$8,$AW132+1)-INDEX($T$5:$T$8,$AW132))))</f>
        <v>7585245.14591136</v>
      </c>
      <c r="BC132" s="468" t="n">
        <f aca="false">IF($AW132="",BC131^2/BC130,INDEX(Z$5:Z$8,$AW132)^((INDEX($T$5:$T$8,$AW132+1)-($I132-DateToday+15))/(INDEX($T$5:$T$8,$AW132+1)-INDEX($T$5:$T$8,$AW132)))/INDEX(Z$5:Z$8,$AW132+1)^((INDEX($T$5:$T$8,$AW132)-($I132-DateToday+15))/(INDEX($T$5:$T$8,$AW132+1)-INDEX($T$5:$T$8,$AW132))))</f>
        <v>28779307.7383512</v>
      </c>
      <c r="BD132" s="535" t="n">
        <f aca="false">IF(OR(DateStart&gt;=I133,DateEnd&lt;I132),0,IF(VolumeOverrideFlag,V132,Volume))</f>
        <v>0</v>
      </c>
      <c r="BE132" s="536" t="n">
        <f aca="false">IF(OR(DateStart2&gt;=I133,DateEnd2&lt;I132),0,IF(VolumeOverrideFlag,V132,VolumeSwaption))</f>
        <v>0</v>
      </c>
      <c r="BF132" s="537" t="n">
        <f aca="false">YEAR(I132)</f>
        <v>2010</v>
      </c>
      <c r="BG132" s="538" t="n">
        <f aca="false">MONTH(I132)</f>
        <v>1</v>
      </c>
      <c r="BH132" s="539" t="n">
        <f aca="false">AD132-DateToday+1</f>
        <v>-5762</v>
      </c>
      <c r="BI132" s="540" t="n">
        <f aca="false">(I132-DateToday+1)/365.25</f>
        <v>-15.7316906228611</v>
      </c>
      <c r="BJ132" s="541" t="n">
        <f aca="false">BI132+(BL132-BI132)*CHOOSE(Underlying,AJ132/AI132,AM132/AL132)</f>
        <v>-15.678302532512</v>
      </c>
      <c r="BK132" s="541" t="n">
        <f aca="false">BJ132+1/365.25</f>
        <v>-15.6755646817248</v>
      </c>
      <c r="BL132" s="541" t="n">
        <f aca="false">(I133-DateToday)/365.25</f>
        <v>-15.6495550992471</v>
      </c>
      <c r="BM132" s="542" t="e">
        <f aca="false">MAX(BI132-(BJ132-BI132)*(S133^2/O133^2-1),0)</f>
        <v>#DIV/0!</v>
      </c>
      <c r="BN132" s="541" t="e">
        <f aca="false">MAX(BL132+(BL132-BK132)*(S134^2/O134^2-1),0)</f>
        <v>#DIV/0!</v>
      </c>
      <c r="BO132" s="530" t="n">
        <f aca="false">CHOOSE(Underlying,AI132,AL132)</f>
        <v>20</v>
      </c>
      <c r="BP132" s="529" t="n">
        <f aca="false">CHOOSE(Underlying,AJ132,AM132)</f>
        <v>13</v>
      </c>
      <c r="BQ132" s="529" t="n">
        <f aca="false">CHOOSE(Underlying,AK132,AN132)</f>
        <v>7</v>
      </c>
      <c r="BR132" s="463" t="str">
        <f aca="false">IF(BD132,IF(Underlying=1,X132,Z132)+UnderlyingPriceAsian-SwapPriceCurve,"")</f>
        <v/>
      </c>
      <c r="BS132" s="463" t="str">
        <f aca="false">IF(BD132,Strike1/BR132-1,"")</f>
        <v/>
      </c>
      <c r="BT132" s="464" t="str">
        <f aca="false">IF(BD132,Strike2/BR132-1,"")</f>
        <v/>
      </c>
      <c r="BU132" s="465" t="str">
        <f aca="false">IF(BD132,IF(Underlying=1,L133,R133)+UnderlyingPriceAsian-SwapPriceCurve,"")</f>
        <v/>
      </c>
      <c r="BV132" s="465" t="str">
        <f aca="false">IF(BD132,IF(Underlying=1,L134,R134)+UnderlyingPriceAsian-SwapPriceCurve,"")</f>
        <v/>
      </c>
      <c r="BW132" s="466" t="str">
        <f aca="false">IF(BD132,IF(Underlying=1,O133,AT133),"")</f>
        <v/>
      </c>
      <c r="BX132" s="467" t="str">
        <f aca="false">IF(BD132,IF(Underlying=1,O134,AT134),"")</f>
        <v/>
      </c>
      <c r="BY132" s="466" t="str">
        <f aca="false">IF(BD132,IF(BS132&gt;0,IF(BS132&gt;0.2,BC132-BB132,IF(BS132&gt;0.1,BB132-BA132,BA132)),IF(BS132&lt;-0.2,AX132-AY132,IF(BS132&lt;-0.1,AY132-AZ132,AZ132))),"")</f>
        <v/>
      </c>
      <c r="BZ132" s="467" t="str">
        <f aca="false">IF(BD132,IF(BT132&gt;0,IF(BT132&gt;0.2,BC132-BB132,IF(BT132&gt;0.1,BB132-BA132,BA132)),IF(BT132&lt;-0.2,AX132-AY132,IF(BT132&lt;-0.1,AY132-AZ132,AZ132))),"")</f>
        <v/>
      </c>
      <c r="CA132" s="468" t="str">
        <f aca="false">IF($BD132,$BW132+IF(VolSkewFlag=1,IF(BS132&gt;0,$BA132*MIN(BS132/10%,1)+($BB132-$BA132)*MAX(0,MIN(BS132/10%-1,1))+($BC132-$BB132)*MAX(0,BS132/10%-2),$AZ132*MIN(-BS132/10%,1)+($AY132-$AZ132)*MAX(0,MIN(-BS132/10%-1,1))+($AX132-$AY132)*MAX(0,-BS132/10%-2)),0),"")</f>
        <v/>
      </c>
      <c r="CB132" s="468" t="str">
        <f aca="false">IF($BD132,$BX132+IF(VolSkewFlag=1,IF(BS132&gt;0,$BA132*MIN(BS132/10%,1)+($BB132-$BA132)*MAX(0,MIN(BS132/10%-1,1))+($BC132-$BB132)*MAX(0,BS132/10%-2),$AZ132*MIN(-BS132/10%,1)+($AY132-$AZ132)*MAX(0,MIN(-BS132/10%-1,1))+($AX132-$AY132)*MAX(0,-BS132/10%-2)),0),"")</f>
        <v/>
      </c>
      <c r="CC132" s="468" t="str">
        <f aca="false">IF($BD132,$BW132+IF(VolSkewFlag=1,IF(BT132&gt;0,$BA132*MIN(BT132/10%,1)+($BB132-$BA132)*MAX(0,MIN(BT132/10%-1,1))+($BC132-$BB132)*MAX(0,BT132/10%-2),$AZ132*MIN(-BT132/10%,1)+($AY132-$AZ132)*MAX(0,MIN(-BT132/10%-1,1))+($AX132-$AY132)*MAX(0,-BT132/10%-2)),0),"")</f>
        <v/>
      </c>
      <c r="CD132" s="468" t="str">
        <f aca="false">IF($BD132,$BX132+IF(VolSkewFlag=1,IF(BT132&gt;0,$BA132*MIN(BT132/10%,1)+($BB132-$BA132)*MAX(0,MIN(BT132/10%-1,1))+($BC132-$BB132)*MAX(0,BT132/10%-2),$AZ132*MIN(-BT132/10%,1)+($AY132-$AZ132)*MAX(0,MIN(-BT132/10%-1,1))+($AX132-$AY132)*MAX(0,-BT132/10%-2)),0),"")</f>
        <v/>
      </c>
      <c r="CE132" s="469" t="n">
        <v>1</v>
      </c>
      <c r="CF132" s="470" t="n">
        <f aca="false">IF(BD132,xCrudeAPO(BU132,BV132,CA132,CB132,S133,S134,BI132,BL132,BP132,BQ132,0,Strike1,AO132,CE132,0,BL132,IF(OptControl=4,0,1),0,1),0)</f>
        <v>0</v>
      </c>
      <c r="CG132" s="470" t="n">
        <f aca="false">IF(BD132,xCrudeAPO(BU132,BV132,CA132,CB132,S133,S134,BI132,BL132,BP132,BQ132,0,Strike1,AO132,CE132,0,BL132,IF(OptControl=4,0,1),1,1)+xCrudeAPO(BU132,BV132,CA132,CB132,S133,S134,BI132,BL132,BP132,BQ132,0,Strike1,AO132,CE132,0,BL132,IF(OptControl=4,0,1),1,2)+IF(OR(VolSkewFlag=2,ABS(BS132)&lt;0.0001),0,IF(BS132&gt;0,-1,1)*CH132*Strike1/BR132^2*BY132/10%),0)</f>
        <v>0</v>
      </c>
      <c r="CH132" s="470" t="n">
        <f aca="false">IF(BD132,(xCrudeAPO(BU132,BV132,CA132,CB132,S133,S134,BI132,BL132,BP132,BQ132,0,Strike1,AO132,CE132,0,BL132,IF(OptControl=4,0,1),3,1)+xCrudeAPO(BU132,BV132,CA132,CB132,S133,S134,BI132,BL132,BP132,BQ132,0,Strike1,AO132,CE132,0,BL132,IF(OptControl=4,0,1),3,2))/100,0)</f>
        <v>0</v>
      </c>
      <c r="CI132" s="470" t="n">
        <f aca="false">IF(BD132,xCrudeAPO(BU132,BV132,CA132,CB132,S133,S134,BI132-DaysForThetaCalculation/365.25,BL132-DaysForThetaCalculation/365.25,BP132,BQ132,0,Strike1,AO132,CE132,0,BL132,IF(OptControl=4,0,1),0,1)-xCrudeAPO(BU132,BV132,CA132,CB132,S133,S134,BI132,BL132,BP132,BQ132,0,Strike1,AO132,CE132,0,BL132,IF(OptControl=4,0,1),0,1),0)</f>
        <v>0</v>
      </c>
      <c r="CJ132" s="471" t="n">
        <f aca="false">IF(BD132,xCrudeAPO(BU132,BV132,CC132,CD132,S133,S134,BI132,BL132,BP132,BQ132,0,Strike2,AO132,CE132,0,BL132,IF(OptControl=3,1,0),0,1),0)</f>
        <v>0</v>
      </c>
      <c r="CK132" s="470" t="n">
        <f aca="false">IF(BD132,xCrudeAPO(BU132,BV132,CC132,CD132,S133,S134,BI132,BL132,BP132,BQ132,0,Strike2,AO132,CE132,0,BL132,IF(OptControl=3,1,0),1,1)+xCrudeAPO(BU132,BV132,CC132,CD132,S133,S134,BI132,BL132,BP132,BQ132,0,Strike2,AO132,CE132,0,BL132,IF(OptControl=3,1,0),1,2)+IF(OR(VolSkewFlag=2,ABS(BT132)&lt;0.0001),0,IF(BT132&gt;0,-1,1)*CL132*Strike2/BR132^2*BZ132/10%),0)</f>
        <v>0</v>
      </c>
      <c r="CL132" s="470" t="n">
        <f aca="false">IF(BD132,(xCrudeAPO(BU132,BV132,CC132,CD132,S133,S134,BI132,BL132,BP132,BQ132,0,Strike2,AO132,CE132,0,BL132,IF(OptControl=3,1,0),3,1)+xCrudeAPO(BU132,BV132,CC132,CD132,S133,S134,BI132,BL132,BP132,BQ132,0,Strike2,AO132,CE132,0,BL132,IF(OptControl=3,1,0),3,2))/100,0)</f>
        <v>0</v>
      </c>
      <c r="CM132" s="472" t="n">
        <f aca="false">IF(BD132,xCrudeAPO(BU132,BV132,CC132,CD132,S133,S134,BI132-DaysForThetaCalculation/365.25,BL132-DaysForThetaCalculation/365.25,BP132,BQ132,0,Strike2,AO132,CE132,0,BL132,IF(OptControl=3,1,0),0,1)-xCrudeAPO(BU132,BV132,CC132,CD132,S133,S134,BI132,BL132,BP132,BQ132,0,Strike2,AO132,CE132,0,BL132,IF(OptControl=3,1,0),0,1),0)</f>
        <v>0</v>
      </c>
      <c r="CN132" s="3"/>
      <c r="CO132" s="543" t="str">
        <f aca="false">IF(BD132,CHOOSE(Underlying,AD132,AF132)-DateToday+1,"")</f>
        <v/>
      </c>
      <c r="CP132" s="582" t="str">
        <f aca="false">IF(BD132,CHOOSE(Underlying,L132,R132),"")</f>
        <v/>
      </c>
      <c r="CQ132" s="544" t="str">
        <f aca="false">IF(BD132,Strike1/CP132-1,"")</f>
        <v/>
      </c>
      <c r="CR132" s="544" t="str">
        <f aca="false">IF(BD132,Strike2/CP132-1,"")</f>
        <v/>
      </c>
      <c r="CS132" s="544" t="str">
        <f aca="false">IF(BD132,IF(CQ132&gt;0,IF(CQ132&gt;0.2,BC131-BB131,IF(CQ132&gt;0.1,BB131-BA131,BA131)),IF(CQ132&lt;-0.2,AX131-AY131,IF(CQ132&lt;-0.1,AY131-AZ131,AZ131))),"")</f>
        <v/>
      </c>
      <c r="CT132" s="544" t="str">
        <f aca="false">IF(BD132,IF(CR132&gt;0,IF(CR132&gt;0.2,BC131-BB131,IF(CR132&gt;0.1,BB131-BA131,BA131)),IF(CR132&lt;-0.2,AX131-AY131,IF(CR132&lt;-0.1,AY131-AZ131,AZ131))),"")</f>
        <v/>
      </c>
      <c r="CU132" s="545" t="str">
        <f aca="false">IF(BD132,CHOOSE(Underlying,O132,AT132),"")</f>
        <v/>
      </c>
      <c r="CV132" s="545" t="str">
        <f aca="false">IF(BD132,CU132+IF(VolSkewFlag=1,IF(CQ132&gt;0,BA131*MIN(CQ132/10%,1)+(BB131-BA131)*MAX(0,MIN(CQ132/10%-1,1))+(BC131-BB131)*MAX(0,CQ132/10%-2),AZ131*MIN(-CQ132/10%,1)+(AY131-AZ131)*MAX(0,MIN(-CQ132/10%-1,1))+(AX131-AY131)*MAX(0,-CQ132/10%-2)),0),"")</f>
        <v/>
      </c>
      <c r="CW132" s="545" t="str">
        <f aca="false">IF(BD132,CU132+IF(VolSkewFlag=1,IF(CR132&gt;0,BA131*MIN(CR132/10%,1)+(BB131-BA131)*MAX(0,MIN(CR132/10%-1,1))+(BC131-BB131)*MAX(0,CR132/10%-2),AZ131*MIN(-CR132/10%,1)+(AY131-AZ131)*MAX(0,MIN(-CR132/10%-1,1))+(AX131-AY131)*MAX(0,-CR132/10%-2)),0),"")</f>
        <v/>
      </c>
      <c r="CX132" s="470" t="n">
        <f aca="false">IF(BD132,EURO(CP132,Strike1,AO132,AO132,CV132,CO132,IF(OptControl=4,0,1),0),0)</f>
        <v>0</v>
      </c>
      <c r="CY132" s="470" t="n">
        <f aca="false">IF(BD132,EURO(CP132,Strike1,AO132,AO132,CV132,CO132,IF(OptControl=4,0,1),1)+IF(OR(VolSkewFlag=2,ABS(CQ132)&lt;0.0001),0,IF(CQ132&gt;0,-1,1)*CZ132*100*Strike1/CP132^2*CS132/10%),0)</f>
        <v>0</v>
      </c>
      <c r="CZ132" s="470" t="n">
        <f aca="false">IF(BD132,EURO(CP132,Strike1,AO132,AO132,CV132,CO132,IF(OptControl=4,0,1),3)/100,0)</f>
        <v>0</v>
      </c>
      <c r="DA132" s="470" t="n">
        <f aca="false">IF(BD132,EURO(CP132,Strike1,AO132,AO132,CV132,CO132,IF(OptControl=4,0,1),0)-EURO(CP132,Strike1,AO132,AO132,CV132,CO132-1,IF(OptControl=4,0,1),0),0)</f>
        <v>0</v>
      </c>
      <c r="DB132" s="470" t="n">
        <f aca="false">IF(BD132,EURO(CP132,Strike2,AO132,AO132,CW132,CO132,IF(OptControl=3,1,0),0),0)</f>
        <v>0</v>
      </c>
      <c r="DC132" s="470" t="n">
        <f aca="false">IF(BD132,EURO(CP132,Strike2,AO132,AO132,CW132,CO132,IF(OptControl=3,1,0),1)+IF(OR(VolSkewFlag=2,ABS(CR132)&lt;0.0001),0,IF(CR132&gt;0,-1,1)*DD132*100*Strike2/CP132^2*CT132/10%),0)</f>
        <v>0</v>
      </c>
      <c r="DD132" s="470" t="n">
        <f aca="false">IF(BD132,EURO(CP132,Strike2,AO132,AO132,CW132,CO132,IF(OptControl=3,1,0),3)/100,0)</f>
        <v>0</v>
      </c>
      <c r="DE132" s="472" t="n">
        <f aca="false">IF(BD132,EURO(CP132,Strike2,AO132,AO132,CW132,CO132,IF(OptControl=3,1,0),0)-EURO(CP132,Strike2,AO132,AO132,CW132,CO132-1,IF(OptControl=3,1,0),0),0)</f>
        <v>0</v>
      </c>
      <c r="DG132" s="481" t="n">
        <f aca="false">EOMONTH(DG131,0)+1</f>
        <v>49096</v>
      </c>
      <c r="DH132" s="478" t="n">
        <v>19.76</v>
      </c>
      <c r="DI132" s="479" t="n">
        <v>19.8259090909091</v>
      </c>
      <c r="DJ132" s="480" t="n">
        <f aca="false">DG132</f>
        <v>49096</v>
      </c>
      <c r="DK132" s="478" t="n">
        <v>18.3450051923532</v>
      </c>
      <c r="DL132" s="479" t="n">
        <v>18.5344090909091</v>
      </c>
      <c r="DM132" s="481" t="n">
        <f aca="false">DG132</f>
        <v>49096</v>
      </c>
      <c r="DN132" s="482" t="n">
        <f aca="false">DK132+BrentPhyBrentSpread</f>
        <v>18.3950051923532</v>
      </c>
      <c r="DO132" s="481" t="n">
        <f aca="false">DG132</f>
        <v>49096</v>
      </c>
      <c r="DP132" s="483" t="n">
        <f aca="false">DL132+DQ132</f>
        <v>18.5344090909091</v>
      </c>
      <c r="DQ132" s="546" t="n">
        <v>0</v>
      </c>
      <c r="DR132" s="480" t="n">
        <f aca="false">DG132</f>
        <v>49096</v>
      </c>
      <c r="DS132" s="485" t="n">
        <v>0.157399999999999</v>
      </c>
      <c r="DT132" s="486" t="n">
        <v>0.15660909090909</v>
      </c>
      <c r="DU132" s="480" t="n">
        <f aca="false">DG132</f>
        <v>49096</v>
      </c>
      <c r="DV132" s="485" t="n">
        <v>0.157399999999999</v>
      </c>
      <c r="DW132" s="486" t="n">
        <v>0.15660909090909</v>
      </c>
      <c r="DX132" s="481" t="n">
        <f aca="false">DG132</f>
        <v>49096</v>
      </c>
      <c r="DY132" s="486" t="n">
        <v>0.35</v>
      </c>
      <c r="DZ132" s="481" t="n">
        <f aca="false">DR132</f>
        <v>49096</v>
      </c>
      <c r="EA132" s="486" t="n">
        <f aca="false">DT132</f>
        <v>0.15660909090909</v>
      </c>
      <c r="EB132" s="195"/>
      <c r="EC132" s="547" t="str">
        <f aca="false">IF(BD132,IF(Underlying=1,AS132,AU132),"")</f>
        <v/>
      </c>
      <c r="ED132" s="548" t="str">
        <f aca="false">IF($BD132,$EC132+IF(VolSkewFlag=1,IF(BS132&gt;0,$BA132*MIN(BS132/10%,1)+($BB132-$BA132)*MAX(0,MIN(BS132/10%-1,1))+($BC132-$BB132)*MAX(0,BS132/10%-2),$AZ132*MIN(-BS132/10%,1)+($AY132-$AZ132)*MAX(0,MIN(-BS132/10%-1,1))+($AX132-$AY132)*MAX(0,-BS132/10%-2)),0),"")</f>
        <v/>
      </c>
      <c r="EE132" s="549" t="str">
        <f aca="false">IF($BD132,$EC132+IF(VolSkewFlag=1,IF(BT132&gt;0,$BA132*MIN(BT132/10%,1)+($BB132-$BA132)*MAX(0,MIN(BT132/10%-1,1))+($BC132-$BB132)*MAX(0,BT132/10%-2),$AZ132*MIN(-BT132/10%,1)+($AY132-$AZ132)*MAX(0,MIN(-BT132/10%-1,1))+($AX132-$AY132)*MAX(0,-BT132/10%-2)),0),"")</f>
        <v/>
      </c>
      <c r="EF132" s="550" t="n">
        <f aca="false">IF(BD132,xASN(BR132,Strike1,AO132,ED132,0,BO132,0,BI132,BL132,IF(OptControl=4,0,1),0),0)</f>
        <v>0</v>
      </c>
      <c r="EG132" s="551" t="n">
        <f aca="false">IF(BD132,xASN(BR132,Strike2,AO132,EE132,0,BO132,0,BI132,BL132,IF(OptControl=3,1,0),0),0)</f>
        <v>0</v>
      </c>
      <c r="EL132" s="1"/>
      <c r="EM132" s="195"/>
      <c r="EN132" s="240"/>
      <c r="EO132" s="240"/>
      <c r="EP132" s="195"/>
      <c r="EQ132" s="407" t="s">
        <v>359</v>
      </c>
      <c r="ES132" s="130"/>
      <c r="ET132" s="19"/>
      <c r="EU132" s="672"/>
      <c r="EV132" s="478"/>
      <c r="EW132" s="131"/>
      <c r="EX132" s="131"/>
      <c r="EY132" s="129"/>
      <c r="EZ132" s="129"/>
      <c r="FA132" s="129"/>
      <c r="FB132" s="129"/>
      <c r="FC132" s="129"/>
      <c r="FD132" s="129"/>
      <c r="FE132" s="129"/>
      <c r="FF132" s="129"/>
      <c r="FG132" s="129"/>
      <c r="FH132" s="129"/>
      <c r="FI132" s="129"/>
      <c r="FJ132" s="571" t="n">
        <v>38</v>
      </c>
      <c r="FK132" s="150" t="e">
        <f aca="false">IF($FJ57&lt;FK$94,"",SQRT(FK57/FK$15))</f>
        <v>#DIV/0!</v>
      </c>
      <c r="FL132" s="150" t="n">
        <f aca="false">IF($FJ57&lt;FL$94,"",SQRT(FL57/FL$15))</f>
        <v>-0</v>
      </c>
      <c r="FM132" s="150" t="n">
        <f aca="false">IF($FJ57&lt;FM$94,"",SQRT(FM57/FM$15))</f>
        <v>0.171046192815687</v>
      </c>
      <c r="FN132" s="150" t="n">
        <f aca="false">IF($FJ57&lt;FN$94,"",SQRT(FN57/FN$15))</f>
        <v>0.167848543390607</v>
      </c>
      <c r="FO132" s="150" t="n">
        <f aca="false">IF($FJ57&lt;FO$94,"",SQRT(FO57/FO$15))</f>
        <v>0.165485929668498</v>
      </c>
      <c r="FP132" s="150" t="n">
        <f aca="false">IF($FJ57&lt;FP$94,"",SQRT(FP57/FP$15))</f>
        <v>0.163755869803054</v>
      </c>
      <c r="FQ132" s="150" t="n">
        <f aca="false">IF($FJ57&lt;FQ$94,"",SQRT(FQ57/FQ$15))</f>
        <v>0.162507559088986</v>
      </c>
      <c r="FR132" s="150" t="n">
        <f aca="false">IF($FJ57&lt;FR$94,"",SQRT(FR57/FR$15))</f>
        <v>0.161629138658425</v>
      </c>
      <c r="FS132" s="150" t="n">
        <f aca="false">IF($FJ57&lt;FS$94,"",SQRT(FS57/FS$15))</f>
        <v>0.16103818071047</v>
      </c>
      <c r="FT132" s="150" t="n">
        <f aca="false">IF($FJ57&lt;FT$94,"",SQRT(FT57/FT$15))</f>
        <v>0.160674592719894</v>
      </c>
      <c r="FU132" s="150" t="n">
        <f aca="false">IF($FJ57&lt;FU$94,"",SQRT(FU57/FU$15))</f>
        <v>0.160495343880397</v>
      </c>
      <c r="FV132" s="150" t="n">
        <f aca="false">IF($FJ57&lt;FV$94,"",SQRT(FV57/FV$15))</f>
        <v>0.160470568006422</v>
      </c>
      <c r="FW132" s="150" t="n">
        <f aca="false">IF($FJ57&lt;FW$94,"",SQRT(FW57/FW$15))</f>
        <v>0.160580710814192</v>
      </c>
      <c r="FX132" s="150" t="n">
        <f aca="false">IF($FJ57&lt;FX$94,"",SQRT(FX57/FX$15))</f>
        <v>0.160814475392326</v>
      </c>
      <c r="FY132" s="150" t="n">
        <f aca="false">IF($FJ57&lt;FY$94,"",SQRT(FY57/FY$15))</f>
        <v>0.161167384906721</v>
      </c>
      <c r="FZ132" s="150" t="n">
        <f aca="false">IF($FJ57&lt;FZ$94,"",SQRT(FZ57/FZ$15))</f>
        <v>0.16164083160198</v>
      </c>
      <c r="GA132" s="150" t="n">
        <f aca="false">IF($FJ57&lt;GA$94,"",SQRT(GA57/GA$15))</f>
        <v>0.162241520147332</v>
      </c>
      <c r="GB132" s="150" t="n">
        <f aca="false">IF($FJ57&lt;GB$94,"",SQRT(GB57/GB$15))</f>
        <v>0.162981244619506</v>
      </c>
      <c r="GC132" s="150" t="n">
        <f aca="false">IF($FJ57&lt;GC$94,"",SQRT(GC57/GC$15))</f>
        <v>0.163876964606039</v>
      </c>
      <c r="GD132" s="150" t="n">
        <f aca="false">IF($FJ57&lt;GD$94,"",SQRT(GD57/GD$15))</f>
        <v>0.164951169387941</v>
      </c>
      <c r="GE132" s="150" t="n">
        <f aca="false">IF($FJ57&lt;GE$94,"",SQRT(GE57/GE$15))</f>
        <v>0.166232542149751</v>
      </c>
      <c r="GF132" s="150" t="n">
        <f aca="false">IF($FJ57&lt;GF$94,"",SQRT(GF57/GF$15))</f>
        <v>0.167756961053957</v>
      </c>
      <c r="GG132" s="150" t="n">
        <f aca="false">IF($FJ57&lt;GG$94,"",SQRT(GG57/GG$15))</f>
        <v>0.169568903678896</v>
      </c>
      <c r="GH132" s="150" t="n">
        <f aca="false">IF($FJ57&lt;GH$94,"",SQRT(GH57/GH$15))</f>
        <v>0.171723359580526</v>
      </c>
      <c r="GI132" s="150" t="n">
        <f aca="false">IF($FJ57&lt;GI$94,"",SQRT(GI57/GI$15))</f>
        <v>0.174288408082237</v>
      </c>
      <c r="GJ132" s="150" t="n">
        <f aca="false">IF($FJ57&lt;GJ$94,"",SQRT(GJ57/GJ$15))</f>
        <v>0.177348693095401</v>
      </c>
      <c r="GK132" s="150" t="n">
        <f aca="false">IF($FJ57&lt;GK$94,"",SQRT(GK57/GK$15))</f>
        <v>0.181010136769558</v>
      </c>
      <c r="GL132" s="150" t="n">
        <f aca="false">IF($FJ57&lt;GL$94,"",SQRT(GL57/GL$15))</f>
        <v>0.185406399902264</v>
      </c>
      <c r="GM132" s="150" t="n">
        <f aca="false">IF($FJ57&lt;GM$94,"",SQRT(GM57/GM$15))</f>
        <v>0.190707853707302</v>
      </c>
      <c r="GN132" s="150" t="n">
        <f aca="false">IF($FJ57&lt;GN$94,"",SQRT(GN57/GN$15))</f>
        <v>0.197134232945756</v>
      </c>
      <c r="GO132" s="150" t="n">
        <f aca="false">IF($FJ57&lt;GO$94,"",SQRT(GO57/GO$15))</f>
        <v>0.204972795529318</v>
      </c>
      <c r="GP132" s="150" t="n">
        <f aca="false">IF($FJ57&lt;GP$94,"",SQRT(GP57/GP$15))</f>
        <v>0.214604898404898</v>
      </c>
      <c r="GQ132" s="150" t="n">
        <f aca="false">IF($FJ57&lt;GQ$94,"",SQRT(GQ57/GQ$15))</f>
        <v>0.226545743833131</v>
      </c>
      <c r="GR132" s="150" t="n">
        <f aca="false">IF($FJ57&lt;GR$94,"",SQRT(GR57/GR$15))</f>
        <v>0.241505279161143</v>
      </c>
      <c r="GS132" s="150" t="n">
        <f aca="false">IF($FJ57&lt;GS$94,"",SQRT(GS57/GS$15))</f>
        <v>0.26048407368543</v>
      </c>
      <c r="GT132" s="150" t="n">
        <f aca="false">IF($FJ57&lt;GT$94,"",SQRT(GT57/GT$15))</f>
        <v>0.284928953755704</v>
      </c>
      <c r="GU132" s="150" t="n">
        <f aca="false">IF($FJ57&lt;GU$94,"",SQRT(GU57/GU$15))</f>
        <v>0.316994603993139</v>
      </c>
      <c r="GV132" s="150" t="n">
        <f aca="false">IF($FJ57&lt;GV$94,"",SQRT(GV57/GV$15))</f>
        <v>0.360001271351013</v>
      </c>
      <c r="GW132" s="150" t="str">
        <f aca="false">IF($FJ57&lt;GW$94,"",SQRT(GW57/GW$15))</f>
        <v/>
      </c>
      <c r="GX132" s="150" t="str">
        <f aca="false">IF($FJ57&lt;GX$94,"",SQRT(GX57/GX$15))</f>
        <v/>
      </c>
      <c r="GY132" s="150" t="str">
        <f aca="false">IF($FJ57&lt;GY$94,"",SQRT(GY57/GY$15))</f>
        <v/>
      </c>
      <c r="GZ132" s="150" t="str">
        <f aca="false">IF($FJ57&lt;GZ$94,"",SQRT(GZ57/GZ$15))</f>
        <v/>
      </c>
      <c r="HA132" s="150" t="str">
        <f aca="false">IF($FJ57&lt;HA$94,"",SQRT(HA57/HA$15))</f>
        <v/>
      </c>
      <c r="HB132" s="150" t="str">
        <f aca="false">IF($FJ57&lt;HB$94,"",SQRT(HB57/HB$15))</f>
        <v/>
      </c>
      <c r="HC132" s="150" t="str">
        <f aca="false">IF($FJ57&lt;HC$94,"",SQRT(HC57/HC$15))</f>
        <v/>
      </c>
      <c r="HD132" s="150" t="str">
        <f aca="false">IF($FJ57&lt;HD$94,"",SQRT(HD57/HD$15))</f>
        <v/>
      </c>
      <c r="HE132" s="150" t="str">
        <f aca="false">IF($FJ57&lt;HE$94,"",SQRT(HE57/HE$15))</f>
        <v/>
      </c>
      <c r="HF132" s="150" t="str">
        <f aca="false">IF($FJ57&lt;HF$94,"",SQRT(HF57/HF$15))</f>
        <v/>
      </c>
      <c r="HG132" s="150" t="str">
        <f aca="false">IF($FJ57&lt;HG$94,"",SQRT(HG57/HG$15))</f>
        <v/>
      </c>
      <c r="HH132" s="150" t="str">
        <f aca="false">IF($FJ57&lt;HH$94,"",SQRT(HH57/HH$15))</f>
        <v/>
      </c>
      <c r="HI132" s="150" t="str">
        <f aca="false">IF($FJ57&lt;HI$94,"",SQRT(HI57/HI$15))</f>
        <v/>
      </c>
      <c r="HJ132" s="150" t="str">
        <f aca="false">IF($FJ57&lt;HJ$94,"",SQRT(HJ57/HJ$15))</f>
        <v/>
      </c>
      <c r="HK132" s="150" t="str">
        <f aca="false">IF($FJ57&lt;HK$94,"",SQRT(HK57/HK$15))</f>
        <v/>
      </c>
      <c r="HL132" s="150" t="str">
        <f aca="false">IF($FJ57&lt;HL$94,"",SQRT(HL57/HL$15))</f>
        <v/>
      </c>
      <c r="HM132" s="150" t="str">
        <f aca="false">IF($FJ57&lt;HM$94,"",SQRT(HM57/HM$15))</f>
        <v/>
      </c>
      <c r="HN132" s="150" t="str">
        <f aca="false">IF($FJ57&lt;HN$94,"",SQRT(HN57/HN$15))</f>
        <v/>
      </c>
      <c r="HO132" s="150" t="str">
        <f aca="false">IF($FJ57&lt;HO$94,"",SQRT(HO57/HO$15))</f>
        <v/>
      </c>
      <c r="HP132" s="150" t="str">
        <f aca="false">IF($FJ57&lt;HP$94,"",SQRT(HP57/HP$15))</f>
        <v/>
      </c>
      <c r="HQ132" s="150" t="str">
        <f aca="false">IF($FJ57&lt;HQ$94,"",SQRT(HQ57/HQ$15))</f>
        <v/>
      </c>
      <c r="HR132" s="150" t="str">
        <f aca="false">IF($FJ57&lt;HR$94,"",SQRT(HR57/HR$15))</f>
        <v/>
      </c>
      <c r="HS132" s="150" t="str">
        <f aca="false">IF($FJ57&lt;HS$94,"",SQRT(HS57/HS$15))</f>
        <v/>
      </c>
      <c r="HT132" s="150" t="str">
        <f aca="false">IF($FJ57&lt;HT$94,"",SQRT(HT57/HT$15))</f>
        <v/>
      </c>
      <c r="HU132" s="150" t="str">
        <f aca="false">IF($FJ57&lt;HU$94,"",SQRT(HU57/HU$15))</f>
        <v/>
      </c>
      <c r="HV132" s="150" t="str">
        <f aca="false">IF($FJ57&lt;HV$94,"",SQRT(HV57/HV$15))</f>
        <v/>
      </c>
      <c r="HW132" s="150" t="str">
        <f aca="false">IF($FJ57&lt;HW$94,"",SQRT(HW57/HW$15))</f>
        <v/>
      </c>
      <c r="HX132" s="150" t="str">
        <f aca="false">IF($FJ57&lt;HX$94,"",SQRT(HX57/HX$15))</f>
        <v/>
      </c>
      <c r="HY132" s="150" t="str">
        <f aca="false">IF($FJ57&lt;HY$94,"",SQRT(HY57/HY$15))</f>
        <v/>
      </c>
      <c r="HZ132" s="150" t="str">
        <f aca="false">IF($FJ57&lt;HZ$94,"",SQRT(HZ57/HZ$15))</f>
        <v/>
      </c>
      <c r="IA132" s="150" t="str">
        <f aca="false">IF($FJ57&lt;IA$94,"",SQRT(IA57/IA$15))</f>
        <v/>
      </c>
      <c r="IB132" s="150" t="str">
        <f aca="false">IF($FJ57&lt;IB$94,"",SQRT(IB57/IB$15))</f>
        <v/>
      </c>
      <c r="IC132" s="150" t="str">
        <f aca="false">IF($FJ57&lt;IC$94,"",SQRT(IC57/IC$15))</f>
        <v/>
      </c>
      <c r="ID132" s="572" t="str">
        <f aca="false">IF($FJ57&lt;ID$94,"",SQRT(ID57/ID$15))</f>
        <v/>
      </c>
      <c r="IE132" s="129"/>
    </row>
    <row r="133" customFormat="false" ht="12.75" hidden="false" customHeight="false" outlineLevel="0" collapsed="false">
      <c r="H133" s="219" t="n">
        <f aca="false">VLOOKUP(I133,$EJ$20:$EL$54,3)</f>
        <v>0</v>
      </c>
      <c r="I133" s="511" t="n">
        <f aca="false">EOMONTH(I132,0)+1</f>
        <v>40210</v>
      </c>
      <c r="J133" s="512"/>
      <c r="K133" s="513" t="s">
        <v>280</v>
      </c>
      <c r="L133" s="514" t="n">
        <f aca="false">IF(ISNUMBER(K133),J133+K133/100,IF(K133="extra",L132+VLOOKUP(BF133,PriceSpreadTable,2)/12,IF(K133="inter",interpolateprices($K$19:$L$200,ROW(K133)-ROW(FirstPricingMonth)+1),interpolatechanges($J$19:$K$200,ROW(K133)-ROW(FirstPricingMonth)+1))))</f>
        <v>1.3875</v>
      </c>
      <c r="M133" s="515"/>
      <c r="N133" s="516" t="n">
        <v>0</v>
      </c>
      <c r="O133" s="515" t="n">
        <f aca="false">M133+N133</f>
        <v>0</v>
      </c>
      <c r="P133" s="512"/>
      <c r="Q133" s="513" t="s">
        <v>280</v>
      </c>
      <c r="R133" s="512" t="e">
        <f aca="false">IF(ISNUMBER(Q133),P133+Q133/100,IF(Q133="extra",(Z131*AL131-R132*AM131)/AN131,IF(Q133="inter",interpolateprices($Q$19:$R$260,ROW(Q133)-ROW(FirstPricingMonth)+1),interpolatechanges($P$19:$Q$260,ROW(Q133)-ROW(FirstPricingMonth)+1))))</f>
        <v>#VALUE!</v>
      </c>
      <c r="S133" s="597" t="n">
        <f aca="false">S$19+(S132-S$19)*S$18</f>
        <v>0.36</v>
      </c>
      <c r="T133" s="575" t="n">
        <f aca="false">SQRT((1-(1-T132^2/U132)*T$18)*U133)</f>
        <v>0.999999997695067</v>
      </c>
      <c r="U133" s="576" t="n">
        <f aca="false">1-(1-U132)*U$18</f>
        <v>1</v>
      </c>
      <c r="V133" s="521" t="n">
        <v>0</v>
      </c>
      <c r="W133" s="577" t="n">
        <f aca="false">(J134*AJ133+J135*AK133)/AI133</f>
        <v>0</v>
      </c>
      <c r="X133" s="578" t="n">
        <f aca="false">(L134*AJ133+L135*AK133)/AI133</f>
        <v>1.434375</v>
      </c>
      <c r="Y133" s="579" t="n">
        <f aca="false">IF(Q135="extra",W133-AA133,(P134*AM133+P135*AN133)/AL133)</f>
        <v>-1.1685</v>
      </c>
      <c r="Z133" s="579" t="n">
        <f aca="false">IF(Q135="extra",X133-AB133,(R134*AM133+R135*AN133)/AL133)</f>
        <v>0.265875000000001</v>
      </c>
      <c r="AA133" s="523" t="n">
        <f aca="false">IF(Q135="extra",INDEX(BrentSeasonalityTable,INT((BG133-1)/3)+1)*VLOOKUP(MAX(BF133,$AB$4),PriceSpreadTable,3),W133-Y133)</f>
        <v>1.1685</v>
      </c>
      <c r="AB133" s="524" t="n">
        <f aca="false">IF(Q135="extra",INDEX(BrentSeasonalityTable,INT((BG133-1)/3)+1)*VLOOKUP(MAX(BF133,$AB$4),PriceSpreadTable,3),X133-Z133)</f>
        <v>1.1685</v>
      </c>
      <c r="AC133" s="646" t="n">
        <v>40198</v>
      </c>
      <c r="AD133" s="646" t="n">
        <v>40194</v>
      </c>
      <c r="AE133" s="646" t="n">
        <v>40193</v>
      </c>
      <c r="AF133" s="646" t="n">
        <v>40189</v>
      </c>
      <c r="AG133" s="438" t="s">
        <v>278</v>
      </c>
      <c r="AH133" s="439" t="s">
        <v>278</v>
      </c>
      <c r="AI133" s="528" t="n">
        <v>20</v>
      </c>
      <c r="AJ133" s="529" t="n">
        <v>15</v>
      </c>
      <c r="AK133" s="529" t="n">
        <v>5</v>
      </c>
      <c r="AL133" s="530" t="n">
        <v>20</v>
      </c>
      <c r="AM133" s="529" t="n">
        <v>10</v>
      </c>
      <c r="AN133" s="531" t="n">
        <v>10</v>
      </c>
      <c r="AO133" s="532"/>
      <c r="AP133" s="465" t="n">
        <f aca="false">(1+AO133/2)^(-2*BL133)</f>
        <v>1</v>
      </c>
      <c r="AQ133" s="532"/>
      <c r="AR133" s="465" t="n">
        <f aca="false">(1+AQ133/2)^(-2*BH133/365.25)</f>
        <v>1</v>
      </c>
      <c r="AS133" s="580" t="n">
        <f aca="false">(O134*AJ133+O135*AK133)/AI133</f>
        <v>0</v>
      </c>
      <c r="AT133" s="468" t="n">
        <f aca="false">O133*VLOOKUP(BF133,BrentVolTable,2)+VLOOKUP(BF133,BrentVolTable,3)</f>
        <v>0</v>
      </c>
      <c r="AU133" s="468" t="n">
        <f aca="false">(AT134*AM133+AT135*AN133)/AL133</f>
        <v>0</v>
      </c>
      <c r="AV133" s="595" t="n">
        <f aca="false">SQRT(MAX(0.000000000001,(O133^2*BH133-S133^2*(BH133-BH132))/BH132))</f>
        <v>0.0264056413776241</v>
      </c>
      <c r="AW133" s="451" t="n">
        <f aca="false">IF($I133-DateToday+15&gt;=$T$8,"",IF($I133-DateToday+15&lt;$T$5,1,MATCH($I133-DateToday+15,$T$5:$T$8)))</f>
        <v>1</v>
      </c>
      <c r="AX133" s="468" t="n">
        <f aca="false">IF($AW133="",AX132^2/AX131,INDEX(U$5:U$8,$AW133)^((INDEX($T$5:$T$8,$AW133+1)-($I133-DateToday+15))/(INDEX($T$5:$T$8,$AW133+1)-INDEX($T$5:$T$8,$AW133)))/INDEX(U$5:U$8,$AW133+1)^((INDEX($T$5:$T$8,$AW133)-($I133-DateToday+15))/(INDEX($T$5:$T$8,$AW133+1)-INDEX($T$5:$T$8,$AW133))))</f>
        <v>1.12013710852294</v>
      </c>
      <c r="AY133" s="468" t="n">
        <f aca="false">IF($AW133="",AY132^2/AY131,INDEX(V$5:V$8,$AW133)^((INDEX($T$5:$T$8,$AW133+1)-($I133-DateToday+15))/(INDEX($T$5:$T$8,$AW133+1)-INDEX($T$5:$T$8,$AW133)))/INDEX(V$5:V$8,$AW133+1)^((INDEX($T$5:$T$8,$AW133)-($I133-DateToday+15))/(INDEX($T$5:$T$8,$AW133+1)-INDEX($T$5:$T$8,$AW133))))</f>
        <v>44.6137202311164</v>
      </c>
      <c r="AZ133" s="468" t="n">
        <f aca="false">IF($AW133="",AZ132^2/AZ131,INDEX(W$5:W$8,$AW133)^((INDEX($T$5:$T$8,$AW133+1)-($I133-DateToday+15))/(INDEX($T$5:$T$8,$AW133+1)-INDEX($T$5:$T$8,$AW133)))/INDEX(W$5:W$8,$AW133+1)^((INDEX($T$5:$T$8,$AW133)-($I133-DateToday+15))/(INDEX($T$5:$T$8,$AW133+1)-INDEX($T$5:$T$8,$AW133))))</f>
        <v>64127.0532374842</v>
      </c>
      <c r="BA133" s="468" t="n">
        <f aca="false">IF($AW133="",BA132^2/BA131,INDEX(X$5:X$8,$AW133)^((INDEX($T$5:$T$8,$AW133+1)-($I133-DateToday+15))/(INDEX($T$5:$T$8,$AW133+1)-INDEX($T$5:$T$8,$AW133)))/INDEX(X$5:X$8,$AW133+1)^((INDEX($T$5:$T$8,$AW133)-($I133-DateToday+15))/(INDEX($T$5:$T$8,$AW133+1)-INDEX($T$5:$T$8,$AW133))))</f>
        <v>748240.541578454</v>
      </c>
      <c r="BB133" s="468" t="n">
        <f aca="false">IF($AW133="",BB132^2/BB131,INDEX(Y$5:Y$8,$AW133)^((INDEX($T$5:$T$8,$AW133+1)-($I133-DateToday+15))/(INDEX($T$5:$T$8,$AW133+1)-INDEX($T$5:$T$8,$AW133)))/INDEX(Y$5:Y$8,$AW133+1)^((INDEX($T$5:$T$8,$AW133)-($I133-DateToday+15))/(INDEX($T$5:$T$8,$AW133+1)-INDEX($T$5:$T$8,$AW133))))</f>
        <v>6756810.79334884</v>
      </c>
      <c r="BC133" s="468" t="n">
        <f aca="false">IF($AW133="",BC132^2/BC131,INDEX(Z$5:Z$8,$AW133)^((INDEX($T$5:$T$8,$AW133+1)-($I133-DateToday+15))/(INDEX($T$5:$T$8,$AW133+1)-INDEX($T$5:$T$8,$AW133)))/INDEX(Z$5:Z$8,$AW133+1)^((INDEX($T$5:$T$8,$AW133)-($I133-DateToday+15))/(INDEX($T$5:$T$8,$AW133+1)-INDEX($T$5:$T$8,$AW133))))</f>
        <v>25487311.4175699</v>
      </c>
      <c r="BD133" s="535" t="n">
        <f aca="false">IF(OR(DateStart&gt;=I134,DateEnd&lt;I133),0,IF(VolumeOverrideFlag,V133,Volume))</f>
        <v>0</v>
      </c>
      <c r="BE133" s="536" t="n">
        <f aca="false">IF(OR(DateStart2&gt;=I134,DateEnd2&lt;I133),0,IF(VolumeOverrideFlag,V133,VolumeSwaption))</f>
        <v>0</v>
      </c>
      <c r="BF133" s="537" t="n">
        <f aca="false">YEAR(I133)</f>
        <v>2010</v>
      </c>
      <c r="BG133" s="538" t="n">
        <f aca="false">MONTH(I133)</f>
        <v>2</v>
      </c>
      <c r="BH133" s="539" t="n">
        <f aca="false">AD133-DateToday+1</f>
        <v>-5731</v>
      </c>
      <c r="BI133" s="540" t="n">
        <f aca="false">(I133-DateToday+1)/365.25</f>
        <v>-15.64681724846</v>
      </c>
      <c r="BJ133" s="541" t="n">
        <f aca="false">BI133+(BL133-BI133)*CHOOSE(Underlying,AJ133/AI133,AM133/AL133)</f>
        <v>-15.5913757700205</v>
      </c>
      <c r="BK133" s="541" t="n">
        <f aca="false">BJ133+1/365.25</f>
        <v>-15.5886379192334</v>
      </c>
      <c r="BL133" s="541" t="n">
        <f aca="false">(I134-DateToday)/365.25</f>
        <v>-15.5728952772074</v>
      </c>
      <c r="BM133" s="542" t="e">
        <f aca="false">MAX(BI133-(BJ133-BI133)*(S134^2/O134^2-1),0)</f>
        <v>#DIV/0!</v>
      </c>
      <c r="BN133" s="541" t="e">
        <f aca="false">MAX(BL133+(BL133-BK133)*(S135^2/O135^2-1),0)</f>
        <v>#DIV/0!</v>
      </c>
      <c r="BO133" s="530" t="n">
        <f aca="false">CHOOSE(Underlying,AI133,AL133)</f>
        <v>20</v>
      </c>
      <c r="BP133" s="529" t="n">
        <f aca="false">CHOOSE(Underlying,AJ133,AM133)</f>
        <v>15</v>
      </c>
      <c r="BQ133" s="529" t="n">
        <f aca="false">CHOOSE(Underlying,AK133,AN133)</f>
        <v>5</v>
      </c>
      <c r="BR133" s="463" t="str">
        <f aca="false">IF(BD133,IF(Underlying=1,X133,Z133)+UnderlyingPriceAsian-SwapPriceCurve,"")</f>
        <v/>
      </c>
      <c r="BS133" s="463" t="str">
        <f aca="false">IF(BD133,Strike1/BR133-1,"")</f>
        <v/>
      </c>
      <c r="BT133" s="464" t="str">
        <f aca="false">IF(BD133,Strike2/BR133-1,"")</f>
        <v/>
      </c>
      <c r="BU133" s="465" t="str">
        <f aca="false">IF(BD133,IF(Underlying=1,L134,R134)+UnderlyingPriceAsian-SwapPriceCurve,"")</f>
        <v/>
      </c>
      <c r="BV133" s="465" t="str">
        <f aca="false">IF(BD133,IF(Underlying=1,L135,R135)+UnderlyingPriceAsian-SwapPriceCurve,"")</f>
        <v/>
      </c>
      <c r="BW133" s="466" t="str">
        <f aca="false">IF(BD133,IF(Underlying=1,O134,AT134),"")</f>
        <v/>
      </c>
      <c r="BX133" s="467" t="str">
        <f aca="false">IF(BD133,IF(Underlying=1,O135,AT135),"")</f>
        <v/>
      </c>
      <c r="BY133" s="466" t="str">
        <f aca="false">IF(BD133,IF(BS133&gt;0,IF(BS133&gt;0.2,BC133-BB133,IF(BS133&gt;0.1,BB133-BA133,BA133)),IF(BS133&lt;-0.2,AX133-AY133,IF(BS133&lt;-0.1,AY133-AZ133,AZ133))),"")</f>
        <v/>
      </c>
      <c r="BZ133" s="467" t="str">
        <f aca="false">IF(BD133,IF(BT133&gt;0,IF(BT133&gt;0.2,BC133-BB133,IF(BT133&gt;0.1,BB133-BA133,BA133)),IF(BT133&lt;-0.2,AX133-AY133,IF(BT133&lt;-0.1,AY133-AZ133,AZ133))),"")</f>
        <v/>
      </c>
      <c r="CA133" s="468" t="str">
        <f aca="false">IF($BD133,$BW133+IF(VolSkewFlag=1,IF(BS133&gt;0,$BA133*MIN(BS133/10%,1)+($BB133-$BA133)*MAX(0,MIN(BS133/10%-1,1))+($BC133-$BB133)*MAX(0,BS133/10%-2),$AZ133*MIN(-BS133/10%,1)+($AY133-$AZ133)*MAX(0,MIN(-BS133/10%-1,1))+($AX133-$AY133)*MAX(0,-BS133/10%-2)),0),"")</f>
        <v/>
      </c>
      <c r="CB133" s="468" t="str">
        <f aca="false">IF($BD133,$BX133+IF(VolSkewFlag=1,IF(BS133&gt;0,$BA133*MIN(BS133/10%,1)+($BB133-$BA133)*MAX(0,MIN(BS133/10%-1,1))+($BC133-$BB133)*MAX(0,BS133/10%-2),$AZ133*MIN(-BS133/10%,1)+($AY133-$AZ133)*MAX(0,MIN(-BS133/10%-1,1))+($AX133-$AY133)*MAX(0,-BS133/10%-2)),0),"")</f>
        <v/>
      </c>
      <c r="CC133" s="468" t="str">
        <f aca="false">IF($BD133,$BW133+IF(VolSkewFlag=1,IF(BT133&gt;0,$BA133*MIN(BT133/10%,1)+($BB133-$BA133)*MAX(0,MIN(BT133/10%-1,1))+($BC133-$BB133)*MAX(0,BT133/10%-2),$AZ133*MIN(-BT133/10%,1)+($AY133-$AZ133)*MAX(0,MIN(-BT133/10%-1,1))+($AX133-$AY133)*MAX(0,-BT133/10%-2)),0),"")</f>
        <v/>
      </c>
      <c r="CD133" s="468" t="str">
        <f aca="false">IF($BD133,$BX133+IF(VolSkewFlag=1,IF(BT133&gt;0,$BA133*MIN(BT133/10%,1)+($BB133-$BA133)*MAX(0,MIN(BT133/10%-1,1))+($BC133-$BB133)*MAX(0,BT133/10%-2),$AZ133*MIN(-BT133/10%,1)+($AY133-$AZ133)*MAX(0,MIN(-BT133/10%-1,1))+($AX133-$AY133)*MAX(0,-BT133/10%-2)),0),"")</f>
        <v/>
      </c>
      <c r="CE133" s="469" t="n">
        <v>1</v>
      </c>
      <c r="CF133" s="470" t="n">
        <f aca="false">IF(BD133,xCrudeAPO(BU133,BV133,CA133,CB133,S134,S135,BI133,BL133,BP133,BQ133,0,Strike1,AO133,CE133,0,BL133,IF(OptControl=4,0,1),0,1),0)</f>
        <v>0</v>
      </c>
      <c r="CG133" s="470" t="n">
        <f aca="false">IF(BD133,xCrudeAPO(BU133,BV133,CA133,CB133,S134,S135,BI133,BL133,BP133,BQ133,0,Strike1,AO133,CE133,0,BL133,IF(OptControl=4,0,1),1,1)+xCrudeAPO(BU133,BV133,CA133,CB133,S134,S135,BI133,BL133,BP133,BQ133,0,Strike1,AO133,CE133,0,BL133,IF(OptControl=4,0,1),1,2)+IF(OR(VolSkewFlag=2,ABS(BS133)&lt;0.0001),0,IF(BS133&gt;0,-1,1)*CH133*Strike1/BR133^2*BY133/10%),0)</f>
        <v>0</v>
      </c>
      <c r="CH133" s="470" t="n">
        <f aca="false">IF(BD133,(xCrudeAPO(BU133,BV133,CA133,CB133,S134,S135,BI133,BL133,BP133,BQ133,0,Strike1,AO133,CE133,0,BL133,IF(OptControl=4,0,1),3,1)+xCrudeAPO(BU133,BV133,CA133,CB133,S134,S135,BI133,BL133,BP133,BQ133,0,Strike1,AO133,CE133,0,BL133,IF(OptControl=4,0,1),3,2))/100,0)</f>
        <v>0</v>
      </c>
      <c r="CI133" s="470" t="n">
        <f aca="false">IF(BD133,xCrudeAPO(BU133,BV133,CA133,CB133,S134,S135,BI133-DaysForThetaCalculation/365.25,BL133-DaysForThetaCalculation/365.25,BP133,BQ133,0,Strike1,AO133,CE133,0,BL133,IF(OptControl=4,0,1),0,1)-xCrudeAPO(BU133,BV133,CA133,CB133,S134,S135,BI133,BL133,BP133,BQ133,0,Strike1,AO133,CE133,0,BL133,IF(OptControl=4,0,1),0,1),0)</f>
        <v>0</v>
      </c>
      <c r="CJ133" s="471" t="n">
        <f aca="false">IF(BD133,xCrudeAPO(BU133,BV133,CC133,CD133,S134,S135,BI133,BL133,BP133,BQ133,0,Strike2,AO133,CE133,0,BL133,IF(OptControl=3,1,0),0,1),0)</f>
        <v>0</v>
      </c>
      <c r="CK133" s="470" t="n">
        <f aca="false">IF(BD133,xCrudeAPO(BU133,BV133,CC133,CD133,S134,S135,BI133,BL133,BP133,BQ133,0,Strike2,AO133,CE133,0,BL133,IF(OptControl=3,1,0),1,1)+xCrudeAPO(BU133,BV133,CC133,CD133,S134,S135,BI133,BL133,BP133,BQ133,0,Strike2,AO133,CE133,0,BL133,IF(OptControl=3,1,0),1,2)+IF(OR(VolSkewFlag=2,ABS(BT133)&lt;0.0001),0,IF(BT133&gt;0,-1,1)*CL133*Strike2/BR133^2*BZ133/10%),0)</f>
        <v>0</v>
      </c>
      <c r="CL133" s="470" t="n">
        <f aca="false">IF(BD133,(xCrudeAPO(BU133,BV133,CC133,CD133,S134,S135,BI133,BL133,BP133,BQ133,0,Strike2,AO133,CE133,0,BL133,IF(OptControl=3,1,0),3,1)+xCrudeAPO(BU133,BV133,CC133,CD133,S134,S135,BI133,BL133,BP133,BQ133,0,Strike2,AO133,CE133,0,BL133,IF(OptControl=3,1,0),3,2))/100,0)</f>
        <v>0</v>
      </c>
      <c r="CM133" s="472" t="n">
        <f aca="false">IF(BD133,xCrudeAPO(BU133,BV133,CC133,CD133,S134,S135,BI133-DaysForThetaCalculation/365.25,BL133-DaysForThetaCalculation/365.25,BP133,BQ133,0,Strike2,AO133,CE133,0,BL133,IF(OptControl=3,1,0),0,1)-xCrudeAPO(BU133,BV133,CC133,CD133,S134,S135,BI133,BL133,BP133,BQ133,0,Strike2,AO133,CE133,0,BL133,IF(OptControl=3,1,0),0,1),0)</f>
        <v>0</v>
      </c>
      <c r="CN133" s="3"/>
      <c r="CO133" s="543" t="str">
        <f aca="false">IF(BD133,CHOOSE(Underlying,AD133,AF133)-DateToday+1,"")</f>
        <v/>
      </c>
      <c r="CP133" s="582" t="str">
        <f aca="false">IF(BD133,CHOOSE(Underlying,L133,R133),"")</f>
        <v/>
      </c>
      <c r="CQ133" s="544" t="str">
        <f aca="false">IF(BD133,Strike1/CP133-1,"")</f>
        <v/>
      </c>
      <c r="CR133" s="544" t="str">
        <f aca="false">IF(BD133,Strike2/CP133-1,"")</f>
        <v/>
      </c>
      <c r="CS133" s="544" t="str">
        <f aca="false">IF(BD133,IF(CQ133&gt;0,IF(CQ133&gt;0.2,BC132-BB132,IF(CQ133&gt;0.1,BB132-BA132,BA132)),IF(CQ133&lt;-0.2,AX132-AY132,IF(CQ133&lt;-0.1,AY132-AZ132,AZ132))),"")</f>
        <v/>
      </c>
      <c r="CT133" s="544" t="str">
        <f aca="false">IF(BD133,IF(CR133&gt;0,IF(CR133&gt;0.2,BC132-BB132,IF(CR133&gt;0.1,BB132-BA132,BA132)),IF(CR133&lt;-0.2,AX132-AY132,IF(CR133&lt;-0.1,AY132-AZ132,AZ132))),"")</f>
        <v/>
      </c>
      <c r="CU133" s="545" t="str">
        <f aca="false">IF(BD133,CHOOSE(Underlying,O133,AT133),"")</f>
        <v/>
      </c>
      <c r="CV133" s="545" t="str">
        <f aca="false">IF(BD133,CU133+IF(VolSkewFlag=1,IF(CQ133&gt;0,BA132*MIN(CQ133/10%,1)+(BB132-BA132)*MAX(0,MIN(CQ133/10%-1,1))+(BC132-BB132)*MAX(0,CQ133/10%-2),AZ132*MIN(-CQ133/10%,1)+(AY132-AZ132)*MAX(0,MIN(-CQ133/10%-1,1))+(AX132-AY132)*MAX(0,-CQ133/10%-2)),0),"")</f>
        <v/>
      </c>
      <c r="CW133" s="545" t="str">
        <f aca="false">IF(BD133,CU133+IF(VolSkewFlag=1,IF(CR133&gt;0,BA132*MIN(CR133/10%,1)+(BB132-BA132)*MAX(0,MIN(CR133/10%-1,1))+(BC132-BB132)*MAX(0,CR133/10%-2),AZ132*MIN(-CR133/10%,1)+(AY132-AZ132)*MAX(0,MIN(-CR133/10%-1,1))+(AX132-AY132)*MAX(0,-CR133/10%-2)),0),"")</f>
        <v/>
      </c>
      <c r="CX133" s="470" t="n">
        <f aca="false">IF(BD133,EURO(CP133,Strike1,AO133,AO133,CV133,CO133,IF(OptControl=4,0,1),0),0)</f>
        <v>0</v>
      </c>
      <c r="CY133" s="470" t="n">
        <f aca="false">IF(BD133,EURO(CP133,Strike1,AO133,AO133,CV133,CO133,IF(OptControl=4,0,1),1)+IF(OR(VolSkewFlag=2,ABS(CQ133)&lt;0.0001),0,IF(CQ133&gt;0,-1,1)*CZ133*100*Strike1/CP133^2*CS133/10%),0)</f>
        <v>0</v>
      </c>
      <c r="CZ133" s="470" t="n">
        <f aca="false">IF(BD133,EURO(CP133,Strike1,AO133,AO133,CV133,CO133,IF(OptControl=4,0,1),3)/100,0)</f>
        <v>0</v>
      </c>
      <c r="DA133" s="470" t="n">
        <f aca="false">IF(BD133,EURO(CP133,Strike1,AO133,AO133,CV133,CO133,IF(OptControl=4,0,1),0)-EURO(CP133,Strike1,AO133,AO133,CV133,CO133-1,IF(OptControl=4,0,1),0),0)</f>
        <v>0</v>
      </c>
      <c r="DB133" s="470" t="n">
        <f aca="false">IF(BD133,EURO(CP133,Strike2,AO133,AO133,CW133,CO133,IF(OptControl=3,1,0),0),0)</f>
        <v>0</v>
      </c>
      <c r="DC133" s="470" t="n">
        <f aca="false">IF(BD133,EURO(CP133,Strike2,AO133,AO133,CW133,CO133,IF(OptControl=3,1,0),1)+IF(OR(VolSkewFlag=2,ABS(CR133)&lt;0.0001),0,IF(CR133&gt;0,-1,1)*DD133*100*Strike2/CP133^2*CT133/10%),0)</f>
        <v>0</v>
      </c>
      <c r="DD133" s="470" t="n">
        <f aca="false">IF(BD133,EURO(CP133,Strike2,AO133,AO133,CW133,CO133,IF(OptControl=3,1,0),3)/100,0)</f>
        <v>0</v>
      </c>
      <c r="DE133" s="472" t="n">
        <f aca="false">IF(BD133,EURO(CP133,Strike2,AO133,AO133,CW133,CO133,IF(OptControl=3,1,0),0)-EURO(CP133,Strike2,AO133,AO133,CW133,CO133-1,IF(OptControl=3,1,0),0),0)</f>
        <v>0</v>
      </c>
      <c r="DG133" s="481" t="n">
        <f aca="false">EOMONTH(DG132,0)+1</f>
        <v>49126</v>
      </c>
      <c r="DH133" s="478" t="n">
        <v>19.81</v>
      </c>
      <c r="DI133" s="479" t="n">
        <v>19.8795652173913</v>
      </c>
      <c r="DJ133" s="480" t="n">
        <f aca="false">DG133</f>
        <v>49126</v>
      </c>
      <c r="DK133" s="478" t="n">
        <v>18.6125861887698</v>
      </c>
      <c r="DL133" s="479" t="n">
        <v>18.6126652173913</v>
      </c>
      <c r="DM133" s="481" t="n">
        <f aca="false">DG133</f>
        <v>49126</v>
      </c>
      <c r="DN133" s="482" t="n">
        <f aca="false">DK133+BrentPhyBrentSpread</f>
        <v>18.6625861887698</v>
      </c>
      <c r="DO133" s="481" t="n">
        <f aca="false">DG133</f>
        <v>49126</v>
      </c>
      <c r="DP133" s="483" t="n">
        <f aca="false">DL133+DQ133</f>
        <v>18.6126652173913</v>
      </c>
      <c r="DQ133" s="546" t="n">
        <v>0</v>
      </c>
      <c r="DR133" s="480" t="n">
        <f aca="false">DG133</f>
        <v>49126</v>
      </c>
      <c r="DS133" s="485" t="n">
        <v>0.156799999999999</v>
      </c>
      <c r="DT133" s="486" t="n">
        <v>0.155965217391303</v>
      </c>
      <c r="DU133" s="480" t="n">
        <f aca="false">DG133</f>
        <v>49126</v>
      </c>
      <c r="DV133" s="485" t="n">
        <v>0.156799999999999</v>
      </c>
      <c r="DW133" s="486" t="n">
        <v>0.155965217391303</v>
      </c>
      <c r="DX133" s="481" t="n">
        <f aca="false">DG133</f>
        <v>49126</v>
      </c>
      <c r="DY133" s="486" t="n">
        <v>0.35</v>
      </c>
      <c r="DZ133" s="481" t="n">
        <f aca="false">DR133</f>
        <v>49126</v>
      </c>
      <c r="EA133" s="486" t="n">
        <f aca="false">DT133</f>
        <v>0.155965217391303</v>
      </c>
      <c r="EB133" s="195"/>
      <c r="EC133" s="547" t="str">
        <f aca="false">IF(BD133,IF(Underlying=1,AS133,AU133),"")</f>
        <v/>
      </c>
      <c r="ED133" s="548" t="str">
        <f aca="false">IF($BD133,$EC133+IF(VolSkewFlag=1,IF(BS133&gt;0,$BA133*MIN(BS133/10%,1)+($BB133-$BA133)*MAX(0,MIN(BS133/10%-1,1))+($BC133-$BB133)*MAX(0,BS133/10%-2),$AZ133*MIN(-BS133/10%,1)+($AY133-$AZ133)*MAX(0,MIN(-BS133/10%-1,1))+($AX133-$AY133)*MAX(0,-BS133/10%-2)),0),"")</f>
        <v/>
      </c>
      <c r="EE133" s="549" t="str">
        <f aca="false">IF($BD133,$EC133+IF(VolSkewFlag=1,IF(BT133&gt;0,$BA133*MIN(BT133/10%,1)+($BB133-$BA133)*MAX(0,MIN(BT133/10%-1,1))+($BC133-$BB133)*MAX(0,BT133/10%-2),$AZ133*MIN(-BT133/10%,1)+($AY133-$AZ133)*MAX(0,MIN(-BT133/10%-1,1))+($AX133-$AY133)*MAX(0,-BT133/10%-2)),0),"")</f>
        <v/>
      </c>
      <c r="EF133" s="550" t="n">
        <f aca="false">IF(BD133,xASN(BR133,Strike1,AO133,ED133,0,BO133,0,BI133,BL133,IF(OptControl=4,0,1),0),0)</f>
        <v>0</v>
      </c>
      <c r="EG133" s="551" t="n">
        <f aca="false">IF(BD133,xASN(BR133,Strike2,AO133,EE133,0,BO133,0,BI133,BL133,IF(OptControl=3,1,0),0),0)</f>
        <v>0</v>
      </c>
      <c r="EL133" s="1"/>
      <c r="EM133" s="195"/>
      <c r="EN133" s="240"/>
      <c r="EO133" s="240"/>
      <c r="EP133" s="195"/>
      <c r="EQ133" s="407" t="s">
        <v>360</v>
      </c>
      <c r="ES133" s="130"/>
      <c r="ET133" s="19"/>
      <c r="EU133" s="672"/>
      <c r="EV133" s="478"/>
      <c r="EW133" s="131"/>
      <c r="EX133" s="131"/>
      <c r="EY133" s="129"/>
      <c r="EZ133" s="129"/>
      <c r="FA133" s="129"/>
      <c r="FB133" s="129"/>
      <c r="FC133" s="129"/>
      <c r="FD133" s="129"/>
      <c r="FE133" s="129"/>
      <c r="FF133" s="129"/>
      <c r="FG133" s="129"/>
      <c r="FH133" s="129"/>
      <c r="FI133" s="129"/>
      <c r="FJ133" s="571" t="n">
        <v>39</v>
      </c>
      <c r="FK133" s="150" t="e">
        <f aca="false">IF($FJ58&lt;FK$94,"",SQRT(FK58/FK$15))</f>
        <v>#DIV/0!</v>
      </c>
      <c r="FL133" s="150" t="n">
        <f aca="false">IF($FJ58&lt;FL$94,"",SQRT(FL58/FL$15))</f>
        <v>-0</v>
      </c>
      <c r="FM133" s="150" t="n">
        <f aca="false">IF($FJ58&lt;FM$94,"",SQRT(FM58/FM$15))</f>
        <v>0.170966298451687</v>
      </c>
      <c r="FN133" s="150" t="n">
        <f aca="false">IF($FJ58&lt;FN$94,"",SQRT(FN58/FN$15))</f>
        <v>0.167756842953847</v>
      </c>
      <c r="FO133" s="150" t="n">
        <f aca="false">IF($FJ58&lt;FO$94,"",SQRT(FO58/FO$15))</f>
        <v>0.165380182458392</v>
      </c>
      <c r="FP133" s="150" t="n">
        <f aca="false">IF($FJ58&lt;FP$94,"",SQRT(FP58/FP$15))</f>
        <v>0.163633475231911</v>
      </c>
      <c r="FQ133" s="150" t="n">
        <f aca="false">IF($FJ58&lt;FQ$94,"",SQRT(FQ58/FQ$15))</f>
        <v>0.162365489776425</v>
      </c>
      <c r="FR133" s="150" t="n">
        <f aca="false">IF($FJ58&lt;FR$94,"",SQRT(FR58/FR$15))</f>
        <v>0.161463861635275</v>
      </c>
      <c r="FS133" s="150" t="n">
        <f aca="false">IF($FJ58&lt;FS$94,"",SQRT(FS58/FS$15))</f>
        <v>0.160845564308931</v>
      </c>
      <c r="FT133" s="150" t="n">
        <f aca="false">IF($FJ58&lt;FT$94,"",SQRT(FT58/FT$15))</f>
        <v>0.160449796186613</v>
      </c>
      <c r="FU133" s="150" t="n">
        <f aca="false">IF($FJ58&lt;FU$94,"",SQRT(FU58/FU$15))</f>
        <v>0.160232686064446</v>
      </c>
      <c r="FV133" s="150" t="n">
        <f aca="false">IF($FJ58&lt;FV$94,"",SQRT(FV58/FV$15))</f>
        <v>0.160163370599675</v>
      </c>
      <c r="FW133" s="150" t="n">
        <f aca="false">IF($FJ58&lt;FW$94,"",SQRT(FW58/FW$15))</f>
        <v>0.160221110496002</v>
      </c>
      <c r="FX133" s="150" t="n">
        <f aca="false">IF($FJ58&lt;FX$94,"",SQRT(FX58/FX$15))</f>
        <v>0.160393197769482</v>
      </c>
      <c r="FY133" s="150" t="n">
        <f aca="false">IF($FJ58&lt;FY$94,"",SQRT(FY58/FY$15))</f>
        <v>0.160673471227247</v>
      </c>
      <c r="FZ133" s="150" t="n">
        <f aca="false">IF($FJ58&lt;FZ$94,"",SQRT(FZ58/FZ$15))</f>
        <v>0.161061306695553</v>
      </c>
      <c r="GA133" s="150" t="n">
        <f aca="false">IF($FJ58&lt;GA$94,"",SQRT(GA58/GA$15))</f>
        <v>0.161560986678547</v>
      </c>
      <c r="GB133" s="150" t="n">
        <f aca="false">IF($FJ58&lt;GB$94,"",SQRT(GB58/GB$15))</f>
        <v>0.16218138421034</v>
      </c>
      <c r="GC133" s="150" t="n">
        <f aca="false">IF($FJ58&lt;GC$94,"",SQRT(GC58/GC$15))</f>
        <v>0.162935920228986</v>
      </c>
      <c r="GD133" s="150" t="n">
        <f aca="false">IF($FJ58&lt;GD$94,"",SQRT(GD58/GD$15))</f>
        <v>0.163842774983223</v>
      </c>
      <c r="GE133" s="150" t="n">
        <f aca="false">IF($FJ58&lt;GE$94,"",SQRT(GE58/GE$15))</f>
        <v>0.164925353701538</v>
      </c>
      <c r="GF133" s="150" t="n">
        <f aca="false">IF($FJ58&lt;GF$94,"",SQRT(GF58/GF$15))</f>
        <v>0.166213026924764</v>
      </c>
      <c r="GG133" s="150" t="n">
        <f aca="false">IF($FJ58&lt;GG$94,"",SQRT(GG58/GG$15))</f>
        <v>0.167742188679168</v>
      </c>
      <c r="GH133" s="150" t="n">
        <f aca="false">IF($FJ58&lt;GH$94,"",SQRT(GH58/GH$15))</f>
        <v>0.169557703744263</v>
      </c>
      <c r="GI133" s="150" t="n">
        <f aca="false">IF($FJ58&lt;GI$94,"",SQRT(GI58/GI$15))</f>
        <v>0.171714852342165</v>
      </c>
      <c r="GJ133" s="150" t="n">
        <f aca="false">IF($FJ58&lt;GJ$94,"",SQRT(GJ58/GJ$15))</f>
        <v>0.174281932027556</v>
      </c>
      <c r="GK133" s="150" t="n">
        <f aca="false">IF($FJ58&lt;GK$94,"",SQRT(GK58/GK$15))</f>
        <v>0.177343750587216</v>
      </c>
      <c r="GL133" s="150" t="n">
        <f aca="false">IF($FJ58&lt;GL$94,"",SQRT(GL58/GL$15))</f>
        <v>0.181006353252745</v>
      </c>
      <c r="GM133" s="150" t="n">
        <f aca="false">IF($FJ58&lt;GM$94,"",SQRT(GM58/GM$15))</f>
        <v>0.185403493285099</v>
      </c>
      <c r="GN133" s="150" t="n">
        <f aca="false">IF($FJ58&lt;GN$94,"",SQRT(GN58/GN$15))</f>
        <v>0.190705611376084</v>
      </c>
      <c r="GO133" s="150" t="n">
        <f aca="false">IF($FJ58&lt;GO$94,"",SQRT(GO58/GO$15))</f>
        <v>0.197132494506174</v>
      </c>
      <c r="GP133" s="150" t="n">
        <f aca="false">IF($FJ58&lt;GP$94,"",SQRT(GP58/GP$15))</f>
        <v>0.204971439844065</v>
      </c>
      <c r="GQ133" s="150" t="n">
        <f aca="false">IF($FJ58&lt;GQ$94,"",SQRT(GQ58/GQ$15))</f>
        <v>0.21460383385404</v>
      </c>
      <c r="GR133" s="150" t="n">
        <f aca="false">IF($FJ58&lt;GR$94,"",SQRT(GR58/GR$15))</f>
        <v>0.226544900991248</v>
      </c>
      <c r="GS133" s="150" t="n">
        <f aca="false">IF($FJ58&lt;GS$94,"",SQRT(GS58/GS$15))</f>
        <v>0.241504605285578</v>
      </c>
      <c r="GT133" s="150" t="n">
        <f aca="false">IF($FJ58&lt;GT$94,"",SQRT(GT58/GT$15))</f>
        <v>0.260483528559638</v>
      </c>
      <c r="GU133" s="150" t="n">
        <f aca="false">IF($FJ58&lt;GU$94,"",SQRT(GU58/GU$15))</f>
        <v>0.284928506542815</v>
      </c>
      <c r="GV133" s="150" t="n">
        <f aca="false">IF($FJ58&lt;GV$94,"",SQRT(GV58/GV$15))</f>
        <v>0.316994230836182</v>
      </c>
      <c r="GW133" s="150" t="n">
        <f aca="false">IF($FJ58&lt;GW$94,"",SQRT(GW58/GW$15))</f>
        <v>0.36000095351326</v>
      </c>
      <c r="GX133" s="150" t="str">
        <f aca="false">IF($FJ58&lt;GX$94,"",SQRT(GX58/GX$15))</f>
        <v/>
      </c>
      <c r="GY133" s="150" t="str">
        <f aca="false">IF($FJ58&lt;GY$94,"",SQRT(GY58/GY$15))</f>
        <v/>
      </c>
      <c r="GZ133" s="150" t="str">
        <f aca="false">IF($FJ58&lt;GZ$94,"",SQRT(GZ58/GZ$15))</f>
        <v/>
      </c>
      <c r="HA133" s="150" t="str">
        <f aca="false">IF($FJ58&lt;HA$94,"",SQRT(HA58/HA$15))</f>
        <v/>
      </c>
      <c r="HB133" s="150" t="str">
        <f aca="false">IF($FJ58&lt;HB$94,"",SQRT(HB58/HB$15))</f>
        <v/>
      </c>
      <c r="HC133" s="150" t="str">
        <f aca="false">IF($FJ58&lt;HC$94,"",SQRT(HC58/HC$15))</f>
        <v/>
      </c>
      <c r="HD133" s="150" t="str">
        <f aca="false">IF($FJ58&lt;HD$94,"",SQRT(HD58/HD$15))</f>
        <v/>
      </c>
      <c r="HE133" s="150" t="str">
        <f aca="false">IF($FJ58&lt;HE$94,"",SQRT(HE58/HE$15))</f>
        <v/>
      </c>
      <c r="HF133" s="150" t="str">
        <f aca="false">IF($FJ58&lt;HF$94,"",SQRT(HF58/HF$15))</f>
        <v/>
      </c>
      <c r="HG133" s="150" t="str">
        <f aca="false">IF($FJ58&lt;HG$94,"",SQRT(HG58/HG$15))</f>
        <v/>
      </c>
      <c r="HH133" s="150" t="str">
        <f aca="false">IF($FJ58&lt;HH$94,"",SQRT(HH58/HH$15))</f>
        <v/>
      </c>
      <c r="HI133" s="150" t="str">
        <f aca="false">IF($FJ58&lt;HI$94,"",SQRT(HI58/HI$15))</f>
        <v/>
      </c>
      <c r="HJ133" s="150" t="str">
        <f aca="false">IF($FJ58&lt;HJ$94,"",SQRT(HJ58/HJ$15))</f>
        <v/>
      </c>
      <c r="HK133" s="150" t="str">
        <f aca="false">IF($FJ58&lt;HK$94,"",SQRT(HK58/HK$15))</f>
        <v/>
      </c>
      <c r="HL133" s="150" t="str">
        <f aca="false">IF($FJ58&lt;HL$94,"",SQRT(HL58/HL$15))</f>
        <v/>
      </c>
      <c r="HM133" s="150" t="str">
        <f aca="false">IF($FJ58&lt;HM$94,"",SQRT(HM58/HM$15))</f>
        <v/>
      </c>
      <c r="HN133" s="150" t="str">
        <f aca="false">IF($FJ58&lt;HN$94,"",SQRT(HN58/HN$15))</f>
        <v/>
      </c>
      <c r="HO133" s="150" t="str">
        <f aca="false">IF($FJ58&lt;HO$94,"",SQRT(HO58/HO$15))</f>
        <v/>
      </c>
      <c r="HP133" s="150" t="str">
        <f aca="false">IF($FJ58&lt;HP$94,"",SQRT(HP58/HP$15))</f>
        <v/>
      </c>
      <c r="HQ133" s="150" t="str">
        <f aca="false">IF($FJ58&lt;HQ$94,"",SQRT(HQ58/HQ$15))</f>
        <v/>
      </c>
      <c r="HR133" s="150" t="str">
        <f aca="false">IF($FJ58&lt;HR$94,"",SQRT(HR58/HR$15))</f>
        <v/>
      </c>
      <c r="HS133" s="150" t="str">
        <f aca="false">IF($FJ58&lt;HS$94,"",SQRT(HS58/HS$15))</f>
        <v/>
      </c>
      <c r="HT133" s="150" t="str">
        <f aca="false">IF($FJ58&lt;HT$94,"",SQRT(HT58/HT$15))</f>
        <v/>
      </c>
      <c r="HU133" s="150" t="str">
        <f aca="false">IF($FJ58&lt;HU$94,"",SQRT(HU58/HU$15))</f>
        <v/>
      </c>
      <c r="HV133" s="150" t="str">
        <f aca="false">IF($FJ58&lt;HV$94,"",SQRT(HV58/HV$15))</f>
        <v/>
      </c>
      <c r="HW133" s="150" t="str">
        <f aca="false">IF($FJ58&lt;HW$94,"",SQRT(HW58/HW$15))</f>
        <v/>
      </c>
      <c r="HX133" s="150" t="str">
        <f aca="false">IF($FJ58&lt;HX$94,"",SQRT(HX58/HX$15))</f>
        <v/>
      </c>
      <c r="HY133" s="150" t="str">
        <f aca="false">IF($FJ58&lt;HY$94,"",SQRT(HY58/HY$15))</f>
        <v/>
      </c>
      <c r="HZ133" s="150" t="str">
        <f aca="false">IF($FJ58&lt;HZ$94,"",SQRT(HZ58/HZ$15))</f>
        <v/>
      </c>
      <c r="IA133" s="150" t="str">
        <f aca="false">IF($FJ58&lt;IA$94,"",SQRT(IA58/IA$15))</f>
        <v/>
      </c>
      <c r="IB133" s="150" t="str">
        <f aca="false">IF($FJ58&lt;IB$94,"",SQRT(IB58/IB$15))</f>
        <v/>
      </c>
      <c r="IC133" s="150" t="str">
        <f aca="false">IF($FJ58&lt;IC$94,"",SQRT(IC58/IC$15))</f>
        <v/>
      </c>
      <c r="ID133" s="572" t="str">
        <f aca="false">IF($FJ58&lt;ID$94,"",SQRT(ID58/ID$15))</f>
        <v/>
      </c>
      <c r="IE133" s="129"/>
    </row>
    <row r="134" customFormat="false" ht="12.75" hidden="false" customHeight="false" outlineLevel="0" collapsed="false">
      <c r="H134" s="219" t="n">
        <f aca="false">VLOOKUP(I134,$EJ$20:$EL$54,3)</f>
        <v>0</v>
      </c>
      <c r="I134" s="511" t="n">
        <f aca="false">EOMONTH(I133,0)+1</f>
        <v>40238</v>
      </c>
      <c r="J134" s="512"/>
      <c r="K134" s="513" t="s">
        <v>280</v>
      </c>
      <c r="L134" s="514" t="n">
        <f aca="false">IF(ISNUMBER(K134),J134+K134/100,IF(K134="extra",L133+VLOOKUP(BF134,PriceSpreadTable,2)/12,IF(K134="inter",interpolateprices($K$19:$L$200,ROW(K134)-ROW(FirstPricingMonth)+1),interpolatechanges($J$19:$K$200,ROW(K134)-ROW(FirstPricingMonth)+1))))</f>
        <v>1.425</v>
      </c>
      <c r="M134" s="515"/>
      <c r="N134" s="516" t="n">
        <v>0</v>
      </c>
      <c r="O134" s="515" t="n">
        <f aca="false">M134+N134</f>
        <v>0</v>
      </c>
      <c r="P134" s="512"/>
      <c r="Q134" s="513" t="s">
        <v>280</v>
      </c>
      <c r="R134" s="512" t="e">
        <f aca="false">IF(ISNUMBER(Q134),P134+Q134/100,IF(Q134="extra",(Z132*AL132-R133*AM132)/AN132,IF(Q134="inter",interpolateprices($Q$19:$R$260,ROW(Q134)-ROW(FirstPricingMonth)+1),interpolatechanges($P$19:$Q$260,ROW(Q134)-ROW(FirstPricingMonth)+1))))</f>
        <v>#VALUE!</v>
      </c>
      <c r="S134" s="597" t="n">
        <f aca="false">S$19+(S133-S$19)*S$18</f>
        <v>0.36</v>
      </c>
      <c r="T134" s="575" t="n">
        <f aca="false">SQRT((1-(1-T133^2/U133)*T$18)*U134)</f>
        <v>0.999999998029282</v>
      </c>
      <c r="U134" s="576" t="n">
        <f aca="false">1-(1-U133)*U$18</f>
        <v>1</v>
      </c>
      <c r="V134" s="521" t="n">
        <v>0</v>
      </c>
      <c r="W134" s="577" t="n">
        <f aca="false">(J135*AJ134+J136*AK134)/AI134</f>
        <v>0</v>
      </c>
      <c r="X134" s="578" t="n">
        <f aca="false">(L135*AJ134+L136*AK134)/AI134</f>
        <v>1.47554347826087</v>
      </c>
      <c r="Y134" s="579" t="n">
        <f aca="false">IF(Q136="extra",W134-AA134,(P135*AM134+P136*AN134)/AL134)</f>
        <v>-1.1685</v>
      </c>
      <c r="Z134" s="579" t="n">
        <f aca="false">IF(Q136="extra",X134-AB134,(R135*AM134+R136*AN134)/AL134)</f>
        <v>0.30704347826087</v>
      </c>
      <c r="AA134" s="523" t="n">
        <f aca="false">IF(Q136="extra",INDEX(BrentSeasonalityTable,INT((BG134-1)/3)+1)*VLOOKUP(MAX(BF134,$AB$4),PriceSpreadTable,3),W134-Y134)</f>
        <v>1.1685</v>
      </c>
      <c r="AB134" s="524" t="n">
        <f aca="false">IF(Q136="extra",INDEX(BrentSeasonalityTable,INT((BG134-1)/3)+1)*VLOOKUP(MAX(BF134,$AB$4),PriceSpreadTable,3),X134-Z134)</f>
        <v>1.1685</v>
      </c>
      <c r="AC134" s="646" t="n">
        <v>40229</v>
      </c>
      <c r="AD134" s="646" t="n">
        <v>40225</v>
      </c>
      <c r="AE134" s="646" t="n">
        <v>40224</v>
      </c>
      <c r="AF134" s="646" t="n">
        <v>40220</v>
      </c>
      <c r="AG134" s="438" t="s">
        <v>278</v>
      </c>
      <c r="AH134" s="439" t="s">
        <v>278</v>
      </c>
      <c r="AI134" s="528" t="n">
        <v>23</v>
      </c>
      <c r="AJ134" s="529" t="n">
        <v>15</v>
      </c>
      <c r="AK134" s="529" t="n">
        <v>8</v>
      </c>
      <c r="AL134" s="530" t="n">
        <v>23</v>
      </c>
      <c r="AM134" s="529" t="n">
        <v>10</v>
      </c>
      <c r="AN134" s="531" t="n">
        <v>13</v>
      </c>
      <c r="AO134" s="532"/>
      <c r="AP134" s="465" t="n">
        <f aca="false">(1+AO134/2)^(-2*BL134)</f>
        <v>1</v>
      </c>
      <c r="AQ134" s="532"/>
      <c r="AR134" s="465" t="n">
        <f aca="false">(1+AQ134/2)^(-2*BH134/365.25)</f>
        <v>1</v>
      </c>
      <c r="AS134" s="580" t="n">
        <f aca="false">(O135*AJ134+O136*AK134)/AI134</f>
        <v>0</v>
      </c>
      <c r="AT134" s="468" t="n">
        <f aca="false">O134*VLOOKUP(BF134,BrentVolTable,2)+VLOOKUP(BF134,BrentVolTable,3)</f>
        <v>0</v>
      </c>
      <c r="AU134" s="468" t="n">
        <f aca="false">(AT135*AM134+AT136*AN134)/AL134</f>
        <v>0</v>
      </c>
      <c r="AV134" s="595" t="n">
        <f aca="false">SQRT(MAX(0.000000000001,(O134^2*BH134-S134^2*(BH134-BH133))/BH133))</f>
        <v>0.0264769614711624</v>
      </c>
      <c r="AW134" s="451" t="n">
        <f aca="false">IF($I134-DateToday+15&gt;=$T$8,"",IF($I134-DateToday+15&lt;$T$5,1,MATCH($I134-DateToday+15,$T$5:$T$8)))</f>
        <v>1</v>
      </c>
      <c r="AX134" s="468" t="n">
        <f aca="false">IF($AW134="",AX133^2/AX132,INDEX(U$5:U$8,$AW134)^((INDEX($T$5:$T$8,$AW134+1)-($I134-DateToday+15))/(INDEX($T$5:$T$8,$AW134+1)-INDEX($T$5:$T$8,$AW134)))/INDEX(U$5:U$8,$AW134+1)^((INDEX($T$5:$T$8,$AW134)-($I134-DateToday+15))/(INDEX($T$5:$T$8,$AW134+1)-INDEX($T$5:$T$8,$AW134))))</f>
        <v>1.09832226284379</v>
      </c>
      <c r="AY134" s="468" t="n">
        <f aca="false">IF($AW134="",AY133^2/AY132,INDEX(V$5:V$8,$AW134)^((INDEX($T$5:$T$8,$AW134+1)-($I134-DateToday+15))/(INDEX($T$5:$T$8,$AW134+1)-INDEX($T$5:$T$8,$AW134)))/INDEX(V$5:V$8,$AW134+1)^((INDEX($T$5:$T$8,$AW134)-($I134-DateToday+15))/(INDEX($T$5:$T$8,$AW134+1)-INDEX($T$5:$T$8,$AW134))))</f>
        <v>42.917604030582</v>
      </c>
      <c r="AZ134" s="468" t="n">
        <f aca="false">IF($AW134="",AZ133^2/AZ132,INDEX(W$5:W$8,$AW134)^((INDEX($T$5:$T$8,$AW134+1)-($I134-DateToday+15))/(INDEX($T$5:$T$8,$AW134+1)-INDEX($T$5:$T$8,$AW134)))/INDEX(W$5:W$8,$AW134+1)^((INDEX($T$5:$T$8,$AW134)-($I134-DateToday+15))/(INDEX($T$5:$T$8,$AW134+1)-INDEX($T$5:$T$8,$AW134))))</f>
        <v>59452.6086613654</v>
      </c>
      <c r="BA134" s="468" t="n">
        <f aca="false">IF($AW134="",BA133^2/BA132,INDEX(X$5:X$8,$AW134)^((INDEX($T$5:$T$8,$AW134+1)-($I134-DateToday+15))/(INDEX($T$5:$T$8,$AW134+1)-INDEX($T$5:$T$8,$AW134)))/INDEX(X$5:X$8,$AW134+1)^((INDEX($T$5:$T$8,$AW134)-($I134-DateToday+15))/(INDEX($T$5:$T$8,$AW134+1)-INDEX($T$5:$T$8,$AW134))))</f>
        <v>680188.788301218</v>
      </c>
      <c r="BB134" s="468" t="n">
        <f aca="false">IF($AW134="",BB133^2/BB132,INDEX(Y$5:Y$8,$AW134)^((INDEX($T$5:$T$8,$AW134+1)-($I134-DateToday+15))/(INDEX($T$5:$T$8,$AW134+1)-INDEX($T$5:$T$8,$AW134)))/INDEX(Y$5:Y$8,$AW134+1)^((INDEX($T$5:$T$8,$AW134)-($I134-DateToday+15))/(INDEX($T$5:$T$8,$AW134+1)-INDEX($T$5:$T$8,$AW134))))</f>
        <v>6086598.51071579</v>
      </c>
      <c r="BC134" s="468" t="n">
        <f aca="false">IF($AW134="",BC133^2/BC132,INDEX(Z$5:Z$8,$AW134)^((INDEX($T$5:$T$8,$AW134+1)-($I134-DateToday+15))/(INDEX($T$5:$T$8,$AW134+1)-INDEX($T$5:$T$8,$AW134)))/INDEX(Z$5:Z$8,$AW134+1)^((INDEX($T$5:$T$8,$AW134)-($I134-DateToday+15))/(INDEX($T$5:$T$8,$AW134+1)-INDEX($T$5:$T$8,$AW134))))</f>
        <v>22838793.5002021</v>
      </c>
      <c r="BD134" s="535" t="n">
        <f aca="false">IF(OR(DateStart&gt;=I135,DateEnd&lt;I134),0,IF(VolumeOverrideFlag,V134,Volume))</f>
        <v>0</v>
      </c>
      <c r="BE134" s="536" t="n">
        <f aca="false">IF(OR(DateStart2&gt;=I135,DateEnd2&lt;I134),0,IF(VolumeOverrideFlag,V134,VolumeSwaption))</f>
        <v>0</v>
      </c>
      <c r="BF134" s="537" t="n">
        <f aca="false">YEAR(I134)</f>
        <v>2010</v>
      </c>
      <c r="BG134" s="538" t="n">
        <f aca="false">MONTH(I134)</f>
        <v>3</v>
      </c>
      <c r="BH134" s="539" t="n">
        <f aca="false">AD134-DateToday+1</f>
        <v>-5700</v>
      </c>
      <c r="BI134" s="540" t="n">
        <f aca="false">(I134-DateToday+1)/365.25</f>
        <v>-15.5701574264203</v>
      </c>
      <c r="BJ134" s="541" t="n">
        <f aca="false">BI134+(BL134-BI134)*CHOOSE(Underlying,AJ134/AI134,AM134/AL134)</f>
        <v>-15.5165907805851</v>
      </c>
      <c r="BK134" s="541" t="n">
        <f aca="false">BJ134+1/365.25</f>
        <v>-15.5138529297979</v>
      </c>
      <c r="BL134" s="541" t="n">
        <f aca="false">(I135-DateToday)/365.25</f>
        <v>-15.4880219028063</v>
      </c>
      <c r="BM134" s="542" t="e">
        <f aca="false">MAX(BI134-(BJ134-BI134)*(S135^2/O135^2-1),0)</f>
        <v>#DIV/0!</v>
      </c>
      <c r="BN134" s="541" t="e">
        <f aca="false">MAX(BL134+(BL134-BK134)*(S136^2/O136^2-1),0)</f>
        <v>#DIV/0!</v>
      </c>
      <c r="BO134" s="530" t="n">
        <f aca="false">CHOOSE(Underlying,AI134,AL134)</f>
        <v>23</v>
      </c>
      <c r="BP134" s="529" t="n">
        <f aca="false">CHOOSE(Underlying,AJ134,AM134)</f>
        <v>15</v>
      </c>
      <c r="BQ134" s="529" t="n">
        <f aca="false">CHOOSE(Underlying,AK134,AN134)</f>
        <v>8</v>
      </c>
      <c r="BR134" s="463" t="str">
        <f aca="false">IF(BD134,IF(Underlying=1,X134,Z134)+UnderlyingPriceAsian-SwapPriceCurve,"")</f>
        <v/>
      </c>
      <c r="BS134" s="463" t="str">
        <f aca="false">IF(BD134,Strike1/BR134-1,"")</f>
        <v/>
      </c>
      <c r="BT134" s="464" t="str">
        <f aca="false">IF(BD134,Strike2/BR134-1,"")</f>
        <v/>
      </c>
      <c r="BU134" s="465" t="str">
        <f aca="false">IF(BD134,IF(Underlying=1,L135,R135)+UnderlyingPriceAsian-SwapPriceCurve,"")</f>
        <v/>
      </c>
      <c r="BV134" s="465" t="str">
        <f aca="false">IF(BD134,IF(Underlying=1,L136,R136)+UnderlyingPriceAsian-SwapPriceCurve,"")</f>
        <v/>
      </c>
      <c r="BW134" s="466" t="str">
        <f aca="false">IF(BD134,IF(Underlying=1,O135,AT135),"")</f>
        <v/>
      </c>
      <c r="BX134" s="467" t="str">
        <f aca="false">IF(BD134,IF(Underlying=1,O136,AT136),"")</f>
        <v/>
      </c>
      <c r="BY134" s="466" t="str">
        <f aca="false">IF(BD134,IF(BS134&gt;0,IF(BS134&gt;0.2,BC134-BB134,IF(BS134&gt;0.1,BB134-BA134,BA134)),IF(BS134&lt;-0.2,AX134-AY134,IF(BS134&lt;-0.1,AY134-AZ134,AZ134))),"")</f>
        <v/>
      </c>
      <c r="BZ134" s="467" t="str">
        <f aca="false">IF(BD134,IF(BT134&gt;0,IF(BT134&gt;0.2,BC134-BB134,IF(BT134&gt;0.1,BB134-BA134,BA134)),IF(BT134&lt;-0.2,AX134-AY134,IF(BT134&lt;-0.1,AY134-AZ134,AZ134))),"")</f>
        <v/>
      </c>
      <c r="CA134" s="468" t="str">
        <f aca="false">IF($BD134,$BW134+IF(VolSkewFlag=1,IF(BS134&gt;0,$BA134*MIN(BS134/10%,1)+($BB134-$BA134)*MAX(0,MIN(BS134/10%-1,1))+($BC134-$BB134)*MAX(0,BS134/10%-2),$AZ134*MIN(-BS134/10%,1)+($AY134-$AZ134)*MAX(0,MIN(-BS134/10%-1,1))+($AX134-$AY134)*MAX(0,-BS134/10%-2)),0),"")</f>
        <v/>
      </c>
      <c r="CB134" s="468" t="str">
        <f aca="false">IF($BD134,$BX134+IF(VolSkewFlag=1,IF(BS134&gt;0,$BA134*MIN(BS134/10%,1)+($BB134-$BA134)*MAX(0,MIN(BS134/10%-1,1))+($BC134-$BB134)*MAX(0,BS134/10%-2),$AZ134*MIN(-BS134/10%,1)+($AY134-$AZ134)*MAX(0,MIN(-BS134/10%-1,1))+($AX134-$AY134)*MAX(0,-BS134/10%-2)),0),"")</f>
        <v/>
      </c>
      <c r="CC134" s="468" t="str">
        <f aca="false">IF($BD134,$BW134+IF(VolSkewFlag=1,IF(BT134&gt;0,$BA134*MIN(BT134/10%,1)+($BB134-$BA134)*MAX(0,MIN(BT134/10%-1,1))+($BC134-$BB134)*MAX(0,BT134/10%-2),$AZ134*MIN(-BT134/10%,1)+($AY134-$AZ134)*MAX(0,MIN(-BT134/10%-1,1))+($AX134-$AY134)*MAX(0,-BT134/10%-2)),0),"")</f>
        <v/>
      </c>
      <c r="CD134" s="468" t="str">
        <f aca="false">IF($BD134,$BX134+IF(VolSkewFlag=1,IF(BT134&gt;0,$BA134*MIN(BT134/10%,1)+($BB134-$BA134)*MAX(0,MIN(BT134/10%-1,1))+($BC134-$BB134)*MAX(0,BT134/10%-2),$AZ134*MIN(-BT134/10%,1)+($AY134-$AZ134)*MAX(0,MIN(-BT134/10%-1,1))+($AX134-$AY134)*MAX(0,-BT134/10%-2)),0),"")</f>
        <v/>
      </c>
      <c r="CE134" s="469" t="n">
        <v>1</v>
      </c>
      <c r="CF134" s="470" t="n">
        <f aca="false">IF(BD134,xCrudeAPO(BU134,BV134,CA134,CB134,S135,S136,BI134,BL134,BP134,BQ134,0,Strike1,AO134,CE134,0,BL134,IF(OptControl=4,0,1),0,1),0)</f>
        <v>0</v>
      </c>
      <c r="CG134" s="470" t="n">
        <f aca="false">IF(BD134,xCrudeAPO(BU134,BV134,CA134,CB134,S135,S136,BI134,BL134,BP134,BQ134,0,Strike1,AO134,CE134,0,BL134,IF(OptControl=4,0,1),1,1)+xCrudeAPO(BU134,BV134,CA134,CB134,S135,S136,BI134,BL134,BP134,BQ134,0,Strike1,AO134,CE134,0,BL134,IF(OptControl=4,0,1),1,2)+IF(OR(VolSkewFlag=2,ABS(BS134)&lt;0.0001),0,IF(BS134&gt;0,-1,1)*CH134*Strike1/BR134^2*BY134/10%),0)</f>
        <v>0</v>
      </c>
      <c r="CH134" s="470" t="n">
        <f aca="false">IF(BD134,(xCrudeAPO(BU134,BV134,CA134,CB134,S135,S136,BI134,BL134,BP134,BQ134,0,Strike1,AO134,CE134,0,BL134,IF(OptControl=4,0,1),3,1)+xCrudeAPO(BU134,BV134,CA134,CB134,S135,S136,BI134,BL134,BP134,BQ134,0,Strike1,AO134,CE134,0,BL134,IF(OptControl=4,0,1),3,2))/100,0)</f>
        <v>0</v>
      </c>
      <c r="CI134" s="470" t="n">
        <f aca="false">IF(BD134,xCrudeAPO(BU134,BV134,CA134,CB134,S135,S136,BI134-DaysForThetaCalculation/365.25,BL134-DaysForThetaCalculation/365.25,BP134,BQ134,0,Strike1,AO134,CE134,0,BL134,IF(OptControl=4,0,1),0,1)-xCrudeAPO(BU134,BV134,CA134,CB134,S135,S136,BI134,BL134,BP134,BQ134,0,Strike1,AO134,CE134,0,BL134,IF(OptControl=4,0,1),0,1),0)</f>
        <v>0</v>
      </c>
      <c r="CJ134" s="471" t="n">
        <f aca="false">IF(BD134,xCrudeAPO(BU134,BV134,CC134,CD134,S135,S136,BI134,BL134,BP134,BQ134,0,Strike2,AO134,CE134,0,BL134,IF(OptControl=3,1,0),0,1),0)</f>
        <v>0</v>
      </c>
      <c r="CK134" s="470" t="n">
        <f aca="false">IF(BD134,xCrudeAPO(BU134,BV134,CC134,CD134,S135,S136,BI134,BL134,BP134,BQ134,0,Strike2,AO134,CE134,0,BL134,IF(OptControl=3,1,0),1,1)+xCrudeAPO(BU134,BV134,CC134,CD134,S135,S136,BI134,BL134,BP134,BQ134,0,Strike2,AO134,CE134,0,BL134,IF(OptControl=3,1,0),1,2)+IF(OR(VolSkewFlag=2,ABS(BT134)&lt;0.0001),0,IF(BT134&gt;0,-1,1)*CL134*Strike2/BR134^2*BZ134/10%),0)</f>
        <v>0</v>
      </c>
      <c r="CL134" s="470" t="n">
        <f aca="false">IF(BD134,(xCrudeAPO(BU134,BV134,CC134,CD134,S135,S136,BI134,BL134,BP134,BQ134,0,Strike2,AO134,CE134,0,BL134,IF(OptControl=3,1,0),3,1)+xCrudeAPO(BU134,BV134,CC134,CD134,S135,S136,BI134,BL134,BP134,BQ134,0,Strike2,AO134,CE134,0,BL134,IF(OptControl=3,1,0),3,2))/100,0)</f>
        <v>0</v>
      </c>
      <c r="CM134" s="472" t="n">
        <f aca="false">IF(BD134,xCrudeAPO(BU134,BV134,CC134,CD134,S135,S136,BI134-DaysForThetaCalculation/365.25,BL134-DaysForThetaCalculation/365.25,BP134,BQ134,0,Strike2,AO134,CE134,0,BL134,IF(OptControl=3,1,0),0,1)-xCrudeAPO(BU134,BV134,CC134,CD134,S135,S136,BI134,BL134,BP134,BQ134,0,Strike2,AO134,CE134,0,BL134,IF(OptControl=3,1,0),0,1),0)</f>
        <v>0</v>
      </c>
      <c r="CN134" s="3"/>
      <c r="CO134" s="543" t="str">
        <f aca="false">IF(BD134,CHOOSE(Underlying,AD134,AF134)-DateToday+1,"")</f>
        <v/>
      </c>
      <c r="CP134" s="582" t="str">
        <f aca="false">IF(BD134,CHOOSE(Underlying,L134,R134),"")</f>
        <v/>
      </c>
      <c r="CQ134" s="544" t="str">
        <f aca="false">IF(BD134,Strike1/CP134-1,"")</f>
        <v/>
      </c>
      <c r="CR134" s="544" t="str">
        <f aca="false">IF(BD134,Strike2/CP134-1,"")</f>
        <v/>
      </c>
      <c r="CS134" s="544" t="str">
        <f aca="false">IF(BD134,IF(CQ134&gt;0,IF(CQ134&gt;0.2,BC133-BB133,IF(CQ134&gt;0.1,BB133-BA133,BA133)),IF(CQ134&lt;-0.2,AX133-AY133,IF(CQ134&lt;-0.1,AY133-AZ133,AZ133))),"")</f>
        <v/>
      </c>
      <c r="CT134" s="544" t="str">
        <f aca="false">IF(BD134,IF(CR134&gt;0,IF(CR134&gt;0.2,BC133-BB133,IF(CR134&gt;0.1,BB133-BA133,BA133)),IF(CR134&lt;-0.2,AX133-AY133,IF(CR134&lt;-0.1,AY133-AZ133,AZ133))),"")</f>
        <v/>
      </c>
      <c r="CU134" s="545" t="str">
        <f aca="false">IF(BD134,CHOOSE(Underlying,O134,AT134),"")</f>
        <v/>
      </c>
      <c r="CV134" s="545" t="str">
        <f aca="false">IF(BD134,CU134+IF(VolSkewFlag=1,IF(CQ134&gt;0,BA133*MIN(CQ134/10%,1)+(BB133-BA133)*MAX(0,MIN(CQ134/10%-1,1))+(BC133-BB133)*MAX(0,CQ134/10%-2),AZ133*MIN(-CQ134/10%,1)+(AY133-AZ133)*MAX(0,MIN(-CQ134/10%-1,1))+(AX133-AY133)*MAX(0,-CQ134/10%-2)),0),"")</f>
        <v/>
      </c>
      <c r="CW134" s="545" t="str">
        <f aca="false">IF(BD134,CU134+IF(VolSkewFlag=1,IF(CR134&gt;0,BA133*MIN(CR134/10%,1)+(BB133-BA133)*MAX(0,MIN(CR134/10%-1,1))+(BC133-BB133)*MAX(0,CR134/10%-2),AZ133*MIN(-CR134/10%,1)+(AY133-AZ133)*MAX(0,MIN(-CR134/10%-1,1))+(AX133-AY133)*MAX(0,-CR134/10%-2)),0),"")</f>
        <v/>
      </c>
      <c r="CX134" s="470" t="n">
        <f aca="false">IF(BD134,EURO(CP134,Strike1,AO134,AO134,CV134,CO134,IF(OptControl=4,0,1),0),0)</f>
        <v>0</v>
      </c>
      <c r="CY134" s="470" t="n">
        <f aca="false">IF(BD134,EURO(CP134,Strike1,AO134,AO134,CV134,CO134,IF(OptControl=4,0,1),1)+IF(OR(VolSkewFlag=2,ABS(CQ134)&lt;0.0001),0,IF(CQ134&gt;0,-1,1)*CZ134*100*Strike1/CP134^2*CS134/10%),0)</f>
        <v>0</v>
      </c>
      <c r="CZ134" s="470" t="n">
        <f aca="false">IF(BD134,EURO(CP134,Strike1,AO134,AO134,CV134,CO134,IF(OptControl=4,0,1),3)/100,0)</f>
        <v>0</v>
      </c>
      <c r="DA134" s="470" t="n">
        <f aca="false">IF(BD134,EURO(CP134,Strike1,AO134,AO134,CV134,CO134,IF(OptControl=4,0,1),0)-EURO(CP134,Strike1,AO134,AO134,CV134,CO134-1,IF(OptControl=4,0,1),0),0)</f>
        <v>0</v>
      </c>
      <c r="DB134" s="470" t="n">
        <f aca="false">IF(BD134,EURO(CP134,Strike2,AO134,AO134,CW134,CO134,IF(OptControl=3,1,0),0),0)</f>
        <v>0</v>
      </c>
      <c r="DC134" s="470" t="n">
        <f aca="false">IF(BD134,EURO(CP134,Strike2,AO134,AO134,CW134,CO134,IF(OptControl=3,1,0),1)+IF(OR(VolSkewFlag=2,ABS(CR134)&lt;0.0001),0,IF(CR134&gt;0,-1,1)*DD134*100*Strike2/CP134^2*CT134/10%),0)</f>
        <v>0</v>
      </c>
      <c r="DD134" s="470" t="n">
        <f aca="false">IF(BD134,EURO(CP134,Strike2,AO134,AO134,CW134,CO134,IF(OptControl=3,1,0),3)/100,0)</f>
        <v>0</v>
      </c>
      <c r="DE134" s="472" t="n">
        <f aca="false">IF(BD134,EURO(CP134,Strike2,AO134,AO134,CW134,CO134,IF(OptControl=3,1,0),0)-EURO(CP134,Strike2,AO134,AO134,CW134,CO134-1,IF(OptControl=3,1,0),0),0)</f>
        <v>0</v>
      </c>
      <c r="DG134" s="481" t="n">
        <f aca="false">EOMONTH(DG133,0)+1</f>
        <v>49157</v>
      </c>
      <c r="DH134" s="478" t="n">
        <v>19.86</v>
      </c>
      <c r="DI134" s="479" t="n">
        <v>19.9266666666667</v>
      </c>
      <c r="DJ134" s="480" t="n">
        <f aca="false">DG134</f>
        <v>49157</v>
      </c>
      <c r="DK134" s="478" t="n">
        <v>18.4692615093585</v>
      </c>
      <c r="DL134" s="479" t="n">
        <v>18.6597666666667</v>
      </c>
      <c r="DM134" s="481" t="n">
        <f aca="false">DG134</f>
        <v>49157</v>
      </c>
      <c r="DN134" s="482" t="n">
        <f aca="false">DK134+BrentPhyBrentSpread</f>
        <v>18.5192615093585</v>
      </c>
      <c r="DO134" s="481" t="n">
        <f aca="false">DG134</f>
        <v>49157</v>
      </c>
      <c r="DP134" s="483" t="n">
        <f aca="false">DL134+DQ134</f>
        <v>18.6597666666667</v>
      </c>
      <c r="DQ134" s="546" t="n">
        <v>0</v>
      </c>
      <c r="DR134" s="480" t="n">
        <f aca="false">DG134</f>
        <v>49157</v>
      </c>
      <c r="DS134" s="485" t="n">
        <v>0.156199999999999</v>
      </c>
      <c r="DT134" s="486" t="n">
        <v>0.155399999999999</v>
      </c>
      <c r="DU134" s="480" t="n">
        <f aca="false">DG134</f>
        <v>49157</v>
      </c>
      <c r="DV134" s="485" t="n">
        <v>0.156199999999999</v>
      </c>
      <c r="DW134" s="486" t="n">
        <v>0.155399999999999</v>
      </c>
      <c r="DX134" s="481" t="n">
        <f aca="false">DG134</f>
        <v>49157</v>
      </c>
      <c r="DY134" s="486" t="n">
        <v>0.35</v>
      </c>
      <c r="DZ134" s="481" t="n">
        <f aca="false">DR134</f>
        <v>49157</v>
      </c>
      <c r="EA134" s="486" t="n">
        <f aca="false">DT134</f>
        <v>0.155399999999999</v>
      </c>
      <c r="EB134" s="195"/>
      <c r="EC134" s="547" t="str">
        <f aca="false">IF(BD134,IF(Underlying=1,AS134,AU134),"")</f>
        <v/>
      </c>
      <c r="ED134" s="548" t="str">
        <f aca="false">IF($BD134,$EC134+IF(VolSkewFlag=1,IF(BS134&gt;0,$BA134*MIN(BS134/10%,1)+($BB134-$BA134)*MAX(0,MIN(BS134/10%-1,1))+($BC134-$BB134)*MAX(0,BS134/10%-2),$AZ134*MIN(-BS134/10%,1)+($AY134-$AZ134)*MAX(0,MIN(-BS134/10%-1,1))+($AX134-$AY134)*MAX(0,-BS134/10%-2)),0),"")</f>
        <v/>
      </c>
      <c r="EE134" s="549" t="str">
        <f aca="false">IF($BD134,$EC134+IF(VolSkewFlag=1,IF(BT134&gt;0,$BA134*MIN(BT134/10%,1)+($BB134-$BA134)*MAX(0,MIN(BT134/10%-1,1))+($BC134-$BB134)*MAX(0,BT134/10%-2),$AZ134*MIN(-BT134/10%,1)+($AY134-$AZ134)*MAX(0,MIN(-BT134/10%-1,1))+($AX134-$AY134)*MAX(0,-BT134/10%-2)),0),"")</f>
        <v/>
      </c>
      <c r="EF134" s="550" t="n">
        <f aca="false">IF(BD134,xASN(BR134,Strike1,AO134,ED134,0,BO134,0,BI134,BL134,IF(OptControl=4,0,1),0),0)</f>
        <v>0</v>
      </c>
      <c r="EG134" s="551" t="n">
        <f aca="false">IF(BD134,xASN(BR134,Strike2,AO134,EE134,0,BO134,0,BI134,BL134,IF(OptControl=3,1,0),0),0)</f>
        <v>0</v>
      </c>
      <c r="EL134" s="1"/>
      <c r="EM134" s="195"/>
      <c r="EN134" s="240"/>
      <c r="EO134" s="240"/>
      <c r="EP134" s="195"/>
      <c r="EQ134" s="407" t="s">
        <v>361</v>
      </c>
      <c r="ES134" s="130"/>
      <c r="ET134" s="19"/>
      <c r="EU134" s="672"/>
      <c r="EV134" s="478"/>
      <c r="EW134" s="131"/>
      <c r="EX134" s="131"/>
      <c r="EY134" s="129"/>
      <c r="EZ134" s="129"/>
      <c r="FA134" s="129"/>
      <c r="FB134" s="129"/>
      <c r="FC134" s="129"/>
      <c r="FD134" s="129"/>
      <c r="FE134" s="129"/>
      <c r="FF134" s="129"/>
      <c r="FG134" s="129"/>
      <c r="FH134" s="129"/>
      <c r="FI134" s="129"/>
      <c r="FJ134" s="571" t="n">
        <v>40</v>
      </c>
      <c r="FK134" s="150" t="e">
        <f aca="false">IF($FJ59&lt;FK$94,"",SQRT(FK59/FK$15))</f>
        <v>#DIV/0!</v>
      </c>
      <c r="FL134" s="150" t="n">
        <f aca="false">IF($FJ59&lt;FL$94,"",SQRT(FL59/FL$15))</f>
        <v>-0</v>
      </c>
      <c r="FM134" s="150" t="n">
        <f aca="false">IF($FJ59&lt;FM$94,"",SQRT(FM59/FM$15))</f>
        <v>0.17089802299049</v>
      </c>
      <c r="FN134" s="150" t="n">
        <f aca="false">IF($FJ59&lt;FN$94,"",SQRT(FN59/FN$15))</f>
        <v>0.167678485019924</v>
      </c>
      <c r="FO134" s="150" t="n">
        <f aca="false">IF($FJ59&lt;FO$94,"",SQRT(FO59/FO$15))</f>
        <v>0.165289830557467</v>
      </c>
      <c r="FP134" s="150" t="n">
        <f aca="false">IF($FJ59&lt;FP$94,"",SQRT(FP59/FP$15))</f>
        <v>0.163528911759231</v>
      </c>
      <c r="FQ134" s="150" t="n">
        <f aca="false">IF($FJ59&lt;FQ$94,"",SQRT(FQ59/FQ$15))</f>
        <v>0.16224413440447</v>
      </c>
      <c r="FR134" s="150" t="n">
        <f aca="false">IF($FJ59&lt;FR$94,"",SQRT(FR59/FR$15))</f>
        <v>0.161322704756452</v>
      </c>
      <c r="FS134" s="150" t="n">
        <f aca="false">IF($FJ59&lt;FS$94,"",SQRT(FS59/FS$15))</f>
        <v>0.160681088544992</v>
      </c>
      <c r="FT134" s="150" t="n">
        <f aca="false">IF($FJ59&lt;FT$94,"",SQRT(FT59/FT$15))</f>
        <v>0.160257883546811</v>
      </c>
      <c r="FU134" s="150" t="n">
        <f aca="false">IF($FJ59&lt;FU$94,"",SQRT(FU59/FU$15))</f>
        <v>0.160008507793721</v>
      </c>
      <c r="FV134" s="150" t="n">
        <f aca="false">IF($FJ59&lt;FV$94,"",SQRT(FV59/FV$15))</f>
        <v>0.159901256072861</v>
      </c>
      <c r="FW134" s="150" t="n">
        <f aca="false">IF($FJ59&lt;FW$94,"",SQRT(FW59/FW$15))</f>
        <v>0.159914390639133</v>
      </c>
      <c r="FX134" s="150" t="n">
        <f aca="false">IF($FJ59&lt;FX$94,"",SQRT(FX59/FX$15))</f>
        <v>0.160034017363186</v>
      </c>
      <c r="FY134" s="150" t="n">
        <f aca="false">IF($FJ59&lt;FY$94,"",SQRT(FY59/FY$15))</f>
        <v>0.16025256298595</v>
      </c>
      <c r="FZ134" s="150" t="n">
        <f aca="false">IF($FJ59&lt;FZ$94,"",SQRT(FZ59/FZ$15))</f>
        <v>0.160567718103439</v>
      </c>
      <c r="GA134" s="150" t="n">
        <f aca="false">IF($FJ59&lt;GA$94,"",SQRT(GA59/GA$15))</f>
        <v>0.160981748037177</v>
      </c>
      <c r="GB134" s="150" t="n">
        <f aca="false">IF($FJ59&lt;GB$94,"",SQRT(GB59/GB$15))</f>
        <v>0.161501102985973</v>
      </c>
      <c r="GC134" s="150" t="n">
        <f aca="false">IF($FJ59&lt;GC$94,"",SQRT(GC59/GC$15))</f>
        <v>0.162136282257596</v>
      </c>
      <c r="GD134" s="150" t="n">
        <f aca="false">IF($FJ59&lt;GD$94,"",SQRT(GD59/GD$15))</f>
        <v>0.162901926936096</v>
      </c>
      <c r="GE134" s="150" t="n">
        <f aca="false">IF($FJ59&lt;GE$94,"",SQRT(GE59/GE$15))</f>
        <v>0.163817132766112</v>
      </c>
      <c r="GF134" s="150" t="n">
        <f aca="false">IF($FJ59&lt;GF$94,"",SQRT(GF59/GF$15))</f>
        <v>0.164905991936736</v>
      </c>
      <c r="GG134" s="150" t="n">
        <f aca="false">IF($FJ59&lt;GG$94,"",SQRT(GG59/GG$15))</f>
        <v>0.166198390506024</v>
      </c>
      <c r="GH134" s="150" t="n">
        <f aca="false">IF($FJ59&lt;GH$94,"",SQRT(GH59/GH$15))</f>
        <v>0.167731109398076</v>
      </c>
      <c r="GI134" s="150" t="n">
        <f aca="false">IF($FJ59&lt;GI$94,"",SQRT(GI59/GI$15))</f>
        <v>0.169549303793289</v>
      </c>
      <c r="GJ134" s="150" t="n">
        <f aca="false">IF($FJ59&lt;GJ$94,"",SQRT(GJ59/GJ$15))</f>
        <v>0.171708471913395</v>
      </c>
      <c r="GK134" s="150" t="n">
        <f aca="false">IF($FJ59&lt;GK$94,"",SQRT(GK59/GK$15))</f>
        <v>0.174277074986545</v>
      </c>
      <c r="GL134" s="150" t="n">
        <f aca="false">IF($FJ59&lt;GL$94,"",SQRT(GL59/GL$15))</f>
        <v>0.177340043706077</v>
      </c>
      <c r="GM134" s="150" t="n">
        <f aca="false">IF($FJ59&lt;GM$94,"",SQRT(GM59/GM$15))</f>
        <v>0.181003515615136</v>
      </c>
      <c r="GN134" s="150" t="n">
        <f aca="false">IF($FJ59&lt;GN$94,"",SQRT(GN59/GN$15))</f>
        <v>0.185401313322225</v>
      </c>
      <c r="GO134" s="150" t="n">
        <f aca="false">IF($FJ59&lt;GO$94,"",SQRT(GO59/GO$15))</f>
        <v>0.190703929627671</v>
      </c>
      <c r="GP134" s="150" t="n">
        <f aca="false">IF($FJ59&lt;GP$94,"",SQRT(GP59/GP$15))</f>
        <v>0.197131190676487</v>
      </c>
      <c r="GQ134" s="150" t="n">
        <f aca="false">IF($FJ59&lt;GQ$94,"",SQRT(GQ59/GQ$15))</f>
        <v>0.204970423080124</v>
      </c>
      <c r="GR134" s="150" t="n">
        <f aca="false">IF($FJ59&lt;GR$94,"",SQRT(GR59/GR$15))</f>
        <v>0.214603035440897</v>
      </c>
      <c r="GS134" s="150" t="n">
        <f aca="false">IF($FJ59&lt;GS$94,"",SQRT(GS59/GS$15))</f>
        <v>0.226544268859836</v>
      </c>
      <c r="GT134" s="150" t="n">
        <f aca="false">IF($FJ59&lt;GT$94,"",SQRT(GT59/GT$15))</f>
        <v>0.241504099878904</v>
      </c>
      <c r="GU134" s="150" t="n">
        <f aca="false">IF($FJ59&lt;GU$94,"",SQRT(GU59/GU$15))</f>
        <v>0.260483119715294</v>
      </c>
      <c r="GV134" s="150" t="n">
        <f aca="false">IF($FJ59&lt;GV$94,"",SQRT(GV59/GV$15))</f>
        <v>0.284928171133148</v>
      </c>
      <c r="GW134" s="150" t="n">
        <f aca="false">IF($FJ59&lt;GW$94,"",SQRT(GW59/GW$15))</f>
        <v>0.316993950968465</v>
      </c>
      <c r="GX134" s="150" t="n">
        <f aca="false">IF($FJ59&lt;GX$94,"",SQRT(GX59/GX$15))</f>
        <v>0.360000715134945</v>
      </c>
      <c r="GY134" s="150" t="str">
        <f aca="false">IF($FJ59&lt;GY$94,"",SQRT(GY59/GY$15))</f>
        <v/>
      </c>
      <c r="GZ134" s="150" t="str">
        <f aca="false">IF($FJ59&lt;GZ$94,"",SQRT(GZ59/GZ$15))</f>
        <v/>
      </c>
      <c r="HA134" s="150" t="str">
        <f aca="false">IF($FJ59&lt;HA$94,"",SQRT(HA59/HA$15))</f>
        <v/>
      </c>
      <c r="HB134" s="150" t="str">
        <f aca="false">IF($FJ59&lt;HB$94,"",SQRT(HB59/HB$15))</f>
        <v/>
      </c>
      <c r="HC134" s="150" t="str">
        <f aca="false">IF($FJ59&lt;HC$94,"",SQRT(HC59/HC$15))</f>
        <v/>
      </c>
      <c r="HD134" s="150" t="str">
        <f aca="false">IF($FJ59&lt;HD$94,"",SQRT(HD59/HD$15))</f>
        <v/>
      </c>
      <c r="HE134" s="150" t="str">
        <f aca="false">IF($FJ59&lt;HE$94,"",SQRT(HE59/HE$15))</f>
        <v/>
      </c>
      <c r="HF134" s="150" t="str">
        <f aca="false">IF($FJ59&lt;HF$94,"",SQRT(HF59/HF$15))</f>
        <v/>
      </c>
      <c r="HG134" s="150" t="str">
        <f aca="false">IF($FJ59&lt;HG$94,"",SQRT(HG59/HG$15))</f>
        <v/>
      </c>
      <c r="HH134" s="150" t="str">
        <f aca="false">IF($FJ59&lt;HH$94,"",SQRT(HH59/HH$15))</f>
        <v/>
      </c>
      <c r="HI134" s="150" t="str">
        <f aca="false">IF($FJ59&lt;HI$94,"",SQRT(HI59/HI$15))</f>
        <v/>
      </c>
      <c r="HJ134" s="150" t="str">
        <f aca="false">IF($FJ59&lt;HJ$94,"",SQRT(HJ59/HJ$15))</f>
        <v/>
      </c>
      <c r="HK134" s="150" t="str">
        <f aca="false">IF($FJ59&lt;HK$94,"",SQRT(HK59/HK$15))</f>
        <v/>
      </c>
      <c r="HL134" s="150" t="str">
        <f aca="false">IF($FJ59&lt;HL$94,"",SQRT(HL59/HL$15))</f>
        <v/>
      </c>
      <c r="HM134" s="150" t="str">
        <f aca="false">IF($FJ59&lt;HM$94,"",SQRT(HM59/HM$15))</f>
        <v/>
      </c>
      <c r="HN134" s="150" t="str">
        <f aca="false">IF($FJ59&lt;HN$94,"",SQRT(HN59/HN$15))</f>
        <v/>
      </c>
      <c r="HO134" s="150" t="str">
        <f aca="false">IF($FJ59&lt;HO$94,"",SQRT(HO59/HO$15))</f>
        <v/>
      </c>
      <c r="HP134" s="150" t="str">
        <f aca="false">IF($FJ59&lt;HP$94,"",SQRT(HP59/HP$15))</f>
        <v/>
      </c>
      <c r="HQ134" s="150" t="str">
        <f aca="false">IF($FJ59&lt;HQ$94,"",SQRT(HQ59/HQ$15))</f>
        <v/>
      </c>
      <c r="HR134" s="150" t="str">
        <f aca="false">IF($FJ59&lt;HR$94,"",SQRT(HR59/HR$15))</f>
        <v/>
      </c>
      <c r="HS134" s="150" t="str">
        <f aca="false">IF($FJ59&lt;HS$94,"",SQRT(HS59/HS$15))</f>
        <v/>
      </c>
      <c r="HT134" s="150" t="str">
        <f aca="false">IF($FJ59&lt;HT$94,"",SQRT(HT59/HT$15))</f>
        <v/>
      </c>
      <c r="HU134" s="150" t="str">
        <f aca="false">IF($FJ59&lt;HU$94,"",SQRT(HU59/HU$15))</f>
        <v/>
      </c>
      <c r="HV134" s="150" t="str">
        <f aca="false">IF($FJ59&lt;HV$94,"",SQRT(HV59/HV$15))</f>
        <v/>
      </c>
      <c r="HW134" s="150" t="str">
        <f aca="false">IF($FJ59&lt;HW$94,"",SQRT(HW59/HW$15))</f>
        <v/>
      </c>
      <c r="HX134" s="150" t="str">
        <f aca="false">IF($FJ59&lt;HX$94,"",SQRT(HX59/HX$15))</f>
        <v/>
      </c>
      <c r="HY134" s="150" t="str">
        <f aca="false">IF($FJ59&lt;HY$94,"",SQRT(HY59/HY$15))</f>
        <v/>
      </c>
      <c r="HZ134" s="150" t="str">
        <f aca="false">IF($FJ59&lt;HZ$94,"",SQRT(HZ59/HZ$15))</f>
        <v/>
      </c>
      <c r="IA134" s="150" t="str">
        <f aca="false">IF($FJ59&lt;IA$94,"",SQRT(IA59/IA$15))</f>
        <v/>
      </c>
      <c r="IB134" s="150" t="str">
        <f aca="false">IF($FJ59&lt;IB$94,"",SQRT(IB59/IB$15))</f>
        <v/>
      </c>
      <c r="IC134" s="150" t="str">
        <f aca="false">IF($FJ59&lt;IC$94,"",SQRT(IC59/IC$15))</f>
        <v/>
      </c>
      <c r="ID134" s="572" t="str">
        <f aca="false">IF($FJ59&lt;ID$94,"",SQRT(ID59/ID$15))</f>
        <v/>
      </c>
      <c r="IE134" s="129"/>
    </row>
    <row r="135" customFormat="false" ht="12.75" hidden="false" customHeight="false" outlineLevel="0" collapsed="false">
      <c r="H135" s="219" t="n">
        <f aca="false">VLOOKUP(I135,$EJ$20:$EL$54,3)</f>
        <v>0</v>
      </c>
      <c r="I135" s="511" t="n">
        <f aca="false">EOMONTH(I134,0)+1</f>
        <v>40269</v>
      </c>
      <c r="J135" s="512"/>
      <c r="K135" s="513" t="s">
        <v>280</v>
      </c>
      <c r="L135" s="514" t="n">
        <f aca="false">IF(ISNUMBER(K135),J135+K135/100,IF(K135="extra",L134+VLOOKUP(BF135,PriceSpreadTable,2)/12,IF(K135="inter",interpolateprices($K$19:$L$200,ROW(K135)-ROW(FirstPricingMonth)+1),interpolatechanges($J$19:$K$200,ROW(K135)-ROW(FirstPricingMonth)+1))))</f>
        <v>1.4625</v>
      </c>
      <c r="M135" s="515"/>
      <c r="N135" s="516" t="n">
        <v>0</v>
      </c>
      <c r="O135" s="515" t="n">
        <f aca="false">M135+N135</f>
        <v>0</v>
      </c>
      <c r="P135" s="512"/>
      <c r="Q135" s="513" t="s">
        <v>280</v>
      </c>
      <c r="R135" s="512" t="e">
        <f aca="false">IF(ISNUMBER(Q135),P135+Q135/100,IF(Q135="extra",(Z133*AL133-R134*AM133)/AN133,IF(Q135="inter",interpolateprices($Q$19:$R$260,ROW(Q135)-ROW(FirstPricingMonth)+1),interpolatechanges($P$19:$Q$260,ROW(Q135)-ROW(FirstPricingMonth)+1))))</f>
        <v>#VALUE!</v>
      </c>
      <c r="S135" s="597" t="n">
        <f aca="false">S$19+(S134-S$19)*S$18</f>
        <v>0.36</v>
      </c>
      <c r="T135" s="575" t="n">
        <f aca="false">SQRT((1-(1-T134^2/U134)*T$18)*U135)</f>
        <v>0.999999998315036</v>
      </c>
      <c r="U135" s="576" t="n">
        <f aca="false">1-(1-U134)*U$18</f>
        <v>1</v>
      </c>
      <c r="V135" s="521" t="n">
        <v>0</v>
      </c>
      <c r="W135" s="577" t="n">
        <f aca="false">(J136*AJ135+J137*AK135)/AI135</f>
        <v>0</v>
      </c>
      <c r="X135" s="578" t="n">
        <f aca="false">(L136*AJ135+L137*AK135)/AI135</f>
        <v>1.51363636363636</v>
      </c>
      <c r="Y135" s="579" t="n">
        <f aca="false">IF(Q137="extra",W135-AA135,(P136*AM135+P137*AN135)/AL135)</f>
        <v>-1.2915</v>
      </c>
      <c r="Z135" s="579" t="n">
        <f aca="false">IF(Q137="extra",X135-AB135,(R136*AM135+R137*AN135)/AL135)</f>
        <v>0.222136363636365</v>
      </c>
      <c r="AA135" s="523" t="n">
        <f aca="false">IF(Q137="extra",INDEX(BrentSeasonalityTable,INT((BG135-1)/3)+1)*VLOOKUP(MAX(BF135,$AB$4),PriceSpreadTable,3),W135-Y135)</f>
        <v>1.2915</v>
      </c>
      <c r="AB135" s="524" t="n">
        <f aca="false">IF(Q137="extra",INDEX(BrentSeasonalityTable,INT((BG135-1)/3)+1)*VLOOKUP(MAX(BF135,$AB$4),PriceSpreadTable,3),X135-Z135)</f>
        <v>1.2915</v>
      </c>
      <c r="AC135" s="646" t="n">
        <v>40257</v>
      </c>
      <c r="AD135" s="646" t="n">
        <v>40253</v>
      </c>
      <c r="AE135" s="646" t="n">
        <v>40252</v>
      </c>
      <c r="AF135" s="646" t="n">
        <v>40248</v>
      </c>
      <c r="AG135" s="438" t="s">
        <v>278</v>
      </c>
      <c r="AH135" s="439" t="s">
        <v>278</v>
      </c>
      <c r="AI135" s="528" t="n">
        <v>22</v>
      </c>
      <c r="AJ135" s="529" t="n">
        <v>14</v>
      </c>
      <c r="AK135" s="529" t="n">
        <v>8</v>
      </c>
      <c r="AL135" s="530" t="n">
        <v>22</v>
      </c>
      <c r="AM135" s="529" t="n">
        <v>10</v>
      </c>
      <c r="AN135" s="531" t="n">
        <v>12</v>
      </c>
      <c r="AO135" s="532"/>
      <c r="AP135" s="465" t="n">
        <f aca="false">(1+AO135/2)^(-2*BL135)</f>
        <v>1</v>
      </c>
      <c r="AQ135" s="532"/>
      <c r="AR135" s="465" t="n">
        <f aca="false">(1+AQ135/2)^(-2*BH135/365.25)</f>
        <v>1</v>
      </c>
      <c r="AS135" s="580" t="n">
        <f aca="false">(O136*AJ135+O137*AK135)/AI135</f>
        <v>0</v>
      </c>
      <c r="AT135" s="468" t="n">
        <f aca="false">O135*VLOOKUP(BF135,BrentVolTable,2)+VLOOKUP(BF135,BrentVolTable,3)</f>
        <v>0</v>
      </c>
      <c r="AU135" s="468" t="n">
        <f aca="false">(AT136*AM135+AT137*AN135)/AL135</f>
        <v>0</v>
      </c>
      <c r="AV135" s="595" t="n">
        <f aca="false">SQRT(MAX(0.000000000001,(O135^2*BH135-S135^2*(BH135-BH134))/BH134))</f>
        <v>0.0252315591858166</v>
      </c>
      <c r="AW135" s="451" t="n">
        <f aca="false">IF($I135-DateToday+15&gt;=$T$8,"",IF($I135-DateToday+15&lt;$T$5,1,MATCH($I135-DateToday+15,$T$5:$T$8)))</f>
        <v>1</v>
      </c>
      <c r="AX135" s="468" t="n">
        <f aca="false">IF($AW135="",AX134^2/AX133,INDEX(U$5:U$8,$AW135)^((INDEX($T$5:$T$8,$AW135+1)-($I135-DateToday+15))/(INDEX($T$5:$T$8,$AW135+1)-INDEX($T$5:$T$8,$AW135)))/INDEX(U$5:U$8,$AW135+1)^((INDEX($T$5:$T$8,$AW135)-($I135-DateToday+15))/(INDEX($T$5:$T$8,$AW135+1)-INDEX($T$5:$T$8,$AW135))))</f>
        <v>1.07466533121884</v>
      </c>
      <c r="AY135" s="468" t="n">
        <f aca="false">IF($AW135="",AY134^2/AY133,INDEX(V$5:V$8,$AW135)^((INDEX($T$5:$T$8,$AW135+1)-($I135-DateToday+15))/(INDEX($T$5:$T$8,$AW135+1)-INDEX($T$5:$T$8,$AW135)))/INDEX(V$5:V$8,$AW135+1)^((INDEX($T$5:$T$8,$AW135)-($I135-DateToday+15))/(INDEX($T$5:$T$8,$AW135+1)-INDEX($T$5:$T$8,$AW135))))</f>
        <v>41.1148741190608</v>
      </c>
      <c r="AZ135" s="468" t="n">
        <f aca="false">IF($AW135="",AZ134^2/AZ133,INDEX(W$5:W$8,$AW135)^((INDEX($T$5:$T$8,$AW135+1)-($I135-DateToday+15))/(INDEX($T$5:$T$8,$AW135+1)-INDEX($T$5:$T$8,$AW135)))/INDEX(W$5:W$8,$AW135+1)^((INDEX($T$5:$T$8,$AW135)-($I135-DateToday+15))/(INDEX($T$5:$T$8,$AW135+1)-INDEX($T$5:$T$8,$AW135))))</f>
        <v>54673.7322759125</v>
      </c>
      <c r="BA135" s="468" t="n">
        <f aca="false">IF($AW135="",BA134^2/BA133,INDEX(X$5:X$8,$AW135)^((INDEX($T$5:$T$8,$AW135+1)-($I135-DateToday+15))/(INDEX($T$5:$T$8,$AW135+1)-INDEX($T$5:$T$8,$AW135)))/INDEX(X$5:X$8,$AW135+1)^((INDEX($T$5:$T$8,$AW135)-($I135-DateToday+15))/(INDEX($T$5:$T$8,$AW135+1)-INDEX($T$5:$T$8,$AW135))))</f>
        <v>612041.297971494</v>
      </c>
      <c r="BB135" s="468" t="n">
        <f aca="false">IF($AW135="",BB134^2/BB133,INDEX(Y$5:Y$8,$AW135)^((INDEX($T$5:$T$8,$AW135+1)-($I135-DateToday+15))/(INDEX($T$5:$T$8,$AW135+1)-INDEX($T$5:$T$8,$AW135)))/INDEX(Y$5:Y$8,$AW135+1)^((INDEX($T$5:$T$8,$AW135)-($I135-DateToday+15))/(INDEX($T$5:$T$8,$AW135+1)-INDEX($T$5:$T$8,$AW135))))</f>
        <v>5421841.18256922</v>
      </c>
      <c r="BC135" s="468" t="n">
        <f aca="false">IF($AW135="",BC134^2/BC133,INDEX(Z$5:Z$8,$AW135)^((INDEX($T$5:$T$8,$AW135+1)-($I135-DateToday+15))/(INDEX($T$5:$T$8,$AW135+1)-INDEX($T$5:$T$8,$AW135)))/INDEX(Z$5:Z$8,$AW135+1)^((INDEX($T$5:$T$8,$AW135)-($I135-DateToday+15))/(INDEX($T$5:$T$8,$AW135+1)-INDEX($T$5:$T$8,$AW135))))</f>
        <v>20226318.4241058</v>
      </c>
      <c r="BD135" s="535" t="n">
        <f aca="false">IF(OR(DateStart&gt;=I136,DateEnd&lt;I135),0,IF(VolumeOverrideFlag,V135,Volume))</f>
        <v>0</v>
      </c>
      <c r="BE135" s="536" t="n">
        <f aca="false">IF(OR(DateStart2&gt;=I136,DateEnd2&lt;I135),0,IF(VolumeOverrideFlag,V135,VolumeSwaption))</f>
        <v>0</v>
      </c>
      <c r="BF135" s="537" t="n">
        <f aca="false">YEAR(I135)</f>
        <v>2010</v>
      </c>
      <c r="BG135" s="538" t="n">
        <f aca="false">MONTH(I135)</f>
        <v>4</v>
      </c>
      <c r="BH135" s="539" t="n">
        <f aca="false">AD135-DateToday+1</f>
        <v>-5672</v>
      </c>
      <c r="BI135" s="540" t="n">
        <f aca="false">(I135-DateToday+1)/365.25</f>
        <v>-15.4852840520192</v>
      </c>
      <c r="BJ135" s="541" t="n">
        <f aca="false">BI135+(BL135-BI135)*CHOOSE(Underlying,AJ135/AI135,AM135/AL135)</f>
        <v>-15.4347582602203</v>
      </c>
      <c r="BK135" s="541" t="n">
        <f aca="false">BJ135+1/365.25</f>
        <v>-15.4320204094331</v>
      </c>
      <c r="BL135" s="541" t="n">
        <f aca="false">(I136-DateToday)/365.25</f>
        <v>-15.4058863791923</v>
      </c>
      <c r="BM135" s="542" t="e">
        <f aca="false">MAX(BI135-(BJ135-BI135)*(S136^2/O136^2-1),0)</f>
        <v>#DIV/0!</v>
      </c>
      <c r="BN135" s="541" t="e">
        <f aca="false">MAX(BL135+(BL135-BK135)*(S137^2/O137^2-1),0)</f>
        <v>#DIV/0!</v>
      </c>
      <c r="BO135" s="530" t="n">
        <f aca="false">CHOOSE(Underlying,AI135,AL135)</f>
        <v>22</v>
      </c>
      <c r="BP135" s="529" t="n">
        <f aca="false">CHOOSE(Underlying,AJ135,AM135)</f>
        <v>14</v>
      </c>
      <c r="BQ135" s="529" t="n">
        <f aca="false">CHOOSE(Underlying,AK135,AN135)</f>
        <v>8</v>
      </c>
      <c r="BR135" s="463" t="str">
        <f aca="false">IF(BD135,IF(Underlying=1,X135,Z135)+UnderlyingPriceAsian-SwapPriceCurve,"")</f>
        <v/>
      </c>
      <c r="BS135" s="463" t="str">
        <f aca="false">IF(BD135,Strike1/BR135-1,"")</f>
        <v/>
      </c>
      <c r="BT135" s="464" t="str">
        <f aca="false">IF(BD135,Strike2/BR135-1,"")</f>
        <v/>
      </c>
      <c r="BU135" s="465" t="str">
        <f aca="false">IF(BD135,IF(Underlying=1,L136,R136)+UnderlyingPriceAsian-SwapPriceCurve,"")</f>
        <v/>
      </c>
      <c r="BV135" s="465" t="str">
        <f aca="false">IF(BD135,IF(Underlying=1,L137,R137)+UnderlyingPriceAsian-SwapPriceCurve,"")</f>
        <v/>
      </c>
      <c r="BW135" s="466" t="str">
        <f aca="false">IF(BD135,IF(Underlying=1,O136,AT136),"")</f>
        <v/>
      </c>
      <c r="BX135" s="467" t="str">
        <f aca="false">IF(BD135,IF(Underlying=1,O137,AT137),"")</f>
        <v/>
      </c>
      <c r="BY135" s="466" t="str">
        <f aca="false">IF(BD135,IF(BS135&gt;0,IF(BS135&gt;0.2,BC135-BB135,IF(BS135&gt;0.1,BB135-BA135,BA135)),IF(BS135&lt;-0.2,AX135-AY135,IF(BS135&lt;-0.1,AY135-AZ135,AZ135))),"")</f>
        <v/>
      </c>
      <c r="BZ135" s="467" t="str">
        <f aca="false">IF(BD135,IF(BT135&gt;0,IF(BT135&gt;0.2,BC135-BB135,IF(BT135&gt;0.1,BB135-BA135,BA135)),IF(BT135&lt;-0.2,AX135-AY135,IF(BT135&lt;-0.1,AY135-AZ135,AZ135))),"")</f>
        <v/>
      </c>
      <c r="CA135" s="468" t="str">
        <f aca="false">IF($BD135,$BW135+IF(VolSkewFlag=1,IF(BS135&gt;0,$BA135*MIN(BS135/10%,1)+($BB135-$BA135)*MAX(0,MIN(BS135/10%-1,1))+($BC135-$BB135)*MAX(0,BS135/10%-2),$AZ135*MIN(-BS135/10%,1)+($AY135-$AZ135)*MAX(0,MIN(-BS135/10%-1,1))+($AX135-$AY135)*MAX(0,-BS135/10%-2)),0),"")</f>
        <v/>
      </c>
      <c r="CB135" s="468" t="str">
        <f aca="false">IF($BD135,$BX135+IF(VolSkewFlag=1,IF(BS135&gt;0,$BA135*MIN(BS135/10%,1)+($BB135-$BA135)*MAX(0,MIN(BS135/10%-1,1))+($BC135-$BB135)*MAX(0,BS135/10%-2),$AZ135*MIN(-BS135/10%,1)+($AY135-$AZ135)*MAX(0,MIN(-BS135/10%-1,1))+($AX135-$AY135)*MAX(0,-BS135/10%-2)),0),"")</f>
        <v/>
      </c>
      <c r="CC135" s="468" t="str">
        <f aca="false">IF($BD135,$BW135+IF(VolSkewFlag=1,IF(BT135&gt;0,$BA135*MIN(BT135/10%,1)+($BB135-$BA135)*MAX(0,MIN(BT135/10%-1,1))+($BC135-$BB135)*MAX(0,BT135/10%-2),$AZ135*MIN(-BT135/10%,1)+($AY135-$AZ135)*MAX(0,MIN(-BT135/10%-1,1))+($AX135-$AY135)*MAX(0,-BT135/10%-2)),0),"")</f>
        <v/>
      </c>
      <c r="CD135" s="468" t="str">
        <f aca="false">IF($BD135,$BX135+IF(VolSkewFlag=1,IF(BT135&gt;0,$BA135*MIN(BT135/10%,1)+($BB135-$BA135)*MAX(0,MIN(BT135/10%-1,1))+($BC135-$BB135)*MAX(0,BT135/10%-2),$AZ135*MIN(-BT135/10%,1)+($AY135-$AZ135)*MAX(0,MIN(-BT135/10%-1,1))+($AX135-$AY135)*MAX(0,-BT135/10%-2)),0),"")</f>
        <v/>
      </c>
      <c r="CE135" s="469" t="n">
        <v>1</v>
      </c>
      <c r="CF135" s="470" t="n">
        <f aca="false">IF(BD135,xCrudeAPO(BU135,BV135,CA135,CB135,S136,S137,BI135,BL135,BP135,BQ135,0,Strike1,AO135,CE135,0,BL135,IF(OptControl=4,0,1),0,1),0)</f>
        <v>0</v>
      </c>
      <c r="CG135" s="470" t="n">
        <f aca="false">IF(BD135,xCrudeAPO(BU135,BV135,CA135,CB135,S136,S137,BI135,BL135,BP135,BQ135,0,Strike1,AO135,CE135,0,BL135,IF(OptControl=4,0,1),1,1)+xCrudeAPO(BU135,BV135,CA135,CB135,S136,S137,BI135,BL135,BP135,BQ135,0,Strike1,AO135,CE135,0,BL135,IF(OptControl=4,0,1),1,2)+IF(OR(VolSkewFlag=2,ABS(BS135)&lt;0.0001),0,IF(BS135&gt;0,-1,1)*CH135*Strike1/BR135^2*BY135/10%),0)</f>
        <v>0</v>
      </c>
      <c r="CH135" s="470" t="n">
        <f aca="false">IF(BD135,(xCrudeAPO(BU135,BV135,CA135,CB135,S136,S137,BI135,BL135,BP135,BQ135,0,Strike1,AO135,CE135,0,BL135,IF(OptControl=4,0,1),3,1)+xCrudeAPO(BU135,BV135,CA135,CB135,S136,S137,BI135,BL135,BP135,BQ135,0,Strike1,AO135,CE135,0,BL135,IF(OptControl=4,0,1),3,2))/100,0)</f>
        <v>0</v>
      </c>
      <c r="CI135" s="470" t="n">
        <f aca="false">IF(BD135,xCrudeAPO(BU135,BV135,CA135,CB135,S136,S137,BI135-DaysForThetaCalculation/365.25,BL135-DaysForThetaCalculation/365.25,BP135,BQ135,0,Strike1,AO135,CE135,0,BL135,IF(OptControl=4,0,1),0,1)-xCrudeAPO(BU135,BV135,CA135,CB135,S136,S137,BI135,BL135,BP135,BQ135,0,Strike1,AO135,CE135,0,BL135,IF(OptControl=4,0,1),0,1),0)</f>
        <v>0</v>
      </c>
      <c r="CJ135" s="471" t="n">
        <f aca="false">IF(BD135,xCrudeAPO(BU135,BV135,CC135,CD135,S136,S137,BI135,BL135,BP135,BQ135,0,Strike2,AO135,CE135,0,BL135,IF(OptControl=3,1,0),0,1),0)</f>
        <v>0</v>
      </c>
      <c r="CK135" s="470" t="n">
        <f aca="false">IF(BD135,xCrudeAPO(BU135,BV135,CC135,CD135,S136,S137,BI135,BL135,BP135,BQ135,0,Strike2,AO135,CE135,0,BL135,IF(OptControl=3,1,0),1,1)+xCrudeAPO(BU135,BV135,CC135,CD135,S136,S137,BI135,BL135,BP135,BQ135,0,Strike2,AO135,CE135,0,BL135,IF(OptControl=3,1,0),1,2)+IF(OR(VolSkewFlag=2,ABS(BT135)&lt;0.0001),0,IF(BT135&gt;0,-1,1)*CL135*Strike2/BR135^2*BZ135/10%),0)</f>
        <v>0</v>
      </c>
      <c r="CL135" s="470" t="n">
        <f aca="false">IF(BD135,(xCrudeAPO(BU135,BV135,CC135,CD135,S136,S137,BI135,BL135,BP135,BQ135,0,Strike2,AO135,CE135,0,BL135,IF(OptControl=3,1,0),3,1)+xCrudeAPO(BU135,BV135,CC135,CD135,S136,S137,BI135,BL135,BP135,BQ135,0,Strike2,AO135,CE135,0,BL135,IF(OptControl=3,1,0),3,2))/100,0)</f>
        <v>0</v>
      </c>
      <c r="CM135" s="472" t="n">
        <f aca="false">IF(BD135,xCrudeAPO(BU135,BV135,CC135,CD135,S136,S137,BI135-DaysForThetaCalculation/365.25,BL135-DaysForThetaCalculation/365.25,BP135,BQ135,0,Strike2,AO135,CE135,0,BL135,IF(OptControl=3,1,0),0,1)-xCrudeAPO(BU135,BV135,CC135,CD135,S136,S137,BI135,BL135,BP135,BQ135,0,Strike2,AO135,CE135,0,BL135,IF(OptControl=3,1,0),0,1),0)</f>
        <v>0</v>
      </c>
      <c r="CN135" s="3"/>
      <c r="CO135" s="543" t="str">
        <f aca="false">IF(BD135,CHOOSE(Underlying,AD135,AF135)-DateToday+1,"")</f>
        <v/>
      </c>
      <c r="CP135" s="582" t="str">
        <f aca="false">IF(BD135,CHOOSE(Underlying,L135,R135),"")</f>
        <v/>
      </c>
      <c r="CQ135" s="544" t="str">
        <f aca="false">IF(BD135,Strike1/CP135-1,"")</f>
        <v/>
      </c>
      <c r="CR135" s="544" t="str">
        <f aca="false">IF(BD135,Strike2/CP135-1,"")</f>
        <v/>
      </c>
      <c r="CS135" s="544" t="str">
        <f aca="false">IF(BD135,IF(CQ135&gt;0,IF(CQ135&gt;0.2,BC134-BB134,IF(CQ135&gt;0.1,BB134-BA134,BA134)),IF(CQ135&lt;-0.2,AX134-AY134,IF(CQ135&lt;-0.1,AY134-AZ134,AZ134))),"")</f>
        <v/>
      </c>
      <c r="CT135" s="544" t="str">
        <f aca="false">IF(BD135,IF(CR135&gt;0,IF(CR135&gt;0.2,BC134-BB134,IF(CR135&gt;0.1,BB134-BA134,BA134)),IF(CR135&lt;-0.2,AX134-AY134,IF(CR135&lt;-0.1,AY134-AZ134,AZ134))),"")</f>
        <v/>
      </c>
      <c r="CU135" s="545" t="str">
        <f aca="false">IF(BD135,CHOOSE(Underlying,O135,AT135),"")</f>
        <v/>
      </c>
      <c r="CV135" s="545" t="str">
        <f aca="false">IF(BD135,CU135+IF(VolSkewFlag=1,IF(CQ135&gt;0,BA134*MIN(CQ135/10%,1)+(BB134-BA134)*MAX(0,MIN(CQ135/10%-1,1))+(BC134-BB134)*MAX(0,CQ135/10%-2),AZ134*MIN(-CQ135/10%,1)+(AY134-AZ134)*MAX(0,MIN(-CQ135/10%-1,1))+(AX134-AY134)*MAX(0,-CQ135/10%-2)),0),"")</f>
        <v/>
      </c>
      <c r="CW135" s="545" t="str">
        <f aca="false">IF(BD135,CU135+IF(VolSkewFlag=1,IF(CR135&gt;0,BA134*MIN(CR135/10%,1)+(BB134-BA134)*MAX(0,MIN(CR135/10%-1,1))+(BC134-BB134)*MAX(0,CR135/10%-2),AZ134*MIN(-CR135/10%,1)+(AY134-AZ134)*MAX(0,MIN(-CR135/10%-1,1))+(AX134-AY134)*MAX(0,-CR135/10%-2)),0),"")</f>
        <v/>
      </c>
      <c r="CX135" s="470" t="n">
        <f aca="false">IF(BD135,EURO(CP135,Strike1,AO135,AO135,CV135,CO135,IF(OptControl=4,0,1),0),0)</f>
        <v>0</v>
      </c>
      <c r="CY135" s="470" t="n">
        <f aca="false">IF(BD135,EURO(CP135,Strike1,AO135,AO135,CV135,CO135,IF(OptControl=4,0,1),1)+IF(OR(VolSkewFlag=2,ABS(CQ135)&lt;0.0001),0,IF(CQ135&gt;0,-1,1)*CZ135*100*Strike1/CP135^2*CS135/10%),0)</f>
        <v>0</v>
      </c>
      <c r="CZ135" s="470" t="n">
        <f aca="false">IF(BD135,EURO(CP135,Strike1,AO135,AO135,CV135,CO135,IF(OptControl=4,0,1),3)/100,0)</f>
        <v>0</v>
      </c>
      <c r="DA135" s="470" t="n">
        <f aca="false">IF(BD135,EURO(CP135,Strike1,AO135,AO135,CV135,CO135,IF(OptControl=4,0,1),0)-EURO(CP135,Strike1,AO135,AO135,CV135,CO135-1,IF(OptControl=4,0,1),0),0)</f>
        <v>0</v>
      </c>
      <c r="DB135" s="470" t="n">
        <f aca="false">IF(BD135,EURO(CP135,Strike2,AO135,AO135,CW135,CO135,IF(OptControl=3,1,0),0),0)</f>
        <v>0</v>
      </c>
      <c r="DC135" s="470" t="n">
        <f aca="false">IF(BD135,EURO(CP135,Strike2,AO135,AO135,CW135,CO135,IF(OptControl=3,1,0),1)+IF(OR(VolSkewFlag=2,ABS(CR135)&lt;0.0001),0,IF(CR135&gt;0,-1,1)*DD135*100*Strike2/CP135^2*CT135/10%),0)</f>
        <v>0</v>
      </c>
      <c r="DD135" s="470" t="n">
        <f aca="false">IF(BD135,EURO(CP135,Strike2,AO135,AO135,CW135,CO135,IF(OptControl=3,1,0),3)/100,0)</f>
        <v>0</v>
      </c>
      <c r="DE135" s="472" t="n">
        <f aca="false">IF(BD135,EURO(CP135,Strike2,AO135,AO135,CW135,CO135,IF(OptControl=3,1,0),0)-EURO(CP135,Strike2,AO135,AO135,CW135,CO135-1,IF(OptControl=3,1,0),0),0)</f>
        <v>0</v>
      </c>
      <c r="DG135" s="481" t="n">
        <f aca="false">EOMONTH(DG134,0)+1</f>
        <v>49188</v>
      </c>
      <c r="DH135" s="478" t="n">
        <v>19.91</v>
      </c>
      <c r="DI135" s="479" t="n">
        <v>19.9781818181819</v>
      </c>
      <c r="DJ135" s="480" t="n">
        <f aca="false">DG135</f>
        <v>49188</v>
      </c>
      <c r="DK135" s="478" t="n">
        <v>18.722975762032</v>
      </c>
      <c r="DL135" s="479" t="n">
        <v>18.7112818181819</v>
      </c>
      <c r="DM135" s="481" t="n">
        <f aca="false">DG135</f>
        <v>49188</v>
      </c>
      <c r="DN135" s="482" t="n">
        <f aca="false">DK135+BrentPhyBrentSpread</f>
        <v>18.772975762032</v>
      </c>
      <c r="DO135" s="481" t="n">
        <f aca="false">DG135</f>
        <v>49188</v>
      </c>
      <c r="DP135" s="483" t="n">
        <f aca="false">DL135+DQ135</f>
        <v>18.7112818181819</v>
      </c>
      <c r="DQ135" s="546" t="n">
        <v>0</v>
      </c>
      <c r="DR135" s="480" t="n">
        <f aca="false">DG135</f>
        <v>49188</v>
      </c>
      <c r="DS135" s="485" t="n">
        <v>0.155599999999999</v>
      </c>
      <c r="DT135" s="486" t="n">
        <v>0.154781818181817</v>
      </c>
      <c r="DU135" s="480" t="n">
        <f aca="false">DG135</f>
        <v>49188</v>
      </c>
      <c r="DV135" s="485" t="n">
        <v>0.155599999999999</v>
      </c>
      <c r="DW135" s="486" t="n">
        <v>0.154781818181817</v>
      </c>
      <c r="DX135" s="481" t="n">
        <f aca="false">DG135</f>
        <v>49188</v>
      </c>
      <c r="DY135" s="486" t="n">
        <v>0.35</v>
      </c>
      <c r="DZ135" s="481" t="n">
        <f aca="false">DR135</f>
        <v>49188</v>
      </c>
      <c r="EA135" s="486" t="n">
        <f aca="false">DT135</f>
        <v>0.154781818181817</v>
      </c>
      <c r="EB135" s="195"/>
      <c r="EC135" s="547" t="str">
        <f aca="false">IF(BD135,IF(Underlying=1,AS135,AU135),"")</f>
        <v/>
      </c>
      <c r="ED135" s="548" t="str">
        <f aca="false">IF($BD135,$EC135+IF(VolSkewFlag=1,IF(BS135&gt;0,$BA135*MIN(BS135/10%,1)+($BB135-$BA135)*MAX(0,MIN(BS135/10%-1,1))+($BC135-$BB135)*MAX(0,BS135/10%-2),$AZ135*MIN(-BS135/10%,1)+($AY135-$AZ135)*MAX(0,MIN(-BS135/10%-1,1))+($AX135-$AY135)*MAX(0,-BS135/10%-2)),0),"")</f>
        <v/>
      </c>
      <c r="EE135" s="549" t="str">
        <f aca="false">IF($BD135,$EC135+IF(VolSkewFlag=1,IF(BT135&gt;0,$BA135*MIN(BT135/10%,1)+($BB135-$BA135)*MAX(0,MIN(BT135/10%-1,1))+($BC135-$BB135)*MAX(0,BT135/10%-2),$AZ135*MIN(-BT135/10%,1)+($AY135-$AZ135)*MAX(0,MIN(-BT135/10%-1,1))+($AX135-$AY135)*MAX(0,-BT135/10%-2)),0),"")</f>
        <v/>
      </c>
      <c r="EF135" s="550" t="n">
        <f aca="false">IF(BD135,xASN(BR135,Strike1,AO135,ED135,0,BO135,0,BI135,BL135,IF(OptControl=4,0,1),0),0)</f>
        <v>0</v>
      </c>
      <c r="EG135" s="551" t="n">
        <f aca="false">IF(BD135,xASN(BR135,Strike2,AO135,EE135,0,BO135,0,BI135,BL135,IF(OptControl=3,1,0),0),0)</f>
        <v>0</v>
      </c>
      <c r="EL135" s="1"/>
      <c r="EM135" s="195"/>
      <c r="EN135" s="240"/>
      <c r="EO135" s="240"/>
      <c r="EP135" s="195"/>
      <c r="EQ135" s="407" t="s">
        <v>362</v>
      </c>
      <c r="ES135" s="130"/>
      <c r="ET135" s="19"/>
      <c r="EU135" s="672"/>
      <c r="EV135" s="478"/>
      <c r="EW135" s="131"/>
      <c r="EX135" s="131"/>
      <c r="EY135" s="129"/>
      <c r="EZ135" s="129"/>
      <c r="FA135" s="129"/>
      <c r="FB135" s="129"/>
      <c r="FC135" s="129"/>
      <c r="FD135" s="129"/>
      <c r="FE135" s="129"/>
      <c r="FF135" s="129"/>
      <c r="FG135" s="129"/>
      <c r="FH135" s="129"/>
      <c r="FI135" s="129"/>
      <c r="FJ135" s="571" t="n">
        <v>41</v>
      </c>
      <c r="FK135" s="150" t="e">
        <f aca="false">IF($FJ60&lt;FK$94,"",SQRT(FK60/FK$15))</f>
        <v>#DIV/0!</v>
      </c>
      <c r="FL135" s="150" t="n">
        <f aca="false">IF($FJ60&lt;FL$94,"",SQRT(FL60/FL$15))</f>
        <v>-0</v>
      </c>
      <c r="FM135" s="150" t="n">
        <f aca="false">IF($FJ60&lt;FM$94,"",SQRT(FM60/FM$15))</f>
        <v>0.170839672473497</v>
      </c>
      <c r="FN135" s="150" t="n">
        <f aca="false">IF($FJ60&lt;FN$94,"",SQRT(FN60/FN$15))</f>
        <v>0.167611522548365</v>
      </c>
      <c r="FO135" s="150" t="n">
        <f aca="false">IF($FJ60&lt;FO$94,"",SQRT(FO60/FO$15))</f>
        <v>0.165212624946101</v>
      </c>
      <c r="FP135" s="150" t="n">
        <f aca="false">IF($FJ60&lt;FP$94,"",SQRT(FP60/FP$15))</f>
        <v>0.163439571260182</v>
      </c>
      <c r="FQ135" s="150" t="n">
        <f aca="false">IF($FJ60&lt;FQ$94,"",SQRT(FQ60/FQ$15))</f>
        <v>0.16214045873486</v>
      </c>
      <c r="FR135" s="150" t="n">
        <f aca="false">IF($FJ60&lt;FR$94,"",SQRT(FR60/FR$15))</f>
        <v>0.161202128783889</v>
      </c>
      <c r="FS135" s="150" t="n">
        <f aca="false">IF($FJ60&lt;FS$94,"",SQRT(FS60/FS$15))</f>
        <v>0.160540615991473</v>
      </c>
      <c r="FT135" s="150" t="n">
        <f aca="false">IF($FJ60&lt;FT$94,"",SQRT(FT60/FT$15))</f>
        <v>0.160094008727279</v>
      </c>
      <c r="FU135" s="150" t="n">
        <f aca="false">IF($FJ60&lt;FU$94,"",SQRT(FU60/FU$15))</f>
        <v>0.159817122975222</v>
      </c>
      <c r="FV135" s="150" t="n">
        <f aca="false">IF($FJ60&lt;FV$94,"",SQRT(FV60/FV$15))</f>
        <v>0.159677541499052</v>
      </c>
      <c r="FW135" s="150" t="n">
        <f aca="false">IF($FJ60&lt;FW$94,"",SQRT(FW60/FW$15))</f>
        <v>0.159652683579172</v>
      </c>
      <c r="FX135" s="150" t="n">
        <f aca="false">IF($FJ60&lt;FX$94,"",SQRT(FX60/FX$15))</f>
        <v>0.159727655668727</v>
      </c>
      <c r="FY135" s="150" t="n">
        <f aca="false">IF($FJ60&lt;FY$94,"",SQRT(FY60/FY$15))</f>
        <v>0.159893697513575</v>
      </c>
      <c r="FZ135" s="150" t="n">
        <f aca="false">IF($FJ60&lt;FZ$94,"",SQRT(FZ60/FZ$15))</f>
        <v>0.1601470868983</v>
      </c>
      <c r="GA135" s="150" t="n">
        <f aca="false">IF($FJ60&lt;GA$94,"",SQRT(GA60/GA$15))</f>
        <v>0.160488403260582</v>
      </c>
      <c r="GB135" s="150" t="n">
        <f aca="false">IF($FJ60&lt;GB$94,"",SQRT(GB60/GB$15))</f>
        <v>0.160922079043395</v>
      </c>
      <c r="GC135" s="150" t="n">
        <f aca="false">IF($FJ60&lt;GC$94,"",SQRT(GC60/GC$15))</f>
        <v>0.161456190216542</v>
      </c>
      <c r="GD135" s="150" t="n">
        <f aca="false">IF($FJ60&lt;GD$94,"",SQRT(GD60/GD$15))</f>
        <v>0.162102455793038</v>
      </c>
      <c r="GE135" s="150" t="n">
        <f aca="false">IF($FJ60&lt;GE$94,"",SQRT(GE60/GE$15))</f>
        <v>0.162876431966429</v>
      </c>
      <c r="GF135" s="150" t="n">
        <f aca="false">IF($FJ60&lt;GF$94,"",SQRT(GF60/GF$15))</f>
        <v>0.163797901103278</v>
      </c>
      <c r="GG135" s="150" t="n">
        <f aca="false">IF($FJ60&lt;GG$94,"",SQRT(GG60/GG$15))</f>
        <v>0.164891470613134</v>
      </c>
      <c r="GH135" s="150" t="n">
        <f aca="false">IF($FJ60&lt;GH$94,"",SQRT(GH60/GH$15))</f>
        <v>0.166187413191969</v>
      </c>
      <c r="GI135" s="150" t="n">
        <f aca="false">IF($FJ60&lt;GI$94,"",SQRT(GI60/GI$15))</f>
        <v>0.167722799937258</v>
      </c>
      <c r="GJ135" s="150" t="n">
        <f aca="false">IF($FJ60&lt;GJ$94,"",SQRT(GJ60/GJ$15))</f>
        <v>0.169543003830058</v>
      </c>
      <c r="GK135" s="150" t="n">
        <f aca="false">IF($FJ60&lt;GK$94,"",SQRT(GK60/GK$15))</f>
        <v>0.171703686591817</v>
      </c>
      <c r="GL135" s="150" t="n">
        <f aca="false">IF($FJ60&lt;GL$94,"",SQRT(GL60/GL$15))</f>
        <v>0.174273432205788</v>
      </c>
      <c r="GM135" s="150" t="n">
        <f aca="false">IF($FJ60&lt;GM$94,"",SQRT(GM60/GM$15))</f>
        <v>0.177337263545223</v>
      </c>
      <c r="GN135" s="150" t="n">
        <f aca="false">IF($FJ60&lt;GN$94,"",SQRT(GN60/GN$15))</f>
        <v>0.181001387386929</v>
      </c>
      <c r="GO135" s="150" t="n">
        <f aca="false">IF($FJ60&lt;GO$94,"",SQRT(GO60/GO$15))</f>
        <v>0.18539967835007</v>
      </c>
      <c r="GP135" s="150" t="n">
        <f aca="false">IF($FJ60&lt;GP$94,"",SQRT(GP60/GP$15))</f>
        <v>0.190702668316361</v>
      </c>
      <c r="GQ135" s="150" t="n">
        <f aca="false">IF($FJ60&lt;GQ$94,"",SQRT(GQ60/GQ$15))</f>
        <v>0.197130212804222</v>
      </c>
      <c r="GR135" s="150" t="n">
        <f aca="false">IF($FJ60&lt;GR$94,"",SQRT(GR60/GR$15))</f>
        <v>0.204969660507169</v>
      </c>
      <c r="GS135" s="150" t="n">
        <f aca="false">IF($FJ60&lt;GS$94,"",SQRT(GS60/GS$15))</f>
        <v>0.214602436631039</v>
      </c>
      <c r="GT135" s="150" t="n">
        <f aca="false">IF($FJ60&lt;GT$94,"",SQRT(GT60/GT$15))</f>
        <v>0.226543794761277</v>
      </c>
      <c r="GU135" s="150" t="n">
        <f aca="false">IF($FJ60&lt;GU$94,"",SQRT(GU60/GU$15))</f>
        <v>0.241503720823899</v>
      </c>
      <c r="GV135" s="150" t="n">
        <f aca="false">IF($FJ60&lt;GV$94,"",SQRT(GV60/GV$15))</f>
        <v>0.260482813082036</v>
      </c>
      <c r="GW135" s="150" t="n">
        <f aca="false">IF($FJ60&lt;GW$94,"",SQRT(GW60/GW$15))</f>
        <v>0.284927919575899</v>
      </c>
      <c r="GX135" s="150" t="n">
        <f aca="false">IF($FJ60&lt;GX$94,"",SQRT(GX60/GX$15))</f>
        <v>0.316993741067677</v>
      </c>
      <c r="GY135" s="150" t="n">
        <f aca="false">IF($FJ60&lt;GY$94,"",SQRT(GY60/GY$15))</f>
        <v>0.360000536351209</v>
      </c>
      <c r="GZ135" s="150" t="str">
        <f aca="false">IF($FJ60&lt;GZ$94,"",SQRT(GZ60/GZ$15))</f>
        <v/>
      </c>
      <c r="HA135" s="150" t="str">
        <f aca="false">IF($FJ60&lt;HA$94,"",SQRT(HA60/HA$15))</f>
        <v/>
      </c>
      <c r="HB135" s="150" t="str">
        <f aca="false">IF($FJ60&lt;HB$94,"",SQRT(HB60/HB$15))</f>
        <v/>
      </c>
      <c r="HC135" s="150" t="str">
        <f aca="false">IF($FJ60&lt;HC$94,"",SQRT(HC60/HC$15))</f>
        <v/>
      </c>
      <c r="HD135" s="150" t="str">
        <f aca="false">IF($FJ60&lt;HD$94,"",SQRT(HD60/HD$15))</f>
        <v/>
      </c>
      <c r="HE135" s="150" t="str">
        <f aca="false">IF($FJ60&lt;HE$94,"",SQRT(HE60/HE$15))</f>
        <v/>
      </c>
      <c r="HF135" s="150" t="str">
        <f aca="false">IF($FJ60&lt;HF$94,"",SQRT(HF60/HF$15))</f>
        <v/>
      </c>
      <c r="HG135" s="150" t="str">
        <f aca="false">IF($FJ60&lt;HG$94,"",SQRT(HG60/HG$15))</f>
        <v/>
      </c>
      <c r="HH135" s="150" t="str">
        <f aca="false">IF($FJ60&lt;HH$94,"",SQRT(HH60/HH$15))</f>
        <v/>
      </c>
      <c r="HI135" s="150" t="str">
        <f aca="false">IF($FJ60&lt;HI$94,"",SQRT(HI60/HI$15))</f>
        <v/>
      </c>
      <c r="HJ135" s="150" t="str">
        <f aca="false">IF($FJ60&lt;HJ$94,"",SQRT(HJ60/HJ$15))</f>
        <v/>
      </c>
      <c r="HK135" s="150" t="str">
        <f aca="false">IF($FJ60&lt;HK$94,"",SQRT(HK60/HK$15))</f>
        <v/>
      </c>
      <c r="HL135" s="150" t="str">
        <f aca="false">IF($FJ60&lt;HL$94,"",SQRT(HL60/HL$15))</f>
        <v/>
      </c>
      <c r="HM135" s="150" t="str">
        <f aca="false">IF($FJ60&lt;HM$94,"",SQRT(HM60/HM$15))</f>
        <v/>
      </c>
      <c r="HN135" s="150" t="str">
        <f aca="false">IF($FJ60&lt;HN$94,"",SQRT(HN60/HN$15))</f>
        <v/>
      </c>
      <c r="HO135" s="150" t="str">
        <f aca="false">IF($FJ60&lt;HO$94,"",SQRT(HO60/HO$15))</f>
        <v/>
      </c>
      <c r="HP135" s="150" t="str">
        <f aca="false">IF($FJ60&lt;HP$94,"",SQRT(HP60/HP$15))</f>
        <v/>
      </c>
      <c r="HQ135" s="150" t="str">
        <f aca="false">IF($FJ60&lt;HQ$94,"",SQRT(HQ60/HQ$15))</f>
        <v/>
      </c>
      <c r="HR135" s="150" t="str">
        <f aca="false">IF($FJ60&lt;HR$94,"",SQRT(HR60/HR$15))</f>
        <v/>
      </c>
      <c r="HS135" s="150" t="str">
        <f aca="false">IF($FJ60&lt;HS$94,"",SQRT(HS60/HS$15))</f>
        <v/>
      </c>
      <c r="HT135" s="150" t="str">
        <f aca="false">IF($FJ60&lt;HT$94,"",SQRT(HT60/HT$15))</f>
        <v/>
      </c>
      <c r="HU135" s="150" t="str">
        <f aca="false">IF($FJ60&lt;HU$94,"",SQRT(HU60/HU$15))</f>
        <v/>
      </c>
      <c r="HV135" s="150" t="str">
        <f aca="false">IF($FJ60&lt;HV$94,"",SQRT(HV60/HV$15))</f>
        <v/>
      </c>
      <c r="HW135" s="150" t="str">
        <f aca="false">IF($FJ60&lt;HW$94,"",SQRT(HW60/HW$15))</f>
        <v/>
      </c>
      <c r="HX135" s="150" t="str">
        <f aca="false">IF($FJ60&lt;HX$94,"",SQRT(HX60/HX$15))</f>
        <v/>
      </c>
      <c r="HY135" s="150" t="str">
        <f aca="false">IF($FJ60&lt;HY$94,"",SQRT(HY60/HY$15))</f>
        <v/>
      </c>
      <c r="HZ135" s="150" t="str">
        <f aca="false">IF($FJ60&lt;HZ$94,"",SQRT(HZ60/HZ$15))</f>
        <v/>
      </c>
      <c r="IA135" s="150" t="str">
        <f aca="false">IF($FJ60&lt;IA$94,"",SQRT(IA60/IA$15))</f>
        <v/>
      </c>
      <c r="IB135" s="150" t="str">
        <f aca="false">IF($FJ60&lt;IB$94,"",SQRT(IB60/IB$15))</f>
        <v/>
      </c>
      <c r="IC135" s="150" t="str">
        <f aca="false">IF($FJ60&lt;IC$94,"",SQRT(IC60/IC$15))</f>
        <v/>
      </c>
      <c r="ID135" s="572" t="str">
        <f aca="false">IF($FJ60&lt;ID$94,"",SQRT(ID60/ID$15))</f>
        <v/>
      </c>
      <c r="IE135" s="129"/>
    </row>
    <row r="136" customFormat="false" ht="12.75" hidden="false" customHeight="false" outlineLevel="0" collapsed="false">
      <c r="H136" s="219" t="n">
        <f aca="false">VLOOKUP(I136,$EJ$20:$EL$54,3)</f>
        <v>0</v>
      </c>
      <c r="I136" s="511" t="n">
        <f aca="false">EOMONTH(I135,0)+1</f>
        <v>40299</v>
      </c>
      <c r="J136" s="512"/>
      <c r="K136" s="513" t="s">
        <v>280</v>
      </c>
      <c r="L136" s="514" t="n">
        <f aca="false">IF(ISNUMBER(K136),J136+K136/100,IF(K136="extra",L135+VLOOKUP(BF136,PriceSpreadTable,2)/12,IF(K136="inter",interpolateprices($K$19:$L$200,ROW(K136)-ROW(FirstPricingMonth)+1),interpolatechanges($J$19:$K$200,ROW(K136)-ROW(FirstPricingMonth)+1))))</f>
        <v>1.5</v>
      </c>
      <c r="M136" s="515"/>
      <c r="N136" s="516" t="n">
        <v>0</v>
      </c>
      <c r="O136" s="515" t="n">
        <f aca="false">M136+N136</f>
        <v>0</v>
      </c>
      <c r="P136" s="512"/>
      <c r="Q136" s="513" t="s">
        <v>280</v>
      </c>
      <c r="R136" s="512" t="e">
        <f aca="false">IF(ISNUMBER(Q136),P136+Q136/100,IF(Q136="extra",(Z134*AL134-R135*AM134)/AN134,IF(Q136="inter",interpolateprices($Q$19:$R$260,ROW(Q136)-ROW(FirstPricingMonth)+1),interpolatechanges($P$19:$Q$260,ROW(Q136)-ROW(FirstPricingMonth)+1))))</f>
        <v>#VALUE!</v>
      </c>
      <c r="S136" s="597" t="n">
        <f aca="false">S$19+(S135-S$19)*S$18</f>
        <v>0.36</v>
      </c>
      <c r="T136" s="575" t="n">
        <f aca="false">SQRT((1-(1-T135^2/U135)*T$18)*U136)</f>
        <v>0.999999998559356</v>
      </c>
      <c r="U136" s="576" t="n">
        <f aca="false">1-(1-U135)*U$18</f>
        <v>1</v>
      </c>
      <c r="V136" s="521" t="n">
        <v>0</v>
      </c>
      <c r="W136" s="577" t="n">
        <f aca="false">(J137*AJ136+J138*AK136)/AI136</f>
        <v>0</v>
      </c>
      <c r="X136" s="578" t="n">
        <f aca="false">(L137*AJ136+L138*AK136)/AI136</f>
        <v>1.55</v>
      </c>
      <c r="Y136" s="579" t="n">
        <f aca="false">IF(Q138="extra",W136-AA136,(P137*AM136+P138*AN136)/AL136)</f>
        <v>-1.2915</v>
      </c>
      <c r="Z136" s="579" t="n">
        <f aca="false">IF(Q138="extra",X136-AB136,(R137*AM136+R138*AN136)/AL136)</f>
        <v>0.258500000000001</v>
      </c>
      <c r="AA136" s="523" t="n">
        <f aca="false">IF(Q138="extra",INDEX(BrentSeasonalityTable,INT((BG136-1)/3)+1)*VLOOKUP(MAX(BF136,$AB$4),PriceSpreadTable,3),W136-Y136)</f>
        <v>1.2915</v>
      </c>
      <c r="AB136" s="524" t="n">
        <f aca="false">IF(Q138="extra",INDEX(BrentSeasonalityTable,INT((BG136-1)/3)+1)*VLOOKUP(MAX(BF136,$AB$4),PriceSpreadTable,3),X136-Z136)</f>
        <v>1.2915</v>
      </c>
      <c r="AC136" s="646" t="n">
        <v>40288</v>
      </c>
      <c r="AD136" s="646" t="n">
        <v>40284</v>
      </c>
      <c r="AE136" s="646" t="n">
        <v>40283</v>
      </c>
      <c r="AF136" s="646" t="n">
        <v>40279</v>
      </c>
      <c r="AG136" s="438" t="s">
        <v>278</v>
      </c>
      <c r="AH136" s="439" t="s">
        <v>278</v>
      </c>
      <c r="AI136" s="528" t="n">
        <v>21</v>
      </c>
      <c r="AJ136" s="529" t="n">
        <v>14</v>
      </c>
      <c r="AK136" s="529" t="n">
        <v>7</v>
      </c>
      <c r="AL136" s="530" t="n">
        <v>21</v>
      </c>
      <c r="AM136" s="529" t="n">
        <v>10</v>
      </c>
      <c r="AN136" s="531" t="n">
        <v>11</v>
      </c>
      <c r="AO136" s="532"/>
      <c r="AP136" s="465" t="n">
        <f aca="false">(1+AO136/2)^(-2*BL136)</f>
        <v>1</v>
      </c>
      <c r="AQ136" s="532"/>
      <c r="AR136" s="465" t="n">
        <f aca="false">(1+AQ136/2)^(-2*BH136/365.25)</f>
        <v>1</v>
      </c>
      <c r="AS136" s="580" t="n">
        <f aca="false">(O137*AJ136+O138*AK136)/AI136</f>
        <v>0</v>
      </c>
      <c r="AT136" s="468" t="n">
        <f aca="false">O136*VLOOKUP(BF136,BrentVolTable,2)+VLOOKUP(BF136,BrentVolTable,3)</f>
        <v>0</v>
      </c>
      <c r="AU136" s="468" t="n">
        <f aca="false">(AT137*AM136+AT138*AN136)/AL136</f>
        <v>0</v>
      </c>
      <c r="AV136" s="595" t="n">
        <f aca="false">SQRT(MAX(0.000000000001,(O136^2*BH136-S136^2*(BH136-BH135))/BH135))</f>
        <v>0.0266143115576884</v>
      </c>
      <c r="AW136" s="451" t="n">
        <f aca="false">IF($I136-DateToday+15&gt;=$T$8,"",IF($I136-DateToday+15&lt;$T$5,1,MATCH($I136-DateToday+15,$T$5:$T$8)))</f>
        <v>1</v>
      </c>
      <c r="AX136" s="468" t="n">
        <f aca="false">IF($AW136="",AX135^2/AX134,INDEX(U$5:U$8,$AW136)^((INDEX($T$5:$T$8,$AW136+1)-($I136-DateToday+15))/(INDEX($T$5:$T$8,$AW136+1)-INDEX($T$5:$T$8,$AW136)))/INDEX(U$5:U$8,$AW136+1)^((INDEX($T$5:$T$8,$AW136)-($I136-DateToday+15))/(INDEX($T$5:$T$8,$AW136+1)-INDEX($T$5:$T$8,$AW136))))</f>
        <v>1.05225679914904</v>
      </c>
      <c r="AY136" s="468" t="n">
        <f aca="false">IF($AW136="",AY135^2/AY134,INDEX(V$5:V$8,$AW136)^((INDEX($T$5:$T$8,$AW136+1)-($I136-DateToday+15))/(INDEX($T$5:$T$8,$AW136+1)-INDEX($T$5:$T$8,$AW136)))/INDEX(V$5:V$8,$AW136+1)^((INDEX($T$5:$T$8,$AW136)-($I136-DateToday+15))/(INDEX($T$5:$T$8,$AW136+1)-INDEX($T$5:$T$8,$AW136))))</f>
        <v>39.4424277664079</v>
      </c>
      <c r="AZ136" s="468" t="n">
        <f aca="false">IF($AW136="",AZ135^2/AZ134,INDEX(W$5:W$8,$AW136)^((INDEX($T$5:$T$8,$AW136+1)-($I136-DateToday+15))/(INDEX($T$5:$T$8,$AW136+1)-INDEX($T$5:$T$8,$AW136)))/INDEX(W$5:W$8,$AW136+1)^((INDEX($T$5:$T$8,$AW136)-($I136-DateToday+15))/(INDEX($T$5:$T$8,$AW136+1)-INDEX($T$5:$T$8,$AW136))))</f>
        <v>50415.0810818529</v>
      </c>
      <c r="BA136" s="468" t="n">
        <f aca="false">IF($AW136="",BA135^2/BA134,INDEX(X$5:X$8,$AW136)^((INDEX($T$5:$T$8,$AW136+1)-($I136-DateToday+15))/(INDEX($T$5:$T$8,$AW136+1)-INDEX($T$5:$T$8,$AW136)))/INDEX(X$5:X$8,$AW136+1)^((INDEX($T$5:$T$8,$AW136)-($I136-DateToday+15))/(INDEX($T$5:$T$8,$AW136+1)-INDEX($T$5:$T$8,$AW136))))</f>
        <v>552600.123416977</v>
      </c>
      <c r="BB136" s="468" t="n">
        <f aca="false">IF($AW136="",BB135^2/BB134,INDEX(Y$5:Y$8,$AW136)^((INDEX($T$5:$T$8,$AW136+1)-($I136-DateToday+15))/(INDEX($T$5:$T$8,$AW136+1)-INDEX($T$5:$T$8,$AW136)))/INDEX(Y$5:Y$8,$AW136+1)^((INDEX($T$5:$T$8,$AW136)-($I136-DateToday+15))/(INDEX($T$5:$T$8,$AW136+1)-INDEX($T$5:$T$8,$AW136))))</f>
        <v>4847738.47196435</v>
      </c>
      <c r="BC136" s="468" t="n">
        <f aca="false">IF($AW136="",BC135^2/BC134,INDEX(Z$5:Z$8,$AW136)^((INDEX($T$5:$T$8,$AW136+1)-($I136-DateToday+15))/(INDEX($T$5:$T$8,$AW136+1)-INDEX($T$5:$T$8,$AW136)))/INDEX(Z$5:Z$8,$AW136+1)^((INDEX($T$5:$T$8,$AW136)-($I136-DateToday+15))/(INDEX($T$5:$T$8,$AW136+1)-INDEX($T$5:$T$8,$AW136))))</f>
        <v>17983008.0653504</v>
      </c>
      <c r="BD136" s="535" t="n">
        <f aca="false">IF(OR(DateStart&gt;=I137,DateEnd&lt;I136),0,IF(VolumeOverrideFlag,V136,Volume))</f>
        <v>0</v>
      </c>
      <c r="BE136" s="536" t="n">
        <f aca="false">IF(OR(DateStart2&gt;=I137,DateEnd2&lt;I136),0,IF(VolumeOverrideFlag,V136,VolumeSwaption))</f>
        <v>0</v>
      </c>
      <c r="BF136" s="537" t="n">
        <f aca="false">YEAR(I136)</f>
        <v>2010</v>
      </c>
      <c r="BG136" s="538" t="n">
        <f aca="false">MONTH(I136)</f>
        <v>5</v>
      </c>
      <c r="BH136" s="539" t="n">
        <f aca="false">AD136-DateToday+1</f>
        <v>-5641</v>
      </c>
      <c r="BI136" s="540" t="n">
        <f aca="false">(I136-DateToday+1)/365.25</f>
        <v>-15.4031485284052</v>
      </c>
      <c r="BJ136" s="541" t="n">
        <f aca="false">BI136+(BL136-BI136)*CHOOSE(Underlying,AJ136/AI136,AM136/AL136)</f>
        <v>-15.3483915126626</v>
      </c>
      <c r="BK136" s="541" t="n">
        <f aca="false">BJ136+1/365.25</f>
        <v>-15.3456536618754</v>
      </c>
      <c r="BL136" s="541" t="n">
        <f aca="false">(I137-DateToday)/365.25</f>
        <v>-15.3210130047912</v>
      </c>
      <c r="BM136" s="542" t="e">
        <f aca="false">MAX(BI136-(BJ136-BI136)*(S137^2/O137^2-1),0)</f>
        <v>#DIV/0!</v>
      </c>
      <c r="BN136" s="541" t="e">
        <f aca="false">MAX(BL136+(BL136-BK136)*(S138^2/O138^2-1),0)</f>
        <v>#DIV/0!</v>
      </c>
      <c r="BO136" s="530" t="n">
        <f aca="false">CHOOSE(Underlying,AI136,AL136)</f>
        <v>21</v>
      </c>
      <c r="BP136" s="529" t="n">
        <f aca="false">CHOOSE(Underlying,AJ136,AM136)</f>
        <v>14</v>
      </c>
      <c r="BQ136" s="529" t="n">
        <f aca="false">CHOOSE(Underlying,AK136,AN136)</f>
        <v>7</v>
      </c>
      <c r="BR136" s="463" t="str">
        <f aca="false">IF(BD136,IF(Underlying=1,X136,Z136)+UnderlyingPriceAsian-SwapPriceCurve,"")</f>
        <v/>
      </c>
      <c r="BS136" s="463" t="str">
        <f aca="false">IF(BD136,Strike1/BR136-1,"")</f>
        <v/>
      </c>
      <c r="BT136" s="464" t="str">
        <f aca="false">IF(BD136,Strike2/BR136-1,"")</f>
        <v/>
      </c>
      <c r="BU136" s="465" t="str">
        <f aca="false">IF(BD136,IF(Underlying=1,L137,R137)+UnderlyingPriceAsian-SwapPriceCurve,"")</f>
        <v/>
      </c>
      <c r="BV136" s="465" t="str">
        <f aca="false">IF(BD136,IF(Underlying=1,L138,R138)+UnderlyingPriceAsian-SwapPriceCurve,"")</f>
        <v/>
      </c>
      <c r="BW136" s="466" t="str">
        <f aca="false">IF(BD136,IF(Underlying=1,O137,AT137),"")</f>
        <v/>
      </c>
      <c r="BX136" s="467" t="str">
        <f aca="false">IF(BD136,IF(Underlying=1,O138,AT138),"")</f>
        <v/>
      </c>
      <c r="BY136" s="466" t="str">
        <f aca="false">IF(BD136,IF(BS136&gt;0,IF(BS136&gt;0.2,BC136-BB136,IF(BS136&gt;0.1,BB136-BA136,BA136)),IF(BS136&lt;-0.2,AX136-AY136,IF(BS136&lt;-0.1,AY136-AZ136,AZ136))),"")</f>
        <v/>
      </c>
      <c r="BZ136" s="467" t="str">
        <f aca="false">IF(BD136,IF(BT136&gt;0,IF(BT136&gt;0.2,BC136-BB136,IF(BT136&gt;0.1,BB136-BA136,BA136)),IF(BT136&lt;-0.2,AX136-AY136,IF(BT136&lt;-0.1,AY136-AZ136,AZ136))),"")</f>
        <v/>
      </c>
      <c r="CA136" s="468" t="str">
        <f aca="false">IF($BD136,$BW136+IF(VolSkewFlag=1,IF(BS136&gt;0,$BA136*MIN(BS136/10%,1)+($BB136-$BA136)*MAX(0,MIN(BS136/10%-1,1))+($BC136-$BB136)*MAX(0,BS136/10%-2),$AZ136*MIN(-BS136/10%,1)+($AY136-$AZ136)*MAX(0,MIN(-BS136/10%-1,1))+($AX136-$AY136)*MAX(0,-BS136/10%-2)),0),"")</f>
        <v/>
      </c>
      <c r="CB136" s="468" t="str">
        <f aca="false">IF($BD136,$BX136+IF(VolSkewFlag=1,IF(BS136&gt;0,$BA136*MIN(BS136/10%,1)+($BB136-$BA136)*MAX(0,MIN(BS136/10%-1,1))+($BC136-$BB136)*MAX(0,BS136/10%-2),$AZ136*MIN(-BS136/10%,1)+($AY136-$AZ136)*MAX(0,MIN(-BS136/10%-1,1))+($AX136-$AY136)*MAX(0,-BS136/10%-2)),0),"")</f>
        <v/>
      </c>
      <c r="CC136" s="468" t="str">
        <f aca="false">IF($BD136,$BW136+IF(VolSkewFlag=1,IF(BT136&gt;0,$BA136*MIN(BT136/10%,1)+($BB136-$BA136)*MAX(0,MIN(BT136/10%-1,1))+($BC136-$BB136)*MAX(0,BT136/10%-2),$AZ136*MIN(-BT136/10%,1)+($AY136-$AZ136)*MAX(0,MIN(-BT136/10%-1,1))+($AX136-$AY136)*MAX(0,-BT136/10%-2)),0),"")</f>
        <v/>
      </c>
      <c r="CD136" s="468" t="str">
        <f aca="false">IF($BD136,$BX136+IF(VolSkewFlag=1,IF(BT136&gt;0,$BA136*MIN(BT136/10%,1)+($BB136-$BA136)*MAX(0,MIN(BT136/10%-1,1))+($BC136-$BB136)*MAX(0,BT136/10%-2),$AZ136*MIN(-BT136/10%,1)+($AY136-$AZ136)*MAX(0,MIN(-BT136/10%-1,1))+($AX136-$AY136)*MAX(0,-BT136/10%-2)),0),"")</f>
        <v/>
      </c>
      <c r="CE136" s="469" t="n">
        <v>1</v>
      </c>
      <c r="CF136" s="470" t="n">
        <f aca="false">IF(BD136,xCrudeAPO(BU136,BV136,CA136,CB136,S137,S138,BI136,BL136,BP136,BQ136,0,Strike1,AO136,CE136,0,BL136,IF(OptControl=4,0,1),0,1),0)</f>
        <v>0</v>
      </c>
      <c r="CG136" s="470" t="n">
        <f aca="false">IF(BD136,xCrudeAPO(BU136,BV136,CA136,CB136,S137,S138,BI136,BL136,BP136,BQ136,0,Strike1,AO136,CE136,0,BL136,IF(OptControl=4,0,1),1,1)+xCrudeAPO(BU136,BV136,CA136,CB136,S137,S138,BI136,BL136,BP136,BQ136,0,Strike1,AO136,CE136,0,BL136,IF(OptControl=4,0,1),1,2)+IF(OR(VolSkewFlag=2,ABS(BS136)&lt;0.0001),0,IF(BS136&gt;0,-1,1)*CH136*Strike1/BR136^2*BY136/10%),0)</f>
        <v>0</v>
      </c>
      <c r="CH136" s="470" t="n">
        <f aca="false">IF(BD136,(xCrudeAPO(BU136,BV136,CA136,CB136,S137,S138,BI136,BL136,BP136,BQ136,0,Strike1,AO136,CE136,0,BL136,IF(OptControl=4,0,1),3,1)+xCrudeAPO(BU136,BV136,CA136,CB136,S137,S138,BI136,BL136,BP136,BQ136,0,Strike1,AO136,CE136,0,BL136,IF(OptControl=4,0,1),3,2))/100,0)</f>
        <v>0</v>
      </c>
      <c r="CI136" s="470" t="n">
        <f aca="false">IF(BD136,xCrudeAPO(BU136,BV136,CA136,CB136,S137,S138,BI136-DaysForThetaCalculation/365.25,BL136-DaysForThetaCalculation/365.25,BP136,BQ136,0,Strike1,AO136,CE136,0,BL136,IF(OptControl=4,0,1),0,1)-xCrudeAPO(BU136,BV136,CA136,CB136,S137,S138,BI136,BL136,BP136,BQ136,0,Strike1,AO136,CE136,0,BL136,IF(OptControl=4,0,1),0,1),0)</f>
        <v>0</v>
      </c>
      <c r="CJ136" s="471" t="n">
        <f aca="false">IF(BD136,xCrudeAPO(BU136,BV136,CC136,CD136,S137,S138,BI136,BL136,BP136,BQ136,0,Strike2,AO136,CE136,0,BL136,IF(OptControl=3,1,0),0,1),0)</f>
        <v>0</v>
      </c>
      <c r="CK136" s="470" t="n">
        <f aca="false">IF(BD136,xCrudeAPO(BU136,BV136,CC136,CD136,S137,S138,BI136,BL136,BP136,BQ136,0,Strike2,AO136,CE136,0,BL136,IF(OptControl=3,1,0),1,1)+xCrudeAPO(BU136,BV136,CC136,CD136,S137,S138,BI136,BL136,BP136,BQ136,0,Strike2,AO136,CE136,0,BL136,IF(OptControl=3,1,0),1,2)+IF(OR(VolSkewFlag=2,ABS(BT136)&lt;0.0001),0,IF(BT136&gt;0,-1,1)*CL136*Strike2/BR136^2*BZ136/10%),0)</f>
        <v>0</v>
      </c>
      <c r="CL136" s="470" t="n">
        <f aca="false">IF(BD136,(xCrudeAPO(BU136,BV136,CC136,CD136,S137,S138,BI136,BL136,BP136,BQ136,0,Strike2,AO136,CE136,0,BL136,IF(OptControl=3,1,0),3,1)+xCrudeAPO(BU136,BV136,CC136,CD136,S137,S138,BI136,BL136,BP136,BQ136,0,Strike2,AO136,CE136,0,BL136,IF(OptControl=3,1,0),3,2))/100,0)</f>
        <v>0</v>
      </c>
      <c r="CM136" s="472" t="n">
        <f aca="false">IF(BD136,xCrudeAPO(BU136,BV136,CC136,CD136,S137,S138,BI136-DaysForThetaCalculation/365.25,BL136-DaysForThetaCalculation/365.25,BP136,BQ136,0,Strike2,AO136,CE136,0,BL136,IF(OptControl=3,1,0),0,1)-xCrudeAPO(BU136,BV136,CC136,CD136,S137,S138,BI136,BL136,BP136,BQ136,0,Strike2,AO136,CE136,0,BL136,IF(OptControl=3,1,0),0,1),0)</f>
        <v>0</v>
      </c>
      <c r="CN136" s="3"/>
      <c r="CO136" s="543" t="str">
        <f aca="false">IF(BD136,CHOOSE(Underlying,AD136,AF136)-DateToday+1,"")</f>
        <v/>
      </c>
      <c r="CP136" s="582" t="str">
        <f aca="false">IF(BD136,CHOOSE(Underlying,L136,R136),"")</f>
        <v/>
      </c>
      <c r="CQ136" s="544" t="str">
        <f aca="false">IF(BD136,Strike1/CP136-1,"")</f>
        <v/>
      </c>
      <c r="CR136" s="544" t="str">
        <f aca="false">IF(BD136,Strike2/CP136-1,"")</f>
        <v/>
      </c>
      <c r="CS136" s="544" t="str">
        <f aca="false">IF(BD136,IF(CQ136&gt;0,IF(CQ136&gt;0.2,BC135-BB135,IF(CQ136&gt;0.1,BB135-BA135,BA135)),IF(CQ136&lt;-0.2,AX135-AY135,IF(CQ136&lt;-0.1,AY135-AZ135,AZ135))),"")</f>
        <v/>
      </c>
      <c r="CT136" s="544" t="str">
        <f aca="false">IF(BD136,IF(CR136&gt;0,IF(CR136&gt;0.2,BC135-BB135,IF(CR136&gt;0.1,BB135-BA135,BA135)),IF(CR136&lt;-0.2,AX135-AY135,IF(CR136&lt;-0.1,AY135-AZ135,AZ135))),"")</f>
        <v/>
      </c>
      <c r="CU136" s="545" t="str">
        <f aca="false">IF(BD136,CHOOSE(Underlying,O136,AT136),"")</f>
        <v/>
      </c>
      <c r="CV136" s="545" t="str">
        <f aca="false">IF(BD136,CU136+IF(VolSkewFlag=1,IF(CQ136&gt;0,BA135*MIN(CQ136/10%,1)+(BB135-BA135)*MAX(0,MIN(CQ136/10%-1,1))+(BC135-BB135)*MAX(0,CQ136/10%-2),AZ135*MIN(-CQ136/10%,1)+(AY135-AZ135)*MAX(0,MIN(-CQ136/10%-1,1))+(AX135-AY135)*MAX(0,-CQ136/10%-2)),0),"")</f>
        <v/>
      </c>
      <c r="CW136" s="545" t="str">
        <f aca="false">IF(BD136,CU136+IF(VolSkewFlag=1,IF(CR136&gt;0,BA135*MIN(CR136/10%,1)+(BB135-BA135)*MAX(0,MIN(CR136/10%-1,1))+(BC135-BB135)*MAX(0,CR136/10%-2),AZ135*MIN(-CR136/10%,1)+(AY135-AZ135)*MAX(0,MIN(-CR136/10%-1,1))+(AX135-AY135)*MAX(0,-CR136/10%-2)),0),"")</f>
        <v/>
      </c>
      <c r="CX136" s="470" t="n">
        <f aca="false">IF(BD136,EURO(CP136,Strike1,AO136,AO136,CV136,CO136,IF(OptControl=4,0,1),0),0)</f>
        <v>0</v>
      </c>
      <c r="CY136" s="470" t="n">
        <f aca="false">IF(BD136,EURO(CP136,Strike1,AO136,AO136,CV136,CO136,IF(OptControl=4,0,1),1)+IF(OR(VolSkewFlag=2,ABS(CQ136)&lt;0.0001),0,IF(CQ136&gt;0,-1,1)*CZ136*100*Strike1/CP136^2*CS136/10%),0)</f>
        <v>0</v>
      </c>
      <c r="CZ136" s="470" t="n">
        <f aca="false">IF(BD136,EURO(CP136,Strike1,AO136,AO136,CV136,CO136,IF(OptControl=4,0,1),3)/100,0)</f>
        <v>0</v>
      </c>
      <c r="DA136" s="470" t="n">
        <f aca="false">IF(BD136,EURO(CP136,Strike1,AO136,AO136,CV136,CO136,IF(OptControl=4,0,1),0)-EURO(CP136,Strike1,AO136,AO136,CV136,CO136-1,IF(OptControl=4,0,1),0),0)</f>
        <v>0</v>
      </c>
      <c r="DB136" s="470" t="n">
        <f aca="false">IF(BD136,EURO(CP136,Strike2,AO136,AO136,CW136,CO136,IF(OptControl=3,1,0),0),0)</f>
        <v>0</v>
      </c>
      <c r="DC136" s="470" t="n">
        <f aca="false">IF(BD136,EURO(CP136,Strike2,AO136,AO136,CW136,CO136,IF(OptControl=3,1,0),1)+IF(OR(VolSkewFlag=2,ABS(CR136)&lt;0.0001),0,IF(CR136&gt;0,-1,1)*DD136*100*Strike2/CP136^2*CT136/10%),0)</f>
        <v>0</v>
      </c>
      <c r="DD136" s="470" t="n">
        <f aca="false">IF(BD136,EURO(CP136,Strike2,AO136,AO136,CW136,CO136,IF(OptControl=3,1,0),3)/100,0)</f>
        <v>0</v>
      </c>
      <c r="DE136" s="472" t="n">
        <f aca="false">IF(BD136,EURO(CP136,Strike2,AO136,AO136,CW136,CO136,IF(OptControl=3,1,0),0)-EURO(CP136,Strike2,AO136,AO136,CW136,CO136-1,IF(OptControl=3,1,0),0),0)</f>
        <v>0</v>
      </c>
      <c r="DG136" s="481" t="n">
        <f aca="false">EOMONTH(DG135,0)+1</f>
        <v>49218</v>
      </c>
      <c r="DH136" s="478" t="n">
        <v>19.96</v>
      </c>
      <c r="DI136" s="479" t="n">
        <v>20.0281818181819</v>
      </c>
      <c r="DJ136" s="480" t="n">
        <f aca="false">DG136</f>
        <v>49218</v>
      </c>
      <c r="DK136" s="478" t="n">
        <v>18.6023038526983</v>
      </c>
      <c r="DL136" s="479" t="n">
        <v>18.8350818181819</v>
      </c>
      <c r="DM136" s="481" t="n">
        <f aca="false">DG136</f>
        <v>49218</v>
      </c>
      <c r="DN136" s="482" t="n">
        <f aca="false">DK136+BrentPhyBrentSpread</f>
        <v>18.6523038526983</v>
      </c>
      <c r="DO136" s="481" t="n">
        <f aca="false">DG136</f>
        <v>49218</v>
      </c>
      <c r="DP136" s="483" t="n">
        <f aca="false">DL136+DQ136</f>
        <v>18.8350818181819</v>
      </c>
      <c r="DQ136" s="546" t="n">
        <v>0</v>
      </c>
      <c r="DR136" s="480" t="n">
        <f aca="false">DG136</f>
        <v>49218</v>
      </c>
      <c r="DS136" s="485" t="n">
        <v>0.154999999999999</v>
      </c>
      <c r="DT136" s="486" t="n">
        <v>0.154181818181817</v>
      </c>
      <c r="DU136" s="480" t="n">
        <f aca="false">DG136</f>
        <v>49218</v>
      </c>
      <c r="DV136" s="485" t="n">
        <v>0.154999999999999</v>
      </c>
      <c r="DW136" s="486" t="n">
        <v>0.154181818181817</v>
      </c>
      <c r="DX136" s="481" t="n">
        <f aca="false">DG136</f>
        <v>49218</v>
      </c>
      <c r="DY136" s="486" t="n">
        <v>0.35</v>
      </c>
      <c r="DZ136" s="481" t="n">
        <f aca="false">DR136</f>
        <v>49218</v>
      </c>
      <c r="EA136" s="486" t="n">
        <f aca="false">DT136</f>
        <v>0.154181818181817</v>
      </c>
      <c r="EB136" s="195"/>
      <c r="EC136" s="547" t="str">
        <f aca="false">IF(BD136,IF(Underlying=1,AS136,AU136),"")</f>
        <v/>
      </c>
      <c r="ED136" s="548" t="str">
        <f aca="false">IF($BD136,$EC136+IF(VolSkewFlag=1,IF(BS136&gt;0,$BA136*MIN(BS136/10%,1)+($BB136-$BA136)*MAX(0,MIN(BS136/10%-1,1))+($BC136-$BB136)*MAX(0,BS136/10%-2),$AZ136*MIN(-BS136/10%,1)+($AY136-$AZ136)*MAX(0,MIN(-BS136/10%-1,1))+($AX136-$AY136)*MAX(0,-BS136/10%-2)),0),"")</f>
        <v/>
      </c>
      <c r="EE136" s="549" t="str">
        <f aca="false">IF($BD136,$EC136+IF(VolSkewFlag=1,IF(BT136&gt;0,$BA136*MIN(BT136/10%,1)+($BB136-$BA136)*MAX(0,MIN(BT136/10%-1,1))+($BC136-$BB136)*MAX(0,BT136/10%-2),$AZ136*MIN(-BT136/10%,1)+($AY136-$AZ136)*MAX(0,MIN(-BT136/10%-1,1))+($AX136-$AY136)*MAX(0,-BT136/10%-2)),0),"")</f>
        <v/>
      </c>
      <c r="EF136" s="550" t="n">
        <f aca="false">IF(BD136,xASN(BR136,Strike1,AO136,ED136,0,BO136,0,BI136,BL136,IF(OptControl=4,0,1),0),0)</f>
        <v>0</v>
      </c>
      <c r="EG136" s="551" t="n">
        <f aca="false">IF(BD136,xASN(BR136,Strike2,AO136,EE136,0,BO136,0,BI136,BL136,IF(OptControl=3,1,0),0),0)</f>
        <v>0</v>
      </c>
      <c r="EL136" s="1"/>
      <c r="EM136" s="195"/>
      <c r="EN136" s="240"/>
      <c r="EO136" s="240"/>
      <c r="EP136" s="195"/>
      <c r="EQ136" s="407" t="s">
        <v>363</v>
      </c>
      <c r="ES136" s="130"/>
      <c r="ET136" s="19"/>
      <c r="EU136" s="672"/>
      <c r="EV136" s="478"/>
      <c r="EW136" s="131"/>
      <c r="EX136" s="131"/>
      <c r="EY136" s="129"/>
      <c r="EZ136" s="129"/>
      <c r="FA136" s="129"/>
      <c r="FB136" s="129"/>
      <c r="FC136" s="129"/>
      <c r="FD136" s="129"/>
      <c r="FE136" s="129"/>
      <c r="FF136" s="129"/>
      <c r="FG136" s="129"/>
      <c r="FH136" s="129"/>
      <c r="FI136" s="129"/>
      <c r="FJ136" s="571" t="n">
        <v>42</v>
      </c>
      <c r="FK136" s="150" t="e">
        <f aca="false">IF($FJ61&lt;FK$94,"",SQRT(FK61/FK$15))</f>
        <v>#DIV/0!</v>
      </c>
      <c r="FL136" s="150" t="n">
        <f aca="false">IF($FJ61&lt;FL$94,"",SQRT(FL61/FL$15))</f>
        <v>-0</v>
      </c>
      <c r="FM136" s="150" t="n">
        <f aca="false">IF($FJ61&lt;FM$94,"",SQRT(FM61/FM$15))</f>
        <v>0.17078980105045</v>
      </c>
      <c r="FN136" s="150" t="n">
        <f aca="false">IF($FJ61&lt;FN$94,"",SQRT(FN61/FN$15))</f>
        <v>0.167554294156699</v>
      </c>
      <c r="FO136" s="150" t="n">
        <f aca="false">IF($FJ61&lt;FO$94,"",SQRT(FO61/FO$15))</f>
        <v>0.165146647216772</v>
      </c>
      <c r="FP136" s="150" t="n">
        <f aca="false">IF($FJ61&lt;FP$94,"",SQRT(FP61/FP$15))</f>
        <v>0.163363229890735</v>
      </c>
      <c r="FQ136" s="150" t="n">
        <f aca="false">IF($FJ61&lt;FQ$94,"",SQRT(FQ61/FQ$15))</f>
        <v>0.162051876787218</v>
      </c>
      <c r="FR136" s="150" t="n">
        <f aca="false">IF($FJ61&lt;FR$94,"",SQRT(FR61/FR$15))</f>
        <v>0.161099118966582</v>
      </c>
      <c r="FS136" s="150" t="n">
        <f aca="false">IF($FJ61&lt;FS$94,"",SQRT(FS61/FS$15))</f>
        <v>0.160420624568454</v>
      </c>
      <c r="FT136" s="150" t="n">
        <f aca="false">IF($FJ61&lt;FT$94,"",SQRT(FT61/FT$15))</f>
        <v>0.159954049417739</v>
      </c>
      <c r="FU136" s="150" t="n">
        <f aca="false">IF($FJ61&lt;FU$94,"",SQRT(FU61/FU$15))</f>
        <v>0.159653698863995</v>
      </c>
      <c r="FV136" s="150" t="n">
        <f aca="false">IF($FJ61&lt;FV$94,"",SQRT(FV61/FV$15))</f>
        <v>0.159486552546529</v>
      </c>
      <c r="FW136" s="150" t="n">
        <f aca="false">IF($FJ61&lt;FW$94,"",SQRT(FW61/FW$15))</f>
        <v>0.15942931677805</v>
      </c>
      <c r="FX136" s="150" t="n">
        <f aca="false">IF($FJ61&lt;FX$94,"",SQRT(FX61/FX$15))</f>
        <v>0.159466254208905</v>
      </c>
      <c r="FY136" s="150" t="n">
        <f aca="false">IF($FJ61&lt;FY$94,"",SQRT(FY61/FY$15))</f>
        <v>0.159587604440922</v>
      </c>
      <c r="FZ136" s="150" t="n">
        <f aca="false">IF($FJ61&lt;FZ$94,"",SQRT(FZ61/FZ$15))</f>
        <v>0.159788457626366</v>
      </c>
      <c r="GA136" s="150" t="n">
        <f aca="false">IF($FJ61&lt;GA$94,"",SQRT(GA61/GA$15))</f>
        <v>0.160067979832563</v>
      </c>
      <c r="GB136" s="150" t="n">
        <f aca="false">IF($FJ61&lt;GB$94,"",SQRT(GB61/GB$15))</f>
        <v>0.16042891712844</v>
      </c>
      <c r="GC136" s="150" t="n">
        <f aca="false">IF($FJ61&lt;GC$94,"",SQRT(GC61/GC$15))</f>
        <v>0.160877327298058</v>
      </c>
      <c r="GD136" s="150" t="n">
        <f aca="false">IF($FJ61&lt;GD$94,"",SQRT(GD61/GD$15))</f>
        <v>0.161422505639469</v>
      </c>
      <c r="GE136" s="150" t="n">
        <f aca="false">IF($FJ61&lt;GE$94,"",SQRT(GE61/GE$15))</f>
        <v>0.162077085944619</v>
      </c>
      <c r="GF136" s="150" t="n">
        <f aca="false">IF($FJ61&lt;GF$94,"",SQRT(GF61/GF$15))</f>
        <v>0.162857310739178</v>
      </c>
      <c r="GG136" s="150" t="n">
        <f aca="false">IF($FJ61&lt;GG$94,"",SQRT(GG61/GG$15))</f>
        <v>0.163783477356152</v>
      </c>
      <c r="GH136" s="150" t="n">
        <f aca="false">IF($FJ61&lt;GH$94,"",SQRT(GH61/GH$15))</f>
        <v>0.164880579620433</v>
      </c>
      <c r="GI136" s="150" t="n">
        <f aca="false">IF($FJ61&lt;GI$94,"",SQRT(GI61/GI$15))</f>
        <v>0.166179180206427</v>
      </c>
      <c r="GJ136" s="150" t="n">
        <f aca="false">IF($FJ61&lt;GJ$94,"",SQRT(GJ61/GJ$15))</f>
        <v>0.167716567841643</v>
      </c>
      <c r="GK136" s="150" t="n">
        <f aca="false">IF($FJ61&lt;GK$94,"",SQRT(GK61/GK$15))</f>
        <v>0.169538278857635</v>
      </c>
      <c r="GL136" s="150" t="n">
        <f aca="false">IF($FJ61&lt;GL$94,"",SQRT(GL61/GL$15))</f>
        <v>0.171700097600634</v>
      </c>
      <c r="GM136" s="150" t="n">
        <f aca="false">IF($FJ61&lt;GM$94,"",SQRT(GM61/GM$15))</f>
        <v>0.174270700120219</v>
      </c>
      <c r="GN136" s="150" t="n">
        <f aca="false">IF($FJ61&lt;GN$94,"",SQRT(GN61/GN$15))</f>
        <v>0.177335178424583</v>
      </c>
      <c r="GO136" s="150" t="n">
        <f aca="false">IF($FJ61&lt;GO$94,"",SQRT(GO61/GO$15))</f>
        <v>0.180999791215774</v>
      </c>
      <c r="GP136" s="150" t="n">
        <f aca="false">IF($FJ61&lt;GP$94,"",SQRT(GP61/GP$15))</f>
        <v>0.185398452120953</v>
      </c>
      <c r="GQ136" s="150" t="n">
        <f aca="false">IF($FJ61&lt;GQ$94,"",SQRT(GQ61/GQ$15))</f>
        <v>0.190701722332879</v>
      </c>
      <c r="GR136" s="150" t="n">
        <f aca="false">IF($FJ61&lt;GR$94,"",SQRT(GR61/GR$15))</f>
        <v>0.197129479400023</v>
      </c>
      <c r="GS136" s="150" t="n">
        <f aca="false">IF($FJ61&lt;GS$94,"",SQRT(GS61/GS$15))</f>
        <v>0.204969088577453</v>
      </c>
      <c r="GT136" s="150" t="n">
        <f aca="false">IF($FJ61&lt;GT$94,"",SQRT(GT61/GT$15))</f>
        <v>0.214601987523646</v>
      </c>
      <c r="GU136" s="150" t="n">
        <f aca="false">IF($FJ61&lt;GU$94,"",SQRT(GU61/GU$15))</f>
        <v>0.226543439187357</v>
      </c>
      <c r="GV136" s="150" t="n">
        <f aca="false">IF($FJ61&lt;GV$94,"",SQRT(GV61/GV$15))</f>
        <v>0.241503436532645</v>
      </c>
      <c r="GW136" s="150" t="n">
        <f aca="false">IF($FJ61&lt;GW$94,"",SQRT(GW61/GW$15))</f>
        <v>0.260482583107092</v>
      </c>
      <c r="GX136" s="150" t="n">
        <f aca="false">IF($FJ61&lt;GX$94,"",SQRT(GX61/GX$15))</f>
        <v>0.284927730907961</v>
      </c>
      <c r="GY136" s="150" t="n">
        <f aca="false">IF($FJ61&lt;GY$94,"",SQRT(GY61/GY$15))</f>
        <v>0.316993583642085</v>
      </c>
      <c r="GZ136" s="150" t="n">
        <f aca="false">IF($FJ61&lt;GZ$94,"",SQRT(GZ61/GZ$15))</f>
        <v>0.360000402263406</v>
      </c>
      <c r="HA136" s="150" t="str">
        <f aca="false">IF($FJ61&lt;HA$94,"",SQRT(HA61/HA$15))</f>
        <v/>
      </c>
      <c r="HB136" s="150" t="str">
        <f aca="false">IF($FJ61&lt;HB$94,"",SQRT(HB61/HB$15))</f>
        <v/>
      </c>
      <c r="HC136" s="150" t="str">
        <f aca="false">IF($FJ61&lt;HC$94,"",SQRT(HC61/HC$15))</f>
        <v/>
      </c>
      <c r="HD136" s="150" t="str">
        <f aca="false">IF($FJ61&lt;HD$94,"",SQRT(HD61/HD$15))</f>
        <v/>
      </c>
      <c r="HE136" s="150" t="str">
        <f aca="false">IF($FJ61&lt;HE$94,"",SQRT(HE61/HE$15))</f>
        <v/>
      </c>
      <c r="HF136" s="150" t="str">
        <f aca="false">IF($FJ61&lt;HF$94,"",SQRT(HF61/HF$15))</f>
        <v/>
      </c>
      <c r="HG136" s="150" t="str">
        <f aca="false">IF($FJ61&lt;HG$94,"",SQRT(HG61/HG$15))</f>
        <v/>
      </c>
      <c r="HH136" s="150" t="str">
        <f aca="false">IF($FJ61&lt;HH$94,"",SQRT(HH61/HH$15))</f>
        <v/>
      </c>
      <c r="HI136" s="150" t="str">
        <f aca="false">IF($FJ61&lt;HI$94,"",SQRT(HI61/HI$15))</f>
        <v/>
      </c>
      <c r="HJ136" s="150" t="str">
        <f aca="false">IF($FJ61&lt;HJ$94,"",SQRT(HJ61/HJ$15))</f>
        <v/>
      </c>
      <c r="HK136" s="150" t="str">
        <f aca="false">IF($FJ61&lt;HK$94,"",SQRT(HK61/HK$15))</f>
        <v/>
      </c>
      <c r="HL136" s="150" t="str">
        <f aca="false">IF($FJ61&lt;HL$94,"",SQRT(HL61/HL$15))</f>
        <v/>
      </c>
      <c r="HM136" s="150" t="str">
        <f aca="false">IF($FJ61&lt;HM$94,"",SQRT(HM61/HM$15))</f>
        <v/>
      </c>
      <c r="HN136" s="150" t="str">
        <f aca="false">IF($FJ61&lt;HN$94,"",SQRT(HN61/HN$15))</f>
        <v/>
      </c>
      <c r="HO136" s="150" t="str">
        <f aca="false">IF($FJ61&lt;HO$94,"",SQRT(HO61/HO$15))</f>
        <v/>
      </c>
      <c r="HP136" s="150" t="str">
        <f aca="false">IF($FJ61&lt;HP$94,"",SQRT(HP61/HP$15))</f>
        <v/>
      </c>
      <c r="HQ136" s="150" t="str">
        <f aca="false">IF($FJ61&lt;HQ$94,"",SQRT(HQ61/HQ$15))</f>
        <v/>
      </c>
      <c r="HR136" s="150" t="str">
        <f aca="false">IF($FJ61&lt;HR$94,"",SQRT(HR61/HR$15))</f>
        <v/>
      </c>
      <c r="HS136" s="150" t="str">
        <f aca="false">IF($FJ61&lt;HS$94,"",SQRT(HS61/HS$15))</f>
        <v/>
      </c>
      <c r="HT136" s="150" t="str">
        <f aca="false">IF($FJ61&lt;HT$94,"",SQRT(HT61/HT$15))</f>
        <v/>
      </c>
      <c r="HU136" s="150" t="str">
        <f aca="false">IF($FJ61&lt;HU$94,"",SQRT(HU61/HU$15))</f>
        <v/>
      </c>
      <c r="HV136" s="150" t="str">
        <f aca="false">IF($FJ61&lt;HV$94,"",SQRT(HV61/HV$15))</f>
        <v/>
      </c>
      <c r="HW136" s="150" t="str">
        <f aca="false">IF($FJ61&lt;HW$94,"",SQRT(HW61/HW$15))</f>
        <v/>
      </c>
      <c r="HX136" s="150" t="str">
        <f aca="false">IF($FJ61&lt;HX$94,"",SQRT(HX61/HX$15))</f>
        <v/>
      </c>
      <c r="HY136" s="150" t="str">
        <f aca="false">IF($FJ61&lt;HY$94,"",SQRT(HY61/HY$15))</f>
        <v/>
      </c>
      <c r="HZ136" s="150" t="str">
        <f aca="false">IF($FJ61&lt;HZ$94,"",SQRT(HZ61/HZ$15))</f>
        <v/>
      </c>
      <c r="IA136" s="150" t="str">
        <f aca="false">IF($FJ61&lt;IA$94,"",SQRT(IA61/IA$15))</f>
        <v/>
      </c>
      <c r="IB136" s="150" t="str">
        <f aca="false">IF($FJ61&lt;IB$94,"",SQRT(IB61/IB$15))</f>
        <v/>
      </c>
      <c r="IC136" s="150" t="str">
        <f aca="false">IF($FJ61&lt;IC$94,"",SQRT(IC61/IC$15))</f>
        <v/>
      </c>
      <c r="ID136" s="572" t="str">
        <f aca="false">IF($FJ61&lt;ID$94,"",SQRT(ID61/ID$15))</f>
        <v/>
      </c>
      <c r="IE136" s="129"/>
    </row>
    <row r="137" customFormat="false" ht="12.75" hidden="false" customHeight="false" outlineLevel="0" collapsed="false">
      <c r="H137" s="219" t="n">
        <f aca="false">VLOOKUP(I137,$EJ$20:$EL$54,3)</f>
        <v>0</v>
      </c>
      <c r="I137" s="511" t="n">
        <f aca="false">EOMONTH(I136,0)+1</f>
        <v>40330</v>
      </c>
      <c r="J137" s="512"/>
      <c r="K137" s="513" t="s">
        <v>280</v>
      </c>
      <c r="L137" s="514" t="n">
        <f aca="false">IF(ISNUMBER(K137),J137+K137/100,IF(K137="extra",L136+VLOOKUP(BF137,PriceSpreadTable,2)/12,IF(K137="inter",interpolateprices($K$19:$L$200,ROW(K137)-ROW(FirstPricingMonth)+1),interpolatechanges($J$19:$K$200,ROW(K137)-ROW(FirstPricingMonth)+1))))</f>
        <v>1.5375</v>
      </c>
      <c r="M137" s="515"/>
      <c r="N137" s="516" t="n">
        <v>0</v>
      </c>
      <c r="O137" s="515" t="n">
        <f aca="false">M137+N137</f>
        <v>0</v>
      </c>
      <c r="P137" s="512"/>
      <c r="Q137" s="513" t="s">
        <v>280</v>
      </c>
      <c r="R137" s="512" t="e">
        <f aca="false">IF(ISNUMBER(Q137),P137+Q137/100,IF(Q137="extra",(Z135*AL135-R136*AM135)/AN135,IF(Q137="inter",interpolateprices($Q$19:$R$260,ROW(Q137)-ROW(FirstPricingMonth)+1),interpolatechanges($P$19:$Q$260,ROW(Q137)-ROW(FirstPricingMonth)+1))))</f>
        <v>#VALUE!</v>
      </c>
      <c r="S137" s="597" t="n">
        <f aca="false">S$19+(S136-S$19)*S$18</f>
        <v>0.36</v>
      </c>
      <c r="T137" s="575" t="n">
        <f aca="false">SQRT((1-(1-T136^2/U136)*T$18)*U137)</f>
        <v>0.999999998768249</v>
      </c>
      <c r="U137" s="576" t="n">
        <f aca="false">1-(1-U136)*U$18</f>
        <v>1</v>
      </c>
      <c r="V137" s="521" t="n">
        <v>0</v>
      </c>
      <c r="W137" s="577" t="n">
        <f aca="false">(J138*AJ137+J139*AK137)/AI137</f>
        <v>0</v>
      </c>
      <c r="X137" s="578" t="n">
        <f aca="false">(L138*AJ137+L139*AK137)/AI137</f>
        <v>1.58863636363636</v>
      </c>
      <c r="Y137" s="579" t="n">
        <f aca="false">IF(Q139="extra",W137-AA137,(P138*AM137+P139*AN137)/AL137)</f>
        <v>-1.2915</v>
      </c>
      <c r="Z137" s="579" t="n">
        <f aca="false">IF(Q139="extra",X137-AB137,(R138*AM137+R139*AN137)/AL137)</f>
        <v>0.297136363636365</v>
      </c>
      <c r="AA137" s="523" t="n">
        <f aca="false">IF(Q139="extra",INDEX(BrentSeasonalityTable,INT((BG137-1)/3)+1)*VLOOKUP(MAX(BF137,$AB$4),PriceSpreadTable,3),W137-Y137)</f>
        <v>1.2915</v>
      </c>
      <c r="AB137" s="524" t="n">
        <f aca="false">IF(Q139="extra",INDEX(BrentSeasonalityTable,INT((BG137-1)/3)+1)*VLOOKUP(MAX(BF137,$AB$4),PriceSpreadTable,3),X137-Z137)</f>
        <v>1.2915</v>
      </c>
      <c r="AC137" s="646" t="n">
        <v>40318</v>
      </c>
      <c r="AD137" s="646" t="n">
        <v>40314</v>
      </c>
      <c r="AE137" s="646" t="n">
        <v>40313</v>
      </c>
      <c r="AF137" s="646" t="n">
        <v>40309</v>
      </c>
      <c r="AG137" s="438" t="s">
        <v>278</v>
      </c>
      <c r="AH137" s="439" t="s">
        <v>278</v>
      </c>
      <c r="AI137" s="528" t="n">
        <v>22</v>
      </c>
      <c r="AJ137" s="529" t="n">
        <v>14</v>
      </c>
      <c r="AK137" s="529" t="n">
        <v>8</v>
      </c>
      <c r="AL137" s="530" t="n">
        <v>22</v>
      </c>
      <c r="AM137" s="529" t="n">
        <v>10</v>
      </c>
      <c r="AN137" s="531" t="n">
        <v>12</v>
      </c>
      <c r="AO137" s="532"/>
      <c r="AP137" s="465" t="n">
        <f aca="false">(1+AO137/2)^(-2*BL137)</f>
        <v>1</v>
      </c>
      <c r="AQ137" s="532"/>
      <c r="AR137" s="465" t="n">
        <f aca="false">(1+AQ137/2)^(-2*BH137/365.25)</f>
        <v>1</v>
      </c>
      <c r="AS137" s="580" t="n">
        <f aca="false">(O138*AJ137+O139*AK137)/AI137</f>
        <v>0</v>
      </c>
      <c r="AT137" s="468" t="n">
        <f aca="false">O137*VLOOKUP(BF137,BrentVolTable,2)+VLOOKUP(BF137,BrentVolTable,3)</f>
        <v>0</v>
      </c>
      <c r="AU137" s="468" t="n">
        <f aca="false">(AT138*AM137+AT139*AN137)/AL137</f>
        <v>0</v>
      </c>
      <c r="AV137" s="595" t="n">
        <f aca="false">SQRT(MAX(0.000000000001,(O137^2*BH137-S137^2*(BH137-BH136))/BH136))</f>
        <v>0.0262533711462579</v>
      </c>
      <c r="AW137" s="451" t="n">
        <f aca="false">IF($I137-DateToday+15&gt;=$T$8,"",IF($I137-DateToday+15&lt;$T$5,1,MATCH($I137-DateToday+15,$T$5:$T$8)))</f>
        <v>1</v>
      </c>
      <c r="AX137" s="468" t="n">
        <f aca="false">IF($AW137="",AX136^2/AX135,INDEX(U$5:U$8,$AW137)^((INDEX($T$5:$T$8,$AW137+1)-($I137-DateToday+15))/(INDEX($T$5:$T$8,$AW137+1)-INDEX($T$5:$T$8,$AW137)))/INDEX(U$5:U$8,$AW137+1)^((INDEX($T$5:$T$8,$AW137)-($I137-DateToday+15))/(INDEX($T$5:$T$8,$AW137+1)-INDEX($T$5:$T$8,$AW137))))</f>
        <v>1.02959207860982</v>
      </c>
      <c r="AY137" s="468" t="n">
        <f aca="false">IF($AW137="",AY136^2/AY135,INDEX(V$5:V$8,$AW137)^((INDEX($T$5:$T$8,$AW137+1)-($I137-DateToday+15))/(INDEX($T$5:$T$8,$AW137+1)-INDEX($T$5:$T$8,$AW137)))/INDEX(V$5:V$8,$AW137+1)^((INDEX($T$5:$T$8,$AW137)-($I137-DateToday+15))/(INDEX($T$5:$T$8,$AW137+1)-INDEX($T$5:$T$8,$AW137))))</f>
        <v>37.785670686799</v>
      </c>
      <c r="AZ137" s="468" t="n">
        <f aca="false">IF($AW137="",AZ136^2/AZ135,INDEX(W$5:W$8,$AW137)^((INDEX($T$5:$T$8,$AW137+1)-($I137-DateToday+15))/(INDEX($T$5:$T$8,$AW137+1)-INDEX($T$5:$T$8,$AW137)))/INDEX(W$5:W$8,$AW137+1)^((INDEX($T$5:$T$8,$AW137)-($I137-DateToday+15))/(INDEX($T$5:$T$8,$AW137+1)-INDEX($T$5:$T$8,$AW137))))</f>
        <v>46362.6526707624</v>
      </c>
      <c r="BA137" s="468" t="n">
        <f aca="false">IF($AW137="",BA136^2/BA135,INDEX(X$5:X$8,$AW137)^((INDEX($T$5:$T$8,$AW137+1)-($I137-DateToday+15))/(INDEX($T$5:$T$8,$AW137+1)-INDEX($T$5:$T$8,$AW137)))/INDEX(X$5:X$8,$AW137+1)^((INDEX($T$5:$T$8,$AW137)-($I137-DateToday+15))/(INDEX($T$5:$T$8,$AW137+1)-INDEX($T$5:$T$8,$AW137))))</f>
        <v>497235.624303702</v>
      </c>
      <c r="BB137" s="468" t="n">
        <f aca="false">IF($AW137="",BB136^2/BB135,INDEX(Y$5:Y$8,$AW137)^((INDEX($T$5:$T$8,$AW137+1)-($I137-DateToday+15))/(INDEX($T$5:$T$8,$AW137+1)-INDEX($T$5:$T$8,$AW137)))/INDEX(Y$5:Y$8,$AW137+1)^((INDEX($T$5:$T$8,$AW137)-($I137-DateToday+15))/(INDEX($T$5:$T$8,$AW137+1)-INDEX($T$5:$T$8,$AW137))))</f>
        <v>4318285.17083025</v>
      </c>
      <c r="BC137" s="468" t="n">
        <f aca="false">IF($AW137="",BC136^2/BC135,INDEX(Z$5:Z$8,$AW137)^((INDEX($T$5:$T$8,$AW137+1)-($I137-DateToday+15))/(INDEX($T$5:$T$8,$AW137+1)-INDEX($T$5:$T$8,$AW137)))/INDEX(Z$5:Z$8,$AW137+1)^((INDEX($T$5:$T$8,$AW137)-($I137-DateToday+15))/(INDEX($T$5:$T$8,$AW137+1)-INDEX($T$5:$T$8,$AW137))))</f>
        <v>15925974.6951966</v>
      </c>
      <c r="BD137" s="535" t="n">
        <f aca="false">IF(OR(DateStart&gt;=I138,DateEnd&lt;I137),0,IF(VolumeOverrideFlag,V137,Volume))</f>
        <v>0</v>
      </c>
      <c r="BE137" s="536" t="n">
        <f aca="false">IF(OR(DateStart2&gt;=I138,DateEnd2&lt;I137),0,IF(VolumeOverrideFlag,V137,VolumeSwaption))</f>
        <v>0</v>
      </c>
      <c r="BF137" s="537" t="n">
        <f aca="false">YEAR(I137)</f>
        <v>2010</v>
      </c>
      <c r="BG137" s="538" t="n">
        <f aca="false">MONTH(I137)</f>
        <v>6</v>
      </c>
      <c r="BH137" s="539" t="n">
        <f aca="false">AD137-DateToday+1</f>
        <v>-5611</v>
      </c>
      <c r="BI137" s="540" t="n">
        <f aca="false">(I137-DateToday+1)/365.25</f>
        <v>-15.3182751540041</v>
      </c>
      <c r="BJ137" s="541" t="n">
        <f aca="false">BI137+(BL137-BI137)*CHOOSE(Underlying,AJ137/AI137,AM137/AL137)</f>
        <v>-15.2677493622052</v>
      </c>
      <c r="BK137" s="541" t="n">
        <f aca="false">BJ137+1/365.25</f>
        <v>-15.2650115114181</v>
      </c>
      <c r="BL137" s="541" t="n">
        <f aca="false">(I138-DateToday)/365.25</f>
        <v>-15.2388774811773</v>
      </c>
      <c r="BM137" s="542" t="e">
        <f aca="false">MAX(BI137-(BJ137-BI137)*(S138^2/O138^2-1),0)</f>
        <v>#DIV/0!</v>
      </c>
      <c r="BN137" s="541" t="e">
        <f aca="false">MAX(BL137+(BL137-BK137)*(S139^2/O139^2-1),0)</f>
        <v>#DIV/0!</v>
      </c>
      <c r="BO137" s="530" t="n">
        <f aca="false">CHOOSE(Underlying,AI137,AL137)</f>
        <v>22</v>
      </c>
      <c r="BP137" s="529" t="n">
        <f aca="false">CHOOSE(Underlying,AJ137,AM137)</f>
        <v>14</v>
      </c>
      <c r="BQ137" s="529" t="n">
        <f aca="false">CHOOSE(Underlying,AK137,AN137)</f>
        <v>8</v>
      </c>
      <c r="BR137" s="463" t="str">
        <f aca="false">IF(BD137,IF(Underlying=1,X137,Z137)+UnderlyingPriceAsian-SwapPriceCurve,"")</f>
        <v/>
      </c>
      <c r="BS137" s="463" t="str">
        <f aca="false">IF(BD137,Strike1/BR137-1,"")</f>
        <v/>
      </c>
      <c r="BT137" s="464" t="str">
        <f aca="false">IF(BD137,Strike2/BR137-1,"")</f>
        <v/>
      </c>
      <c r="BU137" s="465" t="str">
        <f aca="false">IF(BD137,IF(Underlying=1,L138,R138)+UnderlyingPriceAsian-SwapPriceCurve,"")</f>
        <v/>
      </c>
      <c r="BV137" s="465" t="str">
        <f aca="false">IF(BD137,IF(Underlying=1,L139,R139)+UnderlyingPriceAsian-SwapPriceCurve,"")</f>
        <v/>
      </c>
      <c r="BW137" s="466" t="str">
        <f aca="false">IF(BD137,IF(Underlying=1,O138,AT138),"")</f>
        <v/>
      </c>
      <c r="BX137" s="467" t="str">
        <f aca="false">IF(BD137,IF(Underlying=1,O139,AT139),"")</f>
        <v/>
      </c>
      <c r="BY137" s="466" t="str">
        <f aca="false">IF(BD137,IF(BS137&gt;0,IF(BS137&gt;0.2,BC137-BB137,IF(BS137&gt;0.1,BB137-BA137,BA137)),IF(BS137&lt;-0.2,AX137-AY137,IF(BS137&lt;-0.1,AY137-AZ137,AZ137))),"")</f>
        <v/>
      </c>
      <c r="BZ137" s="467" t="str">
        <f aca="false">IF(BD137,IF(BT137&gt;0,IF(BT137&gt;0.2,BC137-BB137,IF(BT137&gt;0.1,BB137-BA137,BA137)),IF(BT137&lt;-0.2,AX137-AY137,IF(BT137&lt;-0.1,AY137-AZ137,AZ137))),"")</f>
        <v/>
      </c>
      <c r="CA137" s="468" t="str">
        <f aca="false">IF($BD137,$BW137+IF(VolSkewFlag=1,IF(BS137&gt;0,$BA137*MIN(BS137/10%,1)+($BB137-$BA137)*MAX(0,MIN(BS137/10%-1,1))+($BC137-$BB137)*MAX(0,BS137/10%-2),$AZ137*MIN(-BS137/10%,1)+($AY137-$AZ137)*MAX(0,MIN(-BS137/10%-1,1))+($AX137-$AY137)*MAX(0,-BS137/10%-2)),0),"")</f>
        <v/>
      </c>
      <c r="CB137" s="468" t="str">
        <f aca="false">IF($BD137,$BX137+IF(VolSkewFlag=1,IF(BS137&gt;0,$BA137*MIN(BS137/10%,1)+($BB137-$BA137)*MAX(0,MIN(BS137/10%-1,1))+($BC137-$BB137)*MAX(0,BS137/10%-2),$AZ137*MIN(-BS137/10%,1)+($AY137-$AZ137)*MAX(0,MIN(-BS137/10%-1,1))+($AX137-$AY137)*MAX(0,-BS137/10%-2)),0),"")</f>
        <v/>
      </c>
      <c r="CC137" s="468" t="str">
        <f aca="false">IF($BD137,$BW137+IF(VolSkewFlag=1,IF(BT137&gt;0,$BA137*MIN(BT137/10%,1)+($BB137-$BA137)*MAX(0,MIN(BT137/10%-1,1))+($BC137-$BB137)*MAX(0,BT137/10%-2),$AZ137*MIN(-BT137/10%,1)+($AY137-$AZ137)*MAX(0,MIN(-BT137/10%-1,1))+($AX137-$AY137)*MAX(0,-BT137/10%-2)),0),"")</f>
        <v/>
      </c>
      <c r="CD137" s="468" t="str">
        <f aca="false">IF($BD137,$BX137+IF(VolSkewFlag=1,IF(BT137&gt;0,$BA137*MIN(BT137/10%,1)+($BB137-$BA137)*MAX(0,MIN(BT137/10%-1,1))+($BC137-$BB137)*MAX(0,BT137/10%-2),$AZ137*MIN(-BT137/10%,1)+($AY137-$AZ137)*MAX(0,MIN(-BT137/10%-1,1))+($AX137-$AY137)*MAX(0,-BT137/10%-2)),0),"")</f>
        <v/>
      </c>
      <c r="CE137" s="469" t="n">
        <v>1</v>
      </c>
      <c r="CF137" s="470" t="n">
        <f aca="false">IF(BD137,xCrudeAPO(BU137,BV137,CA137,CB137,S138,S139,BI137,BL137,BP137,BQ137,0,Strike1,AO137,CE137,0,BL137,IF(OptControl=4,0,1),0,1),0)</f>
        <v>0</v>
      </c>
      <c r="CG137" s="470" t="n">
        <f aca="false">IF(BD137,xCrudeAPO(BU137,BV137,CA137,CB137,S138,S139,BI137,BL137,BP137,BQ137,0,Strike1,AO137,CE137,0,BL137,IF(OptControl=4,0,1),1,1)+xCrudeAPO(BU137,BV137,CA137,CB137,S138,S139,BI137,BL137,BP137,BQ137,0,Strike1,AO137,CE137,0,BL137,IF(OptControl=4,0,1),1,2)+IF(OR(VolSkewFlag=2,ABS(BS137)&lt;0.0001),0,IF(BS137&gt;0,-1,1)*CH137*Strike1/BR137^2*BY137/10%),0)</f>
        <v>0</v>
      </c>
      <c r="CH137" s="470" t="n">
        <f aca="false">IF(BD137,(xCrudeAPO(BU137,BV137,CA137,CB137,S138,S139,BI137,BL137,BP137,BQ137,0,Strike1,AO137,CE137,0,BL137,IF(OptControl=4,0,1),3,1)+xCrudeAPO(BU137,BV137,CA137,CB137,S138,S139,BI137,BL137,BP137,BQ137,0,Strike1,AO137,CE137,0,BL137,IF(OptControl=4,0,1),3,2))/100,0)</f>
        <v>0</v>
      </c>
      <c r="CI137" s="470" t="n">
        <f aca="false">IF(BD137,xCrudeAPO(BU137,BV137,CA137,CB137,S138,S139,BI137-DaysForThetaCalculation/365.25,BL137-DaysForThetaCalculation/365.25,BP137,BQ137,0,Strike1,AO137,CE137,0,BL137,IF(OptControl=4,0,1),0,1)-xCrudeAPO(BU137,BV137,CA137,CB137,S138,S139,BI137,BL137,BP137,BQ137,0,Strike1,AO137,CE137,0,BL137,IF(OptControl=4,0,1),0,1),0)</f>
        <v>0</v>
      </c>
      <c r="CJ137" s="471" t="n">
        <f aca="false">IF(BD137,xCrudeAPO(BU137,BV137,CC137,CD137,S138,S139,BI137,BL137,BP137,BQ137,0,Strike2,AO137,CE137,0,BL137,IF(OptControl=3,1,0),0,1),0)</f>
        <v>0</v>
      </c>
      <c r="CK137" s="470" t="n">
        <f aca="false">IF(BD137,xCrudeAPO(BU137,BV137,CC137,CD137,S138,S139,BI137,BL137,BP137,BQ137,0,Strike2,AO137,CE137,0,BL137,IF(OptControl=3,1,0),1,1)+xCrudeAPO(BU137,BV137,CC137,CD137,S138,S139,BI137,BL137,BP137,BQ137,0,Strike2,AO137,CE137,0,BL137,IF(OptControl=3,1,0),1,2)+IF(OR(VolSkewFlag=2,ABS(BT137)&lt;0.0001),0,IF(BT137&gt;0,-1,1)*CL137*Strike2/BR137^2*BZ137/10%),0)</f>
        <v>0</v>
      </c>
      <c r="CL137" s="470" t="n">
        <f aca="false">IF(BD137,(xCrudeAPO(BU137,BV137,CC137,CD137,S138,S139,BI137,BL137,BP137,BQ137,0,Strike2,AO137,CE137,0,BL137,IF(OptControl=3,1,0),3,1)+xCrudeAPO(BU137,BV137,CC137,CD137,S138,S139,BI137,BL137,BP137,BQ137,0,Strike2,AO137,CE137,0,BL137,IF(OptControl=3,1,0),3,2))/100,0)</f>
        <v>0</v>
      </c>
      <c r="CM137" s="472" t="n">
        <f aca="false">IF(BD137,xCrudeAPO(BU137,BV137,CC137,CD137,S138,S139,BI137-DaysForThetaCalculation/365.25,BL137-DaysForThetaCalculation/365.25,BP137,BQ137,0,Strike2,AO137,CE137,0,BL137,IF(OptControl=3,1,0),0,1)-xCrudeAPO(BU137,BV137,CC137,CD137,S138,S139,BI137,BL137,BP137,BQ137,0,Strike2,AO137,CE137,0,BL137,IF(OptControl=3,1,0),0,1),0)</f>
        <v>0</v>
      </c>
      <c r="CN137" s="3"/>
      <c r="CO137" s="543" t="str">
        <f aca="false">IF(BD137,CHOOSE(Underlying,AD137,AF137)-DateToday+1,"")</f>
        <v/>
      </c>
      <c r="CP137" s="582" t="str">
        <f aca="false">IF(BD137,CHOOSE(Underlying,L137,R137),"")</f>
        <v/>
      </c>
      <c r="CQ137" s="544" t="str">
        <f aca="false">IF(BD137,Strike1/CP137-1,"")</f>
        <v/>
      </c>
      <c r="CR137" s="544" t="str">
        <f aca="false">IF(BD137,Strike2/CP137-1,"")</f>
        <v/>
      </c>
      <c r="CS137" s="544" t="str">
        <f aca="false">IF(BD137,IF(CQ137&gt;0,IF(CQ137&gt;0.2,BC136-BB136,IF(CQ137&gt;0.1,BB136-BA136,BA136)),IF(CQ137&lt;-0.2,AX136-AY136,IF(CQ137&lt;-0.1,AY136-AZ136,AZ136))),"")</f>
        <v/>
      </c>
      <c r="CT137" s="544" t="str">
        <f aca="false">IF(BD137,IF(CR137&gt;0,IF(CR137&gt;0.2,BC136-BB136,IF(CR137&gt;0.1,BB136-BA136,BA136)),IF(CR137&lt;-0.2,AX136-AY136,IF(CR137&lt;-0.1,AY136-AZ136,AZ136))),"")</f>
        <v/>
      </c>
      <c r="CU137" s="545" t="str">
        <f aca="false">IF(BD137,CHOOSE(Underlying,O137,AT137),"")</f>
        <v/>
      </c>
      <c r="CV137" s="545" t="str">
        <f aca="false">IF(BD137,CU137+IF(VolSkewFlag=1,IF(CQ137&gt;0,BA136*MIN(CQ137/10%,1)+(BB136-BA136)*MAX(0,MIN(CQ137/10%-1,1))+(BC136-BB136)*MAX(0,CQ137/10%-2),AZ136*MIN(-CQ137/10%,1)+(AY136-AZ136)*MAX(0,MIN(-CQ137/10%-1,1))+(AX136-AY136)*MAX(0,-CQ137/10%-2)),0),"")</f>
        <v/>
      </c>
      <c r="CW137" s="545" t="str">
        <f aca="false">IF(BD137,CU137+IF(VolSkewFlag=1,IF(CR137&gt;0,BA136*MIN(CR137/10%,1)+(BB136-BA136)*MAX(0,MIN(CR137/10%-1,1))+(BC136-BB136)*MAX(0,CR137/10%-2),AZ136*MIN(-CR137/10%,1)+(AY136-AZ136)*MAX(0,MIN(-CR137/10%-1,1))+(AX136-AY136)*MAX(0,-CR137/10%-2)),0),"")</f>
        <v/>
      </c>
      <c r="CX137" s="470" t="n">
        <f aca="false">IF(BD137,EURO(CP137,Strike1,AO137,AO137,CV137,CO137,IF(OptControl=4,0,1),0),0)</f>
        <v>0</v>
      </c>
      <c r="CY137" s="470" t="n">
        <f aca="false">IF(BD137,EURO(CP137,Strike1,AO137,AO137,CV137,CO137,IF(OptControl=4,0,1),1)+IF(OR(VolSkewFlag=2,ABS(CQ137)&lt;0.0001),0,IF(CQ137&gt;0,-1,1)*CZ137*100*Strike1/CP137^2*CS137/10%),0)</f>
        <v>0</v>
      </c>
      <c r="CZ137" s="470" t="n">
        <f aca="false">IF(BD137,EURO(CP137,Strike1,AO137,AO137,CV137,CO137,IF(OptControl=4,0,1),3)/100,0)</f>
        <v>0</v>
      </c>
      <c r="DA137" s="470" t="n">
        <f aca="false">IF(BD137,EURO(CP137,Strike1,AO137,AO137,CV137,CO137,IF(OptControl=4,0,1),0)-EURO(CP137,Strike1,AO137,AO137,CV137,CO137-1,IF(OptControl=4,0,1),0),0)</f>
        <v>0</v>
      </c>
      <c r="DB137" s="470" t="n">
        <f aca="false">IF(BD137,EURO(CP137,Strike2,AO137,AO137,CW137,CO137,IF(OptControl=3,1,0),0),0)</f>
        <v>0</v>
      </c>
      <c r="DC137" s="470" t="n">
        <f aca="false">IF(BD137,EURO(CP137,Strike2,AO137,AO137,CW137,CO137,IF(OptControl=3,1,0),1)+IF(OR(VolSkewFlag=2,ABS(CR137)&lt;0.0001),0,IF(CR137&gt;0,-1,1)*DD137*100*Strike2/CP137^2*CT137/10%),0)</f>
        <v>0</v>
      </c>
      <c r="DD137" s="470" t="n">
        <f aca="false">IF(BD137,EURO(CP137,Strike2,AO137,AO137,CW137,CO137,IF(OptControl=3,1,0),3)/100,0)</f>
        <v>0</v>
      </c>
      <c r="DE137" s="472" t="n">
        <f aca="false">IF(BD137,EURO(CP137,Strike2,AO137,AO137,CW137,CO137,IF(OptControl=3,1,0),0)-EURO(CP137,Strike2,AO137,AO137,CW137,CO137-1,IF(OptControl=3,1,0),0),0)</f>
        <v>0</v>
      </c>
      <c r="DG137" s="481" t="n">
        <f aca="false">EOMONTH(DG136,0)+1</f>
        <v>49249</v>
      </c>
      <c r="DH137" s="478" t="n">
        <v>20.01</v>
      </c>
      <c r="DI137" s="479" t="n">
        <v>20.0742857142857</v>
      </c>
      <c r="DJ137" s="480" t="n">
        <f aca="false">DG137</f>
        <v>49249</v>
      </c>
      <c r="DK137" s="478" t="n">
        <v>18.8020967894182</v>
      </c>
      <c r="DL137" s="479" t="n">
        <v>18.8811857142857</v>
      </c>
      <c r="DM137" s="481" t="n">
        <f aca="false">DG137</f>
        <v>49249</v>
      </c>
      <c r="DN137" s="482" t="n">
        <f aca="false">DK137+BrentPhyBrentSpread</f>
        <v>18.8520967894182</v>
      </c>
      <c r="DO137" s="481" t="n">
        <f aca="false">DG137</f>
        <v>49249</v>
      </c>
      <c r="DP137" s="483" t="n">
        <f aca="false">DL137+DQ137</f>
        <v>18.8811857142857</v>
      </c>
      <c r="DQ137" s="546" t="n">
        <v>0</v>
      </c>
      <c r="DR137" s="480" t="n">
        <f aca="false">DG137</f>
        <v>49249</v>
      </c>
      <c r="DS137" s="485" t="n">
        <v>0.154399999999999</v>
      </c>
      <c r="DT137" s="486" t="n">
        <v>0.15362857142857</v>
      </c>
      <c r="DU137" s="480" t="n">
        <f aca="false">DG137</f>
        <v>49249</v>
      </c>
      <c r="DV137" s="485" t="n">
        <v>0.154399999999999</v>
      </c>
      <c r="DW137" s="486" t="n">
        <v>0.15362857142857</v>
      </c>
      <c r="DX137" s="481" t="n">
        <f aca="false">DG137</f>
        <v>49249</v>
      </c>
      <c r="DY137" s="486" t="n">
        <v>0.35</v>
      </c>
      <c r="DZ137" s="481" t="n">
        <f aca="false">DR137</f>
        <v>49249</v>
      </c>
      <c r="EA137" s="486" t="n">
        <f aca="false">DT137</f>
        <v>0.15362857142857</v>
      </c>
      <c r="EB137" s="195"/>
      <c r="EC137" s="547" t="str">
        <f aca="false">IF(BD137,IF(Underlying=1,AS137,AU137),"")</f>
        <v/>
      </c>
      <c r="ED137" s="548" t="str">
        <f aca="false">IF($BD137,$EC137+IF(VolSkewFlag=1,IF(BS137&gt;0,$BA137*MIN(BS137/10%,1)+($BB137-$BA137)*MAX(0,MIN(BS137/10%-1,1))+($BC137-$BB137)*MAX(0,BS137/10%-2),$AZ137*MIN(-BS137/10%,1)+($AY137-$AZ137)*MAX(0,MIN(-BS137/10%-1,1))+($AX137-$AY137)*MAX(0,-BS137/10%-2)),0),"")</f>
        <v/>
      </c>
      <c r="EE137" s="549" t="str">
        <f aca="false">IF($BD137,$EC137+IF(VolSkewFlag=1,IF(BT137&gt;0,$BA137*MIN(BT137/10%,1)+($BB137-$BA137)*MAX(0,MIN(BT137/10%-1,1))+($BC137-$BB137)*MAX(0,BT137/10%-2),$AZ137*MIN(-BT137/10%,1)+($AY137-$AZ137)*MAX(0,MIN(-BT137/10%-1,1))+($AX137-$AY137)*MAX(0,-BT137/10%-2)),0),"")</f>
        <v/>
      </c>
      <c r="EF137" s="550" t="n">
        <f aca="false">IF(BD137,xASN(BR137,Strike1,AO137,ED137,0,BO137,0,BI137,BL137,IF(OptControl=4,0,1),0),0)</f>
        <v>0</v>
      </c>
      <c r="EG137" s="551" t="n">
        <f aca="false">IF(BD137,xASN(BR137,Strike2,AO137,EE137,0,BO137,0,BI137,BL137,IF(OptControl=3,1,0),0),0)</f>
        <v>0</v>
      </c>
      <c r="EL137" s="1"/>
      <c r="EM137" s="195"/>
      <c r="EN137" s="240"/>
      <c r="EO137" s="240"/>
      <c r="EP137" s="195"/>
      <c r="EQ137" s="407" t="s">
        <v>364</v>
      </c>
      <c r="ES137" s="130"/>
      <c r="ET137" s="19"/>
      <c r="EU137" s="672"/>
      <c r="EV137" s="478"/>
      <c r="EW137" s="131"/>
      <c r="EX137" s="131"/>
      <c r="EY137" s="129"/>
      <c r="EZ137" s="129"/>
      <c r="FA137" s="129"/>
      <c r="FB137" s="129"/>
      <c r="FC137" s="129"/>
      <c r="FD137" s="129"/>
      <c r="FE137" s="129"/>
      <c r="FF137" s="129"/>
      <c r="FG137" s="129"/>
      <c r="FH137" s="129"/>
      <c r="FI137" s="129"/>
      <c r="FJ137" s="571" t="n">
        <v>43</v>
      </c>
      <c r="FK137" s="150" t="e">
        <f aca="false">IF($FJ62&lt;FK$94,"",SQRT(FK62/FK$15))</f>
        <v>#DIV/0!</v>
      </c>
      <c r="FL137" s="150" t="n">
        <f aca="false">IF($FJ62&lt;FL$94,"",SQRT(FL62/FL$15))</f>
        <v>-0</v>
      </c>
      <c r="FM137" s="150" t="n">
        <f aca="false">IF($FJ62&lt;FM$94,"",SQRT(FM62/FM$15))</f>
        <v>0.170747174333612</v>
      </c>
      <c r="FN137" s="150" t="n">
        <f aca="false">IF($FJ62&lt;FN$94,"",SQRT(FN62/FN$15))</f>
        <v>0.16750538179948</v>
      </c>
      <c r="FO137" s="150" t="n">
        <f aca="false">IF($FJ62&lt;FO$94,"",SQRT(FO62/FO$15))</f>
        <v>0.165090260419101</v>
      </c>
      <c r="FP137" s="150" t="n">
        <f aca="false">IF($FJ62&lt;FP$94,"",SQRT(FP62/FP$15))</f>
        <v>0.163297990718077</v>
      </c>
      <c r="FQ137" s="150" t="n">
        <f aca="false">IF($FJ62&lt;FQ$94,"",SQRT(FQ62/FQ$15))</f>
        <v>0.16197618359921</v>
      </c>
      <c r="FR137" s="150" t="n">
        <f aca="false">IF($FJ62&lt;FR$94,"",SQRT(FR62/FR$15))</f>
        <v>0.161011105932495</v>
      </c>
      <c r="FS137" s="150" t="n">
        <f aca="false">IF($FJ62&lt;FS$94,"",SQRT(FS62/FS$15))</f>
        <v>0.160318114140373</v>
      </c>
      <c r="FT137" s="150" t="n">
        <f aca="false">IF($FJ62&lt;FT$94,"",SQRT(FT62/FT$15))</f>
        <v>0.159834496406877</v>
      </c>
      <c r="FU137" s="150" t="n">
        <f aca="false">IF($FJ62&lt;FU$94,"",SQRT(FU62/FU$15))</f>
        <v>0.159514124487438</v>
      </c>
      <c r="FV137" s="150" t="n">
        <f aca="false">IF($FJ62&lt;FV$94,"",SQRT(FV62/FV$15))</f>
        <v>0.159323466466531</v>
      </c>
      <c r="FW137" s="150" t="n">
        <f aca="false">IF($FJ62&lt;FW$94,"",SQRT(FW62/FW$15))</f>
        <v>0.15923862472501</v>
      </c>
      <c r="FX137" s="150" t="n">
        <f aca="false">IF($FJ62&lt;FX$94,"",SQRT(FX62/FX$15))</f>
        <v>0.159243148237298</v>
      </c>
      <c r="FY137" s="150" t="n">
        <f aca="false">IF($FJ62&lt;FY$94,"",SQRT(FY62/FY$15))</f>
        <v>0.159326432181205</v>
      </c>
      <c r="FZ137" s="150" t="n">
        <f aca="false">IF($FJ62&lt;FZ$94,"",SQRT(FZ62/FZ$15))</f>
        <v>0.159482566020068</v>
      </c>
      <c r="GA137" s="150" t="n">
        <f aca="false">IF($FJ62&lt;GA$94,"",SQRT(GA62/GA$15))</f>
        <v>0.15970952771096</v>
      </c>
      <c r="GB137" s="150" t="n">
        <f aca="false">IF($FJ62&lt;GB$94,"",SQRT(GB62/GB$15))</f>
        <v>0.16000864953326</v>
      </c>
      <c r="GC137" s="150" t="n">
        <f aca="false">IF($FJ62&lt;GC$94,"",SQRT(GC62/GC$15))</f>
        <v>0.160384302529333</v>
      </c>
      <c r="GD137" s="150" t="n">
        <f aca="false">IF($FJ62&lt;GD$94,"",SQRT(GD62/GD$15))</f>
        <v>0.160843763489056</v>
      </c>
      <c r="GE137" s="150" t="n">
        <f aca="false">IF($FJ62&lt;GE$94,"",SQRT(GE62/GE$15))</f>
        <v>0.161397242206664</v>
      </c>
      <c r="GF137" s="150" t="n">
        <f aca="false">IF($FJ62&lt;GF$94,"",SQRT(GF62/GF$15))</f>
        <v>0.162058058558305</v>
      </c>
      <c r="GG137" s="150" t="n">
        <f aca="false">IF($FJ62&lt;GG$94,"",SQRT(GG62/GG$15))</f>
        <v>0.16284296981874</v>
      </c>
      <c r="GH137" s="150" t="n">
        <f aca="false">IF($FJ62&lt;GH$94,"",SQRT(GH62/GH$15))</f>
        <v>0.163772659545808</v>
      </c>
      <c r="GI137" s="150" t="n">
        <f aca="false">IF($FJ62&lt;GI$94,"",SQRT(GI62/GI$15))</f>
        <v>0.164872411375908</v>
      </c>
      <c r="GJ137" s="150" t="n">
        <f aca="false">IF($FJ62&lt;GJ$94,"",SQRT(GJ62/GJ$15))</f>
        <v>0.166173005467271</v>
      </c>
      <c r="GK137" s="150" t="n">
        <f aca="false">IF($FJ62&lt;GK$94,"",SQRT(GK62/GK$15))</f>
        <v>0.167711893769933</v>
      </c>
      <c r="GL137" s="150" t="n">
        <f aca="false">IF($FJ62&lt;GL$94,"",SQRT(GL62/GL$15))</f>
        <v>0.169534735128318</v>
      </c>
      <c r="GM137" s="150" t="n">
        <f aca="false">IF($FJ62&lt;GM$94,"",SQRT(GM62/GM$15))</f>
        <v>0.171697405857246</v>
      </c>
      <c r="GN137" s="150" t="n">
        <f aca="false">IF($FJ62&lt;GN$94,"",SQRT(GN62/GN$15))</f>
        <v>0.174268651056043</v>
      </c>
      <c r="GO137" s="150" t="n">
        <f aca="false">IF($FJ62&lt;GO$94,"",SQRT(GO62/GO$15))</f>
        <v>0.177333614584102</v>
      </c>
      <c r="GP137" s="150" t="n">
        <f aca="false">IF($FJ62&lt;GP$94,"",SQRT(GP62/GP$15))</f>
        <v>0.180998594087407</v>
      </c>
      <c r="GQ137" s="150" t="n">
        <f aca="false">IF($FJ62&lt;GQ$94,"",SQRT(GQ62/GQ$15))</f>
        <v>0.185397532449116</v>
      </c>
      <c r="GR137" s="150" t="n">
        <f aca="false">IF($FJ62&lt;GR$94,"",SQRT(GR62/GR$15))</f>
        <v>0.190701012845267</v>
      </c>
      <c r="GS137" s="150" t="n">
        <f aca="false">IF($FJ62&lt;GS$94,"",SQRT(GS62/GS$15))</f>
        <v>0.197128929346874</v>
      </c>
      <c r="GT137" s="150" t="n">
        <f aca="false">IF($FJ62&lt;GT$94,"",SQRT(GT62/GT$15))</f>
        <v>0.204968659630166</v>
      </c>
      <c r="GU137" s="150" t="n">
        <f aca="false">IF($FJ62&lt;GU$94,"",SQRT(GU62/GU$15))</f>
        <v>0.214601650693101</v>
      </c>
      <c r="GV137" s="150" t="n">
        <f aca="false">IF($FJ62&lt;GV$94,"",SQRT(GV62/GV$15))</f>
        <v>0.226543172506918</v>
      </c>
      <c r="GW137" s="150" t="n">
        <f aca="false">IF($FJ62&lt;GW$94,"",SQRT(GW62/GW$15))</f>
        <v>0.241503223314204</v>
      </c>
      <c r="GX137" s="150" t="n">
        <f aca="false">IF($FJ62&lt;GX$94,"",SQRT(GX62/GX$15))</f>
        <v>0.260482410625884</v>
      </c>
      <c r="GY137" s="150" t="n">
        <f aca="false">IF($FJ62&lt;GY$94,"",SQRT(GY62/GY$15))</f>
        <v>0.284927589407008</v>
      </c>
      <c r="GZ137" s="150" t="n">
        <f aca="false">IF($FJ62&lt;GZ$94,"",SQRT(GZ62/GZ$15))</f>
        <v>0.316993465572892</v>
      </c>
      <c r="HA137" s="150" t="n">
        <f aca="false">IF($FJ62&lt;HA$94,"",SQRT(HA62/HA$15))</f>
        <v>0.360000301697555</v>
      </c>
      <c r="HB137" s="150" t="str">
        <f aca="false">IF($FJ62&lt;HB$94,"",SQRT(HB62/HB$15))</f>
        <v/>
      </c>
      <c r="HC137" s="150" t="str">
        <f aca="false">IF($FJ62&lt;HC$94,"",SQRT(HC62/HC$15))</f>
        <v/>
      </c>
      <c r="HD137" s="150" t="str">
        <f aca="false">IF($FJ62&lt;HD$94,"",SQRT(HD62/HD$15))</f>
        <v/>
      </c>
      <c r="HE137" s="150" t="str">
        <f aca="false">IF($FJ62&lt;HE$94,"",SQRT(HE62/HE$15))</f>
        <v/>
      </c>
      <c r="HF137" s="150" t="str">
        <f aca="false">IF($FJ62&lt;HF$94,"",SQRT(HF62/HF$15))</f>
        <v/>
      </c>
      <c r="HG137" s="150" t="str">
        <f aca="false">IF($FJ62&lt;HG$94,"",SQRT(HG62/HG$15))</f>
        <v/>
      </c>
      <c r="HH137" s="150" t="str">
        <f aca="false">IF($FJ62&lt;HH$94,"",SQRT(HH62/HH$15))</f>
        <v/>
      </c>
      <c r="HI137" s="150" t="str">
        <f aca="false">IF($FJ62&lt;HI$94,"",SQRT(HI62/HI$15))</f>
        <v/>
      </c>
      <c r="HJ137" s="150" t="str">
        <f aca="false">IF($FJ62&lt;HJ$94,"",SQRT(HJ62/HJ$15))</f>
        <v/>
      </c>
      <c r="HK137" s="150" t="str">
        <f aca="false">IF($FJ62&lt;HK$94,"",SQRT(HK62/HK$15))</f>
        <v/>
      </c>
      <c r="HL137" s="150" t="str">
        <f aca="false">IF($FJ62&lt;HL$94,"",SQRT(HL62/HL$15))</f>
        <v/>
      </c>
      <c r="HM137" s="150" t="str">
        <f aca="false">IF($FJ62&lt;HM$94,"",SQRT(HM62/HM$15))</f>
        <v/>
      </c>
      <c r="HN137" s="150" t="str">
        <f aca="false">IF($FJ62&lt;HN$94,"",SQRT(HN62/HN$15))</f>
        <v/>
      </c>
      <c r="HO137" s="150" t="str">
        <f aca="false">IF($FJ62&lt;HO$94,"",SQRT(HO62/HO$15))</f>
        <v/>
      </c>
      <c r="HP137" s="150" t="str">
        <f aca="false">IF($FJ62&lt;HP$94,"",SQRT(HP62/HP$15))</f>
        <v/>
      </c>
      <c r="HQ137" s="150" t="str">
        <f aca="false">IF($FJ62&lt;HQ$94,"",SQRT(HQ62/HQ$15))</f>
        <v/>
      </c>
      <c r="HR137" s="150" t="str">
        <f aca="false">IF($FJ62&lt;HR$94,"",SQRT(HR62/HR$15))</f>
        <v/>
      </c>
      <c r="HS137" s="150" t="str">
        <f aca="false">IF($FJ62&lt;HS$94,"",SQRT(HS62/HS$15))</f>
        <v/>
      </c>
      <c r="HT137" s="150" t="str">
        <f aca="false">IF($FJ62&lt;HT$94,"",SQRT(HT62/HT$15))</f>
        <v/>
      </c>
      <c r="HU137" s="150" t="str">
        <f aca="false">IF($FJ62&lt;HU$94,"",SQRT(HU62/HU$15))</f>
        <v/>
      </c>
      <c r="HV137" s="150" t="str">
        <f aca="false">IF($FJ62&lt;HV$94,"",SQRT(HV62/HV$15))</f>
        <v/>
      </c>
      <c r="HW137" s="150" t="str">
        <f aca="false">IF($FJ62&lt;HW$94,"",SQRT(HW62/HW$15))</f>
        <v/>
      </c>
      <c r="HX137" s="150" t="str">
        <f aca="false">IF($FJ62&lt;HX$94,"",SQRT(HX62/HX$15))</f>
        <v/>
      </c>
      <c r="HY137" s="150" t="str">
        <f aca="false">IF($FJ62&lt;HY$94,"",SQRT(HY62/HY$15))</f>
        <v/>
      </c>
      <c r="HZ137" s="150" t="str">
        <f aca="false">IF($FJ62&lt;HZ$94,"",SQRT(HZ62/HZ$15))</f>
        <v/>
      </c>
      <c r="IA137" s="150" t="str">
        <f aca="false">IF($FJ62&lt;IA$94,"",SQRT(IA62/IA$15))</f>
        <v/>
      </c>
      <c r="IB137" s="150" t="str">
        <f aca="false">IF($FJ62&lt;IB$94,"",SQRT(IB62/IB$15))</f>
        <v/>
      </c>
      <c r="IC137" s="150" t="str">
        <f aca="false">IF($FJ62&lt;IC$94,"",SQRT(IC62/IC$15))</f>
        <v/>
      </c>
      <c r="ID137" s="572" t="str">
        <f aca="false">IF($FJ62&lt;ID$94,"",SQRT(ID62/ID$15))</f>
        <v/>
      </c>
      <c r="IE137" s="129"/>
    </row>
    <row r="138" customFormat="false" ht="12.75" hidden="false" customHeight="false" outlineLevel="0" collapsed="false">
      <c r="H138" s="219" t="n">
        <f aca="false">VLOOKUP(I138,$EJ$20:$EL$54,3)</f>
        <v>0</v>
      </c>
      <c r="I138" s="511" t="n">
        <f aca="false">EOMONTH(I137,0)+1</f>
        <v>40360</v>
      </c>
      <c r="J138" s="512"/>
      <c r="K138" s="513" t="s">
        <v>280</v>
      </c>
      <c r="L138" s="514" t="n">
        <f aca="false">IF(ISNUMBER(K138),J138+K138/100,IF(K138="extra",L137+VLOOKUP(BF138,PriceSpreadTable,2)/12,IF(K138="inter",interpolateprices($K$19:$L$200,ROW(K138)-ROW(FirstPricingMonth)+1),interpolatechanges($J$19:$K$200,ROW(K138)-ROW(FirstPricingMonth)+1))))</f>
        <v>1.575</v>
      </c>
      <c r="M138" s="515"/>
      <c r="N138" s="516" t="n">
        <v>0</v>
      </c>
      <c r="O138" s="515" t="n">
        <f aca="false">M138+N138</f>
        <v>0</v>
      </c>
      <c r="P138" s="512"/>
      <c r="Q138" s="513" t="s">
        <v>280</v>
      </c>
      <c r="R138" s="512" t="e">
        <f aca="false">IF(ISNUMBER(Q138),P138+Q138/100,IF(Q138="extra",(Z136*AL136-R137*AM136)/AN136,IF(Q138="inter",interpolateprices($Q$19:$R$260,ROW(Q138)-ROW(FirstPricingMonth)+1),interpolatechanges($P$19:$Q$260,ROW(Q138)-ROW(FirstPricingMonth)+1))))</f>
        <v>#VALUE!</v>
      </c>
      <c r="S138" s="597" t="n">
        <f aca="false">S$19+(S137-S$19)*S$18</f>
        <v>0.36</v>
      </c>
      <c r="T138" s="575" t="n">
        <f aca="false">SQRT((1-(1-T137^2/U137)*T$18)*U138)</f>
        <v>0.999999998946853</v>
      </c>
      <c r="U138" s="576" t="n">
        <f aca="false">1-(1-U137)*U$18</f>
        <v>1</v>
      </c>
      <c r="V138" s="521" t="n">
        <v>0</v>
      </c>
      <c r="W138" s="577" t="n">
        <f aca="false">(J139*AJ138+J140*AK138)/AI138</f>
        <v>0</v>
      </c>
      <c r="X138" s="578" t="n">
        <f aca="false">(L139*AJ138+L140*AK138)/AI138</f>
        <v>1.62613636363636</v>
      </c>
      <c r="Y138" s="579" t="n">
        <f aca="false">IF(Q140="extra",W138-AA138,(P139*AM138+P140*AN138)/AL138)</f>
        <v>-1.2669</v>
      </c>
      <c r="Z138" s="579" t="n">
        <f aca="false">IF(Q140="extra",X138-AB138,(R139*AM138+R140*AN138)/AL138)</f>
        <v>0.359236363636365</v>
      </c>
      <c r="AA138" s="523" t="n">
        <f aca="false">IF(Q140="extra",INDEX(BrentSeasonalityTable,INT((BG138-1)/3)+1)*VLOOKUP(MAX(BF138,$AB$4),PriceSpreadTable,3),W138-Y138)</f>
        <v>1.2669</v>
      </c>
      <c r="AB138" s="524" t="n">
        <f aca="false">IF(Q140="extra",INDEX(BrentSeasonalityTable,INT((BG138-1)/3)+1)*VLOOKUP(MAX(BF138,$AB$4),PriceSpreadTable,3),X138-Z138)</f>
        <v>1.2669</v>
      </c>
      <c r="AC138" s="646" t="n">
        <v>40349</v>
      </c>
      <c r="AD138" s="646" t="n">
        <v>40345</v>
      </c>
      <c r="AE138" s="646" t="n">
        <v>40344</v>
      </c>
      <c r="AF138" s="646" t="n">
        <v>40340</v>
      </c>
      <c r="AG138" s="438" t="s">
        <v>278</v>
      </c>
      <c r="AH138" s="439" t="s">
        <v>278</v>
      </c>
      <c r="AI138" s="528" t="n">
        <v>22</v>
      </c>
      <c r="AJ138" s="529" t="n">
        <v>14</v>
      </c>
      <c r="AK138" s="529" t="n">
        <v>8</v>
      </c>
      <c r="AL138" s="530" t="n">
        <v>22</v>
      </c>
      <c r="AM138" s="529" t="n">
        <v>10</v>
      </c>
      <c r="AN138" s="531" t="n">
        <v>12</v>
      </c>
      <c r="AO138" s="532"/>
      <c r="AP138" s="465" t="n">
        <f aca="false">(1+AO138/2)^(-2*BL138)</f>
        <v>1</v>
      </c>
      <c r="AQ138" s="532"/>
      <c r="AR138" s="465" t="n">
        <f aca="false">(1+AQ138/2)^(-2*BH138/365.25)</f>
        <v>1</v>
      </c>
      <c r="AS138" s="580" t="n">
        <f aca="false">(O139*AJ138+O140*AK138)/AI138</f>
        <v>0</v>
      </c>
      <c r="AT138" s="468" t="n">
        <f aca="false">O138*VLOOKUP(BF138,BrentVolTable,2)+VLOOKUP(BF138,BrentVolTable,3)</f>
        <v>0</v>
      </c>
      <c r="AU138" s="468" t="n">
        <f aca="false">(AT139*AM138+AT140*AN138)/AL138</f>
        <v>0</v>
      </c>
      <c r="AV138" s="595" t="n">
        <f aca="false">SQRT(MAX(0.000000000001,(O138^2*BH138-S138^2*(BH138-BH137))/BH137))</f>
        <v>0.026758589264898</v>
      </c>
      <c r="AW138" s="451" t="n">
        <f aca="false">IF($I138-DateToday+15&gt;=$T$8,"",IF($I138-DateToday+15&lt;$T$5,1,MATCH($I138-DateToday+15,$T$5:$T$8)))</f>
        <v>1</v>
      </c>
      <c r="AX138" s="468" t="n">
        <f aca="false">IF($AW138="",AX137^2/AX136,INDEX(U$5:U$8,$AW138)^((INDEX($T$5:$T$8,$AW138+1)-($I138-DateToday+15))/(INDEX($T$5:$T$8,$AW138+1)-INDEX($T$5:$T$8,$AW138)))/INDEX(U$5:U$8,$AW138+1)^((INDEX($T$5:$T$8,$AW138)-($I138-DateToday+15))/(INDEX($T$5:$T$8,$AW138+1)-INDEX($T$5:$T$8,$AW138))))</f>
        <v>1.00812339767064</v>
      </c>
      <c r="AY138" s="468" t="n">
        <f aca="false">IF($AW138="",AY137^2/AY136,INDEX(V$5:V$8,$AW138)^((INDEX($T$5:$T$8,$AW138+1)-($I138-DateToday+15))/(INDEX($T$5:$T$8,$AW138+1)-INDEX($T$5:$T$8,$AW138)))/INDEX(V$5:V$8,$AW138+1)^((INDEX($T$5:$T$8,$AW138)-($I138-DateToday+15))/(INDEX($T$5:$T$8,$AW138+1)-INDEX($T$5:$T$8,$AW138))))</f>
        <v>36.2486476877821</v>
      </c>
      <c r="AZ138" s="468" t="n">
        <f aca="false">IF($AW138="",AZ137^2/AZ136,INDEX(W$5:W$8,$AW138)^((INDEX($T$5:$T$8,$AW138+1)-($I138-DateToday+15))/(INDEX($T$5:$T$8,$AW138+1)-INDEX($T$5:$T$8,$AW138)))/INDEX(W$5:W$8,$AW138+1)^((INDEX($T$5:$T$8,$AW138)-($I138-DateToday+15))/(INDEX($T$5:$T$8,$AW138+1)-INDEX($T$5:$T$8,$AW138))))</f>
        <v>42751.3688249894</v>
      </c>
      <c r="BA138" s="468" t="n">
        <f aca="false">IF($AW138="",BA137^2/BA136,INDEX(X$5:X$8,$AW138)^((INDEX($T$5:$T$8,$AW138+1)-($I138-DateToday+15))/(INDEX($T$5:$T$8,$AW138+1)-INDEX($T$5:$T$8,$AW138)))/INDEX(X$5:X$8,$AW138+1)^((INDEX($T$5:$T$8,$AW138)-($I138-DateToday+15))/(INDEX($T$5:$T$8,$AW138+1)-INDEX($T$5:$T$8,$AW138))))</f>
        <v>448944.324947072</v>
      </c>
      <c r="BB138" s="468" t="n">
        <f aca="false">IF($AW138="",BB137^2/BB136,INDEX(Y$5:Y$8,$AW138)^((INDEX($T$5:$T$8,$AW138+1)-($I138-DateToday+15))/(INDEX($T$5:$T$8,$AW138+1)-INDEX($T$5:$T$8,$AW138)))/INDEX(Y$5:Y$8,$AW138+1)^((INDEX($T$5:$T$8,$AW138)-($I138-DateToday+15))/(INDEX($T$5:$T$8,$AW138+1)-INDEX($T$5:$T$8,$AW138))))</f>
        <v>3861034.73905648</v>
      </c>
      <c r="BC138" s="468" t="n">
        <f aca="false">IF($AW138="",BC137^2/BC136,INDEX(Z$5:Z$8,$AW138)^((INDEX($T$5:$T$8,$AW138+1)-($I138-DateToday+15))/(INDEX($T$5:$T$8,$AW138+1)-INDEX($T$5:$T$8,$AW138)))/INDEX(Z$5:Z$8,$AW138+1)^((INDEX($T$5:$T$8,$AW138)-($I138-DateToday+15))/(INDEX($T$5:$T$8,$AW138+1)-INDEX($T$5:$T$8,$AW138))))</f>
        <v>14159617.4542055</v>
      </c>
      <c r="BD138" s="535" t="n">
        <f aca="false">IF(OR(DateStart&gt;=I139,DateEnd&lt;I138),0,IF(VolumeOverrideFlag,V138,Volume))</f>
        <v>0</v>
      </c>
      <c r="BE138" s="536" t="n">
        <f aca="false">IF(OR(DateStart2&gt;=I139,DateEnd2&lt;I138),0,IF(VolumeOverrideFlag,V138,VolumeSwaption))</f>
        <v>0</v>
      </c>
      <c r="BF138" s="537" t="n">
        <f aca="false">YEAR(I138)</f>
        <v>2010</v>
      </c>
      <c r="BG138" s="538" t="n">
        <f aca="false">MONTH(I138)</f>
        <v>7</v>
      </c>
      <c r="BH138" s="539" t="n">
        <f aca="false">AD138-DateToday+1</f>
        <v>-5580</v>
      </c>
      <c r="BI138" s="540" t="n">
        <f aca="false">(I138-DateToday+1)/365.25</f>
        <v>-15.2361396303901</v>
      </c>
      <c r="BJ138" s="541" t="n">
        <f aca="false">BI138+(BL138-BI138)*CHOOSE(Underlying,AJ138/AI138,AM138/AL138)</f>
        <v>-15.1838715699085</v>
      </c>
      <c r="BK138" s="541" t="n">
        <f aca="false">BJ138+1/365.25</f>
        <v>-15.1811337191214</v>
      </c>
      <c r="BL138" s="541" t="n">
        <f aca="false">(I139-DateToday)/365.25</f>
        <v>-15.1540041067762</v>
      </c>
      <c r="BM138" s="542" t="e">
        <f aca="false">MAX(BI138-(BJ138-BI138)*(S139^2/O139^2-1),0)</f>
        <v>#DIV/0!</v>
      </c>
      <c r="BN138" s="541" t="e">
        <f aca="false">MAX(BL138+(BL138-BK138)*(S140^2/O140^2-1),0)</f>
        <v>#DIV/0!</v>
      </c>
      <c r="BO138" s="530" t="n">
        <f aca="false">CHOOSE(Underlying,AI138,AL138)</f>
        <v>22</v>
      </c>
      <c r="BP138" s="529" t="n">
        <f aca="false">CHOOSE(Underlying,AJ138,AM138)</f>
        <v>14</v>
      </c>
      <c r="BQ138" s="529" t="n">
        <f aca="false">CHOOSE(Underlying,AK138,AN138)</f>
        <v>8</v>
      </c>
      <c r="BR138" s="463" t="str">
        <f aca="false">IF(BD138,IF(Underlying=1,X138,Z138)+UnderlyingPriceAsian-SwapPriceCurve,"")</f>
        <v/>
      </c>
      <c r="BS138" s="463" t="str">
        <f aca="false">IF(BD138,Strike1/BR138-1,"")</f>
        <v/>
      </c>
      <c r="BT138" s="464" t="str">
        <f aca="false">IF(BD138,Strike2/BR138-1,"")</f>
        <v/>
      </c>
      <c r="BU138" s="465" t="str">
        <f aca="false">IF(BD138,IF(Underlying=1,L139,R139)+UnderlyingPriceAsian-SwapPriceCurve,"")</f>
        <v/>
      </c>
      <c r="BV138" s="465" t="str">
        <f aca="false">IF(BD138,IF(Underlying=1,L140,R140)+UnderlyingPriceAsian-SwapPriceCurve,"")</f>
        <v/>
      </c>
      <c r="BW138" s="466" t="str">
        <f aca="false">IF(BD138,IF(Underlying=1,O139,AT139),"")</f>
        <v/>
      </c>
      <c r="BX138" s="467" t="str">
        <f aca="false">IF(BD138,IF(Underlying=1,O140,AT140),"")</f>
        <v/>
      </c>
      <c r="BY138" s="466" t="str">
        <f aca="false">IF(BD138,IF(BS138&gt;0,IF(BS138&gt;0.2,BC138-BB138,IF(BS138&gt;0.1,BB138-BA138,BA138)),IF(BS138&lt;-0.2,AX138-AY138,IF(BS138&lt;-0.1,AY138-AZ138,AZ138))),"")</f>
        <v/>
      </c>
      <c r="BZ138" s="467" t="str">
        <f aca="false">IF(BD138,IF(BT138&gt;0,IF(BT138&gt;0.2,BC138-BB138,IF(BT138&gt;0.1,BB138-BA138,BA138)),IF(BT138&lt;-0.2,AX138-AY138,IF(BT138&lt;-0.1,AY138-AZ138,AZ138))),"")</f>
        <v/>
      </c>
      <c r="CA138" s="468" t="str">
        <f aca="false">IF($BD138,$BW138+IF(VolSkewFlag=1,IF(BS138&gt;0,$BA138*MIN(BS138/10%,1)+($BB138-$BA138)*MAX(0,MIN(BS138/10%-1,1))+($BC138-$BB138)*MAX(0,BS138/10%-2),$AZ138*MIN(-BS138/10%,1)+($AY138-$AZ138)*MAX(0,MIN(-BS138/10%-1,1))+($AX138-$AY138)*MAX(0,-BS138/10%-2)),0),"")</f>
        <v/>
      </c>
      <c r="CB138" s="468" t="str">
        <f aca="false">IF($BD138,$BX138+IF(VolSkewFlag=1,IF(BS138&gt;0,$BA138*MIN(BS138/10%,1)+($BB138-$BA138)*MAX(0,MIN(BS138/10%-1,1))+($BC138-$BB138)*MAX(0,BS138/10%-2),$AZ138*MIN(-BS138/10%,1)+($AY138-$AZ138)*MAX(0,MIN(-BS138/10%-1,1))+($AX138-$AY138)*MAX(0,-BS138/10%-2)),0),"")</f>
        <v/>
      </c>
      <c r="CC138" s="468" t="str">
        <f aca="false">IF($BD138,$BW138+IF(VolSkewFlag=1,IF(BT138&gt;0,$BA138*MIN(BT138/10%,1)+($BB138-$BA138)*MAX(0,MIN(BT138/10%-1,1))+($BC138-$BB138)*MAX(0,BT138/10%-2),$AZ138*MIN(-BT138/10%,1)+($AY138-$AZ138)*MAX(0,MIN(-BT138/10%-1,1))+($AX138-$AY138)*MAX(0,-BT138/10%-2)),0),"")</f>
        <v/>
      </c>
      <c r="CD138" s="468" t="str">
        <f aca="false">IF($BD138,$BX138+IF(VolSkewFlag=1,IF(BT138&gt;0,$BA138*MIN(BT138/10%,1)+($BB138-$BA138)*MAX(0,MIN(BT138/10%-1,1))+($BC138-$BB138)*MAX(0,BT138/10%-2),$AZ138*MIN(-BT138/10%,1)+($AY138-$AZ138)*MAX(0,MIN(-BT138/10%-1,1))+($AX138-$AY138)*MAX(0,-BT138/10%-2)),0),"")</f>
        <v/>
      </c>
      <c r="CE138" s="469" t="n">
        <v>1</v>
      </c>
      <c r="CF138" s="470" t="n">
        <f aca="false">IF(BD138,xCrudeAPO(BU138,BV138,CA138,CB138,S139,S140,BI138,BL138,BP138,BQ138,0,Strike1,AO138,CE138,0,BL138,IF(OptControl=4,0,1),0,1),0)</f>
        <v>0</v>
      </c>
      <c r="CG138" s="470" t="n">
        <f aca="false">IF(BD138,xCrudeAPO(BU138,BV138,CA138,CB138,S139,S140,BI138,BL138,BP138,BQ138,0,Strike1,AO138,CE138,0,BL138,IF(OptControl=4,0,1),1,1)+xCrudeAPO(BU138,BV138,CA138,CB138,S139,S140,BI138,BL138,BP138,BQ138,0,Strike1,AO138,CE138,0,BL138,IF(OptControl=4,0,1),1,2)+IF(OR(VolSkewFlag=2,ABS(BS138)&lt;0.0001),0,IF(BS138&gt;0,-1,1)*CH138*Strike1/BR138^2*BY138/10%),0)</f>
        <v>0</v>
      </c>
      <c r="CH138" s="470" t="n">
        <f aca="false">IF(BD138,(xCrudeAPO(BU138,BV138,CA138,CB138,S139,S140,BI138,BL138,BP138,BQ138,0,Strike1,AO138,CE138,0,BL138,IF(OptControl=4,0,1),3,1)+xCrudeAPO(BU138,BV138,CA138,CB138,S139,S140,BI138,BL138,BP138,BQ138,0,Strike1,AO138,CE138,0,BL138,IF(OptControl=4,0,1),3,2))/100,0)</f>
        <v>0</v>
      </c>
      <c r="CI138" s="470" t="n">
        <f aca="false">IF(BD138,xCrudeAPO(BU138,BV138,CA138,CB138,S139,S140,BI138-DaysForThetaCalculation/365.25,BL138-DaysForThetaCalculation/365.25,BP138,BQ138,0,Strike1,AO138,CE138,0,BL138,IF(OptControl=4,0,1),0,1)-xCrudeAPO(BU138,BV138,CA138,CB138,S139,S140,BI138,BL138,BP138,BQ138,0,Strike1,AO138,CE138,0,BL138,IF(OptControl=4,0,1),0,1),0)</f>
        <v>0</v>
      </c>
      <c r="CJ138" s="471" t="n">
        <f aca="false">IF(BD138,xCrudeAPO(BU138,BV138,CC138,CD138,S139,S140,BI138,BL138,BP138,BQ138,0,Strike2,AO138,CE138,0,BL138,IF(OptControl=3,1,0),0,1),0)</f>
        <v>0</v>
      </c>
      <c r="CK138" s="470" t="n">
        <f aca="false">IF(BD138,xCrudeAPO(BU138,BV138,CC138,CD138,S139,S140,BI138,BL138,BP138,BQ138,0,Strike2,AO138,CE138,0,BL138,IF(OptControl=3,1,0),1,1)+xCrudeAPO(BU138,BV138,CC138,CD138,S139,S140,BI138,BL138,BP138,BQ138,0,Strike2,AO138,CE138,0,BL138,IF(OptControl=3,1,0),1,2)+IF(OR(VolSkewFlag=2,ABS(BT138)&lt;0.0001),0,IF(BT138&gt;0,-1,1)*CL138*Strike2/BR138^2*BZ138/10%),0)</f>
        <v>0</v>
      </c>
      <c r="CL138" s="470" t="n">
        <f aca="false">IF(BD138,(xCrudeAPO(BU138,BV138,CC138,CD138,S139,S140,BI138,BL138,BP138,BQ138,0,Strike2,AO138,CE138,0,BL138,IF(OptControl=3,1,0),3,1)+xCrudeAPO(BU138,BV138,CC138,CD138,S139,S140,BI138,BL138,BP138,BQ138,0,Strike2,AO138,CE138,0,BL138,IF(OptControl=3,1,0),3,2))/100,0)</f>
        <v>0</v>
      </c>
      <c r="CM138" s="472" t="n">
        <f aca="false">IF(BD138,xCrudeAPO(BU138,BV138,CC138,CD138,S139,S140,BI138-DaysForThetaCalculation/365.25,BL138-DaysForThetaCalculation/365.25,BP138,BQ138,0,Strike2,AO138,CE138,0,BL138,IF(OptControl=3,1,0),0,1)-xCrudeAPO(BU138,BV138,CC138,CD138,S139,S140,BI138,BL138,BP138,BQ138,0,Strike2,AO138,CE138,0,BL138,IF(OptControl=3,1,0),0,1),0)</f>
        <v>0</v>
      </c>
      <c r="CN138" s="3"/>
      <c r="CO138" s="543" t="str">
        <f aca="false">IF(BD138,CHOOSE(Underlying,AD138,AF138)-DateToday+1,"")</f>
        <v/>
      </c>
      <c r="CP138" s="582" t="str">
        <f aca="false">IF(BD138,CHOOSE(Underlying,L138,R138),"")</f>
        <v/>
      </c>
      <c r="CQ138" s="544" t="str">
        <f aca="false">IF(BD138,Strike1/CP138-1,"")</f>
        <v/>
      </c>
      <c r="CR138" s="544" t="str">
        <f aca="false">IF(BD138,Strike2/CP138-1,"")</f>
        <v/>
      </c>
      <c r="CS138" s="544" t="str">
        <f aca="false">IF(BD138,IF(CQ138&gt;0,IF(CQ138&gt;0.2,BC137-BB137,IF(CQ138&gt;0.1,BB137-BA137,BA137)),IF(CQ138&lt;-0.2,AX137-AY137,IF(CQ138&lt;-0.1,AY137-AZ137,AZ137))),"")</f>
        <v/>
      </c>
      <c r="CT138" s="544" t="str">
        <f aca="false">IF(BD138,IF(CR138&gt;0,IF(CR138&gt;0.2,BC137-BB137,IF(CR138&gt;0.1,BB137-BA137,BA137)),IF(CR138&lt;-0.2,AX137-AY137,IF(CR138&lt;-0.1,AY137-AZ137,AZ137))),"")</f>
        <v/>
      </c>
      <c r="CU138" s="545" t="str">
        <f aca="false">IF(BD138,CHOOSE(Underlying,O138,AT138),"")</f>
        <v/>
      </c>
      <c r="CV138" s="545" t="str">
        <f aca="false">IF(BD138,CU138+IF(VolSkewFlag=1,IF(CQ138&gt;0,BA137*MIN(CQ138/10%,1)+(BB137-BA137)*MAX(0,MIN(CQ138/10%-1,1))+(BC137-BB137)*MAX(0,CQ138/10%-2),AZ137*MIN(-CQ138/10%,1)+(AY137-AZ137)*MAX(0,MIN(-CQ138/10%-1,1))+(AX137-AY137)*MAX(0,-CQ138/10%-2)),0),"")</f>
        <v/>
      </c>
      <c r="CW138" s="545" t="str">
        <f aca="false">IF(BD138,CU138+IF(VolSkewFlag=1,IF(CR138&gt;0,BA137*MIN(CR138/10%,1)+(BB137-BA137)*MAX(0,MIN(CR138/10%-1,1))+(BC137-BB137)*MAX(0,CR138/10%-2),AZ137*MIN(-CR138/10%,1)+(AY137-AZ137)*MAX(0,MIN(-CR138/10%-1,1))+(AX137-AY137)*MAX(0,-CR138/10%-2)),0),"")</f>
        <v/>
      </c>
      <c r="CX138" s="470" t="n">
        <f aca="false">IF(BD138,EURO(CP138,Strike1,AO138,AO138,CV138,CO138,IF(OptControl=4,0,1),0),0)</f>
        <v>0</v>
      </c>
      <c r="CY138" s="470" t="n">
        <f aca="false">IF(BD138,EURO(CP138,Strike1,AO138,AO138,CV138,CO138,IF(OptControl=4,0,1),1)+IF(OR(VolSkewFlag=2,ABS(CQ138)&lt;0.0001),0,IF(CQ138&gt;0,-1,1)*CZ138*100*Strike1/CP138^2*CS138/10%),0)</f>
        <v>0</v>
      </c>
      <c r="CZ138" s="470" t="n">
        <f aca="false">IF(BD138,EURO(CP138,Strike1,AO138,AO138,CV138,CO138,IF(OptControl=4,0,1),3)/100,0)</f>
        <v>0</v>
      </c>
      <c r="DA138" s="470" t="n">
        <f aca="false">IF(BD138,EURO(CP138,Strike1,AO138,AO138,CV138,CO138,IF(OptControl=4,0,1),0)-EURO(CP138,Strike1,AO138,AO138,CV138,CO138-1,IF(OptControl=4,0,1),0),0)</f>
        <v>0</v>
      </c>
      <c r="DB138" s="470" t="n">
        <f aca="false">IF(BD138,EURO(CP138,Strike2,AO138,AO138,CW138,CO138,IF(OptControl=3,1,0),0),0)</f>
        <v>0</v>
      </c>
      <c r="DC138" s="470" t="n">
        <f aca="false">IF(BD138,EURO(CP138,Strike2,AO138,AO138,CW138,CO138,IF(OptControl=3,1,0),1)+IF(OR(VolSkewFlag=2,ABS(CR138)&lt;0.0001),0,IF(CR138&gt;0,-1,1)*DD138*100*Strike2/CP138^2*CT138/10%),0)</f>
        <v>0</v>
      </c>
      <c r="DD138" s="470" t="n">
        <f aca="false">IF(BD138,EURO(CP138,Strike2,AO138,AO138,CW138,CO138,IF(OptControl=3,1,0),3)/100,0)</f>
        <v>0</v>
      </c>
      <c r="DE138" s="472" t="n">
        <f aca="false">IF(BD138,EURO(CP138,Strike2,AO138,AO138,CW138,CO138,IF(OptControl=3,1,0),0)-EURO(CP138,Strike2,AO138,AO138,CW138,CO138-1,IF(OptControl=3,1,0),0),0)</f>
        <v>0</v>
      </c>
      <c r="DG138" s="481" t="n">
        <f aca="false">EOMONTH(DG137,0)+1</f>
        <v>49279</v>
      </c>
      <c r="DH138" s="478" t="n">
        <v>20.06</v>
      </c>
      <c r="DI138" s="479" t="n">
        <v>20.1281818181818</v>
      </c>
      <c r="DJ138" s="480" t="n">
        <f aca="false">DG138</f>
        <v>49279</v>
      </c>
      <c r="DK138" s="478" t="n">
        <v>18.8625693421516</v>
      </c>
      <c r="DL138" s="479" t="n">
        <v>18.9350818181818</v>
      </c>
      <c r="DM138" s="481" t="n">
        <f aca="false">DG138</f>
        <v>49279</v>
      </c>
      <c r="DN138" s="482" t="n">
        <f aca="false">DK138+BrentPhyBrentSpread</f>
        <v>18.9125693421516</v>
      </c>
      <c r="DO138" s="481" t="n">
        <f aca="false">DG138</f>
        <v>49279</v>
      </c>
      <c r="DP138" s="483" t="n">
        <f aca="false">DL138+DQ138</f>
        <v>18.9350818181818</v>
      </c>
      <c r="DQ138" s="546" t="n">
        <v>0</v>
      </c>
      <c r="DR138" s="480" t="n">
        <f aca="false">DG138</f>
        <v>49279</v>
      </c>
      <c r="DS138" s="485" t="n">
        <v>0.153799999999999</v>
      </c>
      <c r="DT138" s="486" t="n">
        <v>0.152981818181817</v>
      </c>
      <c r="DU138" s="480" t="n">
        <f aca="false">DG138</f>
        <v>49279</v>
      </c>
      <c r="DV138" s="485" t="n">
        <v>0.153799999999999</v>
      </c>
      <c r="DW138" s="486" t="n">
        <v>0.152981818181817</v>
      </c>
      <c r="DX138" s="481" t="n">
        <f aca="false">DG138</f>
        <v>49279</v>
      </c>
      <c r="DY138" s="486" t="n">
        <v>0.35</v>
      </c>
      <c r="DZ138" s="481" t="n">
        <f aca="false">DR138</f>
        <v>49279</v>
      </c>
      <c r="EA138" s="486" t="n">
        <f aca="false">DT138</f>
        <v>0.152981818181817</v>
      </c>
      <c r="EB138" s="195"/>
      <c r="EC138" s="547" t="str">
        <f aca="false">IF(BD138,IF(Underlying=1,AS138,AU138),"")</f>
        <v/>
      </c>
      <c r="ED138" s="548" t="str">
        <f aca="false">IF($BD138,$EC138+IF(VolSkewFlag=1,IF(BS138&gt;0,$BA138*MIN(BS138/10%,1)+($BB138-$BA138)*MAX(0,MIN(BS138/10%-1,1))+($BC138-$BB138)*MAX(0,BS138/10%-2),$AZ138*MIN(-BS138/10%,1)+($AY138-$AZ138)*MAX(0,MIN(-BS138/10%-1,1))+($AX138-$AY138)*MAX(0,-BS138/10%-2)),0),"")</f>
        <v/>
      </c>
      <c r="EE138" s="549" t="str">
        <f aca="false">IF($BD138,$EC138+IF(VolSkewFlag=1,IF(BT138&gt;0,$BA138*MIN(BT138/10%,1)+($BB138-$BA138)*MAX(0,MIN(BT138/10%-1,1))+($BC138-$BB138)*MAX(0,BT138/10%-2),$AZ138*MIN(-BT138/10%,1)+($AY138-$AZ138)*MAX(0,MIN(-BT138/10%-1,1))+($AX138-$AY138)*MAX(0,-BT138/10%-2)),0),"")</f>
        <v/>
      </c>
      <c r="EF138" s="550" t="n">
        <f aca="false">IF(BD138,xASN(BR138,Strike1,AO138,ED138,0,BO138,0,BI138,BL138,IF(OptControl=4,0,1),0),0)</f>
        <v>0</v>
      </c>
      <c r="EG138" s="551" t="n">
        <f aca="false">IF(BD138,xASN(BR138,Strike2,AO138,EE138,0,BO138,0,BI138,BL138,IF(OptControl=3,1,0),0),0)</f>
        <v>0</v>
      </c>
      <c r="EL138" s="1"/>
      <c r="EM138" s="195"/>
      <c r="EN138" s="240"/>
      <c r="EO138" s="240"/>
      <c r="EP138" s="195"/>
      <c r="EQ138" s="407" t="s">
        <v>365</v>
      </c>
      <c r="ES138" s="130"/>
      <c r="ET138" s="19"/>
      <c r="EU138" s="672"/>
      <c r="EV138" s="478"/>
      <c r="EW138" s="131"/>
      <c r="EX138" s="131"/>
      <c r="EY138" s="129"/>
      <c r="EZ138" s="129"/>
      <c r="FA138" s="129"/>
      <c r="FB138" s="129"/>
      <c r="FC138" s="129"/>
      <c r="FD138" s="129"/>
      <c r="FE138" s="129"/>
      <c r="FF138" s="129"/>
      <c r="FG138" s="129"/>
      <c r="FH138" s="129"/>
      <c r="FI138" s="129"/>
      <c r="FJ138" s="571" t="n">
        <v>44</v>
      </c>
      <c r="FK138" s="150" t="e">
        <f aca="false">IF($FJ63&lt;FK$94,"",SQRT(FK63/FK$15))</f>
        <v>#DIV/0!</v>
      </c>
      <c r="FL138" s="150" t="n">
        <f aca="false">IF($FJ63&lt;FL$94,"",SQRT(FL63/FL$15))</f>
        <v>-0</v>
      </c>
      <c r="FM138" s="150" t="n">
        <f aca="false">IF($FJ63&lt;FM$94,"",SQRT(FM63/FM$15))</f>
        <v>0.170710738246545</v>
      </c>
      <c r="FN138" s="150" t="n">
        <f aca="false">IF($FJ63&lt;FN$94,"",SQRT(FN63/FN$15))</f>
        <v>0.167463574827197</v>
      </c>
      <c r="FO138" s="150" t="n">
        <f aca="false">IF($FJ63&lt;FO$94,"",SQRT(FO63/FO$15))</f>
        <v>0.165042067361252</v>
      </c>
      <c r="FP138" s="150" t="n">
        <f aca="false">IF($FJ63&lt;FP$94,"",SQRT(FP63/FP$15))</f>
        <v>0.163242235115902</v>
      </c>
      <c r="FQ138" s="150" t="n">
        <f aca="false">IF($FJ63&lt;FQ$94,"",SQRT(FQ63/FQ$15))</f>
        <v>0.161911498344055</v>
      </c>
      <c r="FR138" s="150" t="n">
        <f aca="false">IF($FJ63&lt;FR$94,"",SQRT(FR63/FR$15))</f>
        <v>0.160935898880566</v>
      </c>
      <c r="FS138" s="150" t="n">
        <f aca="false">IF($FJ63&lt;FS$94,"",SQRT(FS63/FS$15))</f>
        <v>0.160230527791453</v>
      </c>
      <c r="FT138" s="150" t="n">
        <f aca="false">IF($FJ63&lt;FT$94,"",SQRT(FT63/FT$15))</f>
        <v>0.159732360520717</v>
      </c>
      <c r="FU138" s="150" t="n">
        <f aca="false">IF($FJ63&lt;FU$94,"",SQRT(FU63/FU$15))</f>
        <v>0.159394900285695</v>
      </c>
      <c r="FV138" s="150" t="n">
        <f aca="false">IF($FJ63&lt;FV$94,"",SQRT(FV63/FV$15))</f>
        <v>0.159184180789712</v>
      </c>
      <c r="FW138" s="150" t="n">
        <f aca="false">IF($FJ63&lt;FW$94,"",SQRT(FW63/FW$15))</f>
        <v>0.159075792168434</v>
      </c>
      <c r="FX138" s="150" t="n">
        <f aca="false">IF($FJ63&lt;FX$94,"",SQRT(FX63/FX$15))</f>
        <v>0.15905267885887</v>
      </c>
      <c r="FY138" s="150" t="n">
        <f aca="false">IF($FJ63&lt;FY$94,"",SQRT(FY63/FY$15))</f>
        <v>0.159103521831735</v>
      </c>
      <c r="FZ138" s="150" t="n">
        <f aca="false">IF($FJ63&lt;FZ$94,"",SQRT(FZ63/FZ$15))</f>
        <v>0.15922156566043</v>
      </c>
      <c r="GA138" s="150" t="n">
        <f aca="false">IF($FJ63&lt;GA$94,"",SQRT(GA63/GA$15))</f>
        <v>0.159403787204428</v>
      </c>
      <c r="GB138" s="150" t="n">
        <f aca="false">IF($FJ63&lt;GB$94,"",SQRT(GB63/GB$15))</f>
        <v>0.159650330274405</v>
      </c>
      <c r="GC138" s="150" t="n">
        <f aca="false">IF($FJ63&lt;GC$94,"",SQRT(GC63/GC$15))</f>
        <v>0.159964151808783</v>
      </c>
      <c r="GD138" s="150" t="n">
        <f aca="false">IF($FJ63&lt;GD$94,"",SQRT(GD63/GD$15))</f>
        <v>0.160350841580003</v>
      </c>
      <c r="GE138" s="150" t="n">
        <f aca="false">IF($FJ63&lt;GE$94,"",SQRT(GE63/GE$15))</f>
        <v>0.160818590632304</v>
      </c>
      <c r="GF138" s="150" t="n">
        <f aca="false">IF($FJ63&lt;GF$94,"",SQRT(GF63/GF$15))</f>
        <v>0.16137829463206</v>
      </c>
      <c r="GG138" s="150" t="n">
        <f aca="false">IF($FJ63&lt;GG$94,"",SQRT(GG63/GG$15))</f>
        <v>0.16204378801857</v>
      </c>
      <c r="GH138" s="150" t="n">
        <f aca="false">IF($FJ63&lt;GH$94,"",SQRT(GH63/GH$15))</f>
        <v>0.162832214128412</v>
      </c>
      <c r="GI138" s="150" t="n">
        <f aca="false">IF($FJ63&lt;GI$94,"",SQRT(GI63/GI$15))</f>
        <v>0.16376454618805</v>
      </c>
      <c r="GJ138" s="150" t="n">
        <f aca="false">IF($FJ63&lt;GJ$94,"",SQRT(GJ63/GJ$15))</f>
        <v>0.164866285192513</v>
      </c>
      <c r="GK138" s="150" t="n">
        <f aca="false">IF($FJ63&lt;GK$94,"",SQRT(GK63/GK$15))</f>
        <v>0.166168374412904</v>
      </c>
      <c r="GL138" s="150" t="n">
        <f aca="false">IF($FJ63&lt;GL$94,"",SQRT(GL63/GL$15))</f>
        <v>0.16770838821615</v>
      </c>
      <c r="GM138" s="150" t="n">
        <f aca="false">IF($FJ63&lt;GM$94,"",SQRT(GM63/GM$15))</f>
        <v>0.16953207733133</v>
      </c>
      <c r="GN138" s="150" t="n">
        <f aca="false">IF($FJ63&lt;GN$94,"",SQRT(GN63/GN$15))</f>
        <v>0.171695387049706</v>
      </c>
      <c r="GO138" s="150" t="n">
        <f aca="false">IF($FJ63&lt;GO$94,"",SQRT(GO63/GO$15))</f>
        <v>0.17426711425791</v>
      </c>
      <c r="GP138" s="150" t="n">
        <f aca="false">IF($FJ63&lt;GP$94,"",SQRT(GP63/GP$15))</f>
        <v>0.177332441703742</v>
      </c>
      <c r="GQ138" s="150" t="n">
        <f aca="false">IF($FJ63&lt;GQ$94,"",SQRT(GQ63/GQ$15))</f>
        <v>0.180997696241133</v>
      </c>
      <c r="GR138" s="150" t="n">
        <f aca="false">IF($FJ63&lt;GR$94,"",SQRT(GR63/GR$15))</f>
        <v>0.185396842695238</v>
      </c>
      <c r="GS138" s="150" t="n">
        <f aca="false">IF($FJ63&lt;GS$94,"",SQRT(GS63/GS$15))</f>
        <v>0.190700480729558</v>
      </c>
      <c r="GT138" s="150" t="n">
        <f aca="false">IF($FJ63&lt;GT$94,"",SQRT(GT63/GT$15))</f>
        <v>0.197128516807012</v>
      </c>
      <c r="GU138" s="150" t="n">
        <f aca="false">IF($FJ63&lt;GU$94,"",SQRT(GU63/GU$15))</f>
        <v>0.2049683379197</v>
      </c>
      <c r="GV138" s="150" t="n">
        <f aca="false">IF($FJ63&lt;GV$94,"",SQRT(GV63/GV$15))</f>
        <v>0.214601398070193</v>
      </c>
      <c r="GW138" s="150" t="n">
        <f aca="false">IF($FJ63&lt;GW$94,"",SQRT(GW63/GW$15))</f>
        <v>0.226542972496588</v>
      </c>
      <c r="GX138" s="150" t="n">
        <f aca="false">IF($FJ63&lt;GX$94,"",SQRT(GX63/GX$15))</f>
        <v>0.241503063400374</v>
      </c>
      <c r="GY138" s="150" t="n">
        <f aca="false">IF($FJ63&lt;GY$94,"",SQRT(GY63/GY$15))</f>
        <v>0.260482281264979</v>
      </c>
      <c r="GZ138" s="150" t="n">
        <f aca="false">IF($FJ63&lt;GZ$94,"",SQRT(GZ63/GZ$15))</f>
        <v>0.284927483281293</v>
      </c>
      <c r="HA138" s="150" t="n">
        <f aca="false">IF($FJ63&lt;HA$94,"",SQRT(HA63/HA$15))</f>
        <v>0.316993377020997</v>
      </c>
      <c r="HB138" s="150" t="n">
        <f aca="false">IF($FJ63&lt;HB$94,"",SQRT(HB63/HB$15))</f>
        <v>0.360000226273166</v>
      </c>
      <c r="HC138" s="150" t="str">
        <f aca="false">IF($FJ63&lt;HC$94,"",SQRT(HC63/HC$15))</f>
        <v/>
      </c>
      <c r="HD138" s="150" t="str">
        <f aca="false">IF($FJ63&lt;HD$94,"",SQRT(HD63/HD$15))</f>
        <v/>
      </c>
      <c r="HE138" s="150" t="str">
        <f aca="false">IF($FJ63&lt;HE$94,"",SQRT(HE63/HE$15))</f>
        <v/>
      </c>
      <c r="HF138" s="150" t="str">
        <f aca="false">IF($FJ63&lt;HF$94,"",SQRT(HF63/HF$15))</f>
        <v/>
      </c>
      <c r="HG138" s="150" t="str">
        <f aca="false">IF($FJ63&lt;HG$94,"",SQRT(HG63/HG$15))</f>
        <v/>
      </c>
      <c r="HH138" s="150" t="str">
        <f aca="false">IF($FJ63&lt;HH$94,"",SQRT(HH63/HH$15))</f>
        <v/>
      </c>
      <c r="HI138" s="150" t="str">
        <f aca="false">IF($FJ63&lt;HI$94,"",SQRT(HI63/HI$15))</f>
        <v/>
      </c>
      <c r="HJ138" s="150" t="str">
        <f aca="false">IF($FJ63&lt;HJ$94,"",SQRT(HJ63/HJ$15))</f>
        <v/>
      </c>
      <c r="HK138" s="150" t="str">
        <f aca="false">IF($FJ63&lt;HK$94,"",SQRT(HK63/HK$15))</f>
        <v/>
      </c>
      <c r="HL138" s="150" t="str">
        <f aca="false">IF($FJ63&lt;HL$94,"",SQRT(HL63/HL$15))</f>
        <v/>
      </c>
      <c r="HM138" s="150" t="str">
        <f aca="false">IF($FJ63&lt;HM$94,"",SQRT(HM63/HM$15))</f>
        <v/>
      </c>
      <c r="HN138" s="150" t="str">
        <f aca="false">IF($FJ63&lt;HN$94,"",SQRT(HN63/HN$15))</f>
        <v/>
      </c>
      <c r="HO138" s="150" t="str">
        <f aca="false">IF($FJ63&lt;HO$94,"",SQRT(HO63/HO$15))</f>
        <v/>
      </c>
      <c r="HP138" s="150" t="str">
        <f aca="false">IF($FJ63&lt;HP$94,"",SQRT(HP63/HP$15))</f>
        <v/>
      </c>
      <c r="HQ138" s="150" t="str">
        <f aca="false">IF($FJ63&lt;HQ$94,"",SQRT(HQ63/HQ$15))</f>
        <v/>
      </c>
      <c r="HR138" s="150" t="str">
        <f aca="false">IF($FJ63&lt;HR$94,"",SQRT(HR63/HR$15))</f>
        <v/>
      </c>
      <c r="HS138" s="150" t="str">
        <f aca="false">IF($FJ63&lt;HS$94,"",SQRT(HS63/HS$15))</f>
        <v/>
      </c>
      <c r="HT138" s="150" t="str">
        <f aca="false">IF($FJ63&lt;HT$94,"",SQRT(HT63/HT$15))</f>
        <v/>
      </c>
      <c r="HU138" s="150" t="str">
        <f aca="false">IF($FJ63&lt;HU$94,"",SQRT(HU63/HU$15))</f>
        <v/>
      </c>
      <c r="HV138" s="150" t="str">
        <f aca="false">IF($FJ63&lt;HV$94,"",SQRT(HV63/HV$15))</f>
        <v/>
      </c>
      <c r="HW138" s="150" t="str">
        <f aca="false">IF($FJ63&lt;HW$94,"",SQRT(HW63/HW$15))</f>
        <v/>
      </c>
      <c r="HX138" s="150" t="str">
        <f aca="false">IF($FJ63&lt;HX$94,"",SQRT(HX63/HX$15))</f>
        <v/>
      </c>
      <c r="HY138" s="150" t="str">
        <f aca="false">IF($FJ63&lt;HY$94,"",SQRT(HY63/HY$15))</f>
        <v/>
      </c>
      <c r="HZ138" s="150" t="str">
        <f aca="false">IF($FJ63&lt;HZ$94,"",SQRT(HZ63/HZ$15))</f>
        <v/>
      </c>
      <c r="IA138" s="150" t="str">
        <f aca="false">IF($FJ63&lt;IA$94,"",SQRT(IA63/IA$15))</f>
        <v/>
      </c>
      <c r="IB138" s="150" t="str">
        <f aca="false">IF($FJ63&lt;IB$94,"",SQRT(IB63/IB$15))</f>
        <v/>
      </c>
      <c r="IC138" s="150" t="str">
        <f aca="false">IF($FJ63&lt;IC$94,"",SQRT(IC63/IC$15))</f>
        <v/>
      </c>
      <c r="ID138" s="572" t="str">
        <f aca="false">IF($FJ63&lt;ID$94,"",SQRT(ID63/ID$15))</f>
        <v/>
      </c>
      <c r="IE138" s="129"/>
    </row>
    <row r="139" customFormat="false" ht="12.75" hidden="false" customHeight="false" outlineLevel="0" collapsed="false">
      <c r="H139" s="219" t="n">
        <f aca="false">VLOOKUP(I139,$EJ$20:$EL$54,3)</f>
        <v>0</v>
      </c>
      <c r="I139" s="511" t="n">
        <f aca="false">EOMONTH(I138,0)+1</f>
        <v>40391</v>
      </c>
      <c r="J139" s="512"/>
      <c r="K139" s="513" t="s">
        <v>280</v>
      </c>
      <c r="L139" s="514" t="n">
        <f aca="false">IF(ISNUMBER(K139),J139+K139/100,IF(K139="extra",L138+VLOOKUP(BF139,PriceSpreadTable,2)/12,IF(K139="inter",interpolateprices($K$19:$L$200,ROW(K139)-ROW(FirstPricingMonth)+1),interpolatechanges($J$19:$K$200,ROW(K139)-ROW(FirstPricingMonth)+1))))</f>
        <v>1.6125</v>
      </c>
      <c r="M139" s="515"/>
      <c r="N139" s="516" t="n">
        <v>0</v>
      </c>
      <c r="O139" s="515" t="n">
        <f aca="false">M139+N139</f>
        <v>0</v>
      </c>
      <c r="P139" s="512"/>
      <c r="Q139" s="513" t="s">
        <v>280</v>
      </c>
      <c r="R139" s="512" t="e">
        <f aca="false">IF(ISNUMBER(Q139),P139+Q139/100,IF(Q139="extra",(Z137*AL137-R138*AM137)/AN137,IF(Q139="inter",interpolateprices($Q$19:$R$260,ROW(Q139)-ROW(FirstPricingMonth)+1),interpolatechanges($P$19:$Q$260,ROW(Q139)-ROW(FirstPricingMonth)+1))))</f>
        <v>#VALUE!</v>
      </c>
      <c r="S139" s="597" t="n">
        <f aca="false">S$19+(S138-S$19)*S$18</f>
        <v>0.36</v>
      </c>
      <c r="T139" s="575" t="n">
        <f aca="false">SQRT((1-(1-T138^2/U138)*T$18)*U139)</f>
        <v>0.99999999909956</v>
      </c>
      <c r="U139" s="576" t="n">
        <f aca="false">1-(1-U138)*U$18</f>
        <v>1</v>
      </c>
      <c r="V139" s="521" t="n">
        <v>0</v>
      </c>
      <c r="W139" s="577" t="n">
        <f aca="false">(J140*AJ139+J141*AK139)/AI139</f>
        <v>0</v>
      </c>
      <c r="X139" s="578" t="n">
        <f aca="false">(L140*AJ139+L141*AK139)/AI139</f>
        <v>1.66193181818182</v>
      </c>
      <c r="Y139" s="579" t="n">
        <f aca="false">IF(Q141="extra",W139-AA139,(P140*AM139+P141*AN139)/AL139)</f>
        <v>-1.2669</v>
      </c>
      <c r="Z139" s="579" t="n">
        <f aca="false">IF(Q141="extra",X139-AB139,(R140*AM139+R141*AN139)/AL139)</f>
        <v>0.39503181818182</v>
      </c>
      <c r="AA139" s="523" t="n">
        <f aca="false">IF(Q141="extra",INDEX(BrentSeasonalityTable,INT((BG139-1)/3)+1)*VLOOKUP(MAX(BF139,$AB$4),PriceSpreadTable,3),W139-Y139)</f>
        <v>1.2669</v>
      </c>
      <c r="AB139" s="524" t="n">
        <f aca="false">IF(Q141="extra",INDEX(BrentSeasonalityTable,INT((BG139-1)/3)+1)*VLOOKUP(MAX(BF139,$AB$4),PriceSpreadTable,3),X139-Z139)</f>
        <v>1.2669</v>
      </c>
      <c r="AC139" s="646" t="n">
        <v>40379</v>
      </c>
      <c r="AD139" s="646" t="n">
        <v>40375</v>
      </c>
      <c r="AE139" s="646" t="n">
        <v>40374</v>
      </c>
      <c r="AF139" s="646" t="n">
        <v>40370</v>
      </c>
      <c r="AG139" s="438" t="s">
        <v>278</v>
      </c>
      <c r="AH139" s="439" t="s">
        <v>278</v>
      </c>
      <c r="AI139" s="528" t="n">
        <v>22</v>
      </c>
      <c r="AJ139" s="529" t="n">
        <v>15</v>
      </c>
      <c r="AK139" s="529" t="n">
        <v>7</v>
      </c>
      <c r="AL139" s="530" t="n">
        <v>22</v>
      </c>
      <c r="AM139" s="529" t="n">
        <v>10</v>
      </c>
      <c r="AN139" s="531" t="n">
        <v>12</v>
      </c>
      <c r="AO139" s="532"/>
      <c r="AP139" s="465" t="n">
        <f aca="false">(1+AO139/2)^(-2*BL139)</f>
        <v>1</v>
      </c>
      <c r="AQ139" s="532"/>
      <c r="AR139" s="465" t="n">
        <f aca="false">(1+AQ139/2)^(-2*BH139/365.25)</f>
        <v>1</v>
      </c>
      <c r="AS139" s="580" t="n">
        <f aca="false">(O140*AJ139+O141*AK139)/AI139</f>
        <v>0</v>
      </c>
      <c r="AT139" s="468" t="n">
        <f aca="false">O139*VLOOKUP(BF139,BrentVolTable,2)+VLOOKUP(BF139,BrentVolTable,3)</f>
        <v>0</v>
      </c>
      <c r="AU139" s="468" t="n">
        <f aca="false">(AT140*AM139+AT141*AN139)/AL139</f>
        <v>0</v>
      </c>
      <c r="AV139" s="595" t="n">
        <f aca="false">SQRT(MAX(0.000000000001,(O139^2*BH139-S139^2*(BH139-BH138))/BH138))</f>
        <v>0.0263964807038436</v>
      </c>
      <c r="AW139" s="451" t="n">
        <f aca="false">IF($I139-DateToday+15&gt;=$T$8,"",IF($I139-DateToday+15&lt;$T$5,1,MATCH($I139-DateToday+15,$T$5:$T$8)))</f>
        <v>1</v>
      </c>
      <c r="AX139" s="468" t="n">
        <f aca="false">IF($AW139="",AX138^2/AX137,INDEX(U$5:U$8,$AW139)^((INDEX($T$5:$T$8,$AW139+1)-($I139-DateToday+15))/(INDEX($T$5:$T$8,$AW139+1)-INDEX($T$5:$T$8,$AW139)))/INDEX(U$5:U$8,$AW139+1)^((INDEX($T$5:$T$8,$AW139)-($I139-DateToday+15))/(INDEX($T$5:$T$8,$AW139+1)-INDEX($T$5:$T$8,$AW139))))</f>
        <v>0.986409273232832</v>
      </c>
      <c r="AY139" s="468" t="n">
        <f aca="false">IF($AW139="",AY138^2/AY137,INDEX(V$5:V$8,$AW139)^((INDEX($T$5:$T$8,$AW139+1)-($I139-DateToday+15))/(INDEX($T$5:$T$8,$AW139+1)-INDEX($T$5:$T$8,$AW139)))/INDEX(V$5:V$8,$AW139+1)^((INDEX($T$5:$T$8,$AW139)-($I139-DateToday+15))/(INDEX($T$5:$T$8,$AW139+1)-INDEX($T$5:$T$8,$AW139))))</f>
        <v>34.7260435509716</v>
      </c>
      <c r="AZ139" s="468" t="n">
        <f aca="false">IF($AW139="",AZ138^2/AZ137,INDEX(W$5:W$8,$AW139)^((INDEX($T$5:$T$8,$AW139+1)-($I139-DateToday+15))/(INDEX($T$5:$T$8,$AW139+1)-INDEX($T$5:$T$8,$AW139)))/INDEX(W$5:W$8,$AW139+1)^((INDEX($T$5:$T$8,$AW139)-($I139-DateToday+15))/(INDEX($T$5:$T$8,$AW139+1)-INDEX($T$5:$T$8,$AW139))))</f>
        <v>39314.9593633423</v>
      </c>
      <c r="BA139" s="468" t="n">
        <f aca="false">IF($AW139="",BA138^2/BA137,INDEX(X$5:X$8,$AW139)^((INDEX($T$5:$T$8,$AW139+1)-($I139-DateToday+15))/(INDEX($T$5:$T$8,$AW139+1)-INDEX($T$5:$T$8,$AW139)))/INDEX(X$5:X$8,$AW139+1)^((INDEX($T$5:$T$8,$AW139)-($I139-DateToday+15))/(INDEX($T$5:$T$8,$AW139+1)-INDEX($T$5:$T$8,$AW139))))</f>
        <v>403965.005133048</v>
      </c>
      <c r="BB139" s="468" t="n">
        <f aca="false">IF($AW139="",BB138^2/BB137,INDEX(Y$5:Y$8,$AW139)^((INDEX($T$5:$T$8,$AW139+1)-($I139-DateToday+15))/(INDEX($T$5:$T$8,$AW139+1)-INDEX($T$5:$T$8,$AW139)))/INDEX(Y$5:Y$8,$AW139+1)^((INDEX($T$5:$T$8,$AW139)-($I139-DateToday+15))/(INDEX($T$5:$T$8,$AW139+1)-INDEX($T$5:$T$8,$AW139))))</f>
        <v>3439345.82159339</v>
      </c>
      <c r="BC139" s="468" t="n">
        <f aca="false">IF($AW139="",BC138^2/BC137,INDEX(Z$5:Z$8,$AW139)^((INDEX($T$5:$T$8,$AW139+1)-($I139-DateToday+15))/(INDEX($T$5:$T$8,$AW139+1)-INDEX($T$5:$T$8,$AW139)))/INDEX(Z$5:Z$8,$AW139+1)^((INDEX($T$5:$T$8,$AW139)-($I139-DateToday+15))/(INDEX($T$5:$T$8,$AW139+1)-INDEX($T$5:$T$8,$AW139))))</f>
        <v>12539932.6102648</v>
      </c>
      <c r="BD139" s="535" t="n">
        <f aca="false">IF(OR(DateStart&gt;=I140,DateEnd&lt;I139),0,IF(VolumeOverrideFlag,V139,Volume))</f>
        <v>0</v>
      </c>
      <c r="BE139" s="536" t="n">
        <f aca="false">IF(OR(DateStart2&gt;=I140,DateEnd2&lt;I139),0,IF(VolumeOverrideFlag,V139,VolumeSwaption))</f>
        <v>0</v>
      </c>
      <c r="BF139" s="537" t="n">
        <f aca="false">YEAR(I139)</f>
        <v>2010</v>
      </c>
      <c r="BG139" s="538" t="n">
        <f aca="false">MONTH(I139)</f>
        <v>8</v>
      </c>
      <c r="BH139" s="539" t="n">
        <f aca="false">AD139-DateToday+1</f>
        <v>-5550</v>
      </c>
      <c r="BI139" s="540" t="n">
        <f aca="false">(I139-DateToday+1)/365.25</f>
        <v>-15.151266255989</v>
      </c>
      <c r="BJ139" s="541" t="n">
        <f aca="false">BI139+(BL139-BI139)*CHOOSE(Underlying,AJ139/AI139,AM139/AL139)</f>
        <v>-15.0952647626159</v>
      </c>
      <c r="BK139" s="541" t="n">
        <f aca="false">BJ139+1/365.25</f>
        <v>-15.0925269118288</v>
      </c>
      <c r="BL139" s="541" t="n">
        <f aca="false">(I140-DateToday)/365.25</f>
        <v>-15.0691307323751</v>
      </c>
      <c r="BM139" s="542" t="e">
        <f aca="false">MAX(BI139-(BJ139-BI139)*(S140^2/O140^2-1),0)</f>
        <v>#DIV/0!</v>
      </c>
      <c r="BN139" s="541" t="e">
        <f aca="false">MAX(BL139+(BL139-BK139)*(S141^2/O141^2-1),0)</f>
        <v>#DIV/0!</v>
      </c>
      <c r="BO139" s="530" t="n">
        <f aca="false">CHOOSE(Underlying,AI139,AL139)</f>
        <v>22</v>
      </c>
      <c r="BP139" s="529" t="n">
        <f aca="false">CHOOSE(Underlying,AJ139,AM139)</f>
        <v>15</v>
      </c>
      <c r="BQ139" s="529" t="n">
        <f aca="false">CHOOSE(Underlying,AK139,AN139)</f>
        <v>7</v>
      </c>
      <c r="BR139" s="463" t="str">
        <f aca="false">IF(BD139,IF(Underlying=1,X139,Z139)+UnderlyingPriceAsian-SwapPriceCurve,"")</f>
        <v/>
      </c>
      <c r="BS139" s="463" t="str">
        <f aca="false">IF(BD139,Strike1/BR139-1,"")</f>
        <v/>
      </c>
      <c r="BT139" s="464" t="str">
        <f aca="false">IF(BD139,Strike2/BR139-1,"")</f>
        <v/>
      </c>
      <c r="BU139" s="465" t="str">
        <f aca="false">IF(BD139,IF(Underlying=1,L140,R140)+UnderlyingPriceAsian-SwapPriceCurve,"")</f>
        <v/>
      </c>
      <c r="BV139" s="465" t="str">
        <f aca="false">IF(BD139,IF(Underlying=1,L141,R141)+UnderlyingPriceAsian-SwapPriceCurve,"")</f>
        <v/>
      </c>
      <c r="BW139" s="466" t="str">
        <f aca="false">IF(BD139,IF(Underlying=1,O140,AT140),"")</f>
        <v/>
      </c>
      <c r="BX139" s="467" t="str">
        <f aca="false">IF(BD139,IF(Underlying=1,O141,AT141),"")</f>
        <v/>
      </c>
      <c r="BY139" s="466" t="str">
        <f aca="false">IF(BD139,IF(BS139&gt;0,IF(BS139&gt;0.2,BC139-BB139,IF(BS139&gt;0.1,BB139-BA139,BA139)),IF(BS139&lt;-0.2,AX139-AY139,IF(BS139&lt;-0.1,AY139-AZ139,AZ139))),"")</f>
        <v/>
      </c>
      <c r="BZ139" s="467" t="str">
        <f aca="false">IF(BD139,IF(BT139&gt;0,IF(BT139&gt;0.2,BC139-BB139,IF(BT139&gt;0.1,BB139-BA139,BA139)),IF(BT139&lt;-0.2,AX139-AY139,IF(BT139&lt;-0.1,AY139-AZ139,AZ139))),"")</f>
        <v/>
      </c>
      <c r="CA139" s="468" t="str">
        <f aca="false">IF($BD139,$BW139+IF(VolSkewFlag=1,IF(BS139&gt;0,$BA139*MIN(BS139/10%,1)+($BB139-$BA139)*MAX(0,MIN(BS139/10%-1,1))+($BC139-$BB139)*MAX(0,BS139/10%-2),$AZ139*MIN(-BS139/10%,1)+($AY139-$AZ139)*MAX(0,MIN(-BS139/10%-1,1))+($AX139-$AY139)*MAX(0,-BS139/10%-2)),0),"")</f>
        <v/>
      </c>
      <c r="CB139" s="468" t="str">
        <f aca="false">IF($BD139,$BX139+IF(VolSkewFlag=1,IF(BS139&gt;0,$BA139*MIN(BS139/10%,1)+($BB139-$BA139)*MAX(0,MIN(BS139/10%-1,1))+($BC139-$BB139)*MAX(0,BS139/10%-2),$AZ139*MIN(-BS139/10%,1)+($AY139-$AZ139)*MAX(0,MIN(-BS139/10%-1,1))+($AX139-$AY139)*MAX(0,-BS139/10%-2)),0),"")</f>
        <v/>
      </c>
      <c r="CC139" s="468" t="str">
        <f aca="false">IF($BD139,$BW139+IF(VolSkewFlag=1,IF(BT139&gt;0,$BA139*MIN(BT139/10%,1)+($BB139-$BA139)*MAX(0,MIN(BT139/10%-1,1))+($BC139-$BB139)*MAX(0,BT139/10%-2),$AZ139*MIN(-BT139/10%,1)+($AY139-$AZ139)*MAX(0,MIN(-BT139/10%-1,1))+($AX139-$AY139)*MAX(0,-BT139/10%-2)),0),"")</f>
        <v/>
      </c>
      <c r="CD139" s="468" t="str">
        <f aca="false">IF($BD139,$BX139+IF(VolSkewFlag=1,IF(BT139&gt;0,$BA139*MIN(BT139/10%,1)+($BB139-$BA139)*MAX(0,MIN(BT139/10%-1,1))+($BC139-$BB139)*MAX(0,BT139/10%-2),$AZ139*MIN(-BT139/10%,1)+($AY139-$AZ139)*MAX(0,MIN(-BT139/10%-1,1))+($AX139-$AY139)*MAX(0,-BT139/10%-2)),0),"")</f>
        <v/>
      </c>
      <c r="CE139" s="469" t="n">
        <v>1</v>
      </c>
      <c r="CF139" s="470" t="n">
        <f aca="false">IF(BD139,xCrudeAPO(BU139,BV139,CA139,CB139,S140,S141,BI139,BL139,BP139,BQ139,0,Strike1,AO139,CE139,0,BL139,IF(OptControl=4,0,1),0,1),0)</f>
        <v>0</v>
      </c>
      <c r="CG139" s="470" t="n">
        <f aca="false">IF(BD139,xCrudeAPO(BU139,BV139,CA139,CB139,S140,S141,BI139,BL139,BP139,BQ139,0,Strike1,AO139,CE139,0,BL139,IF(OptControl=4,0,1),1,1)+xCrudeAPO(BU139,BV139,CA139,CB139,S140,S141,BI139,BL139,BP139,BQ139,0,Strike1,AO139,CE139,0,BL139,IF(OptControl=4,0,1),1,2)+IF(OR(VolSkewFlag=2,ABS(BS139)&lt;0.0001),0,IF(BS139&gt;0,-1,1)*CH139*Strike1/BR139^2*BY139/10%),0)</f>
        <v>0</v>
      </c>
      <c r="CH139" s="470" t="n">
        <f aca="false">IF(BD139,(xCrudeAPO(BU139,BV139,CA139,CB139,S140,S141,BI139,BL139,BP139,BQ139,0,Strike1,AO139,CE139,0,BL139,IF(OptControl=4,0,1),3,1)+xCrudeAPO(BU139,BV139,CA139,CB139,S140,S141,BI139,BL139,BP139,BQ139,0,Strike1,AO139,CE139,0,BL139,IF(OptControl=4,0,1),3,2))/100,0)</f>
        <v>0</v>
      </c>
      <c r="CI139" s="470" t="n">
        <f aca="false">IF(BD139,xCrudeAPO(BU139,BV139,CA139,CB139,S140,S141,BI139-DaysForThetaCalculation/365.25,BL139-DaysForThetaCalculation/365.25,BP139,BQ139,0,Strike1,AO139,CE139,0,BL139,IF(OptControl=4,0,1),0,1)-xCrudeAPO(BU139,BV139,CA139,CB139,S140,S141,BI139,BL139,BP139,BQ139,0,Strike1,AO139,CE139,0,BL139,IF(OptControl=4,0,1),0,1),0)</f>
        <v>0</v>
      </c>
      <c r="CJ139" s="471" t="n">
        <f aca="false">IF(BD139,xCrudeAPO(BU139,BV139,CC139,CD139,S140,S141,BI139,BL139,BP139,BQ139,0,Strike2,AO139,CE139,0,BL139,IF(OptControl=3,1,0),0,1),0)</f>
        <v>0</v>
      </c>
      <c r="CK139" s="470" t="n">
        <f aca="false">IF(BD139,xCrudeAPO(BU139,BV139,CC139,CD139,S140,S141,BI139,BL139,BP139,BQ139,0,Strike2,AO139,CE139,0,BL139,IF(OptControl=3,1,0),1,1)+xCrudeAPO(BU139,BV139,CC139,CD139,S140,S141,BI139,BL139,BP139,BQ139,0,Strike2,AO139,CE139,0,BL139,IF(OptControl=3,1,0),1,2)+IF(OR(VolSkewFlag=2,ABS(BT139)&lt;0.0001),0,IF(BT139&gt;0,-1,1)*CL139*Strike2/BR139^2*BZ139/10%),0)</f>
        <v>0</v>
      </c>
      <c r="CL139" s="470" t="n">
        <f aca="false">IF(BD139,(xCrudeAPO(BU139,BV139,CC139,CD139,S140,S141,BI139,BL139,BP139,BQ139,0,Strike2,AO139,CE139,0,BL139,IF(OptControl=3,1,0),3,1)+xCrudeAPO(BU139,BV139,CC139,CD139,S140,S141,BI139,BL139,BP139,BQ139,0,Strike2,AO139,CE139,0,BL139,IF(OptControl=3,1,0),3,2))/100,0)</f>
        <v>0</v>
      </c>
      <c r="CM139" s="472" t="n">
        <f aca="false">IF(BD139,xCrudeAPO(BU139,BV139,CC139,CD139,S140,S141,BI139-DaysForThetaCalculation/365.25,BL139-DaysForThetaCalculation/365.25,BP139,BQ139,0,Strike2,AO139,CE139,0,BL139,IF(OptControl=3,1,0),0,1)-xCrudeAPO(BU139,BV139,CC139,CD139,S140,S141,BI139,BL139,BP139,BQ139,0,Strike2,AO139,CE139,0,BL139,IF(OptControl=3,1,0),0,1),0)</f>
        <v>0</v>
      </c>
      <c r="CN139" s="3"/>
      <c r="CO139" s="543" t="str">
        <f aca="false">IF(BD139,CHOOSE(Underlying,AD139,AF139)-DateToday+1,"")</f>
        <v/>
      </c>
      <c r="CP139" s="582" t="str">
        <f aca="false">IF(BD139,CHOOSE(Underlying,L139,R139),"")</f>
        <v/>
      </c>
      <c r="CQ139" s="544" t="str">
        <f aca="false">IF(BD139,Strike1/CP139-1,"")</f>
        <v/>
      </c>
      <c r="CR139" s="544" t="str">
        <f aca="false">IF(BD139,Strike2/CP139-1,"")</f>
        <v/>
      </c>
      <c r="CS139" s="544" t="str">
        <f aca="false">IF(BD139,IF(CQ139&gt;0,IF(CQ139&gt;0.2,BC138-BB138,IF(CQ139&gt;0.1,BB138-BA138,BA138)),IF(CQ139&lt;-0.2,AX138-AY138,IF(CQ139&lt;-0.1,AY138-AZ138,AZ138))),"")</f>
        <v/>
      </c>
      <c r="CT139" s="544" t="str">
        <f aca="false">IF(BD139,IF(CR139&gt;0,IF(CR139&gt;0.2,BC138-BB138,IF(CR139&gt;0.1,BB138-BA138,BA138)),IF(CR139&lt;-0.2,AX138-AY138,IF(CR139&lt;-0.1,AY138-AZ138,AZ138))),"")</f>
        <v/>
      </c>
      <c r="CU139" s="545" t="str">
        <f aca="false">IF(BD139,CHOOSE(Underlying,O139,AT139),"")</f>
        <v/>
      </c>
      <c r="CV139" s="545" t="str">
        <f aca="false">IF(BD139,CU139+IF(VolSkewFlag=1,IF(CQ139&gt;0,BA138*MIN(CQ139/10%,1)+(BB138-BA138)*MAX(0,MIN(CQ139/10%-1,1))+(BC138-BB138)*MAX(0,CQ139/10%-2),AZ138*MIN(-CQ139/10%,1)+(AY138-AZ138)*MAX(0,MIN(-CQ139/10%-1,1))+(AX138-AY138)*MAX(0,-CQ139/10%-2)),0),"")</f>
        <v/>
      </c>
      <c r="CW139" s="545" t="str">
        <f aca="false">IF(BD139,CU139+IF(VolSkewFlag=1,IF(CR139&gt;0,BA138*MIN(CR139/10%,1)+(BB138-BA138)*MAX(0,MIN(CR139/10%-1,1))+(BC138-BB138)*MAX(0,CR139/10%-2),AZ138*MIN(-CR139/10%,1)+(AY138-AZ138)*MAX(0,MIN(-CR139/10%-1,1))+(AX138-AY138)*MAX(0,-CR139/10%-2)),0),"")</f>
        <v/>
      </c>
      <c r="CX139" s="470" t="n">
        <f aca="false">IF(BD139,EURO(CP139,Strike1,AO139,AO139,CV139,CO139,IF(OptControl=4,0,1),0),0)</f>
        <v>0</v>
      </c>
      <c r="CY139" s="470" t="n">
        <f aca="false">IF(BD139,EURO(CP139,Strike1,AO139,AO139,CV139,CO139,IF(OptControl=4,0,1),1)+IF(OR(VolSkewFlag=2,ABS(CQ139)&lt;0.0001),0,IF(CQ139&gt;0,-1,1)*CZ139*100*Strike1/CP139^2*CS139/10%),0)</f>
        <v>0</v>
      </c>
      <c r="CZ139" s="470" t="n">
        <f aca="false">IF(BD139,EURO(CP139,Strike1,AO139,AO139,CV139,CO139,IF(OptControl=4,0,1),3)/100,0)</f>
        <v>0</v>
      </c>
      <c r="DA139" s="470" t="n">
        <f aca="false">IF(BD139,EURO(CP139,Strike1,AO139,AO139,CV139,CO139,IF(OptControl=4,0,1),0)-EURO(CP139,Strike1,AO139,AO139,CV139,CO139-1,IF(OptControl=4,0,1),0),0)</f>
        <v>0</v>
      </c>
      <c r="DB139" s="470" t="n">
        <f aca="false">IF(BD139,EURO(CP139,Strike2,AO139,AO139,CW139,CO139,IF(OptControl=3,1,0),0),0)</f>
        <v>0</v>
      </c>
      <c r="DC139" s="470" t="n">
        <f aca="false">IF(BD139,EURO(CP139,Strike2,AO139,AO139,CW139,CO139,IF(OptControl=3,1,0),1)+IF(OR(VolSkewFlag=2,ABS(CR139)&lt;0.0001),0,IF(CR139&gt;0,-1,1)*DD139*100*Strike2/CP139^2*CT139/10%),0)</f>
        <v>0</v>
      </c>
      <c r="DD139" s="470" t="n">
        <f aca="false">IF(BD139,EURO(CP139,Strike2,AO139,AO139,CW139,CO139,IF(OptControl=3,1,0),3)/100,0)</f>
        <v>0</v>
      </c>
      <c r="DE139" s="472" t="n">
        <f aca="false">IF(BD139,EURO(CP139,Strike2,AO139,AO139,CW139,CO139,IF(OptControl=3,1,0),0)-EURO(CP139,Strike2,AO139,AO139,CW139,CO139-1,IF(OptControl=3,1,0),0),0)</f>
        <v>0</v>
      </c>
      <c r="DG139" s="481" t="n">
        <f aca="false">EOMONTH(DG138,0)+1</f>
        <v>49310</v>
      </c>
      <c r="DH139" s="478" t="n">
        <v>20.11</v>
      </c>
      <c r="DI139" s="479" t="n">
        <v>20.1775</v>
      </c>
      <c r="DJ139" s="480" t="n">
        <f aca="false">DG139</f>
        <v>49310</v>
      </c>
      <c r="DK139" s="478" t="n">
        <v>18.8981096889532</v>
      </c>
      <c r="DL139" s="479" t="n">
        <v>19.009</v>
      </c>
      <c r="DM139" s="481" t="n">
        <f aca="false">DG139</f>
        <v>49310</v>
      </c>
      <c r="DN139" s="482" t="n">
        <f aca="false">DK139+BrentPhyBrentSpread</f>
        <v>18.9481096889532</v>
      </c>
      <c r="DO139" s="481" t="n">
        <f aca="false">DG139</f>
        <v>49310</v>
      </c>
      <c r="DP139" s="483" t="n">
        <f aca="false">DL139+DQ139</f>
        <v>19.009</v>
      </c>
      <c r="DQ139" s="546" t="n">
        <v>0</v>
      </c>
      <c r="DR139" s="480" t="n">
        <f aca="false">DG139</f>
        <v>49310</v>
      </c>
      <c r="DS139" s="485" t="n">
        <v>0.153199999999999</v>
      </c>
      <c r="DT139" s="486" t="n">
        <v>0.152389999999999</v>
      </c>
      <c r="DU139" s="480" t="n">
        <f aca="false">DG139</f>
        <v>49310</v>
      </c>
      <c r="DV139" s="485" t="n">
        <v>0.153199999999999</v>
      </c>
      <c r="DW139" s="486" t="n">
        <v>0.152389999999999</v>
      </c>
      <c r="DX139" s="481" t="n">
        <f aca="false">DG139</f>
        <v>49310</v>
      </c>
      <c r="DY139" s="486" t="n">
        <v>0.35</v>
      </c>
      <c r="DZ139" s="481" t="n">
        <f aca="false">DR139</f>
        <v>49310</v>
      </c>
      <c r="EA139" s="486" t="n">
        <f aca="false">DT139</f>
        <v>0.152389999999999</v>
      </c>
      <c r="EB139" s="195"/>
      <c r="EC139" s="547" t="str">
        <f aca="false">IF(BD139,IF(Underlying=1,AS139,AU139),"")</f>
        <v/>
      </c>
      <c r="ED139" s="548" t="str">
        <f aca="false">IF($BD139,$EC139+IF(VolSkewFlag=1,IF(BS139&gt;0,$BA139*MIN(BS139/10%,1)+($BB139-$BA139)*MAX(0,MIN(BS139/10%-1,1))+($BC139-$BB139)*MAX(0,BS139/10%-2),$AZ139*MIN(-BS139/10%,1)+($AY139-$AZ139)*MAX(0,MIN(-BS139/10%-1,1))+($AX139-$AY139)*MAX(0,-BS139/10%-2)),0),"")</f>
        <v/>
      </c>
      <c r="EE139" s="549" t="str">
        <f aca="false">IF($BD139,$EC139+IF(VolSkewFlag=1,IF(BT139&gt;0,$BA139*MIN(BT139/10%,1)+($BB139-$BA139)*MAX(0,MIN(BT139/10%-1,1))+($BC139-$BB139)*MAX(0,BT139/10%-2),$AZ139*MIN(-BT139/10%,1)+($AY139-$AZ139)*MAX(0,MIN(-BT139/10%-1,1))+($AX139-$AY139)*MAX(0,-BT139/10%-2)),0),"")</f>
        <v/>
      </c>
      <c r="EF139" s="550" t="n">
        <f aca="false">IF(BD139,xASN(BR139,Strike1,AO139,ED139,0,BO139,0,BI139,BL139,IF(OptControl=4,0,1),0),0)</f>
        <v>0</v>
      </c>
      <c r="EG139" s="551" t="n">
        <f aca="false">IF(BD139,xASN(BR139,Strike2,AO139,EE139,0,BO139,0,BI139,BL139,IF(OptControl=3,1,0),0),0)</f>
        <v>0</v>
      </c>
      <c r="EL139" s="1"/>
      <c r="EM139" s="195"/>
      <c r="EN139" s="240"/>
      <c r="EO139" s="240"/>
      <c r="EP139" s="195"/>
      <c r="EQ139" s="407" t="s">
        <v>366</v>
      </c>
      <c r="ES139" s="130"/>
      <c r="ET139" s="19"/>
      <c r="EU139" s="672"/>
      <c r="EV139" s="478"/>
      <c r="EW139" s="131"/>
      <c r="EX139" s="131"/>
      <c r="EY139" s="129"/>
      <c r="EZ139" s="129"/>
      <c r="FA139" s="129"/>
      <c r="FB139" s="129"/>
      <c r="FC139" s="129"/>
      <c r="FD139" s="129"/>
      <c r="FE139" s="129"/>
      <c r="FF139" s="129"/>
      <c r="FG139" s="129"/>
      <c r="FH139" s="129"/>
      <c r="FI139" s="129"/>
      <c r="FJ139" s="571" t="n">
        <v>45</v>
      </c>
      <c r="FK139" s="150" t="e">
        <f aca="false">IF($FJ64&lt;FK$94,"",SQRT(FK64/FK$15))</f>
        <v>#DIV/0!</v>
      </c>
      <c r="FL139" s="150" t="n">
        <f aca="false">IF($FJ64&lt;FL$94,"",SQRT(FL64/FL$15))</f>
        <v>-0</v>
      </c>
      <c r="FM139" s="150" t="n">
        <f aca="false">IF($FJ64&lt;FM$94,"",SQRT(FM64/FM$15))</f>
        <v>0.170679592521823</v>
      </c>
      <c r="FN139" s="150" t="n">
        <f aca="false">IF($FJ64&lt;FN$94,"",SQRT(FN64/FN$15))</f>
        <v>0.167427839434112</v>
      </c>
      <c r="FO139" s="150" t="n">
        <f aca="false">IF($FJ64&lt;FO$94,"",SQRT(FO64/FO$15))</f>
        <v>0.165000875197385</v>
      </c>
      <c r="FP139" s="150" t="n">
        <f aca="false">IF($FJ64&lt;FP$94,"",SQRT(FP64/FP$15))</f>
        <v>0.163194581532582</v>
      </c>
      <c r="FQ139" s="150" t="n">
        <f aca="false">IF($FJ64&lt;FQ$94,"",SQRT(FQ64/FQ$15))</f>
        <v>0.161856216138503</v>
      </c>
      <c r="FR139" s="150" t="n">
        <f aca="false">IF($FJ64&lt;FR$94,"",SQRT(FR64/FR$15))</f>
        <v>0.160871629063539</v>
      </c>
      <c r="FS139" s="150" t="n">
        <f aca="false">IF($FJ64&lt;FS$94,"",SQRT(FS64/FS$15))</f>
        <v>0.160155685341583</v>
      </c>
      <c r="FT139" s="150" t="n">
        <f aca="false">IF($FJ64&lt;FT$94,"",SQRT(FT64/FT$15))</f>
        <v>0.159645094185672</v>
      </c>
      <c r="FU139" s="150" t="n">
        <f aca="false">IF($FJ64&lt;FU$94,"",SQRT(FU64/FU$15))</f>
        <v>0.159293045305975</v>
      </c>
      <c r="FV139" s="150" t="n">
        <f aca="false">IF($FJ64&lt;FV$94,"",SQRT(FV64/FV$15))</f>
        <v>0.159065203194808</v>
      </c>
      <c r="FW139" s="150" t="n">
        <f aca="false">IF($FJ64&lt;FW$94,"",SQRT(FW64/FW$15))</f>
        <v>0.158936723016418</v>
      </c>
      <c r="FX139" s="150" t="n">
        <f aca="false">IF($FJ64&lt;FX$94,"",SQRT(FX64/FX$15))</f>
        <v>0.15889003644486</v>
      </c>
      <c r="FY139" s="150" t="n">
        <f aca="false">IF($FJ64&lt;FY$94,"",SQRT(FY64/FY$15))</f>
        <v>0.158913219459266</v>
      </c>
      <c r="FZ139" s="150" t="n">
        <f aca="false">IF($FJ64&lt;FZ$94,"",SQRT(FZ64/FZ$15))</f>
        <v>0.158998802027562</v>
      </c>
      <c r="GA139" s="150" t="n">
        <f aca="false">IF($FJ64&lt;GA$94,"",SQRT(GA64/GA$15))</f>
        <v>0.159142915769849</v>
      </c>
      <c r="GB139" s="150" t="n">
        <f aca="false">IF($FJ64&lt;GB$94,"",SQRT(GB64/GB$15))</f>
        <v>0.159344703092698</v>
      </c>
      <c r="GC139" s="150" t="n">
        <f aca="false">IF($FJ64&lt;GC$94,"",SQRT(GC64/GC$15))</f>
        <v>0.159605932196989</v>
      </c>
      <c r="GD139" s="150" t="n">
        <f aca="false">IF($FJ64&lt;GD$94,"",SQRT(GD64/GD$15))</f>
        <v>0.159930778515425</v>
      </c>
      <c r="GE139" s="150" t="n">
        <f aca="false">IF($FJ64&lt;GE$94,"",SQRT(GE64/GE$15))</f>
        <v>0.160325745868006</v>
      </c>
      <c r="GF139" s="150" t="n">
        <f aca="false">IF($FJ64&lt;GF$94,"",SQRT(GF64/GF$15))</f>
        <v>0.16079971098974</v>
      </c>
      <c r="GG139" s="150" t="n">
        <f aca="false">IF($FJ64&lt;GG$94,"",SQRT(GG64/GG$15))</f>
        <v>0.161364083951108</v>
      </c>
      <c r="GH139" s="150" t="n">
        <f aca="false">IF($FJ64&lt;GH$94,"",SQRT(GH64/GH$15))</f>
        <v>0.162033085113768</v>
      </c>
      <c r="GI139" s="150" t="n">
        <f aca="false">IF($FJ64&lt;GI$94,"",SQRT(GI64/GI$15))</f>
        <v>0.162824147360665</v>
      </c>
      <c r="GJ139" s="150" t="n">
        <f aca="false">IF($FJ64&lt;GJ$94,"",SQRT(GJ64/GJ$15))</f>
        <v>0.163758461169732</v>
      </c>
      <c r="GK139" s="150" t="n">
        <f aca="false">IF($FJ64&lt;GK$94,"",SQRT(GK64/GK$15))</f>
        <v>0.164861690554967</v>
      </c>
      <c r="GL139" s="150" t="n">
        <f aca="false">IF($FJ64&lt;GL$94,"",SQRT(GL64/GL$15))</f>
        <v>0.166164901122129</v>
      </c>
      <c r="GM139" s="150" t="n">
        <f aca="false">IF($FJ64&lt;GM$94,"",SQRT(GM64/GM$15))</f>
        <v>0.167705759050813</v>
      </c>
      <c r="GN139" s="150" t="n">
        <f aca="false">IF($FJ64&lt;GN$94,"",SQRT(GN64/GN$15))</f>
        <v>0.169530083983589</v>
      </c>
      <c r="GO139" s="150" t="n">
        <f aca="false">IF($FJ64&lt;GO$94,"",SQRT(GO64/GO$15))</f>
        <v>0.17169387294405</v>
      </c>
      <c r="GP139" s="150" t="n">
        <f aca="false">IF($FJ64&lt;GP$94,"",SQRT(GP64/GP$15))</f>
        <v>0.174265961659311</v>
      </c>
      <c r="GQ139" s="150" t="n">
        <f aca="false">IF($FJ64&lt;GQ$94,"",SQRT(GQ64/GQ$15))</f>
        <v>0.177331562043472</v>
      </c>
      <c r="GR139" s="150" t="n">
        <f aca="false">IF($FJ64&lt;GR$94,"",SQRT(GR64/GR$15))</f>
        <v>0.180997022856427</v>
      </c>
      <c r="GS139" s="150" t="n">
        <f aca="false">IF($FJ64&lt;GS$94,"",SQRT(GS64/GS$15))</f>
        <v>0.185396325379829</v>
      </c>
      <c r="GT139" s="150" t="n">
        <f aca="false">IF($FJ64&lt;GT$94,"",SQRT(GT64/GT$15))</f>
        <v>0.190700081642777</v>
      </c>
      <c r="GU139" s="150" t="n">
        <f aca="false">IF($FJ64&lt;GU$94,"",SQRT(GU64/GU$15))</f>
        <v>0.197128207402115</v>
      </c>
      <c r="GV139" s="150" t="n">
        <f aca="false">IF($FJ64&lt;GV$94,"",SQRT(GV64/GV$15))</f>
        <v>0.204968096636851</v>
      </c>
      <c r="GW139" s="150" t="n">
        <f aca="false">IF($FJ64&lt;GW$94,"",SQRT(GW64/GW$15))</f>
        <v>0.214601208603011</v>
      </c>
      <c r="GX139" s="150" t="n">
        <f aca="false">IF($FJ64&lt;GX$94,"",SQRT(GX64/GX$15))</f>
        <v>0.226542822488841</v>
      </c>
      <c r="GY139" s="150" t="n">
        <f aca="false">IF($FJ64&lt;GY$94,"",SQRT(GY64/GY$15))</f>
        <v>0.241502943465001</v>
      </c>
      <c r="GZ139" s="150" t="n">
        <f aca="false">IF($FJ64&lt;GZ$94,"",SQRT(GZ64/GZ$15))</f>
        <v>0.260482184244299</v>
      </c>
      <c r="HA139" s="150" t="n">
        <f aca="false">IF($FJ64&lt;HA$94,"",SQRT(HA64/HA$15))</f>
        <v>0.284927403687007</v>
      </c>
      <c r="HB139" s="150" t="n">
        <f aca="false">IF($FJ64&lt;HB$94,"",SQRT(HB64/HB$15))</f>
        <v>0.316993310607076</v>
      </c>
      <c r="HC139" s="150" t="n">
        <f aca="false">IF($FJ64&lt;HC$94,"",SQRT(HC64/HC$15))</f>
        <v>0.360000169704875</v>
      </c>
      <c r="HD139" s="150" t="str">
        <f aca="false">IF($FJ64&lt;HD$94,"",SQRT(HD64/HD$15))</f>
        <v/>
      </c>
      <c r="HE139" s="150" t="str">
        <f aca="false">IF($FJ64&lt;HE$94,"",SQRT(HE64/HE$15))</f>
        <v/>
      </c>
      <c r="HF139" s="150" t="str">
        <f aca="false">IF($FJ64&lt;HF$94,"",SQRT(HF64/HF$15))</f>
        <v/>
      </c>
      <c r="HG139" s="150" t="str">
        <f aca="false">IF($FJ64&lt;HG$94,"",SQRT(HG64/HG$15))</f>
        <v/>
      </c>
      <c r="HH139" s="150" t="str">
        <f aca="false">IF($FJ64&lt;HH$94,"",SQRT(HH64/HH$15))</f>
        <v/>
      </c>
      <c r="HI139" s="150" t="str">
        <f aca="false">IF($FJ64&lt;HI$94,"",SQRT(HI64/HI$15))</f>
        <v/>
      </c>
      <c r="HJ139" s="150" t="str">
        <f aca="false">IF($FJ64&lt;HJ$94,"",SQRT(HJ64/HJ$15))</f>
        <v/>
      </c>
      <c r="HK139" s="150" t="str">
        <f aca="false">IF($FJ64&lt;HK$94,"",SQRT(HK64/HK$15))</f>
        <v/>
      </c>
      <c r="HL139" s="150" t="str">
        <f aca="false">IF($FJ64&lt;HL$94,"",SQRT(HL64/HL$15))</f>
        <v/>
      </c>
      <c r="HM139" s="150" t="str">
        <f aca="false">IF($FJ64&lt;HM$94,"",SQRT(HM64/HM$15))</f>
        <v/>
      </c>
      <c r="HN139" s="150" t="str">
        <f aca="false">IF($FJ64&lt;HN$94,"",SQRT(HN64/HN$15))</f>
        <v/>
      </c>
      <c r="HO139" s="150" t="str">
        <f aca="false">IF($FJ64&lt;HO$94,"",SQRT(HO64/HO$15))</f>
        <v/>
      </c>
      <c r="HP139" s="150" t="str">
        <f aca="false">IF($FJ64&lt;HP$94,"",SQRT(HP64/HP$15))</f>
        <v/>
      </c>
      <c r="HQ139" s="150" t="str">
        <f aca="false">IF($FJ64&lt;HQ$94,"",SQRT(HQ64/HQ$15))</f>
        <v/>
      </c>
      <c r="HR139" s="150" t="str">
        <f aca="false">IF($FJ64&lt;HR$94,"",SQRT(HR64/HR$15))</f>
        <v/>
      </c>
      <c r="HS139" s="150" t="str">
        <f aca="false">IF($FJ64&lt;HS$94,"",SQRT(HS64/HS$15))</f>
        <v/>
      </c>
      <c r="HT139" s="150" t="str">
        <f aca="false">IF($FJ64&lt;HT$94,"",SQRT(HT64/HT$15))</f>
        <v/>
      </c>
      <c r="HU139" s="150" t="str">
        <f aca="false">IF($FJ64&lt;HU$94,"",SQRT(HU64/HU$15))</f>
        <v/>
      </c>
      <c r="HV139" s="150" t="str">
        <f aca="false">IF($FJ64&lt;HV$94,"",SQRT(HV64/HV$15))</f>
        <v/>
      </c>
      <c r="HW139" s="150" t="str">
        <f aca="false">IF($FJ64&lt;HW$94,"",SQRT(HW64/HW$15))</f>
        <v/>
      </c>
      <c r="HX139" s="150" t="str">
        <f aca="false">IF($FJ64&lt;HX$94,"",SQRT(HX64/HX$15))</f>
        <v/>
      </c>
      <c r="HY139" s="150" t="str">
        <f aca="false">IF($FJ64&lt;HY$94,"",SQRT(HY64/HY$15))</f>
        <v/>
      </c>
      <c r="HZ139" s="150" t="str">
        <f aca="false">IF($FJ64&lt;HZ$94,"",SQRT(HZ64/HZ$15))</f>
        <v/>
      </c>
      <c r="IA139" s="150" t="str">
        <f aca="false">IF($FJ64&lt;IA$94,"",SQRT(IA64/IA$15))</f>
        <v/>
      </c>
      <c r="IB139" s="150" t="str">
        <f aca="false">IF($FJ64&lt;IB$94,"",SQRT(IB64/IB$15))</f>
        <v/>
      </c>
      <c r="IC139" s="150" t="str">
        <f aca="false">IF($FJ64&lt;IC$94,"",SQRT(IC64/IC$15))</f>
        <v/>
      </c>
      <c r="ID139" s="572" t="str">
        <f aca="false">IF($FJ64&lt;ID$94,"",SQRT(ID64/ID$15))</f>
        <v/>
      </c>
      <c r="IE139" s="129"/>
    </row>
    <row r="140" customFormat="false" ht="12.75" hidden="false" customHeight="false" outlineLevel="0" collapsed="false">
      <c r="H140" s="219" t="n">
        <f aca="false">VLOOKUP(I140,$EJ$20:$EL$54,3)</f>
        <v>0</v>
      </c>
      <c r="I140" s="511" t="n">
        <f aca="false">EOMONTH(I139,0)+1</f>
        <v>40422</v>
      </c>
      <c r="J140" s="512"/>
      <c r="K140" s="513" t="s">
        <v>280</v>
      </c>
      <c r="L140" s="514" t="n">
        <f aca="false">IF(ISNUMBER(K140),J140+K140/100,IF(K140="extra",L139+VLOOKUP(BF140,PriceSpreadTable,2)/12,IF(K140="inter",interpolateprices($K$19:$L$200,ROW(K140)-ROW(FirstPricingMonth)+1),interpolatechanges($J$19:$K$200,ROW(K140)-ROW(FirstPricingMonth)+1))))</f>
        <v>1.65</v>
      </c>
      <c r="M140" s="515"/>
      <c r="N140" s="516" t="n">
        <v>0</v>
      </c>
      <c r="O140" s="515" t="n">
        <f aca="false">M140+N140</f>
        <v>0</v>
      </c>
      <c r="P140" s="512"/>
      <c r="Q140" s="513" t="s">
        <v>280</v>
      </c>
      <c r="R140" s="512" t="e">
        <f aca="false">IF(ISNUMBER(Q140),P140+Q140/100,IF(Q140="extra",(Z138*AL138-R139*AM138)/AN138,IF(Q140="inter",interpolateprices($Q$19:$R$260,ROW(Q140)-ROW(FirstPricingMonth)+1),interpolatechanges($P$19:$Q$260,ROW(Q140)-ROW(FirstPricingMonth)+1))))</f>
        <v>#VALUE!</v>
      </c>
      <c r="S140" s="597" t="n">
        <f aca="false">S$19+(S139-S$19)*S$18</f>
        <v>0.36</v>
      </c>
      <c r="T140" s="575" t="n">
        <f aca="false">SQRT((1-(1-T139^2/U139)*T$18)*U140)</f>
        <v>0.999999999230123</v>
      </c>
      <c r="U140" s="576" t="n">
        <f aca="false">1-(1-U139)*U$18</f>
        <v>1</v>
      </c>
      <c r="V140" s="521" t="n">
        <v>0</v>
      </c>
      <c r="W140" s="577" t="n">
        <f aca="false">(J141*AJ140+J142*AK140)/AI140</f>
        <v>0</v>
      </c>
      <c r="X140" s="578" t="n">
        <f aca="false">(L141*AJ140+L142*AK140)/AI140</f>
        <v>1.70113636363636</v>
      </c>
      <c r="Y140" s="579" t="n">
        <f aca="false">IF(Q142="extra",W140-AA140,(P141*AM140+P142*AN140)/AL140)</f>
        <v>-1.2669</v>
      </c>
      <c r="Z140" s="579" t="n">
        <f aca="false">IF(Q142="extra",X140-AB140,(R141*AM140+R142*AN140)/AL140)</f>
        <v>0.434236363636365</v>
      </c>
      <c r="AA140" s="523" t="n">
        <f aca="false">IF(Q142="extra",INDEX(BrentSeasonalityTable,INT((BG140-1)/3)+1)*VLOOKUP(MAX(BF140,$AB$4),PriceSpreadTable,3),W140-Y140)</f>
        <v>1.2669</v>
      </c>
      <c r="AB140" s="524" t="n">
        <f aca="false">IF(Q142="extra",INDEX(BrentSeasonalityTable,INT((BG140-1)/3)+1)*VLOOKUP(MAX(BF140,$AB$4),PriceSpreadTable,3),X140-Z140)</f>
        <v>1.2669</v>
      </c>
      <c r="AC140" s="646" t="n">
        <v>40410</v>
      </c>
      <c r="AD140" s="646" t="n">
        <v>40406</v>
      </c>
      <c r="AE140" s="646" t="n">
        <v>40405</v>
      </c>
      <c r="AF140" s="646" t="n">
        <v>40401</v>
      </c>
      <c r="AG140" s="438" t="s">
        <v>278</v>
      </c>
      <c r="AH140" s="439" t="s">
        <v>278</v>
      </c>
      <c r="AI140" s="528" t="n">
        <v>22</v>
      </c>
      <c r="AJ140" s="529" t="n">
        <v>14</v>
      </c>
      <c r="AK140" s="529" t="n">
        <v>8</v>
      </c>
      <c r="AL140" s="530" t="n">
        <v>22</v>
      </c>
      <c r="AM140" s="529" t="n">
        <v>10</v>
      </c>
      <c r="AN140" s="531" t="n">
        <v>12</v>
      </c>
      <c r="AO140" s="532"/>
      <c r="AP140" s="465" t="n">
        <f aca="false">(1+AO140/2)^(-2*BL140)</f>
        <v>1</v>
      </c>
      <c r="AQ140" s="532"/>
      <c r="AR140" s="465" t="n">
        <f aca="false">(1+AQ140/2)^(-2*BH140/365.25)</f>
        <v>1</v>
      </c>
      <c r="AS140" s="580" t="n">
        <f aca="false">(O141*AJ140+O142*AK140)/AI140</f>
        <v>0</v>
      </c>
      <c r="AT140" s="468" t="n">
        <f aca="false">O140*VLOOKUP(BF140,BrentVolTable,2)+VLOOKUP(BF140,BrentVolTable,3)</f>
        <v>0</v>
      </c>
      <c r="AU140" s="468" t="n">
        <f aca="false">(AT141*AM140+AT142*AN140)/AL140</f>
        <v>0</v>
      </c>
      <c r="AV140" s="595" t="n">
        <f aca="false">SQRT(MAX(0.000000000001,(O140^2*BH140-S140^2*(BH140-BH139))/BH139))</f>
        <v>0.0269052391160512</v>
      </c>
      <c r="AW140" s="451" t="n">
        <f aca="false">IF($I140-DateToday+15&gt;=$T$8,"",IF($I140-DateToday+15&lt;$T$5,1,MATCH($I140-DateToday+15,$T$5:$T$8)))</f>
        <v>1</v>
      </c>
      <c r="AX140" s="468" t="n">
        <f aca="false">IF($AW140="",AX139^2/AX138,INDEX(U$5:U$8,$AW140)^((INDEX($T$5:$T$8,$AW140+1)-($I140-DateToday+15))/(INDEX($T$5:$T$8,$AW140+1)-INDEX($T$5:$T$8,$AW140)))/INDEX(U$5:U$8,$AW140+1)^((INDEX($T$5:$T$8,$AW140)-($I140-DateToday+15))/(INDEX($T$5:$T$8,$AW140+1)-INDEX($T$5:$T$8,$AW140))))</f>
        <v>0.96516285265071</v>
      </c>
      <c r="AY140" s="468" t="n">
        <f aca="false">IF($AW140="",AY139^2/AY138,INDEX(V$5:V$8,$AW140)^((INDEX($T$5:$T$8,$AW140+1)-($I140-DateToday+15))/(INDEX($T$5:$T$8,$AW140+1)-INDEX($T$5:$T$8,$AW140)))/INDEX(V$5:V$8,$AW140+1)^((INDEX($T$5:$T$8,$AW140)-($I140-DateToday+15))/(INDEX($T$5:$T$8,$AW140+1)-INDEX($T$5:$T$8,$AW140))))</f>
        <v>33.2673955478465</v>
      </c>
      <c r="AZ140" s="468" t="n">
        <f aca="false">IF($AW140="",AZ139^2/AZ138,INDEX(W$5:W$8,$AW140)^((INDEX($T$5:$T$8,$AW140+1)-($I140-DateToday+15))/(INDEX($T$5:$T$8,$AW140+1)-INDEX($T$5:$T$8,$AW140)))/INDEX(W$5:W$8,$AW140+1)^((INDEX($T$5:$T$8,$AW140)-($I140-DateToday+15))/(INDEX($T$5:$T$8,$AW140+1)-INDEX($T$5:$T$8,$AW140))))</f>
        <v>36154.7728698167</v>
      </c>
      <c r="BA140" s="468" t="n">
        <f aca="false">IF($AW140="",BA139^2/BA138,INDEX(X$5:X$8,$AW140)^((INDEX($T$5:$T$8,$AW140+1)-($I140-DateToday+15))/(INDEX($T$5:$T$8,$AW140+1)-INDEX($T$5:$T$8,$AW140)))/INDEX(X$5:X$8,$AW140+1)^((INDEX($T$5:$T$8,$AW140)-($I140-DateToday+15))/(INDEX($T$5:$T$8,$AW140+1)-INDEX($T$5:$T$8,$AW140))))</f>
        <v>363492.122083027</v>
      </c>
      <c r="BB140" s="468" t="n">
        <f aca="false">IF($AW140="",BB139^2/BB138,INDEX(Y$5:Y$8,$AW140)^((INDEX($T$5:$T$8,$AW140+1)-($I140-DateToday+15))/(INDEX($T$5:$T$8,$AW140+1)-INDEX($T$5:$T$8,$AW140)))/INDEX(Y$5:Y$8,$AW140+1)^((INDEX($T$5:$T$8,$AW140)-($I140-DateToday+15))/(INDEX($T$5:$T$8,$AW140+1)-INDEX($T$5:$T$8,$AW140))))</f>
        <v>3063712.31547183</v>
      </c>
      <c r="BC140" s="468" t="n">
        <f aca="false">IF($AW140="",BC139^2/BC138,INDEX(Z$5:Z$8,$AW140)^((INDEX($T$5:$T$8,$AW140+1)-($I140-DateToday+15))/(INDEX($T$5:$T$8,$AW140+1)-INDEX($T$5:$T$8,$AW140)))/INDEX(Z$5:Z$8,$AW140+1)^((INDEX($T$5:$T$8,$AW140)-($I140-DateToday+15))/(INDEX($T$5:$T$8,$AW140+1)-INDEX($T$5:$T$8,$AW140))))</f>
        <v>11105519.6497048</v>
      </c>
      <c r="BD140" s="535" t="n">
        <f aca="false">IF(OR(DateStart&gt;=I141,DateEnd&lt;I140),0,IF(VolumeOverrideFlag,V140,Volume))</f>
        <v>0</v>
      </c>
      <c r="BE140" s="536" t="n">
        <f aca="false">IF(OR(DateStart2&gt;=I141,DateEnd2&lt;I140),0,IF(VolumeOverrideFlag,V140,VolumeSwaption))</f>
        <v>0</v>
      </c>
      <c r="BF140" s="537" t="n">
        <f aca="false">YEAR(I140)</f>
        <v>2010</v>
      </c>
      <c r="BG140" s="538" t="n">
        <f aca="false">MONTH(I140)</f>
        <v>9</v>
      </c>
      <c r="BH140" s="539" t="n">
        <f aca="false">AD140-DateToday+1</f>
        <v>-5519</v>
      </c>
      <c r="BI140" s="540" t="n">
        <f aca="false">(I140-DateToday+1)/365.25</f>
        <v>-15.066392881588</v>
      </c>
      <c r="BJ140" s="541" t="n">
        <f aca="false">BI140+(BL140-BI140)*CHOOSE(Underlying,AJ140/AI140,AM140/AL140)</f>
        <v>-15.0158670897891</v>
      </c>
      <c r="BK140" s="541" t="n">
        <f aca="false">BJ140+1/365.25</f>
        <v>-15.0131292390019</v>
      </c>
      <c r="BL140" s="541" t="n">
        <f aca="false">(I141-DateToday)/365.25</f>
        <v>-14.9869952087611</v>
      </c>
      <c r="BM140" s="542" t="e">
        <f aca="false">MAX(BI140-(BJ140-BI140)*(S141^2/O141^2-1),0)</f>
        <v>#DIV/0!</v>
      </c>
      <c r="BN140" s="541" t="e">
        <f aca="false">MAX(BL140+(BL140-BK140)*(S142^2/O142^2-1),0)</f>
        <v>#DIV/0!</v>
      </c>
      <c r="BO140" s="530" t="n">
        <f aca="false">CHOOSE(Underlying,AI140,AL140)</f>
        <v>22</v>
      </c>
      <c r="BP140" s="529" t="n">
        <f aca="false">CHOOSE(Underlying,AJ140,AM140)</f>
        <v>14</v>
      </c>
      <c r="BQ140" s="529" t="n">
        <f aca="false">CHOOSE(Underlying,AK140,AN140)</f>
        <v>8</v>
      </c>
      <c r="BR140" s="463" t="str">
        <f aca="false">IF(BD140,IF(Underlying=1,X140,Z140)+UnderlyingPriceAsian-SwapPriceCurve,"")</f>
        <v/>
      </c>
      <c r="BS140" s="463" t="str">
        <f aca="false">IF(BD140,Strike1/BR140-1,"")</f>
        <v/>
      </c>
      <c r="BT140" s="464" t="str">
        <f aca="false">IF(BD140,Strike2/BR140-1,"")</f>
        <v/>
      </c>
      <c r="BU140" s="465" t="str">
        <f aca="false">IF(BD140,IF(Underlying=1,L141,R141)+UnderlyingPriceAsian-SwapPriceCurve,"")</f>
        <v/>
      </c>
      <c r="BV140" s="465" t="str">
        <f aca="false">IF(BD140,IF(Underlying=1,L142,R142)+UnderlyingPriceAsian-SwapPriceCurve,"")</f>
        <v/>
      </c>
      <c r="BW140" s="466" t="str">
        <f aca="false">IF(BD140,IF(Underlying=1,O141,AT141),"")</f>
        <v/>
      </c>
      <c r="BX140" s="467" t="str">
        <f aca="false">IF(BD140,IF(Underlying=1,O142,AT142),"")</f>
        <v/>
      </c>
      <c r="BY140" s="466" t="str">
        <f aca="false">IF(BD140,IF(BS140&gt;0,IF(BS140&gt;0.2,BC140-BB140,IF(BS140&gt;0.1,BB140-BA140,BA140)),IF(BS140&lt;-0.2,AX140-AY140,IF(BS140&lt;-0.1,AY140-AZ140,AZ140))),"")</f>
        <v/>
      </c>
      <c r="BZ140" s="467" t="str">
        <f aca="false">IF(BD140,IF(BT140&gt;0,IF(BT140&gt;0.2,BC140-BB140,IF(BT140&gt;0.1,BB140-BA140,BA140)),IF(BT140&lt;-0.2,AX140-AY140,IF(BT140&lt;-0.1,AY140-AZ140,AZ140))),"")</f>
        <v/>
      </c>
      <c r="CA140" s="468" t="str">
        <f aca="false">IF($BD140,$BW140+IF(VolSkewFlag=1,IF(BS140&gt;0,$BA140*MIN(BS140/10%,1)+($BB140-$BA140)*MAX(0,MIN(BS140/10%-1,1))+($BC140-$BB140)*MAX(0,BS140/10%-2),$AZ140*MIN(-BS140/10%,1)+($AY140-$AZ140)*MAX(0,MIN(-BS140/10%-1,1))+($AX140-$AY140)*MAX(0,-BS140/10%-2)),0),"")</f>
        <v/>
      </c>
      <c r="CB140" s="468" t="str">
        <f aca="false">IF($BD140,$BX140+IF(VolSkewFlag=1,IF(BS140&gt;0,$BA140*MIN(BS140/10%,1)+($BB140-$BA140)*MAX(0,MIN(BS140/10%-1,1))+($BC140-$BB140)*MAX(0,BS140/10%-2),$AZ140*MIN(-BS140/10%,1)+($AY140-$AZ140)*MAX(0,MIN(-BS140/10%-1,1))+($AX140-$AY140)*MAX(0,-BS140/10%-2)),0),"")</f>
        <v/>
      </c>
      <c r="CC140" s="468" t="str">
        <f aca="false">IF($BD140,$BW140+IF(VolSkewFlag=1,IF(BT140&gt;0,$BA140*MIN(BT140/10%,1)+($BB140-$BA140)*MAX(0,MIN(BT140/10%-1,1))+($BC140-$BB140)*MAX(0,BT140/10%-2),$AZ140*MIN(-BT140/10%,1)+($AY140-$AZ140)*MAX(0,MIN(-BT140/10%-1,1))+($AX140-$AY140)*MAX(0,-BT140/10%-2)),0),"")</f>
        <v/>
      </c>
      <c r="CD140" s="468" t="str">
        <f aca="false">IF($BD140,$BX140+IF(VolSkewFlag=1,IF(BT140&gt;0,$BA140*MIN(BT140/10%,1)+($BB140-$BA140)*MAX(0,MIN(BT140/10%-1,1))+($BC140-$BB140)*MAX(0,BT140/10%-2),$AZ140*MIN(-BT140/10%,1)+($AY140-$AZ140)*MAX(0,MIN(-BT140/10%-1,1))+($AX140-$AY140)*MAX(0,-BT140/10%-2)),0),"")</f>
        <v/>
      </c>
      <c r="CE140" s="469" t="n">
        <v>1</v>
      </c>
      <c r="CF140" s="470" t="n">
        <f aca="false">IF(BD140,xCrudeAPO(BU140,BV140,CA140,CB140,S141,S142,BI140,BL140,BP140,BQ140,0,Strike1,AO140,CE140,0,BL140,IF(OptControl=4,0,1),0,1),0)</f>
        <v>0</v>
      </c>
      <c r="CG140" s="470" t="n">
        <f aca="false">IF(BD140,xCrudeAPO(BU140,BV140,CA140,CB140,S141,S142,BI140,BL140,BP140,BQ140,0,Strike1,AO140,CE140,0,BL140,IF(OptControl=4,0,1),1,1)+xCrudeAPO(BU140,BV140,CA140,CB140,S141,S142,BI140,BL140,BP140,BQ140,0,Strike1,AO140,CE140,0,BL140,IF(OptControl=4,0,1),1,2)+IF(OR(VolSkewFlag=2,ABS(BS140)&lt;0.0001),0,IF(BS140&gt;0,-1,1)*CH140*Strike1/BR140^2*BY140/10%),0)</f>
        <v>0</v>
      </c>
      <c r="CH140" s="470" t="n">
        <f aca="false">IF(BD140,(xCrudeAPO(BU140,BV140,CA140,CB140,S141,S142,BI140,BL140,BP140,BQ140,0,Strike1,AO140,CE140,0,BL140,IF(OptControl=4,0,1),3,1)+xCrudeAPO(BU140,BV140,CA140,CB140,S141,S142,BI140,BL140,BP140,BQ140,0,Strike1,AO140,CE140,0,BL140,IF(OptControl=4,0,1),3,2))/100,0)</f>
        <v>0</v>
      </c>
      <c r="CI140" s="470" t="n">
        <f aca="false">IF(BD140,xCrudeAPO(BU140,BV140,CA140,CB140,S141,S142,BI140-DaysForThetaCalculation/365.25,BL140-DaysForThetaCalculation/365.25,BP140,BQ140,0,Strike1,AO140,CE140,0,BL140,IF(OptControl=4,0,1),0,1)-xCrudeAPO(BU140,BV140,CA140,CB140,S141,S142,BI140,BL140,BP140,BQ140,0,Strike1,AO140,CE140,0,BL140,IF(OptControl=4,0,1),0,1),0)</f>
        <v>0</v>
      </c>
      <c r="CJ140" s="471" t="n">
        <f aca="false">IF(BD140,xCrudeAPO(BU140,BV140,CC140,CD140,S141,S142,BI140,BL140,BP140,BQ140,0,Strike2,AO140,CE140,0,BL140,IF(OptControl=3,1,0),0,1),0)</f>
        <v>0</v>
      </c>
      <c r="CK140" s="470" t="n">
        <f aca="false">IF(BD140,xCrudeAPO(BU140,BV140,CC140,CD140,S141,S142,BI140,BL140,BP140,BQ140,0,Strike2,AO140,CE140,0,BL140,IF(OptControl=3,1,0),1,1)+xCrudeAPO(BU140,BV140,CC140,CD140,S141,S142,BI140,BL140,BP140,BQ140,0,Strike2,AO140,CE140,0,BL140,IF(OptControl=3,1,0),1,2)+IF(OR(VolSkewFlag=2,ABS(BT140)&lt;0.0001),0,IF(BT140&gt;0,-1,1)*CL140*Strike2/BR140^2*BZ140/10%),0)</f>
        <v>0</v>
      </c>
      <c r="CL140" s="470" t="n">
        <f aca="false">IF(BD140,(xCrudeAPO(BU140,BV140,CC140,CD140,S141,S142,BI140,BL140,BP140,BQ140,0,Strike2,AO140,CE140,0,BL140,IF(OptControl=3,1,0),3,1)+xCrudeAPO(BU140,BV140,CC140,CD140,S141,S142,BI140,BL140,BP140,BQ140,0,Strike2,AO140,CE140,0,BL140,IF(OptControl=3,1,0),3,2))/100,0)</f>
        <v>0</v>
      </c>
      <c r="CM140" s="472" t="n">
        <f aca="false">IF(BD140,xCrudeAPO(BU140,BV140,CC140,CD140,S141,S142,BI140-DaysForThetaCalculation/365.25,BL140-DaysForThetaCalculation/365.25,BP140,BQ140,0,Strike2,AO140,CE140,0,BL140,IF(OptControl=3,1,0),0,1)-xCrudeAPO(BU140,BV140,CC140,CD140,S141,S142,BI140,BL140,BP140,BQ140,0,Strike2,AO140,CE140,0,BL140,IF(OptControl=3,1,0),0,1),0)</f>
        <v>0</v>
      </c>
      <c r="CN140" s="3"/>
      <c r="CO140" s="543" t="str">
        <f aca="false">IF(BD140,CHOOSE(Underlying,AD140,AF140)-DateToday+1,"")</f>
        <v/>
      </c>
      <c r="CP140" s="582" t="str">
        <f aca="false">IF(BD140,CHOOSE(Underlying,L140,R140),"")</f>
        <v/>
      </c>
      <c r="CQ140" s="544" t="str">
        <f aca="false">IF(BD140,Strike1/CP140-1,"")</f>
        <v/>
      </c>
      <c r="CR140" s="544" t="str">
        <f aca="false">IF(BD140,Strike2/CP140-1,"")</f>
        <v/>
      </c>
      <c r="CS140" s="544" t="str">
        <f aca="false">IF(BD140,IF(CQ140&gt;0,IF(CQ140&gt;0.2,BC139-BB139,IF(CQ140&gt;0.1,BB139-BA139,BA139)),IF(CQ140&lt;-0.2,AX139-AY139,IF(CQ140&lt;-0.1,AY139-AZ139,AZ139))),"")</f>
        <v/>
      </c>
      <c r="CT140" s="544" t="str">
        <f aca="false">IF(BD140,IF(CR140&gt;0,IF(CR140&gt;0.2,BC139-BB139,IF(CR140&gt;0.1,BB139-BA139,BA139)),IF(CR140&lt;-0.2,AX139-AY139,IF(CR140&lt;-0.1,AY139-AZ139,AZ139))),"")</f>
        <v/>
      </c>
      <c r="CU140" s="545" t="str">
        <f aca="false">IF(BD140,CHOOSE(Underlying,O140,AT140),"")</f>
        <v/>
      </c>
      <c r="CV140" s="545" t="str">
        <f aca="false">IF(BD140,CU140+IF(VolSkewFlag=1,IF(CQ140&gt;0,BA139*MIN(CQ140/10%,1)+(BB139-BA139)*MAX(0,MIN(CQ140/10%-1,1))+(BC139-BB139)*MAX(0,CQ140/10%-2),AZ139*MIN(-CQ140/10%,1)+(AY139-AZ139)*MAX(0,MIN(-CQ140/10%-1,1))+(AX139-AY139)*MAX(0,-CQ140/10%-2)),0),"")</f>
        <v/>
      </c>
      <c r="CW140" s="545" t="str">
        <f aca="false">IF(BD140,CU140+IF(VolSkewFlag=1,IF(CR140&gt;0,BA139*MIN(CR140/10%,1)+(BB139-BA139)*MAX(0,MIN(CR140/10%-1,1))+(BC139-BB139)*MAX(0,CR140/10%-2),AZ139*MIN(-CR140/10%,1)+(AY139-AZ139)*MAX(0,MIN(-CR140/10%-1,1))+(AX139-AY139)*MAX(0,-CR140/10%-2)),0),"")</f>
        <v/>
      </c>
      <c r="CX140" s="470" t="n">
        <f aca="false">IF(BD140,EURO(CP140,Strike1,AO140,AO140,CV140,CO140,IF(OptControl=4,0,1),0),0)</f>
        <v>0</v>
      </c>
      <c r="CY140" s="470" t="n">
        <f aca="false">IF(BD140,EURO(CP140,Strike1,AO140,AO140,CV140,CO140,IF(OptControl=4,0,1),1)+IF(OR(VolSkewFlag=2,ABS(CQ140)&lt;0.0001),0,IF(CQ140&gt;0,-1,1)*CZ140*100*Strike1/CP140^2*CS140/10%),0)</f>
        <v>0</v>
      </c>
      <c r="CZ140" s="470" t="n">
        <f aca="false">IF(BD140,EURO(CP140,Strike1,AO140,AO140,CV140,CO140,IF(OptControl=4,0,1),3)/100,0)</f>
        <v>0</v>
      </c>
      <c r="DA140" s="470" t="n">
        <f aca="false">IF(BD140,EURO(CP140,Strike1,AO140,AO140,CV140,CO140,IF(OptControl=4,0,1),0)-EURO(CP140,Strike1,AO140,AO140,CV140,CO140-1,IF(OptControl=4,0,1),0),0)</f>
        <v>0</v>
      </c>
      <c r="DB140" s="470" t="n">
        <f aca="false">IF(BD140,EURO(CP140,Strike2,AO140,AO140,CW140,CO140,IF(OptControl=3,1,0),0),0)</f>
        <v>0</v>
      </c>
      <c r="DC140" s="470" t="n">
        <f aca="false">IF(BD140,EURO(CP140,Strike2,AO140,AO140,CW140,CO140,IF(OptControl=3,1,0),1)+IF(OR(VolSkewFlag=2,ABS(CR140)&lt;0.0001),0,IF(CR140&gt;0,-1,1)*DD140*100*Strike2/CP140^2*CT140/10%),0)</f>
        <v>0</v>
      </c>
      <c r="DD140" s="470" t="n">
        <f aca="false">IF(BD140,EURO(CP140,Strike2,AO140,AO140,CW140,CO140,IF(OptControl=3,1,0),3)/100,0)</f>
        <v>0</v>
      </c>
      <c r="DE140" s="472" t="n">
        <f aca="false">IF(BD140,EURO(CP140,Strike2,AO140,AO140,CW140,CO140,IF(OptControl=3,1,0),0)-EURO(CP140,Strike2,AO140,AO140,CW140,CO140-1,IF(OptControl=3,1,0),0),0)</f>
        <v>0</v>
      </c>
      <c r="DG140" s="481" t="n">
        <f aca="false">EOMONTH(DG139,0)+1</f>
        <v>49341</v>
      </c>
      <c r="DH140" s="478" t="n">
        <v>20.16</v>
      </c>
      <c r="DI140" s="479" t="n">
        <v>20.2225</v>
      </c>
      <c r="DJ140" s="480" t="n">
        <f aca="false">DG140</f>
        <v>49341</v>
      </c>
      <c r="DK140" s="478" t="n">
        <v>18.9658919258724</v>
      </c>
      <c r="DL140" s="479" t="n">
        <v>19.054</v>
      </c>
      <c r="DM140" s="481" t="n">
        <f aca="false">DG140</f>
        <v>49341</v>
      </c>
      <c r="DN140" s="482" t="n">
        <f aca="false">DK140+BrentPhyBrentSpread</f>
        <v>19.0158919258724</v>
      </c>
      <c r="DO140" s="481" t="n">
        <f aca="false">DG140</f>
        <v>49341</v>
      </c>
      <c r="DP140" s="483" t="n">
        <f aca="false">DL140+DQ140</f>
        <v>19.054</v>
      </c>
      <c r="DQ140" s="546" t="n">
        <v>0</v>
      </c>
      <c r="DR140" s="480" t="n">
        <f aca="false">DG140</f>
        <v>49341</v>
      </c>
      <c r="DS140" s="485" t="n">
        <v>0.152599999999999</v>
      </c>
      <c r="DT140" s="486" t="n">
        <v>0.151849999999999</v>
      </c>
      <c r="DU140" s="480" t="n">
        <f aca="false">DG140</f>
        <v>49341</v>
      </c>
      <c r="DV140" s="485" t="n">
        <v>0.152599999999999</v>
      </c>
      <c r="DW140" s="486" t="n">
        <v>0.151849999999999</v>
      </c>
      <c r="DX140" s="481" t="n">
        <f aca="false">DG140</f>
        <v>49341</v>
      </c>
      <c r="DY140" s="486" t="n">
        <v>0.35</v>
      </c>
      <c r="DZ140" s="481" t="n">
        <f aca="false">DR140</f>
        <v>49341</v>
      </c>
      <c r="EA140" s="486" t="n">
        <f aca="false">DT140</f>
        <v>0.151849999999999</v>
      </c>
      <c r="EB140" s="195"/>
      <c r="EC140" s="547" t="str">
        <f aca="false">IF(BD140,IF(Underlying=1,AS140,AU140),"")</f>
        <v/>
      </c>
      <c r="ED140" s="548" t="str">
        <f aca="false">IF($BD140,$EC140+IF(VolSkewFlag=1,IF(BS140&gt;0,$BA140*MIN(BS140/10%,1)+($BB140-$BA140)*MAX(0,MIN(BS140/10%-1,1))+($BC140-$BB140)*MAX(0,BS140/10%-2),$AZ140*MIN(-BS140/10%,1)+($AY140-$AZ140)*MAX(0,MIN(-BS140/10%-1,1))+($AX140-$AY140)*MAX(0,-BS140/10%-2)),0),"")</f>
        <v/>
      </c>
      <c r="EE140" s="549" t="str">
        <f aca="false">IF($BD140,$EC140+IF(VolSkewFlag=1,IF(BT140&gt;0,$BA140*MIN(BT140/10%,1)+($BB140-$BA140)*MAX(0,MIN(BT140/10%-1,1))+($BC140-$BB140)*MAX(0,BT140/10%-2),$AZ140*MIN(-BT140/10%,1)+($AY140-$AZ140)*MAX(0,MIN(-BT140/10%-1,1))+($AX140-$AY140)*MAX(0,-BT140/10%-2)),0),"")</f>
        <v/>
      </c>
      <c r="EF140" s="550" t="n">
        <f aca="false">IF(BD140,xASN(BR140,Strike1,AO140,ED140,0,BO140,0,BI140,BL140,IF(OptControl=4,0,1),0),0)</f>
        <v>0</v>
      </c>
      <c r="EG140" s="551" t="n">
        <f aca="false">IF(BD140,xASN(BR140,Strike2,AO140,EE140,0,BO140,0,BI140,BL140,IF(OptControl=3,1,0),0),0)</f>
        <v>0</v>
      </c>
      <c r="EL140" s="1"/>
      <c r="EM140" s="195"/>
      <c r="EN140" s="240"/>
      <c r="EO140" s="240"/>
      <c r="EP140" s="195"/>
      <c r="EQ140" s="407" t="s">
        <v>367</v>
      </c>
      <c r="ES140" s="130"/>
      <c r="ET140" s="19"/>
      <c r="EU140" s="672"/>
      <c r="EV140" s="478"/>
      <c r="EW140" s="131"/>
      <c r="EX140" s="131"/>
      <c r="EY140" s="129"/>
      <c r="EZ140" s="129"/>
      <c r="FA140" s="129"/>
      <c r="FB140" s="129"/>
      <c r="FC140" s="129"/>
      <c r="FD140" s="129"/>
      <c r="FE140" s="129"/>
      <c r="FF140" s="129"/>
      <c r="FG140" s="129"/>
      <c r="FH140" s="129"/>
      <c r="FI140" s="129"/>
      <c r="FJ140" s="571" t="n">
        <v>46</v>
      </c>
      <c r="FK140" s="150" t="e">
        <f aca="false">IF($FJ65&lt;FK$94,"",SQRT(FK65/FK$15))</f>
        <v>#DIV/0!</v>
      </c>
      <c r="FL140" s="150" t="n">
        <f aca="false">IF($FJ65&lt;FL$94,"",SQRT(FL65/FL$15))</f>
        <v>-0</v>
      </c>
      <c r="FM140" s="150" t="n">
        <f aca="false">IF($FJ65&lt;FM$94,"",SQRT(FM65/FM$15))</f>
        <v>0.170652968137916</v>
      </c>
      <c r="FN140" s="150" t="n">
        <f aca="false">IF($FJ65&lt;FN$94,"",SQRT(FN65/FN$15))</f>
        <v>0.167397292665634</v>
      </c>
      <c r="FO140" s="150" t="n">
        <f aca="false">IF($FJ65&lt;FO$94,"",SQRT(FO65/FO$15))</f>
        <v>0.164965665324787</v>
      </c>
      <c r="FP140" s="150" t="n">
        <f aca="false">IF($FJ65&lt;FP$94,"",SQRT(FP65/FP$15))</f>
        <v>0.163153850475026</v>
      </c>
      <c r="FQ140" s="150" t="n">
        <f aca="false">IF($FJ65&lt;FQ$94,"",SQRT(FQ65/FQ$15))</f>
        <v>0.161808967161078</v>
      </c>
      <c r="FR140" s="150" t="n">
        <f aca="false">IF($FJ65&lt;FR$94,"",SQRT(FR65/FR$15))</f>
        <v>0.160816701905453</v>
      </c>
      <c r="FS140" s="150" t="n">
        <f aca="false">IF($FJ65&lt;FS$94,"",SQRT(FS65/FS$15))</f>
        <v>0.160091727103152</v>
      </c>
      <c r="FT140" s="150" t="n">
        <f aca="false">IF($FJ65&lt;FT$94,"",SQRT(FT65/FT$15))</f>
        <v>0.159570525187346</v>
      </c>
      <c r="FU140" s="150" t="n">
        <f aca="false">IF($FJ65&lt;FU$94,"",SQRT(FU65/FU$15))</f>
        <v>0.159206018981336</v>
      </c>
      <c r="FV140" s="150" t="n">
        <f aca="false">IF($FJ65&lt;FV$94,"",SQRT(FV65/FV$15))</f>
        <v>0.158963558894918</v>
      </c>
      <c r="FW140" s="150" t="n">
        <f aca="false">IF($FJ65&lt;FW$94,"",SQRT(FW65/FW$15))</f>
        <v>0.158817930376643</v>
      </c>
      <c r="FX140" s="150" t="n">
        <f aca="false">IF($FJ65&lt;FX$94,"",SQRT(FX65/FX$15))</f>
        <v>0.158751129686447</v>
      </c>
      <c r="FY140" s="150" t="n">
        <f aca="false">IF($FJ65&lt;FY$94,"",SQRT(FY65/FY$15))</f>
        <v>0.158750719652181</v>
      </c>
      <c r="FZ140" s="150" t="n">
        <f aca="false">IF($FJ65&lt;FZ$94,"",SQRT(FZ65/FZ$15))</f>
        <v>0.158808624909562</v>
      </c>
      <c r="GA140" s="150" t="n">
        <f aca="false">IF($FJ65&lt;GA$94,"",SQRT(GA65/GA$15))</f>
        <v>0.158920262174433</v>
      </c>
      <c r="GB140" s="150" t="n">
        <f aca="false">IF($FJ65&lt;GB$94,"",SQRT(GB65/GB$15))</f>
        <v>0.159083928351913</v>
      </c>
      <c r="GC140" s="150" t="n">
        <f aca="false">IF($FJ65&lt;GC$94,"",SQRT(GC65/GC$15))</f>
        <v>0.159300390008901</v>
      </c>
      <c r="GD140" s="150" t="n">
        <f aca="false">IF($FJ65&lt;GD$94,"",SQRT(GD65/GD$15))</f>
        <v>0.159572633638927</v>
      </c>
      <c r="GE140" s="150" t="n">
        <f aca="false">IF($FJ65&lt;GE$94,"",SQRT(GE65/GE$15))</f>
        <v>0.159905748545407</v>
      </c>
      <c r="GF140" s="150" t="n">
        <f aca="false">IF($FJ65&lt;GF$94,"",SQRT(GF65/GF$15))</f>
        <v>0.160306924084007</v>
      </c>
      <c r="GG140" s="150" t="n">
        <f aca="false">IF($FJ65&lt;GG$94,"",SQRT(GG65/GG$15))</f>
        <v>0.160785551257817</v>
      </c>
      <c r="GH140" s="150" t="n">
        <f aca="false">IF($FJ65&lt;GH$94,"",SQRT(GH65/GH$15))</f>
        <v>0.161353425940393</v>
      </c>
      <c r="GI140" s="150" t="n">
        <f aca="false">IF($FJ65&lt;GI$94,"",SQRT(GI65/GI$15))</f>
        <v>0.162025057935167</v>
      </c>
      <c r="GJ140" s="150" t="n">
        <f aca="false">IF($FJ65&lt;GJ$94,"",SQRT(GJ65/GJ$15))</f>
        <v>0.162818097284856</v>
      </c>
      <c r="GK140" s="150" t="n">
        <f aca="false">IF($FJ65&lt;GK$94,"",SQRT(GK65/GK$15))</f>
        <v>0.163753897405993</v>
      </c>
      <c r="GL140" s="150" t="n">
        <f aca="false">IF($FJ65&lt;GL$94,"",SQRT(GL65/GL$15))</f>
        <v>0.164858244576808</v>
      </c>
      <c r="GM140" s="150" t="n">
        <f aca="false">IF($FJ65&lt;GM$94,"",SQRT(GM65/GM$15))</f>
        <v>0.166162296154048</v>
      </c>
      <c r="GN140" s="150" t="n">
        <f aca="false">IF($FJ65&lt;GN$94,"",SQRT(GN65/GN$15))</f>
        <v>0.16770378717681</v>
      </c>
      <c r="GO140" s="150" t="n">
        <f aca="false">IF($FJ65&lt;GO$94,"",SQRT(GO65/GO$15))</f>
        <v>0.169528588972783</v>
      </c>
      <c r="GP140" s="150" t="n">
        <f aca="false">IF($FJ65&lt;GP$94,"",SQRT(GP65/GP$15))</f>
        <v>0.171692737364809</v>
      </c>
      <c r="GQ140" s="150" t="n">
        <f aca="false">IF($FJ65&lt;GQ$94,"",SQRT(GQ65/GQ$15))</f>
        <v>0.174265097210362</v>
      </c>
      <c r="GR140" s="150" t="n">
        <f aca="false">IF($FJ65&lt;GR$94,"",SQRT(GR65/GR$15))</f>
        <v>0.177330902298269</v>
      </c>
      <c r="GS140" s="150" t="n">
        <f aca="false">IF($FJ65&lt;GS$94,"",SQRT(GS65/GS$15))</f>
        <v>0.180996517817897</v>
      </c>
      <c r="GT140" s="150" t="n">
        <f aca="false">IF($FJ65&lt;GT$94,"",SQRT(GT65/GT$15))</f>
        <v>0.185395937393273</v>
      </c>
      <c r="GU140" s="150" t="n">
        <f aca="false">IF($FJ65&lt;GU$94,"",SQRT(GU65/GU$15))</f>
        <v>0.190699782327691</v>
      </c>
      <c r="GV140" s="150" t="n">
        <f aca="false">IF($FJ65&lt;GV$94,"",SQRT(GV65/GV$15))</f>
        <v>0.197127975348443</v>
      </c>
      <c r="GW140" s="150" t="n">
        <f aca="false">IF($FJ65&lt;GW$94,"",SQRT(GW65/GW$15))</f>
        <v>0.204967915674714</v>
      </c>
      <c r="GX140" s="150" t="n">
        <f aca="false">IF($FJ65&lt;GX$94,"",SQRT(GX65/GX$15))</f>
        <v>0.214601066502625</v>
      </c>
      <c r="GY140" s="150" t="n">
        <f aca="false">IF($FJ65&lt;GY$94,"",SQRT(GY65/GY$15))</f>
        <v>0.22654270998303</v>
      </c>
      <c r="GZ140" s="150" t="n">
        <f aca="false">IF($FJ65&lt;GZ$94,"",SQRT(GZ65/GZ$15))</f>
        <v>0.241502853513472</v>
      </c>
      <c r="HA140" s="150" t="n">
        <f aca="false">IF($FJ65&lt;HA$94,"",SQRT(HA65/HA$15))</f>
        <v>0.26048211147879</v>
      </c>
      <c r="HB140" s="150" t="n">
        <f aca="false">IF($FJ65&lt;HB$94,"",SQRT(HB65/HB$15))</f>
        <v>0.284927343991293</v>
      </c>
      <c r="HC140" s="150" t="n">
        <f aca="false">IF($FJ65&lt;HC$94,"",SQRT(HC65/HC$15))</f>
        <v>0.316993260796635</v>
      </c>
      <c r="HD140" s="150" t="n">
        <f aca="false">IF($FJ65&lt;HD$94,"",SQRT(HD65/HD$15))</f>
        <v>0.360000127278656</v>
      </c>
      <c r="HE140" s="150" t="str">
        <f aca="false">IF($FJ65&lt;HE$94,"",SQRT(HE65/HE$15))</f>
        <v/>
      </c>
      <c r="HF140" s="150" t="str">
        <f aca="false">IF($FJ65&lt;HF$94,"",SQRT(HF65/HF$15))</f>
        <v/>
      </c>
      <c r="HG140" s="150" t="str">
        <f aca="false">IF($FJ65&lt;HG$94,"",SQRT(HG65/HG$15))</f>
        <v/>
      </c>
      <c r="HH140" s="150" t="str">
        <f aca="false">IF($FJ65&lt;HH$94,"",SQRT(HH65/HH$15))</f>
        <v/>
      </c>
      <c r="HI140" s="150" t="str">
        <f aca="false">IF($FJ65&lt;HI$94,"",SQRT(HI65/HI$15))</f>
        <v/>
      </c>
      <c r="HJ140" s="150" t="str">
        <f aca="false">IF($FJ65&lt;HJ$94,"",SQRT(HJ65/HJ$15))</f>
        <v/>
      </c>
      <c r="HK140" s="150" t="str">
        <f aca="false">IF($FJ65&lt;HK$94,"",SQRT(HK65/HK$15))</f>
        <v/>
      </c>
      <c r="HL140" s="150" t="str">
        <f aca="false">IF($FJ65&lt;HL$94,"",SQRT(HL65/HL$15))</f>
        <v/>
      </c>
      <c r="HM140" s="150" t="str">
        <f aca="false">IF($FJ65&lt;HM$94,"",SQRT(HM65/HM$15))</f>
        <v/>
      </c>
      <c r="HN140" s="150" t="str">
        <f aca="false">IF($FJ65&lt;HN$94,"",SQRT(HN65/HN$15))</f>
        <v/>
      </c>
      <c r="HO140" s="150" t="str">
        <f aca="false">IF($FJ65&lt;HO$94,"",SQRT(HO65/HO$15))</f>
        <v/>
      </c>
      <c r="HP140" s="150" t="str">
        <f aca="false">IF($FJ65&lt;HP$94,"",SQRT(HP65/HP$15))</f>
        <v/>
      </c>
      <c r="HQ140" s="150" t="str">
        <f aca="false">IF($FJ65&lt;HQ$94,"",SQRT(HQ65/HQ$15))</f>
        <v/>
      </c>
      <c r="HR140" s="150" t="str">
        <f aca="false">IF($FJ65&lt;HR$94,"",SQRT(HR65/HR$15))</f>
        <v/>
      </c>
      <c r="HS140" s="150" t="str">
        <f aca="false">IF($FJ65&lt;HS$94,"",SQRT(HS65/HS$15))</f>
        <v/>
      </c>
      <c r="HT140" s="150" t="str">
        <f aca="false">IF($FJ65&lt;HT$94,"",SQRT(HT65/HT$15))</f>
        <v/>
      </c>
      <c r="HU140" s="150" t="str">
        <f aca="false">IF($FJ65&lt;HU$94,"",SQRT(HU65/HU$15))</f>
        <v/>
      </c>
      <c r="HV140" s="150" t="str">
        <f aca="false">IF($FJ65&lt;HV$94,"",SQRT(HV65/HV$15))</f>
        <v/>
      </c>
      <c r="HW140" s="150" t="str">
        <f aca="false">IF($FJ65&lt;HW$94,"",SQRT(HW65/HW$15))</f>
        <v/>
      </c>
      <c r="HX140" s="150" t="str">
        <f aca="false">IF($FJ65&lt;HX$94,"",SQRT(HX65/HX$15))</f>
        <v/>
      </c>
      <c r="HY140" s="150" t="str">
        <f aca="false">IF($FJ65&lt;HY$94,"",SQRT(HY65/HY$15))</f>
        <v/>
      </c>
      <c r="HZ140" s="150" t="str">
        <f aca="false">IF($FJ65&lt;HZ$94,"",SQRT(HZ65/HZ$15))</f>
        <v/>
      </c>
      <c r="IA140" s="150" t="str">
        <f aca="false">IF($FJ65&lt;IA$94,"",SQRT(IA65/IA$15))</f>
        <v/>
      </c>
      <c r="IB140" s="150" t="str">
        <f aca="false">IF($FJ65&lt;IB$94,"",SQRT(IB65/IB$15))</f>
        <v/>
      </c>
      <c r="IC140" s="150" t="str">
        <f aca="false">IF($FJ65&lt;IC$94,"",SQRT(IC65/IC$15))</f>
        <v/>
      </c>
      <c r="ID140" s="572" t="str">
        <f aca="false">IF($FJ65&lt;ID$94,"",SQRT(ID65/ID$15))</f>
        <v/>
      </c>
      <c r="IE140" s="129"/>
    </row>
    <row r="141" customFormat="false" ht="12.75" hidden="false" customHeight="false" outlineLevel="0" collapsed="false">
      <c r="H141" s="219" t="n">
        <f aca="false">VLOOKUP(I141,$EJ$20:$EL$54,3)</f>
        <v>0</v>
      </c>
      <c r="I141" s="511" t="n">
        <f aca="false">EOMONTH(I140,0)+1</f>
        <v>40452</v>
      </c>
      <c r="J141" s="512"/>
      <c r="K141" s="513" t="s">
        <v>280</v>
      </c>
      <c r="L141" s="514" t="n">
        <f aca="false">IF(ISNUMBER(K141),J141+K141/100,IF(K141="extra",L140+VLOOKUP(BF141,PriceSpreadTable,2)/12,IF(K141="inter",interpolateprices($K$19:$L$200,ROW(K141)-ROW(FirstPricingMonth)+1),interpolatechanges($J$19:$K$200,ROW(K141)-ROW(FirstPricingMonth)+1))))</f>
        <v>1.6875</v>
      </c>
      <c r="M141" s="515"/>
      <c r="N141" s="516" t="n">
        <v>0</v>
      </c>
      <c r="O141" s="515" t="n">
        <f aca="false">M141+N141</f>
        <v>0</v>
      </c>
      <c r="P141" s="512"/>
      <c r="Q141" s="513" t="s">
        <v>280</v>
      </c>
      <c r="R141" s="512" t="e">
        <f aca="false">IF(ISNUMBER(Q141),P141+Q141/100,IF(Q141="extra",(Z139*AL139-R140*AM139)/AN139,IF(Q141="inter",interpolateprices($Q$19:$R$260,ROW(Q141)-ROW(FirstPricingMonth)+1),interpolatechanges($P$19:$Q$260,ROW(Q141)-ROW(FirstPricingMonth)+1))))</f>
        <v>#VALUE!</v>
      </c>
      <c r="S141" s="597" t="n">
        <f aca="false">S$19+(S140-S$19)*S$18</f>
        <v>0.36</v>
      </c>
      <c r="T141" s="575" t="n">
        <f aca="false">SQRT((1-(1-T140^2/U140)*T$18)*U141)</f>
        <v>0.999999999341755</v>
      </c>
      <c r="U141" s="576" t="n">
        <f aca="false">1-(1-U140)*U$18</f>
        <v>1</v>
      </c>
      <c r="V141" s="521" t="n">
        <v>0</v>
      </c>
      <c r="W141" s="577" t="n">
        <f aca="false">(J142*AJ141+J143*AK141)/AI141</f>
        <v>0</v>
      </c>
      <c r="X141" s="578" t="n">
        <f aca="false">(L142*AJ141+L143*AK141)/AI141</f>
        <v>1.7375</v>
      </c>
      <c r="Y141" s="579" t="n">
        <f aca="false">IF(Q143="extra",W141-AA141,(P142*AM141+P143*AN141)/AL141)</f>
        <v>-1.1931</v>
      </c>
      <c r="Z141" s="579" t="n">
        <f aca="false">IF(Q143="extra",X141-AB141,(R142*AM141+R143*AN141)/AL141)</f>
        <v>0.544400000000002</v>
      </c>
      <c r="AA141" s="523" t="n">
        <f aca="false">IF(Q143="extra",INDEX(BrentSeasonalityTable,INT((BG141-1)/3)+1)*VLOOKUP(MAX(BF141,$AB$4),PriceSpreadTable,3),W141-Y141)</f>
        <v>1.1931</v>
      </c>
      <c r="AB141" s="524" t="n">
        <f aca="false">IF(Q143="extra",INDEX(BrentSeasonalityTable,INT((BG141-1)/3)+1)*VLOOKUP(MAX(BF141,$AB$4),PriceSpreadTable,3),X141-Z141)</f>
        <v>1.1931</v>
      </c>
      <c r="AC141" s="646" t="n">
        <v>40441</v>
      </c>
      <c r="AD141" s="646" t="n">
        <v>40437</v>
      </c>
      <c r="AE141" s="646" t="n">
        <v>40436</v>
      </c>
      <c r="AF141" s="646" t="n">
        <v>40432</v>
      </c>
      <c r="AG141" s="438" t="s">
        <v>278</v>
      </c>
      <c r="AH141" s="439" t="s">
        <v>278</v>
      </c>
      <c r="AI141" s="528" t="n">
        <v>21</v>
      </c>
      <c r="AJ141" s="529" t="n">
        <v>14</v>
      </c>
      <c r="AK141" s="529" t="n">
        <v>7</v>
      </c>
      <c r="AL141" s="530" t="n">
        <v>21</v>
      </c>
      <c r="AM141" s="529" t="n">
        <v>10</v>
      </c>
      <c r="AN141" s="531" t="n">
        <v>11</v>
      </c>
      <c r="AO141" s="532"/>
      <c r="AP141" s="465" t="n">
        <f aca="false">(1+AO141/2)^(-2*BL141)</f>
        <v>1</v>
      </c>
      <c r="AQ141" s="532"/>
      <c r="AR141" s="465" t="n">
        <f aca="false">(1+AQ141/2)^(-2*BH141/365.25)</f>
        <v>1</v>
      </c>
      <c r="AS141" s="580" t="n">
        <f aca="false">(O142*AJ141+O143*AK141)/AI141</f>
        <v>0</v>
      </c>
      <c r="AT141" s="468" t="n">
        <f aca="false">O141*VLOOKUP(BF141,BrentVolTable,2)+VLOOKUP(BF141,BrentVolTable,3)</f>
        <v>0</v>
      </c>
      <c r="AU141" s="468" t="n">
        <f aca="false">(AT142*AM141+AT143*AN141)/AL141</f>
        <v>0</v>
      </c>
      <c r="AV141" s="595" t="n">
        <f aca="false">SQRT(MAX(0.000000000001,(O141^2*BH141-S141^2*(BH141-BH140))/BH140))</f>
        <v>0.0269806961251775</v>
      </c>
      <c r="AW141" s="451" t="n">
        <f aca="false">IF($I141-DateToday+15&gt;=$T$8,"",IF($I141-DateToday+15&lt;$T$5,1,MATCH($I141-DateToday+15,$T$5:$T$8)))</f>
        <v>1</v>
      </c>
      <c r="AX141" s="468" t="n">
        <f aca="false">IF($AW141="",AX140^2/AX139,INDEX(U$5:U$8,$AW141)^((INDEX($T$5:$T$8,$AW141+1)-($I141-DateToday+15))/(INDEX($T$5:$T$8,$AW141+1)-INDEX($T$5:$T$8,$AW141)))/INDEX(U$5:U$8,$AW141+1)^((INDEX($T$5:$T$8,$AW141)-($I141-DateToday+15))/(INDEX($T$5:$T$8,$AW141+1)-INDEX($T$5:$T$8,$AW141))))</f>
        <v>0.945037626584592</v>
      </c>
      <c r="AY141" s="468" t="n">
        <f aca="false">IF($AW141="",AY140^2/AY139,INDEX(V$5:V$8,$AW141)^((INDEX($T$5:$T$8,$AW141+1)-($I141-DateToday+15))/(INDEX($T$5:$T$8,$AW141+1)-INDEX($T$5:$T$8,$AW141)))/INDEX(V$5:V$8,$AW141+1)^((INDEX($T$5:$T$8,$AW141)-($I141-DateToday+15))/(INDEX($T$5:$T$8,$AW141+1)-INDEX($T$5:$T$8,$AW141))))</f>
        <v>31.9141642528864</v>
      </c>
      <c r="AZ141" s="468" t="n">
        <f aca="false">IF($AW141="",AZ140^2/AZ139,INDEX(W$5:W$8,$AW141)^((INDEX($T$5:$T$8,$AW141+1)-($I141-DateToday+15))/(INDEX($T$5:$T$8,$AW141+1)-INDEX($T$5:$T$8,$AW141)))/INDEX(W$5:W$8,$AW141+1)^((INDEX($T$5:$T$8,$AW141)-($I141-DateToday+15))/(INDEX($T$5:$T$8,$AW141+1)-INDEX($T$5:$T$8,$AW141))))</f>
        <v>33338.6021010828</v>
      </c>
      <c r="BA141" s="468" t="n">
        <f aca="false">IF($AW141="",BA140^2/BA139,INDEX(X$5:X$8,$AW141)^((INDEX($T$5:$T$8,$AW141+1)-($I141-DateToday+15))/(INDEX($T$5:$T$8,$AW141+1)-INDEX($T$5:$T$8,$AW141)))/INDEX(X$5:X$8,$AW141+1)^((INDEX($T$5:$T$8,$AW141)-($I141-DateToday+15))/(INDEX($T$5:$T$8,$AW141+1)-INDEX($T$5:$T$8,$AW141))))</f>
        <v>328189.931283909</v>
      </c>
      <c r="BB141" s="468" t="n">
        <f aca="false">IF($AW141="",BB140^2/BB139,INDEX(Y$5:Y$8,$AW141)^((INDEX($T$5:$T$8,$AW141+1)-($I141-DateToday+15))/(INDEX($T$5:$T$8,$AW141+1)-INDEX($T$5:$T$8,$AW141)))/INDEX(Y$5:Y$8,$AW141+1)^((INDEX($T$5:$T$8,$AW141)-($I141-DateToday+15))/(INDEX($T$5:$T$8,$AW141+1)-INDEX($T$5:$T$8,$AW141))))</f>
        <v>2739304.88899083</v>
      </c>
      <c r="BC141" s="468" t="n">
        <f aca="false">IF($AW141="",BC140^2/BC139,INDEX(Z$5:Z$8,$AW141)^((INDEX($T$5:$T$8,$AW141+1)-($I141-DateToday+15))/(INDEX($T$5:$T$8,$AW141+1)-INDEX($T$5:$T$8,$AW141)))/INDEX(Z$5:Z$8,$AW141+1)^((INDEX($T$5:$T$8,$AW141)-($I141-DateToday+15))/(INDEX($T$5:$T$8,$AW141+1)-INDEX($T$5:$T$8,$AW141))))</f>
        <v>9873801.31386309</v>
      </c>
      <c r="BD141" s="535" t="n">
        <f aca="false">IF(OR(DateStart&gt;=I142,DateEnd&lt;I141),0,IF(VolumeOverrideFlag,V141,Volume))</f>
        <v>0</v>
      </c>
      <c r="BE141" s="536" t="n">
        <f aca="false">IF(OR(DateStart2&gt;=I142,DateEnd2&lt;I141),0,IF(VolumeOverrideFlag,V141,VolumeSwaption))</f>
        <v>0</v>
      </c>
      <c r="BF141" s="537" t="n">
        <f aca="false">YEAR(I141)</f>
        <v>2010</v>
      </c>
      <c r="BG141" s="538" t="n">
        <f aca="false">MONTH(I141)</f>
        <v>10</v>
      </c>
      <c r="BH141" s="539" t="n">
        <f aca="false">AD141-DateToday+1</f>
        <v>-5488</v>
      </c>
      <c r="BI141" s="540" t="n">
        <f aca="false">(I141-DateToday+1)/365.25</f>
        <v>-14.984257357974</v>
      </c>
      <c r="BJ141" s="541" t="n">
        <f aca="false">BI141+(BL141-BI141)*CHOOSE(Underlying,AJ141/AI141,AM141/AL141)</f>
        <v>-14.9295003422313</v>
      </c>
      <c r="BK141" s="541" t="n">
        <f aca="false">BJ141+1/365.25</f>
        <v>-14.9267624914442</v>
      </c>
      <c r="BL141" s="541" t="n">
        <f aca="false">(I142-DateToday)/365.25</f>
        <v>-14.90212183436</v>
      </c>
      <c r="BM141" s="542" t="e">
        <f aca="false">MAX(BI141-(BJ141-BI141)*(S142^2/O142^2-1),0)</f>
        <v>#DIV/0!</v>
      </c>
      <c r="BN141" s="541" t="e">
        <f aca="false">MAX(BL141+(BL141-BK141)*(S143^2/O143^2-1),0)</f>
        <v>#DIV/0!</v>
      </c>
      <c r="BO141" s="530" t="n">
        <f aca="false">CHOOSE(Underlying,AI141,AL141)</f>
        <v>21</v>
      </c>
      <c r="BP141" s="529" t="n">
        <f aca="false">CHOOSE(Underlying,AJ141,AM141)</f>
        <v>14</v>
      </c>
      <c r="BQ141" s="529" t="n">
        <f aca="false">CHOOSE(Underlying,AK141,AN141)</f>
        <v>7</v>
      </c>
      <c r="BR141" s="463" t="str">
        <f aca="false">IF(BD141,IF(Underlying=1,X141,Z141)+UnderlyingPriceAsian-SwapPriceCurve,"")</f>
        <v/>
      </c>
      <c r="BS141" s="463" t="str">
        <f aca="false">IF(BD141,Strike1/BR141-1,"")</f>
        <v/>
      </c>
      <c r="BT141" s="464" t="str">
        <f aca="false">IF(BD141,Strike2/BR141-1,"")</f>
        <v/>
      </c>
      <c r="BU141" s="465" t="str">
        <f aca="false">IF(BD141,IF(Underlying=1,L142,R142)+UnderlyingPriceAsian-SwapPriceCurve,"")</f>
        <v/>
      </c>
      <c r="BV141" s="465" t="str">
        <f aca="false">IF(BD141,IF(Underlying=1,L143,R143)+UnderlyingPriceAsian-SwapPriceCurve,"")</f>
        <v/>
      </c>
      <c r="BW141" s="466" t="str">
        <f aca="false">IF(BD141,IF(Underlying=1,O142,AT142),"")</f>
        <v/>
      </c>
      <c r="BX141" s="467" t="str">
        <f aca="false">IF(BD141,IF(Underlying=1,O143,AT143),"")</f>
        <v/>
      </c>
      <c r="BY141" s="466" t="str">
        <f aca="false">IF(BD141,IF(BS141&gt;0,IF(BS141&gt;0.2,BC141-BB141,IF(BS141&gt;0.1,BB141-BA141,BA141)),IF(BS141&lt;-0.2,AX141-AY141,IF(BS141&lt;-0.1,AY141-AZ141,AZ141))),"")</f>
        <v/>
      </c>
      <c r="BZ141" s="467" t="str">
        <f aca="false">IF(BD141,IF(BT141&gt;0,IF(BT141&gt;0.2,BC141-BB141,IF(BT141&gt;0.1,BB141-BA141,BA141)),IF(BT141&lt;-0.2,AX141-AY141,IF(BT141&lt;-0.1,AY141-AZ141,AZ141))),"")</f>
        <v/>
      </c>
      <c r="CA141" s="468" t="str">
        <f aca="false">IF($BD141,$BW141+IF(VolSkewFlag=1,IF(BS141&gt;0,$BA141*MIN(BS141/10%,1)+($BB141-$BA141)*MAX(0,MIN(BS141/10%-1,1))+($BC141-$BB141)*MAX(0,BS141/10%-2),$AZ141*MIN(-BS141/10%,1)+($AY141-$AZ141)*MAX(0,MIN(-BS141/10%-1,1))+($AX141-$AY141)*MAX(0,-BS141/10%-2)),0),"")</f>
        <v/>
      </c>
      <c r="CB141" s="468" t="str">
        <f aca="false">IF($BD141,$BX141+IF(VolSkewFlag=1,IF(BS141&gt;0,$BA141*MIN(BS141/10%,1)+($BB141-$BA141)*MAX(0,MIN(BS141/10%-1,1))+($BC141-$BB141)*MAX(0,BS141/10%-2),$AZ141*MIN(-BS141/10%,1)+($AY141-$AZ141)*MAX(0,MIN(-BS141/10%-1,1))+($AX141-$AY141)*MAX(0,-BS141/10%-2)),0),"")</f>
        <v/>
      </c>
      <c r="CC141" s="468" t="str">
        <f aca="false">IF($BD141,$BW141+IF(VolSkewFlag=1,IF(BT141&gt;0,$BA141*MIN(BT141/10%,1)+($BB141-$BA141)*MAX(0,MIN(BT141/10%-1,1))+($BC141-$BB141)*MAX(0,BT141/10%-2),$AZ141*MIN(-BT141/10%,1)+($AY141-$AZ141)*MAX(0,MIN(-BT141/10%-1,1))+($AX141-$AY141)*MAX(0,-BT141/10%-2)),0),"")</f>
        <v/>
      </c>
      <c r="CD141" s="468" t="str">
        <f aca="false">IF($BD141,$BX141+IF(VolSkewFlag=1,IF(BT141&gt;0,$BA141*MIN(BT141/10%,1)+($BB141-$BA141)*MAX(0,MIN(BT141/10%-1,1))+($BC141-$BB141)*MAX(0,BT141/10%-2),$AZ141*MIN(-BT141/10%,1)+($AY141-$AZ141)*MAX(0,MIN(-BT141/10%-1,1))+($AX141-$AY141)*MAX(0,-BT141/10%-2)),0),"")</f>
        <v/>
      </c>
      <c r="CE141" s="469" t="n">
        <v>1</v>
      </c>
      <c r="CF141" s="470" t="n">
        <f aca="false">IF(BD141,xCrudeAPO(BU141,BV141,CA141,CB141,S142,S143,BI141,BL141,BP141,BQ141,0,Strike1,AO141,CE141,0,BL141,IF(OptControl=4,0,1),0,1),0)</f>
        <v>0</v>
      </c>
      <c r="CG141" s="470" t="n">
        <f aca="false">IF(BD141,xCrudeAPO(BU141,BV141,CA141,CB141,S142,S143,BI141,BL141,BP141,BQ141,0,Strike1,AO141,CE141,0,BL141,IF(OptControl=4,0,1),1,1)+xCrudeAPO(BU141,BV141,CA141,CB141,S142,S143,BI141,BL141,BP141,BQ141,0,Strike1,AO141,CE141,0,BL141,IF(OptControl=4,0,1),1,2)+IF(OR(VolSkewFlag=2,ABS(BS141)&lt;0.0001),0,IF(BS141&gt;0,-1,1)*CH141*Strike1/BR141^2*BY141/10%),0)</f>
        <v>0</v>
      </c>
      <c r="CH141" s="470" t="n">
        <f aca="false">IF(BD141,(xCrudeAPO(BU141,BV141,CA141,CB141,S142,S143,BI141,BL141,BP141,BQ141,0,Strike1,AO141,CE141,0,BL141,IF(OptControl=4,0,1),3,1)+xCrudeAPO(BU141,BV141,CA141,CB141,S142,S143,BI141,BL141,BP141,BQ141,0,Strike1,AO141,CE141,0,BL141,IF(OptControl=4,0,1),3,2))/100,0)</f>
        <v>0</v>
      </c>
      <c r="CI141" s="470" t="n">
        <f aca="false">IF(BD141,xCrudeAPO(BU141,BV141,CA141,CB141,S142,S143,BI141-DaysForThetaCalculation/365.25,BL141-DaysForThetaCalculation/365.25,BP141,BQ141,0,Strike1,AO141,CE141,0,BL141,IF(OptControl=4,0,1),0,1)-xCrudeAPO(BU141,BV141,CA141,CB141,S142,S143,BI141,BL141,BP141,BQ141,0,Strike1,AO141,CE141,0,BL141,IF(OptControl=4,0,1),0,1),0)</f>
        <v>0</v>
      </c>
      <c r="CJ141" s="471" t="n">
        <f aca="false">IF(BD141,xCrudeAPO(BU141,BV141,CC141,CD141,S142,S143,BI141,BL141,BP141,BQ141,0,Strike2,AO141,CE141,0,BL141,IF(OptControl=3,1,0),0,1),0)</f>
        <v>0</v>
      </c>
      <c r="CK141" s="470" t="n">
        <f aca="false">IF(BD141,xCrudeAPO(BU141,BV141,CC141,CD141,S142,S143,BI141,BL141,BP141,BQ141,0,Strike2,AO141,CE141,0,BL141,IF(OptControl=3,1,0),1,1)+xCrudeAPO(BU141,BV141,CC141,CD141,S142,S143,BI141,BL141,BP141,BQ141,0,Strike2,AO141,CE141,0,BL141,IF(OptControl=3,1,0),1,2)+IF(OR(VolSkewFlag=2,ABS(BT141)&lt;0.0001),0,IF(BT141&gt;0,-1,1)*CL141*Strike2/BR141^2*BZ141/10%),0)</f>
        <v>0</v>
      </c>
      <c r="CL141" s="470" t="n">
        <f aca="false">IF(BD141,(xCrudeAPO(BU141,BV141,CC141,CD141,S142,S143,BI141,BL141,BP141,BQ141,0,Strike2,AO141,CE141,0,BL141,IF(OptControl=3,1,0),3,1)+xCrudeAPO(BU141,BV141,CC141,CD141,S142,S143,BI141,BL141,BP141,BQ141,0,Strike2,AO141,CE141,0,BL141,IF(OptControl=3,1,0),3,2))/100,0)</f>
        <v>0</v>
      </c>
      <c r="CM141" s="472" t="n">
        <f aca="false">IF(BD141,xCrudeAPO(BU141,BV141,CC141,CD141,S142,S143,BI141-DaysForThetaCalculation/365.25,BL141-DaysForThetaCalculation/365.25,BP141,BQ141,0,Strike2,AO141,CE141,0,BL141,IF(OptControl=3,1,0),0,1)-xCrudeAPO(BU141,BV141,CC141,CD141,S142,S143,BI141,BL141,BP141,BQ141,0,Strike2,AO141,CE141,0,BL141,IF(OptControl=3,1,0),0,1),0)</f>
        <v>0</v>
      </c>
      <c r="CN141" s="3"/>
      <c r="CO141" s="543" t="str">
        <f aca="false">IF(BD141,CHOOSE(Underlying,AD141,AF141)-DateToday+1,"")</f>
        <v/>
      </c>
      <c r="CP141" s="582" t="str">
        <f aca="false">IF(BD141,CHOOSE(Underlying,L141,R141),"")</f>
        <v/>
      </c>
      <c r="CQ141" s="544" t="str">
        <f aca="false">IF(BD141,Strike1/CP141-1,"")</f>
        <v/>
      </c>
      <c r="CR141" s="544" t="str">
        <f aca="false">IF(BD141,Strike2/CP141-1,"")</f>
        <v/>
      </c>
      <c r="CS141" s="544" t="str">
        <f aca="false">IF(BD141,IF(CQ141&gt;0,IF(CQ141&gt;0.2,BC140-BB140,IF(CQ141&gt;0.1,BB140-BA140,BA140)),IF(CQ141&lt;-0.2,AX140-AY140,IF(CQ141&lt;-0.1,AY140-AZ140,AZ140))),"")</f>
        <v/>
      </c>
      <c r="CT141" s="544" t="str">
        <f aca="false">IF(BD141,IF(CR141&gt;0,IF(CR141&gt;0.2,BC140-BB140,IF(CR141&gt;0.1,BB140-BA140,BA140)),IF(CR141&lt;-0.2,AX140-AY140,IF(CR141&lt;-0.1,AY140-AZ140,AZ140))),"")</f>
        <v/>
      </c>
      <c r="CU141" s="545" t="str">
        <f aca="false">IF(BD141,CHOOSE(Underlying,O141,AT141),"")</f>
        <v/>
      </c>
      <c r="CV141" s="545" t="str">
        <f aca="false">IF(BD141,CU141+IF(VolSkewFlag=1,IF(CQ141&gt;0,BA140*MIN(CQ141/10%,1)+(BB140-BA140)*MAX(0,MIN(CQ141/10%-1,1))+(BC140-BB140)*MAX(0,CQ141/10%-2),AZ140*MIN(-CQ141/10%,1)+(AY140-AZ140)*MAX(0,MIN(-CQ141/10%-1,1))+(AX140-AY140)*MAX(0,-CQ141/10%-2)),0),"")</f>
        <v/>
      </c>
      <c r="CW141" s="545" t="str">
        <f aca="false">IF(BD141,CU141+IF(VolSkewFlag=1,IF(CR141&gt;0,BA140*MIN(CR141/10%,1)+(BB140-BA140)*MAX(0,MIN(CR141/10%-1,1))+(BC140-BB140)*MAX(0,CR141/10%-2),AZ140*MIN(-CR141/10%,1)+(AY140-AZ140)*MAX(0,MIN(-CR141/10%-1,1))+(AX140-AY140)*MAX(0,-CR141/10%-2)),0),"")</f>
        <v/>
      </c>
      <c r="CX141" s="470" t="n">
        <f aca="false">IF(BD141,EURO(CP141,Strike1,AO141,AO141,CV141,CO141,IF(OptControl=4,0,1),0),0)</f>
        <v>0</v>
      </c>
      <c r="CY141" s="470" t="n">
        <f aca="false">IF(BD141,EURO(CP141,Strike1,AO141,AO141,CV141,CO141,IF(OptControl=4,0,1),1)+IF(OR(VolSkewFlag=2,ABS(CQ141)&lt;0.0001),0,IF(CQ141&gt;0,-1,1)*CZ141*100*Strike1/CP141^2*CS141/10%),0)</f>
        <v>0</v>
      </c>
      <c r="CZ141" s="470" t="n">
        <f aca="false">IF(BD141,EURO(CP141,Strike1,AO141,AO141,CV141,CO141,IF(OptControl=4,0,1),3)/100,0)</f>
        <v>0</v>
      </c>
      <c r="DA141" s="470" t="n">
        <f aca="false">IF(BD141,EURO(CP141,Strike1,AO141,AO141,CV141,CO141,IF(OptControl=4,0,1),0)-EURO(CP141,Strike1,AO141,AO141,CV141,CO141-1,IF(OptControl=4,0,1),0),0)</f>
        <v>0</v>
      </c>
      <c r="DB141" s="470" t="n">
        <f aca="false">IF(BD141,EURO(CP141,Strike2,AO141,AO141,CW141,CO141,IF(OptControl=3,1,0),0),0)</f>
        <v>0</v>
      </c>
      <c r="DC141" s="470" t="n">
        <f aca="false">IF(BD141,EURO(CP141,Strike2,AO141,AO141,CW141,CO141,IF(OptControl=3,1,0),1)+IF(OR(VolSkewFlag=2,ABS(CR141)&lt;0.0001),0,IF(CR141&gt;0,-1,1)*DD141*100*Strike2/CP141^2*CT141/10%),0)</f>
        <v>0</v>
      </c>
      <c r="DD141" s="470" t="n">
        <f aca="false">IF(BD141,EURO(CP141,Strike2,AO141,AO141,CW141,CO141,IF(OptControl=3,1,0),3)/100,0)</f>
        <v>0</v>
      </c>
      <c r="DE141" s="472" t="n">
        <f aca="false">IF(BD141,EURO(CP141,Strike2,AO141,AO141,CW141,CO141,IF(OptControl=3,1,0),0)-EURO(CP141,Strike2,AO141,AO141,CW141,CO141-1,IF(OptControl=3,1,0),0),0)</f>
        <v>0</v>
      </c>
      <c r="DG141" s="481" t="n">
        <f aca="false">EOMONTH(DG140,0)+1</f>
        <v>49369</v>
      </c>
      <c r="DH141" s="478" t="n">
        <v>20.21</v>
      </c>
      <c r="DI141" s="479" t="n">
        <v>20.2773913043479</v>
      </c>
      <c r="DJ141" s="480" t="n">
        <f aca="false">DG141</f>
        <v>49369</v>
      </c>
      <c r="DK141" s="478" t="n">
        <v>19.0442702424681</v>
      </c>
      <c r="DL141" s="479" t="n">
        <v>19.1088913043479</v>
      </c>
      <c r="DM141" s="481" t="n">
        <f aca="false">DG141</f>
        <v>49369</v>
      </c>
      <c r="DN141" s="482" t="n">
        <f aca="false">DK141+BrentPhyBrentSpread</f>
        <v>19.0942702424681</v>
      </c>
      <c r="DO141" s="481" t="n">
        <f aca="false">DG141</f>
        <v>49369</v>
      </c>
      <c r="DP141" s="483" t="n">
        <f aca="false">DL141+DQ141</f>
        <v>19.1088913043479</v>
      </c>
      <c r="DQ141" s="546" t="n">
        <v>0</v>
      </c>
      <c r="DR141" s="480" t="n">
        <f aca="false">DG141</f>
        <v>49369</v>
      </c>
      <c r="DS141" s="485" t="n">
        <v>0.151999999999999</v>
      </c>
      <c r="DT141" s="486" t="n">
        <v>0.151191304347825</v>
      </c>
      <c r="DU141" s="480" t="n">
        <f aca="false">DG141</f>
        <v>49369</v>
      </c>
      <c r="DV141" s="485" t="n">
        <v>0.151999999999999</v>
      </c>
      <c r="DW141" s="486" t="n">
        <v>0.151191304347825</v>
      </c>
      <c r="DX141" s="481" t="n">
        <f aca="false">DG141</f>
        <v>49369</v>
      </c>
      <c r="DY141" s="486" t="n">
        <v>0.35</v>
      </c>
      <c r="DZ141" s="481" t="n">
        <f aca="false">DR141</f>
        <v>49369</v>
      </c>
      <c r="EA141" s="486" t="n">
        <f aca="false">DT141</f>
        <v>0.151191304347825</v>
      </c>
      <c r="EB141" s="195"/>
      <c r="EC141" s="547" t="str">
        <f aca="false">IF(BD141,IF(Underlying=1,AS141,AU141),"")</f>
        <v/>
      </c>
      <c r="ED141" s="548" t="str">
        <f aca="false">IF($BD141,$EC141+IF(VolSkewFlag=1,IF(BS141&gt;0,$BA141*MIN(BS141/10%,1)+($BB141-$BA141)*MAX(0,MIN(BS141/10%-1,1))+($BC141-$BB141)*MAX(0,BS141/10%-2),$AZ141*MIN(-BS141/10%,1)+($AY141-$AZ141)*MAX(0,MIN(-BS141/10%-1,1))+($AX141-$AY141)*MAX(0,-BS141/10%-2)),0),"")</f>
        <v/>
      </c>
      <c r="EE141" s="549" t="str">
        <f aca="false">IF($BD141,$EC141+IF(VolSkewFlag=1,IF(BT141&gt;0,$BA141*MIN(BT141/10%,1)+($BB141-$BA141)*MAX(0,MIN(BT141/10%-1,1))+($BC141-$BB141)*MAX(0,BT141/10%-2),$AZ141*MIN(-BT141/10%,1)+($AY141-$AZ141)*MAX(0,MIN(-BT141/10%-1,1))+($AX141-$AY141)*MAX(0,-BT141/10%-2)),0),"")</f>
        <v/>
      </c>
      <c r="EF141" s="550" t="n">
        <f aca="false">IF(BD141,xASN(BR141,Strike1,AO141,ED141,0,BO141,0,BI141,BL141,IF(OptControl=4,0,1),0),0)</f>
        <v>0</v>
      </c>
      <c r="EG141" s="551" t="n">
        <f aca="false">IF(BD141,xASN(BR141,Strike2,AO141,EE141,0,BO141,0,BI141,BL141,IF(OptControl=3,1,0),0),0)</f>
        <v>0</v>
      </c>
      <c r="EL141" s="1"/>
      <c r="EM141" s="195"/>
      <c r="EN141" s="240"/>
      <c r="EO141" s="240"/>
      <c r="EP141" s="195"/>
      <c r="EQ141" s="407" t="s">
        <v>368</v>
      </c>
      <c r="ES141" s="130"/>
      <c r="ET141" s="19"/>
      <c r="EU141" s="672"/>
      <c r="EV141" s="478"/>
      <c r="EW141" s="131"/>
      <c r="EX141" s="131"/>
      <c r="EY141" s="129"/>
      <c r="EZ141" s="129"/>
      <c r="FA141" s="129"/>
      <c r="FB141" s="129"/>
      <c r="FC141" s="129"/>
      <c r="FD141" s="129"/>
      <c r="FE141" s="129"/>
      <c r="FF141" s="129"/>
      <c r="FG141" s="129"/>
      <c r="FH141" s="129"/>
      <c r="FI141" s="129"/>
      <c r="FJ141" s="571" t="n">
        <v>47</v>
      </c>
      <c r="FK141" s="150" t="e">
        <f aca="false">IF($FJ66&lt;FK$94,"",SQRT(FK66/FK$15))</f>
        <v>#DIV/0!</v>
      </c>
      <c r="FL141" s="150" t="n">
        <f aca="false">IF($FJ66&lt;FL$94,"",SQRT(FL66/FL$15))</f>
        <v>-0</v>
      </c>
      <c r="FM141" s="150" t="n">
        <f aca="false">IF($FJ66&lt;FM$94,"",SQRT(FM66/FM$15))</f>
        <v>0.170630208098056</v>
      </c>
      <c r="FN141" s="150" t="n">
        <f aca="false">IF($FJ66&lt;FN$94,"",SQRT(FN66/FN$15))</f>
        <v>0.16737118028911</v>
      </c>
      <c r="FO141" s="150" t="n">
        <f aca="false">IF($FJ66&lt;FO$94,"",SQRT(FO66/FO$15))</f>
        <v>0.164935567773492</v>
      </c>
      <c r="FP141" s="150" t="n">
        <f aca="false">IF($FJ66&lt;FP$94,"",SQRT(FP66/FP$15))</f>
        <v>0.163119034742793</v>
      </c>
      <c r="FQ141" s="150" t="n">
        <f aca="false">IF($FJ66&lt;FQ$94,"",SQRT(FQ66/FQ$15))</f>
        <v>0.161768581933257</v>
      </c>
      <c r="FR141" s="150" t="n">
        <f aca="false">IF($FJ66&lt;FR$94,"",SQRT(FR66/FR$15))</f>
        <v>0.160769756382451</v>
      </c>
      <c r="FS141" s="150" t="n">
        <f aca="false">IF($FJ66&lt;FS$94,"",SQRT(FS66/FS$15))</f>
        <v>0.160037066230666</v>
      </c>
      <c r="FT141" s="150" t="n">
        <f aca="false">IF($FJ66&lt;FT$94,"",SQRT(FT66/FT$15))</f>
        <v>0.159506800632862</v>
      </c>
      <c r="FU141" s="150" t="n">
        <f aca="false">IF($FJ66&lt;FU$94,"",SQRT(FU66/FU$15))</f>
        <v>0.159131655071668</v>
      </c>
      <c r="FV141" s="150" t="n">
        <f aca="false">IF($FJ66&lt;FV$94,"",SQRT(FV66/FV$15))</f>
        <v>0.158876712578083</v>
      </c>
      <c r="FW141" s="150" t="n">
        <f aca="false">IF($FJ66&lt;FW$94,"",SQRT(FW66/FW$15))</f>
        <v>0.158716444086625</v>
      </c>
      <c r="FX141" s="150" t="n">
        <f aca="false">IF($FJ66&lt;FX$94,"",SQRT(FX66/FX$15))</f>
        <v>0.158632475763019</v>
      </c>
      <c r="FY141" s="150" t="n">
        <f aca="false">IF($FJ66&lt;FY$94,"",SQRT(FY66/FY$15))</f>
        <v>0.158611934688969</v>
      </c>
      <c r="FZ141" s="150" t="n">
        <f aca="false">IF($FJ66&lt;FZ$94,"",SQRT(FZ66/FZ$15))</f>
        <v>0.158646232057671</v>
      </c>
      <c r="GA141" s="150" t="n">
        <f aca="false">IF($FJ66&lt;GA$94,"",SQRT(GA66/GA$15))</f>
        <v>0.158730178997285</v>
      </c>
      <c r="GB141" s="150" t="n">
        <f aca="false">IF($FJ66&lt;GB$94,"",SQRT(GB66/GB$15))</f>
        <v>0.158861357284585</v>
      </c>
      <c r="GC141" s="150" t="n">
        <f aca="false">IF($FJ66&lt;GC$94,"",SQRT(GC66/GC$15))</f>
        <v>0.159039687788461</v>
      </c>
      <c r="GD141" s="150" t="n">
        <f aca="false">IF($FJ66&lt;GD$94,"",SQRT(GD66/GD$15))</f>
        <v>0.159267155196052</v>
      </c>
      <c r="GE141" s="150" t="n">
        <f aca="false">IF($FJ66&lt;GE$94,"",SQRT(GE66/GE$15))</f>
        <v>0.15954765972038</v>
      </c>
      <c r="GF141" s="150" t="n">
        <f aca="false">IF($FJ66&lt;GF$94,"",SQRT(GF66/GF$15))</f>
        <v>0.159886976067893</v>
      </c>
      <c r="GG141" s="150" t="n">
        <f aca="false">IF($FJ66&lt;GG$94,"",SQRT(GG66/GG$15))</f>
        <v>0.160292807746009</v>
      </c>
      <c r="GH141" s="150" t="n">
        <f aca="false">IF($FJ66&lt;GH$94,"",SQRT(GH66/GH$15))</f>
        <v>0.160774931458875</v>
      </c>
      <c r="GI141" s="150" t="n">
        <f aca="false">IF($FJ66&lt;GI$94,"",SQRT(GI66/GI$15))</f>
        <v>0.161345432432357</v>
      </c>
      <c r="GJ141" s="150" t="n">
        <f aca="false">IF($FJ66&lt;GJ$94,"",SQRT(GJ66/GJ$15))</f>
        <v>0.162019037551216</v>
      </c>
      <c r="GK141" s="150" t="n">
        <f aca="false">IF($FJ66&lt;GK$94,"",SQRT(GK66/GK$15))</f>
        <v>0.162813559727998</v>
      </c>
      <c r="GL141" s="150" t="n">
        <f aca="false">IF($FJ66&lt;GL$94,"",SQRT(GL66/GL$15))</f>
        <v>0.163750474583189</v>
      </c>
      <c r="GM141" s="150" t="n">
        <f aca="false">IF($FJ66&lt;GM$94,"",SQRT(GM66/GM$15))</f>
        <v>0.164855660093189</v>
      </c>
      <c r="GN141" s="150" t="n">
        <f aca="false">IF($FJ66&lt;GN$94,"",SQRT(GN66/GN$15))</f>
        <v>0.166160342427987</v>
      </c>
      <c r="GO141" s="150" t="n">
        <f aca="false">IF($FJ66&lt;GO$94,"",SQRT(GO66/GO$15))</f>
        <v>0.167702308271308</v>
      </c>
      <c r="GP141" s="150" t="n">
        <f aca="false">IF($FJ66&lt;GP$94,"",SQRT(GP66/GP$15))</f>
        <v>0.169527467714679</v>
      </c>
      <c r="GQ141" s="150" t="n">
        <f aca="false">IF($FJ66&lt;GQ$94,"",SQRT(GQ66/GQ$15))</f>
        <v>0.171691885680377</v>
      </c>
      <c r="GR141" s="150" t="n">
        <f aca="false">IF($FJ66&lt;GR$94,"",SQRT(GR66/GR$15))</f>
        <v>0.17426444887365</v>
      </c>
      <c r="GS141" s="150" t="n">
        <f aca="false">IF($FJ66&lt;GS$94,"",SQRT(GS66/GS$15))</f>
        <v>0.177330407489367</v>
      </c>
      <c r="GT141" s="150" t="n">
        <f aca="false">IF($FJ66&lt;GT$94,"",SQRT(GT66/GT$15))</f>
        <v>0.180996139039</v>
      </c>
      <c r="GU141" s="150" t="n">
        <f aca="false">IF($FJ66&lt;GU$94,"",SQRT(GU66/GU$15))</f>
        <v>0.185395646403355</v>
      </c>
      <c r="GV141" s="150" t="n">
        <f aca="false">IF($FJ66&lt;GV$94,"",SQRT(GV66/GV$15))</f>
        <v>0.190699557841376</v>
      </c>
      <c r="GW141" s="150" t="n">
        <f aca="false">IF($FJ66&lt;GW$94,"",SQRT(GW66/GW$15))</f>
        <v>0.197127801308189</v>
      </c>
      <c r="GX141" s="150" t="n">
        <f aca="false">IF($FJ66&lt;GX$94,"",SQRT(GX66/GX$15))</f>
        <v>0.204967779953112</v>
      </c>
      <c r="GY141" s="150" t="n">
        <f aca="false">IF($FJ66&lt;GY$94,"",SQRT(GY66/GY$15))</f>
        <v>0.214600959927335</v>
      </c>
      <c r="GZ141" s="150" t="n">
        <f aca="false">IF($FJ66&lt;GZ$94,"",SQRT(GZ66/GZ$15))</f>
        <v>0.226542625603672</v>
      </c>
      <c r="HA141" s="150" t="n">
        <f aca="false">IF($FJ66&lt;HA$94,"",SQRT(HA66/HA$15))</f>
        <v>0.241502786049824</v>
      </c>
      <c r="HB141" s="150" t="n">
        <f aca="false">IF($FJ66&lt;HB$94,"",SQRT(HB66/HB$15))</f>
        <v>0.260482056904658</v>
      </c>
      <c r="HC141" s="150" t="n">
        <f aca="false">IF($FJ66&lt;HC$94,"",SQRT(HC66/HC$15))</f>
        <v>0.284927299219507</v>
      </c>
      <c r="HD141" s="150" t="n">
        <f aca="false">IF($FJ66&lt;HD$94,"",SQRT(HD66/HD$15))</f>
        <v>0.316993223438804</v>
      </c>
      <c r="HE141" s="150" t="n">
        <f aca="false">IF($FJ66&lt;HE$94,"",SQRT(HE66/HE$15))</f>
        <v>0.360000095458992</v>
      </c>
      <c r="HF141" s="150" t="str">
        <f aca="false">IF($FJ66&lt;HF$94,"",SQRT(HF66/HF$15))</f>
        <v/>
      </c>
      <c r="HG141" s="150" t="str">
        <f aca="false">IF($FJ66&lt;HG$94,"",SQRT(HG66/HG$15))</f>
        <v/>
      </c>
      <c r="HH141" s="150" t="str">
        <f aca="false">IF($FJ66&lt;HH$94,"",SQRT(HH66/HH$15))</f>
        <v/>
      </c>
      <c r="HI141" s="150" t="str">
        <f aca="false">IF($FJ66&lt;HI$94,"",SQRT(HI66/HI$15))</f>
        <v/>
      </c>
      <c r="HJ141" s="150" t="str">
        <f aca="false">IF($FJ66&lt;HJ$94,"",SQRT(HJ66/HJ$15))</f>
        <v/>
      </c>
      <c r="HK141" s="150" t="str">
        <f aca="false">IF($FJ66&lt;HK$94,"",SQRT(HK66/HK$15))</f>
        <v/>
      </c>
      <c r="HL141" s="150" t="str">
        <f aca="false">IF($FJ66&lt;HL$94,"",SQRT(HL66/HL$15))</f>
        <v/>
      </c>
      <c r="HM141" s="150" t="str">
        <f aca="false">IF($FJ66&lt;HM$94,"",SQRT(HM66/HM$15))</f>
        <v/>
      </c>
      <c r="HN141" s="150" t="str">
        <f aca="false">IF($FJ66&lt;HN$94,"",SQRT(HN66/HN$15))</f>
        <v/>
      </c>
      <c r="HO141" s="150" t="str">
        <f aca="false">IF($FJ66&lt;HO$94,"",SQRT(HO66/HO$15))</f>
        <v/>
      </c>
      <c r="HP141" s="150" t="str">
        <f aca="false">IF($FJ66&lt;HP$94,"",SQRT(HP66/HP$15))</f>
        <v/>
      </c>
      <c r="HQ141" s="150" t="str">
        <f aca="false">IF($FJ66&lt;HQ$94,"",SQRT(HQ66/HQ$15))</f>
        <v/>
      </c>
      <c r="HR141" s="150" t="str">
        <f aca="false">IF($FJ66&lt;HR$94,"",SQRT(HR66/HR$15))</f>
        <v/>
      </c>
      <c r="HS141" s="150" t="str">
        <f aca="false">IF($FJ66&lt;HS$94,"",SQRT(HS66/HS$15))</f>
        <v/>
      </c>
      <c r="HT141" s="150" t="str">
        <f aca="false">IF($FJ66&lt;HT$94,"",SQRT(HT66/HT$15))</f>
        <v/>
      </c>
      <c r="HU141" s="150" t="str">
        <f aca="false">IF($FJ66&lt;HU$94,"",SQRT(HU66/HU$15))</f>
        <v/>
      </c>
      <c r="HV141" s="150" t="str">
        <f aca="false">IF($FJ66&lt;HV$94,"",SQRT(HV66/HV$15))</f>
        <v/>
      </c>
      <c r="HW141" s="150" t="str">
        <f aca="false">IF($FJ66&lt;HW$94,"",SQRT(HW66/HW$15))</f>
        <v/>
      </c>
      <c r="HX141" s="150" t="str">
        <f aca="false">IF($FJ66&lt;HX$94,"",SQRT(HX66/HX$15))</f>
        <v/>
      </c>
      <c r="HY141" s="150" t="str">
        <f aca="false">IF($FJ66&lt;HY$94,"",SQRT(HY66/HY$15))</f>
        <v/>
      </c>
      <c r="HZ141" s="150" t="str">
        <f aca="false">IF($FJ66&lt;HZ$94,"",SQRT(HZ66/HZ$15))</f>
        <v/>
      </c>
      <c r="IA141" s="150" t="str">
        <f aca="false">IF($FJ66&lt;IA$94,"",SQRT(IA66/IA$15))</f>
        <v/>
      </c>
      <c r="IB141" s="150" t="str">
        <f aca="false">IF($FJ66&lt;IB$94,"",SQRT(IB66/IB$15))</f>
        <v/>
      </c>
      <c r="IC141" s="150" t="str">
        <f aca="false">IF($FJ66&lt;IC$94,"",SQRT(IC66/IC$15))</f>
        <v/>
      </c>
      <c r="ID141" s="572" t="str">
        <f aca="false">IF($FJ66&lt;ID$94,"",SQRT(ID66/ID$15))</f>
        <v/>
      </c>
      <c r="IE141" s="129"/>
    </row>
    <row r="142" customFormat="false" ht="12.75" hidden="false" customHeight="false" outlineLevel="0" collapsed="false">
      <c r="H142" s="219" t="n">
        <f aca="false">VLOOKUP(I142,$EJ$20:$EL$54,3)</f>
        <v>0</v>
      </c>
      <c r="I142" s="511" t="n">
        <f aca="false">EOMONTH(I141,0)+1</f>
        <v>40483</v>
      </c>
      <c r="J142" s="512"/>
      <c r="K142" s="513" t="s">
        <v>280</v>
      </c>
      <c r="L142" s="514" t="n">
        <f aca="false">IF(ISNUMBER(K142),J142+K142/100,IF(K142="extra",L141+VLOOKUP(BF142,PriceSpreadTable,2)/12,IF(K142="inter",interpolateprices($K$19:$L$200,ROW(K142)-ROW(FirstPricingMonth)+1),interpolatechanges($J$19:$K$200,ROW(K142)-ROW(FirstPricingMonth)+1))))</f>
        <v>1.725</v>
      </c>
      <c r="M142" s="515"/>
      <c r="N142" s="516" t="n">
        <v>0</v>
      </c>
      <c r="O142" s="515" t="n">
        <f aca="false">M142+N142</f>
        <v>0</v>
      </c>
      <c r="P142" s="512"/>
      <c r="Q142" s="513" t="s">
        <v>280</v>
      </c>
      <c r="R142" s="512" t="e">
        <f aca="false">IF(ISNUMBER(Q142),P142+Q142/100,IF(Q142="extra",(Z140*AL140-R141*AM140)/AN140,IF(Q142="inter",interpolateprices($Q$19:$R$260,ROW(Q142)-ROW(FirstPricingMonth)+1),interpolatechanges($P$19:$Q$260,ROW(Q142)-ROW(FirstPricingMonth)+1))))</f>
        <v>#VALUE!</v>
      </c>
      <c r="S142" s="597" t="n">
        <f aca="false">S$19+(S141-S$19)*S$18</f>
        <v>0.36</v>
      </c>
      <c r="T142" s="575" t="n">
        <f aca="false">SQRT((1-(1-T141^2/U141)*T$18)*U142)</f>
        <v>0.999999999437201</v>
      </c>
      <c r="U142" s="576" t="n">
        <f aca="false">1-(1-U141)*U$18</f>
        <v>1</v>
      </c>
      <c r="V142" s="521" t="n">
        <v>0</v>
      </c>
      <c r="W142" s="577" t="n">
        <f aca="false">(J143*AJ142+J144*AK142)/AI142</f>
        <v>0</v>
      </c>
      <c r="X142" s="578" t="n">
        <f aca="false">(L143*AJ142+L144*AK142)/AI142</f>
        <v>1.77443181818182</v>
      </c>
      <c r="Y142" s="579" t="n">
        <f aca="false">IF(Q144="extra",W142-AA142,(P143*AM142+P144*AN142)/AL142)</f>
        <v>-1.1931</v>
      </c>
      <c r="Z142" s="579" t="n">
        <f aca="false">IF(Q144="extra",X142-AB142,(R143*AM142+R144*AN142)/AL142)</f>
        <v>0.58133181818182</v>
      </c>
      <c r="AA142" s="523" t="n">
        <f aca="false">IF(Q144="extra",INDEX(BrentSeasonalityTable,INT((BG142-1)/3)+1)*VLOOKUP(MAX(BF142,$AB$4),PriceSpreadTable,3),W142-Y142)</f>
        <v>1.1931</v>
      </c>
      <c r="AB142" s="524" t="n">
        <f aca="false">IF(Q144="extra",INDEX(BrentSeasonalityTable,INT((BG142-1)/3)+1)*VLOOKUP(MAX(BF142,$AB$4),PriceSpreadTable,3),X142-Z142)</f>
        <v>1.1931</v>
      </c>
      <c r="AC142" s="646" t="n">
        <v>40471</v>
      </c>
      <c r="AD142" s="646" t="n">
        <v>40467</v>
      </c>
      <c r="AE142" s="646" t="n">
        <v>40466</v>
      </c>
      <c r="AF142" s="646" t="n">
        <v>40462</v>
      </c>
      <c r="AG142" s="438" t="s">
        <v>278</v>
      </c>
      <c r="AH142" s="439" t="s">
        <v>278</v>
      </c>
      <c r="AI142" s="528" t="n">
        <v>22</v>
      </c>
      <c r="AJ142" s="529" t="n">
        <v>15</v>
      </c>
      <c r="AK142" s="529" t="n">
        <v>7</v>
      </c>
      <c r="AL142" s="530" t="n">
        <v>22</v>
      </c>
      <c r="AM142" s="529" t="n">
        <v>10</v>
      </c>
      <c r="AN142" s="531" t="n">
        <v>12</v>
      </c>
      <c r="AO142" s="532"/>
      <c r="AP142" s="465" t="n">
        <f aca="false">(1+AO142/2)^(-2*BL142)</f>
        <v>1</v>
      </c>
      <c r="AQ142" s="532"/>
      <c r="AR142" s="465" t="n">
        <f aca="false">(1+AQ142/2)^(-2*BH142/365.25)</f>
        <v>1</v>
      </c>
      <c r="AS142" s="580" t="n">
        <f aca="false">(O143*AJ142+O144*AK142)/AI142</f>
        <v>0</v>
      </c>
      <c r="AT142" s="468" t="n">
        <f aca="false">O142*VLOOKUP(BF142,BrentVolTable,2)+VLOOKUP(BF142,BrentVolTable,3)</f>
        <v>0</v>
      </c>
      <c r="AU142" s="468" t="n">
        <f aca="false">(AT143*AM142+AT144*AN142)/AL142</f>
        <v>0</v>
      </c>
      <c r="AV142" s="595" t="n">
        <f aca="false">SQRT(MAX(0.000000000001,(O142^2*BH142-S142^2*(BH142-BH141))/BH141))</f>
        <v>0.0266168144317765</v>
      </c>
      <c r="AW142" s="451" t="n">
        <f aca="false">IF($I142-DateToday+15&gt;=$T$8,"",IF($I142-DateToday+15&lt;$T$5,1,MATCH($I142-DateToday+15,$T$5:$T$8)))</f>
        <v>1</v>
      </c>
      <c r="AX142" s="468" t="n">
        <f aca="false">IF($AW142="",AX141^2/AX140,INDEX(U$5:U$8,$AW142)^((INDEX($T$5:$T$8,$AW142+1)-($I142-DateToday+15))/(INDEX($T$5:$T$8,$AW142+1)-INDEX($T$5:$T$8,$AW142)))/INDEX(U$5:U$8,$AW142+1)^((INDEX($T$5:$T$8,$AW142)-($I142-DateToday+15))/(INDEX($T$5:$T$8,$AW142+1)-INDEX($T$5:$T$8,$AW142))))</f>
        <v>0.924682316243133</v>
      </c>
      <c r="AY142" s="468" t="n">
        <f aca="false">IF($AW142="",AY141^2/AY140,INDEX(V$5:V$8,$AW142)^((INDEX($T$5:$T$8,$AW142+1)-($I142-DateToday+15))/(INDEX($T$5:$T$8,$AW142+1)-INDEX($T$5:$T$8,$AW142)))/INDEX(V$5:V$8,$AW142+1)^((INDEX($T$5:$T$8,$AW142)-($I142-DateToday+15))/(INDEX($T$5:$T$8,$AW142+1)-INDEX($T$5:$T$8,$AW142))))</f>
        <v>30.5736276642436</v>
      </c>
      <c r="AZ142" s="468" t="n">
        <f aca="false">IF($AW142="",AZ141^2/AZ140,INDEX(W$5:W$8,$AW142)^((INDEX($T$5:$T$8,$AW142+1)-($I142-DateToday+15))/(INDEX($T$5:$T$8,$AW142+1)-INDEX($T$5:$T$8,$AW142)))/INDEX(W$5:W$8,$AW142+1)^((INDEX($T$5:$T$8,$AW142)-($I142-DateToday+15))/(INDEX($T$5:$T$8,$AW142+1)-INDEX($T$5:$T$8,$AW142))))</f>
        <v>30658.8028140179</v>
      </c>
      <c r="BA142" s="468" t="n">
        <f aca="false">IF($AW142="",BA141^2/BA140,INDEX(X$5:X$8,$AW142)^((INDEX($T$5:$T$8,$AW142+1)-($I142-DateToday+15))/(INDEX($T$5:$T$8,$AW142+1)-INDEX($T$5:$T$8,$AW142)))/INDEX(X$5:X$8,$AW142+1)^((INDEX($T$5:$T$8,$AW142)-($I142-DateToday+15))/(INDEX($T$5:$T$8,$AW142+1)-INDEX($T$5:$T$8,$AW142))))</f>
        <v>295308.88332612</v>
      </c>
      <c r="BB142" s="468" t="n">
        <f aca="false">IF($AW142="",BB141^2/BB140,INDEX(Y$5:Y$8,$AW142)^((INDEX($T$5:$T$8,$AW142+1)-($I142-DateToday+15))/(INDEX($T$5:$T$8,$AW142+1)-INDEX($T$5:$T$8,$AW142)))/INDEX(Y$5:Y$8,$AW142+1)^((INDEX($T$5:$T$8,$AW142)-($I142-DateToday+15))/(INDEX($T$5:$T$8,$AW142+1)-INDEX($T$5:$T$8,$AW142))))</f>
        <v>2440127.44270807</v>
      </c>
      <c r="BC142" s="468" t="n">
        <f aca="false">IF($AW142="",BC141^2/BC140,INDEX(Z$5:Z$8,$AW142)^((INDEX($T$5:$T$8,$AW142+1)-($I142-DateToday+15))/(INDEX($T$5:$T$8,$AW142+1)-INDEX($T$5:$T$8,$AW142)))/INDEX(Z$5:Z$8,$AW142+1)^((INDEX($T$5:$T$8,$AW142)-($I142-DateToday+15))/(INDEX($T$5:$T$8,$AW142+1)-INDEX($T$5:$T$8,$AW142))))</f>
        <v>8744360.74868761</v>
      </c>
      <c r="BD142" s="535" t="n">
        <f aca="false">IF(OR(DateStart&gt;=I143,DateEnd&lt;I142),0,IF(VolumeOverrideFlag,V142,Volume))</f>
        <v>0</v>
      </c>
      <c r="BE142" s="536" t="n">
        <f aca="false">IF(OR(DateStart2&gt;=I143,DateEnd2&lt;I142),0,IF(VolumeOverrideFlag,V142,VolumeSwaption))</f>
        <v>0</v>
      </c>
      <c r="BF142" s="537" t="n">
        <f aca="false">YEAR(I142)</f>
        <v>2010</v>
      </c>
      <c r="BG142" s="538" t="n">
        <f aca="false">MONTH(I142)</f>
        <v>11</v>
      </c>
      <c r="BH142" s="539" t="n">
        <f aca="false">AD142-DateToday+1</f>
        <v>-5458</v>
      </c>
      <c r="BI142" s="540" t="n">
        <f aca="false">(I142-DateToday+1)/365.25</f>
        <v>-14.8993839835729</v>
      </c>
      <c r="BJ142" s="541" t="n">
        <f aca="false">BI142+(BL142-BI142)*CHOOSE(Underlying,AJ142/AI142,AM142/AL142)</f>
        <v>-14.8452492066455</v>
      </c>
      <c r="BK142" s="541" t="n">
        <f aca="false">BJ142+1/365.25</f>
        <v>-14.8425113558584</v>
      </c>
      <c r="BL142" s="541" t="n">
        <f aca="false">(I143-DateToday)/365.25</f>
        <v>-14.8199863107461</v>
      </c>
      <c r="BM142" s="542" t="e">
        <f aca="false">MAX(BI142-(BJ142-BI142)*(S143^2/O143^2-1),0)</f>
        <v>#DIV/0!</v>
      </c>
      <c r="BN142" s="541" t="e">
        <f aca="false">MAX(BL142+(BL142-BK142)*(S144^2/O144^2-1),0)</f>
        <v>#DIV/0!</v>
      </c>
      <c r="BO142" s="530" t="n">
        <f aca="false">CHOOSE(Underlying,AI142,AL142)</f>
        <v>22</v>
      </c>
      <c r="BP142" s="529" t="n">
        <f aca="false">CHOOSE(Underlying,AJ142,AM142)</f>
        <v>15</v>
      </c>
      <c r="BQ142" s="529" t="n">
        <f aca="false">CHOOSE(Underlying,AK142,AN142)</f>
        <v>7</v>
      </c>
      <c r="BR142" s="463" t="str">
        <f aca="false">IF(BD142,IF(Underlying=1,X142,Z142)+UnderlyingPriceAsian-SwapPriceCurve,"")</f>
        <v/>
      </c>
      <c r="BS142" s="463" t="str">
        <f aca="false">IF(BD142,Strike1/BR142-1,"")</f>
        <v/>
      </c>
      <c r="BT142" s="464" t="str">
        <f aca="false">IF(BD142,Strike2/BR142-1,"")</f>
        <v/>
      </c>
      <c r="BU142" s="465" t="str">
        <f aca="false">IF(BD142,IF(Underlying=1,L143,R143)+UnderlyingPriceAsian-SwapPriceCurve,"")</f>
        <v/>
      </c>
      <c r="BV142" s="465" t="str">
        <f aca="false">IF(BD142,IF(Underlying=1,L144,R144)+UnderlyingPriceAsian-SwapPriceCurve,"")</f>
        <v/>
      </c>
      <c r="BW142" s="466" t="str">
        <f aca="false">IF(BD142,IF(Underlying=1,O143,AT143),"")</f>
        <v/>
      </c>
      <c r="BX142" s="467" t="str">
        <f aca="false">IF(BD142,IF(Underlying=1,O144,AT144),"")</f>
        <v/>
      </c>
      <c r="BY142" s="466" t="str">
        <f aca="false">IF(BD142,IF(BS142&gt;0,IF(BS142&gt;0.2,BC142-BB142,IF(BS142&gt;0.1,BB142-BA142,BA142)),IF(BS142&lt;-0.2,AX142-AY142,IF(BS142&lt;-0.1,AY142-AZ142,AZ142))),"")</f>
        <v/>
      </c>
      <c r="BZ142" s="467" t="str">
        <f aca="false">IF(BD142,IF(BT142&gt;0,IF(BT142&gt;0.2,BC142-BB142,IF(BT142&gt;0.1,BB142-BA142,BA142)),IF(BT142&lt;-0.2,AX142-AY142,IF(BT142&lt;-0.1,AY142-AZ142,AZ142))),"")</f>
        <v/>
      </c>
      <c r="CA142" s="468" t="str">
        <f aca="false">IF($BD142,$BW142+IF(VolSkewFlag=1,IF(BS142&gt;0,$BA142*MIN(BS142/10%,1)+($BB142-$BA142)*MAX(0,MIN(BS142/10%-1,1))+($BC142-$BB142)*MAX(0,BS142/10%-2),$AZ142*MIN(-BS142/10%,1)+($AY142-$AZ142)*MAX(0,MIN(-BS142/10%-1,1))+($AX142-$AY142)*MAX(0,-BS142/10%-2)),0),"")</f>
        <v/>
      </c>
      <c r="CB142" s="468" t="str">
        <f aca="false">IF($BD142,$BX142+IF(VolSkewFlag=1,IF(BS142&gt;0,$BA142*MIN(BS142/10%,1)+($BB142-$BA142)*MAX(0,MIN(BS142/10%-1,1))+($BC142-$BB142)*MAX(0,BS142/10%-2),$AZ142*MIN(-BS142/10%,1)+($AY142-$AZ142)*MAX(0,MIN(-BS142/10%-1,1))+($AX142-$AY142)*MAX(0,-BS142/10%-2)),0),"")</f>
        <v/>
      </c>
      <c r="CC142" s="468" t="str">
        <f aca="false">IF($BD142,$BW142+IF(VolSkewFlag=1,IF(BT142&gt;0,$BA142*MIN(BT142/10%,1)+($BB142-$BA142)*MAX(0,MIN(BT142/10%-1,1))+($BC142-$BB142)*MAX(0,BT142/10%-2),$AZ142*MIN(-BT142/10%,1)+($AY142-$AZ142)*MAX(0,MIN(-BT142/10%-1,1))+($AX142-$AY142)*MAX(0,-BT142/10%-2)),0),"")</f>
        <v/>
      </c>
      <c r="CD142" s="468" t="str">
        <f aca="false">IF($BD142,$BX142+IF(VolSkewFlag=1,IF(BT142&gt;0,$BA142*MIN(BT142/10%,1)+($BB142-$BA142)*MAX(0,MIN(BT142/10%-1,1))+($BC142-$BB142)*MAX(0,BT142/10%-2),$AZ142*MIN(-BT142/10%,1)+($AY142-$AZ142)*MAX(0,MIN(-BT142/10%-1,1))+($AX142-$AY142)*MAX(0,-BT142/10%-2)),0),"")</f>
        <v/>
      </c>
      <c r="CE142" s="469" t="n">
        <v>1</v>
      </c>
      <c r="CF142" s="470" t="n">
        <f aca="false">IF(BD142,xCrudeAPO(BU142,BV142,CA142,CB142,S143,S144,BI142,BL142,BP142,BQ142,0,Strike1,AO142,CE142,0,BL142,IF(OptControl=4,0,1),0,1),0)</f>
        <v>0</v>
      </c>
      <c r="CG142" s="470" t="n">
        <f aca="false">IF(BD142,xCrudeAPO(BU142,BV142,CA142,CB142,S143,S144,BI142,BL142,BP142,BQ142,0,Strike1,AO142,CE142,0,BL142,IF(OptControl=4,0,1),1,1)+xCrudeAPO(BU142,BV142,CA142,CB142,S143,S144,BI142,BL142,BP142,BQ142,0,Strike1,AO142,CE142,0,BL142,IF(OptControl=4,0,1),1,2)+IF(OR(VolSkewFlag=2,ABS(BS142)&lt;0.0001),0,IF(BS142&gt;0,-1,1)*CH142*Strike1/BR142^2*BY142/10%),0)</f>
        <v>0</v>
      </c>
      <c r="CH142" s="470" t="n">
        <f aca="false">IF(BD142,(xCrudeAPO(BU142,BV142,CA142,CB142,S143,S144,BI142,BL142,BP142,BQ142,0,Strike1,AO142,CE142,0,BL142,IF(OptControl=4,0,1),3,1)+xCrudeAPO(BU142,BV142,CA142,CB142,S143,S144,BI142,BL142,BP142,BQ142,0,Strike1,AO142,CE142,0,BL142,IF(OptControl=4,0,1),3,2))/100,0)</f>
        <v>0</v>
      </c>
      <c r="CI142" s="470" t="n">
        <f aca="false">IF(BD142,xCrudeAPO(BU142,BV142,CA142,CB142,S143,S144,BI142-DaysForThetaCalculation/365.25,BL142-DaysForThetaCalculation/365.25,BP142,BQ142,0,Strike1,AO142,CE142,0,BL142,IF(OptControl=4,0,1),0,1)-xCrudeAPO(BU142,BV142,CA142,CB142,S143,S144,BI142,BL142,BP142,BQ142,0,Strike1,AO142,CE142,0,BL142,IF(OptControl=4,0,1),0,1),0)</f>
        <v>0</v>
      </c>
      <c r="CJ142" s="471" t="n">
        <f aca="false">IF(BD142,xCrudeAPO(BU142,BV142,CC142,CD142,S143,S144,BI142,BL142,BP142,BQ142,0,Strike2,AO142,CE142,0,BL142,IF(OptControl=3,1,0),0,1),0)</f>
        <v>0</v>
      </c>
      <c r="CK142" s="470" t="n">
        <f aca="false">IF(BD142,xCrudeAPO(BU142,BV142,CC142,CD142,S143,S144,BI142,BL142,BP142,BQ142,0,Strike2,AO142,CE142,0,BL142,IF(OptControl=3,1,0),1,1)+xCrudeAPO(BU142,BV142,CC142,CD142,S143,S144,BI142,BL142,BP142,BQ142,0,Strike2,AO142,CE142,0,BL142,IF(OptControl=3,1,0),1,2)+IF(OR(VolSkewFlag=2,ABS(BT142)&lt;0.0001),0,IF(BT142&gt;0,-1,1)*CL142*Strike2/BR142^2*BZ142/10%),0)</f>
        <v>0</v>
      </c>
      <c r="CL142" s="470" t="n">
        <f aca="false">IF(BD142,(xCrudeAPO(BU142,BV142,CC142,CD142,S143,S144,BI142,BL142,BP142,BQ142,0,Strike2,AO142,CE142,0,BL142,IF(OptControl=3,1,0),3,1)+xCrudeAPO(BU142,BV142,CC142,CD142,S143,S144,BI142,BL142,BP142,BQ142,0,Strike2,AO142,CE142,0,BL142,IF(OptControl=3,1,0),3,2))/100,0)</f>
        <v>0</v>
      </c>
      <c r="CM142" s="472" t="n">
        <f aca="false">IF(BD142,xCrudeAPO(BU142,BV142,CC142,CD142,S143,S144,BI142-DaysForThetaCalculation/365.25,BL142-DaysForThetaCalculation/365.25,BP142,BQ142,0,Strike2,AO142,CE142,0,BL142,IF(OptControl=3,1,0),0,1)-xCrudeAPO(BU142,BV142,CC142,CD142,S143,S144,BI142,BL142,BP142,BQ142,0,Strike2,AO142,CE142,0,BL142,IF(OptControl=3,1,0),0,1),0)</f>
        <v>0</v>
      </c>
      <c r="CN142" s="3"/>
      <c r="CO142" s="543" t="str">
        <f aca="false">IF(BD142,CHOOSE(Underlying,AD142,AF142)-DateToday+1,"")</f>
        <v/>
      </c>
      <c r="CP142" s="582" t="str">
        <f aca="false">IF(BD142,CHOOSE(Underlying,L142,R142),"")</f>
        <v/>
      </c>
      <c r="CQ142" s="544" t="str">
        <f aca="false">IF(BD142,Strike1/CP142-1,"")</f>
        <v/>
      </c>
      <c r="CR142" s="544" t="str">
        <f aca="false">IF(BD142,Strike2/CP142-1,"")</f>
        <v/>
      </c>
      <c r="CS142" s="544" t="str">
        <f aca="false">IF(BD142,IF(CQ142&gt;0,IF(CQ142&gt;0.2,BC141-BB141,IF(CQ142&gt;0.1,BB141-BA141,BA141)),IF(CQ142&lt;-0.2,AX141-AY141,IF(CQ142&lt;-0.1,AY141-AZ141,AZ141))),"")</f>
        <v/>
      </c>
      <c r="CT142" s="544" t="str">
        <f aca="false">IF(BD142,IF(CR142&gt;0,IF(CR142&gt;0.2,BC141-BB141,IF(CR142&gt;0.1,BB141-BA141,BA141)),IF(CR142&lt;-0.2,AX141-AY141,IF(CR142&lt;-0.1,AY141-AZ141,AZ141))),"")</f>
        <v/>
      </c>
      <c r="CU142" s="545" t="str">
        <f aca="false">IF(BD142,CHOOSE(Underlying,O142,AT142),"")</f>
        <v/>
      </c>
      <c r="CV142" s="545" t="str">
        <f aca="false">IF(BD142,CU142+IF(VolSkewFlag=1,IF(CQ142&gt;0,BA141*MIN(CQ142/10%,1)+(BB141-BA141)*MAX(0,MIN(CQ142/10%-1,1))+(BC141-BB141)*MAX(0,CQ142/10%-2),AZ141*MIN(-CQ142/10%,1)+(AY141-AZ141)*MAX(0,MIN(-CQ142/10%-1,1))+(AX141-AY141)*MAX(0,-CQ142/10%-2)),0),"")</f>
        <v/>
      </c>
      <c r="CW142" s="545" t="str">
        <f aca="false">IF(BD142,CU142+IF(VolSkewFlag=1,IF(CR142&gt;0,BA141*MIN(CR142/10%,1)+(BB141-BA141)*MAX(0,MIN(CR142/10%-1,1))+(BC141-BB141)*MAX(0,CR142/10%-2),AZ141*MIN(-CR142/10%,1)+(AY141-AZ141)*MAX(0,MIN(-CR142/10%-1,1))+(AX141-AY141)*MAX(0,-CR142/10%-2)),0),"")</f>
        <v/>
      </c>
      <c r="CX142" s="470" t="n">
        <f aca="false">IF(BD142,EURO(CP142,Strike1,AO142,AO142,CV142,CO142,IF(OptControl=4,0,1),0),0)</f>
        <v>0</v>
      </c>
      <c r="CY142" s="470" t="n">
        <f aca="false">IF(BD142,EURO(CP142,Strike1,AO142,AO142,CV142,CO142,IF(OptControl=4,0,1),1)+IF(OR(VolSkewFlag=2,ABS(CQ142)&lt;0.0001),0,IF(CQ142&gt;0,-1,1)*CZ142*100*Strike1/CP142^2*CS142/10%),0)</f>
        <v>0</v>
      </c>
      <c r="CZ142" s="470" t="n">
        <f aca="false">IF(BD142,EURO(CP142,Strike1,AO142,AO142,CV142,CO142,IF(OptControl=4,0,1),3)/100,0)</f>
        <v>0</v>
      </c>
      <c r="DA142" s="470" t="n">
        <f aca="false">IF(BD142,EURO(CP142,Strike1,AO142,AO142,CV142,CO142,IF(OptControl=4,0,1),0)-EURO(CP142,Strike1,AO142,AO142,CV142,CO142-1,IF(OptControl=4,0,1),0),0)</f>
        <v>0</v>
      </c>
      <c r="DB142" s="470" t="n">
        <f aca="false">IF(BD142,EURO(CP142,Strike2,AO142,AO142,CW142,CO142,IF(OptControl=3,1,0),0),0)</f>
        <v>0</v>
      </c>
      <c r="DC142" s="470" t="n">
        <f aca="false">IF(BD142,EURO(CP142,Strike2,AO142,AO142,CW142,CO142,IF(OptControl=3,1,0),1)+IF(OR(VolSkewFlag=2,ABS(CR142)&lt;0.0001),0,IF(CR142&gt;0,-1,1)*DD142*100*Strike2/CP142^2*CT142/10%),0)</f>
        <v>0</v>
      </c>
      <c r="DD142" s="470" t="n">
        <f aca="false">IF(BD142,EURO(CP142,Strike2,AO142,AO142,CW142,CO142,IF(OptControl=3,1,0),3)/100,0)</f>
        <v>0</v>
      </c>
      <c r="DE142" s="472" t="n">
        <f aca="false">IF(BD142,EURO(CP142,Strike2,AO142,AO142,CW142,CO142,IF(OptControl=3,1,0),0)-EURO(CP142,Strike2,AO142,AO142,CW142,CO142-1,IF(OptControl=3,1,0),0),0)</f>
        <v>0</v>
      </c>
      <c r="DG142" s="481" t="n">
        <f aca="false">EOMONTH(DG141,0)+1</f>
        <v>49400</v>
      </c>
      <c r="DH142" s="478" t="n">
        <v>20.26</v>
      </c>
      <c r="DI142" s="479" t="n">
        <v>20.3281818181819</v>
      </c>
      <c r="DJ142" s="480" t="n">
        <f aca="false">DG142</f>
        <v>49400</v>
      </c>
      <c r="DK142" s="478" t="n">
        <v>19.063729757532</v>
      </c>
      <c r="DL142" s="479" t="n">
        <v>19.0366818181819</v>
      </c>
      <c r="DM142" s="481" t="n">
        <f aca="false">DG142</f>
        <v>49400</v>
      </c>
      <c r="DN142" s="482" t="n">
        <f aca="false">DK142+BrentPhyBrentSpread</f>
        <v>19.113729757532</v>
      </c>
      <c r="DO142" s="481" t="n">
        <f aca="false">DG142</f>
        <v>49400</v>
      </c>
      <c r="DP142" s="483" t="n">
        <f aca="false">DL142+DQ142</f>
        <v>19.0366818181819</v>
      </c>
      <c r="DQ142" s="546" t="n">
        <v>0</v>
      </c>
      <c r="DR142" s="480" t="n">
        <f aca="false">DG142</f>
        <v>49400</v>
      </c>
      <c r="DS142" s="485" t="n">
        <v>0.151399999999999</v>
      </c>
      <c r="DT142" s="486" t="n">
        <v>0.150581818181817</v>
      </c>
      <c r="DU142" s="480" t="n">
        <f aca="false">DG142</f>
        <v>49400</v>
      </c>
      <c r="DV142" s="485" t="n">
        <v>0.151399999999999</v>
      </c>
      <c r="DW142" s="486" t="n">
        <v>0.150581818181817</v>
      </c>
      <c r="DX142" s="481" t="n">
        <f aca="false">DG142</f>
        <v>49400</v>
      </c>
      <c r="DY142" s="486" t="n">
        <v>0.35</v>
      </c>
      <c r="DZ142" s="481" t="n">
        <f aca="false">DR142</f>
        <v>49400</v>
      </c>
      <c r="EA142" s="486" t="n">
        <f aca="false">DT142</f>
        <v>0.150581818181817</v>
      </c>
      <c r="EB142" s="195"/>
      <c r="EC142" s="547" t="str">
        <f aca="false">IF(BD142,IF(Underlying=1,AS142,AU142),"")</f>
        <v/>
      </c>
      <c r="ED142" s="548" t="str">
        <f aca="false">IF($BD142,$EC142+IF(VolSkewFlag=1,IF(BS142&gt;0,$BA142*MIN(BS142/10%,1)+($BB142-$BA142)*MAX(0,MIN(BS142/10%-1,1))+($BC142-$BB142)*MAX(0,BS142/10%-2),$AZ142*MIN(-BS142/10%,1)+($AY142-$AZ142)*MAX(0,MIN(-BS142/10%-1,1))+($AX142-$AY142)*MAX(0,-BS142/10%-2)),0),"")</f>
        <v/>
      </c>
      <c r="EE142" s="549" t="str">
        <f aca="false">IF($BD142,$EC142+IF(VolSkewFlag=1,IF(BT142&gt;0,$BA142*MIN(BT142/10%,1)+($BB142-$BA142)*MAX(0,MIN(BT142/10%-1,1))+($BC142-$BB142)*MAX(0,BT142/10%-2),$AZ142*MIN(-BT142/10%,1)+($AY142-$AZ142)*MAX(0,MIN(-BT142/10%-1,1))+($AX142-$AY142)*MAX(0,-BT142/10%-2)),0),"")</f>
        <v/>
      </c>
      <c r="EF142" s="550" t="n">
        <f aca="false">IF(BD142,xASN(BR142,Strike1,AO142,ED142,0,BO142,0,BI142,BL142,IF(OptControl=4,0,1),0),0)</f>
        <v>0</v>
      </c>
      <c r="EG142" s="551" t="n">
        <f aca="false">IF(BD142,xASN(BR142,Strike2,AO142,EE142,0,BO142,0,BI142,BL142,IF(OptControl=3,1,0),0),0)</f>
        <v>0</v>
      </c>
      <c r="EL142" s="1"/>
      <c r="EM142" s="195"/>
      <c r="EN142" s="240"/>
      <c r="EO142" s="240"/>
      <c r="EP142" s="195"/>
      <c r="EQ142" s="407" t="s">
        <v>369</v>
      </c>
      <c r="ES142" s="130"/>
      <c r="ET142" s="19"/>
      <c r="EU142" s="672"/>
      <c r="EV142" s="478"/>
      <c r="EW142" s="131"/>
      <c r="EX142" s="131"/>
      <c r="EY142" s="129"/>
      <c r="EZ142" s="129"/>
      <c r="FA142" s="129"/>
      <c r="FB142" s="129"/>
      <c r="FC142" s="129"/>
      <c r="FD142" s="129"/>
      <c r="FE142" s="129"/>
      <c r="FF142" s="129"/>
      <c r="FG142" s="129"/>
      <c r="FH142" s="129"/>
      <c r="FI142" s="129"/>
      <c r="FJ142" s="571" t="n">
        <v>48</v>
      </c>
      <c r="FK142" s="150" t="e">
        <f aca="false">IF($FJ67&lt;FK$94,"",SQRT(FK67/FK$15))</f>
        <v>#DIV/0!</v>
      </c>
      <c r="FL142" s="150" t="n">
        <f aca="false">IF($FJ67&lt;FL$94,"",SQRT(FL67/FL$15))</f>
        <v>-0</v>
      </c>
      <c r="FM142" s="150" t="n">
        <f aca="false">IF($FJ67&lt;FM$94,"",SQRT(FM67/FM$15))</f>
        <v>0.1706107510475</v>
      </c>
      <c r="FN142" s="150" t="n">
        <f aca="false">IF($FJ67&lt;FN$94,"",SQRT(FN67/FN$15))</f>
        <v>0.167348857942324</v>
      </c>
      <c r="FO142" s="150" t="n">
        <f aca="false">IF($FJ67&lt;FO$94,"",SQRT(FO67/FO$15))</f>
        <v>0.164909839402505</v>
      </c>
      <c r="FP142" s="150" t="n">
        <f aca="false">IF($FJ67&lt;FP$94,"",SQRT(FP67/FP$15))</f>
        <v>0.163089274104386</v>
      </c>
      <c r="FQ142" s="150" t="n">
        <f aca="false">IF($FJ67&lt;FQ$94,"",SQRT(FQ67/FQ$15))</f>
        <v>0.161734061806297</v>
      </c>
      <c r="FR142" s="150" t="n">
        <f aca="false">IF($FJ67&lt;FR$94,"",SQRT(FR67/FR$15))</f>
        <v>0.16072963052693</v>
      </c>
      <c r="FS142" s="150" t="n">
        <f aca="false">IF($FJ67&lt;FS$94,"",SQRT(FS67/FS$15))</f>
        <v>0.159990348298481</v>
      </c>
      <c r="FT142" s="150" t="n">
        <f aca="false">IF($FJ67&lt;FT$94,"",SQRT(FT67/FT$15))</f>
        <v>0.159452339474576</v>
      </c>
      <c r="FU142" s="150" t="n">
        <f aca="false">IF($FJ67&lt;FU$94,"",SQRT(FU67/FU$15))</f>
        <v>0.159068105780144</v>
      </c>
      <c r="FV142" s="150" t="n">
        <f aca="false">IF($FJ67&lt;FV$94,"",SQRT(FV67/FV$15))</f>
        <v>0.158802502484909</v>
      </c>
      <c r="FW142" s="150" t="n">
        <f aca="false">IF($FJ67&lt;FW$94,"",SQRT(FW67/FW$15))</f>
        <v>0.158629732775644</v>
      </c>
      <c r="FX142" s="150" t="n">
        <f aca="false">IF($FJ67&lt;FX$94,"",SQRT(FX67/FX$15))</f>
        <v>0.158531107980406</v>
      </c>
      <c r="FY142" s="150" t="n">
        <f aca="false">IF($FJ67&lt;FY$94,"",SQRT(FY67/FY$15))</f>
        <v>0.158493384802801</v>
      </c>
      <c r="FZ142" s="150" t="n">
        <f aca="false">IF($FJ67&lt;FZ$94,"",SQRT(FZ67/FZ$15))</f>
        <v>0.158507538440861</v>
      </c>
      <c r="GA142" s="150" t="n">
        <f aca="false">IF($FJ67&lt;GA$94,"",SQRT(GA67/GA$15))</f>
        <v>0.158567866361788</v>
      </c>
      <c r="GB142" s="150" t="n">
        <f aca="false">IF($FJ67&lt;GB$94,"",SQRT(GB67/GB$15))</f>
        <v>0.158671344563076</v>
      </c>
      <c r="GC142" s="150" t="n">
        <f aca="false">IF($FJ67&lt;GC$94,"",SQRT(GC67/GC$15))</f>
        <v>0.1588171786172</v>
      </c>
      <c r="GD142" s="150" t="n">
        <f aca="false">IF($FJ67&lt;GD$94,"",SQRT(GD67/GD$15))</f>
        <v>0.159006507365872</v>
      </c>
      <c r="GE142" s="150" t="n">
        <f aca="false">IF($FJ67&lt;GE$94,"",SQRT(GE67/GE$15))</f>
        <v>0.159242229086416</v>
      </c>
      <c r="GF142" s="150" t="n">
        <f aca="false">IF($FJ67&lt;GF$94,"",SQRT(GF67/GF$15))</f>
        <v>0.15952892928147</v>
      </c>
      <c r="GG142" s="150" t="n">
        <f aca="false">IF($FJ67&lt;GG$94,"",SQRT(GG67/GG$15))</f>
        <v>0.159872896709758</v>
      </c>
      <c r="GH142" s="150" t="n">
        <f aca="false">IF($FJ67&lt;GH$94,"",SQRT(GH67/GH$15))</f>
        <v>0.16028222049251</v>
      </c>
      <c r="GI142" s="150" t="n">
        <f aca="false">IF($FJ67&lt;GI$94,"",SQRT(GI67/GI$15))</f>
        <v>0.160766966609669</v>
      </c>
      <c r="GJ142" s="150" t="n">
        <f aca="false">IF($FJ67&lt;GJ$94,"",SQRT(GJ67/GJ$15))</f>
        <v>0.16133943730133</v>
      </c>
      <c r="GK142" s="150" t="n">
        <f aca="false">IF($FJ67&lt;GK$94,"",SQRT(GK67/GK$15))</f>
        <v>0.162014522263253</v>
      </c>
      <c r="GL142" s="150" t="n">
        <f aca="false">IF($FJ67&lt;GL$94,"",SQRT(GL67/GL$15))</f>
        <v>0.162810156560355</v>
      </c>
      <c r="GM142" s="150" t="n">
        <f aca="false">IF($FJ67&lt;GM$94,"",SQRT(GM67/GM$15))</f>
        <v>0.163747907466085</v>
      </c>
      <c r="GN142" s="150" t="n">
        <f aca="false">IF($FJ67&lt;GN$94,"",SQRT(GN67/GN$15))</f>
        <v>0.164853721730474</v>
      </c>
      <c r="GO142" s="150" t="n">
        <f aca="false">IF($FJ67&lt;GO$94,"",SQRT(GO67/GO$15))</f>
        <v>0.166158877133441</v>
      </c>
      <c r="GP142" s="150" t="n">
        <f aca="false">IF($FJ67&lt;GP$94,"",SQRT(GP67/GP$15))</f>
        <v>0.167701199092181</v>
      </c>
      <c r="GQ142" s="150" t="n">
        <f aca="false">IF($FJ67&lt;GQ$94,"",SQRT(GQ67/GQ$15))</f>
        <v>0.169526626771101</v>
      </c>
      <c r="GR142" s="150" t="n">
        <f aca="false">IF($FJ67&lt;GR$94,"",SQRT(GR67/GR$15))</f>
        <v>0.171691246917054</v>
      </c>
      <c r="GS142" s="150" t="n">
        <f aca="false">IF($FJ67&lt;GS$94,"",SQRT(GS67/GS$15))</f>
        <v>0.174263962621116</v>
      </c>
      <c r="GT142" s="150" t="n">
        <f aca="false">IF($FJ67&lt;GT$94,"",SQRT(GT67/GT$15))</f>
        <v>0.177330036382691</v>
      </c>
      <c r="GU142" s="150" t="n">
        <f aca="false">IF($FJ67&lt;GU$94,"",SQRT(GU67/GU$15))</f>
        <v>0.180995854954827</v>
      </c>
      <c r="GV142" s="150" t="n">
        <f aca="false">IF($FJ67&lt;GV$94,"",SQRT(GV67/GV$15))</f>
        <v>0.185395428160918</v>
      </c>
      <c r="GW142" s="150" t="n">
        <f aca="false">IF($FJ67&lt;GW$94,"",SQRT(GW67/GW$15))</f>
        <v>0.19069938947664</v>
      </c>
      <c r="GX142" s="150" t="n">
        <f aca="false">IF($FJ67&lt;GX$94,"",SQRT(GX67/GX$15))</f>
        <v>0.197127670777998</v>
      </c>
      <c r="GY142" s="150" t="n">
        <f aca="false">IF($FJ67&lt;GY$94,"",SQRT(GY67/GY$15))</f>
        <v>0.20496767816191</v>
      </c>
      <c r="GZ142" s="150" t="n">
        <f aca="false">IF($FJ67&lt;GZ$94,"",SQRT(GZ67/GZ$15))</f>
        <v>0.214600879995868</v>
      </c>
      <c r="HA142" s="150" t="n">
        <f aca="false">IF($FJ67&lt;HA$94,"",SQRT(HA67/HA$15))</f>
        <v>0.226542562319154</v>
      </c>
      <c r="HB142" s="150" t="n">
        <f aca="false">IF($FJ67&lt;HB$94,"",SQRT(HB67/HB$15))</f>
        <v>0.241502735452089</v>
      </c>
      <c r="HC142" s="150" t="n">
        <f aca="false">IF($FJ67&lt;HC$94,"",SQRT(HC67/HC$15))</f>
        <v>0.260482015974059</v>
      </c>
      <c r="HD142" s="150" t="n">
        <f aca="false">IF($FJ67&lt;HD$94,"",SQRT(HD67/HD$15))</f>
        <v>0.284927265640668</v>
      </c>
      <c r="HE142" s="150" t="n">
        <f aca="false">IF($FJ67&lt;HE$94,"",SQRT(HE67/HE$15))</f>
        <v>0.316993195420431</v>
      </c>
      <c r="HF142" s="150" t="n">
        <f aca="false">IF($FJ67&lt;HF$94,"",SQRT(HF67/HF$15))</f>
        <v>0.360000071594244</v>
      </c>
      <c r="HG142" s="150" t="str">
        <f aca="false">IF($FJ67&lt;HG$94,"",SQRT(HG67/HG$15))</f>
        <v/>
      </c>
      <c r="HH142" s="150" t="str">
        <f aca="false">IF($FJ67&lt;HH$94,"",SQRT(HH67/HH$15))</f>
        <v/>
      </c>
      <c r="HI142" s="150" t="str">
        <f aca="false">IF($FJ67&lt;HI$94,"",SQRT(HI67/HI$15))</f>
        <v/>
      </c>
      <c r="HJ142" s="150" t="str">
        <f aca="false">IF($FJ67&lt;HJ$94,"",SQRT(HJ67/HJ$15))</f>
        <v/>
      </c>
      <c r="HK142" s="150" t="str">
        <f aca="false">IF($FJ67&lt;HK$94,"",SQRT(HK67/HK$15))</f>
        <v/>
      </c>
      <c r="HL142" s="150" t="str">
        <f aca="false">IF($FJ67&lt;HL$94,"",SQRT(HL67/HL$15))</f>
        <v/>
      </c>
      <c r="HM142" s="150" t="str">
        <f aca="false">IF($FJ67&lt;HM$94,"",SQRT(HM67/HM$15))</f>
        <v/>
      </c>
      <c r="HN142" s="150" t="str">
        <f aca="false">IF($FJ67&lt;HN$94,"",SQRT(HN67/HN$15))</f>
        <v/>
      </c>
      <c r="HO142" s="150" t="str">
        <f aca="false">IF($FJ67&lt;HO$94,"",SQRT(HO67/HO$15))</f>
        <v/>
      </c>
      <c r="HP142" s="150" t="str">
        <f aca="false">IF($FJ67&lt;HP$94,"",SQRT(HP67/HP$15))</f>
        <v/>
      </c>
      <c r="HQ142" s="150" t="str">
        <f aca="false">IF($FJ67&lt;HQ$94,"",SQRT(HQ67/HQ$15))</f>
        <v/>
      </c>
      <c r="HR142" s="150" t="str">
        <f aca="false">IF($FJ67&lt;HR$94,"",SQRT(HR67/HR$15))</f>
        <v/>
      </c>
      <c r="HS142" s="150" t="str">
        <f aca="false">IF($FJ67&lt;HS$94,"",SQRT(HS67/HS$15))</f>
        <v/>
      </c>
      <c r="HT142" s="150" t="str">
        <f aca="false">IF($FJ67&lt;HT$94,"",SQRT(HT67/HT$15))</f>
        <v/>
      </c>
      <c r="HU142" s="150" t="str">
        <f aca="false">IF($FJ67&lt;HU$94,"",SQRT(HU67/HU$15))</f>
        <v/>
      </c>
      <c r="HV142" s="150" t="str">
        <f aca="false">IF($FJ67&lt;HV$94,"",SQRT(HV67/HV$15))</f>
        <v/>
      </c>
      <c r="HW142" s="150" t="str">
        <f aca="false">IF($FJ67&lt;HW$94,"",SQRT(HW67/HW$15))</f>
        <v/>
      </c>
      <c r="HX142" s="150" t="str">
        <f aca="false">IF($FJ67&lt;HX$94,"",SQRT(HX67/HX$15))</f>
        <v/>
      </c>
      <c r="HY142" s="150" t="str">
        <f aca="false">IF($FJ67&lt;HY$94,"",SQRT(HY67/HY$15))</f>
        <v/>
      </c>
      <c r="HZ142" s="150" t="str">
        <f aca="false">IF($FJ67&lt;HZ$94,"",SQRT(HZ67/HZ$15))</f>
        <v/>
      </c>
      <c r="IA142" s="150" t="str">
        <f aca="false">IF($FJ67&lt;IA$94,"",SQRT(IA67/IA$15))</f>
        <v/>
      </c>
      <c r="IB142" s="150" t="str">
        <f aca="false">IF($FJ67&lt;IB$94,"",SQRT(IB67/IB$15))</f>
        <v/>
      </c>
      <c r="IC142" s="150" t="str">
        <f aca="false">IF($FJ67&lt;IC$94,"",SQRT(IC67/IC$15))</f>
        <v/>
      </c>
      <c r="ID142" s="572" t="str">
        <f aca="false">IF($FJ67&lt;ID$94,"",SQRT(ID67/ID$15))</f>
        <v/>
      </c>
      <c r="IE142" s="129"/>
    </row>
    <row r="143" customFormat="false" ht="12.75" hidden="false" customHeight="false" outlineLevel="0" collapsed="false">
      <c r="H143" s="219" t="n">
        <f aca="false">VLOOKUP(I143,$EJ$20:$EL$54,3)</f>
        <v>0</v>
      </c>
      <c r="I143" s="511" t="n">
        <f aca="false">EOMONTH(I142,0)+1</f>
        <v>40513</v>
      </c>
      <c r="J143" s="512"/>
      <c r="K143" s="513" t="s">
        <v>280</v>
      </c>
      <c r="L143" s="514" t="n">
        <f aca="false">IF(ISNUMBER(K143),J143+K143/100,IF(K143="extra",L142+VLOOKUP(BF143,PriceSpreadTable,2)/12,IF(K143="inter",interpolateprices($K$19:$L$200,ROW(K143)-ROW(FirstPricingMonth)+1),interpolatechanges($J$19:$K$200,ROW(K143)-ROW(FirstPricingMonth)+1))))</f>
        <v>1.7625</v>
      </c>
      <c r="M143" s="515"/>
      <c r="N143" s="516" t="n">
        <v>0</v>
      </c>
      <c r="O143" s="515" t="n">
        <f aca="false">M143+N143</f>
        <v>0</v>
      </c>
      <c r="P143" s="512"/>
      <c r="Q143" s="513" t="s">
        <v>280</v>
      </c>
      <c r="R143" s="512" t="e">
        <f aca="false">IF(ISNUMBER(Q143),P143+Q143/100,IF(Q143="extra",(Z141*AL141-R142*AM141)/AN141,IF(Q143="inter",interpolateprices($Q$19:$R$260,ROW(Q143)-ROW(FirstPricingMonth)+1),interpolatechanges($P$19:$Q$260,ROW(Q143)-ROW(FirstPricingMonth)+1))))</f>
        <v>#VALUE!</v>
      </c>
      <c r="S143" s="597" t="n">
        <f aca="false">S$19+(S142-S$19)*S$18</f>
        <v>0.36</v>
      </c>
      <c r="T143" s="575" t="n">
        <f aca="false">SQRT((1-(1-T142^2/U142)*T$18)*U143)</f>
        <v>0.999999999518807</v>
      </c>
      <c r="U143" s="576" t="n">
        <f aca="false">1-(1-U142)*U$18</f>
        <v>1</v>
      </c>
      <c r="V143" s="521" t="n">
        <v>0</v>
      </c>
      <c r="W143" s="577" t="n">
        <f aca="false">(J144*AJ143+J145*AK143)/AI143</f>
        <v>0</v>
      </c>
      <c r="X143" s="578" t="n">
        <f aca="false">(L144*AJ143+L145*AK143)/AI143</f>
        <v>1.81467391304348</v>
      </c>
      <c r="Y143" s="579" t="n">
        <f aca="false">IF(Q145="extra",W143-AA143,(P144*AM143+P145*AN143)/AL143)</f>
        <v>-1.1931</v>
      </c>
      <c r="Z143" s="579" t="n">
        <f aca="false">IF(Q145="extra",X143-AB143,(R144*AM143+R145*AN143)/AL143)</f>
        <v>0.62157391304348</v>
      </c>
      <c r="AA143" s="523" t="n">
        <f aca="false">IF(Q145="extra",INDEX(BrentSeasonalityTable,INT((BG143-1)/3)+1)*VLOOKUP(MAX(BF143,$AB$4),PriceSpreadTable,3),W143-Y143)</f>
        <v>1.1931</v>
      </c>
      <c r="AB143" s="524" t="n">
        <f aca="false">IF(Q145="extra",INDEX(BrentSeasonalityTable,INT((BG143-1)/3)+1)*VLOOKUP(MAX(BF143,$AB$4),PriceSpreadTable,3),X143-Z143)</f>
        <v>1.1931</v>
      </c>
      <c r="AC143" s="646" t="n">
        <v>40502</v>
      </c>
      <c r="AD143" s="646" t="n">
        <v>40498</v>
      </c>
      <c r="AE143" s="646" t="n">
        <v>40497</v>
      </c>
      <c r="AF143" s="646" t="n">
        <v>40493</v>
      </c>
      <c r="AG143" s="438" t="s">
        <v>278</v>
      </c>
      <c r="AH143" s="439" t="s">
        <v>278</v>
      </c>
      <c r="AI143" s="528" t="n">
        <v>23</v>
      </c>
      <c r="AJ143" s="529" t="n">
        <v>14</v>
      </c>
      <c r="AK143" s="529" t="n">
        <v>9</v>
      </c>
      <c r="AL143" s="530" t="n">
        <v>23</v>
      </c>
      <c r="AM143" s="529" t="n">
        <v>10</v>
      </c>
      <c r="AN143" s="531" t="n">
        <v>13</v>
      </c>
      <c r="AO143" s="532"/>
      <c r="AP143" s="465" t="n">
        <f aca="false">(1+AO143/2)^(-2*BL143)</f>
        <v>1</v>
      </c>
      <c r="AQ143" s="532"/>
      <c r="AR143" s="465" t="n">
        <f aca="false">(1+AQ143/2)^(-2*BH143/365.25)</f>
        <v>1</v>
      </c>
      <c r="AS143" s="580" t="n">
        <f aca="false">(O144*AJ143+O145*AK143)/AI143</f>
        <v>0</v>
      </c>
      <c r="AT143" s="468" t="n">
        <f aca="false">O143*VLOOKUP(BF143,BrentVolTable,2)+VLOOKUP(BF143,BrentVolTable,3)</f>
        <v>0</v>
      </c>
      <c r="AU143" s="468" t="n">
        <f aca="false">(AT144*AM143+AT145*AN143)/AL143</f>
        <v>0</v>
      </c>
      <c r="AV143" s="595" t="n">
        <f aca="false">SQRT(MAX(0.000000000001,(O143^2*BH143-S143^2*(BH143-BH142))/BH142))</f>
        <v>0.0271310487680702</v>
      </c>
      <c r="AW143" s="451" t="n">
        <f aca="false">IF($I143-DateToday+15&gt;=$T$8,"",IF($I143-DateToday+15&lt;$T$5,1,MATCH($I143-DateToday+15,$T$5:$T$8)))</f>
        <v>1</v>
      </c>
      <c r="AX143" s="468" t="n">
        <f aca="false">IF($AW143="",AX142^2/AX141,INDEX(U$5:U$8,$AW143)^((INDEX($T$5:$T$8,$AW143+1)-($I143-DateToday+15))/(INDEX($T$5:$T$8,$AW143+1)-INDEX($T$5:$T$8,$AW143)))/INDEX(U$5:U$8,$AW143+1)^((INDEX($T$5:$T$8,$AW143)-($I143-DateToday+15))/(INDEX($T$5:$T$8,$AW143+1)-INDEX($T$5:$T$8,$AW143))))</f>
        <v>0.905401175653619</v>
      </c>
      <c r="AY143" s="468" t="n">
        <f aca="false">IF($AW143="",AY142^2/AY141,INDEX(V$5:V$8,$AW143)^((INDEX($T$5:$T$8,$AW143+1)-($I143-DateToday+15))/(INDEX($T$5:$T$8,$AW143+1)-INDEX($T$5:$T$8,$AW143)))/INDEX(V$5:V$8,$AW143+1)^((INDEX($T$5:$T$8,$AW143)-($I143-DateToday+15))/(INDEX($T$5:$T$8,$AW143+1)-INDEX($T$5:$T$8,$AW143))))</f>
        <v>29.3299718542717</v>
      </c>
      <c r="AZ143" s="468" t="n">
        <f aca="false">IF($AW143="",AZ142^2/AZ141,INDEX(W$5:W$8,$AW143)^((INDEX($T$5:$T$8,$AW143+1)-($I143-DateToday+15))/(INDEX($T$5:$T$8,$AW143+1)-INDEX($T$5:$T$8,$AW143)))/INDEX(W$5:W$8,$AW143+1)^((INDEX($T$5:$T$8,$AW143)-($I143-DateToday+15))/(INDEX($T$5:$T$8,$AW143+1)-INDEX($T$5:$T$8,$AW143))))</f>
        <v>28270.7246313642</v>
      </c>
      <c r="BA143" s="468" t="n">
        <f aca="false">IF($AW143="",BA142^2/BA141,INDEX(X$5:X$8,$AW143)^((INDEX($T$5:$T$8,$AW143+1)-($I143-DateToday+15))/(INDEX($T$5:$T$8,$AW143+1)-INDEX($T$5:$T$8,$AW143)))/INDEX(X$5:X$8,$AW143+1)^((INDEX($T$5:$T$8,$AW143)-($I143-DateToday+15))/(INDEX($T$5:$T$8,$AW143+1)-INDEX($T$5:$T$8,$AW143))))</f>
        <v>266628.617893925</v>
      </c>
      <c r="BB143" s="468" t="n">
        <f aca="false">IF($AW143="",BB142^2/BB141,INDEX(Y$5:Y$8,$AW143)^((INDEX($T$5:$T$8,$AW143+1)-($I143-DateToday+15))/(INDEX($T$5:$T$8,$AW143+1)-INDEX($T$5:$T$8,$AW143)))/INDEX(Y$5:Y$8,$AW143+1)^((INDEX($T$5:$T$8,$AW143)-($I143-DateToday+15))/(INDEX($T$5:$T$8,$AW143+1)-INDEX($T$5:$T$8,$AW143))))</f>
        <v>2181749.57218251</v>
      </c>
      <c r="BC143" s="468" t="n">
        <f aca="false">IF($AW143="",BC142^2/BC141,INDEX(Z$5:Z$8,$AW143)^((INDEX($T$5:$T$8,$AW143+1)-($I143-DateToday+15))/(INDEX($T$5:$T$8,$AW143+1)-INDEX($T$5:$T$8,$AW143)))/INDEX(Z$5:Z$8,$AW143+1)^((INDEX($T$5:$T$8,$AW143)-($I143-DateToday+15))/(INDEX($T$5:$T$8,$AW143+1)-INDEX($T$5:$T$8,$AW143))))</f>
        <v>7774519.64182331</v>
      </c>
      <c r="BD143" s="535" t="n">
        <f aca="false">IF(OR(DateStart&gt;=I144,DateEnd&lt;I143),0,IF(VolumeOverrideFlag,V143,Volume))</f>
        <v>0</v>
      </c>
      <c r="BE143" s="536" t="n">
        <f aca="false">IF(OR(DateStart2&gt;=I144,DateEnd2&lt;I143),0,IF(VolumeOverrideFlag,V143,VolumeSwaption))</f>
        <v>0</v>
      </c>
      <c r="BF143" s="537" t="n">
        <f aca="false">YEAR(I143)</f>
        <v>2010</v>
      </c>
      <c r="BG143" s="538" t="n">
        <f aca="false">MONTH(I143)</f>
        <v>12</v>
      </c>
      <c r="BH143" s="539" t="n">
        <f aca="false">AD143-DateToday+1</f>
        <v>-5427</v>
      </c>
      <c r="BI143" s="540" t="n">
        <f aca="false">(I143-DateToday+1)/365.25</f>
        <v>-14.8172484599589</v>
      </c>
      <c r="BJ143" s="541" t="n">
        <f aca="false">BI143+(BL143-BI143)*CHOOSE(Underlying,AJ143/AI143,AM143/AL143)</f>
        <v>-14.7672529238461</v>
      </c>
      <c r="BK143" s="541" t="n">
        <f aca="false">BJ143+1/365.25</f>
        <v>-14.764515073059</v>
      </c>
      <c r="BL143" s="541" t="n">
        <f aca="false">(I144-DateToday)/365.25</f>
        <v>-14.735112936345</v>
      </c>
      <c r="BM143" s="542" t="e">
        <f aca="false">MAX(BI143-(BJ143-BI143)*(S144^2/O144^2-1),0)</f>
        <v>#DIV/0!</v>
      </c>
      <c r="BN143" s="541" t="e">
        <f aca="false">MAX(BL143+(BL143-BK143)*(S145^2/O145^2-1),0)</f>
        <v>#DIV/0!</v>
      </c>
      <c r="BO143" s="530" t="n">
        <f aca="false">CHOOSE(Underlying,AI143,AL143)</f>
        <v>23</v>
      </c>
      <c r="BP143" s="529" t="n">
        <f aca="false">CHOOSE(Underlying,AJ143,AM143)</f>
        <v>14</v>
      </c>
      <c r="BQ143" s="529" t="n">
        <f aca="false">CHOOSE(Underlying,AK143,AN143)</f>
        <v>9</v>
      </c>
      <c r="BR143" s="463" t="str">
        <f aca="false">IF(BD143,IF(Underlying=1,X143,Z143)+UnderlyingPriceAsian-SwapPriceCurve,"")</f>
        <v/>
      </c>
      <c r="BS143" s="463" t="str">
        <f aca="false">IF(BD143,Strike1/BR143-1,"")</f>
        <v/>
      </c>
      <c r="BT143" s="464" t="str">
        <f aca="false">IF(BD143,Strike2/BR143-1,"")</f>
        <v/>
      </c>
      <c r="BU143" s="465" t="str">
        <f aca="false">IF(BD143,IF(Underlying=1,L144,R144)+UnderlyingPriceAsian-SwapPriceCurve,"")</f>
        <v/>
      </c>
      <c r="BV143" s="465" t="str">
        <f aca="false">IF(BD143,IF(Underlying=1,L145,R145)+UnderlyingPriceAsian-SwapPriceCurve,"")</f>
        <v/>
      </c>
      <c r="BW143" s="466" t="str">
        <f aca="false">IF(BD143,IF(Underlying=1,O144,AT144),"")</f>
        <v/>
      </c>
      <c r="BX143" s="467" t="str">
        <f aca="false">IF(BD143,IF(Underlying=1,O145,AT145),"")</f>
        <v/>
      </c>
      <c r="BY143" s="466" t="str">
        <f aca="false">IF(BD143,IF(BS143&gt;0,IF(BS143&gt;0.2,BC143-BB143,IF(BS143&gt;0.1,BB143-BA143,BA143)),IF(BS143&lt;-0.2,AX143-AY143,IF(BS143&lt;-0.1,AY143-AZ143,AZ143))),"")</f>
        <v/>
      </c>
      <c r="BZ143" s="467" t="str">
        <f aca="false">IF(BD143,IF(BT143&gt;0,IF(BT143&gt;0.2,BC143-BB143,IF(BT143&gt;0.1,BB143-BA143,BA143)),IF(BT143&lt;-0.2,AX143-AY143,IF(BT143&lt;-0.1,AY143-AZ143,AZ143))),"")</f>
        <v/>
      </c>
      <c r="CA143" s="468" t="str">
        <f aca="false">IF($BD143,$BW143+IF(VolSkewFlag=1,IF(BS143&gt;0,$BA143*MIN(BS143/10%,1)+($BB143-$BA143)*MAX(0,MIN(BS143/10%-1,1))+($BC143-$BB143)*MAX(0,BS143/10%-2),$AZ143*MIN(-BS143/10%,1)+($AY143-$AZ143)*MAX(0,MIN(-BS143/10%-1,1))+($AX143-$AY143)*MAX(0,-BS143/10%-2)),0),"")</f>
        <v/>
      </c>
      <c r="CB143" s="468" t="str">
        <f aca="false">IF($BD143,$BX143+IF(VolSkewFlag=1,IF(BS143&gt;0,$BA143*MIN(BS143/10%,1)+($BB143-$BA143)*MAX(0,MIN(BS143/10%-1,1))+($BC143-$BB143)*MAX(0,BS143/10%-2),$AZ143*MIN(-BS143/10%,1)+($AY143-$AZ143)*MAX(0,MIN(-BS143/10%-1,1))+($AX143-$AY143)*MAX(0,-BS143/10%-2)),0),"")</f>
        <v/>
      </c>
      <c r="CC143" s="468" t="str">
        <f aca="false">IF($BD143,$BW143+IF(VolSkewFlag=1,IF(BT143&gt;0,$BA143*MIN(BT143/10%,1)+($BB143-$BA143)*MAX(0,MIN(BT143/10%-1,1))+($BC143-$BB143)*MAX(0,BT143/10%-2),$AZ143*MIN(-BT143/10%,1)+($AY143-$AZ143)*MAX(0,MIN(-BT143/10%-1,1))+($AX143-$AY143)*MAX(0,-BT143/10%-2)),0),"")</f>
        <v/>
      </c>
      <c r="CD143" s="468" t="str">
        <f aca="false">IF($BD143,$BX143+IF(VolSkewFlag=1,IF(BT143&gt;0,$BA143*MIN(BT143/10%,1)+($BB143-$BA143)*MAX(0,MIN(BT143/10%-1,1))+($BC143-$BB143)*MAX(0,BT143/10%-2),$AZ143*MIN(-BT143/10%,1)+($AY143-$AZ143)*MAX(0,MIN(-BT143/10%-1,1))+($AX143-$AY143)*MAX(0,-BT143/10%-2)),0),"")</f>
        <v/>
      </c>
      <c r="CE143" s="469" t="n">
        <v>1</v>
      </c>
      <c r="CF143" s="470" t="n">
        <f aca="false">IF(BD143,xCrudeAPO(BU143,BV143,CA143,CB143,S144,S145,BI143,BL143,BP143,BQ143,0,Strike1,AO143,CE143,0,BL143,IF(OptControl=4,0,1),0,1),0)</f>
        <v>0</v>
      </c>
      <c r="CG143" s="470" t="n">
        <f aca="false">IF(BD143,xCrudeAPO(BU143,BV143,CA143,CB143,S144,S145,BI143,BL143,BP143,BQ143,0,Strike1,AO143,CE143,0,BL143,IF(OptControl=4,0,1),1,1)+xCrudeAPO(BU143,BV143,CA143,CB143,S144,S145,BI143,BL143,BP143,BQ143,0,Strike1,AO143,CE143,0,BL143,IF(OptControl=4,0,1),1,2)+IF(OR(VolSkewFlag=2,ABS(BS143)&lt;0.0001),0,IF(BS143&gt;0,-1,1)*CH143*Strike1/BR143^2*BY143/10%),0)</f>
        <v>0</v>
      </c>
      <c r="CH143" s="470" t="n">
        <f aca="false">IF(BD143,(xCrudeAPO(BU143,BV143,CA143,CB143,S144,S145,BI143,BL143,BP143,BQ143,0,Strike1,AO143,CE143,0,BL143,IF(OptControl=4,0,1),3,1)+xCrudeAPO(BU143,BV143,CA143,CB143,S144,S145,BI143,BL143,BP143,BQ143,0,Strike1,AO143,CE143,0,BL143,IF(OptControl=4,0,1),3,2))/100,0)</f>
        <v>0</v>
      </c>
      <c r="CI143" s="470" t="n">
        <f aca="false">IF(BD143,xCrudeAPO(BU143,BV143,CA143,CB143,S144,S145,BI143-DaysForThetaCalculation/365.25,BL143-DaysForThetaCalculation/365.25,BP143,BQ143,0,Strike1,AO143,CE143,0,BL143,IF(OptControl=4,0,1),0,1)-xCrudeAPO(BU143,BV143,CA143,CB143,S144,S145,BI143,BL143,BP143,BQ143,0,Strike1,AO143,CE143,0,BL143,IF(OptControl=4,0,1),0,1),0)</f>
        <v>0</v>
      </c>
      <c r="CJ143" s="471" t="n">
        <f aca="false">IF(BD143,xCrudeAPO(BU143,BV143,CC143,CD143,S144,S145,BI143,BL143,BP143,BQ143,0,Strike2,AO143,CE143,0,BL143,IF(OptControl=3,1,0),0,1),0)</f>
        <v>0</v>
      </c>
      <c r="CK143" s="470" t="n">
        <f aca="false">IF(BD143,xCrudeAPO(BU143,BV143,CC143,CD143,S144,S145,BI143,BL143,BP143,BQ143,0,Strike2,AO143,CE143,0,BL143,IF(OptControl=3,1,0),1,1)+xCrudeAPO(BU143,BV143,CC143,CD143,S144,S145,BI143,BL143,BP143,BQ143,0,Strike2,AO143,CE143,0,BL143,IF(OptControl=3,1,0),1,2)+IF(OR(VolSkewFlag=2,ABS(BT143)&lt;0.0001),0,IF(BT143&gt;0,-1,1)*CL143*Strike2/BR143^2*BZ143/10%),0)</f>
        <v>0</v>
      </c>
      <c r="CL143" s="470" t="n">
        <f aca="false">IF(BD143,(xCrudeAPO(BU143,BV143,CC143,CD143,S144,S145,BI143,BL143,BP143,BQ143,0,Strike2,AO143,CE143,0,BL143,IF(OptControl=3,1,0),3,1)+xCrudeAPO(BU143,BV143,CC143,CD143,S144,S145,BI143,BL143,BP143,BQ143,0,Strike2,AO143,CE143,0,BL143,IF(OptControl=3,1,0),3,2))/100,0)</f>
        <v>0</v>
      </c>
      <c r="CM143" s="472" t="n">
        <f aca="false">IF(BD143,xCrudeAPO(BU143,BV143,CC143,CD143,S144,S145,BI143-DaysForThetaCalculation/365.25,BL143-DaysForThetaCalculation/365.25,BP143,BQ143,0,Strike2,AO143,CE143,0,BL143,IF(OptControl=3,1,0),0,1)-xCrudeAPO(BU143,BV143,CC143,CD143,S144,S145,BI143,BL143,BP143,BQ143,0,Strike2,AO143,CE143,0,BL143,IF(OptControl=3,1,0),0,1),0)</f>
        <v>0</v>
      </c>
      <c r="CN143" s="3"/>
      <c r="CO143" s="543" t="str">
        <f aca="false">IF(BD143,CHOOSE(Underlying,AD143,AF143)-DateToday+1,"")</f>
        <v/>
      </c>
      <c r="CP143" s="582" t="str">
        <f aca="false">IF(BD143,CHOOSE(Underlying,L143,R143),"")</f>
        <v/>
      </c>
      <c r="CQ143" s="544" t="str">
        <f aca="false">IF(BD143,Strike1/CP143-1,"")</f>
        <v/>
      </c>
      <c r="CR143" s="544" t="str">
        <f aca="false">IF(BD143,Strike2/CP143-1,"")</f>
        <v/>
      </c>
      <c r="CS143" s="544" t="str">
        <f aca="false">IF(BD143,IF(CQ143&gt;0,IF(CQ143&gt;0.2,BC142-BB142,IF(CQ143&gt;0.1,BB142-BA142,BA142)),IF(CQ143&lt;-0.2,AX142-AY142,IF(CQ143&lt;-0.1,AY142-AZ142,AZ142))),"")</f>
        <v/>
      </c>
      <c r="CT143" s="544" t="str">
        <f aca="false">IF(BD143,IF(CR143&gt;0,IF(CR143&gt;0.2,BC142-BB142,IF(CR143&gt;0.1,BB142-BA142,BA142)),IF(CR143&lt;-0.2,AX142-AY142,IF(CR143&lt;-0.1,AY142-AZ142,AZ142))),"")</f>
        <v/>
      </c>
      <c r="CU143" s="545" t="str">
        <f aca="false">IF(BD143,CHOOSE(Underlying,O143,AT143),"")</f>
        <v/>
      </c>
      <c r="CV143" s="545" t="str">
        <f aca="false">IF(BD143,CU143+IF(VolSkewFlag=1,IF(CQ143&gt;0,BA142*MIN(CQ143/10%,1)+(BB142-BA142)*MAX(0,MIN(CQ143/10%-1,1))+(BC142-BB142)*MAX(0,CQ143/10%-2),AZ142*MIN(-CQ143/10%,1)+(AY142-AZ142)*MAX(0,MIN(-CQ143/10%-1,1))+(AX142-AY142)*MAX(0,-CQ143/10%-2)),0),"")</f>
        <v/>
      </c>
      <c r="CW143" s="545" t="str">
        <f aca="false">IF(BD143,CU143+IF(VolSkewFlag=1,IF(CR143&gt;0,BA142*MIN(CR143/10%,1)+(BB142-BA142)*MAX(0,MIN(CR143/10%-1,1))+(BC142-BB142)*MAX(0,CR143/10%-2),AZ142*MIN(-CR143/10%,1)+(AY142-AZ142)*MAX(0,MIN(-CR143/10%-1,1))+(AX142-AY142)*MAX(0,-CR143/10%-2)),0),"")</f>
        <v/>
      </c>
      <c r="CX143" s="470" t="n">
        <f aca="false">IF(BD143,EURO(CP143,Strike1,AO143,AO143,CV143,CO143,IF(OptControl=4,0,1),0),0)</f>
        <v>0</v>
      </c>
      <c r="CY143" s="470" t="n">
        <f aca="false">IF(BD143,EURO(CP143,Strike1,AO143,AO143,CV143,CO143,IF(OptControl=4,0,1),1)+IF(OR(VolSkewFlag=2,ABS(CQ143)&lt;0.0001),0,IF(CQ143&gt;0,-1,1)*CZ143*100*Strike1/CP143^2*CS143/10%),0)</f>
        <v>0</v>
      </c>
      <c r="CZ143" s="470" t="n">
        <f aca="false">IF(BD143,EURO(CP143,Strike1,AO143,AO143,CV143,CO143,IF(OptControl=4,0,1),3)/100,0)</f>
        <v>0</v>
      </c>
      <c r="DA143" s="470" t="n">
        <f aca="false">IF(BD143,EURO(CP143,Strike1,AO143,AO143,CV143,CO143,IF(OptControl=4,0,1),0)-EURO(CP143,Strike1,AO143,AO143,CV143,CO143-1,IF(OptControl=4,0,1),0),0)</f>
        <v>0</v>
      </c>
      <c r="DB143" s="470" t="n">
        <f aca="false">IF(BD143,EURO(CP143,Strike2,AO143,AO143,CW143,CO143,IF(OptControl=3,1,0),0),0)</f>
        <v>0</v>
      </c>
      <c r="DC143" s="470" t="n">
        <f aca="false">IF(BD143,EURO(CP143,Strike2,AO143,AO143,CW143,CO143,IF(OptControl=3,1,0),1)+IF(OR(VolSkewFlag=2,ABS(CR143)&lt;0.0001),0,IF(CR143&gt;0,-1,1)*DD143*100*Strike2/CP143^2*CT143/10%),0)</f>
        <v>0</v>
      </c>
      <c r="DD143" s="470" t="n">
        <f aca="false">IF(BD143,EURO(CP143,Strike2,AO143,AO143,CW143,CO143,IF(OptControl=3,1,0),3)/100,0)</f>
        <v>0</v>
      </c>
      <c r="DE143" s="472" t="n">
        <f aca="false">IF(BD143,EURO(CP143,Strike2,AO143,AO143,CW143,CO143,IF(OptControl=3,1,0),0)-EURO(CP143,Strike2,AO143,AO143,CW143,CO143-1,IF(OptControl=3,1,0),0),0)</f>
        <v>0</v>
      </c>
      <c r="DG143" s="481" t="n">
        <f aca="false">EOMONTH(DG142,0)+1</f>
        <v>49430</v>
      </c>
      <c r="DH143" s="478" t="n">
        <v>20.31</v>
      </c>
      <c r="DI143" s="479" t="n">
        <v>20.3766666666667</v>
      </c>
      <c r="DJ143" s="480" t="n">
        <f aca="false">DG143</f>
        <v>49430</v>
      </c>
      <c r="DK143" s="478" t="n">
        <v>19.1436309557447</v>
      </c>
      <c r="DL143" s="479" t="n">
        <v>19.0851666666667</v>
      </c>
      <c r="DM143" s="481" t="n">
        <f aca="false">DG143</f>
        <v>49430</v>
      </c>
      <c r="DN143" s="482" t="n">
        <f aca="false">DK143+BrentPhyBrentSpread</f>
        <v>19.1936309557447</v>
      </c>
      <c r="DO143" s="481" t="n">
        <f aca="false">DG143</f>
        <v>49430</v>
      </c>
      <c r="DP143" s="483" t="n">
        <f aca="false">DL143+DQ143</f>
        <v>19.0851666666667</v>
      </c>
      <c r="DQ143" s="546" t="n">
        <v>0</v>
      </c>
      <c r="DR143" s="480" t="n">
        <f aca="false">DG143</f>
        <v>49430</v>
      </c>
      <c r="DS143" s="485" t="n">
        <v>0.150799999999999</v>
      </c>
      <c r="DT143" s="486" t="n">
        <v>0.149999999999999</v>
      </c>
      <c r="DU143" s="480" t="n">
        <f aca="false">DG143</f>
        <v>49430</v>
      </c>
      <c r="DV143" s="485" t="n">
        <v>0.150799999999999</v>
      </c>
      <c r="DW143" s="486" t="n">
        <v>0.149999999999999</v>
      </c>
      <c r="DX143" s="481" t="n">
        <f aca="false">DG143</f>
        <v>49430</v>
      </c>
      <c r="DY143" s="486" t="n">
        <v>0.35</v>
      </c>
      <c r="DZ143" s="481" t="n">
        <f aca="false">DR143</f>
        <v>49430</v>
      </c>
      <c r="EA143" s="486" t="n">
        <f aca="false">DT143</f>
        <v>0.149999999999999</v>
      </c>
      <c r="EB143" s="195"/>
      <c r="EC143" s="547" t="str">
        <f aca="false">IF(BD143,IF(Underlying=1,AS143,AU143),"")</f>
        <v/>
      </c>
      <c r="ED143" s="548" t="str">
        <f aca="false">IF($BD143,$EC143+IF(VolSkewFlag=1,IF(BS143&gt;0,$BA143*MIN(BS143/10%,1)+($BB143-$BA143)*MAX(0,MIN(BS143/10%-1,1))+($BC143-$BB143)*MAX(0,BS143/10%-2),$AZ143*MIN(-BS143/10%,1)+($AY143-$AZ143)*MAX(0,MIN(-BS143/10%-1,1))+($AX143-$AY143)*MAX(0,-BS143/10%-2)),0),"")</f>
        <v/>
      </c>
      <c r="EE143" s="549" t="str">
        <f aca="false">IF($BD143,$EC143+IF(VolSkewFlag=1,IF(BT143&gt;0,$BA143*MIN(BT143/10%,1)+($BB143-$BA143)*MAX(0,MIN(BT143/10%-1,1))+($BC143-$BB143)*MAX(0,BT143/10%-2),$AZ143*MIN(-BT143/10%,1)+($AY143-$AZ143)*MAX(0,MIN(-BT143/10%-1,1))+($AX143-$AY143)*MAX(0,-BT143/10%-2)),0),"")</f>
        <v/>
      </c>
      <c r="EF143" s="550" t="n">
        <f aca="false">IF(BD143,xASN(BR143,Strike1,AO143,ED143,0,BO143,0,BI143,BL143,IF(OptControl=4,0,1),0),0)</f>
        <v>0</v>
      </c>
      <c r="EG143" s="551" t="n">
        <f aca="false">IF(BD143,xASN(BR143,Strike2,AO143,EE143,0,BO143,0,BI143,BL143,IF(OptControl=3,1,0),0),0)</f>
        <v>0</v>
      </c>
      <c r="EL143" s="1"/>
      <c r="EM143" s="195"/>
      <c r="EN143" s="240"/>
      <c r="EO143" s="240"/>
      <c r="EP143" s="195"/>
      <c r="EQ143" s="407" t="s">
        <v>370</v>
      </c>
      <c r="ES143" s="130"/>
      <c r="ET143" s="19"/>
      <c r="EU143" s="672"/>
      <c r="EV143" s="478"/>
      <c r="EW143" s="131"/>
      <c r="EX143" s="131"/>
      <c r="EY143" s="129"/>
      <c r="EZ143" s="129"/>
      <c r="FA143" s="129"/>
      <c r="FB143" s="129"/>
      <c r="FC143" s="129"/>
      <c r="FD143" s="129"/>
      <c r="FE143" s="129"/>
      <c r="FF143" s="129"/>
      <c r="FG143" s="129"/>
      <c r="FH143" s="129"/>
      <c r="FI143" s="129"/>
      <c r="FJ143" s="571" t="n">
        <v>49</v>
      </c>
      <c r="FK143" s="150" t="e">
        <f aca="false">IF($FJ68&lt;FK$94,"",SQRT(FK68/FK$15))</f>
        <v>#DIV/0!</v>
      </c>
      <c r="FL143" s="150" t="n">
        <f aca="false">IF($FJ68&lt;FL$94,"",SQRT(FL68/FL$15))</f>
        <v>-0</v>
      </c>
      <c r="FM143" s="150" t="n">
        <f aca="false">IF($FJ68&lt;FM$94,"",SQRT(FM68/FM$15))</f>
        <v>0.17059411730379</v>
      </c>
      <c r="FN143" s="150" t="n">
        <f aca="false">IF($FJ68&lt;FN$94,"",SQRT(FN68/FN$15))</f>
        <v>0.167329775065817</v>
      </c>
      <c r="FO143" s="150" t="n">
        <f aca="false">IF($FJ68&lt;FO$94,"",SQRT(FO68/FO$15))</f>
        <v>0.164887845325525</v>
      </c>
      <c r="FP143" s="150" t="n">
        <f aca="false">IF($FJ68&lt;FP$94,"",SQRT(FP68/FP$15))</f>
        <v>0.163063833737552</v>
      </c>
      <c r="FQ143" s="150" t="n">
        <f aca="false">IF($FJ68&lt;FQ$94,"",SQRT(FQ68/FQ$15))</f>
        <v>0.161704553852556</v>
      </c>
      <c r="FR143" s="150" t="n">
        <f aca="false">IF($FJ68&lt;FR$94,"",SQRT(FR68/FR$15))</f>
        <v>0.160695332103926</v>
      </c>
      <c r="FS143" s="150" t="n">
        <f aca="false">IF($FJ68&lt;FS$94,"",SQRT(FS68/FS$15))</f>
        <v>0.159950416972185</v>
      </c>
      <c r="FT143" s="150" t="n">
        <f aca="false">IF($FJ68&lt;FT$94,"",SQRT(FT68/FT$15))</f>
        <v>0.159405792235503</v>
      </c>
      <c r="FU143" s="150" t="n">
        <f aca="false">IF($FJ68&lt;FU$94,"",SQRT(FU68/FU$15))</f>
        <v>0.159013794407508</v>
      </c>
      <c r="FV143" s="150" t="n">
        <f aca="false">IF($FJ68&lt;FV$94,"",SQRT(FV68/FV$15))</f>
        <v>0.158739084640606</v>
      </c>
      <c r="FW143" s="150" t="n">
        <f aca="false">IF($FJ68&lt;FW$94,"",SQRT(FW68/FW$15))</f>
        <v>0.158555638044841</v>
      </c>
      <c r="FX143" s="150" t="n">
        <f aca="false">IF($FJ68&lt;FX$94,"",SQRT(FX68/FX$15))</f>
        <v>0.158444497923815</v>
      </c>
      <c r="FY143" s="150" t="n">
        <f aca="false">IF($FJ68&lt;FY$94,"",SQRT(FY68/FY$15))</f>
        <v>0.158392105900741</v>
      </c>
      <c r="FZ143" s="150" t="n">
        <f aca="false">IF($FJ68&lt;FZ$94,"",SQRT(FZ68/FZ$15))</f>
        <v>0.158389066582638</v>
      </c>
      <c r="GA143" s="150" t="n">
        <f aca="false">IF($FJ68&lt;GA$94,"",SQRT(GA68/GA$15))</f>
        <v>0.15842924125478</v>
      </c>
      <c r="GB143" s="150" t="n">
        <f aca="false">IF($FJ68&lt;GB$94,"",SQRT(GB68/GB$15))</f>
        <v>0.158509092089876</v>
      </c>
      <c r="GC143" s="150" t="n">
        <f aca="false">IF($FJ68&lt;GC$94,"",SQRT(GC68/GC$15))</f>
        <v>0.15862721873742</v>
      </c>
      <c r="GD143" s="150" t="n">
        <f aca="false">IF($FJ68&lt;GD$94,"",SQRT(GD68/GD$15))</f>
        <v>0.158784044616661</v>
      </c>
      <c r="GE143" s="150" t="n">
        <f aca="false">IF($FJ68&lt;GE$94,"",SQRT(GE68/GE$15))</f>
        <v>0.15898162204893</v>
      </c>
      <c r="GF143" s="150" t="n">
        <f aca="false">IF($FJ68&lt;GF$94,"",SQRT(GF68/GF$15))</f>
        <v>0.159223534504189</v>
      </c>
      <c r="GG143" s="150" t="n">
        <f aca="false">IF($FJ68&lt;GG$94,"",SQRT(GG68/GG$15))</f>
        <v>0.159514881452288</v>
      </c>
      <c r="GH143" s="150" t="n">
        <f aca="false">IF($FJ68&lt;GH$94,"",SQRT(GH68/GH$15))</f>
        <v>0.159862337191156</v>
      </c>
      <c r="GI143" s="150" t="n">
        <f aca="false">IF($FJ68&lt;GI$94,"",SQRT(GI68/GI$15))</f>
        <v>0.160274280052386</v>
      </c>
      <c r="GJ143" s="150" t="n">
        <f aca="false">IF($FJ68&lt;GJ$94,"",SQRT(GJ68/GJ$15))</f>
        <v>0.160760992972764</v>
      </c>
      <c r="GK143" s="150" t="n">
        <f aca="false">IF($FJ68&lt;GK$94,"",SQRT(GK68/GK$15))</f>
        <v>0.16133494095306</v>
      </c>
      <c r="GL143" s="150" t="n">
        <f aca="false">IF($FJ68&lt;GL$94,"",SQRT(GL68/GL$15))</f>
        <v>0.162011135797281</v>
      </c>
      <c r="GM143" s="150" t="n">
        <f aca="false">IF($FJ68&lt;GM$94,"",SQRT(GM68/GM$15))</f>
        <v>0.162807604184623</v>
      </c>
      <c r="GN143" s="150" t="n">
        <f aca="false">IF($FJ68&lt;GN$94,"",SQRT(GN68/GN$15))</f>
        <v>0.163745982128258</v>
      </c>
      <c r="GO143" s="150" t="n">
        <f aca="false">IF($FJ68&lt;GO$94,"",SQRT(GO68/GO$15))</f>
        <v>0.164852267958438</v>
      </c>
      <c r="GP143" s="150" t="n">
        <f aca="false">IF($FJ68&lt;GP$94,"",SQRT(GP68/GP$15))</f>
        <v>0.166157778162531</v>
      </c>
      <c r="GQ143" s="150" t="n">
        <f aca="false">IF($FJ68&lt;GQ$94,"",SQRT(GQ68/GQ$15))</f>
        <v>0.167700367207836</v>
      </c>
      <c r="GR143" s="150" t="n">
        <f aca="false">IF($FJ68&lt;GR$94,"",SQRT(GR68/GR$15))</f>
        <v>0.169525996063417</v>
      </c>
      <c r="GS143" s="150" t="n">
        <f aca="false">IF($FJ68&lt;GS$94,"",SQRT(GS68/GS$15))</f>
        <v>0.171690767844561</v>
      </c>
      <c r="GT143" s="150" t="n">
        <f aca="false">IF($FJ68&lt;GT$94,"",SQRT(GT68/GT$15))</f>
        <v>0.174263597931715</v>
      </c>
      <c r="GU143" s="150" t="n">
        <f aca="false">IF($FJ68&lt;GU$94,"",SQRT(GU68/GU$15))</f>
        <v>0.177329758052683</v>
      </c>
      <c r="GV143" s="150" t="n">
        <f aca="false">IF($FJ68&lt;GV$94,"",SQRT(GV68/GV$15))</f>
        <v>0.180995641891697</v>
      </c>
      <c r="GW143" s="150" t="n">
        <f aca="false">IF($FJ68&lt;GW$94,"",SQRT(GW68/GW$15))</f>
        <v>0.185395264479089</v>
      </c>
      <c r="GX143" s="150" t="n">
        <f aca="false">IF($FJ68&lt;GX$94,"",SQRT(GX68/GX$15))</f>
        <v>0.190699263203088</v>
      </c>
      <c r="GY143" s="150" t="n">
        <f aca="false">IF($FJ68&lt;GY$94,"",SQRT(GY68/GY$15))</f>
        <v>0.197127572880355</v>
      </c>
      <c r="GZ143" s="150" t="n">
        <f aca="false">IF($FJ68&lt;GZ$94,"",SQRT(GZ68/GZ$15))</f>
        <v>0.204967601818508</v>
      </c>
      <c r="HA143" s="150" t="n">
        <f aca="false">IF($FJ68&lt;HA$94,"",SQRT(HA68/HA$15))</f>
        <v>0.214600820047268</v>
      </c>
      <c r="HB143" s="150" t="n">
        <f aca="false">IF($FJ68&lt;HB$94,"",SQRT(HB68/HB$15))</f>
        <v>0.226542514855765</v>
      </c>
      <c r="HC143" s="150" t="n">
        <f aca="false">IF($FJ68&lt;HC$94,"",SQRT(HC68/HC$15))</f>
        <v>0.241502697503787</v>
      </c>
      <c r="HD143" s="150" t="n">
        <f aca="false">IF($FJ68&lt;HD$94,"",SQRT(HD68/HD$15))</f>
        <v>0.260481985276109</v>
      </c>
      <c r="HE143" s="150" t="n">
        <f aca="false">IF($FJ68&lt;HE$94,"",SQRT(HE68/HE$15))</f>
        <v>0.284927240456538</v>
      </c>
      <c r="HF143" s="150" t="n">
        <f aca="false">IF($FJ68&lt;HF$94,"",SQRT(HF68/HF$15))</f>
        <v>0.316993174406651</v>
      </c>
      <c r="HG143" s="150" t="n">
        <f aca="false">IF($FJ68&lt;HG$94,"",SQRT(HG68/HG$15))</f>
        <v>0.360000053695683</v>
      </c>
      <c r="HH143" s="150" t="str">
        <f aca="false">IF($FJ68&lt;HH$94,"",SQRT(HH68/HH$15))</f>
        <v/>
      </c>
      <c r="HI143" s="150" t="str">
        <f aca="false">IF($FJ68&lt;HI$94,"",SQRT(HI68/HI$15))</f>
        <v/>
      </c>
      <c r="HJ143" s="150" t="str">
        <f aca="false">IF($FJ68&lt;HJ$94,"",SQRT(HJ68/HJ$15))</f>
        <v/>
      </c>
      <c r="HK143" s="150" t="str">
        <f aca="false">IF($FJ68&lt;HK$94,"",SQRT(HK68/HK$15))</f>
        <v/>
      </c>
      <c r="HL143" s="150" t="str">
        <f aca="false">IF($FJ68&lt;HL$94,"",SQRT(HL68/HL$15))</f>
        <v/>
      </c>
      <c r="HM143" s="150" t="str">
        <f aca="false">IF($FJ68&lt;HM$94,"",SQRT(HM68/HM$15))</f>
        <v/>
      </c>
      <c r="HN143" s="150" t="str">
        <f aca="false">IF($FJ68&lt;HN$94,"",SQRT(HN68/HN$15))</f>
        <v/>
      </c>
      <c r="HO143" s="150" t="str">
        <f aca="false">IF($FJ68&lt;HO$94,"",SQRT(HO68/HO$15))</f>
        <v/>
      </c>
      <c r="HP143" s="150" t="str">
        <f aca="false">IF($FJ68&lt;HP$94,"",SQRT(HP68/HP$15))</f>
        <v/>
      </c>
      <c r="HQ143" s="150" t="str">
        <f aca="false">IF($FJ68&lt;HQ$94,"",SQRT(HQ68/HQ$15))</f>
        <v/>
      </c>
      <c r="HR143" s="150" t="str">
        <f aca="false">IF($FJ68&lt;HR$94,"",SQRT(HR68/HR$15))</f>
        <v/>
      </c>
      <c r="HS143" s="150" t="str">
        <f aca="false">IF($FJ68&lt;HS$94,"",SQRT(HS68/HS$15))</f>
        <v/>
      </c>
      <c r="HT143" s="150" t="str">
        <f aca="false">IF($FJ68&lt;HT$94,"",SQRT(HT68/HT$15))</f>
        <v/>
      </c>
      <c r="HU143" s="150" t="str">
        <f aca="false">IF($FJ68&lt;HU$94,"",SQRT(HU68/HU$15))</f>
        <v/>
      </c>
      <c r="HV143" s="150" t="str">
        <f aca="false">IF($FJ68&lt;HV$94,"",SQRT(HV68/HV$15))</f>
        <v/>
      </c>
      <c r="HW143" s="150" t="str">
        <f aca="false">IF($FJ68&lt;HW$94,"",SQRT(HW68/HW$15))</f>
        <v/>
      </c>
      <c r="HX143" s="150" t="str">
        <f aca="false">IF($FJ68&lt;HX$94,"",SQRT(HX68/HX$15))</f>
        <v/>
      </c>
      <c r="HY143" s="150" t="str">
        <f aca="false">IF($FJ68&lt;HY$94,"",SQRT(HY68/HY$15))</f>
        <v/>
      </c>
      <c r="HZ143" s="150" t="str">
        <f aca="false">IF($FJ68&lt;HZ$94,"",SQRT(HZ68/HZ$15))</f>
        <v/>
      </c>
      <c r="IA143" s="150" t="str">
        <f aca="false">IF($FJ68&lt;IA$94,"",SQRT(IA68/IA$15))</f>
        <v/>
      </c>
      <c r="IB143" s="150" t="str">
        <f aca="false">IF($FJ68&lt;IB$94,"",SQRT(IB68/IB$15))</f>
        <v/>
      </c>
      <c r="IC143" s="150" t="str">
        <f aca="false">IF($FJ68&lt;IC$94,"",SQRT(IC68/IC$15))</f>
        <v/>
      </c>
      <c r="ID143" s="572" t="str">
        <f aca="false">IF($FJ68&lt;ID$94,"",SQRT(ID68/ID$15))</f>
        <v/>
      </c>
      <c r="IE143" s="129"/>
    </row>
    <row r="144" customFormat="false" ht="12.75" hidden="false" customHeight="false" outlineLevel="0" collapsed="false">
      <c r="H144" s="219" t="n">
        <f aca="false">VLOOKUP(I144,$EJ$20:$EL$54,3)</f>
        <v>0</v>
      </c>
      <c r="I144" s="511" t="n">
        <f aca="false">EOMONTH(I143,0)+1</f>
        <v>40544</v>
      </c>
      <c r="J144" s="512"/>
      <c r="K144" s="513" t="s">
        <v>280</v>
      </c>
      <c r="L144" s="514" t="n">
        <f aca="false">IF(ISNUMBER(K144),J144+K144/100,IF(K144="extra",L143+VLOOKUP(BF144,PriceSpreadTable,2)/12,IF(K144="inter",interpolateprices($K$19:$L$200,ROW(K144)-ROW(FirstPricingMonth)+1),interpolatechanges($J$19:$K$200,ROW(K144)-ROW(FirstPricingMonth)+1))))</f>
        <v>1.8</v>
      </c>
      <c r="M144" s="515"/>
      <c r="N144" s="516" t="n">
        <v>0</v>
      </c>
      <c r="O144" s="515" t="n">
        <f aca="false">M144+N144</f>
        <v>0</v>
      </c>
      <c r="P144" s="512"/>
      <c r="Q144" s="513" t="s">
        <v>280</v>
      </c>
      <c r="R144" s="512" t="e">
        <f aca="false">IF(ISNUMBER(Q144),P144+Q144/100,IF(Q144="extra",(Z142*AL142-R143*AM142)/AN142,IF(Q144="inter",interpolateprices($Q$19:$R$260,ROW(Q144)-ROW(FirstPricingMonth)+1),interpolatechanges($P$19:$Q$260,ROW(Q144)-ROW(FirstPricingMonth)+1))))</f>
        <v>#VALUE!</v>
      </c>
      <c r="S144" s="597" t="n">
        <f aca="false">S$19+(S143-S$19)*S$18</f>
        <v>0.36</v>
      </c>
      <c r="T144" s="575" t="n">
        <f aca="false">SQRT((1-(1-T143^2/U143)*T$18)*U144)</f>
        <v>0.99999999958858</v>
      </c>
      <c r="U144" s="576" t="n">
        <f aca="false">1-(1-U143)*U$18</f>
        <v>1</v>
      </c>
      <c r="V144" s="521" t="n">
        <v>0</v>
      </c>
      <c r="W144" s="577" t="n">
        <f aca="false">(J145*AJ144+J146*AK144)/AI144</f>
        <v>0</v>
      </c>
      <c r="X144" s="578" t="n">
        <f aca="false">(L145*AJ144+L146*AK144)/AI144</f>
        <v>1.85</v>
      </c>
      <c r="Y144" s="579" t="n">
        <f aca="false">IF(Q146="extra",W144-AA144,(P145*AM144+P146*AN144)/AL144)</f>
        <v>-1.1685</v>
      </c>
      <c r="Z144" s="579" t="n">
        <f aca="false">IF(Q146="extra",X144-AB144,(R145*AM144+R146*AN144)/AL144)</f>
        <v>0.681500000000002</v>
      </c>
      <c r="AA144" s="523" t="n">
        <f aca="false">IF(Q146="extra",INDEX(BrentSeasonalityTable,INT((BG144-1)/3)+1)*VLOOKUP(MAX(BF144,$AB$4),PriceSpreadTable,3),W144-Y144)</f>
        <v>1.1685</v>
      </c>
      <c r="AB144" s="524" t="n">
        <f aca="false">IF(Q146="extra",INDEX(BrentSeasonalityTable,INT((BG144-1)/3)+1)*VLOOKUP(MAX(BF144,$AB$4),PriceSpreadTable,3),X144-Z144)</f>
        <v>1.1685</v>
      </c>
      <c r="AC144" s="646" t="n">
        <v>40532</v>
      </c>
      <c r="AD144" s="646" t="n">
        <v>40528</v>
      </c>
      <c r="AE144" s="646" t="n">
        <v>40527</v>
      </c>
      <c r="AF144" s="646" t="n">
        <v>40523</v>
      </c>
      <c r="AG144" s="438" t="s">
        <v>278</v>
      </c>
      <c r="AH144" s="439" t="s">
        <v>278</v>
      </c>
      <c r="AI144" s="528" t="n">
        <v>21</v>
      </c>
      <c r="AJ144" s="529" t="n">
        <v>14</v>
      </c>
      <c r="AK144" s="529" t="n">
        <v>7</v>
      </c>
      <c r="AL144" s="530" t="n">
        <v>21</v>
      </c>
      <c r="AM144" s="529" t="n">
        <v>10</v>
      </c>
      <c r="AN144" s="531" t="n">
        <v>11</v>
      </c>
      <c r="AO144" s="532"/>
      <c r="AP144" s="465" t="n">
        <f aca="false">(1+AO144/2)^(-2*BL144)</f>
        <v>1</v>
      </c>
      <c r="AQ144" s="532"/>
      <c r="AR144" s="465" t="n">
        <f aca="false">(1+AQ144/2)^(-2*BH144/365.25)</f>
        <v>1</v>
      </c>
      <c r="AS144" s="580" t="n">
        <f aca="false">(O145*AJ144+O146*AK144)/AI144</f>
        <v>0</v>
      </c>
      <c r="AT144" s="468" t="n">
        <f aca="false">O144*VLOOKUP(BF144,BrentVolTable,2)+VLOOKUP(BF144,BrentVolTable,3)</f>
        <v>0</v>
      </c>
      <c r="AU144" s="468" t="n">
        <f aca="false">(AT145*AM144+AT146*AN144)/AL144</f>
        <v>0</v>
      </c>
      <c r="AV144" s="595" t="n">
        <f aca="false">SQRT(MAX(0.000000000001,(O144^2*BH144-S144^2*(BH144-BH143))/BH143))</f>
        <v>0.0267659842047282</v>
      </c>
      <c r="AW144" s="451" t="n">
        <f aca="false">IF($I144-DateToday+15&gt;=$T$8,"",IF($I144-DateToday+15&lt;$T$5,1,MATCH($I144-DateToday+15,$T$5:$T$8)))</f>
        <v>1</v>
      </c>
      <c r="AX144" s="468" t="n">
        <f aca="false">IF($AW144="",AX143^2/AX142,INDEX(U$5:U$8,$AW144)^((INDEX($T$5:$T$8,$AW144+1)-($I144-DateToday+15))/(INDEX($T$5:$T$8,$AW144+1)-INDEX($T$5:$T$8,$AW144)))/INDEX(U$5:U$8,$AW144+1)^((INDEX($T$5:$T$8,$AW144)-($I144-DateToday+15))/(INDEX($T$5:$T$8,$AW144+1)-INDEX($T$5:$T$8,$AW144))))</f>
        <v>0.885899600906213</v>
      </c>
      <c r="AY144" s="468" t="n">
        <f aca="false">IF($AW144="",AY143^2/AY142,INDEX(V$5:V$8,$AW144)^((INDEX($T$5:$T$8,$AW144+1)-($I144-DateToday+15))/(INDEX($T$5:$T$8,$AW144+1)-INDEX($T$5:$T$8,$AW144)))/INDEX(V$5:V$8,$AW144+1)^((INDEX($T$5:$T$8,$AW144)-($I144-DateToday+15))/(INDEX($T$5:$T$8,$AW144+1)-INDEX($T$5:$T$8,$AW144))))</f>
        <v>28.097982819467</v>
      </c>
      <c r="AZ144" s="468" t="n">
        <f aca="false">IF($AW144="",AZ143^2/AZ142,INDEX(W$5:W$8,$AW144)^((INDEX($T$5:$T$8,$AW144+1)-($I144-DateToday+15))/(INDEX($T$5:$T$8,$AW144+1)-INDEX($T$5:$T$8,$AW144)))/INDEX(W$5:W$8,$AW144+1)^((INDEX($T$5:$T$8,$AW144)-($I144-DateToday+15))/(INDEX($T$5:$T$8,$AW144+1)-INDEX($T$5:$T$8,$AW144))))</f>
        <v>25998.2877882647</v>
      </c>
      <c r="BA144" s="468" t="n">
        <f aca="false">IF($AW144="",BA143^2/BA142,INDEX(X$5:X$8,$AW144)^((INDEX($T$5:$T$8,$AW144+1)-($I144-DateToday+15))/(INDEX($T$5:$T$8,$AW144+1)-INDEX($T$5:$T$8,$AW144)))/INDEX(X$5:X$8,$AW144+1)^((INDEX($T$5:$T$8,$AW144)-($I144-DateToday+15))/(INDEX($T$5:$T$8,$AW144+1)-INDEX($T$5:$T$8,$AW144))))</f>
        <v>239915.341415296</v>
      </c>
      <c r="BB144" s="468" t="n">
        <f aca="false">IF($AW144="",BB143^2/BB142,INDEX(Y$5:Y$8,$AW144)^((INDEX($T$5:$T$8,$AW144+1)-($I144-DateToday+15))/(INDEX($T$5:$T$8,$AW144+1)-INDEX($T$5:$T$8,$AW144)))/INDEX(Y$5:Y$8,$AW144+1)^((INDEX($T$5:$T$8,$AW144)-($I144-DateToday+15))/(INDEX($T$5:$T$8,$AW144+1)-INDEX($T$5:$T$8,$AW144))))</f>
        <v>1943466.39747736</v>
      </c>
      <c r="BC144" s="468" t="n">
        <f aca="false">IF($AW144="",BC143^2/BC142,INDEX(Z$5:Z$8,$AW144)^((INDEX($T$5:$T$8,$AW144+1)-($I144-DateToday+15))/(INDEX($T$5:$T$8,$AW144+1)-INDEX($T$5:$T$8,$AW144)))/INDEX(Z$5:Z$8,$AW144+1)^((INDEX($T$5:$T$8,$AW144)-($I144-DateToday+15))/(INDEX($T$5:$T$8,$AW144+1)-INDEX($T$5:$T$8,$AW144))))</f>
        <v>6885210.89647716</v>
      </c>
      <c r="BD144" s="535" t="n">
        <f aca="false">IF(OR(DateStart&gt;=I145,DateEnd&lt;I144),0,IF(VolumeOverrideFlag,V144,Volume))</f>
        <v>0</v>
      </c>
      <c r="BE144" s="536" t="n">
        <f aca="false">IF(OR(DateStart2&gt;=I145,DateEnd2&lt;I144),0,IF(VolumeOverrideFlag,V144,VolumeSwaption))</f>
        <v>0</v>
      </c>
      <c r="BF144" s="537" t="n">
        <f aca="false">YEAR(I144)</f>
        <v>2011</v>
      </c>
      <c r="BG144" s="538" t="n">
        <f aca="false">MONTH(I144)</f>
        <v>1</v>
      </c>
      <c r="BH144" s="539" t="n">
        <f aca="false">AD144-DateToday+1</f>
        <v>-5397</v>
      </c>
      <c r="BI144" s="540" t="n">
        <f aca="false">(I144-DateToday+1)/365.25</f>
        <v>-14.7323750855578</v>
      </c>
      <c r="BJ144" s="541" t="n">
        <f aca="false">BI144+(BL144-BI144)*CHOOSE(Underlying,AJ144/AI144,AM144/AL144)</f>
        <v>-14.6776180698152</v>
      </c>
      <c r="BK144" s="541" t="n">
        <f aca="false">BJ144+1/365.25</f>
        <v>-14.6748802190281</v>
      </c>
      <c r="BL144" s="541" t="n">
        <f aca="false">(I145-DateToday)/365.25</f>
        <v>-14.6502395619439</v>
      </c>
      <c r="BM144" s="542" t="e">
        <f aca="false">MAX(BI144-(BJ144-BI144)*(S145^2/O145^2-1),0)</f>
        <v>#DIV/0!</v>
      </c>
      <c r="BN144" s="541" t="e">
        <f aca="false">MAX(BL144+(BL144-BK144)*(S146^2/O146^2-1),0)</f>
        <v>#DIV/0!</v>
      </c>
      <c r="BO144" s="530" t="n">
        <f aca="false">CHOOSE(Underlying,AI144,AL144)</f>
        <v>21</v>
      </c>
      <c r="BP144" s="529" t="n">
        <f aca="false">CHOOSE(Underlying,AJ144,AM144)</f>
        <v>14</v>
      </c>
      <c r="BQ144" s="529" t="n">
        <f aca="false">CHOOSE(Underlying,AK144,AN144)</f>
        <v>7</v>
      </c>
      <c r="BR144" s="463" t="str">
        <f aca="false">IF(BD144,IF(Underlying=1,X144,Z144)+UnderlyingPriceAsian-SwapPriceCurve,"")</f>
        <v/>
      </c>
      <c r="BS144" s="463" t="str">
        <f aca="false">IF(BD144,Strike1/BR144-1,"")</f>
        <v/>
      </c>
      <c r="BT144" s="464" t="str">
        <f aca="false">IF(BD144,Strike2/BR144-1,"")</f>
        <v/>
      </c>
      <c r="BU144" s="465" t="str">
        <f aca="false">IF(BD144,IF(Underlying=1,L145,R145)+UnderlyingPriceAsian-SwapPriceCurve,"")</f>
        <v/>
      </c>
      <c r="BV144" s="465" t="str">
        <f aca="false">IF(BD144,IF(Underlying=1,L146,R146)+UnderlyingPriceAsian-SwapPriceCurve,"")</f>
        <v/>
      </c>
      <c r="BW144" s="466" t="str">
        <f aca="false">IF(BD144,IF(Underlying=1,O145,AT145),"")</f>
        <v/>
      </c>
      <c r="BX144" s="467" t="str">
        <f aca="false">IF(BD144,IF(Underlying=1,O146,AT146),"")</f>
        <v/>
      </c>
      <c r="BY144" s="466" t="str">
        <f aca="false">IF(BD144,IF(BS144&gt;0,IF(BS144&gt;0.2,BC144-BB144,IF(BS144&gt;0.1,BB144-BA144,BA144)),IF(BS144&lt;-0.2,AX144-AY144,IF(BS144&lt;-0.1,AY144-AZ144,AZ144))),"")</f>
        <v/>
      </c>
      <c r="BZ144" s="467" t="str">
        <f aca="false">IF(BD144,IF(BT144&gt;0,IF(BT144&gt;0.2,BC144-BB144,IF(BT144&gt;0.1,BB144-BA144,BA144)),IF(BT144&lt;-0.2,AX144-AY144,IF(BT144&lt;-0.1,AY144-AZ144,AZ144))),"")</f>
        <v/>
      </c>
      <c r="CA144" s="468" t="str">
        <f aca="false">IF($BD144,$BW144+IF(VolSkewFlag=1,IF(BS144&gt;0,$BA144*MIN(BS144/10%,1)+($BB144-$BA144)*MAX(0,MIN(BS144/10%-1,1))+($BC144-$BB144)*MAX(0,BS144/10%-2),$AZ144*MIN(-BS144/10%,1)+($AY144-$AZ144)*MAX(0,MIN(-BS144/10%-1,1))+($AX144-$AY144)*MAX(0,-BS144/10%-2)),0),"")</f>
        <v/>
      </c>
      <c r="CB144" s="468" t="str">
        <f aca="false">IF($BD144,$BX144+IF(VolSkewFlag=1,IF(BS144&gt;0,$BA144*MIN(BS144/10%,1)+($BB144-$BA144)*MAX(0,MIN(BS144/10%-1,1))+($BC144-$BB144)*MAX(0,BS144/10%-2),$AZ144*MIN(-BS144/10%,1)+($AY144-$AZ144)*MAX(0,MIN(-BS144/10%-1,1))+($AX144-$AY144)*MAX(0,-BS144/10%-2)),0),"")</f>
        <v/>
      </c>
      <c r="CC144" s="468" t="str">
        <f aca="false">IF($BD144,$BW144+IF(VolSkewFlag=1,IF(BT144&gt;0,$BA144*MIN(BT144/10%,1)+($BB144-$BA144)*MAX(0,MIN(BT144/10%-1,1))+($BC144-$BB144)*MAX(0,BT144/10%-2),$AZ144*MIN(-BT144/10%,1)+($AY144-$AZ144)*MAX(0,MIN(-BT144/10%-1,1))+($AX144-$AY144)*MAX(0,-BT144/10%-2)),0),"")</f>
        <v/>
      </c>
      <c r="CD144" s="468" t="str">
        <f aca="false">IF($BD144,$BX144+IF(VolSkewFlag=1,IF(BT144&gt;0,$BA144*MIN(BT144/10%,1)+($BB144-$BA144)*MAX(0,MIN(BT144/10%-1,1))+($BC144-$BB144)*MAX(0,BT144/10%-2),$AZ144*MIN(-BT144/10%,1)+($AY144-$AZ144)*MAX(0,MIN(-BT144/10%-1,1))+($AX144-$AY144)*MAX(0,-BT144/10%-2)),0),"")</f>
        <v/>
      </c>
      <c r="CE144" s="469" t="n">
        <v>1</v>
      </c>
      <c r="CF144" s="470" t="n">
        <f aca="false">IF(BD144,xCrudeAPO(BU144,BV144,CA144,CB144,S145,S146,BI144,BL144,BP144,BQ144,0,Strike1,AO144,CE144,0,BL144,IF(OptControl=4,0,1),0,1),0)</f>
        <v>0</v>
      </c>
      <c r="CG144" s="470" t="n">
        <f aca="false">IF(BD144,xCrudeAPO(BU144,BV144,CA144,CB144,S145,S146,BI144,BL144,BP144,BQ144,0,Strike1,AO144,CE144,0,BL144,IF(OptControl=4,0,1),1,1)+xCrudeAPO(BU144,BV144,CA144,CB144,S145,S146,BI144,BL144,BP144,BQ144,0,Strike1,AO144,CE144,0,BL144,IF(OptControl=4,0,1),1,2)+IF(OR(VolSkewFlag=2,ABS(BS144)&lt;0.0001),0,IF(BS144&gt;0,-1,1)*CH144*Strike1/BR144^2*BY144/10%),0)</f>
        <v>0</v>
      </c>
      <c r="CH144" s="470" t="n">
        <f aca="false">IF(BD144,(xCrudeAPO(BU144,BV144,CA144,CB144,S145,S146,BI144,BL144,BP144,BQ144,0,Strike1,AO144,CE144,0,BL144,IF(OptControl=4,0,1),3,1)+xCrudeAPO(BU144,BV144,CA144,CB144,S145,S146,BI144,BL144,BP144,BQ144,0,Strike1,AO144,CE144,0,BL144,IF(OptControl=4,0,1),3,2))/100,0)</f>
        <v>0</v>
      </c>
      <c r="CI144" s="470" t="n">
        <f aca="false">IF(BD144,xCrudeAPO(BU144,BV144,CA144,CB144,S145,S146,BI144-DaysForThetaCalculation/365.25,BL144-DaysForThetaCalculation/365.25,BP144,BQ144,0,Strike1,AO144,CE144,0,BL144,IF(OptControl=4,0,1),0,1)-xCrudeAPO(BU144,BV144,CA144,CB144,S145,S146,BI144,BL144,BP144,BQ144,0,Strike1,AO144,CE144,0,BL144,IF(OptControl=4,0,1),0,1),0)</f>
        <v>0</v>
      </c>
      <c r="CJ144" s="471" t="n">
        <f aca="false">IF(BD144,xCrudeAPO(BU144,BV144,CC144,CD144,S145,S146,BI144,BL144,BP144,BQ144,0,Strike2,AO144,CE144,0,BL144,IF(OptControl=3,1,0),0,1),0)</f>
        <v>0</v>
      </c>
      <c r="CK144" s="470" t="n">
        <f aca="false">IF(BD144,xCrudeAPO(BU144,BV144,CC144,CD144,S145,S146,BI144,BL144,BP144,BQ144,0,Strike2,AO144,CE144,0,BL144,IF(OptControl=3,1,0),1,1)+xCrudeAPO(BU144,BV144,CC144,CD144,S145,S146,BI144,BL144,BP144,BQ144,0,Strike2,AO144,CE144,0,BL144,IF(OptControl=3,1,0),1,2)+IF(OR(VolSkewFlag=2,ABS(BT144)&lt;0.0001),0,IF(BT144&gt;0,-1,1)*CL144*Strike2/BR144^2*BZ144/10%),0)</f>
        <v>0</v>
      </c>
      <c r="CL144" s="470" t="n">
        <f aca="false">IF(BD144,(xCrudeAPO(BU144,BV144,CC144,CD144,S145,S146,BI144,BL144,BP144,BQ144,0,Strike2,AO144,CE144,0,BL144,IF(OptControl=3,1,0),3,1)+xCrudeAPO(BU144,BV144,CC144,CD144,S145,S146,BI144,BL144,BP144,BQ144,0,Strike2,AO144,CE144,0,BL144,IF(OptControl=3,1,0),3,2))/100,0)</f>
        <v>0</v>
      </c>
      <c r="CM144" s="472" t="n">
        <f aca="false">IF(BD144,xCrudeAPO(BU144,BV144,CC144,CD144,S145,S146,BI144-DaysForThetaCalculation/365.25,BL144-DaysForThetaCalculation/365.25,BP144,BQ144,0,Strike2,AO144,CE144,0,BL144,IF(OptControl=3,1,0),0,1)-xCrudeAPO(BU144,BV144,CC144,CD144,S145,S146,BI144,BL144,BP144,BQ144,0,Strike2,AO144,CE144,0,BL144,IF(OptControl=3,1,0),0,1),0)</f>
        <v>0</v>
      </c>
      <c r="CN144" s="3"/>
      <c r="CO144" s="543" t="str">
        <f aca="false">IF(BD144,CHOOSE(Underlying,AD144,AF144)-DateToday+1,"")</f>
        <v/>
      </c>
      <c r="CP144" s="582" t="str">
        <f aca="false">IF(BD144,CHOOSE(Underlying,L144,R144),"")</f>
        <v/>
      </c>
      <c r="CQ144" s="544" t="str">
        <f aca="false">IF(BD144,Strike1/CP144-1,"")</f>
        <v/>
      </c>
      <c r="CR144" s="544" t="str">
        <f aca="false">IF(BD144,Strike2/CP144-1,"")</f>
        <v/>
      </c>
      <c r="CS144" s="544" t="str">
        <f aca="false">IF(BD144,IF(CQ144&gt;0,IF(CQ144&gt;0.2,BC143-BB143,IF(CQ144&gt;0.1,BB143-BA143,BA143)),IF(CQ144&lt;-0.2,AX143-AY143,IF(CQ144&lt;-0.1,AY143-AZ143,AZ143))),"")</f>
        <v/>
      </c>
      <c r="CT144" s="544" t="str">
        <f aca="false">IF(BD144,IF(CR144&gt;0,IF(CR144&gt;0.2,BC143-BB143,IF(CR144&gt;0.1,BB143-BA143,BA143)),IF(CR144&lt;-0.2,AX143-AY143,IF(CR144&lt;-0.1,AY143-AZ143,AZ143))),"")</f>
        <v/>
      </c>
      <c r="CU144" s="545" t="str">
        <f aca="false">IF(BD144,CHOOSE(Underlying,O144,AT144),"")</f>
        <v/>
      </c>
      <c r="CV144" s="545" t="str">
        <f aca="false">IF(BD144,CU144+IF(VolSkewFlag=1,IF(CQ144&gt;0,BA143*MIN(CQ144/10%,1)+(BB143-BA143)*MAX(0,MIN(CQ144/10%-1,1))+(BC143-BB143)*MAX(0,CQ144/10%-2),AZ143*MIN(-CQ144/10%,1)+(AY143-AZ143)*MAX(0,MIN(-CQ144/10%-1,1))+(AX143-AY143)*MAX(0,-CQ144/10%-2)),0),"")</f>
        <v/>
      </c>
      <c r="CW144" s="545" t="str">
        <f aca="false">IF(BD144,CU144+IF(VolSkewFlag=1,IF(CR144&gt;0,BA143*MIN(CR144/10%,1)+(BB143-BA143)*MAX(0,MIN(CR144/10%-1,1))+(BC143-BB143)*MAX(0,CR144/10%-2),AZ143*MIN(-CR144/10%,1)+(AY143-AZ143)*MAX(0,MIN(-CR144/10%-1,1))+(AX143-AY143)*MAX(0,-CR144/10%-2)),0),"")</f>
        <v/>
      </c>
      <c r="CX144" s="470" t="n">
        <f aca="false">IF(BD144,EURO(CP144,Strike1,AO144,AO144,CV144,CO144,IF(OptControl=4,0,1),0),0)</f>
        <v>0</v>
      </c>
      <c r="CY144" s="470" t="n">
        <f aca="false">IF(BD144,EURO(CP144,Strike1,AO144,AO144,CV144,CO144,IF(OptControl=4,0,1),1)+IF(OR(VolSkewFlag=2,ABS(CQ144)&lt;0.0001),0,IF(CQ144&gt;0,-1,1)*CZ144*100*Strike1/CP144^2*CS144/10%),0)</f>
        <v>0</v>
      </c>
      <c r="CZ144" s="470" t="n">
        <f aca="false">IF(BD144,EURO(CP144,Strike1,AO144,AO144,CV144,CO144,IF(OptControl=4,0,1),3)/100,0)</f>
        <v>0</v>
      </c>
      <c r="DA144" s="470" t="n">
        <f aca="false">IF(BD144,EURO(CP144,Strike1,AO144,AO144,CV144,CO144,IF(OptControl=4,0,1),0)-EURO(CP144,Strike1,AO144,AO144,CV144,CO144-1,IF(OptControl=4,0,1),0),0)</f>
        <v>0</v>
      </c>
      <c r="DB144" s="470" t="n">
        <f aca="false">IF(BD144,EURO(CP144,Strike2,AO144,AO144,CW144,CO144,IF(OptControl=3,1,0),0),0)</f>
        <v>0</v>
      </c>
      <c r="DC144" s="470" t="n">
        <f aca="false">IF(BD144,EURO(CP144,Strike2,AO144,AO144,CW144,CO144,IF(OptControl=3,1,0),1)+IF(OR(VolSkewFlag=2,ABS(CR144)&lt;0.0001),0,IF(CR144&gt;0,-1,1)*DD144*100*Strike2/CP144^2*CT144/10%),0)</f>
        <v>0</v>
      </c>
      <c r="DD144" s="470" t="n">
        <f aca="false">IF(BD144,EURO(CP144,Strike2,AO144,AO144,CW144,CO144,IF(OptControl=3,1,0),3)/100,0)</f>
        <v>0</v>
      </c>
      <c r="DE144" s="472" t="n">
        <f aca="false">IF(BD144,EURO(CP144,Strike2,AO144,AO144,CW144,CO144,IF(OptControl=3,1,0),0)-EURO(CP144,Strike2,AO144,AO144,CW144,CO144-1,IF(OptControl=3,1,0),0),0)</f>
        <v>0</v>
      </c>
      <c r="DG144" s="481" t="n">
        <f aca="false">EOMONTH(DG143,0)+1</f>
        <v>49461</v>
      </c>
      <c r="DH144" s="478" t="n">
        <v>20.36</v>
      </c>
      <c r="DI144" s="479" t="n">
        <v>20.4281818181819</v>
      </c>
      <c r="DJ144" s="480" t="n">
        <f aca="false">DG144</f>
        <v>49461</v>
      </c>
      <c r="DK144" s="478" t="n">
        <v>18.9475575368795</v>
      </c>
      <c r="DL144" s="479" t="n">
        <v>19.1366818181819</v>
      </c>
      <c r="DM144" s="481" t="n">
        <f aca="false">DG144</f>
        <v>49461</v>
      </c>
      <c r="DN144" s="482" t="n">
        <f aca="false">DK144+BrentPhyBrentSpread</f>
        <v>18.9975575368795</v>
      </c>
      <c r="DO144" s="481" t="n">
        <f aca="false">DG144</f>
        <v>49461</v>
      </c>
      <c r="DP144" s="483" t="n">
        <f aca="false">DL144+DQ144</f>
        <v>19.1366818181819</v>
      </c>
      <c r="DQ144" s="546" t="n">
        <v>0</v>
      </c>
      <c r="DR144" s="480" t="n">
        <f aca="false">DG144</f>
        <v>49461</v>
      </c>
      <c r="DS144" s="485" t="n">
        <v>0.150199999999999</v>
      </c>
      <c r="DT144" s="486" t="n">
        <v>0.149381818181817</v>
      </c>
      <c r="DU144" s="480" t="n">
        <f aca="false">DG144</f>
        <v>49461</v>
      </c>
      <c r="DV144" s="485" t="n">
        <v>0.150199999999999</v>
      </c>
      <c r="DW144" s="486" t="n">
        <v>0.149381818181817</v>
      </c>
      <c r="DX144" s="481" t="n">
        <f aca="false">DG144</f>
        <v>49461</v>
      </c>
      <c r="DY144" s="486" t="n">
        <v>0.35</v>
      </c>
      <c r="DZ144" s="481" t="n">
        <f aca="false">DR144</f>
        <v>49461</v>
      </c>
      <c r="EA144" s="486" t="n">
        <f aca="false">DT144</f>
        <v>0.149381818181817</v>
      </c>
      <c r="EB144" s="195"/>
      <c r="EC144" s="547" t="str">
        <f aca="false">IF(BD144,IF(Underlying=1,AS144,AU144),"")</f>
        <v/>
      </c>
      <c r="ED144" s="548" t="str">
        <f aca="false">IF($BD144,$EC144+IF(VolSkewFlag=1,IF(BS144&gt;0,$BA144*MIN(BS144/10%,1)+($BB144-$BA144)*MAX(0,MIN(BS144/10%-1,1))+($BC144-$BB144)*MAX(0,BS144/10%-2),$AZ144*MIN(-BS144/10%,1)+($AY144-$AZ144)*MAX(0,MIN(-BS144/10%-1,1))+($AX144-$AY144)*MAX(0,-BS144/10%-2)),0),"")</f>
        <v/>
      </c>
      <c r="EE144" s="549" t="str">
        <f aca="false">IF($BD144,$EC144+IF(VolSkewFlag=1,IF(BT144&gt;0,$BA144*MIN(BT144/10%,1)+($BB144-$BA144)*MAX(0,MIN(BT144/10%-1,1))+($BC144-$BB144)*MAX(0,BT144/10%-2),$AZ144*MIN(-BT144/10%,1)+($AY144-$AZ144)*MAX(0,MIN(-BT144/10%-1,1))+($AX144-$AY144)*MAX(0,-BT144/10%-2)),0),"")</f>
        <v/>
      </c>
      <c r="EF144" s="550" t="n">
        <f aca="false">IF(BD144,xASN(BR144,Strike1,AO144,ED144,0,BO144,0,BI144,BL144,IF(OptControl=4,0,1),0),0)</f>
        <v>0</v>
      </c>
      <c r="EG144" s="551" t="n">
        <f aca="false">IF(BD144,xASN(BR144,Strike2,AO144,EE144,0,BO144,0,BI144,BL144,IF(OptControl=3,1,0),0),0)</f>
        <v>0</v>
      </c>
      <c r="EL144" s="1"/>
      <c r="EM144" s="195"/>
      <c r="EN144" s="240"/>
      <c r="EO144" s="240"/>
      <c r="EP144" s="195"/>
      <c r="EQ144" s="407" t="s">
        <v>371</v>
      </c>
      <c r="ES144" s="130"/>
      <c r="ET144" s="19"/>
      <c r="EU144" s="672"/>
      <c r="EV144" s="478"/>
      <c r="EW144" s="131"/>
      <c r="EX144" s="131"/>
      <c r="EY144" s="129"/>
      <c r="EZ144" s="129"/>
      <c r="FA144" s="129"/>
      <c r="FB144" s="129"/>
      <c r="FC144" s="129"/>
      <c r="FD144" s="129"/>
      <c r="FE144" s="129"/>
      <c r="FF144" s="129"/>
      <c r="FG144" s="129"/>
      <c r="FH144" s="129"/>
      <c r="FI144" s="129"/>
      <c r="FJ144" s="571" t="n">
        <v>50</v>
      </c>
      <c r="FK144" s="150" t="e">
        <f aca="false">IF($FJ69&lt;FK$94,"",SQRT(FK69/FK$15))</f>
        <v>#DIV/0!</v>
      </c>
      <c r="FL144" s="150" t="n">
        <f aca="false">IF($FJ69&lt;FL$94,"",SQRT(FL69/FL$15))</f>
        <v>-0</v>
      </c>
      <c r="FM144" s="150" t="n">
        <f aca="false">IF($FJ69&lt;FM$94,"",SQRT(FM69/FM$15))</f>
        <v>0.170579896940006</v>
      </c>
      <c r="FN144" s="150" t="n">
        <f aca="false">IF($FJ69&lt;FN$94,"",SQRT(FN69/FN$15))</f>
        <v>0.167313461201794</v>
      </c>
      <c r="FO144" s="150" t="n">
        <f aca="false">IF($FJ69&lt;FO$94,"",SQRT(FO69/FO$15))</f>
        <v>0.164869043079555</v>
      </c>
      <c r="FP144" s="150" t="n">
        <f aca="false">IF($FJ69&lt;FP$94,"",SQRT(FP69/FP$15))</f>
        <v>0.163042085862926</v>
      </c>
      <c r="FQ144" s="150" t="n">
        <f aca="false">IF($FJ69&lt;FQ$94,"",SQRT(FQ69/FQ$15))</f>
        <v>0.161679329488837</v>
      </c>
      <c r="FR144" s="150" t="n">
        <f aca="false">IF($FJ69&lt;FR$94,"",SQRT(FR69/FR$15))</f>
        <v>0.160666013663684</v>
      </c>
      <c r="FS144" s="150" t="n">
        <f aca="false">IF($FJ69&lt;FS$94,"",SQRT(FS69/FS$15))</f>
        <v>0.159916284827147</v>
      </c>
      <c r="FT144" s="150" t="n">
        <f aca="false">IF($FJ69&lt;FT$94,"",SQRT(FT69/FT$15))</f>
        <v>0.159366006806126</v>
      </c>
      <c r="FU144" s="150" t="n">
        <f aca="false">IF($FJ69&lt;FU$94,"",SQRT(FU69/FU$15))</f>
        <v>0.15896737518827</v>
      </c>
      <c r="FV144" s="150" t="n">
        <f aca="false">IF($FJ69&lt;FV$94,"",SQRT(FV69/FV$15))</f>
        <v>0.158684885607208</v>
      </c>
      <c r="FW144" s="150" t="n">
        <f aca="false">IF($FJ69&lt;FW$94,"",SQRT(FW69/FW$15))</f>
        <v>0.158492318785952</v>
      </c>
      <c r="FX144" s="150" t="n">
        <f aca="false">IF($FJ69&lt;FX$94,"",SQRT(FX69/FX$15))</f>
        <v>0.158370489714789</v>
      </c>
      <c r="FY144" s="150" t="n">
        <f aca="false">IF($FJ69&lt;FY$94,"",SQRT(FY69/FY$15))</f>
        <v>0.158305571784943</v>
      </c>
      <c r="FZ144" s="150" t="n">
        <f aca="false">IF($FJ69&lt;FZ$94,"",SQRT(FZ69/FZ$15))</f>
        <v>0.158287854340993</v>
      </c>
      <c r="GA144" s="150" t="n">
        <f aca="false">IF($FJ69&lt;GA$94,"",SQRT(GA69/GA$15))</f>
        <v>0.158310827917515</v>
      </c>
      <c r="GB144" s="150" t="n">
        <f aca="false">IF($FJ69&lt;GB$94,"",SQRT(GB69/GB$15))</f>
        <v>0.158370518365219</v>
      </c>
      <c r="GC144" s="150" t="n">
        <f aca="false">IF($FJ69&lt;GC$94,"",SQRT(GC69/GC$15))</f>
        <v>0.158465011385943</v>
      </c>
      <c r="GD144" s="150" t="n">
        <f aca="false">IF($FJ69&lt;GD$94,"",SQRT(GD69/GD$15))</f>
        <v>0.158594124368178</v>
      </c>
      <c r="GE144" s="150" t="n">
        <f aca="false">IF($FJ69&lt;GE$94,"",SQRT(GE69/GE$15))</f>
        <v>0.158759194116257</v>
      </c>
      <c r="GF144" s="150" t="n">
        <f aca="false">IF($FJ69&lt;GF$94,"",SQRT(GF69/GF$15))</f>
        <v>0.158962958061224</v>
      </c>
      <c r="GG144" s="150" t="n">
        <f aca="false">IF($FJ69&lt;GG$94,"",SQRT(GG69/GG$15))</f>
        <v>0.159209513567519</v>
      </c>
      <c r="GH144" s="150" t="n">
        <f aca="false">IF($FJ69&lt;GH$94,"",SQRT(GH69/GH$15))</f>
        <v>0.159504345580401</v>
      </c>
      <c r="GI144" s="150" t="n">
        <f aca="false">IF($FJ69&lt;GI$94,"",SQRT(GI69/GI$15))</f>
        <v>0.159854417552205</v>
      </c>
      <c r="GJ144" s="150" t="n">
        <f aca="false">IF($FJ69&lt;GJ$94,"",SQRT(GJ69/GJ$15))</f>
        <v>0.160268324722292</v>
      </c>
      <c r="GK144" s="150" t="n">
        <f aca="false">IF($FJ69&lt;GK$94,"",SQRT(GK69/GK$15))</f>
        <v>0.160756512745085</v>
      </c>
      <c r="GL144" s="150" t="n">
        <f aca="false">IF($FJ69&lt;GL$94,"",SQRT(GL69/GL$15))</f>
        <v>0.161331568691858</v>
      </c>
      <c r="GM144" s="150" t="n">
        <f aca="false">IF($FJ69&lt;GM$94,"",SQRT(GM69/GM$15))</f>
        <v>0.162008595947801</v>
      </c>
      <c r="GN144" s="150" t="n">
        <f aca="false">IF($FJ69&lt;GN$94,"",SQRT(GN69/GN$15))</f>
        <v>0.162805689902824</v>
      </c>
      <c r="GO144" s="150" t="n">
        <f aca="false">IF($FJ69&lt;GO$94,"",SQRT(GO69/GO$15))</f>
        <v>0.163744538124888</v>
      </c>
      <c r="GP144" s="150" t="n">
        <f aca="false">IF($FJ69&lt;GP$94,"",SQRT(GP69/GP$15))</f>
        <v>0.164851177629411</v>
      </c>
      <c r="GQ144" s="150" t="n">
        <f aca="false">IF($FJ69&lt;GQ$94,"",SQRT(GQ69/GQ$15))</f>
        <v>0.16615695393435</v>
      </c>
      <c r="GR144" s="150" t="n">
        <f aca="false">IF($FJ69&lt;GR$94,"",SQRT(GR69/GR$15))</f>
        <v>0.167699743294577</v>
      </c>
      <c r="GS144" s="150" t="n">
        <f aca="false">IF($FJ69&lt;GS$94,"",SQRT(GS69/GS$15))</f>
        <v>0.169525523032654</v>
      </c>
      <c r="GT144" s="150" t="n">
        <f aca="false">IF($FJ69&lt;GT$94,"",SQRT(GT69/GT$15))</f>
        <v>0.171690408540192</v>
      </c>
      <c r="GU144" s="150" t="n">
        <f aca="false">IF($FJ69&lt;GU$94,"",SQRT(GU69/GU$15))</f>
        <v>0.174263324414665</v>
      </c>
      <c r="GV144" s="150" t="n">
        <f aca="false">IF($FJ69&lt;GV$94,"",SQRT(GV69/GV$15))</f>
        <v>0.177329549305178</v>
      </c>
      <c r="GW144" s="150" t="n">
        <f aca="false">IF($FJ69&lt;GW$94,"",SQRT(GW69/GW$15))</f>
        <v>0.18099548209435</v>
      </c>
      <c r="GX144" s="150" t="n">
        <f aca="false">IF($FJ69&lt;GX$94,"",SQRT(GX69/GX$15))</f>
        <v>0.185395141717718</v>
      </c>
      <c r="GY144" s="150" t="n">
        <f aca="false">IF($FJ69&lt;GY$94,"",SQRT(GY69/GY$15))</f>
        <v>0.190699168497924</v>
      </c>
      <c r="GZ144" s="150" t="n">
        <f aca="false">IF($FJ69&lt;GZ$94,"",SQRT(GZ69/GZ$15))</f>
        <v>0.197127499457123</v>
      </c>
      <c r="HA144" s="150" t="n">
        <f aca="false">IF($FJ69&lt;HA$94,"",SQRT(HA69/HA$15))</f>
        <v>0.204967544560957</v>
      </c>
      <c r="HB144" s="150" t="n">
        <f aca="false">IF($FJ69&lt;HB$94,"",SQRT(HB69/HB$15))</f>
        <v>0.214600775085817</v>
      </c>
      <c r="HC144" s="150" t="n">
        <f aca="false">IF($FJ69&lt;HC$94,"",SQRT(HC69/HC$15))</f>
        <v>0.226542479258224</v>
      </c>
      <c r="HD144" s="150" t="n">
        <f aca="false">IF($FJ69&lt;HD$94,"",SQRT(HD69/HD$15))</f>
        <v>0.241502669042561</v>
      </c>
      <c r="HE144" s="150" t="n">
        <f aca="false">IF($FJ69&lt;HE$94,"",SQRT(HE69/HE$15))</f>
        <v>0.260481962252647</v>
      </c>
      <c r="HF144" s="150" t="n">
        <f aca="false">IF($FJ69&lt;HF$94,"",SQRT(HF69/HF$15))</f>
        <v>0.284927221568441</v>
      </c>
      <c r="HG144" s="150" t="n">
        <f aca="false">IF($FJ69&lt;HG$94,"",SQRT(HG69/HG$15))</f>
        <v>0.316993158646317</v>
      </c>
      <c r="HH144" s="150" t="n">
        <f aca="false">IF($FJ69&lt;HH$94,"",SQRT(HH69/HH$15))</f>
        <v>0.360000040271762</v>
      </c>
      <c r="HI144" s="150" t="str">
        <f aca="false">IF($FJ69&lt;HI$94,"",SQRT(HI69/HI$15))</f>
        <v/>
      </c>
      <c r="HJ144" s="150" t="str">
        <f aca="false">IF($FJ69&lt;HJ$94,"",SQRT(HJ69/HJ$15))</f>
        <v/>
      </c>
      <c r="HK144" s="150" t="str">
        <f aca="false">IF($FJ69&lt;HK$94,"",SQRT(HK69/HK$15))</f>
        <v/>
      </c>
      <c r="HL144" s="150" t="str">
        <f aca="false">IF($FJ69&lt;HL$94,"",SQRT(HL69/HL$15))</f>
        <v/>
      </c>
      <c r="HM144" s="150" t="str">
        <f aca="false">IF($FJ69&lt;HM$94,"",SQRT(HM69/HM$15))</f>
        <v/>
      </c>
      <c r="HN144" s="150" t="str">
        <f aca="false">IF($FJ69&lt;HN$94,"",SQRT(HN69/HN$15))</f>
        <v/>
      </c>
      <c r="HO144" s="150" t="str">
        <f aca="false">IF($FJ69&lt;HO$94,"",SQRT(HO69/HO$15))</f>
        <v/>
      </c>
      <c r="HP144" s="150" t="str">
        <f aca="false">IF($FJ69&lt;HP$94,"",SQRT(HP69/HP$15))</f>
        <v/>
      </c>
      <c r="HQ144" s="150" t="str">
        <f aca="false">IF($FJ69&lt;HQ$94,"",SQRT(HQ69/HQ$15))</f>
        <v/>
      </c>
      <c r="HR144" s="150" t="str">
        <f aca="false">IF($FJ69&lt;HR$94,"",SQRT(HR69/HR$15))</f>
        <v/>
      </c>
      <c r="HS144" s="150" t="str">
        <f aca="false">IF($FJ69&lt;HS$94,"",SQRT(HS69/HS$15))</f>
        <v/>
      </c>
      <c r="HT144" s="150" t="str">
        <f aca="false">IF($FJ69&lt;HT$94,"",SQRT(HT69/HT$15))</f>
        <v/>
      </c>
      <c r="HU144" s="150" t="str">
        <f aca="false">IF($FJ69&lt;HU$94,"",SQRT(HU69/HU$15))</f>
        <v/>
      </c>
      <c r="HV144" s="150" t="str">
        <f aca="false">IF($FJ69&lt;HV$94,"",SQRT(HV69/HV$15))</f>
        <v/>
      </c>
      <c r="HW144" s="150" t="str">
        <f aca="false">IF($FJ69&lt;HW$94,"",SQRT(HW69/HW$15))</f>
        <v/>
      </c>
      <c r="HX144" s="150" t="str">
        <f aca="false">IF($FJ69&lt;HX$94,"",SQRT(HX69/HX$15))</f>
        <v/>
      </c>
      <c r="HY144" s="150" t="str">
        <f aca="false">IF($FJ69&lt;HY$94,"",SQRT(HY69/HY$15))</f>
        <v/>
      </c>
      <c r="HZ144" s="150" t="str">
        <f aca="false">IF($FJ69&lt;HZ$94,"",SQRT(HZ69/HZ$15))</f>
        <v/>
      </c>
      <c r="IA144" s="150" t="str">
        <f aca="false">IF($FJ69&lt;IA$94,"",SQRT(IA69/IA$15))</f>
        <v/>
      </c>
      <c r="IB144" s="150" t="str">
        <f aca="false">IF($FJ69&lt;IB$94,"",SQRT(IB69/IB$15))</f>
        <v/>
      </c>
      <c r="IC144" s="150" t="str">
        <f aca="false">IF($FJ69&lt;IC$94,"",SQRT(IC69/IC$15))</f>
        <v/>
      </c>
      <c r="ID144" s="572" t="str">
        <f aca="false">IF($FJ69&lt;ID$94,"",SQRT(ID69/ID$15))</f>
        <v/>
      </c>
      <c r="IE144" s="129"/>
    </row>
    <row r="145" customFormat="false" ht="12.75" hidden="false" customHeight="false" outlineLevel="0" collapsed="false">
      <c r="H145" s="219" t="n">
        <f aca="false">VLOOKUP(I145,$EJ$20:$EL$54,3)</f>
        <v>0</v>
      </c>
      <c r="I145" s="511" t="n">
        <f aca="false">EOMONTH(I144,0)+1</f>
        <v>40575</v>
      </c>
      <c r="J145" s="512"/>
      <c r="K145" s="513" t="s">
        <v>280</v>
      </c>
      <c r="L145" s="514" t="n">
        <f aca="false">IF(ISNUMBER(K145),J145+K145/100,IF(K145="extra",L144+VLOOKUP(BF145,PriceSpreadTable,2)/12,IF(K145="inter",interpolateprices($K$19:$L$200,ROW(K145)-ROW(FirstPricingMonth)+1),interpolatechanges($J$19:$K$200,ROW(K145)-ROW(FirstPricingMonth)+1))))</f>
        <v>1.8375</v>
      </c>
      <c r="M145" s="515"/>
      <c r="N145" s="516" t="n">
        <v>0</v>
      </c>
      <c r="O145" s="515" t="n">
        <f aca="false">M145+N145</f>
        <v>0</v>
      </c>
      <c r="P145" s="512"/>
      <c r="Q145" s="513" t="s">
        <v>280</v>
      </c>
      <c r="R145" s="512" t="e">
        <f aca="false">IF(ISNUMBER(Q145),P145+Q145/100,IF(Q145="extra",(Z143*AL143-R144*AM143)/AN143,IF(Q145="inter",interpolateprices($Q$19:$R$260,ROW(Q145)-ROW(FirstPricingMonth)+1),interpolatechanges($P$19:$Q$260,ROW(Q145)-ROW(FirstPricingMonth)+1))))</f>
        <v>#VALUE!</v>
      </c>
      <c r="S145" s="597" t="n">
        <f aca="false">S$19+(S144-S$19)*S$18</f>
        <v>0.36</v>
      </c>
      <c r="T145" s="575" t="n">
        <f aca="false">SQRT((1-(1-T144^2/U144)*T$18)*U145)</f>
        <v>0.999999999648236</v>
      </c>
      <c r="U145" s="576" t="n">
        <f aca="false">1-(1-U144)*U$18</f>
        <v>1</v>
      </c>
      <c r="V145" s="521" t="n">
        <v>0</v>
      </c>
      <c r="W145" s="577" t="n">
        <f aca="false">(J146*AJ145+J147*AK145)/AI145</f>
        <v>0</v>
      </c>
      <c r="X145" s="578" t="n">
        <f aca="false">(L146*AJ145+L147*AK145)/AI145</f>
        <v>1.88625</v>
      </c>
      <c r="Y145" s="579" t="n">
        <f aca="false">IF(Q147="extra",W145-AA145,(P146*AM145+P147*AN145)/AL145)</f>
        <v>-1.1685</v>
      </c>
      <c r="Z145" s="579" t="n">
        <f aca="false">IF(Q147="extra",X145-AB145,(R146*AM145+R147*AN145)/AL145)</f>
        <v>0.717750000000002</v>
      </c>
      <c r="AA145" s="523" t="n">
        <f aca="false">IF(Q147="extra",INDEX(BrentSeasonalityTable,INT((BG145-1)/3)+1)*VLOOKUP(MAX(BF145,$AB$4),PriceSpreadTable,3),W145-Y145)</f>
        <v>1.1685</v>
      </c>
      <c r="AB145" s="524" t="n">
        <f aca="false">IF(Q147="extra",INDEX(BrentSeasonalityTable,INT((BG145-1)/3)+1)*VLOOKUP(MAX(BF145,$AB$4),PriceSpreadTable,3),X145-Z145)</f>
        <v>1.1685</v>
      </c>
      <c r="AC145" s="646" t="n">
        <v>40563</v>
      </c>
      <c r="AD145" s="646" t="n">
        <v>40559</v>
      </c>
      <c r="AE145" s="646" t="n">
        <v>40558</v>
      </c>
      <c r="AF145" s="646" t="n">
        <v>40554</v>
      </c>
      <c r="AG145" s="438" t="s">
        <v>278</v>
      </c>
      <c r="AH145" s="439" t="s">
        <v>278</v>
      </c>
      <c r="AI145" s="528" t="n">
        <v>20</v>
      </c>
      <c r="AJ145" s="529" t="n">
        <v>14</v>
      </c>
      <c r="AK145" s="529" t="n">
        <v>6</v>
      </c>
      <c r="AL145" s="530" t="n">
        <v>20</v>
      </c>
      <c r="AM145" s="529" t="n">
        <v>10</v>
      </c>
      <c r="AN145" s="531" t="n">
        <v>10</v>
      </c>
      <c r="AO145" s="532"/>
      <c r="AP145" s="465" t="n">
        <f aca="false">(1+AO145/2)^(-2*BL145)</f>
        <v>1</v>
      </c>
      <c r="AQ145" s="532"/>
      <c r="AR145" s="465" t="n">
        <f aca="false">(1+AQ145/2)^(-2*BH145/365.25)</f>
        <v>1</v>
      </c>
      <c r="AS145" s="580" t="n">
        <f aca="false">(O146*AJ145+O147*AK145)/AI145</f>
        <v>0</v>
      </c>
      <c r="AT145" s="468" t="n">
        <f aca="false">O145*VLOOKUP(BF145,BrentVolTable,2)+VLOOKUP(BF145,BrentVolTable,3)</f>
        <v>0</v>
      </c>
      <c r="AU145" s="468" t="n">
        <f aca="false">(AT146*AM145+AT147*AN145)/AL145</f>
        <v>0</v>
      </c>
      <c r="AV145" s="595" t="n">
        <f aca="false">SQRT(MAX(0.000000000001,(O145^2*BH145-S145^2*(BH145-BH144))/BH144))</f>
        <v>0.0272839433200299</v>
      </c>
      <c r="AW145" s="451" t="n">
        <f aca="false">IF($I145-DateToday+15&gt;=$T$8,"",IF($I145-DateToday+15&lt;$T$5,1,MATCH($I145-DateToday+15,$T$5:$T$8)))</f>
        <v>1</v>
      </c>
      <c r="AX145" s="468" t="n">
        <f aca="false">IF($AW145="",AX144^2/AX143,INDEX(U$5:U$8,$AW145)^((INDEX($T$5:$T$8,$AW145+1)-($I145-DateToday+15))/(INDEX($T$5:$T$8,$AW145+1)-INDEX($T$5:$T$8,$AW145)))/INDEX(U$5:U$8,$AW145+1)^((INDEX($T$5:$T$8,$AW145)-($I145-DateToday+15))/(INDEX($T$5:$T$8,$AW145+1)-INDEX($T$5:$T$8,$AW145))))</f>
        <v>0.866818073567465</v>
      </c>
      <c r="AY145" s="468" t="n">
        <f aca="false">IF($AW145="",AY144^2/AY143,INDEX(V$5:V$8,$AW145)^((INDEX($T$5:$T$8,$AW145+1)-($I145-DateToday+15))/(INDEX($T$5:$T$8,$AW145+1)-INDEX($T$5:$T$8,$AW145)))/INDEX(V$5:V$8,$AW145+1)^((INDEX($T$5:$T$8,$AW145)-($I145-DateToday+15))/(INDEX($T$5:$T$8,$AW145+1)-INDEX($T$5:$T$8,$AW145))))</f>
        <v>26.917742793813</v>
      </c>
      <c r="AZ145" s="468" t="n">
        <f aca="false">IF($AW145="",AZ144^2/AZ143,INDEX(W$5:W$8,$AW145)^((INDEX($T$5:$T$8,$AW145+1)-($I145-DateToday+15))/(INDEX($T$5:$T$8,$AW145+1)-INDEX($T$5:$T$8,$AW145)))/INDEX(W$5:W$8,$AW145+1)^((INDEX($T$5:$T$8,$AW145)-($I145-DateToday+15))/(INDEX($T$5:$T$8,$AW145+1)-INDEX($T$5:$T$8,$AW145))))</f>
        <v>23908.5123121167</v>
      </c>
      <c r="BA145" s="468" t="n">
        <f aca="false">IF($AW145="",BA144^2/BA143,INDEX(X$5:X$8,$AW145)^((INDEX($T$5:$T$8,$AW145+1)-($I145-DateToday+15))/(INDEX($T$5:$T$8,$AW145+1)-INDEX($T$5:$T$8,$AW145)))/INDEX(X$5:X$8,$AW145+1)^((INDEX($T$5:$T$8,$AW145)-($I145-DateToday+15))/(INDEX($T$5:$T$8,$AW145+1)-INDEX($T$5:$T$8,$AW145))))</f>
        <v>215878.443585968</v>
      </c>
      <c r="BB145" s="468" t="n">
        <f aca="false">IF($AW145="",BB144^2/BB143,INDEX(Y$5:Y$8,$AW145)^((INDEX($T$5:$T$8,$AW145+1)-($I145-DateToday+15))/(INDEX($T$5:$T$8,$AW145+1)-INDEX($T$5:$T$8,$AW145)))/INDEX(Y$5:Y$8,$AW145+1)^((INDEX($T$5:$T$8,$AW145)-($I145-DateToday+15))/(INDEX($T$5:$T$8,$AW145+1)-INDEX($T$5:$T$8,$AW145))))</f>
        <v>1731207.69050743</v>
      </c>
      <c r="BC145" s="468" t="n">
        <f aca="false">IF($AW145="",BC144^2/BC143,INDEX(Z$5:Z$8,$AW145)^((INDEX($T$5:$T$8,$AW145+1)-($I145-DateToday+15))/(INDEX($T$5:$T$8,$AW145+1)-INDEX($T$5:$T$8,$AW145)))/INDEX(Z$5:Z$8,$AW145+1)^((INDEX($T$5:$T$8,$AW145)-($I145-DateToday+15))/(INDEX($T$5:$T$8,$AW145+1)-INDEX($T$5:$T$8,$AW145))))</f>
        <v>6097628.0558795</v>
      </c>
      <c r="BD145" s="535" t="n">
        <f aca="false">IF(OR(DateStart&gt;=I146,DateEnd&lt;I145),0,IF(VolumeOverrideFlag,V145,Volume))</f>
        <v>0</v>
      </c>
      <c r="BE145" s="536" t="n">
        <f aca="false">IF(OR(DateStart2&gt;=I146,DateEnd2&lt;I145),0,IF(VolumeOverrideFlag,V145,VolumeSwaption))</f>
        <v>0</v>
      </c>
      <c r="BF145" s="537" t="n">
        <f aca="false">YEAR(I145)</f>
        <v>2011</v>
      </c>
      <c r="BG145" s="538" t="n">
        <f aca="false">MONTH(I145)</f>
        <v>2</v>
      </c>
      <c r="BH145" s="539" t="n">
        <f aca="false">AD145-DateToday+1</f>
        <v>-5366</v>
      </c>
      <c r="BI145" s="540" t="n">
        <f aca="false">(I145-DateToday+1)/365.25</f>
        <v>-14.6475017111567</v>
      </c>
      <c r="BJ145" s="541" t="n">
        <f aca="false">BI145+(BL145-BI145)*CHOOSE(Underlying,AJ145/AI145,AM145/AL145)</f>
        <v>-14.5957563312799</v>
      </c>
      <c r="BK145" s="541" t="n">
        <f aca="false">BJ145+1/365.25</f>
        <v>-14.5930184804928</v>
      </c>
      <c r="BL145" s="541" t="n">
        <f aca="false">(I146-DateToday)/365.25</f>
        <v>-14.5735797399042</v>
      </c>
      <c r="BM145" s="542" t="e">
        <f aca="false">MAX(BI145-(BJ145-BI145)*(S146^2/O146^2-1),0)</f>
        <v>#DIV/0!</v>
      </c>
      <c r="BN145" s="541" t="e">
        <f aca="false">MAX(BL145+(BL145-BK145)*(S147^2/O147^2-1),0)</f>
        <v>#DIV/0!</v>
      </c>
      <c r="BO145" s="530" t="n">
        <f aca="false">CHOOSE(Underlying,AI145,AL145)</f>
        <v>20</v>
      </c>
      <c r="BP145" s="529" t="n">
        <f aca="false">CHOOSE(Underlying,AJ145,AM145)</f>
        <v>14</v>
      </c>
      <c r="BQ145" s="529" t="n">
        <f aca="false">CHOOSE(Underlying,AK145,AN145)</f>
        <v>6</v>
      </c>
      <c r="BR145" s="463" t="str">
        <f aca="false">IF(BD145,IF(Underlying=1,X145,Z145)+UnderlyingPriceAsian-SwapPriceCurve,"")</f>
        <v/>
      </c>
      <c r="BS145" s="463" t="str">
        <f aca="false">IF(BD145,Strike1/BR145-1,"")</f>
        <v/>
      </c>
      <c r="BT145" s="464" t="str">
        <f aca="false">IF(BD145,Strike2/BR145-1,"")</f>
        <v/>
      </c>
      <c r="BU145" s="465" t="str">
        <f aca="false">IF(BD145,IF(Underlying=1,L146,R146)+UnderlyingPriceAsian-SwapPriceCurve,"")</f>
        <v/>
      </c>
      <c r="BV145" s="465" t="str">
        <f aca="false">IF(BD145,IF(Underlying=1,L147,R147)+UnderlyingPriceAsian-SwapPriceCurve,"")</f>
        <v/>
      </c>
      <c r="BW145" s="466" t="str">
        <f aca="false">IF(BD145,IF(Underlying=1,O146,AT146),"")</f>
        <v/>
      </c>
      <c r="BX145" s="467" t="str">
        <f aca="false">IF(BD145,IF(Underlying=1,O147,AT147),"")</f>
        <v/>
      </c>
      <c r="BY145" s="466" t="str">
        <f aca="false">IF(BD145,IF(BS145&gt;0,IF(BS145&gt;0.2,BC145-BB145,IF(BS145&gt;0.1,BB145-BA145,BA145)),IF(BS145&lt;-0.2,AX145-AY145,IF(BS145&lt;-0.1,AY145-AZ145,AZ145))),"")</f>
        <v/>
      </c>
      <c r="BZ145" s="467" t="str">
        <f aca="false">IF(BD145,IF(BT145&gt;0,IF(BT145&gt;0.2,BC145-BB145,IF(BT145&gt;0.1,BB145-BA145,BA145)),IF(BT145&lt;-0.2,AX145-AY145,IF(BT145&lt;-0.1,AY145-AZ145,AZ145))),"")</f>
        <v/>
      </c>
      <c r="CA145" s="468" t="str">
        <f aca="false">IF($BD145,$BW145+IF(VolSkewFlag=1,IF(BS145&gt;0,$BA145*MIN(BS145/10%,1)+($BB145-$BA145)*MAX(0,MIN(BS145/10%-1,1))+($BC145-$BB145)*MAX(0,BS145/10%-2),$AZ145*MIN(-BS145/10%,1)+($AY145-$AZ145)*MAX(0,MIN(-BS145/10%-1,1))+($AX145-$AY145)*MAX(0,-BS145/10%-2)),0),"")</f>
        <v/>
      </c>
      <c r="CB145" s="468" t="str">
        <f aca="false">IF($BD145,$BX145+IF(VolSkewFlag=1,IF(BS145&gt;0,$BA145*MIN(BS145/10%,1)+($BB145-$BA145)*MAX(0,MIN(BS145/10%-1,1))+($BC145-$BB145)*MAX(0,BS145/10%-2),$AZ145*MIN(-BS145/10%,1)+($AY145-$AZ145)*MAX(0,MIN(-BS145/10%-1,1))+($AX145-$AY145)*MAX(0,-BS145/10%-2)),0),"")</f>
        <v/>
      </c>
      <c r="CC145" s="468" t="str">
        <f aca="false">IF($BD145,$BW145+IF(VolSkewFlag=1,IF(BT145&gt;0,$BA145*MIN(BT145/10%,1)+($BB145-$BA145)*MAX(0,MIN(BT145/10%-1,1))+($BC145-$BB145)*MAX(0,BT145/10%-2),$AZ145*MIN(-BT145/10%,1)+($AY145-$AZ145)*MAX(0,MIN(-BT145/10%-1,1))+($AX145-$AY145)*MAX(0,-BT145/10%-2)),0),"")</f>
        <v/>
      </c>
      <c r="CD145" s="468" t="str">
        <f aca="false">IF($BD145,$BX145+IF(VolSkewFlag=1,IF(BT145&gt;0,$BA145*MIN(BT145/10%,1)+($BB145-$BA145)*MAX(0,MIN(BT145/10%-1,1))+($BC145-$BB145)*MAX(0,BT145/10%-2),$AZ145*MIN(-BT145/10%,1)+($AY145-$AZ145)*MAX(0,MIN(-BT145/10%-1,1))+($AX145-$AY145)*MAX(0,-BT145/10%-2)),0),"")</f>
        <v/>
      </c>
      <c r="CE145" s="469" t="n">
        <v>1</v>
      </c>
      <c r="CF145" s="470" t="n">
        <f aca="false">IF(BD145,xCrudeAPO(BU145,BV145,CA145,CB145,S146,S147,BI145,BL145,BP145,BQ145,0,Strike1,AO145,CE145,0,BL145,IF(OptControl=4,0,1),0,1),0)</f>
        <v>0</v>
      </c>
      <c r="CG145" s="470" t="n">
        <f aca="false">IF(BD145,xCrudeAPO(BU145,BV145,CA145,CB145,S146,S147,BI145,BL145,BP145,BQ145,0,Strike1,AO145,CE145,0,BL145,IF(OptControl=4,0,1),1,1)+xCrudeAPO(BU145,BV145,CA145,CB145,S146,S147,BI145,BL145,BP145,BQ145,0,Strike1,AO145,CE145,0,BL145,IF(OptControl=4,0,1),1,2)+IF(OR(VolSkewFlag=2,ABS(BS145)&lt;0.0001),0,IF(BS145&gt;0,-1,1)*CH145*Strike1/BR145^2*BY145/10%),0)</f>
        <v>0</v>
      </c>
      <c r="CH145" s="470" t="n">
        <f aca="false">IF(BD145,(xCrudeAPO(BU145,BV145,CA145,CB145,S146,S147,BI145,BL145,BP145,BQ145,0,Strike1,AO145,CE145,0,BL145,IF(OptControl=4,0,1),3,1)+xCrudeAPO(BU145,BV145,CA145,CB145,S146,S147,BI145,BL145,BP145,BQ145,0,Strike1,AO145,CE145,0,BL145,IF(OptControl=4,0,1),3,2))/100,0)</f>
        <v>0</v>
      </c>
      <c r="CI145" s="470" t="n">
        <f aca="false">IF(BD145,xCrudeAPO(BU145,BV145,CA145,CB145,S146,S147,BI145-DaysForThetaCalculation/365.25,BL145-DaysForThetaCalculation/365.25,BP145,BQ145,0,Strike1,AO145,CE145,0,BL145,IF(OptControl=4,0,1),0,1)-xCrudeAPO(BU145,BV145,CA145,CB145,S146,S147,BI145,BL145,BP145,BQ145,0,Strike1,AO145,CE145,0,BL145,IF(OptControl=4,0,1),0,1),0)</f>
        <v>0</v>
      </c>
      <c r="CJ145" s="471" t="n">
        <f aca="false">IF(BD145,xCrudeAPO(BU145,BV145,CC145,CD145,S146,S147,BI145,BL145,BP145,BQ145,0,Strike2,AO145,CE145,0,BL145,IF(OptControl=3,1,0),0,1),0)</f>
        <v>0</v>
      </c>
      <c r="CK145" s="470" t="n">
        <f aca="false">IF(BD145,xCrudeAPO(BU145,BV145,CC145,CD145,S146,S147,BI145,BL145,BP145,BQ145,0,Strike2,AO145,CE145,0,BL145,IF(OptControl=3,1,0),1,1)+xCrudeAPO(BU145,BV145,CC145,CD145,S146,S147,BI145,BL145,BP145,BQ145,0,Strike2,AO145,CE145,0,BL145,IF(OptControl=3,1,0),1,2)+IF(OR(VolSkewFlag=2,ABS(BT145)&lt;0.0001),0,IF(BT145&gt;0,-1,1)*CL145*Strike2/BR145^2*BZ145/10%),0)</f>
        <v>0</v>
      </c>
      <c r="CL145" s="470" t="n">
        <f aca="false">IF(BD145,(xCrudeAPO(BU145,BV145,CC145,CD145,S146,S147,BI145,BL145,BP145,BQ145,0,Strike2,AO145,CE145,0,BL145,IF(OptControl=3,1,0),3,1)+xCrudeAPO(BU145,BV145,CC145,CD145,S146,S147,BI145,BL145,BP145,BQ145,0,Strike2,AO145,CE145,0,BL145,IF(OptControl=3,1,0),3,2))/100,0)</f>
        <v>0</v>
      </c>
      <c r="CM145" s="472" t="n">
        <f aca="false">IF(BD145,xCrudeAPO(BU145,BV145,CC145,CD145,S146,S147,BI145-DaysForThetaCalculation/365.25,BL145-DaysForThetaCalculation/365.25,BP145,BQ145,0,Strike2,AO145,CE145,0,BL145,IF(OptControl=3,1,0),0,1)-xCrudeAPO(BU145,BV145,CC145,CD145,S146,S147,BI145,BL145,BP145,BQ145,0,Strike2,AO145,CE145,0,BL145,IF(OptControl=3,1,0),0,1),0)</f>
        <v>0</v>
      </c>
      <c r="CN145" s="3"/>
      <c r="CO145" s="543" t="str">
        <f aca="false">IF(BD145,CHOOSE(Underlying,AD145,AF145)-DateToday+1,"")</f>
        <v/>
      </c>
      <c r="CP145" s="582" t="str">
        <f aca="false">IF(BD145,CHOOSE(Underlying,L145,R145),"")</f>
        <v/>
      </c>
      <c r="CQ145" s="544" t="str">
        <f aca="false">IF(BD145,Strike1/CP145-1,"")</f>
        <v/>
      </c>
      <c r="CR145" s="544" t="str">
        <f aca="false">IF(BD145,Strike2/CP145-1,"")</f>
        <v/>
      </c>
      <c r="CS145" s="544" t="str">
        <f aca="false">IF(BD145,IF(CQ145&gt;0,IF(CQ145&gt;0.2,BC144-BB144,IF(CQ145&gt;0.1,BB144-BA144,BA144)),IF(CQ145&lt;-0.2,AX144-AY144,IF(CQ145&lt;-0.1,AY144-AZ144,AZ144))),"")</f>
        <v/>
      </c>
      <c r="CT145" s="544" t="str">
        <f aca="false">IF(BD145,IF(CR145&gt;0,IF(CR145&gt;0.2,BC144-BB144,IF(CR145&gt;0.1,BB144-BA144,BA144)),IF(CR145&lt;-0.2,AX144-AY144,IF(CR145&lt;-0.1,AY144-AZ144,AZ144))),"")</f>
        <v/>
      </c>
      <c r="CU145" s="545" t="str">
        <f aca="false">IF(BD145,CHOOSE(Underlying,O145,AT145),"")</f>
        <v/>
      </c>
      <c r="CV145" s="545" t="str">
        <f aca="false">IF(BD145,CU145+IF(VolSkewFlag=1,IF(CQ145&gt;0,BA144*MIN(CQ145/10%,1)+(BB144-BA144)*MAX(0,MIN(CQ145/10%-1,1))+(BC144-BB144)*MAX(0,CQ145/10%-2),AZ144*MIN(-CQ145/10%,1)+(AY144-AZ144)*MAX(0,MIN(-CQ145/10%-1,1))+(AX144-AY144)*MAX(0,-CQ145/10%-2)),0),"")</f>
        <v/>
      </c>
      <c r="CW145" s="545" t="str">
        <f aca="false">IF(BD145,CU145+IF(VolSkewFlag=1,IF(CR145&gt;0,BA144*MIN(CR145/10%,1)+(BB144-BA144)*MAX(0,MIN(CR145/10%-1,1))+(BC144-BB144)*MAX(0,CR145/10%-2),AZ144*MIN(-CR145/10%,1)+(AY144-AZ144)*MAX(0,MIN(-CR145/10%-1,1))+(AX144-AY144)*MAX(0,-CR145/10%-2)),0),"")</f>
        <v/>
      </c>
      <c r="CX145" s="470" t="n">
        <f aca="false">IF(BD145,EURO(CP145,Strike1,AO145,AO145,CV145,CO145,IF(OptControl=4,0,1),0),0)</f>
        <v>0</v>
      </c>
      <c r="CY145" s="470" t="n">
        <f aca="false">IF(BD145,EURO(CP145,Strike1,AO145,AO145,CV145,CO145,IF(OptControl=4,0,1),1)+IF(OR(VolSkewFlag=2,ABS(CQ145)&lt;0.0001),0,IF(CQ145&gt;0,-1,1)*CZ145*100*Strike1/CP145^2*CS145/10%),0)</f>
        <v>0</v>
      </c>
      <c r="CZ145" s="470" t="n">
        <f aca="false">IF(BD145,EURO(CP145,Strike1,AO145,AO145,CV145,CO145,IF(OptControl=4,0,1),3)/100,0)</f>
        <v>0</v>
      </c>
      <c r="DA145" s="470" t="n">
        <f aca="false">IF(BD145,EURO(CP145,Strike1,AO145,AO145,CV145,CO145,IF(OptControl=4,0,1),0)-EURO(CP145,Strike1,AO145,AO145,CV145,CO145-1,IF(OptControl=4,0,1),0),0)</f>
        <v>0</v>
      </c>
      <c r="DB145" s="470" t="n">
        <f aca="false">IF(BD145,EURO(CP145,Strike2,AO145,AO145,CW145,CO145,IF(OptControl=3,1,0),0),0)</f>
        <v>0</v>
      </c>
      <c r="DC145" s="470" t="n">
        <f aca="false">IF(BD145,EURO(CP145,Strike2,AO145,AO145,CW145,CO145,IF(OptControl=3,1,0),1)+IF(OR(VolSkewFlag=2,ABS(CR145)&lt;0.0001),0,IF(CR145&gt;0,-1,1)*DD145*100*Strike2/CP145^2*CT145/10%),0)</f>
        <v>0</v>
      </c>
      <c r="DD145" s="470" t="n">
        <f aca="false">IF(BD145,EURO(CP145,Strike2,AO145,AO145,CW145,CO145,IF(OptControl=3,1,0),3)/100,0)</f>
        <v>0</v>
      </c>
      <c r="DE145" s="472" t="n">
        <f aca="false">IF(BD145,EURO(CP145,Strike2,AO145,AO145,CW145,CO145,IF(OptControl=3,1,0),0)-EURO(CP145,Strike2,AO145,AO145,CW145,CO145-1,IF(OptControl=3,1,0),0),0)</f>
        <v>0</v>
      </c>
      <c r="DG145" s="481" t="n">
        <f aca="false">EOMONTH(DG144,0)+1</f>
        <v>49491</v>
      </c>
      <c r="DH145" s="478" t="n">
        <v>20.41</v>
      </c>
      <c r="DI145" s="479" t="n">
        <v>20.4781818181819</v>
      </c>
      <c r="DJ145" s="480" t="n">
        <f aca="false">DG145</f>
        <v>49491</v>
      </c>
      <c r="DK145" s="478" t="n">
        <v>19.2102658755642</v>
      </c>
      <c r="DL145" s="479" t="n">
        <v>19.2112818181819</v>
      </c>
      <c r="DM145" s="481" t="n">
        <f aca="false">DG145</f>
        <v>49491</v>
      </c>
      <c r="DN145" s="482" t="n">
        <f aca="false">DK145+BrentPhyBrentSpread</f>
        <v>19.2602658755642</v>
      </c>
      <c r="DO145" s="481" t="n">
        <f aca="false">DG145</f>
        <v>49491</v>
      </c>
      <c r="DP145" s="483" t="n">
        <f aca="false">DL145+DQ145</f>
        <v>19.2112818181819</v>
      </c>
      <c r="DQ145" s="546" t="n">
        <v>0</v>
      </c>
      <c r="DR145" s="480" t="n">
        <f aca="false">DG145</f>
        <v>49491</v>
      </c>
      <c r="DS145" s="485" t="n">
        <v>0.149599999999999</v>
      </c>
      <c r="DT145" s="486" t="n">
        <v>0.148781818181817</v>
      </c>
      <c r="DU145" s="480" t="n">
        <f aca="false">DG145</f>
        <v>49491</v>
      </c>
      <c r="DV145" s="485" t="n">
        <v>0.149599999999999</v>
      </c>
      <c r="DW145" s="486" t="n">
        <v>0.148781818181817</v>
      </c>
      <c r="DX145" s="481" t="n">
        <f aca="false">DG145</f>
        <v>49491</v>
      </c>
      <c r="DY145" s="486" t="n">
        <v>0.35</v>
      </c>
      <c r="DZ145" s="481" t="n">
        <f aca="false">DR145</f>
        <v>49491</v>
      </c>
      <c r="EA145" s="486" t="n">
        <f aca="false">DT145</f>
        <v>0.148781818181817</v>
      </c>
      <c r="EB145" s="195"/>
      <c r="EC145" s="547" t="str">
        <f aca="false">IF(BD145,IF(Underlying=1,AS145,AU145),"")</f>
        <v/>
      </c>
      <c r="ED145" s="548" t="str">
        <f aca="false">IF($BD145,$EC145+IF(VolSkewFlag=1,IF(BS145&gt;0,$BA145*MIN(BS145/10%,1)+($BB145-$BA145)*MAX(0,MIN(BS145/10%-1,1))+($BC145-$BB145)*MAX(0,BS145/10%-2),$AZ145*MIN(-BS145/10%,1)+($AY145-$AZ145)*MAX(0,MIN(-BS145/10%-1,1))+($AX145-$AY145)*MAX(0,-BS145/10%-2)),0),"")</f>
        <v/>
      </c>
      <c r="EE145" s="549" t="str">
        <f aca="false">IF($BD145,$EC145+IF(VolSkewFlag=1,IF(BT145&gt;0,$BA145*MIN(BT145/10%,1)+($BB145-$BA145)*MAX(0,MIN(BT145/10%-1,1))+($BC145-$BB145)*MAX(0,BT145/10%-2),$AZ145*MIN(-BT145/10%,1)+($AY145-$AZ145)*MAX(0,MIN(-BT145/10%-1,1))+($AX145-$AY145)*MAX(0,-BT145/10%-2)),0),"")</f>
        <v/>
      </c>
      <c r="EF145" s="550" t="n">
        <f aca="false">IF(BD145,xASN(BR145,Strike1,AO145,ED145,0,BO145,0,BI145,BL145,IF(OptControl=4,0,1),0),0)</f>
        <v>0</v>
      </c>
      <c r="EG145" s="551" t="n">
        <f aca="false">IF(BD145,xASN(BR145,Strike2,AO145,EE145,0,BO145,0,BI145,BL145,IF(OptControl=3,1,0),0),0)</f>
        <v>0</v>
      </c>
      <c r="EL145" s="1"/>
      <c r="EM145" s="195"/>
      <c r="EN145" s="240"/>
      <c r="EO145" s="240"/>
      <c r="EP145" s="195"/>
      <c r="EQ145" s="407" t="s">
        <v>372</v>
      </c>
      <c r="ES145" s="130"/>
      <c r="ET145" s="19"/>
      <c r="EU145" s="672"/>
      <c r="EV145" s="478"/>
      <c r="EW145" s="131"/>
      <c r="EX145" s="131"/>
      <c r="EY145" s="129"/>
      <c r="EZ145" s="129"/>
      <c r="FA145" s="129"/>
      <c r="FB145" s="129"/>
      <c r="FC145" s="129"/>
      <c r="FD145" s="129"/>
      <c r="FE145" s="129"/>
      <c r="FF145" s="129"/>
      <c r="FG145" s="129"/>
      <c r="FH145" s="129"/>
      <c r="FI145" s="129"/>
      <c r="FJ145" s="571" t="n">
        <v>51</v>
      </c>
      <c r="FK145" s="150" t="e">
        <f aca="false">IF($FJ70&lt;FK$94,"",SQRT(FK70/FK$15))</f>
        <v>#DIV/0!</v>
      </c>
      <c r="FL145" s="150" t="n">
        <f aca="false">IF($FJ70&lt;FL$94,"",SQRT(FL70/FL$15))</f>
        <v>-0</v>
      </c>
      <c r="FM145" s="150" t="n">
        <f aca="false">IF($FJ70&lt;FM$94,"",SQRT(FM70/FM$15))</f>
        <v>0.170567739615948</v>
      </c>
      <c r="FN145" s="150" t="n">
        <f aca="false">IF($FJ70&lt;FN$94,"",SQRT(FN70/FN$15))</f>
        <v>0.167299514306545</v>
      </c>
      <c r="FO145" s="150" t="n">
        <f aca="false">IF($FJ70&lt;FO$94,"",SQRT(FO70/FO$15))</f>
        <v>0.164852969125297</v>
      </c>
      <c r="FP145" s="150" t="n">
        <f aca="false">IF($FJ70&lt;FP$94,"",SQRT(FP70/FP$15))</f>
        <v>0.163023494089859</v>
      </c>
      <c r="FQ145" s="150" t="n">
        <f aca="false">IF($FJ70&lt;FQ$94,"",SQRT(FQ70/FQ$15))</f>
        <v>0.161657766265977</v>
      </c>
      <c r="FR145" s="150" t="n">
        <f aca="false">IF($FJ70&lt;FR$94,"",SQRT(FR70/FR$15))</f>
        <v>0.160640951302301</v>
      </c>
      <c r="FS145" s="150" t="n">
        <f aca="false">IF($FJ70&lt;FS$94,"",SQRT(FS70/FS$15))</f>
        <v>0.15988710852203</v>
      </c>
      <c r="FT145" s="150" t="n">
        <f aca="false">IF($FJ70&lt;FT$94,"",SQRT(FT70/FT$15))</f>
        <v>0.159331999369563</v>
      </c>
      <c r="FU145" s="150" t="n">
        <f aca="false">IF($FJ70&lt;FU$94,"",SQRT(FU70/FU$15))</f>
        <v>0.158927699181582</v>
      </c>
      <c r="FV145" s="150" t="n">
        <f aca="false">IF($FJ70&lt;FV$94,"",SQRT(FV70/FV$15))</f>
        <v>0.158638562402844</v>
      </c>
      <c r="FW145" s="150" t="n">
        <f aca="false">IF($FJ70&lt;FW$94,"",SQRT(FW70/FW$15))</f>
        <v>0.158438204006982</v>
      </c>
      <c r="FX145" s="150" t="n">
        <f aca="false">IF($FJ70&lt;FX$94,"",SQRT(FX70/FX$15))</f>
        <v>0.158307244394962</v>
      </c>
      <c r="FY145" s="150" t="n">
        <f aca="false">IF($FJ70&lt;FY$94,"",SQRT(FY70/FY$15))</f>
        <v>0.15823162846725</v>
      </c>
      <c r="FZ145" s="150" t="n">
        <f aca="false">IF($FJ70&lt;FZ$94,"",SQRT(FZ70/FZ$15))</f>
        <v>0.158201377180789</v>
      </c>
      <c r="GA145" s="150" t="n">
        <f aca="false">IF($FJ70&lt;GA$94,"",SQRT(GA70/GA$15))</f>
        <v>0.158209665671181</v>
      </c>
      <c r="GB145" s="150" t="n">
        <f aca="false">IF($FJ70&lt;GB$94,"",SQRT(GB70/GB$15))</f>
        <v>0.158252148918673</v>
      </c>
      <c r="GC145" s="150" t="n">
        <f aca="false">IF($FJ70&lt;GC$94,"",SQRT(GC70/GC$15))</f>
        <v>0.158326476198048</v>
      </c>
      <c r="GD145" s="150" t="n">
        <f aca="false">IF($FJ70&lt;GD$94,"",SQRT(GD70/GD$15))</f>
        <v>0.158431950857992</v>
      </c>
      <c r="GE145" s="150" t="n">
        <f aca="false">IF($FJ70&lt;GE$94,"",SQRT(GE70/GE$15))</f>
        <v>0.158569303591247</v>
      </c>
      <c r="GF145" s="150" t="n">
        <f aca="false">IF($FJ70&lt;GF$94,"",SQRT(GF70/GF$15))</f>
        <v>0.158740556240954</v>
      </c>
      <c r="GG145" s="150" t="n">
        <f aca="false">IF($FJ70&lt;GG$94,"",SQRT(GG70/GG$15))</f>
        <v>0.158948960070444</v>
      </c>
      <c r="GH145" s="150" t="n">
        <f aca="false">IF($FJ70&lt;GH$94,"",SQRT(GH70/GH$15))</f>
        <v>0.159198997865016</v>
      </c>
      <c r="GI145" s="150" t="n">
        <f aca="false">IF($FJ70&lt;GI$94,"",SQRT(GI70/GI$15))</f>
        <v>0.159496443676486</v>
      </c>
      <c r="GJ145" s="150" t="n">
        <f aca="false">IF($FJ70&lt;GJ$94,"",SQRT(GJ70/GJ$15))</f>
        <v>0.159848477822992</v>
      </c>
      <c r="GK145" s="150" t="n">
        <f aca="false">IF($FJ70&lt;GK$94,"",SQRT(GK70/GK$15))</f>
        <v>0.160263858224723</v>
      </c>
      <c r="GL145" s="150" t="n">
        <f aca="false">IF($FJ70&lt;GL$94,"",SQRT(GL70/GL$15))</f>
        <v>0.160753152574326</v>
      </c>
      <c r="GM145" s="150" t="n">
        <f aca="false">IF($FJ70&lt;GM$94,"",SQRT(GM70/GM$15))</f>
        <v>0.161329039495955</v>
      </c>
      <c r="GN145" s="150" t="n">
        <f aca="false">IF($FJ70&lt;GN$94,"",SQRT(GN70/GN$15))</f>
        <v>0.162006691060692</v>
      </c>
      <c r="GO145" s="150" t="n">
        <f aca="false">IF($FJ70&lt;GO$94,"",SQRT(GO70/GO$15))</f>
        <v>0.162804254191474</v>
      </c>
      <c r="GP145" s="150" t="n">
        <f aca="false">IF($FJ70&lt;GP$94,"",SQRT(GP70/GP$15))</f>
        <v>0.16374345512236</v>
      </c>
      <c r="GQ145" s="150" t="n">
        <f aca="false">IF($FJ70&lt;GQ$94,"",SQRT(GQ70/GQ$15))</f>
        <v>0.164850359882641</v>
      </c>
      <c r="GR145" s="150" t="n">
        <f aca="false">IF($FJ70&lt;GR$94,"",SQRT(GR70/GR$15))</f>
        <v>0.166156335763213</v>
      </c>
      <c r="GS145" s="150" t="n">
        <f aca="false">IF($FJ70&lt;GS$94,"",SQRT(GS70/GS$15))</f>
        <v>0.167699275359633</v>
      </c>
      <c r="GT145" s="150" t="n">
        <f aca="false">IF($FJ70&lt;GT$94,"",SQRT(GT70/GT$15))</f>
        <v>0.169525168259582</v>
      </c>
      <c r="GU145" s="150" t="n">
        <f aca="false">IF($FJ70&lt;GU$94,"",SQRT(GU70/GU$15))</f>
        <v>0.171690139061915</v>
      </c>
      <c r="GV145" s="150" t="n">
        <f aca="false">IF($FJ70&lt;GV$94,"",SQRT(GV70/GV$15))</f>
        <v>0.174263119276877</v>
      </c>
      <c r="GW145" s="150" t="n">
        <f aca="false">IF($FJ70&lt;GW$94,"",SQRT(GW70/GW$15))</f>
        <v>0.177329392744549</v>
      </c>
      <c r="GX145" s="150" t="n">
        <f aca="false">IF($FJ70&lt;GX$94,"",SQRT(GX70/GX$15))</f>
        <v>0.18099536224634</v>
      </c>
      <c r="GY145" s="150" t="n">
        <f aca="false">IF($FJ70&lt;GY$94,"",SQRT(GY70/GY$15))</f>
        <v>0.185395049646689</v>
      </c>
      <c r="GZ145" s="150" t="n">
        <f aca="false">IF($FJ70&lt;GZ$94,"",SQRT(GZ70/GZ$15))</f>
        <v>0.190699097469051</v>
      </c>
      <c r="HA145" s="150" t="n">
        <f aca="false">IF($FJ70&lt;HA$94,"",SQRT(HA70/HA$15))</f>
        <v>0.197127444389699</v>
      </c>
      <c r="HB145" s="150" t="n">
        <f aca="false">IF($FJ70&lt;HB$94,"",SQRT(HB70/HB$15))</f>
        <v>0.204967501617794</v>
      </c>
      <c r="HC145" s="150" t="n">
        <f aca="false">IF($FJ70&lt;HC$94,"",SQRT(HC70/HC$15))</f>
        <v>0.21460074136473</v>
      </c>
      <c r="HD145" s="150" t="n">
        <f aca="false">IF($FJ70&lt;HD$94,"",SQRT(HD70/HD$15))</f>
        <v>0.226542452560067</v>
      </c>
      <c r="HE145" s="150" t="n">
        <f aca="false">IF($FJ70&lt;HE$94,"",SQRT(HE70/HE$15))</f>
        <v>0.241502647696642</v>
      </c>
      <c r="HF145" s="150" t="n">
        <f aca="false">IF($FJ70&lt;HF$94,"",SQRT(HF70/HF$15))</f>
        <v>0.260481944985051</v>
      </c>
      <c r="HG145" s="150" t="n">
        <f aca="false">IF($FJ70&lt;HG$94,"",SQRT(HG70/HG$15))</f>
        <v>0.284927207402368</v>
      </c>
      <c r="HH145" s="150" t="n">
        <f aca="false">IF($FJ70&lt;HH$94,"",SQRT(HH70/HH$15))</f>
        <v>0.316993146826066</v>
      </c>
      <c r="HI145" s="150" t="n">
        <f aca="false">IF($FJ70&lt;HI$94,"",SQRT(HI70/HI$15))</f>
        <v>0.360000030203822</v>
      </c>
      <c r="HJ145" s="150" t="str">
        <f aca="false">IF($FJ70&lt;HJ$94,"",SQRT(HJ70/HJ$15))</f>
        <v/>
      </c>
      <c r="HK145" s="150" t="str">
        <f aca="false">IF($FJ70&lt;HK$94,"",SQRT(HK70/HK$15))</f>
        <v/>
      </c>
      <c r="HL145" s="150" t="str">
        <f aca="false">IF($FJ70&lt;HL$94,"",SQRT(HL70/HL$15))</f>
        <v/>
      </c>
      <c r="HM145" s="150" t="str">
        <f aca="false">IF($FJ70&lt;HM$94,"",SQRT(HM70/HM$15))</f>
        <v/>
      </c>
      <c r="HN145" s="150" t="str">
        <f aca="false">IF($FJ70&lt;HN$94,"",SQRT(HN70/HN$15))</f>
        <v/>
      </c>
      <c r="HO145" s="150" t="str">
        <f aca="false">IF($FJ70&lt;HO$94,"",SQRT(HO70/HO$15))</f>
        <v/>
      </c>
      <c r="HP145" s="150" t="str">
        <f aca="false">IF($FJ70&lt;HP$94,"",SQRT(HP70/HP$15))</f>
        <v/>
      </c>
      <c r="HQ145" s="150" t="str">
        <f aca="false">IF($FJ70&lt;HQ$94,"",SQRT(HQ70/HQ$15))</f>
        <v/>
      </c>
      <c r="HR145" s="150" t="str">
        <f aca="false">IF($FJ70&lt;HR$94,"",SQRT(HR70/HR$15))</f>
        <v/>
      </c>
      <c r="HS145" s="150" t="str">
        <f aca="false">IF($FJ70&lt;HS$94,"",SQRT(HS70/HS$15))</f>
        <v/>
      </c>
      <c r="HT145" s="150" t="str">
        <f aca="false">IF($FJ70&lt;HT$94,"",SQRT(HT70/HT$15))</f>
        <v/>
      </c>
      <c r="HU145" s="150" t="str">
        <f aca="false">IF($FJ70&lt;HU$94,"",SQRT(HU70/HU$15))</f>
        <v/>
      </c>
      <c r="HV145" s="150" t="str">
        <f aca="false">IF($FJ70&lt;HV$94,"",SQRT(HV70/HV$15))</f>
        <v/>
      </c>
      <c r="HW145" s="150" t="str">
        <f aca="false">IF($FJ70&lt;HW$94,"",SQRT(HW70/HW$15))</f>
        <v/>
      </c>
      <c r="HX145" s="150" t="str">
        <f aca="false">IF($FJ70&lt;HX$94,"",SQRT(HX70/HX$15))</f>
        <v/>
      </c>
      <c r="HY145" s="150" t="str">
        <f aca="false">IF($FJ70&lt;HY$94,"",SQRT(HY70/HY$15))</f>
        <v/>
      </c>
      <c r="HZ145" s="150" t="str">
        <f aca="false">IF($FJ70&lt;HZ$94,"",SQRT(HZ70/HZ$15))</f>
        <v/>
      </c>
      <c r="IA145" s="150" t="str">
        <f aca="false">IF($FJ70&lt;IA$94,"",SQRT(IA70/IA$15))</f>
        <v/>
      </c>
      <c r="IB145" s="150" t="str">
        <f aca="false">IF($FJ70&lt;IB$94,"",SQRT(IB70/IB$15))</f>
        <v/>
      </c>
      <c r="IC145" s="150" t="str">
        <f aca="false">IF($FJ70&lt;IC$94,"",SQRT(IC70/IC$15))</f>
        <v/>
      </c>
      <c r="ID145" s="572" t="str">
        <f aca="false">IF($FJ70&lt;ID$94,"",SQRT(ID70/ID$15))</f>
        <v/>
      </c>
      <c r="IE145" s="129"/>
    </row>
    <row r="146" customFormat="false" ht="12.75" hidden="false" customHeight="false" outlineLevel="0" collapsed="false">
      <c r="H146" s="219" t="n">
        <f aca="false">VLOOKUP(I146,$EJ$20:$EL$54,3)</f>
        <v>0</v>
      </c>
      <c r="I146" s="511" t="n">
        <f aca="false">EOMONTH(I145,0)+1</f>
        <v>40603</v>
      </c>
      <c r="J146" s="512"/>
      <c r="K146" s="513" t="s">
        <v>280</v>
      </c>
      <c r="L146" s="514" t="n">
        <f aca="false">IF(ISNUMBER(K146),J146+K146/100,IF(K146="extra",L145+VLOOKUP(BF146,PriceSpreadTable,2)/12,IF(K146="inter",interpolateprices($K$19:$L$200,ROW(K146)-ROW(FirstPricingMonth)+1),interpolatechanges($J$19:$K$200,ROW(K146)-ROW(FirstPricingMonth)+1))))</f>
        <v>1.875</v>
      </c>
      <c r="M146" s="515"/>
      <c r="N146" s="516" t="n">
        <v>0</v>
      </c>
      <c r="O146" s="515" t="n">
        <f aca="false">M146+N146</f>
        <v>0</v>
      </c>
      <c r="P146" s="512"/>
      <c r="Q146" s="513" t="s">
        <v>280</v>
      </c>
      <c r="R146" s="512" t="e">
        <f aca="false">IF(ISNUMBER(Q146),P146+Q146/100,IF(Q146="extra",(Z144*AL144-R145*AM144)/AN144,IF(Q146="inter",interpolateprices($Q$19:$R$260,ROW(Q146)-ROW(FirstPricingMonth)+1),interpolatechanges($P$19:$Q$260,ROW(Q146)-ROW(FirstPricingMonth)+1))))</f>
        <v>#VALUE!</v>
      </c>
      <c r="S146" s="597" t="n">
        <f aca="false">S$19+(S145-S$19)*S$18</f>
        <v>0.36</v>
      </c>
      <c r="T146" s="575" t="n">
        <f aca="false">SQRT((1-(1-T145^2/U145)*T$18)*U146)</f>
        <v>0.999999999699241</v>
      </c>
      <c r="U146" s="576" t="n">
        <f aca="false">1-(1-U145)*U$18</f>
        <v>1</v>
      </c>
      <c r="V146" s="521" t="n">
        <v>0</v>
      </c>
      <c r="W146" s="577" t="n">
        <f aca="false">(J147*AJ146+J148*AK146)/AI146</f>
        <v>0</v>
      </c>
      <c r="X146" s="578" t="n">
        <f aca="false">(L147*AJ146+L148*AK146)/AI146</f>
        <v>1.92717391304348</v>
      </c>
      <c r="Y146" s="579" t="n">
        <f aca="false">IF(Q148="extra",W146-AA146,(P147*AM146+P148*AN146)/AL146)</f>
        <v>-1.1685</v>
      </c>
      <c r="Z146" s="579" t="n">
        <f aca="false">IF(Q148="extra",X146-AB146,(R147*AM146+R148*AN146)/AL146)</f>
        <v>0.75867391304348</v>
      </c>
      <c r="AA146" s="523" t="n">
        <f aca="false">IF(Q148="extra",INDEX(BrentSeasonalityTable,INT((BG146-1)/3)+1)*VLOOKUP(MAX(BF146,$AB$4),PriceSpreadTable,3),W146-Y146)</f>
        <v>1.1685</v>
      </c>
      <c r="AB146" s="524" t="n">
        <f aca="false">IF(Q148="extra",INDEX(BrentSeasonalityTable,INT((BG146-1)/3)+1)*VLOOKUP(MAX(BF146,$AB$4),PriceSpreadTable,3),X146-Z146)</f>
        <v>1.1685</v>
      </c>
      <c r="AC146" s="646" t="n">
        <v>40594</v>
      </c>
      <c r="AD146" s="646" t="n">
        <v>40590</v>
      </c>
      <c r="AE146" s="646" t="n">
        <v>40589</v>
      </c>
      <c r="AF146" s="646" t="n">
        <v>40585</v>
      </c>
      <c r="AG146" s="438" t="s">
        <v>278</v>
      </c>
      <c r="AH146" s="439" t="s">
        <v>278</v>
      </c>
      <c r="AI146" s="528" t="n">
        <v>23</v>
      </c>
      <c r="AJ146" s="529" t="n">
        <v>14</v>
      </c>
      <c r="AK146" s="529" t="n">
        <v>9</v>
      </c>
      <c r="AL146" s="530" t="n">
        <v>23</v>
      </c>
      <c r="AM146" s="529" t="n">
        <v>10</v>
      </c>
      <c r="AN146" s="531" t="n">
        <v>13</v>
      </c>
      <c r="AO146" s="532"/>
      <c r="AP146" s="465" t="n">
        <f aca="false">(1+AO146/2)^(-2*BL146)</f>
        <v>1</v>
      </c>
      <c r="AQ146" s="532"/>
      <c r="AR146" s="465" t="n">
        <f aca="false">(1+AQ146/2)^(-2*BH146/365.25)</f>
        <v>1</v>
      </c>
      <c r="AS146" s="580" t="n">
        <f aca="false">(O147*AJ146+O148*AK146)/AI146</f>
        <v>0</v>
      </c>
      <c r="AT146" s="468" t="n">
        <f aca="false">O146*VLOOKUP(BF146,BrentVolTable,2)+VLOOKUP(BF146,BrentVolTable,3)</f>
        <v>0</v>
      </c>
      <c r="AU146" s="468" t="n">
        <f aca="false">(AT147*AM146+AT148*AN146)/AL146</f>
        <v>0</v>
      </c>
      <c r="AV146" s="595" t="n">
        <f aca="false">SQRT(MAX(0.000000000001,(O146^2*BH146-S146^2*(BH146-BH145))/BH145))</f>
        <v>0.0273626410636543</v>
      </c>
      <c r="AW146" s="451" t="n">
        <f aca="false">IF($I146-DateToday+15&gt;=$T$8,"",IF($I146-DateToday+15&lt;$T$5,1,MATCH($I146-DateToday+15,$T$5:$T$8)))</f>
        <v>1</v>
      </c>
      <c r="AX146" s="468" t="n">
        <f aca="false">IF($AW146="",AX145^2/AX144,INDEX(U$5:U$8,$AW146)^((INDEX($T$5:$T$8,$AW146+1)-($I146-DateToday+15))/(INDEX($T$5:$T$8,$AW146+1)-INDEX($T$5:$T$8,$AW146)))/INDEX(U$5:U$8,$AW146+1)^((INDEX($T$5:$T$8,$AW146)-($I146-DateToday+15))/(INDEX($T$5:$T$8,$AW146+1)-INDEX($T$5:$T$8,$AW146))))</f>
        <v>0.849936655781295</v>
      </c>
      <c r="AY146" s="468" t="n">
        <f aca="false">IF($AW146="",AY145^2/AY144,INDEX(V$5:V$8,$AW146)^((INDEX($T$5:$T$8,$AW146+1)-($I146-DateToday+15))/(INDEX($T$5:$T$8,$AW146+1)-INDEX($T$5:$T$8,$AW146)))/INDEX(V$5:V$8,$AW146+1)^((INDEX($T$5:$T$8,$AW146)-($I146-DateToday+15))/(INDEX($T$5:$T$8,$AW146+1)-INDEX($T$5:$T$8,$AW146))))</f>
        <v>25.8943890049361</v>
      </c>
      <c r="AZ146" s="468" t="n">
        <f aca="false">IF($AW146="",AZ145^2/AZ144,INDEX(W$5:W$8,$AW146)^((INDEX($T$5:$T$8,$AW146+1)-($I146-DateToday+15))/(INDEX($T$5:$T$8,$AW146+1)-INDEX($T$5:$T$8,$AW146)))/INDEX(W$5:W$8,$AW146+1)^((INDEX($T$5:$T$8,$AW146)-($I146-DateToday+15))/(INDEX($T$5:$T$8,$AW146+1)-INDEX($T$5:$T$8,$AW146))))</f>
        <v>22165.737460346</v>
      </c>
      <c r="BA146" s="468" t="n">
        <f aca="false">IF($AW146="",BA145^2/BA144,INDEX(X$5:X$8,$AW146)^((INDEX($T$5:$T$8,$AW146+1)-($I146-DateToday+15))/(INDEX($T$5:$T$8,$AW146+1)-INDEX($T$5:$T$8,$AW146)))/INDEX(X$5:X$8,$AW146+1)^((INDEX($T$5:$T$8,$AW146)-($I146-DateToday+15))/(INDEX($T$5:$T$8,$AW146+1)-INDEX($T$5:$T$8,$AW146))))</f>
        <v>196244.508020548</v>
      </c>
      <c r="BB146" s="468" t="n">
        <f aca="false">IF($AW146="",BB145^2/BB144,INDEX(Y$5:Y$8,$AW146)^((INDEX($T$5:$T$8,$AW146+1)-($I146-DateToday+15))/(INDEX($T$5:$T$8,$AW146+1)-INDEX($T$5:$T$8,$AW146)))/INDEX(Y$5:Y$8,$AW146+1)^((INDEX($T$5:$T$8,$AW146)-($I146-DateToday+15))/(INDEX($T$5:$T$8,$AW146+1)-INDEX($T$5:$T$8,$AW146))))</f>
        <v>1559488.11844111</v>
      </c>
      <c r="BC146" s="468" t="n">
        <f aca="false">IF($AW146="",BC145^2/BC144,INDEX(Z$5:Z$8,$AW146)^((INDEX($T$5:$T$8,$AW146+1)-($I146-DateToday+15))/(INDEX($T$5:$T$8,$AW146+1)-INDEX($T$5:$T$8,$AW146)))/INDEX(Z$5:Z$8,$AW146+1)^((INDEX($T$5:$T$8,$AW146)-($I146-DateToday+15))/(INDEX($T$5:$T$8,$AW146+1)-INDEX($T$5:$T$8,$AW146))))</f>
        <v>5463992.09111039</v>
      </c>
      <c r="BD146" s="535" t="n">
        <f aca="false">IF(OR(DateStart&gt;=I147,DateEnd&lt;I146),0,IF(VolumeOverrideFlag,V146,Volume))</f>
        <v>0</v>
      </c>
      <c r="BE146" s="536" t="n">
        <f aca="false">IF(OR(DateStart2&gt;=I147,DateEnd2&lt;I146),0,IF(VolumeOverrideFlag,V146,VolumeSwaption))</f>
        <v>0</v>
      </c>
      <c r="BF146" s="537" t="n">
        <f aca="false">YEAR(I146)</f>
        <v>2011</v>
      </c>
      <c r="BG146" s="538" t="n">
        <f aca="false">MONTH(I146)</f>
        <v>3</v>
      </c>
      <c r="BH146" s="539" t="n">
        <f aca="false">AD146-DateToday+1</f>
        <v>-5335</v>
      </c>
      <c r="BI146" s="540" t="n">
        <f aca="false">(I146-DateToday+1)/365.25</f>
        <v>-14.570841889117</v>
      </c>
      <c r="BJ146" s="541" t="n">
        <f aca="false">BI146+(BL146-BI146)*CHOOSE(Underlying,AJ146/AI146,AM146/AL146)</f>
        <v>-14.5208463530042</v>
      </c>
      <c r="BK146" s="541" t="n">
        <f aca="false">BJ146+1/365.25</f>
        <v>-14.5181085022171</v>
      </c>
      <c r="BL146" s="541" t="n">
        <f aca="false">(I147-DateToday)/365.25</f>
        <v>-14.4887063655031</v>
      </c>
      <c r="BM146" s="542" t="e">
        <f aca="false">MAX(BI146-(BJ146-BI146)*(S147^2/O147^2-1),0)</f>
        <v>#DIV/0!</v>
      </c>
      <c r="BN146" s="541" t="e">
        <f aca="false">MAX(BL146+(BL146-BK146)*(S148^2/O148^2-1),0)</f>
        <v>#DIV/0!</v>
      </c>
      <c r="BO146" s="530" t="n">
        <f aca="false">CHOOSE(Underlying,AI146,AL146)</f>
        <v>23</v>
      </c>
      <c r="BP146" s="529" t="n">
        <f aca="false">CHOOSE(Underlying,AJ146,AM146)</f>
        <v>14</v>
      </c>
      <c r="BQ146" s="529" t="n">
        <f aca="false">CHOOSE(Underlying,AK146,AN146)</f>
        <v>9</v>
      </c>
      <c r="BR146" s="463" t="str">
        <f aca="false">IF(BD146,IF(Underlying=1,X146,Z146)+UnderlyingPriceAsian-SwapPriceCurve,"")</f>
        <v/>
      </c>
      <c r="BS146" s="463" t="str">
        <f aca="false">IF(BD146,Strike1/BR146-1,"")</f>
        <v/>
      </c>
      <c r="BT146" s="464" t="str">
        <f aca="false">IF(BD146,Strike2/BR146-1,"")</f>
        <v/>
      </c>
      <c r="BU146" s="465" t="str">
        <f aca="false">IF(BD146,IF(Underlying=1,L147,R147)+UnderlyingPriceAsian-SwapPriceCurve,"")</f>
        <v/>
      </c>
      <c r="BV146" s="465" t="str">
        <f aca="false">IF(BD146,IF(Underlying=1,L148,R148)+UnderlyingPriceAsian-SwapPriceCurve,"")</f>
        <v/>
      </c>
      <c r="BW146" s="466" t="str">
        <f aca="false">IF(BD146,IF(Underlying=1,O147,AT147),"")</f>
        <v/>
      </c>
      <c r="BX146" s="467" t="str">
        <f aca="false">IF(BD146,IF(Underlying=1,O148,AT148),"")</f>
        <v/>
      </c>
      <c r="BY146" s="466" t="str">
        <f aca="false">IF(BD146,IF(BS146&gt;0,IF(BS146&gt;0.2,BC146-BB146,IF(BS146&gt;0.1,BB146-BA146,BA146)),IF(BS146&lt;-0.2,AX146-AY146,IF(BS146&lt;-0.1,AY146-AZ146,AZ146))),"")</f>
        <v/>
      </c>
      <c r="BZ146" s="467" t="str">
        <f aca="false">IF(BD146,IF(BT146&gt;0,IF(BT146&gt;0.2,BC146-BB146,IF(BT146&gt;0.1,BB146-BA146,BA146)),IF(BT146&lt;-0.2,AX146-AY146,IF(BT146&lt;-0.1,AY146-AZ146,AZ146))),"")</f>
        <v/>
      </c>
      <c r="CA146" s="468" t="str">
        <f aca="false">IF($BD146,$BW146+IF(VolSkewFlag=1,IF(BS146&gt;0,$BA146*MIN(BS146/10%,1)+($BB146-$BA146)*MAX(0,MIN(BS146/10%-1,1))+($BC146-$BB146)*MAX(0,BS146/10%-2),$AZ146*MIN(-BS146/10%,1)+($AY146-$AZ146)*MAX(0,MIN(-BS146/10%-1,1))+($AX146-$AY146)*MAX(0,-BS146/10%-2)),0),"")</f>
        <v/>
      </c>
      <c r="CB146" s="468" t="str">
        <f aca="false">IF($BD146,$BX146+IF(VolSkewFlag=1,IF(BS146&gt;0,$BA146*MIN(BS146/10%,1)+($BB146-$BA146)*MAX(0,MIN(BS146/10%-1,1))+($BC146-$BB146)*MAX(0,BS146/10%-2),$AZ146*MIN(-BS146/10%,1)+($AY146-$AZ146)*MAX(0,MIN(-BS146/10%-1,1))+($AX146-$AY146)*MAX(0,-BS146/10%-2)),0),"")</f>
        <v/>
      </c>
      <c r="CC146" s="468" t="str">
        <f aca="false">IF($BD146,$BW146+IF(VolSkewFlag=1,IF(BT146&gt;0,$BA146*MIN(BT146/10%,1)+($BB146-$BA146)*MAX(0,MIN(BT146/10%-1,1))+($BC146-$BB146)*MAX(0,BT146/10%-2),$AZ146*MIN(-BT146/10%,1)+($AY146-$AZ146)*MAX(0,MIN(-BT146/10%-1,1))+($AX146-$AY146)*MAX(0,-BT146/10%-2)),0),"")</f>
        <v/>
      </c>
      <c r="CD146" s="468" t="str">
        <f aca="false">IF($BD146,$BX146+IF(VolSkewFlag=1,IF(BT146&gt;0,$BA146*MIN(BT146/10%,1)+($BB146-$BA146)*MAX(0,MIN(BT146/10%-1,1))+($BC146-$BB146)*MAX(0,BT146/10%-2),$AZ146*MIN(-BT146/10%,1)+($AY146-$AZ146)*MAX(0,MIN(-BT146/10%-1,1))+($AX146-$AY146)*MAX(0,-BT146/10%-2)),0),"")</f>
        <v/>
      </c>
      <c r="CE146" s="469" t="n">
        <v>1</v>
      </c>
      <c r="CF146" s="470" t="n">
        <f aca="false">IF(BD146,xCrudeAPO(BU146,BV146,CA146,CB146,S147,S148,BI146,BL146,BP146,BQ146,0,Strike1,AO146,CE146,0,BL146,IF(OptControl=4,0,1),0,1),0)</f>
        <v>0</v>
      </c>
      <c r="CG146" s="470" t="n">
        <f aca="false">IF(BD146,xCrudeAPO(BU146,BV146,CA146,CB146,S147,S148,BI146,BL146,BP146,BQ146,0,Strike1,AO146,CE146,0,BL146,IF(OptControl=4,0,1),1,1)+xCrudeAPO(BU146,BV146,CA146,CB146,S147,S148,BI146,BL146,BP146,BQ146,0,Strike1,AO146,CE146,0,BL146,IF(OptControl=4,0,1),1,2)+IF(OR(VolSkewFlag=2,ABS(BS146)&lt;0.0001),0,IF(BS146&gt;0,-1,1)*CH146*Strike1/BR146^2*BY146/10%),0)</f>
        <v>0</v>
      </c>
      <c r="CH146" s="470" t="n">
        <f aca="false">IF(BD146,(xCrudeAPO(BU146,BV146,CA146,CB146,S147,S148,BI146,BL146,BP146,BQ146,0,Strike1,AO146,CE146,0,BL146,IF(OptControl=4,0,1),3,1)+xCrudeAPO(BU146,BV146,CA146,CB146,S147,S148,BI146,BL146,BP146,BQ146,0,Strike1,AO146,CE146,0,BL146,IF(OptControl=4,0,1),3,2))/100,0)</f>
        <v>0</v>
      </c>
      <c r="CI146" s="470" t="n">
        <f aca="false">IF(BD146,xCrudeAPO(BU146,BV146,CA146,CB146,S147,S148,BI146-DaysForThetaCalculation/365.25,BL146-DaysForThetaCalculation/365.25,BP146,BQ146,0,Strike1,AO146,CE146,0,BL146,IF(OptControl=4,0,1),0,1)-xCrudeAPO(BU146,BV146,CA146,CB146,S147,S148,BI146,BL146,BP146,BQ146,0,Strike1,AO146,CE146,0,BL146,IF(OptControl=4,0,1),0,1),0)</f>
        <v>0</v>
      </c>
      <c r="CJ146" s="471" t="n">
        <f aca="false">IF(BD146,xCrudeAPO(BU146,BV146,CC146,CD146,S147,S148,BI146,BL146,BP146,BQ146,0,Strike2,AO146,CE146,0,BL146,IF(OptControl=3,1,0),0,1),0)</f>
        <v>0</v>
      </c>
      <c r="CK146" s="470" t="n">
        <f aca="false">IF(BD146,xCrudeAPO(BU146,BV146,CC146,CD146,S147,S148,BI146,BL146,BP146,BQ146,0,Strike2,AO146,CE146,0,BL146,IF(OptControl=3,1,0),1,1)+xCrudeAPO(BU146,BV146,CC146,CD146,S147,S148,BI146,BL146,BP146,BQ146,0,Strike2,AO146,CE146,0,BL146,IF(OptControl=3,1,0),1,2)+IF(OR(VolSkewFlag=2,ABS(BT146)&lt;0.0001),0,IF(BT146&gt;0,-1,1)*CL146*Strike2/BR146^2*BZ146/10%),0)</f>
        <v>0</v>
      </c>
      <c r="CL146" s="470" t="n">
        <f aca="false">IF(BD146,(xCrudeAPO(BU146,BV146,CC146,CD146,S147,S148,BI146,BL146,BP146,BQ146,0,Strike2,AO146,CE146,0,BL146,IF(OptControl=3,1,0),3,1)+xCrudeAPO(BU146,BV146,CC146,CD146,S147,S148,BI146,BL146,BP146,BQ146,0,Strike2,AO146,CE146,0,BL146,IF(OptControl=3,1,0),3,2))/100,0)</f>
        <v>0</v>
      </c>
      <c r="CM146" s="472" t="n">
        <f aca="false">IF(BD146,xCrudeAPO(BU146,BV146,CC146,CD146,S147,S148,BI146-DaysForThetaCalculation/365.25,BL146-DaysForThetaCalculation/365.25,BP146,BQ146,0,Strike2,AO146,CE146,0,BL146,IF(OptControl=3,1,0),0,1)-xCrudeAPO(BU146,BV146,CC146,CD146,S147,S148,BI146,BL146,BP146,BQ146,0,Strike2,AO146,CE146,0,BL146,IF(OptControl=3,1,0),0,1),0)</f>
        <v>0</v>
      </c>
      <c r="CN146" s="3"/>
      <c r="CO146" s="543" t="str">
        <f aca="false">IF(BD146,CHOOSE(Underlying,AD146,AF146)-DateToday+1,"")</f>
        <v/>
      </c>
      <c r="CP146" s="582" t="str">
        <f aca="false">IF(BD146,CHOOSE(Underlying,L146,R146),"")</f>
        <v/>
      </c>
      <c r="CQ146" s="544" t="str">
        <f aca="false">IF(BD146,Strike1/CP146-1,"")</f>
        <v/>
      </c>
      <c r="CR146" s="544" t="str">
        <f aca="false">IF(BD146,Strike2/CP146-1,"")</f>
        <v/>
      </c>
      <c r="CS146" s="544" t="str">
        <f aca="false">IF(BD146,IF(CQ146&gt;0,IF(CQ146&gt;0.2,BC145-BB145,IF(CQ146&gt;0.1,BB145-BA145,BA145)),IF(CQ146&lt;-0.2,AX145-AY145,IF(CQ146&lt;-0.1,AY145-AZ145,AZ145))),"")</f>
        <v/>
      </c>
      <c r="CT146" s="544" t="str">
        <f aca="false">IF(BD146,IF(CR146&gt;0,IF(CR146&gt;0.2,BC145-BB145,IF(CR146&gt;0.1,BB145-BA145,BA145)),IF(CR146&lt;-0.2,AX145-AY145,IF(CR146&lt;-0.1,AY145-AZ145,AZ145))),"")</f>
        <v/>
      </c>
      <c r="CU146" s="545" t="str">
        <f aca="false">IF(BD146,CHOOSE(Underlying,O146,AT146),"")</f>
        <v/>
      </c>
      <c r="CV146" s="545" t="str">
        <f aca="false">IF(BD146,CU146+IF(VolSkewFlag=1,IF(CQ146&gt;0,BA145*MIN(CQ146/10%,1)+(BB145-BA145)*MAX(0,MIN(CQ146/10%-1,1))+(BC145-BB145)*MAX(0,CQ146/10%-2),AZ145*MIN(-CQ146/10%,1)+(AY145-AZ145)*MAX(0,MIN(-CQ146/10%-1,1))+(AX145-AY145)*MAX(0,-CQ146/10%-2)),0),"")</f>
        <v/>
      </c>
      <c r="CW146" s="545" t="str">
        <f aca="false">IF(BD146,CU146+IF(VolSkewFlag=1,IF(CR146&gt;0,BA145*MIN(CR146/10%,1)+(BB145-BA145)*MAX(0,MIN(CR146/10%-1,1))+(BC145-BB145)*MAX(0,CR146/10%-2),AZ145*MIN(-CR146/10%,1)+(AY145-AZ145)*MAX(0,MIN(-CR146/10%-1,1))+(AX145-AY145)*MAX(0,-CR146/10%-2)),0),"")</f>
        <v/>
      </c>
      <c r="CX146" s="470" t="n">
        <f aca="false">IF(BD146,EURO(CP146,Strike1,AO146,AO146,CV146,CO146,IF(OptControl=4,0,1),0),0)</f>
        <v>0</v>
      </c>
      <c r="CY146" s="470" t="n">
        <f aca="false">IF(BD146,EURO(CP146,Strike1,AO146,AO146,CV146,CO146,IF(OptControl=4,0,1),1)+IF(OR(VolSkewFlag=2,ABS(CQ146)&lt;0.0001),0,IF(CQ146&gt;0,-1,1)*CZ146*100*Strike1/CP146^2*CS146/10%),0)</f>
        <v>0</v>
      </c>
      <c r="CZ146" s="470" t="n">
        <f aca="false">IF(BD146,EURO(CP146,Strike1,AO146,AO146,CV146,CO146,IF(OptControl=4,0,1),3)/100,0)</f>
        <v>0</v>
      </c>
      <c r="DA146" s="470" t="n">
        <f aca="false">IF(BD146,EURO(CP146,Strike1,AO146,AO146,CV146,CO146,IF(OptControl=4,0,1),0)-EURO(CP146,Strike1,AO146,AO146,CV146,CO146-1,IF(OptControl=4,0,1),0),0)</f>
        <v>0</v>
      </c>
      <c r="DB146" s="470" t="n">
        <f aca="false">IF(BD146,EURO(CP146,Strike2,AO146,AO146,CW146,CO146,IF(OptControl=3,1,0),0),0)</f>
        <v>0</v>
      </c>
      <c r="DC146" s="470" t="n">
        <f aca="false">IF(BD146,EURO(CP146,Strike2,AO146,AO146,CW146,CO146,IF(OptControl=3,1,0),1)+IF(OR(VolSkewFlag=2,ABS(CR146)&lt;0.0001),0,IF(CR146&gt;0,-1,1)*DD146*100*Strike2/CP146^2*CT146/10%),0)</f>
        <v>0</v>
      </c>
      <c r="DD146" s="470" t="n">
        <f aca="false">IF(BD146,EURO(CP146,Strike2,AO146,AO146,CW146,CO146,IF(OptControl=3,1,0),3)/100,0)</f>
        <v>0</v>
      </c>
      <c r="DE146" s="472" t="n">
        <f aca="false">IF(BD146,EURO(CP146,Strike2,AO146,AO146,CW146,CO146,IF(OptControl=3,1,0),0)-EURO(CP146,Strike2,AO146,AO146,CW146,CO146-1,IF(OptControl=3,1,0),0),0)</f>
        <v>0</v>
      </c>
      <c r="DG146" s="481" t="n">
        <f aca="false">EOMONTH(DG145,0)+1</f>
        <v>49522</v>
      </c>
      <c r="DH146" s="478" t="n">
        <v>20.46</v>
      </c>
      <c r="DI146" s="479" t="n">
        <v>20.5259090909091</v>
      </c>
      <c r="DJ146" s="480" t="n">
        <f aca="false">DG146</f>
        <v>49522</v>
      </c>
      <c r="DK146" s="478" t="n">
        <v>19.0753617703633</v>
      </c>
      <c r="DL146" s="479" t="n">
        <v>19.2590090909091</v>
      </c>
      <c r="DM146" s="481" t="n">
        <f aca="false">DG146</f>
        <v>49522</v>
      </c>
      <c r="DN146" s="482" t="n">
        <f aca="false">DK146+BrentPhyBrentSpread</f>
        <v>19.1253617703633</v>
      </c>
      <c r="DO146" s="481" t="n">
        <f aca="false">DG146</f>
        <v>49522</v>
      </c>
      <c r="DP146" s="483" t="n">
        <f aca="false">DL146+DQ146</f>
        <v>19.2590090909091</v>
      </c>
      <c r="DQ146" s="546" t="n">
        <v>0</v>
      </c>
      <c r="DR146" s="480" t="n">
        <f aca="false">DG146</f>
        <v>49522</v>
      </c>
      <c r="DS146" s="485" t="n">
        <v>0.148999999999999</v>
      </c>
      <c r="DT146" s="486" t="n">
        <v>0.14820909090909</v>
      </c>
      <c r="DU146" s="480" t="n">
        <f aca="false">DG146</f>
        <v>49522</v>
      </c>
      <c r="DV146" s="485" t="n">
        <v>0.148999999999999</v>
      </c>
      <c r="DW146" s="486" t="n">
        <v>0.14820909090909</v>
      </c>
      <c r="DX146" s="481" t="n">
        <f aca="false">DG146</f>
        <v>49522</v>
      </c>
      <c r="DY146" s="486" t="n">
        <v>0.35</v>
      </c>
      <c r="DZ146" s="481" t="n">
        <f aca="false">DR146</f>
        <v>49522</v>
      </c>
      <c r="EA146" s="486" t="n">
        <f aca="false">DT146</f>
        <v>0.14820909090909</v>
      </c>
      <c r="EB146" s="195"/>
      <c r="EC146" s="547" t="str">
        <f aca="false">IF(BD146,IF(Underlying=1,AS146,AU146),"")</f>
        <v/>
      </c>
      <c r="ED146" s="548" t="str">
        <f aca="false">IF($BD146,$EC146+IF(VolSkewFlag=1,IF(BS146&gt;0,$BA146*MIN(BS146/10%,1)+($BB146-$BA146)*MAX(0,MIN(BS146/10%-1,1))+($BC146-$BB146)*MAX(0,BS146/10%-2),$AZ146*MIN(-BS146/10%,1)+($AY146-$AZ146)*MAX(0,MIN(-BS146/10%-1,1))+($AX146-$AY146)*MAX(0,-BS146/10%-2)),0),"")</f>
        <v/>
      </c>
      <c r="EE146" s="549" t="str">
        <f aca="false">IF($BD146,$EC146+IF(VolSkewFlag=1,IF(BT146&gt;0,$BA146*MIN(BT146/10%,1)+($BB146-$BA146)*MAX(0,MIN(BT146/10%-1,1))+($BC146-$BB146)*MAX(0,BT146/10%-2),$AZ146*MIN(-BT146/10%,1)+($AY146-$AZ146)*MAX(0,MIN(-BT146/10%-1,1))+($AX146-$AY146)*MAX(0,-BT146/10%-2)),0),"")</f>
        <v/>
      </c>
      <c r="EF146" s="550" t="n">
        <f aca="false">IF(BD146,xASN(BR146,Strike1,AO146,ED146,0,BO146,0,BI146,BL146,IF(OptControl=4,0,1),0),0)</f>
        <v>0</v>
      </c>
      <c r="EG146" s="551" t="n">
        <f aca="false">IF(BD146,xASN(BR146,Strike2,AO146,EE146,0,BO146,0,BI146,BL146,IF(OptControl=3,1,0),0),0)</f>
        <v>0</v>
      </c>
      <c r="EL146" s="1"/>
      <c r="EM146" s="195"/>
      <c r="EN146" s="240"/>
      <c r="EO146" s="240"/>
      <c r="EP146" s="195"/>
      <c r="EQ146" s="407" t="s">
        <v>373</v>
      </c>
      <c r="ES146" s="130"/>
      <c r="ET146" s="19"/>
      <c r="EU146" s="672"/>
      <c r="EV146" s="478"/>
      <c r="EW146" s="131"/>
      <c r="EX146" s="131"/>
      <c r="EY146" s="129"/>
      <c r="EZ146" s="129"/>
      <c r="FA146" s="129"/>
      <c r="FB146" s="129"/>
      <c r="FC146" s="129"/>
      <c r="FD146" s="129"/>
      <c r="FE146" s="129"/>
      <c r="FF146" s="129"/>
      <c r="FG146" s="129"/>
      <c r="FH146" s="129"/>
      <c r="FI146" s="129"/>
      <c r="FJ146" s="571" t="n">
        <v>52</v>
      </c>
      <c r="FK146" s="150" t="e">
        <f aca="false">IF($FJ71&lt;FK$94,"",SQRT(FK71/FK$15))</f>
        <v>#DIV/0!</v>
      </c>
      <c r="FL146" s="150" t="n">
        <f aca="false">IF($FJ71&lt;FL$94,"",SQRT(FL71/FL$15))</f>
        <v>-0</v>
      </c>
      <c r="FM146" s="150" t="n">
        <f aca="false">IF($FJ71&lt;FM$94,"",SQRT(FM71/FM$15))</f>
        <v>0.17055734589841</v>
      </c>
      <c r="FN146" s="150" t="n">
        <f aca="false">IF($FJ71&lt;FN$94,"",SQRT(FN71/FN$15))</f>
        <v>0.16728759077718</v>
      </c>
      <c r="FO146" s="150" t="n">
        <f aca="false">IF($FJ71&lt;FO$94,"",SQRT(FO71/FO$15))</f>
        <v>0.164839227331448</v>
      </c>
      <c r="FP146" s="150" t="n">
        <f aca="false">IF($FJ71&lt;FP$94,"",SQRT(FP71/FP$15))</f>
        <v>0.163007600067925</v>
      </c>
      <c r="FQ146" s="150" t="n">
        <f aca="false">IF($FJ71&lt;FQ$94,"",SQRT(FQ71/FQ$15))</f>
        <v>0.161639332347586</v>
      </c>
      <c r="FR146" s="150" t="n">
        <f aca="false">IF($FJ71&lt;FR$94,"",SQRT(FR71/FR$15))</f>
        <v>0.160619526568265</v>
      </c>
      <c r="FS146" s="150" t="n">
        <f aca="false">IF($FJ71&lt;FS$94,"",SQRT(FS71/FS$15))</f>
        <v>0.159862167662398</v>
      </c>
      <c r="FT146" s="150" t="n">
        <f aca="false">IF($FJ71&lt;FT$94,"",SQRT(FT71/FT$15))</f>
        <v>0.159302929665789</v>
      </c>
      <c r="FU146" s="150" t="n">
        <f aca="false">IF($FJ71&lt;FU$94,"",SQRT(FU71/FU$15))</f>
        <v>0.158893785276375</v>
      </c>
      <c r="FV146" s="150" t="n">
        <f aca="false">IF($FJ71&lt;FV$94,"",SQRT(FV71/FV$15))</f>
        <v>0.158598968463174</v>
      </c>
      <c r="FW146" s="150" t="n">
        <f aca="false">IF($FJ71&lt;FW$94,"",SQRT(FW71/FW$15))</f>
        <v>0.158391952813776</v>
      </c>
      <c r="FX146" s="150" t="n">
        <f aca="false">IF($FJ71&lt;FX$94,"",SQRT(FX71/FX$15))</f>
        <v>0.158253192806813</v>
      </c>
      <c r="FY146" s="150" t="n">
        <f aca="false">IF($FJ71&lt;FY$94,"",SQRT(FY71/FY$15))</f>
        <v>0.158168438601719</v>
      </c>
      <c r="FZ146" s="150" t="n">
        <f aca="false">IF($FJ71&lt;FZ$94,"",SQRT(FZ71/FZ$15))</f>
        <v>0.158127482531596</v>
      </c>
      <c r="GA146" s="150" t="n">
        <f aca="false">IF($FJ71&lt;GA$94,"",SQRT(GA71/GA$15))</f>
        <v>0.158123231227673</v>
      </c>
      <c r="GB146" s="150" t="n">
        <f aca="false">IF($FJ71&lt;GB$94,"",SQRT(GB71/GB$15))</f>
        <v>0.158151024168823</v>
      </c>
      <c r="GC146" s="150" t="n">
        <f aca="false">IF($FJ71&lt;GC$94,"",SQRT(GC71/GC$15))</f>
        <v>0.158208139669542</v>
      </c>
      <c r="GD146" s="150" t="n">
        <f aca="false">IF($FJ71&lt;GD$94,"",SQRT(GD71/GD$15))</f>
        <v>0.15829344457267</v>
      </c>
      <c r="GE146" s="150" t="n">
        <f aca="false">IF($FJ71&lt;GE$94,"",SQRT(GE71/GE$15))</f>
        <v>0.158407155462029</v>
      </c>
      <c r="GF146" s="150" t="n">
        <f aca="false">IF($FJ71&lt;GF$94,"",SQRT(GF71/GF$15))</f>
        <v>0.158550688008548</v>
      </c>
      <c r="GG146" s="150" t="n">
        <f aca="false">IF($FJ71&lt;GG$94,"",SQRT(GG71/GG$15))</f>
        <v>0.158726577834476</v>
      </c>
      <c r="GH146" s="150" t="n">
        <f aca="false">IF($FJ71&lt;GH$94,"",SQRT(GH71/GH$15))</f>
        <v>0.15893846157736</v>
      </c>
      <c r="GI146" s="150" t="n">
        <f aca="false">IF($FJ71&lt;GI$94,"",SQRT(GI71/GI$15))</f>
        <v>0.159191111088139</v>
      </c>
      <c r="GJ146" s="150" t="n">
        <f aca="false">IF($FJ71&lt;GJ$94,"",SQRT(GJ71/GJ$15))</f>
        <v>0.159490517248549</v>
      </c>
      <c r="GK146" s="150" t="n">
        <f aca="false">IF($FJ71&lt;GK$94,"",SQRT(GK71/GK$15))</f>
        <v>0.159844023026082</v>
      </c>
      <c r="GL146" s="150" t="n">
        <f aca="false">IF($FJ71&lt;GL$94,"",SQRT(GL71/GL$15))</f>
        <v>0.160260508351545</v>
      </c>
      <c r="GM146" s="150" t="n">
        <f aca="false">IF($FJ71&lt;GM$94,"",SQRT(GM71/GM$15))</f>
        <v>0.160750632446257</v>
      </c>
      <c r="GN146" s="150" t="n">
        <f aca="false">IF($FJ71&lt;GN$94,"",SQRT(GN71/GN$15))</f>
        <v>0.161327142599029</v>
      </c>
      <c r="GO146" s="150" t="n">
        <f aca="false">IF($FJ71&lt;GO$94,"",SQRT(GO71/GO$15))</f>
        <v>0.16200526239536</v>
      </c>
      <c r="GP146" s="150" t="n">
        <f aca="false">IF($FJ71&lt;GP$94,"",SQRT(GP71/GP$15))</f>
        <v>0.162803177407962</v>
      </c>
      <c r="GQ146" s="150" t="n">
        <f aca="false">IF($FJ71&lt;GQ$94,"",SQRT(GQ71/GQ$15))</f>
        <v>0.163742642870464</v>
      </c>
      <c r="GR146" s="150" t="n">
        <f aca="false">IF($FJ71&lt;GR$94,"",SQRT(GR71/GR$15))</f>
        <v>0.164849746572563</v>
      </c>
      <c r="GS146" s="150" t="n">
        <f aca="false">IF($FJ71&lt;GS$94,"",SQRT(GS71/GS$15))</f>
        <v>0.166155872134861</v>
      </c>
      <c r="GT146" s="150" t="n">
        <f aca="false">IF($FJ71&lt;GT$94,"",SQRT(GT71/GT$15))</f>
        <v>0.167698924408425</v>
      </c>
      <c r="GU146" s="150" t="n">
        <f aca="false">IF($FJ71&lt;GU$94,"",SQRT(GU71/GU$15))</f>
        <v>0.169524902179778</v>
      </c>
      <c r="GV146" s="150" t="n">
        <f aca="false">IF($FJ71&lt;GV$94,"",SQRT(GV71/GV$15))</f>
        <v>0.171689936953207</v>
      </c>
      <c r="GW146" s="150" t="n">
        <f aca="false">IF($FJ71&lt;GW$94,"",SQRT(GW71/GW$15))</f>
        <v>0.174262965423536</v>
      </c>
      <c r="GX146" s="150" t="n">
        <f aca="false">IF($FJ71&lt;GX$94,"",SQRT(GX71/GX$15))</f>
        <v>0.177329275324077</v>
      </c>
      <c r="GY146" s="150" t="n">
        <f aca="false">IF($FJ71&lt;GY$94,"",SQRT(GY71/GY$15))</f>
        <v>0.180995272360332</v>
      </c>
      <c r="GZ146" s="150" t="n">
        <f aca="false">IF($FJ71&lt;GZ$94,"",SQRT(GZ71/GZ$15))</f>
        <v>0.185394980593418</v>
      </c>
      <c r="HA146" s="150" t="n">
        <f aca="false">IF($FJ71&lt;HA$94,"",SQRT(HA71/HA$15))</f>
        <v>0.190699044197396</v>
      </c>
      <c r="HB146" s="150" t="n">
        <f aca="false">IF($FJ71&lt;HB$94,"",SQRT(HB71/HB$15))</f>
        <v>0.19712740308913</v>
      </c>
      <c r="HC146" s="150" t="n">
        <f aca="false">IF($FJ71&lt;HC$94,"",SQRT(HC71/HC$15))</f>
        <v>0.204967469410421</v>
      </c>
      <c r="HD146" s="150" t="n">
        <f aca="false">IF($FJ71&lt;HD$94,"",SQRT(HD71/HD$15))</f>
        <v>0.214600716073914</v>
      </c>
      <c r="HE146" s="150" t="n">
        <f aca="false">IF($FJ71&lt;HE$94,"",SQRT(HE71/HE$15))</f>
        <v>0.22654243253645</v>
      </c>
      <c r="HF146" s="150" t="n">
        <f aca="false">IF($FJ71&lt;HF$94,"",SQRT(HF71/HF$15))</f>
        <v>0.241502631687202</v>
      </c>
      <c r="HG146" s="150" t="n">
        <f aca="false">IF($FJ71&lt;HG$94,"",SQRT(HG71/HG$15))</f>
        <v>0.260481932034353</v>
      </c>
      <c r="HH146" s="150" t="n">
        <f aca="false">IF($FJ71&lt;HH$94,"",SQRT(HH71/HH$15))</f>
        <v>0.284927196777813</v>
      </c>
      <c r="HI146" s="150" t="n">
        <f aca="false">IF($FJ71&lt;HI$94,"",SQRT(HI71/HI$15))</f>
        <v>0.316993137960877</v>
      </c>
      <c r="HJ146" s="150" t="n">
        <f aca="false">IF($FJ71&lt;HJ$94,"",SQRT(HJ71/HJ$15))</f>
        <v>0.360000022652866</v>
      </c>
      <c r="HK146" s="150" t="str">
        <f aca="false">IF($FJ71&lt;HK$94,"",SQRT(HK71/HK$15))</f>
        <v/>
      </c>
      <c r="HL146" s="150" t="str">
        <f aca="false">IF($FJ71&lt;HL$94,"",SQRT(HL71/HL$15))</f>
        <v/>
      </c>
      <c r="HM146" s="150" t="str">
        <f aca="false">IF($FJ71&lt;HM$94,"",SQRT(HM71/HM$15))</f>
        <v/>
      </c>
      <c r="HN146" s="150" t="str">
        <f aca="false">IF($FJ71&lt;HN$94,"",SQRT(HN71/HN$15))</f>
        <v/>
      </c>
      <c r="HO146" s="150" t="str">
        <f aca="false">IF($FJ71&lt;HO$94,"",SQRT(HO71/HO$15))</f>
        <v/>
      </c>
      <c r="HP146" s="150" t="str">
        <f aca="false">IF($FJ71&lt;HP$94,"",SQRT(HP71/HP$15))</f>
        <v/>
      </c>
      <c r="HQ146" s="150" t="str">
        <f aca="false">IF($FJ71&lt;HQ$94,"",SQRT(HQ71/HQ$15))</f>
        <v/>
      </c>
      <c r="HR146" s="150" t="str">
        <f aca="false">IF($FJ71&lt;HR$94,"",SQRT(HR71/HR$15))</f>
        <v/>
      </c>
      <c r="HS146" s="150" t="str">
        <f aca="false">IF($FJ71&lt;HS$94,"",SQRT(HS71/HS$15))</f>
        <v/>
      </c>
      <c r="HT146" s="150" t="str">
        <f aca="false">IF($FJ71&lt;HT$94,"",SQRT(HT71/HT$15))</f>
        <v/>
      </c>
      <c r="HU146" s="150" t="str">
        <f aca="false">IF($FJ71&lt;HU$94,"",SQRT(HU71/HU$15))</f>
        <v/>
      </c>
      <c r="HV146" s="150" t="str">
        <f aca="false">IF($FJ71&lt;HV$94,"",SQRT(HV71/HV$15))</f>
        <v/>
      </c>
      <c r="HW146" s="150" t="str">
        <f aca="false">IF($FJ71&lt;HW$94,"",SQRT(HW71/HW$15))</f>
        <v/>
      </c>
      <c r="HX146" s="150" t="str">
        <f aca="false">IF($FJ71&lt;HX$94,"",SQRT(HX71/HX$15))</f>
        <v/>
      </c>
      <c r="HY146" s="150" t="str">
        <f aca="false">IF($FJ71&lt;HY$94,"",SQRT(HY71/HY$15))</f>
        <v/>
      </c>
      <c r="HZ146" s="150" t="str">
        <f aca="false">IF($FJ71&lt;HZ$94,"",SQRT(HZ71/HZ$15))</f>
        <v/>
      </c>
      <c r="IA146" s="150" t="str">
        <f aca="false">IF($FJ71&lt;IA$94,"",SQRT(IA71/IA$15))</f>
        <v/>
      </c>
      <c r="IB146" s="150" t="str">
        <f aca="false">IF($FJ71&lt;IB$94,"",SQRT(IB71/IB$15))</f>
        <v/>
      </c>
      <c r="IC146" s="150" t="str">
        <f aca="false">IF($FJ71&lt;IC$94,"",SQRT(IC71/IC$15))</f>
        <v/>
      </c>
      <c r="ID146" s="572" t="str">
        <f aca="false">IF($FJ71&lt;ID$94,"",SQRT(ID71/ID$15))</f>
        <v/>
      </c>
      <c r="IE146" s="129"/>
    </row>
    <row r="147" customFormat="false" ht="12.75" hidden="false" customHeight="false" outlineLevel="0" collapsed="false">
      <c r="H147" s="219" t="n">
        <f aca="false">VLOOKUP(I147,$EJ$20:$EL$54,3)</f>
        <v>0</v>
      </c>
      <c r="I147" s="511" t="n">
        <f aca="false">EOMONTH(I146,0)+1</f>
        <v>40634</v>
      </c>
      <c r="J147" s="512"/>
      <c r="K147" s="513" t="s">
        <v>280</v>
      </c>
      <c r="L147" s="514" t="n">
        <f aca="false">IF(ISNUMBER(K147),J147+K147/100,IF(K147="extra",L146+VLOOKUP(BF147,PriceSpreadTable,2)/12,IF(K147="inter",interpolateprices($K$19:$L$200,ROW(K147)-ROW(FirstPricingMonth)+1),interpolatechanges($J$19:$K$200,ROW(K147)-ROW(FirstPricingMonth)+1))))</f>
        <v>1.9125</v>
      </c>
      <c r="M147" s="515"/>
      <c r="N147" s="516" t="n">
        <v>0</v>
      </c>
      <c r="O147" s="515" t="n">
        <f aca="false">M147+N147</f>
        <v>0</v>
      </c>
      <c r="P147" s="512"/>
      <c r="Q147" s="513" t="s">
        <v>280</v>
      </c>
      <c r="R147" s="512" t="e">
        <f aca="false">IF(ISNUMBER(Q147),P147+Q147/100,IF(Q147="extra",(Z145*AL145-R146*AM145)/AN145,IF(Q147="inter",interpolateprices($Q$19:$R$260,ROW(Q147)-ROW(FirstPricingMonth)+1),interpolatechanges($P$19:$Q$260,ROW(Q147)-ROW(FirstPricingMonth)+1))))</f>
        <v>#VALUE!</v>
      </c>
      <c r="S147" s="597" t="n">
        <f aca="false">S$19+(S146-S$19)*S$18</f>
        <v>0.36</v>
      </c>
      <c r="T147" s="575" t="n">
        <f aca="false">SQRT((1-(1-T146^2/U146)*T$18)*U147)</f>
        <v>0.999999999742851</v>
      </c>
      <c r="U147" s="576" t="n">
        <f aca="false">1-(1-U146)*U$18</f>
        <v>1</v>
      </c>
      <c r="V147" s="521" t="n">
        <v>0</v>
      </c>
      <c r="W147" s="577" t="n">
        <f aca="false">(J148*AJ147+J149*AK147)/AI147</f>
        <v>0</v>
      </c>
      <c r="X147" s="578" t="n">
        <f aca="false">(L148*AJ147+L149*AK147)/AI147</f>
        <v>1.9625</v>
      </c>
      <c r="Y147" s="579" t="n">
        <f aca="false">IF(Q149="extra",W147-AA147,(P148*AM147+P149*AN147)/AL147)</f>
        <v>-1.2915</v>
      </c>
      <c r="Z147" s="579" t="n">
        <f aca="false">IF(Q149="extra",X147-AB147,(R148*AM147+R149*AN147)/AL147)</f>
        <v>0.671000000000002</v>
      </c>
      <c r="AA147" s="523" t="n">
        <f aca="false">IF(Q149="extra",INDEX(BrentSeasonalityTable,INT((BG147-1)/3)+1)*VLOOKUP(MAX(BF147,$AB$4),PriceSpreadTable,3),W147-Y147)</f>
        <v>1.2915</v>
      </c>
      <c r="AB147" s="524" t="n">
        <f aca="false">IF(Q149="extra",INDEX(BrentSeasonalityTable,INT((BG147-1)/3)+1)*VLOOKUP(MAX(BF147,$AB$4),PriceSpreadTable,3),X147-Z147)</f>
        <v>1.2915</v>
      </c>
      <c r="AC147" s="646" t="n">
        <v>40622</v>
      </c>
      <c r="AD147" s="646" t="n">
        <v>40618</v>
      </c>
      <c r="AE147" s="646" t="n">
        <v>40617</v>
      </c>
      <c r="AF147" s="646" t="n">
        <v>40613</v>
      </c>
      <c r="AG147" s="438" t="s">
        <v>278</v>
      </c>
      <c r="AH147" s="439" t="s">
        <v>278</v>
      </c>
      <c r="AI147" s="528" t="n">
        <v>21</v>
      </c>
      <c r="AJ147" s="529" t="n">
        <v>14</v>
      </c>
      <c r="AK147" s="529" t="n">
        <v>7</v>
      </c>
      <c r="AL147" s="530" t="n">
        <v>21</v>
      </c>
      <c r="AM147" s="529" t="n">
        <v>10</v>
      </c>
      <c r="AN147" s="531" t="n">
        <v>11</v>
      </c>
      <c r="AO147" s="532"/>
      <c r="AP147" s="465" t="n">
        <f aca="false">(1+AO147/2)^(-2*BL147)</f>
        <v>1</v>
      </c>
      <c r="AQ147" s="532"/>
      <c r="AR147" s="465" t="n">
        <f aca="false">(1+AQ147/2)^(-2*BH147/365.25)</f>
        <v>1</v>
      </c>
      <c r="AS147" s="580" t="n">
        <f aca="false">(O148*AJ147+O149*AK147)/AI147</f>
        <v>0</v>
      </c>
      <c r="AT147" s="468" t="n">
        <f aca="false">O147*VLOOKUP(BF147,BrentVolTable,2)+VLOOKUP(BF147,BrentVolTable,3)</f>
        <v>0</v>
      </c>
      <c r="AU147" s="468" t="n">
        <f aca="false">(AT148*AM147+AT149*AN147)/AL147</f>
        <v>0</v>
      </c>
      <c r="AV147" s="595" t="n">
        <f aca="false">SQRT(MAX(0.000000000001,(O147^2*BH147-S147^2*(BH147-BH146))/BH146))</f>
        <v>0.0260804033984246</v>
      </c>
      <c r="AW147" s="451" t="n">
        <f aca="false">IF($I147-DateToday+15&gt;=$T$8,"",IF($I147-DateToday+15&lt;$T$5,1,MATCH($I147-DateToday+15,$T$5:$T$8)))</f>
        <v>1</v>
      </c>
      <c r="AX147" s="468" t="n">
        <f aca="false">IF($AW147="",AX146^2/AX145,INDEX(U$5:U$8,$AW147)^((INDEX($T$5:$T$8,$AW147+1)-($I147-DateToday+15))/(INDEX($T$5:$T$8,$AW147+1)-INDEX($T$5:$T$8,$AW147)))/INDEX(U$5:U$8,$AW147+1)^((INDEX($T$5:$T$8,$AW147)-($I147-DateToday+15))/(INDEX($T$5:$T$8,$AW147+1)-INDEX($T$5:$T$8,$AW147))))</f>
        <v>0.831629739831785</v>
      </c>
      <c r="AY147" s="468" t="n">
        <f aca="false">IF($AW147="",AY146^2/AY145,INDEX(V$5:V$8,$AW147)^((INDEX($T$5:$T$8,$AW147+1)-($I147-DateToday+15))/(INDEX($T$5:$T$8,$AW147+1)-INDEX($T$5:$T$8,$AW147)))/INDEX(V$5:V$8,$AW147+1)^((INDEX($T$5:$T$8,$AW147)-($I147-DateToday+15))/(INDEX($T$5:$T$8,$AW147+1)-INDEX($T$5:$T$8,$AW147))))</f>
        <v>24.8067097028367</v>
      </c>
      <c r="AZ147" s="468" t="n">
        <f aca="false">IF($AW147="",AZ146^2/AZ145,INDEX(W$5:W$8,$AW147)^((INDEX($T$5:$T$8,$AW147+1)-($I147-DateToday+15))/(INDEX($T$5:$T$8,$AW147+1)-INDEX($T$5:$T$8,$AW147)))/INDEX(W$5:W$8,$AW147+1)^((INDEX($T$5:$T$8,$AW147)-($I147-DateToday+15))/(INDEX($T$5:$T$8,$AW147+1)-INDEX($T$5:$T$8,$AW147))))</f>
        <v>20384.0272595584</v>
      </c>
      <c r="BA147" s="468" t="n">
        <f aca="false">IF($AW147="",BA146^2/BA145,INDEX(X$5:X$8,$AW147)^((INDEX($T$5:$T$8,$AW147+1)-($I147-DateToday+15))/(INDEX($T$5:$T$8,$AW147+1)-INDEX($T$5:$T$8,$AW147)))/INDEX(X$5:X$8,$AW147+1)^((INDEX($T$5:$T$8,$AW147)-($I147-DateToday+15))/(INDEX($T$5:$T$8,$AW147+1)-INDEX($T$5:$T$8,$AW147))))</f>
        <v>176582.950901984</v>
      </c>
      <c r="BB147" s="468" t="n">
        <f aca="false">IF($AW147="",BB146^2/BB145,INDEX(Y$5:Y$8,$AW147)^((INDEX($T$5:$T$8,$AW147+1)-($I147-DateToday+15))/(INDEX($T$5:$T$8,$AW147+1)-INDEX($T$5:$T$8,$AW147)))/INDEX(Y$5:Y$8,$AW147+1)^((INDEX($T$5:$T$8,$AW147)-($I147-DateToday+15))/(INDEX($T$5:$T$8,$AW147+1)-INDEX($T$5:$T$8,$AW147))))</f>
        <v>1389166.19675266</v>
      </c>
      <c r="BC147" s="468" t="n">
        <f aca="false">IF($AW147="",BC146^2/BC145,INDEX(Z$5:Z$8,$AW147)^((INDEX($T$5:$T$8,$AW147+1)-($I147-DateToday+15))/(INDEX($T$5:$T$8,$AW147+1)-INDEX($T$5:$T$8,$AW147)))/INDEX(Z$5:Z$8,$AW147+1)^((INDEX($T$5:$T$8,$AW147)-($I147-DateToday+15))/(INDEX($T$5:$T$8,$AW147+1)-INDEX($T$5:$T$8,$AW147))))</f>
        <v>4838979.07744632</v>
      </c>
      <c r="BD147" s="535" t="n">
        <f aca="false">IF(OR(DateStart&gt;=I148,DateEnd&lt;I147),0,IF(VolumeOverrideFlag,V147,Volume))</f>
        <v>0</v>
      </c>
      <c r="BE147" s="536" t="n">
        <f aca="false">IF(OR(DateStart2&gt;=I148,DateEnd2&lt;I147),0,IF(VolumeOverrideFlag,V147,VolumeSwaption))</f>
        <v>0</v>
      </c>
      <c r="BF147" s="537" t="n">
        <f aca="false">YEAR(I147)</f>
        <v>2011</v>
      </c>
      <c r="BG147" s="538" t="n">
        <f aca="false">MONTH(I147)</f>
        <v>4</v>
      </c>
      <c r="BH147" s="539" t="n">
        <f aca="false">AD147-DateToday+1</f>
        <v>-5307</v>
      </c>
      <c r="BI147" s="540" t="n">
        <f aca="false">(I147-DateToday+1)/365.25</f>
        <v>-14.4859685147159</v>
      </c>
      <c r="BJ147" s="541" t="n">
        <f aca="false">BI147+(BL147-BI147)*CHOOSE(Underlying,AJ147/AI147,AM147/AL147)</f>
        <v>-14.4330367328314</v>
      </c>
      <c r="BK147" s="541" t="n">
        <f aca="false">BJ147+1/365.25</f>
        <v>-14.4302988820443</v>
      </c>
      <c r="BL147" s="541" t="n">
        <f aca="false">(I148-DateToday)/365.25</f>
        <v>-14.4065708418891</v>
      </c>
      <c r="BM147" s="542" t="e">
        <f aca="false">MAX(BI147-(BJ147-BI147)*(S148^2/O148^2-1),0)</f>
        <v>#DIV/0!</v>
      </c>
      <c r="BN147" s="541" t="e">
        <f aca="false">MAX(BL147+(BL147-BK147)*(S149^2/O149^2-1),0)</f>
        <v>#DIV/0!</v>
      </c>
      <c r="BO147" s="530" t="n">
        <f aca="false">CHOOSE(Underlying,AI147,AL147)</f>
        <v>21</v>
      </c>
      <c r="BP147" s="529" t="n">
        <f aca="false">CHOOSE(Underlying,AJ147,AM147)</f>
        <v>14</v>
      </c>
      <c r="BQ147" s="529" t="n">
        <f aca="false">CHOOSE(Underlying,AK147,AN147)</f>
        <v>7</v>
      </c>
      <c r="BR147" s="463" t="str">
        <f aca="false">IF(BD147,IF(Underlying=1,X147,Z147)+UnderlyingPriceAsian-SwapPriceCurve,"")</f>
        <v/>
      </c>
      <c r="BS147" s="463" t="str">
        <f aca="false">IF(BD147,Strike1/BR147-1,"")</f>
        <v/>
      </c>
      <c r="BT147" s="464" t="str">
        <f aca="false">IF(BD147,Strike2/BR147-1,"")</f>
        <v/>
      </c>
      <c r="BU147" s="465" t="str">
        <f aca="false">IF(BD147,IF(Underlying=1,L148,R148)+UnderlyingPriceAsian-SwapPriceCurve,"")</f>
        <v/>
      </c>
      <c r="BV147" s="465" t="str">
        <f aca="false">IF(BD147,IF(Underlying=1,L149,R149)+UnderlyingPriceAsian-SwapPriceCurve,"")</f>
        <v/>
      </c>
      <c r="BW147" s="466" t="str">
        <f aca="false">IF(BD147,IF(Underlying=1,O148,AT148),"")</f>
        <v/>
      </c>
      <c r="BX147" s="467" t="str">
        <f aca="false">IF(BD147,IF(Underlying=1,O149,AT149),"")</f>
        <v/>
      </c>
      <c r="BY147" s="466" t="str">
        <f aca="false">IF(BD147,IF(BS147&gt;0,IF(BS147&gt;0.2,BC147-BB147,IF(BS147&gt;0.1,BB147-BA147,BA147)),IF(BS147&lt;-0.2,AX147-AY147,IF(BS147&lt;-0.1,AY147-AZ147,AZ147))),"")</f>
        <v/>
      </c>
      <c r="BZ147" s="467" t="str">
        <f aca="false">IF(BD147,IF(BT147&gt;0,IF(BT147&gt;0.2,BC147-BB147,IF(BT147&gt;0.1,BB147-BA147,BA147)),IF(BT147&lt;-0.2,AX147-AY147,IF(BT147&lt;-0.1,AY147-AZ147,AZ147))),"")</f>
        <v/>
      </c>
      <c r="CA147" s="468" t="str">
        <f aca="false">IF($BD147,$BW147+IF(VolSkewFlag=1,IF(BS147&gt;0,$BA147*MIN(BS147/10%,1)+($BB147-$BA147)*MAX(0,MIN(BS147/10%-1,1))+($BC147-$BB147)*MAX(0,BS147/10%-2),$AZ147*MIN(-BS147/10%,1)+($AY147-$AZ147)*MAX(0,MIN(-BS147/10%-1,1))+($AX147-$AY147)*MAX(0,-BS147/10%-2)),0),"")</f>
        <v/>
      </c>
      <c r="CB147" s="468" t="str">
        <f aca="false">IF($BD147,$BX147+IF(VolSkewFlag=1,IF(BS147&gt;0,$BA147*MIN(BS147/10%,1)+($BB147-$BA147)*MAX(0,MIN(BS147/10%-1,1))+($BC147-$BB147)*MAX(0,BS147/10%-2),$AZ147*MIN(-BS147/10%,1)+($AY147-$AZ147)*MAX(0,MIN(-BS147/10%-1,1))+($AX147-$AY147)*MAX(0,-BS147/10%-2)),0),"")</f>
        <v/>
      </c>
      <c r="CC147" s="468" t="str">
        <f aca="false">IF($BD147,$BW147+IF(VolSkewFlag=1,IF(BT147&gt;0,$BA147*MIN(BT147/10%,1)+($BB147-$BA147)*MAX(0,MIN(BT147/10%-1,1))+($BC147-$BB147)*MAX(0,BT147/10%-2),$AZ147*MIN(-BT147/10%,1)+($AY147-$AZ147)*MAX(0,MIN(-BT147/10%-1,1))+($AX147-$AY147)*MAX(0,-BT147/10%-2)),0),"")</f>
        <v/>
      </c>
      <c r="CD147" s="468" t="str">
        <f aca="false">IF($BD147,$BX147+IF(VolSkewFlag=1,IF(BT147&gt;0,$BA147*MIN(BT147/10%,1)+($BB147-$BA147)*MAX(0,MIN(BT147/10%-1,1))+($BC147-$BB147)*MAX(0,BT147/10%-2),$AZ147*MIN(-BT147/10%,1)+($AY147-$AZ147)*MAX(0,MIN(-BT147/10%-1,1))+($AX147-$AY147)*MAX(0,-BT147/10%-2)),0),"")</f>
        <v/>
      </c>
      <c r="CE147" s="469" t="n">
        <v>1</v>
      </c>
      <c r="CF147" s="470" t="n">
        <f aca="false">IF(BD147,xCrudeAPO(BU147,BV147,CA147,CB147,S148,S149,BI147,BL147,BP147,BQ147,0,Strike1,AO147,CE147,0,BL147,IF(OptControl=4,0,1),0,1),0)</f>
        <v>0</v>
      </c>
      <c r="CG147" s="470" t="n">
        <f aca="false">IF(BD147,xCrudeAPO(BU147,BV147,CA147,CB147,S148,S149,BI147,BL147,BP147,BQ147,0,Strike1,AO147,CE147,0,BL147,IF(OptControl=4,0,1),1,1)+xCrudeAPO(BU147,BV147,CA147,CB147,S148,S149,BI147,BL147,BP147,BQ147,0,Strike1,AO147,CE147,0,BL147,IF(OptControl=4,0,1),1,2)+IF(OR(VolSkewFlag=2,ABS(BS147)&lt;0.0001),0,IF(BS147&gt;0,-1,1)*CH147*Strike1/BR147^2*BY147/10%),0)</f>
        <v>0</v>
      </c>
      <c r="CH147" s="470" t="n">
        <f aca="false">IF(BD147,(xCrudeAPO(BU147,BV147,CA147,CB147,S148,S149,BI147,BL147,BP147,BQ147,0,Strike1,AO147,CE147,0,BL147,IF(OptControl=4,0,1),3,1)+xCrudeAPO(BU147,BV147,CA147,CB147,S148,S149,BI147,BL147,BP147,BQ147,0,Strike1,AO147,CE147,0,BL147,IF(OptControl=4,0,1),3,2))/100,0)</f>
        <v>0</v>
      </c>
      <c r="CI147" s="470" t="n">
        <f aca="false">IF(BD147,xCrudeAPO(BU147,BV147,CA147,CB147,S148,S149,BI147-DaysForThetaCalculation/365.25,BL147-DaysForThetaCalculation/365.25,BP147,BQ147,0,Strike1,AO147,CE147,0,BL147,IF(OptControl=4,0,1),0,1)-xCrudeAPO(BU147,BV147,CA147,CB147,S148,S149,BI147,BL147,BP147,BQ147,0,Strike1,AO147,CE147,0,BL147,IF(OptControl=4,0,1),0,1),0)</f>
        <v>0</v>
      </c>
      <c r="CJ147" s="471" t="n">
        <f aca="false">IF(BD147,xCrudeAPO(BU147,BV147,CC147,CD147,S148,S149,BI147,BL147,BP147,BQ147,0,Strike2,AO147,CE147,0,BL147,IF(OptControl=3,1,0),0,1),0)</f>
        <v>0</v>
      </c>
      <c r="CK147" s="470" t="n">
        <f aca="false">IF(BD147,xCrudeAPO(BU147,BV147,CC147,CD147,S148,S149,BI147,BL147,BP147,BQ147,0,Strike2,AO147,CE147,0,BL147,IF(OptControl=3,1,0),1,1)+xCrudeAPO(BU147,BV147,CC147,CD147,S148,S149,BI147,BL147,BP147,BQ147,0,Strike2,AO147,CE147,0,BL147,IF(OptControl=3,1,0),1,2)+IF(OR(VolSkewFlag=2,ABS(BT147)&lt;0.0001),0,IF(BT147&gt;0,-1,1)*CL147*Strike2/BR147^2*BZ147/10%),0)</f>
        <v>0</v>
      </c>
      <c r="CL147" s="470" t="n">
        <f aca="false">IF(BD147,(xCrudeAPO(BU147,BV147,CC147,CD147,S148,S149,BI147,BL147,BP147,BQ147,0,Strike2,AO147,CE147,0,BL147,IF(OptControl=3,1,0),3,1)+xCrudeAPO(BU147,BV147,CC147,CD147,S148,S149,BI147,BL147,BP147,BQ147,0,Strike2,AO147,CE147,0,BL147,IF(OptControl=3,1,0),3,2))/100,0)</f>
        <v>0</v>
      </c>
      <c r="CM147" s="472" t="n">
        <f aca="false">IF(BD147,xCrudeAPO(BU147,BV147,CC147,CD147,S148,S149,BI147-DaysForThetaCalculation/365.25,BL147-DaysForThetaCalculation/365.25,BP147,BQ147,0,Strike2,AO147,CE147,0,BL147,IF(OptControl=3,1,0),0,1)-xCrudeAPO(BU147,BV147,CC147,CD147,S148,S149,BI147,BL147,BP147,BQ147,0,Strike2,AO147,CE147,0,BL147,IF(OptControl=3,1,0),0,1),0)</f>
        <v>0</v>
      </c>
      <c r="CN147" s="3"/>
      <c r="CO147" s="543" t="str">
        <f aca="false">IF(BD147,CHOOSE(Underlying,AD147,AF147)-DateToday+1,"")</f>
        <v/>
      </c>
      <c r="CP147" s="582" t="str">
        <f aca="false">IF(BD147,CHOOSE(Underlying,L147,R147),"")</f>
        <v/>
      </c>
      <c r="CQ147" s="544" t="str">
        <f aca="false">IF(BD147,Strike1/CP147-1,"")</f>
        <v/>
      </c>
      <c r="CR147" s="544" t="str">
        <f aca="false">IF(BD147,Strike2/CP147-1,"")</f>
        <v/>
      </c>
      <c r="CS147" s="544" t="str">
        <f aca="false">IF(BD147,IF(CQ147&gt;0,IF(CQ147&gt;0.2,BC146-BB146,IF(CQ147&gt;0.1,BB146-BA146,BA146)),IF(CQ147&lt;-0.2,AX146-AY146,IF(CQ147&lt;-0.1,AY146-AZ146,AZ146))),"")</f>
        <v/>
      </c>
      <c r="CT147" s="544" t="str">
        <f aca="false">IF(BD147,IF(CR147&gt;0,IF(CR147&gt;0.2,BC146-BB146,IF(CR147&gt;0.1,BB146-BA146,BA146)),IF(CR147&lt;-0.2,AX146-AY146,IF(CR147&lt;-0.1,AY146-AZ146,AZ146))),"")</f>
        <v/>
      </c>
      <c r="CU147" s="545" t="str">
        <f aca="false">IF(BD147,CHOOSE(Underlying,O147,AT147),"")</f>
        <v/>
      </c>
      <c r="CV147" s="545" t="str">
        <f aca="false">IF(BD147,CU147+IF(VolSkewFlag=1,IF(CQ147&gt;0,BA146*MIN(CQ147/10%,1)+(BB146-BA146)*MAX(0,MIN(CQ147/10%-1,1))+(BC146-BB146)*MAX(0,CQ147/10%-2),AZ146*MIN(-CQ147/10%,1)+(AY146-AZ146)*MAX(0,MIN(-CQ147/10%-1,1))+(AX146-AY146)*MAX(0,-CQ147/10%-2)),0),"")</f>
        <v/>
      </c>
      <c r="CW147" s="545" t="str">
        <f aca="false">IF(BD147,CU147+IF(VolSkewFlag=1,IF(CR147&gt;0,BA146*MIN(CR147/10%,1)+(BB146-BA146)*MAX(0,MIN(CR147/10%-1,1))+(BC146-BB146)*MAX(0,CR147/10%-2),AZ146*MIN(-CR147/10%,1)+(AY146-AZ146)*MAX(0,MIN(-CR147/10%-1,1))+(AX146-AY146)*MAX(0,-CR147/10%-2)),0),"")</f>
        <v/>
      </c>
      <c r="CX147" s="470" t="n">
        <f aca="false">IF(BD147,EURO(CP147,Strike1,AO147,AO147,CV147,CO147,IF(OptControl=4,0,1),0),0)</f>
        <v>0</v>
      </c>
      <c r="CY147" s="470" t="n">
        <f aca="false">IF(BD147,EURO(CP147,Strike1,AO147,AO147,CV147,CO147,IF(OptControl=4,0,1),1)+IF(OR(VolSkewFlag=2,ABS(CQ147)&lt;0.0001),0,IF(CQ147&gt;0,-1,1)*CZ147*100*Strike1/CP147^2*CS147/10%),0)</f>
        <v>0</v>
      </c>
      <c r="CZ147" s="470" t="n">
        <f aca="false">IF(BD147,EURO(CP147,Strike1,AO147,AO147,CV147,CO147,IF(OptControl=4,0,1),3)/100,0)</f>
        <v>0</v>
      </c>
      <c r="DA147" s="470" t="n">
        <f aca="false">IF(BD147,EURO(CP147,Strike1,AO147,AO147,CV147,CO147,IF(OptControl=4,0,1),0)-EURO(CP147,Strike1,AO147,AO147,CV147,CO147-1,IF(OptControl=4,0,1),0),0)</f>
        <v>0</v>
      </c>
      <c r="DB147" s="470" t="n">
        <f aca="false">IF(BD147,EURO(CP147,Strike2,AO147,AO147,CW147,CO147,IF(OptControl=3,1,0),0),0)</f>
        <v>0</v>
      </c>
      <c r="DC147" s="470" t="n">
        <f aca="false">IF(BD147,EURO(CP147,Strike2,AO147,AO147,CW147,CO147,IF(OptControl=3,1,0),1)+IF(OR(VolSkewFlag=2,ABS(CR147)&lt;0.0001),0,IF(CR147&gt;0,-1,1)*DD147*100*Strike2/CP147^2*CT147/10%),0)</f>
        <v>0</v>
      </c>
      <c r="DD147" s="470" t="n">
        <f aca="false">IF(BD147,EURO(CP147,Strike2,AO147,AO147,CW147,CO147,IF(OptControl=3,1,0),3)/100,0)</f>
        <v>0</v>
      </c>
      <c r="DE147" s="472" t="n">
        <f aca="false">IF(BD147,EURO(CP147,Strike2,AO147,AO147,CW147,CO147,IF(OptControl=3,1,0),0)-EURO(CP147,Strike2,AO147,AO147,CW147,CO147-1,IF(OptControl=3,1,0),0),0)</f>
        <v>0</v>
      </c>
      <c r="DG147" s="481" t="n">
        <f aca="false">EOMONTH(DG146,0)+1</f>
        <v>49553</v>
      </c>
      <c r="DH147" s="478" t="n">
        <v>20.51</v>
      </c>
      <c r="DI147" s="479" t="n">
        <v>20.5781818181819</v>
      </c>
      <c r="DJ147" s="480" t="n">
        <f aca="false">DG147</f>
        <v>49553</v>
      </c>
      <c r="DK147" s="478" t="n">
        <v>19.3245485246973</v>
      </c>
      <c r="DL147" s="479" t="n">
        <v>19.3112818181819</v>
      </c>
      <c r="DM147" s="481" t="n">
        <f aca="false">DG147</f>
        <v>49553</v>
      </c>
      <c r="DN147" s="482" t="n">
        <f aca="false">DK147+BrentPhyBrentSpread</f>
        <v>19.3745485246973</v>
      </c>
      <c r="DO147" s="481" t="n">
        <f aca="false">DG147</f>
        <v>49553</v>
      </c>
      <c r="DP147" s="483" t="n">
        <f aca="false">DL147+DQ147</f>
        <v>19.3112818181819</v>
      </c>
      <c r="DQ147" s="546" t="n">
        <v>0</v>
      </c>
      <c r="DR147" s="480" t="n">
        <f aca="false">DG147</f>
        <v>49553</v>
      </c>
      <c r="DS147" s="485" t="n">
        <v>0.148399999999999</v>
      </c>
      <c r="DT147" s="486" t="n">
        <v>0.147581818181817</v>
      </c>
      <c r="DU147" s="480" t="n">
        <f aca="false">DG147</f>
        <v>49553</v>
      </c>
      <c r="DV147" s="485" t="n">
        <v>0.148399999999999</v>
      </c>
      <c r="DW147" s="486" t="n">
        <v>0.147581818181817</v>
      </c>
      <c r="DX147" s="481" t="n">
        <f aca="false">DG147</f>
        <v>49553</v>
      </c>
      <c r="DY147" s="486" t="n">
        <v>0.35</v>
      </c>
      <c r="DZ147" s="481" t="n">
        <f aca="false">DR147</f>
        <v>49553</v>
      </c>
      <c r="EA147" s="486" t="n">
        <f aca="false">DT147</f>
        <v>0.147581818181817</v>
      </c>
      <c r="EB147" s="195"/>
      <c r="EC147" s="547" t="str">
        <f aca="false">IF(BD147,IF(Underlying=1,AS147,AU147),"")</f>
        <v/>
      </c>
      <c r="ED147" s="548" t="str">
        <f aca="false">IF($BD147,$EC147+IF(VolSkewFlag=1,IF(BS147&gt;0,$BA147*MIN(BS147/10%,1)+($BB147-$BA147)*MAX(0,MIN(BS147/10%-1,1))+($BC147-$BB147)*MAX(0,BS147/10%-2),$AZ147*MIN(-BS147/10%,1)+($AY147-$AZ147)*MAX(0,MIN(-BS147/10%-1,1))+($AX147-$AY147)*MAX(0,-BS147/10%-2)),0),"")</f>
        <v/>
      </c>
      <c r="EE147" s="549" t="str">
        <f aca="false">IF($BD147,$EC147+IF(VolSkewFlag=1,IF(BT147&gt;0,$BA147*MIN(BT147/10%,1)+($BB147-$BA147)*MAX(0,MIN(BT147/10%-1,1))+($BC147-$BB147)*MAX(0,BT147/10%-2),$AZ147*MIN(-BT147/10%,1)+($AY147-$AZ147)*MAX(0,MIN(-BT147/10%-1,1))+($AX147-$AY147)*MAX(0,-BT147/10%-2)),0),"")</f>
        <v/>
      </c>
      <c r="EF147" s="550" t="n">
        <f aca="false">IF(BD147,xASN(BR147,Strike1,AO147,ED147,0,BO147,0,BI147,BL147,IF(OptControl=4,0,1),0),0)</f>
        <v>0</v>
      </c>
      <c r="EG147" s="551" t="n">
        <f aca="false">IF(BD147,xASN(BR147,Strike2,AO147,EE147,0,BO147,0,BI147,BL147,IF(OptControl=3,1,0),0),0)</f>
        <v>0</v>
      </c>
      <c r="EL147" s="1"/>
      <c r="EM147" s="195"/>
      <c r="EN147" s="240"/>
      <c r="EO147" s="240"/>
      <c r="EP147" s="195"/>
      <c r="EQ147" s="407" t="s">
        <v>374</v>
      </c>
      <c r="ES147" s="130"/>
      <c r="ET147" s="19"/>
      <c r="EU147" s="672"/>
      <c r="EV147" s="478"/>
      <c r="EW147" s="131"/>
      <c r="EX147" s="131"/>
      <c r="EY147" s="129"/>
      <c r="EZ147" s="129"/>
      <c r="FA147" s="129"/>
      <c r="FB147" s="129"/>
      <c r="FC147" s="129"/>
      <c r="FD147" s="129"/>
      <c r="FE147" s="129"/>
      <c r="FF147" s="129"/>
      <c r="FG147" s="129"/>
      <c r="FH147" s="129"/>
      <c r="FI147" s="129"/>
      <c r="FJ147" s="571" t="n">
        <v>53</v>
      </c>
      <c r="FK147" s="150" t="e">
        <f aca="false">IF($FJ72&lt;FK$94,"",SQRT(FK72/FK$15))</f>
        <v>#DIV/0!</v>
      </c>
      <c r="FL147" s="150" t="n">
        <f aca="false">IF($FJ72&lt;FL$94,"",SQRT(FL72/FL$15))</f>
        <v>-0</v>
      </c>
      <c r="FM147" s="150" t="n">
        <f aca="false">IF($FJ72&lt;FM$94,"",SQRT(FM72/FM$15))</f>
        <v>0.17054845985069</v>
      </c>
      <c r="FN147" s="150" t="n">
        <f aca="false">IF($FJ72&lt;FN$94,"",SQRT(FN72/FN$15))</f>
        <v>0.167277396938825</v>
      </c>
      <c r="FO147" s="150" t="n">
        <f aca="false">IF($FJ72&lt;FO$94,"",SQRT(FO72/FO$15))</f>
        <v>0.164827479148104</v>
      </c>
      <c r="FP147" s="150" t="n">
        <f aca="false">IF($FJ72&lt;FP$94,"",SQRT(FP72/FP$15))</f>
        <v>0.162994012100126</v>
      </c>
      <c r="FQ147" s="150" t="n">
        <f aca="false">IF($FJ72&lt;FQ$94,"",SQRT(FQ72/FQ$15))</f>
        <v>0.161623573274895</v>
      </c>
      <c r="FR147" s="150" t="n">
        <f aca="false">IF($FJ72&lt;FR$94,"",SQRT(FR72/FR$15))</f>
        <v>0.160601211040882</v>
      </c>
      <c r="FS147" s="150" t="n">
        <f aca="false">IF($FJ72&lt;FS$94,"",SQRT(FS72/FS$15))</f>
        <v>0.159840846794981</v>
      </c>
      <c r="FT147" s="150" t="n">
        <f aca="false">IF($FJ72&lt;FT$94,"",SQRT(FT72/FT$15))</f>
        <v>0.159278079932472</v>
      </c>
      <c r="FU147" s="150" t="n">
        <f aca="false">IF($FJ72&lt;FU$94,"",SQRT(FU72/FU$15))</f>
        <v>0.158864795523609</v>
      </c>
      <c r="FV147" s="150" t="n">
        <f aca="false">IF($FJ72&lt;FV$94,"",SQRT(FV72/FV$15))</f>
        <v>0.158565124706484</v>
      </c>
      <c r="FW147" s="150" t="n">
        <f aca="false">IF($FJ72&lt;FW$94,"",SQRT(FW72/FW$15))</f>
        <v>0.158352420424368</v>
      </c>
      <c r="FX147" s="150" t="n">
        <f aca="false">IF($FJ72&lt;FX$94,"",SQRT(FX72/FX$15))</f>
        <v>0.158206995621974</v>
      </c>
      <c r="FY147" s="150" t="n">
        <f aca="false">IF($FJ72&lt;FY$94,"",SQRT(FY72/FY$15))</f>
        <v>0.158114434406686</v>
      </c>
      <c r="FZ147" s="150" t="n">
        <f aca="false">IF($FJ72&lt;FZ$94,"",SQRT(FZ72/FZ$15))</f>
        <v>0.158064334256787</v>
      </c>
      <c r="GA147" s="150" t="n">
        <f aca="false">IF($FJ72&lt;GA$94,"",SQRT(GA72/GA$15))</f>
        <v>0.158049373079856</v>
      </c>
      <c r="GB147" s="150" t="n">
        <f aca="false">IF($FJ72&lt;GB$94,"",SQRT(GB72/GB$15))</f>
        <v>0.158064621762837</v>
      </c>
      <c r="GC147" s="150" t="n">
        <f aca="false">IF($FJ72&lt;GC$94,"",SQRT(GC72/GC$15))</f>
        <v>0.158107043042054</v>
      </c>
      <c r="GD147" s="150" t="n">
        <f aca="false">IF($FJ72&lt;GD$94,"",SQRT(GD72/GD$15))</f>
        <v>0.158175132732693</v>
      </c>
      <c r="GE147" s="150" t="n">
        <f aca="false">IF($FJ72&lt;GE$94,"",SQRT(GE72/GE$15))</f>
        <v>0.158268670853636</v>
      </c>
      <c r="GF147" s="150" t="n">
        <f aca="false">IF($FJ72&lt;GF$94,"",SQRT(GF72/GF$15))</f>
        <v>0.158388558915057</v>
      </c>
      <c r="GG147" s="150" t="n">
        <f aca="false">IF($FJ72&lt;GG$94,"",SQRT(GG72/GG$15))</f>
        <v>0.158536726321524</v>
      </c>
      <c r="GH147" s="150" t="n">
        <f aca="false">IF($FJ72&lt;GH$94,"",SQRT(GH72/GH$15))</f>
        <v>0.158716094029618</v>
      </c>
      <c r="GI147" s="150" t="n">
        <f aca="false">IF($FJ72&lt;GI$94,"",SQRT(GI72/GI$15))</f>
        <v>0.158930587707546</v>
      </c>
      <c r="GJ147" s="150" t="n">
        <f aca="false">IF($FJ72&lt;GJ$94,"",SQRT(GJ72/GJ$15))</f>
        <v>0.159185196005481</v>
      </c>
      <c r="GK147" s="150" t="n">
        <f aca="false">IF($FJ72&lt;GK$94,"",SQRT(GK72/GK$15))</f>
        <v>0.159486072427597</v>
      </c>
      <c r="GL147" s="150" t="n">
        <f aca="false">IF($FJ72&lt;GL$94,"",SQRT(GL72/GL$15))</f>
        <v>0.159840681928399</v>
      </c>
      <c r="GM147" s="150" t="n">
        <f aca="false">IF($FJ72&lt;GM$94,"",SQRT(GM72/GM$15))</f>
        <v>0.160257995946662</v>
      </c>
      <c r="GN147" s="150" t="n">
        <f aca="false">IF($FJ72&lt;GN$94,"",SQRT(GN72/GN$15))</f>
        <v>0.160748742350205</v>
      </c>
      <c r="GO147" s="150" t="n">
        <f aca="false">IF($FJ72&lt;GO$94,"",SQRT(GO72/GO$15))</f>
        <v>0.161325719926334</v>
      </c>
      <c r="GP147" s="150" t="n">
        <f aca="false">IF($FJ72&lt;GP$94,"",SQRT(GP72/GP$15))</f>
        <v>0.162004190896361</v>
      </c>
      <c r="GQ147" s="150" t="n">
        <f aca="false">IF($FJ72&lt;GQ$94,"",SQRT(GQ72/GQ$15))</f>
        <v>0.162802369820328</v>
      </c>
      <c r="GR147" s="150" t="n">
        <f aca="false">IF($FJ72&lt;GR$94,"",SQRT(GR72/GR$15))</f>
        <v>0.163742033681542</v>
      </c>
      <c r="GS147" s="150" t="n">
        <f aca="false">IF($FJ72&lt;GS$94,"",SQRT(GS72/GS$15))</f>
        <v>0.164849286590005</v>
      </c>
      <c r="GT147" s="150" t="n">
        <f aca="false">IF($FJ72&lt;GT$94,"",SQRT(GT72/GT$15))</f>
        <v>0.166155524413596</v>
      </c>
      <c r="GU147" s="150" t="n">
        <f aca="false">IF($FJ72&lt;GU$94,"",SQRT(GU72/GU$15))</f>
        <v>0.167698661195019</v>
      </c>
      <c r="GV147" s="150" t="n">
        <f aca="false">IF($FJ72&lt;GV$94,"",SQRT(GV72/GV$15))</f>
        <v>0.169524702619925</v>
      </c>
      <c r="GW147" s="150" t="n">
        <f aca="false">IF($FJ72&lt;GW$94,"",SQRT(GW72/GW$15))</f>
        <v>0.171689785371676</v>
      </c>
      <c r="GX147" s="150" t="n">
        <f aca="false">IF($FJ72&lt;GX$94,"",SQRT(GX72/GX$15))</f>
        <v>0.174262850033531</v>
      </c>
      <c r="GY147" s="150" t="n">
        <f aca="false">IF($FJ72&lt;GY$94,"",SQRT(GY72/GY$15))</f>
        <v>0.177329187258723</v>
      </c>
      <c r="GZ147" s="150" t="n">
        <f aca="false">IF($FJ72&lt;GZ$94,"",SQRT(GZ72/GZ$15))</f>
        <v>0.180995204945826</v>
      </c>
      <c r="HA147" s="150" t="n">
        <f aca="false">IF($FJ72&lt;HA$94,"",SQRT(HA72/HA$15))</f>
        <v>0.185394928803464</v>
      </c>
      <c r="HB147" s="150" t="n">
        <f aca="false">IF($FJ72&lt;HB$94,"",SQRT(HB72/HB$15))</f>
        <v>0.190699004243655</v>
      </c>
      <c r="HC147" s="150" t="n">
        <f aca="false">IF($FJ72&lt;HC$94,"",SQRT(HC72/HC$15))</f>
        <v>0.197127372113704</v>
      </c>
      <c r="HD147" s="150" t="n">
        <f aca="false">IF($FJ72&lt;HD$94,"",SQRT(HD72/HD$15))</f>
        <v>0.204967445254892</v>
      </c>
      <c r="HE147" s="150" t="n">
        <f aca="false">IF($FJ72&lt;HE$94,"",SQRT(HE72/HE$15))</f>
        <v>0.214600697105802</v>
      </c>
      <c r="HF147" s="150" t="n">
        <f aca="false">IF($FJ72&lt;HF$94,"",SQRT(HF72/HF$15))</f>
        <v>0.226542417518737</v>
      </c>
      <c r="HG147" s="150" t="n">
        <f aca="false">IF($FJ72&lt;HG$94,"",SQRT(HG72/HG$15))</f>
        <v>0.241502619680122</v>
      </c>
      <c r="HH147" s="150" t="n">
        <f aca="false">IF($FJ72&lt;HH$94,"",SQRT(HH72/HH$15))</f>
        <v>0.26048192232133</v>
      </c>
      <c r="HI147" s="150" t="n">
        <f aca="false">IF($FJ72&lt;HI$94,"",SQRT(HI72/HI$15))</f>
        <v>0.284927188809397</v>
      </c>
      <c r="HJ147" s="150" t="n">
        <f aca="false">IF($FJ72&lt;HJ$94,"",SQRT(HJ72/HJ$15))</f>
        <v>0.316993131311986</v>
      </c>
      <c r="HK147" s="150" t="n">
        <f aca="false">IF($FJ72&lt;HK$94,"",SQRT(HK72/HK$15))</f>
        <v>0.36000001698965</v>
      </c>
      <c r="HL147" s="150" t="str">
        <f aca="false">IF($FJ72&lt;HL$94,"",SQRT(HL72/HL$15))</f>
        <v/>
      </c>
      <c r="HM147" s="150" t="str">
        <f aca="false">IF($FJ72&lt;HM$94,"",SQRT(HM72/HM$15))</f>
        <v/>
      </c>
      <c r="HN147" s="150" t="str">
        <f aca="false">IF($FJ72&lt;HN$94,"",SQRT(HN72/HN$15))</f>
        <v/>
      </c>
      <c r="HO147" s="150" t="str">
        <f aca="false">IF($FJ72&lt;HO$94,"",SQRT(HO72/HO$15))</f>
        <v/>
      </c>
      <c r="HP147" s="150" t="str">
        <f aca="false">IF($FJ72&lt;HP$94,"",SQRT(HP72/HP$15))</f>
        <v/>
      </c>
      <c r="HQ147" s="150" t="str">
        <f aca="false">IF($FJ72&lt;HQ$94,"",SQRT(HQ72/HQ$15))</f>
        <v/>
      </c>
      <c r="HR147" s="150" t="str">
        <f aca="false">IF($FJ72&lt;HR$94,"",SQRT(HR72/HR$15))</f>
        <v/>
      </c>
      <c r="HS147" s="150" t="str">
        <f aca="false">IF($FJ72&lt;HS$94,"",SQRT(HS72/HS$15))</f>
        <v/>
      </c>
      <c r="HT147" s="150" t="str">
        <f aca="false">IF($FJ72&lt;HT$94,"",SQRT(HT72/HT$15))</f>
        <v/>
      </c>
      <c r="HU147" s="150" t="str">
        <f aca="false">IF($FJ72&lt;HU$94,"",SQRT(HU72/HU$15))</f>
        <v/>
      </c>
      <c r="HV147" s="150" t="str">
        <f aca="false">IF($FJ72&lt;HV$94,"",SQRT(HV72/HV$15))</f>
        <v/>
      </c>
      <c r="HW147" s="150" t="str">
        <f aca="false">IF($FJ72&lt;HW$94,"",SQRT(HW72/HW$15))</f>
        <v/>
      </c>
      <c r="HX147" s="150" t="str">
        <f aca="false">IF($FJ72&lt;HX$94,"",SQRT(HX72/HX$15))</f>
        <v/>
      </c>
      <c r="HY147" s="150" t="str">
        <f aca="false">IF($FJ72&lt;HY$94,"",SQRT(HY72/HY$15))</f>
        <v/>
      </c>
      <c r="HZ147" s="150" t="str">
        <f aca="false">IF($FJ72&lt;HZ$94,"",SQRT(HZ72/HZ$15))</f>
        <v/>
      </c>
      <c r="IA147" s="150" t="str">
        <f aca="false">IF($FJ72&lt;IA$94,"",SQRT(IA72/IA$15))</f>
        <v/>
      </c>
      <c r="IB147" s="150" t="str">
        <f aca="false">IF($FJ72&lt;IB$94,"",SQRT(IB72/IB$15))</f>
        <v/>
      </c>
      <c r="IC147" s="150" t="str">
        <f aca="false">IF($FJ72&lt;IC$94,"",SQRT(IC72/IC$15))</f>
        <v/>
      </c>
      <c r="ID147" s="572" t="str">
        <f aca="false">IF($FJ72&lt;ID$94,"",SQRT(ID72/ID$15))</f>
        <v/>
      </c>
      <c r="IE147" s="129"/>
    </row>
    <row r="148" customFormat="false" ht="12.75" hidden="false" customHeight="false" outlineLevel="0" collapsed="false">
      <c r="H148" s="219" t="n">
        <f aca="false">VLOOKUP(I148,$EJ$20:$EL$54,3)</f>
        <v>0</v>
      </c>
      <c r="I148" s="511" t="n">
        <f aca="false">EOMONTH(I147,0)+1</f>
        <v>40664</v>
      </c>
      <c r="J148" s="512"/>
      <c r="K148" s="513" t="s">
        <v>280</v>
      </c>
      <c r="L148" s="514" t="n">
        <f aca="false">IF(ISNUMBER(K148),J148+K148/100,IF(K148="extra",L147+VLOOKUP(BF148,PriceSpreadTable,2)/12,IF(K148="inter",interpolateprices($K$19:$L$200,ROW(K148)-ROW(FirstPricingMonth)+1),interpolatechanges($J$19:$K$200,ROW(K148)-ROW(FirstPricingMonth)+1))))</f>
        <v>1.95</v>
      </c>
      <c r="M148" s="515"/>
      <c r="N148" s="516" t="n">
        <v>0</v>
      </c>
      <c r="O148" s="515" t="n">
        <f aca="false">M148+N148</f>
        <v>0</v>
      </c>
      <c r="P148" s="512"/>
      <c r="Q148" s="513" t="s">
        <v>280</v>
      </c>
      <c r="R148" s="512" t="e">
        <f aca="false">IF(ISNUMBER(Q148),P148+Q148/100,IF(Q148="extra",(Z146*AL146-R147*AM146)/AN146,IF(Q148="inter",interpolateprices($Q$19:$R$260,ROW(Q148)-ROW(FirstPricingMonth)+1),interpolatechanges($P$19:$Q$260,ROW(Q148)-ROW(FirstPricingMonth)+1))))</f>
        <v>#VALUE!</v>
      </c>
      <c r="S148" s="597" t="n">
        <f aca="false">S$19+(S147-S$19)*S$18</f>
        <v>0.36</v>
      </c>
      <c r="T148" s="575" t="n">
        <f aca="false">SQRT((1-(1-T147^2/U147)*T$18)*U148)</f>
        <v>0.999999999780138</v>
      </c>
      <c r="U148" s="576" t="n">
        <f aca="false">1-(1-U147)*U$18</f>
        <v>1</v>
      </c>
      <c r="V148" s="521" t="n">
        <v>0</v>
      </c>
      <c r="W148" s="577" t="n">
        <f aca="false">(J149*AJ148+J150*AK148)/AI148</f>
        <v>0</v>
      </c>
      <c r="X148" s="578" t="n">
        <f aca="false">(L149*AJ148+L150*AK148)/AI148</f>
        <v>1.99943181818182</v>
      </c>
      <c r="Y148" s="579" t="n">
        <f aca="false">IF(Q150="extra",W148-AA148,(P149*AM148+P150*AN148)/AL148)</f>
        <v>-1.2915</v>
      </c>
      <c r="Z148" s="579" t="n">
        <f aca="false">IF(Q150="extra",X148-AB148,(R149*AM148+R150*AN148)/AL148)</f>
        <v>0.70793181818182</v>
      </c>
      <c r="AA148" s="523" t="n">
        <f aca="false">IF(Q150="extra",INDEX(BrentSeasonalityTable,INT((BG148-1)/3)+1)*VLOOKUP(MAX(BF148,$AB$4),PriceSpreadTable,3),W148-Y148)</f>
        <v>1.2915</v>
      </c>
      <c r="AB148" s="524" t="n">
        <f aca="false">IF(Q150="extra",INDEX(BrentSeasonalityTable,INT((BG148-1)/3)+1)*VLOOKUP(MAX(BF148,$AB$4),PriceSpreadTable,3),X148-Z148)</f>
        <v>1.2915</v>
      </c>
      <c r="AC148" s="646" t="n">
        <v>40653</v>
      </c>
      <c r="AD148" s="646" t="n">
        <v>40649</v>
      </c>
      <c r="AE148" s="646" t="n">
        <v>40648</v>
      </c>
      <c r="AF148" s="646" t="n">
        <v>40644</v>
      </c>
      <c r="AG148" s="438" t="s">
        <v>278</v>
      </c>
      <c r="AH148" s="439" t="s">
        <v>278</v>
      </c>
      <c r="AI148" s="528" t="n">
        <v>22</v>
      </c>
      <c r="AJ148" s="529" t="n">
        <v>15</v>
      </c>
      <c r="AK148" s="529" t="n">
        <v>7</v>
      </c>
      <c r="AL148" s="530" t="n">
        <v>22</v>
      </c>
      <c r="AM148" s="529" t="n">
        <v>10</v>
      </c>
      <c r="AN148" s="531" t="n">
        <v>12</v>
      </c>
      <c r="AO148" s="532"/>
      <c r="AP148" s="465" t="n">
        <f aca="false">(1+AO148/2)^(-2*BL148)</f>
        <v>1</v>
      </c>
      <c r="AQ148" s="532"/>
      <c r="AR148" s="465" t="n">
        <f aca="false">(1+AQ148/2)^(-2*BH148/365.25)</f>
        <v>1</v>
      </c>
      <c r="AS148" s="580" t="n">
        <f aca="false">(O149*AJ148+O150*AK148)/AI148</f>
        <v>0</v>
      </c>
      <c r="AT148" s="468" t="n">
        <f aca="false">O148*VLOOKUP(BF148,BrentVolTable,2)+VLOOKUP(BF148,BrentVolTable,3)</f>
        <v>0</v>
      </c>
      <c r="AU148" s="468" t="n">
        <f aca="false">(AT149*AM148+AT150*AN148)/AL148</f>
        <v>0</v>
      </c>
      <c r="AV148" s="595" t="n">
        <f aca="false">SQRT(MAX(0.000000000001,(O148^2*BH148-S148^2*(BH148-BH147))/BH147))</f>
        <v>0.0275143212619423</v>
      </c>
      <c r="AW148" s="451" t="n">
        <f aca="false">IF($I148-DateToday+15&gt;=$T$8,"",IF($I148-DateToday+15&lt;$T$5,1,MATCH($I148-DateToday+15,$T$5:$T$8)))</f>
        <v>1</v>
      </c>
      <c r="AX148" s="468" t="n">
        <f aca="false">IF($AW148="",AX147^2/AX146,INDEX(U$5:U$8,$AW148)^((INDEX($T$5:$T$8,$AW148+1)-($I148-DateToday+15))/(INDEX($T$5:$T$8,$AW148+1)-INDEX($T$5:$T$8,$AW148)))/INDEX(U$5:U$8,$AW148+1)^((INDEX($T$5:$T$8,$AW148)-($I148-DateToday+15))/(INDEX($T$5:$T$8,$AW148+1)-INDEX($T$5:$T$8,$AW148))))</f>
        <v>0.814288897846977</v>
      </c>
      <c r="AY148" s="468" t="n">
        <f aca="false">IF($AW148="",AY147^2/AY146,INDEX(V$5:V$8,$AW148)^((INDEX($T$5:$T$8,$AW148+1)-($I148-DateToday+15))/(INDEX($T$5:$T$8,$AW148+1)-INDEX($T$5:$T$8,$AW148)))/INDEX(V$5:V$8,$AW148+1)^((INDEX($T$5:$T$8,$AW148)-($I148-DateToday+15))/(INDEX($T$5:$T$8,$AW148+1)-INDEX($T$5:$T$8,$AW148))))</f>
        <v>23.7976371456962</v>
      </c>
      <c r="AZ148" s="468" t="n">
        <f aca="false">IF($AW148="",AZ147^2/AZ146,INDEX(W$5:W$8,$AW148)^((INDEX($T$5:$T$8,$AW148+1)-($I148-DateToday+15))/(INDEX($T$5:$T$8,$AW148+1)-INDEX($T$5:$T$8,$AW148)))/INDEX(W$5:W$8,$AW148+1)^((INDEX($T$5:$T$8,$AW148)-($I148-DateToday+15))/(INDEX($T$5:$T$8,$AW148+1)-INDEX($T$5:$T$8,$AW148))))</f>
        <v>18796.2728038979</v>
      </c>
      <c r="BA148" s="468" t="n">
        <f aca="false">IF($AW148="",BA147^2/BA146,INDEX(X$5:X$8,$AW148)^((INDEX($T$5:$T$8,$AW148+1)-($I148-DateToday+15))/(INDEX($T$5:$T$8,$AW148+1)-INDEX($T$5:$T$8,$AW148)))/INDEX(X$5:X$8,$AW148+1)^((INDEX($T$5:$T$8,$AW148)-($I148-DateToday+15))/(INDEX($T$5:$T$8,$AW148+1)-INDEX($T$5:$T$8,$AW148))))</f>
        <v>159433.294428303</v>
      </c>
      <c r="BB148" s="468" t="n">
        <f aca="false">IF($AW148="",BB147^2/BB146,INDEX(Y$5:Y$8,$AW148)^((INDEX($T$5:$T$8,$AW148+1)-($I148-DateToday+15))/(INDEX($T$5:$T$8,$AW148+1)-INDEX($T$5:$T$8,$AW148)))/INDEX(Y$5:Y$8,$AW148+1)^((INDEX($T$5:$T$8,$AW148)-($I148-DateToday+15))/(INDEX($T$5:$T$8,$AW148+1)-INDEX($T$5:$T$8,$AW148))))</f>
        <v>1242071.5010245</v>
      </c>
      <c r="BC148" s="468" t="n">
        <f aca="false">IF($AW148="",BC147^2/BC146,INDEX(Z$5:Z$8,$AW148)^((INDEX($T$5:$T$8,$AW148+1)-($I148-DateToday+15))/(INDEX($T$5:$T$8,$AW148+1)-INDEX($T$5:$T$8,$AW148)))/INDEX(Z$5:Z$8,$AW148+1)^((INDEX($T$5:$T$8,$AW148)-($I148-DateToday+15))/(INDEX($T$5:$T$8,$AW148+1)-INDEX($T$5:$T$8,$AW148))))</f>
        <v>4302285.66332016</v>
      </c>
      <c r="BD148" s="535" t="n">
        <f aca="false">IF(OR(DateStart&gt;=I149,DateEnd&lt;I148),0,IF(VolumeOverrideFlag,V148,Volume))</f>
        <v>0</v>
      </c>
      <c r="BE148" s="536" t="n">
        <f aca="false">IF(OR(DateStart2&gt;=I149,DateEnd2&lt;I148),0,IF(VolumeOverrideFlag,V148,VolumeSwaption))</f>
        <v>0</v>
      </c>
      <c r="BF148" s="537" t="n">
        <f aca="false">YEAR(I148)</f>
        <v>2011</v>
      </c>
      <c r="BG148" s="538" t="n">
        <f aca="false">MONTH(I148)</f>
        <v>5</v>
      </c>
      <c r="BH148" s="539" t="n">
        <f aca="false">AD148-DateToday+1</f>
        <v>-5276</v>
      </c>
      <c r="BI148" s="540" t="n">
        <f aca="false">(I148-DateToday+1)/365.25</f>
        <v>-14.403832991102</v>
      </c>
      <c r="BJ148" s="541" t="n">
        <f aca="false">BI148+(BL148-BI148)*CHOOSE(Underlying,AJ148/AI148,AM148/AL148)</f>
        <v>-14.3478314977288</v>
      </c>
      <c r="BK148" s="541" t="n">
        <f aca="false">BJ148+1/365.25</f>
        <v>-14.3450936469417</v>
      </c>
      <c r="BL148" s="541" t="n">
        <f aca="false">(I149-DateToday)/365.25</f>
        <v>-14.321697467488</v>
      </c>
      <c r="BM148" s="542" t="e">
        <f aca="false">MAX(BI148-(BJ148-BI148)*(S149^2/O149^2-1),0)</f>
        <v>#DIV/0!</v>
      </c>
      <c r="BN148" s="541" t="e">
        <f aca="false">MAX(BL148+(BL148-BK148)*(S150^2/O150^2-1),0)</f>
        <v>#DIV/0!</v>
      </c>
      <c r="BO148" s="530" t="n">
        <f aca="false">CHOOSE(Underlying,AI148,AL148)</f>
        <v>22</v>
      </c>
      <c r="BP148" s="529" t="n">
        <f aca="false">CHOOSE(Underlying,AJ148,AM148)</f>
        <v>15</v>
      </c>
      <c r="BQ148" s="529" t="n">
        <f aca="false">CHOOSE(Underlying,AK148,AN148)</f>
        <v>7</v>
      </c>
      <c r="BR148" s="463" t="str">
        <f aca="false">IF(BD148,IF(Underlying=1,X148,Z148)+UnderlyingPriceAsian-SwapPriceCurve,"")</f>
        <v/>
      </c>
      <c r="BS148" s="463" t="str">
        <f aca="false">IF(BD148,Strike1/BR148-1,"")</f>
        <v/>
      </c>
      <c r="BT148" s="464" t="str">
        <f aca="false">IF(BD148,Strike2/BR148-1,"")</f>
        <v/>
      </c>
      <c r="BU148" s="465" t="str">
        <f aca="false">IF(BD148,IF(Underlying=1,L149,R149)+UnderlyingPriceAsian-SwapPriceCurve,"")</f>
        <v/>
      </c>
      <c r="BV148" s="465" t="str">
        <f aca="false">IF(BD148,IF(Underlying=1,L150,R150)+UnderlyingPriceAsian-SwapPriceCurve,"")</f>
        <v/>
      </c>
      <c r="BW148" s="466" t="str">
        <f aca="false">IF(BD148,IF(Underlying=1,O149,AT149),"")</f>
        <v/>
      </c>
      <c r="BX148" s="467" t="str">
        <f aca="false">IF(BD148,IF(Underlying=1,O150,AT150),"")</f>
        <v/>
      </c>
      <c r="BY148" s="466" t="str">
        <f aca="false">IF(BD148,IF(BS148&gt;0,IF(BS148&gt;0.2,BC148-BB148,IF(BS148&gt;0.1,BB148-BA148,BA148)),IF(BS148&lt;-0.2,AX148-AY148,IF(BS148&lt;-0.1,AY148-AZ148,AZ148))),"")</f>
        <v/>
      </c>
      <c r="BZ148" s="467" t="str">
        <f aca="false">IF(BD148,IF(BT148&gt;0,IF(BT148&gt;0.2,BC148-BB148,IF(BT148&gt;0.1,BB148-BA148,BA148)),IF(BT148&lt;-0.2,AX148-AY148,IF(BT148&lt;-0.1,AY148-AZ148,AZ148))),"")</f>
        <v/>
      </c>
      <c r="CA148" s="468" t="str">
        <f aca="false">IF($BD148,$BW148+IF(VolSkewFlag=1,IF(BS148&gt;0,$BA148*MIN(BS148/10%,1)+($BB148-$BA148)*MAX(0,MIN(BS148/10%-1,1))+($BC148-$BB148)*MAX(0,BS148/10%-2),$AZ148*MIN(-BS148/10%,1)+($AY148-$AZ148)*MAX(0,MIN(-BS148/10%-1,1))+($AX148-$AY148)*MAX(0,-BS148/10%-2)),0),"")</f>
        <v/>
      </c>
      <c r="CB148" s="468" t="str">
        <f aca="false">IF($BD148,$BX148+IF(VolSkewFlag=1,IF(BS148&gt;0,$BA148*MIN(BS148/10%,1)+($BB148-$BA148)*MAX(0,MIN(BS148/10%-1,1))+($BC148-$BB148)*MAX(0,BS148/10%-2),$AZ148*MIN(-BS148/10%,1)+($AY148-$AZ148)*MAX(0,MIN(-BS148/10%-1,1))+($AX148-$AY148)*MAX(0,-BS148/10%-2)),0),"")</f>
        <v/>
      </c>
      <c r="CC148" s="468" t="str">
        <f aca="false">IF($BD148,$BW148+IF(VolSkewFlag=1,IF(BT148&gt;0,$BA148*MIN(BT148/10%,1)+($BB148-$BA148)*MAX(0,MIN(BT148/10%-1,1))+($BC148-$BB148)*MAX(0,BT148/10%-2),$AZ148*MIN(-BT148/10%,1)+($AY148-$AZ148)*MAX(0,MIN(-BT148/10%-1,1))+($AX148-$AY148)*MAX(0,-BT148/10%-2)),0),"")</f>
        <v/>
      </c>
      <c r="CD148" s="468" t="str">
        <f aca="false">IF($BD148,$BX148+IF(VolSkewFlag=1,IF(BT148&gt;0,$BA148*MIN(BT148/10%,1)+($BB148-$BA148)*MAX(0,MIN(BT148/10%-1,1))+($BC148-$BB148)*MAX(0,BT148/10%-2),$AZ148*MIN(-BT148/10%,1)+($AY148-$AZ148)*MAX(0,MIN(-BT148/10%-1,1))+($AX148-$AY148)*MAX(0,-BT148/10%-2)),0),"")</f>
        <v/>
      </c>
      <c r="CE148" s="469" t="n">
        <v>1</v>
      </c>
      <c r="CF148" s="470" t="n">
        <f aca="false">IF(BD148,xCrudeAPO(BU148,BV148,CA148,CB148,S149,S150,BI148,BL148,BP148,BQ148,0,Strike1,AO148,CE148,0,BL148,IF(OptControl=4,0,1),0,1),0)</f>
        <v>0</v>
      </c>
      <c r="CG148" s="470" t="n">
        <f aca="false">IF(BD148,xCrudeAPO(BU148,BV148,CA148,CB148,S149,S150,BI148,BL148,BP148,BQ148,0,Strike1,AO148,CE148,0,BL148,IF(OptControl=4,0,1),1,1)+xCrudeAPO(BU148,BV148,CA148,CB148,S149,S150,BI148,BL148,BP148,BQ148,0,Strike1,AO148,CE148,0,BL148,IF(OptControl=4,0,1),1,2)+IF(OR(VolSkewFlag=2,ABS(BS148)&lt;0.0001),0,IF(BS148&gt;0,-1,1)*CH148*Strike1/BR148^2*BY148/10%),0)</f>
        <v>0</v>
      </c>
      <c r="CH148" s="470" t="n">
        <f aca="false">IF(BD148,(xCrudeAPO(BU148,BV148,CA148,CB148,S149,S150,BI148,BL148,BP148,BQ148,0,Strike1,AO148,CE148,0,BL148,IF(OptControl=4,0,1),3,1)+xCrudeAPO(BU148,BV148,CA148,CB148,S149,S150,BI148,BL148,BP148,BQ148,0,Strike1,AO148,CE148,0,BL148,IF(OptControl=4,0,1),3,2))/100,0)</f>
        <v>0</v>
      </c>
      <c r="CI148" s="470" t="n">
        <f aca="false">IF(BD148,xCrudeAPO(BU148,BV148,CA148,CB148,S149,S150,BI148-DaysForThetaCalculation/365.25,BL148-DaysForThetaCalculation/365.25,BP148,BQ148,0,Strike1,AO148,CE148,0,BL148,IF(OptControl=4,0,1),0,1)-xCrudeAPO(BU148,BV148,CA148,CB148,S149,S150,BI148,BL148,BP148,BQ148,0,Strike1,AO148,CE148,0,BL148,IF(OptControl=4,0,1),0,1),0)</f>
        <v>0</v>
      </c>
      <c r="CJ148" s="471" t="n">
        <f aca="false">IF(BD148,xCrudeAPO(BU148,BV148,CC148,CD148,S149,S150,BI148,BL148,BP148,BQ148,0,Strike2,AO148,CE148,0,BL148,IF(OptControl=3,1,0),0,1),0)</f>
        <v>0</v>
      </c>
      <c r="CK148" s="470" t="n">
        <f aca="false">IF(BD148,xCrudeAPO(BU148,BV148,CC148,CD148,S149,S150,BI148,BL148,BP148,BQ148,0,Strike2,AO148,CE148,0,BL148,IF(OptControl=3,1,0),1,1)+xCrudeAPO(BU148,BV148,CC148,CD148,S149,S150,BI148,BL148,BP148,BQ148,0,Strike2,AO148,CE148,0,BL148,IF(OptControl=3,1,0),1,2)+IF(OR(VolSkewFlag=2,ABS(BT148)&lt;0.0001),0,IF(BT148&gt;0,-1,1)*CL148*Strike2/BR148^2*BZ148/10%),0)</f>
        <v>0</v>
      </c>
      <c r="CL148" s="470" t="n">
        <f aca="false">IF(BD148,(xCrudeAPO(BU148,BV148,CC148,CD148,S149,S150,BI148,BL148,BP148,BQ148,0,Strike2,AO148,CE148,0,BL148,IF(OptControl=3,1,0),3,1)+xCrudeAPO(BU148,BV148,CC148,CD148,S149,S150,BI148,BL148,BP148,BQ148,0,Strike2,AO148,CE148,0,BL148,IF(OptControl=3,1,0),3,2))/100,0)</f>
        <v>0</v>
      </c>
      <c r="CM148" s="472" t="n">
        <f aca="false">IF(BD148,xCrudeAPO(BU148,BV148,CC148,CD148,S149,S150,BI148-DaysForThetaCalculation/365.25,BL148-DaysForThetaCalculation/365.25,BP148,BQ148,0,Strike2,AO148,CE148,0,BL148,IF(OptControl=3,1,0),0,1)-xCrudeAPO(BU148,BV148,CC148,CD148,S149,S150,BI148,BL148,BP148,BQ148,0,Strike2,AO148,CE148,0,BL148,IF(OptControl=3,1,0),0,1),0)</f>
        <v>0</v>
      </c>
      <c r="CN148" s="3"/>
      <c r="CO148" s="543" t="str">
        <f aca="false">IF(BD148,CHOOSE(Underlying,AD148,AF148)-DateToday+1,"")</f>
        <v/>
      </c>
      <c r="CP148" s="582" t="str">
        <f aca="false">IF(BD148,CHOOSE(Underlying,L148,R148),"")</f>
        <v/>
      </c>
      <c r="CQ148" s="544" t="str">
        <f aca="false">IF(BD148,Strike1/CP148-1,"")</f>
        <v/>
      </c>
      <c r="CR148" s="544" t="str">
        <f aca="false">IF(BD148,Strike2/CP148-1,"")</f>
        <v/>
      </c>
      <c r="CS148" s="544" t="str">
        <f aca="false">IF(BD148,IF(CQ148&gt;0,IF(CQ148&gt;0.2,BC147-BB147,IF(CQ148&gt;0.1,BB147-BA147,BA147)),IF(CQ148&lt;-0.2,AX147-AY147,IF(CQ148&lt;-0.1,AY147-AZ147,AZ147))),"")</f>
        <v/>
      </c>
      <c r="CT148" s="544" t="str">
        <f aca="false">IF(BD148,IF(CR148&gt;0,IF(CR148&gt;0.2,BC147-BB147,IF(CR148&gt;0.1,BB147-BA147,BA147)),IF(CR148&lt;-0.2,AX147-AY147,IF(CR148&lt;-0.1,AY147-AZ147,AZ147))),"")</f>
        <v/>
      </c>
      <c r="CU148" s="545" t="str">
        <f aca="false">IF(BD148,CHOOSE(Underlying,O148,AT148),"")</f>
        <v/>
      </c>
      <c r="CV148" s="545" t="str">
        <f aca="false">IF(BD148,CU148+IF(VolSkewFlag=1,IF(CQ148&gt;0,BA147*MIN(CQ148/10%,1)+(BB147-BA147)*MAX(0,MIN(CQ148/10%-1,1))+(BC147-BB147)*MAX(0,CQ148/10%-2),AZ147*MIN(-CQ148/10%,1)+(AY147-AZ147)*MAX(0,MIN(-CQ148/10%-1,1))+(AX147-AY147)*MAX(0,-CQ148/10%-2)),0),"")</f>
        <v/>
      </c>
      <c r="CW148" s="545" t="str">
        <f aca="false">IF(BD148,CU148+IF(VolSkewFlag=1,IF(CR148&gt;0,BA147*MIN(CR148/10%,1)+(BB147-BA147)*MAX(0,MIN(CR148/10%-1,1))+(BC147-BB147)*MAX(0,CR148/10%-2),AZ147*MIN(-CR148/10%,1)+(AY147-AZ147)*MAX(0,MIN(-CR148/10%-1,1))+(AX147-AY147)*MAX(0,-CR148/10%-2)),0),"")</f>
        <v/>
      </c>
      <c r="CX148" s="470" t="n">
        <f aca="false">IF(BD148,EURO(CP148,Strike1,AO148,AO148,CV148,CO148,IF(OptControl=4,0,1),0),0)</f>
        <v>0</v>
      </c>
      <c r="CY148" s="470" t="n">
        <f aca="false">IF(BD148,EURO(CP148,Strike1,AO148,AO148,CV148,CO148,IF(OptControl=4,0,1),1)+IF(OR(VolSkewFlag=2,ABS(CQ148)&lt;0.0001),0,IF(CQ148&gt;0,-1,1)*CZ148*100*Strike1/CP148^2*CS148/10%),0)</f>
        <v>0</v>
      </c>
      <c r="CZ148" s="470" t="n">
        <f aca="false">IF(BD148,EURO(CP148,Strike1,AO148,AO148,CV148,CO148,IF(OptControl=4,0,1),3)/100,0)</f>
        <v>0</v>
      </c>
      <c r="DA148" s="470" t="n">
        <f aca="false">IF(BD148,EURO(CP148,Strike1,AO148,AO148,CV148,CO148,IF(OptControl=4,0,1),0)-EURO(CP148,Strike1,AO148,AO148,CV148,CO148-1,IF(OptControl=4,0,1),0),0)</f>
        <v>0</v>
      </c>
      <c r="DB148" s="470" t="n">
        <f aca="false">IF(BD148,EURO(CP148,Strike2,AO148,AO148,CW148,CO148,IF(OptControl=3,1,0),0),0)</f>
        <v>0</v>
      </c>
      <c r="DC148" s="470" t="n">
        <f aca="false">IF(BD148,EURO(CP148,Strike2,AO148,AO148,CW148,CO148,IF(OptControl=3,1,0),1)+IF(OR(VolSkewFlag=2,ABS(CR148)&lt;0.0001),0,IF(CR148&gt;0,-1,1)*DD148*100*Strike2/CP148^2*CT148/10%),0)</f>
        <v>0</v>
      </c>
      <c r="DD148" s="470" t="n">
        <f aca="false">IF(BD148,EURO(CP148,Strike2,AO148,AO148,CW148,CO148,IF(OptControl=3,1,0),3)/100,0)</f>
        <v>0</v>
      </c>
      <c r="DE148" s="472" t="n">
        <f aca="false">IF(BD148,EURO(CP148,Strike2,AO148,AO148,CW148,CO148,IF(OptControl=3,1,0),0)-EURO(CP148,Strike2,AO148,AO148,CW148,CO148-1,IF(OptControl=3,1,0),0),0)</f>
        <v>0</v>
      </c>
      <c r="DG148" s="481" t="n">
        <f aca="false">EOMONTH(DG147,0)+1</f>
        <v>49583</v>
      </c>
      <c r="DH148" s="478" t="n">
        <v>20.56</v>
      </c>
      <c r="DI148" s="479" t="n">
        <v>20.6266666666667</v>
      </c>
      <c r="DJ148" s="480" t="n">
        <f aca="false">DG148</f>
        <v>49583</v>
      </c>
      <c r="DK148" s="478" t="n">
        <v>19.2043928960856</v>
      </c>
      <c r="DL148" s="479" t="n">
        <v>19.4335666666667</v>
      </c>
      <c r="DM148" s="481" t="n">
        <f aca="false">DG148</f>
        <v>49583</v>
      </c>
      <c r="DN148" s="482" t="n">
        <f aca="false">DK148+BrentPhyBrentSpread</f>
        <v>19.2543928960856</v>
      </c>
      <c r="DO148" s="481" t="n">
        <f aca="false">DG148</f>
        <v>49583</v>
      </c>
      <c r="DP148" s="483" t="n">
        <f aca="false">DL148+DQ148</f>
        <v>19.4335666666667</v>
      </c>
      <c r="DQ148" s="546" t="n">
        <v>0</v>
      </c>
      <c r="DR148" s="480" t="n">
        <f aca="false">DG148</f>
        <v>49583</v>
      </c>
      <c r="DS148" s="485" t="n">
        <v>0.147799999999999</v>
      </c>
      <c r="DT148" s="486" t="n">
        <v>0.146999999999999</v>
      </c>
      <c r="DU148" s="480" t="n">
        <f aca="false">DG148</f>
        <v>49583</v>
      </c>
      <c r="DV148" s="485" t="n">
        <v>0.147799999999999</v>
      </c>
      <c r="DW148" s="486" t="n">
        <v>0.146999999999999</v>
      </c>
      <c r="DX148" s="481" t="n">
        <f aca="false">DG148</f>
        <v>49583</v>
      </c>
      <c r="DY148" s="486" t="n">
        <v>0.35</v>
      </c>
      <c r="DZ148" s="481" t="n">
        <f aca="false">DR148</f>
        <v>49583</v>
      </c>
      <c r="EA148" s="486" t="n">
        <f aca="false">DT148</f>
        <v>0.146999999999999</v>
      </c>
      <c r="EB148" s="195"/>
      <c r="EC148" s="547" t="str">
        <f aca="false">IF(BD148,IF(Underlying=1,AS148,AU148),"")</f>
        <v/>
      </c>
      <c r="ED148" s="548" t="str">
        <f aca="false">IF($BD148,$EC148+IF(VolSkewFlag=1,IF(BS148&gt;0,$BA148*MIN(BS148/10%,1)+($BB148-$BA148)*MAX(0,MIN(BS148/10%-1,1))+($BC148-$BB148)*MAX(0,BS148/10%-2),$AZ148*MIN(-BS148/10%,1)+($AY148-$AZ148)*MAX(0,MIN(-BS148/10%-1,1))+($AX148-$AY148)*MAX(0,-BS148/10%-2)),0),"")</f>
        <v/>
      </c>
      <c r="EE148" s="549" t="str">
        <f aca="false">IF($BD148,$EC148+IF(VolSkewFlag=1,IF(BT148&gt;0,$BA148*MIN(BT148/10%,1)+($BB148-$BA148)*MAX(0,MIN(BT148/10%-1,1))+($BC148-$BB148)*MAX(0,BT148/10%-2),$AZ148*MIN(-BT148/10%,1)+($AY148-$AZ148)*MAX(0,MIN(-BT148/10%-1,1))+($AX148-$AY148)*MAX(0,-BT148/10%-2)),0),"")</f>
        <v/>
      </c>
      <c r="EF148" s="550" t="n">
        <f aca="false">IF(BD148,xASN(BR148,Strike1,AO148,ED148,0,BO148,0,BI148,BL148,IF(OptControl=4,0,1),0),0)</f>
        <v>0</v>
      </c>
      <c r="EG148" s="551" t="n">
        <f aca="false">IF(BD148,xASN(BR148,Strike2,AO148,EE148,0,BO148,0,BI148,BL148,IF(OptControl=3,1,0),0),0)</f>
        <v>0</v>
      </c>
      <c r="EL148" s="1"/>
      <c r="EM148" s="195"/>
      <c r="EN148" s="240"/>
      <c r="EO148" s="240"/>
      <c r="EP148" s="195"/>
      <c r="EQ148" s="407" t="s">
        <v>375</v>
      </c>
      <c r="ES148" s="130"/>
      <c r="ET148" s="19"/>
      <c r="EU148" s="672"/>
      <c r="EV148" s="478"/>
      <c r="EW148" s="131"/>
      <c r="EX148" s="131"/>
      <c r="EY148" s="129"/>
      <c r="EZ148" s="129"/>
      <c r="FA148" s="129"/>
      <c r="FB148" s="129"/>
      <c r="FC148" s="129"/>
      <c r="FD148" s="129"/>
      <c r="FE148" s="129"/>
      <c r="FF148" s="129"/>
      <c r="FG148" s="129"/>
      <c r="FH148" s="129"/>
      <c r="FI148" s="129"/>
      <c r="FJ148" s="571" t="n">
        <v>54</v>
      </c>
      <c r="FK148" s="150" t="e">
        <f aca="false">IF($FJ73&lt;FK$94,"",SQRT(FK73/FK$15))</f>
        <v>#DIV/0!</v>
      </c>
      <c r="FL148" s="150" t="n">
        <f aca="false">IF($FJ73&lt;FL$94,"",SQRT(FL73/FL$15))</f>
        <v>-0</v>
      </c>
      <c r="FM148" s="150" t="n">
        <f aca="false">IF($FJ73&lt;FM$94,"",SQRT(FM73/FM$15))</f>
        <v>0.170540862704422</v>
      </c>
      <c r="FN148" s="150" t="n">
        <f aca="false">IF($FJ73&lt;FN$94,"",SQRT(FN73/FN$15))</f>
        <v>0.167268681776639</v>
      </c>
      <c r="FO148" s="150" t="n">
        <f aca="false">IF($FJ73&lt;FO$94,"",SQRT(FO73/FO$15))</f>
        <v>0.164817435219137</v>
      </c>
      <c r="FP148" s="150" t="n">
        <f aca="false">IF($FJ73&lt;FP$94,"",SQRT(FP73/FP$15))</f>
        <v>0.162982395426297</v>
      </c>
      <c r="FQ148" s="150" t="n">
        <f aca="false">IF($FJ73&lt;FQ$94,"",SQRT(FQ73/FQ$15))</f>
        <v>0.161610100676635</v>
      </c>
      <c r="FR148" s="150" t="n">
        <f aca="false">IF($FJ73&lt;FR$94,"",SQRT(FR73/FR$15))</f>
        <v>0.160585553180123</v>
      </c>
      <c r="FS148" s="150" t="n">
        <f aca="false">IF($FJ73&lt;FS$94,"",SQRT(FS73/FS$15))</f>
        <v>0.159822620060854</v>
      </c>
      <c r="FT148" s="150" t="n">
        <f aca="false">IF($FJ73&lt;FT$94,"",SQRT(FT73/FT$15))</f>
        <v>0.159256836965018</v>
      </c>
      <c r="FU148" s="150" t="n">
        <f aca="false">IF($FJ73&lt;FU$94,"",SQRT(FU73/FU$15))</f>
        <v>0.158840014135027</v>
      </c>
      <c r="FV148" s="150" t="n">
        <f aca="false">IF($FJ73&lt;FV$94,"",SQRT(FV73/FV$15))</f>
        <v>0.158536194916973</v>
      </c>
      <c r="FW148" s="150" t="n">
        <f aca="false">IF($FJ73&lt;FW$94,"",SQRT(FW73/FW$15))</f>
        <v>0.158318629279066</v>
      </c>
      <c r="FX148" s="150" t="n">
        <f aca="false">IF($FJ73&lt;FX$94,"",SQRT(FX73/FX$15))</f>
        <v>0.158167509395264</v>
      </c>
      <c r="FY148" s="150" t="n">
        <f aca="false">IF($FJ73&lt;FY$94,"",SQRT(FY73/FY$15))</f>
        <v>0.158068277728123</v>
      </c>
      <c r="FZ148" s="150" t="n">
        <f aca="false">IF($FJ73&lt;FZ$94,"",SQRT(FZ73/FZ$15))</f>
        <v>0.158010365606591</v>
      </c>
      <c r="GA148" s="150" t="n">
        <f aca="false">IF($FJ73&lt;GA$94,"",SQRT(GA73/GA$15))</f>
        <v>0.157986255998088</v>
      </c>
      <c r="GB148" s="150" t="n">
        <f aca="false">IF($FJ73&lt;GB$94,"",SQRT(GB73/GB$15))</f>
        <v>0.15799079099105</v>
      </c>
      <c r="GC148" s="150" t="n">
        <f aca="false">IF($FJ73&lt;GC$94,"",SQRT(GC73/GC$15))</f>
        <v>0.158020664664209</v>
      </c>
      <c r="GD148" s="150" t="n">
        <f aca="false">IF($FJ73&lt;GD$94,"",SQRT(GD73/GD$15))</f>
        <v>0.158074057196977</v>
      </c>
      <c r="GE148" s="150" t="n">
        <f aca="false">IF($FJ73&lt;GE$94,"",SQRT(GE73/GE$15))</f>
        <v>0.158150377530057</v>
      </c>
      <c r="GF148" s="150" t="n">
        <f aca="false">IF($FJ73&lt;GF$94,"",SQRT(GF73/GF$15))</f>
        <v>0.158250090564361</v>
      </c>
      <c r="GG148" s="150" t="n">
        <f aca="false">IF($FJ73&lt;GG$94,"",SQRT(GG73/GG$15))</f>
        <v>0.158374611504828</v>
      </c>
      <c r="GH148" s="150" t="n">
        <f aca="false">IF($FJ73&lt;GH$94,"",SQRT(GH73/GH$15))</f>
        <v>0.158526255056256</v>
      </c>
      <c r="GI148" s="150" t="n">
        <f aca="false">IF($FJ73&lt;GI$94,"",SQRT(GI73/GI$15))</f>
        <v>0.158708231175975</v>
      </c>
      <c r="GJ148" s="150" t="n">
        <f aca="false">IF($FJ73&lt;GJ$94,"",SQRT(GJ73/GJ$15))</f>
        <v>0.158924682305186</v>
      </c>
      <c r="GK148" s="150" t="n">
        <f aca="false">IF($FJ73&lt;GK$94,"",SQRT(GK73/GK$15))</f>
        <v>0.159180759693488</v>
      </c>
      <c r="GL148" s="150" t="n">
        <f aca="false">IF($FJ73&lt;GL$94,"",SQRT(GL73/GL$15))</f>
        <v>0.159482738811883</v>
      </c>
      <c r="GM148" s="150" t="n">
        <f aca="false">IF($FJ73&lt;GM$94,"",SQRT(GM73/GM$15))</f>
        <v>0.159838176105137</v>
      </c>
      <c r="GN148" s="150" t="n">
        <f aca="false">IF($FJ73&lt;GN$94,"",SQRT(GN73/GN$15))</f>
        <v>0.160256111643</v>
      </c>
      <c r="GO148" s="150" t="n">
        <f aca="false">IF($FJ73&lt;GO$94,"",SQRT(GO73/GO$15))</f>
        <v>0.160747324778166</v>
      </c>
      <c r="GP148" s="150" t="n">
        <f aca="false">IF($FJ73&lt;GP$94,"",SQRT(GP73/GP$15))</f>
        <v>0.161324652921813</v>
      </c>
      <c r="GQ148" s="150" t="n">
        <f aca="false">IF($FJ73&lt;GQ$94,"",SQRT(GQ73/GQ$15))</f>
        <v>0.162003387272111</v>
      </c>
      <c r="GR148" s="150" t="n">
        <f aca="false">IF($FJ73&lt;GR$94,"",SQRT(GR73/GR$15))</f>
        <v>0.162801764129603</v>
      </c>
      <c r="GS148" s="150" t="n">
        <f aca="false">IF($FJ73&lt;GS$94,"",SQRT(GS73/GS$15))</f>
        <v>0.16374157678985</v>
      </c>
      <c r="GT148" s="150" t="n">
        <f aca="false">IF($FJ73&lt;GT$94,"",SQRT(GT73/GT$15))</f>
        <v>0.164848941603086</v>
      </c>
      <c r="GU148" s="150" t="n">
        <f aca="false">IF($FJ73&lt;GU$94,"",SQRT(GU73/GU$15))</f>
        <v>0.166155263622648</v>
      </c>
      <c r="GV148" s="150" t="n">
        <f aca="false">IF($FJ73&lt;GV$94,"",SQRT(GV73/GV$15))</f>
        <v>0.167698463784965</v>
      </c>
      <c r="GW148" s="150" t="n">
        <f aca="false">IF($FJ73&lt;GW$94,"",SQRT(GW73/GW$15))</f>
        <v>0.169524552950035</v>
      </c>
      <c r="GX148" s="150" t="n">
        <f aca="false">IF($FJ73&lt;GX$94,"",SQRT(GX73/GX$15))</f>
        <v>0.171689671685528</v>
      </c>
      <c r="GY148" s="150" t="n">
        <f aca="false">IF($FJ73&lt;GY$94,"",SQRT(GY73/GY$15))</f>
        <v>0.174262763491026</v>
      </c>
      <c r="GZ148" s="150" t="n">
        <f aca="false">IF($FJ73&lt;GZ$94,"",SQRT(GZ73/GZ$15))</f>
        <v>0.177329121209707</v>
      </c>
      <c r="HA148" s="150" t="n">
        <f aca="false">IF($FJ73&lt;HA$94,"",SQRT(HA73/HA$15))</f>
        <v>0.180995154384946</v>
      </c>
      <c r="HB148" s="150" t="n">
        <f aca="false">IF($FJ73&lt;HB$94,"",SQRT(HB73/HB$15))</f>
        <v>0.185394889960999</v>
      </c>
      <c r="HC148" s="150" t="n">
        <f aca="false">IF($FJ73&lt;HC$94,"",SQRT(HC73/HC$15))</f>
        <v>0.190698974278349</v>
      </c>
      <c r="HD148" s="150" t="n">
        <f aca="false">IF($FJ73&lt;HD$94,"",SQRT(HD73/HD$15))</f>
        <v>0.197127348882135</v>
      </c>
      <c r="HE148" s="150" t="n">
        <f aca="false">IF($FJ73&lt;HE$94,"",SQRT(HE73/HE$15))</f>
        <v>0.204967427138245</v>
      </c>
      <c r="HF148" s="150" t="n">
        <f aca="false">IF($FJ73&lt;HF$94,"",SQRT(HF73/HF$15))</f>
        <v>0.214600682879718</v>
      </c>
      <c r="HG148" s="150" t="n">
        <f aca="false">IF($FJ73&lt;HG$94,"",SQRT(HG73/HG$15))</f>
        <v>0.226542406255453</v>
      </c>
      <c r="HH148" s="150" t="n">
        <f aca="false">IF($FJ73&lt;HH$94,"",SQRT(HH73/HH$15))</f>
        <v>0.241502610674812</v>
      </c>
      <c r="HI148" s="150" t="n">
        <f aca="false">IF($FJ73&lt;HI$94,"",SQRT(HI73/HI$15))</f>
        <v>0.260481915036563</v>
      </c>
      <c r="HJ148" s="150" t="n">
        <f aca="false">IF($FJ73&lt;HJ$94,"",SQRT(HJ73/HJ$15))</f>
        <v>0.284927182833085</v>
      </c>
      <c r="HK148" s="150" t="n">
        <f aca="false">IF($FJ73&lt;HK$94,"",SQRT(HK73/HK$15))</f>
        <v>0.316993126325317</v>
      </c>
      <c r="HL148" s="150" t="n">
        <f aca="false">IF($FJ73&lt;HL$94,"",SQRT(HL73/HL$15))</f>
        <v>0.360000012742237</v>
      </c>
      <c r="HM148" s="150" t="str">
        <f aca="false">IF($FJ73&lt;HM$94,"",SQRT(HM73/HM$15))</f>
        <v/>
      </c>
      <c r="HN148" s="150" t="str">
        <f aca="false">IF($FJ73&lt;HN$94,"",SQRT(HN73/HN$15))</f>
        <v/>
      </c>
      <c r="HO148" s="150" t="str">
        <f aca="false">IF($FJ73&lt;HO$94,"",SQRT(HO73/HO$15))</f>
        <v/>
      </c>
      <c r="HP148" s="150" t="str">
        <f aca="false">IF($FJ73&lt;HP$94,"",SQRT(HP73/HP$15))</f>
        <v/>
      </c>
      <c r="HQ148" s="150" t="str">
        <f aca="false">IF($FJ73&lt;HQ$94,"",SQRT(HQ73/HQ$15))</f>
        <v/>
      </c>
      <c r="HR148" s="150" t="str">
        <f aca="false">IF($FJ73&lt;HR$94,"",SQRT(HR73/HR$15))</f>
        <v/>
      </c>
      <c r="HS148" s="150" t="str">
        <f aca="false">IF($FJ73&lt;HS$94,"",SQRT(HS73/HS$15))</f>
        <v/>
      </c>
      <c r="HT148" s="150" t="str">
        <f aca="false">IF($FJ73&lt;HT$94,"",SQRT(HT73/HT$15))</f>
        <v/>
      </c>
      <c r="HU148" s="150" t="str">
        <f aca="false">IF($FJ73&lt;HU$94,"",SQRT(HU73/HU$15))</f>
        <v/>
      </c>
      <c r="HV148" s="150" t="str">
        <f aca="false">IF($FJ73&lt;HV$94,"",SQRT(HV73/HV$15))</f>
        <v/>
      </c>
      <c r="HW148" s="150" t="str">
        <f aca="false">IF($FJ73&lt;HW$94,"",SQRT(HW73/HW$15))</f>
        <v/>
      </c>
      <c r="HX148" s="150" t="str">
        <f aca="false">IF($FJ73&lt;HX$94,"",SQRT(HX73/HX$15))</f>
        <v/>
      </c>
      <c r="HY148" s="150" t="str">
        <f aca="false">IF($FJ73&lt;HY$94,"",SQRT(HY73/HY$15))</f>
        <v/>
      </c>
      <c r="HZ148" s="150" t="str">
        <f aca="false">IF($FJ73&lt;HZ$94,"",SQRT(HZ73/HZ$15))</f>
        <v/>
      </c>
      <c r="IA148" s="150" t="str">
        <f aca="false">IF($FJ73&lt;IA$94,"",SQRT(IA73/IA$15))</f>
        <v/>
      </c>
      <c r="IB148" s="150" t="str">
        <f aca="false">IF($FJ73&lt;IB$94,"",SQRT(IB73/IB$15))</f>
        <v/>
      </c>
      <c r="IC148" s="150" t="str">
        <f aca="false">IF($FJ73&lt;IC$94,"",SQRT(IC73/IC$15))</f>
        <v/>
      </c>
      <c r="ID148" s="572" t="str">
        <f aca="false">IF($FJ73&lt;ID$94,"",SQRT(ID73/ID$15))</f>
        <v/>
      </c>
      <c r="IE148" s="129"/>
    </row>
    <row r="149" customFormat="false" ht="12.75" hidden="false" customHeight="false" outlineLevel="0" collapsed="false">
      <c r="H149" s="219" t="n">
        <f aca="false">VLOOKUP(I149,$EJ$20:$EL$54,3)</f>
        <v>0</v>
      </c>
      <c r="I149" s="511" t="n">
        <f aca="false">EOMONTH(I148,0)+1</f>
        <v>40695</v>
      </c>
      <c r="J149" s="512"/>
      <c r="K149" s="513" t="s">
        <v>280</v>
      </c>
      <c r="L149" s="514" t="n">
        <f aca="false">IF(ISNUMBER(K149),J149+K149/100,IF(K149="extra",L148+VLOOKUP(BF149,PriceSpreadTable,2)/12,IF(K149="inter",interpolateprices($K$19:$L$200,ROW(K149)-ROW(FirstPricingMonth)+1),interpolatechanges($J$19:$K$200,ROW(K149)-ROW(FirstPricingMonth)+1))))</f>
        <v>1.9875</v>
      </c>
      <c r="M149" s="515"/>
      <c r="N149" s="516" t="n">
        <v>0</v>
      </c>
      <c r="O149" s="515" t="n">
        <f aca="false">M149+N149</f>
        <v>0</v>
      </c>
      <c r="P149" s="512"/>
      <c r="Q149" s="513" t="s">
        <v>280</v>
      </c>
      <c r="R149" s="512" t="e">
        <f aca="false">IF(ISNUMBER(Q149),P149+Q149/100,IF(Q149="extra",(Z147*AL147-R148*AM147)/AN147,IF(Q149="inter",interpolateprices($Q$19:$R$260,ROW(Q149)-ROW(FirstPricingMonth)+1),interpolatechanges($P$19:$Q$260,ROW(Q149)-ROW(FirstPricingMonth)+1))))</f>
        <v>#VALUE!</v>
      </c>
      <c r="S149" s="597" t="n">
        <f aca="false">S$19+(S148-S$19)*S$18</f>
        <v>0.36</v>
      </c>
      <c r="T149" s="575" t="n">
        <f aca="false">SQRT((1-(1-T148^2/U148)*T$18)*U149)</f>
        <v>0.999999999812018</v>
      </c>
      <c r="U149" s="576" t="n">
        <f aca="false">1-(1-U148)*U$18</f>
        <v>1</v>
      </c>
      <c r="V149" s="521" t="n">
        <v>0</v>
      </c>
      <c r="W149" s="577" t="n">
        <f aca="false">(J150*AJ149+J151*AK149)/AI149</f>
        <v>0</v>
      </c>
      <c r="X149" s="578" t="n">
        <f aca="false">(L150*AJ149+L151*AK149)/AI149</f>
        <v>2.03863636363637</v>
      </c>
      <c r="Y149" s="579" t="n">
        <f aca="false">IF(Q151="extra",W149-AA149,(P150*AM149+P151*AN149)/AL149)</f>
        <v>-1.2915</v>
      </c>
      <c r="Z149" s="579" t="n">
        <f aca="false">IF(Q151="extra",X149-AB149,(R150*AM149+R151*AN149)/AL149)</f>
        <v>0.747136363636366</v>
      </c>
      <c r="AA149" s="523" t="n">
        <f aca="false">IF(Q151="extra",INDEX(BrentSeasonalityTable,INT((BG149-1)/3)+1)*VLOOKUP(MAX(BF149,$AB$4),PriceSpreadTable,3),W149-Y149)</f>
        <v>1.2915</v>
      </c>
      <c r="AB149" s="524" t="n">
        <f aca="false">IF(Q151="extra",INDEX(BrentSeasonalityTable,INT((BG149-1)/3)+1)*VLOOKUP(MAX(BF149,$AB$4),PriceSpreadTable,3),X149-Z149)</f>
        <v>1.2915</v>
      </c>
      <c r="AC149" s="646" t="n">
        <v>40683</v>
      </c>
      <c r="AD149" s="646" t="n">
        <v>40679</v>
      </c>
      <c r="AE149" s="646" t="n">
        <v>40678</v>
      </c>
      <c r="AF149" s="646" t="n">
        <v>40674</v>
      </c>
      <c r="AG149" s="438" t="s">
        <v>278</v>
      </c>
      <c r="AH149" s="439" t="s">
        <v>278</v>
      </c>
      <c r="AI149" s="528" t="n">
        <v>22</v>
      </c>
      <c r="AJ149" s="529" t="n">
        <v>14</v>
      </c>
      <c r="AK149" s="529" t="n">
        <v>8</v>
      </c>
      <c r="AL149" s="530" t="n">
        <v>22</v>
      </c>
      <c r="AM149" s="529" t="n">
        <v>10</v>
      </c>
      <c r="AN149" s="531" t="n">
        <v>12</v>
      </c>
      <c r="AO149" s="532"/>
      <c r="AP149" s="465" t="n">
        <f aca="false">(1+AO149/2)^(-2*BL149)</f>
        <v>1</v>
      </c>
      <c r="AQ149" s="532"/>
      <c r="AR149" s="465" t="n">
        <f aca="false">(1+AQ149/2)^(-2*BH149/365.25)</f>
        <v>1</v>
      </c>
      <c r="AS149" s="580" t="n">
        <f aca="false">(O150*AJ149+O151*AK149)/AI149</f>
        <v>0</v>
      </c>
      <c r="AT149" s="468" t="n">
        <f aca="false">O149*VLOOKUP(BF149,BrentVolTable,2)+VLOOKUP(BF149,BrentVolTable,3)</f>
        <v>0</v>
      </c>
      <c r="AU149" s="468" t="n">
        <f aca="false">(AT150*AM149+AT151*AN149)/AL149</f>
        <v>0</v>
      </c>
      <c r="AV149" s="595" t="n">
        <f aca="false">SQRT(MAX(0.000000000001,(O149^2*BH149-S149^2*(BH149-BH148))/BH148))</f>
        <v>0.027146305651751</v>
      </c>
      <c r="AW149" s="451" t="n">
        <f aca="false">IF($I149-DateToday+15&gt;=$T$8,"",IF($I149-DateToday+15&lt;$T$5,1,MATCH($I149-DateToday+15,$T$5:$T$8)))</f>
        <v>1</v>
      </c>
      <c r="AX149" s="468" t="n">
        <f aca="false">IF($AW149="",AX148^2/AX147,INDEX(U$5:U$8,$AW149)^((INDEX($T$5:$T$8,$AW149+1)-($I149-DateToday+15))/(INDEX($T$5:$T$8,$AW149+1)-INDEX($T$5:$T$8,$AW149)))/INDEX(U$5:U$8,$AW149+1)^((INDEX($T$5:$T$8,$AW149)-($I149-DateToday+15))/(INDEX($T$5:$T$8,$AW149+1)-INDEX($T$5:$T$8,$AW149))))</f>
        <v>0.796749804421478</v>
      </c>
      <c r="AY149" s="468" t="n">
        <f aca="false">IF($AW149="",AY148^2/AY147,INDEX(V$5:V$8,$AW149)^((INDEX($T$5:$T$8,$AW149+1)-($I149-DateToday+15))/(INDEX($T$5:$T$8,$AW149+1)-INDEX($T$5:$T$8,$AW149)))/INDEX(V$5:V$8,$AW149+1)^((INDEX($T$5:$T$8,$AW149)-($I149-DateToday+15))/(INDEX($T$5:$T$8,$AW149+1)-INDEX($T$5:$T$8,$AW149))))</f>
        <v>22.7980307306805</v>
      </c>
      <c r="AZ149" s="468" t="n">
        <f aca="false">IF($AW149="",AZ148^2/AZ147,INDEX(W$5:W$8,$AW149)^((INDEX($T$5:$T$8,$AW149+1)-($I149-DateToday+15))/(INDEX($T$5:$T$8,$AW149+1)-INDEX($T$5:$T$8,$AW149)))/INDEX(W$5:W$8,$AW149+1)^((INDEX($T$5:$T$8,$AW149)-($I149-DateToday+15))/(INDEX($T$5:$T$8,$AW149+1)-INDEX($T$5:$T$8,$AW149))))</f>
        <v>17285.4044625488</v>
      </c>
      <c r="BA149" s="468" t="n">
        <f aca="false">IF($AW149="",BA148^2/BA147,INDEX(X$5:X$8,$AW149)^((INDEX($T$5:$T$8,$AW149+1)-($I149-DateToday+15))/(INDEX($T$5:$T$8,$AW149+1)-INDEX($T$5:$T$8,$AW149)))/INDEX(X$5:X$8,$AW149+1)^((INDEX($T$5:$T$8,$AW149)-($I149-DateToday+15))/(INDEX($T$5:$T$8,$AW149+1)-INDEX($T$5:$T$8,$AW149))))</f>
        <v>143459.819009186</v>
      </c>
      <c r="BB149" s="468" t="n">
        <f aca="false">IF($AW149="",BB148^2/BB147,INDEX(Y$5:Y$8,$AW149)^((INDEX($T$5:$T$8,$AW149+1)-($I149-DateToday+15))/(INDEX($T$5:$T$8,$AW149+1)-INDEX($T$5:$T$8,$AW149)))/INDEX(Y$5:Y$8,$AW149+1)^((INDEX($T$5:$T$8,$AW149)-($I149-DateToday+15))/(INDEX($T$5:$T$8,$AW149+1)-INDEX($T$5:$T$8,$AW149))))</f>
        <v>1106416.72916229</v>
      </c>
      <c r="BC149" s="468" t="n">
        <f aca="false">IF($AW149="",BC148^2/BC147,INDEX(Z$5:Z$8,$AW149)^((INDEX($T$5:$T$8,$AW149+1)-($I149-DateToday+15))/(INDEX($T$5:$T$8,$AW149+1)-INDEX($T$5:$T$8,$AW149)))/INDEX(Z$5:Z$8,$AW149+1)^((INDEX($T$5:$T$8,$AW149)-($I149-DateToday+15))/(INDEX($T$5:$T$8,$AW149+1)-INDEX($T$5:$T$8,$AW149))))</f>
        <v>3810157.47513148</v>
      </c>
      <c r="BD149" s="535" t="n">
        <f aca="false">IF(OR(DateStart&gt;=I150,DateEnd&lt;I149),0,IF(VolumeOverrideFlag,V149,Volume))</f>
        <v>0</v>
      </c>
      <c r="BE149" s="536" t="n">
        <f aca="false">IF(OR(DateStart2&gt;=I150,DateEnd2&lt;I149),0,IF(VolumeOverrideFlag,V149,VolumeSwaption))</f>
        <v>0</v>
      </c>
      <c r="BF149" s="537" t="n">
        <f aca="false">YEAR(I149)</f>
        <v>2011</v>
      </c>
      <c r="BG149" s="538" t="n">
        <f aca="false">MONTH(I149)</f>
        <v>6</v>
      </c>
      <c r="BH149" s="539" t="n">
        <f aca="false">AD149-DateToday+1</f>
        <v>-5246</v>
      </c>
      <c r="BI149" s="540" t="n">
        <f aca="false">(I149-DateToday+1)/365.25</f>
        <v>-14.3189596167009</v>
      </c>
      <c r="BJ149" s="541" t="n">
        <f aca="false">BI149+(BL149-BI149)*CHOOSE(Underlying,AJ149/AI149,AM149/AL149)</f>
        <v>-14.268433824902</v>
      </c>
      <c r="BK149" s="541" t="n">
        <f aca="false">BJ149+1/365.25</f>
        <v>-14.2656959741149</v>
      </c>
      <c r="BL149" s="541" t="n">
        <f aca="false">(I150-DateToday)/365.25</f>
        <v>-14.2395619438741</v>
      </c>
      <c r="BM149" s="542" t="e">
        <f aca="false">MAX(BI149-(BJ149-BI149)*(S150^2/O150^2-1),0)</f>
        <v>#DIV/0!</v>
      </c>
      <c r="BN149" s="541" t="e">
        <f aca="false">MAX(BL149+(BL149-BK149)*(S151^2/O151^2-1),0)</f>
        <v>#DIV/0!</v>
      </c>
      <c r="BO149" s="530" t="n">
        <f aca="false">CHOOSE(Underlying,AI149,AL149)</f>
        <v>22</v>
      </c>
      <c r="BP149" s="529" t="n">
        <f aca="false">CHOOSE(Underlying,AJ149,AM149)</f>
        <v>14</v>
      </c>
      <c r="BQ149" s="529" t="n">
        <f aca="false">CHOOSE(Underlying,AK149,AN149)</f>
        <v>8</v>
      </c>
      <c r="BR149" s="463" t="str">
        <f aca="false">IF(BD149,IF(Underlying=1,X149,Z149)+UnderlyingPriceAsian-SwapPriceCurve,"")</f>
        <v/>
      </c>
      <c r="BS149" s="463" t="str">
        <f aca="false">IF(BD149,Strike1/BR149-1,"")</f>
        <v/>
      </c>
      <c r="BT149" s="464" t="str">
        <f aca="false">IF(BD149,Strike2/BR149-1,"")</f>
        <v/>
      </c>
      <c r="BU149" s="465" t="str">
        <f aca="false">IF(BD149,IF(Underlying=1,L150,R150)+UnderlyingPriceAsian-SwapPriceCurve,"")</f>
        <v/>
      </c>
      <c r="BV149" s="465" t="str">
        <f aca="false">IF(BD149,IF(Underlying=1,L151,R151)+UnderlyingPriceAsian-SwapPriceCurve,"")</f>
        <v/>
      </c>
      <c r="BW149" s="466" t="str">
        <f aca="false">IF(BD149,IF(Underlying=1,O150,AT150),"")</f>
        <v/>
      </c>
      <c r="BX149" s="467" t="str">
        <f aca="false">IF(BD149,IF(Underlying=1,O151,AT151),"")</f>
        <v/>
      </c>
      <c r="BY149" s="466" t="str">
        <f aca="false">IF(BD149,IF(BS149&gt;0,IF(BS149&gt;0.2,BC149-BB149,IF(BS149&gt;0.1,BB149-BA149,BA149)),IF(BS149&lt;-0.2,AX149-AY149,IF(BS149&lt;-0.1,AY149-AZ149,AZ149))),"")</f>
        <v/>
      </c>
      <c r="BZ149" s="467" t="str">
        <f aca="false">IF(BD149,IF(BT149&gt;0,IF(BT149&gt;0.2,BC149-BB149,IF(BT149&gt;0.1,BB149-BA149,BA149)),IF(BT149&lt;-0.2,AX149-AY149,IF(BT149&lt;-0.1,AY149-AZ149,AZ149))),"")</f>
        <v/>
      </c>
      <c r="CA149" s="468" t="str">
        <f aca="false">IF($BD149,$BW149+IF(VolSkewFlag=1,IF(BS149&gt;0,$BA149*MIN(BS149/10%,1)+($BB149-$BA149)*MAX(0,MIN(BS149/10%-1,1))+($BC149-$BB149)*MAX(0,BS149/10%-2),$AZ149*MIN(-BS149/10%,1)+($AY149-$AZ149)*MAX(0,MIN(-BS149/10%-1,1))+($AX149-$AY149)*MAX(0,-BS149/10%-2)),0),"")</f>
        <v/>
      </c>
      <c r="CB149" s="468" t="str">
        <f aca="false">IF($BD149,$BX149+IF(VolSkewFlag=1,IF(BS149&gt;0,$BA149*MIN(BS149/10%,1)+($BB149-$BA149)*MAX(0,MIN(BS149/10%-1,1))+($BC149-$BB149)*MAX(0,BS149/10%-2),$AZ149*MIN(-BS149/10%,1)+($AY149-$AZ149)*MAX(0,MIN(-BS149/10%-1,1))+($AX149-$AY149)*MAX(0,-BS149/10%-2)),0),"")</f>
        <v/>
      </c>
      <c r="CC149" s="468" t="str">
        <f aca="false">IF($BD149,$BW149+IF(VolSkewFlag=1,IF(BT149&gt;0,$BA149*MIN(BT149/10%,1)+($BB149-$BA149)*MAX(0,MIN(BT149/10%-1,1))+($BC149-$BB149)*MAX(0,BT149/10%-2),$AZ149*MIN(-BT149/10%,1)+($AY149-$AZ149)*MAX(0,MIN(-BT149/10%-1,1))+($AX149-$AY149)*MAX(0,-BT149/10%-2)),0),"")</f>
        <v/>
      </c>
      <c r="CD149" s="468" t="str">
        <f aca="false">IF($BD149,$BX149+IF(VolSkewFlag=1,IF(BT149&gt;0,$BA149*MIN(BT149/10%,1)+($BB149-$BA149)*MAX(0,MIN(BT149/10%-1,1))+($BC149-$BB149)*MAX(0,BT149/10%-2),$AZ149*MIN(-BT149/10%,1)+($AY149-$AZ149)*MAX(0,MIN(-BT149/10%-1,1))+($AX149-$AY149)*MAX(0,-BT149/10%-2)),0),"")</f>
        <v/>
      </c>
      <c r="CE149" s="469" t="n">
        <v>1</v>
      </c>
      <c r="CF149" s="470" t="n">
        <f aca="false">IF(BD149,xCrudeAPO(BU149,BV149,CA149,CB149,S150,S151,BI149,BL149,BP149,BQ149,0,Strike1,AO149,CE149,0,BL149,IF(OptControl=4,0,1),0,1),0)</f>
        <v>0</v>
      </c>
      <c r="CG149" s="470" t="n">
        <f aca="false">IF(BD149,xCrudeAPO(BU149,BV149,CA149,CB149,S150,S151,BI149,BL149,BP149,BQ149,0,Strike1,AO149,CE149,0,BL149,IF(OptControl=4,0,1),1,1)+xCrudeAPO(BU149,BV149,CA149,CB149,S150,S151,BI149,BL149,BP149,BQ149,0,Strike1,AO149,CE149,0,BL149,IF(OptControl=4,0,1),1,2)+IF(OR(VolSkewFlag=2,ABS(BS149)&lt;0.0001),0,IF(BS149&gt;0,-1,1)*CH149*Strike1/BR149^2*BY149/10%),0)</f>
        <v>0</v>
      </c>
      <c r="CH149" s="470" t="n">
        <f aca="false">IF(BD149,(xCrudeAPO(BU149,BV149,CA149,CB149,S150,S151,BI149,BL149,BP149,BQ149,0,Strike1,AO149,CE149,0,BL149,IF(OptControl=4,0,1),3,1)+xCrudeAPO(BU149,BV149,CA149,CB149,S150,S151,BI149,BL149,BP149,BQ149,0,Strike1,AO149,CE149,0,BL149,IF(OptControl=4,0,1),3,2))/100,0)</f>
        <v>0</v>
      </c>
      <c r="CI149" s="470" t="n">
        <f aca="false">IF(BD149,xCrudeAPO(BU149,BV149,CA149,CB149,S150,S151,BI149-DaysForThetaCalculation/365.25,BL149-DaysForThetaCalculation/365.25,BP149,BQ149,0,Strike1,AO149,CE149,0,BL149,IF(OptControl=4,0,1),0,1)-xCrudeAPO(BU149,BV149,CA149,CB149,S150,S151,BI149,BL149,BP149,BQ149,0,Strike1,AO149,CE149,0,BL149,IF(OptControl=4,0,1),0,1),0)</f>
        <v>0</v>
      </c>
      <c r="CJ149" s="471" t="n">
        <f aca="false">IF(BD149,xCrudeAPO(BU149,BV149,CC149,CD149,S150,S151,BI149,BL149,BP149,BQ149,0,Strike2,AO149,CE149,0,BL149,IF(OptControl=3,1,0),0,1),0)</f>
        <v>0</v>
      </c>
      <c r="CK149" s="470" t="n">
        <f aca="false">IF(BD149,xCrudeAPO(BU149,BV149,CC149,CD149,S150,S151,BI149,BL149,BP149,BQ149,0,Strike2,AO149,CE149,0,BL149,IF(OptControl=3,1,0),1,1)+xCrudeAPO(BU149,BV149,CC149,CD149,S150,S151,BI149,BL149,BP149,BQ149,0,Strike2,AO149,CE149,0,BL149,IF(OptControl=3,1,0),1,2)+IF(OR(VolSkewFlag=2,ABS(BT149)&lt;0.0001),0,IF(BT149&gt;0,-1,1)*CL149*Strike2/BR149^2*BZ149/10%),0)</f>
        <v>0</v>
      </c>
      <c r="CL149" s="470" t="n">
        <f aca="false">IF(BD149,(xCrudeAPO(BU149,BV149,CC149,CD149,S150,S151,BI149,BL149,BP149,BQ149,0,Strike2,AO149,CE149,0,BL149,IF(OptControl=3,1,0),3,1)+xCrudeAPO(BU149,BV149,CC149,CD149,S150,S151,BI149,BL149,BP149,BQ149,0,Strike2,AO149,CE149,0,BL149,IF(OptControl=3,1,0),3,2))/100,0)</f>
        <v>0</v>
      </c>
      <c r="CM149" s="472" t="n">
        <f aca="false">IF(BD149,xCrudeAPO(BU149,BV149,CC149,CD149,S150,S151,BI149-DaysForThetaCalculation/365.25,BL149-DaysForThetaCalculation/365.25,BP149,BQ149,0,Strike2,AO149,CE149,0,BL149,IF(OptControl=3,1,0),0,1)-xCrudeAPO(BU149,BV149,CC149,CD149,S150,S151,BI149,BL149,BP149,BQ149,0,Strike2,AO149,CE149,0,BL149,IF(OptControl=3,1,0),0,1),0)</f>
        <v>0</v>
      </c>
      <c r="CN149" s="3"/>
      <c r="CO149" s="543" t="str">
        <f aca="false">IF(BD149,CHOOSE(Underlying,AD149,AF149)-DateToday+1,"")</f>
        <v/>
      </c>
      <c r="CP149" s="582" t="str">
        <f aca="false">IF(BD149,CHOOSE(Underlying,L149,R149),"")</f>
        <v/>
      </c>
      <c r="CQ149" s="544" t="str">
        <f aca="false">IF(BD149,Strike1/CP149-1,"")</f>
        <v/>
      </c>
      <c r="CR149" s="544" t="str">
        <f aca="false">IF(BD149,Strike2/CP149-1,"")</f>
        <v/>
      </c>
      <c r="CS149" s="544" t="str">
        <f aca="false">IF(BD149,IF(CQ149&gt;0,IF(CQ149&gt;0.2,BC148-BB148,IF(CQ149&gt;0.1,BB148-BA148,BA148)),IF(CQ149&lt;-0.2,AX148-AY148,IF(CQ149&lt;-0.1,AY148-AZ148,AZ148))),"")</f>
        <v/>
      </c>
      <c r="CT149" s="544" t="str">
        <f aca="false">IF(BD149,IF(CR149&gt;0,IF(CR149&gt;0.2,BC148-BB148,IF(CR149&gt;0.1,BB148-BA148,BA148)),IF(CR149&lt;-0.2,AX148-AY148,IF(CR149&lt;-0.1,AY148-AZ148,AZ148))),"")</f>
        <v/>
      </c>
      <c r="CU149" s="545" t="str">
        <f aca="false">IF(BD149,CHOOSE(Underlying,O149,AT149),"")</f>
        <v/>
      </c>
      <c r="CV149" s="545" t="str">
        <f aca="false">IF(BD149,CU149+IF(VolSkewFlag=1,IF(CQ149&gt;0,BA148*MIN(CQ149/10%,1)+(BB148-BA148)*MAX(0,MIN(CQ149/10%-1,1))+(BC148-BB148)*MAX(0,CQ149/10%-2),AZ148*MIN(-CQ149/10%,1)+(AY148-AZ148)*MAX(0,MIN(-CQ149/10%-1,1))+(AX148-AY148)*MAX(0,-CQ149/10%-2)),0),"")</f>
        <v/>
      </c>
      <c r="CW149" s="545" t="str">
        <f aca="false">IF(BD149,CU149+IF(VolSkewFlag=1,IF(CR149&gt;0,BA148*MIN(CR149/10%,1)+(BB148-BA148)*MAX(0,MIN(CR149/10%-1,1))+(BC148-BB148)*MAX(0,CR149/10%-2),AZ148*MIN(-CR149/10%,1)+(AY148-AZ148)*MAX(0,MIN(-CR149/10%-1,1))+(AX148-AY148)*MAX(0,-CR149/10%-2)),0),"")</f>
        <v/>
      </c>
      <c r="CX149" s="470" t="n">
        <f aca="false">IF(BD149,EURO(CP149,Strike1,AO149,AO149,CV149,CO149,IF(OptControl=4,0,1),0),0)</f>
        <v>0</v>
      </c>
      <c r="CY149" s="470" t="n">
        <f aca="false">IF(BD149,EURO(CP149,Strike1,AO149,AO149,CV149,CO149,IF(OptControl=4,0,1),1)+IF(OR(VolSkewFlag=2,ABS(CQ149)&lt;0.0001),0,IF(CQ149&gt;0,-1,1)*CZ149*100*Strike1/CP149^2*CS149/10%),0)</f>
        <v>0</v>
      </c>
      <c r="CZ149" s="470" t="n">
        <f aca="false">IF(BD149,EURO(CP149,Strike1,AO149,AO149,CV149,CO149,IF(OptControl=4,0,1),3)/100,0)</f>
        <v>0</v>
      </c>
      <c r="DA149" s="470" t="n">
        <f aca="false">IF(BD149,EURO(CP149,Strike1,AO149,AO149,CV149,CO149,IF(OptControl=4,0,1),0)-EURO(CP149,Strike1,AO149,AO149,CV149,CO149-1,IF(OptControl=4,0,1),0),0)</f>
        <v>0</v>
      </c>
      <c r="DB149" s="470" t="n">
        <f aca="false">IF(BD149,EURO(CP149,Strike2,AO149,AO149,CW149,CO149,IF(OptControl=3,1,0),0),0)</f>
        <v>0</v>
      </c>
      <c r="DC149" s="470" t="n">
        <f aca="false">IF(BD149,EURO(CP149,Strike2,AO149,AO149,CW149,CO149,IF(OptControl=3,1,0),1)+IF(OR(VolSkewFlag=2,ABS(CR149)&lt;0.0001),0,IF(CR149&gt;0,-1,1)*DD149*100*Strike2/CP149^2*CT149/10%),0)</f>
        <v>0</v>
      </c>
      <c r="DD149" s="470" t="n">
        <f aca="false">IF(BD149,EURO(CP149,Strike2,AO149,AO149,CW149,CO149,IF(OptControl=3,1,0),3)/100,0)</f>
        <v>0</v>
      </c>
      <c r="DE149" s="472" t="n">
        <f aca="false">IF(BD149,EURO(CP149,Strike2,AO149,AO149,CW149,CO149,IF(OptControl=3,1,0),0)-EURO(CP149,Strike2,AO149,AO149,CW149,CO149-1,IF(OptControl=3,1,0),0),0)</f>
        <v>0</v>
      </c>
      <c r="DG149" s="481" t="n">
        <f aca="false">EOMONTH(DG148,0)+1</f>
        <v>49614</v>
      </c>
      <c r="DH149" s="478" t="n">
        <v>20.61</v>
      </c>
      <c r="DI149" s="479" t="n">
        <v>20.6759090909091</v>
      </c>
      <c r="DJ149" s="480" t="n">
        <f aca="false">DG149</f>
        <v>49614</v>
      </c>
      <c r="DK149" s="478" t="n">
        <v>19.4003559199287</v>
      </c>
      <c r="DL149" s="479" t="n">
        <v>19.4828090909091</v>
      </c>
      <c r="DM149" s="481" t="n">
        <f aca="false">DG149</f>
        <v>49614</v>
      </c>
      <c r="DN149" s="482" t="n">
        <f aca="false">DK149+BrentPhyBrentSpread</f>
        <v>19.4503559199287</v>
      </c>
      <c r="DO149" s="481" t="n">
        <f aca="false">DG149</f>
        <v>49614</v>
      </c>
      <c r="DP149" s="483" t="n">
        <f aca="false">DL149+DQ149</f>
        <v>19.4828090909091</v>
      </c>
      <c r="DQ149" s="546" t="n">
        <v>0</v>
      </c>
      <c r="DR149" s="480" t="n">
        <f aca="false">DG149</f>
        <v>49614</v>
      </c>
      <c r="DS149" s="485" t="n">
        <v>0.147199999999999</v>
      </c>
      <c r="DT149" s="486" t="n">
        <v>0.14640909090909</v>
      </c>
      <c r="DU149" s="480" t="n">
        <f aca="false">DG149</f>
        <v>49614</v>
      </c>
      <c r="DV149" s="485" t="n">
        <v>0.147199999999999</v>
      </c>
      <c r="DW149" s="486" t="n">
        <v>0.14640909090909</v>
      </c>
      <c r="DX149" s="481" t="n">
        <f aca="false">DG149</f>
        <v>49614</v>
      </c>
      <c r="DY149" s="486" t="n">
        <v>0.35</v>
      </c>
      <c r="DZ149" s="481" t="n">
        <f aca="false">DR149</f>
        <v>49614</v>
      </c>
      <c r="EA149" s="486" t="n">
        <f aca="false">DT149</f>
        <v>0.14640909090909</v>
      </c>
      <c r="EB149" s="195"/>
      <c r="EC149" s="547" t="str">
        <f aca="false">IF(BD149,IF(Underlying=1,AS149,AU149),"")</f>
        <v/>
      </c>
      <c r="ED149" s="548" t="str">
        <f aca="false">IF($BD149,$EC149+IF(VolSkewFlag=1,IF(BS149&gt;0,$BA149*MIN(BS149/10%,1)+($BB149-$BA149)*MAX(0,MIN(BS149/10%-1,1))+($BC149-$BB149)*MAX(0,BS149/10%-2),$AZ149*MIN(-BS149/10%,1)+($AY149-$AZ149)*MAX(0,MIN(-BS149/10%-1,1))+($AX149-$AY149)*MAX(0,-BS149/10%-2)),0),"")</f>
        <v/>
      </c>
      <c r="EE149" s="549" t="str">
        <f aca="false">IF($BD149,$EC149+IF(VolSkewFlag=1,IF(BT149&gt;0,$BA149*MIN(BT149/10%,1)+($BB149-$BA149)*MAX(0,MIN(BT149/10%-1,1))+($BC149-$BB149)*MAX(0,BT149/10%-2),$AZ149*MIN(-BT149/10%,1)+($AY149-$AZ149)*MAX(0,MIN(-BT149/10%-1,1))+($AX149-$AY149)*MAX(0,-BT149/10%-2)),0),"")</f>
        <v/>
      </c>
      <c r="EF149" s="550" t="n">
        <f aca="false">IF(BD149,xASN(BR149,Strike1,AO149,ED149,0,BO149,0,BI149,BL149,IF(OptControl=4,0,1),0),0)</f>
        <v>0</v>
      </c>
      <c r="EG149" s="551" t="n">
        <f aca="false">IF(BD149,xASN(BR149,Strike2,AO149,EE149,0,BO149,0,BI149,BL149,IF(OptControl=3,1,0),0),0)</f>
        <v>0</v>
      </c>
      <c r="EL149" s="1"/>
      <c r="EM149" s="195"/>
      <c r="EN149" s="240"/>
      <c r="EO149" s="240"/>
      <c r="EP149" s="195"/>
      <c r="EQ149" s="407" t="s">
        <v>376</v>
      </c>
      <c r="ES149" s="130"/>
      <c r="ET149" s="19"/>
      <c r="EU149" s="672"/>
      <c r="EV149" s="478"/>
      <c r="EW149" s="131"/>
      <c r="EX149" s="131"/>
      <c r="EY149" s="129"/>
      <c r="EZ149" s="129"/>
      <c r="FA149" s="129"/>
      <c r="FB149" s="129"/>
      <c r="FC149" s="129"/>
      <c r="FD149" s="129"/>
      <c r="FE149" s="129"/>
      <c r="FF149" s="129"/>
      <c r="FG149" s="129"/>
      <c r="FH149" s="129"/>
      <c r="FI149" s="129"/>
      <c r="FJ149" s="571" t="n">
        <v>55</v>
      </c>
      <c r="FK149" s="150" t="e">
        <f aca="false">IF($FJ74&lt;FK$94,"",SQRT(FK74/FK$15))</f>
        <v>#DIV/0!</v>
      </c>
      <c r="FL149" s="150" t="n">
        <f aca="false">IF($FJ74&lt;FL$94,"",SQRT(FL74/FL$15))</f>
        <v>-0</v>
      </c>
      <c r="FM149" s="150" t="n">
        <f aca="false">IF($FJ74&lt;FM$94,"",SQRT(FM74/FM$15))</f>
        <v>0.170534367454687</v>
      </c>
      <c r="FN149" s="150" t="n">
        <f aca="false">IF($FJ74&lt;FN$94,"",SQRT(FN74/FN$15))</f>
        <v>0.167261230729337</v>
      </c>
      <c r="FO149" s="150" t="n">
        <f aca="false">IF($FJ74&lt;FO$94,"",SQRT(FO74/FO$15))</f>
        <v>0.1648088482211</v>
      </c>
      <c r="FP149" s="150" t="n">
        <f aca="false">IF($FJ74&lt;FP$94,"",SQRT(FP74/FP$15))</f>
        <v>0.16297246392937</v>
      </c>
      <c r="FQ149" s="150" t="n">
        <f aca="false">IF($FJ74&lt;FQ$94,"",SQRT(FQ74/FQ$15))</f>
        <v>0.161598582634941</v>
      </c>
      <c r="FR149" s="150" t="n">
        <f aca="false">IF($FJ74&lt;FR$94,"",SQRT(FR74/FR$15))</f>
        <v>0.160572167109016</v>
      </c>
      <c r="FS149" s="150" t="n">
        <f aca="false">IF($FJ74&lt;FS$94,"",SQRT(FS74/FS$15))</f>
        <v>0.159807038109044</v>
      </c>
      <c r="FT149" s="150" t="n">
        <f aca="false">IF($FJ74&lt;FT$94,"",SQRT(FT74/FT$15))</f>
        <v>0.159238676825833</v>
      </c>
      <c r="FU149" s="150" t="n">
        <f aca="false">IF($FJ74&lt;FU$94,"",SQRT(FU74/FU$15))</f>
        <v>0.158818829592545</v>
      </c>
      <c r="FV149" s="150" t="n">
        <f aca="false">IF($FJ74&lt;FV$94,"",SQRT(FV74/FV$15))</f>
        <v>0.158511464786943</v>
      </c>
      <c r="FW149" s="150" t="n">
        <f aca="false">IF($FJ74&lt;FW$94,"",SQRT(FW74/FW$15))</f>
        <v>0.158289744461997</v>
      </c>
      <c r="FX149" s="150" t="n">
        <f aca="false">IF($FJ74&lt;FX$94,"",SQRT(FX74/FX$15))</f>
        <v>0.158133757708502</v>
      </c>
      <c r="FY149" s="150" t="n">
        <f aca="false">IF($FJ74&lt;FY$94,"",SQRT(FY74/FY$15))</f>
        <v>0.158028826123435</v>
      </c>
      <c r="FZ149" s="150" t="n">
        <f aca="false">IF($FJ74&lt;FZ$94,"",SQRT(FZ74/FZ$15))</f>
        <v>0.157964239307734</v>
      </c>
      <c r="GA149" s="150" t="n">
        <f aca="false">IF($FJ74&lt;GA$94,"",SQRT(GA74/GA$15))</f>
        <v>0.157932314006519</v>
      </c>
      <c r="GB149" s="150" t="n">
        <f aca="false">IF($FJ74&lt;GB$94,"",SQRT(GB74/GB$15))</f>
        <v>0.157927697304064</v>
      </c>
      <c r="GC149" s="150" t="n">
        <f aca="false">IF($FJ74&lt;GC$94,"",SQRT(GC74/GC$15))</f>
        <v>0.157946854424446</v>
      </c>
      <c r="GD149" s="150" t="n">
        <f aca="false">IF($FJ74&lt;GD$94,"",SQRT(GD74/GD$15))</f>
        <v>0.157987696840239</v>
      </c>
      <c r="GE149" s="150" t="n">
        <f aca="false">IF($FJ74&lt;GE$94,"",SQRT(GE74/GE$15))</f>
        <v>0.15804931781317</v>
      </c>
      <c r="GF149" s="150" t="n">
        <f aca="false">IF($FJ74&lt;GF$94,"",SQRT(GF74/GF$15))</f>
        <v>0.158131811128079</v>
      </c>
      <c r="GG149" s="150" t="n">
        <f aca="false">IF($FJ74&lt;GG$94,"",SQRT(GG74/GG$15))</f>
        <v>0.158236155347405</v>
      </c>
      <c r="GH149" s="150" t="n">
        <f aca="false">IF($FJ74&lt;GH$94,"",SQRT(GH74/GH$15))</f>
        <v>0.158364150947156</v>
      </c>
      <c r="GI149" s="150" t="n">
        <f aca="false">IF($FJ74&lt;GI$94,"",SQRT(GI74/GI$15))</f>
        <v>0.158518401607305</v>
      </c>
      <c r="GJ149" s="150" t="n">
        <f aca="false">IF($FJ74&lt;GJ$94,"",SQRT(GJ74/GJ$15))</f>
        <v>0.158702334035742</v>
      </c>
      <c r="GK149" s="150" t="n">
        <f aca="false">IF($FJ74&lt;GK$94,"",SQRT(GK74/GK$15))</f>
        <v>0.158920253253416</v>
      </c>
      <c r="GL149" s="150" t="n">
        <f aca="false">IF($FJ74&lt;GL$94,"",SQRT(GL74/GL$15))</f>
        <v>0.159177432459493</v>
      </c>
      <c r="GM149" s="150" t="n">
        <f aca="false">IF($FJ74&lt;GM$94,"",SQRT(GM74/GM$15))</f>
        <v>0.159480238600097</v>
      </c>
      <c r="GN149" s="150" t="n">
        <f aca="false">IF($FJ74&lt;GN$94,"",SQRT(GN74/GN$15))</f>
        <v>0.159836296737691</v>
      </c>
      <c r="GO149" s="150" t="n">
        <f aca="false">IF($FJ74&lt;GO$94,"",SQRT(GO74/GO$15))</f>
        <v>0.160254698415253</v>
      </c>
      <c r="GP149" s="150" t="n">
        <f aca="false">IF($FJ74&lt;GP$94,"",SQRT(GP74/GP$15))</f>
        <v>0.160746261599136</v>
      </c>
      <c r="GQ149" s="150" t="n">
        <f aca="false">IF($FJ74&lt;GQ$94,"",SQRT(GQ74/GQ$15))</f>
        <v>0.161323852668422</v>
      </c>
      <c r="GR149" s="150" t="n">
        <f aca="false">IF($FJ74&lt;GR$94,"",SQRT(GR74/GR$15))</f>
        <v>0.162002784553924</v>
      </c>
      <c r="GS149" s="150" t="n">
        <f aca="false">IF($FJ74&lt;GS$94,"",SQRT(GS74/GS$15))</f>
        <v>0.162801309861559</v>
      </c>
      <c r="GT149" s="150" t="n">
        <f aca="false">IF($FJ74&lt;GT$94,"",SQRT(GT74/GT$15))</f>
        <v>0.163741234121082</v>
      </c>
      <c r="GU149" s="150" t="n">
        <f aca="false">IF($FJ74&lt;GU$94,"",SQRT(GU74/GU$15))</f>
        <v>0.164848682862897</v>
      </c>
      <c r="GV149" s="150" t="n">
        <f aca="false">IF($FJ74&lt;GV$94,"",SQRT(GV74/GV$15))</f>
        <v>0.166155068029437</v>
      </c>
      <c r="GW149" s="150" t="n">
        <f aca="false">IF($FJ74&lt;GW$94,"",SQRT(GW74/GW$15))</f>
        <v>0.167698315727424</v>
      </c>
      <c r="GX149" s="150" t="n">
        <f aca="false">IF($FJ74&lt;GX$94,"",SQRT(GX74/GX$15))</f>
        <v>0.169524440697618</v>
      </c>
      <c r="GY149" s="150" t="n">
        <f aca="false">IF($FJ74&lt;GY$94,"",SQRT(GY74/GY$15))</f>
        <v>0.171689586420917</v>
      </c>
      <c r="GZ149" s="150" t="n">
        <f aca="false">IF($FJ74&lt;GZ$94,"",SQRT(GZ74/GZ$15))</f>
        <v>0.174262698584148</v>
      </c>
      <c r="HA149" s="150" t="n">
        <f aca="false">IF($FJ74&lt;HA$94,"",SQRT(HA74/HA$15))</f>
        <v>0.177329071672946</v>
      </c>
      <c r="HB149" s="150" t="n">
        <f aca="false">IF($FJ74&lt;HB$94,"",SQRT(HB74/HB$15))</f>
        <v>0.180995116464287</v>
      </c>
      <c r="HC149" s="150" t="n">
        <f aca="false">IF($FJ74&lt;HC$94,"",SQRT(HC74/HC$15))</f>
        <v>0.18539486082915</v>
      </c>
      <c r="HD149" s="150" t="n">
        <f aca="false">IF($FJ74&lt;HD$94,"",SQRT(HD74/HD$15))</f>
        <v>0.19069895180437</v>
      </c>
      <c r="HE149" s="150" t="n">
        <f aca="false">IF($FJ74&lt;HE$94,"",SQRT(HE74/HE$15))</f>
        <v>0.197127331458458</v>
      </c>
      <c r="HF149" s="150" t="n">
        <f aca="false">IF($FJ74&lt;HF$94,"",SQRT(HF74/HF$15))</f>
        <v>0.204967413550759</v>
      </c>
      <c r="HG149" s="150" t="n">
        <f aca="false">IF($FJ74&lt;HG$94,"",SQRT(HG74/HG$15))</f>
        <v>0.214600672210155</v>
      </c>
      <c r="HH149" s="150" t="n">
        <f aca="false">IF($FJ74&lt;HH$94,"",SQRT(HH74/HH$15))</f>
        <v>0.226542397807989</v>
      </c>
      <c r="HI149" s="150" t="n">
        <f aca="false">IF($FJ74&lt;HI$94,"",SQRT(HI74/HI$15))</f>
        <v>0.24150260392083</v>
      </c>
      <c r="HJ149" s="150" t="n">
        <f aca="false">IF($FJ74&lt;HJ$94,"",SQRT(HJ74/HJ$15))</f>
        <v>0.260481909572988</v>
      </c>
      <c r="HK149" s="150" t="n">
        <f aca="false">IF($FJ74&lt;HK$94,"",SQRT(HK74/HK$15))</f>
        <v>0.284927178350851</v>
      </c>
      <c r="HL149" s="150" t="n">
        <f aca="false">IF($FJ74&lt;HL$94,"",SQRT(HL74/HL$15))</f>
        <v>0.316993122585316</v>
      </c>
      <c r="HM149" s="150" t="n">
        <f aca="false">IF($FJ74&lt;HM$94,"",SQRT(HM74/HM$15))</f>
        <v>0.360000009556678</v>
      </c>
      <c r="HN149" s="150" t="str">
        <f aca="false">IF($FJ74&lt;HN$94,"",SQRT(HN74/HN$15))</f>
        <v/>
      </c>
      <c r="HO149" s="150" t="str">
        <f aca="false">IF($FJ74&lt;HO$94,"",SQRT(HO74/HO$15))</f>
        <v/>
      </c>
      <c r="HP149" s="150" t="str">
        <f aca="false">IF($FJ74&lt;HP$94,"",SQRT(HP74/HP$15))</f>
        <v/>
      </c>
      <c r="HQ149" s="150" t="str">
        <f aca="false">IF($FJ74&lt;HQ$94,"",SQRT(HQ74/HQ$15))</f>
        <v/>
      </c>
      <c r="HR149" s="150" t="str">
        <f aca="false">IF($FJ74&lt;HR$94,"",SQRT(HR74/HR$15))</f>
        <v/>
      </c>
      <c r="HS149" s="150" t="str">
        <f aca="false">IF($FJ74&lt;HS$94,"",SQRT(HS74/HS$15))</f>
        <v/>
      </c>
      <c r="HT149" s="150" t="str">
        <f aca="false">IF($FJ74&lt;HT$94,"",SQRT(HT74/HT$15))</f>
        <v/>
      </c>
      <c r="HU149" s="150" t="str">
        <f aca="false">IF($FJ74&lt;HU$94,"",SQRT(HU74/HU$15))</f>
        <v/>
      </c>
      <c r="HV149" s="150" t="str">
        <f aca="false">IF($FJ74&lt;HV$94,"",SQRT(HV74/HV$15))</f>
        <v/>
      </c>
      <c r="HW149" s="150" t="str">
        <f aca="false">IF($FJ74&lt;HW$94,"",SQRT(HW74/HW$15))</f>
        <v/>
      </c>
      <c r="HX149" s="150" t="str">
        <f aca="false">IF($FJ74&lt;HX$94,"",SQRT(HX74/HX$15))</f>
        <v/>
      </c>
      <c r="HY149" s="150" t="str">
        <f aca="false">IF($FJ74&lt;HY$94,"",SQRT(HY74/HY$15))</f>
        <v/>
      </c>
      <c r="HZ149" s="150" t="str">
        <f aca="false">IF($FJ74&lt;HZ$94,"",SQRT(HZ74/HZ$15))</f>
        <v/>
      </c>
      <c r="IA149" s="150" t="str">
        <f aca="false">IF($FJ74&lt;IA$94,"",SQRT(IA74/IA$15))</f>
        <v/>
      </c>
      <c r="IB149" s="150" t="str">
        <f aca="false">IF($FJ74&lt;IB$94,"",SQRT(IB74/IB$15))</f>
        <v/>
      </c>
      <c r="IC149" s="150" t="str">
        <f aca="false">IF($FJ74&lt;IC$94,"",SQRT(IC74/IC$15))</f>
        <v/>
      </c>
      <c r="ID149" s="572" t="str">
        <f aca="false">IF($FJ74&lt;ID$94,"",SQRT(ID74/ID$15))</f>
        <v/>
      </c>
      <c r="IE149" s="129"/>
    </row>
    <row r="150" customFormat="false" ht="12.75" hidden="false" customHeight="false" outlineLevel="0" collapsed="false">
      <c r="H150" s="219" t="n">
        <f aca="false">VLOOKUP(I150,$EJ$20:$EL$54,3)</f>
        <v>0</v>
      </c>
      <c r="I150" s="511" t="n">
        <f aca="false">EOMONTH(I149,0)+1</f>
        <v>40725</v>
      </c>
      <c r="J150" s="512"/>
      <c r="K150" s="513" t="s">
        <v>280</v>
      </c>
      <c r="L150" s="514" t="n">
        <f aca="false">IF(ISNUMBER(K150),J150+K150/100,IF(K150="extra",L149+VLOOKUP(BF150,PriceSpreadTable,2)/12,IF(K150="inter",interpolateprices($K$19:$L$200,ROW(K150)-ROW(FirstPricingMonth)+1),interpolatechanges($J$19:$K$200,ROW(K150)-ROW(FirstPricingMonth)+1))))</f>
        <v>2.025</v>
      </c>
      <c r="M150" s="515"/>
      <c r="N150" s="516" t="n">
        <v>0</v>
      </c>
      <c r="O150" s="515" t="n">
        <f aca="false">M150+N150</f>
        <v>0</v>
      </c>
      <c r="P150" s="512"/>
      <c r="Q150" s="513" t="s">
        <v>280</v>
      </c>
      <c r="R150" s="512" t="e">
        <f aca="false">IF(ISNUMBER(Q150),P150+Q150/100,IF(Q150="extra",(Z148*AL148-R149*AM148)/AN148,IF(Q150="inter",interpolateprices($Q$19:$R$260,ROW(Q150)-ROW(FirstPricingMonth)+1),interpolatechanges($P$19:$Q$260,ROW(Q150)-ROW(FirstPricingMonth)+1))))</f>
        <v>#VALUE!</v>
      </c>
      <c r="S150" s="597" t="n">
        <f aca="false">S$19+(S149-S$19)*S$18</f>
        <v>0.36</v>
      </c>
      <c r="T150" s="575" t="n">
        <f aca="false">SQRT((1-(1-T149^2/U149)*T$18)*U150)</f>
        <v>0.999999999839275</v>
      </c>
      <c r="U150" s="576" t="n">
        <f aca="false">1-(1-U149)*U$18</f>
        <v>1</v>
      </c>
      <c r="V150" s="521" t="n">
        <v>0</v>
      </c>
      <c r="W150" s="577" t="n">
        <f aca="false">(J151*AJ150+J152*AK150)/AI150</f>
        <v>0</v>
      </c>
      <c r="X150" s="578" t="n">
        <f aca="false">(L151*AJ150+L152*AK150)/AI150</f>
        <v>2.075625</v>
      </c>
      <c r="Y150" s="579" t="n">
        <f aca="false">IF(Q152="extra",W150-AA150,(P151*AM150+P152*AN150)/AL150)</f>
        <v>-1.2669</v>
      </c>
      <c r="Z150" s="579" t="n">
        <f aca="false">IF(Q152="extra",X150-AB150,(R151*AM150+R152*AN150)/AL150)</f>
        <v>0.808725000000002</v>
      </c>
      <c r="AA150" s="523" t="n">
        <f aca="false">IF(Q152="extra",INDEX(BrentSeasonalityTable,INT((BG150-1)/3)+1)*VLOOKUP(MAX(BF150,$AB$4),PriceSpreadTable,3),W150-Y150)</f>
        <v>1.2669</v>
      </c>
      <c r="AB150" s="524" t="n">
        <f aca="false">IF(Q152="extra",INDEX(BrentSeasonalityTable,INT((BG150-1)/3)+1)*VLOOKUP(MAX(BF150,$AB$4),PriceSpreadTable,3),X150-Z150)</f>
        <v>1.2669</v>
      </c>
      <c r="AC150" s="646" t="n">
        <v>40714</v>
      </c>
      <c r="AD150" s="646" t="n">
        <v>40710</v>
      </c>
      <c r="AE150" s="646" t="n">
        <v>40709</v>
      </c>
      <c r="AF150" s="646" t="n">
        <v>40705</v>
      </c>
      <c r="AG150" s="438" t="s">
        <v>278</v>
      </c>
      <c r="AH150" s="439" t="s">
        <v>278</v>
      </c>
      <c r="AI150" s="528" t="n">
        <v>20</v>
      </c>
      <c r="AJ150" s="529" t="n">
        <v>13</v>
      </c>
      <c r="AK150" s="529" t="n">
        <v>7</v>
      </c>
      <c r="AL150" s="530" t="n">
        <v>21</v>
      </c>
      <c r="AM150" s="529" t="n">
        <v>10</v>
      </c>
      <c r="AN150" s="531" t="n">
        <v>11</v>
      </c>
      <c r="AO150" s="532"/>
      <c r="AP150" s="465" t="n">
        <f aca="false">(1+AO150/2)^(-2*BL150)</f>
        <v>1</v>
      </c>
      <c r="AQ150" s="532"/>
      <c r="AR150" s="465" t="n">
        <f aca="false">(1+AQ150/2)^(-2*BH150/365.25)</f>
        <v>1</v>
      </c>
      <c r="AS150" s="580" t="n">
        <f aca="false">(O151*AJ150+O152*AK150)/AI150</f>
        <v>0</v>
      </c>
      <c r="AT150" s="468" t="n">
        <f aca="false">O150*VLOOKUP(BF150,BrentVolTable,2)+VLOOKUP(BF150,BrentVolTable,3)</f>
        <v>0</v>
      </c>
      <c r="AU150" s="468" t="n">
        <f aca="false">(AT151*AM150+AT152*AN150)/AL150</f>
        <v>0</v>
      </c>
      <c r="AV150" s="595" t="n">
        <f aca="false">SQRT(MAX(0.000000000001,(O150^2*BH150-S150^2*(BH150-BH149))/BH149))</f>
        <v>0.0276738259098375</v>
      </c>
      <c r="AW150" s="451" t="n">
        <f aca="false">IF($I150-DateToday+15&gt;=$T$8,"",IF($I150-DateToday+15&lt;$T$5,1,MATCH($I150-DateToday+15,$T$5:$T$8)))</f>
        <v>1</v>
      </c>
      <c r="AX150" s="468" t="n">
        <f aca="false">IF($AW150="",AX149^2/AX148,INDEX(U$5:U$8,$AW150)^((INDEX($T$5:$T$8,$AW150+1)-($I150-DateToday+15))/(INDEX($T$5:$T$8,$AW150+1)-INDEX($T$5:$T$8,$AW150)))/INDEX(U$5:U$8,$AW150+1)^((INDEX($T$5:$T$8,$AW150)-($I150-DateToday+15))/(INDEX($T$5:$T$8,$AW150+1)-INDEX($T$5:$T$8,$AW150))))</f>
        <v>0.780136266210719</v>
      </c>
      <c r="AY150" s="468" t="n">
        <f aca="false">IF($AW150="",AY149^2/AY148,INDEX(V$5:V$8,$AW150)^((INDEX($T$5:$T$8,$AW150+1)-($I150-DateToday+15))/(INDEX($T$5:$T$8,$AW150+1)-INDEX($T$5:$T$8,$AW150)))/INDEX(V$5:V$8,$AW150+1)^((INDEX($T$5:$T$8,$AW150)-($I150-DateToday+15))/(INDEX($T$5:$T$8,$AW150+1)-INDEX($T$5:$T$8,$AW150))))</f>
        <v>21.8706660199731</v>
      </c>
      <c r="AZ150" s="468" t="n">
        <f aca="false">IF($AW150="",AZ149^2/AZ148,INDEX(W$5:W$8,$AW150)^((INDEX($T$5:$T$8,$AW150+1)-($I150-DateToday+15))/(INDEX($T$5:$T$8,$AW150+1)-INDEX($T$5:$T$8,$AW150)))/INDEX(W$5:W$8,$AW150+1)^((INDEX($T$5:$T$8,$AW150)-($I150-DateToday+15))/(INDEX($T$5:$T$8,$AW150+1)-INDEX($T$5:$T$8,$AW150))))</f>
        <v>15939.0082080778</v>
      </c>
      <c r="BA150" s="468" t="n">
        <f aca="false">IF($AW150="",BA149^2/BA148,INDEX(X$5:X$8,$AW150)^((INDEX($T$5:$T$8,$AW150+1)-($I150-DateToday+15))/(INDEX($T$5:$T$8,$AW150+1)-INDEX($T$5:$T$8,$AW150)))/INDEX(X$5:X$8,$AW150+1)^((INDEX($T$5:$T$8,$AW150)-($I150-DateToday+15))/(INDEX($T$5:$T$8,$AW150+1)-INDEX($T$5:$T$8,$AW150))))</f>
        <v>129527.066151581</v>
      </c>
      <c r="BB150" s="468" t="n">
        <f aca="false">IF($AW150="",BB149^2/BB148,INDEX(Y$5:Y$8,$AW150)^((INDEX($T$5:$T$8,$AW150+1)-($I150-DateToday+15))/(INDEX($T$5:$T$8,$AW150+1)-INDEX($T$5:$T$8,$AW150)))/INDEX(Y$5:Y$8,$AW150+1)^((INDEX($T$5:$T$8,$AW150)-($I150-DateToday+15))/(INDEX($T$5:$T$8,$AW150+1)-INDEX($T$5:$T$8,$AW150))))</f>
        <v>989261.537432816</v>
      </c>
      <c r="BC150" s="468" t="n">
        <f aca="false">IF($AW150="",BC149^2/BC148,INDEX(Z$5:Z$8,$AW150)^((INDEX($T$5:$T$8,$AW150+1)-($I150-DateToday+15))/(INDEX($T$5:$T$8,$AW150+1)-INDEX($T$5:$T$8,$AW150)))/INDEX(Z$5:Z$8,$AW150+1)^((INDEX($T$5:$T$8,$AW150)-($I150-DateToday+15))/(INDEX($T$5:$T$8,$AW150+1)-INDEX($T$5:$T$8,$AW150))))</f>
        <v>3387571.14215528</v>
      </c>
      <c r="BD150" s="535" t="n">
        <f aca="false">IF(OR(DateStart&gt;=I151,DateEnd&lt;I150),0,IF(VolumeOverrideFlag,V150,Volume))</f>
        <v>0</v>
      </c>
      <c r="BE150" s="536" t="n">
        <f aca="false">IF(OR(DateStart2&gt;=I151,DateEnd2&lt;I150),0,IF(VolumeOverrideFlag,V150,VolumeSwaption))</f>
        <v>0</v>
      </c>
      <c r="BF150" s="537" t="n">
        <f aca="false">YEAR(I150)</f>
        <v>2011</v>
      </c>
      <c r="BG150" s="538" t="n">
        <f aca="false">MONTH(I150)</f>
        <v>7</v>
      </c>
      <c r="BH150" s="539" t="n">
        <f aca="false">AD150-DateToday+1</f>
        <v>-5215</v>
      </c>
      <c r="BI150" s="540" t="n">
        <f aca="false">(I150-DateToday+1)/365.25</f>
        <v>-14.2368240930869</v>
      </c>
      <c r="BJ150" s="541" t="n">
        <f aca="false">BI150+(BL150-BI150)*CHOOSE(Underlying,AJ150/AI150,AM150/AL150)</f>
        <v>-14.1834360027379</v>
      </c>
      <c r="BK150" s="541" t="n">
        <f aca="false">BJ150+1/365.25</f>
        <v>-14.1806981519507</v>
      </c>
      <c r="BL150" s="541" t="n">
        <f aca="false">(I151-DateToday)/365.25</f>
        <v>-14.154688569473</v>
      </c>
      <c r="BM150" s="542" t="e">
        <f aca="false">MAX(BI150-(BJ150-BI150)*(S151^2/O151^2-1),0)</f>
        <v>#DIV/0!</v>
      </c>
      <c r="BN150" s="541" t="e">
        <f aca="false">MAX(BL150+(BL150-BK150)*(S152^2/O152^2-1),0)</f>
        <v>#DIV/0!</v>
      </c>
      <c r="BO150" s="530" t="n">
        <f aca="false">CHOOSE(Underlying,AI150,AL150)</f>
        <v>20</v>
      </c>
      <c r="BP150" s="529" t="n">
        <f aca="false">CHOOSE(Underlying,AJ150,AM150)</f>
        <v>13</v>
      </c>
      <c r="BQ150" s="529" t="n">
        <f aca="false">CHOOSE(Underlying,AK150,AN150)</f>
        <v>7</v>
      </c>
      <c r="BR150" s="463" t="str">
        <f aca="false">IF(BD150,IF(Underlying=1,X150,Z150)+UnderlyingPriceAsian-SwapPriceCurve,"")</f>
        <v/>
      </c>
      <c r="BS150" s="463" t="str">
        <f aca="false">IF(BD150,Strike1/BR150-1,"")</f>
        <v/>
      </c>
      <c r="BT150" s="464" t="str">
        <f aca="false">IF(BD150,Strike2/BR150-1,"")</f>
        <v/>
      </c>
      <c r="BU150" s="465" t="str">
        <f aca="false">IF(BD150,IF(Underlying=1,L151,R151)+UnderlyingPriceAsian-SwapPriceCurve,"")</f>
        <v/>
      </c>
      <c r="BV150" s="465" t="str">
        <f aca="false">IF(BD150,IF(Underlying=1,L152,R152)+UnderlyingPriceAsian-SwapPriceCurve,"")</f>
        <v/>
      </c>
      <c r="BW150" s="466" t="str">
        <f aca="false">IF(BD150,IF(Underlying=1,O151,AT151),"")</f>
        <v/>
      </c>
      <c r="BX150" s="467" t="str">
        <f aca="false">IF(BD150,IF(Underlying=1,O152,AT152),"")</f>
        <v/>
      </c>
      <c r="BY150" s="466" t="str">
        <f aca="false">IF(BD150,IF(BS150&gt;0,IF(BS150&gt;0.2,BC150-BB150,IF(BS150&gt;0.1,BB150-BA150,BA150)),IF(BS150&lt;-0.2,AX150-AY150,IF(BS150&lt;-0.1,AY150-AZ150,AZ150))),"")</f>
        <v/>
      </c>
      <c r="BZ150" s="467" t="str">
        <f aca="false">IF(BD150,IF(BT150&gt;0,IF(BT150&gt;0.2,BC150-BB150,IF(BT150&gt;0.1,BB150-BA150,BA150)),IF(BT150&lt;-0.2,AX150-AY150,IF(BT150&lt;-0.1,AY150-AZ150,AZ150))),"")</f>
        <v/>
      </c>
      <c r="CA150" s="468" t="str">
        <f aca="false">IF($BD150,$BW150+IF(VolSkewFlag=1,IF(BS150&gt;0,$BA150*MIN(BS150/10%,1)+($BB150-$BA150)*MAX(0,MIN(BS150/10%-1,1))+($BC150-$BB150)*MAX(0,BS150/10%-2),$AZ150*MIN(-BS150/10%,1)+($AY150-$AZ150)*MAX(0,MIN(-BS150/10%-1,1))+($AX150-$AY150)*MAX(0,-BS150/10%-2)),0),"")</f>
        <v/>
      </c>
      <c r="CB150" s="468" t="str">
        <f aca="false">IF($BD150,$BX150+IF(VolSkewFlag=1,IF(BS150&gt;0,$BA150*MIN(BS150/10%,1)+($BB150-$BA150)*MAX(0,MIN(BS150/10%-1,1))+($BC150-$BB150)*MAX(0,BS150/10%-2),$AZ150*MIN(-BS150/10%,1)+($AY150-$AZ150)*MAX(0,MIN(-BS150/10%-1,1))+($AX150-$AY150)*MAX(0,-BS150/10%-2)),0),"")</f>
        <v/>
      </c>
      <c r="CC150" s="468" t="str">
        <f aca="false">IF($BD150,$BW150+IF(VolSkewFlag=1,IF(BT150&gt;0,$BA150*MIN(BT150/10%,1)+($BB150-$BA150)*MAX(0,MIN(BT150/10%-1,1))+($BC150-$BB150)*MAX(0,BT150/10%-2),$AZ150*MIN(-BT150/10%,1)+($AY150-$AZ150)*MAX(0,MIN(-BT150/10%-1,1))+($AX150-$AY150)*MAX(0,-BT150/10%-2)),0),"")</f>
        <v/>
      </c>
      <c r="CD150" s="468" t="str">
        <f aca="false">IF($BD150,$BX150+IF(VolSkewFlag=1,IF(BT150&gt;0,$BA150*MIN(BT150/10%,1)+($BB150-$BA150)*MAX(0,MIN(BT150/10%-1,1))+($BC150-$BB150)*MAX(0,BT150/10%-2),$AZ150*MIN(-BT150/10%,1)+($AY150-$AZ150)*MAX(0,MIN(-BT150/10%-1,1))+($AX150-$AY150)*MAX(0,-BT150/10%-2)),0),"")</f>
        <v/>
      </c>
      <c r="CE150" s="469" t="n">
        <v>1</v>
      </c>
      <c r="CF150" s="470" t="n">
        <f aca="false">IF(BD150,xCrudeAPO(BU150,BV150,CA150,CB150,S151,S152,BI150,BL150,BP150,BQ150,0,Strike1,AO150,CE150,0,BL150,IF(OptControl=4,0,1),0,1),0)</f>
        <v>0</v>
      </c>
      <c r="CG150" s="470" t="n">
        <f aca="false">IF(BD150,xCrudeAPO(BU150,BV150,CA150,CB150,S151,S152,BI150,BL150,BP150,BQ150,0,Strike1,AO150,CE150,0,BL150,IF(OptControl=4,0,1),1,1)+xCrudeAPO(BU150,BV150,CA150,CB150,S151,S152,BI150,BL150,BP150,BQ150,0,Strike1,AO150,CE150,0,BL150,IF(OptControl=4,0,1),1,2)+IF(OR(VolSkewFlag=2,ABS(BS150)&lt;0.0001),0,IF(BS150&gt;0,-1,1)*CH150*Strike1/BR150^2*BY150/10%),0)</f>
        <v>0</v>
      </c>
      <c r="CH150" s="470" t="n">
        <f aca="false">IF(BD150,(xCrudeAPO(BU150,BV150,CA150,CB150,S151,S152,BI150,BL150,BP150,BQ150,0,Strike1,AO150,CE150,0,BL150,IF(OptControl=4,0,1),3,1)+xCrudeAPO(BU150,BV150,CA150,CB150,S151,S152,BI150,BL150,BP150,BQ150,0,Strike1,AO150,CE150,0,BL150,IF(OptControl=4,0,1),3,2))/100,0)</f>
        <v>0</v>
      </c>
      <c r="CI150" s="470" t="n">
        <f aca="false">IF(BD150,xCrudeAPO(BU150,BV150,CA150,CB150,S151,S152,BI150-DaysForThetaCalculation/365.25,BL150-DaysForThetaCalculation/365.25,BP150,BQ150,0,Strike1,AO150,CE150,0,BL150,IF(OptControl=4,0,1),0,1)-xCrudeAPO(BU150,BV150,CA150,CB150,S151,S152,BI150,BL150,BP150,BQ150,0,Strike1,AO150,CE150,0,BL150,IF(OptControl=4,0,1),0,1),0)</f>
        <v>0</v>
      </c>
      <c r="CJ150" s="471" t="n">
        <f aca="false">IF(BD150,xCrudeAPO(BU150,BV150,CC150,CD150,S151,S152,BI150,BL150,BP150,BQ150,0,Strike2,AO150,CE150,0,BL150,IF(OptControl=3,1,0),0,1),0)</f>
        <v>0</v>
      </c>
      <c r="CK150" s="470" t="n">
        <f aca="false">IF(BD150,xCrudeAPO(BU150,BV150,CC150,CD150,S151,S152,BI150,BL150,BP150,BQ150,0,Strike2,AO150,CE150,0,BL150,IF(OptControl=3,1,0),1,1)+xCrudeAPO(BU150,BV150,CC150,CD150,S151,S152,BI150,BL150,BP150,BQ150,0,Strike2,AO150,CE150,0,BL150,IF(OptControl=3,1,0),1,2)+IF(OR(VolSkewFlag=2,ABS(BT150)&lt;0.0001),0,IF(BT150&gt;0,-1,1)*CL150*Strike2/BR150^2*BZ150/10%),0)</f>
        <v>0</v>
      </c>
      <c r="CL150" s="470" t="n">
        <f aca="false">IF(BD150,(xCrudeAPO(BU150,BV150,CC150,CD150,S151,S152,BI150,BL150,BP150,BQ150,0,Strike2,AO150,CE150,0,BL150,IF(OptControl=3,1,0),3,1)+xCrudeAPO(BU150,BV150,CC150,CD150,S151,S152,BI150,BL150,BP150,BQ150,0,Strike2,AO150,CE150,0,BL150,IF(OptControl=3,1,0),3,2))/100,0)</f>
        <v>0</v>
      </c>
      <c r="CM150" s="472" t="n">
        <f aca="false">IF(BD150,xCrudeAPO(BU150,BV150,CC150,CD150,S151,S152,BI150-DaysForThetaCalculation/365.25,BL150-DaysForThetaCalculation/365.25,BP150,BQ150,0,Strike2,AO150,CE150,0,BL150,IF(OptControl=3,1,0),0,1)-xCrudeAPO(BU150,BV150,CC150,CD150,S151,S152,BI150,BL150,BP150,BQ150,0,Strike2,AO150,CE150,0,BL150,IF(OptControl=3,1,0),0,1),0)</f>
        <v>0</v>
      </c>
      <c r="CN150" s="3"/>
      <c r="CO150" s="543" t="str">
        <f aca="false">IF(BD150,CHOOSE(Underlying,AD150,AF150)-DateToday+1,"")</f>
        <v/>
      </c>
      <c r="CP150" s="582" t="str">
        <f aca="false">IF(BD150,CHOOSE(Underlying,L150,R150),"")</f>
        <v/>
      </c>
      <c r="CQ150" s="544" t="str">
        <f aca="false">IF(BD150,Strike1/CP150-1,"")</f>
        <v/>
      </c>
      <c r="CR150" s="544" t="str">
        <f aca="false">IF(BD150,Strike2/CP150-1,"")</f>
        <v/>
      </c>
      <c r="CS150" s="544" t="str">
        <f aca="false">IF(BD150,IF(CQ150&gt;0,IF(CQ150&gt;0.2,BC149-BB149,IF(CQ150&gt;0.1,BB149-BA149,BA149)),IF(CQ150&lt;-0.2,AX149-AY149,IF(CQ150&lt;-0.1,AY149-AZ149,AZ149))),"")</f>
        <v/>
      </c>
      <c r="CT150" s="544" t="str">
        <f aca="false">IF(BD150,IF(CR150&gt;0,IF(CR150&gt;0.2,BC149-BB149,IF(CR150&gt;0.1,BB149-BA149,BA149)),IF(CR150&lt;-0.2,AX149-AY149,IF(CR150&lt;-0.1,AY149-AZ149,AZ149))),"")</f>
        <v/>
      </c>
      <c r="CU150" s="545" t="str">
        <f aca="false">IF(BD150,CHOOSE(Underlying,O150,AT150),"")</f>
        <v/>
      </c>
      <c r="CV150" s="545" t="str">
        <f aca="false">IF(BD150,CU150+IF(VolSkewFlag=1,IF(CQ150&gt;0,BA149*MIN(CQ150/10%,1)+(BB149-BA149)*MAX(0,MIN(CQ150/10%-1,1))+(BC149-BB149)*MAX(0,CQ150/10%-2),AZ149*MIN(-CQ150/10%,1)+(AY149-AZ149)*MAX(0,MIN(-CQ150/10%-1,1))+(AX149-AY149)*MAX(0,-CQ150/10%-2)),0),"")</f>
        <v/>
      </c>
      <c r="CW150" s="545" t="str">
        <f aca="false">IF(BD150,CU150+IF(VolSkewFlag=1,IF(CR150&gt;0,BA149*MIN(CR150/10%,1)+(BB149-BA149)*MAX(0,MIN(CR150/10%-1,1))+(BC149-BB149)*MAX(0,CR150/10%-2),AZ149*MIN(-CR150/10%,1)+(AY149-AZ149)*MAX(0,MIN(-CR150/10%-1,1))+(AX149-AY149)*MAX(0,-CR150/10%-2)),0),"")</f>
        <v/>
      </c>
      <c r="CX150" s="470" t="n">
        <f aca="false">IF(BD150,EURO(CP150,Strike1,AO150,AO150,CV150,CO150,IF(OptControl=4,0,1),0),0)</f>
        <v>0</v>
      </c>
      <c r="CY150" s="470" t="n">
        <f aca="false">IF(BD150,EURO(CP150,Strike1,AO150,AO150,CV150,CO150,IF(OptControl=4,0,1),1)+IF(OR(VolSkewFlag=2,ABS(CQ150)&lt;0.0001),0,IF(CQ150&gt;0,-1,1)*CZ150*100*Strike1/CP150^2*CS150/10%),0)</f>
        <v>0</v>
      </c>
      <c r="CZ150" s="470" t="n">
        <f aca="false">IF(BD150,EURO(CP150,Strike1,AO150,AO150,CV150,CO150,IF(OptControl=4,0,1),3)/100,0)</f>
        <v>0</v>
      </c>
      <c r="DA150" s="470" t="n">
        <f aca="false">IF(BD150,EURO(CP150,Strike1,AO150,AO150,CV150,CO150,IF(OptControl=4,0,1),0)-EURO(CP150,Strike1,AO150,AO150,CV150,CO150-1,IF(OptControl=4,0,1),0),0)</f>
        <v>0</v>
      </c>
      <c r="DB150" s="470" t="n">
        <f aca="false">IF(BD150,EURO(CP150,Strike2,AO150,AO150,CW150,CO150,IF(OptControl=3,1,0),0),0)</f>
        <v>0</v>
      </c>
      <c r="DC150" s="470" t="n">
        <f aca="false">IF(BD150,EURO(CP150,Strike2,AO150,AO150,CW150,CO150,IF(OptControl=3,1,0),1)+IF(OR(VolSkewFlag=2,ABS(CR150)&lt;0.0001),0,IF(CR150&gt;0,-1,1)*DD150*100*Strike2/CP150^2*CT150/10%),0)</f>
        <v>0</v>
      </c>
      <c r="DD150" s="470" t="n">
        <f aca="false">IF(BD150,EURO(CP150,Strike2,AO150,AO150,CW150,CO150,IF(OptControl=3,1,0),3)/100,0)</f>
        <v>0</v>
      </c>
      <c r="DE150" s="472" t="n">
        <f aca="false">IF(BD150,EURO(CP150,Strike2,AO150,AO150,CW150,CO150,IF(OptControl=3,1,0),0)-EURO(CP150,Strike2,AO150,AO150,CW150,CO150-1,IF(OptControl=3,1,0),0),0)</f>
        <v>0</v>
      </c>
      <c r="DG150" s="481" t="n">
        <f aca="false">EOMONTH(DG149,0)+1</f>
        <v>49644</v>
      </c>
      <c r="DH150" s="478" t="n">
        <v>20.66</v>
      </c>
      <c r="DI150" s="479" t="n">
        <v>20.7295652173913</v>
      </c>
      <c r="DJ150" s="480" t="n">
        <f aca="false">DG150</f>
        <v>49644</v>
      </c>
      <c r="DK150" s="478" t="n">
        <v>19.4637582546103</v>
      </c>
      <c r="DL150" s="479" t="n">
        <v>19.5364652173913</v>
      </c>
      <c r="DM150" s="481" t="n">
        <f aca="false">DG150</f>
        <v>49644</v>
      </c>
      <c r="DN150" s="482" t="n">
        <f aca="false">DK150+BrentPhyBrentSpread</f>
        <v>19.5137582546103</v>
      </c>
      <c r="DO150" s="481" t="n">
        <f aca="false">DG150</f>
        <v>49644</v>
      </c>
      <c r="DP150" s="483" t="n">
        <f aca="false">DL150+DQ150</f>
        <v>19.5364652173913</v>
      </c>
      <c r="DQ150" s="546" t="n">
        <v>0</v>
      </c>
      <c r="DR150" s="480" t="n">
        <f aca="false">DG150</f>
        <v>49644</v>
      </c>
      <c r="DS150" s="485" t="n">
        <v>0.146599999999999</v>
      </c>
      <c r="DT150" s="486" t="n">
        <v>0.145765217391303</v>
      </c>
      <c r="DU150" s="480" t="n">
        <f aca="false">DG150</f>
        <v>49644</v>
      </c>
      <c r="DV150" s="485" t="n">
        <v>0.146599999999999</v>
      </c>
      <c r="DW150" s="486" t="n">
        <v>0.145765217391303</v>
      </c>
      <c r="DX150" s="481" t="n">
        <f aca="false">DG150</f>
        <v>49644</v>
      </c>
      <c r="DY150" s="486" t="n">
        <v>0.35</v>
      </c>
      <c r="DZ150" s="481" t="n">
        <f aca="false">DR150</f>
        <v>49644</v>
      </c>
      <c r="EA150" s="486" t="n">
        <f aca="false">DT150</f>
        <v>0.145765217391303</v>
      </c>
      <c r="EB150" s="195"/>
      <c r="EC150" s="547" t="str">
        <f aca="false">IF(BD150,IF(Underlying=1,AS150,AU150),"")</f>
        <v/>
      </c>
      <c r="ED150" s="548" t="str">
        <f aca="false">IF($BD150,$EC150+IF(VolSkewFlag=1,IF(BS150&gt;0,$BA150*MIN(BS150/10%,1)+($BB150-$BA150)*MAX(0,MIN(BS150/10%-1,1))+($BC150-$BB150)*MAX(0,BS150/10%-2),$AZ150*MIN(-BS150/10%,1)+($AY150-$AZ150)*MAX(0,MIN(-BS150/10%-1,1))+($AX150-$AY150)*MAX(0,-BS150/10%-2)),0),"")</f>
        <v/>
      </c>
      <c r="EE150" s="549" t="str">
        <f aca="false">IF($BD150,$EC150+IF(VolSkewFlag=1,IF(BT150&gt;0,$BA150*MIN(BT150/10%,1)+($BB150-$BA150)*MAX(0,MIN(BT150/10%-1,1))+($BC150-$BB150)*MAX(0,BT150/10%-2),$AZ150*MIN(-BT150/10%,1)+($AY150-$AZ150)*MAX(0,MIN(-BT150/10%-1,1))+($AX150-$AY150)*MAX(0,-BT150/10%-2)),0),"")</f>
        <v/>
      </c>
      <c r="EF150" s="550" t="n">
        <f aca="false">IF(BD150,xASN(BR150,Strike1,AO150,ED150,0,BO150,0,BI150,BL150,IF(OptControl=4,0,1),0),0)</f>
        <v>0</v>
      </c>
      <c r="EG150" s="551" t="n">
        <f aca="false">IF(BD150,xASN(BR150,Strike2,AO150,EE150,0,BO150,0,BI150,BL150,IF(OptControl=3,1,0),0),0)</f>
        <v>0</v>
      </c>
      <c r="EL150" s="1"/>
      <c r="EM150" s="195"/>
      <c r="EN150" s="240"/>
      <c r="EO150" s="240"/>
      <c r="EP150" s="195"/>
      <c r="EQ150" s="407" t="s">
        <v>377</v>
      </c>
      <c r="ES150" s="130"/>
      <c r="ET150" s="19"/>
      <c r="EU150" s="672"/>
      <c r="EV150" s="478"/>
      <c r="EW150" s="131"/>
      <c r="EX150" s="131"/>
      <c r="EY150" s="129"/>
      <c r="EZ150" s="129"/>
      <c r="FA150" s="129"/>
      <c r="FB150" s="129"/>
      <c r="FC150" s="129"/>
      <c r="FD150" s="129"/>
      <c r="FE150" s="129"/>
      <c r="FF150" s="129"/>
      <c r="FG150" s="129"/>
      <c r="FH150" s="129"/>
      <c r="FI150" s="129"/>
      <c r="FJ150" s="571" t="n">
        <v>56</v>
      </c>
      <c r="FK150" s="150" t="e">
        <f aca="false">IF($FJ75&lt;FK$94,"",SQRT(FK75/FK$15))</f>
        <v>#DIV/0!</v>
      </c>
      <c r="FL150" s="150" t="n">
        <f aca="false">IF($FJ75&lt;FL$94,"",SQRT(FL75/FL$15))</f>
        <v>-0</v>
      </c>
      <c r="FM150" s="150" t="n">
        <f aca="false">IF($FJ75&lt;FM$94,"",SQRT(FM75/FM$15))</f>
        <v>0.170528814243007</v>
      </c>
      <c r="FN150" s="150" t="n">
        <f aca="false">IF($FJ75&lt;FN$94,"",SQRT(FN75/FN$15))</f>
        <v>0.16725486038825</v>
      </c>
      <c r="FO150" s="150" t="n">
        <f aca="false">IF($FJ75&lt;FO$94,"",SQRT(FO75/FO$15))</f>
        <v>0.164801506748023</v>
      </c>
      <c r="FP150" s="150" t="n">
        <f aca="false">IF($FJ75&lt;FP$94,"",SQRT(FP75/FP$15))</f>
        <v>0.162963973054446</v>
      </c>
      <c r="FQ150" s="150" t="n">
        <f aca="false">IF($FJ75&lt;FQ$94,"",SQRT(FQ75/FQ$15))</f>
        <v>0.161588735462045</v>
      </c>
      <c r="FR150" s="150" t="n">
        <f aca="false">IF($FJ75&lt;FR$94,"",SQRT(FR75/FR$15))</f>
        <v>0.160560723041425</v>
      </c>
      <c r="FS150" s="150" t="n">
        <f aca="false">IF($FJ75&lt;FS$94,"",SQRT(FS75/FS$15))</f>
        <v>0.159793716933302</v>
      </c>
      <c r="FT150" s="150" t="n">
        <f aca="false">IF($FJ75&lt;FT$94,"",SQRT(FT75/FT$15))</f>
        <v>0.159223151805734</v>
      </c>
      <c r="FU150" s="150" t="n">
        <f aca="false">IF($FJ75&lt;FU$94,"",SQRT(FU75/FU$15))</f>
        <v>0.158800719399567</v>
      </c>
      <c r="FV150" s="150" t="n">
        <f aca="false">IF($FJ75&lt;FV$94,"",SQRT(FV75/FV$15))</f>
        <v>0.158490324063191</v>
      </c>
      <c r="FW150" s="150" t="n">
        <f aca="false">IF($FJ75&lt;FW$94,"",SQRT(FW75/FW$15))</f>
        <v>0.15826505277588</v>
      </c>
      <c r="FX150" s="150" t="n">
        <f aca="false">IF($FJ75&lt;FX$94,"",SQRT(FX75/FX$15))</f>
        <v>0.158104906620764</v>
      </c>
      <c r="FY150" s="150" t="n">
        <f aca="false">IF($FJ75&lt;FY$94,"",SQRT(FY75/FY$15))</f>
        <v>0.157995104030579</v>
      </c>
      <c r="FZ150" s="150" t="n">
        <f aca="false">IF($FJ75&lt;FZ$94,"",SQRT(FZ75/FZ$15))</f>
        <v>0.157924813669564</v>
      </c>
      <c r="GA150" s="150" t="n">
        <f aca="false">IF($FJ75&lt;GA$94,"",SQRT(GA75/GA$15))</f>
        <v>0.157886210492443</v>
      </c>
      <c r="GB150" s="150" t="n">
        <f aca="false">IF($FJ75&lt;GB$94,"",SQRT(GB75/GB$15))</f>
        <v>0.157873775306466</v>
      </c>
      <c r="GC150" s="150" t="n">
        <f aca="false">IF($FJ75&lt;GC$94,"",SQRT(GC75/GC$15))</f>
        <v>0.157883778283546</v>
      </c>
      <c r="GD150" s="150" t="n">
        <f aca="false">IF($FJ75&lt;GD$94,"",SQRT(GD75/GD$15))</f>
        <v>0.157913901999493</v>
      </c>
      <c r="GE150" s="150" t="n">
        <f aca="false">IF($FJ75&lt;GE$94,"",SQRT(GE75/GE$15))</f>
        <v>0.157962970972261</v>
      </c>
      <c r="GF150" s="150" t="n">
        <f aca="false">IF($FJ75&lt;GF$94,"",SQRT(GF75/GF$15))</f>
        <v>0.158030763275314</v>
      </c>
      <c r="GG150" s="150" t="n">
        <f aca="false">IF($FJ75&lt;GG$94,"",SQRT(GG75/GG$15))</f>
        <v>0.158117886326596</v>
      </c>
      <c r="GH150" s="150" t="n">
        <f aca="false">IF($FJ75&lt;GH$94,"",SQRT(GH75/GH$15))</f>
        <v>0.158225703934687</v>
      </c>
      <c r="GI150" s="150" t="n">
        <f aca="false">IF($FJ75&lt;GI$94,"",SQRT(GI75/GI$15))</f>
        <v>0.158356305528902</v>
      </c>
      <c r="GJ150" s="150" t="n">
        <f aca="false">IF($FJ75&lt;GJ$94,"",SQRT(GJ75/GJ$15))</f>
        <v>0.158512511520591</v>
      </c>
      <c r="GK150" s="150" t="n">
        <f aca="false">IF($FJ75&lt;GK$94,"",SQRT(GK75/GK$15))</f>
        <v>0.158697911180568</v>
      </c>
      <c r="GL150" s="150" t="n">
        <f aca="false">IF($FJ75&lt;GL$94,"",SQRT(GL75/GL$15))</f>
        <v>0.158916931464588</v>
      </c>
      <c r="GM150" s="150" t="n">
        <f aca="false">IF($FJ75&lt;GM$94,"",SQRT(GM75/GM$15))</f>
        <v>0.159174937033997</v>
      </c>
      <c r="GN150" s="150" t="n">
        <f aca="false">IF($FJ75&lt;GN$94,"",SQRT(GN75/GN$15))</f>
        <v>0.159478363441258</v>
      </c>
      <c r="GO150" s="150" t="n">
        <f aca="false">IF($FJ75&lt;GO$94,"",SQRT(GO75/GO$15))</f>
        <v>0.159834887212106</v>
      </c>
      <c r="GP150" s="150" t="n">
        <f aca="false">IF($FJ75&lt;GP$94,"",SQRT(GP75/GP$15))</f>
        <v>0.160253638494443</v>
      </c>
      <c r="GQ150" s="150" t="n">
        <f aca="false">IF($FJ75&lt;GQ$94,"",SQRT(GQ75/GQ$15))</f>
        <v>0.160745464214865</v>
      </c>
      <c r="GR150" s="150" t="n">
        <f aca="false">IF($FJ75&lt;GR$94,"",SQRT(GR75/GR$15))</f>
        <v>0.161323252478379</v>
      </c>
      <c r="GS150" s="150" t="n">
        <f aca="false">IF($FJ75&lt;GS$94,"",SQRT(GS75/GS$15))</f>
        <v>0.162002332515284</v>
      </c>
      <c r="GT150" s="150" t="n">
        <f aca="false">IF($FJ75&lt;GT$94,"",SQRT(GT75/GT$15))</f>
        <v>0.162800969160526</v>
      </c>
      <c r="GU150" s="150" t="n">
        <f aca="false">IF($FJ75&lt;GU$94,"",SQRT(GU75/GU$15))</f>
        <v>0.163740977119505</v>
      </c>
      <c r="GV150" s="150" t="n">
        <f aca="false">IF($FJ75&lt;GV$94,"",SQRT(GV75/GV$15))</f>
        <v>0.164848488807755</v>
      </c>
      <c r="GW150" s="150" t="n">
        <f aca="false">IF($FJ75&lt;GW$94,"",SQRT(GW75/GW$15))</f>
        <v>0.166154921334529</v>
      </c>
      <c r="GX150" s="150" t="n">
        <f aca="false">IF($FJ75&lt;GX$94,"",SQRT(GX75/GX$15))</f>
        <v>0.167698204684268</v>
      </c>
      <c r="GY150" s="150" t="n">
        <f aca="false">IF($FJ75&lt;GY$94,"",SQRT(GY75/GY$15))</f>
        <v>0.169524356508305</v>
      </c>
      <c r="GZ150" s="150" t="n">
        <f aca="false">IF($FJ75&lt;GZ$94,"",SQRT(GZ75/GZ$15))</f>
        <v>0.171689522472459</v>
      </c>
      <c r="HA150" s="150" t="n">
        <f aca="false">IF($FJ75&lt;HA$94,"",SQRT(HA75/HA$15))</f>
        <v>0.174262649903989</v>
      </c>
      <c r="HB150" s="150" t="n">
        <f aca="false">IF($FJ75&lt;HB$94,"",SQRT(HB75/HB$15))</f>
        <v>0.177329034520375</v>
      </c>
      <c r="HC150" s="150" t="n">
        <f aca="false">IF($FJ75&lt;HC$94,"",SQRT(HC75/HC$15))</f>
        <v>0.180995088023792</v>
      </c>
      <c r="HD150" s="150" t="n">
        <f aca="false">IF($FJ75&lt;HD$94,"",SQRT(HD75/HD$15))</f>
        <v>0.185394838980264</v>
      </c>
      <c r="HE150" s="150" t="n">
        <f aca="false">IF($FJ75&lt;HE$94,"",SQRT(HE75/HE$15))</f>
        <v>0.190698934948885</v>
      </c>
      <c r="HF150" s="150" t="n">
        <f aca="false">IF($FJ75&lt;HF$94,"",SQRT(HF75/HF$15))</f>
        <v>0.1971273183907</v>
      </c>
      <c r="HG150" s="150" t="n">
        <f aca="false">IF($FJ75&lt;HG$94,"",SQRT(HG75/HG$15))</f>
        <v>0.204967403360146</v>
      </c>
      <c r="HH150" s="150" t="n">
        <f aca="false">IF($FJ75&lt;HH$94,"",SQRT(HH75/HH$15))</f>
        <v>0.214600664207983</v>
      </c>
      <c r="HI150" s="150" t="n">
        <f aca="false">IF($FJ75&lt;HI$94,"",SQRT(HI75/HI$15))</f>
        <v>0.226542391472392</v>
      </c>
      <c r="HJ150" s="150" t="n">
        <f aca="false">IF($FJ75&lt;HJ$94,"",SQRT(HJ75/HJ$15))</f>
        <v>0.241502598855343</v>
      </c>
      <c r="HK150" s="150" t="n">
        <f aca="false">IF($FJ75&lt;HK$94,"",SQRT(HK75/HK$15))</f>
        <v>0.260481905475306</v>
      </c>
      <c r="HL150" s="150" t="n">
        <f aca="false">IF($FJ75&lt;HL$94,"",SQRT(HL75/HL$15))</f>
        <v>0.284927174989176</v>
      </c>
      <c r="HM150" s="150" t="n">
        <f aca="false">IF($FJ75&lt;HM$94,"",SQRT(HM75/HM$15))</f>
        <v>0.316993119780315</v>
      </c>
      <c r="HN150" s="150" t="n">
        <f aca="false">IF($FJ75&lt;HN$94,"",SQRT(HN75/HN$15))</f>
        <v>0.360000007167508</v>
      </c>
      <c r="HO150" s="150" t="str">
        <f aca="false">IF($FJ75&lt;HO$94,"",SQRT(HO75/HO$15))</f>
        <v/>
      </c>
      <c r="HP150" s="150" t="str">
        <f aca="false">IF($FJ75&lt;HP$94,"",SQRT(HP75/HP$15))</f>
        <v/>
      </c>
      <c r="HQ150" s="150" t="str">
        <f aca="false">IF($FJ75&lt;HQ$94,"",SQRT(HQ75/HQ$15))</f>
        <v/>
      </c>
      <c r="HR150" s="150" t="str">
        <f aca="false">IF($FJ75&lt;HR$94,"",SQRT(HR75/HR$15))</f>
        <v/>
      </c>
      <c r="HS150" s="150" t="str">
        <f aca="false">IF($FJ75&lt;HS$94,"",SQRT(HS75/HS$15))</f>
        <v/>
      </c>
      <c r="HT150" s="150" t="str">
        <f aca="false">IF($FJ75&lt;HT$94,"",SQRT(HT75/HT$15))</f>
        <v/>
      </c>
      <c r="HU150" s="150" t="str">
        <f aca="false">IF($FJ75&lt;HU$94,"",SQRT(HU75/HU$15))</f>
        <v/>
      </c>
      <c r="HV150" s="150" t="str">
        <f aca="false">IF($FJ75&lt;HV$94,"",SQRT(HV75/HV$15))</f>
        <v/>
      </c>
      <c r="HW150" s="150" t="str">
        <f aca="false">IF($FJ75&lt;HW$94,"",SQRT(HW75/HW$15))</f>
        <v/>
      </c>
      <c r="HX150" s="150" t="str">
        <f aca="false">IF($FJ75&lt;HX$94,"",SQRT(HX75/HX$15))</f>
        <v/>
      </c>
      <c r="HY150" s="150" t="str">
        <f aca="false">IF($FJ75&lt;HY$94,"",SQRT(HY75/HY$15))</f>
        <v/>
      </c>
      <c r="HZ150" s="150" t="str">
        <f aca="false">IF($FJ75&lt;HZ$94,"",SQRT(HZ75/HZ$15))</f>
        <v/>
      </c>
      <c r="IA150" s="150" t="str">
        <f aca="false">IF($FJ75&lt;IA$94,"",SQRT(IA75/IA$15))</f>
        <v/>
      </c>
      <c r="IB150" s="150" t="str">
        <f aca="false">IF($FJ75&lt;IB$94,"",SQRT(IB75/IB$15))</f>
        <v/>
      </c>
      <c r="IC150" s="150" t="str">
        <f aca="false">IF($FJ75&lt;IC$94,"",SQRT(IC75/IC$15))</f>
        <v/>
      </c>
      <c r="ID150" s="572" t="str">
        <f aca="false">IF($FJ75&lt;ID$94,"",SQRT(ID75/ID$15))</f>
        <v/>
      </c>
      <c r="IE150" s="129"/>
    </row>
    <row r="151" customFormat="false" ht="12.75" hidden="false" customHeight="false" outlineLevel="0" collapsed="false">
      <c r="H151" s="219" t="n">
        <f aca="false">VLOOKUP(I151,$EJ$20:$EL$54,3)</f>
        <v>0</v>
      </c>
      <c r="I151" s="511" t="n">
        <f aca="false">EOMONTH(I150,0)+1</f>
        <v>40756</v>
      </c>
      <c r="J151" s="512"/>
      <c r="K151" s="513" t="s">
        <v>280</v>
      </c>
      <c r="L151" s="514" t="n">
        <f aca="false">IF(ISNUMBER(K151),J151+K151/100,IF(K151="extra",L150+VLOOKUP(BF151,PriceSpreadTable,2)/12,IF(K151="inter",interpolateprices($K$19:$L$200,ROW(K151)-ROW(FirstPricingMonth)+1),interpolatechanges($J$19:$K$200,ROW(K151)-ROW(FirstPricingMonth)+1))))</f>
        <v>2.0625</v>
      </c>
      <c r="M151" s="515"/>
      <c r="N151" s="516" t="n">
        <v>0</v>
      </c>
      <c r="O151" s="515" t="n">
        <f aca="false">M151+N151</f>
        <v>0</v>
      </c>
      <c r="P151" s="512"/>
      <c r="Q151" s="513" t="s">
        <v>280</v>
      </c>
      <c r="R151" s="512" t="e">
        <f aca="false">IF(ISNUMBER(Q151),P151+Q151/100,IF(Q151="extra",(Z149*AL149-R150*AM149)/AN149,IF(Q151="inter",interpolateprices($Q$19:$R$260,ROW(Q151)-ROW(FirstPricingMonth)+1),interpolatechanges($P$19:$Q$260,ROW(Q151)-ROW(FirstPricingMonth)+1))))</f>
        <v>#VALUE!</v>
      </c>
      <c r="S151" s="597" t="n">
        <f aca="false">S$19+(S150-S$19)*S$18</f>
        <v>0.36</v>
      </c>
      <c r="T151" s="575" t="n">
        <f aca="false">SQRT((1-(1-T150^2/U150)*T$18)*U151)</f>
        <v>0.99999999986258</v>
      </c>
      <c r="U151" s="576" t="n">
        <f aca="false">1-(1-U150)*U$18</f>
        <v>1</v>
      </c>
      <c r="V151" s="521" t="n">
        <v>0</v>
      </c>
      <c r="W151" s="577" t="n">
        <f aca="false">(J152*AJ151+J153*AK151)/AI151</f>
        <v>0</v>
      </c>
      <c r="X151" s="578" t="n">
        <f aca="false">(L152*AJ151+L153*AK151)/AI151</f>
        <v>2.11304347826087</v>
      </c>
      <c r="Y151" s="579" t="n">
        <f aca="false">IF(Q153="extra",W151-AA151,(P152*AM151+P153*AN151)/AL151)</f>
        <v>-1.2669</v>
      </c>
      <c r="Z151" s="579" t="n">
        <f aca="false">IF(Q153="extra",X151-AB151,(R152*AM151+R153*AN151)/AL151)</f>
        <v>0.846143478260872</v>
      </c>
      <c r="AA151" s="523" t="n">
        <f aca="false">IF(Q153="extra",INDEX(BrentSeasonalityTable,INT((BG151-1)/3)+1)*VLOOKUP(MAX(BF151,$AB$4),PriceSpreadTable,3),W151-Y151)</f>
        <v>1.2669</v>
      </c>
      <c r="AB151" s="524" t="n">
        <f aca="false">IF(Q153="extra",INDEX(BrentSeasonalityTable,INT((BG151-1)/3)+1)*VLOOKUP(MAX(BF151,$AB$4),PriceSpreadTable,3),X151-Z151)</f>
        <v>1.2669</v>
      </c>
      <c r="AC151" s="646" t="n">
        <v>40744</v>
      </c>
      <c r="AD151" s="646" t="n">
        <v>40740</v>
      </c>
      <c r="AE151" s="646" t="n">
        <v>40739</v>
      </c>
      <c r="AF151" s="646" t="n">
        <v>40735</v>
      </c>
      <c r="AG151" s="438" t="s">
        <v>278</v>
      </c>
      <c r="AH151" s="439" t="s">
        <v>278</v>
      </c>
      <c r="AI151" s="528" t="n">
        <v>23</v>
      </c>
      <c r="AJ151" s="529" t="n">
        <v>15</v>
      </c>
      <c r="AK151" s="529" t="n">
        <v>8</v>
      </c>
      <c r="AL151" s="530" t="n">
        <v>23</v>
      </c>
      <c r="AM151" s="529" t="n">
        <v>10</v>
      </c>
      <c r="AN151" s="531" t="n">
        <v>13</v>
      </c>
      <c r="AO151" s="532"/>
      <c r="AP151" s="465" t="n">
        <f aca="false">(1+AO151/2)^(-2*BL151)</f>
        <v>1</v>
      </c>
      <c r="AQ151" s="532"/>
      <c r="AR151" s="465" t="n">
        <f aca="false">(1+AQ151/2)^(-2*BH151/365.25)</f>
        <v>1</v>
      </c>
      <c r="AS151" s="580" t="n">
        <f aca="false">(O152*AJ151+O153*AK151)/AI151</f>
        <v>0</v>
      </c>
      <c r="AT151" s="468" t="n">
        <f aca="false">O151*VLOOKUP(BF151,BrentVolTable,2)+VLOOKUP(BF151,BrentVolTable,3)</f>
        <v>0</v>
      </c>
      <c r="AU151" s="468" t="n">
        <f aca="false">(AT152*AM151+AT153*AN151)/AL151</f>
        <v>0</v>
      </c>
      <c r="AV151" s="595" t="n">
        <f aca="false">SQRT(MAX(0.000000000001,(O151^2*BH151-S151^2*(BH151-BH150))/BH150))</f>
        <v>0.0273046096221047</v>
      </c>
      <c r="AW151" s="451" t="n">
        <f aca="false">IF($I151-DateToday+15&gt;=$T$8,"",IF($I151-DateToday+15&lt;$T$5,1,MATCH($I151-DateToday+15,$T$5:$T$8)))</f>
        <v>1</v>
      </c>
      <c r="AX151" s="468" t="n">
        <f aca="false">IF($AW151="",AX150^2/AX149,INDEX(U$5:U$8,$AW151)^((INDEX($T$5:$T$8,$AW151+1)-($I151-DateToday+15))/(INDEX($T$5:$T$8,$AW151+1)-INDEX($T$5:$T$8,$AW151)))/INDEX(U$5:U$8,$AW151+1)^((INDEX($T$5:$T$8,$AW151)-($I151-DateToday+15))/(INDEX($T$5:$T$8,$AW151+1)-INDEX($T$5:$T$8,$AW151))))</f>
        <v>0.76333279155465</v>
      </c>
      <c r="AY151" s="468" t="n">
        <f aca="false">IF($AW151="",AY150^2/AY149,INDEX(V$5:V$8,$AW151)^((INDEX($T$5:$T$8,$AW151+1)-($I151-DateToday+15))/(INDEX($T$5:$T$8,$AW151+1)-INDEX($T$5:$T$8,$AW151)))/INDEX(V$5:V$8,$AW151+1)^((INDEX($T$5:$T$8,$AW151)-($I151-DateToday+15))/(INDEX($T$5:$T$8,$AW151+1)-INDEX($T$5:$T$8,$AW151))))</f>
        <v>20.9520009474541</v>
      </c>
      <c r="AZ151" s="468" t="n">
        <f aca="false">IF($AW151="",AZ150^2/AZ149,INDEX(W$5:W$8,$AW151)^((INDEX($T$5:$T$8,$AW151+1)-($I151-DateToday+15))/(INDEX($T$5:$T$8,$AW151+1)-INDEX($T$5:$T$8,$AW151)))/INDEX(W$5:W$8,$AW151+1)^((INDEX($T$5:$T$8,$AW151)-($I151-DateToday+15))/(INDEX($T$5:$T$8,$AW151+1)-INDEX($T$5:$T$8,$AW151))))</f>
        <v>14657.8104331075</v>
      </c>
      <c r="BA151" s="468" t="n">
        <f aca="false">IF($AW151="",BA150^2/BA149,INDEX(X$5:X$8,$AW151)^((INDEX($T$5:$T$8,$AW151+1)-($I151-DateToday+15))/(INDEX($T$5:$T$8,$AW151+1)-INDEX($T$5:$T$8,$AW151)))/INDEX(X$5:X$8,$AW151+1)^((INDEX($T$5:$T$8,$AW151)-($I151-DateToday+15))/(INDEX($T$5:$T$8,$AW151+1)-INDEX($T$5:$T$8,$AW151))))</f>
        <v>116549.868291488</v>
      </c>
      <c r="BB151" s="468" t="n">
        <f aca="false">IF($AW151="",BB150^2/BB149,INDEX(Y$5:Y$8,$AW151)^((INDEX($T$5:$T$8,$AW151+1)-($I151-DateToday+15))/(INDEX($T$5:$T$8,$AW151+1)-INDEX($T$5:$T$8,$AW151)))/INDEX(Y$5:Y$8,$AW151+1)^((INDEX($T$5:$T$8,$AW151)-($I151-DateToday+15))/(INDEX($T$5:$T$8,$AW151+1)-INDEX($T$5:$T$8,$AW151))))</f>
        <v>881217.799160246</v>
      </c>
      <c r="BC151" s="468" t="n">
        <f aca="false">IF($AW151="",BC150^2/BC149,INDEX(Z$5:Z$8,$AW151)^((INDEX($T$5:$T$8,$AW151+1)-($I151-DateToday+15))/(INDEX($T$5:$T$8,$AW151+1)-INDEX($T$5:$T$8,$AW151)))/INDEX(Z$5:Z$8,$AW151+1)^((INDEX($T$5:$T$8,$AW151)-($I151-DateToday+15))/(INDEX($T$5:$T$8,$AW151+1)-INDEX($T$5:$T$8,$AW151))))</f>
        <v>3000074.9647716</v>
      </c>
      <c r="BD151" s="535" t="n">
        <f aca="false">IF(OR(DateStart&gt;=I152,DateEnd&lt;I151),0,IF(VolumeOverrideFlag,V151,Volume))</f>
        <v>0</v>
      </c>
      <c r="BE151" s="536" t="n">
        <f aca="false">IF(OR(DateStart2&gt;=I152,DateEnd2&lt;I151),0,IF(VolumeOverrideFlag,V151,VolumeSwaption))</f>
        <v>0</v>
      </c>
      <c r="BF151" s="537" t="n">
        <f aca="false">YEAR(I151)</f>
        <v>2011</v>
      </c>
      <c r="BG151" s="538" t="n">
        <f aca="false">MONTH(I151)</f>
        <v>8</v>
      </c>
      <c r="BH151" s="539" t="n">
        <f aca="false">AD151-DateToday+1</f>
        <v>-5185</v>
      </c>
      <c r="BI151" s="540" t="n">
        <f aca="false">(I151-DateToday+1)/365.25</f>
        <v>-14.1519507186858</v>
      </c>
      <c r="BJ151" s="541" t="n">
        <f aca="false">BI151+(BL151-BI151)*CHOOSE(Underlying,AJ151/AI151,AM151/AL151)</f>
        <v>-14.0983840728506</v>
      </c>
      <c r="BK151" s="541" t="n">
        <f aca="false">BJ151+1/365.25</f>
        <v>-14.0956462220635</v>
      </c>
      <c r="BL151" s="541" t="n">
        <f aca="false">(I152-DateToday)/365.25</f>
        <v>-14.0698151950719</v>
      </c>
      <c r="BM151" s="542" t="e">
        <f aca="false">MAX(BI151-(BJ151-BI151)*(S152^2/O152^2-1),0)</f>
        <v>#DIV/0!</v>
      </c>
      <c r="BN151" s="541" t="e">
        <f aca="false">MAX(BL151+(BL151-BK151)*(S153^2/O153^2-1),0)</f>
        <v>#DIV/0!</v>
      </c>
      <c r="BO151" s="530" t="n">
        <f aca="false">CHOOSE(Underlying,AI151,AL151)</f>
        <v>23</v>
      </c>
      <c r="BP151" s="529" t="n">
        <f aca="false">CHOOSE(Underlying,AJ151,AM151)</f>
        <v>15</v>
      </c>
      <c r="BQ151" s="529" t="n">
        <f aca="false">CHOOSE(Underlying,AK151,AN151)</f>
        <v>8</v>
      </c>
      <c r="BR151" s="463" t="str">
        <f aca="false">IF(BD151,IF(Underlying=1,X151,Z151)+UnderlyingPriceAsian-SwapPriceCurve,"")</f>
        <v/>
      </c>
      <c r="BS151" s="463" t="str">
        <f aca="false">IF(BD151,Strike1/BR151-1,"")</f>
        <v/>
      </c>
      <c r="BT151" s="464" t="str">
        <f aca="false">IF(BD151,Strike2/BR151-1,"")</f>
        <v/>
      </c>
      <c r="BU151" s="465" t="str">
        <f aca="false">IF(BD151,IF(Underlying=1,L152,R152)+UnderlyingPriceAsian-SwapPriceCurve,"")</f>
        <v/>
      </c>
      <c r="BV151" s="465" t="str">
        <f aca="false">IF(BD151,IF(Underlying=1,L153,R153)+UnderlyingPriceAsian-SwapPriceCurve,"")</f>
        <v/>
      </c>
      <c r="BW151" s="466" t="str">
        <f aca="false">IF(BD151,IF(Underlying=1,O152,AT152),"")</f>
        <v/>
      </c>
      <c r="BX151" s="467" t="str">
        <f aca="false">IF(BD151,IF(Underlying=1,O153,AT153),"")</f>
        <v/>
      </c>
      <c r="BY151" s="466" t="str">
        <f aca="false">IF(BD151,IF(BS151&gt;0,IF(BS151&gt;0.2,BC151-BB151,IF(BS151&gt;0.1,BB151-BA151,BA151)),IF(BS151&lt;-0.2,AX151-AY151,IF(BS151&lt;-0.1,AY151-AZ151,AZ151))),"")</f>
        <v/>
      </c>
      <c r="BZ151" s="467" t="str">
        <f aca="false">IF(BD151,IF(BT151&gt;0,IF(BT151&gt;0.2,BC151-BB151,IF(BT151&gt;0.1,BB151-BA151,BA151)),IF(BT151&lt;-0.2,AX151-AY151,IF(BT151&lt;-0.1,AY151-AZ151,AZ151))),"")</f>
        <v/>
      </c>
      <c r="CA151" s="468" t="str">
        <f aca="false">IF($BD151,$BW151+IF(VolSkewFlag=1,IF(BS151&gt;0,$BA151*MIN(BS151/10%,1)+($BB151-$BA151)*MAX(0,MIN(BS151/10%-1,1))+($BC151-$BB151)*MAX(0,BS151/10%-2),$AZ151*MIN(-BS151/10%,1)+($AY151-$AZ151)*MAX(0,MIN(-BS151/10%-1,1))+($AX151-$AY151)*MAX(0,-BS151/10%-2)),0),"")</f>
        <v/>
      </c>
      <c r="CB151" s="468" t="str">
        <f aca="false">IF($BD151,$BX151+IF(VolSkewFlag=1,IF(BS151&gt;0,$BA151*MIN(BS151/10%,1)+($BB151-$BA151)*MAX(0,MIN(BS151/10%-1,1))+($BC151-$BB151)*MAX(0,BS151/10%-2),$AZ151*MIN(-BS151/10%,1)+($AY151-$AZ151)*MAX(0,MIN(-BS151/10%-1,1))+($AX151-$AY151)*MAX(0,-BS151/10%-2)),0),"")</f>
        <v/>
      </c>
      <c r="CC151" s="468" t="str">
        <f aca="false">IF($BD151,$BW151+IF(VolSkewFlag=1,IF(BT151&gt;0,$BA151*MIN(BT151/10%,1)+($BB151-$BA151)*MAX(0,MIN(BT151/10%-1,1))+($BC151-$BB151)*MAX(0,BT151/10%-2),$AZ151*MIN(-BT151/10%,1)+($AY151-$AZ151)*MAX(0,MIN(-BT151/10%-1,1))+($AX151-$AY151)*MAX(0,-BT151/10%-2)),0),"")</f>
        <v/>
      </c>
      <c r="CD151" s="468" t="str">
        <f aca="false">IF($BD151,$BX151+IF(VolSkewFlag=1,IF(BT151&gt;0,$BA151*MIN(BT151/10%,1)+($BB151-$BA151)*MAX(0,MIN(BT151/10%-1,1))+($BC151-$BB151)*MAX(0,BT151/10%-2),$AZ151*MIN(-BT151/10%,1)+($AY151-$AZ151)*MAX(0,MIN(-BT151/10%-1,1))+($AX151-$AY151)*MAX(0,-BT151/10%-2)),0),"")</f>
        <v/>
      </c>
      <c r="CE151" s="469" t="n">
        <v>1</v>
      </c>
      <c r="CF151" s="470" t="n">
        <f aca="false">IF(BD151,xCrudeAPO(BU151,BV151,CA151,CB151,S152,S153,BI151,BL151,BP151,BQ151,0,Strike1,AO151,CE151,0,BL151,IF(OptControl=4,0,1),0,1),0)</f>
        <v>0</v>
      </c>
      <c r="CG151" s="470" t="n">
        <f aca="false">IF(BD151,xCrudeAPO(BU151,BV151,CA151,CB151,S152,S153,BI151,BL151,BP151,BQ151,0,Strike1,AO151,CE151,0,BL151,IF(OptControl=4,0,1),1,1)+xCrudeAPO(BU151,BV151,CA151,CB151,S152,S153,BI151,BL151,BP151,BQ151,0,Strike1,AO151,CE151,0,BL151,IF(OptControl=4,0,1),1,2)+IF(OR(VolSkewFlag=2,ABS(BS151)&lt;0.0001),0,IF(BS151&gt;0,-1,1)*CH151*Strike1/BR151^2*BY151/10%),0)</f>
        <v>0</v>
      </c>
      <c r="CH151" s="470" t="n">
        <f aca="false">IF(BD151,(xCrudeAPO(BU151,BV151,CA151,CB151,S152,S153,BI151,BL151,BP151,BQ151,0,Strike1,AO151,CE151,0,BL151,IF(OptControl=4,0,1),3,1)+xCrudeAPO(BU151,BV151,CA151,CB151,S152,S153,BI151,BL151,BP151,BQ151,0,Strike1,AO151,CE151,0,BL151,IF(OptControl=4,0,1),3,2))/100,0)</f>
        <v>0</v>
      </c>
      <c r="CI151" s="470" t="n">
        <f aca="false">IF(BD151,xCrudeAPO(BU151,BV151,CA151,CB151,S152,S153,BI151-DaysForThetaCalculation/365.25,BL151-DaysForThetaCalculation/365.25,BP151,BQ151,0,Strike1,AO151,CE151,0,BL151,IF(OptControl=4,0,1),0,1)-xCrudeAPO(BU151,BV151,CA151,CB151,S152,S153,BI151,BL151,BP151,BQ151,0,Strike1,AO151,CE151,0,BL151,IF(OptControl=4,0,1),0,1),0)</f>
        <v>0</v>
      </c>
      <c r="CJ151" s="471" t="n">
        <f aca="false">IF(BD151,xCrudeAPO(BU151,BV151,CC151,CD151,S152,S153,BI151,BL151,BP151,BQ151,0,Strike2,AO151,CE151,0,BL151,IF(OptControl=3,1,0),0,1),0)</f>
        <v>0</v>
      </c>
      <c r="CK151" s="470" t="n">
        <f aca="false">IF(BD151,xCrudeAPO(BU151,BV151,CC151,CD151,S152,S153,BI151,BL151,BP151,BQ151,0,Strike2,AO151,CE151,0,BL151,IF(OptControl=3,1,0),1,1)+xCrudeAPO(BU151,BV151,CC151,CD151,S152,S153,BI151,BL151,BP151,BQ151,0,Strike2,AO151,CE151,0,BL151,IF(OptControl=3,1,0),1,2)+IF(OR(VolSkewFlag=2,ABS(BT151)&lt;0.0001),0,IF(BT151&gt;0,-1,1)*CL151*Strike2/BR151^2*BZ151/10%),0)</f>
        <v>0</v>
      </c>
      <c r="CL151" s="470" t="n">
        <f aca="false">IF(BD151,(xCrudeAPO(BU151,BV151,CC151,CD151,S152,S153,BI151,BL151,BP151,BQ151,0,Strike2,AO151,CE151,0,BL151,IF(OptControl=3,1,0),3,1)+xCrudeAPO(BU151,BV151,CC151,CD151,S152,S153,BI151,BL151,BP151,BQ151,0,Strike2,AO151,CE151,0,BL151,IF(OptControl=3,1,0),3,2))/100,0)</f>
        <v>0</v>
      </c>
      <c r="CM151" s="472" t="n">
        <f aca="false">IF(BD151,xCrudeAPO(BU151,BV151,CC151,CD151,S152,S153,BI151-DaysForThetaCalculation/365.25,BL151-DaysForThetaCalculation/365.25,BP151,BQ151,0,Strike2,AO151,CE151,0,BL151,IF(OptControl=3,1,0),0,1)-xCrudeAPO(BU151,BV151,CC151,CD151,S152,S153,BI151,BL151,BP151,BQ151,0,Strike2,AO151,CE151,0,BL151,IF(OptControl=3,1,0),0,1),0)</f>
        <v>0</v>
      </c>
      <c r="CN151" s="3"/>
      <c r="CO151" s="543" t="str">
        <f aca="false">IF(BD151,CHOOSE(Underlying,AD151,AF151)-DateToday+1,"")</f>
        <v/>
      </c>
      <c r="CP151" s="582" t="str">
        <f aca="false">IF(BD151,CHOOSE(Underlying,L151,R151),"")</f>
        <v/>
      </c>
      <c r="CQ151" s="544" t="str">
        <f aca="false">IF(BD151,Strike1/CP151-1,"")</f>
        <v/>
      </c>
      <c r="CR151" s="544" t="str">
        <f aca="false">IF(BD151,Strike2/CP151-1,"")</f>
        <v/>
      </c>
      <c r="CS151" s="544" t="str">
        <f aca="false">IF(BD151,IF(CQ151&gt;0,IF(CQ151&gt;0.2,BC150-BB150,IF(CQ151&gt;0.1,BB150-BA150,BA150)),IF(CQ151&lt;-0.2,AX150-AY150,IF(CQ151&lt;-0.1,AY150-AZ150,AZ150))),"")</f>
        <v/>
      </c>
      <c r="CT151" s="544" t="str">
        <f aca="false">IF(BD151,IF(CR151&gt;0,IF(CR151&gt;0.2,BC150-BB150,IF(CR151&gt;0.1,BB150-BA150,BA150)),IF(CR151&lt;-0.2,AX150-AY150,IF(CR151&lt;-0.1,AY150-AZ150,AZ150))),"")</f>
        <v/>
      </c>
      <c r="CU151" s="545" t="str">
        <f aca="false">IF(BD151,CHOOSE(Underlying,O151,AT151),"")</f>
        <v/>
      </c>
      <c r="CV151" s="545" t="str">
        <f aca="false">IF(BD151,CU151+IF(VolSkewFlag=1,IF(CQ151&gt;0,BA150*MIN(CQ151/10%,1)+(BB150-BA150)*MAX(0,MIN(CQ151/10%-1,1))+(BC150-BB150)*MAX(0,CQ151/10%-2),AZ150*MIN(-CQ151/10%,1)+(AY150-AZ150)*MAX(0,MIN(-CQ151/10%-1,1))+(AX150-AY150)*MAX(0,-CQ151/10%-2)),0),"")</f>
        <v/>
      </c>
      <c r="CW151" s="545" t="str">
        <f aca="false">IF(BD151,CU151+IF(VolSkewFlag=1,IF(CR151&gt;0,BA150*MIN(CR151/10%,1)+(BB150-BA150)*MAX(0,MIN(CR151/10%-1,1))+(BC150-BB150)*MAX(0,CR151/10%-2),AZ150*MIN(-CR151/10%,1)+(AY150-AZ150)*MAX(0,MIN(-CR151/10%-1,1))+(AX150-AY150)*MAX(0,-CR151/10%-2)),0),"")</f>
        <v/>
      </c>
      <c r="CX151" s="470" t="n">
        <f aca="false">IF(BD151,EURO(CP151,Strike1,AO151,AO151,CV151,CO151,IF(OptControl=4,0,1),0),0)</f>
        <v>0</v>
      </c>
      <c r="CY151" s="470" t="n">
        <f aca="false">IF(BD151,EURO(CP151,Strike1,AO151,AO151,CV151,CO151,IF(OptControl=4,0,1),1)+IF(OR(VolSkewFlag=2,ABS(CQ151)&lt;0.0001),0,IF(CQ151&gt;0,-1,1)*CZ151*100*Strike1/CP151^2*CS151/10%),0)</f>
        <v>0</v>
      </c>
      <c r="CZ151" s="470" t="n">
        <f aca="false">IF(BD151,EURO(CP151,Strike1,AO151,AO151,CV151,CO151,IF(OptControl=4,0,1),3)/100,0)</f>
        <v>0</v>
      </c>
      <c r="DA151" s="470" t="n">
        <f aca="false">IF(BD151,EURO(CP151,Strike1,AO151,AO151,CV151,CO151,IF(OptControl=4,0,1),0)-EURO(CP151,Strike1,AO151,AO151,CV151,CO151-1,IF(OptControl=4,0,1),0),0)</f>
        <v>0</v>
      </c>
      <c r="DB151" s="470" t="n">
        <f aca="false">IF(BD151,EURO(CP151,Strike2,AO151,AO151,CW151,CO151,IF(OptControl=3,1,0),0),0)</f>
        <v>0</v>
      </c>
      <c r="DC151" s="470" t="n">
        <f aca="false">IF(BD151,EURO(CP151,Strike2,AO151,AO151,CW151,CO151,IF(OptControl=3,1,0),1)+IF(OR(VolSkewFlag=2,ABS(CR151)&lt;0.0001),0,IF(CR151&gt;0,-1,1)*DD151*100*Strike2/CP151^2*CT151/10%),0)</f>
        <v>0</v>
      </c>
      <c r="DD151" s="470" t="n">
        <f aca="false">IF(BD151,EURO(CP151,Strike2,AO151,AO151,CW151,CO151,IF(OptControl=3,1,0),3)/100,0)</f>
        <v>0</v>
      </c>
      <c r="DE151" s="472" t="n">
        <f aca="false">IF(BD151,EURO(CP151,Strike2,AO151,AO151,CW151,CO151,IF(OptControl=3,1,0),0)-EURO(CP151,Strike2,AO151,AO151,CW151,CO151-1,IF(OptControl=3,1,0),0),0)</f>
        <v>0</v>
      </c>
      <c r="DG151" s="481" t="n">
        <f aca="false">EOMONTH(DG150,0)+1</f>
        <v>49675</v>
      </c>
      <c r="DH151" s="478" t="n">
        <v>20.71</v>
      </c>
      <c r="DI151" s="479" t="n">
        <v>20.7766666666667</v>
      </c>
      <c r="DJ151" s="480" t="n">
        <f aca="false">DG151</f>
        <v>49675</v>
      </c>
      <c r="DK151" s="478" t="n">
        <v>19.4986847878248</v>
      </c>
      <c r="DL151" s="479" t="n">
        <v>19.6081666666667</v>
      </c>
      <c r="DM151" s="481" t="n">
        <f aca="false">DG151</f>
        <v>49675</v>
      </c>
      <c r="DN151" s="482" t="n">
        <f aca="false">DK151+BrentPhyBrentSpread</f>
        <v>19.5486847878248</v>
      </c>
      <c r="DO151" s="481" t="n">
        <f aca="false">DG151</f>
        <v>49675</v>
      </c>
      <c r="DP151" s="483" t="n">
        <f aca="false">DL151+DQ151</f>
        <v>19.6081666666667</v>
      </c>
      <c r="DQ151" s="546" t="n">
        <v>0</v>
      </c>
      <c r="DR151" s="480" t="n">
        <f aca="false">DG151</f>
        <v>49675</v>
      </c>
      <c r="DS151" s="485" t="n">
        <v>0.145999999999999</v>
      </c>
      <c r="DT151" s="486" t="n">
        <v>0.145199999999999</v>
      </c>
      <c r="DU151" s="480" t="n">
        <f aca="false">DG151</f>
        <v>49675</v>
      </c>
      <c r="DV151" s="485" t="n">
        <v>0.145999999999999</v>
      </c>
      <c r="DW151" s="486" t="n">
        <v>0.145199999999999</v>
      </c>
      <c r="DX151" s="481" t="n">
        <f aca="false">DG151</f>
        <v>49675</v>
      </c>
      <c r="DY151" s="486" t="n">
        <v>0.35</v>
      </c>
      <c r="DZ151" s="481" t="n">
        <f aca="false">DR151</f>
        <v>49675</v>
      </c>
      <c r="EA151" s="486" t="n">
        <f aca="false">DT151</f>
        <v>0.145199999999999</v>
      </c>
      <c r="EB151" s="195"/>
      <c r="EC151" s="547" t="str">
        <f aca="false">IF(BD151,IF(Underlying=1,AS151,AU151),"")</f>
        <v/>
      </c>
      <c r="ED151" s="548" t="str">
        <f aca="false">IF($BD151,$EC151+IF(VolSkewFlag=1,IF(BS151&gt;0,$BA151*MIN(BS151/10%,1)+($BB151-$BA151)*MAX(0,MIN(BS151/10%-1,1))+($BC151-$BB151)*MAX(0,BS151/10%-2),$AZ151*MIN(-BS151/10%,1)+($AY151-$AZ151)*MAX(0,MIN(-BS151/10%-1,1))+($AX151-$AY151)*MAX(0,-BS151/10%-2)),0),"")</f>
        <v/>
      </c>
      <c r="EE151" s="549" t="str">
        <f aca="false">IF($BD151,$EC151+IF(VolSkewFlag=1,IF(BT151&gt;0,$BA151*MIN(BT151/10%,1)+($BB151-$BA151)*MAX(0,MIN(BT151/10%-1,1))+($BC151-$BB151)*MAX(0,BT151/10%-2),$AZ151*MIN(-BT151/10%,1)+($AY151-$AZ151)*MAX(0,MIN(-BT151/10%-1,1))+($AX151-$AY151)*MAX(0,-BT151/10%-2)),0),"")</f>
        <v/>
      </c>
      <c r="EF151" s="550" t="n">
        <f aca="false">IF(BD151,xASN(BR151,Strike1,AO151,ED151,0,BO151,0,BI151,BL151,IF(OptControl=4,0,1),0),0)</f>
        <v>0</v>
      </c>
      <c r="EG151" s="551" t="n">
        <f aca="false">IF(BD151,xASN(BR151,Strike2,AO151,EE151,0,BO151,0,BI151,BL151,IF(OptControl=3,1,0),0),0)</f>
        <v>0</v>
      </c>
      <c r="EL151" s="1"/>
      <c r="EM151" s="195"/>
      <c r="EN151" s="240"/>
      <c r="EO151" s="240"/>
      <c r="EP151" s="195"/>
      <c r="EQ151" s="407" t="s">
        <v>378</v>
      </c>
      <c r="ES151" s="130"/>
      <c r="ET151" s="19"/>
      <c r="EU151" s="672"/>
      <c r="EV151" s="478"/>
      <c r="EW151" s="131"/>
      <c r="EX151" s="131"/>
      <c r="EY151" s="129"/>
      <c r="EZ151" s="129"/>
      <c r="FA151" s="129"/>
      <c r="FB151" s="129"/>
      <c r="FC151" s="129"/>
      <c r="FD151" s="129"/>
      <c r="FE151" s="129"/>
      <c r="FF151" s="129"/>
      <c r="FG151" s="129"/>
      <c r="FH151" s="129"/>
      <c r="FI151" s="129"/>
      <c r="FJ151" s="571" t="n">
        <v>57</v>
      </c>
      <c r="FK151" s="150" t="e">
        <f aca="false">IF($FJ76&lt;FK$94,"",SQRT(FK76/FK$15))</f>
        <v>#DIV/0!</v>
      </c>
      <c r="FL151" s="150" t="n">
        <f aca="false">IF($FJ76&lt;FL$94,"",SQRT(FL76/FL$15))</f>
        <v>-0</v>
      </c>
      <c r="FM151" s="150" t="n">
        <f aca="false">IF($FJ76&lt;FM$94,"",SQRT(FM76/FM$15))</f>
        <v>0.170524066412842</v>
      </c>
      <c r="FN151" s="150" t="n">
        <f aca="false">IF($FJ76&lt;FN$94,"",SQRT(FN76/FN$15))</f>
        <v>0.167249413969103</v>
      </c>
      <c r="FO151" s="150" t="n">
        <f aca="false">IF($FJ76&lt;FO$94,"",SQRT(FO76/FO$15))</f>
        <v>0.164795230088423</v>
      </c>
      <c r="FP151" s="150" t="n">
        <f aca="false">IF($FJ76&lt;FP$94,"",SQRT(FP76/FP$15))</f>
        <v>0.162956713762038</v>
      </c>
      <c r="FQ151" s="150" t="n">
        <f aca="false">IF($FJ76&lt;FQ$94,"",SQRT(FQ76/FQ$15))</f>
        <v>0.161580316679455</v>
      </c>
      <c r="FR151" s="150" t="n">
        <f aca="false">IF($FJ76&lt;FR$94,"",SQRT(FR76/FR$15))</f>
        <v>0.160550939111552</v>
      </c>
      <c r="FS151" s="150" t="n">
        <f aca="false">IF($FJ76&lt;FS$94,"",SQRT(FS76/FS$15))</f>
        <v>0.159782328346287</v>
      </c>
      <c r="FT151" s="150" t="n">
        <f aca="false">IF($FJ76&lt;FT$94,"",SQRT(FT76/FT$15))</f>
        <v>0.159209879301516</v>
      </c>
      <c r="FU151" s="150" t="n">
        <f aca="false">IF($FJ76&lt;FU$94,"",SQRT(FU76/FU$15))</f>
        <v>0.158785237078253</v>
      </c>
      <c r="FV151" s="150" t="n">
        <f aca="false">IF($FJ76&lt;FV$94,"",SQRT(FV76/FV$15))</f>
        <v>0.158472251329867</v>
      </c>
      <c r="FW151" s="150" t="n">
        <f aca="false">IF($FJ76&lt;FW$94,"",SQRT(FW76/FW$15))</f>
        <v>0.158243944916175</v>
      </c>
      <c r="FX151" s="150" t="n">
        <f aca="false">IF($FJ76&lt;FX$94,"",SQRT(FX76/FX$15))</f>
        <v>0.158080243767583</v>
      </c>
      <c r="FY151" s="150" t="n">
        <f aca="false">IF($FJ76&lt;FY$94,"",SQRT(FY76/FY$15))</f>
        <v>0.15796627823984</v>
      </c>
      <c r="FZ151" s="150" t="n">
        <f aca="false">IF($FJ76&lt;FZ$94,"",SQRT(FZ76/FZ$15))</f>
        <v>0.157891113772137</v>
      </c>
      <c r="GA151" s="150" t="n">
        <f aca="false">IF($FJ76&lt;GA$94,"",SQRT(GA76/GA$15))</f>
        <v>0.15784680432916</v>
      </c>
      <c r="GB151" s="150" t="n">
        <f aca="false">IF($FJ76&lt;GB$94,"",SQRT(GB76/GB$15))</f>
        <v>0.157827688880975</v>
      </c>
      <c r="GC151" s="150" t="n">
        <f aca="false">IF($FJ76&lt;GC$94,"",SQRT(GC76/GC$15))</f>
        <v>0.157829871281426</v>
      </c>
      <c r="GD151" s="150" t="n">
        <f aca="false">IF($FJ76&lt;GD$94,"",SQRT(GD76/GD$15))</f>
        <v>0.157850839018157</v>
      </c>
      <c r="GE151" s="150" t="n">
        <f aca="false">IF($FJ76&lt;GE$94,"",SQRT(GE76/GE$15))</f>
        <v>0.157889187680779</v>
      </c>
      <c r="GF151" s="150" t="n">
        <f aca="false">IF($FJ76&lt;GF$94,"",SQRT(GF76/GF$15))</f>
        <v>0.157944426571277</v>
      </c>
      <c r="GG151" s="150" t="n">
        <f aca="false">IF($FJ76&lt;GG$94,"",SQRT(GG76/GG$15))</f>
        <v>0.158016847371923</v>
      </c>
      <c r="GH151" s="150" t="n">
        <f aca="false">IF($FJ76&lt;GH$94,"",SQRT(GH76/GH$15))</f>
        <v>0.158107442725484</v>
      </c>
      <c r="GI151" s="150" t="n">
        <f aca="false">IF($FJ76&lt;GI$94,"",SQRT(GI76/GI$15))</f>
        <v>0.158217865375149</v>
      </c>
      <c r="GJ151" s="150" t="n">
        <f aca="false">IF($FJ76&lt;GJ$94,"",SQRT(GJ76/GJ$15))</f>
        <v>0.158350421465212</v>
      </c>
      <c r="GK151" s="150" t="n">
        <f aca="false">IF($FJ76&lt;GK$94,"",SQRT(GK76/GK$15))</f>
        <v>0.158508093955557</v>
      </c>
      <c r="GL151" s="150" t="n">
        <f aca="false">IF($FJ76&lt;GL$94,"",SQRT(GL76/GL$15))</f>
        <v>0.158694594039187</v>
      </c>
      <c r="GM151" s="150" t="n">
        <f aca="false">IF($FJ76&lt;GM$94,"",SQRT(GM76/GM$15))</f>
        <v>0.158914440122967</v>
      </c>
      <c r="GN151" s="150" t="n">
        <f aca="false">IF($FJ76&lt;GN$94,"",SQRT(GN76/GN$15))</f>
        <v>0.159173065464874</v>
      </c>
      <c r="GO151" s="150" t="n">
        <f aca="false">IF($FJ76&lt;GO$94,"",SQRT(GO76/GO$15))</f>
        <v>0.159476957072129</v>
      </c>
      <c r="GP151" s="150" t="n">
        <f aca="false">IF($FJ76&lt;GP$94,"",SQRT(GP76/GP$15))</f>
        <v>0.159833830067918</v>
      </c>
      <c r="GQ151" s="150" t="n">
        <f aca="false">IF($FJ76&lt;GQ$94,"",SQRT(GQ76/GQ$15))</f>
        <v>0.160252843553835</v>
      </c>
      <c r="GR151" s="150" t="n">
        <f aca="false">IF($FJ76&lt;GR$94,"",SQRT(GR76/GR$15))</f>
        <v>0.160744866176661</v>
      </c>
      <c r="GS151" s="150" t="n">
        <f aca="false">IF($FJ76&lt;GS$94,"",SQRT(GS76/GS$15))</f>
        <v>0.161322802335847</v>
      </c>
      <c r="GT151" s="150" t="n">
        <f aca="false">IF($FJ76&lt;GT$94,"",SQRT(GT76/GT$15))</f>
        <v>0.162001993486304</v>
      </c>
      <c r="GU151" s="150" t="n">
        <f aca="false">IF($FJ76&lt;GU$94,"",SQRT(GU76/GU$15))</f>
        <v>0.162800713634751</v>
      </c>
      <c r="GV151" s="150" t="n">
        <f aca="false">IF($FJ76&lt;GV$94,"",SQRT(GV76/GV$15))</f>
        <v>0.163740784368323</v>
      </c>
      <c r="GW151" s="150" t="n">
        <f aca="false">IF($FJ76&lt;GW$94,"",SQRT(GW76/GW$15))</f>
        <v>0.164848343266399</v>
      </c>
      <c r="GX151" s="150" t="n">
        <f aca="false">IF($FJ76&lt;GX$94,"",SQRT(GX76/GX$15))</f>
        <v>0.166154811313347</v>
      </c>
      <c r="GY151" s="150" t="n">
        <f aca="false">IF($FJ76&lt;GY$94,"",SQRT(GY76/GY$15))</f>
        <v>0.167698121401901</v>
      </c>
      <c r="GZ151" s="150" t="n">
        <f aca="false">IF($FJ76&lt;GZ$94,"",SQRT(GZ76/GZ$15))</f>
        <v>0.16952429336632</v>
      </c>
      <c r="HA151" s="150" t="n">
        <f aca="false">IF($FJ76&lt;HA$94,"",SQRT(HA76/HA$15))</f>
        <v>0.171689474511115</v>
      </c>
      <c r="HB151" s="150" t="n">
        <f aca="false">IF($FJ76&lt;HB$94,"",SQRT(HB76/HB$15))</f>
        <v>0.174262613393871</v>
      </c>
      <c r="HC151" s="150" t="n">
        <f aca="false">IF($FJ76&lt;HC$94,"",SQRT(HC76/HC$15))</f>
        <v>0.177329006655946</v>
      </c>
      <c r="HD151" s="150" t="n">
        <f aca="false">IF($FJ76&lt;HD$94,"",SQRT(HD76/HD$15))</f>
        <v>0.180995066693421</v>
      </c>
      <c r="HE151" s="150" t="n">
        <f aca="false">IF($FJ76&lt;HE$94,"",SQRT(HE76/HE$15))</f>
        <v>0.185394822593599</v>
      </c>
      <c r="HF151" s="150" t="n">
        <f aca="false">IF($FJ76&lt;HF$94,"",SQRT(HF76/HF$15))</f>
        <v>0.190698922307272</v>
      </c>
      <c r="HG151" s="150" t="n">
        <f aca="false">IF($FJ76&lt;HG$94,"",SQRT(HG76/HG$15))</f>
        <v>0.197127308589881</v>
      </c>
      <c r="HH151" s="150" t="n">
        <f aca="false">IF($FJ76&lt;HH$94,"",SQRT(HH76/HH$15))</f>
        <v>0.204967395717185</v>
      </c>
      <c r="HI151" s="150" t="n">
        <f aca="false">IF($FJ76&lt;HI$94,"",SQRT(HI76/HI$15))</f>
        <v>0.214600658206354</v>
      </c>
      <c r="HJ151" s="150" t="n">
        <f aca="false">IF($FJ76&lt;HJ$94,"",SQRT(HJ76/HJ$15))</f>
        <v>0.226542386720693</v>
      </c>
      <c r="HK151" s="150" t="n">
        <f aca="false">IF($FJ76&lt;HK$94,"",SQRT(HK76/HK$15))</f>
        <v>0.241502595056228</v>
      </c>
      <c r="HL151" s="150" t="n">
        <f aca="false">IF($FJ76&lt;HL$94,"",SQRT(HL76/HL$15))</f>
        <v>0.260481902402045</v>
      </c>
      <c r="HM151" s="150" t="n">
        <f aca="false">IF($FJ76&lt;HM$94,"",SQRT(HM76/HM$15))</f>
        <v>0.284927172467919</v>
      </c>
      <c r="HN151" s="150" t="n">
        <f aca="false">IF($FJ76&lt;HN$94,"",SQRT(HN76/HN$15))</f>
        <v>0.316993117676564</v>
      </c>
      <c r="HO151" s="150" t="n">
        <f aca="false">IF($FJ76&lt;HO$94,"",SQRT(HO76/HO$15))</f>
        <v>0.360000005375631</v>
      </c>
      <c r="HP151" s="150" t="str">
        <f aca="false">IF($FJ76&lt;HP$94,"",SQRT(HP76/HP$15))</f>
        <v/>
      </c>
      <c r="HQ151" s="150" t="str">
        <f aca="false">IF($FJ76&lt;HQ$94,"",SQRT(HQ76/HQ$15))</f>
        <v/>
      </c>
      <c r="HR151" s="150" t="str">
        <f aca="false">IF($FJ76&lt;HR$94,"",SQRT(HR76/HR$15))</f>
        <v/>
      </c>
      <c r="HS151" s="150" t="str">
        <f aca="false">IF($FJ76&lt;HS$94,"",SQRT(HS76/HS$15))</f>
        <v/>
      </c>
      <c r="HT151" s="150" t="str">
        <f aca="false">IF($FJ76&lt;HT$94,"",SQRT(HT76/HT$15))</f>
        <v/>
      </c>
      <c r="HU151" s="150" t="str">
        <f aca="false">IF($FJ76&lt;HU$94,"",SQRT(HU76/HU$15))</f>
        <v/>
      </c>
      <c r="HV151" s="150" t="str">
        <f aca="false">IF($FJ76&lt;HV$94,"",SQRT(HV76/HV$15))</f>
        <v/>
      </c>
      <c r="HW151" s="150" t="str">
        <f aca="false">IF($FJ76&lt;HW$94,"",SQRT(HW76/HW$15))</f>
        <v/>
      </c>
      <c r="HX151" s="150" t="str">
        <f aca="false">IF($FJ76&lt;HX$94,"",SQRT(HX76/HX$15))</f>
        <v/>
      </c>
      <c r="HY151" s="150" t="str">
        <f aca="false">IF($FJ76&lt;HY$94,"",SQRT(HY76/HY$15))</f>
        <v/>
      </c>
      <c r="HZ151" s="150" t="str">
        <f aca="false">IF($FJ76&lt;HZ$94,"",SQRT(HZ76/HZ$15))</f>
        <v/>
      </c>
      <c r="IA151" s="150" t="str">
        <f aca="false">IF($FJ76&lt;IA$94,"",SQRT(IA76/IA$15))</f>
        <v/>
      </c>
      <c r="IB151" s="150" t="str">
        <f aca="false">IF($FJ76&lt;IB$94,"",SQRT(IB76/IB$15))</f>
        <v/>
      </c>
      <c r="IC151" s="150" t="str">
        <f aca="false">IF($FJ76&lt;IC$94,"",SQRT(IC76/IC$15))</f>
        <v/>
      </c>
      <c r="ID151" s="572" t="str">
        <f aca="false">IF($FJ76&lt;ID$94,"",SQRT(ID76/ID$15))</f>
        <v/>
      </c>
      <c r="IE151" s="129"/>
    </row>
    <row r="152" customFormat="false" ht="12.75" hidden="false" customHeight="false" outlineLevel="0" collapsed="false">
      <c r="H152" s="219" t="n">
        <f aca="false">VLOOKUP(I152,$EJ$20:$EL$54,3)</f>
        <v>0</v>
      </c>
      <c r="I152" s="511" t="n">
        <f aca="false">EOMONTH(I151,0)+1</f>
        <v>40787</v>
      </c>
      <c r="J152" s="512"/>
      <c r="K152" s="513" t="s">
        <v>280</v>
      </c>
      <c r="L152" s="514" t="n">
        <f aca="false">IF(ISNUMBER(K152),J152+K152/100,IF(K152="extra",L151+VLOOKUP(BF152,PriceSpreadTable,2)/12,IF(K152="inter",interpolateprices($K$19:$L$200,ROW(K152)-ROW(FirstPricingMonth)+1),interpolatechanges($J$19:$K$200,ROW(K152)-ROW(FirstPricingMonth)+1))))</f>
        <v>2.1</v>
      </c>
      <c r="M152" s="515"/>
      <c r="N152" s="516" t="n">
        <v>0</v>
      </c>
      <c r="O152" s="515" t="n">
        <f aca="false">M152+N152</f>
        <v>0</v>
      </c>
      <c r="P152" s="512"/>
      <c r="Q152" s="513" t="s">
        <v>280</v>
      </c>
      <c r="R152" s="512" t="e">
        <f aca="false">IF(ISNUMBER(Q152),P152+Q152/100,IF(Q152="extra",(Z150*AL150-R151*AM150)/AN150,IF(Q152="inter",interpolateprices($Q$19:$R$260,ROW(Q152)-ROW(FirstPricingMonth)+1),interpolatechanges($P$19:$Q$260,ROW(Q152)-ROW(FirstPricingMonth)+1))))</f>
        <v>#VALUE!</v>
      </c>
      <c r="S152" s="597" t="n">
        <f aca="false">S$19+(S151-S$19)*S$18</f>
        <v>0.36</v>
      </c>
      <c r="T152" s="575" t="n">
        <f aca="false">SQRT((1-(1-T151^2/U151)*T$18)*U152)</f>
        <v>0.999999999882506</v>
      </c>
      <c r="U152" s="576" t="n">
        <f aca="false">1-(1-U151)*U$18</f>
        <v>1</v>
      </c>
      <c r="V152" s="521" t="n">
        <v>0</v>
      </c>
      <c r="W152" s="577" t="n">
        <f aca="false">(J153*AJ152+J154*AK152)/AI152</f>
        <v>0</v>
      </c>
      <c r="X152" s="578" t="n">
        <f aca="false">(L153*AJ152+L154*AK152)/AI152</f>
        <v>2.15113636363637</v>
      </c>
      <c r="Y152" s="579" t="n">
        <f aca="false">IF(Q154="extra",W152-AA152,(P153*AM152+P154*AN152)/AL152)</f>
        <v>-1.2669</v>
      </c>
      <c r="Z152" s="579" t="n">
        <f aca="false">IF(Q154="extra",X152-AB152,(R153*AM152+R154*AN152)/AL152)</f>
        <v>0.884236363636366</v>
      </c>
      <c r="AA152" s="523" t="n">
        <f aca="false">IF(Q154="extra",INDEX(BrentSeasonalityTable,INT((BG152-1)/3)+1)*VLOOKUP(MAX(BF152,$AB$4),PriceSpreadTable,3),W152-Y152)</f>
        <v>1.2669</v>
      </c>
      <c r="AB152" s="524" t="n">
        <f aca="false">IF(Q154="extra",INDEX(BrentSeasonalityTable,INT((BG152-1)/3)+1)*VLOOKUP(MAX(BF152,$AB$4),PriceSpreadTable,3),X152-Z152)</f>
        <v>1.2669</v>
      </c>
      <c r="AC152" s="646" t="n">
        <v>40775</v>
      </c>
      <c r="AD152" s="646" t="n">
        <v>40771</v>
      </c>
      <c r="AE152" s="646" t="n">
        <v>40770</v>
      </c>
      <c r="AF152" s="646" t="n">
        <v>40766</v>
      </c>
      <c r="AG152" s="438" t="s">
        <v>278</v>
      </c>
      <c r="AH152" s="439" t="s">
        <v>278</v>
      </c>
      <c r="AI152" s="528" t="n">
        <v>22</v>
      </c>
      <c r="AJ152" s="529" t="n">
        <v>14</v>
      </c>
      <c r="AK152" s="529" t="n">
        <v>8</v>
      </c>
      <c r="AL152" s="530" t="n">
        <v>22</v>
      </c>
      <c r="AM152" s="529" t="n">
        <v>10</v>
      </c>
      <c r="AN152" s="531" t="n">
        <v>12</v>
      </c>
      <c r="AO152" s="532"/>
      <c r="AP152" s="465" t="n">
        <f aca="false">(1+AO152/2)^(-2*BL152)</f>
        <v>1</v>
      </c>
      <c r="AQ152" s="532"/>
      <c r="AR152" s="465" t="n">
        <f aca="false">(1+AQ152/2)^(-2*BH152/365.25)</f>
        <v>1</v>
      </c>
      <c r="AS152" s="580" t="n">
        <f aca="false">(O153*AJ152+O154*AK152)/AI152</f>
        <v>0</v>
      </c>
      <c r="AT152" s="468" t="n">
        <f aca="false">O152*VLOOKUP(BF152,BrentVolTable,2)+VLOOKUP(BF152,BrentVolTable,3)</f>
        <v>0</v>
      </c>
      <c r="AU152" s="468" t="n">
        <f aca="false">(AT153*AM152+AT154*AN152)/AL152</f>
        <v>0</v>
      </c>
      <c r="AV152" s="595" t="n">
        <f aca="false">SQRT(MAX(0.000000000001,(O152^2*BH152-S152^2*(BH152-BH151))/BH151))</f>
        <v>0.0278361371310045</v>
      </c>
      <c r="AW152" s="451" t="n">
        <f aca="false">IF($I152-DateToday+15&gt;=$T$8,"",IF($I152-DateToday+15&lt;$T$5,1,MATCH($I152-DateToday+15,$T$5:$T$8)))</f>
        <v>1</v>
      </c>
      <c r="AX152" s="468" t="n">
        <f aca="false">IF($AW152="",AX151^2/AX150,INDEX(U$5:U$8,$AW152)^((INDEX($T$5:$T$8,$AW152+1)-($I152-DateToday+15))/(INDEX($T$5:$T$8,$AW152+1)-INDEX($T$5:$T$8,$AW152)))/INDEX(U$5:U$8,$AW152+1)^((INDEX($T$5:$T$8,$AW152)-($I152-DateToday+15))/(INDEX($T$5:$T$8,$AW152+1)-INDEX($T$5:$T$8,$AW152))))</f>
        <v>0.746891249515672</v>
      </c>
      <c r="AY152" s="468" t="n">
        <f aca="false">IF($AW152="",AY151^2/AY150,INDEX(V$5:V$8,$AW152)^((INDEX($T$5:$T$8,$AW152+1)-($I152-DateToday+15))/(INDEX($T$5:$T$8,$AW152+1)-INDEX($T$5:$T$8,$AW152)))/INDEX(V$5:V$8,$AW152+1)^((INDEX($T$5:$T$8,$AW152)-($I152-DateToday+15))/(INDEX($T$5:$T$8,$AW152+1)-INDEX($T$5:$T$8,$AW152))))</f>
        <v>20.0719238865986</v>
      </c>
      <c r="AZ152" s="468" t="n">
        <f aca="false">IF($AW152="",AZ151^2/AZ150,INDEX(W$5:W$8,$AW152)^((INDEX($T$5:$T$8,$AW152+1)-($I152-DateToday+15))/(INDEX($T$5:$T$8,$AW152+1)-INDEX($T$5:$T$8,$AW152)))/INDEX(W$5:W$8,$AW152+1)^((INDEX($T$5:$T$8,$AW152)-($I152-DateToday+15))/(INDEX($T$5:$T$8,$AW152+1)-INDEX($T$5:$T$8,$AW152))))</f>
        <v>13479.5969666437</v>
      </c>
      <c r="BA152" s="468" t="n">
        <f aca="false">IF($AW152="",BA151^2/BA150,INDEX(X$5:X$8,$AW152)^((INDEX($T$5:$T$8,$AW152+1)-($I152-DateToday+15))/(INDEX($T$5:$T$8,$AW152+1)-INDEX($T$5:$T$8,$AW152)))/INDEX(X$5:X$8,$AW152+1)^((INDEX($T$5:$T$8,$AW152)-($I152-DateToday+15))/(INDEX($T$5:$T$8,$AW152+1)-INDEX($T$5:$T$8,$AW152))))</f>
        <v>104872.843972752</v>
      </c>
      <c r="BB152" s="468" t="n">
        <f aca="false">IF($AW152="",BB151^2/BB150,INDEX(Y$5:Y$8,$AW152)^((INDEX($T$5:$T$8,$AW152+1)-($I152-DateToday+15))/(INDEX($T$5:$T$8,$AW152+1)-INDEX($T$5:$T$8,$AW152)))/INDEX(Y$5:Y$8,$AW152+1)^((INDEX($T$5:$T$8,$AW152)-($I152-DateToday+15))/(INDEX($T$5:$T$8,$AW152+1)-INDEX($T$5:$T$8,$AW152))))</f>
        <v>784974.225897833</v>
      </c>
      <c r="BC152" s="468" t="n">
        <f aca="false">IF($AW152="",BC151^2/BC150,INDEX(Z$5:Z$8,$AW152)^((INDEX($T$5:$T$8,$AW152+1)-($I152-DateToday+15))/(INDEX($T$5:$T$8,$AW152+1)-INDEX($T$5:$T$8,$AW152)))/INDEX(Z$5:Z$8,$AW152+1)^((INDEX($T$5:$T$8,$AW152)-($I152-DateToday+15))/(INDEX($T$5:$T$8,$AW152+1)-INDEX($T$5:$T$8,$AW152))))</f>
        <v>2656903.55023007</v>
      </c>
      <c r="BD152" s="535" t="n">
        <f aca="false">IF(OR(DateStart&gt;=I153,DateEnd&lt;I152),0,IF(VolumeOverrideFlag,V152,Volume))</f>
        <v>0</v>
      </c>
      <c r="BE152" s="536" t="n">
        <f aca="false">IF(OR(DateStart2&gt;=I153,DateEnd2&lt;I152),0,IF(VolumeOverrideFlag,V152,VolumeSwaption))</f>
        <v>0</v>
      </c>
      <c r="BF152" s="537" t="n">
        <f aca="false">YEAR(I152)</f>
        <v>2011</v>
      </c>
      <c r="BG152" s="538" t="n">
        <f aca="false">MONTH(I152)</f>
        <v>9</v>
      </c>
      <c r="BH152" s="539" t="n">
        <f aca="false">AD152-DateToday+1</f>
        <v>-5154</v>
      </c>
      <c r="BI152" s="540" t="n">
        <f aca="false">(I152-DateToday+1)/365.25</f>
        <v>-14.0670773442847</v>
      </c>
      <c r="BJ152" s="541" t="n">
        <f aca="false">BI152+(BL152-BI152)*CHOOSE(Underlying,AJ152/AI152,AM152/AL152)</f>
        <v>-14.0165515524858</v>
      </c>
      <c r="BK152" s="541" t="n">
        <f aca="false">BJ152+1/365.25</f>
        <v>-14.0138137016987</v>
      </c>
      <c r="BL152" s="541" t="n">
        <f aca="false">(I153-DateToday)/365.25</f>
        <v>-13.9876796714579</v>
      </c>
      <c r="BM152" s="542" t="e">
        <f aca="false">MAX(BI152-(BJ152-BI152)*(S153^2/O153^2-1),0)</f>
        <v>#DIV/0!</v>
      </c>
      <c r="BN152" s="541" t="e">
        <f aca="false">MAX(BL152+(BL152-BK152)*(S154^2/O154^2-1),0)</f>
        <v>#DIV/0!</v>
      </c>
      <c r="BO152" s="530" t="n">
        <f aca="false">CHOOSE(Underlying,AI152,AL152)</f>
        <v>22</v>
      </c>
      <c r="BP152" s="529" t="n">
        <f aca="false">CHOOSE(Underlying,AJ152,AM152)</f>
        <v>14</v>
      </c>
      <c r="BQ152" s="529" t="n">
        <f aca="false">CHOOSE(Underlying,AK152,AN152)</f>
        <v>8</v>
      </c>
      <c r="BR152" s="463" t="str">
        <f aca="false">IF(BD152,IF(Underlying=1,X152,Z152)+UnderlyingPriceAsian-SwapPriceCurve,"")</f>
        <v/>
      </c>
      <c r="BS152" s="463" t="str">
        <f aca="false">IF(BD152,Strike1/BR152-1,"")</f>
        <v/>
      </c>
      <c r="BT152" s="464" t="str">
        <f aca="false">IF(BD152,Strike2/BR152-1,"")</f>
        <v/>
      </c>
      <c r="BU152" s="465" t="str">
        <f aca="false">IF(BD152,IF(Underlying=1,L153,R153)+UnderlyingPriceAsian-SwapPriceCurve,"")</f>
        <v/>
      </c>
      <c r="BV152" s="465" t="str">
        <f aca="false">IF(BD152,IF(Underlying=1,L154,R154)+UnderlyingPriceAsian-SwapPriceCurve,"")</f>
        <v/>
      </c>
      <c r="BW152" s="466" t="str">
        <f aca="false">IF(BD152,IF(Underlying=1,O153,AT153),"")</f>
        <v/>
      </c>
      <c r="BX152" s="467" t="str">
        <f aca="false">IF(BD152,IF(Underlying=1,O154,AT154),"")</f>
        <v/>
      </c>
      <c r="BY152" s="466" t="str">
        <f aca="false">IF(BD152,IF(BS152&gt;0,IF(BS152&gt;0.2,BC152-BB152,IF(BS152&gt;0.1,BB152-BA152,BA152)),IF(BS152&lt;-0.2,AX152-AY152,IF(BS152&lt;-0.1,AY152-AZ152,AZ152))),"")</f>
        <v/>
      </c>
      <c r="BZ152" s="467" t="str">
        <f aca="false">IF(BD152,IF(BT152&gt;0,IF(BT152&gt;0.2,BC152-BB152,IF(BT152&gt;0.1,BB152-BA152,BA152)),IF(BT152&lt;-0.2,AX152-AY152,IF(BT152&lt;-0.1,AY152-AZ152,AZ152))),"")</f>
        <v/>
      </c>
      <c r="CA152" s="468" t="str">
        <f aca="false">IF($BD152,$BW152+IF(VolSkewFlag=1,IF(BS152&gt;0,$BA152*MIN(BS152/10%,1)+($BB152-$BA152)*MAX(0,MIN(BS152/10%-1,1))+($BC152-$BB152)*MAX(0,BS152/10%-2),$AZ152*MIN(-BS152/10%,1)+($AY152-$AZ152)*MAX(0,MIN(-BS152/10%-1,1))+($AX152-$AY152)*MAX(0,-BS152/10%-2)),0),"")</f>
        <v/>
      </c>
      <c r="CB152" s="468" t="str">
        <f aca="false">IF($BD152,$BX152+IF(VolSkewFlag=1,IF(BS152&gt;0,$BA152*MIN(BS152/10%,1)+($BB152-$BA152)*MAX(0,MIN(BS152/10%-1,1))+($BC152-$BB152)*MAX(0,BS152/10%-2),$AZ152*MIN(-BS152/10%,1)+($AY152-$AZ152)*MAX(0,MIN(-BS152/10%-1,1))+($AX152-$AY152)*MAX(0,-BS152/10%-2)),0),"")</f>
        <v/>
      </c>
      <c r="CC152" s="468" t="str">
        <f aca="false">IF($BD152,$BW152+IF(VolSkewFlag=1,IF(BT152&gt;0,$BA152*MIN(BT152/10%,1)+($BB152-$BA152)*MAX(0,MIN(BT152/10%-1,1))+($BC152-$BB152)*MAX(0,BT152/10%-2),$AZ152*MIN(-BT152/10%,1)+($AY152-$AZ152)*MAX(0,MIN(-BT152/10%-1,1))+($AX152-$AY152)*MAX(0,-BT152/10%-2)),0),"")</f>
        <v/>
      </c>
      <c r="CD152" s="468" t="str">
        <f aca="false">IF($BD152,$BX152+IF(VolSkewFlag=1,IF(BT152&gt;0,$BA152*MIN(BT152/10%,1)+($BB152-$BA152)*MAX(0,MIN(BT152/10%-1,1))+($BC152-$BB152)*MAX(0,BT152/10%-2),$AZ152*MIN(-BT152/10%,1)+($AY152-$AZ152)*MAX(0,MIN(-BT152/10%-1,1))+($AX152-$AY152)*MAX(0,-BT152/10%-2)),0),"")</f>
        <v/>
      </c>
      <c r="CE152" s="469" t="n">
        <v>1</v>
      </c>
      <c r="CF152" s="470" t="n">
        <f aca="false">IF(BD152,xCrudeAPO(BU152,BV152,CA152,CB152,S153,S154,BI152,BL152,BP152,BQ152,0,Strike1,AO152,CE152,0,BL152,IF(OptControl=4,0,1),0,1),0)</f>
        <v>0</v>
      </c>
      <c r="CG152" s="470" t="n">
        <f aca="false">IF(BD152,xCrudeAPO(BU152,BV152,CA152,CB152,S153,S154,BI152,BL152,BP152,BQ152,0,Strike1,AO152,CE152,0,BL152,IF(OptControl=4,0,1),1,1)+xCrudeAPO(BU152,BV152,CA152,CB152,S153,S154,BI152,BL152,BP152,BQ152,0,Strike1,AO152,CE152,0,BL152,IF(OptControl=4,0,1),1,2)+IF(OR(VolSkewFlag=2,ABS(BS152)&lt;0.0001),0,IF(BS152&gt;0,-1,1)*CH152*Strike1/BR152^2*BY152/10%),0)</f>
        <v>0</v>
      </c>
      <c r="CH152" s="470" t="n">
        <f aca="false">IF(BD152,(xCrudeAPO(BU152,BV152,CA152,CB152,S153,S154,BI152,BL152,BP152,BQ152,0,Strike1,AO152,CE152,0,BL152,IF(OptControl=4,0,1),3,1)+xCrudeAPO(BU152,BV152,CA152,CB152,S153,S154,BI152,BL152,BP152,BQ152,0,Strike1,AO152,CE152,0,BL152,IF(OptControl=4,0,1),3,2))/100,0)</f>
        <v>0</v>
      </c>
      <c r="CI152" s="470" t="n">
        <f aca="false">IF(BD152,xCrudeAPO(BU152,BV152,CA152,CB152,S153,S154,BI152-DaysForThetaCalculation/365.25,BL152-DaysForThetaCalculation/365.25,BP152,BQ152,0,Strike1,AO152,CE152,0,BL152,IF(OptControl=4,0,1),0,1)-xCrudeAPO(BU152,BV152,CA152,CB152,S153,S154,BI152,BL152,BP152,BQ152,0,Strike1,AO152,CE152,0,BL152,IF(OptControl=4,0,1),0,1),0)</f>
        <v>0</v>
      </c>
      <c r="CJ152" s="471" t="n">
        <f aca="false">IF(BD152,xCrudeAPO(BU152,BV152,CC152,CD152,S153,S154,BI152,BL152,BP152,BQ152,0,Strike2,AO152,CE152,0,BL152,IF(OptControl=3,1,0),0,1),0)</f>
        <v>0</v>
      </c>
      <c r="CK152" s="470" t="n">
        <f aca="false">IF(BD152,xCrudeAPO(BU152,BV152,CC152,CD152,S153,S154,BI152,BL152,BP152,BQ152,0,Strike2,AO152,CE152,0,BL152,IF(OptControl=3,1,0),1,1)+xCrudeAPO(BU152,BV152,CC152,CD152,S153,S154,BI152,BL152,BP152,BQ152,0,Strike2,AO152,CE152,0,BL152,IF(OptControl=3,1,0),1,2)+IF(OR(VolSkewFlag=2,ABS(BT152)&lt;0.0001),0,IF(BT152&gt;0,-1,1)*CL152*Strike2/BR152^2*BZ152/10%),0)</f>
        <v>0</v>
      </c>
      <c r="CL152" s="470" t="n">
        <f aca="false">IF(BD152,(xCrudeAPO(BU152,BV152,CC152,CD152,S153,S154,BI152,BL152,BP152,BQ152,0,Strike2,AO152,CE152,0,BL152,IF(OptControl=3,1,0),3,1)+xCrudeAPO(BU152,BV152,CC152,CD152,S153,S154,BI152,BL152,BP152,BQ152,0,Strike2,AO152,CE152,0,BL152,IF(OptControl=3,1,0),3,2))/100,0)</f>
        <v>0</v>
      </c>
      <c r="CM152" s="472" t="n">
        <f aca="false">IF(BD152,xCrudeAPO(BU152,BV152,CC152,CD152,S153,S154,BI152-DaysForThetaCalculation/365.25,BL152-DaysForThetaCalculation/365.25,BP152,BQ152,0,Strike2,AO152,CE152,0,BL152,IF(OptControl=3,1,0),0,1)-xCrudeAPO(BU152,BV152,CC152,CD152,S153,S154,BI152,BL152,BP152,BQ152,0,Strike2,AO152,CE152,0,BL152,IF(OptControl=3,1,0),0,1),0)</f>
        <v>0</v>
      </c>
      <c r="CN152" s="3"/>
      <c r="CO152" s="543" t="str">
        <f aca="false">IF(BD152,CHOOSE(Underlying,AD152,AF152)-DateToday+1,"")</f>
        <v/>
      </c>
      <c r="CP152" s="582" t="str">
        <f aca="false">IF(BD152,CHOOSE(Underlying,L152,R152),"")</f>
        <v/>
      </c>
      <c r="CQ152" s="544" t="str">
        <f aca="false">IF(BD152,Strike1/CP152-1,"")</f>
        <v/>
      </c>
      <c r="CR152" s="544" t="str">
        <f aca="false">IF(BD152,Strike2/CP152-1,"")</f>
        <v/>
      </c>
      <c r="CS152" s="544" t="str">
        <f aca="false">IF(BD152,IF(CQ152&gt;0,IF(CQ152&gt;0.2,BC151-BB151,IF(CQ152&gt;0.1,BB151-BA151,BA151)),IF(CQ152&lt;-0.2,AX151-AY151,IF(CQ152&lt;-0.1,AY151-AZ151,AZ151))),"")</f>
        <v/>
      </c>
      <c r="CT152" s="544" t="str">
        <f aca="false">IF(BD152,IF(CR152&gt;0,IF(CR152&gt;0.2,BC151-BB151,IF(CR152&gt;0.1,BB151-BA151,BA151)),IF(CR152&lt;-0.2,AX151-AY151,IF(CR152&lt;-0.1,AY151-AZ151,AZ151))),"")</f>
        <v/>
      </c>
      <c r="CU152" s="545" t="str">
        <f aca="false">IF(BD152,CHOOSE(Underlying,O152,AT152),"")</f>
        <v/>
      </c>
      <c r="CV152" s="545" t="str">
        <f aca="false">IF(BD152,CU152+IF(VolSkewFlag=1,IF(CQ152&gt;0,BA151*MIN(CQ152/10%,1)+(BB151-BA151)*MAX(0,MIN(CQ152/10%-1,1))+(BC151-BB151)*MAX(0,CQ152/10%-2),AZ151*MIN(-CQ152/10%,1)+(AY151-AZ151)*MAX(0,MIN(-CQ152/10%-1,1))+(AX151-AY151)*MAX(0,-CQ152/10%-2)),0),"")</f>
        <v/>
      </c>
      <c r="CW152" s="545" t="str">
        <f aca="false">IF(BD152,CU152+IF(VolSkewFlag=1,IF(CR152&gt;0,BA151*MIN(CR152/10%,1)+(BB151-BA151)*MAX(0,MIN(CR152/10%-1,1))+(BC151-BB151)*MAX(0,CR152/10%-2),AZ151*MIN(-CR152/10%,1)+(AY151-AZ151)*MAX(0,MIN(-CR152/10%-1,1))+(AX151-AY151)*MAX(0,-CR152/10%-2)),0),"")</f>
        <v/>
      </c>
      <c r="CX152" s="470" t="n">
        <f aca="false">IF(BD152,EURO(CP152,Strike1,AO152,AO152,CV152,CO152,IF(OptControl=4,0,1),0),0)</f>
        <v>0</v>
      </c>
      <c r="CY152" s="470" t="n">
        <f aca="false">IF(BD152,EURO(CP152,Strike1,AO152,AO152,CV152,CO152,IF(OptControl=4,0,1),1)+IF(OR(VolSkewFlag=2,ABS(CQ152)&lt;0.0001),0,IF(CQ152&gt;0,-1,1)*CZ152*100*Strike1/CP152^2*CS152/10%),0)</f>
        <v>0</v>
      </c>
      <c r="CZ152" s="470" t="n">
        <f aca="false">IF(BD152,EURO(CP152,Strike1,AO152,AO152,CV152,CO152,IF(OptControl=4,0,1),3)/100,0)</f>
        <v>0</v>
      </c>
      <c r="DA152" s="470" t="n">
        <f aca="false">IF(BD152,EURO(CP152,Strike1,AO152,AO152,CV152,CO152,IF(OptControl=4,0,1),0)-EURO(CP152,Strike1,AO152,AO152,CV152,CO152-1,IF(OptControl=4,0,1),0),0)</f>
        <v>0</v>
      </c>
      <c r="DB152" s="470" t="n">
        <f aca="false">IF(BD152,EURO(CP152,Strike2,AO152,AO152,CW152,CO152,IF(OptControl=3,1,0),0),0)</f>
        <v>0</v>
      </c>
      <c r="DC152" s="470" t="n">
        <f aca="false">IF(BD152,EURO(CP152,Strike2,AO152,AO152,CW152,CO152,IF(OptControl=3,1,0),1)+IF(OR(VolSkewFlag=2,ABS(CR152)&lt;0.0001),0,IF(CR152&gt;0,-1,1)*DD152*100*Strike2/CP152^2*CT152/10%),0)</f>
        <v>0</v>
      </c>
      <c r="DD152" s="470" t="n">
        <f aca="false">IF(BD152,EURO(CP152,Strike2,AO152,AO152,CW152,CO152,IF(OptControl=3,1,0),3)/100,0)</f>
        <v>0</v>
      </c>
      <c r="DE152" s="472" t="n">
        <f aca="false">IF(BD152,EURO(CP152,Strike2,AO152,AO152,CW152,CO152,IF(OptControl=3,1,0),0)-EURO(CP152,Strike2,AO152,AO152,CW152,CO152-1,IF(OptControl=3,1,0),0),0)</f>
        <v>0</v>
      </c>
      <c r="DG152" s="481" t="n">
        <f aca="false">EOMONTH(DG151,0)+1</f>
        <v>49706</v>
      </c>
      <c r="DH152" s="478" t="n">
        <v>20.76</v>
      </c>
      <c r="DI152" s="479" t="n">
        <v>20.825</v>
      </c>
      <c r="DJ152" s="480" t="n">
        <f aca="false">DG152</f>
        <v>49706</v>
      </c>
      <c r="DK152" s="478" t="n">
        <v>19.5655270862887</v>
      </c>
      <c r="DL152" s="479" t="n">
        <v>19.6565</v>
      </c>
      <c r="DM152" s="481" t="n">
        <f aca="false">DG152</f>
        <v>49706</v>
      </c>
      <c r="DN152" s="482" t="n">
        <f aca="false">DK152+BrentPhyBrentSpread</f>
        <v>19.6155270862887</v>
      </c>
      <c r="DO152" s="481" t="n">
        <f aca="false">DG152</f>
        <v>49706</v>
      </c>
      <c r="DP152" s="483" t="n">
        <f aca="false">DL152+DQ152</f>
        <v>19.6565</v>
      </c>
      <c r="DQ152" s="546" t="n">
        <v>0</v>
      </c>
      <c r="DR152" s="480" t="n">
        <f aca="false">DG152</f>
        <v>49706</v>
      </c>
      <c r="DS152" s="485" t="n">
        <v>0.145399999999999</v>
      </c>
      <c r="DT152" s="486" t="n">
        <v>0.144619999999999</v>
      </c>
      <c r="DU152" s="480" t="n">
        <f aca="false">DG152</f>
        <v>49706</v>
      </c>
      <c r="DV152" s="485" t="n">
        <v>0.145399999999999</v>
      </c>
      <c r="DW152" s="486" t="n">
        <v>0.144619999999999</v>
      </c>
      <c r="DX152" s="481" t="n">
        <f aca="false">DG152</f>
        <v>49706</v>
      </c>
      <c r="DY152" s="486" t="n">
        <v>0.35</v>
      </c>
      <c r="DZ152" s="481" t="n">
        <f aca="false">DR152</f>
        <v>49706</v>
      </c>
      <c r="EA152" s="486" t="n">
        <f aca="false">DT152</f>
        <v>0.144619999999999</v>
      </c>
      <c r="EB152" s="195"/>
      <c r="EC152" s="547" t="str">
        <f aca="false">IF(BD152,IF(Underlying=1,AS152,AU152),"")</f>
        <v/>
      </c>
      <c r="ED152" s="548" t="str">
        <f aca="false">IF($BD152,$EC152+IF(VolSkewFlag=1,IF(BS152&gt;0,$BA152*MIN(BS152/10%,1)+($BB152-$BA152)*MAX(0,MIN(BS152/10%-1,1))+($BC152-$BB152)*MAX(0,BS152/10%-2),$AZ152*MIN(-BS152/10%,1)+($AY152-$AZ152)*MAX(0,MIN(-BS152/10%-1,1))+($AX152-$AY152)*MAX(0,-BS152/10%-2)),0),"")</f>
        <v/>
      </c>
      <c r="EE152" s="549" t="str">
        <f aca="false">IF($BD152,$EC152+IF(VolSkewFlag=1,IF(BT152&gt;0,$BA152*MIN(BT152/10%,1)+($BB152-$BA152)*MAX(0,MIN(BT152/10%-1,1))+($BC152-$BB152)*MAX(0,BT152/10%-2),$AZ152*MIN(-BT152/10%,1)+($AY152-$AZ152)*MAX(0,MIN(-BT152/10%-1,1))+($AX152-$AY152)*MAX(0,-BT152/10%-2)),0),"")</f>
        <v/>
      </c>
      <c r="EF152" s="550" t="n">
        <f aca="false">IF(BD152,xASN(BR152,Strike1,AO152,ED152,0,BO152,0,BI152,BL152,IF(OptControl=4,0,1),0),0)</f>
        <v>0</v>
      </c>
      <c r="EG152" s="551" t="n">
        <f aca="false">IF(BD152,xASN(BR152,Strike2,AO152,EE152,0,BO152,0,BI152,BL152,IF(OptControl=3,1,0),0),0)</f>
        <v>0</v>
      </c>
      <c r="EL152" s="1"/>
      <c r="EM152" s="195"/>
      <c r="EN152" s="240"/>
      <c r="EO152" s="240"/>
      <c r="EP152" s="195"/>
      <c r="EQ152" s="407" t="s">
        <v>379</v>
      </c>
      <c r="ES152" s="130"/>
      <c r="ET152" s="19"/>
      <c r="EU152" s="672"/>
      <c r="EV152" s="478"/>
      <c r="EW152" s="131"/>
      <c r="EX152" s="131"/>
      <c r="EY152" s="129"/>
      <c r="EZ152" s="129"/>
      <c r="FA152" s="129"/>
      <c r="FB152" s="129"/>
      <c r="FC152" s="129"/>
      <c r="FD152" s="129"/>
      <c r="FE152" s="129"/>
      <c r="FF152" s="129"/>
      <c r="FG152" s="129"/>
      <c r="FH152" s="129"/>
      <c r="FI152" s="129"/>
      <c r="FJ152" s="571" t="n">
        <v>58</v>
      </c>
      <c r="FK152" s="150" t="e">
        <f aca="false">IF($FJ77&lt;FK$94,"",SQRT(FK77/FK$15))</f>
        <v>#DIV/0!</v>
      </c>
      <c r="FL152" s="150" t="n">
        <f aca="false">IF($FJ77&lt;FL$94,"",SQRT(FL77/FL$15))</f>
        <v>-0</v>
      </c>
      <c r="FM152" s="150" t="n">
        <f aca="false">IF($FJ77&lt;FM$94,"",SQRT(FM77/FM$15))</f>
        <v>0.170520007139265</v>
      </c>
      <c r="FN152" s="150" t="n">
        <f aca="false">IF($FJ77&lt;FN$94,"",SQRT(FN77/FN$15))</f>
        <v>0.167244757443364</v>
      </c>
      <c r="FO152" s="150" t="n">
        <f aca="false">IF($FJ77&lt;FO$94,"",SQRT(FO77/FO$15))</f>
        <v>0.164789863763675</v>
      </c>
      <c r="FP152" s="150" t="n">
        <f aca="false">IF($FJ77&lt;FP$94,"",SQRT(FP77/FP$15))</f>
        <v>0.162950507363553</v>
      </c>
      <c r="FQ152" s="150" t="n">
        <f aca="false">IF($FJ77&lt;FQ$94,"",SQRT(FQ77/FQ$15))</f>
        <v>0.161573119022548</v>
      </c>
      <c r="FR152" s="150" t="n">
        <f aca="false">IF($FJ77&lt;FR$94,"",SQRT(FR77/FR$15))</f>
        <v>0.160542574398212</v>
      </c>
      <c r="FS152" s="150" t="n">
        <f aca="false">IF($FJ77&lt;FS$94,"",SQRT(FS77/FS$15))</f>
        <v>0.159772591848682</v>
      </c>
      <c r="FT152" s="150" t="n">
        <f aca="false">IF($FJ77&lt;FT$94,"",SQRT(FT77/FT$15))</f>
        <v>0.159198532324934</v>
      </c>
      <c r="FU152" s="150" t="n">
        <f aca="false">IF($FJ77&lt;FU$94,"",SQRT(FU77/FU$15))</f>
        <v>0.158772001077677</v>
      </c>
      <c r="FV152" s="150" t="n">
        <f aca="false">IF($FJ77&lt;FV$94,"",SQRT(FV77/FV$15))</f>
        <v>0.158456801032641</v>
      </c>
      <c r="FW152" s="150" t="n">
        <f aca="false">IF($FJ77&lt;FW$94,"",SQRT(FW77/FW$15))</f>
        <v>0.158225900277593</v>
      </c>
      <c r="FX152" s="150" t="n">
        <f aca="false">IF($FJ77&lt;FX$94,"",SQRT(FX77/FX$15))</f>
        <v>0.158059160555914</v>
      </c>
      <c r="FY152" s="150" t="n">
        <f aca="false">IF($FJ77&lt;FY$94,"",SQRT(FY77/FY$15))</f>
        <v>0.15794163701136</v>
      </c>
      <c r="FZ152" s="150" t="n">
        <f aca="false">IF($FJ77&lt;FZ$94,"",SQRT(FZ77/FZ$15))</f>
        <v>0.157862306954147</v>
      </c>
      <c r="GA152" s="150" t="n">
        <f aca="false">IF($FJ77&lt;GA$94,"",SQRT(GA77/GA$15))</f>
        <v>0.157813121078306</v>
      </c>
      <c r="GB152" s="150" t="n">
        <f aca="false">IF($FJ77&lt;GB$94,"",SQRT(GB77/GB$15))</f>
        <v>0.157788297323858</v>
      </c>
      <c r="GC152" s="150" t="n">
        <f aca="false">IF($FJ77&lt;GC$94,"",SQRT(GC77/GC$15))</f>
        <v>0.157783797672373</v>
      </c>
      <c r="GD152" s="150" t="n">
        <f aca="false">IF($FJ77&lt;GD$94,"",SQRT(GD77/GD$15))</f>
        <v>0.157796943262646</v>
      </c>
      <c r="GE152" s="150" t="n">
        <f aca="false">IF($FJ77&lt;GE$94,"",SQRT(GE77/GE$15))</f>
        <v>0.157826134569115</v>
      </c>
      <c r="GF152" s="150" t="n">
        <f aca="false">IF($FJ77&lt;GF$94,"",SQRT(GF77/GF$15))</f>
        <v>0.157870651941742</v>
      </c>
      <c r="GG152" s="150" t="n">
        <f aca="false">IF($FJ77&lt;GG$94,"",SQRT(GG77/GG$15))</f>
        <v>0.15793051827054</v>
      </c>
      <c r="GH152" s="150" t="n">
        <f aca="false">IF($FJ77&lt;GH$94,"",SQRT(GH77/GH$15))</f>
        <v>0.158006410444379</v>
      </c>
      <c r="GI152" s="150" t="n">
        <f aca="false">IF($FJ77&lt;GI$94,"",SQRT(GI77/GI$15))</f>
        <v>0.15809961002465</v>
      </c>
      <c r="GJ152" s="150" t="n">
        <f aca="false">IF($FJ77&lt;GJ$94,"",SQRT(GJ77/GJ$15))</f>
        <v>0.158211986455496</v>
      </c>
      <c r="GK152" s="150" t="n">
        <f aca="false">IF($FJ77&lt;GK$94,"",SQRT(GK77/GK$15))</f>
        <v>0.158346008417444</v>
      </c>
      <c r="GL152" s="150" t="n">
        <f aca="false">IF($FJ77&lt;GL$94,"",SQRT(GL77/GL$15))</f>
        <v>0.15850478078178</v>
      </c>
      <c r="GM152" s="150" t="n">
        <f aca="false">IF($FJ77&lt;GM$94,"",SQRT(GM77/GM$15))</f>
        <v>0.158692106183151</v>
      </c>
      <c r="GN152" s="150" t="n">
        <f aca="false">IF($FJ77&lt;GN$94,"",SQRT(GN77/GN$15))</f>
        <v>0.158912571616752</v>
      </c>
      <c r="GO152" s="150" t="n">
        <f aca="false">IF($FJ77&lt;GO$94,"",SQRT(GO77/GO$15))</f>
        <v>0.159171661788033</v>
      </c>
      <c r="GP152" s="150" t="n">
        <f aca="false">IF($FJ77&lt;GP$94,"",SQRT(GP77/GP$15))</f>
        <v>0.159475902295282</v>
      </c>
      <c r="GQ152" s="150" t="n">
        <f aca="false">IF($FJ77&lt;GQ$94,"",SQRT(GQ77/GQ$15))</f>
        <v>0.159833037209776</v>
      </c>
      <c r="GR152" s="150" t="n">
        <f aca="false">IF($FJ77&lt;GR$94,"",SQRT(GR77/GR$15))</f>
        <v>0.16025224734838</v>
      </c>
      <c r="GS152" s="150" t="n">
        <f aca="false">IF($FJ77&lt;GS$94,"",SQRT(GS77/GS$15))</f>
        <v>0.160744417648008</v>
      </c>
      <c r="GT152" s="150" t="n">
        <f aca="false">IF($FJ77&lt;GT$94,"",SQRT(GT77/GT$15))</f>
        <v>0.161322464728947</v>
      </c>
      <c r="GU152" s="150" t="n">
        <f aca="false">IF($FJ77&lt;GU$94,"",SQRT(GU77/GU$15))</f>
        <v>0.162001739214569</v>
      </c>
      <c r="GV152" s="150" t="n">
        <f aca="false">IF($FJ77&lt;GV$94,"",SQRT(GV77/GV$15))</f>
        <v>0.16280052199042</v>
      </c>
      <c r="GW152" s="150" t="n">
        <f aca="false">IF($FJ77&lt;GW$94,"",SQRT(GW77/GW$15))</f>
        <v>0.163740639804936</v>
      </c>
      <c r="GX152" s="150" t="n">
        <f aca="false">IF($FJ77&lt;GX$94,"",SQRT(GX77/GX$15))</f>
        <v>0.164848234110382</v>
      </c>
      <c r="GY152" s="150" t="n">
        <f aca="false">IF($FJ77&lt;GY$94,"",SQRT(GY77/GY$15))</f>
        <v>0.166154728797461</v>
      </c>
      <c r="GZ152" s="150" t="n">
        <f aca="false">IF($FJ77&lt;GZ$94,"",SQRT(GZ77/GZ$15))</f>
        <v>0.167698058940126</v>
      </c>
      <c r="HA152" s="150" t="n">
        <f aca="false">IF($FJ77&lt;HA$94,"",SQRT(HA77/HA$15))</f>
        <v>0.169524246009832</v>
      </c>
      <c r="HB152" s="150" t="n">
        <f aca="false">IF($FJ77&lt;HB$94,"",SQRT(HB77/HB$15))</f>
        <v>0.171689438540107</v>
      </c>
      <c r="HC152" s="150" t="n">
        <f aca="false">IF($FJ77&lt;HC$94,"",SQRT(HC77/HC$15))</f>
        <v>0.174262586011281</v>
      </c>
      <c r="HD152" s="150" t="n">
        <f aca="false">IF($FJ77&lt;HD$94,"",SQRT(HD77/HD$15))</f>
        <v>0.177328985757625</v>
      </c>
      <c r="HE152" s="150" t="n">
        <f aca="false">IF($FJ77&lt;HE$94,"",SQRT(HE77/HE$15))</f>
        <v>0.180995050695643</v>
      </c>
      <c r="HF152" s="150" t="n">
        <f aca="false">IF($FJ77&lt;HF$94,"",SQRT(HF77/HF$15))</f>
        <v>0.1853948103036</v>
      </c>
      <c r="HG152" s="150" t="n">
        <f aca="false">IF($FJ77&lt;HG$94,"",SQRT(HG77/HG$15))</f>
        <v>0.190698912826062</v>
      </c>
      <c r="HH152" s="150" t="n">
        <f aca="false">IF($FJ77&lt;HH$94,"",SQRT(HH77/HH$15))</f>
        <v>0.197127301239267</v>
      </c>
      <c r="HI152" s="150" t="n">
        <f aca="false">IF($FJ77&lt;HI$94,"",SQRT(HI77/HI$15))</f>
        <v>0.204967389984965</v>
      </c>
      <c r="HJ152" s="150" t="n">
        <f aca="false">IF($FJ77&lt;HJ$94,"",SQRT(HJ77/HJ$15))</f>
        <v>0.214600653705132</v>
      </c>
      <c r="HK152" s="150" t="n">
        <f aca="false">IF($FJ77&lt;HK$94,"",SQRT(HK77/HK$15))</f>
        <v>0.22654238315692</v>
      </c>
      <c r="HL152" s="150" t="n">
        <f aca="false">IF($FJ77&lt;HL$94,"",SQRT(HL77/HL$15))</f>
        <v>0.241502592206892</v>
      </c>
      <c r="HM152" s="150" t="n">
        <f aca="false">IF($FJ77&lt;HM$94,"",SQRT(HM77/HM$15))</f>
        <v>0.260481900097099</v>
      </c>
      <c r="HN152" s="150" t="n">
        <f aca="false">IF($FJ77&lt;HN$94,"",SQRT(HN77/HN$15))</f>
        <v>0.284927170576977</v>
      </c>
      <c r="HO152" s="150" t="n">
        <f aca="false">IF($FJ77&lt;HO$94,"",SQRT(HO77/HO$15))</f>
        <v>0.316993116098751</v>
      </c>
      <c r="HP152" s="150" t="n">
        <f aca="false">IF($FJ77&lt;HP$94,"",SQRT(HP77/HP$15))</f>
        <v>0.360000004031724</v>
      </c>
      <c r="HQ152" s="150" t="str">
        <f aca="false">IF($FJ77&lt;HQ$94,"",SQRT(HQ77/HQ$15))</f>
        <v/>
      </c>
      <c r="HR152" s="150" t="str">
        <f aca="false">IF($FJ77&lt;HR$94,"",SQRT(HR77/HR$15))</f>
        <v/>
      </c>
      <c r="HS152" s="150" t="str">
        <f aca="false">IF($FJ77&lt;HS$94,"",SQRT(HS77/HS$15))</f>
        <v/>
      </c>
      <c r="HT152" s="150" t="str">
        <f aca="false">IF($FJ77&lt;HT$94,"",SQRT(HT77/HT$15))</f>
        <v/>
      </c>
      <c r="HU152" s="150" t="str">
        <f aca="false">IF($FJ77&lt;HU$94,"",SQRT(HU77/HU$15))</f>
        <v/>
      </c>
      <c r="HV152" s="150" t="str">
        <f aca="false">IF($FJ77&lt;HV$94,"",SQRT(HV77/HV$15))</f>
        <v/>
      </c>
      <c r="HW152" s="150" t="str">
        <f aca="false">IF($FJ77&lt;HW$94,"",SQRT(HW77/HW$15))</f>
        <v/>
      </c>
      <c r="HX152" s="150" t="str">
        <f aca="false">IF($FJ77&lt;HX$94,"",SQRT(HX77/HX$15))</f>
        <v/>
      </c>
      <c r="HY152" s="150" t="str">
        <f aca="false">IF($FJ77&lt;HY$94,"",SQRT(HY77/HY$15))</f>
        <v/>
      </c>
      <c r="HZ152" s="150" t="str">
        <f aca="false">IF($FJ77&lt;HZ$94,"",SQRT(HZ77/HZ$15))</f>
        <v/>
      </c>
      <c r="IA152" s="150" t="str">
        <f aca="false">IF($FJ77&lt;IA$94,"",SQRT(IA77/IA$15))</f>
        <v/>
      </c>
      <c r="IB152" s="150" t="str">
        <f aca="false">IF($FJ77&lt;IB$94,"",SQRT(IB77/IB$15))</f>
        <v/>
      </c>
      <c r="IC152" s="150" t="str">
        <f aca="false">IF($FJ77&lt;IC$94,"",SQRT(IC77/IC$15))</f>
        <v/>
      </c>
      <c r="ID152" s="572" t="str">
        <f aca="false">IF($FJ77&lt;ID$94,"",SQRT(ID77/ID$15))</f>
        <v/>
      </c>
      <c r="IE152" s="129"/>
    </row>
    <row r="153" customFormat="false" ht="12.75" hidden="false" customHeight="false" outlineLevel="0" collapsed="false">
      <c r="H153" s="219" t="n">
        <f aca="false">VLOOKUP(I153,$EJ$20:$EL$54,3)</f>
        <v>0</v>
      </c>
      <c r="I153" s="511" t="n">
        <f aca="false">EOMONTH(I152,0)+1</f>
        <v>40817</v>
      </c>
      <c r="J153" s="512"/>
      <c r="K153" s="513" t="s">
        <v>280</v>
      </c>
      <c r="L153" s="514" t="n">
        <f aca="false">IF(ISNUMBER(K153),J153+K153/100,IF(K153="extra",L152+VLOOKUP(BF153,PriceSpreadTable,2)/12,IF(K153="inter",interpolateprices($K$19:$L$200,ROW(K153)-ROW(FirstPricingMonth)+1),interpolatechanges($J$19:$K$200,ROW(K153)-ROW(FirstPricingMonth)+1))))</f>
        <v>2.1375</v>
      </c>
      <c r="M153" s="515"/>
      <c r="N153" s="516" t="n">
        <v>0</v>
      </c>
      <c r="O153" s="515" t="n">
        <f aca="false">M153+N153</f>
        <v>0</v>
      </c>
      <c r="P153" s="512"/>
      <c r="Q153" s="513" t="s">
        <v>280</v>
      </c>
      <c r="R153" s="512" t="e">
        <f aca="false">IF(ISNUMBER(Q153),P153+Q153/100,IF(Q153="extra",(Z151*AL151-R152*AM151)/AN151,IF(Q153="inter",interpolateprices($Q$19:$R$260,ROW(Q153)-ROW(FirstPricingMonth)+1),interpolatechanges($P$19:$Q$260,ROW(Q153)-ROW(FirstPricingMonth)+1))))</f>
        <v>#VALUE!</v>
      </c>
      <c r="S153" s="597" t="n">
        <f aca="false">S$19+(S152-S$19)*S$18</f>
        <v>0.36</v>
      </c>
      <c r="T153" s="575" t="n">
        <f aca="false">SQRT((1-(1-T152^2/U152)*T$18)*U153)</f>
        <v>0.999999999899543</v>
      </c>
      <c r="U153" s="576" t="n">
        <f aca="false">1-(1-U152)*U$18</f>
        <v>1</v>
      </c>
      <c r="V153" s="521" t="n">
        <v>0</v>
      </c>
      <c r="W153" s="577" t="n">
        <f aca="false">(J154*AJ153+J155*AK153)/AI153</f>
        <v>0</v>
      </c>
      <c r="X153" s="578" t="n">
        <f aca="false">(L154*AJ153+L155*AK153)/AI153</f>
        <v>2.1875</v>
      </c>
      <c r="Y153" s="579" t="n">
        <f aca="false">IF(Q155="extra",W153-AA153,(P154*AM153+P155*AN153)/AL153)</f>
        <v>-1.1931</v>
      </c>
      <c r="Z153" s="579" t="n">
        <f aca="false">IF(Q155="extra",X153-AB153,(R154*AM153+R155*AN153)/AL153)</f>
        <v>0.994400000000003</v>
      </c>
      <c r="AA153" s="523" t="n">
        <f aca="false">IF(Q155="extra",INDEX(BrentSeasonalityTable,INT((BG153-1)/3)+1)*VLOOKUP(MAX(BF153,$AB$4),PriceSpreadTable,3),W153-Y153)</f>
        <v>1.1931</v>
      </c>
      <c r="AB153" s="524" t="n">
        <f aca="false">IF(Q155="extra",INDEX(BrentSeasonalityTable,INT((BG153-1)/3)+1)*VLOOKUP(MAX(BF153,$AB$4),PriceSpreadTable,3),X153-Z153)</f>
        <v>1.1931</v>
      </c>
      <c r="AC153" s="646" t="n">
        <v>40806</v>
      </c>
      <c r="AD153" s="646" t="n">
        <v>40802</v>
      </c>
      <c r="AE153" s="646" t="n">
        <v>40801</v>
      </c>
      <c r="AF153" s="646" t="n">
        <v>40797</v>
      </c>
      <c r="AG153" s="438" t="s">
        <v>278</v>
      </c>
      <c r="AH153" s="439" t="s">
        <v>278</v>
      </c>
      <c r="AI153" s="528" t="n">
        <v>21</v>
      </c>
      <c r="AJ153" s="529" t="n">
        <v>14</v>
      </c>
      <c r="AK153" s="529" t="n">
        <v>7</v>
      </c>
      <c r="AL153" s="530" t="n">
        <v>21</v>
      </c>
      <c r="AM153" s="529" t="n">
        <v>10</v>
      </c>
      <c r="AN153" s="531" t="n">
        <v>11</v>
      </c>
      <c r="AO153" s="532"/>
      <c r="AP153" s="465" t="n">
        <f aca="false">(1+AO153/2)^(-2*BL153)</f>
        <v>1</v>
      </c>
      <c r="AQ153" s="532"/>
      <c r="AR153" s="465" t="n">
        <f aca="false">(1+AQ153/2)^(-2*BH153/365.25)</f>
        <v>1</v>
      </c>
      <c r="AS153" s="580" t="n">
        <f aca="false">(O154*AJ153+O155*AK153)/AI153</f>
        <v>0</v>
      </c>
      <c r="AT153" s="468" t="n">
        <f aca="false">O153*VLOOKUP(BF153,BrentVolTable,2)+VLOOKUP(BF153,BrentVolTable,3)</f>
        <v>0</v>
      </c>
      <c r="AU153" s="468" t="n">
        <f aca="false">(AT154*AM153+AT155*AN153)/AL153</f>
        <v>0</v>
      </c>
      <c r="AV153" s="595" t="n">
        <f aca="false">SQRT(MAX(0.000000000001,(O153^2*BH153-S153^2*(BH153-BH152))/BH152))</f>
        <v>0.0279197252739235</v>
      </c>
      <c r="AW153" s="451" t="n">
        <f aca="false">IF($I153-DateToday+15&gt;=$T$8,"",IF($I153-DateToday+15&lt;$T$5,1,MATCH($I153-DateToday+15,$T$5:$T$8)))</f>
        <v>1</v>
      </c>
      <c r="AX153" s="468" t="n">
        <f aca="false">IF($AW153="",AX152^2/AX151,INDEX(U$5:U$8,$AW153)^((INDEX($T$5:$T$8,$AW153+1)-($I153-DateToday+15))/(INDEX($T$5:$T$8,$AW153+1)-INDEX($T$5:$T$8,$AW153)))/INDEX(U$5:U$8,$AW153+1)^((INDEX($T$5:$T$8,$AW153)-($I153-DateToday+15))/(INDEX($T$5:$T$8,$AW153+1)-INDEX($T$5:$T$8,$AW153))))</f>
        <v>0.731317343825014</v>
      </c>
      <c r="AY153" s="468" t="n">
        <f aca="false">IF($AW153="",AY152^2/AY151,INDEX(V$5:V$8,$AW153)^((INDEX($T$5:$T$8,$AW153+1)-($I153-DateToday+15))/(INDEX($T$5:$T$8,$AW153+1)-INDEX($T$5:$T$8,$AW153)))/INDEX(V$5:V$8,$AW153+1)^((INDEX($T$5:$T$8,$AW153)-($I153-DateToday+15))/(INDEX($T$5:$T$8,$AW153+1)-INDEX($T$5:$T$8,$AW153))))</f>
        <v>19.2554501258457</v>
      </c>
      <c r="AZ153" s="468" t="n">
        <f aca="false">IF($AW153="",AZ152^2/AZ151,INDEX(W$5:W$8,$AW153)^((INDEX($T$5:$T$8,$AW153+1)-($I153-DateToday+15))/(INDEX($T$5:$T$8,$AW153+1)-INDEX($T$5:$T$8,$AW153)))/INDEX(W$5:W$8,$AW153+1)^((INDEX($T$5:$T$8,$AW153)-($I153-DateToday+15))/(INDEX($T$5:$T$8,$AW153+1)-INDEX($T$5:$T$8,$AW153))))</f>
        <v>12429.6430065273</v>
      </c>
      <c r="BA153" s="468" t="n">
        <f aca="false">IF($AW153="",BA152^2/BA151,INDEX(X$5:X$8,$AW153)^((INDEX($T$5:$T$8,$AW153+1)-($I153-DateToday+15))/(INDEX($T$5:$T$8,$AW153+1)-INDEX($T$5:$T$8,$AW153)))/INDEX(X$5:X$8,$AW153+1)^((INDEX($T$5:$T$8,$AW153)-($I153-DateToday+15))/(INDEX($T$5:$T$8,$AW153+1)-INDEX($T$5:$T$8,$AW153))))</f>
        <v>94687.6407106943</v>
      </c>
      <c r="BB153" s="468" t="n">
        <f aca="false">IF($AW153="",BB152^2/BB151,INDEX(Y$5:Y$8,$AW153)^((INDEX($T$5:$T$8,$AW153+1)-($I153-DateToday+15))/(INDEX($T$5:$T$8,$AW153+1)-INDEX($T$5:$T$8,$AW153)))/INDEX(Y$5:Y$8,$AW153+1)^((INDEX($T$5:$T$8,$AW153)-($I153-DateToday+15))/(INDEX($T$5:$T$8,$AW153+1)-INDEX($T$5:$T$8,$AW153))))</f>
        <v>701855.629157717</v>
      </c>
      <c r="BC153" s="468" t="n">
        <f aca="false">IF($AW153="",BC152^2/BC151,INDEX(Z$5:Z$8,$AW153)^((INDEX($T$5:$T$8,$AW153+1)-($I153-DateToday+15))/(INDEX($T$5:$T$8,$AW153+1)-INDEX($T$5:$T$8,$AW153)))/INDEX(Z$5:Z$8,$AW153+1)^((INDEX($T$5:$T$8,$AW153)-($I153-DateToday+15))/(INDEX($T$5:$T$8,$AW153+1)-INDEX($T$5:$T$8,$AW153))))</f>
        <v>2362225.14502204</v>
      </c>
      <c r="BD153" s="535" t="n">
        <f aca="false">IF(OR(DateStart&gt;=I154,DateEnd&lt;I153),0,IF(VolumeOverrideFlag,V153,Volume))</f>
        <v>0</v>
      </c>
      <c r="BE153" s="536" t="n">
        <f aca="false">IF(OR(DateStart2&gt;=I154,DateEnd2&lt;I153),0,IF(VolumeOverrideFlag,V153,VolumeSwaption))</f>
        <v>0</v>
      </c>
      <c r="BF153" s="537" t="n">
        <f aca="false">YEAR(I153)</f>
        <v>2011</v>
      </c>
      <c r="BG153" s="538" t="n">
        <f aca="false">MONTH(I153)</f>
        <v>10</v>
      </c>
      <c r="BH153" s="539" t="n">
        <f aca="false">AD153-DateToday+1</f>
        <v>-5123</v>
      </c>
      <c r="BI153" s="540" t="n">
        <f aca="false">(I153-DateToday+1)/365.25</f>
        <v>-13.9849418206708</v>
      </c>
      <c r="BJ153" s="541" t="n">
        <f aca="false">BI153+(BL153-BI153)*CHOOSE(Underlying,AJ153/AI153,AM153/AL153)</f>
        <v>-13.9301848049281</v>
      </c>
      <c r="BK153" s="541" t="n">
        <f aca="false">BJ153+1/365.25</f>
        <v>-13.927446954141</v>
      </c>
      <c r="BL153" s="541" t="n">
        <f aca="false">(I154-DateToday)/365.25</f>
        <v>-13.9028062970568</v>
      </c>
      <c r="BM153" s="542" t="e">
        <f aca="false">MAX(BI153-(BJ153-BI153)*(S154^2/O154^2-1),0)</f>
        <v>#DIV/0!</v>
      </c>
      <c r="BN153" s="541" t="e">
        <f aca="false">MAX(BL153+(BL153-BK153)*(S155^2/O155^2-1),0)</f>
        <v>#DIV/0!</v>
      </c>
      <c r="BO153" s="530" t="n">
        <f aca="false">CHOOSE(Underlying,AI153,AL153)</f>
        <v>21</v>
      </c>
      <c r="BP153" s="529" t="n">
        <f aca="false">CHOOSE(Underlying,AJ153,AM153)</f>
        <v>14</v>
      </c>
      <c r="BQ153" s="529" t="n">
        <f aca="false">CHOOSE(Underlying,AK153,AN153)</f>
        <v>7</v>
      </c>
      <c r="BR153" s="463" t="str">
        <f aca="false">IF(BD153,IF(Underlying=1,X153,Z153)+UnderlyingPriceAsian-SwapPriceCurve,"")</f>
        <v/>
      </c>
      <c r="BS153" s="463" t="str">
        <f aca="false">IF(BD153,Strike1/BR153-1,"")</f>
        <v/>
      </c>
      <c r="BT153" s="464" t="str">
        <f aca="false">IF(BD153,Strike2/BR153-1,"")</f>
        <v/>
      </c>
      <c r="BU153" s="465" t="str">
        <f aca="false">IF(BD153,IF(Underlying=1,L154,R154)+UnderlyingPriceAsian-SwapPriceCurve,"")</f>
        <v/>
      </c>
      <c r="BV153" s="465" t="str">
        <f aca="false">IF(BD153,IF(Underlying=1,L155,R155)+UnderlyingPriceAsian-SwapPriceCurve,"")</f>
        <v/>
      </c>
      <c r="BW153" s="466" t="str">
        <f aca="false">IF(BD153,IF(Underlying=1,O154,AT154),"")</f>
        <v/>
      </c>
      <c r="BX153" s="467" t="str">
        <f aca="false">IF(BD153,IF(Underlying=1,O155,AT155),"")</f>
        <v/>
      </c>
      <c r="BY153" s="466" t="str">
        <f aca="false">IF(BD153,IF(BS153&gt;0,IF(BS153&gt;0.2,BC153-BB153,IF(BS153&gt;0.1,BB153-BA153,BA153)),IF(BS153&lt;-0.2,AX153-AY153,IF(BS153&lt;-0.1,AY153-AZ153,AZ153))),"")</f>
        <v/>
      </c>
      <c r="BZ153" s="467" t="str">
        <f aca="false">IF(BD153,IF(BT153&gt;0,IF(BT153&gt;0.2,BC153-BB153,IF(BT153&gt;0.1,BB153-BA153,BA153)),IF(BT153&lt;-0.2,AX153-AY153,IF(BT153&lt;-0.1,AY153-AZ153,AZ153))),"")</f>
        <v/>
      </c>
      <c r="CA153" s="468" t="str">
        <f aca="false">IF($BD153,$BW153+IF(VolSkewFlag=1,IF(BS153&gt;0,$BA153*MIN(BS153/10%,1)+($BB153-$BA153)*MAX(0,MIN(BS153/10%-1,1))+($BC153-$BB153)*MAX(0,BS153/10%-2),$AZ153*MIN(-BS153/10%,1)+($AY153-$AZ153)*MAX(0,MIN(-BS153/10%-1,1))+($AX153-$AY153)*MAX(0,-BS153/10%-2)),0),"")</f>
        <v/>
      </c>
      <c r="CB153" s="468" t="str">
        <f aca="false">IF($BD153,$BX153+IF(VolSkewFlag=1,IF(BS153&gt;0,$BA153*MIN(BS153/10%,1)+($BB153-$BA153)*MAX(0,MIN(BS153/10%-1,1))+($BC153-$BB153)*MAX(0,BS153/10%-2),$AZ153*MIN(-BS153/10%,1)+($AY153-$AZ153)*MAX(0,MIN(-BS153/10%-1,1))+($AX153-$AY153)*MAX(0,-BS153/10%-2)),0),"")</f>
        <v/>
      </c>
      <c r="CC153" s="468" t="str">
        <f aca="false">IF($BD153,$BW153+IF(VolSkewFlag=1,IF(BT153&gt;0,$BA153*MIN(BT153/10%,1)+($BB153-$BA153)*MAX(0,MIN(BT153/10%-1,1))+($BC153-$BB153)*MAX(0,BT153/10%-2),$AZ153*MIN(-BT153/10%,1)+($AY153-$AZ153)*MAX(0,MIN(-BT153/10%-1,1))+($AX153-$AY153)*MAX(0,-BT153/10%-2)),0),"")</f>
        <v/>
      </c>
      <c r="CD153" s="468" t="str">
        <f aca="false">IF($BD153,$BX153+IF(VolSkewFlag=1,IF(BT153&gt;0,$BA153*MIN(BT153/10%,1)+($BB153-$BA153)*MAX(0,MIN(BT153/10%-1,1))+($BC153-$BB153)*MAX(0,BT153/10%-2),$AZ153*MIN(-BT153/10%,1)+($AY153-$AZ153)*MAX(0,MIN(-BT153/10%-1,1))+($AX153-$AY153)*MAX(0,-BT153/10%-2)),0),"")</f>
        <v/>
      </c>
      <c r="CE153" s="469" t="n">
        <v>1</v>
      </c>
      <c r="CF153" s="470" t="n">
        <f aca="false">IF(BD153,xCrudeAPO(BU153,BV153,CA153,CB153,S154,S155,BI153,BL153,BP153,BQ153,0,Strike1,AO153,CE153,0,BL153,IF(OptControl=4,0,1),0,1),0)</f>
        <v>0</v>
      </c>
      <c r="CG153" s="470" t="n">
        <f aca="false">IF(BD153,xCrudeAPO(BU153,BV153,CA153,CB153,S154,S155,BI153,BL153,BP153,BQ153,0,Strike1,AO153,CE153,0,BL153,IF(OptControl=4,0,1),1,1)+xCrudeAPO(BU153,BV153,CA153,CB153,S154,S155,BI153,BL153,BP153,BQ153,0,Strike1,AO153,CE153,0,BL153,IF(OptControl=4,0,1),1,2)+IF(OR(VolSkewFlag=2,ABS(BS153)&lt;0.0001),0,IF(BS153&gt;0,-1,1)*CH153*Strike1/BR153^2*BY153/10%),0)</f>
        <v>0</v>
      </c>
      <c r="CH153" s="470" t="n">
        <f aca="false">IF(BD153,(xCrudeAPO(BU153,BV153,CA153,CB153,S154,S155,BI153,BL153,BP153,BQ153,0,Strike1,AO153,CE153,0,BL153,IF(OptControl=4,0,1),3,1)+xCrudeAPO(BU153,BV153,CA153,CB153,S154,S155,BI153,BL153,BP153,BQ153,0,Strike1,AO153,CE153,0,BL153,IF(OptControl=4,0,1),3,2))/100,0)</f>
        <v>0</v>
      </c>
      <c r="CI153" s="470" t="n">
        <f aca="false">IF(BD153,xCrudeAPO(BU153,BV153,CA153,CB153,S154,S155,BI153-DaysForThetaCalculation/365.25,BL153-DaysForThetaCalculation/365.25,BP153,BQ153,0,Strike1,AO153,CE153,0,BL153,IF(OptControl=4,0,1),0,1)-xCrudeAPO(BU153,BV153,CA153,CB153,S154,S155,BI153,BL153,BP153,BQ153,0,Strike1,AO153,CE153,0,BL153,IF(OptControl=4,0,1),0,1),0)</f>
        <v>0</v>
      </c>
      <c r="CJ153" s="471" t="n">
        <f aca="false">IF(BD153,xCrudeAPO(BU153,BV153,CC153,CD153,S154,S155,BI153,BL153,BP153,BQ153,0,Strike2,AO153,CE153,0,BL153,IF(OptControl=3,1,0),0,1),0)</f>
        <v>0</v>
      </c>
      <c r="CK153" s="470" t="n">
        <f aca="false">IF(BD153,xCrudeAPO(BU153,BV153,CC153,CD153,S154,S155,BI153,BL153,BP153,BQ153,0,Strike2,AO153,CE153,0,BL153,IF(OptControl=3,1,0),1,1)+xCrudeAPO(BU153,BV153,CC153,CD153,S154,S155,BI153,BL153,BP153,BQ153,0,Strike2,AO153,CE153,0,BL153,IF(OptControl=3,1,0),1,2)+IF(OR(VolSkewFlag=2,ABS(BT153)&lt;0.0001),0,IF(BT153&gt;0,-1,1)*CL153*Strike2/BR153^2*BZ153/10%),0)</f>
        <v>0</v>
      </c>
      <c r="CL153" s="470" t="n">
        <f aca="false">IF(BD153,(xCrudeAPO(BU153,BV153,CC153,CD153,S154,S155,BI153,BL153,BP153,BQ153,0,Strike2,AO153,CE153,0,BL153,IF(OptControl=3,1,0),3,1)+xCrudeAPO(BU153,BV153,CC153,CD153,S154,S155,BI153,BL153,BP153,BQ153,0,Strike2,AO153,CE153,0,BL153,IF(OptControl=3,1,0),3,2))/100,0)</f>
        <v>0</v>
      </c>
      <c r="CM153" s="472" t="n">
        <f aca="false">IF(BD153,xCrudeAPO(BU153,BV153,CC153,CD153,S154,S155,BI153-DaysForThetaCalculation/365.25,BL153-DaysForThetaCalculation/365.25,BP153,BQ153,0,Strike2,AO153,CE153,0,BL153,IF(OptControl=3,1,0),0,1)-xCrudeAPO(BU153,BV153,CC153,CD153,S154,S155,BI153,BL153,BP153,BQ153,0,Strike2,AO153,CE153,0,BL153,IF(OptControl=3,1,0),0,1),0)</f>
        <v>0</v>
      </c>
      <c r="CN153" s="3"/>
      <c r="CO153" s="543" t="str">
        <f aca="false">IF(BD153,CHOOSE(Underlying,AD153,AF153)-DateToday+1,"")</f>
        <v/>
      </c>
      <c r="CP153" s="582" t="str">
        <f aca="false">IF(BD153,CHOOSE(Underlying,L153,R153),"")</f>
        <v/>
      </c>
      <c r="CQ153" s="544" t="str">
        <f aca="false">IF(BD153,Strike1/CP153-1,"")</f>
        <v/>
      </c>
      <c r="CR153" s="544" t="str">
        <f aca="false">IF(BD153,Strike2/CP153-1,"")</f>
        <v/>
      </c>
      <c r="CS153" s="544" t="str">
        <f aca="false">IF(BD153,IF(CQ153&gt;0,IF(CQ153&gt;0.2,BC152-BB152,IF(CQ153&gt;0.1,BB152-BA152,BA152)),IF(CQ153&lt;-0.2,AX152-AY152,IF(CQ153&lt;-0.1,AY152-AZ152,AZ152))),"")</f>
        <v/>
      </c>
      <c r="CT153" s="544" t="str">
        <f aca="false">IF(BD153,IF(CR153&gt;0,IF(CR153&gt;0.2,BC152-BB152,IF(CR153&gt;0.1,BB152-BA152,BA152)),IF(CR153&lt;-0.2,AX152-AY152,IF(CR153&lt;-0.1,AY152-AZ152,AZ152))),"")</f>
        <v/>
      </c>
      <c r="CU153" s="545" t="str">
        <f aca="false">IF(BD153,CHOOSE(Underlying,O153,AT153),"")</f>
        <v/>
      </c>
      <c r="CV153" s="545" t="str">
        <f aca="false">IF(BD153,CU153+IF(VolSkewFlag=1,IF(CQ153&gt;0,BA152*MIN(CQ153/10%,1)+(BB152-BA152)*MAX(0,MIN(CQ153/10%-1,1))+(BC152-BB152)*MAX(0,CQ153/10%-2),AZ152*MIN(-CQ153/10%,1)+(AY152-AZ152)*MAX(0,MIN(-CQ153/10%-1,1))+(AX152-AY152)*MAX(0,-CQ153/10%-2)),0),"")</f>
        <v/>
      </c>
      <c r="CW153" s="545" t="str">
        <f aca="false">IF(BD153,CU153+IF(VolSkewFlag=1,IF(CR153&gt;0,BA152*MIN(CR153/10%,1)+(BB152-BA152)*MAX(0,MIN(CR153/10%-1,1))+(BC152-BB152)*MAX(0,CR153/10%-2),AZ152*MIN(-CR153/10%,1)+(AY152-AZ152)*MAX(0,MIN(-CR153/10%-1,1))+(AX152-AY152)*MAX(0,-CR153/10%-2)),0),"")</f>
        <v/>
      </c>
      <c r="CX153" s="470" t="n">
        <f aca="false">IF(BD153,EURO(CP153,Strike1,AO153,AO153,CV153,CO153,IF(OptControl=4,0,1),0),0)</f>
        <v>0</v>
      </c>
      <c r="CY153" s="470" t="n">
        <f aca="false">IF(BD153,EURO(CP153,Strike1,AO153,AO153,CV153,CO153,IF(OptControl=4,0,1),1)+IF(OR(VolSkewFlag=2,ABS(CQ153)&lt;0.0001),0,IF(CQ153&gt;0,-1,1)*CZ153*100*Strike1/CP153^2*CS153/10%),0)</f>
        <v>0</v>
      </c>
      <c r="CZ153" s="470" t="n">
        <f aca="false">IF(BD153,EURO(CP153,Strike1,AO153,AO153,CV153,CO153,IF(OptControl=4,0,1),3)/100,0)</f>
        <v>0</v>
      </c>
      <c r="DA153" s="470" t="n">
        <f aca="false">IF(BD153,EURO(CP153,Strike1,AO153,AO153,CV153,CO153,IF(OptControl=4,0,1),0)-EURO(CP153,Strike1,AO153,AO153,CV153,CO153-1,IF(OptControl=4,0,1),0),0)</f>
        <v>0</v>
      </c>
      <c r="DB153" s="470" t="n">
        <f aca="false">IF(BD153,EURO(CP153,Strike2,AO153,AO153,CW153,CO153,IF(OptControl=3,1,0),0),0)</f>
        <v>0</v>
      </c>
      <c r="DC153" s="470" t="n">
        <f aca="false">IF(BD153,EURO(CP153,Strike2,AO153,AO153,CW153,CO153,IF(OptControl=3,1,0),1)+IF(OR(VolSkewFlag=2,ABS(CR153)&lt;0.0001),0,IF(CR153&gt;0,-1,1)*DD153*100*Strike2/CP153^2*CT153/10%),0)</f>
        <v>0</v>
      </c>
      <c r="DD153" s="470" t="n">
        <f aca="false">IF(BD153,EURO(CP153,Strike2,AO153,AO153,CW153,CO153,IF(OptControl=3,1,0),3)/100,0)</f>
        <v>0</v>
      </c>
      <c r="DE153" s="472" t="n">
        <f aca="false">IF(BD153,EURO(CP153,Strike2,AO153,AO153,CW153,CO153,IF(OptControl=3,1,0),0)-EURO(CP153,Strike2,AO153,AO153,CW153,CO153-1,IF(OptControl=3,1,0),0),0)</f>
        <v>0</v>
      </c>
      <c r="DG153" s="481" t="n">
        <f aca="false">EOMONTH(DG152,0)+1</f>
        <v>49735</v>
      </c>
      <c r="DH153" s="478" t="n">
        <v>20.81</v>
      </c>
      <c r="DI153" s="479" t="n">
        <v>20.8795652173914</v>
      </c>
      <c r="DJ153" s="480" t="n">
        <f aca="false">DG153</f>
        <v>49735</v>
      </c>
      <c r="DK153" s="478" t="n">
        <v>19.6469299215558</v>
      </c>
      <c r="DL153" s="479" t="n">
        <v>19.7110652173914</v>
      </c>
      <c r="DM153" s="481" t="n">
        <f aca="false">DG153</f>
        <v>49735</v>
      </c>
      <c r="DN153" s="482" t="n">
        <f aca="false">DK153+BrentPhyBrentSpread</f>
        <v>19.6969299215558</v>
      </c>
      <c r="DO153" s="481" t="n">
        <f aca="false">DG153</f>
        <v>49735</v>
      </c>
      <c r="DP153" s="483" t="n">
        <f aca="false">DL153+DQ153</f>
        <v>19.7110652173914</v>
      </c>
      <c r="DQ153" s="546" t="n">
        <v>0</v>
      </c>
      <c r="DR153" s="480" t="n">
        <f aca="false">DG153</f>
        <v>49735</v>
      </c>
      <c r="DS153" s="485" t="n">
        <v>0.144799999999999</v>
      </c>
      <c r="DT153" s="486" t="n">
        <v>0.143965217391303</v>
      </c>
      <c r="DU153" s="480" t="n">
        <f aca="false">DG153</f>
        <v>49735</v>
      </c>
      <c r="DV153" s="485" t="n">
        <v>0.144799999999999</v>
      </c>
      <c r="DW153" s="486" t="n">
        <v>0.143965217391303</v>
      </c>
      <c r="DX153" s="481" t="n">
        <f aca="false">DG153</f>
        <v>49735</v>
      </c>
      <c r="DY153" s="486" t="n">
        <v>0.35</v>
      </c>
      <c r="DZ153" s="481" t="n">
        <f aca="false">DR153</f>
        <v>49735</v>
      </c>
      <c r="EA153" s="486" t="n">
        <f aca="false">DT153</f>
        <v>0.143965217391303</v>
      </c>
      <c r="EB153" s="195"/>
      <c r="EC153" s="547" t="str">
        <f aca="false">IF(BD153,IF(Underlying=1,AS153,AU153),"")</f>
        <v/>
      </c>
      <c r="ED153" s="548" t="str">
        <f aca="false">IF($BD153,$EC153+IF(VolSkewFlag=1,IF(BS153&gt;0,$BA153*MIN(BS153/10%,1)+($BB153-$BA153)*MAX(0,MIN(BS153/10%-1,1))+($BC153-$BB153)*MAX(0,BS153/10%-2),$AZ153*MIN(-BS153/10%,1)+($AY153-$AZ153)*MAX(0,MIN(-BS153/10%-1,1))+($AX153-$AY153)*MAX(0,-BS153/10%-2)),0),"")</f>
        <v/>
      </c>
      <c r="EE153" s="549" t="str">
        <f aca="false">IF($BD153,$EC153+IF(VolSkewFlag=1,IF(BT153&gt;0,$BA153*MIN(BT153/10%,1)+($BB153-$BA153)*MAX(0,MIN(BT153/10%-1,1))+($BC153-$BB153)*MAX(0,BT153/10%-2),$AZ153*MIN(-BT153/10%,1)+($AY153-$AZ153)*MAX(0,MIN(-BT153/10%-1,1))+($AX153-$AY153)*MAX(0,-BT153/10%-2)),0),"")</f>
        <v/>
      </c>
      <c r="EF153" s="550" t="n">
        <f aca="false">IF(BD153,xASN(BR153,Strike1,AO153,ED153,0,BO153,0,BI153,BL153,IF(OptControl=4,0,1),0),0)</f>
        <v>0</v>
      </c>
      <c r="EG153" s="551" t="n">
        <f aca="false">IF(BD153,xASN(BR153,Strike2,AO153,EE153,0,BO153,0,BI153,BL153,IF(OptControl=3,1,0),0),0)</f>
        <v>0</v>
      </c>
      <c r="EL153" s="1"/>
      <c r="EM153" s="195"/>
      <c r="EN153" s="240"/>
      <c r="EO153" s="240"/>
      <c r="EP153" s="195"/>
      <c r="EQ153" s="407" t="s">
        <v>380</v>
      </c>
      <c r="ES153" s="130"/>
      <c r="ET153" s="19"/>
      <c r="EU153" s="672"/>
      <c r="EV153" s="478"/>
      <c r="EW153" s="131"/>
      <c r="EX153" s="131"/>
      <c r="EY153" s="129"/>
      <c r="EZ153" s="129"/>
      <c r="FA153" s="129"/>
      <c r="FB153" s="129"/>
      <c r="FC153" s="129"/>
      <c r="FD153" s="129"/>
      <c r="FE153" s="129"/>
      <c r="FF153" s="129"/>
      <c r="FG153" s="129"/>
      <c r="FH153" s="129"/>
      <c r="FI153" s="129"/>
      <c r="FJ153" s="571" t="n">
        <v>59</v>
      </c>
      <c r="FK153" s="150" t="e">
        <f aca="false">IF($FJ78&lt;FK$94,"",SQRT(FK78/FK$15))</f>
        <v>#DIV/0!</v>
      </c>
      <c r="FL153" s="150" t="n">
        <f aca="false">IF($FJ78&lt;FL$94,"",SQRT(FL78/FL$15))</f>
        <v>-0</v>
      </c>
      <c r="FM153" s="150" t="n">
        <f aca="false">IF($FJ78&lt;FM$94,"",SQRT(FM78/FM$15))</f>
        <v>0.170516536548966</v>
      </c>
      <c r="FN153" s="150" t="n">
        <f aca="false">IF($FJ78&lt;FN$94,"",SQRT(FN78/FN$15))</f>
        <v>0.167240776232741</v>
      </c>
      <c r="FO153" s="150" t="n">
        <f aca="false">IF($FJ78&lt;FO$94,"",SQRT(FO78/FO$15))</f>
        <v>0.164785275716255</v>
      </c>
      <c r="FP153" s="150" t="n">
        <f aca="false">IF($FJ78&lt;FP$94,"",SQRT(FP78/FP$15))</f>
        <v>0.162945201109604</v>
      </c>
      <c r="FQ153" s="150" t="n">
        <f aca="false">IF($FJ78&lt;FQ$94,"",SQRT(FQ78/FQ$15))</f>
        <v>0.1615669653199</v>
      </c>
      <c r="FR153" s="150" t="n">
        <f aca="false">IF($FJ78&lt;FR$94,"",SQRT(FR78/FR$15))</f>
        <v>0.160535422967932</v>
      </c>
      <c r="FS153" s="150" t="n">
        <f aca="false">IF($FJ78&lt;FS$94,"",SQRT(FS78/FS$15))</f>
        <v>0.15976426768728</v>
      </c>
      <c r="FT153" s="150" t="n">
        <f aca="false">IF($FJ78&lt;FT$94,"",SQRT(FT78/FT$15))</f>
        <v>0.159188831401529</v>
      </c>
      <c r="FU153" s="150" t="n">
        <f aca="false">IF($FJ78&lt;FU$94,"",SQRT(FU78/FU$15))</f>
        <v>0.15876068530892</v>
      </c>
      <c r="FV153" s="150" t="n">
        <f aca="false">IF($FJ78&lt;FV$94,"",SQRT(FV78/FV$15))</f>
        <v>0.158443592409798</v>
      </c>
      <c r="FW153" s="150" t="n">
        <f aca="false">IF($FJ78&lt;FW$94,"",SQRT(FW78/FW$15))</f>
        <v>0.158210473998432</v>
      </c>
      <c r="FX153" s="150" t="n">
        <f aca="false">IF($FJ78&lt;FX$94,"",SQRT(FX78/FX$15))</f>
        <v>0.158041136988387</v>
      </c>
      <c r="FY153" s="150" t="n">
        <f aca="false">IF($FJ78&lt;FY$94,"",SQRT(FY78/FY$15))</f>
        <v>0.157920572285717</v>
      </c>
      <c r="FZ153" s="150" t="n">
        <f aca="false">IF($FJ78&lt;FZ$94,"",SQRT(FZ78/FZ$15))</f>
        <v>0.157837681944193</v>
      </c>
      <c r="GA153" s="150" t="n">
        <f aca="false">IF($FJ78&lt;GA$94,"",SQRT(GA78/GA$15))</f>
        <v>0.157784328489877</v>
      </c>
      <c r="GB153" s="150" t="n">
        <f aca="false">IF($FJ78&lt;GB$94,"",SQRT(GB78/GB$15))</f>
        <v>0.157754626557932</v>
      </c>
      <c r="GC153" s="150" t="n">
        <f aca="false">IF($FJ78&lt;GC$94,"",SQRT(GC78/GC$15))</f>
        <v>0.157744417069881</v>
      </c>
      <c r="GD153" s="150" t="n">
        <f aca="false">IF($FJ78&lt;GD$94,"",SQRT(GD78/GD$15))</f>
        <v>0.157750879265922</v>
      </c>
      <c r="GE153" s="150" t="n">
        <f aca="false">IF($FJ78&lt;GE$94,"",SQRT(GE78/GE$15))</f>
        <v>0.157772247248561</v>
      </c>
      <c r="GF153" s="150" t="n">
        <f aca="false">IF($FJ78&lt;GF$94,"",SQRT(GF78/GF$15))</f>
        <v>0.157807606232334</v>
      </c>
      <c r="GG153" s="150" t="n">
        <f aca="false">IF($FJ78&lt;GG$94,"",SQRT(GG78/GG$15))</f>
        <v>0.157856750137465</v>
      </c>
      <c r="GH153" s="150" t="n">
        <f aca="false">IF($FJ78&lt;GH$94,"",SQRT(GH78/GH$15))</f>
        <v>0.157920087044986</v>
      </c>
      <c r="GI153" s="150" t="n">
        <f aca="false">IF($FJ78&lt;GI$94,"",SQRT(GI78/GI$15))</f>
        <v>0.157998582748721</v>
      </c>
      <c r="GJ153" s="150" t="n">
        <f aca="false">IF($FJ78&lt;GJ$94,"",SQRT(GJ78/GJ$15))</f>
        <v>0.158093735499024</v>
      </c>
      <c r="GK153" s="150" t="n">
        <f aca="false">IF($FJ78&lt;GK$94,"",SQRT(GK78/GK$15))</f>
        <v>0.158207577265756</v>
      </c>
      <c r="GL153" s="150" t="n">
        <f aca="false">IF($FJ78&lt;GL$94,"",SQRT(GL78/GL$15))</f>
        <v>0.158342698631619</v>
      </c>
      <c r="GM153" s="150" t="n">
        <f aca="false">IF($FJ78&lt;GM$94,"",SQRT(GM78/GM$15))</f>
        <v>0.158502295901448</v>
      </c>
      <c r="GN153" s="150" t="n">
        <f aca="false">IF($FJ78&lt;GN$94,"",SQRT(GN78/GN$15))</f>
        <v>0.158690240291124</v>
      </c>
      <c r="GO153" s="150" t="n">
        <f aca="false">IF($FJ78&lt;GO$94,"",SQRT(GO78/GO$15))</f>
        <v>0.15891117023709</v>
      </c>
      <c r="GP153" s="150" t="n">
        <f aca="false">IF($FJ78&lt;GP$94,"",SQRT(GP78/GP$15))</f>
        <v>0.159170609030401</v>
      </c>
      <c r="GQ153" s="150" t="n">
        <f aca="false">IF($FJ78&lt;GQ$94,"",SQRT(GQ78/GQ$15))</f>
        <v>0.159475111212646</v>
      </c>
      <c r="GR153" s="150" t="n">
        <f aca="false">IF($FJ78&lt;GR$94,"",SQRT(GR78/GR$15))</f>
        <v>0.15983244256617</v>
      </c>
      <c r="GS153" s="150" t="n">
        <f aca="false">IF($FJ78&lt;GS$94,"",SQRT(GS78/GS$15))</f>
        <v>0.160251800194288</v>
      </c>
      <c r="GT153" s="150" t="n">
        <f aca="false">IF($FJ78&lt;GT$94,"",SQRT(GT78/GT$15))</f>
        <v>0.160744081251518</v>
      </c>
      <c r="GU153" s="150" t="n">
        <f aca="false">IF($FJ78&lt;GU$94,"",SQRT(GU78/GU$15))</f>
        <v>0.161322211523773</v>
      </c>
      <c r="GV153" s="150" t="n">
        <f aca="false">IF($FJ78&lt;GV$94,"",SQRT(GV78/GV$15))</f>
        <v>0.162001548510767</v>
      </c>
      <c r="GW153" s="150" t="n">
        <f aca="false">IF($FJ78&lt;GW$94,"",SQRT(GW78/GW$15))</f>
        <v>0.162800378257171</v>
      </c>
      <c r="GX153" s="150" t="n">
        <f aca="false">IF($FJ78&lt;GX$94,"",SQRT(GX78/GX$15))</f>
        <v>0.163740531382396</v>
      </c>
      <c r="GY153" s="150" t="n">
        <f aca="false">IF($FJ78&lt;GY$94,"",SQRT(GY78/GY$15))</f>
        <v>0.164848152243369</v>
      </c>
      <c r="GZ153" s="150" t="n">
        <f aca="false">IF($FJ78&lt;GZ$94,"",SQRT(GZ78/GZ$15))</f>
        <v>0.166154666910547</v>
      </c>
      <c r="HA153" s="150" t="n">
        <f aca="false">IF($FJ78&lt;HA$94,"",SQRT(HA78/HA$15))</f>
        <v>0.167698012093795</v>
      </c>
      <c r="HB153" s="150" t="n">
        <f aca="false">IF($FJ78&lt;HB$94,"",SQRT(HB78/HB$15))</f>
        <v>0.169524210492465</v>
      </c>
      <c r="HC153" s="150" t="n">
        <f aca="false">IF($FJ78&lt;HC$94,"",SQRT(HC78/HC$15))</f>
        <v>0.171689411561851</v>
      </c>
      <c r="HD153" s="150" t="n">
        <f aca="false">IF($FJ78&lt;HD$94,"",SQRT(HD78/HD$15))</f>
        <v>0.174262565474339</v>
      </c>
      <c r="HE153" s="150" t="n">
        <f aca="false">IF($FJ78&lt;HE$94,"",SQRT(HE78/HE$15))</f>
        <v>0.177328970083884</v>
      </c>
      <c r="HF153" s="150" t="n">
        <f aca="false">IF($FJ78&lt;HF$94,"",SQRT(HF78/HF$15))</f>
        <v>0.180995038697309</v>
      </c>
      <c r="HG153" s="150" t="n">
        <f aca="false">IF($FJ78&lt;HG$94,"",SQRT(HG78/HG$15))</f>
        <v>0.185394801086101</v>
      </c>
      <c r="HH153" s="150" t="n">
        <f aca="false">IF($FJ78&lt;HH$94,"",SQRT(HH78/HH$15))</f>
        <v>0.190698905715154</v>
      </c>
      <c r="HI153" s="150" t="n">
        <f aca="false">IF($FJ78&lt;HI$94,"",SQRT(HI78/HI$15))</f>
        <v>0.197127295726307</v>
      </c>
      <c r="HJ153" s="150" t="n">
        <f aca="false">IF($FJ78&lt;HJ$94,"",SQRT(HJ78/HJ$15))</f>
        <v>0.204967385685799</v>
      </c>
      <c r="HK153" s="150" t="n">
        <f aca="false">IF($FJ78&lt;HK$94,"",SQRT(HK78/HK$15))</f>
        <v>0.214600650329216</v>
      </c>
      <c r="HL153" s="150" t="n">
        <f aca="false">IF($FJ78&lt;HL$94,"",SQRT(HL78/HL$15))</f>
        <v>0.22654238048409</v>
      </c>
      <c r="HM153" s="150" t="n">
        <f aca="false">IF($FJ78&lt;HM$94,"",SQRT(HM78/HM$15))</f>
        <v>0.241502590069889</v>
      </c>
      <c r="HN153" s="150" t="n">
        <f aca="false">IF($FJ78&lt;HN$94,"",SQRT(HN78/HN$15))</f>
        <v>0.26048189836839</v>
      </c>
      <c r="HO153" s="150" t="n">
        <f aca="false">IF($FJ78&lt;HO$94,"",SQRT(HO78/HO$15))</f>
        <v>0.28492716915877</v>
      </c>
      <c r="HP153" s="150" t="n">
        <f aca="false">IF($FJ78&lt;HP$94,"",SQRT(HP78/HP$15))</f>
        <v>0.316993114915392</v>
      </c>
      <c r="HQ153" s="150" t="n">
        <f aca="false">IF($FJ78&lt;HQ$94,"",SQRT(HQ78/HQ$15))</f>
        <v>0.360000003023793</v>
      </c>
      <c r="HR153" s="150" t="str">
        <f aca="false">IF($FJ78&lt;HR$94,"",SQRT(HR78/HR$15))</f>
        <v/>
      </c>
      <c r="HS153" s="150" t="str">
        <f aca="false">IF($FJ78&lt;HS$94,"",SQRT(HS78/HS$15))</f>
        <v/>
      </c>
      <c r="HT153" s="150" t="str">
        <f aca="false">IF($FJ78&lt;HT$94,"",SQRT(HT78/HT$15))</f>
        <v/>
      </c>
      <c r="HU153" s="150" t="str">
        <f aca="false">IF($FJ78&lt;HU$94,"",SQRT(HU78/HU$15))</f>
        <v/>
      </c>
      <c r="HV153" s="150" t="str">
        <f aca="false">IF($FJ78&lt;HV$94,"",SQRT(HV78/HV$15))</f>
        <v/>
      </c>
      <c r="HW153" s="150" t="str">
        <f aca="false">IF($FJ78&lt;HW$94,"",SQRT(HW78/HW$15))</f>
        <v/>
      </c>
      <c r="HX153" s="150" t="str">
        <f aca="false">IF($FJ78&lt;HX$94,"",SQRT(HX78/HX$15))</f>
        <v/>
      </c>
      <c r="HY153" s="150" t="str">
        <f aca="false">IF($FJ78&lt;HY$94,"",SQRT(HY78/HY$15))</f>
        <v/>
      </c>
      <c r="HZ153" s="150" t="str">
        <f aca="false">IF($FJ78&lt;HZ$94,"",SQRT(HZ78/HZ$15))</f>
        <v/>
      </c>
      <c r="IA153" s="150" t="str">
        <f aca="false">IF($FJ78&lt;IA$94,"",SQRT(IA78/IA$15))</f>
        <v/>
      </c>
      <c r="IB153" s="150" t="str">
        <f aca="false">IF($FJ78&lt;IB$94,"",SQRT(IB78/IB$15))</f>
        <v/>
      </c>
      <c r="IC153" s="150" t="str">
        <f aca="false">IF($FJ78&lt;IC$94,"",SQRT(IC78/IC$15))</f>
        <v/>
      </c>
      <c r="ID153" s="572" t="str">
        <f aca="false">IF($FJ78&lt;ID$94,"",SQRT(ID78/ID$15))</f>
        <v/>
      </c>
      <c r="IE153" s="129"/>
    </row>
    <row r="154" customFormat="false" ht="12.75" hidden="false" customHeight="false" outlineLevel="0" collapsed="false">
      <c r="H154" s="219" t="n">
        <f aca="false">VLOOKUP(I154,$EJ$20:$EL$54,3)</f>
        <v>0</v>
      </c>
      <c r="I154" s="511" t="n">
        <f aca="false">EOMONTH(I153,0)+1</f>
        <v>40848</v>
      </c>
      <c r="J154" s="512"/>
      <c r="K154" s="513" t="s">
        <v>280</v>
      </c>
      <c r="L154" s="514" t="n">
        <f aca="false">IF(ISNUMBER(K154),J154+K154/100,IF(K154="extra",L153+VLOOKUP(BF154,PriceSpreadTable,2)/12,IF(K154="inter",interpolateprices($K$19:$L$200,ROW(K154)-ROW(FirstPricingMonth)+1),interpolatechanges($J$19:$K$200,ROW(K154)-ROW(FirstPricingMonth)+1))))</f>
        <v>2.175</v>
      </c>
      <c r="M154" s="515"/>
      <c r="N154" s="516" t="n">
        <v>0</v>
      </c>
      <c r="O154" s="515" t="n">
        <f aca="false">M154+N154</f>
        <v>0</v>
      </c>
      <c r="P154" s="512"/>
      <c r="Q154" s="513" t="s">
        <v>280</v>
      </c>
      <c r="R154" s="512" t="e">
        <f aca="false">IF(ISNUMBER(Q154),P154+Q154/100,IF(Q154="extra",(Z152*AL152-R153*AM152)/AN152,IF(Q154="inter",interpolateprices($Q$19:$R$260,ROW(Q154)-ROW(FirstPricingMonth)+1),interpolatechanges($P$19:$Q$260,ROW(Q154)-ROW(FirstPricingMonth)+1))))</f>
        <v>#VALUE!</v>
      </c>
      <c r="S154" s="597" t="n">
        <f aca="false">S$19+(S153-S$19)*S$18</f>
        <v>0.36</v>
      </c>
      <c r="T154" s="575" t="n">
        <f aca="false">SQRT((1-(1-T153^2/U153)*T$18)*U154)</f>
        <v>0.999999999914109</v>
      </c>
      <c r="U154" s="576" t="n">
        <f aca="false">1-(1-U153)*U$18</f>
        <v>1</v>
      </c>
      <c r="V154" s="521" t="n">
        <v>0</v>
      </c>
      <c r="W154" s="577" t="n">
        <f aca="false">(J155*AJ154+J156*AK154)/AI154</f>
        <v>0</v>
      </c>
      <c r="X154" s="578" t="n">
        <f aca="false">(L155*AJ154+L156*AK154)/AI154</f>
        <v>2.22613636363637</v>
      </c>
      <c r="Y154" s="579" t="n">
        <f aca="false">IF(Q156="extra",W154-AA154,(P155*AM154+P156*AN154)/AL154)</f>
        <v>-1.1931</v>
      </c>
      <c r="Z154" s="579" t="n">
        <f aca="false">IF(Q156="extra",X154-AB154,(R155*AM154+R156*AN154)/AL154)</f>
        <v>1.03303636363637</v>
      </c>
      <c r="AA154" s="523" t="n">
        <f aca="false">IF(Q156="extra",INDEX(BrentSeasonalityTable,INT((BG154-1)/3)+1)*VLOOKUP(MAX(BF154,$AB$4),PriceSpreadTable,3),W154-Y154)</f>
        <v>1.1931</v>
      </c>
      <c r="AB154" s="524" t="n">
        <f aca="false">IF(Q156="extra",INDEX(BrentSeasonalityTable,INT((BG154-1)/3)+1)*VLOOKUP(MAX(BF154,$AB$4),PriceSpreadTable,3),X154-Z154)</f>
        <v>1.1931</v>
      </c>
      <c r="AC154" s="646" t="n">
        <v>40836</v>
      </c>
      <c r="AD154" s="646" t="n">
        <v>40832</v>
      </c>
      <c r="AE154" s="646" t="n">
        <v>40831</v>
      </c>
      <c r="AF154" s="646" t="n">
        <v>40827</v>
      </c>
      <c r="AG154" s="438" t="s">
        <v>278</v>
      </c>
      <c r="AH154" s="439" t="s">
        <v>278</v>
      </c>
      <c r="AI154" s="528" t="n">
        <v>22</v>
      </c>
      <c r="AJ154" s="529" t="n">
        <v>14</v>
      </c>
      <c r="AK154" s="529" t="n">
        <v>8</v>
      </c>
      <c r="AL154" s="530" t="n">
        <v>22</v>
      </c>
      <c r="AM154" s="529" t="n">
        <v>10</v>
      </c>
      <c r="AN154" s="531" t="n">
        <v>12</v>
      </c>
      <c r="AO154" s="532"/>
      <c r="AP154" s="465" t="n">
        <f aca="false">(1+AO154/2)^(-2*BL154)</f>
        <v>1</v>
      </c>
      <c r="AQ154" s="532"/>
      <c r="AR154" s="465" t="n">
        <f aca="false">(1+AQ154/2)^(-2*BH154/365.25)</f>
        <v>1</v>
      </c>
      <c r="AS154" s="580" t="n">
        <f aca="false">(O155*AJ154+O156*AK154)/AI154</f>
        <v>0</v>
      </c>
      <c r="AT154" s="468" t="n">
        <f aca="false">O154*VLOOKUP(BF154,BrentVolTable,2)+VLOOKUP(BF154,BrentVolTable,3)</f>
        <v>0</v>
      </c>
      <c r="AU154" s="468" t="n">
        <f aca="false">(AT155*AM154+AT156*AN154)/AL154</f>
        <v>0</v>
      </c>
      <c r="AV154" s="595" t="n">
        <f aca="false">SQRT(MAX(0.000000000001,(O154^2*BH154-S154^2*(BH154-BH153))/BH153))</f>
        <v>0.0275486898829869</v>
      </c>
      <c r="AW154" s="451" t="n">
        <f aca="false">IF($I154-DateToday+15&gt;=$T$8,"",IF($I154-DateToday+15&lt;$T$5,1,MATCH($I154-DateToday+15,$T$5:$T$8)))</f>
        <v>1</v>
      </c>
      <c r="AX154" s="468" t="n">
        <f aca="false">IF($AW154="",AX153^2/AX152,INDEX(U$5:U$8,$AW154)^((INDEX($T$5:$T$8,$AW154+1)-($I154-DateToday+15))/(INDEX($T$5:$T$8,$AW154+1)-INDEX($T$5:$T$8,$AW154)))/INDEX(U$5:U$8,$AW154+1)^((INDEX($T$5:$T$8,$AW154)-($I154-DateToday+15))/(INDEX($T$5:$T$8,$AW154+1)-INDEX($T$5:$T$8,$AW154))))</f>
        <v>0.715565387423608</v>
      </c>
      <c r="AY154" s="468" t="n">
        <f aca="false">IF($AW154="",AY153^2/AY152,INDEX(V$5:V$8,$AW154)^((INDEX($T$5:$T$8,$AW154+1)-($I154-DateToday+15))/(INDEX($T$5:$T$8,$AW154+1)-INDEX($T$5:$T$8,$AW154)))/INDEX(V$5:V$8,$AW154+1)^((INDEX($T$5:$T$8,$AW154)-($I154-DateToday+15))/(INDEX($T$5:$T$8,$AW154+1)-INDEX($T$5:$T$8,$AW154))))</f>
        <v>18.446635731712</v>
      </c>
      <c r="AZ154" s="468" t="n">
        <f aca="false">IF($AW154="",AZ153^2/AZ152,INDEX(W$5:W$8,$AW154)^((INDEX($T$5:$T$8,$AW154+1)-($I154-DateToday+15))/(INDEX($T$5:$T$8,$AW154+1)-INDEX($T$5:$T$8,$AW154)))/INDEX(W$5:W$8,$AW154+1)^((INDEX($T$5:$T$8,$AW154)-($I154-DateToday+15))/(INDEX($T$5:$T$8,$AW154+1)-INDEX($T$5:$T$8,$AW154))))</f>
        <v>11430.5324749468</v>
      </c>
      <c r="BA154" s="468" t="n">
        <f aca="false">IF($AW154="",BA153^2/BA152,INDEX(X$5:X$8,$AW154)^((INDEX($T$5:$T$8,$AW154+1)-($I154-DateToday+15))/(INDEX($T$5:$T$8,$AW154+1)-INDEX($T$5:$T$8,$AW154)))/INDEX(X$5:X$8,$AW154+1)^((INDEX($T$5:$T$8,$AW154)-($I154-DateToday+15))/(INDEX($T$5:$T$8,$AW154+1)-INDEX($T$5:$T$8,$AW154))))</f>
        <v>85200.9729051399</v>
      </c>
      <c r="BB154" s="468" t="n">
        <f aca="false">IF($AW154="",BB153^2/BB152,INDEX(Y$5:Y$8,$AW154)^((INDEX($T$5:$T$8,$AW154+1)-($I154-DateToday+15))/(INDEX($T$5:$T$8,$AW154+1)-INDEX($T$5:$T$8,$AW154)))/INDEX(Y$5:Y$8,$AW154+1)^((INDEX($T$5:$T$8,$AW154)-($I154-DateToday+15))/(INDEX($T$5:$T$8,$AW154+1)-INDEX($T$5:$T$8,$AW154))))</f>
        <v>625201.374410654</v>
      </c>
      <c r="BC154" s="468" t="n">
        <f aca="false">IF($AW154="",BC153^2/BC152,INDEX(Z$5:Z$8,$AW154)^((INDEX($T$5:$T$8,$AW154+1)-($I154-DateToday+15))/(INDEX($T$5:$T$8,$AW154+1)-INDEX($T$5:$T$8,$AW154)))/INDEX(Z$5:Z$8,$AW154+1)^((INDEX($T$5:$T$8,$AW154)-($I154-DateToday+15))/(INDEX($T$5:$T$8,$AW154+1)-INDEX($T$5:$T$8,$AW154))))</f>
        <v>2092015.84892051</v>
      </c>
      <c r="BD154" s="535" t="n">
        <f aca="false">IF(OR(DateStart&gt;=I155,DateEnd&lt;I154),0,IF(VolumeOverrideFlag,V154,Volume))</f>
        <v>0</v>
      </c>
      <c r="BE154" s="536" t="n">
        <f aca="false">IF(OR(DateStart2&gt;=I155,DateEnd2&lt;I154),0,IF(VolumeOverrideFlag,V154,VolumeSwaption))</f>
        <v>0</v>
      </c>
      <c r="BF154" s="537" t="n">
        <f aca="false">YEAR(I154)</f>
        <v>2011</v>
      </c>
      <c r="BG154" s="538" t="n">
        <f aca="false">MONTH(I154)</f>
        <v>11</v>
      </c>
      <c r="BH154" s="539" t="n">
        <f aca="false">AD154-DateToday+1</f>
        <v>-5093</v>
      </c>
      <c r="BI154" s="540" t="n">
        <f aca="false">(I154-DateToday+1)/365.25</f>
        <v>-13.9000684462697</v>
      </c>
      <c r="BJ154" s="541" t="n">
        <f aca="false">BI154+(BL154-BI154)*CHOOSE(Underlying,AJ154/AI154,AM154/AL154)</f>
        <v>-13.8495426544708</v>
      </c>
      <c r="BK154" s="541" t="n">
        <f aca="false">BJ154+1/365.25</f>
        <v>-13.8468048036837</v>
      </c>
      <c r="BL154" s="541" t="n">
        <f aca="false">(I155-DateToday)/365.25</f>
        <v>-13.8206707734428</v>
      </c>
      <c r="BM154" s="542" t="e">
        <f aca="false">MAX(BI154-(BJ154-BI154)*(S155^2/O155^2-1),0)</f>
        <v>#DIV/0!</v>
      </c>
      <c r="BN154" s="541" t="e">
        <f aca="false">MAX(BL154+(BL154-BK154)*(S156^2/O156^2-1),0)</f>
        <v>#DIV/0!</v>
      </c>
      <c r="BO154" s="530" t="n">
        <f aca="false">CHOOSE(Underlying,AI154,AL154)</f>
        <v>22</v>
      </c>
      <c r="BP154" s="529" t="n">
        <f aca="false">CHOOSE(Underlying,AJ154,AM154)</f>
        <v>14</v>
      </c>
      <c r="BQ154" s="529" t="n">
        <f aca="false">CHOOSE(Underlying,AK154,AN154)</f>
        <v>8</v>
      </c>
      <c r="BR154" s="463" t="str">
        <f aca="false">IF(BD154,IF(Underlying=1,X154,Z154)+UnderlyingPriceAsian-SwapPriceCurve,"")</f>
        <v/>
      </c>
      <c r="BS154" s="463" t="str">
        <f aca="false">IF(BD154,Strike1/BR154-1,"")</f>
        <v/>
      </c>
      <c r="BT154" s="464" t="str">
        <f aca="false">IF(BD154,Strike2/BR154-1,"")</f>
        <v/>
      </c>
      <c r="BU154" s="465" t="str">
        <f aca="false">IF(BD154,IF(Underlying=1,L155,R155)+UnderlyingPriceAsian-SwapPriceCurve,"")</f>
        <v/>
      </c>
      <c r="BV154" s="465" t="str">
        <f aca="false">IF(BD154,IF(Underlying=1,L156,R156)+UnderlyingPriceAsian-SwapPriceCurve,"")</f>
        <v/>
      </c>
      <c r="BW154" s="466" t="str">
        <f aca="false">IF(BD154,IF(Underlying=1,O155,AT155),"")</f>
        <v/>
      </c>
      <c r="BX154" s="467" t="str">
        <f aca="false">IF(BD154,IF(Underlying=1,O156,AT156),"")</f>
        <v/>
      </c>
      <c r="BY154" s="466" t="str">
        <f aca="false">IF(BD154,IF(BS154&gt;0,IF(BS154&gt;0.2,BC154-BB154,IF(BS154&gt;0.1,BB154-BA154,BA154)),IF(BS154&lt;-0.2,AX154-AY154,IF(BS154&lt;-0.1,AY154-AZ154,AZ154))),"")</f>
        <v/>
      </c>
      <c r="BZ154" s="467" t="str">
        <f aca="false">IF(BD154,IF(BT154&gt;0,IF(BT154&gt;0.2,BC154-BB154,IF(BT154&gt;0.1,BB154-BA154,BA154)),IF(BT154&lt;-0.2,AX154-AY154,IF(BT154&lt;-0.1,AY154-AZ154,AZ154))),"")</f>
        <v/>
      </c>
      <c r="CA154" s="468" t="str">
        <f aca="false">IF($BD154,$BW154+IF(VolSkewFlag=1,IF(BS154&gt;0,$BA154*MIN(BS154/10%,1)+($BB154-$BA154)*MAX(0,MIN(BS154/10%-1,1))+($BC154-$BB154)*MAX(0,BS154/10%-2),$AZ154*MIN(-BS154/10%,1)+($AY154-$AZ154)*MAX(0,MIN(-BS154/10%-1,1))+($AX154-$AY154)*MAX(0,-BS154/10%-2)),0),"")</f>
        <v/>
      </c>
      <c r="CB154" s="468" t="str">
        <f aca="false">IF($BD154,$BX154+IF(VolSkewFlag=1,IF(BS154&gt;0,$BA154*MIN(BS154/10%,1)+($BB154-$BA154)*MAX(0,MIN(BS154/10%-1,1))+($BC154-$BB154)*MAX(0,BS154/10%-2),$AZ154*MIN(-BS154/10%,1)+($AY154-$AZ154)*MAX(0,MIN(-BS154/10%-1,1))+($AX154-$AY154)*MAX(0,-BS154/10%-2)),0),"")</f>
        <v/>
      </c>
      <c r="CC154" s="468" t="str">
        <f aca="false">IF($BD154,$BW154+IF(VolSkewFlag=1,IF(BT154&gt;0,$BA154*MIN(BT154/10%,1)+($BB154-$BA154)*MAX(0,MIN(BT154/10%-1,1))+($BC154-$BB154)*MAX(0,BT154/10%-2),$AZ154*MIN(-BT154/10%,1)+($AY154-$AZ154)*MAX(0,MIN(-BT154/10%-1,1))+($AX154-$AY154)*MAX(0,-BT154/10%-2)),0),"")</f>
        <v/>
      </c>
      <c r="CD154" s="468" t="str">
        <f aca="false">IF($BD154,$BX154+IF(VolSkewFlag=1,IF(BT154&gt;0,$BA154*MIN(BT154/10%,1)+($BB154-$BA154)*MAX(0,MIN(BT154/10%-1,1))+($BC154-$BB154)*MAX(0,BT154/10%-2),$AZ154*MIN(-BT154/10%,1)+($AY154-$AZ154)*MAX(0,MIN(-BT154/10%-1,1))+($AX154-$AY154)*MAX(0,-BT154/10%-2)),0),"")</f>
        <v/>
      </c>
      <c r="CE154" s="469" t="n">
        <v>1</v>
      </c>
      <c r="CF154" s="470" t="n">
        <f aca="false">IF(BD154,xCrudeAPO(BU154,BV154,CA154,CB154,S155,S156,BI154,BL154,BP154,BQ154,0,Strike1,AO154,CE154,0,BL154,IF(OptControl=4,0,1),0,1),0)</f>
        <v>0</v>
      </c>
      <c r="CG154" s="470" t="n">
        <f aca="false">IF(BD154,xCrudeAPO(BU154,BV154,CA154,CB154,S155,S156,BI154,BL154,BP154,BQ154,0,Strike1,AO154,CE154,0,BL154,IF(OptControl=4,0,1),1,1)+xCrudeAPO(BU154,BV154,CA154,CB154,S155,S156,BI154,BL154,BP154,BQ154,0,Strike1,AO154,CE154,0,BL154,IF(OptControl=4,0,1),1,2)+IF(OR(VolSkewFlag=2,ABS(BS154)&lt;0.0001),0,IF(BS154&gt;0,-1,1)*CH154*Strike1/BR154^2*BY154/10%),0)</f>
        <v>0</v>
      </c>
      <c r="CH154" s="470" t="n">
        <f aca="false">IF(BD154,(xCrudeAPO(BU154,BV154,CA154,CB154,S155,S156,BI154,BL154,BP154,BQ154,0,Strike1,AO154,CE154,0,BL154,IF(OptControl=4,0,1),3,1)+xCrudeAPO(BU154,BV154,CA154,CB154,S155,S156,BI154,BL154,BP154,BQ154,0,Strike1,AO154,CE154,0,BL154,IF(OptControl=4,0,1),3,2))/100,0)</f>
        <v>0</v>
      </c>
      <c r="CI154" s="470" t="n">
        <f aca="false">IF(BD154,xCrudeAPO(BU154,BV154,CA154,CB154,S155,S156,BI154-DaysForThetaCalculation/365.25,BL154-DaysForThetaCalculation/365.25,BP154,BQ154,0,Strike1,AO154,CE154,0,BL154,IF(OptControl=4,0,1),0,1)-xCrudeAPO(BU154,BV154,CA154,CB154,S155,S156,BI154,BL154,BP154,BQ154,0,Strike1,AO154,CE154,0,BL154,IF(OptControl=4,0,1),0,1),0)</f>
        <v>0</v>
      </c>
      <c r="CJ154" s="471" t="n">
        <f aca="false">IF(BD154,xCrudeAPO(BU154,BV154,CC154,CD154,S155,S156,BI154,BL154,BP154,BQ154,0,Strike2,AO154,CE154,0,BL154,IF(OptControl=3,1,0),0,1),0)</f>
        <v>0</v>
      </c>
      <c r="CK154" s="470" t="n">
        <f aca="false">IF(BD154,xCrudeAPO(BU154,BV154,CC154,CD154,S155,S156,BI154,BL154,BP154,BQ154,0,Strike2,AO154,CE154,0,BL154,IF(OptControl=3,1,0),1,1)+xCrudeAPO(BU154,BV154,CC154,CD154,S155,S156,BI154,BL154,BP154,BQ154,0,Strike2,AO154,CE154,0,BL154,IF(OptControl=3,1,0),1,2)+IF(OR(VolSkewFlag=2,ABS(BT154)&lt;0.0001),0,IF(BT154&gt;0,-1,1)*CL154*Strike2/BR154^2*BZ154/10%),0)</f>
        <v>0</v>
      </c>
      <c r="CL154" s="470" t="n">
        <f aca="false">IF(BD154,(xCrudeAPO(BU154,BV154,CC154,CD154,S155,S156,BI154,BL154,BP154,BQ154,0,Strike2,AO154,CE154,0,BL154,IF(OptControl=3,1,0),3,1)+xCrudeAPO(BU154,BV154,CC154,CD154,S155,S156,BI154,BL154,BP154,BQ154,0,Strike2,AO154,CE154,0,BL154,IF(OptControl=3,1,0),3,2))/100,0)</f>
        <v>0</v>
      </c>
      <c r="CM154" s="472" t="n">
        <f aca="false">IF(BD154,xCrudeAPO(BU154,BV154,CC154,CD154,S155,S156,BI154-DaysForThetaCalculation/365.25,BL154-DaysForThetaCalculation/365.25,BP154,BQ154,0,Strike2,AO154,CE154,0,BL154,IF(OptControl=3,1,0),0,1)-xCrudeAPO(BU154,BV154,CC154,CD154,S155,S156,BI154,BL154,BP154,BQ154,0,Strike2,AO154,CE154,0,BL154,IF(OptControl=3,1,0),0,1),0)</f>
        <v>0</v>
      </c>
      <c r="CN154" s="3"/>
      <c r="CO154" s="543" t="str">
        <f aca="false">IF(BD154,CHOOSE(Underlying,AD154,AF154)-DateToday+1,"")</f>
        <v/>
      </c>
      <c r="CP154" s="582" t="str">
        <f aca="false">IF(BD154,CHOOSE(Underlying,L154,R154),"")</f>
        <v/>
      </c>
      <c r="CQ154" s="544" t="str">
        <f aca="false">IF(BD154,Strike1/CP154-1,"")</f>
        <v/>
      </c>
      <c r="CR154" s="544" t="str">
        <f aca="false">IF(BD154,Strike2/CP154-1,"")</f>
        <v/>
      </c>
      <c r="CS154" s="544" t="str">
        <f aca="false">IF(BD154,IF(CQ154&gt;0,IF(CQ154&gt;0.2,BC153-BB153,IF(CQ154&gt;0.1,BB153-BA153,BA153)),IF(CQ154&lt;-0.2,AX153-AY153,IF(CQ154&lt;-0.1,AY153-AZ153,AZ153))),"")</f>
        <v/>
      </c>
      <c r="CT154" s="544" t="str">
        <f aca="false">IF(BD154,IF(CR154&gt;0,IF(CR154&gt;0.2,BC153-BB153,IF(CR154&gt;0.1,BB153-BA153,BA153)),IF(CR154&lt;-0.2,AX153-AY153,IF(CR154&lt;-0.1,AY153-AZ153,AZ153))),"")</f>
        <v/>
      </c>
      <c r="CU154" s="545" t="str">
        <f aca="false">IF(BD154,CHOOSE(Underlying,O154,AT154),"")</f>
        <v/>
      </c>
      <c r="CV154" s="545" t="str">
        <f aca="false">IF(BD154,CU154+IF(VolSkewFlag=1,IF(CQ154&gt;0,BA153*MIN(CQ154/10%,1)+(BB153-BA153)*MAX(0,MIN(CQ154/10%-1,1))+(BC153-BB153)*MAX(0,CQ154/10%-2),AZ153*MIN(-CQ154/10%,1)+(AY153-AZ153)*MAX(0,MIN(-CQ154/10%-1,1))+(AX153-AY153)*MAX(0,-CQ154/10%-2)),0),"")</f>
        <v/>
      </c>
      <c r="CW154" s="545" t="str">
        <f aca="false">IF(BD154,CU154+IF(VolSkewFlag=1,IF(CR154&gt;0,BA153*MIN(CR154/10%,1)+(BB153-BA153)*MAX(0,MIN(CR154/10%-1,1))+(BC153-BB153)*MAX(0,CR154/10%-2),AZ153*MIN(-CR154/10%,1)+(AY153-AZ153)*MAX(0,MIN(-CR154/10%-1,1))+(AX153-AY153)*MAX(0,-CR154/10%-2)),0),"")</f>
        <v/>
      </c>
      <c r="CX154" s="470" t="n">
        <f aca="false">IF(BD154,EURO(CP154,Strike1,AO154,AO154,CV154,CO154,IF(OptControl=4,0,1),0),0)</f>
        <v>0</v>
      </c>
      <c r="CY154" s="470" t="n">
        <f aca="false">IF(BD154,EURO(CP154,Strike1,AO154,AO154,CV154,CO154,IF(OptControl=4,0,1),1)+IF(OR(VolSkewFlag=2,ABS(CQ154)&lt;0.0001),0,IF(CQ154&gt;0,-1,1)*CZ154*100*Strike1/CP154^2*CS154/10%),0)</f>
        <v>0</v>
      </c>
      <c r="CZ154" s="470" t="n">
        <f aca="false">IF(BD154,EURO(CP154,Strike1,AO154,AO154,CV154,CO154,IF(OptControl=4,0,1),3)/100,0)</f>
        <v>0</v>
      </c>
      <c r="DA154" s="470" t="n">
        <f aca="false">IF(BD154,EURO(CP154,Strike1,AO154,AO154,CV154,CO154,IF(OptControl=4,0,1),0)-EURO(CP154,Strike1,AO154,AO154,CV154,CO154-1,IF(OptControl=4,0,1),0),0)</f>
        <v>0</v>
      </c>
      <c r="DB154" s="470" t="n">
        <f aca="false">IF(BD154,EURO(CP154,Strike2,AO154,AO154,CW154,CO154,IF(OptControl=3,1,0),0),0)</f>
        <v>0</v>
      </c>
      <c r="DC154" s="470" t="n">
        <f aca="false">IF(BD154,EURO(CP154,Strike2,AO154,AO154,CW154,CO154,IF(OptControl=3,1,0),1)+IF(OR(VolSkewFlag=2,ABS(CR154)&lt;0.0001),0,IF(CR154&gt;0,-1,1)*DD154*100*Strike2/CP154^2*CT154/10%),0)</f>
        <v>0</v>
      </c>
      <c r="DD154" s="470" t="n">
        <f aca="false">IF(BD154,EURO(CP154,Strike2,AO154,AO154,CW154,CO154,IF(OptControl=3,1,0),3)/100,0)</f>
        <v>0</v>
      </c>
      <c r="DE154" s="472" t="n">
        <f aca="false">IF(BD154,EURO(CP154,Strike2,AO154,AO154,CW154,CO154,IF(OptControl=3,1,0),0)-EURO(CP154,Strike2,AO154,AO154,CW154,CO154-1,IF(OptControl=3,1,0),0),0)</f>
        <v>0</v>
      </c>
      <c r="DG154" s="481" t="n">
        <f aca="false">EOMONTH(DG153,0)+1</f>
        <v>49766</v>
      </c>
      <c r="DH154" s="478" t="n">
        <v>20.86</v>
      </c>
      <c r="DI154" s="479" t="n">
        <v>20.9266666666667</v>
      </c>
      <c r="DJ154" s="480" t="n">
        <f aca="false">DG154</f>
        <v>49766</v>
      </c>
      <c r="DK154" s="478" t="n">
        <v>19.6660700784443</v>
      </c>
      <c r="DL154" s="479" t="n">
        <v>19.6351666666667</v>
      </c>
      <c r="DM154" s="481" t="n">
        <f aca="false">DG154</f>
        <v>49766</v>
      </c>
      <c r="DN154" s="482" t="n">
        <f aca="false">DK154+BrentPhyBrentSpread</f>
        <v>19.7160700784443</v>
      </c>
      <c r="DO154" s="481" t="n">
        <f aca="false">DG154</f>
        <v>49766</v>
      </c>
      <c r="DP154" s="483" t="n">
        <f aca="false">DL154+DQ154</f>
        <v>19.6351666666667</v>
      </c>
      <c r="DQ154" s="546" t="n">
        <v>0</v>
      </c>
      <c r="DR154" s="480" t="n">
        <f aca="false">DG154</f>
        <v>49766</v>
      </c>
      <c r="DS154" s="485" t="n">
        <v>0.144199999999999</v>
      </c>
      <c r="DT154" s="486" t="n">
        <v>0.143399999999999</v>
      </c>
      <c r="DU154" s="480" t="n">
        <f aca="false">DG154</f>
        <v>49766</v>
      </c>
      <c r="DV154" s="485" t="n">
        <v>0.144199999999999</v>
      </c>
      <c r="DW154" s="486" t="n">
        <v>0.143399999999999</v>
      </c>
      <c r="DX154" s="481" t="n">
        <f aca="false">DG154</f>
        <v>49766</v>
      </c>
      <c r="DY154" s="486" t="n">
        <v>0.35</v>
      </c>
      <c r="DZ154" s="481" t="n">
        <f aca="false">DR154</f>
        <v>49766</v>
      </c>
      <c r="EA154" s="486" t="n">
        <f aca="false">DT154</f>
        <v>0.143399999999999</v>
      </c>
      <c r="EB154" s="195"/>
      <c r="EC154" s="547" t="str">
        <f aca="false">IF(BD154,IF(Underlying=1,AS154,AU154),"")</f>
        <v/>
      </c>
      <c r="ED154" s="548" t="str">
        <f aca="false">IF($BD154,$EC154+IF(VolSkewFlag=1,IF(BS154&gt;0,$BA154*MIN(BS154/10%,1)+($BB154-$BA154)*MAX(0,MIN(BS154/10%-1,1))+($BC154-$BB154)*MAX(0,BS154/10%-2),$AZ154*MIN(-BS154/10%,1)+($AY154-$AZ154)*MAX(0,MIN(-BS154/10%-1,1))+($AX154-$AY154)*MAX(0,-BS154/10%-2)),0),"")</f>
        <v/>
      </c>
      <c r="EE154" s="549" t="str">
        <f aca="false">IF($BD154,$EC154+IF(VolSkewFlag=1,IF(BT154&gt;0,$BA154*MIN(BT154/10%,1)+($BB154-$BA154)*MAX(0,MIN(BT154/10%-1,1))+($BC154-$BB154)*MAX(0,BT154/10%-2),$AZ154*MIN(-BT154/10%,1)+($AY154-$AZ154)*MAX(0,MIN(-BT154/10%-1,1))+($AX154-$AY154)*MAX(0,-BT154/10%-2)),0),"")</f>
        <v/>
      </c>
      <c r="EF154" s="550" t="n">
        <f aca="false">IF(BD154,xASN(BR154,Strike1,AO154,ED154,0,BO154,0,BI154,BL154,IF(OptControl=4,0,1),0),0)</f>
        <v>0</v>
      </c>
      <c r="EG154" s="551" t="n">
        <f aca="false">IF(BD154,xASN(BR154,Strike2,AO154,EE154,0,BO154,0,BI154,BL154,IF(OptControl=3,1,0),0),0)</f>
        <v>0</v>
      </c>
      <c r="EL154" s="1"/>
      <c r="EM154" s="195"/>
      <c r="EN154" s="240"/>
      <c r="EO154" s="240"/>
      <c r="EP154" s="195"/>
      <c r="EQ154" s="407" t="s">
        <v>381</v>
      </c>
      <c r="ES154" s="130"/>
      <c r="ET154" s="19"/>
      <c r="EU154" s="672"/>
      <c r="EV154" s="478"/>
      <c r="EW154" s="131"/>
      <c r="EX154" s="131"/>
      <c r="EY154" s="129"/>
      <c r="EZ154" s="129"/>
      <c r="FA154" s="129"/>
      <c r="FB154" s="129"/>
      <c r="FC154" s="129"/>
      <c r="FD154" s="129"/>
      <c r="FE154" s="129"/>
      <c r="FF154" s="129"/>
      <c r="FG154" s="129"/>
      <c r="FH154" s="129"/>
      <c r="FI154" s="129"/>
      <c r="FJ154" s="571" t="n">
        <v>60</v>
      </c>
      <c r="FK154" s="150" t="e">
        <f aca="false">IF($FJ79&lt;FK$94,"",SQRT(FK79/FK$15))</f>
        <v>#DIV/0!</v>
      </c>
      <c r="FL154" s="150" t="n">
        <f aca="false">IF($FJ79&lt;FL$94,"",SQRT(FL79/FL$15))</f>
        <v>-0</v>
      </c>
      <c r="FM154" s="150" t="n">
        <f aca="false">IF($FJ79&lt;FM$94,"",SQRT(FM79/FM$15))</f>
        <v>0.170513569259033</v>
      </c>
      <c r="FN154" s="150" t="n">
        <f aca="false">IF($FJ79&lt;FN$94,"",SQRT(FN79/FN$15))</f>
        <v>0.167237372384563</v>
      </c>
      <c r="FO154" s="150" t="n">
        <f aca="false">IF($FJ79&lt;FO$94,"",SQRT(FO79/FO$15))</f>
        <v>0.164781353052848</v>
      </c>
      <c r="FP154" s="150" t="n">
        <f aca="false">IF($FJ79&lt;FP$94,"",SQRT(FP79/FP$15))</f>
        <v>0.162940664420924</v>
      </c>
      <c r="FQ154" s="150" t="n">
        <f aca="false">IF($FJ79&lt;FQ$94,"",SQRT(FQ79/FQ$15))</f>
        <v>0.161561704119051</v>
      </c>
      <c r="FR154" s="150" t="n">
        <f aca="false">IF($FJ79&lt;FR$94,"",SQRT(FR79/FR$15))</f>
        <v>0.16052930878716</v>
      </c>
      <c r="FS154" s="150" t="n">
        <f aca="false">IF($FJ79&lt;FS$94,"",SQRT(FS79/FS$15))</f>
        <v>0.159757150926969</v>
      </c>
      <c r="FT154" s="150" t="n">
        <f aca="false">IF($FJ79&lt;FT$94,"",SQRT(FT79/FT$15))</f>
        <v>0.159180537654081</v>
      </c>
      <c r="FU154" s="150" t="n">
        <f aca="false">IF($FJ79&lt;FU$94,"",SQRT(FU79/FU$15))</f>
        <v>0.158751011066165</v>
      </c>
      <c r="FV154" s="150" t="n">
        <f aca="false">IF($FJ79&lt;FV$94,"",SQRT(FV79/FV$15))</f>
        <v>0.158432300046908</v>
      </c>
      <c r="FW154" s="150" t="n">
        <f aca="false">IF($FJ79&lt;FW$94,"",SQRT(FW79/FW$15))</f>
        <v>0.158197285908888</v>
      </c>
      <c r="FX154" s="150" t="n">
        <f aca="false">IF($FJ79&lt;FX$94,"",SQRT(FX79/FX$15))</f>
        <v>0.158025728722776</v>
      </c>
      <c r="FY154" s="150" t="n">
        <f aca="false">IF($FJ79&lt;FY$94,"",SQRT(FY79/FY$15))</f>
        <v>0.157902564521483</v>
      </c>
      <c r="FZ154" s="150" t="n">
        <f aca="false">IF($FJ79&lt;FZ$94,"",SQRT(FZ79/FZ$15))</f>
        <v>0.15781663108307</v>
      </c>
      <c r="GA154" s="150" t="n">
        <f aca="false">IF($FJ79&lt;GA$94,"",SQRT(GA79/GA$15))</f>
        <v>0.157759715643818</v>
      </c>
      <c r="GB154" s="150" t="n">
        <f aca="false">IF($FJ79&lt;GB$94,"",SQRT(GB79/GB$15))</f>
        <v>0.157725844641674</v>
      </c>
      <c r="GC154" s="150" t="n">
        <f aca="false">IF($FJ79&lt;GC$94,"",SQRT(GC79/GC$15))</f>
        <v>0.157710755667652</v>
      </c>
      <c r="GD154" s="150" t="n">
        <f aca="false">IF($FJ79&lt;GD$94,"",SQRT(GD79/GD$15))</f>
        <v>0.157711506879398</v>
      </c>
      <c r="GE154" s="150" t="n">
        <f aca="false">IF($FJ79&lt;GE$94,"",SQRT(GE79/GE$15))</f>
        <v>0.157726190461084</v>
      </c>
      <c r="GF154" s="150" t="n">
        <f aca="false">IF($FJ79&lt;GF$94,"",SQRT(GF79/GF$15))</f>
        <v>0.157753725237997</v>
      </c>
      <c r="GG154" s="150" t="n">
        <f aca="false">IF($FJ79&lt;GG$94,"",SQRT(GG79/GG$15))</f>
        <v>0.157793709979748</v>
      </c>
      <c r="GH154" s="150" t="n">
        <f aca="false">IF($FJ79&lt;GH$94,"",SQRT(GH79/GH$15))</f>
        <v>0.157846323784258</v>
      </c>
      <c r="GI154" s="150" t="n">
        <f aca="false">IF($FJ79&lt;GI$94,"",SQRT(GI79/GI$15))</f>
        <v>0.157912263625821</v>
      </c>
      <c r="GJ154" s="150" t="n">
        <f aca="false">IF($FJ79&lt;GJ$94,"",SQRT(GJ79/GJ$15))</f>
        <v>0.157992711976978</v>
      </c>
      <c r="GK154" s="150" t="n">
        <f aca="false">IF($FJ79&lt;GK$94,"",SQRT(GK79/GK$15))</f>
        <v>0.158089329604805</v>
      </c>
      <c r="GL154" s="150" t="n">
        <f aca="false">IF($FJ79&lt;GL$94,"",SQRT(GL79/GL$15))</f>
        <v>0.158204270373451</v>
      </c>
      <c r="GM154" s="150" t="n">
        <f aca="false">IF($FJ79&lt;GM$94,"",SQRT(GM79/GM$15))</f>
        <v>0.158340216292249</v>
      </c>
      <c r="GN154" s="150" t="n">
        <f aca="false">IF($FJ79&lt;GN$94,"",SQRT(GN79/GN$15))</f>
        <v>0.158500432241199</v>
      </c>
      <c r="GO154" s="150" t="n">
        <f aca="false">IF($FJ79&lt;GO$94,"",SQRT(GO79/GO$15))</f>
        <v>0.158688840872104</v>
      </c>
      <c r="GP154" s="150" t="n">
        <f aca="false">IF($FJ79&lt;GP$94,"",SQRT(GP79/GP$15))</f>
        <v>0.158910119202344</v>
      </c>
      <c r="GQ154" s="150" t="n">
        <f aca="false">IF($FJ79&lt;GQ$94,"",SQRT(GQ79/GQ$15))</f>
        <v>0.159169819462178</v>
      </c>
      <c r="GR154" s="150" t="n">
        <f aca="false">IF($FJ79&lt;GR$94,"",SQRT(GR79/GR$15))</f>
        <v>0.15947451790067</v>
      </c>
      <c r="GS154" s="150" t="n">
        <f aca="false">IF($FJ79&lt;GS$94,"",SQRT(GS79/GS$15))</f>
        <v>0.159831996583466</v>
      </c>
      <c r="GT154" s="150" t="n">
        <f aca="false">IF($FJ79&lt;GT$94,"",SQRT(GT79/GT$15))</f>
        <v>0.160251464828719</v>
      </c>
      <c r="GU154" s="150" t="n">
        <f aca="false">IF($FJ79&lt;GU$94,"",SQRT(GU79/GU$15))</f>
        <v>0.160743828954151</v>
      </c>
      <c r="GV154" s="150" t="n">
        <f aca="false">IF($FJ79&lt;GV$94,"",SQRT(GV79/GV$15))</f>
        <v>0.161322021619892</v>
      </c>
      <c r="GW154" s="150" t="n">
        <f aca="false">IF($FJ79&lt;GW$94,"",SQRT(GW79/GW$15))</f>
        <v>0.162001405482916</v>
      </c>
      <c r="GX154" s="150" t="n">
        <f aca="false">IF($FJ79&lt;GX$94,"",SQRT(GX79/GX$15))</f>
        <v>0.162800270457235</v>
      </c>
      <c r="GY154" s="150" t="n">
        <f aca="false">IF($FJ79&lt;GY$94,"",SQRT(GY79/GY$15))</f>
        <v>0.163740450065491</v>
      </c>
      <c r="GZ154" s="150" t="n">
        <f aca="false">IF($FJ79&lt;GZ$94,"",SQRT(GZ79/GZ$15))</f>
        <v>0.164848090843109</v>
      </c>
      <c r="HA154" s="150" t="n">
        <f aca="false">IF($FJ79&lt;HA$94,"",SQRT(HA79/HA$15))</f>
        <v>0.166154620495361</v>
      </c>
      <c r="HB154" s="150" t="n">
        <f aca="false">IF($FJ79&lt;HB$94,"",SQRT(HB79/HB$15))</f>
        <v>0.167697976959046</v>
      </c>
      <c r="HC154" s="150" t="n">
        <f aca="false">IF($FJ79&lt;HC$94,"",SQRT(HC79/HC$15))</f>
        <v>0.16952418385444</v>
      </c>
      <c r="HD154" s="150" t="n">
        <f aca="false">IF($FJ79&lt;HD$94,"",SQRT(HD79/HD$15))</f>
        <v>0.171689391328159</v>
      </c>
      <c r="HE154" s="150" t="n">
        <f aca="false">IF($FJ79&lt;HE$94,"",SQRT(HE79/HE$15))</f>
        <v>0.174262550071633</v>
      </c>
      <c r="HF154" s="150" t="n">
        <f aca="false">IF($FJ79&lt;HF$94,"",SQRT(HF79/HF$15))</f>
        <v>0.177328958328578</v>
      </c>
      <c r="HG154" s="150" t="n">
        <f aca="false">IF($FJ79&lt;HG$94,"",SQRT(HG79/HG$15))</f>
        <v>0.180995029698559</v>
      </c>
      <c r="HH154" s="150" t="n">
        <f aca="false">IF($FJ79&lt;HH$94,"",SQRT(HH79/HH$15))</f>
        <v>0.185394794172976</v>
      </c>
      <c r="HI154" s="150" t="n">
        <f aca="false">IF($FJ79&lt;HI$94,"",SQRT(HI79/HI$15))</f>
        <v>0.190698900381974</v>
      </c>
      <c r="HJ154" s="150" t="n">
        <f aca="false">IF($FJ79&lt;HJ$94,"",SQRT(HJ79/HJ$15))</f>
        <v>0.197127291591587</v>
      </c>
      <c r="HK154" s="150" t="n">
        <f aca="false">IF($FJ79&lt;HK$94,"",SQRT(HK79/HK$15))</f>
        <v>0.204967382461425</v>
      </c>
      <c r="HL154" s="150" t="n">
        <f aca="false">IF($FJ79&lt;HL$94,"",SQRT(HL79/HL$15))</f>
        <v>0.214600647797278</v>
      </c>
      <c r="HM154" s="150" t="n">
        <f aca="false">IF($FJ79&lt;HM$94,"",SQRT(HM79/HM$15))</f>
        <v>0.226542378479467</v>
      </c>
      <c r="HN154" s="150" t="n">
        <f aca="false">IF($FJ79&lt;HN$94,"",SQRT(HN79/HN$15))</f>
        <v>0.241502588467138</v>
      </c>
      <c r="HO154" s="150" t="n">
        <f aca="false">IF($FJ79&lt;HO$94,"",SQRT(HO79/HO$15))</f>
        <v>0.260481897071858</v>
      </c>
      <c r="HP154" s="150" t="n">
        <f aca="false">IF($FJ79&lt;HP$94,"",SQRT(HP79/HP$15))</f>
        <v>0.284927168095115</v>
      </c>
      <c r="HQ154" s="150" t="n">
        <f aca="false">IF($FJ79&lt;HQ$94,"",SQRT(HQ79/HQ$15))</f>
        <v>0.316993114027872</v>
      </c>
      <c r="HR154" s="150" t="n">
        <f aca="false">IF($FJ79&lt;HR$94,"",SQRT(HR79/HR$15))</f>
        <v>0.360000002267844</v>
      </c>
      <c r="HS154" s="150" t="str">
        <f aca="false">IF($FJ79&lt;HS$94,"",SQRT(HS79/HS$15))</f>
        <v/>
      </c>
      <c r="HT154" s="150" t="str">
        <f aca="false">IF($FJ79&lt;HT$94,"",SQRT(HT79/HT$15))</f>
        <v/>
      </c>
      <c r="HU154" s="150" t="str">
        <f aca="false">IF($FJ79&lt;HU$94,"",SQRT(HU79/HU$15))</f>
        <v/>
      </c>
      <c r="HV154" s="150" t="str">
        <f aca="false">IF($FJ79&lt;HV$94,"",SQRT(HV79/HV$15))</f>
        <v/>
      </c>
      <c r="HW154" s="150" t="str">
        <f aca="false">IF($FJ79&lt;HW$94,"",SQRT(HW79/HW$15))</f>
        <v/>
      </c>
      <c r="HX154" s="150" t="str">
        <f aca="false">IF($FJ79&lt;HX$94,"",SQRT(HX79/HX$15))</f>
        <v/>
      </c>
      <c r="HY154" s="150" t="str">
        <f aca="false">IF($FJ79&lt;HY$94,"",SQRT(HY79/HY$15))</f>
        <v/>
      </c>
      <c r="HZ154" s="150" t="str">
        <f aca="false">IF($FJ79&lt;HZ$94,"",SQRT(HZ79/HZ$15))</f>
        <v/>
      </c>
      <c r="IA154" s="150" t="str">
        <f aca="false">IF($FJ79&lt;IA$94,"",SQRT(IA79/IA$15))</f>
        <v/>
      </c>
      <c r="IB154" s="150" t="str">
        <f aca="false">IF($FJ79&lt;IB$94,"",SQRT(IB79/IB$15))</f>
        <v/>
      </c>
      <c r="IC154" s="150" t="str">
        <f aca="false">IF($FJ79&lt;IC$94,"",SQRT(IC79/IC$15))</f>
        <v/>
      </c>
      <c r="ID154" s="572" t="str">
        <f aca="false">IF($FJ79&lt;ID$94,"",SQRT(ID79/ID$15))</f>
        <v/>
      </c>
      <c r="IE154" s="129"/>
    </row>
    <row r="155" customFormat="false" ht="12.75" hidden="false" customHeight="false" outlineLevel="0" collapsed="false">
      <c r="H155" s="219" t="n">
        <f aca="false">VLOOKUP(I155,$EJ$20:$EL$54,3)</f>
        <v>0</v>
      </c>
      <c r="I155" s="511" t="n">
        <f aca="false">EOMONTH(I154,0)+1</f>
        <v>40878</v>
      </c>
      <c r="J155" s="512"/>
      <c r="K155" s="513" t="s">
        <v>280</v>
      </c>
      <c r="L155" s="514" t="n">
        <f aca="false">IF(ISNUMBER(K155),J155+K155/100,IF(K155="extra",L154+VLOOKUP(BF155,PriceSpreadTable,2)/12,IF(K155="inter",interpolateprices($K$19:$L$200,ROW(K155)-ROW(FirstPricingMonth)+1),interpolatechanges($J$19:$K$200,ROW(K155)-ROW(FirstPricingMonth)+1))))</f>
        <v>2.2125</v>
      </c>
      <c r="M155" s="515"/>
      <c r="N155" s="516" t="n">
        <v>0</v>
      </c>
      <c r="O155" s="515" t="n">
        <f aca="false">M155+N155</f>
        <v>0</v>
      </c>
      <c r="P155" s="512"/>
      <c r="Q155" s="513" t="s">
        <v>280</v>
      </c>
      <c r="R155" s="512" t="e">
        <f aca="false">IF(ISNUMBER(Q155),P155+Q155/100,IF(Q155="extra",(Z153*AL153-R154*AM153)/AN153,IF(Q155="inter",interpolateprices($Q$19:$R$260,ROW(Q155)-ROW(FirstPricingMonth)+1),interpolatechanges($P$19:$Q$260,ROW(Q155)-ROW(FirstPricingMonth)+1))))</f>
        <v>#VALUE!</v>
      </c>
      <c r="S155" s="597" t="n">
        <f aca="false">S$19+(S154-S$19)*S$18</f>
        <v>0.36</v>
      </c>
      <c r="T155" s="575" t="n">
        <f aca="false">SQRT((1-(1-T154^2/U154)*T$18)*U155)</f>
        <v>0.999999999926563</v>
      </c>
      <c r="U155" s="576" t="n">
        <f aca="false">1-(1-U154)*U$18</f>
        <v>1</v>
      </c>
      <c r="V155" s="521" t="n">
        <v>0</v>
      </c>
      <c r="W155" s="577" t="n">
        <f aca="false">(J156*AJ155+J157*AK155)/AI155</f>
        <v>0</v>
      </c>
      <c r="X155" s="578" t="n">
        <f aca="false">(L156*AJ155+L157*AK155)/AI155</f>
        <v>2.26363636363637</v>
      </c>
      <c r="Y155" s="579" t="n">
        <f aca="false">IF(Q157="extra",W155-AA155,(P156*AM155+P157*AN155)/AL155)</f>
        <v>-1.1931</v>
      </c>
      <c r="Z155" s="579" t="n">
        <f aca="false">IF(Q157="extra",X155-AB155,(R156*AM155+R157*AN155)/AL155)</f>
        <v>1.07053636363637</v>
      </c>
      <c r="AA155" s="523" t="n">
        <f aca="false">IF(Q157="extra",INDEX(BrentSeasonalityTable,INT((BG155-1)/3)+1)*VLOOKUP(MAX(BF155,$AB$4),PriceSpreadTable,3),W155-Y155)</f>
        <v>1.1931</v>
      </c>
      <c r="AB155" s="524" t="n">
        <f aca="false">IF(Q157="extra",INDEX(BrentSeasonalityTable,INT((BG155-1)/3)+1)*VLOOKUP(MAX(BF155,$AB$4),PriceSpreadTable,3),X155-Z155)</f>
        <v>1.1931</v>
      </c>
      <c r="AC155" s="646" t="n">
        <v>40867</v>
      </c>
      <c r="AD155" s="646" t="n">
        <v>40863</v>
      </c>
      <c r="AE155" s="646" t="n">
        <v>40862</v>
      </c>
      <c r="AF155" s="646" t="n">
        <v>40858</v>
      </c>
      <c r="AG155" s="438" t="s">
        <v>278</v>
      </c>
      <c r="AH155" s="439" t="s">
        <v>278</v>
      </c>
      <c r="AI155" s="528" t="n">
        <v>22</v>
      </c>
      <c r="AJ155" s="529" t="n">
        <v>14</v>
      </c>
      <c r="AK155" s="529" t="n">
        <v>8</v>
      </c>
      <c r="AL155" s="530" t="n">
        <v>22</v>
      </c>
      <c r="AM155" s="529" t="n">
        <v>10</v>
      </c>
      <c r="AN155" s="531" t="n">
        <v>12</v>
      </c>
      <c r="AO155" s="532"/>
      <c r="AP155" s="465" t="n">
        <f aca="false">(1+AO155/2)^(-2*BL155)</f>
        <v>1</v>
      </c>
      <c r="AQ155" s="532"/>
      <c r="AR155" s="465" t="n">
        <f aca="false">(1+AQ155/2)^(-2*BH155/365.25)</f>
        <v>1</v>
      </c>
      <c r="AS155" s="580" t="n">
        <f aca="false">(O156*AJ155+O157*AK155)/AI155</f>
        <v>0</v>
      </c>
      <c r="AT155" s="468" t="n">
        <f aca="false">O155*VLOOKUP(BF155,BrentVolTable,2)+VLOOKUP(BF155,BrentVolTable,3)</f>
        <v>0</v>
      </c>
      <c r="AU155" s="468" t="n">
        <f aca="false">(AT156*AM155+AT157*AN155)/AL155</f>
        <v>0</v>
      </c>
      <c r="AV155" s="595" t="n">
        <f aca="false">SQRT(MAX(0.000000000001,(O155^2*BH155-S155^2*(BH155-BH154))/BH154))</f>
        <v>0.0280864279975139</v>
      </c>
      <c r="AW155" s="451" t="n">
        <f aca="false">IF($I155-DateToday+15&gt;=$T$8,"",IF($I155-DateToday+15&lt;$T$5,1,MATCH($I155-DateToday+15,$T$5:$T$8)))</f>
        <v>1</v>
      </c>
      <c r="AX155" s="468" t="n">
        <f aca="false">IF($AW155="",AX154^2/AX153,INDEX(U$5:U$8,$AW155)^((INDEX($T$5:$T$8,$AW155+1)-($I155-DateToday+15))/(INDEX($T$5:$T$8,$AW155+1)-INDEX($T$5:$T$8,$AW155)))/INDEX(U$5:U$8,$AW155+1)^((INDEX($T$5:$T$8,$AW155)-($I155-DateToday+15))/(INDEX($T$5:$T$8,$AW155+1)-INDEX($T$5:$T$8,$AW155))))</f>
        <v>0.700644677258024</v>
      </c>
      <c r="AY155" s="468" t="n">
        <f aca="false">IF($AW155="",AY154^2/AY153,INDEX(V$5:V$8,$AW155)^((INDEX($T$5:$T$8,$AW155+1)-($I155-DateToday+15))/(INDEX($T$5:$T$8,$AW155+1)-INDEX($T$5:$T$8,$AW155)))/INDEX(V$5:V$8,$AW155+1)^((INDEX($T$5:$T$8,$AW155)-($I155-DateToday+15))/(INDEX($T$5:$T$8,$AW155+1)-INDEX($T$5:$T$8,$AW155))))</f>
        <v>17.6962744741564</v>
      </c>
      <c r="AZ155" s="468" t="n">
        <f aca="false">IF($AW155="",AZ154^2/AZ153,INDEX(W$5:W$8,$AW155)^((INDEX($T$5:$T$8,$AW155+1)-($I155-DateToday+15))/(INDEX($T$5:$T$8,$AW155+1)-INDEX($T$5:$T$8,$AW155)))/INDEX(W$5:W$8,$AW155+1)^((INDEX($T$5:$T$8,$AW155)-($I155-DateToday+15))/(INDEX($T$5:$T$8,$AW155+1)-INDEX($T$5:$T$8,$AW155))))</f>
        <v>10540.1844275973</v>
      </c>
      <c r="BA155" s="468" t="n">
        <f aca="false">IF($AW155="",BA154^2/BA153,INDEX(X$5:X$8,$AW155)^((INDEX($T$5:$T$8,$AW155+1)-($I155-DateToday+15))/(INDEX($T$5:$T$8,$AW155+1)-INDEX($T$5:$T$8,$AW155)))/INDEX(X$5:X$8,$AW155+1)^((INDEX($T$5:$T$8,$AW155)-($I155-DateToday+15))/(INDEX($T$5:$T$8,$AW155+1)-INDEX($T$5:$T$8,$AW155))))</f>
        <v>76926.2928803532</v>
      </c>
      <c r="BB155" s="468" t="n">
        <f aca="false">IF($AW155="",BB154^2/BB153,INDEX(Y$5:Y$8,$AW155)^((INDEX($T$5:$T$8,$AW155+1)-($I155-DateToday+15))/(INDEX($T$5:$T$8,$AW155+1)-INDEX($T$5:$T$8,$AW155)))/INDEX(Y$5:Y$8,$AW155+1)^((INDEX($T$5:$T$8,$AW155)-($I155-DateToday+15))/(INDEX($T$5:$T$8,$AW155+1)-INDEX($T$5:$T$8,$AW155))))</f>
        <v>559000.651881748</v>
      </c>
      <c r="BC155" s="468" t="n">
        <f aca="false">IF($AW155="",BC154^2/BC153,INDEX(Z$5:Z$8,$AW155)^((INDEX($T$5:$T$8,$AW155+1)-($I155-DateToday+15))/(INDEX($T$5:$T$8,$AW155+1)-INDEX($T$5:$T$8,$AW155)))/INDEX(Z$5:Z$8,$AW155+1)^((INDEX($T$5:$T$8,$AW155)-($I155-DateToday+15))/(INDEX($T$5:$T$8,$AW155+1)-INDEX($T$5:$T$8,$AW155))))</f>
        <v>1859989.40069795</v>
      </c>
      <c r="BD155" s="535" t="n">
        <f aca="false">IF(OR(DateStart&gt;=I156,DateEnd&lt;I155),0,IF(VolumeOverrideFlag,V155,Volume))</f>
        <v>0</v>
      </c>
      <c r="BE155" s="536" t="n">
        <f aca="false">IF(OR(DateStart2&gt;=I156,DateEnd2&lt;I155),0,IF(VolumeOverrideFlag,V155,VolumeSwaption))</f>
        <v>0</v>
      </c>
      <c r="BF155" s="537" t="n">
        <f aca="false">YEAR(I155)</f>
        <v>2011</v>
      </c>
      <c r="BG155" s="538" t="n">
        <f aca="false">MONTH(I155)</f>
        <v>12</v>
      </c>
      <c r="BH155" s="539" t="n">
        <f aca="false">AD155-DateToday+1</f>
        <v>-5062</v>
      </c>
      <c r="BI155" s="540" t="n">
        <f aca="false">(I155-DateToday+1)/365.25</f>
        <v>-13.8179329226557</v>
      </c>
      <c r="BJ155" s="541" t="n">
        <f aca="false">BI155+(BL155-BI155)*CHOOSE(Underlying,AJ155/AI155,AM155/AL155)</f>
        <v>-13.7656648621741</v>
      </c>
      <c r="BK155" s="541" t="n">
        <f aca="false">BJ155+1/365.25</f>
        <v>-13.762927011387</v>
      </c>
      <c r="BL155" s="541" t="n">
        <f aca="false">(I156-DateToday)/365.25</f>
        <v>-13.7357973990418</v>
      </c>
      <c r="BM155" s="542" t="e">
        <f aca="false">MAX(BI155-(BJ155-BI155)*(S156^2/O156^2-1),0)</f>
        <v>#DIV/0!</v>
      </c>
      <c r="BN155" s="541" t="e">
        <f aca="false">MAX(BL155+(BL155-BK155)*(S157^2/O157^2-1),0)</f>
        <v>#DIV/0!</v>
      </c>
      <c r="BO155" s="530" t="n">
        <f aca="false">CHOOSE(Underlying,AI155,AL155)</f>
        <v>22</v>
      </c>
      <c r="BP155" s="529" t="n">
        <f aca="false">CHOOSE(Underlying,AJ155,AM155)</f>
        <v>14</v>
      </c>
      <c r="BQ155" s="529" t="n">
        <f aca="false">CHOOSE(Underlying,AK155,AN155)</f>
        <v>8</v>
      </c>
      <c r="BR155" s="463" t="str">
        <f aca="false">IF(BD155,IF(Underlying=1,X155,Z155)+UnderlyingPriceAsian-SwapPriceCurve,"")</f>
        <v/>
      </c>
      <c r="BS155" s="463" t="str">
        <f aca="false">IF(BD155,Strike1/BR155-1,"")</f>
        <v/>
      </c>
      <c r="BT155" s="464" t="str">
        <f aca="false">IF(BD155,Strike2/BR155-1,"")</f>
        <v/>
      </c>
      <c r="BU155" s="465" t="str">
        <f aca="false">IF(BD155,IF(Underlying=1,L156,R156)+UnderlyingPriceAsian-SwapPriceCurve,"")</f>
        <v/>
      </c>
      <c r="BV155" s="465" t="str">
        <f aca="false">IF(BD155,IF(Underlying=1,L157,R157)+UnderlyingPriceAsian-SwapPriceCurve,"")</f>
        <v/>
      </c>
      <c r="BW155" s="466" t="str">
        <f aca="false">IF(BD155,IF(Underlying=1,O156,AT156),"")</f>
        <v/>
      </c>
      <c r="BX155" s="467" t="str">
        <f aca="false">IF(BD155,IF(Underlying=1,O157,AT157),"")</f>
        <v/>
      </c>
      <c r="BY155" s="466" t="str">
        <f aca="false">IF(BD155,IF(BS155&gt;0,IF(BS155&gt;0.2,BC155-BB155,IF(BS155&gt;0.1,BB155-BA155,BA155)),IF(BS155&lt;-0.2,AX155-AY155,IF(BS155&lt;-0.1,AY155-AZ155,AZ155))),"")</f>
        <v/>
      </c>
      <c r="BZ155" s="467" t="str">
        <f aca="false">IF(BD155,IF(BT155&gt;0,IF(BT155&gt;0.2,BC155-BB155,IF(BT155&gt;0.1,BB155-BA155,BA155)),IF(BT155&lt;-0.2,AX155-AY155,IF(BT155&lt;-0.1,AY155-AZ155,AZ155))),"")</f>
        <v/>
      </c>
      <c r="CA155" s="468" t="str">
        <f aca="false">IF($BD155,$BW155+IF(VolSkewFlag=1,IF(BS155&gt;0,$BA155*MIN(BS155/10%,1)+($BB155-$BA155)*MAX(0,MIN(BS155/10%-1,1))+($BC155-$BB155)*MAX(0,BS155/10%-2),$AZ155*MIN(-BS155/10%,1)+($AY155-$AZ155)*MAX(0,MIN(-BS155/10%-1,1))+($AX155-$AY155)*MAX(0,-BS155/10%-2)),0),"")</f>
        <v/>
      </c>
      <c r="CB155" s="468" t="str">
        <f aca="false">IF($BD155,$BX155+IF(VolSkewFlag=1,IF(BS155&gt;0,$BA155*MIN(BS155/10%,1)+($BB155-$BA155)*MAX(0,MIN(BS155/10%-1,1))+($BC155-$BB155)*MAX(0,BS155/10%-2),$AZ155*MIN(-BS155/10%,1)+($AY155-$AZ155)*MAX(0,MIN(-BS155/10%-1,1))+($AX155-$AY155)*MAX(0,-BS155/10%-2)),0),"")</f>
        <v/>
      </c>
      <c r="CC155" s="468" t="str">
        <f aca="false">IF($BD155,$BW155+IF(VolSkewFlag=1,IF(BT155&gt;0,$BA155*MIN(BT155/10%,1)+($BB155-$BA155)*MAX(0,MIN(BT155/10%-1,1))+($BC155-$BB155)*MAX(0,BT155/10%-2),$AZ155*MIN(-BT155/10%,1)+($AY155-$AZ155)*MAX(0,MIN(-BT155/10%-1,1))+($AX155-$AY155)*MAX(0,-BT155/10%-2)),0),"")</f>
        <v/>
      </c>
      <c r="CD155" s="468" t="str">
        <f aca="false">IF($BD155,$BX155+IF(VolSkewFlag=1,IF(BT155&gt;0,$BA155*MIN(BT155/10%,1)+($BB155-$BA155)*MAX(0,MIN(BT155/10%-1,1))+($BC155-$BB155)*MAX(0,BT155/10%-2),$AZ155*MIN(-BT155/10%,1)+($AY155-$AZ155)*MAX(0,MIN(-BT155/10%-1,1))+($AX155-$AY155)*MAX(0,-BT155/10%-2)),0),"")</f>
        <v/>
      </c>
      <c r="CE155" s="469" t="n">
        <v>1</v>
      </c>
      <c r="CF155" s="470" t="n">
        <f aca="false">IF(BD155,xCrudeAPO(BU155,BV155,CA155,CB155,S156,S157,BI155,BL155,BP155,BQ155,0,Strike1,AO155,CE155,0,BL155,IF(OptControl=4,0,1),0,1),0)</f>
        <v>0</v>
      </c>
      <c r="CG155" s="470" t="n">
        <f aca="false">IF(BD155,xCrudeAPO(BU155,BV155,CA155,CB155,S156,S157,BI155,BL155,BP155,BQ155,0,Strike1,AO155,CE155,0,BL155,IF(OptControl=4,0,1),1,1)+xCrudeAPO(BU155,BV155,CA155,CB155,S156,S157,BI155,BL155,BP155,BQ155,0,Strike1,AO155,CE155,0,BL155,IF(OptControl=4,0,1),1,2)+IF(OR(VolSkewFlag=2,ABS(BS155)&lt;0.0001),0,IF(BS155&gt;0,-1,1)*CH155*Strike1/BR155^2*BY155/10%),0)</f>
        <v>0</v>
      </c>
      <c r="CH155" s="470" t="n">
        <f aca="false">IF(BD155,(xCrudeAPO(BU155,BV155,CA155,CB155,S156,S157,BI155,BL155,BP155,BQ155,0,Strike1,AO155,CE155,0,BL155,IF(OptControl=4,0,1),3,1)+xCrudeAPO(BU155,BV155,CA155,CB155,S156,S157,BI155,BL155,BP155,BQ155,0,Strike1,AO155,CE155,0,BL155,IF(OptControl=4,0,1),3,2))/100,0)</f>
        <v>0</v>
      </c>
      <c r="CI155" s="470" t="n">
        <f aca="false">IF(BD155,xCrudeAPO(BU155,BV155,CA155,CB155,S156,S157,BI155-DaysForThetaCalculation/365.25,BL155-DaysForThetaCalculation/365.25,BP155,BQ155,0,Strike1,AO155,CE155,0,BL155,IF(OptControl=4,0,1),0,1)-xCrudeAPO(BU155,BV155,CA155,CB155,S156,S157,BI155,BL155,BP155,BQ155,0,Strike1,AO155,CE155,0,BL155,IF(OptControl=4,0,1),0,1),0)</f>
        <v>0</v>
      </c>
      <c r="CJ155" s="471" t="n">
        <f aca="false">IF(BD155,xCrudeAPO(BU155,BV155,CC155,CD155,S156,S157,BI155,BL155,BP155,BQ155,0,Strike2,AO155,CE155,0,BL155,IF(OptControl=3,1,0),0,1),0)</f>
        <v>0</v>
      </c>
      <c r="CK155" s="470" t="n">
        <f aca="false">IF(BD155,xCrudeAPO(BU155,BV155,CC155,CD155,S156,S157,BI155,BL155,BP155,BQ155,0,Strike2,AO155,CE155,0,BL155,IF(OptControl=3,1,0),1,1)+xCrudeAPO(BU155,BV155,CC155,CD155,S156,S157,BI155,BL155,BP155,BQ155,0,Strike2,AO155,CE155,0,BL155,IF(OptControl=3,1,0),1,2)+IF(OR(VolSkewFlag=2,ABS(BT155)&lt;0.0001),0,IF(BT155&gt;0,-1,1)*CL155*Strike2/BR155^2*BZ155/10%),0)</f>
        <v>0</v>
      </c>
      <c r="CL155" s="470" t="n">
        <f aca="false">IF(BD155,(xCrudeAPO(BU155,BV155,CC155,CD155,S156,S157,BI155,BL155,BP155,BQ155,0,Strike2,AO155,CE155,0,BL155,IF(OptControl=3,1,0),3,1)+xCrudeAPO(BU155,BV155,CC155,CD155,S156,S157,BI155,BL155,BP155,BQ155,0,Strike2,AO155,CE155,0,BL155,IF(OptControl=3,1,0),3,2))/100,0)</f>
        <v>0</v>
      </c>
      <c r="CM155" s="472" t="n">
        <f aca="false">IF(BD155,xCrudeAPO(BU155,BV155,CC155,CD155,S156,S157,BI155-DaysForThetaCalculation/365.25,BL155-DaysForThetaCalculation/365.25,BP155,BQ155,0,Strike2,AO155,CE155,0,BL155,IF(OptControl=3,1,0),0,1)-xCrudeAPO(BU155,BV155,CC155,CD155,S156,S157,BI155,BL155,BP155,BQ155,0,Strike2,AO155,CE155,0,BL155,IF(OptControl=3,1,0),0,1),0)</f>
        <v>0</v>
      </c>
      <c r="CN155" s="3"/>
      <c r="CO155" s="543" t="str">
        <f aca="false">IF(BD155,CHOOSE(Underlying,AD155,AF155)-DateToday+1,"")</f>
        <v/>
      </c>
      <c r="CP155" s="582" t="str">
        <f aca="false">IF(BD155,CHOOSE(Underlying,L155,R155),"")</f>
        <v/>
      </c>
      <c r="CQ155" s="544" t="str">
        <f aca="false">IF(BD155,Strike1/CP155-1,"")</f>
        <v/>
      </c>
      <c r="CR155" s="544" t="str">
        <f aca="false">IF(BD155,Strike2/CP155-1,"")</f>
        <v/>
      </c>
      <c r="CS155" s="544" t="str">
        <f aca="false">IF(BD155,IF(CQ155&gt;0,IF(CQ155&gt;0.2,BC154-BB154,IF(CQ155&gt;0.1,BB154-BA154,BA154)),IF(CQ155&lt;-0.2,AX154-AY154,IF(CQ155&lt;-0.1,AY154-AZ154,AZ154))),"")</f>
        <v/>
      </c>
      <c r="CT155" s="544" t="str">
        <f aca="false">IF(BD155,IF(CR155&gt;0,IF(CR155&gt;0.2,BC154-BB154,IF(CR155&gt;0.1,BB154-BA154,BA154)),IF(CR155&lt;-0.2,AX154-AY154,IF(CR155&lt;-0.1,AY154-AZ154,AZ154))),"")</f>
        <v/>
      </c>
      <c r="CU155" s="545" t="str">
        <f aca="false">IF(BD155,CHOOSE(Underlying,O155,AT155),"")</f>
        <v/>
      </c>
      <c r="CV155" s="545" t="str">
        <f aca="false">IF(BD155,CU155+IF(VolSkewFlag=1,IF(CQ155&gt;0,BA154*MIN(CQ155/10%,1)+(BB154-BA154)*MAX(0,MIN(CQ155/10%-1,1))+(BC154-BB154)*MAX(0,CQ155/10%-2),AZ154*MIN(-CQ155/10%,1)+(AY154-AZ154)*MAX(0,MIN(-CQ155/10%-1,1))+(AX154-AY154)*MAX(0,-CQ155/10%-2)),0),"")</f>
        <v/>
      </c>
      <c r="CW155" s="545" t="str">
        <f aca="false">IF(BD155,CU155+IF(VolSkewFlag=1,IF(CR155&gt;0,BA154*MIN(CR155/10%,1)+(BB154-BA154)*MAX(0,MIN(CR155/10%-1,1))+(BC154-BB154)*MAX(0,CR155/10%-2),AZ154*MIN(-CR155/10%,1)+(AY154-AZ154)*MAX(0,MIN(-CR155/10%-1,1))+(AX154-AY154)*MAX(0,-CR155/10%-2)),0),"")</f>
        <v/>
      </c>
      <c r="CX155" s="470" t="n">
        <f aca="false">IF(BD155,EURO(CP155,Strike1,AO155,AO155,CV155,CO155,IF(OptControl=4,0,1),0),0)</f>
        <v>0</v>
      </c>
      <c r="CY155" s="470" t="n">
        <f aca="false">IF(BD155,EURO(CP155,Strike1,AO155,AO155,CV155,CO155,IF(OptControl=4,0,1),1)+IF(OR(VolSkewFlag=2,ABS(CQ155)&lt;0.0001),0,IF(CQ155&gt;0,-1,1)*CZ155*100*Strike1/CP155^2*CS155/10%),0)</f>
        <v>0</v>
      </c>
      <c r="CZ155" s="470" t="n">
        <f aca="false">IF(BD155,EURO(CP155,Strike1,AO155,AO155,CV155,CO155,IF(OptControl=4,0,1),3)/100,0)</f>
        <v>0</v>
      </c>
      <c r="DA155" s="470" t="n">
        <f aca="false">IF(BD155,EURO(CP155,Strike1,AO155,AO155,CV155,CO155,IF(OptControl=4,0,1),0)-EURO(CP155,Strike1,AO155,AO155,CV155,CO155-1,IF(OptControl=4,0,1),0),0)</f>
        <v>0</v>
      </c>
      <c r="DB155" s="470" t="n">
        <f aca="false">IF(BD155,EURO(CP155,Strike2,AO155,AO155,CW155,CO155,IF(OptControl=3,1,0),0),0)</f>
        <v>0</v>
      </c>
      <c r="DC155" s="470" t="n">
        <f aca="false">IF(BD155,EURO(CP155,Strike2,AO155,AO155,CW155,CO155,IF(OptControl=3,1,0),1)+IF(OR(VolSkewFlag=2,ABS(CR155)&lt;0.0001),0,IF(CR155&gt;0,-1,1)*DD155*100*Strike2/CP155^2*CT155/10%),0)</f>
        <v>0</v>
      </c>
      <c r="DD155" s="470" t="n">
        <f aca="false">IF(BD155,EURO(CP155,Strike2,AO155,AO155,CW155,CO155,IF(OptControl=3,1,0),3)/100,0)</f>
        <v>0</v>
      </c>
      <c r="DE155" s="472" t="n">
        <f aca="false">IF(BD155,EURO(CP155,Strike2,AO155,AO155,CW155,CO155,IF(OptControl=3,1,0),0)-EURO(CP155,Strike2,AO155,AO155,CW155,CO155-1,IF(OptControl=3,1,0),0),0)</f>
        <v>0</v>
      </c>
      <c r="DG155" s="481" t="n">
        <f aca="false">EOMONTH(DG154,0)+1</f>
        <v>49796</v>
      </c>
      <c r="DH155" s="478" t="n">
        <v>20.91</v>
      </c>
      <c r="DI155" s="479" t="n">
        <v>20.9759090909091</v>
      </c>
      <c r="DJ155" s="480" t="n">
        <f aca="false">DG155</f>
        <v>49796</v>
      </c>
      <c r="DK155" s="478" t="n">
        <v>19.7456768627353</v>
      </c>
      <c r="DL155" s="479" t="n">
        <v>19.6844090909091</v>
      </c>
      <c r="DM155" s="481" t="n">
        <f aca="false">DG155</f>
        <v>49796</v>
      </c>
      <c r="DN155" s="482" t="n">
        <f aca="false">DK155+BrentPhyBrentSpread</f>
        <v>19.7956768627353</v>
      </c>
      <c r="DO155" s="481" t="n">
        <f aca="false">DG155</f>
        <v>49796</v>
      </c>
      <c r="DP155" s="483" t="n">
        <f aca="false">DL155+DQ155</f>
        <v>19.6844090909091</v>
      </c>
      <c r="DQ155" s="546" t="n">
        <v>0</v>
      </c>
      <c r="DR155" s="480" t="n">
        <f aca="false">DG155</f>
        <v>49796</v>
      </c>
      <c r="DS155" s="485" t="n">
        <v>0.143599999999999</v>
      </c>
      <c r="DT155" s="486" t="n">
        <v>0.14280909090909</v>
      </c>
      <c r="DU155" s="480" t="n">
        <f aca="false">DG155</f>
        <v>49796</v>
      </c>
      <c r="DV155" s="485" t="n">
        <v>0.143599999999999</v>
      </c>
      <c r="DW155" s="486" t="n">
        <v>0.14280909090909</v>
      </c>
      <c r="DX155" s="481" t="n">
        <f aca="false">DG155</f>
        <v>49796</v>
      </c>
      <c r="DY155" s="486" t="n">
        <v>0.35</v>
      </c>
      <c r="DZ155" s="481" t="n">
        <f aca="false">DR155</f>
        <v>49796</v>
      </c>
      <c r="EA155" s="486" t="n">
        <f aca="false">DT155</f>
        <v>0.14280909090909</v>
      </c>
      <c r="EB155" s="195"/>
      <c r="EC155" s="547" t="str">
        <f aca="false">IF(BD155,IF(Underlying=1,AS155,AU155),"")</f>
        <v/>
      </c>
      <c r="ED155" s="548" t="str">
        <f aca="false">IF($BD155,$EC155+IF(VolSkewFlag=1,IF(BS155&gt;0,$BA155*MIN(BS155/10%,1)+($BB155-$BA155)*MAX(0,MIN(BS155/10%-1,1))+($BC155-$BB155)*MAX(0,BS155/10%-2),$AZ155*MIN(-BS155/10%,1)+($AY155-$AZ155)*MAX(0,MIN(-BS155/10%-1,1))+($AX155-$AY155)*MAX(0,-BS155/10%-2)),0),"")</f>
        <v/>
      </c>
      <c r="EE155" s="549" t="str">
        <f aca="false">IF($BD155,$EC155+IF(VolSkewFlag=1,IF(BT155&gt;0,$BA155*MIN(BT155/10%,1)+($BB155-$BA155)*MAX(0,MIN(BT155/10%-1,1))+($BC155-$BB155)*MAX(0,BT155/10%-2),$AZ155*MIN(-BT155/10%,1)+($AY155-$AZ155)*MAX(0,MIN(-BT155/10%-1,1))+($AX155-$AY155)*MAX(0,-BT155/10%-2)),0),"")</f>
        <v/>
      </c>
      <c r="EF155" s="550" t="n">
        <f aca="false">IF(BD155,xASN(BR155,Strike1,AO155,ED155,0,BO155,0,BI155,BL155,IF(OptControl=4,0,1),0),0)</f>
        <v>0</v>
      </c>
      <c r="EG155" s="551" t="n">
        <f aca="false">IF(BD155,xASN(BR155,Strike2,AO155,EE155,0,BO155,0,BI155,BL155,IF(OptControl=3,1,0),0),0)</f>
        <v>0</v>
      </c>
      <c r="EL155" s="1"/>
      <c r="EM155" s="195"/>
      <c r="EN155" s="240"/>
      <c r="EO155" s="240"/>
      <c r="EP155" s="195"/>
      <c r="EQ155" s="407" t="s">
        <v>382</v>
      </c>
      <c r="ES155" s="130"/>
      <c r="ET155" s="19"/>
      <c r="EU155" s="672"/>
      <c r="EV155" s="478"/>
      <c r="EW155" s="131"/>
      <c r="EX155" s="131"/>
      <c r="EY155" s="129"/>
      <c r="EZ155" s="129"/>
      <c r="FA155" s="129"/>
      <c r="FB155" s="129"/>
      <c r="FC155" s="129"/>
      <c r="FD155" s="129"/>
      <c r="FE155" s="129"/>
      <c r="FF155" s="129"/>
      <c r="FG155" s="129"/>
      <c r="FH155" s="129"/>
      <c r="FI155" s="129"/>
      <c r="FJ155" s="571" t="n">
        <v>61</v>
      </c>
      <c r="FK155" s="150" t="e">
        <f aca="false">IF($FJ80&lt;FK$94,"",SQRT(FK80/FK$15))</f>
        <v>#DIV/0!</v>
      </c>
      <c r="FL155" s="150" t="n">
        <f aca="false">IF($FJ80&lt;FL$94,"",SQRT(FL80/FL$15))</f>
        <v>-0</v>
      </c>
      <c r="FM155" s="150" t="n">
        <f aca="false">IF($FJ80&lt;FM$94,"",SQRT(FM80/FM$15))</f>
        <v>0.17051103227349</v>
      </c>
      <c r="FN155" s="150" t="n">
        <f aca="false">IF($FJ80&lt;FN$94,"",SQRT(FN80/FN$15))</f>
        <v>0.167234462157898</v>
      </c>
      <c r="FO155" s="150" t="n">
        <f aca="false">IF($FJ80&lt;FO$94,"",SQRT(FO80/FO$15))</f>
        <v>0.16477799926126</v>
      </c>
      <c r="FP155" s="150" t="n">
        <f aca="false">IF($FJ80&lt;FP$94,"",SQRT(FP80/FP$15))</f>
        <v>0.162936785667928</v>
      </c>
      <c r="FQ155" s="150" t="n">
        <f aca="false">IF($FJ80&lt;FQ$94,"",SQRT(FQ80/FQ$15))</f>
        <v>0.161557205949426</v>
      </c>
      <c r="FR155" s="150" t="n">
        <f aca="false">IF($FJ80&lt;FR$94,"",SQRT(FR80/FR$15))</f>
        <v>0.160524081376136</v>
      </c>
      <c r="FS155" s="150" t="n">
        <f aca="false">IF($FJ80&lt;FS$94,"",SQRT(FS80/FS$15))</f>
        <v>0.159751066387606</v>
      </c>
      <c r="FT155" s="150" t="n">
        <f aca="false">IF($FJ80&lt;FT$94,"",SQRT(FT80/FT$15))</f>
        <v>0.159173446896247</v>
      </c>
      <c r="FU155" s="150" t="n">
        <f aca="false">IF($FJ80&lt;FU$94,"",SQRT(FU80/FU$15))</f>
        <v>0.158742740129182</v>
      </c>
      <c r="FV155" s="150" t="n">
        <f aca="false">IF($FJ80&lt;FV$94,"",SQRT(FV80/FV$15))</f>
        <v>0.158422645814641</v>
      </c>
      <c r="FW155" s="150" t="n">
        <f aca="false">IF($FJ80&lt;FW$94,"",SQRT(FW80/FW$15))</f>
        <v>0.1581860111004</v>
      </c>
      <c r="FX155" s="150" t="n">
        <f aca="false">IF($FJ80&lt;FX$94,"",SQRT(FX80/FX$15))</f>
        <v>0.158012556033206</v>
      </c>
      <c r="FY155" s="150" t="n">
        <f aca="false">IF($FJ80&lt;FY$94,"",SQRT(FY80/FY$15))</f>
        <v>0.157887169766033</v>
      </c>
      <c r="FZ155" s="150" t="n">
        <f aca="false">IF($FJ80&lt;FZ$94,"",SQRT(FZ80/FZ$15))</f>
        <v>0.157798635171304</v>
      </c>
      <c r="GA155" s="150" t="n">
        <f aca="false">IF($FJ80&lt;GA$94,"",SQRT(GA80/GA$15))</f>
        <v>0.157738675181085</v>
      </c>
      <c r="GB155" s="150" t="n">
        <f aca="false">IF($FJ80&lt;GB$94,"",SQRT(GB80/GB$15))</f>
        <v>0.157701240918536</v>
      </c>
      <c r="GC155" s="150" t="n">
        <f aca="false">IF($FJ80&lt;GC$94,"",SQRT(GC80/GC$15))</f>
        <v>0.157681981755523</v>
      </c>
      <c r="GD155" s="150" t="n">
        <f aca="false">IF($FJ80&lt;GD$94,"",SQRT(GD80/GD$15))</f>
        <v>0.157677852499942</v>
      </c>
      <c r="GE155" s="150" t="n">
        <f aca="false">IF($FJ80&lt;GE$94,"",SQRT(GE80/GE$15))</f>
        <v>0.157686824236536</v>
      </c>
      <c r="GF155" s="150" t="n">
        <f aca="false">IF($FJ80&lt;GF$94,"",SQRT(GF80/GF$15))</f>
        <v>0.157707673857455</v>
      </c>
      <c r="GG155" s="150" t="n">
        <f aca="false">IF($FJ80&lt;GG$94,"",SQRT(GG80/GG$15))</f>
        <v>0.157739833730074</v>
      </c>
      <c r="GH155" s="150" t="n">
        <f aca="false">IF($FJ80&lt;GH$94,"",SQRT(GH80/GH$15))</f>
        <v>0.157783287790309</v>
      </c>
      <c r="GI155" s="150" t="n">
        <f aca="false">IF($FJ80&lt;GI$94,"",SQRT(GI80/GI$15))</f>
        <v>0.157838504019352</v>
      </c>
      <c r="GJ155" s="150" t="n">
        <f aca="false">IF($FJ80&lt;GJ$94,"",SQRT(GJ80/GJ$15))</f>
        <v>0.157906396061448</v>
      </c>
      <c r="GK155" s="150" t="n">
        <f aca="false">IF($FJ80&lt;GK$94,"",SQRT(GK80/GK$15))</f>
        <v>0.15798830889817</v>
      </c>
      <c r="GL155" s="150" t="n">
        <f aca="false">IF($FJ80&lt;GL$94,"",SQRT(GL80/GL$15))</f>
        <v>0.158086025184141</v>
      </c>
      <c r="GM155" s="150" t="n">
        <f aca="false">IF($FJ80&lt;GM$94,"",SQRT(GM80/GM$15))</f>
        <v>0.158201790204222</v>
      </c>
      <c r="GN155" s="150" t="n">
        <f aca="false">IF($FJ80&lt;GN$94,"",SQRT(GN80/GN$15))</f>
        <v>0.158338354537722</v>
      </c>
      <c r="GO155" s="150" t="n">
        <f aca="false">IF($FJ80&lt;GO$94,"",SQRT(GO80/GO$15))</f>
        <v>0.158499034496012</v>
      </c>
      <c r="GP155" s="150" t="n">
        <f aca="false">IF($FJ80&lt;GP$94,"",SQRT(GP80/GP$15))</f>
        <v>0.158687791307839</v>
      </c>
      <c r="GQ155" s="150" t="n">
        <f aca="false">IF($FJ80&lt;GQ$94,"",SQRT(GQ80/GQ$15))</f>
        <v>0.158909330926284</v>
      </c>
      <c r="GR155" s="150" t="n">
        <f aca="false">IF($FJ80&lt;GR$94,"",SQRT(GR80/GR$15))</f>
        <v>0.159169227286011</v>
      </c>
      <c r="GS155" s="150" t="n">
        <f aca="false">IF($FJ80&lt;GS$94,"",SQRT(GS80/GS$15))</f>
        <v>0.159474072916687</v>
      </c>
      <c r="GT155" s="150" t="n">
        <f aca="false">IF($FJ80&lt;GT$94,"",SQRT(GT80/GT$15))</f>
        <v>0.159831662096437</v>
      </c>
      <c r="GU155" s="150" t="n">
        <f aca="false">IF($FJ80&lt;GU$94,"",SQRT(GU80/GU$15))</f>
        <v>0.160251213304543</v>
      </c>
      <c r="GV155" s="150" t="n">
        <f aca="false">IF($FJ80&lt;GV$94,"",SQRT(GV80/GV$15))</f>
        <v>0.160743639731125</v>
      </c>
      <c r="GW155" s="150" t="n">
        <f aca="false">IF($FJ80&lt;GW$94,"",SQRT(GW80/GW$15))</f>
        <v>0.161321879191981</v>
      </c>
      <c r="GX155" s="150" t="n">
        <f aca="false">IF($FJ80&lt;GX$94,"",SQRT(GX80/GX$15))</f>
        <v>0.162001298212028</v>
      </c>
      <c r="GY155" s="150" t="n">
        <f aca="false">IF($FJ80&lt;GY$94,"",SQRT(GY80/GY$15))</f>
        <v>0.162800189607283</v>
      </c>
      <c r="GZ155" s="150" t="n">
        <f aca="false">IF($FJ80&lt;GZ$94,"",SQRT(GZ80/GZ$15))</f>
        <v>0.163740389077812</v>
      </c>
      <c r="HA155" s="150" t="n">
        <f aca="false">IF($FJ80&lt;HA$94,"",SQRT(HA80/HA$15))</f>
        <v>0.164848044792914</v>
      </c>
      <c r="HB155" s="150" t="n">
        <f aca="false">IF($FJ80&lt;HB$94,"",SQRT(HB80/HB$15))</f>
        <v>0.166154585683972</v>
      </c>
      <c r="HC155" s="150" t="n">
        <f aca="false">IF($FJ80&lt;HC$94,"",SQRT(HC80/HC$15))</f>
        <v>0.167697950607985</v>
      </c>
      <c r="HD155" s="150" t="n">
        <f aca="false">IF($FJ80&lt;HD$94,"",SQRT(HD80/HD$15))</f>
        <v>0.169524163875922</v>
      </c>
      <c r="HE155" s="150" t="n">
        <f aca="false">IF($FJ80&lt;HE$94,"",SQRT(HE80/HE$15))</f>
        <v>0.171689376152891</v>
      </c>
      <c r="HF155" s="150" t="n">
        <f aca="false">IF($FJ80&lt;HF$94,"",SQRT(HF80/HF$15))</f>
        <v>0.174262538519603</v>
      </c>
      <c r="HG155" s="150" t="n">
        <f aca="false">IF($FJ80&lt;HG$94,"",SQRT(HG80/HG$15))</f>
        <v>0.177328949512099</v>
      </c>
      <c r="HH155" s="150" t="n">
        <f aca="false">IF($FJ80&lt;HH$94,"",SQRT(HH80/HH$15))</f>
        <v>0.180995022949496</v>
      </c>
      <c r="HI155" s="150" t="n">
        <f aca="false">IF($FJ80&lt;HI$94,"",SQRT(HI80/HI$15))</f>
        <v>0.185394788988133</v>
      </c>
      <c r="HJ155" s="150" t="n">
        <f aca="false">IF($FJ80&lt;HJ$94,"",SQRT(HJ80/HJ$15))</f>
        <v>0.190698896382088</v>
      </c>
      <c r="HK155" s="150" t="n">
        <f aca="false">IF($FJ80&lt;HK$94,"",SQRT(HK80/HK$15))</f>
        <v>0.197127288490547</v>
      </c>
      <c r="HL155" s="150" t="n">
        <f aca="false">IF($FJ80&lt;HL$94,"",SQRT(HL80/HL$15))</f>
        <v>0.204967380043145</v>
      </c>
      <c r="HM155" s="150" t="n">
        <f aca="false">IF($FJ80&lt;HM$94,"",SQRT(HM80/HM$15))</f>
        <v>0.214600645898325</v>
      </c>
      <c r="HN155" s="150" t="n">
        <f aca="false">IF($FJ80&lt;HN$94,"",SQRT(HN80/HN$15))</f>
        <v>0.226542376976</v>
      </c>
      <c r="HO155" s="150" t="n">
        <f aca="false">IF($FJ80&lt;HO$94,"",SQRT(HO80/HO$15))</f>
        <v>0.241502587265074</v>
      </c>
      <c r="HP155" s="150" t="n">
        <f aca="false">IF($FJ80&lt;HP$94,"",SQRT(HP80/HP$15))</f>
        <v>0.260481896099458</v>
      </c>
      <c r="HQ155" s="150" t="n">
        <f aca="false">IF($FJ80&lt;HQ$94,"",SQRT(HQ80/HQ$15))</f>
        <v>0.284927167297373</v>
      </c>
      <c r="HR155" s="150" t="n">
        <f aca="false">IF($FJ80&lt;HR$94,"",SQRT(HR80/HR$15))</f>
        <v>0.316993113362232</v>
      </c>
      <c r="HS155" s="150" t="n">
        <f aca="false">IF($FJ80&lt;HS$94,"",SQRT(HS80/HS$15))</f>
        <v>0.360000001700883</v>
      </c>
      <c r="HT155" s="150" t="str">
        <f aca="false">IF($FJ80&lt;HT$94,"",SQRT(HT80/HT$15))</f>
        <v/>
      </c>
      <c r="HU155" s="150" t="str">
        <f aca="false">IF($FJ80&lt;HU$94,"",SQRT(HU80/HU$15))</f>
        <v/>
      </c>
      <c r="HV155" s="150" t="str">
        <f aca="false">IF($FJ80&lt;HV$94,"",SQRT(HV80/HV$15))</f>
        <v/>
      </c>
      <c r="HW155" s="150" t="str">
        <f aca="false">IF($FJ80&lt;HW$94,"",SQRT(HW80/HW$15))</f>
        <v/>
      </c>
      <c r="HX155" s="150" t="str">
        <f aca="false">IF($FJ80&lt;HX$94,"",SQRT(HX80/HX$15))</f>
        <v/>
      </c>
      <c r="HY155" s="150" t="str">
        <f aca="false">IF($FJ80&lt;HY$94,"",SQRT(HY80/HY$15))</f>
        <v/>
      </c>
      <c r="HZ155" s="150" t="str">
        <f aca="false">IF($FJ80&lt;HZ$94,"",SQRT(HZ80/HZ$15))</f>
        <v/>
      </c>
      <c r="IA155" s="150" t="str">
        <f aca="false">IF($FJ80&lt;IA$94,"",SQRT(IA80/IA$15))</f>
        <v/>
      </c>
      <c r="IB155" s="150" t="str">
        <f aca="false">IF($FJ80&lt;IB$94,"",SQRT(IB80/IB$15))</f>
        <v/>
      </c>
      <c r="IC155" s="150" t="str">
        <f aca="false">IF($FJ80&lt;IC$94,"",SQRT(IC80/IC$15))</f>
        <v/>
      </c>
      <c r="ID155" s="572" t="str">
        <f aca="false">IF($FJ80&lt;ID$94,"",SQRT(ID80/ID$15))</f>
        <v/>
      </c>
      <c r="IE155" s="129"/>
    </row>
    <row r="156" customFormat="false" ht="12.75" hidden="false" customHeight="false" outlineLevel="0" collapsed="false">
      <c r="H156" s="219" t="n">
        <f aca="false">VLOOKUP(I156,$EJ$20:$EL$54,3)</f>
        <v>0</v>
      </c>
      <c r="I156" s="511" t="n">
        <f aca="false">EOMONTH(I155,0)+1</f>
        <v>40909</v>
      </c>
      <c r="J156" s="512"/>
      <c r="K156" s="513" t="s">
        <v>280</v>
      </c>
      <c r="L156" s="514" t="n">
        <f aca="false">IF(ISNUMBER(K156),J156+K156/100,IF(K156="extra",L155+VLOOKUP(BF156,PriceSpreadTable,2)/12,IF(K156="inter",interpolateprices($K$19:$L$200,ROW(K156)-ROW(FirstPricingMonth)+1),interpolatechanges($J$19:$K$200,ROW(K156)-ROW(FirstPricingMonth)+1))))</f>
        <v>2.25</v>
      </c>
      <c r="M156" s="515"/>
      <c r="N156" s="516" t="n">
        <v>0</v>
      </c>
      <c r="O156" s="515" t="n">
        <f aca="false">M156+N156</f>
        <v>0</v>
      </c>
      <c r="P156" s="512"/>
      <c r="Q156" s="513" t="s">
        <v>280</v>
      </c>
      <c r="R156" s="512" t="e">
        <f aca="false">IF(ISNUMBER(Q156),P156+Q156/100,IF(Q156="extra",(Z154*AL154-R155*AM154)/AN154,IF(Q156="inter",interpolateprices($Q$19:$R$260,ROW(Q156)-ROW(FirstPricingMonth)+1),interpolatechanges($P$19:$Q$260,ROW(Q156)-ROW(FirstPricingMonth)+1))))</f>
        <v>#VALUE!</v>
      </c>
      <c r="S156" s="597" t="n">
        <f aca="false">S$19+(S155-S$19)*S$18</f>
        <v>0.36</v>
      </c>
      <c r="T156" s="575" t="n">
        <f aca="false">SQRT((1-(1-T155^2/U155)*T$18)*U156)</f>
        <v>0.999999999937211</v>
      </c>
      <c r="U156" s="576" t="n">
        <f aca="false">1-(1-U155)*U$18</f>
        <v>1</v>
      </c>
      <c r="V156" s="521" t="n">
        <v>0</v>
      </c>
      <c r="W156" s="577" t="n">
        <f aca="false">(J157*AJ156+J158*AK156)/AI156</f>
        <v>0</v>
      </c>
      <c r="X156" s="578" t="n">
        <f aca="false">(L157*AJ156+L158*AK156)/AI156</f>
        <v>2.29943181818182</v>
      </c>
      <c r="Y156" s="579" t="n">
        <f aca="false">IF(Q158="extra",W156-AA156,(P157*AM156+P158*AN156)/AL156)</f>
        <v>-1.1685</v>
      </c>
      <c r="Z156" s="579" t="n">
        <f aca="false">IF(Q158="extra",X156-AB156,(R157*AM156+R158*AN156)/AL156)</f>
        <v>1.13093181818182</v>
      </c>
      <c r="AA156" s="523" t="n">
        <f aca="false">IF(Q158="extra",INDEX(BrentSeasonalityTable,INT((BG156-1)/3)+1)*VLOOKUP(MAX(BF156,$AB$4),PriceSpreadTable,3),W156-Y156)</f>
        <v>1.1685</v>
      </c>
      <c r="AB156" s="524" t="n">
        <f aca="false">IF(Q158="extra",INDEX(BrentSeasonalityTable,INT((BG156-1)/3)+1)*VLOOKUP(MAX(BF156,$AB$4),PriceSpreadTable,3),X156-Z156)</f>
        <v>1.1685</v>
      </c>
      <c r="AC156" s="646" t="n">
        <v>40897</v>
      </c>
      <c r="AD156" s="646" t="n">
        <v>40893</v>
      </c>
      <c r="AE156" s="646" t="n">
        <v>40892</v>
      </c>
      <c r="AF156" s="646" t="n">
        <v>40888</v>
      </c>
      <c r="AG156" s="438" t="s">
        <v>278</v>
      </c>
      <c r="AH156" s="439" t="s">
        <v>278</v>
      </c>
      <c r="AI156" s="528" t="n">
        <v>22</v>
      </c>
      <c r="AJ156" s="529" t="n">
        <v>15</v>
      </c>
      <c r="AK156" s="529" t="n">
        <v>7</v>
      </c>
      <c r="AL156" s="530" t="n">
        <v>22</v>
      </c>
      <c r="AM156" s="529" t="n">
        <v>10</v>
      </c>
      <c r="AN156" s="531" t="n">
        <v>12</v>
      </c>
      <c r="AO156" s="532"/>
      <c r="AP156" s="465" t="n">
        <f aca="false">(1+AO156/2)^(-2*BL156)</f>
        <v>1</v>
      </c>
      <c r="AQ156" s="532"/>
      <c r="AR156" s="465" t="n">
        <f aca="false">(1+AQ156/2)^(-2*BH156/365.25)</f>
        <v>1</v>
      </c>
      <c r="AS156" s="580" t="n">
        <f aca="false">(O157*AJ156+O158*AK156)/AI156</f>
        <v>0</v>
      </c>
      <c r="AT156" s="468" t="n">
        <f aca="false">O156*VLOOKUP(BF156,BrentVolTable,2)+VLOOKUP(BF156,BrentVolTable,3)</f>
        <v>0</v>
      </c>
      <c r="AU156" s="468" t="n">
        <f aca="false">(AT157*AM156+AT158*AN156)/AL156</f>
        <v>0</v>
      </c>
      <c r="AV156" s="595" t="n">
        <f aca="false">SQRT(MAX(0.000000000001,(O156^2*BH156-S156^2*(BH156-BH155))/BH155))</f>
        <v>0.0277141815564547</v>
      </c>
      <c r="AW156" s="451" t="n">
        <f aca="false">IF($I156-DateToday+15&gt;=$T$8,"",IF($I156-DateToday+15&lt;$T$5,1,MATCH($I156-DateToday+15,$T$5:$T$8)))</f>
        <v>1</v>
      </c>
      <c r="AX156" s="468" t="n">
        <f aca="false">IF($AW156="",AX155^2/AX154,INDEX(U$5:U$8,$AW156)^((INDEX($T$5:$T$8,$AW156+1)-($I156-DateToday+15))/(INDEX($T$5:$T$8,$AW156+1)-INDEX($T$5:$T$8,$AW156)))/INDEX(U$5:U$8,$AW156+1)^((INDEX($T$5:$T$8,$AW156)-($I156-DateToday+15))/(INDEX($T$5:$T$8,$AW156+1)-INDEX($T$5:$T$8,$AW156))))</f>
        <v>0.685553384124839</v>
      </c>
      <c r="AY156" s="468" t="n">
        <f aca="false">IF($AW156="",AY155^2/AY154,INDEX(V$5:V$8,$AW156)^((INDEX($T$5:$T$8,$AW156+1)-($I156-DateToday+15))/(INDEX($T$5:$T$8,$AW156+1)-INDEX($T$5:$T$8,$AW156)))/INDEX(V$5:V$8,$AW156+1)^((INDEX($T$5:$T$8,$AW156)-($I156-DateToday+15))/(INDEX($T$5:$T$8,$AW156+1)-INDEX($T$5:$T$8,$AW156))))</f>
        <v>16.9529523797003</v>
      </c>
      <c r="AZ156" s="468" t="n">
        <f aca="false">IF($AW156="",AZ155^2/AZ154,INDEX(W$5:W$8,$AW156)^((INDEX($T$5:$T$8,$AW156+1)-($I156-DateToday+15))/(INDEX($T$5:$T$8,$AW156+1)-INDEX($T$5:$T$8,$AW156)))/INDEX(W$5:W$8,$AW156+1)^((INDEX($T$5:$T$8,$AW156)-($I156-DateToday+15))/(INDEX($T$5:$T$8,$AW156+1)-INDEX($T$5:$T$8,$AW156))))</f>
        <v>9692.95098244662</v>
      </c>
      <c r="BA156" s="468" t="n">
        <f aca="false">IF($AW156="",BA155^2/BA154,INDEX(X$5:X$8,$AW156)^((INDEX($T$5:$T$8,$AW156+1)-($I156-DateToday+15))/(INDEX($T$5:$T$8,$AW156+1)-INDEX($T$5:$T$8,$AW156)))/INDEX(X$5:X$8,$AW156+1)^((INDEX($T$5:$T$8,$AW156)-($I156-DateToday+15))/(INDEX($T$5:$T$8,$AW156+1)-INDEX($T$5:$T$8,$AW156))))</f>
        <v>69219.1182101296</v>
      </c>
      <c r="BB156" s="468" t="n">
        <f aca="false">IF($AW156="",BB155^2/BB154,INDEX(Y$5:Y$8,$AW156)^((INDEX($T$5:$T$8,$AW156+1)-($I156-DateToday+15))/(INDEX($T$5:$T$8,$AW156+1)-INDEX($T$5:$T$8,$AW156)))/INDEX(Y$5:Y$8,$AW156+1)^((INDEX($T$5:$T$8,$AW156)-($I156-DateToday+15))/(INDEX($T$5:$T$8,$AW156+1)-INDEX($T$5:$T$8,$AW156))))</f>
        <v>497948.525784903</v>
      </c>
      <c r="BC156" s="468" t="n">
        <f aca="false">IF($AW156="",BC155^2/BC154,INDEX(Z$5:Z$8,$AW156)^((INDEX($T$5:$T$8,$AW156+1)-($I156-DateToday+15))/(INDEX($T$5:$T$8,$AW156+1)-INDEX($T$5:$T$8,$AW156)))/INDEX(Z$5:Z$8,$AW156+1)^((INDEX($T$5:$T$8,$AW156)-($I156-DateToday+15))/(INDEX($T$5:$T$8,$AW156+1)-INDEX($T$5:$T$8,$AW156))))</f>
        <v>1647229.65263667</v>
      </c>
      <c r="BD156" s="535" t="n">
        <f aca="false">IF(OR(DateStart&gt;=I157,DateEnd&lt;I156),0,IF(VolumeOverrideFlag,V156,Volume))</f>
        <v>0</v>
      </c>
      <c r="BE156" s="536" t="n">
        <f aca="false">IF(OR(DateStart2&gt;=I157,DateEnd2&lt;I156),0,IF(VolumeOverrideFlag,V156,VolumeSwaption))</f>
        <v>0</v>
      </c>
      <c r="BF156" s="537" t="n">
        <f aca="false">YEAR(I156)</f>
        <v>2012</v>
      </c>
      <c r="BG156" s="538" t="n">
        <f aca="false">MONTH(I156)</f>
        <v>1</v>
      </c>
      <c r="BH156" s="539" t="n">
        <f aca="false">AD156-DateToday+1</f>
        <v>-5032</v>
      </c>
      <c r="BI156" s="540" t="n">
        <f aca="false">(I156-DateToday+1)/365.25</f>
        <v>-13.7330595482546</v>
      </c>
      <c r="BJ156" s="541" t="n">
        <f aca="false">BI156+(BL156-BI156)*CHOOSE(Underlying,AJ156/AI156,AM156/AL156)</f>
        <v>-13.6770580548815</v>
      </c>
      <c r="BK156" s="541" t="n">
        <f aca="false">BJ156+1/365.25</f>
        <v>-13.6743202040943</v>
      </c>
      <c r="BL156" s="541" t="n">
        <f aca="false">(I157-DateToday)/365.25</f>
        <v>-13.6509240246407</v>
      </c>
      <c r="BM156" s="542" t="e">
        <f aca="false">MAX(BI156-(BJ156-BI156)*(S157^2/O157^2-1),0)</f>
        <v>#DIV/0!</v>
      </c>
      <c r="BN156" s="541" t="e">
        <f aca="false">MAX(BL156+(BL156-BK156)*(S158^2/O158^2-1),0)</f>
        <v>#DIV/0!</v>
      </c>
      <c r="BO156" s="530" t="n">
        <f aca="false">CHOOSE(Underlying,AI156,AL156)</f>
        <v>22</v>
      </c>
      <c r="BP156" s="529" t="n">
        <f aca="false">CHOOSE(Underlying,AJ156,AM156)</f>
        <v>15</v>
      </c>
      <c r="BQ156" s="529" t="n">
        <f aca="false">CHOOSE(Underlying,AK156,AN156)</f>
        <v>7</v>
      </c>
      <c r="BR156" s="463" t="str">
        <f aca="false">IF(BD156,IF(Underlying=1,X156,Z156)+UnderlyingPriceAsian-SwapPriceCurve,"")</f>
        <v/>
      </c>
      <c r="BS156" s="463" t="str">
        <f aca="false">IF(BD156,Strike1/BR156-1,"")</f>
        <v/>
      </c>
      <c r="BT156" s="464" t="str">
        <f aca="false">IF(BD156,Strike2/BR156-1,"")</f>
        <v/>
      </c>
      <c r="BU156" s="465" t="str">
        <f aca="false">IF(BD156,IF(Underlying=1,L157,R157)+UnderlyingPriceAsian-SwapPriceCurve,"")</f>
        <v/>
      </c>
      <c r="BV156" s="465" t="str">
        <f aca="false">IF(BD156,IF(Underlying=1,L158,R158)+UnderlyingPriceAsian-SwapPriceCurve,"")</f>
        <v/>
      </c>
      <c r="BW156" s="466" t="str">
        <f aca="false">IF(BD156,IF(Underlying=1,O157,AT157),"")</f>
        <v/>
      </c>
      <c r="BX156" s="467" t="str">
        <f aca="false">IF(BD156,IF(Underlying=1,O158,AT158),"")</f>
        <v/>
      </c>
      <c r="BY156" s="466" t="str">
        <f aca="false">IF(BD156,IF(BS156&gt;0,IF(BS156&gt;0.2,BC156-BB156,IF(BS156&gt;0.1,BB156-BA156,BA156)),IF(BS156&lt;-0.2,AX156-AY156,IF(BS156&lt;-0.1,AY156-AZ156,AZ156))),"")</f>
        <v/>
      </c>
      <c r="BZ156" s="467" t="str">
        <f aca="false">IF(BD156,IF(BT156&gt;0,IF(BT156&gt;0.2,BC156-BB156,IF(BT156&gt;0.1,BB156-BA156,BA156)),IF(BT156&lt;-0.2,AX156-AY156,IF(BT156&lt;-0.1,AY156-AZ156,AZ156))),"")</f>
        <v/>
      </c>
      <c r="CA156" s="468" t="str">
        <f aca="false">IF($BD156,$BW156+IF(VolSkewFlag=1,IF(BS156&gt;0,$BA156*MIN(BS156/10%,1)+($BB156-$BA156)*MAX(0,MIN(BS156/10%-1,1))+($BC156-$BB156)*MAX(0,BS156/10%-2),$AZ156*MIN(-BS156/10%,1)+($AY156-$AZ156)*MAX(0,MIN(-BS156/10%-1,1))+($AX156-$AY156)*MAX(0,-BS156/10%-2)),0),"")</f>
        <v/>
      </c>
      <c r="CB156" s="468" t="str">
        <f aca="false">IF($BD156,$BX156+IF(VolSkewFlag=1,IF(BS156&gt;0,$BA156*MIN(BS156/10%,1)+($BB156-$BA156)*MAX(0,MIN(BS156/10%-1,1))+($BC156-$BB156)*MAX(0,BS156/10%-2),$AZ156*MIN(-BS156/10%,1)+($AY156-$AZ156)*MAX(0,MIN(-BS156/10%-1,1))+($AX156-$AY156)*MAX(0,-BS156/10%-2)),0),"")</f>
        <v/>
      </c>
      <c r="CC156" s="468" t="str">
        <f aca="false">IF($BD156,$BW156+IF(VolSkewFlag=1,IF(BT156&gt;0,$BA156*MIN(BT156/10%,1)+($BB156-$BA156)*MAX(0,MIN(BT156/10%-1,1))+($BC156-$BB156)*MAX(0,BT156/10%-2),$AZ156*MIN(-BT156/10%,1)+($AY156-$AZ156)*MAX(0,MIN(-BT156/10%-1,1))+($AX156-$AY156)*MAX(0,-BT156/10%-2)),0),"")</f>
        <v/>
      </c>
      <c r="CD156" s="468" t="str">
        <f aca="false">IF($BD156,$BX156+IF(VolSkewFlag=1,IF(BT156&gt;0,$BA156*MIN(BT156/10%,1)+($BB156-$BA156)*MAX(0,MIN(BT156/10%-1,1))+($BC156-$BB156)*MAX(0,BT156/10%-2),$AZ156*MIN(-BT156/10%,1)+($AY156-$AZ156)*MAX(0,MIN(-BT156/10%-1,1))+($AX156-$AY156)*MAX(0,-BT156/10%-2)),0),"")</f>
        <v/>
      </c>
      <c r="CE156" s="469" t="n">
        <v>1</v>
      </c>
      <c r="CF156" s="470" t="n">
        <f aca="false">IF(BD156,xCrudeAPO(BU156,BV156,CA156,CB156,S157,S158,BI156,BL156,BP156,BQ156,0,Strike1,AO156,CE156,0,BL156,IF(OptControl=4,0,1),0,1),0)</f>
        <v>0</v>
      </c>
      <c r="CG156" s="470" t="n">
        <f aca="false">IF(BD156,xCrudeAPO(BU156,BV156,CA156,CB156,S157,S158,BI156,BL156,BP156,BQ156,0,Strike1,AO156,CE156,0,BL156,IF(OptControl=4,0,1),1,1)+xCrudeAPO(BU156,BV156,CA156,CB156,S157,S158,BI156,BL156,BP156,BQ156,0,Strike1,AO156,CE156,0,BL156,IF(OptControl=4,0,1),1,2)+IF(OR(VolSkewFlag=2,ABS(BS156)&lt;0.0001),0,IF(BS156&gt;0,-1,1)*CH156*Strike1/BR156^2*BY156/10%),0)</f>
        <v>0</v>
      </c>
      <c r="CH156" s="470" t="n">
        <f aca="false">IF(BD156,(xCrudeAPO(BU156,BV156,CA156,CB156,S157,S158,BI156,BL156,BP156,BQ156,0,Strike1,AO156,CE156,0,BL156,IF(OptControl=4,0,1),3,1)+xCrudeAPO(BU156,BV156,CA156,CB156,S157,S158,BI156,BL156,BP156,BQ156,0,Strike1,AO156,CE156,0,BL156,IF(OptControl=4,0,1),3,2))/100,0)</f>
        <v>0</v>
      </c>
      <c r="CI156" s="470" t="n">
        <f aca="false">IF(BD156,xCrudeAPO(BU156,BV156,CA156,CB156,S157,S158,BI156-DaysForThetaCalculation/365.25,BL156-DaysForThetaCalculation/365.25,BP156,BQ156,0,Strike1,AO156,CE156,0,BL156,IF(OptControl=4,0,1),0,1)-xCrudeAPO(BU156,BV156,CA156,CB156,S157,S158,BI156,BL156,BP156,BQ156,0,Strike1,AO156,CE156,0,BL156,IF(OptControl=4,0,1),0,1),0)</f>
        <v>0</v>
      </c>
      <c r="CJ156" s="471" t="n">
        <f aca="false">IF(BD156,xCrudeAPO(BU156,BV156,CC156,CD156,S157,S158,BI156,BL156,BP156,BQ156,0,Strike2,AO156,CE156,0,BL156,IF(OptControl=3,1,0),0,1),0)</f>
        <v>0</v>
      </c>
      <c r="CK156" s="470" t="n">
        <f aca="false">IF(BD156,xCrudeAPO(BU156,BV156,CC156,CD156,S157,S158,BI156,BL156,BP156,BQ156,0,Strike2,AO156,CE156,0,BL156,IF(OptControl=3,1,0),1,1)+xCrudeAPO(BU156,BV156,CC156,CD156,S157,S158,BI156,BL156,BP156,BQ156,0,Strike2,AO156,CE156,0,BL156,IF(OptControl=3,1,0),1,2)+IF(OR(VolSkewFlag=2,ABS(BT156)&lt;0.0001),0,IF(BT156&gt;0,-1,1)*CL156*Strike2/BR156^2*BZ156/10%),0)</f>
        <v>0</v>
      </c>
      <c r="CL156" s="470" t="n">
        <f aca="false">IF(BD156,(xCrudeAPO(BU156,BV156,CC156,CD156,S157,S158,BI156,BL156,BP156,BQ156,0,Strike2,AO156,CE156,0,BL156,IF(OptControl=3,1,0),3,1)+xCrudeAPO(BU156,BV156,CC156,CD156,S157,S158,BI156,BL156,BP156,BQ156,0,Strike2,AO156,CE156,0,BL156,IF(OptControl=3,1,0),3,2))/100,0)</f>
        <v>0</v>
      </c>
      <c r="CM156" s="472" t="n">
        <f aca="false">IF(BD156,xCrudeAPO(BU156,BV156,CC156,CD156,S157,S158,BI156-DaysForThetaCalculation/365.25,BL156-DaysForThetaCalculation/365.25,BP156,BQ156,0,Strike2,AO156,CE156,0,BL156,IF(OptControl=3,1,0),0,1)-xCrudeAPO(BU156,BV156,CC156,CD156,S157,S158,BI156,BL156,BP156,BQ156,0,Strike2,AO156,CE156,0,BL156,IF(OptControl=3,1,0),0,1),0)</f>
        <v>0</v>
      </c>
      <c r="CN156" s="3"/>
      <c r="CO156" s="543" t="str">
        <f aca="false">IF(BD156,CHOOSE(Underlying,AD156,AF156)-DateToday+1,"")</f>
        <v/>
      </c>
      <c r="CP156" s="582" t="str">
        <f aca="false">IF(BD156,CHOOSE(Underlying,L156,R156),"")</f>
        <v/>
      </c>
      <c r="CQ156" s="544" t="str">
        <f aca="false">IF(BD156,Strike1/CP156-1,"")</f>
        <v/>
      </c>
      <c r="CR156" s="544" t="str">
        <f aca="false">IF(BD156,Strike2/CP156-1,"")</f>
        <v/>
      </c>
      <c r="CS156" s="544" t="str">
        <f aca="false">IF(BD156,IF(CQ156&gt;0,IF(CQ156&gt;0.2,BC155-BB155,IF(CQ156&gt;0.1,BB155-BA155,BA155)),IF(CQ156&lt;-0.2,AX155-AY155,IF(CQ156&lt;-0.1,AY155-AZ155,AZ155))),"")</f>
        <v/>
      </c>
      <c r="CT156" s="544" t="str">
        <f aca="false">IF(BD156,IF(CR156&gt;0,IF(CR156&gt;0.2,BC155-BB155,IF(CR156&gt;0.1,BB155-BA155,BA155)),IF(CR156&lt;-0.2,AX155-AY155,IF(CR156&lt;-0.1,AY155-AZ155,AZ155))),"")</f>
        <v/>
      </c>
      <c r="CU156" s="545" t="str">
        <f aca="false">IF(BD156,CHOOSE(Underlying,O156,AT156),"")</f>
        <v/>
      </c>
      <c r="CV156" s="545" t="str">
        <f aca="false">IF(BD156,CU156+IF(VolSkewFlag=1,IF(CQ156&gt;0,BA155*MIN(CQ156/10%,1)+(BB155-BA155)*MAX(0,MIN(CQ156/10%-1,1))+(BC155-BB155)*MAX(0,CQ156/10%-2),AZ155*MIN(-CQ156/10%,1)+(AY155-AZ155)*MAX(0,MIN(-CQ156/10%-1,1))+(AX155-AY155)*MAX(0,-CQ156/10%-2)),0),"")</f>
        <v/>
      </c>
      <c r="CW156" s="545" t="str">
        <f aca="false">IF(BD156,CU156+IF(VolSkewFlag=1,IF(CR156&gt;0,BA155*MIN(CR156/10%,1)+(BB155-BA155)*MAX(0,MIN(CR156/10%-1,1))+(BC155-BB155)*MAX(0,CR156/10%-2),AZ155*MIN(-CR156/10%,1)+(AY155-AZ155)*MAX(0,MIN(-CR156/10%-1,1))+(AX155-AY155)*MAX(0,-CR156/10%-2)),0),"")</f>
        <v/>
      </c>
      <c r="CX156" s="470" t="n">
        <f aca="false">IF(BD156,EURO(CP156,Strike1,AO156,AO156,CV156,CO156,IF(OptControl=4,0,1),0),0)</f>
        <v>0</v>
      </c>
      <c r="CY156" s="470" t="n">
        <f aca="false">IF(BD156,EURO(CP156,Strike1,AO156,AO156,CV156,CO156,IF(OptControl=4,0,1),1)+IF(OR(VolSkewFlag=2,ABS(CQ156)&lt;0.0001),0,IF(CQ156&gt;0,-1,1)*CZ156*100*Strike1/CP156^2*CS156/10%),0)</f>
        <v>0</v>
      </c>
      <c r="CZ156" s="470" t="n">
        <f aca="false">IF(BD156,EURO(CP156,Strike1,AO156,AO156,CV156,CO156,IF(OptControl=4,0,1),3)/100,0)</f>
        <v>0</v>
      </c>
      <c r="DA156" s="470" t="n">
        <f aca="false">IF(BD156,EURO(CP156,Strike1,AO156,AO156,CV156,CO156,IF(OptControl=4,0,1),0)-EURO(CP156,Strike1,AO156,AO156,CV156,CO156-1,IF(OptControl=4,0,1),0),0)</f>
        <v>0</v>
      </c>
      <c r="DB156" s="470" t="n">
        <f aca="false">IF(BD156,EURO(CP156,Strike2,AO156,AO156,CW156,CO156,IF(OptControl=3,1,0),0),0)</f>
        <v>0</v>
      </c>
      <c r="DC156" s="470" t="n">
        <f aca="false">IF(BD156,EURO(CP156,Strike2,AO156,AO156,CW156,CO156,IF(OptControl=3,1,0),1)+IF(OR(VolSkewFlag=2,ABS(CR156)&lt;0.0001),0,IF(CR156&gt;0,-1,1)*DD156*100*Strike2/CP156^2*CT156/10%),0)</f>
        <v>0</v>
      </c>
      <c r="DD156" s="470" t="n">
        <f aca="false">IF(BD156,EURO(CP156,Strike2,AO156,AO156,CW156,CO156,IF(OptControl=3,1,0),3)/100,0)</f>
        <v>0</v>
      </c>
      <c r="DE156" s="472" t="n">
        <f aca="false">IF(BD156,EURO(CP156,Strike2,AO156,AO156,CW156,CO156,IF(OptControl=3,1,0),0)-EURO(CP156,Strike2,AO156,AO156,CW156,CO156-1,IF(OptControl=3,1,0),0),0)</f>
        <v>0</v>
      </c>
      <c r="DG156" s="481" t="n">
        <f aca="false">EOMONTH(DG155,0)+1</f>
        <v>49827</v>
      </c>
      <c r="DH156" s="478" t="n">
        <v>20.96</v>
      </c>
      <c r="DI156" s="479" t="n">
        <v>21.0281818181819</v>
      </c>
      <c r="DJ156" s="480" t="n">
        <f aca="false">DG156</f>
        <v>49827</v>
      </c>
      <c r="DK156" s="478" t="n">
        <v>19.5347028520589</v>
      </c>
      <c r="DL156" s="479" t="n">
        <v>19.7366818181819</v>
      </c>
      <c r="DM156" s="481" t="n">
        <f aca="false">DG156</f>
        <v>49827</v>
      </c>
      <c r="DN156" s="482" t="n">
        <f aca="false">DK156+BrentPhyBrentSpread</f>
        <v>19.5847028520589</v>
      </c>
      <c r="DO156" s="481" t="n">
        <f aca="false">DG156</f>
        <v>49827</v>
      </c>
      <c r="DP156" s="483" t="n">
        <f aca="false">DL156+DQ156</f>
        <v>19.7366818181819</v>
      </c>
      <c r="DQ156" s="546" t="n">
        <v>0</v>
      </c>
      <c r="DR156" s="480" t="n">
        <f aca="false">DG156</f>
        <v>49827</v>
      </c>
      <c r="DS156" s="485" t="n">
        <v>0.142999999999999</v>
      </c>
      <c r="DT156" s="486" t="n">
        <v>0.142181818181817</v>
      </c>
      <c r="DU156" s="480" t="n">
        <f aca="false">DG156</f>
        <v>49827</v>
      </c>
      <c r="DV156" s="485" t="n">
        <v>0.142999999999999</v>
      </c>
      <c r="DW156" s="486" t="n">
        <v>0.142181818181817</v>
      </c>
      <c r="DX156" s="481" t="n">
        <f aca="false">DG156</f>
        <v>49827</v>
      </c>
      <c r="DY156" s="486" t="n">
        <v>0.35</v>
      </c>
      <c r="DZ156" s="481" t="n">
        <f aca="false">DR156</f>
        <v>49827</v>
      </c>
      <c r="EA156" s="486" t="n">
        <f aca="false">DT156</f>
        <v>0.142181818181817</v>
      </c>
      <c r="EB156" s="195"/>
      <c r="EC156" s="547" t="str">
        <f aca="false">IF(BD156,IF(Underlying=1,AS156,AU156),"")</f>
        <v/>
      </c>
      <c r="ED156" s="548" t="str">
        <f aca="false">IF($BD156,$EC156+IF(VolSkewFlag=1,IF(BS156&gt;0,$BA156*MIN(BS156/10%,1)+($BB156-$BA156)*MAX(0,MIN(BS156/10%-1,1))+($BC156-$BB156)*MAX(0,BS156/10%-2),$AZ156*MIN(-BS156/10%,1)+($AY156-$AZ156)*MAX(0,MIN(-BS156/10%-1,1))+($AX156-$AY156)*MAX(0,-BS156/10%-2)),0),"")</f>
        <v/>
      </c>
      <c r="EE156" s="549" t="str">
        <f aca="false">IF($BD156,$EC156+IF(VolSkewFlag=1,IF(BT156&gt;0,$BA156*MIN(BT156/10%,1)+($BB156-$BA156)*MAX(0,MIN(BT156/10%-1,1))+($BC156-$BB156)*MAX(0,BT156/10%-2),$AZ156*MIN(-BT156/10%,1)+($AY156-$AZ156)*MAX(0,MIN(-BT156/10%-1,1))+($AX156-$AY156)*MAX(0,-BT156/10%-2)),0),"")</f>
        <v/>
      </c>
      <c r="EF156" s="550" t="n">
        <f aca="false">IF(BD156,xASN(BR156,Strike1,AO156,ED156,0,BO156,0,BI156,BL156,IF(OptControl=4,0,1),0),0)</f>
        <v>0</v>
      </c>
      <c r="EG156" s="551" t="n">
        <f aca="false">IF(BD156,xASN(BR156,Strike2,AO156,EE156,0,BO156,0,BI156,BL156,IF(OptControl=3,1,0),0),0)</f>
        <v>0</v>
      </c>
      <c r="EL156" s="1"/>
      <c r="EM156" s="195"/>
      <c r="EN156" s="240"/>
      <c r="EO156" s="240"/>
      <c r="EP156" s="195"/>
      <c r="EQ156" s="407" t="s">
        <v>383</v>
      </c>
      <c r="ES156" s="130"/>
      <c r="ET156" s="19"/>
      <c r="EU156" s="672"/>
      <c r="EV156" s="478"/>
      <c r="EW156" s="131"/>
      <c r="EX156" s="131"/>
      <c r="EY156" s="129"/>
      <c r="EZ156" s="129"/>
      <c r="FA156" s="129"/>
      <c r="FB156" s="129"/>
      <c r="FC156" s="129"/>
      <c r="FD156" s="129"/>
      <c r="FE156" s="129"/>
      <c r="FF156" s="129"/>
      <c r="FG156" s="129"/>
      <c r="FH156" s="129"/>
      <c r="FI156" s="129"/>
      <c r="FJ156" s="571" t="n">
        <v>62</v>
      </c>
      <c r="FK156" s="150" t="e">
        <f aca="false">IF($FJ81&lt;FK$94,"",SQRT(FK81/FK$15))</f>
        <v>#DIV/0!</v>
      </c>
      <c r="FL156" s="150" t="n">
        <f aca="false">IF($FJ81&lt;FL$94,"",SQRT(FL81/FL$15))</f>
        <v>-0</v>
      </c>
      <c r="FM156" s="150" t="n">
        <f aca="false">IF($FJ81&lt;FM$94,"",SQRT(FM81/FM$15))</f>
        <v>0.170508863185463</v>
      </c>
      <c r="FN156" s="150" t="n">
        <f aca="false">IF($FJ81&lt;FN$94,"",SQRT(FN81/FN$15))</f>
        <v>0.167231973960538</v>
      </c>
      <c r="FO156" s="150" t="n">
        <f aca="false">IF($FJ81&lt;FO$94,"",SQRT(FO81/FO$15))</f>
        <v>0.164775131832046</v>
      </c>
      <c r="FP156" s="150" t="n">
        <f aca="false">IF($FJ81&lt;FP$94,"",SQRT(FP81/FP$15))</f>
        <v>0.162933469418783</v>
      </c>
      <c r="FQ156" s="150" t="n">
        <f aca="false">IF($FJ81&lt;FQ$94,"",SQRT(FQ81/FQ$15))</f>
        <v>0.161553360129238</v>
      </c>
      <c r="FR156" s="150" t="n">
        <f aca="false">IF($FJ81&lt;FR$94,"",SQRT(FR81/FR$15))</f>
        <v>0.160519612095802</v>
      </c>
      <c r="FS156" s="150" t="n">
        <f aca="false">IF($FJ81&lt;FS$94,"",SQRT(FS81/FS$15))</f>
        <v>0.15974586431895</v>
      </c>
      <c r="FT156" s="150" t="n">
        <f aca="false">IF($FJ81&lt;FT$94,"",SQRT(FT81/FT$15))</f>
        <v>0.15916738458794</v>
      </c>
      <c r="FU156" s="150" t="n">
        <f aca="false">IF($FJ81&lt;FU$94,"",SQRT(FU81/FU$15))</f>
        <v>0.158735668873206</v>
      </c>
      <c r="FV156" s="150" t="n">
        <f aca="false">IF($FJ81&lt;FV$94,"",SQRT(FV81/FV$15))</f>
        <v>0.158414391985507</v>
      </c>
      <c r="FW156" s="150" t="n">
        <f aca="false">IF($FJ81&lt;FW$94,"",SQRT(FW81/FW$15))</f>
        <v>0.158176371875999</v>
      </c>
      <c r="FX156" s="150" t="n">
        <f aca="false">IF($FJ81&lt;FX$94,"",SQRT(FX81/FX$15))</f>
        <v>0.158001294390519</v>
      </c>
      <c r="FY156" s="150" t="n">
        <f aca="false">IF($FJ81&lt;FY$94,"",SQRT(FY81/FY$15))</f>
        <v>0.157874008626444</v>
      </c>
      <c r="FZ156" s="150" t="n">
        <f aca="false">IF($FJ81&lt;FZ$94,"",SQRT(FZ81/FZ$15))</f>
        <v>0.157783250548477</v>
      </c>
      <c r="GA156" s="150" t="n">
        <f aca="false">IF($FJ81&lt;GA$94,"",SQRT(GA81/GA$15))</f>
        <v>0.15772068815867</v>
      </c>
      <c r="GB156" s="150" t="n">
        <f aca="false">IF($FJ81&lt;GB$94,"",SQRT(GB81/GB$15))</f>
        <v>0.157680208254596</v>
      </c>
      <c r="GC156" s="150" t="n">
        <f aca="false">IF($FJ81&lt;GC$94,"",SQRT(GC81/GC$15))</f>
        <v>0.157657384874575</v>
      </c>
      <c r="GD156" s="150" t="n">
        <f aca="false">IF($FJ81&lt;GD$94,"",SQRT(GD81/GD$15))</f>
        <v>0.157649084590909</v>
      </c>
      <c r="GE156" s="150" t="n">
        <f aca="false">IF($FJ81&lt;GE$94,"",SQRT(GE81/GE$15))</f>
        <v>0.157653175124159</v>
      </c>
      <c r="GF156" s="150" t="n">
        <f aca="false">IF($FJ81&lt;GF$94,"",SQRT(GF81/GF$15))</f>
        <v>0.157668312254389</v>
      </c>
      <c r="GG156" s="150" t="n">
        <f aca="false">IF($FJ81&lt;GG$94,"",SQRT(GG81/GG$15))</f>
        <v>0.157693786404734</v>
      </c>
      <c r="GH156" s="150" t="n">
        <f aca="false">IF($FJ81&lt;GH$94,"",SQRT(GH81/GH$15))</f>
        <v>0.157729415099132</v>
      </c>
      <c r="GI156" s="150" t="n">
        <f aca="false">IF($FJ81&lt;GI$94,"",SQRT(GI81/GI$15))</f>
        <v>0.15777547114823</v>
      </c>
      <c r="GJ156" s="150" t="n">
        <f aca="false">IF($FJ81&lt;GJ$94,"",SQRT(GJ81/GJ$15))</f>
        <v>0.157832639195672</v>
      </c>
      <c r="GK156" s="150" t="n">
        <f aca="false">IF($FJ81&lt;GK$94,"",SQRT(GK81/GK$15))</f>
        <v>0.157901995388168</v>
      </c>
      <c r="GL156" s="150" t="n">
        <f aca="false">IF($FJ81&lt;GL$94,"",SQRT(GL81/GL$15))</f>
        <v>0.157985006589064</v>
      </c>
      <c r="GM156" s="150" t="n">
        <f aca="false">IF($FJ81&lt;GM$94,"",SQRT(GM81/GM$15))</f>
        <v>0.158083546868642</v>
      </c>
      <c r="GN156" s="150" t="n">
        <f aca="false">IF($FJ81&lt;GN$94,"",SQRT(GN81/GN$15))</f>
        <v>0.1581999300773</v>
      </c>
      <c r="GO156" s="150" t="n">
        <f aca="false">IF($FJ81&lt;GO$94,"",SQRT(GO81/GO$15))</f>
        <v>0.158336958221827</v>
      </c>
      <c r="GP156" s="150" t="n">
        <f aca="false">IF($FJ81&lt;GP$94,"",SQRT(GP81/GP$15))</f>
        <v>0.158497986187122</v>
      </c>
      <c r="GQ156" s="150" t="n">
        <f aca="false">IF($FJ81&lt;GQ$94,"",SQRT(GQ81/GQ$15))</f>
        <v>0.15868700413464</v>
      </c>
      <c r="GR156" s="150" t="n">
        <f aca="false">IF($FJ81&lt;GR$94,"",SQRT(GR81/GR$15))</f>
        <v>0.158908739719239</v>
      </c>
      <c r="GS156" s="150" t="n">
        <f aca="false">IF($FJ81&lt;GS$94,"",SQRT(GS81/GS$15))</f>
        <v>0.159168783153885</v>
      </c>
      <c r="GT156" s="150" t="n">
        <f aca="false">IF($FJ81&lt;GT$94,"",SQRT(GT81/GT$15))</f>
        <v>0.159473739178701</v>
      </c>
      <c r="GU156" s="150" t="n">
        <f aca="false">IF($FJ81&lt;GU$94,"",SQRT(GU81/GU$15))</f>
        <v>0.159831411231166</v>
      </c>
      <c r="GV156" s="150" t="n">
        <f aca="false">IF($FJ81&lt;GV$94,"",SQRT(GV81/GV$15))</f>
        <v>0.16025102466141</v>
      </c>
      <c r="GW156" s="150" t="n">
        <f aca="false">IF($FJ81&lt;GW$94,"",SQRT(GW81/GW$15))</f>
        <v>0.160743497813856</v>
      </c>
      <c r="GX156" s="150" t="n">
        <f aca="false">IF($FJ81&lt;GX$94,"",SQRT(GX81/GX$15))</f>
        <v>0.161321772371048</v>
      </c>
      <c r="GY156" s="150" t="n">
        <f aca="false">IF($FJ81&lt;GY$94,"",SQRT(GY81/GY$15))</f>
        <v>0.162001217758862</v>
      </c>
      <c r="GZ156" s="150" t="n">
        <f aca="false">IF($FJ81&lt;GZ$94,"",SQRT(GZ81/GZ$15))</f>
        <v>0.162800128969819</v>
      </c>
      <c r="HA156" s="150" t="n">
        <f aca="false">IF($FJ81&lt;HA$94,"",SQRT(HA81/HA$15))</f>
        <v>0.163740343337053</v>
      </c>
      <c r="HB156" s="150" t="n">
        <f aca="false">IF($FJ81&lt;HB$94,"",SQRT(HB81/HB$15))</f>
        <v>0.164848010255268</v>
      </c>
      <c r="HC156" s="150" t="n">
        <f aca="false">IF($FJ81&lt;HC$94,"",SQRT(HC81/HC$15))</f>
        <v>0.16615455957543</v>
      </c>
      <c r="HD156" s="150" t="n">
        <f aca="false">IF($FJ81&lt;HD$94,"",SQRT(HD81/HD$15))</f>
        <v>0.167697930844689</v>
      </c>
      <c r="HE156" s="150" t="n">
        <f aca="false">IF($FJ81&lt;HE$94,"",SQRT(HE81/HE$15))</f>
        <v>0.169524148892033</v>
      </c>
      <c r="HF156" s="150" t="n">
        <f aca="false">IF($FJ81&lt;HF$94,"",SQRT(HF81/HF$15))</f>
        <v>0.171689364771439</v>
      </c>
      <c r="HG156" s="150" t="n">
        <f aca="false">IF($FJ81&lt;HG$94,"",SQRT(HG81/HG$15))</f>
        <v>0.174262529855581</v>
      </c>
      <c r="HH156" s="150" t="n">
        <f aca="false">IF($FJ81&lt;HH$94,"",SQRT(HH81/HH$15))</f>
        <v>0.17732894289974</v>
      </c>
      <c r="HI156" s="150" t="n">
        <f aca="false">IF($FJ81&lt;HI$94,"",SQRT(HI81/HI$15))</f>
        <v>0.180995017887699</v>
      </c>
      <c r="HJ156" s="150" t="n">
        <f aca="false">IF($FJ81&lt;HJ$94,"",SQRT(HJ81/HJ$15))</f>
        <v>0.185394785099501</v>
      </c>
      <c r="HK156" s="150" t="n">
        <f aca="false">IF($FJ81&lt;HK$94,"",SQRT(HK81/HK$15))</f>
        <v>0.190698893382174</v>
      </c>
      <c r="HL156" s="150" t="n">
        <f aca="false">IF($FJ81&lt;HL$94,"",SQRT(HL81/HL$15))</f>
        <v>0.197127286164766</v>
      </c>
      <c r="HM156" s="150" t="n">
        <f aca="false">IF($FJ81&lt;HM$94,"",SQRT(HM81/HM$15))</f>
        <v>0.204967378229435</v>
      </c>
      <c r="HN156" s="150" t="n">
        <f aca="false">IF($FJ81&lt;HN$94,"",SQRT(HN81/HN$15))</f>
        <v>0.214600644474111</v>
      </c>
      <c r="HO156" s="150" t="n">
        <f aca="false">IF($FJ81&lt;HO$94,"",SQRT(HO81/HO$15))</f>
        <v>0.2265423758484</v>
      </c>
      <c r="HP156" s="150" t="n">
        <f aca="false">IF($FJ81&lt;HP$94,"",SQRT(HP81/HP$15))</f>
        <v>0.241502586363526</v>
      </c>
      <c r="HQ156" s="150" t="n">
        <f aca="false">IF($FJ81&lt;HQ$94,"",SQRT(HQ81/HQ$15))</f>
        <v>0.260481895370159</v>
      </c>
      <c r="HR156" s="150" t="n">
        <f aca="false">IF($FJ81&lt;HR$94,"",SQRT(HR81/HR$15))</f>
        <v>0.284927166699067</v>
      </c>
      <c r="HS156" s="150" t="n">
        <f aca="false">IF($FJ81&lt;HS$94,"",SQRT(HS81/HS$15))</f>
        <v>0.316993112863002</v>
      </c>
      <c r="HT156" s="150" t="n">
        <f aca="false">IF($FJ81&lt;HT$94,"",SQRT(HT81/HT$15))</f>
        <v>0.360000001275662</v>
      </c>
      <c r="HU156" s="150" t="str">
        <f aca="false">IF($FJ81&lt;HU$94,"",SQRT(HU81/HU$15))</f>
        <v/>
      </c>
      <c r="HV156" s="150" t="str">
        <f aca="false">IF($FJ81&lt;HV$94,"",SQRT(HV81/HV$15))</f>
        <v/>
      </c>
      <c r="HW156" s="150" t="str">
        <f aca="false">IF($FJ81&lt;HW$94,"",SQRT(HW81/HW$15))</f>
        <v/>
      </c>
      <c r="HX156" s="150" t="str">
        <f aca="false">IF($FJ81&lt;HX$94,"",SQRT(HX81/HX$15))</f>
        <v/>
      </c>
      <c r="HY156" s="150" t="str">
        <f aca="false">IF($FJ81&lt;HY$94,"",SQRT(HY81/HY$15))</f>
        <v/>
      </c>
      <c r="HZ156" s="150" t="str">
        <f aca="false">IF($FJ81&lt;HZ$94,"",SQRT(HZ81/HZ$15))</f>
        <v/>
      </c>
      <c r="IA156" s="150" t="str">
        <f aca="false">IF($FJ81&lt;IA$94,"",SQRT(IA81/IA$15))</f>
        <v/>
      </c>
      <c r="IB156" s="150" t="str">
        <f aca="false">IF($FJ81&lt;IB$94,"",SQRT(IB81/IB$15))</f>
        <v/>
      </c>
      <c r="IC156" s="150" t="str">
        <f aca="false">IF($FJ81&lt;IC$94,"",SQRT(IC81/IC$15))</f>
        <v/>
      </c>
      <c r="ID156" s="572" t="str">
        <f aca="false">IF($FJ81&lt;ID$94,"",SQRT(ID81/ID$15))</f>
        <v/>
      </c>
      <c r="IE156" s="129"/>
    </row>
    <row r="157" customFormat="false" ht="12.75" hidden="false" customHeight="false" outlineLevel="0" collapsed="false">
      <c r="H157" s="219" t="n">
        <f aca="false">VLOOKUP(I157,$EJ$20:$EL$54,3)</f>
        <v>0</v>
      </c>
      <c r="I157" s="511" t="n">
        <f aca="false">EOMONTH(I156,0)+1</f>
        <v>40940</v>
      </c>
      <c r="J157" s="512"/>
      <c r="K157" s="513" t="s">
        <v>280</v>
      </c>
      <c r="L157" s="514" t="n">
        <f aca="false">IF(ISNUMBER(K157),J157+K157/100,IF(K157="extra",L156+VLOOKUP(BF157,PriceSpreadTable,2)/12,IF(K157="inter",interpolateprices($K$19:$L$200,ROW(K157)-ROW(FirstPricingMonth)+1),interpolatechanges($J$19:$K$200,ROW(K157)-ROW(FirstPricingMonth)+1))))</f>
        <v>2.2875</v>
      </c>
      <c r="M157" s="515"/>
      <c r="N157" s="516" t="n">
        <v>0</v>
      </c>
      <c r="O157" s="515" t="n">
        <f aca="false">M157+N157</f>
        <v>0</v>
      </c>
      <c r="P157" s="512"/>
      <c r="Q157" s="513" t="s">
        <v>280</v>
      </c>
      <c r="R157" s="512" t="e">
        <f aca="false">IF(ISNUMBER(Q157),P157+Q157/100,IF(Q157="extra",(Z155*AL155-R156*AM155)/AN155,IF(Q157="inter",interpolateprices($Q$19:$R$260,ROW(Q157)-ROW(FirstPricingMonth)+1),interpolatechanges($P$19:$Q$260,ROW(Q157)-ROW(FirstPricingMonth)+1))))</f>
        <v>#VALUE!</v>
      </c>
      <c r="S157" s="597" t="n">
        <f aca="false">S$19+(S156-S$19)*S$18</f>
        <v>0.36</v>
      </c>
      <c r="T157" s="575" t="n">
        <f aca="false">SQRT((1-(1-T156^2/U156)*T$18)*U157)</f>
        <v>0.999999999946316</v>
      </c>
      <c r="U157" s="576" t="n">
        <f aca="false">1-(1-U156)*U$18</f>
        <v>1</v>
      </c>
      <c r="V157" s="521" t="n">
        <v>0</v>
      </c>
      <c r="W157" s="577" t="n">
        <f aca="false">(J158*AJ157+J159*AK157)/AI157</f>
        <v>0</v>
      </c>
      <c r="X157" s="578" t="n">
        <f aca="false">(L158*AJ157+L159*AK157)/AI157</f>
        <v>2.3375</v>
      </c>
      <c r="Y157" s="579" t="n">
        <f aca="false">IF(Q159="extra",W157-AA157,(P158*AM157+P159*AN157)/AL157)</f>
        <v>-1.1685</v>
      </c>
      <c r="Z157" s="579" t="n">
        <f aca="false">IF(Q159="extra",X157-AB157,(R158*AM157+R159*AN157)/AL157)</f>
        <v>1.169</v>
      </c>
      <c r="AA157" s="523" t="n">
        <f aca="false">IF(Q159="extra",INDEX(BrentSeasonalityTable,INT((BG157-1)/3)+1)*VLOOKUP(MAX(BF157,$AB$4),PriceSpreadTable,3),W157-Y157)</f>
        <v>1.1685</v>
      </c>
      <c r="AB157" s="524" t="n">
        <f aca="false">IF(Q159="extra",INDEX(BrentSeasonalityTable,INT((BG157-1)/3)+1)*VLOOKUP(MAX(BF157,$AB$4),PriceSpreadTable,3),X157-Z157)</f>
        <v>1.1685</v>
      </c>
      <c r="AC157" s="646" t="n">
        <v>40928</v>
      </c>
      <c r="AD157" s="646" t="n">
        <v>40924</v>
      </c>
      <c r="AE157" s="646" t="n">
        <v>40923</v>
      </c>
      <c r="AF157" s="646" t="n">
        <v>40919</v>
      </c>
      <c r="AG157" s="438" t="s">
        <v>278</v>
      </c>
      <c r="AH157" s="439" t="s">
        <v>278</v>
      </c>
      <c r="AI157" s="528" t="n">
        <v>21</v>
      </c>
      <c r="AJ157" s="529" t="n">
        <v>14</v>
      </c>
      <c r="AK157" s="529" t="n">
        <v>7</v>
      </c>
      <c r="AL157" s="530" t="n">
        <v>21</v>
      </c>
      <c r="AM157" s="529" t="n">
        <v>10</v>
      </c>
      <c r="AN157" s="531" t="n">
        <v>11</v>
      </c>
      <c r="AO157" s="532"/>
      <c r="AP157" s="465" t="n">
        <f aca="false">(1+AO157/2)^(-2*BL157)</f>
        <v>1</v>
      </c>
      <c r="AQ157" s="532"/>
      <c r="AR157" s="465" t="n">
        <f aca="false">(1+AQ157/2)^(-2*BH157/365.25)</f>
        <v>1</v>
      </c>
      <c r="AS157" s="580" t="n">
        <f aca="false">(O158*AJ157+O159*AK157)/AI157</f>
        <v>0</v>
      </c>
      <c r="AT157" s="468" t="n">
        <f aca="false">O157*VLOOKUP(BF157,BrentVolTable,2)+VLOOKUP(BF157,BrentVolTable,3)</f>
        <v>0</v>
      </c>
      <c r="AU157" s="468" t="n">
        <f aca="false">(AT158*AM157+AT159*AN157)/AL157</f>
        <v>0</v>
      </c>
      <c r="AV157" s="595" t="n">
        <f aca="false">SQRT(MAX(0.000000000001,(O157^2*BH157-S157^2*(BH157-BH156))/BH156))</f>
        <v>0.0282561528676634</v>
      </c>
      <c r="AW157" s="451" t="n">
        <f aca="false">IF($I157-DateToday+15&gt;=$T$8,"",IF($I157-DateToday+15&lt;$T$5,1,MATCH($I157-DateToday+15,$T$5:$T$8)))</f>
        <v>1</v>
      </c>
      <c r="AX157" s="468" t="n">
        <f aca="false">IF($AW157="",AX156^2/AX155,INDEX(U$5:U$8,$AW157)^((INDEX($T$5:$T$8,$AW157+1)-($I157-DateToday+15))/(INDEX($T$5:$T$8,$AW157+1)-INDEX($T$5:$T$8,$AW157)))/INDEX(U$5:U$8,$AW157+1)^((INDEX($T$5:$T$8,$AW157)-($I157-DateToday+15))/(INDEX($T$5:$T$8,$AW157+1)-INDEX($T$5:$T$8,$AW157))))</f>
        <v>0.670787144668395</v>
      </c>
      <c r="AY157" s="468" t="n">
        <f aca="false">IF($AW157="",AY156^2/AY155,INDEX(V$5:V$8,$AW157)^((INDEX($T$5:$T$8,$AW157+1)-($I157-DateToday+15))/(INDEX($T$5:$T$8,$AW157+1)-INDEX($T$5:$T$8,$AW157)))/INDEX(V$5:V$8,$AW157+1)^((INDEX($T$5:$T$8,$AW157)-($I157-DateToday+15))/(INDEX($T$5:$T$8,$AW157+1)-INDEX($T$5:$T$8,$AW157))))</f>
        <v>16.2408531133549</v>
      </c>
      <c r="AZ157" s="468" t="n">
        <f aca="false">IF($AW157="",AZ156^2/AZ155,INDEX(W$5:W$8,$AW157)^((INDEX($T$5:$T$8,$AW157+1)-($I157-DateToday+15))/(INDEX($T$5:$T$8,$AW157+1)-INDEX($T$5:$T$8,$AW157)))/INDEX(W$5:W$8,$AW157+1)^((INDEX($T$5:$T$8,$AW157)-($I157-DateToday+15))/(INDEX($T$5:$T$8,$AW157+1)-INDEX($T$5:$T$8,$AW157))))</f>
        <v>8913.81924040304</v>
      </c>
      <c r="BA157" s="468" t="n">
        <f aca="false">IF($AW157="",BA156^2/BA155,INDEX(X$5:X$8,$AW157)^((INDEX($T$5:$T$8,$AW157+1)-($I157-DateToday+15))/(INDEX($T$5:$T$8,$AW157+1)-INDEX($T$5:$T$8,$AW157)))/INDEX(X$5:X$8,$AW157+1)^((INDEX($T$5:$T$8,$AW157)-($I157-DateToday+15))/(INDEX($T$5:$T$8,$AW157+1)-INDEX($T$5:$T$8,$AW157))))</f>
        <v>62284.1182954181</v>
      </c>
      <c r="BB157" s="468" t="n">
        <f aca="false">IF($AW157="",BB156^2/BB155,INDEX(Y$5:Y$8,$AW157)^((INDEX($T$5:$T$8,$AW157+1)-($I157-DateToday+15))/(INDEX($T$5:$T$8,$AW157+1)-INDEX($T$5:$T$8,$AW157)))/INDEX(Y$5:Y$8,$AW157+1)^((INDEX($T$5:$T$8,$AW157)-($I157-DateToday+15))/(INDEX($T$5:$T$8,$AW157+1)-INDEX($T$5:$T$8,$AW157))))</f>
        <v>443564.302647379</v>
      </c>
      <c r="BC157" s="468" t="n">
        <f aca="false">IF($AW157="",BC156^2/BC155,INDEX(Z$5:Z$8,$AW157)^((INDEX($T$5:$T$8,$AW157+1)-($I157-DateToday+15))/(INDEX($T$5:$T$8,$AW157+1)-INDEX($T$5:$T$8,$AW157)))/INDEX(Z$5:Z$8,$AW157+1)^((INDEX($T$5:$T$8,$AW157)-($I157-DateToday+15))/(INDEX($T$5:$T$8,$AW157+1)-INDEX($T$5:$T$8,$AW157))))</f>
        <v>1458806.98433408</v>
      </c>
      <c r="BD157" s="535" t="n">
        <f aca="false">IF(OR(DateStart&gt;=I158,DateEnd&lt;I157),0,IF(VolumeOverrideFlag,V157,Volume))</f>
        <v>0</v>
      </c>
      <c r="BE157" s="536" t="n">
        <f aca="false">IF(OR(DateStart2&gt;=I158,DateEnd2&lt;I157),0,IF(VolumeOverrideFlag,V157,VolumeSwaption))</f>
        <v>0</v>
      </c>
      <c r="BF157" s="537" t="n">
        <f aca="false">YEAR(I157)</f>
        <v>2012</v>
      </c>
      <c r="BG157" s="538" t="n">
        <f aca="false">MONTH(I157)</f>
        <v>2</v>
      </c>
      <c r="BH157" s="539" t="n">
        <f aca="false">AD157-DateToday+1</f>
        <v>-5001</v>
      </c>
      <c r="BI157" s="540" t="n">
        <f aca="false">(I157-DateToday+1)/365.25</f>
        <v>-13.6481861738535</v>
      </c>
      <c r="BJ157" s="541" t="n">
        <f aca="false">BI157+(BL157-BI157)*CHOOSE(Underlying,AJ157/AI157,AM157/AL157)</f>
        <v>-13.5970796258271</v>
      </c>
      <c r="BK157" s="541" t="n">
        <f aca="false">BJ157+1/365.25</f>
        <v>-13.5943417750399</v>
      </c>
      <c r="BL157" s="541" t="n">
        <f aca="false">(I158-DateToday)/365.25</f>
        <v>-13.5715263518138</v>
      </c>
      <c r="BM157" s="542" t="e">
        <f aca="false">MAX(BI157-(BJ157-BI157)*(S158^2/O158^2-1),0)</f>
        <v>#DIV/0!</v>
      </c>
      <c r="BN157" s="541" t="e">
        <f aca="false">MAX(BL157+(BL157-BK157)*(S159^2/O159^2-1),0)</f>
        <v>#DIV/0!</v>
      </c>
      <c r="BO157" s="530" t="n">
        <f aca="false">CHOOSE(Underlying,AI157,AL157)</f>
        <v>21</v>
      </c>
      <c r="BP157" s="529" t="n">
        <f aca="false">CHOOSE(Underlying,AJ157,AM157)</f>
        <v>14</v>
      </c>
      <c r="BQ157" s="529" t="n">
        <f aca="false">CHOOSE(Underlying,AK157,AN157)</f>
        <v>7</v>
      </c>
      <c r="BR157" s="463" t="str">
        <f aca="false">IF(BD157,IF(Underlying=1,X157,Z157)+UnderlyingPriceAsian-SwapPriceCurve,"")</f>
        <v/>
      </c>
      <c r="BS157" s="463" t="str">
        <f aca="false">IF(BD157,Strike1/BR157-1,"")</f>
        <v/>
      </c>
      <c r="BT157" s="464" t="str">
        <f aca="false">IF(BD157,Strike2/BR157-1,"")</f>
        <v/>
      </c>
      <c r="BU157" s="465" t="str">
        <f aca="false">IF(BD157,IF(Underlying=1,L158,R158)+UnderlyingPriceAsian-SwapPriceCurve,"")</f>
        <v/>
      </c>
      <c r="BV157" s="465" t="str">
        <f aca="false">IF(BD157,IF(Underlying=1,L159,R159)+UnderlyingPriceAsian-SwapPriceCurve,"")</f>
        <v/>
      </c>
      <c r="BW157" s="466" t="str">
        <f aca="false">IF(BD157,IF(Underlying=1,O158,AT158),"")</f>
        <v/>
      </c>
      <c r="BX157" s="467" t="str">
        <f aca="false">IF(BD157,IF(Underlying=1,O159,AT159),"")</f>
        <v/>
      </c>
      <c r="BY157" s="466" t="str">
        <f aca="false">IF(BD157,IF(BS157&gt;0,IF(BS157&gt;0.2,BC157-BB157,IF(BS157&gt;0.1,BB157-BA157,BA157)),IF(BS157&lt;-0.2,AX157-AY157,IF(BS157&lt;-0.1,AY157-AZ157,AZ157))),"")</f>
        <v/>
      </c>
      <c r="BZ157" s="467" t="str">
        <f aca="false">IF(BD157,IF(BT157&gt;0,IF(BT157&gt;0.2,BC157-BB157,IF(BT157&gt;0.1,BB157-BA157,BA157)),IF(BT157&lt;-0.2,AX157-AY157,IF(BT157&lt;-0.1,AY157-AZ157,AZ157))),"")</f>
        <v/>
      </c>
      <c r="CA157" s="468" t="str">
        <f aca="false">IF($BD157,$BW157+IF(VolSkewFlag=1,IF(BS157&gt;0,$BA157*MIN(BS157/10%,1)+($BB157-$BA157)*MAX(0,MIN(BS157/10%-1,1))+($BC157-$BB157)*MAX(0,BS157/10%-2),$AZ157*MIN(-BS157/10%,1)+($AY157-$AZ157)*MAX(0,MIN(-BS157/10%-1,1))+($AX157-$AY157)*MAX(0,-BS157/10%-2)),0),"")</f>
        <v/>
      </c>
      <c r="CB157" s="468" t="str">
        <f aca="false">IF($BD157,$BX157+IF(VolSkewFlag=1,IF(BS157&gt;0,$BA157*MIN(BS157/10%,1)+($BB157-$BA157)*MAX(0,MIN(BS157/10%-1,1))+($BC157-$BB157)*MAX(0,BS157/10%-2),$AZ157*MIN(-BS157/10%,1)+($AY157-$AZ157)*MAX(0,MIN(-BS157/10%-1,1))+($AX157-$AY157)*MAX(0,-BS157/10%-2)),0),"")</f>
        <v/>
      </c>
      <c r="CC157" s="468" t="str">
        <f aca="false">IF($BD157,$BW157+IF(VolSkewFlag=1,IF(BT157&gt;0,$BA157*MIN(BT157/10%,1)+($BB157-$BA157)*MAX(0,MIN(BT157/10%-1,1))+($BC157-$BB157)*MAX(0,BT157/10%-2),$AZ157*MIN(-BT157/10%,1)+($AY157-$AZ157)*MAX(0,MIN(-BT157/10%-1,1))+($AX157-$AY157)*MAX(0,-BT157/10%-2)),0),"")</f>
        <v/>
      </c>
      <c r="CD157" s="468" t="str">
        <f aca="false">IF($BD157,$BX157+IF(VolSkewFlag=1,IF(BT157&gt;0,$BA157*MIN(BT157/10%,1)+($BB157-$BA157)*MAX(0,MIN(BT157/10%-1,1))+($BC157-$BB157)*MAX(0,BT157/10%-2),$AZ157*MIN(-BT157/10%,1)+($AY157-$AZ157)*MAX(0,MIN(-BT157/10%-1,1))+($AX157-$AY157)*MAX(0,-BT157/10%-2)),0),"")</f>
        <v/>
      </c>
      <c r="CE157" s="469" t="n">
        <v>1</v>
      </c>
      <c r="CF157" s="470" t="n">
        <f aca="false">IF(BD157,xCrudeAPO(BU157,BV157,CA157,CB157,S158,S159,BI157,BL157,BP157,BQ157,0,Strike1,AO157,CE157,0,BL157,IF(OptControl=4,0,1),0,1),0)</f>
        <v>0</v>
      </c>
      <c r="CG157" s="470" t="n">
        <f aca="false">IF(BD157,xCrudeAPO(BU157,BV157,CA157,CB157,S158,S159,BI157,BL157,BP157,BQ157,0,Strike1,AO157,CE157,0,BL157,IF(OptControl=4,0,1),1,1)+xCrudeAPO(BU157,BV157,CA157,CB157,S158,S159,BI157,BL157,BP157,BQ157,0,Strike1,AO157,CE157,0,BL157,IF(OptControl=4,0,1),1,2)+IF(OR(VolSkewFlag=2,ABS(BS157)&lt;0.0001),0,IF(BS157&gt;0,-1,1)*CH157*Strike1/BR157^2*BY157/10%),0)</f>
        <v>0</v>
      </c>
      <c r="CH157" s="470" t="n">
        <f aca="false">IF(BD157,(xCrudeAPO(BU157,BV157,CA157,CB157,S158,S159,BI157,BL157,BP157,BQ157,0,Strike1,AO157,CE157,0,BL157,IF(OptControl=4,0,1),3,1)+xCrudeAPO(BU157,BV157,CA157,CB157,S158,S159,BI157,BL157,BP157,BQ157,0,Strike1,AO157,CE157,0,BL157,IF(OptControl=4,0,1),3,2))/100,0)</f>
        <v>0</v>
      </c>
      <c r="CI157" s="470" t="n">
        <f aca="false">IF(BD157,xCrudeAPO(BU157,BV157,CA157,CB157,S158,S159,BI157-DaysForThetaCalculation/365.25,BL157-DaysForThetaCalculation/365.25,BP157,BQ157,0,Strike1,AO157,CE157,0,BL157,IF(OptControl=4,0,1),0,1)-xCrudeAPO(BU157,BV157,CA157,CB157,S158,S159,BI157,BL157,BP157,BQ157,0,Strike1,AO157,CE157,0,BL157,IF(OptControl=4,0,1),0,1),0)</f>
        <v>0</v>
      </c>
      <c r="CJ157" s="471" t="n">
        <f aca="false">IF(BD157,xCrudeAPO(BU157,BV157,CC157,CD157,S158,S159,BI157,BL157,BP157,BQ157,0,Strike2,AO157,CE157,0,BL157,IF(OptControl=3,1,0),0,1),0)</f>
        <v>0</v>
      </c>
      <c r="CK157" s="470" t="n">
        <f aca="false">IF(BD157,xCrudeAPO(BU157,BV157,CC157,CD157,S158,S159,BI157,BL157,BP157,BQ157,0,Strike2,AO157,CE157,0,BL157,IF(OptControl=3,1,0),1,1)+xCrudeAPO(BU157,BV157,CC157,CD157,S158,S159,BI157,BL157,BP157,BQ157,0,Strike2,AO157,CE157,0,BL157,IF(OptControl=3,1,0),1,2)+IF(OR(VolSkewFlag=2,ABS(BT157)&lt;0.0001),0,IF(BT157&gt;0,-1,1)*CL157*Strike2/BR157^2*BZ157/10%),0)</f>
        <v>0</v>
      </c>
      <c r="CL157" s="470" t="n">
        <f aca="false">IF(BD157,(xCrudeAPO(BU157,BV157,CC157,CD157,S158,S159,BI157,BL157,BP157,BQ157,0,Strike2,AO157,CE157,0,BL157,IF(OptControl=3,1,0),3,1)+xCrudeAPO(BU157,BV157,CC157,CD157,S158,S159,BI157,BL157,BP157,BQ157,0,Strike2,AO157,CE157,0,BL157,IF(OptControl=3,1,0),3,2))/100,0)</f>
        <v>0</v>
      </c>
      <c r="CM157" s="472" t="n">
        <f aca="false">IF(BD157,xCrudeAPO(BU157,BV157,CC157,CD157,S158,S159,BI157-DaysForThetaCalculation/365.25,BL157-DaysForThetaCalculation/365.25,BP157,BQ157,0,Strike2,AO157,CE157,0,BL157,IF(OptControl=3,1,0),0,1)-xCrudeAPO(BU157,BV157,CC157,CD157,S158,S159,BI157,BL157,BP157,BQ157,0,Strike2,AO157,CE157,0,BL157,IF(OptControl=3,1,0),0,1),0)</f>
        <v>0</v>
      </c>
      <c r="CN157" s="3"/>
      <c r="CO157" s="543" t="str">
        <f aca="false">IF(BD157,CHOOSE(Underlying,AD157,AF157)-DateToday+1,"")</f>
        <v/>
      </c>
      <c r="CP157" s="582" t="str">
        <f aca="false">IF(BD157,CHOOSE(Underlying,L157,R157),"")</f>
        <v/>
      </c>
      <c r="CQ157" s="544" t="str">
        <f aca="false">IF(BD157,Strike1/CP157-1,"")</f>
        <v/>
      </c>
      <c r="CR157" s="544" t="str">
        <f aca="false">IF(BD157,Strike2/CP157-1,"")</f>
        <v/>
      </c>
      <c r="CS157" s="544" t="str">
        <f aca="false">IF(BD157,IF(CQ157&gt;0,IF(CQ157&gt;0.2,BC156-BB156,IF(CQ157&gt;0.1,BB156-BA156,BA156)),IF(CQ157&lt;-0.2,AX156-AY156,IF(CQ157&lt;-0.1,AY156-AZ156,AZ156))),"")</f>
        <v/>
      </c>
      <c r="CT157" s="544" t="str">
        <f aca="false">IF(BD157,IF(CR157&gt;0,IF(CR157&gt;0.2,BC156-BB156,IF(CR157&gt;0.1,BB156-BA156,BA156)),IF(CR157&lt;-0.2,AX156-AY156,IF(CR157&lt;-0.1,AY156-AZ156,AZ156))),"")</f>
        <v/>
      </c>
      <c r="CU157" s="545" t="str">
        <f aca="false">IF(BD157,CHOOSE(Underlying,O157,AT157),"")</f>
        <v/>
      </c>
      <c r="CV157" s="545" t="str">
        <f aca="false">IF(BD157,CU157+IF(VolSkewFlag=1,IF(CQ157&gt;0,BA156*MIN(CQ157/10%,1)+(BB156-BA156)*MAX(0,MIN(CQ157/10%-1,1))+(BC156-BB156)*MAX(0,CQ157/10%-2),AZ156*MIN(-CQ157/10%,1)+(AY156-AZ156)*MAX(0,MIN(-CQ157/10%-1,1))+(AX156-AY156)*MAX(0,-CQ157/10%-2)),0),"")</f>
        <v/>
      </c>
      <c r="CW157" s="545" t="str">
        <f aca="false">IF(BD157,CU157+IF(VolSkewFlag=1,IF(CR157&gt;0,BA156*MIN(CR157/10%,1)+(BB156-BA156)*MAX(0,MIN(CR157/10%-1,1))+(BC156-BB156)*MAX(0,CR157/10%-2),AZ156*MIN(-CR157/10%,1)+(AY156-AZ156)*MAX(0,MIN(-CR157/10%-1,1))+(AX156-AY156)*MAX(0,-CR157/10%-2)),0),"")</f>
        <v/>
      </c>
      <c r="CX157" s="470" t="n">
        <f aca="false">IF(BD157,EURO(CP157,Strike1,AO157,AO157,CV157,CO157,IF(OptControl=4,0,1),0),0)</f>
        <v>0</v>
      </c>
      <c r="CY157" s="470" t="n">
        <f aca="false">IF(BD157,EURO(CP157,Strike1,AO157,AO157,CV157,CO157,IF(OptControl=4,0,1),1)+IF(OR(VolSkewFlag=2,ABS(CQ157)&lt;0.0001),0,IF(CQ157&gt;0,-1,1)*CZ157*100*Strike1/CP157^2*CS157/10%),0)</f>
        <v>0</v>
      </c>
      <c r="CZ157" s="470" t="n">
        <f aca="false">IF(BD157,EURO(CP157,Strike1,AO157,AO157,CV157,CO157,IF(OptControl=4,0,1),3)/100,0)</f>
        <v>0</v>
      </c>
      <c r="DA157" s="470" t="n">
        <f aca="false">IF(BD157,EURO(CP157,Strike1,AO157,AO157,CV157,CO157,IF(OptControl=4,0,1),0)-EURO(CP157,Strike1,AO157,AO157,CV157,CO157-1,IF(OptControl=4,0,1),0),0)</f>
        <v>0</v>
      </c>
      <c r="DB157" s="470" t="n">
        <f aca="false">IF(BD157,EURO(CP157,Strike2,AO157,AO157,CW157,CO157,IF(OptControl=3,1,0),0),0)</f>
        <v>0</v>
      </c>
      <c r="DC157" s="470" t="n">
        <f aca="false">IF(BD157,EURO(CP157,Strike2,AO157,AO157,CW157,CO157,IF(OptControl=3,1,0),1)+IF(OR(VolSkewFlag=2,ABS(CR157)&lt;0.0001),0,IF(CR157&gt;0,-1,1)*DD157*100*Strike2/CP157^2*CT157/10%),0)</f>
        <v>0</v>
      </c>
      <c r="DD157" s="470" t="n">
        <f aca="false">IF(BD157,EURO(CP157,Strike2,AO157,AO157,CW157,CO157,IF(OptControl=3,1,0),3)/100,0)</f>
        <v>0</v>
      </c>
      <c r="DE157" s="472" t="n">
        <f aca="false">IF(BD157,EURO(CP157,Strike2,AO157,AO157,CW157,CO157,IF(OptControl=3,1,0),0)-EURO(CP157,Strike2,AO157,AO157,CW157,CO157-1,IF(OptControl=3,1,0),0),0)</f>
        <v>0</v>
      </c>
      <c r="DG157" s="481" t="n">
        <f aca="false">EOMONTH(DG156,0)+1</f>
        <v>49857</v>
      </c>
      <c r="DH157" s="478" t="n">
        <v>21.01</v>
      </c>
      <c r="DI157" s="479" t="n">
        <v>21.0775</v>
      </c>
      <c r="DJ157" s="480" t="n">
        <f aca="false">DG157</f>
        <v>49857</v>
      </c>
      <c r="DK157" s="478" t="n">
        <v>19.809164289951</v>
      </c>
      <c r="DL157" s="479" t="n">
        <v>19.8106</v>
      </c>
      <c r="DM157" s="481" t="n">
        <f aca="false">DG157</f>
        <v>49857</v>
      </c>
      <c r="DN157" s="482" t="n">
        <f aca="false">DK157+BrentPhyBrentSpread</f>
        <v>19.859164289951</v>
      </c>
      <c r="DO157" s="481" t="n">
        <f aca="false">DG157</f>
        <v>49857</v>
      </c>
      <c r="DP157" s="483" t="n">
        <f aca="false">DL157+DQ157</f>
        <v>19.8106</v>
      </c>
      <c r="DQ157" s="546" t="n">
        <v>0</v>
      </c>
      <c r="DR157" s="480" t="n">
        <f aca="false">DG157</f>
        <v>49857</v>
      </c>
      <c r="DS157" s="485" t="n">
        <v>0.142399999999999</v>
      </c>
      <c r="DT157" s="486" t="n">
        <v>0.141589999999999</v>
      </c>
      <c r="DU157" s="480" t="n">
        <f aca="false">DG157</f>
        <v>49857</v>
      </c>
      <c r="DV157" s="485" t="n">
        <v>0.142399999999999</v>
      </c>
      <c r="DW157" s="486" t="n">
        <v>0.141589999999999</v>
      </c>
      <c r="DX157" s="481" t="n">
        <f aca="false">DG157</f>
        <v>49857</v>
      </c>
      <c r="DY157" s="486" t="n">
        <v>0.35</v>
      </c>
      <c r="DZ157" s="481" t="n">
        <f aca="false">DR157</f>
        <v>49857</v>
      </c>
      <c r="EA157" s="486" t="n">
        <f aca="false">DT157</f>
        <v>0.141589999999999</v>
      </c>
      <c r="EB157" s="195"/>
      <c r="EC157" s="547" t="str">
        <f aca="false">IF(BD157,IF(Underlying=1,AS157,AU157),"")</f>
        <v/>
      </c>
      <c r="ED157" s="548" t="str">
        <f aca="false">IF($BD157,$EC157+IF(VolSkewFlag=1,IF(BS157&gt;0,$BA157*MIN(BS157/10%,1)+($BB157-$BA157)*MAX(0,MIN(BS157/10%-1,1))+($BC157-$BB157)*MAX(0,BS157/10%-2),$AZ157*MIN(-BS157/10%,1)+($AY157-$AZ157)*MAX(0,MIN(-BS157/10%-1,1))+($AX157-$AY157)*MAX(0,-BS157/10%-2)),0),"")</f>
        <v/>
      </c>
      <c r="EE157" s="549" t="str">
        <f aca="false">IF($BD157,$EC157+IF(VolSkewFlag=1,IF(BT157&gt;0,$BA157*MIN(BT157/10%,1)+($BB157-$BA157)*MAX(0,MIN(BT157/10%-1,1))+($BC157-$BB157)*MAX(0,BT157/10%-2),$AZ157*MIN(-BT157/10%,1)+($AY157-$AZ157)*MAX(0,MIN(-BT157/10%-1,1))+($AX157-$AY157)*MAX(0,-BT157/10%-2)),0),"")</f>
        <v/>
      </c>
      <c r="EF157" s="550" t="n">
        <f aca="false">IF(BD157,xASN(BR157,Strike1,AO157,ED157,0,BO157,0,BI157,BL157,IF(OptControl=4,0,1),0),0)</f>
        <v>0</v>
      </c>
      <c r="EG157" s="551" t="n">
        <f aca="false">IF(BD157,xASN(BR157,Strike2,AO157,EE157,0,BO157,0,BI157,BL157,IF(OptControl=3,1,0),0),0)</f>
        <v>0</v>
      </c>
      <c r="EL157" s="1"/>
      <c r="EM157" s="195"/>
      <c r="EN157" s="240"/>
      <c r="EO157" s="240"/>
      <c r="EP157" s="195"/>
      <c r="EQ157" s="407" t="s">
        <v>384</v>
      </c>
      <c r="ES157" s="130"/>
      <c r="ET157" s="19"/>
      <c r="EU157" s="672"/>
      <c r="EV157" s="478"/>
      <c r="EW157" s="131"/>
      <c r="EX157" s="131"/>
      <c r="EY157" s="129"/>
      <c r="EZ157" s="129"/>
      <c r="FA157" s="129"/>
      <c r="FB157" s="129"/>
      <c r="FC157" s="129"/>
      <c r="FD157" s="129"/>
      <c r="FE157" s="129"/>
      <c r="FF157" s="129"/>
      <c r="FG157" s="129"/>
      <c r="FH157" s="129"/>
      <c r="FI157" s="129"/>
      <c r="FJ157" s="571" t="n">
        <v>63</v>
      </c>
      <c r="FK157" s="150" t="e">
        <f aca="false">IF($FJ82&lt;FK$94,"",SQRT(FK82/FK$15))</f>
        <v>#DIV/0!</v>
      </c>
      <c r="FL157" s="150" t="n">
        <f aca="false">IF($FJ82&lt;FL$94,"",SQRT(FL82/FL$15))</f>
        <v>-0</v>
      </c>
      <c r="FM157" s="150" t="n">
        <f aca="false">IF($FJ82&lt;FM$94,"",SQRT(FM82/FM$15))</f>
        <v>0.170507008640504</v>
      </c>
      <c r="FN157" s="150" t="n">
        <f aca="false">IF($FJ82&lt;FN$94,"",SQRT(FN82/FN$15))</f>
        <v>0.167229846585743</v>
      </c>
      <c r="FO157" s="150" t="n">
        <f aca="false">IF($FJ82&lt;FO$94,"",SQRT(FO82/FO$15))</f>
        <v>0.164772680225824</v>
      </c>
      <c r="FP157" s="150" t="n">
        <f aca="false">IF($FJ82&lt;FP$94,"",SQRT(FP82/FP$15))</f>
        <v>0.162930634087657</v>
      </c>
      <c r="FQ157" s="150" t="n">
        <f aca="false">IF($FJ82&lt;FQ$94,"",SQRT(FQ82/FQ$15))</f>
        <v>0.161550072036926</v>
      </c>
      <c r="FR157" s="150" t="n">
        <f aca="false">IF($FJ82&lt;FR$94,"",SQRT(FR82/FR$15))</f>
        <v>0.16051579097522</v>
      </c>
      <c r="FS157" s="150" t="n">
        <f aca="false">IF($FJ82&lt;FS$94,"",SQRT(FS82/FS$15))</f>
        <v>0.159741416705584</v>
      </c>
      <c r="FT157" s="150" t="n">
        <f aca="false">IF($FJ82&lt;FT$94,"",SQRT(FT82/FT$15))</f>
        <v>0.15916220152606</v>
      </c>
      <c r="FU157" s="150" t="n">
        <f aca="false">IF($FJ82&lt;FU$94,"",SQRT(FU82/FU$15))</f>
        <v>0.15872962323819</v>
      </c>
      <c r="FV157" s="150" t="n">
        <f aca="false">IF($FJ82&lt;FV$94,"",SQRT(FV82/FV$15))</f>
        <v>0.158407335355925</v>
      </c>
      <c r="FW157" s="150" t="n">
        <f aca="false">IF($FJ82&lt;FW$94,"",SQRT(FW82/FW$15))</f>
        <v>0.158168130877751</v>
      </c>
      <c r="FX157" s="150" t="n">
        <f aca="false">IF($FJ82&lt;FX$94,"",SQRT(FX82/FX$15))</f>
        <v>0.157991666422017</v>
      </c>
      <c r="FY157" s="150" t="n">
        <f aca="false">IF($FJ82&lt;FY$94,"",SQRT(FY82/FY$15))</f>
        <v>0.157862756858108</v>
      </c>
      <c r="FZ157" s="150" t="n">
        <f aca="false">IF($FJ82&lt;FZ$94,"",SQRT(FZ82/FZ$15))</f>
        <v>0.157770098071373</v>
      </c>
      <c r="GA157" s="150" t="n">
        <f aca="false">IF($FJ82&lt;GA$94,"",SQRT(GA82/GA$15))</f>
        <v>0.157705311135309</v>
      </c>
      <c r="GB157" s="150" t="n">
        <f aca="false">IF($FJ82&lt;GB$94,"",SQRT(GB82/GB$15))</f>
        <v>0.157662227899195</v>
      </c>
      <c r="GC157" s="150" t="n">
        <f aca="false">IF($FJ82&lt;GC$94,"",SQRT(GC82/GC$15))</f>
        <v>0.157636358059729</v>
      </c>
      <c r="GD157" s="150" t="n">
        <f aca="false">IF($FJ82&lt;GD$94,"",SQRT(GD82/GD$15))</f>
        <v>0.157624492841604</v>
      </c>
      <c r="GE157" s="150" t="n">
        <f aca="false">IF($FJ82&lt;GE$94,"",SQRT(GE82/GE$15))</f>
        <v>0.157624411717448</v>
      </c>
      <c r="GF157" s="150" t="n">
        <f aca="false">IF($FJ82&lt;GF$94,"",SQRT(GF82/GF$15))</f>
        <v>0.157634667092322</v>
      </c>
      <c r="GG157" s="150" t="n">
        <f aca="false">IF($FJ82&lt;GG$94,"",SQRT(GG82/GG$15))</f>
        <v>0.15765442826778</v>
      </c>
      <c r="GH157" s="150" t="n">
        <f aca="false">IF($FJ82&lt;GH$94,"",SQRT(GH82/GH$15))</f>
        <v>0.157683370815193</v>
      </c>
      <c r="GI157" s="150" t="n">
        <f aca="false">IF($FJ82&lt;GI$94,"",SQRT(GI82/GI$15))</f>
        <v>0.157721601125925</v>
      </c>
      <c r="GJ157" s="150" t="n">
        <f aca="false">IF($FJ82&lt;GJ$94,"",SQRT(GJ82/GJ$15))</f>
        <v>0.15776960866667</v>
      </c>
      <c r="GK157" s="150" t="n">
        <f aca="false">IF($FJ82&lt;GK$94,"",SQRT(GK82/GK$15))</f>
        <v>0.157828240577913</v>
      </c>
      <c r="GL157" s="150" t="n">
        <f aca="false">IF($FJ82&lt;GL$94,"",SQRT(GL82/GL$15))</f>
        <v>0.157898694883207</v>
      </c>
      <c r="GM157" s="150" t="n">
        <f aca="false">IF($FJ82&lt;GM$94,"",SQRT(GM82/GM$15))</f>
        <v>0.157982529857235</v>
      </c>
      <c r="GN157" s="150" t="n">
        <f aca="false">IF($FJ82&lt;GN$94,"",SQRT(GN82/GN$15))</f>
        <v>0.158081688132019</v>
      </c>
      <c r="GO157" s="150" t="n">
        <f aca="false">IF($FJ82&lt;GO$94,"",SQRT(GO82/GO$15))</f>
        <v>0.158198534982109</v>
      </c>
      <c r="GP157" s="150" t="n">
        <f aca="false">IF($FJ82&lt;GP$94,"",SQRT(GP82/GP$15))</f>
        <v>0.158335910984905</v>
      </c>
      <c r="GQ157" s="150" t="n">
        <f aca="false">IF($FJ82&lt;GQ$94,"",SQRT(GQ82/GQ$15))</f>
        <v>0.158497199955454</v>
      </c>
      <c r="GR157" s="150" t="n">
        <f aca="false">IF($FJ82&lt;GR$94,"",SQRT(GR82/GR$15))</f>
        <v>0.158686413754741</v>
      </c>
      <c r="GS157" s="150" t="n">
        <f aca="false">IF($FJ82&lt;GS$94,"",SQRT(GS82/GS$15))</f>
        <v>0.158908296313956</v>
      </c>
      <c r="GT157" s="150" t="n">
        <f aca="false">IF($FJ82&lt;GT$94,"",SQRT(GT82/GT$15))</f>
        <v>0.159168450054791</v>
      </c>
      <c r="GU157" s="150" t="n">
        <f aca="false">IF($FJ82&lt;GU$94,"",SQRT(GU82/GU$15))</f>
        <v>0.159473488875211</v>
      </c>
      <c r="GV157" s="150" t="n">
        <f aca="false">IF($FJ82&lt;GV$94,"",SQRT(GV82/GV$15))</f>
        <v>0.159831223082212</v>
      </c>
      <c r="GW157" s="150" t="n">
        <f aca="false">IF($FJ82&lt;GW$94,"",SQRT(GW82/GW$15))</f>
        <v>0.160250883179061</v>
      </c>
      <c r="GX157" s="150" t="n">
        <f aca="false">IF($FJ82&lt;GX$94,"",SQRT(GX82/GX$15))</f>
        <v>0.160743391375904</v>
      </c>
      <c r="GY157" s="150" t="n">
        <f aca="false">IF($FJ82&lt;GY$94,"",SQRT(GY82/GY$15))</f>
        <v>0.161321692255349</v>
      </c>
      <c r="GZ157" s="150" t="n">
        <f aca="false">IF($FJ82&lt;GZ$94,"",SQRT(GZ82/GZ$15))</f>
        <v>0.162001157418987</v>
      </c>
      <c r="HA157" s="150" t="n">
        <f aca="false">IF($FJ82&lt;HA$94,"",SQRT(HA82/HA$15))</f>
        <v>0.16280008349172</v>
      </c>
      <c r="HB157" s="150" t="n">
        <f aca="false">IF($FJ82&lt;HB$94,"",SQRT(HB82/HB$15))</f>
        <v>0.163740309031484</v>
      </c>
      <c r="HC157" s="150" t="n">
        <f aca="false">IF($FJ82&lt;HC$94,"",SQRT(HC82/HC$15))</f>
        <v>0.164847984352034</v>
      </c>
      <c r="HD157" s="150" t="n">
        <f aca="false">IF($FJ82&lt;HD$94,"",SQRT(HD82/HD$15))</f>
        <v>0.166154539994023</v>
      </c>
      <c r="HE157" s="150" t="n">
        <f aca="false">IF($FJ82&lt;HE$94,"",SQRT(HE82/HE$15))</f>
        <v>0.167697916022217</v>
      </c>
      <c r="HF157" s="150" t="n">
        <f aca="false">IF($FJ82&lt;HF$94,"",SQRT(HF82/HF$15))</f>
        <v>0.169524137654116</v>
      </c>
      <c r="HG157" s="150" t="n">
        <f aca="false">IF($FJ82&lt;HG$94,"",SQRT(HG82/HG$15))</f>
        <v>0.17168935623535</v>
      </c>
      <c r="HH157" s="150" t="n">
        <f aca="false">IF($FJ82&lt;HH$94,"",SQRT(HH82/HH$15))</f>
        <v>0.174262523357564</v>
      </c>
      <c r="HI157" s="150" t="n">
        <f aca="false">IF($FJ82&lt;HI$94,"",SQRT(HI82/HI$15))</f>
        <v>0.17732893794047</v>
      </c>
      <c r="HJ157" s="150" t="n">
        <f aca="false">IF($FJ82&lt;HJ$94,"",SQRT(HJ82/HJ$15))</f>
        <v>0.180995014091352</v>
      </c>
      <c r="HK157" s="150" t="n">
        <f aca="false">IF($FJ82&lt;HK$94,"",SQRT(HK82/HK$15))</f>
        <v>0.185394782183026</v>
      </c>
      <c r="HL157" s="150" t="n">
        <f aca="false">IF($FJ82&lt;HL$94,"",SQRT(HL82/HL$15))</f>
        <v>0.190698891132239</v>
      </c>
      <c r="HM157" s="150" t="n">
        <f aca="false">IF($FJ82&lt;HM$94,"",SQRT(HM82/HM$15))</f>
        <v>0.197127284420431</v>
      </c>
      <c r="HN157" s="150" t="n">
        <f aca="false">IF($FJ82&lt;HN$94,"",SQRT(HN82/HN$15))</f>
        <v>0.204967376869152</v>
      </c>
      <c r="HO157" s="150" t="n">
        <f aca="false">IF($FJ82&lt;HO$94,"",SQRT(HO82/HO$15))</f>
        <v>0.21460064340595</v>
      </c>
      <c r="HP157" s="150" t="n">
        <f aca="false">IF($FJ82&lt;HP$94,"",SQRT(HP82/HP$15))</f>
        <v>0.226542375002699</v>
      </c>
      <c r="HQ157" s="150" t="n">
        <f aca="false">IF($FJ82&lt;HQ$94,"",SQRT(HQ82/HQ$15))</f>
        <v>0.241502585687365</v>
      </c>
      <c r="HR157" s="150" t="n">
        <f aca="false">IF($FJ82&lt;HR$94,"",SQRT(HR82/HR$15))</f>
        <v>0.260481894823185</v>
      </c>
      <c r="HS157" s="150" t="n">
        <f aca="false">IF($FJ82&lt;HS$94,"",SQRT(HS82/HS$15))</f>
        <v>0.284927166250338</v>
      </c>
      <c r="HT157" s="150" t="n">
        <f aca="false">IF($FJ82&lt;HT$94,"",SQRT(HT82/HT$15))</f>
        <v>0.316993112488579</v>
      </c>
      <c r="HU157" s="150" t="n">
        <f aca="false">IF($FJ82&lt;HU$94,"",SQRT(HU82/HU$15))</f>
        <v>0.360000000956747</v>
      </c>
      <c r="HV157" s="150" t="str">
        <f aca="false">IF($FJ82&lt;HV$94,"",SQRT(HV82/HV$15))</f>
        <v/>
      </c>
      <c r="HW157" s="150" t="str">
        <f aca="false">IF($FJ82&lt;HW$94,"",SQRT(HW82/HW$15))</f>
        <v/>
      </c>
      <c r="HX157" s="150" t="str">
        <f aca="false">IF($FJ82&lt;HX$94,"",SQRT(HX82/HX$15))</f>
        <v/>
      </c>
      <c r="HY157" s="150" t="str">
        <f aca="false">IF($FJ82&lt;HY$94,"",SQRT(HY82/HY$15))</f>
        <v/>
      </c>
      <c r="HZ157" s="150" t="str">
        <f aca="false">IF($FJ82&lt;HZ$94,"",SQRT(HZ82/HZ$15))</f>
        <v/>
      </c>
      <c r="IA157" s="150" t="str">
        <f aca="false">IF($FJ82&lt;IA$94,"",SQRT(IA82/IA$15))</f>
        <v/>
      </c>
      <c r="IB157" s="150" t="str">
        <f aca="false">IF($FJ82&lt;IB$94,"",SQRT(IB82/IB$15))</f>
        <v/>
      </c>
      <c r="IC157" s="150" t="str">
        <f aca="false">IF($FJ82&lt;IC$94,"",SQRT(IC82/IC$15))</f>
        <v/>
      </c>
      <c r="ID157" s="572" t="str">
        <f aca="false">IF($FJ82&lt;ID$94,"",SQRT(ID82/ID$15))</f>
        <v/>
      </c>
      <c r="IE157" s="129"/>
    </row>
    <row r="158" customFormat="false" ht="12.75" hidden="false" customHeight="false" outlineLevel="0" collapsed="false">
      <c r="H158" s="219" t="n">
        <f aca="false">VLOOKUP(I158,$EJ$20:$EL$54,3)</f>
        <v>0</v>
      </c>
      <c r="I158" s="511" t="n">
        <f aca="false">EOMONTH(I157,0)+1</f>
        <v>40969</v>
      </c>
      <c r="J158" s="512"/>
      <c r="K158" s="513" t="s">
        <v>280</v>
      </c>
      <c r="L158" s="514" t="n">
        <f aca="false">IF(ISNUMBER(K158),J158+K158/100,IF(K158="extra",L157+VLOOKUP(BF158,PriceSpreadTable,2)/12,IF(K158="inter",interpolateprices($K$19:$L$200,ROW(K158)-ROW(FirstPricingMonth)+1),interpolatechanges($J$19:$K$200,ROW(K158)-ROW(FirstPricingMonth)+1))))</f>
        <v>2.325</v>
      </c>
      <c r="M158" s="515"/>
      <c r="N158" s="516" t="n">
        <v>0</v>
      </c>
      <c r="O158" s="515" t="n">
        <f aca="false">M158+N158</f>
        <v>0</v>
      </c>
      <c r="P158" s="512"/>
      <c r="Q158" s="513" t="s">
        <v>280</v>
      </c>
      <c r="R158" s="512" t="e">
        <f aca="false">IF(ISNUMBER(Q158),P158+Q158/100,IF(Q158="extra",(Z156*AL156-R157*AM156)/AN156,IF(Q158="inter",interpolateprices($Q$19:$R$260,ROW(Q158)-ROW(FirstPricingMonth)+1),interpolatechanges($P$19:$Q$260,ROW(Q158)-ROW(FirstPricingMonth)+1))))</f>
        <v>#VALUE!</v>
      </c>
      <c r="S158" s="597" t="n">
        <f aca="false">S$19+(S157-S$19)*S$18</f>
        <v>0.36</v>
      </c>
      <c r="T158" s="575" t="n">
        <f aca="false">SQRT((1-(1-T157^2/U157)*T$18)*U158)</f>
        <v>0.9999999999541</v>
      </c>
      <c r="U158" s="576" t="n">
        <f aca="false">1-(1-U157)*U$18</f>
        <v>1</v>
      </c>
      <c r="V158" s="521" t="n">
        <v>0</v>
      </c>
      <c r="W158" s="577" t="n">
        <f aca="false">(J159*AJ158+J160*AK158)/AI158</f>
        <v>0</v>
      </c>
      <c r="X158" s="578" t="n">
        <f aca="false">(L159*AJ158+L160*AK158)/AI158</f>
        <v>2.37613636363637</v>
      </c>
      <c r="Y158" s="579" t="n">
        <f aca="false">IF(Q160="extra",W158-AA158,(P159*AM158+P160*AN158)/AL158)</f>
        <v>-1.1685</v>
      </c>
      <c r="Z158" s="579" t="n">
        <f aca="false">IF(Q160="extra",X158-AB158,(R159*AM158+R160*AN158)/AL158)</f>
        <v>1.20763636363637</v>
      </c>
      <c r="AA158" s="523" t="n">
        <f aca="false">IF(Q160="extra",INDEX(BrentSeasonalityTable,INT((BG158-1)/3)+1)*VLOOKUP(MAX(BF158,$AB$4),PriceSpreadTable,3),W158-Y158)</f>
        <v>1.1685</v>
      </c>
      <c r="AB158" s="524" t="n">
        <f aca="false">IF(Q160="extra",INDEX(BrentSeasonalityTable,INT((BG158-1)/3)+1)*VLOOKUP(MAX(BF158,$AB$4),PriceSpreadTable,3),X158-Z158)</f>
        <v>1.1685</v>
      </c>
      <c r="AC158" s="646" t="n">
        <v>40959</v>
      </c>
      <c r="AD158" s="646" t="n">
        <v>40955</v>
      </c>
      <c r="AE158" s="646" t="n">
        <v>40954</v>
      </c>
      <c r="AF158" s="646" t="n">
        <v>40950</v>
      </c>
      <c r="AG158" s="438" t="s">
        <v>278</v>
      </c>
      <c r="AH158" s="439" t="s">
        <v>278</v>
      </c>
      <c r="AI158" s="528" t="n">
        <v>22</v>
      </c>
      <c r="AJ158" s="529" t="n">
        <v>14</v>
      </c>
      <c r="AK158" s="529" t="n">
        <v>8</v>
      </c>
      <c r="AL158" s="530" t="n">
        <v>22</v>
      </c>
      <c r="AM158" s="529" t="n">
        <v>10</v>
      </c>
      <c r="AN158" s="531" t="n">
        <v>12</v>
      </c>
      <c r="AO158" s="532"/>
      <c r="AP158" s="465" t="n">
        <f aca="false">(1+AO158/2)^(-2*BL158)</f>
        <v>1</v>
      </c>
      <c r="AQ158" s="532"/>
      <c r="AR158" s="465" t="n">
        <f aca="false">(1+AQ158/2)^(-2*BH158/365.25)</f>
        <v>1</v>
      </c>
      <c r="AS158" s="580" t="n">
        <f aca="false">(O159*AJ158+O160*AK158)/AI158</f>
        <v>0</v>
      </c>
      <c r="AT158" s="468" t="n">
        <f aca="false">O158*VLOOKUP(BF158,BrentVolTable,2)+VLOOKUP(BF158,BrentVolTable,3)</f>
        <v>0</v>
      </c>
      <c r="AU158" s="468" t="n">
        <f aca="false">(AT159*AM158+AT160*AN158)/AL158</f>
        <v>0</v>
      </c>
      <c r="AV158" s="595" t="n">
        <f aca="false">SQRT(MAX(0.000000000001,(O158^2*BH158-S158^2*(BH158-BH157))/BH157))</f>
        <v>0.0283435941287334</v>
      </c>
      <c r="AW158" s="451" t="n">
        <f aca="false">IF($I158-DateToday+15&gt;=$T$8,"",IF($I158-DateToday+15&lt;$T$5,1,MATCH($I158-DateToday+15,$T$5:$T$8)))</f>
        <v>1</v>
      </c>
      <c r="AX158" s="468" t="n">
        <f aca="false">IF($AW158="",AX157^2/AX156,INDEX(U$5:U$8,$AW158)^((INDEX($T$5:$T$8,$AW158+1)-($I158-DateToday+15))/(INDEX($T$5:$T$8,$AW158+1)-INDEX($T$5:$T$8,$AW158)))/INDEX(U$5:U$8,$AW158+1)^((INDEX($T$5:$T$8,$AW158)-($I158-DateToday+15))/(INDEX($T$5:$T$8,$AW158+1)-INDEX($T$5:$T$8,$AW158))))</f>
        <v>0.657261634927883</v>
      </c>
      <c r="AY158" s="468" t="n">
        <f aca="false">IF($AW158="",AY157^2/AY156,INDEX(V$5:V$8,$AW158)^((INDEX($T$5:$T$8,$AW158+1)-($I158-DateToday+15))/(INDEX($T$5:$T$8,$AW158+1)-INDEX($T$5:$T$8,$AW158)))/INDEX(V$5:V$8,$AW158+1)^((INDEX($T$5:$T$8,$AW158)-($I158-DateToday+15))/(INDEX($T$5:$T$8,$AW158+1)-INDEX($T$5:$T$8,$AW158))))</f>
        <v>15.6017994106567</v>
      </c>
      <c r="AZ158" s="468" t="n">
        <f aca="false">IF($AW158="",AZ157^2/AZ156,INDEX(W$5:W$8,$AW158)^((INDEX($T$5:$T$8,$AW158+1)-($I158-DateToday+15))/(INDEX($T$5:$T$8,$AW158+1)-INDEX($T$5:$T$8,$AW158)))/INDEX(W$5:W$8,$AW158+1)^((INDEX($T$5:$T$8,$AW158)-($I158-DateToday+15))/(INDEX($T$5:$T$8,$AW158+1)-INDEX($T$5:$T$8,$AW158))))</f>
        <v>8241.75144425151</v>
      </c>
      <c r="BA158" s="468" t="n">
        <f aca="false">IF($AW158="",BA157^2/BA156,INDEX(X$5:X$8,$AW158)^((INDEX($T$5:$T$8,$AW158+1)-($I158-DateToday+15))/(INDEX($T$5:$T$8,$AW158+1)-INDEX($T$5:$T$8,$AW158)))/INDEX(X$5:X$8,$AW158+1)^((INDEX($T$5:$T$8,$AW158)-($I158-DateToday+15))/(INDEX($T$5:$T$8,$AW158+1)-INDEX($T$5:$T$8,$AW158))))</f>
        <v>56426.9482178955</v>
      </c>
      <c r="BB158" s="468" t="n">
        <f aca="false">IF($AW158="",BB157^2/BB156,INDEX(Y$5:Y$8,$AW158)^((INDEX($T$5:$T$8,$AW158+1)-($I158-DateToday+15))/(INDEX($T$5:$T$8,$AW158+1)-INDEX($T$5:$T$8,$AW158)))/INDEX(Y$5:Y$8,$AW158+1)^((INDEX($T$5:$T$8,$AW158)-($I158-DateToday+15))/(INDEX($T$5:$T$8,$AW158+1)-INDEX($T$5:$T$8,$AW158))))</f>
        <v>398078.966792588</v>
      </c>
      <c r="BC158" s="468" t="n">
        <f aca="false">IF($AW158="",BC157^2/BC156,INDEX(Z$5:Z$8,$AW158)^((INDEX($T$5:$T$8,$AW158+1)-($I158-DateToday+15))/(INDEX($T$5:$T$8,$AW158+1)-INDEX($T$5:$T$8,$AW158)))/INDEX(Z$5:Z$8,$AW158+1)^((INDEX($T$5:$T$8,$AW158)-($I158-DateToday+15))/(INDEX($T$5:$T$8,$AW158+1)-INDEX($T$5:$T$8,$AW158))))</f>
        <v>1302102.43063176</v>
      </c>
      <c r="BD158" s="535" t="n">
        <f aca="false">IF(OR(DateStart&gt;=I159,DateEnd&lt;I158),0,IF(VolumeOverrideFlag,V158,Volume))</f>
        <v>0</v>
      </c>
      <c r="BE158" s="536" t="n">
        <f aca="false">IF(OR(DateStart2&gt;=I159,DateEnd2&lt;I158),0,IF(VolumeOverrideFlag,V158,VolumeSwaption))</f>
        <v>0</v>
      </c>
      <c r="BF158" s="537" t="n">
        <f aca="false">YEAR(I158)</f>
        <v>2012</v>
      </c>
      <c r="BG158" s="538" t="n">
        <f aca="false">MONTH(I158)</f>
        <v>3</v>
      </c>
      <c r="BH158" s="539" t="n">
        <f aca="false">AD158-DateToday+1</f>
        <v>-4970</v>
      </c>
      <c r="BI158" s="540" t="n">
        <f aca="false">(I158-DateToday+1)/365.25</f>
        <v>-13.5687885010267</v>
      </c>
      <c r="BJ158" s="541" t="n">
        <f aca="false">BI158+(BL158-BI158)*CHOOSE(Underlying,AJ158/AI158,AM158/AL158)</f>
        <v>-13.5165204405451</v>
      </c>
      <c r="BK158" s="541" t="n">
        <f aca="false">BJ158+1/365.25</f>
        <v>-13.5137825897579</v>
      </c>
      <c r="BL158" s="541" t="n">
        <f aca="false">(I159-DateToday)/365.25</f>
        <v>-13.4866529774127</v>
      </c>
      <c r="BM158" s="542" t="e">
        <f aca="false">MAX(BI158-(BJ158-BI158)*(S159^2/O159^2-1),0)</f>
        <v>#DIV/0!</v>
      </c>
      <c r="BN158" s="541" t="e">
        <f aca="false">MAX(BL158+(BL158-BK158)*(S160^2/O160^2-1),0)</f>
        <v>#DIV/0!</v>
      </c>
      <c r="BO158" s="530" t="n">
        <f aca="false">CHOOSE(Underlying,AI158,AL158)</f>
        <v>22</v>
      </c>
      <c r="BP158" s="529" t="n">
        <f aca="false">CHOOSE(Underlying,AJ158,AM158)</f>
        <v>14</v>
      </c>
      <c r="BQ158" s="529" t="n">
        <f aca="false">CHOOSE(Underlying,AK158,AN158)</f>
        <v>8</v>
      </c>
      <c r="BR158" s="463" t="str">
        <f aca="false">IF(BD158,IF(Underlying=1,X158,Z158)+UnderlyingPriceAsian-SwapPriceCurve,"")</f>
        <v/>
      </c>
      <c r="BS158" s="463" t="str">
        <f aca="false">IF(BD158,Strike1/BR158-1,"")</f>
        <v/>
      </c>
      <c r="BT158" s="464" t="str">
        <f aca="false">IF(BD158,Strike2/BR158-1,"")</f>
        <v/>
      </c>
      <c r="BU158" s="465" t="str">
        <f aca="false">IF(BD158,IF(Underlying=1,L159,R159)+UnderlyingPriceAsian-SwapPriceCurve,"")</f>
        <v/>
      </c>
      <c r="BV158" s="465" t="str">
        <f aca="false">IF(BD158,IF(Underlying=1,L160,R160)+UnderlyingPriceAsian-SwapPriceCurve,"")</f>
        <v/>
      </c>
      <c r="BW158" s="466" t="str">
        <f aca="false">IF(BD158,IF(Underlying=1,O159,AT159),"")</f>
        <v/>
      </c>
      <c r="BX158" s="467" t="str">
        <f aca="false">IF(BD158,IF(Underlying=1,O160,AT160),"")</f>
        <v/>
      </c>
      <c r="BY158" s="466" t="str">
        <f aca="false">IF(BD158,IF(BS158&gt;0,IF(BS158&gt;0.2,BC158-BB158,IF(BS158&gt;0.1,BB158-BA158,BA158)),IF(BS158&lt;-0.2,AX158-AY158,IF(BS158&lt;-0.1,AY158-AZ158,AZ158))),"")</f>
        <v/>
      </c>
      <c r="BZ158" s="467" t="str">
        <f aca="false">IF(BD158,IF(BT158&gt;0,IF(BT158&gt;0.2,BC158-BB158,IF(BT158&gt;0.1,BB158-BA158,BA158)),IF(BT158&lt;-0.2,AX158-AY158,IF(BT158&lt;-0.1,AY158-AZ158,AZ158))),"")</f>
        <v/>
      </c>
      <c r="CA158" s="468" t="str">
        <f aca="false">IF($BD158,$BW158+IF(VolSkewFlag=1,IF(BS158&gt;0,$BA158*MIN(BS158/10%,1)+($BB158-$BA158)*MAX(0,MIN(BS158/10%-1,1))+($BC158-$BB158)*MAX(0,BS158/10%-2),$AZ158*MIN(-BS158/10%,1)+($AY158-$AZ158)*MAX(0,MIN(-BS158/10%-1,1))+($AX158-$AY158)*MAX(0,-BS158/10%-2)),0),"")</f>
        <v/>
      </c>
      <c r="CB158" s="468" t="str">
        <f aca="false">IF($BD158,$BX158+IF(VolSkewFlag=1,IF(BS158&gt;0,$BA158*MIN(BS158/10%,1)+($BB158-$BA158)*MAX(0,MIN(BS158/10%-1,1))+($BC158-$BB158)*MAX(0,BS158/10%-2),$AZ158*MIN(-BS158/10%,1)+($AY158-$AZ158)*MAX(0,MIN(-BS158/10%-1,1))+($AX158-$AY158)*MAX(0,-BS158/10%-2)),0),"")</f>
        <v/>
      </c>
      <c r="CC158" s="468" t="str">
        <f aca="false">IF($BD158,$BW158+IF(VolSkewFlag=1,IF(BT158&gt;0,$BA158*MIN(BT158/10%,1)+($BB158-$BA158)*MAX(0,MIN(BT158/10%-1,1))+($BC158-$BB158)*MAX(0,BT158/10%-2),$AZ158*MIN(-BT158/10%,1)+($AY158-$AZ158)*MAX(0,MIN(-BT158/10%-1,1))+($AX158-$AY158)*MAX(0,-BT158/10%-2)),0),"")</f>
        <v/>
      </c>
      <c r="CD158" s="468" t="str">
        <f aca="false">IF($BD158,$BX158+IF(VolSkewFlag=1,IF(BT158&gt;0,$BA158*MIN(BT158/10%,1)+($BB158-$BA158)*MAX(0,MIN(BT158/10%-1,1))+($BC158-$BB158)*MAX(0,BT158/10%-2),$AZ158*MIN(-BT158/10%,1)+($AY158-$AZ158)*MAX(0,MIN(-BT158/10%-1,1))+($AX158-$AY158)*MAX(0,-BT158/10%-2)),0),"")</f>
        <v/>
      </c>
      <c r="CE158" s="469" t="n">
        <v>1</v>
      </c>
      <c r="CF158" s="470" t="n">
        <f aca="false">IF(BD158,xCrudeAPO(BU158,BV158,CA158,CB158,S159,S160,BI158,BL158,BP158,BQ158,0,Strike1,AO158,CE158,0,BL158,IF(OptControl=4,0,1),0,1),0)</f>
        <v>0</v>
      </c>
      <c r="CG158" s="470" t="n">
        <f aca="false">IF(BD158,xCrudeAPO(BU158,BV158,CA158,CB158,S159,S160,BI158,BL158,BP158,BQ158,0,Strike1,AO158,CE158,0,BL158,IF(OptControl=4,0,1),1,1)+xCrudeAPO(BU158,BV158,CA158,CB158,S159,S160,BI158,BL158,BP158,BQ158,0,Strike1,AO158,CE158,0,BL158,IF(OptControl=4,0,1),1,2)+IF(OR(VolSkewFlag=2,ABS(BS158)&lt;0.0001),0,IF(BS158&gt;0,-1,1)*CH158*Strike1/BR158^2*BY158/10%),0)</f>
        <v>0</v>
      </c>
      <c r="CH158" s="470" t="n">
        <f aca="false">IF(BD158,(xCrudeAPO(BU158,BV158,CA158,CB158,S159,S160,BI158,BL158,BP158,BQ158,0,Strike1,AO158,CE158,0,BL158,IF(OptControl=4,0,1),3,1)+xCrudeAPO(BU158,BV158,CA158,CB158,S159,S160,BI158,BL158,BP158,BQ158,0,Strike1,AO158,CE158,0,BL158,IF(OptControl=4,0,1),3,2))/100,0)</f>
        <v>0</v>
      </c>
      <c r="CI158" s="470" t="n">
        <f aca="false">IF(BD158,xCrudeAPO(BU158,BV158,CA158,CB158,S159,S160,BI158-DaysForThetaCalculation/365.25,BL158-DaysForThetaCalculation/365.25,BP158,BQ158,0,Strike1,AO158,CE158,0,BL158,IF(OptControl=4,0,1),0,1)-xCrudeAPO(BU158,BV158,CA158,CB158,S159,S160,BI158,BL158,BP158,BQ158,0,Strike1,AO158,CE158,0,BL158,IF(OptControl=4,0,1),0,1),0)</f>
        <v>0</v>
      </c>
      <c r="CJ158" s="471" t="n">
        <f aca="false">IF(BD158,xCrudeAPO(BU158,BV158,CC158,CD158,S159,S160,BI158,BL158,BP158,BQ158,0,Strike2,AO158,CE158,0,BL158,IF(OptControl=3,1,0),0,1),0)</f>
        <v>0</v>
      </c>
      <c r="CK158" s="470" t="n">
        <f aca="false">IF(BD158,xCrudeAPO(BU158,BV158,CC158,CD158,S159,S160,BI158,BL158,BP158,BQ158,0,Strike2,AO158,CE158,0,BL158,IF(OptControl=3,1,0),1,1)+xCrudeAPO(BU158,BV158,CC158,CD158,S159,S160,BI158,BL158,BP158,BQ158,0,Strike2,AO158,CE158,0,BL158,IF(OptControl=3,1,0),1,2)+IF(OR(VolSkewFlag=2,ABS(BT158)&lt;0.0001),0,IF(BT158&gt;0,-1,1)*CL158*Strike2/BR158^2*BZ158/10%),0)</f>
        <v>0</v>
      </c>
      <c r="CL158" s="470" t="n">
        <f aca="false">IF(BD158,(xCrudeAPO(BU158,BV158,CC158,CD158,S159,S160,BI158,BL158,BP158,BQ158,0,Strike2,AO158,CE158,0,BL158,IF(OptControl=3,1,0),3,1)+xCrudeAPO(BU158,BV158,CC158,CD158,S159,S160,BI158,BL158,BP158,BQ158,0,Strike2,AO158,CE158,0,BL158,IF(OptControl=3,1,0),3,2))/100,0)</f>
        <v>0</v>
      </c>
      <c r="CM158" s="472" t="n">
        <f aca="false">IF(BD158,xCrudeAPO(BU158,BV158,CC158,CD158,S159,S160,BI158-DaysForThetaCalculation/365.25,BL158-DaysForThetaCalculation/365.25,BP158,BQ158,0,Strike2,AO158,CE158,0,BL158,IF(OptControl=3,1,0),0,1)-xCrudeAPO(BU158,BV158,CC158,CD158,S159,S160,BI158,BL158,BP158,BQ158,0,Strike2,AO158,CE158,0,BL158,IF(OptControl=3,1,0),0,1),0)</f>
        <v>0</v>
      </c>
      <c r="CN158" s="3"/>
      <c r="CO158" s="543" t="str">
        <f aca="false">IF(BD158,CHOOSE(Underlying,AD158,AF158)-DateToday+1,"")</f>
        <v/>
      </c>
      <c r="CP158" s="582" t="str">
        <f aca="false">IF(BD158,CHOOSE(Underlying,L158,R158),"")</f>
        <v/>
      </c>
      <c r="CQ158" s="544" t="str">
        <f aca="false">IF(BD158,Strike1/CP158-1,"")</f>
        <v/>
      </c>
      <c r="CR158" s="544" t="str">
        <f aca="false">IF(BD158,Strike2/CP158-1,"")</f>
        <v/>
      </c>
      <c r="CS158" s="544" t="str">
        <f aca="false">IF(BD158,IF(CQ158&gt;0,IF(CQ158&gt;0.2,BC157-BB157,IF(CQ158&gt;0.1,BB157-BA157,BA157)),IF(CQ158&lt;-0.2,AX157-AY157,IF(CQ158&lt;-0.1,AY157-AZ157,AZ157))),"")</f>
        <v/>
      </c>
      <c r="CT158" s="544" t="str">
        <f aca="false">IF(BD158,IF(CR158&gt;0,IF(CR158&gt;0.2,BC157-BB157,IF(CR158&gt;0.1,BB157-BA157,BA157)),IF(CR158&lt;-0.2,AX157-AY157,IF(CR158&lt;-0.1,AY157-AZ157,AZ157))),"")</f>
        <v/>
      </c>
      <c r="CU158" s="545" t="str">
        <f aca="false">IF(BD158,CHOOSE(Underlying,O158,AT158),"")</f>
        <v/>
      </c>
      <c r="CV158" s="545" t="str">
        <f aca="false">IF(BD158,CU158+IF(VolSkewFlag=1,IF(CQ158&gt;0,BA157*MIN(CQ158/10%,1)+(BB157-BA157)*MAX(0,MIN(CQ158/10%-1,1))+(BC157-BB157)*MAX(0,CQ158/10%-2),AZ157*MIN(-CQ158/10%,1)+(AY157-AZ157)*MAX(0,MIN(-CQ158/10%-1,1))+(AX157-AY157)*MAX(0,-CQ158/10%-2)),0),"")</f>
        <v/>
      </c>
      <c r="CW158" s="545" t="str">
        <f aca="false">IF(BD158,CU158+IF(VolSkewFlag=1,IF(CR158&gt;0,BA157*MIN(CR158/10%,1)+(BB157-BA157)*MAX(0,MIN(CR158/10%-1,1))+(BC157-BB157)*MAX(0,CR158/10%-2),AZ157*MIN(-CR158/10%,1)+(AY157-AZ157)*MAX(0,MIN(-CR158/10%-1,1))+(AX157-AY157)*MAX(0,-CR158/10%-2)),0),"")</f>
        <v/>
      </c>
      <c r="CX158" s="470" t="n">
        <f aca="false">IF(BD158,EURO(CP158,Strike1,AO158,AO158,CV158,CO158,IF(OptControl=4,0,1),0),0)</f>
        <v>0</v>
      </c>
      <c r="CY158" s="470" t="n">
        <f aca="false">IF(BD158,EURO(CP158,Strike1,AO158,AO158,CV158,CO158,IF(OptControl=4,0,1),1)+IF(OR(VolSkewFlag=2,ABS(CQ158)&lt;0.0001),0,IF(CQ158&gt;0,-1,1)*CZ158*100*Strike1/CP158^2*CS158/10%),0)</f>
        <v>0</v>
      </c>
      <c r="CZ158" s="470" t="n">
        <f aca="false">IF(BD158,EURO(CP158,Strike1,AO158,AO158,CV158,CO158,IF(OptControl=4,0,1),3)/100,0)</f>
        <v>0</v>
      </c>
      <c r="DA158" s="470" t="n">
        <f aca="false">IF(BD158,EURO(CP158,Strike1,AO158,AO158,CV158,CO158,IF(OptControl=4,0,1),0)-EURO(CP158,Strike1,AO158,AO158,CV158,CO158-1,IF(OptControl=4,0,1),0),0)</f>
        <v>0</v>
      </c>
      <c r="DB158" s="470" t="n">
        <f aca="false">IF(BD158,EURO(CP158,Strike2,AO158,AO158,CW158,CO158,IF(OptControl=3,1,0),0),0)</f>
        <v>0</v>
      </c>
      <c r="DC158" s="470" t="n">
        <f aca="false">IF(BD158,EURO(CP158,Strike2,AO158,AO158,CW158,CO158,IF(OptControl=3,1,0),1)+IF(OR(VolSkewFlag=2,ABS(CR158)&lt;0.0001),0,IF(CR158&gt;0,-1,1)*DD158*100*Strike2/CP158^2*CT158/10%),0)</f>
        <v>0</v>
      </c>
      <c r="DD158" s="470" t="n">
        <f aca="false">IF(BD158,EURO(CP158,Strike2,AO158,AO158,CW158,CO158,IF(OptControl=3,1,0),3)/100,0)</f>
        <v>0</v>
      </c>
      <c r="DE158" s="472" t="n">
        <f aca="false">IF(BD158,EURO(CP158,Strike2,AO158,AO158,CW158,CO158,IF(OptControl=3,1,0),0)-EURO(CP158,Strike2,AO158,AO158,CW158,CO158-1,IF(OptControl=3,1,0),0),0)</f>
        <v>0</v>
      </c>
      <c r="DG158" s="481" t="n">
        <f aca="false">EOMONTH(DG157,0)+1</f>
        <v>49888</v>
      </c>
      <c r="DH158" s="478" t="n">
        <v>21.06</v>
      </c>
      <c r="DI158" s="479" t="n">
        <v>21.1273913043479</v>
      </c>
      <c r="DJ158" s="480" t="n">
        <f aca="false">DG158</f>
        <v>49888</v>
      </c>
      <c r="DK158" s="478" t="n">
        <v>19.6762797583743</v>
      </c>
      <c r="DL158" s="479" t="n">
        <v>19.8604913043479</v>
      </c>
      <c r="DM158" s="481" t="n">
        <f aca="false">DG158</f>
        <v>49888</v>
      </c>
      <c r="DN158" s="482" t="n">
        <f aca="false">DK158+BrentPhyBrentSpread</f>
        <v>19.7262797583743</v>
      </c>
      <c r="DO158" s="481" t="n">
        <f aca="false">DG158</f>
        <v>49888</v>
      </c>
      <c r="DP158" s="483" t="n">
        <f aca="false">DL158+DQ158</f>
        <v>19.8604913043479</v>
      </c>
      <c r="DQ158" s="546" t="n">
        <v>0</v>
      </c>
      <c r="DR158" s="480" t="n">
        <f aca="false">DG158</f>
        <v>49888</v>
      </c>
      <c r="DS158" s="485" t="n">
        <v>0.141799999999999</v>
      </c>
      <c r="DT158" s="486" t="n">
        <v>0.140991304347825</v>
      </c>
      <c r="DU158" s="480" t="n">
        <f aca="false">DG158</f>
        <v>49888</v>
      </c>
      <c r="DV158" s="485" t="n">
        <v>0.141799999999999</v>
      </c>
      <c r="DW158" s="486" t="n">
        <v>0.140991304347825</v>
      </c>
      <c r="DX158" s="481" t="n">
        <f aca="false">DG158</f>
        <v>49888</v>
      </c>
      <c r="DY158" s="486" t="n">
        <v>0.35</v>
      </c>
      <c r="DZ158" s="481" t="n">
        <f aca="false">DR158</f>
        <v>49888</v>
      </c>
      <c r="EA158" s="486" t="n">
        <f aca="false">DT158</f>
        <v>0.140991304347825</v>
      </c>
      <c r="EB158" s="195"/>
      <c r="EC158" s="547" t="str">
        <f aca="false">IF(BD158,IF(Underlying=1,AS158,AU158),"")</f>
        <v/>
      </c>
      <c r="ED158" s="548" t="str">
        <f aca="false">IF($BD158,$EC158+IF(VolSkewFlag=1,IF(BS158&gt;0,$BA158*MIN(BS158/10%,1)+($BB158-$BA158)*MAX(0,MIN(BS158/10%-1,1))+($BC158-$BB158)*MAX(0,BS158/10%-2),$AZ158*MIN(-BS158/10%,1)+($AY158-$AZ158)*MAX(0,MIN(-BS158/10%-1,1))+($AX158-$AY158)*MAX(0,-BS158/10%-2)),0),"")</f>
        <v/>
      </c>
      <c r="EE158" s="549" t="str">
        <f aca="false">IF($BD158,$EC158+IF(VolSkewFlag=1,IF(BT158&gt;0,$BA158*MIN(BT158/10%,1)+($BB158-$BA158)*MAX(0,MIN(BT158/10%-1,1))+($BC158-$BB158)*MAX(0,BT158/10%-2),$AZ158*MIN(-BT158/10%,1)+($AY158-$AZ158)*MAX(0,MIN(-BT158/10%-1,1))+($AX158-$AY158)*MAX(0,-BT158/10%-2)),0),"")</f>
        <v/>
      </c>
      <c r="EF158" s="550" t="n">
        <f aca="false">IF(BD158,xASN(BR158,Strike1,AO158,ED158,0,BO158,0,BI158,BL158,IF(OptControl=4,0,1),0),0)</f>
        <v>0</v>
      </c>
      <c r="EG158" s="551" t="n">
        <f aca="false">IF(BD158,xASN(BR158,Strike2,AO158,EE158,0,BO158,0,BI158,BL158,IF(OptControl=3,1,0),0),0)</f>
        <v>0</v>
      </c>
      <c r="EL158" s="1"/>
      <c r="EM158" s="195"/>
      <c r="EN158" s="240"/>
      <c r="EO158" s="240"/>
      <c r="EP158" s="195"/>
      <c r="EQ158" s="407" t="s">
        <v>385</v>
      </c>
      <c r="ES158" s="130"/>
      <c r="ET158" s="19"/>
      <c r="EU158" s="672"/>
      <c r="EV158" s="478"/>
      <c r="EW158" s="131"/>
      <c r="EX158" s="131"/>
      <c r="EY158" s="129"/>
      <c r="EZ158" s="129"/>
      <c r="FA158" s="129"/>
      <c r="FB158" s="129"/>
      <c r="FC158" s="129"/>
      <c r="FD158" s="129"/>
      <c r="FE158" s="129"/>
      <c r="FF158" s="129"/>
      <c r="FG158" s="129"/>
      <c r="FH158" s="129"/>
      <c r="FI158" s="129"/>
      <c r="FJ158" s="571" t="n">
        <v>64</v>
      </c>
      <c r="FK158" s="150" t="e">
        <f aca="false">IF($FJ83&lt;FK$94,"",SQRT(FK83/FK$15))</f>
        <v>#DIV/0!</v>
      </c>
      <c r="FL158" s="150" t="n">
        <f aca="false">IF($FJ83&lt;FL$94,"",SQRT(FL83/FL$15))</f>
        <v>-0</v>
      </c>
      <c r="FM158" s="150" t="n">
        <f aca="false">IF($FJ83&lt;FM$94,"",SQRT(FM83/FM$15))</f>
        <v>0.17050542302306</v>
      </c>
      <c r="FN158" s="150" t="n">
        <f aca="false">IF($FJ83&lt;FN$94,"",SQRT(FN83/FN$15))</f>
        <v>0.167228027705109</v>
      </c>
      <c r="FO158" s="150" t="n">
        <f aca="false">IF($FJ83&lt;FO$94,"",SQRT(FO83/FO$15))</f>
        <v>0.164770584135953</v>
      </c>
      <c r="FP158" s="150" t="n">
        <f aca="false">IF($FJ83&lt;FP$94,"",SQRT(FP83/FP$15))</f>
        <v>0.162928209924789</v>
      </c>
      <c r="FQ158" s="150" t="n">
        <f aca="false">IF($FJ83&lt;FQ$94,"",SQRT(FQ83/FQ$15))</f>
        <v>0.161547260779366</v>
      </c>
      <c r="FR158" s="150" t="n">
        <f aca="false">IF($FJ83&lt;FR$94,"",SQRT(FR83/FR$15))</f>
        <v>0.160512524000533</v>
      </c>
      <c r="FS158" s="150" t="n">
        <f aca="false">IF($FJ83&lt;FS$94,"",SQRT(FS83/FS$15))</f>
        <v>0.159737614109707</v>
      </c>
      <c r="FT158" s="150" t="n">
        <f aca="false">IF($FJ83&lt;FT$94,"",SQRT(FT83/FT$15))</f>
        <v>0.159157770162921</v>
      </c>
      <c r="FU158" s="150" t="n">
        <f aca="false">IF($FJ83&lt;FU$94,"",SQRT(FU83/FU$15))</f>
        <v>0.158724454431393</v>
      </c>
      <c r="FV158" s="150" t="n">
        <f aca="false">IF($FJ83&lt;FV$94,"",SQRT(FV83/FV$15))</f>
        <v>0.158401302225878</v>
      </c>
      <c r="FW158" s="150" t="n">
        <f aca="false">IF($FJ83&lt;FW$94,"",SQRT(FW83/FW$15))</f>
        <v>0.158161085217964</v>
      </c>
      <c r="FX158" s="150" t="n">
        <f aca="false">IF($FJ83&lt;FX$94,"",SQRT(FX83/FX$15))</f>
        <v>0.157983435046934</v>
      </c>
      <c r="FY158" s="150" t="n">
        <f aca="false">IF($FJ83&lt;FY$94,"",SQRT(FY83/FY$15))</f>
        <v>0.15785313733153</v>
      </c>
      <c r="FZ158" s="150" t="n">
        <f aca="false">IF($FJ83&lt;FZ$94,"",SQRT(FZ83/FZ$15))</f>
        <v>0.1577588537088</v>
      </c>
      <c r="GA158" s="150" t="n">
        <f aca="false">IF($FJ83&lt;GA$94,"",SQRT(GA83/GA$15))</f>
        <v>0.15769216515507</v>
      </c>
      <c r="GB158" s="150" t="n">
        <f aca="false">IF($FJ83&lt;GB$94,"",SQRT(GB83/GB$15))</f>
        <v>0.157646856575433</v>
      </c>
      <c r="GC158" s="150" t="n">
        <f aca="false">IF($FJ83&lt;GC$94,"",SQRT(GC83/GC$15))</f>
        <v>0.157618382704589</v>
      </c>
      <c r="GD158" s="150" t="n">
        <f aca="false">IF($FJ83&lt;GD$94,"",SQRT(GD83/GD$15))</f>
        <v>0.157603470413579</v>
      </c>
      <c r="GE158" s="150" t="n">
        <f aca="false">IF($FJ83&lt;GE$94,"",SQRT(GE83/GE$15))</f>
        <v>0.157599823816876</v>
      </c>
      <c r="GF158" s="150" t="n">
        <f aca="false">IF($FJ83&lt;GF$94,"",SQRT(GF83/GF$15))</f>
        <v>0.157605907062353</v>
      </c>
      <c r="GG158" s="150" t="n">
        <f aca="false">IF($FJ83&lt;GG$94,"",SQRT(GG83/GG$15))</f>
        <v>0.157620786068444</v>
      </c>
      <c r="GH158" s="150" t="n">
        <f aca="false">IF($FJ83&lt;GH$94,"",SQRT(GH83/GH$15))</f>
        <v>0.157644015277822</v>
      </c>
      <c r="GI158" s="150" t="n">
        <f aca="false">IF($FJ83&lt;GI$94,"",SQRT(GI83/GI$15))</f>
        <v>0.157675559123037</v>
      </c>
      <c r="GJ158" s="150" t="n">
        <f aca="false">IF($FJ83&lt;GJ$94,"",SQRT(GJ83/GJ$15))</f>
        <v>0.15771574064602</v>
      </c>
      <c r="GK158" s="150" t="n">
        <f aca="false">IF($FJ83&lt;GK$94,"",SQRT(GK83/GK$15))</f>
        <v>0.1577652118055</v>
      </c>
      <c r="GL158" s="150" t="n">
        <f aca="false">IF($FJ83&lt;GL$94,"",SQRT(GL83/GL$15))</f>
        <v>0.157824941614593</v>
      </c>
      <c r="GM158" s="150" t="n">
        <f aca="false">IF($FJ83&lt;GM$94,"",SQRT(GM83/GM$15))</f>
        <v>0.157896219504487</v>
      </c>
      <c r="GN158" s="150" t="n">
        <f aca="false">IF($FJ83&lt;GN$94,"",SQRT(GN83/GN$15))</f>
        <v>0.157980672308363</v>
      </c>
      <c r="GO158" s="150" t="n">
        <f aca="false">IF($FJ83&lt;GO$94,"",SQRT(GO83/GO$15))</f>
        <v>0.158080294079551</v>
      </c>
      <c r="GP158" s="150" t="n">
        <f aca="false">IF($FJ83&lt;GP$94,"",SQRT(GP83/GP$15))</f>
        <v>0.158197488660716</v>
      </c>
      <c r="GQ158" s="150" t="n">
        <f aca="false">IF($FJ83&lt;GQ$94,"",SQRT(GQ83/GQ$15))</f>
        <v>0.158335125557214</v>
      </c>
      <c r="GR158" s="150" t="n">
        <f aca="false">IF($FJ83&lt;GR$94,"",SQRT(GR83/GR$15))</f>
        <v>0.158496610281704</v>
      </c>
      <c r="GS158" s="150" t="n">
        <f aca="false">IF($FJ83&lt;GS$94,"",SQRT(GS83/GS$15))</f>
        <v>0.158685970969817</v>
      </c>
      <c r="GT158" s="150" t="n">
        <f aca="false">IF($FJ83&lt;GT$94,"",SQRT(GT83/GT$15))</f>
        <v>0.158907963759993</v>
      </c>
      <c r="GU158" s="150" t="n">
        <f aca="false">IF($FJ83&lt;GU$94,"",SQRT(GU83/GU$15))</f>
        <v>0.15916820023047</v>
      </c>
      <c r="GV158" s="150" t="n">
        <f aca="false">IF($FJ83&lt;GV$94,"",SQRT(GV83/GV$15))</f>
        <v>0.159473301147593</v>
      </c>
      <c r="GW158" s="150" t="n">
        <f aca="false">IF($FJ83&lt;GW$94,"",SQRT(GW83/GW$15))</f>
        <v>0.159831081970497</v>
      </c>
      <c r="GX158" s="150" t="n">
        <f aca="false">IF($FJ83&lt;GX$94,"",SQRT(GX83/GX$15))</f>
        <v>0.160250777067299</v>
      </c>
      <c r="GY158" s="150" t="n">
        <f aca="false">IF($FJ83&lt;GY$94,"",SQRT(GY83/GY$15))</f>
        <v>0.16074331154744</v>
      </c>
      <c r="GZ158" s="150" t="n">
        <f aca="false">IF($FJ83&lt;GZ$94,"",SQRT(GZ83/GZ$15))</f>
        <v>0.161321632168574</v>
      </c>
      <c r="HA158" s="150" t="n">
        <f aca="false">IF($FJ83&lt;HA$94,"",SQRT(HA83/HA$15))</f>
        <v>0.162001112164081</v>
      </c>
      <c r="HB158" s="150" t="n">
        <f aca="false">IF($FJ83&lt;HB$94,"",SQRT(HB83/HB$15))</f>
        <v>0.162800049383147</v>
      </c>
      <c r="HC158" s="150" t="n">
        <f aca="false">IF($FJ83&lt;HC$94,"",SQRT(HC83/HC$15))</f>
        <v>0.163740283302307</v>
      </c>
      <c r="HD158" s="150" t="n">
        <f aca="false">IF($FJ83&lt;HD$94,"",SQRT(HD83/HD$15))</f>
        <v>0.164847964924608</v>
      </c>
      <c r="HE158" s="150" t="n">
        <f aca="false">IF($FJ83&lt;HE$94,"",SQRT(HE83/HE$15))</f>
        <v>0.166154525307968</v>
      </c>
      <c r="HF158" s="150" t="n">
        <f aca="false">IF($FJ83&lt;HF$94,"",SQRT(HF83/HF$15))</f>
        <v>0.167697904905363</v>
      </c>
      <c r="HG158" s="150" t="n">
        <f aca="false">IF($FJ83&lt;HG$94,"",SQRT(HG83/HG$15))</f>
        <v>0.169524129225679</v>
      </c>
      <c r="HH158" s="150" t="n">
        <f aca="false">IF($FJ83&lt;HH$94,"",SQRT(HH83/HH$15))</f>
        <v>0.171689349833284</v>
      </c>
      <c r="HI158" s="150" t="n">
        <f aca="false">IF($FJ83&lt;HI$94,"",SQRT(HI83/HI$15))</f>
        <v>0.174262518484051</v>
      </c>
      <c r="HJ158" s="150" t="n">
        <f aca="false">IF($FJ83&lt;HJ$94,"",SQRT(HJ83/HJ$15))</f>
        <v>0.177328934221018</v>
      </c>
      <c r="HK158" s="150" t="n">
        <f aca="false">IF($FJ83&lt;HK$94,"",SQRT(HK83/HK$15))</f>
        <v>0.180995011244091</v>
      </c>
      <c r="HL158" s="150" t="n">
        <f aca="false">IF($FJ83&lt;HL$94,"",SQRT(HL83/HL$15))</f>
        <v>0.185394779995671</v>
      </c>
      <c r="HM158" s="150" t="n">
        <f aca="false">IF($FJ83&lt;HM$94,"",SQRT(HM83/HM$15))</f>
        <v>0.190698889444787</v>
      </c>
      <c r="HN158" s="150" t="n">
        <f aca="false">IF($FJ83&lt;HN$94,"",SQRT(HN83/HN$15))</f>
        <v>0.19712728311218</v>
      </c>
      <c r="HO158" s="150" t="n">
        <f aca="false">IF($FJ83&lt;HO$94,"",SQRT(HO83/HO$15))</f>
        <v>0.20496737584894</v>
      </c>
      <c r="HP158" s="150" t="n">
        <f aca="false">IF($FJ83&lt;HP$94,"",SQRT(HP83/HP$15))</f>
        <v>0.214600642604829</v>
      </c>
      <c r="HQ158" s="150" t="n">
        <f aca="false">IF($FJ83&lt;HQ$94,"",SQRT(HQ83/HQ$15))</f>
        <v>0.226542374368424</v>
      </c>
      <c r="HR158" s="150" t="n">
        <f aca="false">IF($FJ83&lt;HR$94,"",SQRT(HR83/HR$15))</f>
        <v>0.241502585180245</v>
      </c>
      <c r="HS158" s="150" t="n">
        <f aca="false">IF($FJ83&lt;HS$94,"",SQRT(HS83/HS$15))</f>
        <v>0.260481894412954</v>
      </c>
      <c r="HT158" s="150" t="n">
        <f aca="false">IF($FJ83&lt;HT$94,"",SQRT(HT83/HT$15))</f>
        <v>0.284927165913791</v>
      </c>
      <c r="HU158" s="150" t="n">
        <f aca="false">IF($FJ83&lt;HU$94,"",SQRT(HU83/HU$15))</f>
        <v>0.316993112207763</v>
      </c>
      <c r="HV158" s="150" t="n">
        <f aca="false">IF($FJ83&lt;HV$94,"",SQRT(HV83/HV$15))</f>
        <v>0.36000000071756</v>
      </c>
      <c r="HW158" s="150" t="str">
        <f aca="false">IF($FJ83&lt;HW$94,"",SQRT(HW83/HW$15))</f>
        <v/>
      </c>
      <c r="HX158" s="150" t="str">
        <f aca="false">IF($FJ83&lt;HX$94,"",SQRT(HX83/HX$15))</f>
        <v/>
      </c>
      <c r="HY158" s="150" t="str">
        <f aca="false">IF($FJ83&lt;HY$94,"",SQRT(HY83/HY$15))</f>
        <v/>
      </c>
      <c r="HZ158" s="150" t="str">
        <f aca="false">IF($FJ83&lt;HZ$94,"",SQRT(HZ83/HZ$15))</f>
        <v/>
      </c>
      <c r="IA158" s="150" t="str">
        <f aca="false">IF($FJ83&lt;IA$94,"",SQRT(IA83/IA$15))</f>
        <v/>
      </c>
      <c r="IB158" s="150" t="str">
        <f aca="false">IF($FJ83&lt;IB$94,"",SQRT(IB83/IB$15))</f>
        <v/>
      </c>
      <c r="IC158" s="150" t="str">
        <f aca="false">IF($FJ83&lt;IC$94,"",SQRT(IC83/IC$15))</f>
        <v/>
      </c>
      <c r="ID158" s="572" t="str">
        <f aca="false">IF($FJ83&lt;ID$94,"",SQRT(ID83/ID$15))</f>
        <v/>
      </c>
      <c r="IE158" s="129"/>
    </row>
    <row r="159" customFormat="false" ht="12.75" hidden="false" customHeight="false" outlineLevel="0" collapsed="false">
      <c r="H159" s="219" t="n">
        <f aca="false">VLOOKUP(I159,$EJ$20:$EL$54,3)</f>
        <v>0</v>
      </c>
      <c r="I159" s="511" t="n">
        <f aca="false">EOMONTH(I158,0)+1</f>
        <v>41000</v>
      </c>
      <c r="J159" s="512"/>
      <c r="K159" s="513" t="s">
        <v>280</v>
      </c>
      <c r="L159" s="514" t="n">
        <f aca="false">IF(ISNUMBER(K159),J159+K159/100,IF(K159="extra",L158+VLOOKUP(BF159,PriceSpreadTable,2)/12,IF(K159="inter",interpolateprices($K$19:$L$200,ROW(K159)-ROW(FirstPricingMonth)+1),interpolatechanges($J$19:$K$200,ROW(K159)-ROW(FirstPricingMonth)+1))))</f>
        <v>2.3625</v>
      </c>
      <c r="M159" s="515"/>
      <c r="N159" s="516" t="n">
        <v>0</v>
      </c>
      <c r="O159" s="515" t="n">
        <f aca="false">M159+N159</f>
        <v>0</v>
      </c>
      <c r="P159" s="512"/>
      <c r="Q159" s="513" t="s">
        <v>280</v>
      </c>
      <c r="R159" s="512" t="e">
        <f aca="false">IF(ISNUMBER(Q159),P159+Q159/100,IF(Q159="extra",(Z157*AL157-R158*AM157)/AN157,IF(Q159="inter",interpolateprices($Q$19:$R$260,ROW(Q159)-ROW(FirstPricingMonth)+1),interpolatechanges($P$19:$Q$260,ROW(Q159)-ROW(FirstPricingMonth)+1))))</f>
        <v>#VALUE!</v>
      </c>
      <c r="S159" s="597" t="n">
        <f aca="false">S$19+(S158-S$19)*S$18</f>
        <v>0.36</v>
      </c>
      <c r="T159" s="575" t="n">
        <f aca="false">SQRT((1-(1-T158^2/U158)*T$18)*U159)</f>
        <v>0.999999999960755</v>
      </c>
      <c r="U159" s="576" t="n">
        <f aca="false">1-(1-U158)*U$18</f>
        <v>1</v>
      </c>
      <c r="V159" s="521" t="n">
        <v>0</v>
      </c>
      <c r="W159" s="577" t="n">
        <f aca="false">(J160*AJ159+J161*AK159)/AI159</f>
        <v>0</v>
      </c>
      <c r="X159" s="578" t="n">
        <f aca="false">(L160*AJ159+L161*AK159)/AI159</f>
        <v>2.41071428571429</v>
      </c>
      <c r="Y159" s="579" t="n">
        <f aca="false">IF(Q161="extra",W159-AA159,(P160*AM159+P161*AN159)/AL159)</f>
        <v>-1.2915</v>
      </c>
      <c r="Z159" s="579" t="n">
        <f aca="false">IF(Q161="extra",X159-AB159,(R160*AM159+R161*AN159)/AL159)</f>
        <v>1.11921428571429</v>
      </c>
      <c r="AA159" s="523" t="n">
        <f aca="false">IF(Q161="extra",INDEX(BrentSeasonalityTable,INT((BG159-1)/3)+1)*VLOOKUP(MAX(BF159,$AB$4),PriceSpreadTable,3),W159-Y159)</f>
        <v>1.2915</v>
      </c>
      <c r="AB159" s="524" t="n">
        <f aca="false">IF(Q161="extra",INDEX(BrentSeasonalityTable,INT((BG159-1)/3)+1)*VLOOKUP(MAX(BF159,$AB$4),PriceSpreadTable,3),X159-Z159)</f>
        <v>1.2915</v>
      </c>
      <c r="AC159" s="646" t="n">
        <v>40988</v>
      </c>
      <c r="AD159" s="646" t="n">
        <v>40984</v>
      </c>
      <c r="AE159" s="646" t="n">
        <v>40983</v>
      </c>
      <c r="AF159" s="646" t="n">
        <v>40979</v>
      </c>
      <c r="AG159" s="438" t="s">
        <v>278</v>
      </c>
      <c r="AH159" s="439" t="s">
        <v>278</v>
      </c>
      <c r="AI159" s="528" t="n">
        <v>21</v>
      </c>
      <c r="AJ159" s="529" t="n">
        <v>15</v>
      </c>
      <c r="AK159" s="529" t="n">
        <v>6</v>
      </c>
      <c r="AL159" s="530" t="n">
        <v>21</v>
      </c>
      <c r="AM159" s="529" t="n">
        <v>10</v>
      </c>
      <c r="AN159" s="531" t="n">
        <v>11</v>
      </c>
      <c r="AO159" s="532"/>
      <c r="AP159" s="465" t="n">
        <f aca="false">(1+AO159/2)^(-2*BL159)</f>
        <v>1</v>
      </c>
      <c r="AQ159" s="532"/>
      <c r="AR159" s="465" t="n">
        <f aca="false">(1+AQ159/2)^(-2*BH159/365.25)</f>
        <v>1</v>
      </c>
      <c r="AS159" s="580" t="n">
        <f aca="false">(O160*AJ159+O161*AK159)/AI159</f>
        <v>0</v>
      </c>
      <c r="AT159" s="468" t="n">
        <f aca="false">O159*VLOOKUP(BF159,BrentVolTable,2)+VLOOKUP(BF159,BrentVolTable,3)</f>
        <v>0</v>
      </c>
      <c r="AU159" s="468" t="n">
        <f aca="false">(AT160*AM159+AT161*AN159)/AL159</f>
        <v>0</v>
      </c>
      <c r="AV159" s="595" t="n">
        <f aca="false">SQRT(MAX(0.000000000001,(O159^2*BH159-S159^2*(BH159-BH158))/BH158))</f>
        <v>0.0274994055176278</v>
      </c>
      <c r="AW159" s="451" t="n">
        <f aca="false">IF($I159-DateToday+15&gt;=$T$8,"",IF($I159-DateToday+15&lt;$T$5,1,MATCH($I159-DateToday+15,$T$5:$T$8)))</f>
        <v>1</v>
      </c>
      <c r="AX159" s="468" t="n">
        <f aca="false">IF($AW159="",AX158^2/AX157,INDEX(U$5:U$8,$AW159)^((INDEX($T$5:$T$8,$AW159+1)-($I159-DateToday+15))/(INDEX($T$5:$T$8,$AW159+1)-INDEX($T$5:$T$8,$AW159)))/INDEX(U$5:U$8,$AW159+1)^((INDEX($T$5:$T$8,$AW159)-($I159-DateToday+15))/(INDEX($T$5:$T$8,$AW159+1)-INDEX($T$5:$T$8,$AW159))))</f>
        <v>0.643104775795361</v>
      </c>
      <c r="AY159" s="468" t="n">
        <f aca="false">IF($AW159="",AY158^2/AY157,INDEX(V$5:V$8,$AW159)^((INDEX($T$5:$T$8,$AW159+1)-($I159-DateToday+15))/(INDEX($T$5:$T$8,$AW159+1)-INDEX($T$5:$T$8,$AW159)))/INDEX(V$5:V$8,$AW159+1)^((INDEX($T$5:$T$8,$AW159)-($I159-DateToday+15))/(INDEX($T$5:$T$8,$AW159+1)-INDEX($T$5:$T$8,$AW159))))</f>
        <v>14.9464545677549</v>
      </c>
      <c r="AZ159" s="468" t="n">
        <f aca="false">IF($AW159="",AZ158^2/AZ157,INDEX(W$5:W$8,$AW159)^((INDEX($T$5:$T$8,$AW159+1)-($I159-DateToday+15))/(INDEX($T$5:$T$8,$AW159+1)-INDEX($T$5:$T$8,$AW159)))/INDEX(W$5:W$8,$AW159+1)^((INDEX($T$5:$T$8,$AW159)-($I159-DateToday+15))/(INDEX($T$5:$T$8,$AW159+1)-INDEX($T$5:$T$8,$AW159))))</f>
        <v>7579.26896890639</v>
      </c>
      <c r="BA159" s="468" t="n">
        <f aca="false">IF($AW159="",BA158^2/BA157,INDEX(X$5:X$8,$AW159)^((INDEX($T$5:$T$8,$AW159+1)-($I159-DateToday+15))/(INDEX($T$5:$T$8,$AW159+1)-INDEX($T$5:$T$8,$AW159)))/INDEX(X$5:X$8,$AW159+1)^((INDEX($T$5:$T$8,$AW159)-($I159-DateToday+15))/(INDEX($T$5:$T$8,$AW159+1)-INDEX($T$5:$T$8,$AW159))))</f>
        <v>50773.5840723048</v>
      </c>
      <c r="BB159" s="468" t="n">
        <f aca="false">IF($AW159="",BB158^2/BB157,INDEX(Y$5:Y$8,$AW159)^((INDEX($T$5:$T$8,$AW159+1)-($I159-DateToday+15))/(INDEX($T$5:$T$8,$AW159+1)-INDEX($T$5:$T$8,$AW159)))/INDEX(Y$5:Y$8,$AW159+1)^((INDEX($T$5:$T$8,$AW159)-($I159-DateToday+15))/(INDEX($T$5:$T$8,$AW159+1)-INDEX($T$5:$T$8,$AW159))))</f>
        <v>354602.152954694</v>
      </c>
      <c r="BC159" s="468" t="n">
        <f aca="false">IF($AW159="",BC158^2/BC157,INDEX(Z$5:Z$8,$AW159)^((INDEX($T$5:$T$8,$AW159+1)-($I159-DateToday+15))/(INDEX($T$5:$T$8,$AW159+1)-INDEX($T$5:$T$8,$AW159)))/INDEX(Z$5:Z$8,$AW159+1)^((INDEX($T$5:$T$8,$AW159)-($I159-DateToday+15))/(INDEX($T$5:$T$8,$AW159+1)-INDEX($T$5:$T$8,$AW159))))</f>
        <v>1153158.04149317</v>
      </c>
      <c r="BD159" s="535" t="n">
        <f aca="false">IF(OR(DateStart&gt;=I160,DateEnd&lt;I159),0,IF(VolumeOverrideFlag,V159,Volume))</f>
        <v>0</v>
      </c>
      <c r="BE159" s="536" t="n">
        <f aca="false">IF(OR(DateStart2&gt;=I160,DateEnd2&lt;I159),0,IF(VolumeOverrideFlag,V159,VolumeSwaption))</f>
        <v>0</v>
      </c>
      <c r="BF159" s="537" t="n">
        <f aca="false">YEAR(I159)</f>
        <v>2012</v>
      </c>
      <c r="BG159" s="538" t="n">
        <f aca="false">MONTH(I159)</f>
        <v>4</v>
      </c>
      <c r="BH159" s="539" t="n">
        <f aca="false">AD159-DateToday+1</f>
        <v>-4941</v>
      </c>
      <c r="BI159" s="540" t="n">
        <f aca="false">(I159-DateToday+1)/365.25</f>
        <v>-13.4839151266256</v>
      </c>
      <c r="BJ159" s="541" t="n">
        <f aca="false">BI159+(BL159-BI159)*CHOOSE(Underlying,AJ159/AI159,AM159/AL159)</f>
        <v>-13.4272025031779</v>
      </c>
      <c r="BK159" s="541" t="n">
        <f aca="false">BJ159+1/365.25</f>
        <v>-13.4244646523907</v>
      </c>
      <c r="BL159" s="541" t="n">
        <f aca="false">(I160-DateToday)/365.25</f>
        <v>-13.4045174537988</v>
      </c>
      <c r="BM159" s="542" t="e">
        <f aca="false">MAX(BI159-(BJ159-BI159)*(S160^2/O160^2-1),0)</f>
        <v>#DIV/0!</v>
      </c>
      <c r="BN159" s="541" t="e">
        <f aca="false">MAX(BL159+(BL159-BK159)*(S161^2/O161^2-1),0)</f>
        <v>#DIV/0!</v>
      </c>
      <c r="BO159" s="530" t="n">
        <f aca="false">CHOOSE(Underlying,AI159,AL159)</f>
        <v>21</v>
      </c>
      <c r="BP159" s="529" t="n">
        <f aca="false">CHOOSE(Underlying,AJ159,AM159)</f>
        <v>15</v>
      </c>
      <c r="BQ159" s="529" t="n">
        <f aca="false">CHOOSE(Underlying,AK159,AN159)</f>
        <v>6</v>
      </c>
      <c r="BR159" s="463" t="str">
        <f aca="false">IF(BD159,IF(Underlying=1,X159,Z159)+UnderlyingPriceAsian-SwapPriceCurve,"")</f>
        <v/>
      </c>
      <c r="BS159" s="463" t="str">
        <f aca="false">IF(BD159,Strike1/BR159-1,"")</f>
        <v/>
      </c>
      <c r="BT159" s="464" t="str">
        <f aca="false">IF(BD159,Strike2/BR159-1,"")</f>
        <v/>
      </c>
      <c r="BU159" s="465" t="str">
        <f aca="false">IF(BD159,IF(Underlying=1,L160,R160)+UnderlyingPriceAsian-SwapPriceCurve,"")</f>
        <v/>
      </c>
      <c r="BV159" s="465" t="str">
        <f aca="false">IF(BD159,IF(Underlying=1,L161,R161)+UnderlyingPriceAsian-SwapPriceCurve,"")</f>
        <v/>
      </c>
      <c r="BW159" s="466" t="str">
        <f aca="false">IF(BD159,IF(Underlying=1,O160,AT160),"")</f>
        <v/>
      </c>
      <c r="BX159" s="467" t="str">
        <f aca="false">IF(BD159,IF(Underlying=1,O161,AT161),"")</f>
        <v/>
      </c>
      <c r="BY159" s="466" t="str">
        <f aca="false">IF(BD159,IF(BS159&gt;0,IF(BS159&gt;0.2,BC159-BB159,IF(BS159&gt;0.1,BB159-BA159,BA159)),IF(BS159&lt;-0.2,AX159-AY159,IF(BS159&lt;-0.1,AY159-AZ159,AZ159))),"")</f>
        <v/>
      </c>
      <c r="BZ159" s="467" t="str">
        <f aca="false">IF(BD159,IF(BT159&gt;0,IF(BT159&gt;0.2,BC159-BB159,IF(BT159&gt;0.1,BB159-BA159,BA159)),IF(BT159&lt;-0.2,AX159-AY159,IF(BT159&lt;-0.1,AY159-AZ159,AZ159))),"")</f>
        <v/>
      </c>
      <c r="CA159" s="468" t="str">
        <f aca="false">IF($BD159,$BW159+IF(VolSkewFlag=1,IF(BS159&gt;0,$BA159*MIN(BS159/10%,1)+($BB159-$BA159)*MAX(0,MIN(BS159/10%-1,1))+($BC159-$BB159)*MAX(0,BS159/10%-2),$AZ159*MIN(-BS159/10%,1)+($AY159-$AZ159)*MAX(0,MIN(-BS159/10%-1,1))+($AX159-$AY159)*MAX(0,-BS159/10%-2)),0),"")</f>
        <v/>
      </c>
      <c r="CB159" s="468" t="str">
        <f aca="false">IF($BD159,$BX159+IF(VolSkewFlag=1,IF(BS159&gt;0,$BA159*MIN(BS159/10%,1)+($BB159-$BA159)*MAX(0,MIN(BS159/10%-1,1))+($BC159-$BB159)*MAX(0,BS159/10%-2),$AZ159*MIN(-BS159/10%,1)+($AY159-$AZ159)*MAX(0,MIN(-BS159/10%-1,1))+($AX159-$AY159)*MAX(0,-BS159/10%-2)),0),"")</f>
        <v/>
      </c>
      <c r="CC159" s="468" t="str">
        <f aca="false">IF($BD159,$BW159+IF(VolSkewFlag=1,IF(BT159&gt;0,$BA159*MIN(BT159/10%,1)+($BB159-$BA159)*MAX(0,MIN(BT159/10%-1,1))+($BC159-$BB159)*MAX(0,BT159/10%-2),$AZ159*MIN(-BT159/10%,1)+($AY159-$AZ159)*MAX(0,MIN(-BT159/10%-1,1))+($AX159-$AY159)*MAX(0,-BT159/10%-2)),0),"")</f>
        <v/>
      </c>
      <c r="CD159" s="468" t="str">
        <f aca="false">IF($BD159,$BX159+IF(VolSkewFlag=1,IF(BT159&gt;0,$BA159*MIN(BT159/10%,1)+($BB159-$BA159)*MAX(0,MIN(BT159/10%-1,1))+($BC159-$BB159)*MAX(0,BT159/10%-2),$AZ159*MIN(-BT159/10%,1)+($AY159-$AZ159)*MAX(0,MIN(-BT159/10%-1,1))+($AX159-$AY159)*MAX(0,-BT159/10%-2)),0),"")</f>
        <v/>
      </c>
      <c r="CE159" s="469" t="n">
        <v>1</v>
      </c>
      <c r="CF159" s="470" t="n">
        <f aca="false">IF(BD159,xCrudeAPO(BU159,BV159,CA159,CB159,S160,S161,BI159,BL159,BP159,BQ159,0,Strike1,AO159,CE159,0,BL159,IF(OptControl=4,0,1),0,1),0)</f>
        <v>0</v>
      </c>
      <c r="CG159" s="470" t="n">
        <f aca="false">IF(BD159,xCrudeAPO(BU159,BV159,CA159,CB159,S160,S161,BI159,BL159,BP159,BQ159,0,Strike1,AO159,CE159,0,BL159,IF(OptControl=4,0,1),1,1)+xCrudeAPO(BU159,BV159,CA159,CB159,S160,S161,BI159,BL159,BP159,BQ159,0,Strike1,AO159,CE159,0,BL159,IF(OptControl=4,0,1),1,2)+IF(OR(VolSkewFlag=2,ABS(BS159)&lt;0.0001),0,IF(BS159&gt;0,-1,1)*CH159*Strike1/BR159^2*BY159/10%),0)</f>
        <v>0</v>
      </c>
      <c r="CH159" s="470" t="n">
        <f aca="false">IF(BD159,(xCrudeAPO(BU159,BV159,CA159,CB159,S160,S161,BI159,BL159,BP159,BQ159,0,Strike1,AO159,CE159,0,BL159,IF(OptControl=4,0,1),3,1)+xCrudeAPO(BU159,BV159,CA159,CB159,S160,S161,BI159,BL159,BP159,BQ159,0,Strike1,AO159,CE159,0,BL159,IF(OptControl=4,0,1),3,2))/100,0)</f>
        <v>0</v>
      </c>
      <c r="CI159" s="470" t="n">
        <f aca="false">IF(BD159,xCrudeAPO(BU159,BV159,CA159,CB159,S160,S161,BI159-DaysForThetaCalculation/365.25,BL159-DaysForThetaCalculation/365.25,BP159,BQ159,0,Strike1,AO159,CE159,0,BL159,IF(OptControl=4,0,1),0,1)-xCrudeAPO(BU159,BV159,CA159,CB159,S160,S161,BI159,BL159,BP159,BQ159,0,Strike1,AO159,CE159,0,BL159,IF(OptControl=4,0,1),0,1),0)</f>
        <v>0</v>
      </c>
      <c r="CJ159" s="471" t="n">
        <f aca="false">IF(BD159,xCrudeAPO(BU159,BV159,CC159,CD159,S160,S161,BI159,BL159,BP159,BQ159,0,Strike2,AO159,CE159,0,BL159,IF(OptControl=3,1,0),0,1),0)</f>
        <v>0</v>
      </c>
      <c r="CK159" s="470" t="n">
        <f aca="false">IF(BD159,xCrudeAPO(BU159,BV159,CC159,CD159,S160,S161,BI159,BL159,BP159,BQ159,0,Strike2,AO159,CE159,0,BL159,IF(OptControl=3,1,0),1,1)+xCrudeAPO(BU159,BV159,CC159,CD159,S160,S161,BI159,BL159,BP159,BQ159,0,Strike2,AO159,CE159,0,BL159,IF(OptControl=3,1,0),1,2)+IF(OR(VolSkewFlag=2,ABS(BT159)&lt;0.0001),0,IF(BT159&gt;0,-1,1)*CL159*Strike2/BR159^2*BZ159/10%),0)</f>
        <v>0</v>
      </c>
      <c r="CL159" s="470" t="n">
        <f aca="false">IF(BD159,(xCrudeAPO(BU159,BV159,CC159,CD159,S160,S161,BI159,BL159,BP159,BQ159,0,Strike2,AO159,CE159,0,BL159,IF(OptControl=3,1,0),3,1)+xCrudeAPO(BU159,BV159,CC159,CD159,S160,S161,BI159,BL159,BP159,BQ159,0,Strike2,AO159,CE159,0,BL159,IF(OptControl=3,1,0),3,2))/100,0)</f>
        <v>0</v>
      </c>
      <c r="CM159" s="472" t="n">
        <f aca="false">IF(BD159,xCrudeAPO(BU159,BV159,CC159,CD159,S160,S161,BI159-DaysForThetaCalculation/365.25,BL159-DaysForThetaCalculation/365.25,BP159,BQ159,0,Strike2,AO159,CE159,0,BL159,IF(OptControl=3,1,0),0,1)-xCrudeAPO(BU159,BV159,CC159,CD159,S160,S161,BI159,BL159,BP159,BQ159,0,Strike2,AO159,CE159,0,BL159,IF(OptControl=3,1,0),0,1),0)</f>
        <v>0</v>
      </c>
      <c r="CN159" s="3"/>
      <c r="CO159" s="543" t="str">
        <f aca="false">IF(BD159,CHOOSE(Underlying,AD159,AF159)-DateToday+1,"")</f>
        <v/>
      </c>
      <c r="CP159" s="582" t="str">
        <f aca="false">IF(BD159,CHOOSE(Underlying,L159,R159),"")</f>
        <v/>
      </c>
      <c r="CQ159" s="544" t="str">
        <f aca="false">IF(BD159,Strike1/CP159-1,"")</f>
        <v/>
      </c>
      <c r="CR159" s="544" t="str">
        <f aca="false">IF(BD159,Strike2/CP159-1,"")</f>
        <v/>
      </c>
      <c r="CS159" s="544" t="str">
        <f aca="false">IF(BD159,IF(CQ159&gt;0,IF(CQ159&gt;0.2,BC158-BB158,IF(CQ159&gt;0.1,BB158-BA158,BA158)),IF(CQ159&lt;-0.2,AX158-AY158,IF(CQ159&lt;-0.1,AY158-AZ158,AZ158))),"")</f>
        <v/>
      </c>
      <c r="CT159" s="544" t="str">
        <f aca="false">IF(BD159,IF(CR159&gt;0,IF(CR159&gt;0.2,BC158-BB158,IF(CR159&gt;0.1,BB158-BA158,BA158)),IF(CR159&lt;-0.2,AX158-AY158,IF(CR159&lt;-0.1,AY158-AZ158,AZ158))),"")</f>
        <v/>
      </c>
      <c r="CU159" s="545" t="str">
        <f aca="false">IF(BD159,CHOOSE(Underlying,O159,AT159),"")</f>
        <v/>
      </c>
      <c r="CV159" s="545" t="str">
        <f aca="false">IF(BD159,CU159+IF(VolSkewFlag=1,IF(CQ159&gt;0,BA158*MIN(CQ159/10%,1)+(BB158-BA158)*MAX(0,MIN(CQ159/10%-1,1))+(BC158-BB158)*MAX(0,CQ159/10%-2),AZ158*MIN(-CQ159/10%,1)+(AY158-AZ158)*MAX(0,MIN(-CQ159/10%-1,1))+(AX158-AY158)*MAX(0,-CQ159/10%-2)),0),"")</f>
        <v/>
      </c>
      <c r="CW159" s="545" t="str">
        <f aca="false">IF(BD159,CU159+IF(VolSkewFlag=1,IF(CR159&gt;0,BA158*MIN(CR159/10%,1)+(BB158-BA158)*MAX(0,MIN(CR159/10%-1,1))+(BC158-BB158)*MAX(0,CR159/10%-2),AZ158*MIN(-CR159/10%,1)+(AY158-AZ158)*MAX(0,MIN(-CR159/10%-1,1))+(AX158-AY158)*MAX(0,-CR159/10%-2)),0),"")</f>
        <v/>
      </c>
      <c r="CX159" s="470" t="n">
        <f aca="false">IF(BD159,EURO(CP159,Strike1,AO159,AO159,CV159,CO159,IF(OptControl=4,0,1),0),0)</f>
        <v>0</v>
      </c>
      <c r="CY159" s="470" t="n">
        <f aca="false">IF(BD159,EURO(CP159,Strike1,AO159,AO159,CV159,CO159,IF(OptControl=4,0,1),1)+IF(OR(VolSkewFlag=2,ABS(CQ159)&lt;0.0001),0,IF(CQ159&gt;0,-1,1)*CZ159*100*Strike1/CP159^2*CS159/10%),0)</f>
        <v>0</v>
      </c>
      <c r="CZ159" s="470" t="n">
        <f aca="false">IF(BD159,EURO(CP159,Strike1,AO159,AO159,CV159,CO159,IF(OptControl=4,0,1),3)/100,0)</f>
        <v>0</v>
      </c>
      <c r="DA159" s="470" t="n">
        <f aca="false">IF(BD159,EURO(CP159,Strike1,AO159,AO159,CV159,CO159,IF(OptControl=4,0,1),0)-EURO(CP159,Strike1,AO159,AO159,CV159,CO159-1,IF(OptControl=4,0,1),0),0)</f>
        <v>0</v>
      </c>
      <c r="DB159" s="470" t="n">
        <f aca="false">IF(BD159,EURO(CP159,Strike2,AO159,AO159,CW159,CO159,IF(OptControl=3,1,0),0),0)</f>
        <v>0</v>
      </c>
      <c r="DC159" s="470" t="n">
        <f aca="false">IF(BD159,EURO(CP159,Strike2,AO159,AO159,CW159,CO159,IF(OptControl=3,1,0),1)+IF(OR(VolSkewFlag=2,ABS(CR159)&lt;0.0001),0,IF(CR159&gt;0,-1,1)*DD159*100*Strike2/CP159^2*CT159/10%),0)</f>
        <v>0</v>
      </c>
      <c r="DD159" s="470" t="n">
        <f aca="false">IF(BD159,EURO(CP159,Strike2,AO159,AO159,CW159,CO159,IF(OptControl=3,1,0),3)/100,0)</f>
        <v>0</v>
      </c>
      <c r="DE159" s="472" t="n">
        <f aca="false">IF(BD159,EURO(CP159,Strike2,AO159,AO159,CW159,CO159,IF(OptControl=3,1,0),0)-EURO(CP159,Strike2,AO159,AO159,CW159,CO159-1,IF(OptControl=3,1,0),0),0)</f>
        <v>0</v>
      </c>
      <c r="DG159" s="481" t="n">
        <f aca="false">EOMONTH(DG158,0)+1</f>
        <v>49919</v>
      </c>
      <c r="DH159" s="478" t="n">
        <v>21.11</v>
      </c>
      <c r="DI159" s="479" t="n">
        <v>21.1781818181819</v>
      </c>
      <c r="DJ159" s="480" t="n">
        <f aca="false">DG159</f>
        <v>49919</v>
      </c>
      <c r="DK159" s="478" t="n">
        <v>19.9327093105689</v>
      </c>
      <c r="DL159" s="479" t="n">
        <v>19.9112818181819</v>
      </c>
      <c r="DM159" s="481" t="n">
        <f aca="false">DG159</f>
        <v>49919</v>
      </c>
      <c r="DN159" s="482" t="n">
        <f aca="false">DK159+BrentPhyBrentSpread</f>
        <v>19.9827093105689</v>
      </c>
      <c r="DO159" s="481" t="n">
        <f aca="false">DG159</f>
        <v>49919</v>
      </c>
      <c r="DP159" s="483" t="n">
        <f aca="false">DL159+DQ159</f>
        <v>19.9112818181819</v>
      </c>
      <c r="DQ159" s="546" t="n">
        <v>0</v>
      </c>
      <c r="DR159" s="480" t="n">
        <f aca="false">DG159</f>
        <v>49919</v>
      </c>
      <c r="DS159" s="485" t="n">
        <v>0.141199999999999</v>
      </c>
      <c r="DT159" s="486" t="n">
        <v>0.140381818181817</v>
      </c>
      <c r="DU159" s="480" t="n">
        <f aca="false">DG159</f>
        <v>49919</v>
      </c>
      <c r="DV159" s="485" t="n">
        <v>0.141199999999999</v>
      </c>
      <c r="DW159" s="486" t="n">
        <v>0.140381818181817</v>
      </c>
      <c r="DX159" s="481" t="n">
        <f aca="false">DG159</f>
        <v>49919</v>
      </c>
      <c r="DY159" s="486" t="n">
        <v>0.35</v>
      </c>
      <c r="DZ159" s="481" t="n">
        <f aca="false">DR159</f>
        <v>49919</v>
      </c>
      <c r="EA159" s="486" t="n">
        <f aca="false">DT159</f>
        <v>0.140381818181817</v>
      </c>
      <c r="EB159" s="195"/>
      <c r="EC159" s="547" t="str">
        <f aca="false">IF(BD159,IF(Underlying=1,AS159,AU159),"")</f>
        <v/>
      </c>
      <c r="ED159" s="548" t="str">
        <f aca="false">IF($BD159,$EC159+IF(VolSkewFlag=1,IF(BS159&gt;0,$BA159*MIN(BS159/10%,1)+($BB159-$BA159)*MAX(0,MIN(BS159/10%-1,1))+($BC159-$BB159)*MAX(0,BS159/10%-2),$AZ159*MIN(-BS159/10%,1)+($AY159-$AZ159)*MAX(0,MIN(-BS159/10%-1,1))+($AX159-$AY159)*MAX(0,-BS159/10%-2)),0),"")</f>
        <v/>
      </c>
      <c r="EE159" s="549" t="str">
        <f aca="false">IF($BD159,$EC159+IF(VolSkewFlag=1,IF(BT159&gt;0,$BA159*MIN(BT159/10%,1)+($BB159-$BA159)*MAX(0,MIN(BT159/10%-1,1))+($BC159-$BB159)*MAX(0,BT159/10%-2),$AZ159*MIN(-BT159/10%,1)+($AY159-$AZ159)*MAX(0,MIN(-BT159/10%-1,1))+($AX159-$AY159)*MAX(0,-BT159/10%-2)),0),"")</f>
        <v/>
      </c>
      <c r="EF159" s="550" t="n">
        <f aca="false">IF(BD159,xASN(BR159,Strike1,AO159,ED159,0,BO159,0,BI159,BL159,IF(OptControl=4,0,1),0),0)</f>
        <v>0</v>
      </c>
      <c r="EG159" s="551" t="n">
        <f aca="false">IF(BD159,xASN(BR159,Strike2,AO159,EE159,0,BO159,0,BI159,BL159,IF(OptControl=3,1,0),0),0)</f>
        <v>0</v>
      </c>
      <c r="EL159" s="1"/>
      <c r="EM159" s="195"/>
      <c r="EN159" s="240"/>
      <c r="EO159" s="240"/>
      <c r="EP159" s="195"/>
      <c r="EQ159" s="407" t="s">
        <v>386</v>
      </c>
      <c r="ES159" s="130"/>
      <c r="ET159" s="19"/>
      <c r="EU159" s="672"/>
      <c r="EV159" s="478"/>
      <c r="EW159" s="131"/>
      <c r="EX159" s="131"/>
      <c r="EY159" s="129"/>
      <c r="EZ159" s="129"/>
      <c r="FA159" s="129"/>
      <c r="FB159" s="129"/>
      <c r="FC159" s="129"/>
      <c r="FD159" s="129"/>
      <c r="FE159" s="129"/>
      <c r="FF159" s="129"/>
      <c r="FG159" s="129"/>
      <c r="FH159" s="129"/>
      <c r="FI159" s="129"/>
      <c r="FJ159" s="571" t="n">
        <v>65</v>
      </c>
      <c r="FK159" s="150" t="e">
        <f aca="false">IF($FJ84&lt;FK$94,"",SQRT(FK84/FK$15))</f>
        <v>#DIV/0!</v>
      </c>
      <c r="FL159" s="150" t="n">
        <f aca="false">IF($FJ84&lt;FL$94,"",SQRT(FL84/FL$15))</f>
        <v>-0</v>
      </c>
      <c r="FM159" s="150" t="n">
        <f aca="false">IF($FJ84&lt;FM$94,"",SQRT(FM84/FM$15))</f>
        <v>0.170504067333666</v>
      </c>
      <c r="FN159" s="150" t="n">
        <f aca="false">IF($FJ84&lt;FN$94,"",SQRT(FN84/FN$15))</f>
        <v>0.167226472580309</v>
      </c>
      <c r="FO159" s="150" t="n">
        <f aca="false">IF($FJ84&lt;FO$94,"",SQRT(FO84/FO$15))</f>
        <v>0.164768792003564</v>
      </c>
      <c r="FP159" s="150" t="n">
        <f aca="false">IF($FJ84&lt;FP$94,"",SQRT(FP84/FP$15))</f>
        <v>0.16292613729861</v>
      </c>
      <c r="FQ159" s="150" t="n">
        <f aca="false">IF($FJ84&lt;FQ$94,"",SQRT(FQ84/FQ$15))</f>
        <v>0.161544857199012</v>
      </c>
      <c r="FR159" s="150" t="n">
        <f aca="false">IF($FJ84&lt;FR$94,"",SQRT(FR84/FR$15))</f>
        <v>0.160509730798147</v>
      </c>
      <c r="FS159" s="150" t="n">
        <f aca="false">IF($FJ84&lt;FS$94,"",SQRT(FS84/FS$15))</f>
        <v>0.159734362973238</v>
      </c>
      <c r="FT159" s="150" t="n">
        <f aca="false">IF($FJ84&lt;FT$94,"",SQRT(FT84/FT$15))</f>
        <v>0.159153981460572</v>
      </c>
      <c r="FU159" s="150" t="n">
        <f aca="false">IF($FJ84&lt;FU$94,"",SQRT(FU84/FU$15))</f>
        <v>0.158720035255923</v>
      </c>
      <c r="FV159" s="150" t="n">
        <f aca="false">IF($FJ84&lt;FV$94,"",SQRT(FV84/FV$15))</f>
        <v>0.158396144110392</v>
      </c>
      <c r="FW159" s="150" t="n">
        <f aca="false">IF($FJ84&lt;FW$94,"",SQRT(FW84/FW$15))</f>
        <v>0.158155061466644</v>
      </c>
      <c r="FX159" s="150" t="n">
        <f aca="false">IF($FJ84&lt;FX$94,"",SQRT(FX84/FX$15))</f>
        <v>0.157976397614493</v>
      </c>
      <c r="FY159" s="150" t="n">
        <f aca="false">IF($FJ84&lt;FY$94,"",SQRT(FY84/FY$15))</f>
        <v>0.157844913173822</v>
      </c>
      <c r="FZ159" s="150" t="n">
        <f aca="false">IF($FJ84&lt;FZ$94,"",SQRT(FZ84/FZ$15))</f>
        <v>0.157749240513665</v>
      </c>
      <c r="GA159" s="150" t="n">
        <f aca="false">IF($FJ84&lt;GA$94,"",SQRT(GA84/GA$15))</f>
        <v>0.157680926346819</v>
      </c>
      <c r="GB159" s="150" t="n">
        <f aca="false">IF($FJ84&lt;GB$94,"",SQRT(GB84/GB$15))</f>
        <v>0.157633715467842</v>
      </c>
      <c r="GC159" s="150" t="n">
        <f aca="false">IF($FJ84&lt;GC$94,"",SQRT(GC84/GC$15))</f>
        <v>0.157603015655527</v>
      </c>
      <c r="GD159" s="150" t="n">
        <f aca="false">IF($FJ84&lt;GD$94,"",SQRT(GD84/GD$15))</f>
        <v>0.157585498808634</v>
      </c>
      <c r="GE159" s="150" t="n">
        <f aca="false">IF($FJ84&lt;GE$94,"",SQRT(GE84/GE$15))</f>
        <v>0.157578804678966</v>
      </c>
      <c r="GF159" s="150" t="n">
        <f aca="false">IF($FJ84&lt;GF$94,"",SQRT(GF84/GF$15))</f>
        <v>0.15758132204833</v>
      </c>
      <c r="GG159" s="150" t="n">
        <f aca="false">IF($FJ84&lt;GG$94,"",SQRT(GG84/GG$15))</f>
        <v>0.157592028571031</v>
      </c>
      <c r="GH159" s="150" t="n">
        <f aca="false">IF($FJ84&lt;GH$94,"",SQRT(GH84/GH$15))</f>
        <v>0.157610375300536</v>
      </c>
      <c r="GI159" s="150" t="n">
        <f aca="false">IF($FJ84&lt;GI$94,"",SQRT(GI84/GI$15))</f>
        <v>0.157636205535354</v>
      </c>
      <c r="GJ159" s="150" t="n">
        <f aca="false">IF($FJ84&lt;GJ$94,"",SQRT(GJ84/GJ$15))</f>
        <v>0.15766970035392</v>
      </c>
      <c r="GK159" s="150" t="n">
        <f aca="false">IF($FJ84&lt;GK$94,"",SQRT(GK84/GK$15))</f>
        <v>0.157711345286091</v>
      </c>
      <c r="GL159" s="150" t="n">
        <f aca="false">IF($FJ84&lt;GL$94,"",SQRT(GL84/GL$15))</f>
        <v>0.157761914159623</v>
      </c>
      <c r="GM159" s="150" t="n">
        <f aca="false">IF($FJ84&lt;GM$94,"",SQRT(GM84/GM$15))</f>
        <v>0.157822467392103</v>
      </c>
      <c r="GN159" s="150" t="n">
        <f aca="false">IF($FJ84&lt;GN$94,"",SQRT(GN84/GN$15))</f>
        <v>0.157894362970447</v>
      </c>
      <c r="GO159" s="150" t="n">
        <f aca="false">IF($FJ84&lt;GO$94,"",SQRT(GO84/GO$15))</f>
        <v>0.157979279146709</v>
      </c>
      <c r="GP159" s="150" t="n">
        <f aca="false">IF($FJ84&lt;GP$94,"",SQRT(GP84/GP$15))</f>
        <v>0.1580792485402</v>
      </c>
      <c r="GQ159" s="150" t="n">
        <f aca="false">IF($FJ84&lt;GQ$94,"",SQRT(GQ84/GQ$15))</f>
        <v>0.158196703919671</v>
      </c>
      <c r="GR159" s="150" t="n">
        <f aca="false">IF($FJ84&lt;GR$94,"",SQRT(GR84/GR$15))</f>
        <v>0.158334536486446</v>
      </c>
      <c r="GS159" s="150" t="n">
        <f aca="false">IF($FJ84&lt;GS$94,"",SQRT(GS84/GS$15))</f>
        <v>0.158496168026391</v>
      </c>
      <c r="GT159" s="150" t="n">
        <f aca="false">IF($FJ84&lt;GT$94,"",SQRT(GT84/GT$15))</f>
        <v>0.158685638881124</v>
      </c>
      <c r="GU159" s="150" t="n">
        <f aca="false">IF($FJ84&lt;GU$94,"",SQRT(GU84/GU$15))</f>
        <v>0.158907714344521</v>
      </c>
      <c r="GV159" s="150" t="n">
        <f aca="false">IF($FJ84&lt;GV$94,"",SQRT(GV84/GV$15))</f>
        <v>0.159168012862229</v>
      </c>
      <c r="GW159" s="150" t="n">
        <f aca="false">IF($FJ84&lt;GW$94,"",SQRT(GW84/GW$15))</f>
        <v>0.15947316035188</v>
      </c>
      <c r="GX159" s="150" t="n">
        <f aca="false">IF($FJ84&lt;GX$94,"",SQRT(GX84/GX$15))</f>
        <v>0.159830976136711</v>
      </c>
      <c r="GY159" s="150" t="n">
        <f aca="false">IF($FJ84&lt;GY$94,"",SQRT(GY84/GY$15))</f>
        <v>0.160250697483477</v>
      </c>
      <c r="GZ159" s="150" t="n">
        <f aca="false">IF($FJ84&lt;GZ$94,"",SQRT(GZ84/GZ$15))</f>
        <v>0.160743251676092</v>
      </c>
      <c r="HA159" s="150" t="n">
        <f aca="false">IF($FJ84&lt;HA$94,"",SQRT(HA84/HA$15))</f>
        <v>0.161321587103493</v>
      </c>
      <c r="HB159" s="150" t="n">
        <f aca="false">IF($FJ84&lt;HB$94,"",SQRT(HB84/HB$15))</f>
        <v>0.162001078222902</v>
      </c>
      <c r="HC159" s="150" t="n">
        <f aca="false">IF($FJ84&lt;HC$94,"",SQRT(HC84/HC$15))</f>
        <v>0.162800023801717</v>
      </c>
      <c r="HD159" s="150" t="n">
        <f aca="false">IF($FJ84&lt;HD$94,"",SQRT(HD84/HD$15))</f>
        <v>0.163740264005424</v>
      </c>
      <c r="HE159" s="150" t="n">
        <f aca="false">IF($FJ84&lt;HE$94,"",SQRT(HE84/HE$15))</f>
        <v>0.164847950354038</v>
      </c>
      <c r="HF159" s="150" t="n">
        <f aca="false">IF($FJ84&lt;HF$94,"",SQRT(HF84/HF$15))</f>
        <v>0.166154514293427</v>
      </c>
      <c r="HG159" s="150" t="n">
        <f aca="false">IF($FJ84&lt;HG$94,"",SQRT(HG84/HG$15))</f>
        <v>0.167697896567723</v>
      </c>
      <c r="HH159" s="150" t="n">
        <f aca="false">IF($FJ84&lt;HH$94,"",SQRT(HH84/HH$15))</f>
        <v>0.169524122904351</v>
      </c>
      <c r="HI159" s="150" t="n">
        <f aca="false">IF($FJ84&lt;HI$94,"",SQRT(HI84/HI$15))</f>
        <v>0.171689345031734</v>
      </c>
      <c r="HJ159" s="150" t="n">
        <f aca="false">IF($FJ84&lt;HJ$94,"",SQRT(HJ84/HJ$15))</f>
        <v>0.174262514828917</v>
      </c>
      <c r="HK159" s="150" t="n">
        <f aca="false">IF($FJ84&lt;HK$94,"",SQRT(HK84/HK$15))</f>
        <v>0.177328931431429</v>
      </c>
      <c r="HL159" s="150" t="n">
        <f aca="false">IF($FJ84&lt;HL$94,"",SQRT(HL84/HL$15))</f>
        <v>0.180995009108645</v>
      </c>
      <c r="HM159" s="150" t="n">
        <f aca="false">IF($FJ84&lt;HM$94,"",SQRT(HM84/HM$15))</f>
        <v>0.185394778355154</v>
      </c>
      <c r="HN159" s="150" t="n">
        <f aca="false">IF($FJ84&lt;HN$94,"",SQRT(HN84/HN$15))</f>
        <v>0.190698888179198</v>
      </c>
      <c r="HO159" s="150" t="n">
        <f aca="false">IF($FJ84&lt;HO$94,"",SQRT(HO84/HO$15))</f>
        <v>0.197127282130992</v>
      </c>
      <c r="HP159" s="150" t="n">
        <f aca="false">IF($FJ84&lt;HP$94,"",SQRT(HP84/HP$15))</f>
        <v>0.204967375083781</v>
      </c>
      <c r="HQ159" s="150" t="n">
        <f aca="false">IF($FJ84&lt;HQ$94,"",SQRT(HQ84/HQ$15))</f>
        <v>0.214600642003988</v>
      </c>
      <c r="HR159" s="150" t="n">
        <f aca="false">IF($FJ84&lt;HR$94,"",SQRT(HR84/HR$15))</f>
        <v>0.226542373892718</v>
      </c>
      <c r="HS159" s="150" t="n">
        <f aca="false">IF($FJ84&lt;HS$94,"",SQRT(HS84/HS$15))</f>
        <v>0.241502584799904</v>
      </c>
      <c r="HT159" s="150" t="n">
        <f aca="false">IF($FJ84&lt;HT$94,"",SQRT(HT84/HT$15))</f>
        <v>0.260481894105281</v>
      </c>
      <c r="HU159" s="150" t="n">
        <f aca="false">IF($FJ84&lt;HU$94,"",SQRT(HU84/HU$15))</f>
        <v>0.28492716566138</v>
      </c>
      <c r="HV159" s="150" t="n">
        <f aca="false">IF($FJ84&lt;HV$94,"",SQRT(HV84/HV$15))</f>
        <v>0.31699311199715</v>
      </c>
      <c r="HW159" s="150" t="n">
        <f aca="false">IF($FJ84&lt;HW$94,"",SQRT(HW84/HW$15))</f>
        <v>0.36000000053817</v>
      </c>
      <c r="HX159" s="150" t="str">
        <f aca="false">IF($FJ84&lt;HX$94,"",SQRT(HX84/HX$15))</f>
        <v/>
      </c>
      <c r="HY159" s="150" t="str">
        <f aca="false">IF($FJ84&lt;HY$94,"",SQRT(HY84/HY$15))</f>
        <v/>
      </c>
      <c r="HZ159" s="150" t="str">
        <f aca="false">IF($FJ84&lt;HZ$94,"",SQRT(HZ84/HZ$15))</f>
        <v/>
      </c>
      <c r="IA159" s="150" t="str">
        <f aca="false">IF($FJ84&lt;IA$94,"",SQRT(IA84/IA$15))</f>
        <v/>
      </c>
      <c r="IB159" s="150" t="str">
        <f aca="false">IF($FJ84&lt;IB$94,"",SQRT(IB84/IB$15))</f>
        <v/>
      </c>
      <c r="IC159" s="150" t="str">
        <f aca="false">IF($FJ84&lt;IC$94,"",SQRT(IC84/IC$15))</f>
        <v/>
      </c>
      <c r="ID159" s="572" t="str">
        <f aca="false">IF($FJ84&lt;ID$94,"",SQRT(ID84/ID$15))</f>
        <v/>
      </c>
      <c r="IE159" s="129"/>
    </row>
    <row r="160" customFormat="false" ht="12.75" hidden="false" customHeight="false" outlineLevel="0" collapsed="false">
      <c r="H160" s="219" t="n">
        <f aca="false">VLOOKUP(I160,$EJ$20:$EL$54,3)</f>
        <v>0</v>
      </c>
      <c r="I160" s="511" t="n">
        <f aca="false">EOMONTH(I159,0)+1</f>
        <v>41030</v>
      </c>
      <c r="J160" s="512"/>
      <c r="K160" s="513" t="s">
        <v>280</v>
      </c>
      <c r="L160" s="514" t="n">
        <f aca="false">IF(ISNUMBER(K160),J160+K160/100,IF(K160="extra",L159+VLOOKUP(BF160,PriceSpreadTable,2)/12,IF(K160="inter",interpolateprices($K$19:$L$200,ROW(K160)-ROW(FirstPricingMonth)+1),interpolatechanges($J$19:$K$200,ROW(K160)-ROW(FirstPricingMonth)+1))))</f>
        <v>2.4</v>
      </c>
      <c r="M160" s="515"/>
      <c r="N160" s="516" t="n">
        <v>0</v>
      </c>
      <c r="O160" s="515" t="n">
        <f aca="false">M160+N160</f>
        <v>0</v>
      </c>
      <c r="P160" s="512"/>
      <c r="Q160" s="513" t="s">
        <v>280</v>
      </c>
      <c r="R160" s="512" t="e">
        <f aca="false">IF(ISNUMBER(Q160),P160+Q160/100,IF(Q160="extra",(Z158*AL158-R159*AM158)/AN158,IF(Q160="inter",interpolateprices($Q$19:$R$260,ROW(Q160)-ROW(FirstPricingMonth)+1),interpolatechanges($P$19:$Q$260,ROW(Q160)-ROW(FirstPricingMonth)+1))))</f>
        <v>#VALUE!</v>
      </c>
      <c r="S160" s="597" t="n">
        <f aca="false">S$19+(S159-S$19)*S$18</f>
        <v>0.36</v>
      </c>
      <c r="T160" s="575" t="n">
        <f aca="false">SQRT((1-(1-T159^2/U159)*T$18)*U160)</f>
        <v>0.999999999966446</v>
      </c>
      <c r="U160" s="576" t="n">
        <f aca="false">1-(1-U159)*U$18</f>
        <v>1</v>
      </c>
      <c r="V160" s="521" t="n">
        <v>0</v>
      </c>
      <c r="W160" s="577" t="n">
        <f aca="false">(J161*AJ160+J162*AK160)/AI160</f>
        <v>0</v>
      </c>
      <c r="X160" s="578" t="n">
        <f aca="false">(L161*AJ160+L162*AK160)/AI160</f>
        <v>2.45217391304348</v>
      </c>
      <c r="Y160" s="579" t="n">
        <f aca="false">IF(Q162="extra",W160-AA160,(P161*AM160+P162*AN160)/AL160)</f>
        <v>-1.2915</v>
      </c>
      <c r="Z160" s="579" t="n">
        <f aca="false">IF(Q162="extra",X160-AB160,(R161*AM160+R162*AN160)/AL160)</f>
        <v>1.16067391304348</v>
      </c>
      <c r="AA160" s="523" t="n">
        <f aca="false">IF(Q162="extra",INDEX(BrentSeasonalityTable,INT((BG160-1)/3)+1)*VLOOKUP(MAX(BF160,$AB$4),PriceSpreadTable,3),W160-Y160)</f>
        <v>1.2915</v>
      </c>
      <c r="AB160" s="524" t="n">
        <f aca="false">IF(Q162="extra",INDEX(BrentSeasonalityTable,INT((BG160-1)/3)+1)*VLOOKUP(MAX(BF160,$AB$4),PriceSpreadTable,3),X160-Z160)</f>
        <v>1.2915</v>
      </c>
      <c r="AC160" s="646" t="n">
        <v>41019</v>
      </c>
      <c r="AD160" s="646" t="n">
        <v>41015</v>
      </c>
      <c r="AE160" s="646" t="n">
        <v>41014</v>
      </c>
      <c r="AF160" s="646" t="n">
        <v>41010</v>
      </c>
      <c r="AG160" s="438" t="s">
        <v>278</v>
      </c>
      <c r="AH160" s="439" t="s">
        <v>278</v>
      </c>
      <c r="AI160" s="528" t="n">
        <v>23</v>
      </c>
      <c r="AJ160" s="529" t="n">
        <v>14</v>
      </c>
      <c r="AK160" s="529" t="n">
        <v>9</v>
      </c>
      <c r="AL160" s="530" t="n">
        <v>23</v>
      </c>
      <c r="AM160" s="529" t="n">
        <v>10</v>
      </c>
      <c r="AN160" s="531" t="n">
        <v>13</v>
      </c>
      <c r="AO160" s="532"/>
      <c r="AP160" s="465" t="n">
        <f aca="false">(1+AO160/2)^(-2*BL160)</f>
        <v>1</v>
      </c>
      <c r="AQ160" s="532"/>
      <c r="AR160" s="465" t="n">
        <f aca="false">(1+AQ160/2)^(-2*BH160/365.25)</f>
        <v>1</v>
      </c>
      <c r="AS160" s="580" t="n">
        <f aca="false">(O161*AJ160+O162*AK160)/AI160</f>
        <v>0</v>
      </c>
      <c r="AT160" s="468" t="n">
        <f aca="false">O160*VLOOKUP(BF160,BrentVolTable,2)+VLOOKUP(BF160,BrentVolTable,3)</f>
        <v>0</v>
      </c>
      <c r="AU160" s="468" t="n">
        <f aca="false">(AT161*AM160+AT162*AN160)/AL160</f>
        <v>0</v>
      </c>
      <c r="AV160" s="595" t="n">
        <f aca="false">SQRT(MAX(0.000000000001,(O160^2*BH160-S160^2*(BH160-BH159))/BH159))</f>
        <v>0.028515167088733</v>
      </c>
      <c r="AW160" s="451" t="n">
        <f aca="false">IF($I160-DateToday+15&gt;=$T$8,"",IF($I160-DateToday+15&lt;$T$5,1,MATCH($I160-DateToday+15,$T$5:$T$8)))</f>
        <v>1</v>
      </c>
      <c r="AX160" s="468" t="n">
        <f aca="false">IF($AW160="",AX159^2/AX158,INDEX(U$5:U$8,$AW160)^((INDEX($T$5:$T$8,$AW160+1)-($I160-DateToday+15))/(INDEX($T$5:$T$8,$AW160+1)-INDEX($T$5:$T$8,$AW160)))/INDEX(U$5:U$8,$AW160+1)^((INDEX($T$5:$T$8,$AW160)-($I160-DateToday+15))/(INDEX($T$5:$T$8,$AW160+1)-INDEX($T$5:$T$8,$AW160))))</f>
        <v>0.629694988046551</v>
      </c>
      <c r="AY160" s="468" t="n">
        <f aca="false">IF($AW160="",AY159^2/AY158,INDEX(V$5:V$8,$AW160)^((INDEX($T$5:$T$8,$AW160+1)-($I160-DateToday+15))/(INDEX($T$5:$T$8,$AW160+1)-INDEX($T$5:$T$8,$AW160)))/INDEX(V$5:V$8,$AW160+1)^((INDEX($T$5:$T$8,$AW160)-($I160-DateToday+15))/(INDEX($T$5:$T$8,$AW160+1)-INDEX($T$5:$T$8,$AW160))))</f>
        <v>14.3384715941345</v>
      </c>
      <c r="AZ160" s="468" t="n">
        <f aca="false">IF($AW160="",AZ159^2/AZ158,INDEX(W$5:W$8,$AW160)^((INDEX($T$5:$T$8,$AW160+1)-($I160-DateToday+15))/(INDEX($T$5:$T$8,$AW160+1)-INDEX($T$5:$T$8,$AW160)))/INDEX(W$5:W$8,$AW160+1)^((INDEX($T$5:$T$8,$AW160)-($I160-DateToday+15))/(INDEX($T$5:$T$8,$AW160+1)-INDEX($T$5:$T$8,$AW160))))</f>
        <v>6988.90387947655</v>
      </c>
      <c r="BA160" s="468" t="n">
        <f aca="false">IF($AW160="",BA159^2/BA158,INDEX(X$5:X$8,$AW160)^((INDEX($T$5:$T$8,$AW160+1)-($I160-DateToday+15))/(INDEX($T$5:$T$8,$AW160+1)-INDEX($T$5:$T$8,$AW160)))/INDEX(X$5:X$8,$AW160+1)^((INDEX($T$5:$T$8,$AW160)-($I160-DateToday+15))/(INDEX($T$5:$T$8,$AW160+1)-INDEX($T$5:$T$8,$AW160))))</f>
        <v>45842.476508807</v>
      </c>
      <c r="BB160" s="468" t="n">
        <f aca="false">IF($AW160="",BB159^2/BB158,INDEX(Y$5:Y$8,$AW160)^((INDEX($T$5:$T$8,$AW160+1)-($I160-DateToday+15))/(INDEX($T$5:$T$8,$AW160+1)-INDEX($T$5:$T$8,$AW160)))/INDEX(Y$5:Y$8,$AW160+1)^((INDEX($T$5:$T$8,$AW160)-($I160-DateToday+15))/(INDEX($T$5:$T$8,$AW160+1)-INDEX($T$5:$T$8,$AW160))))</f>
        <v>317054.380834017</v>
      </c>
      <c r="BC160" s="468" t="n">
        <f aca="false">IF($AW160="",BC159^2/BC158,INDEX(Z$5:Z$8,$AW160)^((INDEX($T$5:$T$8,$AW160+1)-($I160-DateToday+15))/(INDEX($T$5:$T$8,$AW160+1)-INDEX($T$5:$T$8,$AW160)))/INDEX(Z$5:Z$8,$AW160+1)^((INDEX($T$5:$T$8,$AW160)-($I160-DateToday+15))/(INDEX($T$5:$T$8,$AW160+1)-INDEX($T$5:$T$8,$AW160))))</f>
        <v>1025260.74819828</v>
      </c>
      <c r="BD160" s="535" t="n">
        <f aca="false">IF(OR(DateStart&gt;=I161,DateEnd&lt;I160),0,IF(VolumeOverrideFlag,V160,Volume))</f>
        <v>0</v>
      </c>
      <c r="BE160" s="536" t="n">
        <f aca="false">IF(OR(DateStart2&gt;=I161,DateEnd2&lt;I160),0,IF(VolumeOverrideFlag,V160,VolumeSwaption))</f>
        <v>0</v>
      </c>
      <c r="BF160" s="537" t="n">
        <f aca="false">YEAR(I160)</f>
        <v>2012</v>
      </c>
      <c r="BG160" s="538" t="n">
        <f aca="false">MONTH(I160)</f>
        <v>5</v>
      </c>
      <c r="BH160" s="539" t="n">
        <f aca="false">AD160-DateToday+1</f>
        <v>-4910</v>
      </c>
      <c r="BI160" s="540" t="n">
        <f aca="false">(I160-DateToday+1)/365.25</f>
        <v>-13.4017796030116</v>
      </c>
      <c r="BJ160" s="541" t="n">
        <f aca="false">BI160+(BL160-BI160)*CHOOSE(Underlying,AJ160/AI160,AM160/AL160)</f>
        <v>-13.3517840668988</v>
      </c>
      <c r="BK160" s="541" t="n">
        <f aca="false">BJ160+1/365.25</f>
        <v>-13.3490462161117</v>
      </c>
      <c r="BL160" s="541" t="n">
        <f aca="false">(I161-DateToday)/365.25</f>
        <v>-13.3196440793977</v>
      </c>
      <c r="BM160" s="542" t="e">
        <f aca="false">MAX(BI160-(BJ160-BI160)*(S161^2/O161^2-1),0)</f>
        <v>#DIV/0!</v>
      </c>
      <c r="BN160" s="541" t="e">
        <f aca="false">MAX(BL160+(BL160-BK160)*(S162^2/O162^2-1),0)</f>
        <v>#DIV/0!</v>
      </c>
      <c r="BO160" s="530" t="n">
        <f aca="false">CHOOSE(Underlying,AI160,AL160)</f>
        <v>23</v>
      </c>
      <c r="BP160" s="529" t="n">
        <f aca="false">CHOOSE(Underlying,AJ160,AM160)</f>
        <v>14</v>
      </c>
      <c r="BQ160" s="529" t="n">
        <f aca="false">CHOOSE(Underlying,AK160,AN160)</f>
        <v>9</v>
      </c>
      <c r="BR160" s="463" t="str">
        <f aca="false">IF(BD160,IF(Underlying=1,X160,Z160)+UnderlyingPriceAsian-SwapPriceCurve,"")</f>
        <v/>
      </c>
      <c r="BS160" s="463" t="str">
        <f aca="false">IF(BD160,Strike1/BR160-1,"")</f>
        <v/>
      </c>
      <c r="BT160" s="464" t="str">
        <f aca="false">IF(BD160,Strike2/BR160-1,"")</f>
        <v/>
      </c>
      <c r="BU160" s="465" t="str">
        <f aca="false">IF(BD160,IF(Underlying=1,L161,R161)+UnderlyingPriceAsian-SwapPriceCurve,"")</f>
        <v/>
      </c>
      <c r="BV160" s="465" t="str">
        <f aca="false">IF(BD160,IF(Underlying=1,L162,R162)+UnderlyingPriceAsian-SwapPriceCurve,"")</f>
        <v/>
      </c>
      <c r="BW160" s="466" t="str">
        <f aca="false">IF(BD160,IF(Underlying=1,O161,AT161),"")</f>
        <v/>
      </c>
      <c r="BX160" s="467" t="str">
        <f aca="false">IF(BD160,IF(Underlying=1,O162,AT162),"")</f>
        <v/>
      </c>
      <c r="BY160" s="466" t="str">
        <f aca="false">IF(BD160,IF(BS160&gt;0,IF(BS160&gt;0.2,BC160-BB160,IF(BS160&gt;0.1,BB160-BA160,BA160)),IF(BS160&lt;-0.2,AX160-AY160,IF(BS160&lt;-0.1,AY160-AZ160,AZ160))),"")</f>
        <v/>
      </c>
      <c r="BZ160" s="467" t="str">
        <f aca="false">IF(BD160,IF(BT160&gt;0,IF(BT160&gt;0.2,BC160-BB160,IF(BT160&gt;0.1,BB160-BA160,BA160)),IF(BT160&lt;-0.2,AX160-AY160,IF(BT160&lt;-0.1,AY160-AZ160,AZ160))),"")</f>
        <v/>
      </c>
      <c r="CA160" s="468" t="str">
        <f aca="false">IF($BD160,$BW160+IF(VolSkewFlag=1,IF(BS160&gt;0,$BA160*MIN(BS160/10%,1)+($BB160-$BA160)*MAX(0,MIN(BS160/10%-1,1))+($BC160-$BB160)*MAX(0,BS160/10%-2),$AZ160*MIN(-BS160/10%,1)+($AY160-$AZ160)*MAX(0,MIN(-BS160/10%-1,1))+($AX160-$AY160)*MAX(0,-BS160/10%-2)),0),"")</f>
        <v/>
      </c>
      <c r="CB160" s="468" t="str">
        <f aca="false">IF($BD160,$BX160+IF(VolSkewFlag=1,IF(BS160&gt;0,$BA160*MIN(BS160/10%,1)+($BB160-$BA160)*MAX(0,MIN(BS160/10%-1,1))+($BC160-$BB160)*MAX(0,BS160/10%-2),$AZ160*MIN(-BS160/10%,1)+($AY160-$AZ160)*MAX(0,MIN(-BS160/10%-1,1))+($AX160-$AY160)*MAX(0,-BS160/10%-2)),0),"")</f>
        <v/>
      </c>
      <c r="CC160" s="468" t="str">
        <f aca="false">IF($BD160,$BW160+IF(VolSkewFlag=1,IF(BT160&gt;0,$BA160*MIN(BT160/10%,1)+($BB160-$BA160)*MAX(0,MIN(BT160/10%-1,1))+($BC160-$BB160)*MAX(0,BT160/10%-2),$AZ160*MIN(-BT160/10%,1)+($AY160-$AZ160)*MAX(0,MIN(-BT160/10%-1,1))+($AX160-$AY160)*MAX(0,-BT160/10%-2)),0),"")</f>
        <v/>
      </c>
      <c r="CD160" s="468" t="str">
        <f aca="false">IF($BD160,$BX160+IF(VolSkewFlag=1,IF(BT160&gt;0,$BA160*MIN(BT160/10%,1)+($BB160-$BA160)*MAX(0,MIN(BT160/10%-1,1))+($BC160-$BB160)*MAX(0,BT160/10%-2),$AZ160*MIN(-BT160/10%,1)+($AY160-$AZ160)*MAX(0,MIN(-BT160/10%-1,1))+($AX160-$AY160)*MAX(0,-BT160/10%-2)),0),"")</f>
        <v/>
      </c>
      <c r="CE160" s="469" t="n">
        <v>1</v>
      </c>
      <c r="CF160" s="470" t="n">
        <f aca="false">IF(BD160,xCrudeAPO(BU160,BV160,CA160,CB160,S161,S162,BI160,BL160,BP160,BQ160,0,Strike1,AO160,CE160,0,BL160,IF(OptControl=4,0,1),0,1),0)</f>
        <v>0</v>
      </c>
      <c r="CG160" s="470" t="n">
        <f aca="false">IF(BD160,xCrudeAPO(BU160,BV160,CA160,CB160,S161,S162,BI160,BL160,BP160,BQ160,0,Strike1,AO160,CE160,0,BL160,IF(OptControl=4,0,1),1,1)+xCrudeAPO(BU160,BV160,CA160,CB160,S161,S162,BI160,BL160,BP160,BQ160,0,Strike1,AO160,CE160,0,BL160,IF(OptControl=4,0,1),1,2)+IF(OR(VolSkewFlag=2,ABS(BS160)&lt;0.0001),0,IF(BS160&gt;0,-1,1)*CH160*Strike1/BR160^2*BY160/10%),0)</f>
        <v>0</v>
      </c>
      <c r="CH160" s="470" t="n">
        <f aca="false">IF(BD160,(xCrudeAPO(BU160,BV160,CA160,CB160,S161,S162,BI160,BL160,BP160,BQ160,0,Strike1,AO160,CE160,0,BL160,IF(OptControl=4,0,1),3,1)+xCrudeAPO(BU160,BV160,CA160,CB160,S161,S162,BI160,BL160,BP160,BQ160,0,Strike1,AO160,CE160,0,BL160,IF(OptControl=4,0,1),3,2))/100,0)</f>
        <v>0</v>
      </c>
      <c r="CI160" s="470" t="n">
        <f aca="false">IF(BD160,xCrudeAPO(BU160,BV160,CA160,CB160,S161,S162,BI160-DaysForThetaCalculation/365.25,BL160-DaysForThetaCalculation/365.25,BP160,BQ160,0,Strike1,AO160,CE160,0,BL160,IF(OptControl=4,0,1),0,1)-xCrudeAPO(BU160,BV160,CA160,CB160,S161,S162,BI160,BL160,BP160,BQ160,0,Strike1,AO160,CE160,0,BL160,IF(OptControl=4,0,1),0,1),0)</f>
        <v>0</v>
      </c>
      <c r="CJ160" s="471" t="n">
        <f aca="false">IF(BD160,xCrudeAPO(BU160,BV160,CC160,CD160,S161,S162,BI160,BL160,BP160,BQ160,0,Strike2,AO160,CE160,0,BL160,IF(OptControl=3,1,0),0,1),0)</f>
        <v>0</v>
      </c>
      <c r="CK160" s="470" t="n">
        <f aca="false">IF(BD160,xCrudeAPO(BU160,BV160,CC160,CD160,S161,S162,BI160,BL160,BP160,BQ160,0,Strike2,AO160,CE160,0,BL160,IF(OptControl=3,1,0),1,1)+xCrudeAPO(BU160,BV160,CC160,CD160,S161,S162,BI160,BL160,BP160,BQ160,0,Strike2,AO160,CE160,0,BL160,IF(OptControl=3,1,0),1,2)+IF(OR(VolSkewFlag=2,ABS(BT160)&lt;0.0001),0,IF(BT160&gt;0,-1,1)*CL160*Strike2/BR160^2*BZ160/10%),0)</f>
        <v>0</v>
      </c>
      <c r="CL160" s="470" t="n">
        <f aca="false">IF(BD160,(xCrudeAPO(BU160,BV160,CC160,CD160,S161,S162,BI160,BL160,BP160,BQ160,0,Strike2,AO160,CE160,0,BL160,IF(OptControl=3,1,0),3,1)+xCrudeAPO(BU160,BV160,CC160,CD160,S161,S162,BI160,BL160,BP160,BQ160,0,Strike2,AO160,CE160,0,BL160,IF(OptControl=3,1,0),3,2))/100,0)</f>
        <v>0</v>
      </c>
      <c r="CM160" s="472" t="n">
        <f aca="false">IF(BD160,xCrudeAPO(BU160,BV160,CC160,CD160,S161,S162,BI160-DaysForThetaCalculation/365.25,BL160-DaysForThetaCalculation/365.25,BP160,BQ160,0,Strike2,AO160,CE160,0,BL160,IF(OptControl=3,1,0),0,1)-xCrudeAPO(BU160,BV160,CC160,CD160,S161,S162,BI160,BL160,BP160,BQ160,0,Strike2,AO160,CE160,0,BL160,IF(OptControl=3,1,0),0,1),0)</f>
        <v>0</v>
      </c>
      <c r="CN160" s="3"/>
      <c r="CO160" s="543" t="str">
        <f aca="false">IF(BD160,CHOOSE(Underlying,AD160,AF160)-DateToday+1,"")</f>
        <v/>
      </c>
      <c r="CP160" s="582" t="str">
        <f aca="false">IF(BD160,CHOOSE(Underlying,L160,R160),"")</f>
        <v/>
      </c>
      <c r="CQ160" s="544" t="str">
        <f aca="false">IF(BD160,Strike1/CP160-1,"")</f>
        <v/>
      </c>
      <c r="CR160" s="544" t="str">
        <f aca="false">IF(BD160,Strike2/CP160-1,"")</f>
        <v/>
      </c>
      <c r="CS160" s="544" t="str">
        <f aca="false">IF(BD160,IF(CQ160&gt;0,IF(CQ160&gt;0.2,BC159-BB159,IF(CQ160&gt;0.1,BB159-BA159,BA159)),IF(CQ160&lt;-0.2,AX159-AY159,IF(CQ160&lt;-0.1,AY159-AZ159,AZ159))),"")</f>
        <v/>
      </c>
      <c r="CT160" s="544" t="str">
        <f aca="false">IF(BD160,IF(CR160&gt;0,IF(CR160&gt;0.2,BC159-BB159,IF(CR160&gt;0.1,BB159-BA159,BA159)),IF(CR160&lt;-0.2,AX159-AY159,IF(CR160&lt;-0.1,AY159-AZ159,AZ159))),"")</f>
        <v/>
      </c>
      <c r="CU160" s="545" t="str">
        <f aca="false">IF(BD160,CHOOSE(Underlying,O160,AT160),"")</f>
        <v/>
      </c>
      <c r="CV160" s="545" t="str">
        <f aca="false">IF(BD160,CU160+IF(VolSkewFlag=1,IF(CQ160&gt;0,BA159*MIN(CQ160/10%,1)+(BB159-BA159)*MAX(0,MIN(CQ160/10%-1,1))+(BC159-BB159)*MAX(0,CQ160/10%-2),AZ159*MIN(-CQ160/10%,1)+(AY159-AZ159)*MAX(0,MIN(-CQ160/10%-1,1))+(AX159-AY159)*MAX(0,-CQ160/10%-2)),0),"")</f>
        <v/>
      </c>
      <c r="CW160" s="545" t="str">
        <f aca="false">IF(BD160,CU160+IF(VolSkewFlag=1,IF(CR160&gt;0,BA159*MIN(CR160/10%,1)+(BB159-BA159)*MAX(0,MIN(CR160/10%-1,1))+(BC159-BB159)*MAX(0,CR160/10%-2),AZ159*MIN(-CR160/10%,1)+(AY159-AZ159)*MAX(0,MIN(-CR160/10%-1,1))+(AX159-AY159)*MAX(0,-CR160/10%-2)),0),"")</f>
        <v/>
      </c>
      <c r="CX160" s="470" t="n">
        <f aca="false">IF(BD160,EURO(CP160,Strike1,AO160,AO160,CV160,CO160,IF(OptControl=4,0,1),0),0)</f>
        <v>0</v>
      </c>
      <c r="CY160" s="470" t="n">
        <f aca="false">IF(BD160,EURO(CP160,Strike1,AO160,AO160,CV160,CO160,IF(OptControl=4,0,1),1)+IF(OR(VolSkewFlag=2,ABS(CQ160)&lt;0.0001),0,IF(CQ160&gt;0,-1,1)*CZ160*100*Strike1/CP160^2*CS160/10%),0)</f>
        <v>0</v>
      </c>
      <c r="CZ160" s="470" t="n">
        <f aca="false">IF(BD160,EURO(CP160,Strike1,AO160,AO160,CV160,CO160,IF(OptControl=4,0,1),3)/100,0)</f>
        <v>0</v>
      </c>
      <c r="DA160" s="470" t="n">
        <f aca="false">IF(BD160,EURO(CP160,Strike1,AO160,AO160,CV160,CO160,IF(OptControl=4,0,1),0)-EURO(CP160,Strike1,AO160,AO160,CV160,CO160-1,IF(OptControl=4,0,1),0),0)</f>
        <v>0</v>
      </c>
      <c r="DB160" s="470" t="n">
        <f aca="false">IF(BD160,EURO(CP160,Strike2,AO160,AO160,CW160,CO160,IF(OptControl=3,1,0),0),0)</f>
        <v>0</v>
      </c>
      <c r="DC160" s="470" t="n">
        <f aca="false">IF(BD160,EURO(CP160,Strike2,AO160,AO160,CW160,CO160,IF(OptControl=3,1,0),1)+IF(OR(VolSkewFlag=2,ABS(CR160)&lt;0.0001),0,IF(CR160&gt;0,-1,1)*DD160*100*Strike2/CP160^2*CT160/10%),0)</f>
        <v>0</v>
      </c>
      <c r="DD160" s="470" t="n">
        <f aca="false">IF(BD160,EURO(CP160,Strike2,AO160,AO160,CW160,CO160,IF(OptControl=3,1,0),3)/100,0)</f>
        <v>0</v>
      </c>
      <c r="DE160" s="472" t="n">
        <f aca="false">IF(BD160,EURO(CP160,Strike2,AO160,AO160,CW160,CO160,IF(OptControl=3,1,0),0)-EURO(CP160,Strike2,AO160,AO160,CW160,CO160-1,IF(OptControl=3,1,0),0),0)</f>
        <v>0</v>
      </c>
      <c r="DG160" s="481" t="n">
        <f aca="false">EOMONTH(DG159,0)+1</f>
        <v>49949</v>
      </c>
      <c r="DH160" s="478" t="n">
        <v>21.16</v>
      </c>
      <c r="DI160" s="479" t="n">
        <v>21.2266666666667</v>
      </c>
      <c r="DJ160" s="480" t="n">
        <f aca="false">DG160</f>
        <v>49949</v>
      </c>
      <c r="DK160" s="478" t="n">
        <v>19.8049389918701</v>
      </c>
      <c r="DL160" s="479" t="n">
        <v>20.0335666666667</v>
      </c>
      <c r="DM160" s="481" t="n">
        <f aca="false">DG160</f>
        <v>49949</v>
      </c>
      <c r="DN160" s="482" t="n">
        <f aca="false">DK160+BrentPhyBrentSpread</f>
        <v>19.8549389918701</v>
      </c>
      <c r="DO160" s="481" t="n">
        <f aca="false">DG160</f>
        <v>49949</v>
      </c>
      <c r="DP160" s="483" t="n">
        <f aca="false">DL160+DQ160</f>
        <v>20.0335666666667</v>
      </c>
      <c r="DQ160" s="546" t="n">
        <v>0</v>
      </c>
      <c r="DR160" s="480" t="n">
        <f aca="false">DG160</f>
        <v>49949</v>
      </c>
      <c r="DS160" s="485" t="n">
        <v>0.140599999999999</v>
      </c>
      <c r="DT160" s="486" t="n">
        <v>0.139799999999999</v>
      </c>
      <c r="DU160" s="480" t="n">
        <f aca="false">DG160</f>
        <v>49949</v>
      </c>
      <c r="DV160" s="485" t="n">
        <v>0.140599999999999</v>
      </c>
      <c r="DW160" s="486" t="n">
        <v>0.139799999999999</v>
      </c>
      <c r="DX160" s="481" t="n">
        <f aca="false">DG160</f>
        <v>49949</v>
      </c>
      <c r="DY160" s="486" t="n">
        <v>0.35</v>
      </c>
      <c r="DZ160" s="481" t="n">
        <f aca="false">DR160</f>
        <v>49949</v>
      </c>
      <c r="EA160" s="486" t="n">
        <f aca="false">DT160</f>
        <v>0.139799999999999</v>
      </c>
      <c r="EB160" s="195"/>
      <c r="EC160" s="547" t="str">
        <f aca="false">IF(BD160,IF(Underlying=1,AS160,AU160),"")</f>
        <v/>
      </c>
      <c r="ED160" s="548" t="str">
        <f aca="false">IF($BD160,$EC160+IF(VolSkewFlag=1,IF(BS160&gt;0,$BA160*MIN(BS160/10%,1)+($BB160-$BA160)*MAX(0,MIN(BS160/10%-1,1))+($BC160-$BB160)*MAX(0,BS160/10%-2),$AZ160*MIN(-BS160/10%,1)+($AY160-$AZ160)*MAX(0,MIN(-BS160/10%-1,1))+($AX160-$AY160)*MAX(0,-BS160/10%-2)),0),"")</f>
        <v/>
      </c>
      <c r="EE160" s="549" t="str">
        <f aca="false">IF($BD160,$EC160+IF(VolSkewFlag=1,IF(BT160&gt;0,$BA160*MIN(BT160/10%,1)+($BB160-$BA160)*MAX(0,MIN(BT160/10%-1,1))+($BC160-$BB160)*MAX(0,BT160/10%-2),$AZ160*MIN(-BT160/10%,1)+($AY160-$AZ160)*MAX(0,MIN(-BT160/10%-1,1))+($AX160-$AY160)*MAX(0,-BT160/10%-2)),0),"")</f>
        <v/>
      </c>
      <c r="EF160" s="550" t="n">
        <f aca="false">IF(BD160,xASN(BR160,Strike1,AO160,ED160,0,BO160,0,BI160,BL160,IF(OptControl=4,0,1),0),0)</f>
        <v>0</v>
      </c>
      <c r="EG160" s="551" t="n">
        <f aca="false">IF(BD160,xASN(BR160,Strike2,AO160,EE160,0,BO160,0,BI160,BL160,IF(OptControl=3,1,0),0),0)</f>
        <v>0</v>
      </c>
      <c r="EL160" s="1"/>
      <c r="EM160" s="195"/>
      <c r="EN160" s="240"/>
      <c r="EO160" s="240"/>
      <c r="EP160" s="195"/>
      <c r="EQ160" s="407" t="s">
        <v>387</v>
      </c>
      <c r="ES160" s="130"/>
      <c r="ET160" s="19"/>
      <c r="EU160" s="672"/>
      <c r="EV160" s="478"/>
      <c r="EW160" s="131"/>
      <c r="EX160" s="131"/>
      <c r="EY160" s="129"/>
      <c r="EZ160" s="129"/>
      <c r="FA160" s="129"/>
      <c r="FB160" s="129"/>
      <c r="FC160" s="129"/>
      <c r="FD160" s="129"/>
      <c r="FE160" s="129"/>
      <c r="FF160" s="129"/>
      <c r="FG160" s="129"/>
      <c r="FH160" s="129"/>
      <c r="FI160" s="129"/>
      <c r="FJ160" s="571" t="n">
        <v>66</v>
      </c>
      <c r="FK160" s="150" t="e">
        <f aca="false">IF($FJ85&lt;FK$94,"",SQRT(FK85/FK$15))</f>
        <v>#DIV/0!</v>
      </c>
      <c r="FL160" s="150" t="n">
        <f aca="false">IF($FJ85&lt;FL$94,"",SQRT(FL85/FL$15))</f>
        <v>-0</v>
      </c>
      <c r="FM160" s="150" t="n">
        <f aca="false">IF($FJ85&lt;FM$94,"",SQRT(FM85/FM$15))</f>
        <v>0.170502908229119</v>
      </c>
      <c r="FN160" s="150" t="n">
        <f aca="false">IF($FJ85&lt;FN$94,"",SQRT(FN85/FN$15))</f>
        <v>0.167225142961865</v>
      </c>
      <c r="FO160" s="150" t="n">
        <f aca="false">IF($FJ85&lt;FO$94,"",SQRT(FO85/FO$15))</f>
        <v>0.164767259748245</v>
      </c>
      <c r="FP160" s="150" t="n">
        <f aca="false">IF($FJ85&lt;FP$94,"",SQRT(FP85/FP$15))</f>
        <v>0.162924365227404</v>
      </c>
      <c r="FQ160" s="150" t="n">
        <f aca="false">IF($FJ85&lt;FQ$94,"",SQRT(FQ85/FQ$15))</f>
        <v>0.161542802170603</v>
      </c>
      <c r="FR160" s="150" t="n">
        <f aca="false">IF($FJ85&lt;FR$94,"",SQRT(FR85/FR$15))</f>
        <v>0.16050734265468</v>
      </c>
      <c r="FS160" s="150" t="n">
        <f aca="false">IF($FJ85&lt;FS$94,"",SQRT(FS85/FS$15))</f>
        <v>0.159731583312234</v>
      </c>
      <c r="FT160" s="150" t="n">
        <f aca="false">IF($FJ85&lt;FT$94,"",SQRT(FT85/FT$15))</f>
        <v>0.159150742202766</v>
      </c>
      <c r="FU160" s="150" t="n">
        <f aca="false">IF($FJ85&lt;FU$94,"",SQRT(FU85/FU$15))</f>
        <v>0.158716256973721</v>
      </c>
      <c r="FV160" s="150" t="n">
        <f aca="false">IF($FJ85&lt;FV$94,"",SQRT(FV85/FV$15))</f>
        <v>0.158391734075675</v>
      </c>
      <c r="FW160" s="150" t="n">
        <f aca="false">IF($FJ85&lt;FW$94,"",SQRT(FW85/FW$15))</f>
        <v>0.158149911369642</v>
      </c>
      <c r="FX160" s="150" t="n">
        <f aca="false">IF($FJ85&lt;FX$94,"",SQRT(FX85/FX$15))</f>
        <v>0.157970380897218</v>
      </c>
      <c r="FY160" s="150" t="n">
        <f aca="false">IF($FJ85&lt;FY$94,"",SQRT(FY85/FY$15))</f>
        <v>0.15783788191189</v>
      </c>
      <c r="FZ160" s="150" t="n">
        <f aca="false">IF($FJ85&lt;FZ$94,"",SQRT(FZ85/FZ$15))</f>
        <v>0.157741021768987</v>
      </c>
      <c r="GA160" s="150" t="n">
        <f aca="false">IF($FJ85&lt;GA$94,"",SQRT(GA85/GA$15))</f>
        <v>0.157671317900267</v>
      </c>
      <c r="GB160" s="150" t="n">
        <f aca="false">IF($FJ85&lt;GB$94,"",SQRT(GB85/GB$15))</f>
        <v>0.157622480825333</v>
      </c>
      <c r="GC160" s="150" t="n">
        <f aca="false">IF($FJ85&lt;GC$94,"",SQRT(GC85/GC$15))</f>
        <v>0.157589878202422</v>
      </c>
      <c r="GD160" s="150" t="n">
        <f aca="false">IF($FJ85&lt;GD$94,"",SQRT(GD85/GD$15))</f>
        <v>0.157570134965597</v>
      </c>
      <c r="GE160" s="150" t="n">
        <f aca="false">IF($FJ85&lt;GE$94,"",SQRT(GE85/GE$15))</f>
        <v>0.157560835886668</v>
      </c>
      <c r="GF160" s="150" t="n">
        <f aca="false">IF($FJ85&lt;GF$94,"",SQRT(GF85/GF$15))</f>
        <v>0.157560305378007</v>
      </c>
      <c r="GG160" s="150" t="n">
        <f aca="false">IF($FJ85&lt;GG$94,"",SQRT(GG85/GG$15))</f>
        <v>0.15756744572192</v>
      </c>
      <c r="GH160" s="150" t="n">
        <f aca="false">IF($FJ85&lt;GH$94,"",SQRT(GH85/GH$15))</f>
        <v>0.15758161970254</v>
      </c>
      <c r="GI160" s="150" t="n">
        <f aca="false">IF($FJ85&lt;GI$94,"",SQRT(GI85/GI$15))</f>
        <v>0.157602567224605</v>
      </c>
      <c r="GJ160" s="150" t="n">
        <f aca="false">IF($FJ85&lt;GJ$94,"",SQRT(GJ85/GJ$15))</f>
        <v>0.157630348228503</v>
      </c>
      <c r="GK160" s="150" t="n">
        <f aca="false">IF($FJ85&lt;GK$94,"",SQRT(GK85/GK$15))</f>
        <v>0.157665306277082</v>
      </c>
      <c r="GL160" s="150" t="n">
        <f aca="false">IF($FJ85&lt;GL$94,"",SQRT(GL85/GL$15))</f>
        <v>0.157708048766145</v>
      </c>
      <c r="GM160" s="150" t="n">
        <f aca="false">IF($FJ85&lt;GM$94,"",SQRT(GM85/GM$15))</f>
        <v>0.157759440925215</v>
      </c>
      <c r="GN160" s="150" t="n">
        <f aca="false">IF($FJ85&lt;GN$94,"",SQRT(GN85/GN$15))</f>
        <v>0.157820611725236</v>
      </c>
      <c r="GO160" s="150" t="n">
        <f aca="false">IF($FJ85&lt;GO$94,"",SQRT(GO85/GO$15))</f>
        <v>0.157892970569917</v>
      </c>
      <c r="GP160" s="150" t="n">
        <f aca="false">IF($FJ85&lt;GP$94,"",SQRT(GP85/GP$15))</f>
        <v>0.157978234275469</v>
      </c>
      <c r="GQ160" s="150" t="n">
        <f aca="false">IF($FJ85&lt;GQ$94,"",SQRT(GQ85/GQ$15))</f>
        <v>0.158078464385687</v>
      </c>
      <c r="GR160" s="150" t="n">
        <f aca="false">IF($FJ85&lt;GR$94,"",SQRT(GR85/GR$15))</f>
        <v>0.158196115363887</v>
      </c>
      <c r="GS160" s="150" t="n">
        <f aca="false">IF($FJ85&lt;GS$94,"",SQRT(GS85/GS$15))</f>
        <v>0.15833409468337</v>
      </c>
      <c r="GT160" s="150" t="n">
        <f aca="false">IF($FJ85&lt;GT$94,"",SQRT(GT85/GT$15))</f>
        <v>0.158495836334906</v>
      </c>
      <c r="GU160" s="150" t="n">
        <f aca="false">IF($FJ85&lt;GU$94,"",SQRT(GU85/GU$15))</f>
        <v>0.158685389814604</v>
      </c>
      <c r="GV160" s="150" t="n">
        <f aca="false">IF($FJ85&lt;GV$94,"",SQRT(GV85/GV$15))</f>
        <v>0.158907527282917</v>
      </c>
      <c r="GW160" s="150" t="n">
        <f aca="false">IF($FJ85&lt;GW$94,"",SQRT(GW85/GW$15))</f>
        <v>0.159167872336049</v>
      </c>
      <c r="GX160" s="150" t="n">
        <f aca="false">IF($FJ85&lt;GX$94,"",SQRT(GX85/GX$15))</f>
        <v>0.159473054755095</v>
      </c>
      <c r="GY160" s="150" t="n">
        <f aca="false">IF($FJ85&lt;GY$94,"",SQRT(GY85/GY$15))</f>
        <v>0.159830896761371</v>
      </c>
      <c r="GZ160" s="150" t="n">
        <f aca="false">IF($FJ85&lt;GZ$94,"",SQRT(GZ85/GZ$15))</f>
        <v>0.160250637795611</v>
      </c>
      <c r="HA160" s="150" t="n">
        <f aca="false">IF($FJ85&lt;HA$94,"",SQRT(HA85/HA$15))</f>
        <v>0.160743206772581</v>
      </c>
      <c r="HB160" s="150" t="n">
        <f aca="false">IF($FJ85&lt;HB$94,"",SQRT(HB85/HB$15))</f>
        <v>0.161321553304682</v>
      </c>
      <c r="HC160" s="150" t="n">
        <f aca="false">IF($FJ85&lt;HC$94,"",SQRT(HC85/HC$15))</f>
        <v>0.162001052767017</v>
      </c>
      <c r="HD160" s="150" t="n">
        <f aca="false">IF($FJ85&lt;HD$94,"",SQRT(HD85/HD$15))</f>
        <v>0.162800004615644</v>
      </c>
      <c r="HE160" s="150" t="n">
        <f aca="false">IF($FJ85&lt;HE$94,"",SQRT(HE85/HE$15))</f>
        <v>0.163740249532762</v>
      </c>
      <c r="HF160" s="150" t="n">
        <f aca="false">IF($FJ85&lt;HF$94,"",SQRT(HF85/HF$15))</f>
        <v>0.164847939426111</v>
      </c>
      <c r="HG160" s="150" t="n">
        <f aca="false">IF($FJ85&lt;HG$94,"",SQRT(HG85/HG$15))</f>
        <v>0.166154506032521</v>
      </c>
      <c r="HH160" s="150" t="n">
        <f aca="false">IF($FJ85&lt;HH$94,"",SQRT(HH85/HH$15))</f>
        <v>0.167697890314492</v>
      </c>
      <c r="HI160" s="150" t="n">
        <f aca="false">IF($FJ85&lt;HI$94,"",SQRT(HI85/HI$15))</f>
        <v>0.169524118163354</v>
      </c>
      <c r="HJ160" s="150" t="n">
        <f aca="false">IF($FJ85&lt;HJ$94,"",SQRT(HJ85/HJ$15))</f>
        <v>0.171689341430571</v>
      </c>
      <c r="HK160" s="150" t="n">
        <f aca="false">IF($FJ85&lt;HK$94,"",SQRT(HK85/HK$15))</f>
        <v>0.174262512087566</v>
      </c>
      <c r="HL160" s="150" t="n">
        <f aca="false">IF($FJ85&lt;HL$94,"",SQRT(HL85/HL$15))</f>
        <v>0.177328929339237</v>
      </c>
      <c r="HM160" s="150" t="n">
        <f aca="false">IF($FJ85&lt;HM$94,"",SQRT(HM85/HM$15))</f>
        <v>0.180995007507061</v>
      </c>
      <c r="HN160" s="150" t="n">
        <f aca="false">IF($FJ85&lt;HN$94,"",SQRT(HN85/HN$15))</f>
        <v>0.185394777124766</v>
      </c>
      <c r="HO160" s="150" t="n">
        <f aca="false">IF($FJ85&lt;HO$94,"",SQRT(HO85/HO$15))</f>
        <v>0.190698887230007</v>
      </c>
      <c r="HP160" s="150" t="n">
        <f aca="false">IF($FJ85&lt;HP$94,"",SQRT(HP85/HP$15))</f>
        <v>0.1971272813951</v>
      </c>
      <c r="HQ160" s="150" t="n">
        <f aca="false">IF($FJ85&lt;HQ$94,"",SQRT(HQ85/HQ$15))</f>
        <v>0.204967374509912</v>
      </c>
      <c r="HR160" s="150" t="n">
        <f aca="false">IF($FJ85&lt;HR$94,"",SQRT(HR85/HR$15))</f>
        <v>0.214600641553358</v>
      </c>
      <c r="HS160" s="150" t="n">
        <f aca="false">IF($FJ85&lt;HS$94,"",SQRT(HS85/HS$15))</f>
        <v>0.226542373535938</v>
      </c>
      <c r="HT160" s="150" t="n">
        <f aca="false">IF($FJ85&lt;HT$94,"",SQRT(HT85/HT$15))</f>
        <v>0.241502584514649</v>
      </c>
      <c r="HU160" s="150" t="n">
        <f aca="false">IF($FJ85&lt;HU$94,"",SQRT(HU85/HU$15))</f>
        <v>0.260481893874526</v>
      </c>
      <c r="HV160" s="150" t="n">
        <f aca="false">IF($FJ85&lt;HV$94,"",SQRT(HV85/HV$15))</f>
        <v>0.284927165472072</v>
      </c>
      <c r="HW160" s="150" t="n">
        <f aca="false">IF($FJ85&lt;HW$94,"",SQRT(HW85/HW$15))</f>
        <v>0.31699311183919</v>
      </c>
      <c r="HX160" s="150" t="n">
        <f aca="false">IF($FJ85&lt;HX$94,"",SQRT(HX85/HX$15))</f>
        <v>0.360000000403628</v>
      </c>
      <c r="HY160" s="150" t="str">
        <f aca="false">IF($FJ85&lt;HY$94,"",SQRT(HY85/HY$15))</f>
        <v/>
      </c>
      <c r="HZ160" s="150" t="str">
        <f aca="false">IF($FJ85&lt;HZ$94,"",SQRT(HZ85/HZ$15))</f>
        <v/>
      </c>
      <c r="IA160" s="150" t="str">
        <f aca="false">IF($FJ85&lt;IA$94,"",SQRT(IA85/IA$15))</f>
        <v/>
      </c>
      <c r="IB160" s="150" t="str">
        <f aca="false">IF($FJ85&lt;IB$94,"",SQRT(IB85/IB$15))</f>
        <v/>
      </c>
      <c r="IC160" s="150" t="str">
        <f aca="false">IF($FJ85&lt;IC$94,"",SQRT(IC85/IC$15))</f>
        <v/>
      </c>
      <c r="ID160" s="572" t="str">
        <f aca="false">IF($FJ85&lt;ID$94,"",SQRT(ID85/ID$15))</f>
        <v/>
      </c>
      <c r="IE160" s="129"/>
    </row>
    <row r="161" customFormat="false" ht="12.75" hidden="false" customHeight="false" outlineLevel="0" collapsed="false">
      <c r="H161" s="219" t="n">
        <f aca="false">VLOOKUP(I161,$EJ$20:$EL$54,3)</f>
        <v>0</v>
      </c>
      <c r="I161" s="511" t="n">
        <f aca="false">EOMONTH(I160,0)+1</f>
        <v>41061</v>
      </c>
      <c r="J161" s="512"/>
      <c r="K161" s="513" t="s">
        <v>280</v>
      </c>
      <c r="L161" s="514" t="n">
        <f aca="false">IF(ISNUMBER(K161),J161+K161/100,IF(K161="extra",L160+VLOOKUP(BF161,PriceSpreadTable,2)/12,IF(K161="inter",interpolateprices($K$19:$L$200,ROW(K161)-ROW(FirstPricingMonth)+1),interpolatechanges($J$19:$K$200,ROW(K161)-ROW(FirstPricingMonth)+1))))</f>
        <v>2.4375</v>
      </c>
      <c r="M161" s="515"/>
      <c r="N161" s="516" t="n">
        <v>0</v>
      </c>
      <c r="O161" s="515" t="n">
        <f aca="false">M161+N161</f>
        <v>0</v>
      </c>
      <c r="P161" s="512"/>
      <c r="Q161" s="513" t="s">
        <v>280</v>
      </c>
      <c r="R161" s="512" t="e">
        <f aca="false">IF(ISNUMBER(Q161),P161+Q161/100,IF(Q161="extra",(Z159*AL159-R160*AM159)/AN159,IF(Q161="inter",interpolateprices($Q$19:$R$260,ROW(Q161)-ROW(FirstPricingMonth)+1),interpolatechanges($P$19:$Q$260,ROW(Q161)-ROW(FirstPricingMonth)+1))))</f>
        <v>#VALUE!</v>
      </c>
      <c r="S161" s="597" t="n">
        <f aca="false">S$19+(S160-S$19)*S$18</f>
        <v>0.36</v>
      </c>
      <c r="T161" s="575" t="n">
        <f aca="false">SQRT((1-(1-T160^2/U160)*T$18)*U161)</f>
        <v>0.999999999971311</v>
      </c>
      <c r="U161" s="576" t="n">
        <f aca="false">1-(1-U160)*U$18</f>
        <v>1</v>
      </c>
      <c r="V161" s="521" t="n">
        <v>0</v>
      </c>
      <c r="W161" s="577" t="n">
        <f aca="false">(J162*AJ161+J163*AK161)/AI161</f>
        <v>0</v>
      </c>
      <c r="X161" s="578" t="n">
        <f aca="false">(L162*AJ161+L163*AK161)/AI161</f>
        <v>2.4875</v>
      </c>
      <c r="Y161" s="579" t="n">
        <f aca="false">IF(Q163="extra",W161-AA161,(P162*AM161+P163*AN161)/AL161)</f>
        <v>-1.2915</v>
      </c>
      <c r="Z161" s="579" t="n">
        <f aca="false">IF(Q163="extra",X161-AB161,(R162*AM161+R163*AN161)/AL161)</f>
        <v>1.196</v>
      </c>
      <c r="AA161" s="523" t="n">
        <f aca="false">IF(Q163="extra",INDEX(BrentSeasonalityTable,INT((BG161-1)/3)+1)*VLOOKUP(MAX(BF161,$AB$4),PriceSpreadTable,3),W161-Y161)</f>
        <v>1.2915</v>
      </c>
      <c r="AB161" s="524" t="n">
        <f aca="false">IF(Q163="extra",INDEX(BrentSeasonalityTable,INT((BG161-1)/3)+1)*VLOOKUP(MAX(BF161,$AB$4),PriceSpreadTable,3),X161-Z161)</f>
        <v>1.2915</v>
      </c>
      <c r="AC161" s="646" t="n">
        <v>41049</v>
      </c>
      <c r="AD161" s="646" t="n">
        <v>41045</v>
      </c>
      <c r="AE161" s="646" t="n">
        <v>41044</v>
      </c>
      <c r="AF161" s="646" t="n">
        <v>41040</v>
      </c>
      <c r="AG161" s="438" t="s">
        <v>278</v>
      </c>
      <c r="AH161" s="439" t="s">
        <v>278</v>
      </c>
      <c r="AI161" s="528" t="n">
        <v>21</v>
      </c>
      <c r="AJ161" s="529" t="n">
        <v>14</v>
      </c>
      <c r="AK161" s="529" t="n">
        <v>7</v>
      </c>
      <c r="AL161" s="530" t="n">
        <v>21</v>
      </c>
      <c r="AM161" s="529" t="n">
        <v>10</v>
      </c>
      <c r="AN161" s="531" t="n">
        <v>11</v>
      </c>
      <c r="AO161" s="532"/>
      <c r="AP161" s="465" t="n">
        <f aca="false">(1+AO161/2)^(-2*BL161)</f>
        <v>1</v>
      </c>
      <c r="AQ161" s="532"/>
      <c r="AR161" s="465" t="n">
        <f aca="false">(1+AQ161/2)^(-2*BH161/365.25)</f>
        <v>1</v>
      </c>
      <c r="AS161" s="580" t="n">
        <f aca="false">(O162*AJ161+O163*AK161)/AI161</f>
        <v>0</v>
      </c>
      <c r="AT161" s="468" t="n">
        <f aca="false">O161*VLOOKUP(BF161,BrentVolTable,2)+VLOOKUP(BF161,BrentVolTable,3)</f>
        <v>0</v>
      </c>
      <c r="AU161" s="468" t="n">
        <f aca="false">(AT162*AM161+AT163*AN161)/AL161</f>
        <v>0</v>
      </c>
      <c r="AV161" s="595" t="n">
        <f aca="false">SQRT(MAX(0.000000000001,(O161^2*BH161-S161^2*(BH161-BH160))/BH160))</f>
        <v>0.0281398891342663</v>
      </c>
      <c r="AW161" s="451" t="n">
        <f aca="false">IF($I161-DateToday+15&gt;=$T$8,"",IF($I161-DateToday+15&lt;$T$5,1,MATCH($I161-DateToday+15,$T$5:$T$8)))</f>
        <v>1</v>
      </c>
      <c r="AX161" s="468" t="n">
        <f aca="false">IF($AW161="",AX160^2/AX159,INDEX(U$5:U$8,$AW161)^((INDEX($T$5:$T$8,$AW161+1)-($I161-DateToday+15))/(INDEX($T$5:$T$8,$AW161+1)-INDEX($T$5:$T$8,$AW161)))/INDEX(U$5:U$8,$AW161+1)^((INDEX($T$5:$T$8,$AW161)-($I161-DateToday+15))/(INDEX($T$5:$T$8,$AW161+1)-INDEX($T$5:$T$8,$AW161))))</f>
        <v>0.616131891147995</v>
      </c>
      <c r="AY161" s="468" t="n">
        <f aca="false">IF($AW161="",AY160^2/AY159,INDEX(V$5:V$8,$AW161)^((INDEX($T$5:$T$8,$AW161+1)-($I161-DateToday+15))/(INDEX($T$5:$T$8,$AW161+1)-INDEX($T$5:$T$8,$AW161)))/INDEX(V$5:V$8,$AW161+1)^((INDEX($T$5:$T$8,$AW161)-($I161-DateToday+15))/(INDEX($T$5:$T$8,$AW161+1)-INDEX($T$5:$T$8,$AW161))))</f>
        <v>13.7361921283511</v>
      </c>
      <c r="AZ161" s="468" t="n">
        <f aca="false">IF($AW161="",AZ160^2/AZ159,INDEX(W$5:W$8,$AW161)^((INDEX($T$5:$T$8,$AW161+1)-($I161-DateToday+15))/(INDEX($T$5:$T$8,$AW161+1)-INDEX($T$5:$T$8,$AW161)))/INDEX(W$5:W$8,$AW161+1)^((INDEX($T$5:$T$8,$AW161)-($I161-DateToday+15))/(INDEX($T$5:$T$8,$AW161+1)-INDEX($T$5:$T$8,$AW161))))</f>
        <v>6427.12688664403</v>
      </c>
      <c r="BA161" s="468" t="n">
        <f aca="false">IF($AW161="",BA160^2/BA159,INDEX(X$5:X$8,$AW161)^((INDEX($T$5:$T$8,$AW161+1)-($I161-DateToday+15))/(INDEX($T$5:$T$8,$AW161+1)-INDEX($T$5:$T$8,$AW161)))/INDEX(X$5:X$8,$AW161+1)^((INDEX($T$5:$T$8,$AW161)-($I161-DateToday+15))/(INDEX($T$5:$T$8,$AW161+1)-INDEX($T$5:$T$8,$AW161))))</f>
        <v>41249.560867876</v>
      </c>
      <c r="BB161" s="468" t="n">
        <f aca="false">IF($AW161="",BB160^2/BB159,INDEX(Y$5:Y$8,$AW161)^((INDEX($T$5:$T$8,$AW161+1)-($I161-DateToday+15))/(INDEX($T$5:$T$8,$AW161+1)-INDEX($T$5:$T$8,$AW161)))/INDEX(Y$5:Y$8,$AW161+1)^((INDEX($T$5:$T$8,$AW161)-($I161-DateToday+15))/(INDEX($T$5:$T$8,$AW161+1)-INDEX($T$5:$T$8,$AW161))))</f>
        <v>282426.793239842</v>
      </c>
      <c r="BC161" s="468" t="n">
        <f aca="false">IF($AW161="",BC160^2/BC159,INDEX(Z$5:Z$8,$AW161)^((INDEX($T$5:$T$8,$AW161+1)-($I161-DateToday+15))/(INDEX($T$5:$T$8,$AW161+1)-INDEX($T$5:$T$8,$AW161)))/INDEX(Z$5:Z$8,$AW161+1)^((INDEX($T$5:$T$8,$AW161)-($I161-DateToday+15))/(INDEX($T$5:$T$8,$AW161+1)-INDEX($T$5:$T$8,$AW161))))</f>
        <v>907983.61833833</v>
      </c>
      <c r="BD161" s="535" t="n">
        <f aca="false">IF(OR(DateStart&gt;=I162,DateEnd&lt;I161),0,IF(VolumeOverrideFlag,V161,Volume))</f>
        <v>0</v>
      </c>
      <c r="BE161" s="536" t="n">
        <f aca="false">IF(OR(DateStart2&gt;=I162,DateEnd2&lt;I161),0,IF(VolumeOverrideFlag,V161,VolumeSwaption))</f>
        <v>0</v>
      </c>
      <c r="BF161" s="537" t="n">
        <f aca="false">YEAR(I161)</f>
        <v>2012</v>
      </c>
      <c r="BG161" s="538" t="n">
        <f aca="false">MONTH(I161)</f>
        <v>6</v>
      </c>
      <c r="BH161" s="539" t="n">
        <f aca="false">AD161-DateToday+1</f>
        <v>-4880</v>
      </c>
      <c r="BI161" s="540" t="n">
        <f aca="false">(I161-DateToday+1)/365.25</f>
        <v>-13.3169062286105</v>
      </c>
      <c r="BJ161" s="541" t="n">
        <f aca="false">BI161+(BL161-BI161)*CHOOSE(Underlying,AJ161/AI161,AM161/AL161)</f>
        <v>-13.263974446726</v>
      </c>
      <c r="BK161" s="541" t="n">
        <f aca="false">BJ161+1/365.25</f>
        <v>-13.2612365959389</v>
      </c>
      <c r="BL161" s="541" t="n">
        <f aca="false">(I162-DateToday)/365.25</f>
        <v>-13.2375085557837</v>
      </c>
      <c r="BM161" s="542" t="e">
        <f aca="false">MAX(BI161-(BJ161-BI161)*(S162^2/O162^2-1),0)</f>
        <v>#DIV/0!</v>
      </c>
      <c r="BN161" s="541" t="e">
        <f aca="false">MAX(BL161+(BL161-BK161)*(S163^2/O163^2-1),0)</f>
        <v>#DIV/0!</v>
      </c>
      <c r="BO161" s="530" t="n">
        <f aca="false">CHOOSE(Underlying,AI161,AL161)</f>
        <v>21</v>
      </c>
      <c r="BP161" s="529" t="n">
        <f aca="false">CHOOSE(Underlying,AJ161,AM161)</f>
        <v>14</v>
      </c>
      <c r="BQ161" s="529" t="n">
        <f aca="false">CHOOSE(Underlying,AK161,AN161)</f>
        <v>7</v>
      </c>
      <c r="BR161" s="463" t="str">
        <f aca="false">IF(BD161,IF(Underlying=1,X161,Z161)+UnderlyingPriceAsian-SwapPriceCurve,"")</f>
        <v/>
      </c>
      <c r="BS161" s="463" t="str">
        <f aca="false">IF(BD161,Strike1/BR161-1,"")</f>
        <v/>
      </c>
      <c r="BT161" s="464" t="str">
        <f aca="false">IF(BD161,Strike2/BR161-1,"")</f>
        <v/>
      </c>
      <c r="BU161" s="465" t="str">
        <f aca="false">IF(BD161,IF(Underlying=1,L162,R162)+UnderlyingPriceAsian-SwapPriceCurve,"")</f>
        <v/>
      </c>
      <c r="BV161" s="465" t="str">
        <f aca="false">IF(BD161,IF(Underlying=1,L163,R163)+UnderlyingPriceAsian-SwapPriceCurve,"")</f>
        <v/>
      </c>
      <c r="BW161" s="466" t="str">
        <f aca="false">IF(BD161,IF(Underlying=1,O162,AT162),"")</f>
        <v/>
      </c>
      <c r="BX161" s="467" t="str">
        <f aca="false">IF(BD161,IF(Underlying=1,O163,AT163),"")</f>
        <v/>
      </c>
      <c r="BY161" s="466" t="str">
        <f aca="false">IF(BD161,IF(BS161&gt;0,IF(BS161&gt;0.2,BC161-BB161,IF(BS161&gt;0.1,BB161-BA161,BA161)),IF(BS161&lt;-0.2,AX161-AY161,IF(BS161&lt;-0.1,AY161-AZ161,AZ161))),"")</f>
        <v/>
      </c>
      <c r="BZ161" s="467" t="str">
        <f aca="false">IF(BD161,IF(BT161&gt;0,IF(BT161&gt;0.2,BC161-BB161,IF(BT161&gt;0.1,BB161-BA161,BA161)),IF(BT161&lt;-0.2,AX161-AY161,IF(BT161&lt;-0.1,AY161-AZ161,AZ161))),"")</f>
        <v/>
      </c>
      <c r="CA161" s="468" t="str">
        <f aca="false">IF($BD161,$BW161+IF(VolSkewFlag=1,IF(BS161&gt;0,$BA161*MIN(BS161/10%,1)+($BB161-$BA161)*MAX(0,MIN(BS161/10%-1,1))+($BC161-$BB161)*MAX(0,BS161/10%-2),$AZ161*MIN(-BS161/10%,1)+($AY161-$AZ161)*MAX(0,MIN(-BS161/10%-1,1))+($AX161-$AY161)*MAX(0,-BS161/10%-2)),0),"")</f>
        <v/>
      </c>
      <c r="CB161" s="468" t="str">
        <f aca="false">IF($BD161,$BX161+IF(VolSkewFlag=1,IF(BS161&gt;0,$BA161*MIN(BS161/10%,1)+($BB161-$BA161)*MAX(0,MIN(BS161/10%-1,1))+($BC161-$BB161)*MAX(0,BS161/10%-2),$AZ161*MIN(-BS161/10%,1)+($AY161-$AZ161)*MAX(0,MIN(-BS161/10%-1,1))+($AX161-$AY161)*MAX(0,-BS161/10%-2)),0),"")</f>
        <v/>
      </c>
      <c r="CC161" s="468" t="str">
        <f aca="false">IF($BD161,$BW161+IF(VolSkewFlag=1,IF(BT161&gt;0,$BA161*MIN(BT161/10%,1)+($BB161-$BA161)*MAX(0,MIN(BT161/10%-1,1))+($BC161-$BB161)*MAX(0,BT161/10%-2),$AZ161*MIN(-BT161/10%,1)+($AY161-$AZ161)*MAX(0,MIN(-BT161/10%-1,1))+($AX161-$AY161)*MAX(0,-BT161/10%-2)),0),"")</f>
        <v/>
      </c>
      <c r="CD161" s="468" t="str">
        <f aca="false">IF($BD161,$BX161+IF(VolSkewFlag=1,IF(BT161&gt;0,$BA161*MIN(BT161/10%,1)+($BB161-$BA161)*MAX(0,MIN(BT161/10%-1,1))+($BC161-$BB161)*MAX(0,BT161/10%-2),$AZ161*MIN(-BT161/10%,1)+($AY161-$AZ161)*MAX(0,MIN(-BT161/10%-1,1))+($AX161-$AY161)*MAX(0,-BT161/10%-2)),0),"")</f>
        <v/>
      </c>
      <c r="CE161" s="469" t="n">
        <v>1</v>
      </c>
      <c r="CF161" s="470" t="n">
        <f aca="false">IF(BD161,xCrudeAPO(BU161,BV161,CA161,CB161,S162,S163,BI161,BL161,BP161,BQ161,0,Strike1,AO161,CE161,0,BL161,IF(OptControl=4,0,1),0,1),0)</f>
        <v>0</v>
      </c>
      <c r="CG161" s="470" t="n">
        <f aca="false">IF(BD161,xCrudeAPO(BU161,BV161,CA161,CB161,S162,S163,BI161,BL161,BP161,BQ161,0,Strike1,AO161,CE161,0,BL161,IF(OptControl=4,0,1),1,1)+xCrudeAPO(BU161,BV161,CA161,CB161,S162,S163,BI161,BL161,BP161,BQ161,0,Strike1,AO161,CE161,0,BL161,IF(OptControl=4,0,1),1,2)+IF(OR(VolSkewFlag=2,ABS(BS161)&lt;0.0001),0,IF(BS161&gt;0,-1,1)*CH161*Strike1/BR161^2*BY161/10%),0)</f>
        <v>0</v>
      </c>
      <c r="CH161" s="470" t="n">
        <f aca="false">IF(BD161,(xCrudeAPO(BU161,BV161,CA161,CB161,S162,S163,BI161,BL161,BP161,BQ161,0,Strike1,AO161,CE161,0,BL161,IF(OptControl=4,0,1),3,1)+xCrudeAPO(BU161,BV161,CA161,CB161,S162,S163,BI161,BL161,BP161,BQ161,0,Strike1,AO161,CE161,0,BL161,IF(OptControl=4,0,1),3,2))/100,0)</f>
        <v>0</v>
      </c>
      <c r="CI161" s="470" t="n">
        <f aca="false">IF(BD161,xCrudeAPO(BU161,BV161,CA161,CB161,S162,S163,BI161-DaysForThetaCalculation/365.25,BL161-DaysForThetaCalculation/365.25,BP161,BQ161,0,Strike1,AO161,CE161,0,BL161,IF(OptControl=4,0,1),0,1)-xCrudeAPO(BU161,BV161,CA161,CB161,S162,S163,BI161,BL161,BP161,BQ161,0,Strike1,AO161,CE161,0,BL161,IF(OptControl=4,0,1),0,1),0)</f>
        <v>0</v>
      </c>
      <c r="CJ161" s="471" t="n">
        <f aca="false">IF(BD161,xCrudeAPO(BU161,BV161,CC161,CD161,S162,S163,BI161,BL161,BP161,BQ161,0,Strike2,AO161,CE161,0,BL161,IF(OptControl=3,1,0),0,1),0)</f>
        <v>0</v>
      </c>
      <c r="CK161" s="470" t="n">
        <f aca="false">IF(BD161,xCrudeAPO(BU161,BV161,CC161,CD161,S162,S163,BI161,BL161,BP161,BQ161,0,Strike2,AO161,CE161,0,BL161,IF(OptControl=3,1,0),1,1)+xCrudeAPO(BU161,BV161,CC161,CD161,S162,S163,BI161,BL161,BP161,BQ161,0,Strike2,AO161,CE161,0,BL161,IF(OptControl=3,1,0),1,2)+IF(OR(VolSkewFlag=2,ABS(BT161)&lt;0.0001),0,IF(BT161&gt;0,-1,1)*CL161*Strike2/BR161^2*BZ161/10%),0)</f>
        <v>0</v>
      </c>
      <c r="CL161" s="470" t="n">
        <f aca="false">IF(BD161,(xCrudeAPO(BU161,BV161,CC161,CD161,S162,S163,BI161,BL161,BP161,BQ161,0,Strike2,AO161,CE161,0,BL161,IF(OptControl=3,1,0),3,1)+xCrudeAPO(BU161,BV161,CC161,CD161,S162,S163,BI161,BL161,BP161,BQ161,0,Strike2,AO161,CE161,0,BL161,IF(OptControl=3,1,0),3,2))/100,0)</f>
        <v>0</v>
      </c>
      <c r="CM161" s="472" t="n">
        <f aca="false">IF(BD161,xCrudeAPO(BU161,BV161,CC161,CD161,S162,S163,BI161-DaysForThetaCalculation/365.25,BL161-DaysForThetaCalculation/365.25,BP161,BQ161,0,Strike2,AO161,CE161,0,BL161,IF(OptControl=3,1,0),0,1)-xCrudeAPO(BU161,BV161,CC161,CD161,S162,S163,BI161,BL161,BP161,BQ161,0,Strike2,AO161,CE161,0,BL161,IF(OptControl=3,1,0),0,1),0)</f>
        <v>0</v>
      </c>
      <c r="CN161" s="3"/>
      <c r="CO161" s="543" t="str">
        <f aca="false">IF(BD161,CHOOSE(Underlying,AD161,AF161)-DateToday+1,"")</f>
        <v/>
      </c>
      <c r="CP161" s="582" t="str">
        <f aca="false">IF(BD161,CHOOSE(Underlying,L161,R161),"")</f>
        <v/>
      </c>
      <c r="CQ161" s="544" t="str">
        <f aca="false">IF(BD161,Strike1/CP161-1,"")</f>
        <v/>
      </c>
      <c r="CR161" s="544" t="str">
        <f aca="false">IF(BD161,Strike2/CP161-1,"")</f>
        <v/>
      </c>
      <c r="CS161" s="544" t="str">
        <f aca="false">IF(BD161,IF(CQ161&gt;0,IF(CQ161&gt;0.2,BC160-BB160,IF(CQ161&gt;0.1,BB160-BA160,BA160)),IF(CQ161&lt;-0.2,AX160-AY160,IF(CQ161&lt;-0.1,AY160-AZ160,AZ160))),"")</f>
        <v/>
      </c>
      <c r="CT161" s="544" t="str">
        <f aca="false">IF(BD161,IF(CR161&gt;0,IF(CR161&gt;0.2,BC160-BB160,IF(CR161&gt;0.1,BB160-BA160,BA160)),IF(CR161&lt;-0.2,AX160-AY160,IF(CR161&lt;-0.1,AY160-AZ160,AZ160))),"")</f>
        <v/>
      </c>
      <c r="CU161" s="545" t="str">
        <f aca="false">IF(BD161,CHOOSE(Underlying,O161,AT161),"")</f>
        <v/>
      </c>
      <c r="CV161" s="545" t="str">
        <f aca="false">IF(BD161,CU161+IF(VolSkewFlag=1,IF(CQ161&gt;0,BA160*MIN(CQ161/10%,1)+(BB160-BA160)*MAX(0,MIN(CQ161/10%-1,1))+(BC160-BB160)*MAX(0,CQ161/10%-2),AZ160*MIN(-CQ161/10%,1)+(AY160-AZ160)*MAX(0,MIN(-CQ161/10%-1,1))+(AX160-AY160)*MAX(0,-CQ161/10%-2)),0),"")</f>
        <v/>
      </c>
      <c r="CW161" s="545" t="str">
        <f aca="false">IF(BD161,CU161+IF(VolSkewFlag=1,IF(CR161&gt;0,BA160*MIN(CR161/10%,1)+(BB160-BA160)*MAX(0,MIN(CR161/10%-1,1))+(BC160-BB160)*MAX(0,CR161/10%-2),AZ160*MIN(-CR161/10%,1)+(AY160-AZ160)*MAX(0,MIN(-CR161/10%-1,1))+(AX160-AY160)*MAX(0,-CR161/10%-2)),0),"")</f>
        <v/>
      </c>
      <c r="CX161" s="470" t="n">
        <f aca="false">IF(BD161,EURO(CP161,Strike1,AO161,AO161,CV161,CO161,IF(OptControl=4,0,1),0),0)</f>
        <v>0</v>
      </c>
      <c r="CY161" s="470" t="n">
        <f aca="false">IF(BD161,EURO(CP161,Strike1,AO161,AO161,CV161,CO161,IF(OptControl=4,0,1),1)+IF(OR(VolSkewFlag=2,ABS(CQ161)&lt;0.0001),0,IF(CQ161&gt;0,-1,1)*CZ161*100*Strike1/CP161^2*CS161/10%),0)</f>
        <v>0</v>
      </c>
      <c r="CZ161" s="470" t="n">
        <f aca="false">IF(BD161,EURO(CP161,Strike1,AO161,AO161,CV161,CO161,IF(OptControl=4,0,1),3)/100,0)</f>
        <v>0</v>
      </c>
      <c r="DA161" s="470" t="n">
        <f aca="false">IF(BD161,EURO(CP161,Strike1,AO161,AO161,CV161,CO161,IF(OptControl=4,0,1),0)-EURO(CP161,Strike1,AO161,AO161,CV161,CO161-1,IF(OptControl=4,0,1),0),0)</f>
        <v>0</v>
      </c>
      <c r="DB161" s="470" t="n">
        <f aca="false">IF(BD161,EURO(CP161,Strike2,AO161,AO161,CW161,CO161,IF(OptControl=3,1,0),0),0)</f>
        <v>0</v>
      </c>
      <c r="DC161" s="470" t="n">
        <f aca="false">IF(BD161,EURO(CP161,Strike2,AO161,AO161,CW161,CO161,IF(OptControl=3,1,0),1)+IF(OR(VolSkewFlag=2,ABS(CR161)&lt;0.0001),0,IF(CR161&gt;0,-1,1)*DD161*100*Strike2/CP161^2*CT161/10%),0)</f>
        <v>0</v>
      </c>
      <c r="DD161" s="470" t="n">
        <f aca="false">IF(BD161,EURO(CP161,Strike2,AO161,AO161,CW161,CO161,IF(OptControl=3,1,0),3)/100,0)</f>
        <v>0</v>
      </c>
      <c r="DE161" s="472" t="n">
        <f aca="false">IF(BD161,EURO(CP161,Strike2,AO161,AO161,CW161,CO161,IF(OptControl=3,1,0),0)-EURO(CP161,Strike2,AO161,AO161,CW161,CO161-1,IF(OptControl=3,1,0),0),0)</f>
        <v>0</v>
      </c>
      <c r="DG161" s="481" t="n">
        <f aca="false">EOMONTH(DG160,0)+1</f>
        <v>49980</v>
      </c>
      <c r="DH161" s="478" t="n">
        <v>21.21</v>
      </c>
      <c r="DI161" s="479" t="n">
        <v>21.2781818181819</v>
      </c>
      <c r="DJ161" s="480" t="n">
        <f aca="false">DG161</f>
        <v>49980</v>
      </c>
      <c r="DK161" s="478" t="n">
        <v>19.9999008401083</v>
      </c>
      <c r="DL161" s="479" t="n">
        <v>20.0850818181819</v>
      </c>
      <c r="DM161" s="481" t="n">
        <f aca="false">DG161</f>
        <v>49980</v>
      </c>
      <c r="DN161" s="482" t="n">
        <f aca="false">DK161+BrentPhyBrentSpread</f>
        <v>20.0499008401083</v>
      </c>
      <c r="DO161" s="481" t="n">
        <f aca="false">DG161</f>
        <v>49980</v>
      </c>
      <c r="DP161" s="483" t="n">
        <f aca="false">DL161+DQ161</f>
        <v>20.0850818181819</v>
      </c>
      <c r="DQ161" s="546" t="n">
        <v>0</v>
      </c>
      <c r="DR161" s="480" t="n">
        <f aca="false">DG161</f>
        <v>49980</v>
      </c>
      <c r="DS161" s="485" t="n">
        <v>0.139999999999999</v>
      </c>
      <c r="DT161" s="486" t="n">
        <v>0.139181818181817</v>
      </c>
      <c r="DU161" s="480" t="n">
        <f aca="false">DG161</f>
        <v>49980</v>
      </c>
      <c r="DV161" s="485" t="n">
        <v>0.139999999999999</v>
      </c>
      <c r="DW161" s="486" t="n">
        <v>0.139181818181817</v>
      </c>
      <c r="DX161" s="481" t="n">
        <f aca="false">DG161</f>
        <v>49980</v>
      </c>
      <c r="DY161" s="486" t="n">
        <v>0.35</v>
      </c>
      <c r="DZ161" s="481" t="n">
        <f aca="false">DR161</f>
        <v>49980</v>
      </c>
      <c r="EA161" s="486" t="n">
        <f aca="false">DT161</f>
        <v>0.139181818181817</v>
      </c>
      <c r="EB161" s="195"/>
      <c r="EC161" s="547" t="str">
        <f aca="false">IF(BD161,IF(Underlying=1,AS161,AU161),"")</f>
        <v/>
      </c>
      <c r="ED161" s="548" t="str">
        <f aca="false">IF($BD161,$EC161+IF(VolSkewFlag=1,IF(BS161&gt;0,$BA161*MIN(BS161/10%,1)+($BB161-$BA161)*MAX(0,MIN(BS161/10%-1,1))+($BC161-$BB161)*MAX(0,BS161/10%-2),$AZ161*MIN(-BS161/10%,1)+($AY161-$AZ161)*MAX(0,MIN(-BS161/10%-1,1))+($AX161-$AY161)*MAX(0,-BS161/10%-2)),0),"")</f>
        <v/>
      </c>
      <c r="EE161" s="549" t="str">
        <f aca="false">IF($BD161,$EC161+IF(VolSkewFlag=1,IF(BT161&gt;0,$BA161*MIN(BT161/10%,1)+($BB161-$BA161)*MAX(0,MIN(BT161/10%-1,1))+($BC161-$BB161)*MAX(0,BT161/10%-2),$AZ161*MIN(-BT161/10%,1)+($AY161-$AZ161)*MAX(0,MIN(-BT161/10%-1,1))+($AX161-$AY161)*MAX(0,-BT161/10%-2)),0),"")</f>
        <v/>
      </c>
      <c r="EF161" s="550" t="n">
        <f aca="false">IF(BD161,xASN(BR161,Strike1,AO161,ED161,0,BO161,0,BI161,BL161,IF(OptControl=4,0,1),0),0)</f>
        <v>0</v>
      </c>
      <c r="EG161" s="551" t="n">
        <f aca="false">IF(BD161,xASN(BR161,Strike2,AO161,EE161,0,BO161,0,BI161,BL161,IF(OptControl=3,1,0),0),0)</f>
        <v>0</v>
      </c>
      <c r="EL161" s="1"/>
      <c r="EM161" s="195"/>
      <c r="EN161" s="240"/>
      <c r="EO161" s="240"/>
      <c r="EP161" s="195"/>
      <c r="EQ161" s="407" t="s">
        <v>388</v>
      </c>
      <c r="ES161" s="130"/>
      <c r="ET161" s="19"/>
      <c r="EU161" s="672"/>
      <c r="EV161" s="478"/>
      <c r="EW161" s="131"/>
      <c r="EX161" s="131"/>
      <c r="EY161" s="129"/>
      <c r="EZ161" s="129"/>
      <c r="FA161" s="129"/>
      <c r="FB161" s="129"/>
      <c r="FC161" s="129"/>
      <c r="FD161" s="129"/>
      <c r="FE161" s="129"/>
      <c r="FF161" s="129"/>
      <c r="FG161" s="129"/>
      <c r="FH161" s="129"/>
      <c r="FI161" s="129"/>
      <c r="FJ161" s="571" t="n">
        <v>67</v>
      </c>
      <c r="FK161" s="150" t="e">
        <f aca="false">IF($FJ86&lt;FK$94,"",SQRT(FK86/FK$15))</f>
        <v>#DIV/0!</v>
      </c>
      <c r="FL161" s="150" t="n">
        <f aca="false">IF($FJ86&lt;FL$94,"",SQRT(FL86/FL$15))</f>
        <v>-0</v>
      </c>
      <c r="FM161" s="150" t="n">
        <f aca="false">IF($FJ86&lt;FM$94,"",SQRT(FM86/FM$15))</f>
        <v>0.170501917201957</v>
      </c>
      <c r="FN161" s="150" t="n">
        <f aca="false">IF($FJ86&lt;FN$94,"",SQRT(FN86/FN$15))</f>
        <v>0.16722400614779</v>
      </c>
      <c r="FO161" s="150" t="n">
        <f aca="false">IF($FJ86&lt;FO$94,"",SQRT(FO86/FO$15))</f>
        <v>0.164765949683014</v>
      </c>
      <c r="FP161" s="150" t="n">
        <f aca="false">IF($FJ86&lt;FP$94,"",SQRT(FP86/FP$15))</f>
        <v>0.162922850124198</v>
      </c>
      <c r="FQ161" s="150" t="n">
        <f aca="false">IF($FJ86&lt;FQ$94,"",SQRT(FQ86/FQ$15))</f>
        <v>0.161541045145285</v>
      </c>
      <c r="FR161" s="150" t="n">
        <f aca="false">IF($FJ86&lt;FR$94,"",SQRT(FR86/FR$15))</f>
        <v>0.160505300824598</v>
      </c>
      <c r="FS161" s="150" t="n">
        <f aca="false">IF($FJ86&lt;FS$94,"",SQRT(FS86/FS$15))</f>
        <v>0.159729206746431</v>
      </c>
      <c r="FT161" s="150" t="n">
        <f aca="false">IF($FJ86&lt;FT$94,"",SQRT(FT86/FT$15))</f>
        <v>0.159147972697798</v>
      </c>
      <c r="FU161" s="150" t="n">
        <f aca="false">IF($FJ86&lt;FU$94,"",SQRT(FU86/FU$15))</f>
        <v>0.158713026624913</v>
      </c>
      <c r="FV161" s="150" t="n">
        <f aca="false">IF($FJ86&lt;FV$94,"",SQRT(FV86/FV$15))</f>
        <v>0.158387963608583</v>
      </c>
      <c r="FW161" s="150" t="n">
        <f aca="false">IF($FJ86&lt;FW$94,"",SQRT(FW86/FW$15))</f>
        <v>0.158145508190489</v>
      </c>
      <c r="FX161" s="150" t="n">
        <f aca="false">IF($FJ86&lt;FX$94,"",SQRT(FX86/FX$15))</f>
        <v>0.157965236814079</v>
      </c>
      <c r="FY161" s="150" t="n">
        <f aca="false">IF($FJ86&lt;FY$94,"",SQRT(FY86/FY$15))</f>
        <v>0.157831870470149</v>
      </c>
      <c r="FZ161" s="150" t="n">
        <f aca="false">IF($FJ86&lt;FZ$94,"",SQRT(FZ86/FZ$15))</f>
        <v>0.157733995134938</v>
      </c>
      <c r="GA161" s="150" t="n">
        <f aca="false">IF($FJ86&lt;GA$94,"",SQRT(GA86/GA$15))</f>
        <v>0.157663103215361</v>
      </c>
      <c r="GB161" s="150" t="n">
        <f aca="false">IF($FJ86&lt;GB$94,"",SQRT(GB86/GB$15))</f>
        <v>0.157612875940218</v>
      </c>
      <c r="GC161" s="150" t="n">
        <f aca="false">IF($FJ86&lt;GC$94,"",SQRT(GC86/GC$15))</f>
        <v>0.157578646684218</v>
      </c>
      <c r="GD161" s="150" t="n">
        <f aca="false">IF($FJ86&lt;GD$94,"",SQRT(GD86/GD$15))</f>
        <v>0.157557000253356</v>
      </c>
      <c r="GE161" s="150" t="n">
        <f aca="false">IF($FJ86&lt;GE$94,"",SQRT(GE86/GE$15))</f>
        <v>0.157545474448149</v>
      </c>
      <c r="GF161" s="150" t="n">
        <f aca="false">IF($FJ86&lt;GF$94,"",SQRT(GF86/GF$15))</f>
        <v>0.157542338695193</v>
      </c>
      <c r="GG161" s="150" t="n">
        <f aca="false">IF($FJ86&lt;GG$94,"",SQRT(GG86/GG$15))</f>
        <v>0.157546430902287</v>
      </c>
      <c r="GH161" s="150" t="n">
        <f aca="false">IF($FJ86&lt;GH$94,"",SQRT(GH86/GH$15))</f>
        <v>0.157557038477113</v>
      </c>
      <c r="GI161" s="150" t="n">
        <f aca="false">IF($FJ86&lt;GI$94,"",SQRT(GI86/GI$15))</f>
        <v>0.157573813051172</v>
      </c>
      <c r="GJ161" s="150" t="n">
        <f aca="false">IF($FJ86&lt;GJ$94,"",SQRT(GJ86/GJ$15))</f>
        <v>0.157596711167656</v>
      </c>
      <c r="GK161" s="150" t="n">
        <f aca="false">IF($FJ86&lt;GK$94,"",SQRT(GK86/GK$15))</f>
        <v>0.157625955248365</v>
      </c>
      <c r="GL161" s="150" t="n">
        <f aca="false">IF($FJ86&lt;GL$94,"",SQRT(GL86/GL$15))</f>
        <v>0.157662010719454</v>
      </c>
      <c r="GM161" s="150" t="n">
        <f aca="false">IF($FJ86&lt;GM$94,"",SQRT(GM86/GM$15))</f>
        <v>0.157705576376185</v>
      </c>
      <c r="GN161" s="150" t="n">
        <f aca="false">IF($FJ86&lt;GN$94,"",SQRT(GN86/GN$15))</f>
        <v>0.157757585999409</v>
      </c>
      <c r="GO161" s="150" t="n">
        <f aca="false">IF($FJ86&lt;GO$94,"",SQRT(GO86/GO$15))</f>
        <v>0.157819219975086</v>
      </c>
      <c r="GP161" s="150" t="n">
        <f aca="false">IF($FJ86&lt;GP$94,"",SQRT(GP86/GP$15))</f>
        <v>0.157891926269519</v>
      </c>
      <c r="GQ161" s="150" t="n">
        <f aca="false">IF($FJ86&lt;GQ$94,"",SQRT(GQ86/GQ$15))</f>
        <v>0.157977450622038</v>
      </c>
      <c r="GR161" s="150" t="n">
        <f aca="false">IF($FJ86&lt;GR$94,"",SQRT(GR86/GR$15))</f>
        <v>0.158077876269802</v>
      </c>
      <c r="GS161" s="150" t="n">
        <f aca="false">IF($FJ86&lt;GS$94,"",SQRT(GS86/GS$15))</f>
        <v>0.158195673947049</v>
      </c>
      <c r="GT161" s="150" t="n">
        <f aca="false">IF($FJ86&lt;GT$94,"",SQRT(GT86/GT$15))</f>
        <v>0.158333763331062</v>
      </c>
      <c r="GU161" s="150" t="n">
        <f aca="false">IF($FJ86&lt;GU$94,"",SQRT(GU86/GU$15))</f>
        <v>0.158495587566293</v>
      </c>
      <c r="GV161" s="150" t="n">
        <f aca="false">IF($FJ86&lt;GV$94,"",SQRT(GV86/GV$15))</f>
        <v>0.158685203014714</v>
      </c>
      <c r="GW161" s="150" t="n">
        <f aca="false">IF($FJ86&lt;GW$94,"",SQRT(GW86/GW$15))</f>
        <v>0.158907386986714</v>
      </c>
      <c r="GX161" s="150" t="n">
        <f aca="false">IF($FJ86&lt;GX$94,"",SQRT(GX86/GX$15))</f>
        <v>0.159167766941414</v>
      </c>
      <c r="GY161" s="150" t="n">
        <f aca="false">IF($FJ86&lt;GY$94,"",SQRT(GY86/GY$15))</f>
        <v>0.159472975557506</v>
      </c>
      <c r="GZ161" s="150" t="n">
        <f aca="false">IF($FJ86&lt;GZ$94,"",SQRT(GZ86/GZ$15))</f>
        <v>0.159830837229866</v>
      </c>
      <c r="HA161" s="150" t="n">
        <f aca="false">IF($FJ86&lt;HA$94,"",SQRT(HA86/HA$15))</f>
        <v>0.160250593029712</v>
      </c>
      <c r="HB161" s="150" t="n">
        <f aca="false">IF($FJ86&lt;HB$94,"",SQRT(HB86/HB$15))</f>
        <v>0.160743173094948</v>
      </c>
      <c r="HC161" s="150" t="n">
        <f aca="false">IF($FJ86&lt;HC$94,"",SQRT(HC86/HC$15))</f>
        <v>0.161321527955574</v>
      </c>
      <c r="HD161" s="150" t="n">
        <f aca="false">IF($FJ86&lt;HD$94,"",SQRT(HD86/HD$15))</f>
        <v>0.162001033675104</v>
      </c>
      <c r="HE161" s="150" t="n">
        <f aca="false">IF($FJ86&lt;HE$94,"",SQRT(HE86/HE$15))</f>
        <v>0.16279999022609</v>
      </c>
      <c r="HF161" s="150" t="n">
        <f aca="false">IF($FJ86&lt;HF$94,"",SQRT(HF86/HF$15))</f>
        <v>0.163740238678266</v>
      </c>
      <c r="HG161" s="150" t="n">
        <f aca="false">IF($FJ86&lt;HG$94,"",SQRT(HG86/HG$15))</f>
        <v>0.164847931230166</v>
      </c>
      <c r="HH161" s="150" t="n">
        <f aca="false">IF($FJ86&lt;HH$94,"",SQRT(HH86/HH$15))</f>
        <v>0.166154499836842</v>
      </c>
      <c r="HI161" s="150" t="n">
        <f aca="false">IF($FJ86&lt;HI$94,"",SQRT(HI86/HI$15))</f>
        <v>0.167697885624569</v>
      </c>
      <c r="HJ161" s="150" t="n">
        <f aca="false">IF($FJ86&lt;HJ$94,"",SQRT(HJ86/HJ$15))</f>
        <v>0.169524114607607</v>
      </c>
      <c r="HK161" s="150" t="n">
        <f aca="false">IF($FJ86&lt;HK$94,"",SQRT(HK86/HK$15))</f>
        <v>0.171689338729699</v>
      </c>
      <c r="HL161" s="150" t="n">
        <f aca="false">IF($FJ86&lt;HL$94,"",SQRT(HL86/HL$15))</f>
        <v>0.174262510031553</v>
      </c>
      <c r="HM161" s="150" t="n">
        <f aca="false">IF($FJ86&lt;HM$94,"",SQRT(HM86/HM$15))</f>
        <v>0.177328927770093</v>
      </c>
      <c r="HN161" s="150" t="n">
        <f aca="false">IF($FJ86&lt;HN$94,"",SQRT(HN86/HN$15))</f>
        <v>0.180995006305873</v>
      </c>
      <c r="HO161" s="150" t="n">
        <f aca="false">IF($FJ86&lt;HO$94,"",SQRT(HO86/HO$15))</f>
        <v>0.185394776201976</v>
      </c>
      <c r="HP161" s="150" t="n">
        <f aca="false">IF($FJ86&lt;HP$94,"",SQRT(HP86/HP$15))</f>
        <v>0.190698886518113</v>
      </c>
      <c r="HQ161" s="150" t="n">
        <f aca="false">IF($FJ86&lt;HQ$94,"",SQRT(HQ86/HQ$15))</f>
        <v>0.197127280843182</v>
      </c>
      <c r="HR161" s="150" t="n">
        <f aca="false">IF($FJ86&lt;HR$94,"",SQRT(HR86/HR$15))</f>
        <v>0.20496737407951</v>
      </c>
      <c r="HS161" s="150" t="n">
        <f aca="false">IF($FJ86&lt;HS$94,"",SQRT(HS86/HS$15))</f>
        <v>0.214600641215385</v>
      </c>
      <c r="HT161" s="150" t="n">
        <f aca="false">IF($FJ86&lt;HT$94,"",SQRT(HT86/HT$15))</f>
        <v>0.226542373268353</v>
      </c>
      <c r="HU161" s="150" t="n">
        <f aca="false">IF($FJ86&lt;HU$94,"",SQRT(HU86/HU$15))</f>
        <v>0.241502584300707</v>
      </c>
      <c r="HV161" s="150" t="n">
        <f aca="false">IF($FJ86&lt;HV$94,"",SQRT(HV86/HV$15))</f>
        <v>0.26048189370146</v>
      </c>
      <c r="HW161" s="150" t="n">
        <f aca="false">IF($FJ86&lt;HW$94,"",SQRT(HW86/HW$15))</f>
        <v>0.284927165330092</v>
      </c>
      <c r="HX161" s="150" t="n">
        <f aca="false">IF($FJ86&lt;HX$94,"",SQRT(HX86/HX$15))</f>
        <v>0.316993111720721</v>
      </c>
      <c r="HY161" s="150" t="n">
        <f aca="false">IF($FJ86&lt;HY$94,"",SQRT(HY86/HY$15))</f>
        <v>0.360000000302721</v>
      </c>
      <c r="HZ161" s="150" t="str">
        <f aca="false">IF($FJ86&lt;HZ$94,"",SQRT(HZ86/HZ$15))</f>
        <v/>
      </c>
      <c r="IA161" s="150" t="str">
        <f aca="false">IF($FJ86&lt;IA$94,"",SQRT(IA86/IA$15))</f>
        <v/>
      </c>
      <c r="IB161" s="150" t="str">
        <f aca="false">IF($FJ86&lt;IB$94,"",SQRT(IB86/IB$15))</f>
        <v/>
      </c>
      <c r="IC161" s="150" t="str">
        <f aca="false">IF($FJ86&lt;IC$94,"",SQRT(IC86/IC$15))</f>
        <v/>
      </c>
      <c r="ID161" s="572" t="str">
        <f aca="false">IF($FJ86&lt;ID$94,"",SQRT(ID86/ID$15))</f>
        <v/>
      </c>
      <c r="IE161" s="129"/>
    </row>
    <row r="162" customFormat="false" ht="12.75" hidden="false" customHeight="false" outlineLevel="0" collapsed="false">
      <c r="H162" s="219" t="n">
        <f aca="false">VLOOKUP(I162,$EJ$20:$EL$54,3)</f>
        <v>0</v>
      </c>
      <c r="I162" s="511" t="n">
        <f aca="false">EOMONTH(I161,0)+1</f>
        <v>41091</v>
      </c>
      <c r="J162" s="512"/>
      <c r="K162" s="513" t="s">
        <v>280</v>
      </c>
      <c r="L162" s="514" t="n">
        <f aca="false">IF(ISNUMBER(K162),J162+K162/100,IF(K162="extra",L161+VLOOKUP(BF162,PriceSpreadTable,2)/12,IF(K162="inter",interpolateprices($K$19:$L$200,ROW(K162)-ROW(FirstPricingMonth)+1),interpolatechanges($J$19:$K$200,ROW(K162)-ROW(FirstPricingMonth)+1))))</f>
        <v>2.475</v>
      </c>
      <c r="M162" s="515"/>
      <c r="N162" s="516" t="n">
        <v>0</v>
      </c>
      <c r="O162" s="515" t="n">
        <f aca="false">M162+N162</f>
        <v>0</v>
      </c>
      <c r="P162" s="512"/>
      <c r="Q162" s="513" t="s">
        <v>280</v>
      </c>
      <c r="R162" s="512" t="e">
        <f aca="false">IF(ISNUMBER(Q162),P162+Q162/100,IF(Q162="extra",(Z160*AL160-R161*AM160)/AN160,IF(Q162="inter",interpolateprices($Q$19:$R$260,ROW(Q162)-ROW(FirstPricingMonth)+1),interpolatechanges($P$19:$Q$260,ROW(Q162)-ROW(FirstPricingMonth)+1))))</f>
        <v>#VALUE!</v>
      </c>
      <c r="S162" s="597" t="n">
        <f aca="false">S$19+(S161-S$19)*S$18</f>
        <v>0.36</v>
      </c>
      <c r="T162" s="575" t="n">
        <f aca="false">SQRT((1-(1-T161^2/U161)*T$18)*U162)</f>
        <v>0.999999999975471</v>
      </c>
      <c r="U162" s="576" t="n">
        <f aca="false">1-(1-U161)*U$18</f>
        <v>1</v>
      </c>
      <c r="V162" s="521" t="n">
        <v>0</v>
      </c>
      <c r="W162" s="577" t="n">
        <f aca="false">(J163*AJ162+J164*AK162)/AI162</f>
        <v>0</v>
      </c>
      <c r="X162" s="578" t="n">
        <f aca="false">(L163*AJ162+L164*AK162)/AI162</f>
        <v>2.525</v>
      </c>
      <c r="Y162" s="579" t="n">
        <f aca="false">IF(Q164="extra",W162-AA162,(P163*AM162+P164*AN162)/AL162)</f>
        <v>-1.2669</v>
      </c>
      <c r="Z162" s="579" t="n">
        <f aca="false">IF(Q164="extra",X162-AB162,(R163*AM162+R164*AN162)/AL162)</f>
        <v>1.2581</v>
      </c>
      <c r="AA162" s="523" t="n">
        <f aca="false">IF(Q164="extra",INDEX(BrentSeasonalityTable,INT((BG162-1)/3)+1)*VLOOKUP(MAX(BF162,$AB$4),PriceSpreadTable,3),W162-Y162)</f>
        <v>1.2669</v>
      </c>
      <c r="AB162" s="524" t="n">
        <f aca="false">IF(Q164="extra",INDEX(BrentSeasonalityTable,INT((BG162-1)/3)+1)*VLOOKUP(MAX(BF162,$AB$4),PriceSpreadTable,3),X162-Z162)</f>
        <v>1.2669</v>
      </c>
      <c r="AC162" s="646" t="n">
        <v>41080</v>
      </c>
      <c r="AD162" s="646" t="n">
        <v>41076</v>
      </c>
      <c r="AE162" s="646" t="n">
        <v>41075</v>
      </c>
      <c r="AF162" s="646" t="n">
        <v>41071</v>
      </c>
      <c r="AG162" s="438" t="s">
        <v>278</v>
      </c>
      <c r="AH162" s="439" t="s">
        <v>278</v>
      </c>
      <c r="AI162" s="528" t="n">
        <v>21</v>
      </c>
      <c r="AJ162" s="529" t="n">
        <v>14</v>
      </c>
      <c r="AK162" s="529" t="n">
        <v>7</v>
      </c>
      <c r="AL162" s="530" t="n">
        <v>22</v>
      </c>
      <c r="AM162" s="529" t="n">
        <v>10</v>
      </c>
      <c r="AN162" s="531" t="n">
        <v>12</v>
      </c>
      <c r="AO162" s="532"/>
      <c r="AP162" s="465" t="n">
        <f aca="false">(1+AO162/2)^(-2*BL162)</f>
        <v>1</v>
      </c>
      <c r="AQ162" s="532"/>
      <c r="AR162" s="465" t="n">
        <f aca="false">(1+AQ162/2)^(-2*BH162/365.25)</f>
        <v>1</v>
      </c>
      <c r="AS162" s="580" t="n">
        <f aca="false">(O163*AJ162+O164*AK162)/AI162</f>
        <v>0</v>
      </c>
      <c r="AT162" s="468" t="n">
        <f aca="false">O162*VLOOKUP(BF162,BrentVolTable,2)+VLOOKUP(BF162,BrentVolTable,3)</f>
        <v>0</v>
      </c>
      <c r="AU162" s="468" t="n">
        <f aca="false">(AT163*AM162+AT164*AN162)/AL162</f>
        <v>0</v>
      </c>
      <c r="AV162" s="595" t="n">
        <f aca="false">SQRT(MAX(0.000000000001,(O162^2*BH162-S162^2*(BH162-BH161))/BH161))</f>
        <v>0.0286928334000773</v>
      </c>
      <c r="AW162" s="451" t="n">
        <f aca="false">IF($I162-DateToday+15&gt;=$T$8,"",IF($I162-DateToday+15&lt;$T$5,1,MATCH($I162-DateToday+15,$T$5:$T$8)))</f>
        <v>1</v>
      </c>
      <c r="AX162" s="468" t="n">
        <f aca="false">IF($AW162="",AX161^2/AX160,INDEX(U$5:U$8,$AW162)^((INDEX($T$5:$T$8,$AW162+1)-($I162-DateToday+15))/(INDEX($T$5:$T$8,$AW162+1)-INDEX($T$5:$T$8,$AW162)))/INDEX(U$5:U$8,$AW162+1)^((INDEX($T$5:$T$8,$AW162)-($I162-DateToday+15))/(INDEX($T$5:$T$8,$AW162+1)-INDEX($T$5:$T$8,$AW162))))</f>
        <v>0.603284532215931</v>
      </c>
      <c r="AY162" s="468" t="n">
        <f aca="false">IF($AW162="",AY161^2/AY160,INDEX(V$5:V$8,$AW162)^((INDEX($T$5:$T$8,$AW162+1)-($I162-DateToday+15))/(INDEX($T$5:$T$8,$AW162+1)-INDEX($T$5:$T$8,$AW162)))/INDEX(V$5:V$8,$AW162+1)^((INDEX($T$5:$T$8,$AW162)-($I162-DateToday+15))/(INDEX($T$5:$T$8,$AW162+1)-INDEX($T$5:$T$8,$AW162))))</f>
        <v>13.1774394891511</v>
      </c>
      <c r="AZ162" s="468" t="n">
        <f aca="false">IF($AW162="",AZ161^2/AZ160,INDEX(W$5:W$8,$AW162)^((INDEX($T$5:$T$8,$AW162+1)-($I162-DateToday+15))/(INDEX($T$5:$T$8,$AW162+1)-INDEX($T$5:$T$8,$AW162)))/INDEX(W$5:W$8,$AW162+1)^((INDEX($T$5:$T$8,$AW162)-($I162-DateToday+15))/(INDEX($T$5:$T$8,$AW162+1)-INDEX($T$5:$T$8,$AW162))))</f>
        <v>5926.5045502714</v>
      </c>
      <c r="BA162" s="468" t="n">
        <f aca="false">IF($AW162="",BA161^2/BA160,INDEX(X$5:X$8,$AW162)^((INDEX($T$5:$T$8,$AW162+1)-($I162-DateToday+15))/(INDEX($T$5:$T$8,$AW162+1)-INDEX($T$5:$T$8,$AW162)))/INDEX(X$5:X$8,$AW162+1)^((INDEX($T$5:$T$8,$AW162)-($I162-DateToday+15))/(INDEX($T$5:$T$8,$AW162+1)-INDEX($T$5:$T$8,$AW162))))</f>
        <v>37243.4221383964</v>
      </c>
      <c r="BB162" s="468" t="n">
        <f aca="false">IF($AW162="",BB161^2/BB160,INDEX(Y$5:Y$8,$AW162)^((INDEX($T$5:$T$8,$AW162+1)-($I162-DateToday+15))/(INDEX($T$5:$T$8,$AW162+1)-INDEX($T$5:$T$8,$AW162)))/INDEX(Y$5:Y$8,$AW162+1)^((INDEX($T$5:$T$8,$AW162)-($I162-DateToday+15))/(INDEX($T$5:$T$8,$AW162+1)-INDEX($T$5:$T$8,$AW162))))</f>
        <v>252521.456272815</v>
      </c>
      <c r="BC162" s="468" t="n">
        <f aca="false">IF($AW162="",BC161^2/BC160,INDEX(Z$5:Z$8,$AW162)^((INDEX($T$5:$T$8,$AW162+1)-($I162-DateToday+15))/(INDEX($T$5:$T$8,$AW162+1)-INDEX($T$5:$T$8,$AW162)))/INDEX(Z$5:Z$8,$AW162+1)^((INDEX($T$5:$T$8,$AW162)-($I162-DateToday+15))/(INDEX($T$5:$T$8,$AW162+1)-INDEX($T$5:$T$8,$AW162))))</f>
        <v>807278.734044065</v>
      </c>
      <c r="BD162" s="535" t="n">
        <f aca="false">IF(OR(DateStart&gt;=I163,DateEnd&lt;I162),0,IF(VolumeOverrideFlag,V162,Volume))</f>
        <v>0</v>
      </c>
      <c r="BE162" s="536" t="n">
        <f aca="false">IF(OR(DateStart2&gt;=I163,DateEnd2&lt;I162),0,IF(VolumeOverrideFlag,V162,VolumeSwaption))</f>
        <v>0</v>
      </c>
      <c r="BF162" s="537" t="n">
        <f aca="false">YEAR(I162)</f>
        <v>2012</v>
      </c>
      <c r="BG162" s="538" t="n">
        <f aca="false">MONTH(I162)</f>
        <v>7</v>
      </c>
      <c r="BH162" s="539" t="n">
        <f aca="false">AD162-DateToday+1</f>
        <v>-4849</v>
      </c>
      <c r="BI162" s="540" t="n">
        <f aca="false">(I162-DateToday+1)/365.25</f>
        <v>-13.2347707049966</v>
      </c>
      <c r="BJ162" s="541" t="n">
        <f aca="false">BI162+(BL162-BI162)*CHOOSE(Underlying,AJ162/AI162,AM162/AL162)</f>
        <v>-13.1800136892539</v>
      </c>
      <c r="BK162" s="541" t="n">
        <f aca="false">BJ162+1/365.25</f>
        <v>-13.1772758384668</v>
      </c>
      <c r="BL162" s="541" t="n">
        <f aca="false">(I163-DateToday)/365.25</f>
        <v>-13.1526351813826</v>
      </c>
      <c r="BM162" s="542" t="e">
        <f aca="false">MAX(BI162-(BJ162-BI162)*(S163^2/O163^2-1),0)</f>
        <v>#DIV/0!</v>
      </c>
      <c r="BN162" s="541" t="e">
        <f aca="false">MAX(BL162+(BL162-BK162)*(S164^2/O164^2-1),0)</f>
        <v>#DIV/0!</v>
      </c>
      <c r="BO162" s="530" t="n">
        <f aca="false">CHOOSE(Underlying,AI162,AL162)</f>
        <v>21</v>
      </c>
      <c r="BP162" s="529" t="n">
        <f aca="false">CHOOSE(Underlying,AJ162,AM162)</f>
        <v>14</v>
      </c>
      <c r="BQ162" s="529" t="n">
        <f aca="false">CHOOSE(Underlying,AK162,AN162)</f>
        <v>7</v>
      </c>
      <c r="BR162" s="463" t="str">
        <f aca="false">IF(BD162,IF(Underlying=1,X162,Z162)+UnderlyingPriceAsian-SwapPriceCurve,"")</f>
        <v/>
      </c>
      <c r="BS162" s="463" t="str">
        <f aca="false">IF(BD162,Strike1/BR162-1,"")</f>
        <v/>
      </c>
      <c r="BT162" s="464" t="str">
        <f aca="false">IF(BD162,Strike2/BR162-1,"")</f>
        <v/>
      </c>
      <c r="BU162" s="465" t="str">
        <f aca="false">IF(BD162,IF(Underlying=1,L163,R163)+UnderlyingPriceAsian-SwapPriceCurve,"")</f>
        <v/>
      </c>
      <c r="BV162" s="465" t="str">
        <f aca="false">IF(BD162,IF(Underlying=1,L164,R164)+UnderlyingPriceAsian-SwapPriceCurve,"")</f>
        <v/>
      </c>
      <c r="BW162" s="466" t="str">
        <f aca="false">IF(BD162,IF(Underlying=1,O163,AT163),"")</f>
        <v/>
      </c>
      <c r="BX162" s="467" t="str">
        <f aca="false">IF(BD162,IF(Underlying=1,O164,AT164),"")</f>
        <v/>
      </c>
      <c r="BY162" s="466" t="str">
        <f aca="false">IF(BD162,IF(BS162&gt;0,IF(BS162&gt;0.2,BC162-BB162,IF(BS162&gt;0.1,BB162-BA162,BA162)),IF(BS162&lt;-0.2,AX162-AY162,IF(BS162&lt;-0.1,AY162-AZ162,AZ162))),"")</f>
        <v/>
      </c>
      <c r="BZ162" s="467" t="str">
        <f aca="false">IF(BD162,IF(BT162&gt;0,IF(BT162&gt;0.2,BC162-BB162,IF(BT162&gt;0.1,BB162-BA162,BA162)),IF(BT162&lt;-0.2,AX162-AY162,IF(BT162&lt;-0.1,AY162-AZ162,AZ162))),"")</f>
        <v/>
      </c>
      <c r="CA162" s="468" t="str">
        <f aca="false">IF($BD162,$BW162+IF(VolSkewFlag=1,IF(BS162&gt;0,$BA162*MIN(BS162/10%,1)+($BB162-$BA162)*MAX(0,MIN(BS162/10%-1,1))+($BC162-$BB162)*MAX(0,BS162/10%-2),$AZ162*MIN(-BS162/10%,1)+($AY162-$AZ162)*MAX(0,MIN(-BS162/10%-1,1))+($AX162-$AY162)*MAX(0,-BS162/10%-2)),0),"")</f>
        <v/>
      </c>
      <c r="CB162" s="468" t="str">
        <f aca="false">IF($BD162,$BX162+IF(VolSkewFlag=1,IF(BS162&gt;0,$BA162*MIN(BS162/10%,1)+($BB162-$BA162)*MAX(0,MIN(BS162/10%-1,1))+($BC162-$BB162)*MAX(0,BS162/10%-2),$AZ162*MIN(-BS162/10%,1)+($AY162-$AZ162)*MAX(0,MIN(-BS162/10%-1,1))+($AX162-$AY162)*MAX(0,-BS162/10%-2)),0),"")</f>
        <v/>
      </c>
      <c r="CC162" s="468" t="str">
        <f aca="false">IF($BD162,$BW162+IF(VolSkewFlag=1,IF(BT162&gt;0,$BA162*MIN(BT162/10%,1)+($BB162-$BA162)*MAX(0,MIN(BT162/10%-1,1))+($BC162-$BB162)*MAX(0,BT162/10%-2),$AZ162*MIN(-BT162/10%,1)+($AY162-$AZ162)*MAX(0,MIN(-BT162/10%-1,1))+($AX162-$AY162)*MAX(0,-BT162/10%-2)),0),"")</f>
        <v/>
      </c>
      <c r="CD162" s="468" t="str">
        <f aca="false">IF($BD162,$BX162+IF(VolSkewFlag=1,IF(BT162&gt;0,$BA162*MIN(BT162/10%,1)+($BB162-$BA162)*MAX(0,MIN(BT162/10%-1,1))+($BC162-$BB162)*MAX(0,BT162/10%-2),$AZ162*MIN(-BT162/10%,1)+($AY162-$AZ162)*MAX(0,MIN(-BT162/10%-1,1))+($AX162-$AY162)*MAX(0,-BT162/10%-2)),0),"")</f>
        <v/>
      </c>
      <c r="CE162" s="469" t="n">
        <v>1</v>
      </c>
      <c r="CF162" s="470" t="n">
        <f aca="false">IF(BD162,xCrudeAPO(BU162,BV162,CA162,CB162,S163,S164,BI162,BL162,BP162,BQ162,0,Strike1,AO162,CE162,0,BL162,IF(OptControl=4,0,1),0,1),0)</f>
        <v>0</v>
      </c>
      <c r="CG162" s="470" t="n">
        <f aca="false">IF(BD162,xCrudeAPO(BU162,BV162,CA162,CB162,S163,S164,BI162,BL162,BP162,BQ162,0,Strike1,AO162,CE162,0,BL162,IF(OptControl=4,0,1),1,1)+xCrudeAPO(BU162,BV162,CA162,CB162,S163,S164,BI162,BL162,BP162,BQ162,0,Strike1,AO162,CE162,0,BL162,IF(OptControl=4,0,1),1,2)+IF(OR(VolSkewFlag=2,ABS(BS162)&lt;0.0001),0,IF(BS162&gt;0,-1,1)*CH162*Strike1/BR162^2*BY162/10%),0)</f>
        <v>0</v>
      </c>
      <c r="CH162" s="470" t="n">
        <f aca="false">IF(BD162,(xCrudeAPO(BU162,BV162,CA162,CB162,S163,S164,BI162,BL162,BP162,BQ162,0,Strike1,AO162,CE162,0,BL162,IF(OptControl=4,0,1),3,1)+xCrudeAPO(BU162,BV162,CA162,CB162,S163,S164,BI162,BL162,BP162,BQ162,0,Strike1,AO162,CE162,0,BL162,IF(OptControl=4,0,1),3,2))/100,0)</f>
        <v>0</v>
      </c>
      <c r="CI162" s="470" t="n">
        <f aca="false">IF(BD162,xCrudeAPO(BU162,BV162,CA162,CB162,S163,S164,BI162-DaysForThetaCalculation/365.25,BL162-DaysForThetaCalculation/365.25,BP162,BQ162,0,Strike1,AO162,CE162,0,BL162,IF(OptControl=4,0,1),0,1)-xCrudeAPO(BU162,BV162,CA162,CB162,S163,S164,BI162,BL162,BP162,BQ162,0,Strike1,AO162,CE162,0,BL162,IF(OptControl=4,0,1),0,1),0)</f>
        <v>0</v>
      </c>
      <c r="CJ162" s="471" t="n">
        <f aca="false">IF(BD162,xCrudeAPO(BU162,BV162,CC162,CD162,S163,S164,BI162,BL162,BP162,BQ162,0,Strike2,AO162,CE162,0,BL162,IF(OptControl=3,1,0),0,1),0)</f>
        <v>0</v>
      </c>
      <c r="CK162" s="470" t="n">
        <f aca="false">IF(BD162,xCrudeAPO(BU162,BV162,CC162,CD162,S163,S164,BI162,BL162,BP162,BQ162,0,Strike2,AO162,CE162,0,BL162,IF(OptControl=3,1,0),1,1)+xCrudeAPO(BU162,BV162,CC162,CD162,S163,S164,BI162,BL162,BP162,BQ162,0,Strike2,AO162,CE162,0,BL162,IF(OptControl=3,1,0),1,2)+IF(OR(VolSkewFlag=2,ABS(BT162)&lt;0.0001),0,IF(BT162&gt;0,-1,1)*CL162*Strike2/BR162^2*BZ162/10%),0)</f>
        <v>0</v>
      </c>
      <c r="CL162" s="470" t="n">
        <f aca="false">IF(BD162,(xCrudeAPO(BU162,BV162,CC162,CD162,S163,S164,BI162,BL162,BP162,BQ162,0,Strike2,AO162,CE162,0,BL162,IF(OptControl=3,1,0),3,1)+xCrudeAPO(BU162,BV162,CC162,CD162,S163,S164,BI162,BL162,BP162,BQ162,0,Strike2,AO162,CE162,0,BL162,IF(OptControl=3,1,0),3,2))/100,0)</f>
        <v>0</v>
      </c>
      <c r="CM162" s="472" t="n">
        <f aca="false">IF(BD162,xCrudeAPO(BU162,BV162,CC162,CD162,S163,S164,BI162-DaysForThetaCalculation/365.25,BL162-DaysForThetaCalculation/365.25,BP162,BQ162,0,Strike2,AO162,CE162,0,BL162,IF(OptControl=3,1,0),0,1)-xCrudeAPO(BU162,BV162,CC162,CD162,S163,S164,BI162,BL162,BP162,BQ162,0,Strike2,AO162,CE162,0,BL162,IF(OptControl=3,1,0),0,1),0)</f>
        <v>0</v>
      </c>
      <c r="CN162" s="3"/>
      <c r="CO162" s="543" t="str">
        <f aca="false">IF(BD162,CHOOSE(Underlying,AD162,AF162)-DateToday+1,"")</f>
        <v/>
      </c>
      <c r="CP162" s="582" t="str">
        <f aca="false">IF(BD162,CHOOSE(Underlying,L162,R162),"")</f>
        <v/>
      </c>
      <c r="CQ162" s="544" t="str">
        <f aca="false">IF(BD162,Strike1/CP162-1,"")</f>
        <v/>
      </c>
      <c r="CR162" s="544" t="str">
        <f aca="false">IF(BD162,Strike2/CP162-1,"")</f>
        <v/>
      </c>
      <c r="CS162" s="544" t="str">
        <f aca="false">IF(BD162,IF(CQ162&gt;0,IF(CQ162&gt;0.2,BC161-BB161,IF(CQ162&gt;0.1,BB161-BA161,BA161)),IF(CQ162&lt;-0.2,AX161-AY161,IF(CQ162&lt;-0.1,AY161-AZ161,AZ161))),"")</f>
        <v/>
      </c>
      <c r="CT162" s="544" t="str">
        <f aca="false">IF(BD162,IF(CR162&gt;0,IF(CR162&gt;0.2,BC161-BB161,IF(CR162&gt;0.1,BB161-BA161,BA161)),IF(CR162&lt;-0.2,AX161-AY161,IF(CR162&lt;-0.1,AY161-AZ161,AZ161))),"")</f>
        <v/>
      </c>
      <c r="CU162" s="545" t="str">
        <f aca="false">IF(BD162,CHOOSE(Underlying,O162,AT162),"")</f>
        <v/>
      </c>
      <c r="CV162" s="545" t="str">
        <f aca="false">IF(BD162,CU162+IF(VolSkewFlag=1,IF(CQ162&gt;0,BA161*MIN(CQ162/10%,1)+(BB161-BA161)*MAX(0,MIN(CQ162/10%-1,1))+(BC161-BB161)*MAX(0,CQ162/10%-2),AZ161*MIN(-CQ162/10%,1)+(AY161-AZ161)*MAX(0,MIN(-CQ162/10%-1,1))+(AX161-AY161)*MAX(0,-CQ162/10%-2)),0),"")</f>
        <v/>
      </c>
      <c r="CW162" s="545" t="str">
        <f aca="false">IF(BD162,CU162+IF(VolSkewFlag=1,IF(CR162&gt;0,BA161*MIN(CR162/10%,1)+(BB161-BA161)*MAX(0,MIN(CR162/10%-1,1))+(BC161-BB161)*MAX(0,CR162/10%-2),AZ161*MIN(-CR162/10%,1)+(AY161-AZ161)*MAX(0,MIN(-CR162/10%-1,1))+(AX161-AY161)*MAX(0,-CR162/10%-2)),0),"")</f>
        <v/>
      </c>
      <c r="CX162" s="470" t="n">
        <f aca="false">IF(BD162,EURO(CP162,Strike1,AO162,AO162,CV162,CO162,IF(OptControl=4,0,1),0),0)</f>
        <v>0</v>
      </c>
      <c r="CY162" s="470" t="n">
        <f aca="false">IF(BD162,EURO(CP162,Strike1,AO162,AO162,CV162,CO162,IF(OptControl=4,0,1),1)+IF(OR(VolSkewFlag=2,ABS(CQ162)&lt;0.0001),0,IF(CQ162&gt;0,-1,1)*CZ162*100*Strike1/CP162^2*CS162/10%),0)</f>
        <v>0</v>
      </c>
      <c r="CZ162" s="470" t="n">
        <f aca="false">IF(BD162,EURO(CP162,Strike1,AO162,AO162,CV162,CO162,IF(OptControl=4,0,1),3)/100,0)</f>
        <v>0</v>
      </c>
      <c r="DA162" s="470" t="n">
        <f aca="false">IF(BD162,EURO(CP162,Strike1,AO162,AO162,CV162,CO162,IF(OptControl=4,0,1),0)-EURO(CP162,Strike1,AO162,AO162,CV162,CO162-1,IF(OptControl=4,0,1),0),0)</f>
        <v>0</v>
      </c>
      <c r="DB162" s="470" t="n">
        <f aca="false">IF(BD162,EURO(CP162,Strike2,AO162,AO162,CW162,CO162,IF(OptControl=3,1,0),0),0)</f>
        <v>0</v>
      </c>
      <c r="DC162" s="470" t="n">
        <f aca="false">IF(BD162,EURO(CP162,Strike2,AO162,AO162,CW162,CO162,IF(OptControl=3,1,0),1)+IF(OR(VolSkewFlag=2,ABS(CR162)&lt;0.0001),0,IF(CR162&gt;0,-1,1)*DD162*100*Strike2/CP162^2*CT162/10%),0)</f>
        <v>0</v>
      </c>
      <c r="DD162" s="470" t="n">
        <f aca="false">IF(BD162,EURO(CP162,Strike2,AO162,AO162,CW162,CO162,IF(OptControl=3,1,0),3)/100,0)</f>
        <v>0</v>
      </c>
      <c r="DE162" s="472" t="n">
        <f aca="false">IF(BD162,EURO(CP162,Strike2,AO162,AO162,CW162,CO162,IF(OptControl=3,1,0),0)-EURO(CP162,Strike2,AO162,AO162,CW162,CO162-1,IF(OptControl=3,1,0),0),0)</f>
        <v>0</v>
      </c>
      <c r="DG162" s="481" t="n">
        <f aca="false">EOMONTH(DG161,0)+1</f>
        <v>50010</v>
      </c>
      <c r="DH162" s="478" t="n">
        <v>21.26</v>
      </c>
      <c r="DI162" s="479" t="n">
        <v>21.3281818181819</v>
      </c>
      <c r="DJ162" s="480" t="n">
        <f aca="false">DG162</f>
        <v>50010</v>
      </c>
      <c r="DK162" s="478" t="n">
        <v>20.064171963538</v>
      </c>
      <c r="DL162" s="479" t="n">
        <v>20.1350818181819</v>
      </c>
      <c r="DM162" s="481" t="n">
        <f aca="false">DG162</f>
        <v>50010</v>
      </c>
      <c r="DN162" s="482" t="n">
        <f aca="false">DK162+BrentPhyBrentSpread</f>
        <v>20.114171963538</v>
      </c>
      <c r="DO162" s="481" t="n">
        <f aca="false">DG162</f>
        <v>50010</v>
      </c>
      <c r="DP162" s="483" t="n">
        <f aca="false">DL162+DQ162</f>
        <v>20.1350818181819</v>
      </c>
      <c r="DQ162" s="546" t="n">
        <v>0</v>
      </c>
      <c r="DR162" s="480" t="n">
        <f aca="false">DG162</f>
        <v>50010</v>
      </c>
      <c r="DS162" s="485" t="n">
        <v>0.139399999999999</v>
      </c>
      <c r="DT162" s="486" t="n">
        <v>0.138581818181817</v>
      </c>
      <c r="DU162" s="480" t="n">
        <f aca="false">DG162</f>
        <v>50010</v>
      </c>
      <c r="DV162" s="485" t="n">
        <v>0.139399999999999</v>
      </c>
      <c r="DW162" s="486" t="n">
        <v>0.138581818181817</v>
      </c>
      <c r="DX162" s="481" t="n">
        <f aca="false">DG162</f>
        <v>50010</v>
      </c>
      <c r="DY162" s="486" t="n">
        <v>0.35</v>
      </c>
      <c r="DZ162" s="481" t="n">
        <f aca="false">DR162</f>
        <v>50010</v>
      </c>
      <c r="EA162" s="486" t="n">
        <f aca="false">DT162</f>
        <v>0.138581818181817</v>
      </c>
      <c r="EB162" s="195"/>
      <c r="EC162" s="547" t="str">
        <f aca="false">IF(BD162,IF(Underlying=1,AS162,AU162),"")</f>
        <v/>
      </c>
      <c r="ED162" s="548" t="str">
        <f aca="false">IF($BD162,$EC162+IF(VolSkewFlag=1,IF(BS162&gt;0,$BA162*MIN(BS162/10%,1)+($BB162-$BA162)*MAX(0,MIN(BS162/10%-1,1))+($BC162-$BB162)*MAX(0,BS162/10%-2),$AZ162*MIN(-BS162/10%,1)+($AY162-$AZ162)*MAX(0,MIN(-BS162/10%-1,1))+($AX162-$AY162)*MAX(0,-BS162/10%-2)),0),"")</f>
        <v/>
      </c>
      <c r="EE162" s="549" t="str">
        <f aca="false">IF($BD162,$EC162+IF(VolSkewFlag=1,IF(BT162&gt;0,$BA162*MIN(BT162/10%,1)+($BB162-$BA162)*MAX(0,MIN(BT162/10%-1,1))+($BC162-$BB162)*MAX(0,BT162/10%-2),$AZ162*MIN(-BT162/10%,1)+($AY162-$AZ162)*MAX(0,MIN(-BT162/10%-1,1))+($AX162-$AY162)*MAX(0,-BT162/10%-2)),0),"")</f>
        <v/>
      </c>
      <c r="EF162" s="550" t="n">
        <f aca="false">IF(BD162,xASN(BR162,Strike1,AO162,ED162,0,BO162,0,BI162,BL162,IF(OptControl=4,0,1),0),0)</f>
        <v>0</v>
      </c>
      <c r="EG162" s="551" t="n">
        <f aca="false">IF(BD162,xASN(BR162,Strike2,AO162,EE162,0,BO162,0,BI162,BL162,IF(OptControl=3,1,0),0),0)</f>
        <v>0</v>
      </c>
      <c r="EL162" s="1"/>
      <c r="EM162" s="195"/>
      <c r="EN162" s="240"/>
      <c r="EO162" s="240"/>
      <c r="EP162" s="195"/>
      <c r="EQ162" s="407" t="s">
        <v>389</v>
      </c>
      <c r="ES162" s="130"/>
      <c r="ET162" s="19"/>
      <c r="EU162" s="672"/>
      <c r="EV162" s="478"/>
      <c r="EW162" s="131"/>
      <c r="EX162" s="131"/>
      <c r="EY162" s="129"/>
      <c r="EZ162" s="129"/>
      <c r="FA162" s="129"/>
      <c r="FB162" s="129"/>
      <c r="FC162" s="129"/>
      <c r="FD162" s="129"/>
      <c r="FE162" s="129"/>
      <c r="FF162" s="129"/>
      <c r="FG162" s="129"/>
      <c r="FH162" s="129"/>
      <c r="FI162" s="129"/>
      <c r="FJ162" s="571" t="n">
        <v>68</v>
      </c>
      <c r="FK162" s="150" t="e">
        <f aca="false">IF($FJ87&lt;FK$94,"",SQRT(FK87/FK$15))</f>
        <v>#DIV/0!</v>
      </c>
      <c r="FL162" s="150" t="n">
        <f aca="false">IF($FJ87&lt;FL$94,"",SQRT(FL87/FL$15))</f>
        <v>-0</v>
      </c>
      <c r="FM162" s="150" t="n">
        <f aca="false">IF($FJ87&lt;FM$94,"",SQRT(FM87/FM$15))</f>
        <v>0.170501069879015</v>
      </c>
      <c r="FN162" s="150" t="n">
        <f aca="false">IF($FJ87&lt;FN$94,"",SQRT(FN87/FN$15))</f>
        <v>0.167223034178843</v>
      </c>
      <c r="FO162" s="150" t="n">
        <f aca="false">IF($FJ87&lt;FO$94,"",SQRT(FO87/FO$15))</f>
        <v>0.164764829586793</v>
      </c>
      <c r="FP162" s="150" t="n">
        <f aca="false">IF($FJ87&lt;FP$94,"",SQRT(FP87/FP$15))</f>
        <v>0.162921554723876</v>
      </c>
      <c r="FQ162" s="150" t="n">
        <f aca="false">IF($FJ87&lt;FQ$94,"",SQRT(FQ87/FQ$15))</f>
        <v>0.161539542906162</v>
      </c>
      <c r="FR162" s="150" t="n">
        <f aca="false">IF($FJ87&lt;FR$94,"",SQRT(FR87/FR$15))</f>
        <v>0.160503555083695</v>
      </c>
      <c r="FS162" s="150" t="n">
        <f aca="false">IF($FJ87&lt;FS$94,"",SQRT(FS87/FS$15))</f>
        <v>0.159727174815094</v>
      </c>
      <c r="FT162" s="150" t="n">
        <f aca="false">IF($FJ87&lt;FT$94,"",SQRT(FT87/FT$15))</f>
        <v>0.159145604815244</v>
      </c>
      <c r="FU162" s="150" t="n">
        <f aca="false">IF($FJ87&lt;FU$94,"",SQRT(FU87/FU$15))</f>
        <v>0.158710264736972</v>
      </c>
      <c r="FV162" s="150" t="n">
        <f aca="false">IF($FJ87&lt;FV$94,"",SQRT(FV87/FV$15))</f>
        <v>0.158384739941523</v>
      </c>
      <c r="FW162" s="150" t="n">
        <f aca="false">IF($FJ87&lt;FW$94,"",SQRT(FW87/FW$15))</f>
        <v>0.158141743584729</v>
      </c>
      <c r="FX162" s="150" t="n">
        <f aca="false">IF($FJ87&lt;FX$94,"",SQRT(FX87/FX$15))</f>
        <v>0.157960838776599</v>
      </c>
      <c r="FY162" s="150" t="n">
        <f aca="false">IF($FJ87&lt;FY$94,"",SQRT(FY87/FY$15))</f>
        <v>0.157826730897407</v>
      </c>
      <c r="FZ162" s="150" t="n">
        <f aca="false">IF($FJ87&lt;FZ$94,"",SQRT(FZ87/FZ$15))</f>
        <v>0.157727987649847</v>
      </c>
      <c r="GA162" s="150" t="n">
        <f aca="false">IF($FJ87&lt;GA$94,"",SQRT(GA87/GA$15))</f>
        <v>0.157656080052224</v>
      </c>
      <c r="GB162" s="150" t="n">
        <f aca="false">IF($FJ87&lt;GB$94,"",SQRT(GB87/GB$15))</f>
        <v>0.157604664300142</v>
      </c>
      <c r="GC162" s="150" t="n">
        <f aca="false">IF($FJ87&lt;GC$94,"",SQRT(GC87/GC$15))</f>
        <v>0.157569044470181</v>
      </c>
      <c r="GD162" s="150" t="n">
        <f aca="false">IF($FJ87&lt;GD$94,"",SQRT(GD87/GD$15))</f>
        <v>0.157545771078383</v>
      </c>
      <c r="GE162" s="150" t="n">
        <f aca="false">IF($FJ87&lt;GE$94,"",SQRT(GE87/GE$15))</f>
        <v>0.157532341791557</v>
      </c>
      <c r="GF162" s="150" t="n">
        <f aca="false">IF($FJ87&lt;GF$94,"",SQRT(GF87/GF$15))</f>
        <v>0.157526979060063</v>
      </c>
      <c r="GG162" s="150" t="n">
        <f aca="false">IF($FJ87&lt;GG$94,"",SQRT(GG87/GG$15))</f>
        <v>0.157528465801587</v>
      </c>
      <c r="GH162" s="150" t="n">
        <f aca="false">IF($FJ87&lt;GH$94,"",SQRT(GH87/GH$15))</f>
        <v>0.157536025045498</v>
      </c>
      <c r="GI162" s="150" t="n">
        <f aca="false">IF($FJ87&lt;GI$94,"",SQRT(GI87/GI$15))</f>
        <v>0.157549233043508</v>
      </c>
      <c r="GJ162" s="150" t="n">
        <f aca="false">IF($FJ87&lt;GJ$94,"",SQRT(GJ87/GJ$15))</f>
        <v>0.157567958062646</v>
      </c>
      <c r="GK162" s="150" t="n">
        <f aca="false">IF($FJ87&lt;GK$94,"",SQRT(GK87/GK$15))</f>
        <v>0.157592319124945</v>
      </c>
      <c r="GL162" s="150" t="n">
        <f aca="false">IF($FJ87&lt;GL$94,"",SQRT(GL87/GL$15))</f>
        <v>0.157622660513261</v>
      </c>
      <c r="GM162" s="150" t="n">
        <f aca="false">IF($FJ87&lt;GM$94,"",SQRT(GM87/GM$15))</f>
        <v>0.157659539051233</v>
      </c>
      <c r="GN162" s="150" t="n">
        <f aca="false">IF($FJ87&lt;GN$94,"",SQRT(GN87/GN$15))</f>
        <v>0.157703722083715</v>
      </c>
      <c r="GO162" s="150" t="n">
        <f aca="false">IF($FJ87&lt;GO$94,"",SQRT(GO87/GO$15))</f>
        <v>0.157756194805054</v>
      </c>
      <c r="GP162" s="150" t="n">
        <f aca="false">IF($FJ87&lt;GP$94,"",SQRT(GP87/GP$15))</f>
        <v>0.157818176162473</v>
      </c>
      <c r="GQ162" s="150" t="n">
        <f aca="false">IF($FJ87&lt;GQ$94,"",SQRT(GQ87/GQ$15))</f>
        <v>0.157891143044221</v>
      </c>
      <c r="GR162" s="150" t="n">
        <f aca="false">IF($FJ87&lt;GR$94,"",SQRT(GR87/GR$15))</f>
        <v>0.157976862881966</v>
      </c>
      <c r="GS162" s="150" t="n">
        <f aca="false">IF($FJ87&lt;GS$94,"",SQRT(GS87/GS$15))</f>
        <v>0.158077435182888</v>
      </c>
      <c r="GT162" s="150" t="n">
        <f aca="false">IF($FJ87&lt;GT$94,"",SQRT(GT87/GT$15))</f>
        <v>0.158195342884421</v>
      </c>
      <c r="GU162" s="150" t="n">
        <f aca="false">IF($FJ87&lt;GU$94,"",SQRT(GU87/GU$15))</f>
        <v>0.158333514816832</v>
      </c>
      <c r="GV162" s="150" t="n">
        <f aca="false">IF($FJ87&lt;GV$94,"",SQRT(GV87/GV$15))</f>
        <v>0.158495400989832</v>
      </c>
      <c r="GW162" s="150" t="n">
        <f aca="false">IF($FJ87&lt;GW$94,"",SQRT(GW87/GW$15))</f>
        <v>0.158685062914797</v>
      </c>
      <c r="GX162" s="150" t="n">
        <f aca="false">IF($FJ87&lt;GX$94,"",SQRT(GX87/GX$15))</f>
        <v>0.158907281764562</v>
      </c>
      <c r="GY162" s="150" t="n">
        <f aca="false">IF($FJ87&lt;GY$94,"",SQRT(GY87/GY$15))</f>
        <v>0.159167687895437</v>
      </c>
      <c r="GZ162" s="150" t="n">
        <f aca="false">IF($FJ87&lt;GZ$94,"",SQRT(GZ87/GZ$15))</f>
        <v>0.159472916159315</v>
      </c>
      <c r="HA162" s="150" t="n">
        <f aca="false">IF($FJ87&lt;HA$94,"",SQRT(HA87/HA$15))</f>
        <v>0.159830792581238</v>
      </c>
      <c r="HB162" s="150" t="n">
        <f aca="false">IF($FJ87&lt;HB$94,"",SQRT(HB87/HB$15))</f>
        <v>0.160250559455287</v>
      </c>
      <c r="HC162" s="150" t="n">
        <f aca="false">IF($FJ87&lt;HC$94,"",SQRT(HC87/HC$15))</f>
        <v>0.160743147836723</v>
      </c>
      <c r="HD162" s="150" t="n">
        <f aca="false">IF($FJ87&lt;HD$94,"",SQRT(HD87/HD$15))</f>
        <v>0.161321508943743</v>
      </c>
      <c r="HE162" s="150" t="n">
        <f aca="false">IF($FJ87&lt;HE$94,"",SQRT(HE87/HE$15))</f>
        <v>0.162001019356169</v>
      </c>
      <c r="HF162" s="150" t="n">
        <f aca="false">IF($FJ87&lt;HF$94,"",SQRT(HF87/HF$15))</f>
        <v>0.162799979433924</v>
      </c>
      <c r="HG162" s="150" t="n">
        <f aca="false">IF($FJ87&lt;HG$94,"",SQRT(HG87/HG$15))</f>
        <v>0.163740230537393</v>
      </c>
      <c r="HH162" s="150" t="n">
        <f aca="false">IF($FJ87&lt;HH$94,"",SQRT(HH87/HH$15))</f>
        <v>0.164847925083207</v>
      </c>
      <c r="HI162" s="150" t="n">
        <f aca="false">IF($FJ87&lt;HI$94,"",SQRT(HI87/HI$15))</f>
        <v>0.166154495190082</v>
      </c>
      <c r="HJ162" s="150" t="n">
        <f aca="false">IF($FJ87&lt;HJ$94,"",SQRT(HJ87/HJ$15))</f>
        <v>0.167697882107127</v>
      </c>
      <c r="HK162" s="150" t="n">
        <f aca="false">IF($FJ87&lt;HK$94,"",SQRT(HK87/HK$15))</f>
        <v>0.169524111940797</v>
      </c>
      <c r="HL162" s="150" t="n">
        <f aca="false">IF($FJ87&lt;HL$94,"",SQRT(HL87/HL$15))</f>
        <v>0.171689336704045</v>
      </c>
      <c r="HM162" s="150" t="n">
        <f aca="false">IF($FJ87&lt;HM$94,"",SQRT(HM87/HM$15))</f>
        <v>0.174262508489543</v>
      </c>
      <c r="HN162" s="150" t="n">
        <f aca="false">IF($FJ87&lt;HN$94,"",SQRT(HN87/HN$15))</f>
        <v>0.177328926593235</v>
      </c>
      <c r="HO162" s="150" t="n">
        <f aca="false">IF($FJ87&lt;HO$94,"",SQRT(HO87/HO$15))</f>
        <v>0.180995005404982</v>
      </c>
      <c r="HP162" s="150" t="n">
        <f aca="false">IF($FJ87&lt;HP$94,"",SQRT(HP87/HP$15))</f>
        <v>0.185394775509883</v>
      </c>
      <c r="HQ162" s="150" t="n">
        <f aca="false">IF($FJ87&lt;HQ$94,"",SQRT(HQ87/HQ$15))</f>
        <v>0.190698885984193</v>
      </c>
      <c r="HR162" s="150" t="n">
        <f aca="false">IF($FJ87&lt;HR$94,"",SQRT(HR87/HR$15))</f>
        <v>0.197127280429243</v>
      </c>
      <c r="HS162" s="150" t="n">
        <f aca="false">IF($FJ87&lt;HS$94,"",SQRT(HS87/HS$15))</f>
        <v>0.204967373756708</v>
      </c>
      <c r="HT162" s="150" t="n">
        <f aca="false">IF($FJ87&lt;HT$94,"",SQRT(HT87/HT$15))</f>
        <v>0.214600640961905</v>
      </c>
      <c r="HU162" s="150" t="n">
        <f aca="false">IF($FJ87&lt;HU$94,"",SQRT(HU87/HU$15))</f>
        <v>0.226542373067665</v>
      </c>
      <c r="HV162" s="150" t="n">
        <f aca="false">IF($FJ87&lt;HV$94,"",SQRT(HV87/HV$15))</f>
        <v>0.241502584140251</v>
      </c>
      <c r="HW162" s="150" t="n">
        <f aca="false">IF($FJ87&lt;HW$94,"",SQRT(HW87/HW$15))</f>
        <v>0.26048189357166</v>
      </c>
      <c r="HX162" s="150" t="n">
        <f aca="false">IF($FJ87&lt;HX$94,"",SQRT(HX87/HX$15))</f>
        <v>0.284927165223606</v>
      </c>
      <c r="HY162" s="150" t="n">
        <f aca="false">IF($FJ87&lt;HY$94,"",SQRT(HY87/HY$15))</f>
        <v>0.316993111631869</v>
      </c>
      <c r="HZ162" s="150" t="n">
        <f aca="false">IF($FJ87&lt;HZ$94,"",SQRT(HZ87/HZ$15))</f>
        <v>0.360000000227041</v>
      </c>
      <c r="IA162" s="150" t="str">
        <f aca="false">IF($FJ87&lt;IA$94,"",SQRT(IA87/IA$15))</f>
        <v/>
      </c>
      <c r="IB162" s="150" t="str">
        <f aca="false">IF($FJ87&lt;IB$94,"",SQRT(IB87/IB$15))</f>
        <v/>
      </c>
      <c r="IC162" s="150" t="str">
        <f aca="false">IF($FJ87&lt;IC$94,"",SQRT(IC87/IC$15))</f>
        <v/>
      </c>
      <c r="ID162" s="572" t="str">
        <f aca="false">IF($FJ87&lt;ID$94,"",SQRT(ID87/ID$15))</f>
        <v/>
      </c>
      <c r="IE162" s="129"/>
    </row>
    <row r="163" customFormat="false" ht="12.75" hidden="false" customHeight="false" outlineLevel="0" collapsed="false">
      <c r="H163" s="219" t="n">
        <f aca="false">VLOOKUP(I163,$EJ$20:$EL$54,3)</f>
        <v>0</v>
      </c>
      <c r="I163" s="511" t="n">
        <f aca="false">EOMONTH(I162,0)+1</f>
        <v>41122</v>
      </c>
      <c r="J163" s="512"/>
      <c r="K163" s="513" t="s">
        <v>280</v>
      </c>
      <c r="L163" s="514" t="n">
        <f aca="false">IF(ISNUMBER(K163),J163+K163/100,IF(K163="extra",L162+VLOOKUP(BF163,PriceSpreadTable,2)/12,IF(K163="inter",interpolateprices($K$19:$L$200,ROW(K163)-ROW(FirstPricingMonth)+1),interpolatechanges($J$19:$K$200,ROW(K163)-ROW(FirstPricingMonth)+1))))</f>
        <v>2.5125</v>
      </c>
      <c r="M163" s="515"/>
      <c r="N163" s="516" t="n">
        <v>0</v>
      </c>
      <c r="O163" s="515" t="n">
        <f aca="false">M163+N163</f>
        <v>0</v>
      </c>
      <c r="P163" s="512"/>
      <c r="Q163" s="513" t="s">
        <v>280</v>
      </c>
      <c r="R163" s="512" t="e">
        <f aca="false">IF(ISNUMBER(Q163),P163+Q163/100,IF(Q163="extra",(Z161*AL161-R162*AM161)/AN161,IF(Q163="inter",interpolateprices($Q$19:$R$260,ROW(Q163)-ROW(FirstPricingMonth)+1),interpolatechanges($P$19:$Q$260,ROW(Q163)-ROW(FirstPricingMonth)+1))))</f>
        <v>#VALUE!</v>
      </c>
      <c r="S163" s="597" t="n">
        <f aca="false">S$19+(S162-S$19)*S$18</f>
        <v>0.36</v>
      </c>
      <c r="T163" s="575" t="n">
        <f aca="false">SQRT((1-(1-T162^2/U162)*T$18)*U163)</f>
        <v>0.999999999979028</v>
      </c>
      <c r="U163" s="576" t="n">
        <f aca="false">1-(1-U162)*U$18</f>
        <v>1</v>
      </c>
      <c r="V163" s="521" t="n">
        <v>0</v>
      </c>
      <c r="W163" s="577" t="n">
        <f aca="false">(J164*AJ163+J165*AK163)/AI163</f>
        <v>0</v>
      </c>
      <c r="X163" s="578" t="n">
        <f aca="false">(L164*AJ163+L165*AK163)/AI163</f>
        <v>2.56467391304348</v>
      </c>
      <c r="Y163" s="579" t="n">
        <f aca="false">IF(Q165="extra",W163-AA163,(P164*AM163+P165*AN163)/AL163)</f>
        <v>-1.2669</v>
      </c>
      <c r="Z163" s="579" t="n">
        <f aca="false">IF(Q165="extra",X163-AB163,(R164*AM163+R165*AN163)/AL163)</f>
        <v>1.29777391304348</v>
      </c>
      <c r="AA163" s="523" t="n">
        <f aca="false">IF(Q165="extra",INDEX(BrentSeasonalityTable,INT((BG163-1)/3)+1)*VLOOKUP(MAX(BF163,$AB$4),PriceSpreadTable,3),W163-Y163)</f>
        <v>1.2669</v>
      </c>
      <c r="AB163" s="524" t="n">
        <f aca="false">IF(Q165="extra",INDEX(BrentSeasonalityTable,INT((BG163-1)/3)+1)*VLOOKUP(MAX(BF163,$AB$4),PriceSpreadTable,3),X163-Z163)</f>
        <v>1.2669</v>
      </c>
      <c r="AC163" s="646" t="n">
        <v>41110</v>
      </c>
      <c r="AD163" s="646" t="n">
        <v>41106</v>
      </c>
      <c r="AE163" s="646" t="n">
        <v>41105</v>
      </c>
      <c r="AF163" s="646" t="n">
        <v>41101</v>
      </c>
      <c r="AG163" s="438" t="s">
        <v>278</v>
      </c>
      <c r="AH163" s="439" t="s">
        <v>278</v>
      </c>
      <c r="AI163" s="528" t="n">
        <v>23</v>
      </c>
      <c r="AJ163" s="529" t="n">
        <v>14</v>
      </c>
      <c r="AK163" s="529" t="n">
        <v>9</v>
      </c>
      <c r="AL163" s="530" t="n">
        <v>23</v>
      </c>
      <c r="AM163" s="529" t="n">
        <v>10</v>
      </c>
      <c r="AN163" s="531" t="n">
        <v>13</v>
      </c>
      <c r="AO163" s="532"/>
      <c r="AP163" s="465" t="n">
        <f aca="false">(1+AO163/2)^(-2*BL163)</f>
        <v>1</v>
      </c>
      <c r="AQ163" s="532"/>
      <c r="AR163" s="465" t="n">
        <f aca="false">(1+AQ163/2)^(-2*BH163/365.25)</f>
        <v>1</v>
      </c>
      <c r="AS163" s="580" t="n">
        <f aca="false">(O164*AJ163+O165*AK163)/AI163</f>
        <v>0</v>
      </c>
      <c r="AT163" s="468" t="n">
        <f aca="false">O163*VLOOKUP(BF163,BrentVolTable,2)+VLOOKUP(BF163,BrentVolTable,3)</f>
        <v>0</v>
      </c>
      <c r="AU163" s="468" t="n">
        <f aca="false">(AT164*AM163+AT165*AN163)/AL163</f>
        <v>0</v>
      </c>
      <c r="AV163" s="595" t="n">
        <f aca="false">SQRT(MAX(0.000000000001,(O163^2*BH163-S163^2*(BH163-BH162))/BH162))</f>
        <v>0.0283163346352726</v>
      </c>
      <c r="AW163" s="451" t="n">
        <f aca="false">IF($I163-DateToday+15&gt;=$T$8,"",IF($I163-DateToday+15&lt;$T$5,1,MATCH($I163-DateToday+15,$T$5:$T$8)))</f>
        <v>1</v>
      </c>
      <c r="AX163" s="468" t="n">
        <f aca="false">IF($AW163="",AX162^2/AX161,INDEX(U$5:U$8,$AW163)^((INDEX($T$5:$T$8,$AW163+1)-($I163-DateToday+15))/(INDEX($T$5:$T$8,$AW163+1)-INDEX($T$5:$T$8,$AW163)))/INDEX(U$5:U$8,$AW163+1)^((INDEX($T$5:$T$8,$AW163)-($I163-DateToday+15))/(INDEX($T$5:$T$8,$AW163+1)-INDEX($T$5:$T$8,$AW163))))</f>
        <v>0.590290294175021</v>
      </c>
      <c r="AY163" s="468" t="n">
        <f aca="false">IF($AW163="",AY162^2/AY161,INDEX(V$5:V$8,$AW163)^((INDEX($T$5:$T$8,$AW163+1)-($I163-DateToday+15))/(INDEX($T$5:$T$8,$AW163+1)-INDEX($T$5:$T$8,$AW163)))/INDEX(V$5:V$8,$AW163+1)^((INDEX($T$5:$T$8,$AW163)-($I163-DateToday+15))/(INDEX($T$5:$T$8,$AW163+1)-INDEX($T$5:$T$8,$AW163))))</f>
        <v>12.6239285264369</v>
      </c>
      <c r="AZ163" s="468" t="n">
        <f aca="false">IF($AW163="",AZ162^2/AZ161,INDEX(W$5:W$8,$AW163)^((INDEX($T$5:$T$8,$AW163+1)-($I163-DateToday+15))/(INDEX($T$5:$T$8,$AW163+1)-INDEX($T$5:$T$8,$AW163)))/INDEX(W$5:W$8,$AW163+1)^((INDEX($T$5:$T$8,$AW163)-($I163-DateToday+15))/(INDEX($T$5:$T$8,$AW163+1)-INDEX($T$5:$T$8,$AW163))))</f>
        <v>5450.12456827784</v>
      </c>
      <c r="BA163" s="468" t="n">
        <f aca="false">IF($AW163="",BA162^2/BA161,INDEX(X$5:X$8,$AW163)^((INDEX($T$5:$T$8,$AW163+1)-($I163-DateToday+15))/(INDEX($T$5:$T$8,$AW163+1)-INDEX($T$5:$T$8,$AW163)))/INDEX(X$5:X$8,$AW163+1)^((INDEX($T$5:$T$8,$AW163)-($I163-DateToday+15))/(INDEX($T$5:$T$8,$AW163+1)-INDEX($T$5:$T$8,$AW163))))</f>
        <v>33512.0378614503</v>
      </c>
      <c r="BB163" s="468" t="n">
        <f aca="false">IF($AW163="",BB162^2/BB161,INDEX(Y$5:Y$8,$AW163)^((INDEX($T$5:$T$8,$AW163+1)-($I163-DateToday+15))/(INDEX($T$5:$T$8,$AW163+1)-INDEX($T$5:$T$8,$AW163)))/INDEX(Y$5:Y$8,$AW163+1)^((INDEX($T$5:$T$8,$AW163)-($I163-DateToday+15))/(INDEX($T$5:$T$8,$AW163+1)-INDEX($T$5:$T$8,$AW163))))</f>
        <v>224941.93245897</v>
      </c>
      <c r="BC163" s="468" t="n">
        <f aca="false">IF($AW163="",BC162^2/BC161,INDEX(Z$5:Z$8,$AW163)^((INDEX($T$5:$T$8,$AW163+1)-($I163-DateToday+15))/(INDEX($T$5:$T$8,$AW163+1)-INDEX($T$5:$T$8,$AW163)))/INDEX(Z$5:Z$8,$AW163+1)^((INDEX($T$5:$T$8,$AW163)-($I163-DateToday+15))/(INDEX($T$5:$T$8,$AW163+1)-INDEX($T$5:$T$8,$AW163))))</f>
        <v>714936.046496492</v>
      </c>
      <c r="BD163" s="535" t="n">
        <f aca="false">IF(OR(DateStart&gt;=I164,DateEnd&lt;I163),0,IF(VolumeOverrideFlag,V163,Volume))</f>
        <v>0</v>
      </c>
      <c r="BE163" s="536" t="n">
        <f aca="false">IF(OR(DateStart2&gt;=I164,DateEnd2&lt;I163),0,IF(VolumeOverrideFlag,V163,VolumeSwaption))</f>
        <v>0</v>
      </c>
      <c r="BF163" s="537" t="n">
        <f aca="false">YEAR(I163)</f>
        <v>2012</v>
      </c>
      <c r="BG163" s="538" t="n">
        <f aca="false">MONTH(I163)</f>
        <v>8</v>
      </c>
      <c r="BH163" s="539" t="n">
        <f aca="false">AD163-DateToday+1</f>
        <v>-4819</v>
      </c>
      <c r="BI163" s="540" t="n">
        <f aca="false">(I163-DateToday+1)/365.25</f>
        <v>-13.1498973305955</v>
      </c>
      <c r="BJ163" s="541" t="n">
        <f aca="false">BI163+(BL163-BI163)*CHOOSE(Underlying,AJ163/AI163,AM163/AL163)</f>
        <v>-13.0999017944826</v>
      </c>
      <c r="BK163" s="541" t="n">
        <f aca="false">BJ163+1/365.25</f>
        <v>-13.0971639436955</v>
      </c>
      <c r="BL163" s="541" t="n">
        <f aca="false">(I164-DateToday)/365.25</f>
        <v>-13.0677618069815</v>
      </c>
      <c r="BM163" s="542" t="e">
        <f aca="false">MAX(BI163-(BJ163-BI163)*(S164^2/O164^2-1),0)</f>
        <v>#DIV/0!</v>
      </c>
      <c r="BN163" s="541" t="e">
        <f aca="false">MAX(BL163+(BL163-BK163)*(S165^2/O165^2-1),0)</f>
        <v>#DIV/0!</v>
      </c>
      <c r="BO163" s="530" t="n">
        <f aca="false">CHOOSE(Underlying,AI163,AL163)</f>
        <v>23</v>
      </c>
      <c r="BP163" s="529" t="n">
        <f aca="false">CHOOSE(Underlying,AJ163,AM163)</f>
        <v>14</v>
      </c>
      <c r="BQ163" s="529" t="n">
        <f aca="false">CHOOSE(Underlying,AK163,AN163)</f>
        <v>9</v>
      </c>
      <c r="BR163" s="463" t="str">
        <f aca="false">IF(BD163,IF(Underlying=1,X163,Z163)+UnderlyingPriceAsian-SwapPriceCurve,"")</f>
        <v/>
      </c>
      <c r="BS163" s="463" t="str">
        <f aca="false">IF(BD163,Strike1/BR163-1,"")</f>
        <v/>
      </c>
      <c r="BT163" s="464" t="str">
        <f aca="false">IF(BD163,Strike2/BR163-1,"")</f>
        <v/>
      </c>
      <c r="BU163" s="465" t="str">
        <f aca="false">IF(BD163,IF(Underlying=1,L164,R164)+UnderlyingPriceAsian-SwapPriceCurve,"")</f>
        <v/>
      </c>
      <c r="BV163" s="465" t="str">
        <f aca="false">IF(BD163,IF(Underlying=1,L165,R165)+UnderlyingPriceAsian-SwapPriceCurve,"")</f>
        <v/>
      </c>
      <c r="BW163" s="466" t="str">
        <f aca="false">IF(BD163,IF(Underlying=1,O164,AT164),"")</f>
        <v/>
      </c>
      <c r="BX163" s="467" t="str">
        <f aca="false">IF(BD163,IF(Underlying=1,O165,AT165),"")</f>
        <v/>
      </c>
      <c r="BY163" s="466" t="str">
        <f aca="false">IF(BD163,IF(BS163&gt;0,IF(BS163&gt;0.2,BC163-BB163,IF(BS163&gt;0.1,BB163-BA163,BA163)),IF(BS163&lt;-0.2,AX163-AY163,IF(BS163&lt;-0.1,AY163-AZ163,AZ163))),"")</f>
        <v/>
      </c>
      <c r="BZ163" s="467" t="str">
        <f aca="false">IF(BD163,IF(BT163&gt;0,IF(BT163&gt;0.2,BC163-BB163,IF(BT163&gt;0.1,BB163-BA163,BA163)),IF(BT163&lt;-0.2,AX163-AY163,IF(BT163&lt;-0.1,AY163-AZ163,AZ163))),"")</f>
        <v/>
      </c>
      <c r="CA163" s="468" t="str">
        <f aca="false">IF($BD163,$BW163+IF(VolSkewFlag=1,IF(BS163&gt;0,$BA163*MIN(BS163/10%,1)+($BB163-$BA163)*MAX(0,MIN(BS163/10%-1,1))+($BC163-$BB163)*MAX(0,BS163/10%-2),$AZ163*MIN(-BS163/10%,1)+($AY163-$AZ163)*MAX(0,MIN(-BS163/10%-1,1))+($AX163-$AY163)*MAX(0,-BS163/10%-2)),0),"")</f>
        <v/>
      </c>
      <c r="CB163" s="468" t="str">
        <f aca="false">IF($BD163,$BX163+IF(VolSkewFlag=1,IF(BS163&gt;0,$BA163*MIN(BS163/10%,1)+($BB163-$BA163)*MAX(0,MIN(BS163/10%-1,1))+($BC163-$BB163)*MAX(0,BS163/10%-2),$AZ163*MIN(-BS163/10%,1)+($AY163-$AZ163)*MAX(0,MIN(-BS163/10%-1,1))+($AX163-$AY163)*MAX(0,-BS163/10%-2)),0),"")</f>
        <v/>
      </c>
      <c r="CC163" s="468" t="str">
        <f aca="false">IF($BD163,$BW163+IF(VolSkewFlag=1,IF(BT163&gt;0,$BA163*MIN(BT163/10%,1)+($BB163-$BA163)*MAX(0,MIN(BT163/10%-1,1))+($BC163-$BB163)*MAX(0,BT163/10%-2),$AZ163*MIN(-BT163/10%,1)+($AY163-$AZ163)*MAX(0,MIN(-BT163/10%-1,1))+($AX163-$AY163)*MAX(0,-BT163/10%-2)),0),"")</f>
        <v/>
      </c>
      <c r="CD163" s="468" t="str">
        <f aca="false">IF($BD163,$BX163+IF(VolSkewFlag=1,IF(BT163&gt;0,$BA163*MIN(BT163/10%,1)+($BB163-$BA163)*MAX(0,MIN(BT163/10%-1,1))+($BC163-$BB163)*MAX(0,BT163/10%-2),$AZ163*MIN(-BT163/10%,1)+($AY163-$AZ163)*MAX(0,MIN(-BT163/10%-1,1))+($AX163-$AY163)*MAX(0,-BT163/10%-2)),0),"")</f>
        <v/>
      </c>
      <c r="CE163" s="469" t="n">
        <v>1</v>
      </c>
      <c r="CF163" s="470" t="n">
        <f aca="false">IF(BD163,xCrudeAPO(BU163,BV163,CA163,CB163,S164,S165,BI163,BL163,BP163,BQ163,0,Strike1,AO163,CE163,0,BL163,IF(OptControl=4,0,1),0,1),0)</f>
        <v>0</v>
      </c>
      <c r="CG163" s="470" t="n">
        <f aca="false">IF(BD163,xCrudeAPO(BU163,BV163,CA163,CB163,S164,S165,BI163,BL163,BP163,BQ163,0,Strike1,AO163,CE163,0,BL163,IF(OptControl=4,0,1),1,1)+xCrudeAPO(BU163,BV163,CA163,CB163,S164,S165,BI163,BL163,BP163,BQ163,0,Strike1,AO163,CE163,0,BL163,IF(OptControl=4,0,1),1,2)+IF(OR(VolSkewFlag=2,ABS(BS163)&lt;0.0001),0,IF(BS163&gt;0,-1,1)*CH163*Strike1/BR163^2*BY163/10%),0)</f>
        <v>0</v>
      </c>
      <c r="CH163" s="470" t="n">
        <f aca="false">IF(BD163,(xCrudeAPO(BU163,BV163,CA163,CB163,S164,S165,BI163,BL163,BP163,BQ163,0,Strike1,AO163,CE163,0,BL163,IF(OptControl=4,0,1),3,1)+xCrudeAPO(BU163,BV163,CA163,CB163,S164,S165,BI163,BL163,BP163,BQ163,0,Strike1,AO163,CE163,0,BL163,IF(OptControl=4,0,1),3,2))/100,0)</f>
        <v>0</v>
      </c>
      <c r="CI163" s="470" t="n">
        <f aca="false">IF(BD163,xCrudeAPO(BU163,BV163,CA163,CB163,S164,S165,BI163-DaysForThetaCalculation/365.25,BL163-DaysForThetaCalculation/365.25,BP163,BQ163,0,Strike1,AO163,CE163,0,BL163,IF(OptControl=4,0,1),0,1)-xCrudeAPO(BU163,BV163,CA163,CB163,S164,S165,BI163,BL163,BP163,BQ163,0,Strike1,AO163,CE163,0,BL163,IF(OptControl=4,0,1),0,1),0)</f>
        <v>0</v>
      </c>
      <c r="CJ163" s="471" t="n">
        <f aca="false">IF(BD163,xCrudeAPO(BU163,BV163,CC163,CD163,S164,S165,BI163,BL163,BP163,BQ163,0,Strike2,AO163,CE163,0,BL163,IF(OptControl=3,1,0),0,1),0)</f>
        <v>0</v>
      </c>
      <c r="CK163" s="470" t="n">
        <f aca="false">IF(BD163,xCrudeAPO(BU163,BV163,CC163,CD163,S164,S165,BI163,BL163,BP163,BQ163,0,Strike2,AO163,CE163,0,BL163,IF(OptControl=3,1,0),1,1)+xCrudeAPO(BU163,BV163,CC163,CD163,S164,S165,BI163,BL163,BP163,BQ163,0,Strike2,AO163,CE163,0,BL163,IF(OptControl=3,1,0),1,2)+IF(OR(VolSkewFlag=2,ABS(BT163)&lt;0.0001),0,IF(BT163&gt;0,-1,1)*CL163*Strike2/BR163^2*BZ163/10%),0)</f>
        <v>0</v>
      </c>
      <c r="CL163" s="470" t="n">
        <f aca="false">IF(BD163,(xCrudeAPO(BU163,BV163,CC163,CD163,S164,S165,BI163,BL163,BP163,BQ163,0,Strike2,AO163,CE163,0,BL163,IF(OptControl=3,1,0),3,1)+xCrudeAPO(BU163,BV163,CC163,CD163,S164,S165,BI163,BL163,BP163,BQ163,0,Strike2,AO163,CE163,0,BL163,IF(OptControl=3,1,0),3,2))/100,0)</f>
        <v>0</v>
      </c>
      <c r="CM163" s="472" t="n">
        <f aca="false">IF(BD163,xCrudeAPO(BU163,BV163,CC163,CD163,S164,S165,BI163-DaysForThetaCalculation/365.25,BL163-DaysForThetaCalculation/365.25,BP163,BQ163,0,Strike2,AO163,CE163,0,BL163,IF(OptControl=3,1,0),0,1)-xCrudeAPO(BU163,BV163,CC163,CD163,S164,S165,BI163,BL163,BP163,BQ163,0,Strike2,AO163,CE163,0,BL163,IF(OptControl=3,1,0),0,1),0)</f>
        <v>0</v>
      </c>
      <c r="CN163" s="3"/>
      <c r="CO163" s="543" t="str">
        <f aca="false">IF(BD163,CHOOSE(Underlying,AD163,AF163)-DateToday+1,"")</f>
        <v/>
      </c>
      <c r="CP163" s="582" t="str">
        <f aca="false">IF(BD163,CHOOSE(Underlying,L163,R163),"")</f>
        <v/>
      </c>
      <c r="CQ163" s="544" t="str">
        <f aca="false">IF(BD163,Strike1/CP163-1,"")</f>
        <v/>
      </c>
      <c r="CR163" s="544" t="str">
        <f aca="false">IF(BD163,Strike2/CP163-1,"")</f>
        <v/>
      </c>
      <c r="CS163" s="544" t="str">
        <f aca="false">IF(BD163,IF(CQ163&gt;0,IF(CQ163&gt;0.2,BC162-BB162,IF(CQ163&gt;0.1,BB162-BA162,BA162)),IF(CQ163&lt;-0.2,AX162-AY162,IF(CQ163&lt;-0.1,AY162-AZ162,AZ162))),"")</f>
        <v/>
      </c>
      <c r="CT163" s="544" t="str">
        <f aca="false">IF(BD163,IF(CR163&gt;0,IF(CR163&gt;0.2,BC162-BB162,IF(CR163&gt;0.1,BB162-BA162,BA162)),IF(CR163&lt;-0.2,AX162-AY162,IF(CR163&lt;-0.1,AY162-AZ162,AZ162))),"")</f>
        <v/>
      </c>
      <c r="CU163" s="545" t="str">
        <f aca="false">IF(BD163,CHOOSE(Underlying,O163,AT163),"")</f>
        <v/>
      </c>
      <c r="CV163" s="545" t="str">
        <f aca="false">IF(BD163,CU163+IF(VolSkewFlag=1,IF(CQ163&gt;0,BA162*MIN(CQ163/10%,1)+(BB162-BA162)*MAX(0,MIN(CQ163/10%-1,1))+(BC162-BB162)*MAX(0,CQ163/10%-2),AZ162*MIN(-CQ163/10%,1)+(AY162-AZ162)*MAX(0,MIN(-CQ163/10%-1,1))+(AX162-AY162)*MAX(0,-CQ163/10%-2)),0),"")</f>
        <v/>
      </c>
      <c r="CW163" s="545" t="str">
        <f aca="false">IF(BD163,CU163+IF(VolSkewFlag=1,IF(CR163&gt;0,BA162*MIN(CR163/10%,1)+(BB162-BA162)*MAX(0,MIN(CR163/10%-1,1))+(BC162-BB162)*MAX(0,CR163/10%-2),AZ162*MIN(-CR163/10%,1)+(AY162-AZ162)*MAX(0,MIN(-CR163/10%-1,1))+(AX162-AY162)*MAX(0,-CR163/10%-2)),0),"")</f>
        <v/>
      </c>
      <c r="CX163" s="470" t="n">
        <f aca="false">IF(BD163,EURO(CP163,Strike1,AO163,AO163,CV163,CO163,IF(OptControl=4,0,1),0),0)</f>
        <v>0</v>
      </c>
      <c r="CY163" s="470" t="n">
        <f aca="false">IF(BD163,EURO(CP163,Strike1,AO163,AO163,CV163,CO163,IF(OptControl=4,0,1),1)+IF(OR(VolSkewFlag=2,ABS(CQ163)&lt;0.0001),0,IF(CQ163&gt;0,-1,1)*CZ163*100*Strike1/CP163^2*CS163/10%),0)</f>
        <v>0</v>
      </c>
      <c r="CZ163" s="470" t="n">
        <f aca="false">IF(BD163,EURO(CP163,Strike1,AO163,AO163,CV163,CO163,IF(OptControl=4,0,1),3)/100,0)</f>
        <v>0</v>
      </c>
      <c r="DA163" s="470" t="n">
        <f aca="false">IF(BD163,EURO(CP163,Strike1,AO163,AO163,CV163,CO163,IF(OptControl=4,0,1),0)-EURO(CP163,Strike1,AO163,AO163,CV163,CO163-1,IF(OptControl=4,0,1),0),0)</f>
        <v>0</v>
      </c>
      <c r="DB163" s="470" t="n">
        <f aca="false">IF(BD163,EURO(CP163,Strike2,AO163,AO163,CW163,CO163,IF(OptControl=3,1,0),0),0)</f>
        <v>0</v>
      </c>
      <c r="DC163" s="470" t="n">
        <f aca="false">IF(BD163,EURO(CP163,Strike2,AO163,AO163,CW163,CO163,IF(OptControl=3,1,0),1)+IF(OR(VolSkewFlag=2,ABS(CR163)&lt;0.0001),0,IF(CR163&gt;0,-1,1)*DD163*100*Strike2/CP163^2*CT163/10%),0)</f>
        <v>0</v>
      </c>
      <c r="DD163" s="470" t="n">
        <f aca="false">IF(BD163,EURO(CP163,Strike2,AO163,AO163,CW163,CO163,IF(OptControl=3,1,0),3)/100,0)</f>
        <v>0</v>
      </c>
      <c r="DE163" s="472" t="n">
        <f aca="false">IF(BD163,EURO(CP163,Strike2,AO163,AO163,CW163,CO163,IF(OptControl=3,1,0),0)-EURO(CP163,Strike2,AO163,AO163,CW163,CO163-1,IF(OptControl=3,1,0),0),0)</f>
        <v>0</v>
      </c>
      <c r="DG163" s="481" t="n">
        <f aca="false">EOMONTH(DG162,0)+1</f>
        <v>50041</v>
      </c>
      <c r="DH163" s="478" t="n">
        <v>21.3100000000001</v>
      </c>
      <c r="DI163" s="479" t="n">
        <v>21.3759090909091</v>
      </c>
      <c r="DJ163" s="480" t="n">
        <f aca="false">DG163</f>
        <v>50041</v>
      </c>
      <c r="DK163" s="478" t="n">
        <v>20.1025066970517</v>
      </c>
      <c r="DL163" s="479" t="n">
        <v>20.2074090909091</v>
      </c>
      <c r="DM163" s="481" t="n">
        <f aca="false">DG163</f>
        <v>50041</v>
      </c>
      <c r="DN163" s="482" t="n">
        <f aca="false">DK163+BrentPhyBrentSpread</f>
        <v>20.1525066970517</v>
      </c>
      <c r="DO163" s="481" t="n">
        <f aca="false">DG163</f>
        <v>50041</v>
      </c>
      <c r="DP163" s="483" t="n">
        <f aca="false">DL163+DQ163</f>
        <v>20.2074090909091</v>
      </c>
      <c r="DQ163" s="546" t="n">
        <v>0</v>
      </c>
      <c r="DR163" s="480" t="n">
        <f aca="false">DG163</f>
        <v>50041</v>
      </c>
      <c r="DS163" s="485" t="n">
        <v>0.138799999999999</v>
      </c>
      <c r="DT163" s="486" t="n">
        <v>0.13800909090909</v>
      </c>
      <c r="DU163" s="480" t="n">
        <f aca="false">DG163</f>
        <v>50041</v>
      </c>
      <c r="DV163" s="485" t="n">
        <v>0.138799999999999</v>
      </c>
      <c r="DW163" s="486" t="n">
        <v>0.13800909090909</v>
      </c>
      <c r="DX163" s="481" t="n">
        <f aca="false">DG163</f>
        <v>50041</v>
      </c>
      <c r="DY163" s="486" t="n">
        <v>0.35</v>
      </c>
      <c r="DZ163" s="481" t="n">
        <f aca="false">DR163</f>
        <v>50041</v>
      </c>
      <c r="EA163" s="486" t="n">
        <f aca="false">DT163</f>
        <v>0.13800909090909</v>
      </c>
      <c r="EB163" s="195"/>
      <c r="EC163" s="547" t="str">
        <f aca="false">IF(BD163,IF(Underlying=1,AS163,AU163),"")</f>
        <v/>
      </c>
      <c r="ED163" s="548" t="str">
        <f aca="false">IF($BD163,$EC163+IF(VolSkewFlag=1,IF(BS163&gt;0,$BA163*MIN(BS163/10%,1)+($BB163-$BA163)*MAX(0,MIN(BS163/10%-1,1))+($BC163-$BB163)*MAX(0,BS163/10%-2),$AZ163*MIN(-BS163/10%,1)+($AY163-$AZ163)*MAX(0,MIN(-BS163/10%-1,1))+($AX163-$AY163)*MAX(0,-BS163/10%-2)),0),"")</f>
        <v/>
      </c>
      <c r="EE163" s="549" t="str">
        <f aca="false">IF($BD163,$EC163+IF(VolSkewFlag=1,IF(BT163&gt;0,$BA163*MIN(BT163/10%,1)+($BB163-$BA163)*MAX(0,MIN(BT163/10%-1,1))+($BC163-$BB163)*MAX(0,BT163/10%-2),$AZ163*MIN(-BT163/10%,1)+($AY163-$AZ163)*MAX(0,MIN(-BT163/10%-1,1))+($AX163-$AY163)*MAX(0,-BT163/10%-2)),0),"")</f>
        <v/>
      </c>
      <c r="EF163" s="550" t="n">
        <f aca="false">IF(BD163,xASN(BR163,Strike1,AO163,ED163,0,BO163,0,BI163,BL163,IF(OptControl=4,0,1),0),0)</f>
        <v>0</v>
      </c>
      <c r="EG163" s="551" t="n">
        <f aca="false">IF(BD163,xASN(BR163,Strike2,AO163,EE163,0,BO163,0,BI163,BL163,IF(OptControl=3,1,0),0),0)</f>
        <v>0</v>
      </c>
      <c r="EL163" s="1"/>
      <c r="EM163" s="195"/>
      <c r="EN163" s="240"/>
      <c r="EO163" s="240"/>
      <c r="EP163" s="195"/>
      <c r="EQ163" s="407" t="s">
        <v>390</v>
      </c>
      <c r="ES163" s="130"/>
      <c r="ET163" s="19"/>
      <c r="EU163" s="672"/>
      <c r="EV163" s="478"/>
      <c r="EW163" s="131"/>
      <c r="EX163" s="131"/>
      <c r="EY163" s="129"/>
      <c r="EZ163" s="129"/>
      <c r="FA163" s="129"/>
      <c r="FB163" s="129"/>
      <c r="FC163" s="129"/>
      <c r="FD163" s="129"/>
      <c r="FE163" s="129"/>
      <c r="FF163" s="129"/>
      <c r="FG163" s="129"/>
      <c r="FH163" s="129"/>
      <c r="FI163" s="129"/>
      <c r="FJ163" s="571" t="n">
        <v>69</v>
      </c>
      <c r="FK163" s="150" t="e">
        <f aca="false">IF($FJ88&lt;FK$94,"",SQRT(FK88/FK$15))</f>
        <v>#DIV/0!</v>
      </c>
      <c r="FL163" s="150" t="n">
        <f aca="false">IF($FJ88&lt;FL$94,"",SQRT(FL88/FL$15))</f>
        <v>-0</v>
      </c>
      <c r="FM163" s="150" t="n">
        <f aca="false">IF($FJ88&lt;FM$94,"",SQRT(FM88/FM$15))</f>
        <v>0.170500345421762</v>
      </c>
      <c r="FN163" s="150" t="n">
        <f aca="false">IF($FJ88&lt;FN$94,"",SQRT(FN88/FN$15))</f>
        <v>0.167222203150573</v>
      </c>
      <c r="FO163" s="150" t="n">
        <f aca="false">IF($FJ88&lt;FO$94,"",SQRT(FO88/FO$15))</f>
        <v>0.164763871911506</v>
      </c>
      <c r="FP163" s="150" t="n">
        <f aca="false">IF($FJ88&lt;FP$94,"",SQRT(FP88/FP$15))</f>
        <v>0.162920447166045</v>
      </c>
      <c r="FQ163" s="150" t="n">
        <f aca="false">IF($FJ88&lt;FQ$94,"",SQRT(FQ88/FQ$15))</f>
        <v>0.161538258504522</v>
      </c>
      <c r="FR163" s="150" t="n">
        <f aca="false">IF($FJ88&lt;FR$94,"",SQRT(FR88/FR$15))</f>
        <v>0.160502062492635</v>
      </c>
      <c r="FS163" s="150" t="n">
        <f aca="false">IF($FJ88&lt;FS$94,"",SQRT(FS88/FS$15))</f>
        <v>0.159725437537503</v>
      </c>
      <c r="FT163" s="150" t="n">
        <f aca="false">IF($FJ88&lt;FT$94,"",SQRT(FT88/FT$15))</f>
        <v>0.159143580307966</v>
      </c>
      <c r="FU163" s="150" t="n">
        <f aca="false">IF($FJ88&lt;FU$94,"",SQRT(FU88/FU$15))</f>
        <v>0.158707903366854</v>
      </c>
      <c r="FV163" s="150" t="n">
        <f aca="false">IF($FJ88&lt;FV$94,"",SQRT(FV88/FV$15))</f>
        <v>0.158381983766352</v>
      </c>
      <c r="FW163" s="150" t="n">
        <f aca="false">IF($FJ88&lt;FW$94,"",SQRT(FW88/FW$15))</f>
        <v>0.158138524928981</v>
      </c>
      <c r="FX163" s="150" t="n">
        <f aca="false">IF($FJ88&lt;FX$94,"",SQRT(FX88/FX$15))</f>
        <v>0.157957078566839</v>
      </c>
      <c r="FY163" s="150" t="n">
        <f aca="false">IF($FJ88&lt;FY$94,"",SQRT(FY88/FY$15))</f>
        <v>0.157822336716182</v>
      </c>
      <c r="FZ163" s="150" t="n">
        <f aca="false">IF($FJ88&lt;FZ$94,"",SQRT(FZ88/FZ$15))</f>
        <v>0.157722851459903</v>
      </c>
      <c r="GA163" s="150" t="n">
        <f aca="false">IF($FJ88&lt;GA$94,"",SQRT(GA88/GA$15))</f>
        <v>0.157650075534621</v>
      </c>
      <c r="GB163" s="150" t="n">
        <f aca="false">IF($FJ88&lt;GB$94,"",SQRT(GB88/GB$15))</f>
        <v>0.157597643740188</v>
      </c>
      <c r="GC163" s="150" t="n">
        <f aca="false">IF($FJ88&lt;GC$94,"",SQRT(GC88/GC$15))</f>
        <v>0.157560835113727</v>
      </c>
      <c r="GD163" s="150" t="n">
        <f aca="false">IF($FJ88&lt;GD$94,"",SQRT(GD88/GD$15))</f>
        <v>0.157536170867654</v>
      </c>
      <c r="GE163" s="150" t="n">
        <f aca="false">IF($FJ88&lt;GE$94,"",SQRT(GE88/GE$15))</f>
        <v>0.157521114374006</v>
      </c>
      <c r="GF163" s="150" t="n">
        <f aca="false">IF($FJ88&lt;GF$94,"",SQRT(GF88/GF$15))</f>
        <v>0.157513847945208</v>
      </c>
      <c r="GG163" s="150" t="n">
        <f aca="false">IF($FJ88&lt;GG$94,"",SQRT(GG88/GG$15))</f>
        <v>0.157513107518999</v>
      </c>
      <c r="GH163" s="150" t="n">
        <f aca="false">IF($FJ88&lt;GH$94,"",SQRT(GH88/GH$15))</f>
        <v>0.157518061131383</v>
      </c>
      <c r="GI163" s="150" t="n">
        <f aca="false">IF($FJ88&lt;GI$94,"",SQRT(GI88/GI$15))</f>
        <v>0.157528220652905</v>
      </c>
      <c r="GJ163" s="150" t="n">
        <f aca="false">IF($FJ88&lt;GJ$94,"",SQRT(GJ88/GJ$15))</f>
        <v>0.157543378968304</v>
      </c>
      <c r="GK163" s="150" t="n">
        <f aca="false">IF($FJ88&lt;GK$94,"",SQRT(GK88/GK$15))</f>
        <v>0.157563566821251</v>
      </c>
      <c r="GL163" s="150" t="n">
        <f aca="false">IF($FJ88&lt;GL$94,"",SQRT(GL88/GL$15))</f>
        <v>0.157589025092912</v>
      </c>
      <c r="GM163" s="150" t="n">
        <f aca="false">IF($FJ88&lt;GM$94,"",SQRT(GM88/GM$15))</f>
        <v>0.157620189461933</v>
      </c>
      <c r="GN163" s="150" t="n">
        <f aca="false">IF($FJ88&lt;GN$94,"",SQRT(GN88/GN$15))</f>
        <v>0.157657685300067</v>
      </c>
      <c r="GO163" s="150" t="n">
        <f aca="false">IF($FJ88&lt;GO$94,"",SQRT(GO88/GO$15))</f>
        <v>0.157702331364363</v>
      </c>
      <c r="GP163" s="150" t="n">
        <f aca="false">IF($FJ88&lt;GP$94,"",SQRT(GP88/GP$15))</f>
        <v>0.157755151409289</v>
      </c>
      <c r="GQ163" s="150" t="n">
        <f aca="false">IF($FJ88&lt;GQ$94,"",SQRT(GQ88/GQ$15))</f>
        <v>0.157817393303013</v>
      </c>
      <c r="GR163" s="150" t="n">
        <f aca="false">IF($FJ88&lt;GR$94,"",SQRT(GR88/GR$15))</f>
        <v>0.157890555625248</v>
      </c>
      <c r="GS163" s="150" t="n">
        <f aca="false">IF($FJ88&lt;GS$94,"",SQRT(GS88/GS$15))</f>
        <v>0.157976422076911</v>
      </c>
      <c r="GT163" s="150" t="n">
        <f aca="false">IF($FJ88&lt;GT$94,"",SQRT(GT88/GT$15))</f>
        <v>0.158077104367703</v>
      </c>
      <c r="GU163" s="150" t="n">
        <f aca="false">IF($FJ88&lt;GU$94,"",SQRT(GU88/GU$15))</f>
        <v>0.158195094587449</v>
      </c>
      <c r="GV163" s="150" t="n">
        <f aca="false">IF($FJ88&lt;GV$94,"",SQRT(GV88/GV$15))</f>
        <v>0.158333328431159</v>
      </c>
      <c r="GW163" s="150" t="n">
        <f aca="false">IF($FJ88&lt;GW$94,"",SQRT(GW88/GW$15))</f>
        <v>0.158495261057487</v>
      </c>
      <c r="GX163" s="150" t="n">
        <f aca="false">IF($FJ88&lt;GX$94,"",SQRT(GX88/GX$15))</f>
        <v>0.158684957839858</v>
      </c>
      <c r="GY163" s="150" t="n">
        <f aca="false">IF($FJ88&lt;GY$94,"",SQRT(GY88/GY$15))</f>
        <v>0.158907202847948</v>
      </c>
      <c r="GZ163" s="150" t="n">
        <f aca="false">IF($FJ88&lt;GZ$94,"",SQRT(GZ88/GZ$15))</f>
        <v>0.159167628610955</v>
      </c>
      <c r="HA163" s="150" t="n">
        <f aca="false">IF($FJ88&lt;HA$94,"",SQRT(HA88/HA$15))</f>
        <v>0.159472871610671</v>
      </c>
      <c r="HB163" s="150" t="n">
        <f aca="false">IF($FJ88&lt;HB$94,"",SQRT(HB88/HB$15))</f>
        <v>0.159830759094766</v>
      </c>
      <c r="HC163" s="150" t="n">
        <f aca="false">IF($FJ88&lt;HC$94,"",SQRT(HC88/HC$15))</f>
        <v>0.160250534274468</v>
      </c>
      <c r="HD163" s="150" t="n">
        <f aca="false">IF($FJ88&lt;HD$94,"",SQRT(HD88/HD$15))</f>
        <v>0.160743128893055</v>
      </c>
      <c r="HE163" s="150" t="n">
        <f aca="false">IF($FJ88&lt;HE$94,"",SQRT(HE88/HE$15))</f>
        <v>0.161321494684869</v>
      </c>
      <c r="HF163" s="150" t="n">
        <f aca="false">IF($FJ88&lt;HF$94,"",SQRT(HF88/HF$15))</f>
        <v>0.162001008616967</v>
      </c>
      <c r="HG163" s="150" t="n">
        <f aca="false">IF($FJ88&lt;HG$94,"",SQRT(HG88/HG$15))</f>
        <v>0.162799971339799</v>
      </c>
      <c r="HH163" s="150" t="n">
        <f aca="false">IF($FJ88&lt;HH$94,"",SQRT(HH88/HH$15))</f>
        <v>0.163740224431739</v>
      </c>
      <c r="HI163" s="150" t="n">
        <f aca="false">IF($FJ88&lt;HI$94,"",SQRT(HI88/HI$15))</f>
        <v>0.164847920472988</v>
      </c>
      <c r="HJ163" s="150" t="n">
        <f aca="false">IF($FJ88&lt;HJ$94,"",SQRT(HJ88/HJ$15))</f>
        <v>0.166154491705012</v>
      </c>
      <c r="HK163" s="150" t="n">
        <f aca="false">IF($FJ88&lt;HK$94,"",SQRT(HK88/HK$15))</f>
        <v>0.167697879469046</v>
      </c>
      <c r="HL163" s="150" t="n">
        <f aca="false">IF($FJ88&lt;HL$94,"",SQRT(HL88/HL$15))</f>
        <v>0.169524109940689</v>
      </c>
      <c r="HM163" s="150" t="n">
        <f aca="false">IF($FJ88&lt;HM$94,"",SQRT(HM88/HM$15))</f>
        <v>0.171689335184805</v>
      </c>
      <c r="HN163" s="150" t="n">
        <f aca="false">IF($FJ88&lt;HN$94,"",SQRT(HN88/HN$15))</f>
        <v>0.174262507333036</v>
      </c>
      <c r="HO163" s="150" t="n">
        <f aca="false">IF($FJ88&lt;HO$94,"",SQRT(HO88/HO$15))</f>
        <v>0.177328925710591</v>
      </c>
      <c r="HP163" s="150" t="n">
        <f aca="false">IF($FJ88&lt;HP$94,"",SQRT(HP88/HP$15))</f>
        <v>0.180995004729313</v>
      </c>
      <c r="HQ163" s="150" t="n">
        <f aca="false">IF($FJ88&lt;HQ$94,"",SQRT(HQ88/HQ$15))</f>
        <v>0.185394774990813</v>
      </c>
      <c r="HR163" s="150" t="n">
        <f aca="false">IF($FJ88&lt;HR$94,"",SQRT(HR88/HR$15))</f>
        <v>0.190698885583752</v>
      </c>
      <c r="HS163" s="150" t="n">
        <f aca="false">IF($FJ88&lt;HS$94,"",SQRT(HS88/HS$15))</f>
        <v>0.197127280118789</v>
      </c>
      <c r="HT163" s="150" t="n">
        <f aca="false">IF($FJ88&lt;HT$94,"",SQRT(HT88/HT$15))</f>
        <v>0.204967373514607</v>
      </c>
      <c r="HU163" s="150" t="n">
        <f aca="false">IF($FJ88&lt;HU$94,"",SQRT(HU88/HU$15))</f>
        <v>0.214600640771796</v>
      </c>
      <c r="HV163" s="150" t="n">
        <f aca="false">IF($FJ88&lt;HV$94,"",SQRT(HV88/HV$15))</f>
        <v>0.226542372917148</v>
      </c>
      <c r="HW163" s="150" t="n">
        <f aca="false">IF($FJ88&lt;HW$94,"",SQRT(HW88/HW$15))</f>
        <v>0.241502584019909</v>
      </c>
      <c r="HX163" s="150" t="n">
        <f aca="false">IF($FJ88&lt;HX$94,"",SQRT(HX88/HX$15))</f>
        <v>0.26048189347431</v>
      </c>
      <c r="HY163" s="150" t="n">
        <f aca="false">IF($FJ88&lt;HY$94,"",SQRT(HY88/HY$15))</f>
        <v>0.284927165143742</v>
      </c>
      <c r="HZ163" s="150" t="n">
        <f aca="false">IF($FJ88&lt;HZ$94,"",SQRT(HZ88/HZ$15))</f>
        <v>0.31699311156523</v>
      </c>
      <c r="IA163" s="150" t="n">
        <f aca="false">IF($FJ88&lt;IA$94,"",SQRT(IA88/IA$15))</f>
        <v>0.36000000017028</v>
      </c>
      <c r="IB163" s="150" t="str">
        <f aca="false">IF($FJ88&lt;IB$94,"",SQRT(IB88/IB$15))</f>
        <v/>
      </c>
      <c r="IC163" s="150" t="str">
        <f aca="false">IF($FJ88&lt;IC$94,"",SQRT(IC88/IC$15))</f>
        <v/>
      </c>
      <c r="ID163" s="572" t="str">
        <f aca="false">IF($FJ88&lt;ID$94,"",SQRT(ID88/ID$15))</f>
        <v/>
      </c>
      <c r="IE163" s="129"/>
    </row>
    <row r="164" customFormat="false" ht="12.75" hidden="false" customHeight="false" outlineLevel="0" collapsed="false">
      <c r="H164" s="219" t="n">
        <f aca="false">VLOOKUP(I164,$EJ$20:$EL$54,3)</f>
        <v>0</v>
      </c>
      <c r="I164" s="511" t="n">
        <f aca="false">EOMONTH(I163,0)+1</f>
        <v>41153</v>
      </c>
      <c r="J164" s="512"/>
      <c r="K164" s="513" t="s">
        <v>280</v>
      </c>
      <c r="L164" s="514" t="n">
        <f aca="false">IF(ISNUMBER(K164),J164+K164/100,IF(K164="extra",L163+VLOOKUP(BF164,PriceSpreadTable,2)/12,IF(K164="inter",interpolateprices($K$19:$L$200,ROW(K164)-ROW(FirstPricingMonth)+1),interpolatechanges($J$19:$K$200,ROW(K164)-ROW(FirstPricingMonth)+1))))</f>
        <v>2.55</v>
      </c>
      <c r="M164" s="515"/>
      <c r="N164" s="516" t="n">
        <v>0</v>
      </c>
      <c r="O164" s="515" t="n">
        <f aca="false">M164+N164</f>
        <v>0</v>
      </c>
      <c r="P164" s="512"/>
      <c r="Q164" s="513" t="s">
        <v>280</v>
      </c>
      <c r="R164" s="512" t="e">
        <f aca="false">IF(ISNUMBER(Q164),P164+Q164/100,IF(Q164="extra",(Z162*AL162-R163*AM162)/AN162,IF(Q164="inter",interpolateprices($Q$19:$R$260,ROW(Q164)-ROW(FirstPricingMonth)+1),interpolatechanges($P$19:$Q$260,ROW(Q164)-ROW(FirstPricingMonth)+1))))</f>
        <v>#VALUE!</v>
      </c>
      <c r="S164" s="597" t="n">
        <f aca="false">S$19+(S163-S$19)*S$18</f>
        <v>0.36</v>
      </c>
      <c r="T164" s="575" t="n">
        <f aca="false">SQRT((1-(1-T163^2/U163)*T$18)*U164)</f>
        <v>0.999999999982069</v>
      </c>
      <c r="U164" s="576" t="n">
        <f aca="false">1-(1-U163)*U$18</f>
        <v>1</v>
      </c>
      <c r="V164" s="521" t="n">
        <v>0</v>
      </c>
      <c r="W164" s="577" t="n">
        <f aca="false">(J165*AJ164+J166*AK164)/AI164</f>
        <v>0</v>
      </c>
      <c r="X164" s="578" t="n">
        <f aca="false">(L165*AJ164+L166*AK164)/AI164</f>
        <v>2.59875</v>
      </c>
      <c r="Y164" s="579" t="n">
        <f aca="false">IF(Q166="extra",W164-AA164,(P165*AM164+P166*AN164)/AL164)</f>
        <v>-1.2669</v>
      </c>
      <c r="Z164" s="579" t="n">
        <f aca="false">IF(Q166="extra",X164-AB164,(R165*AM164+R166*AN164)/AL164)</f>
        <v>1.33185</v>
      </c>
      <c r="AA164" s="523" t="n">
        <f aca="false">IF(Q166="extra",INDEX(BrentSeasonalityTable,INT((BG164-1)/3)+1)*VLOOKUP(MAX(BF164,$AB$4),PriceSpreadTable,3),W164-Y164)</f>
        <v>1.2669</v>
      </c>
      <c r="AB164" s="524" t="n">
        <f aca="false">IF(Q166="extra",INDEX(BrentSeasonalityTable,INT((BG164-1)/3)+1)*VLOOKUP(MAX(BF164,$AB$4),PriceSpreadTable,3),X164-Z164)</f>
        <v>1.2669</v>
      </c>
      <c r="AC164" s="646" t="n">
        <v>41141</v>
      </c>
      <c r="AD164" s="646" t="n">
        <v>41137</v>
      </c>
      <c r="AE164" s="646" t="n">
        <v>41136</v>
      </c>
      <c r="AF164" s="646" t="n">
        <v>41132</v>
      </c>
      <c r="AG164" s="438" t="s">
        <v>278</v>
      </c>
      <c r="AH164" s="439" t="s">
        <v>278</v>
      </c>
      <c r="AI164" s="528" t="n">
        <v>20</v>
      </c>
      <c r="AJ164" s="529" t="n">
        <v>14</v>
      </c>
      <c r="AK164" s="529" t="n">
        <v>6</v>
      </c>
      <c r="AL164" s="530" t="n">
        <v>20</v>
      </c>
      <c r="AM164" s="529" t="n">
        <v>10</v>
      </c>
      <c r="AN164" s="531" t="n">
        <v>10</v>
      </c>
      <c r="AO164" s="532"/>
      <c r="AP164" s="465" t="n">
        <f aca="false">(1+AO164/2)^(-2*BL164)</f>
        <v>1</v>
      </c>
      <c r="AQ164" s="532"/>
      <c r="AR164" s="465" t="n">
        <f aca="false">(1+AQ164/2)^(-2*BH164/365.25)</f>
        <v>1</v>
      </c>
      <c r="AS164" s="580" t="n">
        <f aca="false">(O165*AJ164+O166*AK164)/AI164</f>
        <v>0</v>
      </c>
      <c r="AT164" s="468" t="n">
        <f aca="false">O164*VLOOKUP(BF164,BrentVolTable,2)+VLOOKUP(BF164,BrentVolTable,3)</f>
        <v>0</v>
      </c>
      <c r="AU164" s="468" t="n">
        <f aca="false">(AT165*AM164+AT166*AN164)/AL164</f>
        <v>0</v>
      </c>
      <c r="AV164" s="595" t="n">
        <f aca="false">SQRT(MAX(0.000000000001,(O164^2*BH164-S164^2*(BH164-BH163))/BH163))</f>
        <v>0.0288738625359757</v>
      </c>
      <c r="AW164" s="451" t="n">
        <f aca="false">IF($I164-DateToday+15&gt;=$T$8,"",IF($I164-DateToday+15&lt;$T$5,1,MATCH($I164-DateToday+15,$T$5:$T$8)))</f>
        <v>1</v>
      </c>
      <c r="AX164" s="468" t="n">
        <f aca="false">IF($AW164="",AX163^2/AX162,INDEX(U$5:U$8,$AW164)^((INDEX($T$5:$T$8,$AW164+1)-($I164-DateToday+15))/(INDEX($T$5:$T$8,$AW164+1)-INDEX($T$5:$T$8,$AW164)))/INDEX(U$5:U$8,$AW164+1)^((INDEX($T$5:$T$8,$AW164)-($I164-DateToday+15))/(INDEX($T$5:$T$8,$AW164+1)-INDEX($T$5:$T$8,$AW164))))</f>
        <v>0.577575941019679</v>
      </c>
      <c r="AY164" s="468" t="n">
        <f aca="false">IF($AW164="",AY163^2/AY162,INDEX(V$5:V$8,$AW164)^((INDEX($T$5:$T$8,$AW164+1)-($I164-DateToday+15))/(INDEX($T$5:$T$8,$AW164+1)-INDEX($T$5:$T$8,$AW164)))/INDEX(V$5:V$8,$AW164+1)^((INDEX($T$5:$T$8,$AW164)-($I164-DateToday+15))/(INDEX($T$5:$T$8,$AW164+1)-INDEX($T$5:$T$8,$AW164))))</f>
        <v>12.0936674815916</v>
      </c>
      <c r="AZ164" s="468" t="n">
        <f aca="false">IF($AW164="",AZ163^2/AZ162,INDEX(W$5:W$8,$AW164)^((INDEX($T$5:$T$8,$AW164+1)-($I164-DateToday+15))/(INDEX($T$5:$T$8,$AW164+1)-INDEX($T$5:$T$8,$AW164)))/INDEX(W$5:W$8,$AW164+1)^((INDEX($T$5:$T$8,$AW164)-($I164-DateToday+15))/(INDEX($T$5:$T$8,$AW164+1)-INDEX($T$5:$T$8,$AW164))))</f>
        <v>5012.03661581354</v>
      </c>
      <c r="BA164" s="468" t="n">
        <f aca="false">IF($AW164="",BA163^2/BA162,INDEX(X$5:X$8,$AW164)^((INDEX($T$5:$T$8,$AW164+1)-($I164-DateToday+15))/(INDEX($T$5:$T$8,$AW164+1)-INDEX($T$5:$T$8,$AW164)))/INDEX(X$5:X$8,$AW164+1)^((INDEX($T$5:$T$8,$AW164)-($I164-DateToday+15))/(INDEX($T$5:$T$8,$AW164+1)-INDEX($T$5:$T$8,$AW164))))</f>
        <v>30154.4975500373</v>
      </c>
      <c r="BB164" s="468" t="n">
        <f aca="false">IF($AW164="",BB163^2/BB162,INDEX(Y$5:Y$8,$AW164)^((INDEX($T$5:$T$8,$AW164+1)-($I164-DateToday+15))/(INDEX($T$5:$T$8,$AW164+1)-INDEX($T$5:$T$8,$AW164)))/INDEX(Y$5:Y$8,$AW164+1)^((INDEX($T$5:$T$8,$AW164)-($I164-DateToday+15))/(INDEX($T$5:$T$8,$AW164+1)-INDEX($T$5:$T$8,$AW164))))</f>
        <v>200374.549256959</v>
      </c>
      <c r="BC164" s="468" t="n">
        <f aca="false">IF($AW164="",BC163^2/BC162,INDEX(Z$5:Z$8,$AW164)^((INDEX($T$5:$T$8,$AW164+1)-($I164-DateToday+15))/(INDEX($T$5:$T$8,$AW164+1)-INDEX($T$5:$T$8,$AW164)))/INDEX(Z$5:Z$8,$AW164+1)^((INDEX($T$5:$T$8,$AW164)-($I164-DateToday+15))/(INDEX($T$5:$T$8,$AW164+1)-INDEX($T$5:$T$8,$AW164))))</f>
        <v>633156.218570892</v>
      </c>
      <c r="BD164" s="535" t="n">
        <f aca="false">IF(OR(DateStart&gt;=I165,DateEnd&lt;I164),0,IF(VolumeOverrideFlag,V164,Volume))</f>
        <v>0</v>
      </c>
      <c r="BE164" s="536" t="n">
        <f aca="false">IF(OR(DateStart2&gt;=I165,DateEnd2&lt;I164),0,IF(VolumeOverrideFlag,V164,VolumeSwaption))</f>
        <v>0</v>
      </c>
      <c r="BF164" s="537" t="n">
        <f aca="false">YEAR(I164)</f>
        <v>2012</v>
      </c>
      <c r="BG164" s="538" t="n">
        <f aca="false">MONTH(I164)</f>
        <v>9</v>
      </c>
      <c r="BH164" s="539" t="n">
        <f aca="false">AD164-DateToday+1</f>
        <v>-4788</v>
      </c>
      <c r="BI164" s="540" t="n">
        <f aca="false">(I164-DateToday+1)/365.25</f>
        <v>-13.0650239561944</v>
      </c>
      <c r="BJ164" s="541" t="n">
        <f aca="false">BI164+(BL164-BI164)*CHOOSE(Underlying,AJ164/AI164,AM164/AL164)</f>
        <v>-13.0094455852156</v>
      </c>
      <c r="BK164" s="541" t="n">
        <f aca="false">BJ164+1/365.25</f>
        <v>-13.0067077344285</v>
      </c>
      <c r="BL164" s="541" t="n">
        <f aca="false">(I165-DateToday)/365.25</f>
        <v>-12.9856262833676</v>
      </c>
      <c r="BM164" s="542" t="e">
        <f aca="false">MAX(BI164-(BJ164-BI164)*(S165^2/O165^2-1),0)</f>
        <v>#DIV/0!</v>
      </c>
      <c r="BN164" s="541" t="e">
        <f aca="false">MAX(BL164+(BL164-BK164)*(S166^2/O166^2-1),0)</f>
        <v>#DIV/0!</v>
      </c>
      <c r="BO164" s="530" t="n">
        <f aca="false">CHOOSE(Underlying,AI164,AL164)</f>
        <v>20</v>
      </c>
      <c r="BP164" s="529" t="n">
        <f aca="false">CHOOSE(Underlying,AJ164,AM164)</f>
        <v>14</v>
      </c>
      <c r="BQ164" s="529" t="n">
        <f aca="false">CHOOSE(Underlying,AK164,AN164)</f>
        <v>6</v>
      </c>
      <c r="BR164" s="463" t="str">
        <f aca="false">IF(BD164,IF(Underlying=1,X164,Z164)+UnderlyingPriceAsian-SwapPriceCurve,"")</f>
        <v/>
      </c>
      <c r="BS164" s="463" t="str">
        <f aca="false">IF(BD164,Strike1/BR164-1,"")</f>
        <v/>
      </c>
      <c r="BT164" s="464" t="str">
        <f aca="false">IF(BD164,Strike2/BR164-1,"")</f>
        <v/>
      </c>
      <c r="BU164" s="465" t="str">
        <f aca="false">IF(BD164,IF(Underlying=1,L165,R165)+UnderlyingPriceAsian-SwapPriceCurve,"")</f>
        <v/>
      </c>
      <c r="BV164" s="465" t="str">
        <f aca="false">IF(BD164,IF(Underlying=1,L166,R166)+UnderlyingPriceAsian-SwapPriceCurve,"")</f>
        <v/>
      </c>
      <c r="BW164" s="466" t="str">
        <f aca="false">IF(BD164,IF(Underlying=1,O165,AT165),"")</f>
        <v/>
      </c>
      <c r="BX164" s="467" t="str">
        <f aca="false">IF(BD164,IF(Underlying=1,O166,AT166),"")</f>
        <v/>
      </c>
      <c r="BY164" s="466" t="str">
        <f aca="false">IF(BD164,IF(BS164&gt;0,IF(BS164&gt;0.2,BC164-BB164,IF(BS164&gt;0.1,BB164-BA164,BA164)),IF(BS164&lt;-0.2,AX164-AY164,IF(BS164&lt;-0.1,AY164-AZ164,AZ164))),"")</f>
        <v/>
      </c>
      <c r="BZ164" s="467" t="str">
        <f aca="false">IF(BD164,IF(BT164&gt;0,IF(BT164&gt;0.2,BC164-BB164,IF(BT164&gt;0.1,BB164-BA164,BA164)),IF(BT164&lt;-0.2,AX164-AY164,IF(BT164&lt;-0.1,AY164-AZ164,AZ164))),"")</f>
        <v/>
      </c>
      <c r="CA164" s="468" t="str">
        <f aca="false">IF($BD164,$BW164+IF(VolSkewFlag=1,IF(BS164&gt;0,$BA164*MIN(BS164/10%,1)+($BB164-$BA164)*MAX(0,MIN(BS164/10%-1,1))+($BC164-$BB164)*MAX(0,BS164/10%-2),$AZ164*MIN(-BS164/10%,1)+($AY164-$AZ164)*MAX(0,MIN(-BS164/10%-1,1))+($AX164-$AY164)*MAX(0,-BS164/10%-2)),0),"")</f>
        <v/>
      </c>
      <c r="CB164" s="468" t="str">
        <f aca="false">IF($BD164,$BX164+IF(VolSkewFlag=1,IF(BS164&gt;0,$BA164*MIN(BS164/10%,1)+($BB164-$BA164)*MAX(0,MIN(BS164/10%-1,1))+($BC164-$BB164)*MAX(0,BS164/10%-2),$AZ164*MIN(-BS164/10%,1)+($AY164-$AZ164)*MAX(0,MIN(-BS164/10%-1,1))+($AX164-$AY164)*MAX(0,-BS164/10%-2)),0),"")</f>
        <v/>
      </c>
      <c r="CC164" s="468" t="str">
        <f aca="false">IF($BD164,$BW164+IF(VolSkewFlag=1,IF(BT164&gt;0,$BA164*MIN(BT164/10%,1)+($BB164-$BA164)*MAX(0,MIN(BT164/10%-1,1))+($BC164-$BB164)*MAX(0,BT164/10%-2),$AZ164*MIN(-BT164/10%,1)+($AY164-$AZ164)*MAX(0,MIN(-BT164/10%-1,1))+($AX164-$AY164)*MAX(0,-BT164/10%-2)),0),"")</f>
        <v/>
      </c>
      <c r="CD164" s="468" t="str">
        <f aca="false">IF($BD164,$BX164+IF(VolSkewFlag=1,IF(BT164&gt;0,$BA164*MIN(BT164/10%,1)+($BB164-$BA164)*MAX(0,MIN(BT164/10%-1,1))+($BC164-$BB164)*MAX(0,BT164/10%-2),$AZ164*MIN(-BT164/10%,1)+($AY164-$AZ164)*MAX(0,MIN(-BT164/10%-1,1))+($AX164-$AY164)*MAX(0,-BT164/10%-2)),0),"")</f>
        <v/>
      </c>
      <c r="CE164" s="469" t="n">
        <v>1</v>
      </c>
      <c r="CF164" s="470" t="n">
        <f aca="false">IF(BD164,xCrudeAPO(BU164,BV164,CA164,CB164,S165,S166,BI164,BL164,BP164,BQ164,0,Strike1,AO164,CE164,0,BL164,IF(OptControl=4,0,1),0,1),0)</f>
        <v>0</v>
      </c>
      <c r="CG164" s="470" t="n">
        <f aca="false">IF(BD164,xCrudeAPO(BU164,BV164,CA164,CB164,S165,S166,BI164,BL164,BP164,BQ164,0,Strike1,AO164,CE164,0,BL164,IF(OptControl=4,0,1),1,1)+xCrudeAPO(BU164,BV164,CA164,CB164,S165,S166,BI164,BL164,BP164,BQ164,0,Strike1,AO164,CE164,0,BL164,IF(OptControl=4,0,1),1,2)+IF(OR(VolSkewFlag=2,ABS(BS164)&lt;0.0001),0,IF(BS164&gt;0,-1,1)*CH164*Strike1/BR164^2*BY164/10%),0)</f>
        <v>0</v>
      </c>
      <c r="CH164" s="470" t="n">
        <f aca="false">IF(BD164,(xCrudeAPO(BU164,BV164,CA164,CB164,S165,S166,BI164,BL164,BP164,BQ164,0,Strike1,AO164,CE164,0,BL164,IF(OptControl=4,0,1),3,1)+xCrudeAPO(BU164,BV164,CA164,CB164,S165,S166,BI164,BL164,BP164,BQ164,0,Strike1,AO164,CE164,0,BL164,IF(OptControl=4,0,1),3,2))/100,0)</f>
        <v>0</v>
      </c>
      <c r="CI164" s="470" t="n">
        <f aca="false">IF(BD164,xCrudeAPO(BU164,BV164,CA164,CB164,S165,S166,BI164-DaysForThetaCalculation/365.25,BL164-DaysForThetaCalculation/365.25,BP164,BQ164,0,Strike1,AO164,CE164,0,BL164,IF(OptControl=4,0,1),0,1)-xCrudeAPO(BU164,BV164,CA164,CB164,S165,S166,BI164,BL164,BP164,BQ164,0,Strike1,AO164,CE164,0,BL164,IF(OptControl=4,0,1),0,1),0)</f>
        <v>0</v>
      </c>
      <c r="CJ164" s="471" t="n">
        <f aca="false">IF(BD164,xCrudeAPO(BU164,BV164,CC164,CD164,S165,S166,BI164,BL164,BP164,BQ164,0,Strike2,AO164,CE164,0,BL164,IF(OptControl=3,1,0),0,1),0)</f>
        <v>0</v>
      </c>
      <c r="CK164" s="470" t="n">
        <f aca="false">IF(BD164,xCrudeAPO(BU164,BV164,CC164,CD164,S165,S166,BI164,BL164,BP164,BQ164,0,Strike2,AO164,CE164,0,BL164,IF(OptControl=3,1,0),1,1)+xCrudeAPO(BU164,BV164,CC164,CD164,S165,S166,BI164,BL164,BP164,BQ164,0,Strike2,AO164,CE164,0,BL164,IF(OptControl=3,1,0),1,2)+IF(OR(VolSkewFlag=2,ABS(BT164)&lt;0.0001),0,IF(BT164&gt;0,-1,1)*CL164*Strike2/BR164^2*BZ164/10%),0)</f>
        <v>0</v>
      </c>
      <c r="CL164" s="470" t="n">
        <f aca="false">IF(BD164,(xCrudeAPO(BU164,BV164,CC164,CD164,S165,S166,BI164,BL164,BP164,BQ164,0,Strike2,AO164,CE164,0,BL164,IF(OptControl=3,1,0),3,1)+xCrudeAPO(BU164,BV164,CC164,CD164,S165,S166,BI164,BL164,BP164,BQ164,0,Strike2,AO164,CE164,0,BL164,IF(OptControl=3,1,0),3,2))/100,0)</f>
        <v>0</v>
      </c>
      <c r="CM164" s="472" t="n">
        <f aca="false">IF(BD164,xCrudeAPO(BU164,BV164,CC164,CD164,S165,S166,BI164-DaysForThetaCalculation/365.25,BL164-DaysForThetaCalculation/365.25,BP164,BQ164,0,Strike2,AO164,CE164,0,BL164,IF(OptControl=3,1,0),0,1)-xCrudeAPO(BU164,BV164,CC164,CD164,S165,S166,BI164,BL164,BP164,BQ164,0,Strike2,AO164,CE164,0,BL164,IF(OptControl=3,1,0),0,1),0)</f>
        <v>0</v>
      </c>
      <c r="CN164" s="3"/>
      <c r="CO164" s="543" t="str">
        <f aca="false">IF(BD164,CHOOSE(Underlying,AD164,AF164)-DateToday+1,"")</f>
        <v/>
      </c>
      <c r="CP164" s="582" t="str">
        <f aca="false">IF(BD164,CHOOSE(Underlying,L164,R164),"")</f>
        <v/>
      </c>
      <c r="CQ164" s="544" t="str">
        <f aca="false">IF(BD164,Strike1/CP164-1,"")</f>
        <v/>
      </c>
      <c r="CR164" s="544" t="str">
        <f aca="false">IF(BD164,Strike2/CP164-1,"")</f>
        <v/>
      </c>
      <c r="CS164" s="544" t="str">
        <f aca="false">IF(BD164,IF(CQ164&gt;0,IF(CQ164&gt;0.2,BC163-BB163,IF(CQ164&gt;0.1,BB163-BA163,BA163)),IF(CQ164&lt;-0.2,AX163-AY163,IF(CQ164&lt;-0.1,AY163-AZ163,AZ163))),"")</f>
        <v/>
      </c>
      <c r="CT164" s="544" t="str">
        <f aca="false">IF(BD164,IF(CR164&gt;0,IF(CR164&gt;0.2,BC163-BB163,IF(CR164&gt;0.1,BB163-BA163,BA163)),IF(CR164&lt;-0.2,AX163-AY163,IF(CR164&lt;-0.1,AY163-AZ163,AZ163))),"")</f>
        <v/>
      </c>
      <c r="CU164" s="545" t="str">
        <f aca="false">IF(BD164,CHOOSE(Underlying,O164,AT164),"")</f>
        <v/>
      </c>
      <c r="CV164" s="545" t="str">
        <f aca="false">IF(BD164,CU164+IF(VolSkewFlag=1,IF(CQ164&gt;0,BA163*MIN(CQ164/10%,1)+(BB163-BA163)*MAX(0,MIN(CQ164/10%-1,1))+(BC163-BB163)*MAX(0,CQ164/10%-2),AZ163*MIN(-CQ164/10%,1)+(AY163-AZ163)*MAX(0,MIN(-CQ164/10%-1,1))+(AX163-AY163)*MAX(0,-CQ164/10%-2)),0),"")</f>
        <v/>
      </c>
      <c r="CW164" s="545" t="str">
        <f aca="false">IF(BD164,CU164+IF(VolSkewFlag=1,IF(CR164&gt;0,BA163*MIN(CR164/10%,1)+(BB163-BA163)*MAX(0,MIN(CR164/10%-1,1))+(BC163-BB163)*MAX(0,CR164/10%-2),AZ163*MIN(-CR164/10%,1)+(AY163-AZ163)*MAX(0,MIN(-CR164/10%-1,1))+(AX163-AY163)*MAX(0,-CR164/10%-2)),0),"")</f>
        <v/>
      </c>
      <c r="CX164" s="470" t="n">
        <f aca="false">IF(BD164,EURO(CP164,Strike1,AO164,AO164,CV164,CO164,IF(OptControl=4,0,1),0),0)</f>
        <v>0</v>
      </c>
      <c r="CY164" s="470" t="n">
        <f aca="false">IF(BD164,EURO(CP164,Strike1,AO164,AO164,CV164,CO164,IF(OptControl=4,0,1),1)+IF(OR(VolSkewFlag=2,ABS(CQ164)&lt;0.0001),0,IF(CQ164&gt;0,-1,1)*CZ164*100*Strike1/CP164^2*CS164/10%),0)</f>
        <v>0</v>
      </c>
      <c r="CZ164" s="470" t="n">
        <f aca="false">IF(BD164,EURO(CP164,Strike1,AO164,AO164,CV164,CO164,IF(OptControl=4,0,1),3)/100,0)</f>
        <v>0</v>
      </c>
      <c r="DA164" s="470" t="n">
        <f aca="false">IF(BD164,EURO(CP164,Strike1,AO164,AO164,CV164,CO164,IF(OptControl=4,0,1),0)-EURO(CP164,Strike1,AO164,AO164,CV164,CO164-1,IF(OptControl=4,0,1),0),0)</f>
        <v>0</v>
      </c>
      <c r="DB164" s="470" t="n">
        <f aca="false">IF(BD164,EURO(CP164,Strike2,AO164,AO164,CW164,CO164,IF(OptControl=3,1,0),0),0)</f>
        <v>0</v>
      </c>
      <c r="DC164" s="470" t="n">
        <f aca="false">IF(BD164,EURO(CP164,Strike2,AO164,AO164,CW164,CO164,IF(OptControl=3,1,0),1)+IF(OR(VolSkewFlag=2,ABS(CR164)&lt;0.0001),0,IF(CR164&gt;0,-1,1)*DD164*100*Strike2/CP164^2*CT164/10%),0)</f>
        <v>0</v>
      </c>
      <c r="DD164" s="470" t="n">
        <f aca="false">IF(BD164,EURO(CP164,Strike2,AO164,AO164,CW164,CO164,IF(OptControl=3,1,0),3)/100,0)</f>
        <v>0</v>
      </c>
      <c r="DE164" s="472" t="n">
        <f aca="false">IF(BD164,EURO(CP164,Strike2,AO164,AO164,CW164,CO164,IF(OptControl=3,1,0),0)-EURO(CP164,Strike2,AO164,AO164,CW164,CO164-1,IF(OptControl=3,1,0),0),0)</f>
        <v>0</v>
      </c>
      <c r="DG164" s="481" t="n">
        <f aca="false">EOMONTH(DG163,0)+1</f>
        <v>50072</v>
      </c>
      <c r="DH164" s="478" t="n">
        <v>21.3600000000001</v>
      </c>
      <c r="DI164" s="479" t="n">
        <v>21.4266666666667</v>
      </c>
      <c r="DJ164" s="480" t="n">
        <f aca="false">DG164</f>
        <v>50072</v>
      </c>
      <c r="DK164" s="478" t="n">
        <v>20.162227752457</v>
      </c>
      <c r="DL164" s="479" t="n">
        <v>20.2581666666667</v>
      </c>
      <c r="DM164" s="481" t="n">
        <f aca="false">DG164</f>
        <v>50072</v>
      </c>
      <c r="DN164" s="482" t="n">
        <f aca="false">DK164+BrentPhyBrentSpread</f>
        <v>20.212227752457</v>
      </c>
      <c r="DO164" s="481" t="n">
        <f aca="false">DG164</f>
        <v>50072</v>
      </c>
      <c r="DP164" s="483" t="n">
        <f aca="false">DL164+DQ164</f>
        <v>20.2581666666667</v>
      </c>
      <c r="DQ164" s="546" t="n">
        <v>0</v>
      </c>
      <c r="DR164" s="480" t="n">
        <f aca="false">DG164</f>
        <v>50072</v>
      </c>
      <c r="DS164" s="485" t="n">
        <v>0.138199999999999</v>
      </c>
      <c r="DT164" s="486" t="n">
        <v>0.137399999999999</v>
      </c>
      <c r="DU164" s="480" t="n">
        <f aca="false">DG164</f>
        <v>50072</v>
      </c>
      <c r="DV164" s="485" t="n">
        <v>0.138199999999999</v>
      </c>
      <c r="DW164" s="486" t="n">
        <v>0.137399999999999</v>
      </c>
      <c r="DX164" s="481" t="n">
        <f aca="false">DG164</f>
        <v>50072</v>
      </c>
      <c r="DY164" s="486" t="n">
        <v>0.35</v>
      </c>
      <c r="DZ164" s="481" t="n">
        <f aca="false">DR164</f>
        <v>50072</v>
      </c>
      <c r="EA164" s="486" t="n">
        <f aca="false">DT164</f>
        <v>0.137399999999999</v>
      </c>
      <c r="EB164" s="195"/>
      <c r="EC164" s="547" t="str">
        <f aca="false">IF(BD164,IF(Underlying=1,AS164,AU164),"")</f>
        <v/>
      </c>
      <c r="ED164" s="548" t="str">
        <f aca="false">IF($BD164,$EC164+IF(VolSkewFlag=1,IF(BS164&gt;0,$BA164*MIN(BS164/10%,1)+($BB164-$BA164)*MAX(0,MIN(BS164/10%-1,1))+($BC164-$BB164)*MAX(0,BS164/10%-2),$AZ164*MIN(-BS164/10%,1)+($AY164-$AZ164)*MAX(0,MIN(-BS164/10%-1,1))+($AX164-$AY164)*MAX(0,-BS164/10%-2)),0),"")</f>
        <v/>
      </c>
      <c r="EE164" s="549" t="str">
        <f aca="false">IF($BD164,$EC164+IF(VolSkewFlag=1,IF(BT164&gt;0,$BA164*MIN(BT164/10%,1)+($BB164-$BA164)*MAX(0,MIN(BT164/10%-1,1))+($BC164-$BB164)*MAX(0,BT164/10%-2),$AZ164*MIN(-BT164/10%,1)+($AY164-$AZ164)*MAX(0,MIN(-BT164/10%-1,1))+($AX164-$AY164)*MAX(0,-BT164/10%-2)),0),"")</f>
        <v/>
      </c>
      <c r="EF164" s="550" t="n">
        <f aca="false">IF(BD164,xASN(BR164,Strike1,AO164,ED164,0,BO164,0,BI164,BL164,IF(OptControl=4,0,1),0),0)</f>
        <v>0</v>
      </c>
      <c r="EG164" s="551" t="n">
        <f aca="false">IF(BD164,xASN(BR164,Strike2,AO164,EE164,0,BO164,0,BI164,BL164,IF(OptControl=3,1,0),0),0)</f>
        <v>0</v>
      </c>
      <c r="EL164" s="1"/>
      <c r="EM164" s="195"/>
      <c r="EN164" s="240"/>
      <c r="EO164" s="240"/>
      <c r="EP164" s="195"/>
      <c r="EQ164" s="407" t="s">
        <v>391</v>
      </c>
      <c r="ES164" s="130"/>
      <c r="ET164" s="19"/>
      <c r="EU164" s="672"/>
      <c r="EV164" s="478"/>
      <c r="EW164" s="131"/>
      <c r="EX164" s="131"/>
      <c r="EY164" s="129"/>
      <c r="EZ164" s="129"/>
      <c r="FA164" s="129"/>
      <c r="FB164" s="129"/>
      <c r="FC164" s="129"/>
      <c r="FD164" s="129"/>
      <c r="FE164" s="129"/>
      <c r="FF164" s="129"/>
      <c r="FG164" s="129"/>
      <c r="FH164" s="129"/>
      <c r="FI164" s="129"/>
      <c r="FJ164" s="571" t="n">
        <v>70</v>
      </c>
      <c r="FK164" s="150" t="e">
        <f aca="false">IF($FJ89&lt;FK$94,"",SQRT(FK89/FK$15))</f>
        <v>#DIV/0!</v>
      </c>
      <c r="FL164" s="150" t="n">
        <f aca="false">IF($FJ89&lt;FL$94,"",SQRT(FL89/FL$15))</f>
        <v>-0</v>
      </c>
      <c r="FM164" s="150" t="n">
        <f aca="false">IF($FJ89&lt;FM$94,"",SQRT(FM89/FM$15))</f>
        <v>0.170499726013632</v>
      </c>
      <c r="FN164" s="150" t="n">
        <f aca="false">IF($FJ89&lt;FN$94,"",SQRT(FN89/FN$15))</f>
        <v>0.167221492625189</v>
      </c>
      <c r="FO164" s="150" t="n">
        <f aca="false">IF($FJ89&lt;FO$94,"",SQRT(FO89/FO$15))</f>
        <v>0.164763053104241</v>
      </c>
      <c r="FP164" s="150" t="n">
        <f aca="false">IF($FJ89&lt;FP$94,"",SQRT(FP89/FP$15))</f>
        <v>0.162919500211005</v>
      </c>
      <c r="FQ164" s="150" t="n">
        <f aca="false">IF($FJ89&lt;FQ$94,"",SQRT(FQ89/FQ$15))</f>
        <v>0.161537160350485</v>
      </c>
      <c r="FR164" s="150" t="n">
        <f aca="false">IF($FJ89&lt;FR$94,"",SQRT(FR89/FR$15))</f>
        <v>0.160500786340007</v>
      </c>
      <c r="FS164" s="150" t="n">
        <f aca="false">IF($FJ89&lt;FS$94,"",SQRT(FS89/FS$15))</f>
        <v>0.15972395218249</v>
      </c>
      <c r="FT164" s="150" t="n">
        <f aca="false">IF($FJ89&lt;FT$94,"",SQRT(FT89/FT$15))</f>
        <v>0.159141849377859</v>
      </c>
      <c r="FU164" s="150" t="n">
        <f aca="false">IF($FJ89&lt;FU$94,"",SQRT(FU89/FU$15))</f>
        <v>0.15870588442762</v>
      </c>
      <c r="FV164" s="150" t="n">
        <f aca="false">IF($FJ89&lt;FV$94,"",SQRT(FV89/FV$15))</f>
        <v>0.158379627280561</v>
      </c>
      <c r="FW164" s="150" t="n">
        <f aca="false">IF($FJ89&lt;FW$94,"",SQRT(FW89/FW$15))</f>
        <v>0.158135773038387</v>
      </c>
      <c r="FX164" s="150" t="n">
        <f aca="false">IF($FJ89&lt;FX$94,"",SQRT(FX89/FX$15))</f>
        <v>0.157953863669574</v>
      </c>
      <c r="FY164" s="150" t="n">
        <f aca="false">IF($FJ89&lt;FY$94,"",SQRT(FY89/FY$15))</f>
        <v>0.157818579803421</v>
      </c>
      <c r="FZ164" s="150" t="n">
        <f aca="false">IF($FJ89&lt;FZ$94,"",SQRT(FZ89/FZ$15))</f>
        <v>0.157718460170869</v>
      </c>
      <c r="GA164" s="150" t="n">
        <f aca="false">IF($FJ89&lt;GA$94,"",SQRT(GA89/GA$15))</f>
        <v>0.157644941881775</v>
      </c>
      <c r="GB164" s="150" t="n">
        <f aca="false">IF($FJ89&lt;GB$94,"",SQRT(GB89/GB$15))</f>
        <v>0.157591641448201</v>
      </c>
      <c r="GC164" s="150" t="n">
        <f aca="false">IF($FJ89&lt;GC$94,"",SQRT(GC89/GC$15))</f>
        <v>0.157553816506162</v>
      </c>
      <c r="GD164" s="150" t="n">
        <f aca="false">IF($FJ89&lt;GD$94,"",SQRT(GD89/GD$15))</f>
        <v>0.157527963223916</v>
      </c>
      <c r="GE164" s="150" t="n">
        <f aca="false">IF($FJ89&lt;GE$94,"",SQRT(GE89/GE$15))</f>
        <v>0.157511515665758</v>
      </c>
      <c r="GF164" s="150" t="n">
        <f aca="false">IF($FJ89&lt;GF$94,"",SQRT(GF89/GF$15))</f>
        <v>0.157502621845723</v>
      </c>
      <c r="GG164" s="150" t="n">
        <f aca="false">IF($FJ89&lt;GG$94,"",SQRT(GG89/GG$15))</f>
        <v>0.157499977560446</v>
      </c>
      <c r="GH164" s="150" t="n">
        <f aca="false">IF($FJ89&lt;GH$94,"",SQRT(GH89/GH$15))</f>
        <v>0.157502703863201</v>
      </c>
      <c r="GI164" s="150" t="n">
        <f aca="false">IF($FJ89&lt;GI$94,"",SQRT(GI89/GI$15))</f>
        <v>0.157510257628729</v>
      </c>
      <c r="GJ164" s="150" t="n">
        <f aca="false">IF($FJ89&lt;GJ$94,"",SQRT(GJ89/GJ$15))</f>
        <v>0.157522367358461</v>
      </c>
      <c r="GK164" s="150" t="n">
        <f aca="false">IF($FJ89&lt;GK$94,"",SQRT(GK89/GK$15))</f>
        <v>0.157538988411901</v>
      </c>
      <c r="GL164" s="150" t="n">
        <f aca="false">IF($FJ89&lt;GL$94,"",SQRT(GL89/GL$15))</f>
        <v>0.157560273390205</v>
      </c>
      <c r="GM164" s="150" t="n">
        <f aca="false">IF($FJ89&lt;GM$94,"",SQRT(GM89/GM$15))</f>
        <v>0.157586554568886</v>
      </c>
      <c r="GN164" s="150" t="n">
        <f aca="false">IF($FJ89&lt;GN$94,"",SQRT(GN89/GN$15))</f>
        <v>0.157618336173437</v>
      </c>
      <c r="GO164" s="150" t="n">
        <f aca="false">IF($FJ89&lt;GO$94,"",SQRT(GO89/GO$15))</f>
        <v>0.157656294986693</v>
      </c>
      <c r="GP164" s="150" t="n">
        <f aca="false">IF($FJ89&lt;GP$94,"",SQRT(GP89/GP$15))</f>
        <v>0.157701288324848</v>
      </c>
      <c r="GQ164" s="150" t="n">
        <f aca="false">IF($FJ89&lt;GQ$94,"",SQRT(GQ89/GQ$15))</f>
        <v>0.157754368862464</v>
      </c>
      <c r="GR164" s="150" t="n">
        <f aca="false">IF($FJ89&lt;GR$94,"",SQRT(GR89/GR$15))</f>
        <v>0.157816806158418</v>
      </c>
      <c r="GS164" s="150" t="n">
        <f aca="false">IF($FJ89&lt;GS$94,"",SQRT(GS89/GS$15))</f>
        <v>0.157890115061017</v>
      </c>
      <c r="GT164" s="150" t="n">
        <f aca="false">IF($FJ89&lt;GT$94,"",SQRT(GT89/GT$15))</f>
        <v>0.15797609147312</v>
      </c>
      <c r="GU164" s="150" t="n">
        <f aca="false">IF($FJ89&lt;GU$94,"",SQRT(GU89/GU$15))</f>
        <v>0.158076856256314</v>
      </c>
      <c r="GV164" s="150" t="n">
        <f aca="false">IF($FJ89&lt;GV$94,"",SQRT(GV89/GV$15))</f>
        <v>0.158194908364721</v>
      </c>
      <c r="GW164" s="150" t="n">
        <f aca="false">IF($FJ89&lt;GW$94,"",SQRT(GW89/GW$15))</f>
        <v>0.158333188641905</v>
      </c>
      <c r="GX164" s="150" t="n">
        <f aca="false">IF($FJ89&lt;GX$94,"",SQRT(GX89/GX$15))</f>
        <v>0.158495156108228</v>
      </c>
      <c r="GY164" s="150" t="n">
        <f aca="false">IF($FJ89&lt;GY$94,"",SQRT(GY89/GY$15))</f>
        <v>0.158684879033655</v>
      </c>
      <c r="GZ164" s="150" t="n">
        <f aca="false">IF($FJ89&lt;GZ$94,"",SQRT(GZ89/GZ$15))</f>
        <v>0.158907143660487</v>
      </c>
      <c r="HA164" s="150" t="n">
        <f aca="false">IF($FJ89&lt;HA$94,"",SQRT(HA89/HA$15))</f>
        <v>0.159167584147593</v>
      </c>
      <c r="HB164" s="150" t="n">
        <f aca="false">IF($FJ89&lt;HB$94,"",SQRT(HB89/HB$15))</f>
        <v>0.159472838199189</v>
      </c>
      <c r="HC164" s="150" t="n">
        <f aca="false">IF($FJ89&lt;HC$94,"",SQRT(HC89/HC$15))</f>
        <v>0.159830733979913</v>
      </c>
      <c r="HD164" s="150" t="n">
        <f aca="false">IF($FJ89&lt;HD$94,"",SQRT(HD89/HD$15))</f>
        <v>0.160250515388855</v>
      </c>
      <c r="HE164" s="150" t="n">
        <f aca="false">IF($FJ89&lt;HE$94,"",SQRT(HE89/HE$15))</f>
        <v>0.160743114685303</v>
      </c>
      <c r="HF164" s="150" t="n">
        <f aca="false">IF($FJ89&lt;HF$94,"",SQRT(HF89/HF$15))</f>
        <v>0.161321483990714</v>
      </c>
      <c r="HG164" s="150" t="n">
        <f aca="false">IF($FJ89&lt;HG$94,"",SQRT(HG89/HG$15))</f>
        <v>0.162001000562566</v>
      </c>
      <c r="HH164" s="150" t="n">
        <f aca="false">IF($FJ89&lt;HH$94,"",SQRT(HH89/HH$15))</f>
        <v>0.162799965269206</v>
      </c>
      <c r="HI164" s="150" t="n">
        <f aca="false">IF($FJ89&lt;HI$94,"",SQRT(HI89/HI$15))</f>
        <v>0.163740219852498</v>
      </c>
      <c r="HJ164" s="150" t="n">
        <f aca="false">IF($FJ89&lt;HJ$94,"",SQRT(HJ89/HJ$15))</f>
        <v>0.164847917015323</v>
      </c>
      <c r="HK164" s="150" t="n">
        <f aca="false">IF($FJ89&lt;HK$94,"",SQRT(HK89/HK$15))</f>
        <v>0.16615448909121</v>
      </c>
      <c r="HL164" s="150" t="n">
        <f aca="false">IF($FJ89&lt;HL$94,"",SQRT(HL89/HL$15))</f>
        <v>0.167697877490484</v>
      </c>
      <c r="HM164" s="150" t="n">
        <f aca="false">IF($FJ89&lt;HM$94,"",SQRT(HM89/HM$15))</f>
        <v>0.169524108440608</v>
      </c>
      <c r="HN164" s="150" t="n">
        <f aca="false">IF($FJ89&lt;HN$94,"",SQRT(HN89/HN$15))</f>
        <v>0.171689334045375</v>
      </c>
      <c r="HO164" s="150" t="n">
        <f aca="false">IF($FJ89&lt;HO$94,"",SQRT(HO89/HO$15))</f>
        <v>0.174262506465655</v>
      </c>
      <c r="HP164" s="150" t="n">
        <f aca="false">IF($FJ89&lt;HP$94,"",SQRT(HP89/HP$15))</f>
        <v>0.177328925048609</v>
      </c>
      <c r="HQ164" s="150" t="n">
        <f aca="false">IF($FJ89&lt;HQ$94,"",SQRT(HQ89/HQ$15))</f>
        <v>0.180995004222562</v>
      </c>
      <c r="HR164" s="150" t="n">
        <f aca="false">IF($FJ89&lt;HR$94,"",SQRT(HR89/HR$15))</f>
        <v>0.185394774601511</v>
      </c>
      <c r="HS164" s="150" t="n">
        <f aca="false">IF($FJ89&lt;HS$94,"",SQRT(HS89/HS$15))</f>
        <v>0.190698885283422</v>
      </c>
      <c r="HT164" s="150" t="n">
        <f aca="false">IF($FJ89&lt;HT$94,"",SQRT(HT89/HT$15))</f>
        <v>0.197127279885948</v>
      </c>
      <c r="HU164" s="150" t="n">
        <f aca="false">IF($FJ89&lt;HU$94,"",SQRT(HU89/HU$15))</f>
        <v>0.204967373333031</v>
      </c>
      <c r="HV164" s="150" t="n">
        <f aca="false">IF($FJ89&lt;HV$94,"",SQRT(HV89/HV$15))</f>
        <v>0.214600640629213</v>
      </c>
      <c r="HW164" s="150" t="n">
        <f aca="false">IF($FJ89&lt;HW$94,"",SQRT(HW89/HW$15))</f>
        <v>0.226542372804261</v>
      </c>
      <c r="HX164" s="150" t="n">
        <f aca="false">IF($FJ89&lt;HX$94,"",SQRT(HX89/HX$15))</f>
        <v>0.241502583929652</v>
      </c>
      <c r="HY164" s="150" t="n">
        <f aca="false">IF($FJ89&lt;HY$94,"",SQRT(HY89/HY$15))</f>
        <v>0.260481893401298</v>
      </c>
      <c r="HZ164" s="150" t="n">
        <f aca="false">IF($FJ89&lt;HZ$94,"",SQRT(HZ89/HZ$15))</f>
        <v>0.284927165083844</v>
      </c>
      <c r="IA164" s="150" t="n">
        <f aca="false">IF($FJ89&lt;IA$94,"",SQRT(IA89/IA$15))</f>
        <v>0.31699311151525</v>
      </c>
      <c r="IB164" s="150" t="n">
        <f aca="false">IF($FJ89&lt;IB$94,"",SQRT(IB89/IB$15))</f>
        <v>0.36000000012771</v>
      </c>
      <c r="IC164" s="150" t="str">
        <f aca="false">IF($FJ89&lt;IC$94,"",SQRT(IC89/IC$15))</f>
        <v/>
      </c>
      <c r="ID164" s="572" t="str">
        <f aca="false">IF($FJ89&lt;ID$94,"",SQRT(ID89/ID$15))</f>
        <v/>
      </c>
      <c r="IE164" s="129"/>
    </row>
    <row r="165" customFormat="false" ht="12.75" hidden="false" customHeight="false" outlineLevel="0" collapsed="false">
      <c r="H165" s="219" t="n">
        <f aca="false">VLOOKUP(I165,$EJ$20:$EL$54,3)</f>
        <v>0</v>
      </c>
      <c r="I165" s="511" t="n">
        <f aca="false">EOMONTH(I164,0)+1</f>
        <v>41183</v>
      </c>
      <c r="J165" s="512"/>
      <c r="K165" s="513" t="s">
        <v>280</v>
      </c>
      <c r="L165" s="514" t="n">
        <f aca="false">IF(ISNUMBER(K165),J165+K165/100,IF(K165="extra",L164+VLOOKUP(BF165,PriceSpreadTable,2)/12,IF(K165="inter",interpolateprices($K$19:$L$200,ROW(K165)-ROW(FirstPricingMonth)+1),interpolatechanges($J$19:$K$200,ROW(K165)-ROW(FirstPricingMonth)+1))))</f>
        <v>2.5875</v>
      </c>
      <c r="M165" s="515"/>
      <c r="N165" s="516" t="n">
        <v>0</v>
      </c>
      <c r="O165" s="515" t="n">
        <f aca="false">M165+N165</f>
        <v>0</v>
      </c>
      <c r="P165" s="512"/>
      <c r="Q165" s="513" t="s">
        <v>280</v>
      </c>
      <c r="R165" s="512" t="e">
        <f aca="false">IF(ISNUMBER(Q165),P165+Q165/100,IF(Q165="extra",(Z163*AL163-R164*AM163)/AN163,IF(Q165="inter",interpolateprices($Q$19:$R$260,ROW(Q165)-ROW(FirstPricingMonth)+1),interpolatechanges($P$19:$Q$260,ROW(Q165)-ROW(FirstPricingMonth)+1))))</f>
        <v>#VALUE!</v>
      </c>
      <c r="S165" s="597" t="n">
        <f aca="false">S$19+(S164-S$19)*S$18</f>
        <v>0.36</v>
      </c>
      <c r="T165" s="575" t="n">
        <f aca="false">SQRT((1-(1-T164^2/U164)*T$18)*U165)</f>
        <v>0.999999999984669</v>
      </c>
      <c r="U165" s="576" t="n">
        <f aca="false">1-(1-U164)*U$18</f>
        <v>1</v>
      </c>
      <c r="V165" s="521" t="n">
        <v>0</v>
      </c>
      <c r="W165" s="577" t="n">
        <f aca="false">(J166*AJ165+J167*AK165)/AI165</f>
        <v>0</v>
      </c>
      <c r="X165" s="578" t="n">
        <f aca="false">(L166*AJ165+L167*AK165)/AI165</f>
        <v>2.63804347826087</v>
      </c>
      <c r="Y165" s="579" t="n">
        <f aca="false">IF(Q167="extra",W165-AA165,(P166*AM165+P167*AN165)/AL165)</f>
        <v>-1.1931</v>
      </c>
      <c r="Z165" s="579" t="n">
        <f aca="false">IF(Q167="extra",X165-AB165,(R166*AM165+R167*AN165)/AL165)</f>
        <v>1.44494347826087</v>
      </c>
      <c r="AA165" s="523" t="n">
        <f aca="false">IF(Q167="extra",INDEX(BrentSeasonalityTable,INT((BG165-1)/3)+1)*VLOOKUP(MAX(BF165,$AB$4),PriceSpreadTable,3),W165-Y165)</f>
        <v>1.1931</v>
      </c>
      <c r="AB165" s="524" t="n">
        <f aca="false">IF(Q167="extra",INDEX(BrentSeasonalityTable,INT((BG165-1)/3)+1)*VLOOKUP(MAX(BF165,$AB$4),PriceSpreadTable,3),X165-Z165)</f>
        <v>1.1931</v>
      </c>
      <c r="AC165" s="646" t="n">
        <v>41172</v>
      </c>
      <c r="AD165" s="646" t="n">
        <v>41168</v>
      </c>
      <c r="AE165" s="646" t="n">
        <v>41167</v>
      </c>
      <c r="AF165" s="646" t="n">
        <v>41163</v>
      </c>
      <c r="AG165" s="438" t="s">
        <v>278</v>
      </c>
      <c r="AH165" s="439" t="s">
        <v>278</v>
      </c>
      <c r="AI165" s="528" t="n">
        <v>23</v>
      </c>
      <c r="AJ165" s="529" t="n">
        <v>15</v>
      </c>
      <c r="AK165" s="529" t="n">
        <v>8</v>
      </c>
      <c r="AL165" s="530" t="n">
        <v>23</v>
      </c>
      <c r="AM165" s="529" t="n">
        <v>10</v>
      </c>
      <c r="AN165" s="531" t="n">
        <v>13</v>
      </c>
      <c r="AO165" s="532"/>
      <c r="AP165" s="465" t="n">
        <f aca="false">(1+AO165/2)^(-2*BL165)</f>
        <v>1</v>
      </c>
      <c r="AQ165" s="532"/>
      <c r="AR165" s="465" t="n">
        <f aca="false">(1+AQ165/2)^(-2*BH165/365.25)</f>
        <v>1</v>
      </c>
      <c r="AS165" s="580" t="n">
        <f aca="false">(O166*AJ165+O167*AK165)/AI165</f>
        <v>0</v>
      </c>
      <c r="AT165" s="468" t="n">
        <f aca="false">O165*VLOOKUP(BF165,BrentVolTable,2)+VLOOKUP(BF165,BrentVolTable,3)</f>
        <v>0</v>
      </c>
      <c r="AU165" s="468" t="n">
        <f aca="false">(AT166*AM165+AT167*AN165)/AL165</f>
        <v>0</v>
      </c>
      <c r="AV165" s="595" t="n">
        <f aca="false">SQRT(MAX(0.000000000001,(O165^2*BH165-S165^2*(BH165-BH164))/BH164))</f>
        <v>0.0289671839218261</v>
      </c>
      <c r="AW165" s="451" t="n">
        <f aca="false">IF($I165-DateToday+15&gt;=$T$8,"",IF($I165-DateToday+15&lt;$T$5,1,MATCH($I165-DateToday+15,$T$5:$T$8)))</f>
        <v>1</v>
      </c>
      <c r="AX165" s="468" t="n">
        <f aca="false">IF($AW165="",AX164^2/AX163,INDEX(U$5:U$8,$AW165)^((INDEX($T$5:$T$8,$AW165+1)-($I165-DateToday+15))/(INDEX($T$5:$T$8,$AW165+1)-INDEX($T$5:$T$8,$AW165)))/INDEX(U$5:U$8,$AW165+1)^((INDEX($T$5:$T$8,$AW165)-($I165-DateToday+15))/(INDEX($T$5:$T$8,$AW165+1)-INDEX($T$5:$T$8,$AW165))))</f>
        <v>0.565532536788519</v>
      </c>
      <c r="AY165" s="468" t="n">
        <f aca="false">IF($AW165="",AY164^2/AY163,INDEX(V$5:V$8,$AW165)^((INDEX($T$5:$T$8,$AW165+1)-($I165-DateToday+15))/(INDEX($T$5:$T$8,$AW165+1)-INDEX($T$5:$T$8,$AW165)))/INDEX(V$5:V$8,$AW165+1)^((INDEX($T$5:$T$8,$AW165)-($I165-DateToday+15))/(INDEX($T$5:$T$8,$AW165+1)-INDEX($T$5:$T$8,$AW165))))</f>
        <v>11.6017284813355</v>
      </c>
      <c r="AZ165" s="468" t="n">
        <f aca="false">IF($AW165="",AZ164^2/AZ163,INDEX(W$5:W$8,$AW165)^((INDEX($T$5:$T$8,$AW165+1)-($I165-DateToday+15))/(INDEX($T$5:$T$8,$AW165+1)-INDEX($T$5:$T$8,$AW165)))/INDEX(W$5:W$8,$AW165+1)^((INDEX($T$5:$T$8,$AW165)-($I165-DateToday+15))/(INDEX($T$5:$T$8,$AW165+1)-INDEX($T$5:$T$8,$AW165))))</f>
        <v>4621.63861607777</v>
      </c>
      <c r="BA165" s="468" t="n">
        <f aca="false">IF($AW165="",BA164^2/BA163,INDEX(X$5:X$8,$AW165)^((INDEX($T$5:$T$8,$AW165+1)-($I165-DateToday+15))/(INDEX($T$5:$T$8,$AW165+1)-INDEX($T$5:$T$8,$AW165)))/INDEX(X$5:X$8,$AW165+1)^((INDEX($T$5:$T$8,$AW165)-($I165-DateToday+15))/(INDEX($T$5:$T$8,$AW165+1)-INDEX($T$5:$T$8,$AW165))))</f>
        <v>27225.9063611482</v>
      </c>
      <c r="BB165" s="468" t="n">
        <f aca="false">IF($AW165="",BB164^2/BB163,INDEX(Y$5:Y$8,$AW165)^((INDEX($T$5:$T$8,$AW165+1)-($I165-DateToday+15))/(INDEX($T$5:$T$8,$AW165+1)-INDEX($T$5:$T$8,$AW165)))/INDEX(Y$5:Y$8,$AW165+1)^((INDEX($T$5:$T$8,$AW165)-($I165-DateToday+15))/(INDEX($T$5:$T$8,$AW165+1)-INDEX($T$5:$T$8,$AW165))))</f>
        <v>179157.481476647</v>
      </c>
      <c r="BC165" s="468" t="n">
        <f aca="false">IF($AW165="",BC164^2/BC163,INDEX(Z$5:Z$8,$AW165)^((INDEX($T$5:$T$8,$AW165+1)-($I165-DateToday+15))/(INDEX($T$5:$T$8,$AW165+1)-INDEX($T$5:$T$8,$AW165)))/INDEX(Z$5:Z$8,$AW165+1)^((INDEX($T$5:$T$8,$AW165)-($I165-DateToday+15))/(INDEX($T$5:$T$8,$AW165+1)-INDEX($T$5:$T$8,$AW165))))</f>
        <v>562932.568668411</v>
      </c>
      <c r="BD165" s="535" t="n">
        <f aca="false">IF(OR(DateStart&gt;=I166,DateEnd&lt;I165),0,IF(VolumeOverrideFlag,V165,Volume))</f>
        <v>0</v>
      </c>
      <c r="BE165" s="536" t="n">
        <f aca="false">IF(OR(DateStart2&gt;=I166,DateEnd2&lt;I165),0,IF(VolumeOverrideFlag,V165,VolumeSwaption))</f>
        <v>0</v>
      </c>
      <c r="BF165" s="537" t="n">
        <f aca="false">YEAR(I165)</f>
        <v>2012</v>
      </c>
      <c r="BG165" s="538" t="n">
        <f aca="false">MONTH(I165)</f>
        <v>10</v>
      </c>
      <c r="BH165" s="539" t="n">
        <f aca="false">AD165-DateToday+1</f>
        <v>-4757</v>
      </c>
      <c r="BI165" s="540" t="n">
        <f aca="false">(I165-DateToday+1)/365.25</f>
        <v>-12.9828884325804</v>
      </c>
      <c r="BJ165" s="541" t="n">
        <f aca="false">BI165+(BL165-BI165)*CHOOSE(Underlying,AJ165/AI165,AM165/AL165)</f>
        <v>-12.9293217867452</v>
      </c>
      <c r="BK165" s="541" t="n">
        <f aca="false">BJ165+1/365.25</f>
        <v>-12.9265839359581</v>
      </c>
      <c r="BL165" s="541" t="n">
        <f aca="false">(I166-DateToday)/365.25</f>
        <v>-12.9007529089665</v>
      </c>
      <c r="BM165" s="542" t="e">
        <f aca="false">MAX(BI165-(BJ165-BI165)*(S166^2/O166^2-1),0)</f>
        <v>#DIV/0!</v>
      </c>
      <c r="BN165" s="541" t="e">
        <f aca="false">MAX(BL165+(BL165-BK165)*(S167^2/O167^2-1),0)</f>
        <v>#DIV/0!</v>
      </c>
      <c r="BO165" s="530" t="n">
        <f aca="false">CHOOSE(Underlying,AI165,AL165)</f>
        <v>23</v>
      </c>
      <c r="BP165" s="529" t="n">
        <f aca="false">CHOOSE(Underlying,AJ165,AM165)</f>
        <v>15</v>
      </c>
      <c r="BQ165" s="529" t="n">
        <f aca="false">CHOOSE(Underlying,AK165,AN165)</f>
        <v>8</v>
      </c>
      <c r="BR165" s="463" t="str">
        <f aca="false">IF(BD165,IF(Underlying=1,X165,Z165)+UnderlyingPriceAsian-SwapPriceCurve,"")</f>
        <v/>
      </c>
      <c r="BS165" s="463" t="str">
        <f aca="false">IF(BD165,Strike1/BR165-1,"")</f>
        <v/>
      </c>
      <c r="BT165" s="464" t="str">
        <f aca="false">IF(BD165,Strike2/BR165-1,"")</f>
        <v/>
      </c>
      <c r="BU165" s="465" t="str">
        <f aca="false">IF(BD165,IF(Underlying=1,L166,R166)+UnderlyingPriceAsian-SwapPriceCurve,"")</f>
        <v/>
      </c>
      <c r="BV165" s="465" t="str">
        <f aca="false">IF(BD165,IF(Underlying=1,L167,R167)+UnderlyingPriceAsian-SwapPriceCurve,"")</f>
        <v/>
      </c>
      <c r="BW165" s="466" t="str">
        <f aca="false">IF(BD165,IF(Underlying=1,O166,AT166),"")</f>
        <v/>
      </c>
      <c r="BX165" s="467" t="str">
        <f aca="false">IF(BD165,IF(Underlying=1,O167,AT167),"")</f>
        <v/>
      </c>
      <c r="BY165" s="466" t="str">
        <f aca="false">IF(BD165,IF(BS165&gt;0,IF(BS165&gt;0.2,BC165-BB165,IF(BS165&gt;0.1,BB165-BA165,BA165)),IF(BS165&lt;-0.2,AX165-AY165,IF(BS165&lt;-0.1,AY165-AZ165,AZ165))),"")</f>
        <v/>
      </c>
      <c r="BZ165" s="467" t="str">
        <f aca="false">IF(BD165,IF(BT165&gt;0,IF(BT165&gt;0.2,BC165-BB165,IF(BT165&gt;0.1,BB165-BA165,BA165)),IF(BT165&lt;-0.2,AX165-AY165,IF(BT165&lt;-0.1,AY165-AZ165,AZ165))),"")</f>
        <v/>
      </c>
      <c r="CA165" s="468" t="str">
        <f aca="false">IF($BD165,$BW165+IF(VolSkewFlag=1,IF(BS165&gt;0,$BA165*MIN(BS165/10%,1)+($BB165-$BA165)*MAX(0,MIN(BS165/10%-1,1))+($BC165-$BB165)*MAX(0,BS165/10%-2),$AZ165*MIN(-BS165/10%,1)+($AY165-$AZ165)*MAX(0,MIN(-BS165/10%-1,1))+($AX165-$AY165)*MAX(0,-BS165/10%-2)),0),"")</f>
        <v/>
      </c>
      <c r="CB165" s="468" t="str">
        <f aca="false">IF($BD165,$BX165+IF(VolSkewFlag=1,IF(BS165&gt;0,$BA165*MIN(BS165/10%,1)+($BB165-$BA165)*MAX(0,MIN(BS165/10%-1,1))+($BC165-$BB165)*MAX(0,BS165/10%-2),$AZ165*MIN(-BS165/10%,1)+($AY165-$AZ165)*MAX(0,MIN(-BS165/10%-1,1))+($AX165-$AY165)*MAX(0,-BS165/10%-2)),0),"")</f>
        <v/>
      </c>
      <c r="CC165" s="468" t="str">
        <f aca="false">IF($BD165,$BW165+IF(VolSkewFlag=1,IF(BT165&gt;0,$BA165*MIN(BT165/10%,1)+($BB165-$BA165)*MAX(0,MIN(BT165/10%-1,1))+($BC165-$BB165)*MAX(0,BT165/10%-2),$AZ165*MIN(-BT165/10%,1)+($AY165-$AZ165)*MAX(0,MIN(-BT165/10%-1,1))+($AX165-$AY165)*MAX(0,-BT165/10%-2)),0),"")</f>
        <v/>
      </c>
      <c r="CD165" s="468" t="str">
        <f aca="false">IF($BD165,$BX165+IF(VolSkewFlag=1,IF(BT165&gt;0,$BA165*MIN(BT165/10%,1)+($BB165-$BA165)*MAX(0,MIN(BT165/10%-1,1))+($BC165-$BB165)*MAX(0,BT165/10%-2),$AZ165*MIN(-BT165/10%,1)+($AY165-$AZ165)*MAX(0,MIN(-BT165/10%-1,1))+($AX165-$AY165)*MAX(0,-BT165/10%-2)),0),"")</f>
        <v/>
      </c>
      <c r="CE165" s="469" t="n">
        <v>1</v>
      </c>
      <c r="CF165" s="470" t="n">
        <f aca="false">IF(BD165,xCrudeAPO(BU165,BV165,CA165,CB165,S166,S167,BI165,BL165,BP165,BQ165,0,Strike1,AO165,CE165,0,BL165,IF(OptControl=4,0,1),0,1),0)</f>
        <v>0</v>
      </c>
      <c r="CG165" s="470" t="n">
        <f aca="false">IF(BD165,xCrudeAPO(BU165,BV165,CA165,CB165,S166,S167,BI165,BL165,BP165,BQ165,0,Strike1,AO165,CE165,0,BL165,IF(OptControl=4,0,1),1,1)+xCrudeAPO(BU165,BV165,CA165,CB165,S166,S167,BI165,BL165,BP165,BQ165,0,Strike1,AO165,CE165,0,BL165,IF(OptControl=4,0,1),1,2)+IF(OR(VolSkewFlag=2,ABS(BS165)&lt;0.0001),0,IF(BS165&gt;0,-1,1)*CH165*Strike1/BR165^2*BY165/10%),0)</f>
        <v>0</v>
      </c>
      <c r="CH165" s="470" t="n">
        <f aca="false">IF(BD165,(xCrudeAPO(BU165,BV165,CA165,CB165,S166,S167,BI165,BL165,BP165,BQ165,0,Strike1,AO165,CE165,0,BL165,IF(OptControl=4,0,1),3,1)+xCrudeAPO(BU165,BV165,CA165,CB165,S166,S167,BI165,BL165,BP165,BQ165,0,Strike1,AO165,CE165,0,BL165,IF(OptControl=4,0,1),3,2))/100,0)</f>
        <v>0</v>
      </c>
      <c r="CI165" s="470" t="n">
        <f aca="false">IF(BD165,xCrudeAPO(BU165,BV165,CA165,CB165,S166,S167,BI165-DaysForThetaCalculation/365.25,BL165-DaysForThetaCalculation/365.25,BP165,BQ165,0,Strike1,AO165,CE165,0,BL165,IF(OptControl=4,0,1),0,1)-xCrudeAPO(BU165,BV165,CA165,CB165,S166,S167,BI165,BL165,BP165,BQ165,0,Strike1,AO165,CE165,0,BL165,IF(OptControl=4,0,1),0,1),0)</f>
        <v>0</v>
      </c>
      <c r="CJ165" s="471" t="n">
        <f aca="false">IF(BD165,xCrudeAPO(BU165,BV165,CC165,CD165,S166,S167,BI165,BL165,BP165,BQ165,0,Strike2,AO165,CE165,0,BL165,IF(OptControl=3,1,0),0,1),0)</f>
        <v>0</v>
      </c>
      <c r="CK165" s="470" t="n">
        <f aca="false">IF(BD165,xCrudeAPO(BU165,BV165,CC165,CD165,S166,S167,BI165,BL165,BP165,BQ165,0,Strike2,AO165,CE165,0,BL165,IF(OptControl=3,1,0),1,1)+xCrudeAPO(BU165,BV165,CC165,CD165,S166,S167,BI165,BL165,BP165,BQ165,0,Strike2,AO165,CE165,0,BL165,IF(OptControl=3,1,0),1,2)+IF(OR(VolSkewFlag=2,ABS(BT165)&lt;0.0001),0,IF(BT165&gt;0,-1,1)*CL165*Strike2/BR165^2*BZ165/10%),0)</f>
        <v>0</v>
      </c>
      <c r="CL165" s="470" t="n">
        <f aca="false">IF(BD165,(xCrudeAPO(BU165,BV165,CC165,CD165,S166,S167,BI165,BL165,BP165,BQ165,0,Strike2,AO165,CE165,0,BL165,IF(OptControl=3,1,0),3,1)+xCrudeAPO(BU165,BV165,CC165,CD165,S166,S167,BI165,BL165,BP165,BQ165,0,Strike2,AO165,CE165,0,BL165,IF(OptControl=3,1,0),3,2))/100,0)</f>
        <v>0</v>
      </c>
      <c r="CM165" s="472" t="n">
        <f aca="false">IF(BD165,xCrudeAPO(BU165,BV165,CC165,CD165,S166,S167,BI165-DaysForThetaCalculation/365.25,BL165-DaysForThetaCalculation/365.25,BP165,BQ165,0,Strike2,AO165,CE165,0,BL165,IF(OptControl=3,1,0),0,1)-xCrudeAPO(BU165,BV165,CC165,CD165,S166,S167,BI165,BL165,BP165,BQ165,0,Strike2,AO165,CE165,0,BL165,IF(OptControl=3,1,0),0,1),0)</f>
        <v>0</v>
      </c>
      <c r="CN165" s="3"/>
      <c r="CO165" s="543" t="str">
        <f aca="false">IF(BD165,CHOOSE(Underlying,AD165,AF165)-DateToday+1,"")</f>
        <v/>
      </c>
      <c r="CP165" s="582" t="str">
        <f aca="false">IF(BD165,CHOOSE(Underlying,L165,R165),"")</f>
        <v/>
      </c>
      <c r="CQ165" s="544" t="str">
        <f aca="false">IF(BD165,Strike1/CP165-1,"")</f>
        <v/>
      </c>
      <c r="CR165" s="544" t="str">
        <f aca="false">IF(BD165,Strike2/CP165-1,"")</f>
        <v/>
      </c>
      <c r="CS165" s="544" t="str">
        <f aca="false">IF(BD165,IF(CQ165&gt;0,IF(CQ165&gt;0.2,BC164-BB164,IF(CQ165&gt;0.1,BB164-BA164,BA164)),IF(CQ165&lt;-0.2,AX164-AY164,IF(CQ165&lt;-0.1,AY164-AZ164,AZ164))),"")</f>
        <v/>
      </c>
      <c r="CT165" s="544" t="str">
        <f aca="false">IF(BD165,IF(CR165&gt;0,IF(CR165&gt;0.2,BC164-BB164,IF(CR165&gt;0.1,BB164-BA164,BA164)),IF(CR165&lt;-0.2,AX164-AY164,IF(CR165&lt;-0.1,AY164-AZ164,AZ164))),"")</f>
        <v/>
      </c>
      <c r="CU165" s="545" t="str">
        <f aca="false">IF(BD165,CHOOSE(Underlying,O165,AT165),"")</f>
        <v/>
      </c>
      <c r="CV165" s="545" t="str">
        <f aca="false">IF(BD165,CU165+IF(VolSkewFlag=1,IF(CQ165&gt;0,BA164*MIN(CQ165/10%,1)+(BB164-BA164)*MAX(0,MIN(CQ165/10%-1,1))+(BC164-BB164)*MAX(0,CQ165/10%-2),AZ164*MIN(-CQ165/10%,1)+(AY164-AZ164)*MAX(0,MIN(-CQ165/10%-1,1))+(AX164-AY164)*MAX(0,-CQ165/10%-2)),0),"")</f>
        <v/>
      </c>
      <c r="CW165" s="545" t="str">
        <f aca="false">IF(BD165,CU165+IF(VolSkewFlag=1,IF(CR165&gt;0,BA164*MIN(CR165/10%,1)+(BB164-BA164)*MAX(0,MIN(CR165/10%-1,1))+(BC164-BB164)*MAX(0,CR165/10%-2),AZ164*MIN(-CR165/10%,1)+(AY164-AZ164)*MAX(0,MIN(-CR165/10%-1,1))+(AX164-AY164)*MAX(0,-CR165/10%-2)),0),"")</f>
        <v/>
      </c>
      <c r="CX165" s="470" t="n">
        <f aca="false">IF(BD165,EURO(CP165,Strike1,AO165,AO165,CV165,CO165,IF(OptControl=4,0,1),0),0)</f>
        <v>0</v>
      </c>
      <c r="CY165" s="470" t="n">
        <f aca="false">IF(BD165,EURO(CP165,Strike1,AO165,AO165,CV165,CO165,IF(OptControl=4,0,1),1)+IF(OR(VolSkewFlag=2,ABS(CQ165)&lt;0.0001),0,IF(CQ165&gt;0,-1,1)*CZ165*100*Strike1/CP165^2*CS165/10%),0)</f>
        <v>0</v>
      </c>
      <c r="CZ165" s="470" t="n">
        <f aca="false">IF(BD165,EURO(CP165,Strike1,AO165,AO165,CV165,CO165,IF(OptControl=4,0,1),3)/100,0)</f>
        <v>0</v>
      </c>
      <c r="DA165" s="470" t="n">
        <f aca="false">IF(BD165,EURO(CP165,Strike1,AO165,AO165,CV165,CO165,IF(OptControl=4,0,1),0)-EURO(CP165,Strike1,AO165,AO165,CV165,CO165-1,IF(OptControl=4,0,1),0),0)</f>
        <v>0</v>
      </c>
      <c r="DB165" s="470" t="n">
        <f aca="false">IF(BD165,EURO(CP165,Strike2,AO165,AO165,CW165,CO165,IF(OptControl=3,1,0),0),0)</f>
        <v>0</v>
      </c>
      <c r="DC165" s="470" t="n">
        <f aca="false">IF(BD165,EURO(CP165,Strike2,AO165,AO165,CW165,CO165,IF(OptControl=3,1,0),1)+IF(OR(VolSkewFlag=2,ABS(CR165)&lt;0.0001),0,IF(CR165&gt;0,-1,1)*DD165*100*Strike2/CP165^2*CT165/10%),0)</f>
        <v>0</v>
      </c>
      <c r="DD165" s="470" t="n">
        <f aca="false">IF(BD165,EURO(CP165,Strike2,AO165,AO165,CW165,CO165,IF(OptControl=3,1,0),3)/100,0)</f>
        <v>0</v>
      </c>
      <c r="DE165" s="472" t="n">
        <f aca="false">IF(BD165,EURO(CP165,Strike2,AO165,AO165,CW165,CO165,IF(OptControl=3,1,0),0)-EURO(CP165,Strike2,AO165,AO165,CW165,CO165-1,IF(OptControl=3,1,0),0),0)</f>
        <v>0</v>
      </c>
      <c r="DG165" s="481" t="n">
        <f aca="false">EOMONTH(DG164,0)+1</f>
        <v>50100</v>
      </c>
      <c r="DH165" s="478" t="n">
        <v>21.4100000000001</v>
      </c>
      <c r="DI165" s="479" t="n">
        <v>21.4781818181819</v>
      </c>
      <c r="DJ165" s="480" t="n">
        <f aca="false">DG165</f>
        <v>50100</v>
      </c>
      <c r="DK165" s="478" t="n">
        <v>20.245060206286</v>
      </c>
      <c r="DL165" s="479" t="n">
        <v>20.3096818181819</v>
      </c>
      <c r="DM165" s="481" t="n">
        <f aca="false">DG165</f>
        <v>50100</v>
      </c>
      <c r="DN165" s="482" t="n">
        <f aca="false">DK165+BrentPhyBrentSpread</f>
        <v>20.295060206286</v>
      </c>
      <c r="DO165" s="481" t="n">
        <f aca="false">DG165</f>
        <v>50100</v>
      </c>
      <c r="DP165" s="483" t="n">
        <f aca="false">DL165+DQ165</f>
        <v>20.3096818181819</v>
      </c>
      <c r="DQ165" s="546" t="n">
        <v>0</v>
      </c>
      <c r="DR165" s="480" t="n">
        <f aca="false">DG165</f>
        <v>50100</v>
      </c>
      <c r="DS165" s="485" t="n">
        <v>0.137599999999999</v>
      </c>
      <c r="DT165" s="486" t="n">
        <v>0.136781818181817</v>
      </c>
      <c r="DU165" s="480" t="n">
        <f aca="false">DG165</f>
        <v>50100</v>
      </c>
      <c r="DV165" s="485" t="n">
        <v>0.137599999999999</v>
      </c>
      <c r="DW165" s="486" t="n">
        <v>0.136781818181817</v>
      </c>
      <c r="DX165" s="481" t="n">
        <f aca="false">DG165</f>
        <v>50100</v>
      </c>
      <c r="DY165" s="486" t="n">
        <v>0.35</v>
      </c>
      <c r="DZ165" s="481" t="n">
        <f aca="false">DR165</f>
        <v>50100</v>
      </c>
      <c r="EA165" s="486" t="n">
        <f aca="false">DT165</f>
        <v>0.136781818181817</v>
      </c>
      <c r="EB165" s="195"/>
      <c r="EC165" s="547" t="str">
        <f aca="false">IF(BD165,IF(Underlying=1,AS165,AU165),"")</f>
        <v/>
      </c>
      <c r="ED165" s="548" t="str">
        <f aca="false">IF($BD165,$EC165+IF(VolSkewFlag=1,IF(BS165&gt;0,$BA165*MIN(BS165/10%,1)+($BB165-$BA165)*MAX(0,MIN(BS165/10%-1,1))+($BC165-$BB165)*MAX(0,BS165/10%-2),$AZ165*MIN(-BS165/10%,1)+($AY165-$AZ165)*MAX(0,MIN(-BS165/10%-1,1))+($AX165-$AY165)*MAX(0,-BS165/10%-2)),0),"")</f>
        <v/>
      </c>
      <c r="EE165" s="549" t="str">
        <f aca="false">IF($BD165,$EC165+IF(VolSkewFlag=1,IF(BT165&gt;0,$BA165*MIN(BT165/10%,1)+($BB165-$BA165)*MAX(0,MIN(BT165/10%-1,1))+($BC165-$BB165)*MAX(0,BT165/10%-2),$AZ165*MIN(-BT165/10%,1)+($AY165-$AZ165)*MAX(0,MIN(-BT165/10%-1,1))+($AX165-$AY165)*MAX(0,-BT165/10%-2)),0),"")</f>
        <v/>
      </c>
      <c r="EF165" s="550" t="n">
        <f aca="false">IF(BD165,xASN(BR165,Strike1,AO165,ED165,0,BO165,0,BI165,BL165,IF(OptControl=4,0,1),0),0)</f>
        <v>0</v>
      </c>
      <c r="EG165" s="551" t="n">
        <f aca="false">IF(BD165,xASN(BR165,Strike2,AO165,EE165,0,BO165,0,BI165,BL165,IF(OptControl=3,1,0),0),0)</f>
        <v>0</v>
      </c>
      <c r="EL165" s="1"/>
      <c r="EM165" s="195"/>
      <c r="EN165" s="240"/>
      <c r="EO165" s="240"/>
      <c r="EP165" s="195"/>
      <c r="EQ165" s="407" t="s">
        <v>392</v>
      </c>
      <c r="ES165" s="130"/>
      <c r="ET165" s="19"/>
      <c r="EU165" s="672"/>
      <c r="EV165" s="478"/>
      <c r="EW165" s="131"/>
      <c r="EX165" s="131"/>
      <c r="EY165" s="129"/>
      <c r="EZ165" s="129"/>
      <c r="FA165" s="129"/>
      <c r="FB165" s="129"/>
      <c r="FC165" s="129"/>
      <c r="FD165" s="129"/>
      <c r="FE165" s="129"/>
      <c r="FF165" s="129"/>
      <c r="FG165" s="129"/>
      <c r="FH165" s="129"/>
      <c r="FI165" s="129"/>
      <c r="FJ165" s="571" t="n">
        <v>71</v>
      </c>
      <c r="FK165" s="150" t="e">
        <f aca="false">IF($FJ90&lt;FK$94,"",SQRT(FK90/FK$15))</f>
        <v>#DIV/0!</v>
      </c>
      <c r="FL165" s="150" t="n">
        <f aca="false">IF($FJ90&lt;FL$94,"",SQRT(FL90/FL$15))</f>
        <v>-0</v>
      </c>
      <c r="FM165" s="150" t="n">
        <f aca="false">IF($FJ90&lt;FM$94,"",SQRT(FM90/FM$15))</f>
        <v>0.170499196421745</v>
      </c>
      <c r="FN165" s="150" t="n">
        <f aca="false">IF($FJ90&lt;FN$94,"",SQRT(FN90/FN$15))</f>
        <v>0.167220885128755</v>
      </c>
      <c r="FO165" s="150" t="n">
        <f aca="false">IF($FJ90&lt;FO$94,"",SQRT(FO90/FO$15))</f>
        <v>0.16476235302776</v>
      </c>
      <c r="FP165" s="150" t="n">
        <f aca="false">IF($FJ90&lt;FP$94,"",SQRT(FP90/FP$15))</f>
        <v>0.162918690569492</v>
      </c>
      <c r="FQ165" s="150" t="n">
        <f aca="false">IF($FJ90&lt;FQ$94,"",SQRT(FQ90/FQ$15))</f>
        <v>0.161536221435628</v>
      </c>
      <c r="FR165" s="150" t="n">
        <f aca="false">IF($FJ90&lt;FR$94,"",SQRT(FR90/FR$15))</f>
        <v>0.160499695238814</v>
      </c>
      <c r="FS165" s="150" t="n">
        <f aca="false">IF($FJ90&lt;FS$94,"",SQRT(FS90/FS$15))</f>
        <v>0.159722682216621</v>
      </c>
      <c r="FT165" s="150" t="n">
        <f aca="false">IF($FJ90&lt;FT$94,"",SQRT(FT90/FT$15))</f>
        <v>0.159140369449881</v>
      </c>
      <c r="FU165" s="150" t="n">
        <f aca="false">IF($FJ90&lt;FU$94,"",SQRT(FU90/FU$15))</f>
        <v>0.158704158258126</v>
      </c>
      <c r="FV165" s="150" t="n">
        <f aca="false">IF($FJ90&lt;FV$94,"",SQRT(FV90/FV$15))</f>
        <v>0.15837761251736</v>
      </c>
      <c r="FW165" s="150" t="n">
        <f aca="false">IF($FJ90&lt;FW$94,"",SQRT(FW90/FW$15))</f>
        <v>0.158133420215841</v>
      </c>
      <c r="FX165" s="150" t="n">
        <f aca="false">IF($FJ90&lt;FX$94,"",SQRT(FX90/FX$15))</f>
        <v>0.157951114992413</v>
      </c>
      <c r="FY165" s="150" t="n">
        <f aca="false">IF($FJ90&lt;FY$94,"",SQRT(FY90/FY$15))</f>
        <v>0.157815367725018</v>
      </c>
      <c r="FZ165" s="150" t="n">
        <f aca="false">IF($FJ90&lt;FZ$94,"",SQRT(FZ90/FZ$15))</f>
        <v>0.157714705730858</v>
      </c>
      <c r="GA165" s="150" t="n">
        <f aca="false">IF($FJ90&lt;GA$94,"",SQRT(GA90/GA$15))</f>
        <v>0.157640552761885</v>
      </c>
      <c r="GB165" s="150" t="n">
        <f aca="false">IF($FJ90&lt;GB$94,"",SQRT(GB90/GB$15))</f>
        <v>0.157586509698179</v>
      </c>
      <c r="GC165" s="150" t="n">
        <f aca="false">IF($FJ90&lt;GC$94,"",SQRT(GC90/GC$15))</f>
        <v>0.157547815883386</v>
      </c>
      <c r="GD165" s="150" t="n">
        <f aca="false">IF($FJ90&lt;GD$94,"",SQRT(GD90/GD$15))</f>
        <v>0.157520946080642</v>
      </c>
      <c r="GE165" s="150" t="n">
        <f aca="false">IF($FJ90&lt;GE$94,"",SQRT(GE90/GE$15))</f>
        <v>0.157503309306558</v>
      </c>
      <c r="GF165" s="150" t="n">
        <f aca="false">IF($FJ90&lt;GF$94,"",SQRT(GF90/GF$15))</f>
        <v>0.157493024264336</v>
      </c>
      <c r="GG165" s="150" t="n">
        <f aca="false">IF($FJ90&lt;GG$94,"",SQRT(GG90/GG$15))</f>
        <v>0.157488752449511</v>
      </c>
      <c r="GH165" s="150" t="n">
        <f aca="false">IF($FJ90&lt;GH$94,"",SQRT(GH90/GH$15))</f>
        <v>0.157489574771874</v>
      </c>
      <c r="GI165" s="150" t="n">
        <f aca="false">IF($FJ90&lt;GI$94,"",SQRT(GI90/GI$15))</f>
        <v>0.157494901121352</v>
      </c>
      <c r="GJ165" s="150" t="n">
        <f aca="false">IF($FJ90&lt;GJ$94,"",SQRT(GJ90/GJ$15))</f>
        <v>0.157504405001739</v>
      </c>
      <c r="GK165" s="150" t="n">
        <f aca="false">IF($FJ90&lt;GK$94,"",SQRT(GK90/GK$15))</f>
        <v>0.157517977387628</v>
      </c>
      <c r="GL165" s="150" t="n">
        <f aca="false">IF($FJ90&lt;GL$94,"",SQRT(GL90/GL$15))</f>
        <v>0.157535695494599</v>
      </c>
      <c r="GM165" s="150" t="n">
        <f aca="false">IF($FJ90&lt;GM$94,"",SQRT(GM90/GM$15))</f>
        <v>0.157557803316921</v>
      </c>
      <c r="GN165" s="150" t="n">
        <f aca="false">IF($FJ90&lt;GN$94,"",SQRT(GN90/GN$15))</f>
        <v>0.157584701675868</v>
      </c>
      <c r="GO165" s="150" t="n">
        <f aca="false">IF($FJ90&lt;GO$94,"",SQRT(GO90/GO$15))</f>
        <v>0.157616946207066</v>
      </c>
      <c r="GP165" s="150" t="n">
        <f aca="false">IF($FJ90&lt;GP$94,"",SQRT(GP90/GP$15))</f>
        <v>0.157655252251662</v>
      </c>
      <c r="GQ165" s="150" t="n">
        <f aca="false">IF($FJ90&lt;GQ$94,"",SQRT(GQ90/GQ$15))</f>
        <v>0.157700506045212</v>
      </c>
      <c r="GR165" s="150" t="n">
        <f aca="false">IF($FJ90&lt;GR$94,"",SQRT(GR90/GR$15))</f>
        <v>0.157753781952346</v>
      </c>
      <c r="GS165" s="150" t="n">
        <f aca="false">IF($FJ90&lt;GS$94,"",SQRT(GS90/GS$15))</f>
        <v>0.157816365799972</v>
      </c>
      <c r="GT165" s="150" t="n">
        <f aca="false">IF($FJ90&lt;GT$94,"",SQRT(GT90/GT$15))</f>
        <v>0.157889784637845</v>
      </c>
      <c r="GU165" s="150" t="n">
        <f aca="false">IF($FJ90&lt;GU$94,"",SQRT(GU90/GU$15))</f>
        <v>0.157975843520277</v>
      </c>
      <c r="GV165" s="150" t="n">
        <f aca="false">IF($FJ90&lt;GV$94,"",SQRT(GV90/GV$15))</f>
        <v>0.158076670172773</v>
      </c>
      <c r="GW165" s="150" t="n">
        <f aca="false">IF($FJ90&lt;GW$94,"",SQRT(GW90/GW$15))</f>
        <v>0.158194768697675</v>
      </c>
      <c r="GX165" s="150" t="n">
        <f aca="false">IF($FJ90&lt;GX$94,"",SQRT(GX90/GX$15))</f>
        <v>0.158333083799964</v>
      </c>
      <c r="GY165" s="150" t="n">
        <f aca="false">IF($FJ90&lt;GY$94,"",SQRT(GY90/GY$15))</f>
        <v>0.158495077396284</v>
      </c>
      <c r="GZ165" s="150" t="n">
        <f aca="false">IF($FJ90&lt;GZ$94,"",SQRT(GZ90/GZ$15))</f>
        <v>0.158684819929002</v>
      </c>
      <c r="HA165" s="150" t="n">
        <f aca="false">IF($FJ90&lt;HA$94,"",SQRT(HA90/HA$15))</f>
        <v>0.158907099269892</v>
      </c>
      <c r="HB165" s="150" t="n">
        <f aca="false">IF($FJ90&lt;HB$94,"",SQRT(HB90/HB$15))</f>
        <v>0.159167550800072</v>
      </c>
      <c r="HC165" s="150" t="n">
        <f aca="false">IF($FJ90&lt;HC$94,"",SQRT(HC90/HC$15))</f>
        <v>0.159472813140576</v>
      </c>
      <c r="HD165" s="150" t="n">
        <f aca="false">IF($FJ90&lt;HD$94,"",SQRT(HD90/HD$15))</f>
        <v>0.159830715143772</v>
      </c>
      <c r="HE165" s="150" t="n">
        <f aca="false">IF($FJ90&lt;HE$94,"",SQRT(HE90/HE$15))</f>
        <v>0.160250501224644</v>
      </c>
      <c r="HF165" s="150" t="n">
        <f aca="false">IF($FJ90&lt;HF$94,"",SQRT(HF90/HF$15))</f>
        <v>0.16074310402949</v>
      </c>
      <c r="HG165" s="150" t="n">
        <f aca="false">IF($FJ90&lt;HG$94,"",SQRT(HG90/HG$15))</f>
        <v>0.161321475970098</v>
      </c>
      <c r="HH165" s="150" t="n">
        <f aca="false">IF($FJ90&lt;HH$94,"",SQRT(HH90/HH$15))</f>
        <v>0.162000994521766</v>
      </c>
      <c r="HI165" s="150" t="n">
        <f aca="false">IF($FJ90&lt;HI$94,"",SQRT(HI90/HI$15))</f>
        <v>0.162799960716261</v>
      </c>
      <c r="HJ165" s="150" t="n">
        <f aca="false">IF($FJ90&lt;HJ$94,"",SQRT(HJ90/HJ$15))</f>
        <v>0.163740216418068</v>
      </c>
      <c r="HK165" s="150" t="n">
        <f aca="false">IF($FJ90&lt;HK$94,"",SQRT(HK90/HK$15))</f>
        <v>0.164847914422075</v>
      </c>
      <c r="HL165" s="150" t="n">
        <f aca="false">IF($FJ90&lt;HL$94,"",SQRT(HL90/HL$15))</f>
        <v>0.166154487130858</v>
      </c>
      <c r="HM165" s="150" t="n">
        <f aca="false">IF($FJ90&lt;HM$94,"",SQRT(HM90/HM$15))</f>
        <v>0.167697876006564</v>
      </c>
      <c r="HN165" s="150" t="n">
        <f aca="false">IF($FJ90&lt;HN$94,"",SQRT(HN90/HN$15))</f>
        <v>0.169524107315548</v>
      </c>
      <c r="HO165" s="150" t="n">
        <f aca="false">IF($FJ90&lt;HO$94,"",SQRT(HO90/HO$15))</f>
        <v>0.171689333190802</v>
      </c>
      <c r="HP165" s="150" t="n">
        <f aca="false">IF($FJ90&lt;HP$94,"",SQRT(HP90/HP$15))</f>
        <v>0.17426250581512</v>
      </c>
      <c r="HQ165" s="150" t="n">
        <f aca="false">IF($FJ90&lt;HQ$94,"",SQRT(HQ90/HQ$15))</f>
        <v>0.177328924552122</v>
      </c>
      <c r="HR165" s="150" t="n">
        <f aca="false">IF($FJ90&lt;HR$94,"",SQRT(HR90/HR$15))</f>
        <v>0.180995003842499</v>
      </c>
      <c r="HS165" s="150" t="n">
        <f aca="false">IF($FJ90&lt;HS$94,"",SQRT(HS90/HS$15))</f>
        <v>0.185394774309534</v>
      </c>
      <c r="HT165" s="150" t="n">
        <f aca="false">IF($FJ90&lt;HT$94,"",SQRT(HT90/HT$15))</f>
        <v>0.190698885058175</v>
      </c>
      <c r="HU165" s="150" t="n">
        <f aca="false">IF($FJ90&lt;HU$94,"",SQRT(HU90/HU$15))</f>
        <v>0.197127279711317</v>
      </c>
      <c r="HV165" s="150" t="n">
        <f aca="false">IF($FJ90&lt;HV$94,"",SQRT(HV90/HV$15))</f>
        <v>0.204967373196849</v>
      </c>
      <c r="HW165" s="150" t="n">
        <f aca="false">IF($FJ90&lt;HW$94,"",SQRT(HW90/HW$15))</f>
        <v>0.214600640522277</v>
      </c>
      <c r="HX165" s="150" t="n">
        <f aca="false">IF($FJ90&lt;HX$94,"",SQRT(HX90/HX$15))</f>
        <v>0.226542372719595</v>
      </c>
      <c r="HY165" s="150" t="n">
        <f aca="false">IF($FJ90&lt;HY$94,"",SQRT(HY90/HY$15))</f>
        <v>0.24150258386196</v>
      </c>
      <c r="HZ165" s="150" t="n">
        <f aca="false">IF($FJ90&lt;HZ$94,"",SQRT(HZ90/HZ$15))</f>
        <v>0.260481893346539</v>
      </c>
      <c r="IA165" s="150" t="n">
        <f aca="false">IF($FJ90&lt;IA$94,"",SQRT(IA90/IA$15))</f>
        <v>0.28492716503892</v>
      </c>
      <c r="IB165" s="150" t="n">
        <f aca="false">IF($FJ90&lt;IB$94,"",SQRT(IB90/IB$15))</f>
        <v>0.316993111477766</v>
      </c>
      <c r="IC165" s="150" t="n">
        <f aca="false">IF($FJ90&lt;IC$94,"",SQRT(IC90/IC$15))</f>
        <v>0.360000000095783</v>
      </c>
      <c r="ID165" s="572" t="str">
        <f aca="false">IF($FJ90&lt;ID$94,"",SQRT(ID90/ID$15))</f>
        <v/>
      </c>
      <c r="IE165" s="129"/>
    </row>
    <row r="166" customFormat="false" ht="12.75" hidden="false" customHeight="false" outlineLevel="0" collapsed="false">
      <c r="H166" s="219" t="n">
        <f aca="false">VLOOKUP(I166,$EJ$20:$EL$54,3)</f>
        <v>0</v>
      </c>
      <c r="I166" s="511" t="n">
        <f aca="false">EOMONTH(I165,0)+1</f>
        <v>41214</v>
      </c>
      <c r="J166" s="512"/>
      <c r="K166" s="513" t="s">
        <v>280</v>
      </c>
      <c r="L166" s="514" t="n">
        <f aca="false">IF(ISNUMBER(K166),J166+K166/100,IF(K166="extra",L165+VLOOKUP(BF166,PriceSpreadTable,2)/12,IF(K166="inter",interpolateprices($K$19:$L$200,ROW(K166)-ROW(FirstPricingMonth)+1),interpolatechanges($J$19:$K$200,ROW(K166)-ROW(FirstPricingMonth)+1))))</f>
        <v>2.625</v>
      </c>
      <c r="M166" s="515"/>
      <c r="N166" s="516" t="n">
        <v>0</v>
      </c>
      <c r="O166" s="515" t="n">
        <f aca="false">M166+N166</f>
        <v>0</v>
      </c>
      <c r="P166" s="512"/>
      <c r="Q166" s="513" t="s">
        <v>280</v>
      </c>
      <c r="R166" s="512" t="e">
        <f aca="false">IF(ISNUMBER(Q166),P166+Q166/100,IF(Q166="extra",(Z164*AL164-R165*AM164)/AN164,IF(Q166="inter",interpolateprices($Q$19:$R$260,ROW(Q166)-ROW(FirstPricingMonth)+1),interpolatechanges($P$19:$Q$260,ROW(Q166)-ROW(FirstPricingMonth)+1))))</f>
        <v>#VALUE!</v>
      </c>
      <c r="S166" s="597" t="n">
        <f aca="false">S$19+(S165-S$19)*S$18</f>
        <v>0.36</v>
      </c>
      <c r="T166" s="575" t="n">
        <f aca="false">SQRT((1-(1-T165^2/U165)*T$18)*U166)</f>
        <v>0.999999999986892</v>
      </c>
      <c r="U166" s="576" t="n">
        <f aca="false">1-(1-U165)*U$18</f>
        <v>1</v>
      </c>
      <c r="V166" s="521" t="n">
        <v>0</v>
      </c>
      <c r="W166" s="577" t="n">
        <f aca="false">(J167*AJ166+J168*AK166)/AI166</f>
        <v>0</v>
      </c>
      <c r="X166" s="578" t="n">
        <f aca="false">(L167*AJ166+L168*AK166)/AI166</f>
        <v>2.67613636363637</v>
      </c>
      <c r="Y166" s="579" t="n">
        <f aca="false">IF(Q168="extra",W166-AA166,(P167*AM166+P168*AN166)/AL166)</f>
        <v>-1.1931</v>
      </c>
      <c r="Z166" s="579" t="n">
        <f aca="false">IF(Q168="extra",X166-AB166,(R167*AM166+R168*AN166)/AL166)</f>
        <v>1.48303636363637</v>
      </c>
      <c r="AA166" s="523" t="n">
        <f aca="false">IF(Q168="extra",INDEX(BrentSeasonalityTable,INT((BG166-1)/3)+1)*VLOOKUP(MAX(BF166,$AB$4),PriceSpreadTable,3),W166-Y166)</f>
        <v>1.1931</v>
      </c>
      <c r="AB166" s="524" t="n">
        <f aca="false">IF(Q168="extra",INDEX(BrentSeasonalityTable,INT((BG166-1)/3)+1)*VLOOKUP(MAX(BF166,$AB$4),PriceSpreadTable,3),X166-Z166)</f>
        <v>1.1931</v>
      </c>
      <c r="AC166" s="646" t="n">
        <v>41202</v>
      </c>
      <c r="AD166" s="646" t="n">
        <v>41198</v>
      </c>
      <c r="AE166" s="646" t="n">
        <v>41197</v>
      </c>
      <c r="AF166" s="646" t="n">
        <v>41193</v>
      </c>
      <c r="AG166" s="438" t="s">
        <v>278</v>
      </c>
      <c r="AH166" s="439" t="s">
        <v>278</v>
      </c>
      <c r="AI166" s="528" t="n">
        <v>22</v>
      </c>
      <c r="AJ166" s="529" t="n">
        <v>14</v>
      </c>
      <c r="AK166" s="529" t="n">
        <v>8</v>
      </c>
      <c r="AL166" s="530" t="n">
        <v>22</v>
      </c>
      <c r="AM166" s="529" t="n">
        <v>10</v>
      </c>
      <c r="AN166" s="531" t="n">
        <v>12</v>
      </c>
      <c r="AO166" s="532"/>
      <c r="AP166" s="465" t="n">
        <f aca="false">(1+AO166/2)^(-2*BL166)</f>
        <v>1</v>
      </c>
      <c r="AQ166" s="532"/>
      <c r="AR166" s="465" t="n">
        <f aca="false">(1+AQ166/2)^(-2*BH166/365.25)</f>
        <v>1</v>
      </c>
      <c r="AS166" s="580" t="n">
        <f aca="false">(O167*AJ166+O168*AK166)/AI166</f>
        <v>0</v>
      </c>
      <c r="AT166" s="468" t="n">
        <f aca="false">O166*VLOOKUP(BF166,BrentVolTable,2)+VLOOKUP(BF166,BrentVolTable,3)</f>
        <v>0</v>
      </c>
      <c r="AU166" s="468" t="n">
        <f aca="false">(AT167*AM166+AT168*AN166)/AL166</f>
        <v>0</v>
      </c>
      <c r="AV166" s="595" t="n">
        <f aca="false">SQRT(MAX(0.000000000001,(O166^2*BH166-S166^2*(BH166-BH165))/BH165))</f>
        <v>0.0285888412059101</v>
      </c>
      <c r="AW166" s="451" t="n">
        <f aca="false">IF($I166-DateToday+15&gt;=$T$8,"",IF($I166-DateToday+15&lt;$T$5,1,MATCH($I166-DateToday+15,$T$5:$T$8)))</f>
        <v>1</v>
      </c>
      <c r="AX166" s="468" t="n">
        <f aca="false">IF($AW166="",AX165^2/AX164,INDEX(U$5:U$8,$AW166)^((INDEX($T$5:$T$8,$AW166+1)-($I166-DateToday+15))/(INDEX($T$5:$T$8,$AW166+1)-INDEX($T$5:$T$8,$AW166)))/INDEX(U$5:U$8,$AW166+1)^((INDEX($T$5:$T$8,$AW166)-($I166-DateToday+15))/(INDEX($T$5:$T$8,$AW166+1)-INDEX($T$5:$T$8,$AW166))))</f>
        <v>0.553351444765619</v>
      </c>
      <c r="AY166" s="468" t="n">
        <f aca="false">IF($AW166="",AY165^2/AY164,INDEX(V$5:V$8,$AW166)^((INDEX($T$5:$T$8,$AW166+1)-($I166-DateToday+15))/(INDEX($T$5:$T$8,$AW166+1)-INDEX($T$5:$T$8,$AW166)))/INDEX(V$5:V$8,$AW166+1)^((INDEX($T$5:$T$8,$AW166)-($I166-DateToday+15))/(INDEX($T$5:$T$8,$AW166+1)-INDEX($T$5:$T$8,$AW166))))</f>
        <v>11.1144043766685</v>
      </c>
      <c r="AZ166" s="468" t="n">
        <f aca="false">IF($AW166="",AZ165^2/AZ164,INDEX(W$5:W$8,$AW166)^((INDEX($T$5:$T$8,$AW166+1)-($I166-DateToday+15))/(INDEX($T$5:$T$8,$AW166+1)-INDEX($T$5:$T$8,$AW166)))/INDEX(W$5:W$8,$AW166+1)^((INDEX($T$5:$T$8,$AW166)-($I166-DateToday+15))/(INDEX($T$5:$T$8,$AW166+1)-INDEX($T$5:$T$8,$AW166))))</f>
        <v>4250.14541936582</v>
      </c>
      <c r="BA166" s="468" t="n">
        <f aca="false">IF($AW166="",BA165^2/BA164,INDEX(X$5:X$8,$AW166)^((INDEX($T$5:$T$8,$AW166+1)-($I166-DateToday+15))/(INDEX($T$5:$T$8,$AW166+1)-INDEX($T$5:$T$8,$AW166)))/INDEX(X$5:X$8,$AW166+1)^((INDEX($T$5:$T$8,$AW166)-($I166-DateToday+15))/(INDEX($T$5:$T$8,$AW166+1)-INDEX($T$5:$T$8,$AW166))))</f>
        <v>24498.1677944799</v>
      </c>
      <c r="BB166" s="468" t="n">
        <f aca="false">IF($AW166="",BB165^2/BB164,INDEX(Y$5:Y$8,$AW166)^((INDEX($T$5:$T$8,$AW166+1)-($I166-DateToday+15))/(INDEX($T$5:$T$8,$AW166+1)-INDEX($T$5:$T$8,$AW166)))/INDEX(Y$5:Y$8,$AW166+1)^((INDEX($T$5:$T$8,$AW166)-($I166-DateToday+15))/(INDEX($T$5:$T$8,$AW166+1)-INDEX($T$5:$T$8,$AW166))))</f>
        <v>159590.518337182</v>
      </c>
      <c r="BC166" s="468" t="n">
        <f aca="false">IF($AW166="",BC165^2/BC164,INDEX(Z$5:Z$8,$AW166)^((INDEX($T$5:$T$8,$AW166+1)-($I166-DateToday+15))/(INDEX($T$5:$T$8,$AW166+1)-INDEX($T$5:$T$8,$AW166)))/INDEX(Z$5:Z$8,$AW166+1)^((INDEX($T$5:$T$8,$AW166)-($I166-DateToday+15))/(INDEX($T$5:$T$8,$AW166+1)-INDEX($T$5:$T$8,$AW166))))</f>
        <v>498540.055764598</v>
      </c>
      <c r="BD166" s="535" t="n">
        <f aca="false">IF(OR(DateStart&gt;=I167,DateEnd&lt;I166),0,IF(VolumeOverrideFlag,V166,Volume))</f>
        <v>0</v>
      </c>
      <c r="BE166" s="536" t="n">
        <f aca="false">IF(OR(DateStart2&gt;=I167,DateEnd2&lt;I166),0,IF(VolumeOverrideFlag,V166,VolumeSwaption))</f>
        <v>0</v>
      </c>
      <c r="BF166" s="537" t="n">
        <f aca="false">YEAR(I166)</f>
        <v>2012</v>
      </c>
      <c r="BG166" s="538" t="n">
        <f aca="false">MONTH(I166)</f>
        <v>11</v>
      </c>
      <c r="BH166" s="539" t="n">
        <f aca="false">AD166-DateToday+1</f>
        <v>-4727</v>
      </c>
      <c r="BI166" s="540" t="n">
        <f aca="false">(I166-DateToday+1)/365.25</f>
        <v>-12.8980150581793</v>
      </c>
      <c r="BJ166" s="541" t="n">
        <f aca="false">BI166+(BL166-BI166)*CHOOSE(Underlying,AJ166/AI166,AM166/AL166)</f>
        <v>-12.8474892663804</v>
      </c>
      <c r="BK166" s="541" t="n">
        <f aca="false">BJ166+1/365.25</f>
        <v>-12.8447514155933</v>
      </c>
      <c r="BL166" s="541" t="n">
        <f aca="false">(I167-DateToday)/365.25</f>
        <v>-12.8186173853525</v>
      </c>
      <c r="BM166" s="542" t="e">
        <f aca="false">MAX(BI166-(BJ166-BI166)*(S167^2/O167^2-1),0)</f>
        <v>#DIV/0!</v>
      </c>
      <c r="BN166" s="541" t="e">
        <f aca="false">MAX(BL166+(BL166-BK166)*(S168^2/O168^2-1),0)</f>
        <v>#DIV/0!</v>
      </c>
      <c r="BO166" s="530" t="n">
        <f aca="false">CHOOSE(Underlying,AI166,AL166)</f>
        <v>22</v>
      </c>
      <c r="BP166" s="529" t="n">
        <f aca="false">CHOOSE(Underlying,AJ166,AM166)</f>
        <v>14</v>
      </c>
      <c r="BQ166" s="529" t="n">
        <f aca="false">CHOOSE(Underlying,AK166,AN166)</f>
        <v>8</v>
      </c>
      <c r="BR166" s="463" t="str">
        <f aca="false">IF(BD166,IF(Underlying=1,X166,Z166)+UnderlyingPriceAsian-SwapPriceCurve,"")</f>
        <v/>
      </c>
      <c r="BS166" s="463" t="str">
        <f aca="false">IF(BD166,Strike1/BR166-1,"")</f>
        <v/>
      </c>
      <c r="BT166" s="464" t="str">
        <f aca="false">IF(BD166,Strike2/BR166-1,"")</f>
        <v/>
      </c>
      <c r="BU166" s="465" t="str">
        <f aca="false">IF(BD166,IF(Underlying=1,L167,R167)+UnderlyingPriceAsian-SwapPriceCurve,"")</f>
        <v/>
      </c>
      <c r="BV166" s="465" t="str">
        <f aca="false">IF(BD166,IF(Underlying=1,L168,R168)+UnderlyingPriceAsian-SwapPriceCurve,"")</f>
        <v/>
      </c>
      <c r="BW166" s="466" t="str">
        <f aca="false">IF(BD166,IF(Underlying=1,O167,AT167),"")</f>
        <v/>
      </c>
      <c r="BX166" s="467" t="str">
        <f aca="false">IF(BD166,IF(Underlying=1,O168,AT168),"")</f>
        <v/>
      </c>
      <c r="BY166" s="466" t="str">
        <f aca="false">IF(BD166,IF(BS166&gt;0,IF(BS166&gt;0.2,BC166-BB166,IF(BS166&gt;0.1,BB166-BA166,BA166)),IF(BS166&lt;-0.2,AX166-AY166,IF(BS166&lt;-0.1,AY166-AZ166,AZ166))),"")</f>
        <v/>
      </c>
      <c r="BZ166" s="467" t="str">
        <f aca="false">IF(BD166,IF(BT166&gt;0,IF(BT166&gt;0.2,BC166-BB166,IF(BT166&gt;0.1,BB166-BA166,BA166)),IF(BT166&lt;-0.2,AX166-AY166,IF(BT166&lt;-0.1,AY166-AZ166,AZ166))),"")</f>
        <v/>
      </c>
      <c r="CA166" s="468" t="str">
        <f aca="false">IF($BD166,$BW166+IF(VolSkewFlag=1,IF(BS166&gt;0,$BA166*MIN(BS166/10%,1)+($BB166-$BA166)*MAX(0,MIN(BS166/10%-1,1))+($BC166-$BB166)*MAX(0,BS166/10%-2),$AZ166*MIN(-BS166/10%,1)+($AY166-$AZ166)*MAX(0,MIN(-BS166/10%-1,1))+($AX166-$AY166)*MAX(0,-BS166/10%-2)),0),"")</f>
        <v/>
      </c>
      <c r="CB166" s="468" t="str">
        <f aca="false">IF($BD166,$BX166+IF(VolSkewFlag=1,IF(BS166&gt;0,$BA166*MIN(BS166/10%,1)+($BB166-$BA166)*MAX(0,MIN(BS166/10%-1,1))+($BC166-$BB166)*MAX(0,BS166/10%-2),$AZ166*MIN(-BS166/10%,1)+($AY166-$AZ166)*MAX(0,MIN(-BS166/10%-1,1))+($AX166-$AY166)*MAX(0,-BS166/10%-2)),0),"")</f>
        <v/>
      </c>
      <c r="CC166" s="468" t="str">
        <f aca="false">IF($BD166,$BW166+IF(VolSkewFlag=1,IF(BT166&gt;0,$BA166*MIN(BT166/10%,1)+($BB166-$BA166)*MAX(0,MIN(BT166/10%-1,1))+($BC166-$BB166)*MAX(0,BT166/10%-2),$AZ166*MIN(-BT166/10%,1)+($AY166-$AZ166)*MAX(0,MIN(-BT166/10%-1,1))+($AX166-$AY166)*MAX(0,-BT166/10%-2)),0),"")</f>
        <v/>
      </c>
      <c r="CD166" s="468" t="str">
        <f aca="false">IF($BD166,$BX166+IF(VolSkewFlag=1,IF(BT166&gt;0,$BA166*MIN(BT166/10%,1)+($BB166-$BA166)*MAX(0,MIN(BT166/10%-1,1))+($BC166-$BB166)*MAX(0,BT166/10%-2),$AZ166*MIN(-BT166/10%,1)+($AY166-$AZ166)*MAX(0,MIN(-BT166/10%-1,1))+($AX166-$AY166)*MAX(0,-BT166/10%-2)),0),"")</f>
        <v/>
      </c>
      <c r="CE166" s="469" t="n">
        <v>1</v>
      </c>
      <c r="CF166" s="470" t="n">
        <f aca="false">IF(BD166,xCrudeAPO(BU166,BV166,CA166,CB166,S167,S168,BI166,BL166,BP166,BQ166,0,Strike1,AO166,CE166,0,BL166,IF(OptControl=4,0,1),0,1),0)</f>
        <v>0</v>
      </c>
      <c r="CG166" s="470" t="n">
        <f aca="false">IF(BD166,xCrudeAPO(BU166,BV166,CA166,CB166,S167,S168,BI166,BL166,BP166,BQ166,0,Strike1,AO166,CE166,0,BL166,IF(OptControl=4,0,1),1,1)+xCrudeAPO(BU166,BV166,CA166,CB166,S167,S168,BI166,BL166,BP166,BQ166,0,Strike1,AO166,CE166,0,BL166,IF(OptControl=4,0,1),1,2)+IF(OR(VolSkewFlag=2,ABS(BS166)&lt;0.0001),0,IF(BS166&gt;0,-1,1)*CH166*Strike1/BR166^2*BY166/10%),0)</f>
        <v>0</v>
      </c>
      <c r="CH166" s="470" t="n">
        <f aca="false">IF(BD166,(xCrudeAPO(BU166,BV166,CA166,CB166,S167,S168,BI166,BL166,BP166,BQ166,0,Strike1,AO166,CE166,0,BL166,IF(OptControl=4,0,1),3,1)+xCrudeAPO(BU166,BV166,CA166,CB166,S167,S168,BI166,BL166,BP166,BQ166,0,Strike1,AO166,CE166,0,BL166,IF(OptControl=4,0,1),3,2))/100,0)</f>
        <v>0</v>
      </c>
      <c r="CI166" s="470" t="n">
        <f aca="false">IF(BD166,xCrudeAPO(BU166,BV166,CA166,CB166,S167,S168,BI166-DaysForThetaCalculation/365.25,BL166-DaysForThetaCalculation/365.25,BP166,BQ166,0,Strike1,AO166,CE166,0,BL166,IF(OptControl=4,0,1),0,1)-xCrudeAPO(BU166,BV166,CA166,CB166,S167,S168,BI166,BL166,BP166,BQ166,0,Strike1,AO166,CE166,0,BL166,IF(OptControl=4,0,1),0,1),0)</f>
        <v>0</v>
      </c>
      <c r="CJ166" s="471" t="n">
        <f aca="false">IF(BD166,xCrudeAPO(BU166,BV166,CC166,CD166,S167,S168,BI166,BL166,BP166,BQ166,0,Strike2,AO166,CE166,0,BL166,IF(OptControl=3,1,0),0,1),0)</f>
        <v>0</v>
      </c>
      <c r="CK166" s="470" t="n">
        <f aca="false">IF(BD166,xCrudeAPO(BU166,BV166,CC166,CD166,S167,S168,BI166,BL166,BP166,BQ166,0,Strike2,AO166,CE166,0,BL166,IF(OptControl=3,1,0),1,1)+xCrudeAPO(BU166,BV166,CC166,CD166,S167,S168,BI166,BL166,BP166,BQ166,0,Strike2,AO166,CE166,0,BL166,IF(OptControl=3,1,0),1,2)+IF(OR(VolSkewFlag=2,ABS(BT166)&lt;0.0001),0,IF(BT166&gt;0,-1,1)*CL166*Strike2/BR166^2*BZ166/10%),0)</f>
        <v>0</v>
      </c>
      <c r="CL166" s="470" t="n">
        <f aca="false">IF(BD166,(xCrudeAPO(BU166,BV166,CC166,CD166,S167,S168,BI166,BL166,BP166,BQ166,0,Strike2,AO166,CE166,0,BL166,IF(OptControl=3,1,0),3,1)+xCrudeAPO(BU166,BV166,CC166,CD166,S167,S168,BI166,BL166,BP166,BQ166,0,Strike2,AO166,CE166,0,BL166,IF(OptControl=3,1,0),3,2))/100,0)</f>
        <v>0</v>
      </c>
      <c r="CM166" s="472" t="n">
        <f aca="false">IF(BD166,xCrudeAPO(BU166,BV166,CC166,CD166,S167,S168,BI166-DaysForThetaCalculation/365.25,BL166-DaysForThetaCalculation/365.25,BP166,BQ166,0,Strike2,AO166,CE166,0,BL166,IF(OptControl=3,1,0),0,1)-xCrudeAPO(BU166,BV166,CC166,CD166,S167,S168,BI166,BL166,BP166,BQ166,0,Strike2,AO166,CE166,0,BL166,IF(OptControl=3,1,0),0,1),0)</f>
        <v>0</v>
      </c>
      <c r="CN166" s="3"/>
      <c r="CO166" s="543" t="str">
        <f aca="false">IF(BD166,CHOOSE(Underlying,AD166,AF166)-DateToday+1,"")</f>
        <v/>
      </c>
      <c r="CP166" s="582" t="str">
        <f aca="false">IF(BD166,CHOOSE(Underlying,L166,R166),"")</f>
        <v/>
      </c>
      <c r="CQ166" s="544" t="str">
        <f aca="false">IF(BD166,Strike1/CP166-1,"")</f>
        <v/>
      </c>
      <c r="CR166" s="544" t="str">
        <f aca="false">IF(BD166,Strike2/CP166-1,"")</f>
        <v/>
      </c>
      <c r="CS166" s="544" t="str">
        <f aca="false">IF(BD166,IF(CQ166&gt;0,IF(CQ166&gt;0.2,BC165-BB165,IF(CQ166&gt;0.1,BB165-BA165,BA165)),IF(CQ166&lt;-0.2,AX165-AY165,IF(CQ166&lt;-0.1,AY165-AZ165,AZ165))),"")</f>
        <v/>
      </c>
      <c r="CT166" s="544" t="str">
        <f aca="false">IF(BD166,IF(CR166&gt;0,IF(CR166&gt;0.2,BC165-BB165,IF(CR166&gt;0.1,BB165-BA165,BA165)),IF(CR166&lt;-0.2,AX165-AY165,IF(CR166&lt;-0.1,AY165-AZ165,AZ165))),"")</f>
        <v/>
      </c>
      <c r="CU166" s="545" t="str">
        <f aca="false">IF(BD166,CHOOSE(Underlying,O166,AT166),"")</f>
        <v/>
      </c>
      <c r="CV166" s="545" t="str">
        <f aca="false">IF(BD166,CU166+IF(VolSkewFlag=1,IF(CQ166&gt;0,BA165*MIN(CQ166/10%,1)+(BB165-BA165)*MAX(0,MIN(CQ166/10%-1,1))+(BC165-BB165)*MAX(0,CQ166/10%-2),AZ165*MIN(-CQ166/10%,1)+(AY165-AZ165)*MAX(0,MIN(-CQ166/10%-1,1))+(AX165-AY165)*MAX(0,-CQ166/10%-2)),0),"")</f>
        <v/>
      </c>
      <c r="CW166" s="545" t="str">
        <f aca="false">IF(BD166,CU166+IF(VolSkewFlag=1,IF(CR166&gt;0,BA165*MIN(CR166/10%,1)+(BB165-BA165)*MAX(0,MIN(CR166/10%-1,1))+(BC165-BB165)*MAX(0,CR166/10%-2),AZ165*MIN(-CR166/10%,1)+(AY165-AZ165)*MAX(0,MIN(-CR166/10%-1,1))+(AX165-AY165)*MAX(0,-CR166/10%-2)),0),"")</f>
        <v/>
      </c>
      <c r="CX166" s="470" t="n">
        <f aca="false">IF(BD166,EURO(CP166,Strike1,AO166,AO166,CV166,CO166,IF(OptControl=4,0,1),0),0)</f>
        <v>0</v>
      </c>
      <c r="CY166" s="470" t="n">
        <f aca="false">IF(BD166,EURO(CP166,Strike1,AO166,AO166,CV166,CO166,IF(OptControl=4,0,1),1)+IF(OR(VolSkewFlag=2,ABS(CQ166)&lt;0.0001),0,IF(CQ166&gt;0,-1,1)*CZ166*100*Strike1/CP166^2*CS166/10%),0)</f>
        <v>0</v>
      </c>
      <c r="CZ166" s="470" t="n">
        <f aca="false">IF(BD166,EURO(CP166,Strike1,AO166,AO166,CV166,CO166,IF(OptControl=4,0,1),3)/100,0)</f>
        <v>0</v>
      </c>
      <c r="DA166" s="470" t="n">
        <f aca="false">IF(BD166,EURO(CP166,Strike1,AO166,AO166,CV166,CO166,IF(OptControl=4,0,1),0)-EURO(CP166,Strike1,AO166,AO166,CV166,CO166-1,IF(OptControl=4,0,1),0),0)</f>
        <v>0</v>
      </c>
      <c r="DB166" s="470" t="n">
        <f aca="false">IF(BD166,EURO(CP166,Strike2,AO166,AO166,CW166,CO166,IF(OptControl=3,1,0),0),0)</f>
        <v>0</v>
      </c>
      <c r="DC166" s="470" t="n">
        <f aca="false">IF(BD166,EURO(CP166,Strike2,AO166,AO166,CW166,CO166,IF(OptControl=3,1,0),1)+IF(OR(VolSkewFlag=2,ABS(CR166)&lt;0.0001),0,IF(CR166&gt;0,-1,1)*DD166*100*Strike2/CP166^2*CT166/10%),0)</f>
        <v>0</v>
      </c>
      <c r="DD166" s="470" t="n">
        <f aca="false">IF(BD166,EURO(CP166,Strike2,AO166,AO166,CW166,CO166,IF(OptControl=3,1,0),3)/100,0)</f>
        <v>0</v>
      </c>
      <c r="DE166" s="472" t="n">
        <f aca="false">IF(BD166,EURO(CP166,Strike2,AO166,AO166,CW166,CO166,IF(OptControl=3,1,0),0)-EURO(CP166,Strike2,AO166,AO166,CW166,CO166-1,IF(OptControl=3,1,0),0),0)</f>
        <v>0</v>
      </c>
      <c r="DG166" s="481" t="n">
        <f aca="false">EOMONTH(DG165,0)+1</f>
        <v>50131</v>
      </c>
      <c r="DH166" s="478" t="n">
        <v>21.4600000000001</v>
      </c>
      <c r="DI166" s="479" t="n">
        <v>21.5242857142858</v>
      </c>
      <c r="DJ166" s="480" t="n">
        <f aca="false">DG166</f>
        <v>50131</v>
      </c>
      <c r="DK166" s="478" t="n">
        <v>20.2700816306492</v>
      </c>
      <c r="DL166" s="479" t="n">
        <v>20.2327857142858</v>
      </c>
      <c r="DM166" s="481" t="n">
        <f aca="false">DG166</f>
        <v>50131</v>
      </c>
      <c r="DN166" s="482" t="n">
        <f aca="false">DK166+BrentPhyBrentSpread</f>
        <v>20.3200816306492</v>
      </c>
      <c r="DO166" s="481" t="n">
        <f aca="false">DG166</f>
        <v>50131</v>
      </c>
      <c r="DP166" s="483" t="n">
        <f aca="false">DL166+DQ166</f>
        <v>20.2327857142858</v>
      </c>
      <c r="DQ166" s="546" t="n">
        <v>0</v>
      </c>
      <c r="DR166" s="480" t="n">
        <f aca="false">DG166</f>
        <v>50131</v>
      </c>
      <c r="DS166" s="485" t="n">
        <v>0.136999999999999</v>
      </c>
      <c r="DT166" s="486" t="n">
        <v>0.13622857142857</v>
      </c>
      <c r="DU166" s="480" t="n">
        <f aca="false">DG166</f>
        <v>50131</v>
      </c>
      <c r="DV166" s="485" t="n">
        <v>0.136999999999999</v>
      </c>
      <c r="DW166" s="486" t="n">
        <v>0.13622857142857</v>
      </c>
      <c r="DX166" s="481" t="n">
        <f aca="false">DG166</f>
        <v>50131</v>
      </c>
      <c r="DY166" s="486" t="n">
        <v>0.35</v>
      </c>
      <c r="DZ166" s="481" t="n">
        <f aca="false">DR166</f>
        <v>50131</v>
      </c>
      <c r="EA166" s="486" t="n">
        <f aca="false">DT166</f>
        <v>0.13622857142857</v>
      </c>
      <c r="EB166" s="195"/>
      <c r="EC166" s="547" t="str">
        <f aca="false">IF(BD166,IF(Underlying=1,AS166,AU166),"")</f>
        <v/>
      </c>
      <c r="ED166" s="548" t="str">
        <f aca="false">IF($BD166,$EC166+IF(VolSkewFlag=1,IF(BS166&gt;0,$BA166*MIN(BS166/10%,1)+($BB166-$BA166)*MAX(0,MIN(BS166/10%-1,1))+($BC166-$BB166)*MAX(0,BS166/10%-2),$AZ166*MIN(-BS166/10%,1)+($AY166-$AZ166)*MAX(0,MIN(-BS166/10%-1,1))+($AX166-$AY166)*MAX(0,-BS166/10%-2)),0),"")</f>
        <v/>
      </c>
      <c r="EE166" s="549" t="str">
        <f aca="false">IF($BD166,$EC166+IF(VolSkewFlag=1,IF(BT166&gt;0,$BA166*MIN(BT166/10%,1)+($BB166-$BA166)*MAX(0,MIN(BT166/10%-1,1))+($BC166-$BB166)*MAX(0,BT166/10%-2),$AZ166*MIN(-BT166/10%,1)+($AY166-$AZ166)*MAX(0,MIN(-BT166/10%-1,1))+($AX166-$AY166)*MAX(0,-BT166/10%-2)),0),"")</f>
        <v/>
      </c>
      <c r="EF166" s="550" t="n">
        <f aca="false">IF(BD166,xASN(BR166,Strike1,AO166,ED166,0,BO166,0,BI166,BL166,IF(OptControl=4,0,1),0),0)</f>
        <v>0</v>
      </c>
      <c r="EG166" s="551" t="n">
        <f aca="false">IF(BD166,xASN(BR166,Strike2,AO166,EE166,0,BO166,0,BI166,BL166,IF(OptControl=3,1,0),0),0)</f>
        <v>0</v>
      </c>
      <c r="EL166" s="1"/>
      <c r="EM166" s="195"/>
      <c r="EN166" s="240"/>
      <c r="EO166" s="240"/>
      <c r="EP166" s="195"/>
      <c r="EQ166" s="407" t="s">
        <v>393</v>
      </c>
      <c r="ES166" s="130"/>
      <c r="ET166" s="19"/>
      <c r="EU166" s="672"/>
      <c r="EV166" s="478"/>
      <c r="EW166" s="131"/>
      <c r="EX166" s="131"/>
      <c r="EY166" s="129"/>
      <c r="EZ166" s="129"/>
      <c r="FA166" s="129"/>
      <c r="FB166" s="129"/>
      <c r="FC166" s="129"/>
      <c r="FD166" s="129"/>
      <c r="FE166" s="129"/>
      <c r="FF166" s="129"/>
      <c r="FG166" s="129"/>
      <c r="FH166" s="129"/>
      <c r="FI166" s="129"/>
      <c r="FJ166" s="668" t="n">
        <v>72</v>
      </c>
      <c r="FK166" s="669" t="e">
        <f aca="false">IF($FJ91&lt;FK$94,"",SQRT(FK91/FK$15))</f>
        <v>#DIV/0!</v>
      </c>
      <c r="FL166" s="669" t="n">
        <f aca="false">IF($FJ91&lt;FL$94,"",SQRT(FL91/FL$15))</f>
        <v>-0</v>
      </c>
      <c r="FM166" s="669" t="n">
        <f aca="false">IF($FJ91&lt;FM$94,"",SQRT(FM91/FM$15))</f>
        <v>0.17049874362219</v>
      </c>
      <c r="FN166" s="669" t="n">
        <f aca="false">IF($FJ91&lt;FN$94,"",SQRT(FN91/FN$15))</f>
        <v>0.167220365721327</v>
      </c>
      <c r="FO166" s="669" t="n">
        <f aca="false">IF($FJ91&lt;FO$94,"",SQRT(FO91/FO$15))</f>
        <v>0.164761754465097</v>
      </c>
      <c r="FP166" s="669" t="n">
        <f aca="false">IF($FJ91&lt;FP$94,"",SQRT(FP91/FP$15))</f>
        <v>0.162917998329688</v>
      </c>
      <c r="FQ166" s="669" t="n">
        <f aca="false">IF($FJ91&lt;FQ$94,"",SQRT(FQ91/FQ$15))</f>
        <v>0.16153541866843</v>
      </c>
      <c r="FR166" s="669" t="n">
        <f aca="false">IF($FJ91&lt;FR$94,"",SQRT(FR91/FR$15))</f>
        <v>0.160498762354096</v>
      </c>
      <c r="FS166" s="669" t="n">
        <f aca="false">IF($FJ91&lt;FS$94,"",SQRT(FS91/FS$15))</f>
        <v>0.159721596405061</v>
      </c>
      <c r="FT166" s="669" t="n">
        <f aca="false">IF($FJ91&lt;FT$94,"",SQRT(FT91/FT$15))</f>
        <v>0.159139104124081</v>
      </c>
      <c r="FU166" s="669" t="n">
        <f aca="false">IF($FJ91&lt;FU$94,"",SQRT(FU91/FU$15))</f>
        <v>0.158702682400425</v>
      </c>
      <c r="FV166" s="669" t="n">
        <f aca="false">IF($FJ91&lt;FV$94,"",SQRT(FV91/FV$15))</f>
        <v>0.158375889918326</v>
      </c>
      <c r="FW166" s="669" t="n">
        <f aca="false">IF($FJ91&lt;FW$94,"",SQRT(FW91/FW$15))</f>
        <v>0.158131408584666</v>
      </c>
      <c r="FX166" s="669" t="n">
        <f aca="false">IF($FJ91&lt;FX$94,"",SQRT(FX91/FX$15))</f>
        <v>0.157948764917302</v>
      </c>
      <c r="FY166" s="669" t="n">
        <f aca="false">IF($FJ91&lt;FY$94,"",SQRT(FY91/FY$15))</f>
        <v>0.157812621457933</v>
      </c>
      <c r="FZ166" s="669" t="n">
        <f aca="false">IF($FJ91&lt;FZ$94,"",SQRT(FZ91/FZ$15))</f>
        <v>0.157711495766602</v>
      </c>
      <c r="GA166" s="669" t="n">
        <f aca="false">IF($FJ91&lt;GA$94,"",SQRT(GA91/GA$15))</f>
        <v>0.157636800176435</v>
      </c>
      <c r="GB166" s="669" t="n">
        <f aca="false">IF($FJ91&lt;GB$94,"",SQRT(GB91/GB$15))</f>
        <v>0.157582122205146</v>
      </c>
      <c r="GC166" s="669" t="n">
        <f aca="false">IF($FJ91&lt;GC$94,"",SQRT(GC91/GC$15))</f>
        <v>0.157542685560482</v>
      </c>
      <c r="GD166" s="669" t="n">
        <f aca="false">IF($FJ91&lt;GD$94,"",SQRT(GD91/GD$15))</f>
        <v>0.157514946709775</v>
      </c>
      <c r="GE166" s="669" t="n">
        <f aca="false">IF($FJ91&lt;GE$94,"",SQRT(GE91/GE$15))</f>
        <v>0.157496293261502</v>
      </c>
      <c r="GF166" s="669" t="n">
        <f aca="false">IF($FJ91&lt;GF$94,"",SQRT(GF91/GF$15))</f>
        <v>0.157484818868539</v>
      </c>
      <c r="GG166" s="669" t="n">
        <f aca="false">IF($FJ91&lt;GG$94,"",SQRT(GG91/GG$15))</f>
        <v>0.15747915571327</v>
      </c>
      <c r="GH166" s="669" t="n">
        <f aca="false">IF($FJ91&lt;GH$94,"",SQRT(GH91/GH$15))</f>
        <v>0.157478350402352</v>
      </c>
      <c r="GI166" s="669" t="n">
        <f aca="false">IF($FJ91&lt;GI$94,"",SQRT(GI91/GI$15))</f>
        <v>0.157481772680446</v>
      </c>
      <c r="GJ166" s="669" t="n">
        <f aca="false">IF($FJ91&lt;GJ$94,"",SQRT(GJ91/GJ$15))</f>
        <v>0.157489049064966</v>
      </c>
      <c r="GK166" s="669" t="n">
        <f aca="false">IF($FJ91&lt;GK$94,"",SQRT(GK91/GK$15))</f>
        <v>0.157500015531497</v>
      </c>
      <c r="GL166" s="669" t="n">
        <f aca="false">IF($FJ91&lt;GL$94,"",SQRT(GL91/GL$15))</f>
        <v>0.157514684909503</v>
      </c>
      <c r="GM166" s="669" t="n">
        <f aca="false">IF($FJ91&lt;GM$94,"",SQRT(GM91/GM$15))</f>
        <v>0.157533225806622</v>
      </c>
      <c r="GN166" s="669" t="n">
        <f aca="false">IF($FJ91&lt;GN$94,"",SQRT(GN91/GN$15))</f>
        <v>0.157555950761957</v>
      </c>
      <c r="GO166" s="669" t="n">
        <f aca="false">IF($FJ91&lt;GO$94,"",SQRT(GO91/GO$15))</f>
        <v>0.157583312006104</v>
      </c>
      <c r="GP166" s="669" t="n">
        <f aca="false">IF($FJ91&lt;GP$94,"",SQRT(GP91/GP$15))</f>
        <v>0.157615903732287</v>
      </c>
      <c r="GQ166" s="669" t="n">
        <f aca="false">IF($FJ91&lt;GQ$94,"",SQRT(GQ91/GQ$15))</f>
        <v>0.157654470200389</v>
      </c>
      <c r="GR166" s="669" t="n">
        <f aca="false">IF($FJ91&lt;GR$94,"",SQRT(GR91/GR$15))</f>
        <v>0.157699919335486</v>
      </c>
      <c r="GS166" s="669" t="n">
        <f aca="false">IF($FJ91&lt;GS$94,"",SQRT(GS91/GS$15))</f>
        <v>0.157753341769757</v>
      </c>
      <c r="GT166" s="669" t="n">
        <f aca="false">IF($FJ91&lt;GT$94,"",SQRT(GT91/GT$15))</f>
        <v>0.157816035531138</v>
      </c>
      <c r="GU166" s="669" t="n">
        <f aca="false">IF($FJ91&lt;GU$94,"",SQRT(GU91/GU$15))</f>
        <v>0.157889536820465</v>
      </c>
      <c r="GV166" s="669" t="n">
        <f aca="false">IF($FJ91&lt;GV$94,"",SQRT(GV91/GV$15))</f>
        <v>0.157975657555645</v>
      </c>
      <c r="GW166" s="669" t="n">
        <f aca="false">IF($FJ91&lt;GW$94,"",SQRT(GW91/GW$15))</f>
        <v>0.158076530610116</v>
      </c>
      <c r="GX166" s="669" t="n">
        <f aca="false">IF($FJ91&lt;GX$94,"",SQRT(GX91/GX$15))</f>
        <v>0.15819466394739</v>
      </c>
      <c r="GY166" s="669" t="n">
        <f aca="false">IF($FJ91&lt;GY$94,"",SQRT(GY91/GY$15))</f>
        <v>0.158333005168508</v>
      </c>
      <c r="GZ166" s="669" t="n">
        <f aca="false">IF($FJ91&lt;GZ$94,"",SQRT(GZ91/GZ$15))</f>
        <v>0.158495018362326</v>
      </c>
      <c r="HA166" s="669" t="n">
        <f aca="false">IF($FJ91&lt;HA$94,"",SQRT(HA91/HA$15))</f>
        <v>0.158684775600513</v>
      </c>
      <c r="HB166" s="669" t="n">
        <f aca="false">IF($FJ91&lt;HB$94,"",SQRT(HB91/HB$15))</f>
        <v>0.158907065976945</v>
      </c>
      <c r="HC166" s="669" t="n">
        <f aca="false">IF($FJ91&lt;HC$94,"",SQRT(HC91/HC$15))</f>
        <v>0.159167525789431</v>
      </c>
      <c r="HD166" s="669" t="n">
        <f aca="false">IF($FJ91&lt;HD$94,"",SQRT(HD91/HD$15))</f>
        <v>0.159472794346617</v>
      </c>
      <c r="HE166" s="669" t="n">
        <f aca="false">IF($FJ91&lt;HE$94,"",SQRT(HE91/HE$15))</f>
        <v>0.159830701016667</v>
      </c>
      <c r="HF166" s="669" t="n">
        <f aca="false">IF($FJ91&lt;HF$94,"",SQRT(HF91/HF$15))</f>
        <v>0.160250490601486</v>
      </c>
      <c r="HG166" s="669" t="n">
        <f aca="false">IF($FJ91&lt;HG$94,"",SQRT(HG91/HG$15))</f>
        <v>0.160743096037629</v>
      </c>
      <c r="HH166" s="669" t="n">
        <f aca="false">IF($FJ91&lt;HH$94,"",SQRT(HH91/HH$15))</f>
        <v>0.161321469954636</v>
      </c>
      <c r="HI166" s="669" t="n">
        <f aca="false">IF($FJ91&lt;HI$94,"",SQRT(HI91/HI$15))</f>
        <v>0.162000989991165</v>
      </c>
      <c r="HJ166" s="669" t="n">
        <f aca="false">IF($FJ91&lt;HJ$94,"",SQRT(HJ91/HJ$15))</f>
        <v>0.162799957301552</v>
      </c>
      <c r="HK166" s="669" t="n">
        <f aca="false">IF($FJ91&lt;HK$94,"",SQRT(HK91/HK$15))</f>
        <v>0.163740213842245</v>
      </c>
      <c r="HL166" s="669" t="n">
        <f aca="false">IF($FJ91&lt;HL$94,"",SQRT(HL91/HL$15))</f>
        <v>0.164847912477139</v>
      </c>
      <c r="HM166" s="669" t="n">
        <f aca="false">IF($FJ91&lt;HM$94,"",SQRT(HM91/HM$15))</f>
        <v>0.166154485660595</v>
      </c>
      <c r="HN166" s="669" t="n">
        <f aca="false">IF($FJ91&lt;HN$94,"",SQRT(HN91/HN$15))</f>
        <v>0.167697874893623</v>
      </c>
      <c r="HO166" s="669" t="n">
        <f aca="false">IF($FJ91&lt;HO$94,"",SQRT(HO91/HO$15))</f>
        <v>0.169524106471752</v>
      </c>
      <c r="HP166" s="669" t="n">
        <f aca="false">IF($FJ91&lt;HP$94,"",SQRT(HP91/HP$15))</f>
        <v>0.171689332549872</v>
      </c>
      <c r="HQ166" s="669" t="n">
        <f aca="false">IF($FJ91&lt;HQ$94,"",SQRT(HQ91/HQ$15))</f>
        <v>0.174262505327218</v>
      </c>
      <c r="HR166" s="669" t="n">
        <f aca="false">IF($FJ91&lt;HR$94,"",SQRT(HR91/HR$15))</f>
        <v>0.177328924179757</v>
      </c>
      <c r="HS166" s="669" t="n">
        <f aca="false">IF($FJ91&lt;HS$94,"",SQRT(HS91/HS$15))</f>
        <v>0.180995003557451</v>
      </c>
      <c r="HT166" s="669" t="n">
        <f aca="false">IF($FJ91&lt;HT$94,"",SQRT(HT91/HT$15))</f>
        <v>0.185394774090551</v>
      </c>
      <c r="HU166" s="669" t="n">
        <f aca="false">IF($FJ91&lt;HU$94,"",SQRT(HU91/HU$15))</f>
        <v>0.190698884889239</v>
      </c>
      <c r="HV166" s="669" t="n">
        <f aca="false">IF($FJ91&lt;HV$94,"",SQRT(HV91/HV$15))</f>
        <v>0.197127279580345</v>
      </c>
      <c r="HW166" s="669" t="n">
        <f aca="false">IF($FJ91&lt;HW$94,"",SQRT(HW91/HW$15))</f>
        <v>0.204967373094713</v>
      </c>
      <c r="HX166" s="669" t="n">
        <f aca="false">IF($FJ91&lt;HX$94,"",SQRT(HX91/HX$15))</f>
        <v>0.214600640442074</v>
      </c>
      <c r="HY166" s="669" t="n">
        <f aca="false">IF($FJ91&lt;HY$94,"",SQRT(HY91/HY$15))</f>
        <v>0.226542372656096</v>
      </c>
      <c r="HZ166" s="669" t="n">
        <f aca="false">IF($FJ91&lt;HZ$94,"",SQRT(HZ91/HZ$15))</f>
        <v>0.241502583811191</v>
      </c>
      <c r="IA166" s="669" t="n">
        <f aca="false">IF($FJ91&lt;IA$94,"",SQRT(IA91/IA$15))</f>
        <v>0.26048189330547</v>
      </c>
      <c r="IB166" s="669" t="n">
        <f aca="false">IF($FJ91&lt;IB$94,"",SQRT(IB91/IB$15))</f>
        <v>0.284927165005227</v>
      </c>
      <c r="IC166" s="669" t="n">
        <f aca="false">IF($FJ91&lt;IC$94,"",SQRT(IC91/IC$15))</f>
        <v>0.316993111449652</v>
      </c>
      <c r="ID166" s="670" t="n">
        <f aca="false">IF($FJ91&lt;ID$94,"",SQRT(ID91/ID$15))</f>
        <v>0.360000000071837</v>
      </c>
      <c r="IE166" s="129"/>
    </row>
    <row r="167" customFormat="false" ht="12.75" hidden="false" customHeight="false" outlineLevel="0" collapsed="false">
      <c r="H167" s="219" t="n">
        <f aca="false">VLOOKUP(I167,$EJ$20:$EL$54,3)</f>
        <v>0</v>
      </c>
      <c r="I167" s="511" t="n">
        <f aca="false">EOMONTH(I166,0)+1</f>
        <v>41244</v>
      </c>
      <c r="J167" s="512"/>
      <c r="K167" s="513" t="s">
        <v>280</v>
      </c>
      <c r="L167" s="514" t="n">
        <f aca="false">IF(ISNUMBER(K167),J167+K167/100,IF(K167="extra",L166+VLOOKUP(BF167,PriceSpreadTable,2)/12,IF(K167="inter",interpolateprices($K$19:$L$200,ROW(K167)-ROW(FirstPricingMonth)+1),interpolatechanges($J$19:$K$200,ROW(K167)-ROW(FirstPricingMonth)+1))))</f>
        <v>2.6625</v>
      </c>
      <c r="M167" s="515"/>
      <c r="N167" s="516" t="n">
        <v>0</v>
      </c>
      <c r="O167" s="515" t="n">
        <f aca="false">M167+N167</f>
        <v>0</v>
      </c>
      <c r="P167" s="512"/>
      <c r="Q167" s="513" t="s">
        <v>280</v>
      </c>
      <c r="R167" s="512" t="e">
        <f aca="false">IF(ISNUMBER(Q167),P167+Q167/100,IF(Q167="extra",(Z165*AL165-R166*AM165)/AN165,IF(Q167="inter",interpolateprices($Q$19:$R$260,ROW(Q167)-ROW(FirstPricingMonth)+1),interpolatechanges($P$19:$Q$260,ROW(Q167)-ROW(FirstPricingMonth)+1))))</f>
        <v>#VALUE!</v>
      </c>
      <c r="S167" s="597" t="n">
        <f aca="false">S$19+(S166-S$19)*S$18</f>
        <v>0.36</v>
      </c>
      <c r="T167" s="575" t="n">
        <f aca="false">SQRT((1-(1-T166^2/U166)*T$18)*U167)</f>
        <v>0.999999999988792</v>
      </c>
      <c r="U167" s="576" t="n">
        <f aca="false">1-(1-U166)*U$18</f>
        <v>1</v>
      </c>
      <c r="V167" s="521" t="n">
        <v>0</v>
      </c>
      <c r="W167" s="577" t="n">
        <f aca="false">(J168*AJ167+J169*AK167)/AI167</f>
        <v>0</v>
      </c>
      <c r="X167" s="578" t="n">
        <f aca="false">(L168*AJ167+L169*AK167)/AI167</f>
        <v>2.71125</v>
      </c>
      <c r="Y167" s="579" t="n">
        <f aca="false">IF(Q169="extra",W167-AA167,(P168*AM167+P169*AN167)/AL167)</f>
        <v>-1.1931</v>
      </c>
      <c r="Z167" s="579" t="n">
        <f aca="false">IF(Q169="extra",X167-AB167,(R168*AM167+R169*AN167)/AL167)</f>
        <v>1.51815</v>
      </c>
      <c r="AA167" s="523" t="n">
        <f aca="false">IF(Q169="extra",INDEX(BrentSeasonalityTable,INT((BG167-1)/3)+1)*VLOOKUP(MAX(BF167,$AB$4),PriceSpreadTable,3),W167-Y167)</f>
        <v>1.1931</v>
      </c>
      <c r="AB167" s="524" t="n">
        <f aca="false">IF(Q169="extra",INDEX(BrentSeasonalityTable,INT((BG167-1)/3)+1)*VLOOKUP(MAX(BF167,$AB$4),PriceSpreadTable,3),X167-Z167)</f>
        <v>1.1931</v>
      </c>
      <c r="AC167" s="646" t="n">
        <v>41233</v>
      </c>
      <c r="AD167" s="646" t="n">
        <v>41229</v>
      </c>
      <c r="AE167" s="646" t="n">
        <v>41228</v>
      </c>
      <c r="AF167" s="646" t="n">
        <v>41224</v>
      </c>
      <c r="AG167" s="438" t="s">
        <v>278</v>
      </c>
      <c r="AH167" s="439" t="s">
        <v>278</v>
      </c>
      <c r="AI167" s="528" t="n">
        <v>20</v>
      </c>
      <c r="AJ167" s="529" t="n">
        <v>14</v>
      </c>
      <c r="AK167" s="529" t="n">
        <v>6</v>
      </c>
      <c r="AL167" s="530" t="n">
        <v>20</v>
      </c>
      <c r="AM167" s="529" t="n">
        <v>10</v>
      </c>
      <c r="AN167" s="531" t="n">
        <v>10</v>
      </c>
      <c r="AO167" s="532"/>
      <c r="AP167" s="465" t="n">
        <f aca="false">(1+AO167/2)^(-2*BL167)</f>
        <v>1</v>
      </c>
      <c r="AQ167" s="532"/>
      <c r="AR167" s="465" t="n">
        <f aca="false">(1+AQ167/2)^(-2*BH167/365.25)</f>
        <v>1</v>
      </c>
      <c r="AS167" s="580" t="n">
        <f aca="false">(O168*AJ167+O169*AK167)/AI167</f>
        <v>0</v>
      </c>
      <c r="AT167" s="468" t="n">
        <f aca="false">O167*VLOOKUP(BF167,BrentVolTable,2)+VLOOKUP(BF167,BrentVolTable,3)</f>
        <v>0</v>
      </c>
      <c r="AU167" s="468" t="n">
        <f aca="false">(AT168*AM167+AT169*AN167)/AL167</f>
        <v>0</v>
      </c>
      <c r="AV167" s="595" t="n">
        <f aca="false">SQRT(MAX(0.000000000001,(O167^2*BH167-S167^2*(BH167-BH166))/BH166))</f>
        <v>0.029153489624173</v>
      </c>
      <c r="AW167" s="451" t="n">
        <f aca="false">IF($I167-DateToday+15&gt;=$T$8,"",IF($I167-DateToday+15&lt;$T$5,1,MATCH($I167-DateToday+15,$T$5:$T$8)))</f>
        <v>1</v>
      </c>
      <c r="AX167" s="468" t="n">
        <f aca="false">IF($AW167="",AX166^2/AX165,INDEX(U$5:U$8,$AW167)^((INDEX($T$5:$T$8,$AW167+1)-($I167-DateToday+15))/(INDEX($T$5:$T$8,$AW167+1)-INDEX($T$5:$T$8,$AW167)))/INDEX(U$5:U$8,$AW167+1)^((INDEX($T$5:$T$8,$AW167)-($I167-DateToday+15))/(INDEX($T$5:$T$8,$AW167+1)-INDEX($T$5:$T$8,$AW167))))</f>
        <v>0.541813160952344</v>
      </c>
      <c r="AY167" s="468" t="n">
        <f aca="false">IF($AW167="",AY166^2/AY165,INDEX(V$5:V$8,$AW167)^((INDEX($T$5:$T$8,$AW167+1)-($I167-DateToday+15))/(INDEX($T$5:$T$8,$AW167+1)-INDEX($T$5:$T$8,$AW167)))/INDEX(V$5:V$8,$AW167+1)^((INDEX($T$5:$T$8,$AW167)-($I167-DateToday+15))/(INDEX($T$5:$T$8,$AW167+1)-INDEX($T$5:$T$8,$AW167))))</f>
        <v>10.6622992575373</v>
      </c>
      <c r="AZ167" s="468" t="n">
        <f aca="false">IF($AW167="",AZ166^2/AZ165,INDEX(W$5:W$8,$AW167)^((INDEX($T$5:$T$8,$AW167+1)-($I167-DateToday+15))/(INDEX($T$5:$T$8,$AW167+1)-INDEX($T$5:$T$8,$AW167)))/INDEX(W$5:W$8,$AW167+1)^((INDEX($T$5:$T$8,$AW167)-($I167-DateToday+15))/(INDEX($T$5:$T$8,$AW167+1)-INDEX($T$5:$T$8,$AW167))))</f>
        <v>3919.09271614511</v>
      </c>
      <c r="BA167" s="468" t="n">
        <f aca="false">IF($AW167="",BA166^2/BA165,INDEX(X$5:X$8,$AW167)^((INDEX($T$5:$T$8,$AW167+1)-($I167-DateToday+15))/(INDEX($T$5:$T$8,$AW167+1)-INDEX($T$5:$T$8,$AW167)))/INDEX(X$5:X$8,$AW167+1)^((INDEX($T$5:$T$8,$AW167)-($I167-DateToday+15))/(INDEX($T$5:$T$8,$AW167+1)-INDEX($T$5:$T$8,$AW167))))</f>
        <v>22118.9167979155</v>
      </c>
      <c r="BB167" s="468" t="n">
        <f aca="false">IF($AW167="",BB166^2/BB165,INDEX(Y$5:Y$8,$AW167)^((INDEX($T$5:$T$8,$AW167+1)-($I167-DateToday+15))/(INDEX($T$5:$T$8,$AW167+1)-INDEX($T$5:$T$8,$AW167)))/INDEX(Y$5:Y$8,$AW167+1)^((INDEX($T$5:$T$8,$AW167)-($I167-DateToday+15))/(INDEX($T$5:$T$8,$AW167+1)-INDEX($T$5:$T$8,$AW167))))</f>
        <v>142691.950843402</v>
      </c>
      <c r="BC167" s="468" t="n">
        <f aca="false">IF($AW167="",BC166^2/BC165,INDEX(Z$5:Z$8,$AW167)^((INDEX($T$5:$T$8,$AW167+1)-($I167-DateToday+15))/(INDEX($T$5:$T$8,$AW167+1)-INDEX($T$5:$T$8,$AW167)))/INDEX(Z$5:Z$8,$AW167+1)^((INDEX($T$5:$T$8,$AW167)-($I167-DateToday+15))/(INDEX($T$5:$T$8,$AW167+1)-INDEX($T$5:$T$8,$AW167))))</f>
        <v>443246.746923076</v>
      </c>
      <c r="BD167" s="535" t="n">
        <f aca="false">IF(OR(DateStart&gt;=I168,DateEnd&lt;I167),0,IF(VolumeOverrideFlag,V167,Volume))</f>
        <v>0</v>
      </c>
      <c r="BE167" s="536" t="n">
        <f aca="false">IF(OR(DateStart2&gt;=I168,DateEnd2&lt;I167),0,IF(VolumeOverrideFlag,V167,VolumeSwaption))</f>
        <v>0</v>
      </c>
      <c r="BF167" s="537" t="n">
        <f aca="false">YEAR(I167)</f>
        <v>2012</v>
      </c>
      <c r="BG167" s="538" t="n">
        <f aca="false">MONTH(I167)</f>
        <v>12</v>
      </c>
      <c r="BH167" s="539" t="n">
        <f aca="false">AD167-DateToday+1</f>
        <v>-4696</v>
      </c>
      <c r="BI167" s="540" t="n">
        <f aca="false">(I167-DateToday+1)/365.25</f>
        <v>-12.8158795345654</v>
      </c>
      <c r="BJ167" s="541" t="n">
        <f aca="false">BI167+(BL167-BI167)*CHOOSE(Underlying,AJ167/AI167,AM167/AL167)</f>
        <v>-12.7583846680356</v>
      </c>
      <c r="BK167" s="541" t="n">
        <f aca="false">BJ167+1/365.25</f>
        <v>-12.7556468172485</v>
      </c>
      <c r="BL167" s="541" t="n">
        <f aca="false">(I168-DateToday)/365.25</f>
        <v>-12.7337440109514</v>
      </c>
      <c r="BM167" s="542" t="e">
        <f aca="false">MAX(BI167-(BJ167-BI167)*(S168^2/O168^2-1),0)</f>
        <v>#DIV/0!</v>
      </c>
      <c r="BN167" s="541" t="e">
        <f aca="false">MAX(BL167+(BL167-BK167)*(S169^2/O169^2-1),0)</f>
        <v>#DIV/0!</v>
      </c>
      <c r="BO167" s="530" t="n">
        <f aca="false">CHOOSE(Underlying,AI167,AL167)</f>
        <v>20</v>
      </c>
      <c r="BP167" s="529" t="n">
        <f aca="false">CHOOSE(Underlying,AJ167,AM167)</f>
        <v>14</v>
      </c>
      <c r="BQ167" s="529" t="n">
        <f aca="false">CHOOSE(Underlying,AK167,AN167)</f>
        <v>6</v>
      </c>
      <c r="BR167" s="463" t="str">
        <f aca="false">IF(BD167,IF(Underlying=1,X167,Z167)+UnderlyingPriceAsian-SwapPriceCurve,"")</f>
        <v/>
      </c>
      <c r="BS167" s="463" t="str">
        <f aca="false">IF(BD167,Strike1/BR167-1,"")</f>
        <v/>
      </c>
      <c r="BT167" s="464" t="str">
        <f aca="false">IF(BD167,Strike2/BR167-1,"")</f>
        <v/>
      </c>
      <c r="BU167" s="465" t="str">
        <f aca="false">IF(BD167,IF(Underlying=1,L168,R168)+UnderlyingPriceAsian-SwapPriceCurve,"")</f>
        <v/>
      </c>
      <c r="BV167" s="465" t="str">
        <f aca="false">IF(BD167,IF(Underlying=1,L169,R169)+UnderlyingPriceAsian-SwapPriceCurve,"")</f>
        <v/>
      </c>
      <c r="BW167" s="466" t="str">
        <f aca="false">IF(BD167,IF(Underlying=1,O168,AT168),"")</f>
        <v/>
      </c>
      <c r="BX167" s="467" t="str">
        <f aca="false">IF(BD167,IF(Underlying=1,O169,AT169),"")</f>
        <v/>
      </c>
      <c r="BY167" s="466" t="str">
        <f aca="false">IF(BD167,IF(BS167&gt;0,IF(BS167&gt;0.2,BC167-BB167,IF(BS167&gt;0.1,BB167-BA167,BA167)),IF(BS167&lt;-0.2,AX167-AY167,IF(BS167&lt;-0.1,AY167-AZ167,AZ167))),"")</f>
        <v/>
      </c>
      <c r="BZ167" s="467" t="str">
        <f aca="false">IF(BD167,IF(BT167&gt;0,IF(BT167&gt;0.2,BC167-BB167,IF(BT167&gt;0.1,BB167-BA167,BA167)),IF(BT167&lt;-0.2,AX167-AY167,IF(BT167&lt;-0.1,AY167-AZ167,AZ167))),"")</f>
        <v/>
      </c>
      <c r="CA167" s="468" t="str">
        <f aca="false">IF($BD167,$BW167+IF(VolSkewFlag=1,IF(BS167&gt;0,$BA167*MIN(BS167/10%,1)+($BB167-$BA167)*MAX(0,MIN(BS167/10%-1,1))+($BC167-$BB167)*MAX(0,BS167/10%-2),$AZ167*MIN(-BS167/10%,1)+($AY167-$AZ167)*MAX(0,MIN(-BS167/10%-1,1))+($AX167-$AY167)*MAX(0,-BS167/10%-2)),0),"")</f>
        <v/>
      </c>
      <c r="CB167" s="468" t="str">
        <f aca="false">IF($BD167,$BX167+IF(VolSkewFlag=1,IF(BS167&gt;0,$BA167*MIN(BS167/10%,1)+($BB167-$BA167)*MAX(0,MIN(BS167/10%-1,1))+($BC167-$BB167)*MAX(0,BS167/10%-2),$AZ167*MIN(-BS167/10%,1)+($AY167-$AZ167)*MAX(0,MIN(-BS167/10%-1,1))+($AX167-$AY167)*MAX(0,-BS167/10%-2)),0),"")</f>
        <v/>
      </c>
      <c r="CC167" s="468" t="str">
        <f aca="false">IF($BD167,$BW167+IF(VolSkewFlag=1,IF(BT167&gt;0,$BA167*MIN(BT167/10%,1)+($BB167-$BA167)*MAX(0,MIN(BT167/10%-1,1))+($BC167-$BB167)*MAX(0,BT167/10%-2),$AZ167*MIN(-BT167/10%,1)+($AY167-$AZ167)*MAX(0,MIN(-BT167/10%-1,1))+($AX167-$AY167)*MAX(0,-BT167/10%-2)),0),"")</f>
        <v/>
      </c>
      <c r="CD167" s="468" t="str">
        <f aca="false">IF($BD167,$BX167+IF(VolSkewFlag=1,IF(BT167&gt;0,$BA167*MIN(BT167/10%,1)+($BB167-$BA167)*MAX(0,MIN(BT167/10%-1,1))+($BC167-$BB167)*MAX(0,BT167/10%-2),$AZ167*MIN(-BT167/10%,1)+($AY167-$AZ167)*MAX(0,MIN(-BT167/10%-1,1))+($AX167-$AY167)*MAX(0,-BT167/10%-2)),0),"")</f>
        <v/>
      </c>
      <c r="CE167" s="469" t="n">
        <v>1</v>
      </c>
      <c r="CF167" s="470" t="n">
        <f aca="false">IF(BD167,xCrudeAPO(BU167,BV167,CA167,CB167,S168,S169,BI167,BL167,BP167,BQ167,0,Strike1,AO167,CE167,0,BL167,IF(OptControl=4,0,1),0,1),0)</f>
        <v>0</v>
      </c>
      <c r="CG167" s="470" t="n">
        <f aca="false">IF(BD167,xCrudeAPO(BU167,BV167,CA167,CB167,S168,S169,BI167,BL167,BP167,BQ167,0,Strike1,AO167,CE167,0,BL167,IF(OptControl=4,0,1),1,1)+xCrudeAPO(BU167,BV167,CA167,CB167,S168,S169,BI167,BL167,BP167,BQ167,0,Strike1,AO167,CE167,0,BL167,IF(OptControl=4,0,1),1,2)+IF(OR(VolSkewFlag=2,ABS(BS167)&lt;0.0001),0,IF(BS167&gt;0,-1,1)*CH167*Strike1/BR167^2*BY167/10%),0)</f>
        <v>0</v>
      </c>
      <c r="CH167" s="470" t="n">
        <f aca="false">IF(BD167,(xCrudeAPO(BU167,BV167,CA167,CB167,S168,S169,BI167,BL167,BP167,BQ167,0,Strike1,AO167,CE167,0,BL167,IF(OptControl=4,0,1),3,1)+xCrudeAPO(BU167,BV167,CA167,CB167,S168,S169,BI167,BL167,BP167,BQ167,0,Strike1,AO167,CE167,0,BL167,IF(OptControl=4,0,1),3,2))/100,0)</f>
        <v>0</v>
      </c>
      <c r="CI167" s="470" t="n">
        <f aca="false">IF(BD167,xCrudeAPO(BU167,BV167,CA167,CB167,S168,S169,BI167-DaysForThetaCalculation/365.25,BL167-DaysForThetaCalculation/365.25,BP167,BQ167,0,Strike1,AO167,CE167,0,BL167,IF(OptControl=4,0,1),0,1)-xCrudeAPO(BU167,BV167,CA167,CB167,S168,S169,BI167,BL167,BP167,BQ167,0,Strike1,AO167,CE167,0,BL167,IF(OptControl=4,0,1),0,1),0)</f>
        <v>0</v>
      </c>
      <c r="CJ167" s="471" t="n">
        <f aca="false">IF(BD167,xCrudeAPO(BU167,BV167,CC167,CD167,S168,S169,BI167,BL167,BP167,BQ167,0,Strike2,AO167,CE167,0,BL167,IF(OptControl=3,1,0),0,1),0)</f>
        <v>0</v>
      </c>
      <c r="CK167" s="470" t="n">
        <f aca="false">IF(BD167,xCrudeAPO(BU167,BV167,CC167,CD167,S168,S169,BI167,BL167,BP167,BQ167,0,Strike2,AO167,CE167,0,BL167,IF(OptControl=3,1,0),1,1)+xCrudeAPO(BU167,BV167,CC167,CD167,S168,S169,BI167,BL167,BP167,BQ167,0,Strike2,AO167,CE167,0,BL167,IF(OptControl=3,1,0),1,2)+IF(OR(VolSkewFlag=2,ABS(BT167)&lt;0.0001),0,IF(BT167&gt;0,-1,1)*CL167*Strike2/BR167^2*BZ167/10%),0)</f>
        <v>0</v>
      </c>
      <c r="CL167" s="470" t="n">
        <f aca="false">IF(BD167,(xCrudeAPO(BU167,BV167,CC167,CD167,S168,S169,BI167,BL167,BP167,BQ167,0,Strike2,AO167,CE167,0,BL167,IF(OptControl=3,1,0),3,1)+xCrudeAPO(BU167,BV167,CC167,CD167,S168,S169,BI167,BL167,BP167,BQ167,0,Strike2,AO167,CE167,0,BL167,IF(OptControl=3,1,0),3,2))/100,0)</f>
        <v>0</v>
      </c>
      <c r="CM167" s="472" t="n">
        <f aca="false">IF(BD167,xCrudeAPO(BU167,BV167,CC167,CD167,S168,S169,BI167-DaysForThetaCalculation/365.25,BL167-DaysForThetaCalculation/365.25,BP167,BQ167,0,Strike2,AO167,CE167,0,BL167,IF(OptControl=3,1,0),0,1)-xCrudeAPO(BU167,BV167,CC167,CD167,S168,S169,BI167,BL167,BP167,BQ167,0,Strike2,AO167,CE167,0,BL167,IF(OptControl=3,1,0),0,1),0)</f>
        <v>0</v>
      </c>
      <c r="CN167" s="3"/>
      <c r="CO167" s="543" t="str">
        <f aca="false">IF(BD167,CHOOSE(Underlying,AD167,AF167)-DateToday+1,"")</f>
        <v/>
      </c>
      <c r="CP167" s="582" t="str">
        <f aca="false">IF(BD167,CHOOSE(Underlying,L167,R167),"")</f>
        <v/>
      </c>
      <c r="CQ167" s="544" t="str">
        <f aca="false">IF(BD167,Strike1/CP167-1,"")</f>
        <v/>
      </c>
      <c r="CR167" s="544" t="str">
        <f aca="false">IF(BD167,Strike2/CP167-1,"")</f>
        <v/>
      </c>
      <c r="CS167" s="544" t="str">
        <f aca="false">IF(BD167,IF(CQ167&gt;0,IF(CQ167&gt;0.2,BC166-BB166,IF(CQ167&gt;0.1,BB166-BA166,BA166)),IF(CQ167&lt;-0.2,AX166-AY166,IF(CQ167&lt;-0.1,AY166-AZ166,AZ166))),"")</f>
        <v/>
      </c>
      <c r="CT167" s="544" t="str">
        <f aca="false">IF(BD167,IF(CR167&gt;0,IF(CR167&gt;0.2,BC166-BB166,IF(CR167&gt;0.1,BB166-BA166,BA166)),IF(CR167&lt;-0.2,AX166-AY166,IF(CR167&lt;-0.1,AY166-AZ166,AZ166))),"")</f>
        <v/>
      </c>
      <c r="CU167" s="545" t="str">
        <f aca="false">IF(BD167,CHOOSE(Underlying,O167,AT167),"")</f>
        <v/>
      </c>
      <c r="CV167" s="545" t="str">
        <f aca="false">IF(BD167,CU167+IF(VolSkewFlag=1,IF(CQ167&gt;0,BA166*MIN(CQ167/10%,1)+(BB166-BA166)*MAX(0,MIN(CQ167/10%-1,1))+(BC166-BB166)*MAX(0,CQ167/10%-2),AZ166*MIN(-CQ167/10%,1)+(AY166-AZ166)*MAX(0,MIN(-CQ167/10%-1,1))+(AX166-AY166)*MAX(0,-CQ167/10%-2)),0),"")</f>
        <v/>
      </c>
      <c r="CW167" s="545" t="str">
        <f aca="false">IF(BD167,CU167+IF(VolSkewFlag=1,IF(CR167&gt;0,BA166*MIN(CR167/10%,1)+(BB166-BA166)*MAX(0,MIN(CR167/10%-1,1))+(BC166-BB166)*MAX(0,CR167/10%-2),AZ166*MIN(-CR167/10%,1)+(AY166-AZ166)*MAX(0,MIN(-CR167/10%-1,1))+(AX166-AY166)*MAX(0,-CR167/10%-2)),0),"")</f>
        <v/>
      </c>
      <c r="CX167" s="470" t="n">
        <f aca="false">IF(BD167,EURO(CP167,Strike1,AO167,AO167,CV167,CO167,IF(OptControl=4,0,1),0),0)</f>
        <v>0</v>
      </c>
      <c r="CY167" s="470" t="n">
        <f aca="false">IF(BD167,EURO(CP167,Strike1,AO167,AO167,CV167,CO167,IF(OptControl=4,0,1),1)+IF(OR(VolSkewFlag=2,ABS(CQ167)&lt;0.0001),0,IF(CQ167&gt;0,-1,1)*CZ167*100*Strike1/CP167^2*CS167/10%),0)</f>
        <v>0</v>
      </c>
      <c r="CZ167" s="470" t="n">
        <f aca="false">IF(BD167,EURO(CP167,Strike1,AO167,AO167,CV167,CO167,IF(OptControl=4,0,1),3)/100,0)</f>
        <v>0</v>
      </c>
      <c r="DA167" s="470" t="n">
        <f aca="false">IF(BD167,EURO(CP167,Strike1,AO167,AO167,CV167,CO167,IF(OptControl=4,0,1),0)-EURO(CP167,Strike1,AO167,AO167,CV167,CO167-1,IF(OptControl=4,0,1),0),0)</f>
        <v>0</v>
      </c>
      <c r="DB167" s="470" t="n">
        <f aca="false">IF(BD167,EURO(CP167,Strike2,AO167,AO167,CW167,CO167,IF(OptControl=3,1,0),0),0)</f>
        <v>0</v>
      </c>
      <c r="DC167" s="470" t="n">
        <f aca="false">IF(BD167,EURO(CP167,Strike2,AO167,AO167,CW167,CO167,IF(OptControl=3,1,0),1)+IF(OR(VolSkewFlag=2,ABS(CR167)&lt;0.0001),0,IF(CR167&gt;0,-1,1)*DD167*100*Strike2/CP167^2*CT167/10%),0)</f>
        <v>0</v>
      </c>
      <c r="DD167" s="470" t="n">
        <f aca="false">IF(BD167,EURO(CP167,Strike2,AO167,AO167,CW167,CO167,IF(OptControl=3,1,0),3)/100,0)</f>
        <v>0</v>
      </c>
      <c r="DE167" s="472" t="n">
        <f aca="false">IF(BD167,EURO(CP167,Strike2,AO167,AO167,CW167,CO167,IF(OptControl=3,1,0),0)-EURO(CP167,Strike2,AO167,AO167,CW167,CO167-1,IF(OptControl=3,1,0),0),0)</f>
        <v>0</v>
      </c>
      <c r="DG167" s="481" t="n">
        <f aca="false">EOMONTH(DG166,0)+1</f>
        <v>50161</v>
      </c>
      <c r="DH167" s="478" t="n">
        <v>21.5100000000001</v>
      </c>
      <c r="DI167" s="479" t="n">
        <v>21.5795652173914</v>
      </c>
      <c r="DJ167" s="480" t="n">
        <f aca="false">DG167</f>
        <v>50161</v>
      </c>
      <c r="DK167" s="478" t="n">
        <v>20.3426819744591</v>
      </c>
      <c r="DL167" s="479" t="n">
        <v>20.2880652173914</v>
      </c>
      <c r="DM167" s="481" t="n">
        <f aca="false">DG167</f>
        <v>50161</v>
      </c>
      <c r="DN167" s="482" t="n">
        <f aca="false">DK167+BrentPhyBrentSpread</f>
        <v>20.3926819744591</v>
      </c>
      <c r="DO167" s="481" t="n">
        <f aca="false">DG167</f>
        <v>50161</v>
      </c>
      <c r="DP167" s="483" t="n">
        <f aca="false">DL167+DQ167</f>
        <v>20.2880652173914</v>
      </c>
      <c r="DQ167" s="546" t="n">
        <v>0</v>
      </c>
      <c r="DR167" s="480" t="n">
        <f aca="false">DG167</f>
        <v>50161</v>
      </c>
      <c r="DS167" s="485" t="n">
        <v>0.136399999999999</v>
      </c>
      <c r="DT167" s="486" t="n">
        <v>0.135565217391303</v>
      </c>
      <c r="DU167" s="480" t="n">
        <f aca="false">DG167</f>
        <v>50161</v>
      </c>
      <c r="DV167" s="485" t="n">
        <v>0.136399999999999</v>
      </c>
      <c r="DW167" s="486" t="n">
        <v>0.135565217391303</v>
      </c>
      <c r="DX167" s="481" t="n">
        <f aca="false">DG167</f>
        <v>50161</v>
      </c>
      <c r="DY167" s="486" t="n">
        <v>0.35</v>
      </c>
      <c r="DZ167" s="481" t="n">
        <f aca="false">DR167</f>
        <v>50161</v>
      </c>
      <c r="EA167" s="486" t="n">
        <f aca="false">DT167</f>
        <v>0.135565217391303</v>
      </c>
      <c r="EB167" s="195"/>
      <c r="EC167" s="547" t="str">
        <f aca="false">IF(BD167,IF(Underlying=1,AS167,AU167),"")</f>
        <v/>
      </c>
      <c r="ED167" s="548" t="str">
        <f aca="false">IF($BD167,$EC167+IF(VolSkewFlag=1,IF(BS167&gt;0,$BA167*MIN(BS167/10%,1)+($BB167-$BA167)*MAX(0,MIN(BS167/10%-1,1))+($BC167-$BB167)*MAX(0,BS167/10%-2),$AZ167*MIN(-BS167/10%,1)+($AY167-$AZ167)*MAX(0,MIN(-BS167/10%-1,1))+($AX167-$AY167)*MAX(0,-BS167/10%-2)),0),"")</f>
        <v/>
      </c>
      <c r="EE167" s="549" t="str">
        <f aca="false">IF($BD167,$EC167+IF(VolSkewFlag=1,IF(BT167&gt;0,$BA167*MIN(BT167/10%,1)+($BB167-$BA167)*MAX(0,MIN(BT167/10%-1,1))+($BC167-$BB167)*MAX(0,BT167/10%-2),$AZ167*MIN(-BT167/10%,1)+($AY167-$AZ167)*MAX(0,MIN(-BT167/10%-1,1))+($AX167-$AY167)*MAX(0,-BT167/10%-2)),0),"")</f>
        <v/>
      </c>
      <c r="EF167" s="550" t="n">
        <f aca="false">IF(BD167,xASN(BR167,Strike1,AO167,ED167,0,BO167,0,BI167,BL167,IF(OptControl=4,0,1),0),0)</f>
        <v>0</v>
      </c>
      <c r="EG167" s="551" t="n">
        <f aca="false">IF(BD167,xASN(BR167,Strike2,AO167,EE167,0,BO167,0,BI167,BL167,IF(OptControl=3,1,0),0),0)</f>
        <v>0</v>
      </c>
      <c r="EL167" s="1"/>
      <c r="EM167" s="195"/>
      <c r="EN167" s="240"/>
      <c r="EO167" s="240"/>
      <c r="EP167" s="195"/>
      <c r="EQ167" s="407" t="s">
        <v>394</v>
      </c>
      <c r="ES167" s="130"/>
      <c r="ET167" s="19"/>
      <c r="EU167" s="672"/>
      <c r="EV167" s="478"/>
      <c r="EW167" s="131"/>
      <c r="EX167" s="131"/>
      <c r="EY167" s="129"/>
      <c r="EZ167" s="129"/>
      <c r="FA167" s="129"/>
      <c r="FB167" s="129"/>
      <c r="FC167" s="129"/>
      <c r="FD167" s="129"/>
      <c r="FE167" s="129"/>
      <c r="FF167" s="129"/>
      <c r="FG167" s="129"/>
      <c r="FH167" s="129"/>
      <c r="FI167" s="129"/>
      <c r="FJ167" s="129"/>
      <c r="FK167" s="129"/>
      <c r="FL167" s="129"/>
      <c r="FM167" s="129"/>
      <c r="FN167" s="129"/>
      <c r="FO167" s="129"/>
      <c r="FP167" s="129"/>
      <c r="FQ167" s="129"/>
      <c r="FR167" s="129"/>
      <c r="FS167" s="129"/>
      <c r="FT167" s="129"/>
      <c r="FU167" s="129"/>
      <c r="FV167" s="129"/>
      <c r="FW167" s="129"/>
      <c r="FX167" s="129"/>
      <c r="FY167" s="129"/>
      <c r="FZ167" s="129"/>
      <c r="GA167" s="129"/>
      <c r="GB167" s="129"/>
      <c r="GC167" s="129"/>
      <c r="GD167" s="129"/>
      <c r="GE167" s="129"/>
      <c r="GF167" s="129"/>
      <c r="GG167" s="129"/>
      <c r="GH167" s="129"/>
      <c r="GI167" s="129"/>
      <c r="GJ167" s="129"/>
      <c r="GK167" s="129"/>
      <c r="GL167" s="129"/>
      <c r="GM167" s="129"/>
      <c r="GN167" s="129"/>
      <c r="GO167" s="129"/>
      <c r="GP167" s="129"/>
      <c r="GQ167" s="129"/>
      <c r="GR167" s="129"/>
      <c r="GS167" s="129"/>
      <c r="GT167" s="129"/>
      <c r="GU167" s="129"/>
      <c r="GV167" s="129"/>
      <c r="GW167" s="129"/>
      <c r="GX167" s="129"/>
      <c r="GY167" s="129"/>
      <c r="GZ167" s="129"/>
      <c r="HA167" s="129"/>
      <c r="HB167" s="129"/>
      <c r="HC167" s="129"/>
      <c r="HD167" s="129"/>
      <c r="HE167" s="129"/>
      <c r="HF167" s="129"/>
      <c r="HG167" s="129"/>
      <c r="HH167" s="129"/>
      <c r="HI167" s="129"/>
      <c r="HJ167" s="129"/>
      <c r="HK167" s="129"/>
      <c r="HL167" s="129"/>
      <c r="HM167" s="129"/>
      <c r="HN167" s="129"/>
      <c r="HO167" s="129"/>
      <c r="HP167" s="129"/>
      <c r="HQ167" s="129"/>
      <c r="HR167" s="129"/>
      <c r="HS167" s="129"/>
      <c r="HT167" s="129"/>
      <c r="HU167" s="129"/>
      <c r="HV167" s="129"/>
      <c r="HW167" s="129"/>
      <c r="HX167" s="129"/>
      <c r="HY167" s="129"/>
      <c r="HZ167" s="129"/>
      <c r="IA167" s="129"/>
      <c r="IB167" s="129"/>
      <c r="IC167" s="129"/>
      <c r="ID167" s="129"/>
      <c r="IE167" s="129"/>
    </row>
    <row r="168" customFormat="false" ht="12.75" hidden="false" customHeight="false" outlineLevel="0" collapsed="false">
      <c r="H168" s="219" t="n">
        <f aca="false">VLOOKUP(I168,$EJ$20:$EL$54,3)</f>
        <v>0</v>
      </c>
      <c r="I168" s="511" t="n">
        <f aca="false">EOMONTH(I167,0)+1</f>
        <v>41275</v>
      </c>
      <c r="J168" s="512"/>
      <c r="K168" s="513" t="s">
        <v>280</v>
      </c>
      <c r="L168" s="514" t="n">
        <f aca="false">IF(ISNUMBER(K168),J168+K168/100,IF(K168="extra",L167+VLOOKUP(BF168,PriceSpreadTable,2)/12,IF(K168="inter",interpolateprices($K$19:$L$200,ROW(K168)-ROW(FirstPricingMonth)+1),interpolatechanges($J$19:$K$200,ROW(K168)-ROW(FirstPricingMonth)+1))))</f>
        <v>2.7</v>
      </c>
      <c r="M168" s="515"/>
      <c r="N168" s="516" t="n">
        <v>0</v>
      </c>
      <c r="O168" s="515" t="n">
        <f aca="false">M168+N168</f>
        <v>0</v>
      </c>
      <c r="P168" s="512"/>
      <c r="Q168" s="513" t="s">
        <v>280</v>
      </c>
      <c r="R168" s="512" t="e">
        <f aca="false">IF(ISNUMBER(Q168),P168+Q168/100,IF(Q168="extra",(Z166*AL166-R167*AM166)/AN166,IF(Q168="inter",interpolateprices($Q$19:$R$260,ROW(Q168)-ROW(FirstPricingMonth)+1),interpolatechanges($P$19:$Q$260,ROW(Q168)-ROW(FirstPricingMonth)+1))))</f>
        <v>#VALUE!</v>
      </c>
      <c r="S168" s="597" t="n">
        <f aca="false">S$19+(S167-S$19)*S$18</f>
        <v>0.36</v>
      </c>
      <c r="T168" s="575" t="n">
        <f aca="false">SQRT((1-(1-T167^2/U167)*T$18)*U168)</f>
        <v>0.999999999990417</v>
      </c>
      <c r="U168" s="576" t="n">
        <f aca="false">1-(1-U167)*U$18</f>
        <v>1</v>
      </c>
      <c r="V168" s="521" t="n">
        <v>0</v>
      </c>
      <c r="W168" s="577" t="n">
        <f aca="false">(J169*AJ168+J170*AK168)/AI168</f>
        <v>0</v>
      </c>
      <c r="X168" s="578" t="n">
        <f aca="false">(L169*AJ168+L170*AK168)/AI168</f>
        <v>2.75284090909091</v>
      </c>
      <c r="Y168" s="579" t="n">
        <f aca="false">IF(Q170="extra",W168-AA168,(P169*AM168+P170*AN168)/AL168)</f>
        <v>-1.1685</v>
      </c>
      <c r="Z168" s="579" t="n">
        <f aca="false">IF(Q170="extra",X168-AB168,(R169*AM168+R170*AN168)/AL168)</f>
        <v>1.58434090909091</v>
      </c>
      <c r="AA168" s="523" t="n">
        <f aca="false">IF(Q170="extra",INDEX(BrentSeasonalityTable,INT((BG168-1)/3)+1)*VLOOKUP(MAX(BF168,$AB$4),PriceSpreadTable,3),W168-Y168)</f>
        <v>1.1685</v>
      </c>
      <c r="AB168" s="524" t="n">
        <f aca="false">IF(Q170="extra",INDEX(BrentSeasonalityTable,INT((BG168-1)/3)+1)*VLOOKUP(MAX(BF168,$AB$4),PriceSpreadTable,3),X168-Z168)</f>
        <v>1.1685</v>
      </c>
      <c r="AC168" s="646" t="n">
        <v>41263</v>
      </c>
      <c r="AD168" s="646" t="n">
        <v>41259</v>
      </c>
      <c r="AE168" s="646" t="n">
        <v>41258</v>
      </c>
      <c r="AF168" s="646" t="n">
        <v>41254</v>
      </c>
      <c r="AG168" s="438" t="s">
        <v>278</v>
      </c>
      <c r="AH168" s="439" t="s">
        <v>278</v>
      </c>
      <c r="AI168" s="528" t="n">
        <v>22</v>
      </c>
      <c r="AJ168" s="529" t="n">
        <v>13</v>
      </c>
      <c r="AK168" s="529" t="n">
        <v>9</v>
      </c>
      <c r="AL168" s="530" t="n">
        <v>22</v>
      </c>
      <c r="AM168" s="529" t="n">
        <v>9</v>
      </c>
      <c r="AN168" s="531" t="n">
        <v>13</v>
      </c>
      <c r="AO168" s="532"/>
      <c r="AP168" s="465" t="n">
        <f aca="false">(1+AO168/2)^(-2*BL168)</f>
        <v>1</v>
      </c>
      <c r="AQ168" s="532"/>
      <c r="AR168" s="465" t="n">
        <f aca="false">(1+AQ168/2)^(-2*BH168/365.25)</f>
        <v>1</v>
      </c>
      <c r="AS168" s="580" t="n">
        <f aca="false">(O169*AJ168+O170*AK168)/AI168</f>
        <v>0</v>
      </c>
      <c r="AT168" s="468" t="n">
        <f aca="false">O168*VLOOKUP(BF168,BrentVolTable,2)+VLOOKUP(BF168,BrentVolTable,3)</f>
        <v>0</v>
      </c>
      <c r="AU168" s="468" t="n">
        <f aca="false">(AT169*AM168+AT170*AN168)/AL168</f>
        <v>0</v>
      </c>
      <c r="AV168" s="595" t="n">
        <f aca="false">SQRT(MAX(0.000000000001,(O168^2*BH168-S168^2*(BH168-BH167))/BH167))</f>
        <v>0.0287739234587419</v>
      </c>
      <c r="AW168" s="451" t="n">
        <f aca="false">IF($I168-DateToday+15&gt;=$T$8,"",IF($I168-DateToday+15&lt;$T$5,1,MATCH($I168-DateToday+15,$T$5:$T$8)))</f>
        <v>1</v>
      </c>
      <c r="AX168" s="468" t="n">
        <f aca="false">IF($AW168="",AX167^2/AX166,INDEX(U$5:U$8,$AW168)^((INDEX($T$5:$T$8,$AW168+1)-($I168-DateToday+15))/(INDEX($T$5:$T$8,$AW168+1)-INDEX($T$5:$T$8,$AW168)))/INDEX(U$5:U$8,$AW168+1)^((INDEX($T$5:$T$8,$AW168)-($I168-DateToday+15))/(INDEX($T$5:$T$8,$AW168+1)-INDEX($T$5:$T$8,$AW168))))</f>
        <v>0.530142964202468</v>
      </c>
      <c r="AY168" s="468" t="n">
        <f aca="false">IF($AW168="",AY167^2/AY166,INDEX(V$5:V$8,$AW168)^((INDEX($T$5:$T$8,$AW168+1)-($I168-DateToday+15))/(INDEX($T$5:$T$8,$AW168+1)-INDEX($T$5:$T$8,$AW168)))/INDEX(V$5:V$8,$AW168+1)^((INDEX($T$5:$T$8,$AW168)-($I168-DateToday+15))/(INDEX($T$5:$T$8,$AW168+1)-INDEX($T$5:$T$8,$AW168))))</f>
        <v>10.2144353510745</v>
      </c>
      <c r="AZ168" s="468" t="n">
        <f aca="false">IF($AW168="",AZ167^2/AZ166,INDEX(W$5:W$8,$AW168)^((INDEX($T$5:$T$8,$AW168+1)-($I168-DateToday+15))/(INDEX($T$5:$T$8,$AW168+1)-INDEX($T$5:$T$8,$AW168)))/INDEX(W$5:W$8,$AW168+1)^((INDEX($T$5:$T$8,$AW168)-($I168-DateToday+15))/(INDEX($T$5:$T$8,$AW168+1)-INDEX($T$5:$T$8,$AW168))))</f>
        <v>3604.07105342436</v>
      </c>
      <c r="BA168" s="468" t="n">
        <f aca="false">IF($AW168="",BA167^2/BA166,INDEX(X$5:X$8,$AW168)^((INDEX($T$5:$T$8,$AW168+1)-($I168-DateToday+15))/(INDEX($T$5:$T$8,$AW168+1)-INDEX($T$5:$T$8,$AW168)))/INDEX(X$5:X$8,$AW168+1)^((INDEX($T$5:$T$8,$AW168)-($I168-DateToday+15))/(INDEX($T$5:$T$8,$AW168+1)-INDEX($T$5:$T$8,$AW168))))</f>
        <v>19902.8428276949</v>
      </c>
      <c r="BB168" s="468" t="n">
        <f aca="false">IF($AW168="",BB167^2/BB166,INDEX(Y$5:Y$8,$AW168)^((INDEX($T$5:$T$8,$AW168+1)-($I168-DateToday+15))/(INDEX($T$5:$T$8,$AW168+1)-INDEX($T$5:$T$8,$AW168)))/INDEX(Y$5:Y$8,$AW168+1)^((INDEX($T$5:$T$8,$AW168)-($I168-DateToday+15))/(INDEX($T$5:$T$8,$AW168+1)-INDEX($T$5:$T$8,$AW168))))</f>
        <v>127107.627378712</v>
      </c>
      <c r="BC168" s="468" t="n">
        <f aca="false">IF($AW168="",BC167^2/BC166,INDEX(Z$5:Z$8,$AW168)^((INDEX($T$5:$T$8,$AW168+1)-($I168-DateToday+15))/(INDEX($T$5:$T$8,$AW168+1)-INDEX($T$5:$T$8,$AW168)))/INDEX(Z$5:Z$8,$AW168+1)^((INDEX($T$5:$T$8,$AW168)-($I168-DateToday+15))/(INDEX($T$5:$T$8,$AW168+1)-INDEX($T$5:$T$8,$AW168))))</f>
        <v>392544.809498614</v>
      </c>
      <c r="BD168" s="535" t="n">
        <f aca="false">IF(OR(DateStart&gt;=I169,DateEnd&lt;I168),0,IF(VolumeOverrideFlag,V168,Volume))</f>
        <v>0</v>
      </c>
      <c r="BE168" s="536" t="n">
        <f aca="false">IF(OR(DateStart2&gt;=I169,DateEnd2&lt;I168),0,IF(VolumeOverrideFlag,V168,VolumeSwaption))</f>
        <v>0</v>
      </c>
      <c r="BF168" s="537" t="n">
        <f aca="false">YEAR(I168)</f>
        <v>2013</v>
      </c>
      <c r="BG168" s="538" t="n">
        <f aca="false">MONTH(I168)</f>
        <v>1</v>
      </c>
      <c r="BH168" s="539" t="n">
        <f aca="false">AD168-DateToday+1</f>
        <v>-4666</v>
      </c>
      <c r="BI168" s="540" t="n">
        <f aca="false">(I168-DateToday+1)/365.25</f>
        <v>-12.7310061601643</v>
      </c>
      <c r="BJ168" s="541" t="n">
        <f aca="false">BI168+(BL168-BI168)*CHOOSE(Underlying,AJ168/AI168,AM168/AL168)</f>
        <v>-12.6824715325742</v>
      </c>
      <c r="BK168" s="541" t="n">
        <f aca="false">BJ168+1/365.25</f>
        <v>-12.6797336817871</v>
      </c>
      <c r="BL168" s="541" t="n">
        <f aca="false">(I169-DateToday)/365.25</f>
        <v>-12.6488706365503</v>
      </c>
      <c r="BM168" s="542" t="e">
        <f aca="false">MAX(BI168-(BJ168-BI168)*(S169^2/O169^2-1),0)</f>
        <v>#DIV/0!</v>
      </c>
      <c r="BN168" s="541" t="e">
        <f aca="false">MAX(BL168+(BL168-BK168)*(S170^2/O170^2-1),0)</f>
        <v>#DIV/0!</v>
      </c>
      <c r="BO168" s="530" t="n">
        <f aca="false">CHOOSE(Underlying,AI168,AL168)</f>
        <v>22</v>
      </c>
      <c r="BP168" s="529" t="n">
        <f aca="false">CHOOSE(Underlying,AJ168,AM168)</f>
        <v>13</v>
      </c>
      <c r="BQ168" s="529" t="n">
        <f aca="false">CHOOSE(Underlying,AK168,AN168)</f>
        <v>9</v>
      </c>
      <c r="BR168" s="463" t="str">
        <f aca="false">IF(BD168,IF(Underlying=1,X168,Z168)+UnderlyingPriceAsian-SwapPriceCurve,"")</f>
        <v/>
      </c>
      <c r="BS168" s="463" t="str">
        <f aca="false">IF(BD168,Strike1/BR168-1,"")</f>
        <v/>
      </c>
      <c r="BT168" s="464" t="str">
        <f aca="false">IF(BD168,Strike2/BR168-1,"")</f>
        <v/>
      </c>
      <c r="BU168" s="465" t="str">
        <f aca="false">IF(BD168,IF(Underlying=1,L169,R169)+UnderlyingPriceAsian-SwapPriceCurve,"")</f>
        <v/>
      </c>
      <c r="BV168" s="465" t="str">
        <f aca="false">IF(BD168,IF(Underlying=1,L170,R170)+UnderlyingPriceAsian-SwapPriceCurve,"")</f>
        <v/>
      </c>
      <c r="BW168" s="466" t="str">
        <f aca="false">IF(BD168,IF(Underlying=1,O169,AT169),"")</f>
        <v/>
      </c>
      <c r="BX168" s="467" t="str">
        <f aca="false">IF(BD168,IF(Underlying=1,O170,AT170),"")</f>
        <v/>
      </c>
      <c r="BY168" s="466" t="str">
        <f aca="false">IF(BD168,IF(BS168&gt;0,IF(BS168&gt;0.2,BC168-BB168,IF(BS168&gt;0.1,BB168-BA168,BA168)),IF(BS168&lt;-0.2,AX168-AY168,IF(BS168&lt;-0.1,AY168-AZ168,AZ168))),"")</f>
        <v/>
      </c>
      <c r="BZ168" s="467" t="str">
        <f aca="false">IF(BD168,IF(BT168&gt;0,IF(BT168&gt;0.2,BC168-BB168,IF(BT168&gt;0.1,BB168-BA168,BA168)),IF(BT168&lt;-0.2,AX168-AY168,IF(BT168&lt;-0.1,AY168-AZ168,AZ168))),"")</f>
        <v/>
      </c>
      <c r="CA168" s="468" t="str">
        <f aca="false">IF($BD168,$BW168+IF(VolSkewFlag=1,IF(BS168&gt;0,$BA168*MIN(BS168/10%,1)+($BB168-$BA168)*MAX(0,MIN(BS168/10%-1,1))+($BC168-$BB168)*MAX(0,BS168/10%-2),$AZ168*MIN(-BS168/10%,1)+($AY168-$AZ168)*MAX(0,MIN(-BS168/10%-1,1))+($AX168-$AY168)*MAX(0,-BS168/10%-2)),0),"")</f>
        <v/>
      </c>
      <c r="CB168" s="468" t="str">
        <f aca="false">IF($BD168,$BX168+IF(VolSkewFlag=1,IF(BS168&gt;0,$BA168*MIN(BS168/10%,1)+($BB168-$BA168)*MAX(0,MIN(BS168/10%-1,1))+($BC168-$BB168)*MAX(0,BS168/10%-2),$AZ168*MIN(-BS168/10%,1)+($AY168-$AZ168)*MAX(0,MIN(-BS168/10%-1,1))+($AX168-$AY168)*MAX(0,-BS168/10%-2)),0),"")</f>
        <v/>
      </c>
      <c r="CC168" s="468" t="str">
        <f aca="false">IF($BD168,$BW168+IF(VolSkewFlag=1,IF(BT168&gt;0,$BA168*MIN(BT168/10%,1)+($BB168-$BA168)*MAX(0,MIN(BT168/10%-1,1))+($BC168-$BB168)*MAX(0,BT168/10%-2),$AZ168*MIN(-BT168/10%,1)+($AY168-$AZ168)*MAX(0,MIN(-BT168/10%-1,1))+($AX168-$AY168)*MAX(0,-BT168/10%-2)),0),"")</f>
        <v/>
      </c>
      <c r="CD168" s="468" t="str">
        <f aca="false">IF($BD168,$BX168+IF(VolSkewFlag=1,IF(BT168&gt;0,$BA168*MIN(BT168/10%,1)+($BB168-$BA168)*MAX(0,MIN(BT168/10%-1,1))+($BC168-$BB168)*MAX(0,BT168/10%-2),$AZ168*MIN(-BT168/10%,1)+($AY168-$AZ168)*MAX(0,MIN(-BT168/10%-1,1))+($AX168-$AY168)*MAX(0,-BT168/10%-2)),0),"")</f>
        <v/>
      </c>
      <c r="CE168" s="469" t="n">
        <v>1</v>
      </c>
      <c r="CF168" s="470" t="n">
        <f aca="false">IF(BD168,xCrudeAPO(BU168,BV168,CA168,CB168,S169,S170,BI168,BL168,BP168,BQ168,0,Strike1,AO168,CE168,0,BL168,IF(OptControl=4,0,1),0,1),0)</f>
        <v>0</v>
      </c>
      <c r="CG168" s="470" t="n">
        <f aca="false">IF(BD168,xCrudeAPO(BU168,BV168,CA168,CB168,S169,S170,BI168,BL168,BP168,BQ168,0,Strike1,AO168,CE168,0,BL168,IF(OptControl=4,0,1),1,1)+xCrudeAPO(BU168,BV168,CA168,CB168,S169,S170,BI168,BL168,BP168,BQ168,0,Strike1,AO168,CE168,0,BL168,IF(OptControl=4,0,1),1,2)+IF(OR(VolSkewFlag=2,ABS(BS168)&lt;0.0001),0,IF(BS168&gt;0,-1,1)*CH168*Strike1/BR168^2*BY168/10%),0)</f>
        <v>0</v>
      </c>
      <c r="CH168" s="470" t="n">
        <f aca="false">IF(BD168,(xCrudeAPO(BU168,BV168,CA168,CB168,S169,S170,BI168,BL168,BP168,BQ168,0,Strike1,AO168,CE168,0,BL168,IF(OptControl=4,0,1),3,1)+xCrudeAPO(BU168,BV168,CA168,CB168,S169,S170,BI168,BL168,BP168,BQ168,0,Strike1,AO168,CE168,0,BL168,IF(OptControl=4,0,1),3,2))/100,0)</f>
        <v>0</v>
      </c>
      <c r="CI168" s="470" t="n">
        <f aca="false">IF(BD168,xCrudeAPO(BU168,BV168,CA168,CB168,S169,S170,BI168-DaysForThetaCalculation/365.25,BL168-DaysForThetaCalculation/365.25,BP168,BQ168,0,Strike1,AO168,CE168,0,BL168,IF(OptControl=4,0,1),0,1)-xCrudeAPO(BU168,BV168,CA168,CB168,S169,S170,BI168,BL168,BP168,BQ168,0,Strike1,AO168,CE168,0,BL168,IF(OptControl=4,0,1),0,1),0)</f>
        <v>0</v>
      </c>
      <c r="CJ168" s="471" t="n">
        <f aca="false">IF(BD168,xCrudeAPO(BU168,BV168,CC168,CD168,S169,S170,BI168,BL168,BP168,BQ168,0,Strike2,AO168,CE168,0,BL168,IF(OptControl=3,1,0),0,1),0)</f>
        <v>0</v>
      </c>
      <c r="CK168" s="470" t="n">
        <f aca="false">IF(BD168,xCrudeAPO(BU168,BV168,CC168,CD168,S169,S170,BI168,BL168,BP168,BQ168,0,Strike2,AO168,CE168,0,BL168,IF(OptControl=3,1,0),1,1)+xCrudeAPO(BU168,BV168,CC168,CD168,S169,S170,BI168,BL168,BP168,BQ168,0,Strike2,AO168,CE168,0,BL168,IF(OptControl=3,1,0),1,2)+IF(OR(VolSkewFlag=2,ABS(BT168)&lt;0.0001),0,IF(BT168&gt;0,-1,1)*CL168*Strike2/BR168^2*BZ168/10%),0)</f>
        <v>0</v>
      </c>
      <c r="CL168" s="470" t="n">
        <f aca="false">IF(BD168,(xCrudeAPO(BU168,BV168,CC168,CD168,S169,S170,BI168,BL168,BP168,BQ168,0,Strike2,AO168,CE168,0,BL168,IF(OptControl=3,1,0),3,1)+xCrudeAPO(BU168,BV168,CC168,CD168,S169,S170,BI168,BL168,BP168,BQ168,0,Strike2,AO168,CE168,0,BL168,IF(OptControl=3,1,0),3,2))/100,0)</f>
        <v>0</v>
      </c>
      <c r="CM168" s="472" t="n">
        <f aca="false">IF(BD168,xCrudeAPO(BU168,BV168,CC168,CD168,S169,S170,BI168-DaysForThetaCalculation/365.25,BL168-DaysForThetaCalculation/365.25,BP168,BQ168,0,Strike2,AO168,CE168,0,BL168,IF(OptControl=3,1,0),0,1)-xCrudeAPO(BU168,BV168,CC168,CD168,S169,S170,BI168,BL168,BP168,BQ168,0,Strike2,AO168,CE168,0,BL168,IF(OptControl=3,1,0),0,1),0)</f>
        <v>0</v>
      </c>
      <c r="CN168" s="3"/>
      <c r="CO168" s="543" t="str">
        <f aca="false">IF(BD168,CHOOSE(Underlying,AD168,AF168)-DateToday+1,"")</f>
        <v/>
      </c>
      <c r="CP168" s="582" t="str">
        <f aca="false">IF(BD168,CHOOSE(Underlying,L168,R168),"")</f>
        <v/>
      </c>
      <c r="CQ168" s="544" t="str">
        <f aca="false">IF(BD168,Strike1/CP168-1,"")</f>
        <v/>
      </c>
      <c r="CR168" s="544" t="str">
        <f aca="false">IF(BD168,Strike2/CP168-1,"")</f>
        <v/>
      </c>
      <c r="CS168" s="544" t="str">
        <f aca="false">IF(BD168,IF(CQ168&gt;0,IF(CQ168&gt;0.2,BC167-BB167,IF(CQ168&gt;0.1,BB167-BA167,BA167)),IF(CQ168&lt;-0.2,AX167-AY167,IF(CQ168&lt;-0.1,AY167-AZ167,AZ167))),"")</f>
        <v/>
      </c>
      <c r="CT168" s="544" t="str">
        <f aca="false">IF(BD168,IF(CR168&gt;0,IF(CR168&gt;0.2,BC167-BB167,IF(CR168&gt;0.1,BB167-BA167,BA167)),IF(CR168&lt;-0.2,AX167-AY167,IF(CR168&lt;-0.1,AY167-AZ167,AZ167))),"")</f>
        <v/>
      </c>
      <c r="CU168" s="545" t="str">
        <f aca="false">IF(BD168,CHOOSE(Underlying,O168,AT168),"")</f>
        <v/>
      </c>
      <c r="CV168" s="545" t="str">
        <f aca="false">IF(BD168,CU168+IF(VolSkewFlag=1,IF(CQ168&gt;0,BA167*MIN(CQ168/10%,1)+(BB167-BA167)*MAX(0,MIN(CQ168/10%-1,1))+(BC167-BB167)*MAX(0,CQ168/10%-2),AZ167*MIN(-CQ168/10%,1)+(AY167-AZ167)*MAX(0,MIN(-CQ168/10%-1,1))+(AX167-AY167)*MAX(0,-CQ168/10%-2)),0),"")</f>
        <v/>
      </c>
      <c r="CW168" s="545" t="str">
        <f aca="false">IF(BD168,CU168+IF(VolSkewFlag=1,IF(CR168&gt;0,BA167*MIN(CR168/10%,1)+(BB167-BA167)*MAX(0,MIN(CR168/10%-1,1))+(BC167-BB167)*MAX(0,CR168/10%-2),AZ167*MIN(-CR168/10%,1)+(AY167-AZ167)*MAX(0,MIN(-CR168/10%-1,1))+(AX167-AY167)*MAX(0,-CR168/10%-2)),0),"")</f>
        <v/>
      </c>
      <c r="CX168" s="470" t="n">
        <f aca="false">IF(BD168,EURO(CP168,Strike1,AO168,AO168,CV168,CO168,IF(OptControl=4,0,1),0),0)</f>
        <v>0</v>
      </c>
      <c r="CY168" s="470" t="n">
        <f aca="false">IF(BD168,EURO(CP168,Strike1,AO168,AO168,CV168,CO168,IF(OptControl=4,0,1),1)+IF(OR(VolSkewFlag=2,ABS(CQ168)&lt;0.0001),0,IF(CQ168&gt;0,-1,1)*CZ168*100*Strike1/CP168^2*CS168/10%),0)</f>
        <v>0</v>
      </c>
      <c r="CZ168" s="470" t="n">
        <f aca="false">IF(BD168,EURO(CP168,Strike1,AO168,AO168,CV168,CO168,IF(OptControl=4,0,1),3)/100,0)</f>
        <v>0</v>
      </c>
      <c r="DA168" s="470" t="n">
        <f aca="false">IF(BD168,EURO(CP168,Strike1,AO168,AO168,CV168,CO168,IF(OptControl=4,0,1),0)-EURO(CP168,Strike1,AO168,AO168,CV168,CO168-1,IF(OptControl=4,0,1),0),0)</f>
        <v>0</v>
      </c>
      <c r="DB168" s="470" t="n">
        <f aca="false">IF(BD168,EURO(CP168,Strike2,AO168,AO168,CW168,CO168,IF(OptControl=3,1,0),0),0)</f>
        <v>0</v>
      </c>
      <c r="DC168" s="470" t="n">
        <f aca="false">IF(BD168,EURO(CP168,Strike2,AO168,AO168,CW168,CO168,IF(OptControl=3,1,0),1)+IF(OR(VolSkewFlag=2,ABS(CR168)&lt;0.0001),0,IF(CR168&gt;0,-1,1)*DD168*100*Strike2/CP168^2*CT168/10%),0)</f>
        <v>0</v>
      </c>
      <c r="DD168" s="470" t="n">
        <f aca="false">IF(BD168,EURO(CP168,Strike2,AO168,AO168,CW168,CO168,IF(OptControl=3,1,0),3)/100,0)</f>
        <v>0</v>
      </c>
      <c r="DE168" s="472" t="n">
        <f aca="false">IF(BD168,EURO(CP168,Strike2,AO168,AO168,CW168,CO168,IF(OptControl=3,1,0),0)-EURO(CP168,Strike2,AO168,AO168,CW168,CO168-1,IF(OptControl=3,1,0),0),0)</f>
        <v>0</v>
      </c>
      <c r="DG168" s="481" t="n">
        <f aca="false">EOMONTH(DG167,0)+1</f>
        <v>50192</v>
      </c>
      <c r="DH168" s="478" t="n">
        <v>21.5600000000001</v>
      </c>
      <c r="DI168" s="479" t="n">
        <v>21.6266666666667</v>
      </c>
      <c r="DJ168" s="480" t="n">
        <f aca="false">DG168</f>
        <v>50192</v>
      </c>
      <c r="DK168" s="478" t="n">
        <v>20.1328800232191</v>
      </c>
      <c r="DL168" s="479" t="n">
        <v>20.3351666666667</v>
      </c>
      <c r="DM168" s="481" t="n">
        <f aca="false">DG168</f>
        <v>50192</v>
      </c>
      <c r="DN168" s="482" t="n">
        <f aca="false">DK168+BrentPhyBrentSpread</f>
        <v>20.1828800232191</v>
      </c>
      <c r="DO168" s="481" t="n">
        <f aca="false">DG168</f>
        <v>50192</v>
      </c>
      <c r="DP168" s="483" t="n">
        <f aca="false">DL168+DQ168</f>
        <v>20.3351666666667</v>
      </c>
      <c r="DQ168" s="546" t="n">
        <v>0</v>
      </c>
      <c r="DR168" s="480" t="n">
        <f aca="false">DG168</f>
        <v>50192</v>
      </c>
      <c r="DS168" s="485" t="n">
        <v>0.135799999999999</v>
      </c>
      <c r="DT168" s="486" t="n">
        <v>0.134999999999999</v>
      </c>
      <c r="DU168" s="480" t="n">
        <f aca="false">DG168</f>
        <v>50192</v>
      </c>
      <c r="DV168" s="485" t="n">
        <v>0.135799999999999</v>
      </c>
      <c r="DW168" s="486" t="n">
        <v>0.134999999999999</v>
      </c>
      <c r="DX168" s="481" t="n">
        <f aca="false">DG168</f>
        <v>50192</v>
      </c>
      <c r="DY168" s="486" t="n">
        <v>0.35</v>
      </c>
      <c r="DZ168" s="481" t="n">
        <f aca="false">DR168</f>
        <v>50192</v>
      </c>
      <c r="EA168" s="486" t="n">
        <f aca="false">DT168</f>
        <v>0.134999999999999</v>
      </c>
      <c r="EB168" s="195"/>
      <c r="EC168" s="547" t="str">
        <f aca="false">IF(BD168,IF(Underlying=1,AS168,AU168),"")</f>
        <v/>
      </c>
      <c r="ED168" s="548" t="str">
        <f aca="false">IF($BD168,$EC168+IF(VolSkewFlag=1,IF(BS168&gt;0,$BA168*MIN(BS168/10%,1)+($BB168-$BA168)*MAX(0,MIN(BS168/10%-1,1))+($BC168-$BB168)*MAX(0,BS168/10%-2),$AZ168*MIN(-BS168/10%,1)+($AY168-$AZ168)*MAX(0,MIN(-BS168/10%-1,1))+($AX168-$AY168)*MAX(0,-BS168/10%-2)),0),"")</f>
        <v/>
      </c>
      <c r="EE168" s="549" t="str">
        <f aca="false">IF($BD168,$EC168+IF(VolSkewFlag=1,IF(BT168&gt;0,$BA168*MIN(BT168/10%,1)+($BB168-$BA168)*MAX(0,MIN(BT168/10%-1,1))+($BC168-$BB168)*MAX(0,BT168/10%-2),$AZ168*MIN(-BT168/10%,1)+($AY168-$AZ168)*MAX(0,MIN(-BT168/10%-1,1))+($AX168-$AY168)*MAX(0,-BT168/10%-2)),0),"")</f>
        <v/>
      </c>
      <c r="EF168" s="550" t="n">
        <f aca="false">IF(BD168,xASN(BR168,Strike1,AO168,ED168,0,BO168,0,BI168,BL168,IF(OptControl=4,0,1),0),0)</f>
        <v>0</v>
      </c>
      <c r="EG168" s="551" t="n">
        <f aca="false">IF(BD168,xASN(BR168,Strike2,AO168,EE168,0,BO168,0,BI168,BL168,IF(OptControl=3,1,0),0),0)</f>
        <v>0</v>
      </c>
      <c r="EL168" s="1"/>
      <c r="EM168" s="195"/>
      <c r="EN168" s="240"/>
      <c r="EO168" s="240"/>
      <c r="EP168" s="195"/>
      <c r="EQ168" s="407" t="s">
        <v>395</v>
      </c>
      <c r="ES168" s="130"/>
      <c r="ET168" s="19"/>
      <c r="EU168" s="672"/>
      <c r="EV168" s="478"/>
      <c r="EW168" s="131"/>
      <c r="EX168" s="131"/>
      <c r="EY168" s="129"/>
      <c r="EZ168" s="129"/>
      <c r="FA168" s="129"/>
      <c r="FB168" s="129"/>
      <c r="FC168" s="129"/>
      <c r="FD168" s="129"/>
      <c r="FE168" s="129"/>
      <c r="FF168" s="129"/>
      <c r="FG168" s="129"/>
      <c r="FH168" s="129"/>
      <c r="FI168" s="129"/>
      <c r="FJ168" s="415" t="s">
        <v>396</v>
      </c>
      <c r="FK168" s="129"/>
      <c r="FL168" s="129"/>
      <c r="FM168" s="129"/>
      <c r="FN168" s="129"/>
      <c r="FO168" s="129"/>
      <c r="FP168" s="129"/>
      <c r="FQ168" s="129"/>
      <c r="FR168" s="129"/>
      <c r="FS168" s="129"/>
      <c r="FT168" s="129"/>
      <c r="FU168" s="129"/>
      <c r="FV168" s="129"/>
      <c r="FW168" s="129"/>
      <c r="FX168" s="129"/>
      <c r="FY168" s="129"/>
      <c r="FZ168" s="129"/>
      <c r="GA168" s="129"/>
      <c r="GB168" s="129"/>
      <c r="GC168" s="129"/>
      <c r="GD168" s="129"/>
      <c r="GE168" s="129"/>
      <c r="GF168" s="129"/>
      <c r="GG168" s="129"/>
      <c r="GH168" s="129"/>
      <c r="GI168" s="129"/>
      <c r="GJ168" s="129"/>
      <c r="GK168" s="129"/>
      <c r="GL168" s="129"/>
      <c r="GM168" s="129"/>
      <c r="GN168" s="129"/>
      <c r="GO168" s="129"/>
      <c r="GP168" s="129"/>
      <c r="GQ168" s="129"/>
      <c r="GR168" s="129"/>
      <c r="GS168" s="129"/>
      <c r="GT168" s="129"/>
      <c r="GU168" s="129"/>
      <c r="GV168" s="129"/>
      <c r="GW168" s="129"/>
      <c r="GX168" s="129"/>
      <c r="GY168" s="129"/>
      <c r="GZ168" s="129"/>
      <c r="HA168" s="129"/>
      <c r="HB168" s="129"/>
      <c r="HC168" s="129"/>
      <c r="HD168" s="129"/>
      <c r="HE168" s="129"/>
      <c r="HF168" s="129"/>
      <c r="HG168" s="129"/>
      <c r="HH168" s="129"/>
      <c r="HI168" s="129"/>
      <c r="HJ168" s="129"/>
      <c r="HK168" s="129"/>
      <c r="HL168" s="129"/>
      <c r="HM168" s="129"/>
      <c r="HN168" s="129"/>
      <c r="HO168" s="129"/>
      <c r="HP168" s="129"/>
      <c r="HQ168" s="129"/>
      <c r="HR168" s="129"/>
      <c r="HS168" s="129"/>
      <c r="HT168" s="129"/>
      <c r="HU168" s="129"/>
      <c r="HV168" s="129"/>
      <c r="HW168" s="129"/>
      <c r="HX168" s="129"/>
      <c r="HY168" s="129"/>
      <c r="HZ168" s="129"/>
      <c r="IA168" s="129"/>
      <c r="IB168" s="129"/>
      <c r="IC168" s="129"/>
      <c r="ID168" s="129"/>
      <c r="IE168" s="129"/>
    </row>
    <row r="169" customFormat="false" ht="12.75" hidden="false" customHeight="false" outlineLevel="0" collapsed="false">
      <c r="H169" s="219" t="n">
        <f aca="false">VLOOKUP(I169,$EJ$20:$EL$54,3)</f>
        <v>0</v>
      </c>
      <c r="I169" s="511" t="n">
        <f aca="false">EOMONTH(I168,0)+1</f>
        <v>41306</v>
      </c>
      <c r="J169" s="512"/>
      <c r="K169" s="513" t="s">
        <v>280</v>
      </c>
      <c r="L169" s="514" t="n">
        <f aca="false">IF(ISNUMBER(K169),J169+K169/100,IF(K169="extra",L168+VLOOKUP(BF169,PriceSpreadTable,2)/12,IF(K169="inter",interpolateprices($K$19:$L$200,ROW(K169)-ROW(FirstPricingMonth)+1),interpolatechanges($J$19:$K$200,ROW(K169)-ROW(FirstPricingMonth)+1))))</f>
        <v>2.7375</v>
      </c>
      <c r="M169" s="515"/>
      <c r="N169" s="516" t="n">
        <v>0</v>
      </c>
      <c r="O169" s="515" t="n">
        <f aca="false">M169+N169</f>
        <v>0</v>
      </c>
      <c r="P169" s="512"/>
      <c r="Q169" s="513" t="s">
        <v>280</v>
      </c>
      <c r="R169" s="512" t="e">
        <f aca="false">IF(ISNUMBER(Q169),P169+Q169/100,IF(Q169="extra",(Z167*AL167-R168*AM167)/AN167,IF(Q169="inter",interpolateprices($Q$19:$R$260,ROW(Q169)-ROW(FirstPricingMonth)+1),interpolatechanges($P$19:$Q$260,ROW(Q169)-ROW(FirstPricingMonth)+1))))</f>
        <v>#VALUE!</v>
      </c>
      <c r="S169" s="597" t="n">
        <f aca="false">S$19+(S168-S$19)*S$18</f>
        <v>0.36</v>
      </c>
      <c r="T169" s="575" t="n">
        <f aca="false">SQRT((1-(1-T168^2/U168)*T$18)*U169)</f>
        <v>0.999999999991807</v>
      </c>
      <c r="U169" s="576" t="n">
        <f aca="false">1-(1-U168)*U$18</f>
        <v>1</v>
      </c>
      <c r="V169" s="521" t="n">
        <v>0</v>
      </c>
      <c r="W169" s="577" t="n">
        <f aca="false">(J170*AJ169+J171*AK169)/AI169</f>
        <v>0</v>
      </c>
      <c r="X169" s="578" t="n">
        <f aca="false">(L170*AJ169+L171*AK169)/AI169</f>
        <v>2.78625</v>
      </c>
      <c r="Y169" s="579" t="n">
        <f aca="false">IF(Q171="extra",W169-AA169,(P170*AM169+P171*AN169)/AL169)</f>
        <v>-1.1685</v>
      </c>
      <c r="Z169" s="579" t="n">
        <f aca="false">IF(Q171="extra",X169-AB169,(R170*AM169+R171*AN169)/AL169)</f>
        <v>1.61775</v>
      </c>
      <c r="AA169" s="523" t="n">
        <f aca="false">IF(Q171="extra",INDEX(BrentSeasonalityTable,INT((BG169-1)/3)+1)*VLOOKUP(MAX(BF169,$AB$4),PriceSpreadTable,3),W169-Y169)</f>
        <v>1.1685</v>
      </c>
      <c r="AB169" s="524" t="n">
        <f aca="false">IF(Q171="extra",INDEX(BrentSeasonalityTable,INT((BG169-1)/3)+1)*VLOOKUP(MAX(BF169,$AB$4),PriceSpreadTable,3),X169-Z169)</f>
        <v>1.1685</v>
      </c>
      <c r="AC169" s="646" t="n">
        <v>41294</v>
      </c>
      <c r="AD169" s="646" t="n">
        <v>41290</v>
      </c>
      <c r="AE169" s="646" t="n">
        <v>41289</v>
      </c>
      <c r="AF169" s="646" t="n">
        <v>41285</v>
      </c>
      <c r="AG169" s="438" t="s">
        <v>278</v>
      </c>
      <c r="AH169" s="439" t="s">
        <v>278</v>
      </c>
      <c r="AI169" s="528" t="n">
        <v>20</v>
      </c>
      <c r="AJ169" s="529" t="n">
        <v>14</v>
      </c>
      <c r="AK169" s="529" t="n">
        <v>6</v>
      </c>
      <c r="AL169" s="530" t="n">
        <v>20</v>
      </c>
      <c r="AM169" s="529" t="n">
        <v>10</v>
      </c>
      <c r="AN169" s="531" t="n">
        <v>10</v>
      </c>
      <c r="AO169" s="532"/>
      <c r="AP169" s="465" t="n">
        <f aca="false">(1+AO169/2)^(-2*BL169)</f>
        <v>1</v>
      </c>
      <c r="AQ169" s="532"/>
      <c r="AR169" s="465" t="n">
        <f aca="false">(1+AQ169/2)^(-2*BH169/365.25)</f>
        <v>1</v>
      </c>
      <c r="AS169" s="580" t="n">
        <f aca="false">(O170*AJ169+O171*AK169)/AI169</f>
        <v>0</v>
      </c>
      <c r="AT169" s="468" t="n">
        <f aca="false">O169*VLOOKUP(BF169,BrentVolTable,2)+VLOOKUP(BF169,BrentVolTable,3)</f>
        <v>0</v>
      </c>
      <c r="AU169" s="468" t="n">
        <f aca="false">(AT170*AM169+AT171*AN169)/AL169</f>
        <v>0</v>
      </c>
      <c r="AV169" s="595" t="n">
        <f aca="false">SQRT(MAX(0.000000000001,(O169^2*BH169-S169^2*(BH169-BH168))/BH168))</f>
        <v>0.0293434369330107</v>
      </c>
      <c r="AW169" s="451" t="n">
        <f aca="false">IF($I169-DateToday+15&gt;=$T$8,"",IF($I169-DateToday+15&lt;$T$5,1,MATCH($I169-DateToday+15,$T$5:$T$8)))</f>
        <v>1</v>
      </c>
      <c r="AX169" s="468" t="n">
        <f aca="false">IF($AW169="",AX168^2/AX167,INDEX(U$5:U$8,$AW169)^((INDEX($T$5:$T$8,$AW169+1)-($I169-DateToday+15))/(INDEX($T$5:$T$8,$AW169+1)-INDEX($T$5:$T$8,$AW169)))/INDEX(U$5:U$8,$AW169+1)^((INDEX($T$5:$T$8,$AW169)-($I169-DateToday+15))/(INDEX($T$5:$T$8,$AW169+1)-INDEX($T$5:$T$8,$AW169))))</f>
        <v>0.518724133609791</v>
      </c>
      <c r="AY169" s="468" t="n">
        <f aca="false">IF($AW169="",AY168^2/AY167,INDEX(V$5:V$8,$AW169)^((INDEX($T$5:$T$8,$AW169+1)-($I169-DateToday+15))/(INDEX($T$5:$T$8,$AW169+1)-INDEX($T$5:$T$8,$AW169)))/INDEX(V$5:V$8,$AW169+1)^((INDEX($T$5:$T$8,$AW169)-($I169-DateToday+15))/(INDEX($T$5:$T$8,$AW169+1)-INDEX($T$5:$T$8,$AW169))))</f>
        <v>9.78538371707479</v>
      </c>
      <c r="AZ169" s="468" t="n">
        <f aca="false">IF($AW169="",AZ168^2/AZ167,INDEX(W$5:W$8,$AW169)^((INDEX($T$5:$T$8,$AW169+1)-($I169-DateToday+15))/(INDEX($T$5:$T$8,$AW169+1)-INDEX($T$5:$T$8,$AW169)))/INDEX(W$5:W$8,$AW169+1)^((INDEX($T$5:$T$8,$AW169)-($I169-DateToday+15))/(INDEX($T$5:$T$8,$AW169+1)-INDEX($T$5:$T$8,$AW169))))</f>
        <v>3314.3712330716</v>
      </c>
      <c r="BA169" s="468" t="n">
        <f aca="false">IF($AW169="",BA168^2/BA167,INDEX(X$5:X$8,$AW169)^((INDEX($T$5:$T$8,$AW169+1)-($I169-DateToday+15))/(INDEX($T$5:$T$8,$AW169+1)-INDEX($T$5:$T$8,$AW169)))/INDEX(X$5:X$8,$AW169+1)^((INDEX($T$5:$T$8,$AW169)-($I169-DateToday+15))/(INDEX($T$5:$T$8,$AW169+1)-INDEX($T$5:$T$8,$AW169))))</f>
        <v>17908.7952743362</v>
      </c>
      <c r="BB169" s="468" t="n">
        <f aca="false">IF($AW169="",BB168^2/BB167,INDEX(Y$5:Y$8,$AW169)^((INDEX($T$5:$T$8,$AW169+1)-($I169-DateToday+15))/(INDEX($T$5:$T$8,$AW169+1)-INDEX($T$5:$T$8,$AW169)))/INDEX(Y$5:Y$8,$AW169+1)^((INDEX($T$5:$T$8,$AW169)-($I169-DateToday+15))/(INDEX($T$5:$T$8,$AW169+1)-INDEX($T$5:$T$8,$AW169))))</f>
        <v>113225.370053122</v>
      </c>
      <c r="BC169" s="468" t="n">
        <f aca="false">IF($AW169="",BC168^2/BC167,INDEX(Z$5:Z$8,$AW169)^((INDEX($T$5:$T$8,$AW169+1)-($I169-DateToday+15))/(INDEX($T$5:$T$8,$AW169+1)-INDEX($T$5:$T$8,$AW169)))/INDEX(Z$5:Z$8,$AW169+1)^((INDEX($T$5:$T$8,$AW169)-($I169-DateToday+15))/(INDEX($T$5:$T$8,$AW169+1)-INDEX($T$5:$T$8,$AW169))))</f>
        <v>347642.545679081</v>
      </c>
      <c r="BD169" s="535" t="n">
        <f aca="false">IF(OR(DateStart&gt;=I170,DateEnd&lt;I169),0,IF(VolumeOverrideFlag,V169,Volume))</f>
        <v>0</v>
      </c>
      <c r="BE169" s="536" t="n">
        <f aca="false">IF(OR(DateStart2&gt;=I170,DateEnd2&lt;I169),0,IF(VolumeOverrideFlag,V169,VolumeSwaption))</f>
        <v>0</v>
      </c>
      <c r="BF169" s="537" t="n">
        <f aca="false">YEAR(I169)</f>
        <v>2013</v>
      </c>
      <c r="BG169" s="538" t="n">
        <f aca="false">MONTH(I169)</f>
        <v>2</v>
      </c>
      <c r="BH169" s="539" t="n">
        <f aca="false">AD169-DateToday+1</f>
        <v>-4635</v>
      </c>
      <c r="BI169" s="540" t="n">
        <f aca="false">(I169-DateToday+1)/365.25</f>
        <v>-12.6461327857632</v>
      </c>
      <c r="BJ169" s="541" t="n">
        <f aca="false">BI169+(BL169-BI169)*CHOOSE(Underlying,AJ169/AI169,AM169/AL169)</f>
        <v>-12.5943874058864</v>
      </c>
      <c r="BK169" s="541" t="n">
        <f aca="false">BJ169+1/365.25</f>
        <v>-12.5916495550992</v>
      </c>
      <c r="BL169" s="541" t="n">
        <f aca="false">(I170-DateToday)/365.25</f>
        <v>-12.5722108145106</v>
      </c>
      <c r="BM169" s="542" t="e">
        <f aca="false">MAX(BI169-(BJ169-BI169)*(S170^2/O170^2-1),0)</f>
        <v>#DIV/0!</v>
      </c>
      <c r="BN169" s="541" t="e">
        <f aca="false">MAX(BL169+(BL169-BK169)*(S171^2/O171^2-1),0)</f>
        <v>#DIV/0!</v>
      </c>
      <c r="BO169" s="530" t="n">
        <f aca="false">CHOOSE(Underlying,AI169,AL169)</f>
        <v>20</v>
      </c>
      <c r="BP169" s="529" t="n">
        <f aca="false">CHOOSE(Underlying,AJ169,AM169)</f>
        <v>14</v>
      </c>
      <c r="BQ169" s="529" t="n">
        <f aca="false">CHOOSE(Underlying,AK169,AN169)</f>
        <v>6</v>
      </c>
      <c r="BR169" s="463" t="str">
        <f aca="false">IF(BD169,IF(Underlying=1,X169,Z169)+UnderlyingPriceAsian-SwapPriceCurve,"")</f>
        <v/>
      </c>
      <c r="BS169" s="463" t="str">
        <f aca="false">IF(BD169,Strike1/BR169-1,"")</f>
        <v/>
      </c>
      <c r="BT169" s="464" t="str">
        <f aca="false">IF(BD169,Strike2/BR169-1,"")</f>
        <v/>
      </c>
      <c r="BU169" s="465" t="str">
        <f aca="false">IF(BD169,IF(Underlying=1,L170,R170)+UnderlyingPriceAsian-SwapPriceCurve,"")</f>
        <v/>
      </c>
      <c r="BV169" s="465" t="str">
        <f aca="false">IF(BD169,IF(Underlying=1,L171,R171)+UnderlyingPriceAsian-SwapPriceCurve,"")</f>
        <v/>
      </c>
      <c r="BW169" s="466" t="str">
        <f aca="false">IF(BD169,IF(Underlying=1,O170,AT170),"")</f>
        <v/>
      </c>
      <c r="BX169" s="467" t="str">
        <f aca="false">IF(BD169,IF(Underlying=1,O171,AT171),"")</f>
        <v/>
      </c>
      <c r="BY169" s="466" t="str">
        <f aca="false">IF(BD169,IF(BS169&gt;0,IF(BS169&gt;0.2,BC169-BB169,IF(BS169&gt;0.1,BB169-BA169,BA169)),IF(BS169&lt;-0.2,AX169-AY169,IF(BS169&lt;-0.1,AY169-AZ169,AZ169))),"")</f>
        <v/>
      </c>
      <c r="BZ169" s="467" t="str">
        <f aca="false">IF(BD169,IF(BT169&gt;0,IF(BT169&gt;0.2,BC169-BB169,IF(BT169&gt;0.1,BB169-BA169,BA169)),IF(BT169&lt;-0.2,AX169-AY169,IF(BT169&lt;-0.1,AY169-AZ169,AZ169))),"")</f>
        <v/>
      </c>
      <c r="CA169" s="468" t="str">
        <f aca="false">IF($BD169,$BW169+IF(VolSkewFlag=1,IF(BS169&gt;0,$BA169*MIN(BS169/10%,1)+($BB169-$BA169)*MAX(0,MIN(BS169/10%-1,1))+($BC169-$BB169)*MAX(0,BS169/10%-2),$AZ169*MIN(-BS169/10%,1)+($AY169-$AZ169)*MAX(0,MIN(-BS169/10%-1,1))+($AX169-$AY169)*MAX(0,-BS169/10%-2)),0),"")</f>
        <v/>
      </c>
      <c r="CB169" s="468" t="str">
        <f aca="false">IF($BD169,$BX169+IF(VolSkewFlag=1,IF(BS169&gt;0,$BA169*MIN(BS169/10%,1)+($BB169-$BA169)*MAX(0,MIN(BS169/10%-1,1))+($BC169-$BB169)*MAX(0,BS169/10%-2),$AZ169*MIN(-BS169/10%,1)+($AY169-$AZ169)*MAX(0,MIN(-BS169/10%-1,1))+($AX169-$AY169)*MAX(0,-BS169/10%-2)),0),"")</f>
        <v/>
      </c>
      <c r="CC169" s="468" t="str">
        <f aca="false">IF($BD169,$BW169+IF(VolSkewFlag=1,IF(BT169&gt;0,$BA169*MIN(BT169/10%,1)+($BB169-$BA169)*MAX(0,MIN(BT169/10%-1,1))+($BC169-$BB169)*MAX(0,BT169/10%-2),$AZ169*MIN(-BT169/10%,1)+($AY169-$AZ169)*MAX(0,MIN(-BT169/10%-1,1))+($AX169-$AY169)*MAX(0,-BT169/10%-2)),0),"")</f>
        <v/>
      </c>
      <c r="CD169" s="468" t="str">
        <f aca="false">IF($BD169,$BX169+IF(VolSkewFlag=1,IF(BT169&gt;0,$BA169*MIN(BT169/10%,1)+($BB169-$BA169)*MAX(0,MIN(BT169/10%-1,1))+($BC169-$BB169)*MAX(0,BT169/10%-2),$AZ169*MIN(-BT169/10%,1)+($AY169-$AZ169)*MAX(0,MIN(-BT169/10%-1,1))+($AX169-$AY169)*MAX(0,-BT169/10%-2)),0),"")</f>
        <v/>
      </c>
      <c r="CE169" s="469" t="n">
        <v>1</v>
      </c>
      <c r="CF169" s="470" t="n">
        <f aca="false">IF(BD169,xCrudeAPO(BU169,BV169,CA169,CB169,S170,S171,BI169,BL169,BP169,BQ169,0,Strike1,AO169,CE169,0,BL169,IF(OptControl=4,0,1),0,1),0)</f>
        <v>0</v>
      </c>
      <c r="CG169" s="470" t="n">
        <f aca="false">IF(BD169,xCrudeAPO(BU169,BV169,CA169,CB169,S170,S171,BI169,BL169,BP169,BQ169,0,Strike1,AO169,CE169,0,BL169,IF(OptControl=4,0,1),1,1)+xCrudeAPO(BU169,BV169,CA169,CB169,S170,S171,BI169,BL169,BP169,BQ169,0,Strike1,AO169,CE169,0,BL169,IF(OptControl=4,0,1),1,2)+IF(OR(VolSkewFlag=2,ABS(BS169)&lt;0.0001),0,IF(BS169&gt;0,-1,1)*CH169*Strike1/BR169^2*BY169/10%),0)</f>
        <v>0</v>
      </c>
      <c r="CH169" s="470" t="n">
        <f aca="false">IF(BD169,(xCrudeAPO(BU169,BV169,CA169,CB169,S170,S171,BI169,BL169,BP169,BQ169,0,Strike1,AO169,CE169,0,BL169,IF(OptControl=4,0,1),3,1)+xCrudeAPO(BU169,BV169,CA169,CB169,S170,S171,BI169,BL169,BP169,BQ169,0,Strike1,AO169,CE169,0,BL169,IF(OptControl=4,0,1),3,2))/100,0)</f>
        <v>0</v>
      </c>
      <c r="CI169" s="470" t="n">
        <f aca="false">IF(BD169,xCrudeAPO(BU169,BV169,CA169,CB169,S170,S171,BI169-DaysForThetaCalculation/365.25,BL169-DaysForThetaCalculation/365.25,BP169,BQ169,0,Strike1,AO169,CE169,0,BL169,IF(OptControl=4,0,1),0,1)-xCrudeAPO(BU169,BV169,CA169,CB169,S170,S171,BI169,BL169,BP169,BQ169,0,Strike1,AO169,CE169,0,BL169,IF(OptControl=4,0,1),0,1),0)</f>
        <v>0</v>
      </c>
      <c r="CJ169" s="471" t="n">
        <f aca="false">IF(BD169,xCrudeAPO(BU169,BV169,CC169,CD169,S170,S171,BI169,BL169,BP169,BQ169,0,Strike2,AO169,CE169,0,BL169,IF(OptControl=3,1,0),0,1),0)</f>
        <v>0</v>
      </c>
      <c r="CK169" s="470" t="n">
        <f aca="false">IF(BD169,xCrudeAPO(BU169,BV169,CC169,CD169,S170,S171,BI169,BL169,BP169,BQ169,0,Strike2,AO169,CE169,0,BL169,IF(OptControl=3,1,0),1,1)+xCrudeAPO(BU169,BV169,CC169,CD169,S170,S171,BI169,BL169,BP169,BQ169,0,Strike2,AO169,CE169,0,BL169,IF(OptControl=3,1,0),1,2)+IF(OR(VolSkewFlag=2,ABS(BT169)&lt;0.0001),0,IF(BT169&gt;0,-1,1)*CL169*Strike2/BR169^2*BZ169/10%),0)</f>
        <v>0</v>
      </c>
      <c r="CL169" s="470" t="n">
        <f aca="false">IF(BD169,(xCrudeAPO(BU169,BV169,CC169,CD169,S170,S171,BI169,BL169,BP169,BQ169,0,Strike2,AO169,CE169,0,BL169,IF(OptControl=3,1,0),3,1)+xCrudeAPO(BU169,BV169,CC169,CD169,S170,S171,BI169,BL169,BP169,BQ169,0,Strike2,AO169,CE169,0,BL169,IF(OptControl=3,1,0),3,2))/100,0)</f>
        <v>0</v>
      </c>
      <c r="CM169" s="472" t="n">
        <f aca="false">IF(BD169,xCrudeAPO(BU169,BV169,CC169,CD169,S170,S171,BI169-DaysForThetaCalculation/365.25,BL169-DaysForThetaCalculation/365.25,BP169,BQ169,0,Strike2,AO169,CE169,0,BL169,IF(OptControl=3,1,0),0,1)-xCrudeAPO(BU169,BV169,CC169,CD169,S170,S171,BI169,BL169,BP169,BQ169,0,Strike2,AO169,CE169,0,BL169,IF(OptControl=3,1,0),0,1),0)</f>
        <v>0</v>
      </c>
      <c r="CN169" s="3"/>
      <c r="CO169" s="543" t="str">
        <f aca="false">IF(BD169,CHOOSE(Underlying,AD169,AF169)-DateToday+1,"")</f>
        <v/>
      </c>
      <c r="CP169" s="582" t="str">
        <f aca="false">IF(BD169,CHOOSE(Underlying,L169,R169),"")</f>
        <v/>
      </c>
      <c r="CQ169" s="544" t="str">
        <f aca="false">IF(BD169,Strike1/CP169-1,"")</f>
        <v/>
      </c>
      <c r="CR169" s="544" t="str">
        <f aca="false">IF(BD169,Strike2/CP169-1,"")</f>
        <v/>
      </c>
      <c r="CS169" s="544" t="str">
        <f aca="false">IF(BD169,IF(CQ169&gt;0,IF(CQ169&gt;0.2,BC168-BB168,IF(CQ169&gt;0.1,BB168-BA168,BA168)),IF(CQ169&lt;-0.2,AX168-AY168,IF(CQ169&lt;-0.1,AY168-AZ168,AZ168))),"")</f>
        <v/>
      </c>
      <c r="CT169" s="544" t="str">
        <f aca="false">IF(BD169,IF(CR169&gt;0,IF(CR169&gt;0.2,BC168-BB168,IF(CR169&gt;0.1,BB168-BA168,BA168)),IF(CR169&lt;-0.2,AX168-AY168,IF(CR169&lt;-0.1,AY168-AZ168,AZ168))),"")</f>
        <v/>
      </c>
      <c r="CU169" s="545" t="str">
        <f aca="false">IF(BD169,CHOOSE(Underlying,O169,AT169),"")</f>
        <v/>
      </c>
      <c r="CV169" s="545" t="str">
        <f aca="false">IF(BD169,CU169+IF(VolSkewFlag=1,IF(CQ169&gt;0,BA168*MIN(CQ169/10%,1)+(BB168-BA168)*MAX(0,MIN(CQ169/10%-1,1))+(BC168-BB168)*MAX(0,CQ169/10%-2),AZ168*MIN(-CQ169/10%,1)+(AY168-AZ168)*MAX(0,MIN(-CQ169/10%-1,1))+(AX168-AY168)*MAX(0,-CQ169/10%-2)),0),"")</f>
        <v/>
      </c>
      <c r="CW169" s="545" t="str">
        <f aca="false">IF(BD169,CU169+IF(VolSkewFlag=1,IF(CR169&gt;0,BA168*MIN(CR169/10%,1)+(BB168-BA168)*MAX(0,MIN(CR169/10%-1,1))+(BC168-BB168)*MAX(0,CR169/10%-2),AZ168*MIN(-CR169/10%,1)+(AY168-AZ168)*MAX(0,MIN(-CR169/10%-1,1))+(AX168-AY168)*MAX(0,-CR169/10%-2)),0),"")</f>
        <v/>
      </c>
      <c r="CX169" s="470" t="n">
        <f aca="false">IF(BD169,EURO(CP169,Strike1,AO169,AO169,CV169,CO169,IF(OptControl=4,0,1),0),0)</f>
        <v>0</v>
      </c>
      <c r="CY169" s="470" t="n">
        <f aca="false">IF(BD169,EURO(CP169,Strike1,AO169,AO169,CV169,CO169,IF(OptControl=4,0,1),1)+IF(OR(VolSkewFlag=2,ABS(CQ169)&lt;0.0001),0,IF(CQ169&gt;0,-1,1)*CZ169*100*Strike1/CP169^2*CS169/10%),0)</f>
        <v>0</v>
      </c>
      <c r="CZ169" s="470" t="n">
        <f aca="false">IF(BD169,EURO(CP169,Strike1,AO169,AO169,CV169,CO169,IF(OptControl=4,0,1),3)/100,0)</f>
        <v>0</v>
      </c>
      <c r="DA169" s="470" t="n">
        <f aca="false">IF(BD169,EURO(CP169,Strike1,AO169,AO169,CV169,CO169,IF(OptControl=4,0,1),0)-EURO(CP169,Strike1,AO169,AO169,CV169,CO169-1,IF(OptControl=4,0,1),0),0)</f>
        <v>0</v>
      </c>
      <c r="DB169" s="470" t="n">
        <f aca="false">IF(BD169,EURO(CP169,Strike2,AO169,AO169,CW169,CO169,IF(OptControl=3,1,0),0),0)</f>
        <v>0</v>
      </c>
      <c r="DC169" s="470" t="n">
        <f aca="false">IF(BD169,EURO(CP169,Strike2,AO169,AO169,CW169,CO169,IF(OptControl=3,1,0),1)+IF(OR(VolSkewFlag=2,ABS(CR169)&lt;0.0001),0,IF(CR169&gt;0,-1,1)*DD169*100*Strike2/CP169^2*CT169/10%),0)</f>
        <v>0</v>
      </c>
      <c r="DD169" s="470" t="n">
        <f aca="false">IF(BD169,EURO(CP169,Strike2,AO169,AO169,CW169,CO169,IF(OptControl=3,1,0),3)/100,0)</f>
        <v>0</v>
      </c>
      <c r="DE169" s="472" t="n">
        <f aca="false">IF(BD169,EURO(CP169,Strike2,AO169,AO169,CW169,CO169,IF(OptControl=3,1,0),0)-EURO(CP169,Strike2,AO169,AO169,CW169,CO169-1,IF(OptControl=3,1,0),0),0)</f>
        <v>0</v>
      </c>
      <c r="DG169" s="481" t="n">
        <f aca="false">EOMONTH(DG168,0)+1</f>
        <v>50222</v>
      </c>
      <c r="DH169" s="478" t="n">
        <v>21.6100000000001</v>
      </c>
      <c r="DI169" s="479" t="n">
        <v>21.6766666666667</v>
      </c>
      <c r="DJ169" s="480" t="n">
        <f aca="false">DG169</f>
        <v>50222</v>
      </c>
      <c r="DK169" s="478" t="n">
        <v>20.4074384436777</v>
      </c>
      <c r="DL169" s="479" t="n">
        <v>20.4097666666667</v>
      </c>
      <c r="DM169" s="481" t="n">
        <f aca="false">DG169</f>
        <v>50222</v>
      </c>
      <c r="DN169" s="482" t="n">
        <f aca="false">DK169+BrentPhyBrentSpread</f>
        <v>20.4574384436777</v>
      </c>
      <c r="DO169" s="481" t="n">
        <f aca="false">DG169</f>
        <v>50222</v>
      </c>
      <c r="DP169" s="483" t="n">
        <f aca="false">DL169+DQ169</f>
        <v>20.4097666666667</v>
      </c>
      <c r="DQ169" s="546" t="n">
        <v>0</v>
      </c>
      <c r="DR169" s="480" t="n">
        <f aca="false">DG169</f>
        <v>50222</v>
      </c>
      <c r="DS169" s="485" t="n">
        <v>0.135199999999999</v>
      </c>
      <c r="DT169" s="486" t="n">
        <v>0.134399999999999</v>
      </c>
      <c r="DU169" s="480" t="n">
        <f aca="false">DG169</f>
        <v>50222</v>
      </c>
      <c r="DV169" s="485" t="n">
        <v>0.135199999999999</v>
      </c>
      <c r="DW169" s="486" t="n">
        <v>0.134399999999999</v>
      </c>
      <c r="DX169" s="481" t="n">
        <f aca="false">DG169</f>
        <v>50222</v>
      </c>
      <c r="DY169" s="486" t="n">
        <v>0.35</v>
      </c>
      <c r="DZ169" s="481" t="n">
        <f aca="false">DR169</f>
        <v>50222</v>
      </c>
      <c r="EA169" s="486" t="n">
        <f aca="false">DT169</f>
        <v>0.134399999999999</v>
      </c>
      <c r="EB169" s="195"/>
      <c r="EC169" s="547" t="str">
        <f aca="false">IF(BD169,IF(Underlying=1,AS169,AU169),"")</f>
        <v/>
      </c>
      <c r="ED169" s="548" t="str">
        <f aca="false">IF($BD169,$EC169+IF(VolSkewFlag=1,IF(BS169&gt;0,$BA169*MIN(BS169/10%,1)+($BB169-$BA169)*MAX(0,MIN(BS169/10%-1,1))+($BC169-$BB169)*MAX(0,BS169/10%-2),$AZ169*MIN(-BS169/10%,1)+($AY169-$AZ169)*MAX(0,MIN(-BS169/10%-1,1))+($AX169-$AY169)*MAX(0,-BS169/10%-2)),0),"")</f>
        <v/>
      </c>
      <c r="EE169" s="549" t="str">
        <f aca="false">IF($BD169,$EC169+IF(VolSkewFlag=1,IF(BT169&gt;0,$BA169*MIN(BT169/10%,1)+($BB169-$BA169)*MAX(0,MIN(BT169/10%-1,1))+($BC169-$BB169)*MAX(0,BT169/10%-2),$AZ169*MIN(-BT169/10%,1)+($AY169-$AZ169)*MAX(0,MIN(-BT169/10%-1,1))+($AX169-$AY169)*MAX(0,-BT169/10%-2)),0),"")</f>
        <v/>
      </c>
      <c r="EF169" s="550" t="n">
        <f aca="false">IF(BD169,xASN(BR169,Strike1,AO169,ED169,0,BO169,0,BI169,BL169,IF(OptControl=4,0,1),0),0)</f>
        <v>0</v>
      </c>
      <c r="EG169" s="551" t="n">
        <f aca="false">IF(BD169,xASN(BR169,Strike2,AO169,EE169,0,BO169,0,BI169,BL169,IF(OptControl=3,1,0),0),0)</f>
        <v>0</v>
      </c>
      <c r="EL169" s="1"/>
      <c r="EM169" s="195"/>
      <c r="EN169" s="240"/>
      <c r="EO169" s="240"/>
      <c r="EP169" s="195"/>
      <c r="EQ169" s="407" t="s">
        <v>397</v>
      </c>
      <c r="ES169" s="130"/>
      <c r="ET169" s="19"/>
      <c r="EU169" s="672"/>
      <c r="EV169" s="478"/>
      <c r="EW169" s="131"/>
      <c r="EX169" s="131"/>
      <c r="EY169" s="129"/>
      <c r="EZ169" s="129"/>
      <c r="FA169" s="129"/>
      <c r="FB169" s="129"/>
      <c r="FC169" s="129"/>
      <c r="FD169" s="129"/>
      <c r="FE169" s="129"/>
      <c r="FF169" s="129"/>
      <c r="FG169" s="129"/>
      <c r="FH169" s="129"/>
      <c r="FI169" s="129"/>
      <c r="FJ169" s="508"/>
      <c r="FK169" s="509" t="n">
        <v>1</v>
      </c>
      <c r="FL169" s="509" t="n">
        <v>2</v>
      </c>
      <c r="FM169" s="509" t="n">
        <v>3</v>
      </c>
      <c r="FN169" s="509" t="n">
        <v>4</v>
      </c>
      <c r="FO169" s="509" t="n">
        <v>5</v>
      </c>
      <c r="FP169" s="509" t="n">
        <v>6</v>
      </c>
      <c r="FQ169" s="509" t="n">
        <v>7</v>
      </c>
      <c r="FR169" s="509" t="n">
        <v>8</v>
      </c>
      <c r="FS169" s="509" t="n">
        <v>9</v>
      </c>
      <c r="FT169" s="509" t="n">
        <v>10</v>
      </c>
      <c r="FU169" s="509" t="n">
        <v>11</v>
      </c>
      <c r="FV169" s="509" t="n">
        <v>12</v>
      </c>
      <c r="FW169" s="509" t="n">
        <v>13</v>
      </c>
      <c r="FX169" s="509" t="n">
        <v>14</v>
      </c>
      <c r="FY169" s="509" t="n">
        <v>15</v>
      </c>
      <c r="FZ169" s="509" t="n">
        <v>16</v>
      </c>
      <c r="GA169" s="509" t="n">
        <v>17</v>
      </c>
      <c r="GB169" s="509" t="n">
        <v>18</v>
      </c>
      <c r="GC169" s="509" t="n">
        <v>19</v>
      </c>
      <c r="GD169" s="509" t="n">
        <v>20</v>
      </c>
      <c r="GE169" s="509" t="n">
        <v>21</v>
      </c>
      <c r="GF169" s="509" t="n">
        <v>22</v>
      </c>
      <c r="GG169" s="509" t="n">
        <v>23</v>
      </c>
      <c r="GH169" s="509" t="n">
        <v>24</v>
      </c>
      <c r="GI169" s="509" t="n">
        <v>25</v>
      </c>
      <c r="GJ169" s="509" t="n">
        <v>26</v>
      </c>
      <c r="GK169" s="509" t="n">
        <v>27</v>
      </c>
      <c r="GL169" s="509" t="n">
        <v>28</v>
      </c>
      <c r="GM169" s="509" t="n">
        <v>29</v>
      </c>
      <c r="GN169" s="509" t="n">
        <v>30</v>
      </c>
      <c r="GO169" s="509" t="n">
        <v>31</v>
      </c>
      <c r="GP169" s="509" t="n">
        <v>32</v>
      </c>
      <c r="GQ169" s="509" t="n">
        <v>33</v>
      </c>
      <c r="GR169" s="509" t="n">
        <v>34</v>
      </c>
      <c r="GS169" s="509" t="n">
        <v>35</v>
      </c>
      <c r="GT169" s="509" t="n">
        <v>36</v>
      </c>
      <c r="GU169" s="509" t="n">
        <v>37</v>
      </c>
      <c r="GV169" s="509" t="n">
        <v>38</v>
      </c>
      <c r="GW169" s="509" t="n">
        <v>39</v>
      </c>
      <c r="GX169" s="509" t="n">
        <v>40</v>
      </c>
      <c r="GY169" s="509" t="n">
        <v>41</v>
      </c>
      <c r="GZ169" s="509" t="n">
        <v>42</v>
      </c>
      <c r="HA169" s="509" t="n">
        <v>43</v>
      </c>
      <c r="HB169" s="509" t="n">
        <v>44</v>
      </c>
      <c r="HC169" s="509" t="n">
        <v>45</v>
      </c>
      <c r="HD169" s="509" t="n">
        <v>46</v>
      </c>
      <c r="HE169" s="509" t="n">
        <v>47</v>
      </c>
      <c r="HF169" s="509" t="n">
        <v>48</v>
      </c>
      <c r="HG169" s="509" t="n">
        <v>49</v>
      </c>
      <c r="HH169" s="509" t="n">
        <v>50</v>
      </c>
      <c r="HI169" s="509" t="n">
        <v>51</v>
      </c>
      <c r="HJ169" s="509" t="n">
        <v>52</v>
      </c>
      <c r="HK169" s="509" t="n">
        <v>53</v>
      </c>
      <c r="HL169" s="509" t="n">
        <v>54</v>
      </c>
      <c r="HM169" s="509" t="n">
        <v>55</v>
      </c>
      <c r="HN169" s="509" t="n">
        <v>56</v>
      </c>
      <c r="HO169" s="509" t="n">
        <v>57</v>
      </c>
      <c r="HP169" s="509" t="n">
        <v>58</v>
      </c>
      <c r="HQ169" s="509" t="n">
        <v>59</v>
      </c>
      <c r="HR169" s="509" t="n">
        <v>60</v>
      </c>
      <c r="HS169" s="509" t="n">
        <v>61</v>
      </c>
      <c r="HT169" s="509" t="n">
        <v>62</v>
      </c>
      <c r="HU169" s="509" t="n">
        <v>63</v>
      </c>
      <c r="HV169" s="509" t="n">
        <v>64</v>
      </c>
      <c r="HW169" s="509" t="n">
        <v>65</v>
      </c>
      <c r="HX169" s="509" t="n">
        <v>66</v>
      </c>
      <c r="HY169" s="509" t="n">
        <v>67</v>
      </c>
      <c r="HZ169" s="509" t="n">
        <v>68</v>
      </c>
      <c r="IA169" s="509" t="n">
        <v>69</v>
      </c>
      <c r="IB169" s="509" t="n">
        <v>70</v>
      </c>
      <c r="IC169" s="509" t="n">
        <v>71</v>
      </c>
      <c r="ID169" s="510" t="n">
        <v>72</v>
      </c>
      <c r="IE169" s="129"/>
    </row>
    <row r="170" customFormat="false" ht="12.75" hidden="false" customHeight="false" outlineLevel="0" collapsed="false">
      <c r="H170" s="219" t="n">
        <f aca="false">VLOOKUP(I170,$EJ$20:$EL$54,3)</f>
        <v>0</v>
      </c>
      <c r="I170" s="511" t="n">
        <f aca="false">EOMONTH(I169,0)+1</f>
        <v>41334</v>
      </c>
      <c r="J170" s="512"/>
      <c r="K170" s="513" t="s">
        <v>280</v>
      </c>
      <c r="L170" s="514" t="n">
        <f aca="false">IF(ISNUMBER(K170),J170+K170/100,IF(K170="extra",L169+VLOOKUP(BF170,PriceSpreadTable,2)/12,IF(K170="inter",interpolateprices($K$19:$L$200,ROW(K170)-ROW(FirstPricingMonth)+1),interpolatechanges($J$19:$K$200,ROW(K170)-ROW(FirstPricingMonth)+1))))</f>
        <v>2.775</v>
      </c>
      <c r="M170" s="515"/>
      <c r="N170" s="516" t="n">
        <v>0</v>
      </c>
      <c r="O170" s="515" t="n">
        <f aca="false">M170+N170</f>
        <v>0</v>
      </c>
      <c r="P170" s="512"/>
      <c r="Q170" s="513" t="s">
        <v>280</v>
      </c>
      <c r="R170" s="512" t="e">
        <f aca="false">IF(ISNUMBER(Q170),P170+Q170/100,IF(Q170="extra",(Z168*AL168-R169*AM168)/AN168,IF(Q170="inter",interpolateprices($Q$19:$R$260,ROW(Q170)-ROW(FirstPricingMonth)+1),interpolatechanges($P$19:$Q$260,ROW(Q170)-ROW(FirstPricingMonth)+1))))</f>
        <v>#VALUE!</v>
      </c>
      <c r="S170" s="597" t="n">
        <f aca="false">S$19+(S169-S$19)*S$18</f>
        <v>0.36</v>
      </c>
      <c r="T170" s="575" t="n">
        <f aca="false">SQRT((1-(1-T169^2/U169)*T$18)*U170)</f>
        <v>0.999999999992995</v>
      </c>
      <c r="U170" s="576" t="n">
        <f aca="false">1-(1-U169)*U$18</f>
        <v>1</v>
      </c>
      <c r="V170" s="521" t="n">
        <v>0</v>
      </c>
      <c r="W170" s="577" t="n">
        <f aca="false">(J171*AJ170+J172*AK170)/AI170</f>
        <v>0</v>
      </c>
      <c r="X170" s="578" t="n">
        <f aca="false">(L171*AJ170+L172*AK170)/AI170</f>
        <v>2.825</v>
      </c>
      <c r="Y170" s="579" t="n">
        <f aca="false">IF(Q172="extra",W170-AA170,(P171*AM170+P172*AN170)/AL170)</f>
        <v>-1.1685</v>
      </c>
      <c r="Z170" s="579" t="n">
        <f aca="false">IF(Q172="extra",X170-AB170,(R171*AM170+R172*AN170)/AL170)</f>
        <v>1.6565</v>
      </c>
      <c r="AA170" s="523" t="n">
        <f aca="false">IF(Q172="extra",INDEX(BrentSeasonalityTable,INT((BG170-1)/3)+1)*VLOOKUP(MAX(BF170,$AB$4),PriceSpreadTable,3),W170-Y170)</f>
        <v>1.1685</v>
      </c>
      <c r="AB170" s="524" t="n">
        <f aca="false">IF(Q172="extra",INDEX(BrentSeasonalityTable,INT((BG170-1)/3)+1)*VLOOKUP(MAX(BF170,$AB$4),PriceSpreadTable,3),X170-Z170)</f>
        <v>1.1685</v>
      </c>
      <c r="AC170" s="646" t="n">
        <v>41325</v>
      </c>
      <c r="AD170" s="646" t="n">
        <v>41321</v>
      </c>
      <c r="AE170" s="646" t="n">
        <v>41320</v>
      </c>
      <c r="AF170" s="646" t="n">
        <v>41316</v>
      </c>
      <c r="AG170" s="438" t="s">
        <v>278</v>
      </c>
      <c r="AH170" s="439" t="s">
        <v>278</v>
      </c>
      <c r="AI170" s="528" t="n">
        <v>21</v>
      </c>
      <c r="AJ170" s="529" t="n">
        <v>14</v>
      </c>
      <c r="AK170" s="529" t="n">
        <v>7</v>
      </c>
      <c r="AL170" s="530" t="n">
        <v>21</v>
      </c>
      <c r="AM170" s="529" t="n">
        <v>10</v>
      </c>
      <c r="AN170" s="531" t="n">
        <v>11</v>
      </c>
      <c r="AO170" s="532"/>
      <c r="AP170" s="465" t="n">
        <f aca="false">(1+AO170/2)^(-2*BL170)</f>
        <v>1</v>
      </c>
      <c r="AQ170" s="532"/>
      <c r="AR170" s="465" t="n">
        <f aca="false">(1+AQ170/2)^(-2*BH170/365.25)</f>
        <v>1</v>
      </c>
      <c r="AS170" s="580" t="n">
        <f aca="false">(O171*AJ170+O172*AK170)/AI170</f>
        <v>0</v>
      </c>
      <c r="AT170" s="468" t="n">
        <f aca="false">O170*VLOOKUP(BF170,BrentVolTable,2)+VLOOKUP(BF170,BrentVolTable,3)</f>
        <v>0</v>
      </c>
      <c r="AU170" s="468" t="n">
        <f aca="false">(AT171*AM170+AT172*AN170)/AL170</f>
        <v>0</v>
      </c>
      <c r="AV170" s="595" t="n">
        <f aca="false">SQRT(MAX(0.000000000001,(O170^2*BH170-S170^2*(BH170-BH169))/BH169))</f>
        <v>0.02944140140185</v>
      </c>
      <c r="AW170" s="451" t="n">
        <f aca="false">IF($I170-DateToday+15&gt;=$T$8,"",IF($I170-DateToday+15&lt;$T$5,1,MATCH($I170-DateToday+15,$T$5:$T$8)))</f>
        <v>1</v>
      </c>
      <c r="AX170" s="468" t="n">
        <f aca="false">IF($AW170="",AX169^2/AX168,INDEX(U$5:U$8,$AW170)^((INDEX($T$5:$T$8,$AW170+1)-($I170-DateToday+15))/(INDEX($T$5:$T$8,$AW170+1)-INDEX($T$5:$T$8,$AW170)))/INDEX(U$5:U$8,$AW170+1)^((INDEX($T$5:$T$8,$AW170)-($I170-DateToday+15))/(INDEX($T$5:$T$8,$AW170+1)-INDEX($T$5:$T$8,$AW170))))</f>
        <v>0.508621899839795</v>
      </c>
      <c r="AY170" s="468" t="n">
        <f aca="false">IF($AW170="",AY169^2/AY168,INDEX(V$5:V$8,$AW170)^((INDEX($T$5:$T$8,$AW170+1)-($I170-DateToday+15))/(INDEX($T$5:$T$8,$AW170+1)-INDEX($T$5:$T$8,$AW170)))/INDEX(V$5:V$8,$AW170+1)^((INDEX($T$5:$T$8,$AW170)-($I170-DateToday+15))/(INDEX($T$5:$T$8,$AW170+1)-INDEX($T$5:$T$8,$AW170))))</f>
        <v>9.41336480080874</v>
      </c>
      <c r="AZ170" s="468" t="n">
        <f aca="false">IF($AW170="",AZ169^2/AZ168,INDEX(W$5:W$8,$AW170)^((INDEX($T$5:$T$8,$AW170+1)-($I170-DateToday+15))/(INDEX($T$5:$T$8,$AW170+1)-INDEX($T$5:$T$8,$AW170)))/INDEX(W$5:W$8,$AW170+1)^((INDEX($T$5:$T$8,$AW170)-($I170-DateToday+15))/(INDEX($T$5:$T$8,$AW170+1)-INDEX($T$5:$T$8,$AW170))))</f>
        <v>3072.77515385834</v>
      </c>
      <c r="BA170" s="468" t="n">
        <f aca="false">IF($AW170="",BA169^2/BA168,INDEX(X$5:X$8,$AW170)^((INDEX($T$5:$T$8,$AW170+1)-($I170-DateToday+15))/(INDEX($T$5:$T$8,$AW170+1)-INDEX($T$5:$T$8,$AW170)))/INDEX(X$5:X$8,$AW170+1)^((INDEX($T$5:$T$8,$AW170)-($I170-DateToday+15))/(INDEX($T$5:$T$8,$AW170+1)-INDEX($T$5:$T$8,$AW170))))</f>
        <v>16280.0076722494</v>
      </c>
      <c r="BB170" s="468" t="n">
        <f aca="false">IF($AW170="",BB169^2/BB168,INDEX(Y$5:Y$8,$AW170)^((INDEX($T$5:$T$8,$AW170+1)-($I170-DateToday+15))/(INDEX($T$5:$T$8,$AW170+1)-INDEX($T$5:$T$8,$AW170)))/INDEX(Y$5:Y$8,$AW170+1)^((INDEX($T$5:$T$8,$AW170)-($I170-DateToday+15))/(INDEX($T$5:$T$8,$AW170+1)-INDEX($T$5:$T$8,$AW170))))</f>
        <v>101994.474881398</v>
      </c>
      <c r="BC170" s="468" t="n">
        <f aca="false">IF($AW170="",BC169^2/BC168,INDEX(Z$5:Z$8,$AW170)^((INDEX($T$5:$T$8,$AW170+1)-($I170-DateToday+15))/(INDEX($T$5:$T$8,$AW170+1)-INDEX($T$5:$T$8,$AW170)))/INDEX(Z$5:Z$8,$AW170+1)^((INDEX($T$5:$T$8,$AW170)-($I170-DateToday+15))/(INDEX($T$5:$T$8,$AW170+1)-INDEX($T$5:$T$8,$AW170))))</f>
        <v>311517.21664827</v>
      </c>
      <c r="BD170" s="535" t="n">
        <f aca="false">IF(OR(DateStart&gt;=I171,DateEnd&lt;I170),0,IF(VolumeOverrideFlag,V170,Volume))</f>
        <v>0</v>
      </c>
      <c r="BE170" s="536" t="n">
        <f aca="false">IF(OR(DateStart2&gt;=I171,DateEnd2&lt;I170),0,IF(VolumeOverrideFlag,V170,VolumeSwaption))</f>
        <v>0</v>
      </c>
      <c r="BF170" s="537" t="n">
        <f aca="false">YEAR(I170)</f>
        <v>2013</v>
      </c>
      <c r="BG170" s="538" t="n">
        <f aca="false">MONTH(I170)</f>
        <v>3</v>
      </c>
      <c r="BH170" s="539" t="n">
        <f aca="false">AD170-DateToday+1</f>
        <v>-4604</v>
      </c>
      <c r="BI170" s="540" t="n">
        <f aca="false">(I170-DateToday+1)/365.25</f>
        <v>-12.5694729637235</v>
      </c>
      <c r="BJ170" s="541" t="n">
        <f aca="false">BI170+(BL170-BI170)*CHOOSE(Underlying,AJ170/AI170,AM170/AL170)</f>
        <v>-12.5147159479808</v>
      </c>
      <c r="BK170" s="541" t="n">
        <f aca="false">BJ170+1/365.25</f>
        <v>-12.5119780971937</v>
      </c>
      <c r="BL170" s="541" t="n">
        <f aca="false">(I171-DateToday)/365.25</f>
        <v>-12.4873374401095</v>
      </c>
      <c r="BM170" s="542" t="e">
        <f aca="false">MAX(BI170-(BJ170-BI170)*(S171^2/O171^2-1),0)</f>
        <v>#DIV/0!</v>
      </c>
      <c r="BN170" s="541" t="e">
        <f aca="false">MAX(BL170+(BL170-BK170)*(S172^2/O172^2-1),0)</f>
        <v>#DIV/0!</v>
      </c>
      <c r="BO170" s="530" t="n">
        <f aca="false">CHOOSE(Underlying,AI170,AL170)</f>
        <v>21</v>
      </c>
      <c r="BP170" s="529" t="n">
        <f aca="false">CHOOSE(Underlying,AJ170,AM170)</f>
        <v>14</v>
      </c>
      <c r="BQ170" s="529" t="n">
        <f aca="false">CHOOSE(Underlying,AK170,AN170)</f>
        <v>7</v>
      </c>
      <c r="BR170" s="463" t="str">
        <f aca="false">IF(BD170,IF(Underlying=1,X170,Z170)+UnderlyingPriceAsian-SwapPriceCurve,"")</f>
        <v/>
      </c>
      <c r="BS170" s="463" t="str">
        <f aca="false">IF(BD170,Strike1/BR170-1,"")</f>
        <v/>
      </c>
      <c r="BT170" s="464" t="str">
        <f aca="false">IF(BD170,Strike2/BR170-1,"")</f>
        <v/>
      </c>
      <c r="BU170" s="465" t="str">
        <f aca="false">IF(BD170,IF(Underlying=1,L171,R171)+UnderlyingPriceAsian-SwapPriceCurve,"")</f>
        <v/>
      </c>
      <c r="BV170" s="465" t="str">
        <f aca="false">IF(BD170,IF(Underlying=1,L172,R172)+UnderlyingPriceAsian-SwapPriceCurve,"")</f>
        <v/>
      </c>
      <c r="BW170" s="466" t="str">
        <f aca="false">IF(BD170,IF(Underlying=1,O171,AT171),"")</f>
        <v/>
      </c>
      <c r="BX170" s="467" t="str">
        <f aca="false">IF(BD170,IF(Underlying=1,O172,AT172),"")</f>
        <v/>
      </c>
      <c r="BY170" s="466" t="str">
        <f aca="false">IF(BD170,IF(BS170&gt;0,IF(BS170&gt;0.2,BC170-BB170,IF(BS170&gt;0.1,BB170-BA170,BA170)),IF(BS170&lt;-0.2,AX170-AY170,IF(BS170&lt;-0.1,AY170-AZ170,AZ170))),"")</f>
        <v/>
      </c>
      <c r="BZ170" s="467" t="str">
        <f aca="false">IF(BD170,IF(BT170&gt;0,IF(BT170&gt;0.2,BC170-BB170,IF(BT170&gt;0.1,BB170-BA170,BA170)),IF(BT170&lt;-0.2,AX170-AY170,IF(BT170&lt;-0.1,AY170-AZ170,AZ170))),"")</f>
        <v/>
      </c>
      <c r="CA170" s="468" t="str">
        <f aca="false">IF($BD170,$BW170+IF(VolSkewFlag=1,IF(BS170&gt;0,$BA170*MIN(BS170/10%,1)+($BB170-$BA170)*MAX(0,MIN(BS170/10%-1,1))+($BC170-$BB170)*MAX(0,BS170/10%-2),$AZ170*MIN(-BS170/10%,1)+($AY170-$AZ170)*MAX(0,MIN(-BS170/10%-1,1))+($AX170-$AY170)*MAX(0,-BS170/10%-2)),0),"")</f>
        <v/>
      </c>
      <c r="CB170" s="468" t="str">
        <f aca="false">IF($BD170,$BX170+IF(VolSkewFlag=1,IF(BS170&gt;0,$BA170*MIN(BS170/10%,1)+($BB170-$BA170)*MAX(0,MIN(BS170/10%-1,1))+($BC170-$BB170)*MAX(0,BS170/10%-2),$AZ170*MIN(-BS170/10%,1)+($AY170-$AZ170)*MAX(0,MIN(-BS170/10%-1,1))+($AX170-$AY170)*MAX(0,-BS170/10%-2)),0),"")</f>
        <v/>
      </c>
      <c r="CC170" s="468" t="str">
        <f aca="false">IF($BD170,$BW170+IF(VolSkewFlag=1,IF(BT170&gt;0,$BA170*MIN(BT170/10%,1)+($BB170-$BA170)*MAX(0,MIN(BT170/10%-1,1))+($BC170-$BB170)*MAX(0,BT170/10%-2),$AZ170*MIN(-BT170/10%,1)+($AY170-$AZ170)*MAX(0,MIN(-BT170/10%-1,1))+($AX170-$AY170)*MAX(0,-BT170/10%-2)),0),"")</f>
        <v/>
      </c>
      <c r="CD170" s="468" t="str">
        <f aca="false">IF($BD170,$BX170+IF(VolSkewFlag=1,IF(BT170&gt;0,$BA170*MIN(BT170/10%,1)+($BB170-$BA170)*MAX(0,MIN(BT170/10%-1,1))+($BC170-$BB170)*MAX(0,BT170/10%-2),$AZ170*MIN(-BT170/10%,1)+($AY170-$AZ170)*MAX(0,MIN(-BT170/10%-1,1))+($AX170-$AY170)*MAX(0,-BT170/10%-2)),0),"")</f>
        <v/>
      </c>
      <c r="CE170" s="469" t="n">
        <v>1</v>
      </c>
      <c r="CF170" s="470" t="n">
        <f aca="false">IF(BD170,xCrudeAPO(BU170,BV170,CA170,CB170,S171,S172,BI170,BL170,BP170,BQ170,0,Strike1,AO170,CE170,0,BL170,IF(OptControl=4,0,1),0,1),0)</f>
        <v>0</v>
      </c>
      <c r="CG170" s="470" t="n">
        <f aca="false">IF(BD170,xCrudeAPO(BU170,BV170,CA170,CB170,S171,S172,BI170,BL170,BP170,BQ170,0,Strike1,AO170,CE170,0,BL170,IF(OptControl=4,0,1),1,1)+xCrudeAPO(BU170,BV170,CA170,CB170,S171,S172,BI170,BL170,BP170,BQ170,0,Strike1,AO170,CE170,0,BL170,IF(OptControl=4,0,1),1,2)+IF(OR(VolSkewFlag=2,ABS(BS170)&lt;0.0001),0,IF(BS170&gt;0,-1,1)*CH170*Strike1/BR170^2*BY170/10%),0)</f>
        <v>0</v>
      </c>
      <c r="CH170" s="470" t="n">
        <f aca="false">IF(BD170,(xCrudeAPO(BU170,BV170,CA170,CB170,S171,S172,BI170,BL170,BP170,BQ170,0,Strike1,AO170,CE170,0,BL170,IF(OptControl=4,0,1),3,1)+xCrudeAPO(BU170,BV170,CA170,CB170,S171,S172,BI170,BL170,BP170,BQ170,0,Strike1,AO170,CE170,0,BL170,IF(OptControl=4,0,1),3,2))/100,0)</f>
        <v>0</v>
      </c>
      <c r="CI170" s="470" t="n">
        <f aca="false">IF(BD170,xCrudeAPO(BU170,BV170,CA170,CB170,S171,S172,BI170-DaysForThetaCalculation/365.25,BL170-DaysForThetaCalculation/365.25,BP170,BQ170,0,Strike1,AO170,CE170,0,BL170,IF(OptControl=4,0,1),0,1)-xCrudeAPO(BU170,BV170,CA170,CB170,S171,S172,BI170,BL170,BP170,BQ170,0,Strike1,AO170,CE170,0,BL170,IF(OptControl=4,0,1),0,1),0)</f>
        <v>0</v>
      </c>
      <c r="CJ170" s="471" t="n">
        <f aca="false">IF(BD170,xCrudeAPO(BU170,BV170,CC170,CD170,S171,S172,BI170,BL170,BP170,BQ170,0,Strike2,AO170,CE170,0,BL170,IF(OptControl=3,1,0),0,1),0)</f>
        <v>0</v>
      </c>
      <c r="CK170" s="470" t="n">
        <f aca="false">IF(BD170,xCrudeAPO(BU170,BV170,CC170,CD170,S171,S172,BI170,BL170,BP170,BQ170,0,Strike2,AO170,CE170,0,BL170,IF(OptControl=3,1,0),1,1)+xCrudeAPO(BU170,BV170,CC170,CD170,S171,S172,BI170,BL170,BP170,BQ170,0,Strike2,AO170,CE170,0,BL170,IF(OptControl=3,1,0),1,2)+IF(OR(VolSkewFlag=2,ABS(BT170)&lt;0.0001),0,IF(BT170&gt;0,-1,1)*CL170*Strike2/BR170^2*BZ170/10%),0)</f>
        <v>0</v>
      </c>
      <c r="CL170" s="470" t="n">
        <f aca="false">IF(BD170,(xCrudeAPO(BU170,BV170,CC170,CD170,S171,S172,BI170,BL170,BP170,BQ170,0,Strike2,AO170,CE170,0,BL170,IF(OptControl=3,1,0),3,1)+xCrudeAPO(BU170,BV170,CC170,CD170,S171,S172,BI170,BL170,BP170,BQ170,0,Strike2,AO170,CE170,0,BL170,IF(OptControl=3,1,0),3,2))/100,0)</f>
        <v>0</v>
      </c>
      <c r="CM170" s="472" t="n">
        <f aca="false">IF(BD170,xCrudeAPO(BU170,BV170,CC170,CD170,S171,S172,BI170-DaysForThetaCalculation/365.25,BL170-DaysForThetaCalculation/365.25,BP170,BQ170,0,Strike2,AO170,CE170,0,BL170,IF(OptControl=3,1,0),0,1)-xCrudeAPO(BU170,BV170,CC170,CD170,S171,S172,BI170,BL170,BP170,BQ170,0,Strike2,AO170,CE170,0,BL170,IF(OptControl=3,1,0),0,1),0)</f>
        <v>0</v>
      </c>
      <c r="CN170" s="3"/>
      <c r="CO170" s="543" t="str">
        <f aca="false">IF(BD170,CHOOSE(Underlying,AD170,AF170)-DateToday+1,"")</f>
        <v/>
      </c>
      <c r="CP170" s="582" t="str">
        <f aca="false">IF(BD170,CHOOSE(Underlying,L170,R170),"")</f>
        <v/>
      </c>
      <c r="CQ170" s="544" t="str">
        <f aca="false">IF(BD170,Strike1/CP170-1,"")</f>
        <v/>
      </c>
      <c r="CR170" s="544" t="str">
        <f aca="false">IF(BD170,Strike2/CP170-1,"")</f>
        <v/>
      </c>
      <c r="CS170" s="544" t="str">
        <f aca="false">IF(BD170,IF(CQ170&gt;0,IF(CQ170&gt;0.2,BC169-BB169,IF(CQ170&gt;0.1,BB169-BA169,BA169)),IF(CQ170&lt;-0.2,AX169-AY169,IF(CQ170&lt;-0.1,AY169-AZ169,AZ169))),"")</f>
        <v/>
      </c>
      <c r="CT170" s="544" t="str">
        <f aca="false">IF(BD170,IF(CR170&gt;0,IF(CR170&gt;0.2,BC169-BB169,IF(CR170&gt;0.1,BB169-BA169,BA169)),IF(CR170&lt;-0.2,AX169-AY169,IF(CR170&lt;-0.1,AY169-AZ169,AZ169))),"")</f>
        <v/>
      </c>
      <c r="CU170" s="545" t="str">
        <f aca="false">IF(BD170,CHOOSE(Underlying,O170,AT170),"")</f>
        <v/>
      </c>
      <c r="CV170" s="545" t="str">
        <f aca="false">IF(BD170,CU170+IF(VolSkewFlag=1,IF(CQ170&gt;0,BA169*MIN(CQ170/10%,1)+(BB169-BA169)*MAX(0,MIN(CQ170/10%-1,1))+(BC169-BB169)*MAX(0,CQ170/10%-2),AZ169*MIN(-CQ170/10%,1)+(AY169-AZ169)*MAX(0,MIN(-CQ170/10%-1,1))+(AX169-AY169)*MAX(0,-CQ170/10%-2)),0),"")</f>
        <v/>
      </c>
      <c r="CW170" s="545" t="str">
        <f aca="false">IF(BD170,CU170+IF(VolSkewFlag=1,IF(CR170&gt;0,BA169*MIN(CR170/10%,1)+(BB169-BA169)*MAX(0,MIN(CR170/10%-1,1))+(BC169-BB169)*MAX(0,CR170/10%-2),AZ169*MIN(-CR170/10%,1)+(AY169-AZ169)*MAX(0,MIN(-CR170/10%-1,1))+(AX169-AY169)*MAX(0,-CR170/10%-2)),0),"")</f>
        <v/>
      </c>
      <c r="CX170" s="470" t="n">
        <f aca="false">IF(BD170,EURO(CP170,Strike1,AO170,AO170,CV170,CO170,IF(OptControl=4,0,1),0),0)</f>
        <v>0</v>
      </c>
      <c r="CY170" s="470" t="n">
        <f aca="false">IF(BD170,EURO(CP170,Strike1,AO170,AO170,CV170,CO170,IF(OptControl=4,0,1),1)+IF(OR(VolSkewFlag=2,ABS(CQ170)&lt;0.0001),0,IF(CQ170&gt;0,-1,1)*CZ170*100*Strike1/CP170^2*CS170/10%),0)</f>
        <v>0</v>
      </c>
      <c r="CZ170" s="470" t="n">
        <f aca="false">IF(BD170,EURO(CP170,Strike1,AO170,AO170,CV170,CO170,IF(OptControl=4,0,1),3)/100,0)</f>
        <v>0</v>
      </c>
      <c r="DA170" s="470" t="n">
        <f aca="false">IF(BD170,EURO(CP170,Strike1,AO170,AO170,CV170,CO170,IF(OptControl=4,0,1),0)-EURO(CP170,Strike1,AO170,AO170,CV170,CO170-1,IF(OptControl=4,0,1),0),0)</f>
        <v>0</v>
      </c>
      <c r="DB170" s="470" t="n">
        <f aca="false">IF(BD170,EURO(CP170,Strike2,AO170,AO170,CW170,CO170,IF(OptControl=3,1,0),0),0)</f>
        <v>0</v>
      </c>
      <c r="DC170" s="470" t="n">
        <f aca="false">IF(BD170,EURO(CP170,Strike2,AO170,AO170,CW170,CO170,IF(OptControl=3,1,0),1)+IF(OR(VolSkewFlag=2,ABS(CR170)&lt;0.0001),0,IF(CR170&gt;0,-1,1)*DD170*100*Strike2/CP170^2*CT170/10%),0)</f>
        <v>0</v>
      </c>
      <c r="DD170" s="470" t="n">
        <f aca="false">IF(BD170,EURO(CP170,Strike2,AO170,AO170,CW170,CO170,IF(OptControl=3,1,0),3)/100,0)</f>
        <v>0</v>
      </c>
      <c r="DE170" s="472" t="n">
        <f aca="false">IF(BD170,EURO(CP170,Strike2,AO170,AO170,CW170,CO170,IF(OptControl=3,1,0),0)-EURO(CP170,Strike2,AO170,AO170,CW170,CO170-1,IF(OptControl=3,1,0),0),0)</f>
        <v>0</v>
      </c>
      <c r="DG170" s="481" t="n">
        <f aca="false">EOMONTH(DG169,0)+1</f>
        <v>50253</v>
      </c>
      <c r="DH170" s="478" t="n">
        <v>21.6600000000001</v>
      </c>
      <c r="DI170" s="479" t="n">
        <v>21.7295652173914</v>
      </c>
      <c r="DJ170" s="480" t="n">
        <f aca="false">DG170</f>
        <v>50253</v>
      </c>
      <c r="DK170" s="478" t="n">
        <v>20.2694650512022</v>
      </c>
      <c r="DL170" s="479" t="n">
        <v>20.4626652173914</v>
      </c>
      <c r="DM170" s="481" t="n">
        <f aca="false">DG170</f>
        <v>50253</v>
      </c>
      <c r="DN170" s="482" t="n">
        <f aca="false">DK170+BrentPhyBrentSpread</f>
        <v>20.3194650512022</v>
      </c>
      <c r="DO170" s="481" t="n">
        <f aca="false">DG170</f>
        <v>50253</v>
      </c>
      <c r="DP170" s="483" t="n">
        <f aca="false">DL170+DQ170</f>
        <v>20.4626652173914</v>
      </c>
      <c r="DQ170" s="546" t="n">
        <v>0</v>
      </c>
      <c r="DR170" s="480" t="n">
        <f aca="false">DG170</f>
        <v>50253</v>
      </c>
      <c r="DS170" s="485" t="n">
        <v>0.134599999999999</v>
      </c>
      <c r="DT170" s="486" t="n">
        <v>0.133765217391303</v>
      </c>
      <c r="DU170" s="480" t="n">
        <f aca="false">DG170</f>
        <v>50253</v>
      </c>
      <c r="DV170" s="485" t="n">
        <v>0.134599999999999</v>
      </c>
      <c r="DW170" s="486" t="n">
        <v>0.133765217391303</v>
      </c>
      <c r="DX170" s="481" t="n">
        <f aca="false">DG170</f>
        <v>50253</v>
      </c>
      <c r="DY170" s="486" t="n">
        <v>0.35</v>
      </c>
      <c r="DZ170" s="481" t="n">
        <f aca="false">DR170</f>
        <v>50253</v>
      </c>
      <c r="EA170" s="486" t="n">
        <f aca="false">DT170</f>
        <v>0.133765217391303</v>
      </c>
      <c r="EB170" s="195"/>
      <c r="EC170" s="547" t="str">
        <f aca="false">IF(BD170,IF(Underlying=1,AS170,AU170),"")</f>
        <v/>
      </c>
      <c r="ED170" s="548" t="str">
        <f aca="false">IF($BD170,$EC170+IF(VolSkewFlag=1,IF(BS170&gt;0,$BA170*MIN(BS170/10%,1)+($BB170-$BA170)*MAX(0,MIN(BS170/10%-1,1))+($BC170-$BB170)*MAX(0,BS170/10%-2),$AZ170*MIN(-BS170/10%,1)+($AY170-$AZ170)*MAX(0,MIN(-BS170/10%-1,1))+($AX170-$AY170)*MAX(0,-BS170/10%-2)),0),"")</f>
        <v/>
      </c>
      <c r="EE170" s="549" t="str">
        <f aca="false">IF($BD170,$EC170+IF(VolSkewFlag=1,IF(BT170&gt;0,$BA170*MIN(BT170/10%,1)+($BB170-$BA170)*MAX(0,MIN(BT170/10%-1,1))+($BC170-$BB170)*MAX(0,BT170/10%-2),$AZ170*MIN(-BT170/10%,1)+($AY170-$AZ170)*MAX(0,MIN(-BT170/10%-1,1))+($AX170-$AY170)*MAX(0,-BT170/10%-2)),0),"")</f>
        <v/>
      </c>
      <c r="EF170" s="550" t="n">
        <f aca="false">IF(BD170,xASN(BR170,Strike1,AO170,ED170,0,BO170,0,BI170,BL170,IF(OptControl=4,0,1),0),0)</f>
        <v>0</v>
      </c>
      <c r="EG170" s="551" t="n">
        <f aca="false">IF(BD170,xASN(BR170,Strike2,AO170,EE170,0,BO170,0,BI170,BL170,IF(OptControl=3,1,0),0),0)</f>
        <v>0</v>
      </c>
      <c r="EL170" s="1"/>
      <c r="EM170" s="195"/>
      <c r="EN170" s="240"/>
      <c r="EO170" s="240"/>
      <c r="EP170" s="195"/>
      <c r="EQ170" s="407" t="s">
        <v>398</v>
      </c>
      <c r="ES170" s="130"/>
      <c r="ET170" s="19"/>
      <c r="EU170" s="672"/>
      <c r="EV170" s="478"/>
      <c r="EW170" s="131"/>
      <c r="EX170" s="131"/>
      <c r="EY170" s="129"/>
      <c r="EZ170" s="129"/>
      <c r="FA170" s="129"/>
      <c r="FB170" s="129"/>
      <c r="FC170" s="129"/>
      <c r="FD170" s="129"/>
      <c r="FE170" s="129"/>
      <c r="FF170" s="129"/>
      <c r="FG170" s="129"/>
      <c r="FH170" s="129"/>
      <c r="FI170" s="129"/>
      <c r="FJ170" s="571" t="n">
        <v>1</v>
      </c>
      <c r="FK170" s="150" t="str">
        <f aca="false">IF(OR(FK$169&lt;SwaptionFirstMonthPosition+1,$FJ170&lt;SwaptionFirstMonthPosition+1,FK$169&gt;SwaptionFirstMonthPosition+SwaptionNumOfMonths+1,$FJ170&gt;SwaptionFirstMonthPosition+SwaptionNumOfMonths+1),"",IF($FJ170=FK$169,1,IF($FJ170&lt;FK$169,INDEX($FK$170:$ID$241,FK$169,$FJ170),SUMPRODUCT(INDEX($FK$325:$ID$396,FK$169,1+SwaptionShift):INDEX($FK$325:$ID$396,FK$169,SwaptionMonthsToGo+SwaptionShift),INDEX($FK$245:$ID$316,$FJ170-FK$169,73-FK$169+SwaptionShift):INDEX($FK$245:$ID$316,$FJ170-FK$169,72-FK$169+SwaptionMonthsToGo+SwaptionShift))/SQRT(SUM(INDEX($FK325:$ID325,1+SwaptionShift):INDEX($FK325:$ID325,SwaptionMonthsToGo+SwaptionShift))*SUM(INDEX($FK$325:$ID$396,FK$169,1+SwaptionShift):INDEX($FK$325:$ID$396,FK$169,SwaptionMonthsToGo+SwaptionShift))))))</f>
        <v/>
      </c>
      <c r="FL170" s="150" t="str">
        <f aca="false">IF(OR(FL$169&lt;SwaptionFirstMonthPosition+1,$FJ170&lt;SwaptionFirstMonthPosition+1,FL$169&gt;SwaptionFirstMonthPosition+SwaptionNumOfMonths+1,$FJ170&gt;SwaptionFirstMonthPosition+SwaptionNumOfMonths+1),"",IF($FJ170=FL$169,1,IF($FJ170&lt;FL$169,INDEX($FK$170:$ID$241,FL$169,$FJ170),SUMPRODUCT(INDEX($FK$325:$ID$396,FL$169,1+SwaptionShift):INDEX($FK$325:$ID$396,FL$169,SwaptionMonthsToGo+SwaptionShift),INDEX($FK$245:$ID$316,$FJ170-FL$169,73-FL$169+SwaptionShift):INDEX($FK$245:$ID$316,$FJ170-FL$169,72-FL$169+SwaptionMonthsToGo+SwaptionShift))/SQRT(SUM(INDEX($FK325:$ID325,1+SwaptionShift):INDEX($FK325:$ID325,SwaptionMonthsToGo+SwaptionShift))*SUM(INDEX($FK$325:$ID$396,FL$169,1+SwaptionShift):INDEX($FK$325:$ID$396,FL$169,SwaptionMonthsToGo+SwaptionShift))))))</f>
        <v/>
      </c>
      <c r="FM170" s="150" t="str">
        <f aca="false">IF(OR(FM$169&lt;SwaptionFirstMonthPosition+1,$FJ170&lt;SwaptionFirstMonthPosition+1,FM$169&gt;SwaptionFirstMonthPosition+SwaptionNumOfMonths+1,$FJ170&gt;SwaptionFirstMonthPosition+SwaptionNumOfMonths+1),"",IF($FJ170=FM$169,1,IF($FJ170&lt;FM$169,INDEX($FK$170:$ID$241,FM$169,$FJ170),SUMPRODUCT(INDEX($FK$325:$ID$396,FM$169,1+SwaptionShift):INDEX($FK$325:$ID$396,FM$169,SwaptionMonthsToGo+SwaptionShift),INDEX($FK$245:$ID$316,$FJ170-FM$169,73-FM$169+SwaptionShift):INDEX($FK$245:$ID$316,$FJ170-FM$169,72-FM$169+SwaptionMonthsToGo+SwaptionShift))/SQRT(SUM(INDEX($FK325:$ID325,1+SwaptionShift):INDEX($FK325:$ID325,SwaptionMonthsToGo+SwaptionShift))*SUM(INDEX($FK$325:$ID$396,FM$169,1+SwaptionShift):INDEX($FK$325:$ID$396,FM$169,SwaptionMonthsToGo+SwaptionShift))))))</f>
        <v/>
      </c>
      <c r="FN170" s="150" t="str">
        <f aca="false">IF(OR(FN$169&lt;SwaptionFirstMonthPosition+1,$FJ170&lt;SwaptionFirstMonthPosition+1,FN$169&gt;SwaptionFirstMonthPosition+SwaptionNumOfMonths+1,$FJ170&gt;SwaptionFirstMonthPosition+SwaptionNumOfMonths+1),"",IF($FJ170=FN$169,1,IF($FJ170&lt;FN$169,INDEX($FK$170:$ID$241,FN$169,$FJ170),SUMPRODUCT(INDEX($FK$325:$ID$396,FN$169,1+SwaptionShift):INDEX($FK$325:$ID$396,FN$169,SwaptionMonthsToGo+SwaptionShift),INDEX($FK$245:$ID$316,$FJ170-FN$169,73-FN$169+SwaptionShift):INDEX($FK$245:$ID$316,$FJ170-FN$169,72-FN$169+SwaptionMonthsToGo+SwaptionShift))/SQRT(SUM(INDEX($FK325:$ID325,1+SwaptionShift):INDEX($FK325:$ID325,SwaptionMonthsToGo+SwaptionShift))*SUM(INDEX($FK$325:$ID$396,FN$169,1+SwaptionShift):INDEX($FK$325:$ID$396,FN$169,SwaptionMonthsToGo+SwaptionShift))))))</f>
        <v/>
      </c>
      <c r="FO170" s="150" t="str">
        <f aca="false">IF(OR(FO$169&lt;SwaptionFirstMonthPosition+1,$FJ170&lt;SwaptionFirstMonthPosition+1,FO$169&gt;SwaptionFirstMonthPosition+SwaptionNumOfMonths+1,$FJ170&gt;SwaptionFirstMonthPosition+SwaptionNumOfMonths+1),"",IF($FJ170=FO$169,1,IF($FJ170&lt;FO$169,INDEX($FK$170:$ID$241,FO$169,$FJ170),SUMPRODUCT(INDEX($FK$325:$ID$396,FO$169,1+SwaptionShift):INDEX($FK$325:$ID$396,FO$169,SwaptionMonthsToGo+SwaptionShift),INDEX($FK$245:$ID$316,$FJ170-FO$169,73-FO$169+SwaptionShift):INDEX($FK$245:$ID$316,$FJ170-FO$169,72-FO$169+SwaptionMonthsToGo+SwaptionShift))/SQRT(SUM(INDEX($FK325:$ID325,1+SwaptionShift):INDEX($FK325:$ID325,SwaptionMonthsToGo+SwaptionShift))*SUM(INDEX($FK$325:$ID$396,FO$169,1+SwaptionShift):INDEX($FK$325:$ID$396,FO$169,SwaptionMonthsToGo+SwaptionShift))))))</f>
        <v/>
      </c>
      <c r="FP170" s="150" t="str">
        <f aca="false">IF(OR(FP$169&lt;SwaptionFirstMonthPosition+1,$FJ170&lt;SwaptionFirstMonthPosition+1,FP$169&gt;SwaptionFirstMonthPosition+SwaptionNumOfMonths+1,$FJ170&gt;SwaptionFirstMonthPosition+SwaptionNumOfMonths+1),"",IF($FJ170=FP$169,1,IF($FJ170&lt;FP$169,INDEX($FK$170:$ID$241,FP$169,$FJ170),SUMPRODUCT(INDEX($FK$325:$ID$396,FP$169,1+SwaptionShift):INDEX($FK$325:$ID$396,FP$169,SwaptionMonthsToGo+SwaptionShift),INDEX($FK$245:$ID$316,$FJ170-FP$169,73-FP$169+SwaptionShift):INDEX($FK$245:$ID$316,$FJ170-FP$169,72-FP$169+SwaptionMonthsToGo+SwaptionShift))/SQRT(SUM(INDEX($FK325:$ID325,1+SwaptionShift):INDEX($FK325:$ID325,SwaptionMonthsToGo+SwaptionShift))*SUM(INDEX($FK$325:$ID$396,FP$169,1+SwaptionShift):INDEX($FK$325:$ID$396,FP$169,SwaptionMonthsToGo+SwaptionShift))))))</f>
        <v/>
      </c>
      <c r="FQ170" s="150" t="str">
        <f aca="false">IF(OR(FQ$169&lt;SwaptionFirstMonthPosition+1,$FJ170&lt;SwaptionFirstMonthPosition+1,FQ$169&gt;SwaptionFirstMonthPosition+SwaptionNumOfMonths+1,$FJ170&gt;SwaptionFirstMonthPosition+SwaptionNumOfMonths+1),"",IF($FJ170=FQ$169,1,IF($FJ170&lt;FQ$169,INDEX($FK$170:$ID$241,FQ$169,$FJ170),SUMPRODUCT(INDEX($FK$325:$ID$396,FQ$169,1+SwaptionShift):INDEX($FK$325:$ID$396,FQ$169,SwaptionMonthsToGo+SwaptionShift),INDEX($FK$245:$ID$316,$FJ170-FQ$169,73-FQ$169+SwaptionShift):INDEX($FK$245:$ID$316,$FJ170-FQ$169,72-FQ$169+SwaptionMonthsToGo+SwaptionShift))/SQRT(SUM(INDEX($FK325:$ID325,1+SwaptionShift):INDEX($FK325:$ID325,SwaptionMonthsToGo+SwaptionShift))*SUM(INDEX($FK$325:$ID$396,FQ$169,1+SwaptionShift):INDEX($FK$325:$ID$396,FQ$169,SwaptionMonthsToGo+SwaptionShift))))))</f>
        <v/>
      </c>
      <c r="FR170" s="150" t="str">
        <f aca="false">IF(OR(FR$169&lt;SwaptionFirstMonthPosition+1,$FJ170&lt;SwaptionFirstMonthPosition+1,FR$169&gt;SwaptionFirstMonthPosition+SwaptionNumOfMonths+1,$FJ170&gt;SwaptionFirstMonthPosition+SwaptionNumOfMonths+1),"",IF($FJ170=FR$169,1,IF($FJ170&lt;FR$169,INDEX($FK$170:$ID$241,FR$169,$FJ170),SUMPRODUCT(INDEX($FK$325:$ID$396,FR$169,1+SwaptionShift):INDEX($FK$325:$ID$396,FR$169,SwaptionMonthsToGo+SwaptionShift),INDEX($FK$245:$ID$316,$FJ170-FR$169,73-FR$169+SwaptionShift):INDEX($FK$245:$ID$316,$FJ170-FR$169,72-FR$169+SwaptionMonthsToGo+SwaptionShift))/SQRT(SUM(INDEX($FK325:$ID325,1+SwaptionShift):INDEX($FK325:$ID325,SwaptionMonthsToGo+SwaptionShift))*SUM(INDEX($FK$325:$ID$396,FR$169,1+SwaptionShift):INDEX($FK$325:$ID$396,FR$169,SwaptionMonthsToGo+SwaptionShift))))))</f>
        <v/>
      </c>
      <c r="FS170" s="150" t="str">
        <f aca="false">IF(OR(FS$169&lt;SwaptionFirstMonthPosition+1,$FJ170&lt;SwaptionFirstMonthPosition+1,FS$169&gt;SwaptionFirstMonthPosition+SwaptionNumOfMonths+1,$FJ170&gt;SwaptionFirstMonthPosition+SwaptionNumOfMonths+1),"",IF($FJ170=FS$169,1,IF($FJ170&lt;FS$169,INDEX($FK$170:$ID$241,FS$169,$FJ170),SUMPRODUCT(INDEX($FK$325:$ID$396,FS$169,1+SwaptionShift):INDEX($FK$325:$ID$396,FS$169,SwaptionMonthsToGo+SwaptionShift),INDEX($FK$245:$ID$316,$FJ170-FS$169,73-FS$169+SwaptionShift):INDEX($FK$245:$ID$316,$FJ170-FS$169,72-FS$169+SwaptionMonthsToGo+SwaptionShift))/SQRT(SUM(INDEX($FK325:$ID325,1+SwaptionShift):INDEX($FK325:$ID325,SwaptionMonthsToGo+SwaptionShift))*SUM(INDEX($FK$325:$ID$396,FS$169,1+SwaptionShift):INDEX($FK$325:$ID$396,FS$169,SwaptionMonthsToGo+SwaptionShift))))))</f>
        <v/>
      </c>
      <c r="FT170" s="150" t="str">
        <f aca="false">IF(OR(FT$169&lt;SwaptionFirstMonthPosition+1,$FJ170&lt;SwaptionFirstMonthPosition+1,FT$169&gt;SwaptionFirstMonthPosition+SwaptionNumOfMonths+1,$FJ170&gt;SwaptionFirstMonthPosition+SwaptionNumOfMonths+1),"",IF($FJ170=FT$169,1,IF($FJ170&lt;FT$169,INDEX($FK$170:$ID$241,FT$169,$FJ170),SUMPRODUCT(INDEX($FK$325:$ID$396,FT$169,1+SwaptionShift):INDEX($FK$325:$ID$396,FT$169,SwaptionMonthsToGo+SwaptionShift),INDEX($FK$245:$ID$316,$FJ170-FT$169,73-FT$169+SwaptionShift):INDEX($FK$245:$ID$316,$FJ170-FT$169,72-FT$169+SwaptionMonthsToGo+SwaptionShift))/SQRT(SUM(INDEX($FK325:$ID325,1+SwaptionShift):INDEX($FK325:$ID325,SwaptionMonthsToGo+SwaptionShift))*SUM(INDEX($FK$325:$ID$396,FT$169,1+SwaptionShift):INDEX($FK$325:$ID$396,FT$169,SwaptionMonthsToGo+SwaptionShift))))))</f>
        <v/>
      </c>
      <c r="FU170" s="150" t="str">
        <f aca="false">IF(OR(FU$169&lt;SwaptionFirstMonthPosition+1,$FJ170&lt;SwaptionFirstMonthPosition+1,FU$169&gt;SwaptionFirstMonthPosition+SwaptionNumOfMonths+1,$FJ170&gt;SwaptionFirstMonthPosition+SwaptionNumOfMonths+1),"",IF($FJ170=FU$169,1,IF($FJ170&lt;FU$169,INDEX($FK$170:$ID$241,FU$169,$FJ170),SUMPRODUCT(INDEX($FK$325:$ID$396,FU$169,1+SwaptionShift):INDEX($FK$325:$ID$396,FU$169,SwaptionMonthsToGo+SwaptionShift),INDEX($FK$245:$ID$316,$FJ170-FU$169,73-FU$169+SwaptionShift):INDEX($FK$245:$ID$316,$FJ170-FU$169,72-FU$169+SwaptionMonthsToGo+SwaptionShift))/SQRT(SUM(INDEX($FK325:$ID325,1+SwaptionShift):INDEX($FK325:$ID325,SwaptionMonthsToGo+SwaptionShift))*SUM(INDEX($FK$325:$ID$396,FU$169,1+SwaptionShift):INDEX($FK$325:$ID$396,FU$169,SwaptionMonthsToGo+SwaptionShift))))))</f>
        <v/>
      </c>
      <c r="FV170" s="150" t="str">
        <f aca="false">IF(OR(FV$169&lt;SwaptionFirstMonthPosition+1,$FJ170&lt;SwaptionFirstMonthPosition+1,FV$169&gt;SwaptionFirstMonthPosition+SwaptionNumOfMonths+1,$FJ170&gt;SwaptionFirstMonthPosition+SwaptionNumOfMonths+1),"",IF($FJ170=FV$169,1,IF($FJ170&lt;FV$169,INDEX($FK$170:$ID$241,FV$169,$FJ170),SUMPRODUCT(INDEX($FK$325:$ID$396,FV$169,1+SwaptionShift):INDEX($FK$325:$ID$396,FV$169,SwaptionMonthsToGo+SwaptionShift),INDEX($FK$245:$ID$316,$FJ170-FV$169,73-FV$169+SwaptionShift):INDEX($FK$245:$ID$316,$FJ170-FV$169,72-FV$169+SwaptionMonthsToGo+SwaptionShift))/SQRT(SUM(INDEX($FK325:$ID325,1+SwaptionShift):INDEX($FK325:$ID325,SwaptionMonthsToGo+SwaptionShift))*SUM(INDEX($FK$325:$ID$396,FV$169,1+SwaptionShift):INDEX($FK$325:$ID$396,FV$169,SwaptionMonthsToGo+SwaptionShift))))))</f>
        <v/>
      </c>
      <c r="FW170" s="150" t="str">
        <f aca="false">IF(OR(FW$169&lt;SwaptionFirstMonthPosition+1,$FJ170&lt;SwaptionFirstMonthPosition+1,FW$169&gt;SwaptionFirstMonthPosition+SwaptionNumOfMonths+1,$FJ170&gt;SwaptionFirstMonthPosition+SwaptionNumOfMonths+1),"",IF($FJ170=FW$169,1,IF($FJ170&lt;FW$169,INDEX($FK$170:$ID$241,FW$169,$FJ170),SUMPRODUCT(INDEX($FK$325:$ID$396,FW$169,1+SwaptionShift):INDEX($FK$325:$ID$396,FW$169,SwaptionMonthsToGo+SwaptionShift),INDEX($FK$245:$ID$316,$FJ170-FW$169,73-FW$169+SwaptionShift):INDEX($FK$245:$ID$316,$FJ170-FW$169,72-FW$169+SwaptionMonthsToGo+SwaptionShift))/SQRT(SUM(INDEX($FK325:$ID325,1+SwaptionShift):INDEX($FK325:$ID325,SwaptionMonthsToGo+SwaptionShift))*SUM(INDEX($FK$325:$ID$396,FW$169,1+SwaptionShift):INDEX($FK$325:$ID$396,FW$169,SwaptionMonthsToGo+SwaptionShift))))))</f>
        <v/>
      </c>
      <c r="FX170" s="150" t="str">
        <f aca="false">IF(OR(FX$169&lt;SwaptionFirstMonthPosition+1,$FJ170&lt;SwaptionFirstMonthPosition+1,FX$169&gt;SwaptionFirstMonthPosition+SwaptionNumOfMonths+1,$FJ170&gt;SwaptionFirstMonthPosition+SwaptionNumOfMonths+1),"",IF($FJ170=FX$169,1,IF($FJ170&lt;FX$169,INDEX($FK$170:$ID$241,FX$169,$FJ170),SUMPRODUCT(INDEX($FK$325:$ID$396,FX$169,1+SwaptionShift):INDEX($FK$325:$ID$396,FX$169,SwaptionMonthsToGo+SwaptionShift),INDEX($FK$245:$ID$316,$FJ170-FX$169,73-FX$169+SwaptionShift):INDEX($FK$245:$ID$316,$FJ170-FX$169,72-FX$169+SwaptionMonthsToGo+SwaptionShift))/SQRT(SUM(INDEX($FK325:$ID325,1+SwaptionShift):INDEX($FK325:$ID325,SwaptionMonthsToGo+SwaptionShift))*SUM(INDEX($FK$325:$ID$396,FX$169,1+SwaptionShift):INDEX($FK$325:$ID$396,FX$169,SwaptionMonthsToGo+SwaptionShift))))))</f>
        <v/>
      </c>
      <c r="FY170" s="150" t="str">
        <f aca="false">IF(OR(FY$169&lt;SwaptionFirstMonthPosition+1,$FJ170&lt;SwaptionFirstMonthPosition+1,FY$169&gt;SwaptionFirstMonthPosition+SwaptionNumOfMonths+1,$FJ170&gt;SwaptionFirstMonthPosition+SwaptionNumOfMonths+1),"",IF($FJ170=FY$169,1,IF($FJ170&lt;FY$169,INDEX($FK$170:$ID$241,FY$169,$FJ170),SUMPRODUCT(INDEX($FK$325:$ID$396,FY$169,1+SwaptionShift):INDEX($FK$325:$ID$396,FY$169,SwaptionMonthsToGo+SwaptionShift),INDEX($FK$245:$ID$316,$FJ170-FY$169,73-FY$169+SwaptionShift):INDEX($FK$245:$ID$316,$FJ170-FY$169,72-FY$169+SwaptionMonthsToGo+SwaptionShift))/SQRT(SUM(INDEX($FK325:$ID325,1+SwaptionShift):INDEX($FK325:$ID325,SwaptionMonthsToGo+SwaptionShift))*SUM(INDEX($FK$325:$ID$396,FY$169,1+SwaptionShift):INDEX($FK$325:$ID$396,FY$169,SwaptionMonthsToGo+SwaptionShift))))))</f>
        <v/>
      </c>
      <c r="FZ170" s="150" t="str">
        <f aca="false">IF(OR(FZ$169&lt;SwaptionFirstMonthPosition+1,$FJ170&lt;SwaptionFirstMonthPosition+1,FZ$169&gt;SwaptionFirstMonthPosition+SwaptionNumOfMonths+1,$FJ170&gt;SwaptionFirstMonthPosition+SwaptionNumOfMonths+1),"",IF($FJ170=FZ$169,1,IF($FJ170&lt;FZ$169,INDEX($FK$170:$ID$241,FZ$169,$FJ170),SUMPRODUCT(INDEX($FK$325:$ID$396,FZ$169,1+SwaptionShift):INDEX($FK$325:$ID$396,FZ$169,SwaptionMonthsToGo+SwaptionShift),INDEX($FK$245:$ID$316,$FJ170-FZ$169,73-FZ$169+SwaptionShift):INDEX($FK$245:$ID$316,$FJ170-FZ$169,72-FZ$169+SwaptionMonthsToGo+SwaptionShift))/SQRT(SUM(INDEX($FK325:$ID325,1+SwaptionShift):INDEX($FK325:$ID325,SwaptionMonthsToGo+SwaptionShift))*SUM(INDEX($FK$325:$ID$396,FZ$169,1+SwaptionShift):INDEX($FK$325:$ID$396,FZ$169,SwaptionMonthsToGo+SwaptionShift))))))</f>
        <v/>
      </c>
      <c r="GA170" s="150" t="str">
        <f aca="false">IF(OR(GA$169&lt;SwaptionFirstMonthPosition+1,$FJ170&lt;SwaptionFirstMonthPosition+1,GA$169&gt;SwaptionFirstMonthPosition+SwaptionNumOfMonths+1,$FJ170&gt;SwaptionFirstMonthPosition+SwaptionNumOfMonths+1),"",IF($FJ170=GA$169,1,IF($FJ170&lt;GA$169,INDEX($FK$170:$ID$241,GA$169,$FJ170),SUMPRODUCT(INDEX($FK$325:$ID$396,GA$169,1+SwaptionShift):INDEX($FK$325:$ID$396,GA$169,SwaptionMonthsToGo+SwaptionShift),INDEX($FK$245:$ID$316,$FJ170-GA$169,73-GA$169+SwaptionShift):INDEX($FK$245:$ID$316,$FJ170-GA$169,72-GA$169+SwaptionMonthsToGo+SwaptionShift))/SQRT(SUM(INDEX($FK325:$ID325,1+SwaptionShift):INDEX($FK325:$ID325,SwaptionMonthsToGo+SwaptionShift))*SUM(INDEX($FK$325:$ID$396,GA$169,1+SwaptionShift):INDEX($FK$325:$ID$396,GA$169,SwaptionMonthsToGo+SwaptionShift))))))</f>
        <v/>
      </c>
      <c r="GB170" s="150" t="str">
        <f aca="false">IF(OR(GB$169&lt;SwaptionFirstMonthPosition+1,$FJ170&lt;SwaptionFirstMonthPosition+1,GB$169&gt;SwaptionFirstMonthPosition+SwaptionNumOfMonths+1,$FJ170&gt;SwaptionFirstMonthPosition+SwaptionNumOfMonths+1),"",IF($FJ170=GB$169,1,IF($FJ170&lt;GB$169,INDEX($FK$170:$ID$241,GB$169,$FJ170),SUMPRODUCT(INDEX($FK$325:$ID$396,GB$169,1+SwaptionShift):INDEX($FK$325:$ID$396,GB$169,SwaptionMonthsToGo+SwaptionShift),INDEX($FK$245:$ID$316,$FJ170-GB$169,73-GB$169+SwaptionShift):INDEX($FK$245:$ID$316,$FJ170-GB$169,72-GB$169+SwaptionMonthsToGo+SwaptionShift))/SQRT(SUM(INDEX($FK325:$ID325,1+SwaptionShift):INDEX($FK325:$ID325,SwaptionMonthsToGo+SwaptionShift))*SUM(INDEX($FK$325:$ID$396,GB$169,1+SwaptionShift):INDEX($FK$325:$ID$396,GB$169,SwaptionMonthsToGo+SwaptionShift))))))</f>
        <v/>
      </c>
      <c r="GC170" s="150" t="str">
        <f aca="false">IF(OR(GC$169&lt;SwaptionFirstMonthPosition+1,$FJ170&lt;SwaptionFirstMonthPosition+1,GC$169&gt;SwaptionFirstMonthPosition+SwaptionNumOfMonths+1,$FJ170&gt;SwaptionFirstMonthPosition+SwaptionNumOfMonths+1),"",IF($FJ170=GC$169,1,IF($FJ170&lt;GC$169,INDEX($FK$170:$ID$241,GC$169,$FJ170),SUMPRODUCT(INDEX($FK$325:$ID$396,GC$169,1+SwaptionShift):INDEX($FK$325:$ID$396,GC$169,SwaptionMonthsToGo+SwaptionShift),INDEX($FK$245:$ID$316,$FJ170-GC$169,73-GC$169+SwaptionShift):INDEX($FK$245:$ID$316,$FJ170-GC$169,72-GC$169+SwaptionMonthsToGo+SwaptionShift))/SQRT(SUM(INDEX($FK325:$ID325,1+SwaptionShift):INDEX($FK325:$ID325,SwaptionMonthsToGo+SwaptionShift))*SUM(INDEX($FK$325:$ID$396,GC$169,1+SwaptionShift):INDEX($FK$325:$ID$396,GC$169,SwaptionMonthsToGo+SwaptionShift))))))</f>
        <v/>
      </c>
      <c r="GD170" s="150" t="str">
        <f aca="false">IF(OR(GD$169&lt;SwaptionFirstMonthPosition+1,$FJ170&lt;SwaptionFirstMonthPosition+1,GD$169&gt;SwaptionFirstMonthPosition+SwaptionNumOfMonths+1,$FJ170&gt;SwaptionFirstMonthPosition+SwaptionNumOfMonths+1),"",IF($FJ170=GD$169,1,IF($FJ170&lt;GD$169,INDEX($FK$170:$ID$241,GD$169,$FJ170),SUMPRODUCT(INDEX($FK$325:$ID$396,GD$169,1+SwaptionShift):INDEX($FK$325:$ID$396,GD$169,SwaptionMonthsToGo+SwaptionShift),INDEX($FK$245:$ID$316,$FJ170-GD$169,73-GD$169+SwaptionShift):INDEX($FK$245:$ID$316,$FJ170-GD$169,72-GD$169+SwaptionMonthsToGo+SwaptionShift))/SQRT(SUM(INDEX($FK325:$ID325,1+SwaptionShift):INDEX($FK325:$ID325,SwaptionMonthsToGo+SwaptionShift))*SUM(INDEX($FK$325:$ID$396,GD$169,1+SwaptionShift):INDEX($FK$325:$ID$396,GD$169,SwaptionMonthsToGo+SwaptionShift))))))</f>
        <v/>
      </c>
      <c r="GE170" s="150" t="str">
        <f aca="false">IF(OR(GE$169&lt;SwaptionFirstMonthPosition+1,$FJ170&lt;SwaptionFirstMonthPosition+1,GE$169&gt;SwaptionFirstMonthPosition+SwaptionNumOfMonths+1,$FJ170&gt;SwaptionFirstMonthPosition+SwaptionNumOfMonths+1),"",IF($FJ170=GE$169,1,IF($FJ170&lt;GE$169,INDEX($FK$170:$ID$241,GE$169,$FJ170),SUMPRODUCT(INDEX($FK$325:$ID$396,GE$169,1+SwaptionShift):INDEX($FK$325:$ID$396,GE$169,SwaptionMonthsToGo+SwaptionShift),INDEX($FK$245:$ID$316,$FJ170-GE$169,73-GE$169+SwaptionShift):INDEX($FK$245:$ID$316,$FJ170-GE$169,72-GE$169+SwaptionMonthsToGo+SwaptionShift))/SQRT(SUM(INDEX($FK325:$ID325,1+SwaptionShift):INDEX($FK325:$ID325,SwaptionMonthsToGo+SwaptionShift))*SUM(INDEX($FK$325:$ID$396,GE$169,1+SwaptionShift):INDEX($FK$325:$ID$396,GE$169,SwaptionMonthsToGo+SwaptionShift))))))</f>
        <v/>
      </c>
      <c r="GF170" s="150" t="str">
        <f aca="false">IF(OR(GF$169&lt;SwaptionFirstMonthPosition+1,$FJ170&lt;SwaptionFirstMonthPosition+1,GF$169&gt;SwaptionFirstMonthPosition+SwaptionNumOfMonths+1,$FJ170&gt;SwaptionFirstMonthPosition+SwaptionNumOfMonths+1),"",IF($FJ170=GF$169,1,IF($FJ170&lt;GF$169,INDEX($FK$170:$ID$241,GF$169,$FJ170),SUMPRODUCT(INDEX($FK$325:$ID$396,GF$169,1+SwaptionShift):INDEX($FK$325:$ID$396,GF$169,SwaptionMonthsToGo+SwaptionShift),INDEX($FK$245:$ID$316,$FJ170-GF$169,73-GF$169+SwaptionShift):INDEX($FK$245:$ID$316,$FJ170-GF$169,72-GF$169+SwaptionMonthsToGo+SwaptionShift))/SQRT(SUM(INDEX($FK325:$ID325,1+SwaptionShift):INDEX($FK325:$ID325,SwaptionMonthsToGo+SwaptionShift))*SUM(INDEX($FK$325:$ID$396,GF$169,1+SwaptionShift):INDEX($FK$325:$ID$396,GF$169,SwaptionMonthsToGo+SwaptionShift))))))</f>
        <v/>
      </c>
      <c r="GG170" s="150" t="str">
        <f aca="false">IF(OR(GG$169&lt;SwaptionFirstMonthPosition+1,$FJ170&lt;SwaptionFirstMonthPosition+1,GG$169&gt;SwaptionFirstMonthPosition+SwaptionNumOfMonths+1,$FJ170&gt;SwaptionFirstMonthPosition+SwaptionNumOfMonths+1),"",IF($FJ170=GG$169,1,IF($FJ170&lt;GG$169,INDEX($FK$170:$ID$241,GG$169,$FJ170),SUMPRODUCT(INDEX($FK$325:$ID$396,GG$169,1+SwaptionShift):INDEX($FK$325:$ID$396,GG$169,SwaptionMonthsToGo+SwaptionShift),INDEX($FK$245:$ID$316,$FJ170-GG$169,73-GG$169+SwaptionShift):INDEX($FK$245:$ID$316,$FJ170-GG$169,72-GG$169+SwaptionMonthsToGo+SwaptionShift))/SQRT(SUM(INDEX($FK325:$ID325,1+SwaptionShift):INDEX($FK325:$ID325,SwaptionMonthsToGo+SwaptionShift))*SUM(INDEX($FK$325:$ID$396,GG$169,1+SwaptionShift):INDEX($FK$325:$ID$396,GG$169,SwaptionMonthsToGo+SwaptionShift))))))</f>
        <v/>
      </c>
      <c r="GH170" s="150" t="str">
        <f aca="false">IF(OR(GH$169&lt;SwaptionFirstMonthPosition+1,$FJ170&lt;SwaptionFirstMonthPosition+1,GH$169&gt;SwaptionFirstMonthPosition+SwaptionNumOfMonths+1,$FJ170&gt;SwaptionFirstMonthPosition+SwaptionNumOfMonths+1),"",IF($FJ170=GH$169,1,IF($FJ170&lt;GH$169,INDEX($FK$170:$ID$241,GH$169,$FJ170),SUMPRODUCT(INDEX($FK$325:$ID$396,GH$169,1+SwaptionShift):INDEX($FK$325:$ID$396,GH$169,SwaptionMonthsToGo+SwaptionShift),INDEX($FK$245:$ID$316,$FJ170-GH$169,73-GH$169+SwaptionShift):INDEX($FK$245:$ID$316,$FJ170-GH$169,72-GH$169+SwaptionMonthsToGo+SwaptionShift))/SQRT(SUM(INDEX($FK325:$ID325,1+SwaptionShift):INDEX($FK325:$ID325,SwaptionMonthsToGo+SwaptionShift))*SUM(INDEX($FK$325:$ID$396,GH$169,1+SwaptionShift):INDEX($FK$325:$ID$396,GH$169,SwaptionMonthsToGo+SwaptionShift))))))</f>
        <v/>
      </c>
      <c r="GI170" s="150" t="str">
        <f aca="false">IF(OR(GI$169&lt;SwaptionFirstMonthPosition+1,$FJ170&lt;SwaptionFirstMonthPosition+1,GI$169&gt;SwaptionFirstMonthPosition+SwaptionNumOfMonths+1,$FJ170&gt;SwaptionFirstMonthPosition+SwaptionNumOfMonths+1),"",IF($FJ170=GI$169,1,IF($FJ170&lt;GI$169,INDEX($FK$170:$ID$241,GI$169,$FJ170),SUMPRODUCT(INDEX($FK$325:$ID$396,GI$169,1+SwaptionShift):INDEX($FK$325:$ID$396,GI$169,SwaptionMonthsToGo+SwaptionShift),INDEX($FK$245:$ID$316,$FJ170-GI$169,73-GI$169+SwaptionShift):INDEX($FK$245:$ID$316,$FJ170-GI$169,72-GI$169+SwaptionMonthsToGo+SwaptionShift))/SQRT(SUM(INDEX($FK325:$ID325,1+SwaptionShift):INDEX($FK325:$ID325,SwaptionMonthsToGo+SwaptionShift))*SUM(INDEX($FK$325:$ID$396,GI$169,1+SwaptionShift):INDEX($FK$325:$ID$396,GI$169,SwaptionMonthsToGo+SwaptionShift))))))</f>
        <v/>
      </c>
      <c r="GJ170" s="150" t="str">
        <f aca="false">IF(OR(GJ$169&lt;SwaptionFirstMonthPosition+1,$FJ170&lt;SwaptionFirstMonthPosition+1,GJ$169&gt;SwaptionFirstMonthPosition+SwaptionNumOfMonths+1,$FJ170&gt;SwaptionFirstMonthPosition+SwaptionNumOfMonths+1),"",IF($FJ170=GJ$169,1,IF($FJ170&lt;GJ$169,INDEX($FK$170:$ID$241,GJ$169,$FJ170),SUMPRODUCT(INDEX($FK$325:$ID$396,GJ$169,1+SwaptionShift):INDEX($FK$325:$ID$396,GJ$169,SwaptionMonthsToGo+SwaptionShift),INDEX($FK$245:$ID$316,$FJ170-GJ$169,73-GJ$169+SwaptionShift):INDEX($FK$245:$ID$316,$FJ170-GJ$169,72-GJ$169+SwaptionMonthsToGo+SwaptionShift))/SQRT(SUM(INDEX($FK325:$ID325,1+SwaptionShift):INDEX($FK325:$ID325,SwaptionMonthsToGo+SwaptionShift))*SUM(INDEX($FK$325:$ID$396,GJ$169,1+SwaptionShift):INDEX($FK$325:$ID$396,GJ$169,SwaptionMonthsToGo+SwaptionShift))))))</f>
        <v/>
      </c>
      <c r="GK170" s="150" t="str">
        <f aca="false">IF(OR(GK$169&lt;SwaptionFirstMonthPosition+1,$FJ170&lt;SwaptionFirstMonthPosition+1,GK$169&gt;SwaptionFirstMonthPosition+SwaptionNumOfMonths+1,$FJ170&gt;SwaptionFirstMonthPosition+SwaptionNumOfMonths+1),"",IF($FJ170=GK$169,1,IF($FJ170&lt;GK$169,INDEX($FK$170:$ID$241,GK$169,$FJ170),SUMPRODUCT(INDEX($FK$325:$ID$396,GK$169,1+SwaptionShift):INDEX($FK$325:$ID$396,GK$169,SwaptionMonthsToGo+SwaptionShift),INDEX($FK$245:$ID$316,$FJ170-GK$169,73-GK$169+SwaptionShift):INDEX($FK$245:$ID$316,$FJ170-GK$169,72-GK$169+SwaptionMonthsToGo+SwaptionShift))/SQRT(SUM(INDEX($FK325:$ID325,1+SwaptionShift):INDEX($FK325:$ID325,SwaptionMonthsToGo+SwaptionShift))*SUM(INDEX($FK$325:$ID$396,GK$169,1+SwaptionShift):INDEX($FK$325:$ID$396,GK$169,SwaptionMonthsToGo+SwaptionShift))))))</f>
        <v/>
      </c>
      <c r="GL170" s="150" t="str">
        <f aca="false">IF(OR(GL$169&lt;SwaptionFirstMonthPosition+1,$FJ170&lt;SwaptionFirstMonthPosition+1,GL$169&gt;SwaptionFirstMonthPosition+SwaptionNumOfMonths+1,$FJ170&gt;SwaptionFirstMonthPosition+SwaptionNumOfMonths+1),"",IF($FJ170=GL$169,1,IF($FJ170&lt;GL$169,INDEX($FK$170:$ID$241,GL$169,$FJ170),SUMPRODUCT(INDEX($FK$325:$ID$396,GL$169,1+SwaptionShift):INDEX($FK$325:$ID$396,GL$169,SwaptionMonthsToGo+SwaptionShift),INDEX($FK$245:$ID$316,$FJ170-GL$169,73-GL$169+SwaptionShift):INDEX($FK$245:$ID$316,$FJ170-GL$169,72-GL$169+SwaptionMonthsToGo+SwaptionShift))/SQRT(SUM(INDEX($FK325:$ID325,1+SwaptionShift):INDEX($FK325:$ID325,SwaptionMonthsToGo+SwaptionShift))*SUM(INDEX($FK$325:$ID$396,GL$169,1+SwaptionShift):INDEX($FK$325:$ID$396,GL$169,SwaptionMonthsToGo+SwaptionShift))))))</f>
        <v/>
      </c>
      <c r="GM170" s="150" t="str">
        <f aca="false">IF(OR(GM$169&lt;SwaptionFirstMonthPosition+1,$FJ170&lt;SwaptionFirstMonthPosition+1,GM$169&gt;SwaptionFirstMonthPosition+SwaptionNumOfMonths+1,$FJ170&gt;SwaptionFirstMonthPosition+SwaptionNumOfMonths+1),"",IF($FJ170=GM$169,1,IF($FJ170&lt;GM$169,INDEX($FK$170:$ID$241,GM$169,$FJ170),SUMPRODUCT(INDEX($FK$325:$ID$396,GM$169,1+SwaptionShift):INDEX($FK$325:$ID$396,GM$169,SwaptionMonthsToGo+SwaptionShift),INDEX($FK$245:$ID$316,$FJ170-GM$169,73-GM$169+SwaptionShift):INDEX($FK$245:$ID$316,$FJ170-GM$169,72-GM$169+SwaptionMonthsToGo+SwaptionShift))/SQRT(SUM(INDEX($FK325:$ID325,1+SwaptionShift):INDEX($FK325:$ID325,SwaptionMonthsToGo+SwaptionShift))*SUM(INDEX($FK$325:$ID$396,GM$169,1+SwaptionShift):INDEX($FK$325:$ID$396,GM$169,SwaptionMonthsToGo+SwaptionShift))))))</f>
        <v/>
      </c>
      <c r="GN170" s="150" t="str">
        <f aca="false">IF(OR(GN$169&lt;SwaptionFirstMonthPosition+1,$FJ170&lt;SwaptionFirstMonthPosition+1,GN$169&gt;SwaptionFirstMonthPosition+SwaptionNumOfMonths+1,$FJ170&gt;SwaptionFirstMonthPosition+SwaptionNumOfMonths+1),"",IF($FJ170=GN$169,1,IF($FJ170&lt;GN$169,INDEX($FK$170:$ID$241,GN$169,$FJ170),SUMPRODUCT(INDEX($FK$325:$ID$396,GN$169,1+SwaptionShift):INDEX($FK$325:$ID$396,GN$169,SwaptionMonthsToGo+SwaptionShift),INDEX($FK$245:$ID$316,$FJ170-GN$169,73-GN$169+SwaptionShift):INDEX($FK$245:$ID$316,$FJ170-GN$169,72-GN$169+SwaptionMonthsToGo+SwaptionShift))/SQRT(SUM(INDEX($FK325:$ID325,1+SwaptionShift):INDEX($FK325:$ID325,SwaptionMonthsToGo+SwaptionShift))*SUM(INDEX($FK$325:$ID$396,GN$169,1+SwaptionShift):INDEX($FK$325:$ID$396,GN$169,SwaptionMonthsToGo+SwaptionShift))))))</f>
        <v/>
      </c>
      <c r="GO170" s="150" t="str">
        <f aca="false">IF(OR(GO$169&lt;SwaptionFirstMonthPosition+1,$FJ170&lt;SwaptionFirstMonthPosition+1,GO$169&gt;SwaptionFirstMonthPosition+SwaptionNumOfMonths+1,$FJ170&gt;SwaptionFirstMonthPosition+SwaptionNumOfMonths+1),"",IF($FJ170=GO$169,1,IF($FJ170&lt;GO$169,INDEX($FK$170:$ID$241,GO$169,$FJ170),SUMPRODUCT(INDEX($FK$325:$ID$396,GO$169,1+SwaptionShift):INDEX($FK$325:$ID$396,GO$169,SwaptionMonthsToGo+SwaptionShift),INDEX($FK$245:$ID$316,$FJ170-GO$169,73-GO$169+SwaptionShift):INDEX($FK$245:$ID$316,$FJ170-GO$169,72-GO$169+SwaptionMonthsToGo+SwaptionShift))/SQRT(SUM(INDEX($FK325:$ID325,1+SwaptionShift):INDEX($FK325:$ID325,SwaptionMonthsToGo+SwaptionShift))*SUM(INDEX($FK$325:$ID$396,GO$169,1+SwaptionShift):INDEX($FK$325:$ID$396,GO$169,SwaptionMonthsToGo+SwaptionShift))))))</f>
        <v/>
      </c>
      <c r="GP170" s="150" t="str">
        <f aca="false">IF(OR(GP$169&lt;SwaptionFirstMonthPosition+1,$FJ170&lt;SwaptionFirstMonthPosition+1,GP$169&gt;SwaptionFirstMonthPosition+SwaptionNumOfMonths+1,$FJ170&gt;SwaptionFirstMonthPosition+SwaptionNumOfMonths+1),"",IF($FJ170=GP$169,1,IF($FJ170&lt;GP$169,INDEX($FK$170:$ID$241,GP$169,$FJ170),SUMPRODUCT(INDEX($FK$325:$ID$396,GP$169,1+SwaptionShift):INDEX($FK$325:$ID$396,GP$169,SwaptionMonthsToGo+SwaptionShift),INDEX($FK$245:$ID$316,$FJ170-GP$169,73-GP$169+SwaptionShift):INDEX($FK$245:$ID$316,$FJ170-GP$169,72-GP$169+SwaptionMonthsToGo+SwaptionShift))/SQRT(SUM(INDEX($FK325:$ID325,1+SwaptionShift):INDEX($FK325:$ID325,SwaptionMonthsToGo+SwaptionShift))*SUM(INDEX($FK$325:$ID$396,GP$169,1+SwaptionShift):INDEX($FK$325:$ID$396,GP$169,SwaptionMonthsToGo+SwaptionShift))))))</f>
        <v/>
      </c>
      <c r="GQ170" s="150" t="str">
        <f aca="false">IF(OR(GQ$169&lt;SwaptionFirstMonthPosition+1,$FJ170&lt;SwaptionFirstMonthPosition+1,GQ$169&gt;SwaptionFirstMonthPosition+SwaptionNumOfMonths+1,$FJ170&gt;SwaptionFirstMonthPosition+SwaptionNumOfMonths+1),"",IF($FJ170=GQ$169,1,IF($FJ170&lt;GQ$169,INDEX($FK$170:$ID$241,GQ$169,$FJ170),SUMPRODUCT(INDEX($FK$325:$ID$396,GQ$169,1+SwaptionShift):INDEX($FK$325:$ID$396,GQ$169,SwaptionMonthsToGo+SwaptionShift),INDEX($FK$245:$ID$316,$FJ170-GQ$169,73-GQ$169+SwaptionShift):INDEX($FK$245:$ID$316,$FJ170-GQ$169,72-GQ$169+SwaptionMonthsToGo+SwaptionShift))/SQRT(SUM(INDEX($FK325:$ID325,1+SwaptionShift):INDEX($FK325:$ID325,SwaptionMonthsToGo+SwaptionShift))*SUM(INDEX($FK$325:$ID$396,GQ$169,1+SwaptionShift):INDEX($FK$325:$ID$396,GQ$169,SwaptionMonthsToGo+SwaptionShift))))))</f>
        <v/>
      </c>
      <c r="GR170" s="150" t="str">
        <f aca="false">IF(OR(GR$169&lt;SwaptionFirstMonthPosition+1,$FJ170&lt;SwaptionFirstMonthPosition+1,GR$169&gt;SwaptionFirstMonthPosition+SwaptionNumOfMonths+1,$FJ170&gt;SwaptionFirstMonthPosition+SwaptionNumOfMonths+1),"",IF($FJ170=GR$169,1,IF($FJ170&lt;GR$169,INDEX($FK$170:$ID$241,GR$169,$FJ170),SUMPRODUCT(INDEX($FK$325:$ID$396,GR$169,1+SwaptionShift):INDEX($FK$325:$ID$396,GR$169,SwaptionMonthsToGo+SwaptionShift),INDEX($FK$245:$ID$316,$FJ170-GR$169,73-GR$169+SwaptionShift):INDEX($FK$245:$ID$316,$FJ170-GR$169,72-GR$169+SwaptionMonthsToGo+SwaptionShift))/SQRT(SUM(INDEX($FK325:$ID325,1+SwaptionShift):INDEX($FK325:$ID325,SwaptionMonthsToGo+SwaptionShift))*SUM(INDEX($FK$325:$ID$396,GR$169,1+SwaptionShift):INDEX($FK$325:$ID$396,GR$169,SwaptionMonthsToGo+SwaptionShift))))))</f>
        <v/>
      </c>
      <c r="GS170" s="150" t="str">
        <f aca="false">IF(OR(GS$169&lt;SwaptionFirstMonthPosition+1,$FJ170&lt;SwaptionFirstMonthPosition+1,GS$169&gt;SwaptionFirstMonthPosition+SwaptionNumOfMonths+1,$FJ170&gt;SwaptionFirstMonthPosition+SwaptionNumOfMonths+1),"",IF($FJ170=GS$169,1,IF($FJ170&lt;GS$169,INDEX($FK$170:$ID$241,GS$169,$FJ170),SUMPRODUCT(INDEX($FK$325:$ID$396,GS$169,1+SwaptionShift):INDEX($FK$325:$ID$396,GS$169,SwaptionMonthsToGo+SwaptionShift),INDEX($FK$245:$ID$316,$FJ170-GS$169,73-GS$169+SwaptionShift):INDEX($FK$245:$ID$316,$FJ170-GS$169,72-GS$169+SwaptionMonthsToGo+SwaptionShift))/SQRT(SUM(INDEX($FK325:$ID325,1+SwaptionShift):INDEX($FK325:$ID325,SwaptionMonthsToGo+SwaptionShift))*SUM(INDEX($FK$325:$ID$396,GS$169,1+SwaptionShift):INDEX($FK$325:$ID$396,GS$169,SwaptionMonthsToGo+SwaptionShift))))))</f>
        <v/>
      </c>
      <c r="GT170" s="150" t="str">
        <f aca="false">IF(OR(GT$169&lt;SwaptionFirstMonthPosition+1,$FJ170&lt;SwaptionFirstMonthPosition+1,GT$169&gt;SwaptionFirstMonthPosition+SwaptionNumOfMonths+1,$FJ170&gt;SwaptionFirstMonthPosition+SwaptionNumOfMonths+1),"",IF($FJ170=GT$169,1,IF($FJ170&lt;GT$169,INDEX($FK$170:$ID$241,GT$169,$FJ170),SUMPRODUCT(INDEX($FK$325:$ID$396,GT$169,1+SwaptionShift):INDEX($FK$325:$ID$396,GT$169,SwaptionMonthsToGo+SwaptionShift),INDEX($FK$245:$ID$316,$FJ170-GT$169,73-GT$169+SwaptionShift):INDEX($FK$245:$ID$316,$FJ170-GT$169,72-GT$169+SwaptionMonthsToGo+SwaptionShift))/SQRT(SUM(INDEX($FK325:$ID325,1+SwaptionShift):INDEX($FK325:$ID325,SwaptionMonthsToGo+SwaptionShift))*SUM(INDEX($FK$325:$ID$396,GT$169,1+SwaptionShift):INDEX($FK$325:$ID$396,GT$169,SwaptionMonthsToGo+SwaptionShift))))))</f>
        <v/>
      </c>
      <c r="GU170" s="150" t="str">
        <f aca="false">IF(OR(GU$169&lt;SwaptionFirstMonthPosition+1,$FJ170&lt;SwaptionFirstMonthPosition+1,GU$169&gt;SwaptionFirstMonthPosition+SwaptionNumOfMonths+1,$FJ170&gt;SwaptionFirstMonthPosition+SwaptionNumOfMonths+1),"",IF($FJ170=GU$169,1,IF($FJ170&lt;GU$169,INDEX($FK$170:$ID$241,GU$169,$FJ170),SUMPRODUCT(INDEX($FK$325:$ID$396,GU$169,1+SwaptionShift):INDEX($FK$325:$ID$396,GU$169,SwaptionMonthsToGo+SwaptionShift),INDEX($FK$245:$ID$316,$FJ170-GU$169,73-GU$169+SwaptionShift):INDEX($FK$245:$ID$316,$FJ170-GU$169,72-GU$169+SwaptionMonthsToGo+SwaptionShift))/SQRT(SUM(INDEX($FK325:$ID325,1+SwaptionShift):INDEX($FK325:$ID325,SwaptionMonthsToGo+SwaptionShift))*SUM(INDEX($FK$325:$ID$396,GU$169,1+SwaptionShift):INDEX($FK$325:$ID$396,GU$169,SwaptionMonthsToGo+SwaptionShift))))))</f>
        <v/>
      </c>
      <c r="GV170" s="150" t="str">
        <f aca="false">IF(OR(GV$169&lt;SwaptionFirstMonthPosition+1,$FJ170&lt;SwaptionFirstMonthPosition+1,GV$169&gt;SwaptionFirstMonthPosition+SwaptionNumOfMonths+1,$FJ170&gt;SwaptionFirstMonthPosition+SwaptionNumOfMonths+1),"",IF($FJ170=GV$169,1,IF($FJ170&lt;GV$169,INDEX($FK$170:$ID$241,GV$169,$FJ170),SUMPRODUCT(INDEX($FK$325:$ID$396,GV$169,1+SwaptionShift):INDEX($FK$325:$ID$396,GV$169,SwaptionMonthsToGo+SwaptionShift),INDEX($FK$245:$ID$316,$FJ170-GV$169,73-GV$169+SwaptionShift):INDEX($FK$245:$ID$316,$FJ170-GV$169,72-GV$169+SwaptionMonthsToGo+SwaptionShift))/SQRT(SUM(INDEX($FK325:$ID325,1+SwaptionShift):INDEX($FK325:$ID325,SwaptionMonthsToGo+SwaptionShift))*SUM(INDEX($FK$325:$ID$396,GV$169,1+SwaptionShift):INDEX($FK$325:$ID$396,GV$169,SwaptionMonthsToGo+SwaptionShift))))))</f>
        <v/>
      </c>
      <c r="GW170" s="150" t="str">
        <f aca="false">IF(OR(GW$169&lt;SwaptionFirstMonthPosition+1,$FJ170&lt;SwaptionFirstMonthPosition+1,GW$169&gt;SwaptionFirstMonthPosition+SwaptionNumOfMonths+1,$FJ170&gt;SwaptionFirstMonthPosition+SwaptionNumOfMonths+1),"",IF($FJ170=GW$169,1,IF($FJ170&lt;GW$169,INDEX($FK$170:$ID$241,GW$169,$FJ170),SUMPRODUCT(INDEX($FK$325:$ID$396,GW$169,1+SwaptionShift):INDEX($FK$325:$ID$396,GW$169,SwaptionMonthsToGo+SwaptionShift),INDEX($FK$245:$ID$316,$FJ170-GW$169,73-GW$169+SwaptionShift):INDEX($FK$245:$ID$316,$FJ170-GW$169,72-GW$169+SwaptionMonthsToGo+SwaptionShift))/SQRT(SUM(INDEX($FK325:$ID325,1+SwaptionShift):INDEX($FK325:$ID325,SwaptionMonthsToGo+SwaptionShift))*SUM(INDEX($FK$325:$ID$396,GW$169,1+SwaptionShift):INDEX($FK$325:$ID$396,GW$169,SwaptionMonthsToGo+SwaptionShift))))))</f>
        <v/>
      </c>
      <c r="GX170" s="150" t="str">
        <f aca="false">IF(OR(GX$169&lt;SwaptionFirstMonthPosition+1,$FJ170&lt;SwaptionFirstMonthPosition+1,GX$169&gt;SwaptionFirstMonthPosition+SwaptionNumOfMonths+1,$FJ170&gt;SwaptionFirstMonthPosition+SwaptionNumOfMonths+1),"",IF($FJ170=GX$169,1,IF($FJ170&lt;GX$169,INDEX($FK$170:$ID$241,GX$169,$FJ170),SUMPRODUCT(INDEX($FK$325:$ID$396,GX$169,1+SwaptionShift):INDEX($FK$325:$ID$396,GX$169,SwaptionMonthsToGo+SwaptionShift),INDEX($FK$245:$ID$316,$FJ170-GX$169,73-GX$169+SwaptionShift):INDEX($FK$245:$ID$316,$FJ170-GX$169,72-GX$169+SwaptionMonthsToGo+SwaptionShift))/SQRT(SUM(INDEX($FK325:$ID325,1+SwaptionShift):INDEX($FK325:$ID325,SwaptionMonthsToGo+SwaptionShift))*SUM(INDEX($FK$325:$ID$396,GX$169,1+SwaptionShift):INDEX($FK$325:$ID$396,GX$169,SwaptionMonthsToGo+SwaptionShift))))))</f>
        <v/>
      </c>
      <c r="GY170" s="150" t="str">
        <f aca="false">IF(OR(GY$169&lt;SwaptionFirstMonthPosition+1,$FJ170&lt;SwaptionFirstMonthPosition+1,GY$169&gt;SwaptionFirstMonthPosition+SwaptionNumOfMonths+1,$FJ170&gt;SwaptionFirstMonthPosition+SwaptionNumOfMonths+1),"",IF($FJ170=GY$169,1,IF($FJ170&lt;GY$169,INDEX($FK$170:$ID$241,GY$169,$FJ170),SUMPRODUCT(INDEX($FK$325:$ID$396,GY$169,1+SwaptionShift):INDEX($FK$325:$ID$396,GY$169,SwaptionMonthsToGo+SwaptionShift),INDEX($FK$245:$ID$316,$FJ170-GY$169,73-GY$169+SwaptionShift):INDEX($FK$245:$ID$316,$FJ170-GY$169,72-GY$169+SwaptionMonthsToGo+SwaptionShift))/SQRT(SUM(INDEX($FK325:$ID325,1+SwaptionShift):INDEX($FK325:$ID325,SwaptionMonthsToGo+SwaptionShift))*SUM(INDEX($FK$325:$ID$396,GY$169,1+SwaptionShift):INDEX($FK$325:$ID$396,GY$169,SwaptionMonthsToGo+SwaptionShift))))))</f>
        <v/>
      </c>
      <c r="GZ170" s="150" t="str">
        <f aca="false">IF(OR(GZ$169&lt;SwaptionFirstMonthPosition+1,$FJ170&lt;SwaptionFirstMonthPosition+1,GZ$169&gt;SwaptionFirstMonthPosition+SwaptionNumOfMonths+1,$FJ170&gt;SwaptionFirstMonthPosition+SwaptionNumOfMonths+1),"",IF($FJ170=GZ$169,1,IF($FJ170&lt;GZ$169,INDEX($FK$170:$ID$241,GZ$169,$FJ170),SUMPRODUCT(INDEX($FK$325:$ID$396,GZ$169,1+SwaptionShift):INDEX($FK$325:$ID$396,GZ$169,SwaptionMonthsToGo+SwaptionShift),INDEX($FK$245:$ID$316,$FJ170-GZ$169,73-GZ$169+SwaptionShift):INDEX($FK$245:$ID$316,$FJ170-GZ$169,72-GZ$169+SwaptionMonthsToGo+SwaptionShift))/SQRT(SUM(INDEX($FK325:$ID325,1+SwaptionShift):INDEX($FK325:$ID325,SwaptionMonthsToGo+SwaptionShift))*SUM(INDEX($FK$325:$ID$396,GZ$169,1+SwaptionShift):INDEX($FK$325:$ID$396,GZ$169,SwaptionMonthsToGo+SwaptionShift))))))</f>
        <v/>
      </c>
      <c r="HA170" s="150" t="str">
        <f aca="false">IF(OR(HA$169&lt;SwaptionFirstMonthPosition+1,$FJ170&lt;SwaptionFirstMonthPosition+1,HA$169&gt;SwaptionFirstMonthPosition+SwaptionNumOfMonths+1,$FJ170&gt;SwaptionFirstMonthPosition+SwaptionNumOfMonths+1),"",IF($FJ170=HA$169,1,IF($FJ170&lt;HA$169,INDEX($FK$170:$ID$241,HA$169,$FJ170),SUMPRODUCT(INDEX($FK$325:$ID$396,HA$169,1+SwaptionShift):INDEX($FK$325:$ID$396,HA$169,SwaptionMonthsToGo+SwaptionShift),INDEX($FK$245:$ID$316,$FJ170-HA$169,73-HA$169+SwaptionShift):INDEX($FK$245:$ID$316,$FJ170-HA$169,72-HA$169+SwaptionMonthsToGo+SwaptionShift))/SQRT(SUM(INDEX($FK325:$ID325,1+SwaptionShift):INDEX($FK325:$ID325,SwaptionMonthsToGo+SwaptionShift))*SUM(INDEX($FK$325:$ID$396,HA$169,1+SwaptionShift):INDEX($FK$325:$ID$396,HA$169,SwaptionMonthsToGo+SwaptionShift))))))</f>
        <v/>
      </c>
      <c r="HB170" s="150" t="str">
        <f aca="false">IF(OR(HB$169&lt;SwaptionFirstMonthPosition+1,$FJ170&lt;SwaptionFirstMonthPosition+1,HB$169&gt;SwaptionFirstMonthPosition+SwaptionNumOfMonths+1,$FJ170&gt;SwaptionFirstMonthPosition+SwaptionNumOfMonths+1),"",IF($FJ170=HB$169,1,IF($FJ170&lt;HB$169,INDEX($FK$170:$ID$241,HB$169,$FJ170),SUMPRODUCT(INDEX($FK$325:$ID$396,HB$169,1+SwaptionShift):INDEX($FK$325:$ID$396,HB$169,SwaptionMonthsToGo+SwaptionShift),INDEX($FK$245:$ID$316,$FJ170-HB$169,73-HB$169+SwaptionShift):INDEX($FK$245:$ID$316,$FJ170-HB$169,72-HB$169+SwaptionMonthsToGo+SwaptionShift))/SQRT(SUM(INDEX($FK325:$ID325,1+SwaptionShift):INDEX($FK325:$ID325,SwaptionMonthsToGo+SwaptionShift))*SUM(INDEX($FK$325:$ID$396,HB$169,1+SwaptionShift):INDEX($FK$325:$ID$396,HB$169,SwaptionMonthsToGo+SwaptionShift))))))</f>
        <v/>
      </c>
      <c r="HC170" s="150" t="str">
        <f aca="false">IF(OR(HC$169&lt;SwaptionFirstMonthPosition+1,$FJ170&lt;SwaptionFirstMonthPosition+1,HC$169&gt;SwaptionFirstMonthPosition+SwaptionNumOfMonths+1,$FJ170&gt;SwaptionFirstMonthPosition+SwaptionNumOfMonths+1),"",IF($FJ170=HC$169,1,IF($FJ170&lt;HC$169,INDEX($FK$170:$ID$241,HC$169,$FJ170),SUMPRODUCT(INDEX($FK$325:$ID$396,HC$169,1+SwaptionShift):INDEX($FK$325:$ID$396,HC$169,SwaptionMonthsToGo+SwaptionShift),INDEX($FK$245:$ID$316,$FJ170-HC$169,73-HC$169+SwaptionShift):INDEX($FK$245:$ID$316,$FJ170-HC$169,72-HC$169+SwaptionMonthsToGo+SwaptionShift))/SQRT(SUM(INDEX($FK325:$ID325,1+SwaptionShift):INDEX($FK325:$ID325,SwaptionMonthsToGo+SwaptionShift))*SUM(INDEX($FK$325:$ID$396,HC$169,1+SwaptionShift):INDEX($FK$325:$ID$396,HC$169,SwaptionMonthsToGo+SwaptionShift))))))</f>
        <v/>
      </c>
      <c r="HD170" s="150" t="str">
        <f aca="false">IF(OR(HD$169&lt;SwaptionFirstMonthPosition+1,$FJ170&lt;SwaptionFirstMonthPosition+1,HD$169&gt;SwaptionFirstMonthPosition+SwaptionNumOfMonths+1,$FJ170&gt;SwaptionFirstMonthPosition+SwaptionNumOfMonths+1),"",IF($FJ170=HD$169,1,IF($FJ170&lt;HD$169,INDEX($FK$170:$ID$241,HD$169,$FJ170),SUMPRODUCT(INDEX($FK$325:$ID$396,HD$169,1+SwaptionShift):INDEX($FK$325:$ID$396,HD$169,SwaptionMonthsToGo+SwaptionShift),INDEX($FK$245:$ID$316,$FJ170-HD$169,73-HD$169+SwaptionShift):INDEX($FK$245:$ID$316,$FJ170-HD$169,72-HD$169+SwaptionMonthsToGo+SwaptionShift))/SQRT(SUM(INDEX($FK325:$ID325,1+SwaptionShift):INDEX($FK325:$ID325,SwaptionMonthsToGo+SwaptionShift))*SUM(INDEX($FK$325:$ID$396,HD$169,1+SwaptionShift):INDEX($FK$325:$ID$396,HD$169,SwaptionMonthsToGo+SwaptionShift))))))</f>
        <v/>
      </c>
      <c r="HE170" s="150" t="str">
        <f aca="false">IF(OR(HE$169&lt;SwaptionFirstMonthPosition+1,$FJ170&lt;SwaptionFirstMonthPosition+1,HE$169&gt;SwaptionFirstMonthPosition+SwaptionNumOfMonths+1,$FJ170&gt;SwaptionFirstMonthPosition+SwaptionNumOfMonths+1),"",IF($FJ170=HE$169,1,IF($FJ170&lt;HE$169,INDEX($FK$170:$ID$241,HE$169,$FJ170),SUMPRODUCT(INDEX($FK$325:$ID$396,HE$169,1+SwaptionShift):INDEX($FK$325:$ID$396,HE$169,SwaptionMonthsToGo+SwaptionShift),INDEX($FK$245:$ID$316,$FJ170-HE$169,73-HE$169+SwaptionShift):INDEX($FK$245:$ID$316,$FJ170-HE$169,72-HE$169+SwaptionMonthsToGo+SwaptionShift))/SQRT(SUM(INDEX($FK325:$ID325,1+SwaptionShift):INDEX($FK325:$ID325,SwaptionMonthsToGo+SwaptionShift))*SUM(INDEX($FK$325:$ID$396,HE$169,1+SwaptionShift):INDEX($FK$325:$ID$396,HE$169,SwaptionMonthsToGo+SwaptionShift))))))</f>
        <v/>
      </c>
      <c r="HF170" s="150" t="str">
        <f aca="false">IF(OR(HF$169&lt;SwaptionFirstMonthPosition+1,$FJ170&lt;SwaptionFirstMonthPosition+1,HF$169&gt;SwaptionFirstMonthPosition+SwaptionNumOfMonths+1,$FJ170&gt;SwaptionFirstMonthPosition+SwaptionNumOfMonths+1),"",IF($FJ170=HF$169,1,IF($FJ170&lt;HF$169,INDEX($FK$170:$ID$241,HF$169,$FJ170),SUMPRODUCT(INDEX($FK$325:$ID$396,HF$169,1+SwaptionShift):INDEX($FK$325:$ID$396,HF$169,SwaptionMonthsToGo+SwaptionShift),INDEX($FK$245:$ID$316,$FJ170-HF$169,73-HF$169+SwaptionShift):INDEX($FK$245:$ID$316,$FJ170-HF$169,72-HF$169+SwaptionMonthsToGo+SwaptionShift))/SQRT(SUM(INDEX($FK325:$ID325,1+SwaptionShift):INDEX($FK325:$ID325,SwaptionMonthsToGo+SwaptionShift))*SUM(INDEX($FK$325:$ID$396,HF$169,1+SwaptionShift):INDEX($FK$325:$ID$396,HF$169,SwaptionMonthsToGo+SwaptionShift))))))</f>
        <v/>
      </c>
      <c r="HG170" s="150" t="str">
        <f aca="false">IF(OR(HG$169&lt;SwaptionFirstMonthPosition+1,$FJ170&lt;SwaptionFirstMonthPosition+1,HG$169&gt;SwaptionFirstMonthPosition+SwaptionNumOfMonths+1,$FJ170&gt;SwaptionFirstMonthPosition+SwaptionNumOfMonths+1),"",IF($FJ170=HG$169,1,IF($FJ170&lt;HG$169,INDEX($FK$170:$ID$241,HG$169,$FJ170),SUMPRODUCT(INDEX($FK$325:$ID$396,HG$169,1+SwaptionShift):INDEX($FK$325:$ID$396,HG$169,SwaptionMonthsToGo+SwaptionShift),INDEX($FK$245:$ID$316,$FJ170-HG$169,73-HG$169+SwaptionShift):INDEX($FK$245:$ID$316,$FJ170-HG$169,72-HG$169+SwaptionMonthsToGo+SwaptionShift))/SQRT(SUM(INDEX($FK325:$ID325,1+SwaptionShift):INDEX($FK325:$ID325,SwaptionMonthsToGo+SwaptionShift))*SUM(INDEX($FK$325:$ID$396,HG$169,1+SwaptionShift):INDEX($FK$325:$ID$396,HG$169,SwaptionMonthsToGo+SwaptionShift))))))</f>
        <v/>
      </c>
      <c r="HH170" s="150" t="str">
        <f aca="false">IF(OR(HH$169&lt;SwaptionFirstMonthPosition+1,$FJ170&lt;SwaptionFirstMonthPosition+1,HH$169&gt;SwaptionFirstMonthPosition+SwaptionNumOfMonths+1,$FJ170&gt;SwaptionFirstMonthPosition+SwaptionNumOfMonths+1),"",IF($FJ170=HH$169,1,IF($FJ170&lt;HH$169,INDEX($FK$170:$ID$241,HH$169,$FJ170),SUMPRODUCT(INDEX($FK$325:$ID$396,HH$169,1+SwaptionShift):INDEX($FK$325:$ID$396,HH$169,SwaptionMonthsToGo+SwaptionShift),INDEX($FK$245:$ID$316,$FJ170-HH$169,73-HH$169+SwaptionShift):INDEX($FK$245:$ID$316,$FJ170-HH$169,72-HH$169+SwaptionMonthsToGo+SwaptionShift))/SQRT(SUM(INDEX($FK325:$ID325,1+SwaptionShift):INDEX($FK325:$ID325,SwaptionMonthsToGo+SwaptionShift))*SUM(INDEX($FK$325:$ID$396,HH$169,1+SwaptionShift):INDEX($FK$325:$ID$396,HH$169,SwaptionMonthsToGo+SwaptionShift))))))</f>
        <v/>
      </c>
      <c r="HI170" s="150" t="str">
        <f aca="false">IF(OR(HI$169&lt;SwaptionFirstMonthPosition+1,$FJ170&lt;SwaptionFirstMonthPosition+1,HI$169&gt;SwaptionFirstMonthPosition+SwaptionNumOfMonths+1,$FJ170&gt;SwaptionFirstMonthPosition+SwaptionNumOfMonths+1),"",IF($FJ170=HI$169,1,IF($FJ170&lt;HI$169,INDEX($FK$170:$ID$241,HI$169,$FJ170),SUMPRODUCT(INDEX($FK$325:$ID$396,HI$169,1+SwaptionShift):INDEX($FK$325:$ID$396,HI$169,SwaptionMonthsToGo+SwaptionShift),INDEX($FK$245:$ID$316,$FJ170-HI$169,73-HI$169+SwaptionShift):INDEX($FK$245:$ID$316,$FJ170-HI$169,72-HI$169+SwaptionMonthsToGo+SwaptionShift))/SQRT(SUM(INDEX($FK325:$ID325,1+SwaptionShift):INDEX($FK325:$ID325,SwaptionMonthsToGo+SwaptionShift))*SUM(INDEX($FK$325:$ID$396,HI$169,1+SwaptionShift):INDEX($FK$325:$ID$396,HI$169,SwaptionMonthsToGo+SwaptionShift))))))</f>
        <v/>
      </c>
      <c r="HJ170" s="150" t="str">
        <f aca="false">IF(OR(HJ$169&lt;SwaptionFirstMonthPosition+1,$FJ170&lt;SwaptionFirstMonthPosition+1,HJ$169&gt;SwaptionFirstMonthPosition+SwaptionNumOfMonths+1,$FJ170&gt;SwaptionFirstMonthPosition+SwaptionNumOfMonths+1),"",IF($FJ170=HJ$169,1,IF($FJ170&lt;HJ$169,INDEX($FK$170:$ID$241,HJ$169,$FJ170),SUMPRODUCT(INDEX($FK$325:$ID$396,HJ$169,1+SwaptionShift):INDEX($FK$325:$ID$396,HJ$169,SwaptionMonthsToGo+SwaptionShift),INDEX($FK$245:$ID$316,$FJ170-HJ$169,73-HJ$169+SwaptionShift):INDEX($FK$245:$ID$316,$FJ170-HJ$169,72-HJ$169+SwaptionMonthsToGo+SwaptionShift))/SQRT(SUM(INDEX($FK325:$ID325,1+SwaptionShift):INDEX($FK325:$ID325,SwaptionMonthsToGo+SwaptionShift))*SUM(INDEX($FK$325:$ID$396,HJ$169,1+SwaptionShift):INDEX($FK$325:$ID$396,HJ$169,SwaptionMonthsToGo+SwaptionShift))))))</f>
        <v/>
      </c>
      <c r="HK170" s="150" t="str">
        <f aca="false">IF(OR(HK$169&lt;SwaptionFirstMonthPosition+1,$FJ170&lt;SwaptionFirstMonthPosition+1,HK$169&gt;SwaptionFirstMonthPosition+SwaptionNumOfMonths+1,$FJ170&gt;SwaptionFirstMonthPosition+SwaptionNumOfMonths+1),"",IF($FJ170=HK$169,1,IF($FJ170&lt;HK$169,INDEX($FK$170:$ID$241,HK$169,$FJ170),SUMPRODUCT(INDEX($FK$325:$ID$396,HK$169,1+SwaptionShift):INDEX($FK$325:$ID$396,HK$169,SwaptionMonthsToGo+SwaptionShift),INDEX($FK$245:$ID$316,$FJ170-HK$169,73-HK$169+SwaptionShift):INDEX($FK$245:$ID$316,$FJ170-HK$169,72-HK$169+SwaptionMonthsToGo+SwaptionShift))/SQRT(SUM(INDEX($FK325:$ID325,1+SwaptionShift):INDEX($FK325:$ID325,SwaptionMonthsToGo+SwaptionShift))*SUM(INDEX($FK$325:$ID$396,HK$169,1+SwaptionShift):INDEX($FK$325:$ID$396,HK$169,SwaptionMonthsToGo+SwaptionShift))))))</f>
        <v/>
      </c>
      <c r="HL170" s="150" t="str">
        <f aca="false">IF(OR(HL$169&lt;SwaptionFirstMonthPosition+1,$FJ170&lt;SwaptionFirstMonthPosition+1,HL$169&gt;SwaptionFirstMonthPosition+SwaptionNumOfMonths+1,$FJ170&gt;SwaptionFirstMonthPosition+SwaptionNumOfMonths+1),"",IF($FJ170=HL$169,1,IF($FJ170&lt;HL$169,INDEX($FK$170:$ID$241,HL$169,$FJ170),SUMPRODUCT(INDEX($FK$325:$ID$396,HL$169,1+SwaptionShift):INDEX($FK$325:$ID$396,HL$169,SwaptionMonthsToGo+SwaptionShift),INDEX($FK$245:$ID$316,$FJ170-HL$169,73-HL$169+SwaptionShift):INDEX($FK$245:$ID$316,$FJ170-HL$169,72-HL$169+SwaptionMonthsToGo+SwaptionShift))/SQRT(SUM(INDEX($FK325:$ID325,1+SwaptionShift):INDEX($FK325:$ID325,SwaptionMonthsToGo+SwaptionShift))*SUM(INDEX($FK$325:$ID$396,HL$169,1+SwaptionShift):INDEX($FK$325:$ID$396,HL$169,SwaptionMonthsToGo+SwaptionShift))))))</f>
        <v/>
      </c>
      <c r="HM170" s="150" t="str">
        <f aca="false">IF(OR(HM$169&lt;SwaptionFirstMonthPosition+1,$FJ170&lt;SwaptionFirstMonthPosition+1,HM$169&gt;SwaptionFirstMonthPosition+SwaptionNumOfMonths+1,$FJ170&gt;SwaptionFirstMonthPosition+SwaptionNumOfMonths+1),"",IF($FJ170=HM$169,1,IF($FJ170&lt;HM$169,INDEX($FK$170:$ID$241,HM$169,$FJ170),SUMPRODUCT(INDEX($FK$325:$ID$396,HM$169,1+SwaptionShift):INDEX($FK$325:$ID$396,HM$169,SwaptionMonthsToGo+SwaptionShift),INDEX($FK$245:$ID$316,$FJ170-HM$169,73-HM$169+SwaptionShift):INDEX($FK$245:$ID$316,$FJ170-HM$169,72-HM$169+SwaptionMonthsToGo+SwaptionShift))/SQRT(SUM(INDEX($FK325:$ID325,1+SwaptionShift):INDEX($FK325:$ID325,SwaptionMonthsToGo+SwaptionShift))*SUM(INDEX($FK$325:$ID$396,HM$169,1+SwaptionShift):INDEX($FK$325:$ID$396,HM$169,SwaptionMonthsToGo+SwaptionShift))))))</f>
        <v/>
      </c>
      <c r="HN170" s="150" t="str">
        <f aca="false">IF(OR(HN$169&lt;SwaptionFirstMonthPosition+1,$FJ170&lt;SwaptionFirstMonthPosition+1,HN$169&gt;SwaptionFirstMonthPosition+SwaptionNumOfMonths+1,$FJ170&gt;SwaptionFirstMonthPosition+SwaptionNumOfMonths+1),"",IF($FJ170=HN$169,1,IF($FJ170&lt;HN$169,INDEX($FK$170:$ID$241,HN$169,$FJ170),SUMPRODUCT(INDEX($FK$325:$ID$396,HN$169,1+SwaptionShift):INDEX($FK$325:$ID$396,HN$169,SwaptionMonthsToGo+SwaptionShift),INDEX($FK$245:$ID$316,$FJ170-HN$169,73-HN$169+SwaptionShift):INDEX($FK$245:$ID$316,$FJ170-HN$169,72-HN$169+SwaptionMonthsToGo+SwaptionShift))/SQRT(SUM(INDEX($FK325:$ID325,1+SwaptionShift):INDEX($FK325:$ID325,SwaptionMonthsToGo+SwaptionShift))*SUM(INDEX($FK$325:$ID$396,HN$169,1+SwaptionShift):INDEX($FK$325:$ID$396,HN$169,SwaptionMonthsToGo+SwaptionShift))))))</f>
        <v/>
      </c>
      <c r="HO170" s="150" t="str">
        <f aca="false">IF(OR(HO$169&lt;SwaptionFirstMonthPosition+1,$FJ170&lt;SwaptionFirstMonthPosition+1,HO$169&gt;SwaptionFirstMonthPosition+SwaptionNumOfMonths+1,$FJ170&gt;SwaptionFirstMonthPosition+SwaptionNumOfMonths+1),"",IF($FJ170=HO$169,1,IF($FJ170&lt;HO$169,INDEX($FK$170:$ID$241,HO$169,$FJ170),SUMPRODUCT(INDEX($FK$325:$ID$396,HO$169,1+SwaptionShift):INDEX($FK$325:$ID$396,HO$169,SwaptionMonthsToGo+SwaptionShift),INDEX($FK$245:$ID$316,$FJ170-HO$169,73-HO$169+SwaptionShift):INDEX($FK$245:$ID$316,$FJ170-HO$169,72-HO$169+SwaptionMonthsToGo+SwaptionShift))/SQRT(SUM(INDEX($FK325:$ID325,1+SwaptionShift):INDEX($FK325:$ID325,SwaptionMonthsToGo+SwaptionShift))*SUM(INDEX($FK$325:$ID$396,HO$169,1+SwaptionShift):INDEX($FK$325:$ID$396,HO$169,SwaptionMonthsToGo+SwaptionShift))))))</f>
        <v/>
      </c>
      <c r="HP170" s="150" t="str">
        <f aca="false">IF(OR(HP$169&lt;SwaptionFirstMonthPosition+1,$FJ170&lt;SwaptionFirstMonthPosition+1,HP$169&gt;SwaptionFirstMonthPosition+SwaptionNumOfMonths+1,$FJ170&gt;SwaptionFirstMonthPosition+SwaptionNumOfMonths+1),"",IF($FJ170=HP$169,1,IF($FJ170&lt;HP$169,INDEX($FK$170:$ID$241,HP$169,$FJ170),SUMPRODUCT(INDEX($FK$325:$ID$396,HP$169,1+SwaptionShift):INDEX($FK$325:$ID$396,HP$169,SwaptionMonthsToGo+SwaptionShift),INDEX($FK$245:$ID$316,$FJ170-HP$169,73-HP$169+SwaptionShift):INDEX($FK$245:$ID$316,$FJ170-HP$169,72-HP$169+SwaptionMonthsToGo+SwaptionShift))/SQRT(SUM(INDEX($FK325:$ID325,1+SwaptionShift):INDEX($FK325:$ID325,SwaptionMonthsToGo+SwaptionShift))*SUM(INDEX($FK$325:$ID$396,HP$169,1+SwaptionShift):INDEX($FK$325:$ID$396,HP$169,SwaptionMonthsToGo+SwaptionShift))))))</f>
        <v/>
      </c>
      <c r="HQ170" s="150" t="str">
        <f aca="false">IF(OR(HQ$169&lt;SwaptionFirstMonthPosition+1,$FJ170&lt;SwaptionFirstMonthPosition+1,HQ$169&gt;SwaptionFirstMonthPosition+SwaptionNumOfMonths+1,$FJ170&gt;SwaptionFirstMonthPosition+SwaptionNumOfMonths+1),"",IF($FJ170=HQ$169,1,IF($FJ170&lt;HQ$169,INDEX($FK$170:$ID$241,HQ$169,$FJ170),SUMPRODUCT(INDEX($FK$325:$ID$396,HQ$169,1+SwaptionShift):INDEX($FK$325:$ID$396,HQ$169,SwaptionMonthsToGo+SwaptionShift),INDEX($FK$245:$ID$316,$FJ170-HQ$169,73-HQ$169+SwaptionShift):INDEX($FK$245:$ID$316,$FJ170-HQ$169,72-HQ$169+SwaptionMonthsToGo+SwaptionShift))/SQRT(SUM(INDEX($FK325:$ID325,1+SwaptionShift):INDEX($FK325:$ID325,SwaptionMonthsToGo+SwaptionShift))*SUM(INDEX($FK$325:$ID$396,HQ$169,1+SwaptionShift):INDEX($FK$325:$ID$396,HQ$169,SwaptionMonthsToGo+SwaptionShift))))))</f>
        <v/>
      </c>
      <c r="HR170" s="150" t="str">
        <f aca="false">IF(OR(HR$169&lt;SwaptionFirstMonthPosition+1,$FJ170&lt;SwaptionFirstMonthPosition+1,HR$169&gt;SwaptionFirstMonthPosition+SwaptionNumOfMonths+1,$FJ170&gt;SwaptionFirstMonthPosition+SwaptionNumOfMonths+1),"",IF($FJ170=HR$169,1,IF($FJ170&lt;HR$169,INDEX($FK$170:$ID$241,HR$169,$FJ170),SUMPRODUCT(INDEX($FK$325:$ID$396,HR$169,1+SwaptionShift):INDEX($FK$325:$ID$396,HR$169,SwaptionMonthsToGo+SwaptionShift),INDEX($FK$245:$ID$316,$FJ170-HR$169,73-HR$169+SwaptionShift):INDEX($FK$245:$ID$316,$FJ170-HR$169,72-HR$169+SwaptionMonthsToGo+SwaptionShift))/SQRT(SUM(INDEX($FK325:$ID325,1+SwaptionShift):INDEX($FK325:$ID325,SwaptionMonthsToGo+SwaptionShift))*SUM(INDEX($FK$325:$ID$396,HR$169,1+SwaptionShift):INDEX($FK$325:$ID$396,HR$169,SwaptionMonthsToGo+SwaptionShift))))))</f>
        <v/>
      </c>
      <c r="HS170" s="150" t="str">
        <f aca="false">IF(OR(HS$169&lt;SwaptionFirstMonthPosition+1,$FJ170&lt;SwaptionFirstMonthPosition+1,HS$169&gt;SwaptionFirstMonthPosition+SwaptionNumOfMonths+1,$FJ170&gt;SwaptionFirstMonthPosition+SwaptionNumOfMonths+1),"",IF($FJ170=HS$169,1,IF($FJ170&lt;HS$169,INDEX($FK$170:$ID$241,HS$169,$FJ170),SUMPRODUCT(INDEX($FK$325:$ID$396,HS$169,1+SwaptionShift):INDEX($FK$325:$ID$396,HS$169,SwaptionMonthsToGo+SwaptionShift),INDEX($FK$245:$ID$316,$FJ170-HS$169,73-HS$169+SwaptionShift):INDEX($FK$245:$ID$316,$FJ170-HS$169,72-HS$169+SwaptionMonthsToGo+SwaptionShift))/SQRT(SUM(INDEX($FK325:$ID325,1+SwaptionShift):INDEX($FK325:$ID325,SwaptionMonthsToGo+SwaptionShift))*SUM(INDEX($FK$325:$ID$396,HS$169,1+SwaptionShift):INDEX($FK$325:$ID$396,HS$169,SwaptionMonthsToGo+SwaptionShift))))))</f>
        <v/>
      </c>
      <c r="HT170" s="150" t="str">
        <f aca="false">IF(OR(HT$169&lt;SwaptionFirstMonthPosition+1,$FJ170&lt;SwaptionFirstMonthPosition+1,HT$169&gt;SwaptionFirstMonthPosition+SwaptionNumOfMonths+1,$FJ170&gt;SwaptionFirstMonthPosition+SwaptionNumOfMonths+1),"",IF($FJ170=HT$169,1,IF($FJ170&lt;HT$169,INDEX($FK$170:$ID$241,HT$169,$FJ170),SUMPRODUCT(INDEX($FK$325:$ID$396,HT$169,1+SwaptionShift):INDEX($FK$325:$ID$396,HT$169,SwaptionMonthsToGo+SwaptionShift),INDEX($FK$245:$ID$316,$FJ170-HT$169,73-HT$169+SwaptionShift):INDEX($FK$245:$ID$316,$FJ170-HT$169,72-HT$169+SwaptionMonthsToGo+SwaptionShift))/SQRT(SUM(INDEX($FK325:$ID325,1+SwaptionShift):INDEX($FK325:$ID325,SwaptionMonthsToGo+SwaptionShift))*SUM(INDEX($FK$325:$ID$396,HT$169,1+SwaptionShift):INDEX($FK$325:$ID$396,HT$169,SwaptionMonthsToGo+SwaptionShift))))))</f>
        <v/>
      </c>
      <c r="HU170" s="150" t="str">
        <f aca="false">IF(OR(HU$169&lt;SwaptionFirstMonthPosition+1,$FJ170&lt;SwaptionFirstMonthPosition+1,HU$169&gt;SwaptionFirstMonthPosition+SwaptionNumOfMonths+1,$FJ170&gt;SwaptionFirstMonthPosition+SwaptionNumOfMonths+1),"",IF($FJ170=HU$169,1,IF($FJ170&lt;HU$169,INDEX($FK$170:$ID$241,HU$169,$FJ170),SUMPRODUCT(INDEX($FK$325:$ID$396,HU$169,1+SwaptionShift):INDEX($FK$325:$ID$396,HU$169,SwaptionMonthsToGo+SwaptionShift),INDEX($FK$245:$ID$316,$FJ170-HU$169,73-HU$169+SwaptionShift):INDEX($FK$245:$ID$316,$FJ170-HU$169,72-HU$169+SwaptionMonthsToGo+SwaptionShift))/SQRT(SUM(INDEX($FK325:$ID325,1+SwaptionShift):INDEX($FK325:$ID325,SwaptionMonthsToGo+SwaptionShift))*SUM(INDEX($FK$325:$ID$396,HU$169,1+SwaptionShift):INDEX($FK$325:$ID$396,HU$169,SwaptionMonthsToGo+SwaptionShift))))))</f>
        <v/>
      </c>
      <c r="HV170" s="150" t="str">
        <f aca="false">IF(OR(HV$169&lt;SwaptionFirstMonthPosition+1,$FJ170&lt;SwaptionFirstMonthPosition+1,HV$169&gt;SwaptionFirstMonthPosition+SwaptionNumOfMonths+1,$FJ170&gt;SwaptionFirstMonthPosition+SwaptionNumOfMonths+1),"",IF($FJ170=HV$169,1,IF($FJ170&lt;HV$169,INDEX($FK$170:$ID$241,HV$169,$FJ170),SUMPRODUCT(INDEX($FK$325:$ID$396,HV$169,1+SwaptionShift):INDEX($FK$325:$ID$396,HV$169,SwaptionMonthsToGo+SwaptionShift),INDEX($FK$245:$ID$316,$FJ170-HV$169,73-HV$169+SwaptionShift):INDEX($FK$245:$ID$316,$FJ170-HV$169,72-HV$169+SwaptionMonthsToGo+SwaptionShift))/SQRT(SUM(INDEX($FK325:$ID325,1+SwaptionShift):INDEX($FK325:$ID325,SwaptionMonthsToGo+SwaptionShift))*SUM(INDEX($FK$325:$ID$396,HV$169,1+SwaptionShift):INDEX($FK$325:$ID$396,HV$169,SwaptionMonthsToGo+SwaptionShift))))))</f>
        <v/>
      </c>
      <c r="HW170" s="150" t="str">
        <f aca="false">IF(OR(HW$169&lt;SwaptionFirstMonthPosition+1,$FJ170&lt;SwaptionFirstMonthPosition+1,HW$169&gt;SwaptionFirstMonthPosition+SwaptionNumOfMonths+1,$FJ170&gt;SwaptionFirstMonthPosition+SwaptionNumOfMonths+1),"",IF($FJ170=HW$169,1,IF($FJ170&lt;HW$169,INDEX($FK$170:$ID$241,HW$169,$FJ170),SUMPRODUCT(INDEX($FK$325:$ID$396,HW$169,1+SwaptionShift):INDEX($FK$325:$ID$396,HW$169,SwaptionMonthsToGo+SwaptionShift),INDEX($FK$245:$ID$316,$FJ170-HW$169,73-HW$169+SwaptionShift):INDEX($FK$245:$ID$316,$FJ170-HW$169,72-HW$169+SwaptionMonthsToGo+SwaptionShift))/SQRT(SUM(INDEX($FK325:$ID325,1+SwaptionShift):INDEX($FK325:$ID325,SwaptionMonthsToGo+SwaptionShift))*SUM(INDEX($FK$325:$ID$396,HW$169,1+SwaptionShift):INDEX($FK$325:$ID$396,HW$169,SwaptionMonthsToGo+SwaptionShift))))))</f>
        <v/>
      </c>
      <c r="HX170" s="150" t="str">
        <f aca="false">IF(OR(HX$169&lt;SwaptionFirstMonthPosition+1,$FJ170&lt;SwaptionFirstMonthPosition+1,HX$169&gt;SwaptionFirstMonthPosition+SwaptionNumOfMonths+1,$FJ170&gt;SwaptionFirstMonthPosition+SwaptionNumOfMonths+1),"",IF($FJ170=HX$169,1,IF($FJ170&lt;HX$169,INDEX($FK$170:$ID$241,HX$169,$FJ170),SUMPRODUCT(INDEX($FK$325:$ID$396,HX$169,1+SwaptionShift):INDEX($FK$325:$ID$396,HX$169,SwaptionMonthsToGo+SwaptionShift),INDEX($FK$245:$ID$316,$FJ170-HX$169,73-HX$169+SwaptionShift):INDEX($FK$245:$ID$316,$FJ170-HX$169,72-HX$169+SwaptionMonthsToGo+SwaptionShift))/SQRT(SUM(INDEX($FK325:$ID325,1+SwaptionShift):INDEX($FK325:$ID325,SwaptionMonthsToGo+SwaptionShift))*SUM(INDEX($FK$325:$ID$396,HX$169,1+SwaptionShift):INDEX($FK$325:$ID$396,HX$169,SwaptionMonthsToGo+SwaptionShift))))))</f>
        <v/>
      </c>
      <c r="HY170" s="150" t="str">
        <f aca="false">IF(OR(HY$169&lt;SwaptionFirstMonthPosition+1,$FJ170&lt;SwaptionFirstMonthPosition+1,HY$169&gt;SwaptionFirstMonthPosition+SwaptionNumOfMonths+1,$FJ170&gt;SwaptionFirstMonthPosition+SwaptionNumOfMonths+1),"",IF($FJ170=HY$169,1,IF($FJ170&lt;HY$169,INDEX($FK$170:$ID$241,HY$169,$FJ170),SUMPRODUCT(INDEX($FK$325:$ID$396,HY$169,1+SwaptionShift):INDEX($FK$325:$ID$396,HY$169,SwaptionMonthsToGo+SwaptionShift),INDEX($FK$245:$ID$316,$FJ170-HY$169,73-HY$169+SwaptionShift):INDEX($FK$245:$ID$316,$FJ170-HY$169,72-HY$169+SwaptionMonthsToGo+SwaptionShift))/SQRT(SUM(INDEX($FK325:$ID325,1+SwaptionShift):INDEX($FK325:$ID325,SwaptionMonthsToGo+SwaptionShift))*SUM(INDEX($FK$325:$ID$396,HY$169,1+SwaptionShift):INDEX($FK$325:$ID$396,HY$169,SwaptionMonthsToGo+SwaptionShift))))))</f>
        <v/>
      </c>
      <c r="HZ170" s="150" t="str">
        <f aca="false">IF(OR(HZ$169&lt;SwaptionFirstMonthPosition+1,$FJ170&lt;SwaptionFirstMonthPosition+1,HZ$169&gt;SwaptionFirstMonthPosition+SwaptionNumOfMonths+1,$FJ170&gt;SwaptionFirstMonthPosition+SwaptionNumOfMonths+1),"",IF($FJ170=HZ$169,1,IF($FJ170&lt;HZ$169,INDEX($FK$170:$ID$241,HZ$169,$FJ170),SUMPRODUCT(INDEX($FK$325:$ID$396,HZ$169,1+SwaptionShift):INDEX($FK$325:$ID$396,HZ$169,SwaptionMonthsToGo+SwaptionShift),INDEX($FK$245:$ID$316,$FJ170-HZ$169,73-HZ$169+SwaptionShift):INDEX($FK$245:$ID$316,$FJ170-HZ$169,72-HZ$169+SwaptionMonthsToGo+SwaptionShift))/SQRT(SUM(INDEX($FK325:$ID325,1+SwaptionShift):INDEX($FK325:$ID325,SwaptionMonthsToGo+SwaptionShift))*SUM(INDEX($FK$325:$ID$396,HZ$169,1+SwaptionShift):INDEX($FK$325:$ID$396,HZ$169,SwaptionMonthsToGo+SwaptionShift))))))</f>
        <v/>
      </c>
      <c r="IA170" s="150" t="str">
        <f aca="false">IF(OR(IA$169&lt;SwaptionFirstMonthPosition+1,$FJ170&lt;SwaptionFirstMonthPosition+1,IA$169&gt;SwaptionFirstMonthPosition+SwaptionNumOfMonths+1,$FJ170&gt;SwaptionFirstMonthPosition+SwaptionNumOfMonths+1),"",IF($FJ170=IA$169,1,IF($FJ170&lt;IA$169,INDEX($FK$170:$ID$241,IA$169,$FJ170),SUMPRODUCT(INDEX($FK$325:$ID$396,IA$169,1+SwaptionShift):INDEX($FK$325:$ID$396,IA$169,SwaptionMonthsToGo+SwaptionShift),INDEX($FK$245:$ID$316,$FJ170-IA$169,73-IA$169+SwaptionShift):INDEX($FK$245:$ID$316,$FJ170-IA$169,72-IA$169+SwaptionMonthsToGo+SwaptionShift))/SQRT(SUM(INDEX($FK325:$ID325,1+SwaptionShift):INDEX($FK325:$ID325,SwaptionMonthsToGo+SwaptionShift))*SUM(INDEX($FK$325:$ID$396,IA$169,1+SwaptionShift):INDEX($FK$325:$ID$396,IA$169,SwaptionMonthsToGo+SwaptionShift))))))</f>
        <v/>
      </c>
      <c r="IB170" s="150" t="str">
        <f aca="false">IF(OR(IB$169&lt;SwaptionFirstMonthPosition+1,$FJ170&lt;SwaptionFirstMonthPosition+1,IB$169&gt;SwaptionFirstMonthPosition+SwaptionNumOfMonths+1,$FJ170&gt;SwaptionFirstMonthPosition+SwaptionNumOfMonths+1),"",IF($FJ170=IB$169,1,IF($FJ170&lt;IB$169,INDEX($FK$170:$ID$241,IB$169,$FJ170),SUMPRODUCT(INDEX($FK$325:$ID$396,IB$169,1+SwaptionShift):INDEX($FK$325:$ID$396,IB$169,SwaptionMonthsToGo+SwaptionShift),INDEX($FK$245:$ID$316,$FJ170-IB$169,73-IB$169+SwaptionShift):INDEX($FK$245:$ID$316,$FJ170-IB$169,72-IB$169+SwaptionMonthsToGo+SwaptionShift))/SQRT(SUM(INDEX($FK325:$ID325,1+SwaptionShift):INDEX($FK325:$ID325,SwaptionMonthsToGo+SwaptionShift))*SUM(INDEX($FK$325:$ID$396,IB$169,1+SwaptionShift):INDEX($FK$325:$ID$396,IB$169,SwaptionMonthsToGo+SwaptionShift))))))</f>
        <v/>
      </c>
      <c r="IC170" s="150" t="str">
        <f aca="false">IF(OR(IC$169&lt;SwaptionFirstMonthPosition+1,$FJ170&lt;SwaptionFirstMonthPosition+1,IC$169&gt;SwaptionFirstMonthPosition+SwaptionNumOfMonths+1,$FJ170&gt;SwaptionFirstMonthPosition+SwaptionNumOfMonths+1),"",IF($FJ170=IC$169,1,IF($FJ170&lt;IC$169,INDEX($FK$170:$ID$241,IC$169,$FJ170),SUMPRODUCT(INDEX($FK$325:$ID$396,IC$169,1+SwaptionShift):INDEX($FK$325:$ID$396,IC$169,SwaptionMonthsToGo+SwaptionShift),INDEX($FK$245:$ID$316,$FJ170-IC$169,73-IC$169+SwaptionShift):INDEX($FK$245:$ID$316,$FJ170-IC$169,72-IC$169+SwaptionMonthsToGo+SwaptionShift))/SQRT(SUM(INDEX($FK325:$ID325,1+SwaptionShift):INDEX($FK325:$ID325,SwaptionMonthsToGo+SwaptionShift))*SUM(INDEX($FK$325:$ID$396,IC$169,1+SwaptionShift):INDEX($FK$325:$ID$396,IC$169,SwaptionMonthsToGo+SwaptionShift))))))</f>
        <v/>
      </c>
      <c r="ID170" s="572" t="str">
        <f aca="false">IF(OR(ID$169&lt;SwaptionFirstMonthPosition+1,$FJ170&lt;SwaptionFirstMonthPosition+1,ID$169&gt;SwaptionFirstMonthPosition+SwaptionNumOfMonths+1,$FJ170&gt;SwaptionFirstMonthPosition+SwaptionNumOfMonths+1),"",IF($FJ170=ID$169,1,IF($FJ170&lt;ID$169,INDEX($FK$170:$ID$241,ID$169,$FJ170),SUMPRODUCT(INDEX($FK$325:$ID$396,ID$169,1+SwaptionShift):INDEX($FK$325:$ID$396,ID$169,SwaptionMonthsToGo+SwaptionShift),INDEX($FK$245:$ID$316,$FJ170-ID$169,73-ID$169+SwaptionShift):INDEX($FK$245:$ID$316,$FJ170-ID$169,72-ID$169+SwaptionMonthsToGo+SwaptionShift))/SQRT(SUM(INDEX($FK325:$ID325,1+SwaptionShift):INDEX($FK325:$ID325,SwaptionMonthsToGo+SwaptionShift))*SUM(INDEX($FK$325:$ID$396,ID$169,1+SwaptionShift):INDEX($FK$325:$ID$396,ID$169,SwaptionMonthsToGo+SwaptionShift))))))</f>
        <v/>
      </c>
      <c r="IE170" s="129"/>
    </row>
    <row r="171" customFormat="false" ht="12.75" hidden="false" customHeight="false" outlineLevel="0" collapsed="false">
      <c r="H171" s="219" t="n">
        <f aca="false">VLOOKUP(I171,$EJ$20:$EL$54,3)</f>
        <v>0</v>
      </c>
      <c r="I171" s="511" t="n">
        <f aca="false">EOMONTH(I170,0)+1</f>
        <v>41365</v>
      </c>
      <c r="J171" s="512"/>
      <c r="K171" s="513" t="s">
        <v>280</v>
      </c>
      <c r="L171" s="514" t="n">
        <f aca="false">IF(ISNUMBER(K171),J171+K171/100,IF(K171="extra",L170+VLOOKUP(BF171,PriceSpreadTable,2)/12,IF(K171="inter",interpolateprices($K$19:$L$200,ROW(K171)-ROW(FirstPricingMonth)+1),interpolatechanges($J$19:$K$200,ROW(K171)-ROW(FirstPricingMonth)+1))))</f>
        <v>2.8125</v>
      </c>
      <c r="M171" s="515"/>
      <c r="N171" s="516" t="n">
        <v>0</v>
      </c>
      <c r="O171" s="515" t="n">
        <f aca="false">M171+N171</f>
        <v>0</v>
      </c>
      <c r="P171" s="512"/>
      <c r="Q171" s="513" t="s">
        <v>280</v>
      </c>
      <c r="R171" s="512" t="e">
        <f aca="false">IF(ISNUMBER(Q171),P171+Q171/100,IF(Q171="extra",(Z169*AL169-R170*AM169)/AN169,IF(Q171="inter",interpolateprices($Q$19:$R$260,ROW(Q171)-ROW(FirstPricingMonth)+1),interpolatechanges($P$19:$Q$260,ROW(Q171)-ROW(FirstPricingMonth)+1))))</f>
        <v>#VALUE!</v>
      </c>
      <c r="S171" s="597" t="n">
        <f aca="false">S$19+(S170-S$19)*S$18</f>
        <v>0.36</v>
      </c>
      <c r="T171" s="575" t="n">
        <f aca="false">SQRT((1-(1-T170^2/U170)*T$18)*U171)</f>
        <v>0.999999999994011</v>
      </c>
      <c r="U171" s="576" t="n">
        <f aca="false">1-(1-U170)*U$18</f>
        <v>1</v>
      </c>
      <c r="V171" s="521" t="n">
        <v>0</v>
      </c>
      <c r="W171" s="577" t="n">
        <f aca="false">(J172*AJ171+J173*AK171)/AI171</f>
        <v>0</v>
      </c>
      <c r="X171" s="578" t="n">
        <f aca="false">(L172*AJ171+L173*AK171)/AI171</f>
        <v>2.86193181818182</v>
      </c>
      <c r="Y171" s="579" t="n">
        <f aca="false">IF(Q173="extra",W171-AA171,(P172*AM171+P173*AN171)/AL171)</f>
        <v>-1.2915</v>
      </c>
      <c r="Z171" s="579" t="n">
        <f aca="false">IF(Q173="extra",X171-AB171,(R172*AM171+R173*AN171)/AL171)</f>
        <v>1.57043181818182</v>
      </c>
      <c r="AA171" s="523" t="n">
        <f aca="false">IF(Q173="extra",INDEX(BrentSeasonalityTable,INT((BG171-1)/3)+1)*VLOOKUP(MAX(BF171,$AB$4),PriceSpreadTable,3),W171-Y171)</f>
        <v>1.2915</v>
      </c>
      <c r="AB171" s="524" t="n">
        <f aca="false">IF(Q173="extra",INDEX(BrentSeasonalityTable,INT((BG171-1)/3)+1)*VLOOKUP(MAX(BF171,$AB$4),PriceSpreadTable,3),X171-Z171)</f>
        <v>1.2915</v>
      </c>
      <c r="AC171" s="646" t="n">
        <v>41353</v>
      </c>
      <c r="AD171" s="646" t="n">
        <v>41349</v>
      </c>
      <c r="AE171" s="646" t="n">
        <v>41348</v>
      </c>
      <c r="AF171" s="646" t="n">
        <v>41344</v>
      </c>
      <c r="AG171" s="438" t="s">
        <v>278</v>
      </c>
      <c r="AH171" s="439" t="s">
        <v>278</v>
      </c>
      <c r="AI171" s="528" t="n">
        <v>22</v>
      </c>
      <c r="AJ171" s="529" t="n">
        <v>15</v>
      </c>
      <c r="AK171" s="529" t="n">
        <v>7</v>
      </c>
      <c r="AL171" s="530" t="n">
        <v>22</v>
      </c>
      <c r="AM171" s="529" t="n">
        <v>10</v>
      </c>
      <c r="AN171" s="531" t="n">
        <v>12</v>
      </c>
      <c r="AO171" s="532"/>
      <c r="AP171" s="465" t="n">
        <f aca="false">(1+AO171/2)^(-2*BL171)</f>
        <v>1</v>
      </c>
      <c r="AQ171" s="532"/>
      <c r="AR171" s="465" t="n">
        <f aca="false">(1+AQ171/2)^(-2*BH171/365.25)</f>
        <v>1</v>
      </c>
      <c r="AS171" s="580" t="n">
        <f aca="false">(O172*AJ171+O173*AK171)/AI171</f>
        <v>0</v>
      </c>
      <c r="AT171" s="468" t="n">
        <f aca="false">O171*VLOOKUP(BF171,BrentVolTable,2)+VLOOKUP(BF171,BrentVolTable,3)</f>
        <v>0</v>
      </c>
      <c r="AU171" s="468" t="n">
        <f aca="false">(AT172*AM171+AT173*AN171)/AL171</f>
        <v>0</v>
      </c>
      <c r="AV171" s="595" t="n">
        <f aca="false">SQRT(MAX(0.000000000001,(O171^2*BH171-S171^2*(BH171-BH170))/BH170))</f>
        <v>0.0280746182104566</v>
      </c>
      <c r="AW171" s="451" t="n">
        <f aca="false">IF($I171-DateToday+15&gt;=$T$8,"",IF($I171-DateToday+15&lt;$T$5,1,MATCH($I171-DateToday+15,$T$5:$T$8)))</f>
        <v>1</v>
      </c>
      <c r="AX171" s="468" t="n">
        <f aca="false">IF($AW171="",AX170^2/AX169,INDEX(U$5:U$8,$AW171)^((INDEX($T$5:$T$8,$AW171+1)-($I171-DateToday+15))/(INDEX($T$5:$T$8,$AW171+1)-INDEX($T$5:$T$8,$AW171)))/INDEX(U$5:U$8,$AW171+1)^((INDEX($T$5:$T$8,$AW171)-($I171-DateToday+15))/(INDEX($T$5:$T$8,$AW171+1)-INDEX($T$5:$T$8,$AW171))))</f>
        <v>0.49766661475224</v>
      </c>
      <c r="AY171" s="468" t="n">
        <f aca="false">IF($AW171="",AY170^2/AY169,INDEX(V$5:V$8,$AW171)^((INDEX($T$5:$T$8,$AW171+1)-($I171-DateToday+15))/(INDEX($T$5:$T$8,$AW171+1)-INDEX($T$5:$T$8,$AW171)))/INDEX(V$5:V$8,$AW171+1)^((INDEX($T$5:$T$8,$AW171)-($I171-DateToday+15))/(INDEX($T$5:$T$8,$AW171+1)-INDEX($T$5:$T$8,$AW171))))</f>
        <v>9.01796168645067</v>
      </c>
      <c r="AZ171" s="468" t="n">
        <f aca="false">IF($AW171="",AZ170^2/AZ169,INDEX(W$5:W$8,$AW171)^((INDEX($T$5:$T$8,$AW171+1)-($I171-DateToday+15))/(INDEX($T$5:$T$8,$AW171+1)-INDEX($T$5:$T$8,$AW171)))/INDEX(W$5:W$8,$AW171+1)^((INDEX($T$5:$T$8,$AW171)-($I171-DateToday+15))/(INDEX($T$5:$T$8,$AW171+1)-INDEX($T$5:$T$8,$AW171))))</f>
        <v>2825.78157441391</v>
      </c>
      <c r="BA171" s="468" t="n">
        <f aca="false">IF($AW171="",BA170^2/BA169,INDEX(X$5:X$8,$AW171)^((INDEX($T$5:$T$8,$AW171+1)-($I171-DateToday+15))/(INDEX($T$5:$T$8,$AW171+1)-INDEX($T$5:$T$8,$AW171)))/INDEX(X$5:X$8,$AW171+1)^((INDEX($T$5:$T$8,$AW171)-($I171-DateToday+15))/(INDEX($T$5:$T$8,$AW171+1)-INDEX($T$5:$T$8,$AW171))))</f>
        <v>14648.9286475815</v>
      </c>
      <c r="BB171" s="468" t="n">
        <f aca="false">IF($AW171="",BB170^2/BB169,INDEX(Y$5:Y$8,$AW171)^((INDEX($T$5:$T$8,$AW171+1)-($I171-DateToday+15))/(INDEX($T$5:$T$8,$AW171+1)-INDEX($T$5:$T$8,$AW171)))/INDEX(Y$5:Y$8,$AW171+1)^((INDEX($T$5:$T$8,$AW171)-($I171-DateToday+15))/(INDEX($T$5:$T$8,$AW171+1)-INDEX($T$5:$T$8,$AW171))))</f>
        <v>90854.9895862038</v>
      </c>
      <c r="BC171" s="468" t="n">
        <f aca="false">IF($AW171="",BC170^2/BC169,INDEX(Z$5:Z$8,$AW171)^((INDEX($T$5:$T$8,$AW171+1)-($I171-DateToday+15))/(INDEX($T$5:$T$8,$AW171+1)-INDEX($T$5:$T$8,$AW171)))/INDEX(Z$5:Z$8,$AW171+1)^((INDEX($T$5:$T$8,$AW171)-($I171-DateToday+15))/(INDEX($T$5:$T$8,$AW171+1)-INDEX($T$5:$T$8,$AW171))))</f>
        <v>275883.505775527</v>
      </c>
      <c r="BD171" s="535" t="n">
        <f aca="false">IF(OR(DateStart&gt;=I172,DateEnd&lt;I171),0,IF(VolumeOverrideFlag,V171,Volume))</f>
        <v>0</v>
      </c>
      <c r="BE171" s="536" t="n">
        <f aca="false">IF(OR(DateStart2&gt;=I172,DateEnd2&lt;I171),0,IF(VolumeOverrideFlag,V171,VolumeSwaption))</f>
        <v>0</v>
      </c>
      <c r="BF171" s="537" t="n">
        <f aca="false">YEAR(I171)</f>
        <v>2013</v>
      </c>
      <c r="BG171" s="538" t="n">
        <f aca="false">MONTH(I171)</f>
        <v>4</v>
      </c>
      <c r="BH171" s="539" t="n">
        <f aca="false">AD171-DateToday+1</f>
        <v>-4576</v>
      </c>
      <c r="BI171" s="540" t="n">
        <f aca="false">(I171-DateToday+1)/365.25</f>
        <v>-12.4845995893224</v>
      </c>
      <c r="BJ171" s="541" t="n">
        <f aca="false">BI171+(BL171-BI171)*CHOOSE(Underlying,AJ171/AI171,AM171/AL171)</f>
        <v>-12.430464812395</v>
      </c>
      <c r="BK171" s="541" t="n">
        <f aca="false">BJ171+1/365.25</f>
        <v>-12.4277269616079</v>
      </c>
      <c r="BL171" s="541" t="n">
        <f aca="false">(I172-DateToday)/365.25</f>
        <v>-12.4052019164956</v>
      </c>
      <c r="BM171" s="542" t="e">
        <f aca="false">MAX(BI171-(BJ171-BI171)*(S172^2/O172^2-1),0)</f>
        <v>#DIV/0!</v>
      </c>
      <c r="BN171" s="541" t="e">
        <f aca="false">MAX(BL171+(BL171-BK171)*(S173^2/O173^2-1),0)</f>
        <v>#DIV/0!</v>
      </c>
      <c r="BO171" s="530" t="n">
        <f aca="false">CHOOSE(Underlying,AI171,AL171)</f>
        <v>22</v>
      </c>
      <c r="BP171" s="529" t="n">
        <f aca="false">CHOOSE(Underlying,AJ171,AM171)</f>
        <v>15</v>
      </c>
      <c r="BQ171" s="529" t="n">
        <f aca="false">CHOOSE(Underlying,AK171,AN171)</f>
        <v>7</v>
      </c>
      <c r="BR171" s="463" t="str">
        <f aca="false">IF(BD171,IF(Underlying=1,X171,Z171)+UnderlyingPriceAsian-SwapPriceCurve,"")</f>
        <v/>
      </c>
      <c r="BS171" s="463" t="str">
        <f aca="false">IF(BD171,Strike1/BR171-1,"")</f>
        <v/>
      </c>
      <c r="BT171" s="464" t="str">
        <f aca="false">IF(BD171,Strike2/BR171-1,"")</f>
        <v/>
      </c>
      <c r="BU171" s="465" t="str">
        <f aca="false">IF(BD171,IF(Underlying=1,L172,R172)+UnderlyingPriceAsian-SwapPriceCurve,"")</f>
        <v/>
      </c>
      <c r="BV171" s="465" t="str">
        <f aca="false">IF(BD171,IF(Underlying=1,L173,R173)+UnderlyingPriceAsian-SwapPriceCurve,"")</f>
        <v/>
      </c>
      <c r="BW171" s="466" t="str">
        <f aca="false">IF(BD171,IF(Underlying=1,O172,AT172),"")</f>
        <v/>
      </c>
      <c r="BX171" s="467" t="str">
        <f aca="false">IF(BD171,IF(Underlying=1,O173,AT173),"")</f>
        <v/>
      </c>
      <c r="BY171" s="466" t="str">
        <f aca="false">IF(BD171,IF(BS171&gt;0,IF(BS171&gt;0.2,BC171-BB171,IF(BS171&gt;0.1,BB171-BA171,BA171)),IF(BS171&lt;-0.2,AX171-AY171,IF(BS171&lt;-0.1,AY171-AZ171,AZ171))),"")</f>
        <v/>
      </c>
      <c r="BZ171" s="467" t="str">
        <f aca="false">IF(BD171,IF(BT171&gt;0,IF(BT171&gt;0.2,BC171-BB171,IF(BT171&gt;0.1,BB171-BA171,BA171)),IF(BT171&lt;-0.2,AX171-AY171,IF(BT171&lt;-0.1,AY171-AZ171,AZ171))),"")</f>
        <v/>
      </c>
      <c r="CA171" s="468" t="str">
        <f aca="false">IF($BD171,$BW171+IF(VolSkewFlag=1,IF(BS171&gt;0,$BA171*MIN(BS171/10%,1)+($BB171-$BA171)*MAX(0,MIN(BS171/10%-1,1))+($BC171-$BB171)*MAX(0,BS171/10%-2),$AZ171*MIN(-BS171/10%,1)+($AY171-$AZ171)*MAX(0,MIN(-BS171/10%-1,1))+($AX171-$AY171)*MAX(0,-BS171/10%-2)),0),"")</f>
        <v/>
      </c>
      <c r="CB171" s="468" t="str">
        <f aca="false">IF($BD171,$BX171+IF(VolSkewFlag=1,IF(BS171&gt;0,$BA171*MIN(BS171/10%,1)+($BB171-$BA171)*MAX(0,MIN(BS171/10%-1,1))+($BC171-$BB171)*MAX(0,BS171/10%-2),$AZ171*MIN(-BS171/10%,1)+($AY171-$AZ171)*MAX(0,MIN(-BS171/10%-1,1))+($AX171-$AY171)*MAX(0,-BS171/10%-2)),0),"")</f>
        <v/>
      </c>
      <c r="CC171" s="468" t="str">
        <f aca="false">IF($BD171,$BW171+IF(VolSkewFlag=1,IF(BT171&gt;0,$BA171*MIN(BT171/10%,1)+($BB171-$BA171)*MAX(0,MIN(BT171/10%-1,1))+($BC171-$BB171)*MAX(0,BT171/10%-2),$AZ171*MIN(-BT171/10%,1)+($AY171-$AZ171)*MAX(0,MIN(-BT171/10%-1,1))+($AX171-$AY171)*MAX(0,-BT171/10%-2)),0),"")</f>
        <v/>
      </c>
      <c r="CD171" s="468" t="str">
        <f aca="false">IF($BD171,$BX171+IF(VolSkewFlag=1,IF(BT171&gt;0,$BA171*MIN(BT171/10%,1)+($BB171-$BA171)*MAX(0,MIN(BT171/10%-1,1))+($BC171-$BB171)*MAX(0,BT171/10%-2),$AZ171*MIN(-BT171/10%,1)+($AY171-$AZ171)*MAX(0,MIN(-BT171/10%-1,1))+($AX171-$AY171)*MAX(0,-BT171/10%-2)),0),"")</f>
        <v/>
      </c>
      <c r="CE171" s="469" t="n">
        <v>1</v>
      </c>
      <c r="CF171" s="470" t="n">
        <f aca="false">IF(BD171,xCrudeAPO(BU171,BV171,CA171,CB171,S172,S173,BI171,BL171,BP171,BQ171,0,Strike1,AO171,CE171,0,BL171,IF(OptControl=4,0,1),0,1),0)</f>
        <v>0</v>
      </c>
      <c r="CG171" s="470" t="n">
        <f aca="false">IF(BD171,xCrudeAPO(BU171,BV171,CA171,CB171,S172,S173,BI171,BL171,BP171,BQ171,0,Strike1,AO171,CE171,0,BL171,IF(OptControl=4,0,1),1,1)+xCrudeAPO(BU171,BV171,CA171,CB171,S172,S173,BI171,BL171,BP171,BQ171,0,Strike1,AO171,CE171,0,BL171,IF(OptControl=4,0,1),1,2)+IF(OR(VolSkewFlag=2,ABS(BS171)&lt;0.0001),0,IF(BS171&gt;0,-1,1)*CH171*Strike1/BR171^2*BY171/10%),0)</f>
        <v>0</v>
      </c>
      <c r="CH171" s="470" t="n">
        <f aca="false">IF(BD171,(xCrudeAPO(BU171,BV171,CA171,CB171,S172,S173,BI171,BL171,BP171,BQ171,0,Strike1,AO171,CE171,0,BL171,IF(OptControl=4,0,1),3,1)+xCrudeAPO(BU171,BV171,CA171,CB171,S172,S173,BI171,BL171,BP171,BQ171,0,Strike1,AO171,CE171,0,BL171,IF(OptControl=4,0,1),3,2))/100,0)</f>
        <v>0</v>
      </c>
      <c r="CI171" s="470" t="n">
        <f aca="false">IF(BD171,xCrudeAPO(BU171,BV171,CA171,CB171,S172,S173,BI171-DaysForThetaCalculation/365.25,BL171-DaysForThetaCalculation/365.25,BP171,BQ171,0,Strike1,AO171,CE171,0,BL171,IF(OptControl=4,0,1),0,1)-xCrudeAPO(BU171,BV171,CA171,CB171,S172,S173,BI171,BL171,BP171,BQ171,0,Strike1,AO171,CE171,0,BL171,IF(OptControl=4,0,1),0,1),0)</f>
        <v>0</v>
      </c>
      <c r="CJ171" s="471" t="n">
        <f aca="false">IF(BD171,xCrudeAPO(BU171,BV171,CC171,CD171,S172,S173,BI171,BL171,BP171,BQ171,0,Strike2,AO171,CE171,0,BL171,IF(OptControl=3,1,0),0,1),0)</f>
        <v>0</v>
      </c>
      <c r="CK171" s="470" t="n">
        <f aca="false">IF(BD171,xCrudeAPO(BU171,BV171,CC171,CD171,S172,S173,BI171,BL171,BP171,BQ171,0,Strike2,AO171,CE171,0,BL171,IF(OptControl=3,1,0),1,1)+xCrudeAPO(BU171,BV171,CC171,CD171,S172,S173,BI171,BL171,BP171,BQ171,0,Strike2,AO171,CE171,0,BL171,IF(OptControl=3,1,0),1,2)+IF(OR(VolSkewFlag=2,ABS(BT171)&lt;0.0001),0,IF(BT171&gt;0,-1,1)*CL171*Strike2/BR171^2*BZ171/10%),0)</f>
        <v>0</v>
      </c>
      <c r="CL171" s="470" t="n">
        <f aca="false">IF(BD171,(xCrudeAPO(BU171,BV171,CC171,CD171,S172,S173,BI171,BL171,BP171,BQ171,0,Strike2,AO171,CE171,0,BL171,IF(OptControl=3,1,0),3,1)+xCrudeAPO(BU171,BV171,CC171,CD171,S172,S173,BI171,BL171,BP171,BQ171,0,Strike2,AO171,CE171,0,BL171,IF(OptControl=3,1,0),3,2))/100,0)</f>
        <v>0</v>
      </c>
      <c r="CM171" s="472" t="n">
        <f aca="false">IF(BD171,xCrudeAPO(BU171,BV171,CC171,CD171,S172,S173,BI171-DaysForThetaCalculation/365.25,BL171-DaysForThetaCalculation/365.25,BP171,BQ171,0,Strike2,AO171,CE171,0,BL171,IF(OptControl=3,1,0),0,1)-xCrudeAPO(BU171,BV171,CC171,CD171,S172,S173,BI171,BL171,BP171,BQ171,0,Strike2,AO171,CE171,0,BL171,IF(OptControl=3,1,0),0,1),0)</f>
        <v>0</v>
      </c>
      <c r="CN171" s="3"/>
      <c r="CO171" s="543" t="str">
        <f aca="false">IF(BD171,CHOOSE(Underlying,AD171,AF171)-DateToday+1,"")</f>
        <v/>
      </c>
      <c r="CP171" s="582" t="str">
        <f aca="false">IF(BD171,CHOOSE(Underlying,L171,R171),"")</f>
        <v/>
      </c>
      <c r="CQ171" s="544" t="str">
        <f aca="false">IF(BD171,Strike1/CP171-1,"")</f>
        <v/>
      </c>
      <c r="CR171" s="544" t="str">
        <f aca="false">IF(BD171,Strike2/CP171-1,"")</f>
        <v/>
      </c>
      <c r="CS171" s="544" t="str">
        <f aca="false">IF(BD171,IF(CQ171&gt;0,IF(CQ171&gt;0.2,BC170-BB170,IF(CQ171&gt;0.1,BB170-BA170,BA170)),IF(CQ171&lt;-0.2,AX170-AY170,IF(CQ171&lt;-0.1,AY170-AZ170,AZ170))),"")</f>
        <v/>
      </c>
      <c r="CT171" s="544" t="str">
        <f aca="false">IF(BD171,IF(CR171&gt;0,IF(CR171&gt;0.2,BC170-BB170,IF(CR171&gt;0.1,BB170-BA170,BA170)),IF(CR171&lt;-0.2,AX170-AY170,IF(CR171&lt;-0.1,AY170-AZ170,AZ170))),"")</f>
        <v/>
      </c>
      <c r="CU171" s="545" t="str">
        <f aca="false">IF(BD171,CHOOSE(Underlying,O171,AT171),"")</f>
        <v/>
      </c>
      <c r="CV171" s="545" t="str">
        <f aca="false">IF(BD171,CU171+IF(VolSkewFlag=1,IF(CQ171&gt;0,BA170*MIN(CQ171/10%,1)+(BB170-BA170)*MAX(0,MIN(CQ171/10%-1,1))+(BC170-BB170)*MAX(0,CQ171/10%-2),AZ170*MIN(-CQ171/10%,1)+(AY170-AZ170)*MAX(0,MIN(-CQ171/10%-1,1))+(AX170-AY170)*MAX(0,-CQ171/10%-2)),0),"")</f>
        <v/>
      </c>
      <c r="CW171" s="545" t="str">
        <f aca="false">IF(BD171,CU171+IF(VolSkewFlag=1,IF(CR171&gt;0,BA170*MIN(CR171/10%,1)+(BB170-BA170)*MAX(0,MIN(CR171/10%-1,1))+(BC170-BB170)*MAX(0,CR171/10%-2),AZ170*MIN(-CR171/10%,1)+(AY170-AZ170)*MAX(0,MIN(-CR171/10%-1,1))+(AX170-AY170)*MAX(0,-CR171/10%-2)),0),"")</f>
        <v/>
      </c>
      <c r="CX171" s="470" t="n">
        <f aca="false">IF(BD171,EURO(CP171,Strike1,AO171,AO171,CV171,CO171,IF(OptControl=4,0,1),0),0)</f>
        <v>0</v>
      </c>
      <c r="CY171" s="470" t="n">
        <f aca="false">IF(BD171,EURO(CP171,Strike1,AO171,AO171,CV171,CO171,IF(OptControl=4,0,1),1)+IF(OR(VolSkewFlag=2,ABS(CQ171)&lt;0.0001),0,IF(CQ171&gt;0,-1,1)*CZ171*100*Strike1/CP171^2*CS171/10%),0)</f>
        <v>0</v>
      </c>
      <c r="CZ171" s="470" t="n">
        <f aca="false">IF(BD171,EURO(CP171,Strike1,AO171,AO171,CV171,CO171,IF(OptControl=4,0,1),3)/100,0)</f>
        <v>0</v>
      </c>
      <c r="DA171" s="470" t="n">
        <f aca="false">IF(BD171,EURO(CP171,Strike1,AO171,AO171,CV171,CO171,IF(OptControl=4,0,1),0)-EURO(CP171,Strike1,AO171,AO171,CV171,CO171-1,IF(OptControl=4,0,1),0),0)</f>
        <v>0</v>
      </c>
      <c r="DB171" s="470" t="n">
        <f aca="false">IF(BD171,EURO(CP171,Strike2,AO171,AO171,CW171,CO171,IF(OptControl=3,1,0),0),0)</f>
        <v>0</v>
      </c>
      <c r="DC171" s="470" t="n">
        <f aca="false">IF(BD171,EURO(CP171,Strike2,AO171,AO171,CW171,CO171,IF(OptControl=3,1,0),1)+IF(OR(VolSkewFlag=2,ABS(CR171)&lt;0.0001),0,IF(CR171&gt;0,-1,1)*DD171*100*Strike2/CP171^2*CT171/10%),0)</f>
        <v>0</v>
      </c>
      <c r="DD171" s="470" t="n">
        <f aca="false">IF(BD171,EURO(CP171,Strike2,AO171,AO171,CW171,CO171,IF(OptControl=3,1,0),3)/100,0)</f>
        <v>0</v>
      </c>
      <c r="DE171" s="472" t="n">
        <f aca="false">IF(BD171,EURO(CP171,Strike2,AO171,AO171,CW171,CO171,IF(OptControl=3,1,0),0)-EURO(CP171,Strike2,AO171,AO171,CW171,CO171-1,IF(OptControl=3,1,0),0),0)</f>
        <v>0</v>
      </c>
      <c r="DG171" s="481" t="n">
        <f aca="false">EOMONTH(DG170,0)+1</f>
        <v>50284</v>
      </c>
      <c r="DH171" s="478" t="n">
        <v>21.7100000000001</v>
      </c>
      <c r="DI171" s="479" t="n">
        <v>21.7750000000001</v>
      </c>
      <c r="DJ171" s="480" t="n">
        <f aca="false">DG171</f>
        <v>50284</v>
      </c>
      <c r="DK171" s="478" t="n">
        <v>20.5266846795538</v>
      </c>
      <c r="DL171" s="479" t="n">
        <v>20.5081000000001</v>
      </c>
      <c r="DM171" s="481" t="n">
        <f aca="false">DG171</f>
        <v>50284</v>
      </c>
      <c r="DN171" s="482" t="n">
        <f aca="false">DK171+BrentPhyBrentSpread</f>
        <v>20.5766846795538</v>
      </c>
      <c r="DO171" s="481" t="n">
        <f aca="false">DG171</f>
        <v>50284</v>
      </c>
      <c r="DP171" s="483" t="n">
        <f aca="false">DL171+DQ171</f>
        <v>20.5081000000001</v>
      </c>
      <c r="DQ171" s="546" t="n">
        <v>0</v>
      </c>
      <c r="DR171" s="480" t="n">
        <f aca="false">DG171</f>
        <v>50284</v>
      </c>
      <c r="DS171" s="485" t="n">
        <v>0.133999999999999</v>
      </c>
      <c r="DT171" s="486" t="n">
        <v>0.133219999999999</v>
      </c>
      <c r="DU171" s="480" t="n">
        <f aca="false">DG171</f>
        <v>50284</v>
      </c>
      <c r="DV171" s="485" t="n">
        <v>0.133999999999999</v>
      </c>
      <c r="DW171" s="486" t="n">
        <v>0.133219999999999</v>
      </c>
      <c r="DX171" s="481" t="n">
        <f aca="false">DG171</f>
        <v>50284</v>
      </c>
      <c r="DY171" s="486" t="n">
        <v>0.35</v>
      </c>
      <c r="DZ171" s="481" t="n">
        <f aca="false">DR171</f>
        <v>50284</v>
      </c>
      <c r="EA171" s="486" t="n">
        <f aca="false">DT171</f>
        <v>0.133219999999999</v>
      </c>
      <c r="EB171" s="195"/>
      <c r="EC171" s="547" t="str">
        <f aca="false">IF(BD171,IF(Underlying=1,AS171,AU171),"")</f>
        <v/>
      </c>
      <c r="ED171" s="548" t="str">
        <f aca="false">IF($BD171,$EC171+IF(VolSkewFlag=1,IF(BS171&gt;0,$BA171*MIN(BS171/10%,1)+($BB171-$BA171)*MAX(0,MIN(BS171/10%-1,1))+($BC171-$BB171)*MAX(0,BS171/10%-2),$AZ171*MIN(-BS171/10%,1)+($AY171-$AZ171)*MAX(0,MIN(-BS171/10%-1,1))+($AX171-$AY171)*MAX(0,-BS171/10%-2)),0),"")</f>
        <v/>
      </c>
      <c r="EE171" s="549" t="str">
        <f aca="false">IF($BD171,$EC171+IF(VolSkewFlag=1,IF(BT171&gt;0,$BA171*MIN(BT171/10%,1)+($BB171-$BA171)*MAX(0,MIN(BT171/10%-1,1))+($BC171-$BB171)*MAX(0,BT171/10%-2),$AZ171*MIN(-BT171/10%,1)+($AY171-$AZ171)*MAX(0,MIN(-BT171/10%-1,1))+($AX171-$AY171)*MAX(0,-BT171/10%-2)),0),"")</f>
        <v/>
      </c>
      <c r="EF171" s="550" t="n">
        <f aca="false">IF(BD171,xASN(BR171,Strike1,AO171,ED171,0,BO171,0,BI171,BL171,IF(OptControl=4,0,1),0),0)</f>
        <v>0</v>
      </c>
      <c r="EG171" s="551" t="n">
        <f aca="false">IF(BD171,xASN(BR171,Strike2,AO171,EE171,0,BO171,0,BI171,BL171,IF(OptControl=3,1,0),0),0)</f>
        <v>0</v>
      </c>
      <c r="EL171" s="1"/>
      <c r="EM171" s="195"/>
      <c r="EN171" s="240"/>
      <c r="EO171" s="240"/>
      <c r="EP171" s="195"/>
      <c r="EQ171" s="407" t="s">
        <v>399</v>
      </c>
      <c r="ES171" s="130"/>
      <c r="ET171" s="19"/>
      <c r="EU171" s="672"/>
      <c r="EV171" s="478"/>
      <c r="EW171" s="131"/>
      <c r="EX171" s="131"/>
      <c r="EY171" s="129"/>
      <c r="EZ171" s="129"/>
      <c r="FA171" s="129"/>
      <c r="FB171" s="129"/>
      <c r="FC171" s="129"/>
      <c r="FD171" s="129"/>
      <c r="FE171" s="129"/>
      <c r="FF171" s="129"/>
      <c r="FG171" s="129"/>
      <c r="FH171" s="129"/>
      <c r="FI171" s="129"/>
      <c r="FJ171" s="571" t="n">
        <v>2</v>
      </c>
      <c r="FK171" s="150" t="str">
        <f aca="false">IF(OR(FK$169&lt;SwaptionFirstMonthPosition+1,$FJ171&lt;SwaptionFirstMonthPosition+1,FK$169&gt;SwaptionFirstMonthPosition+SwaptionNumOfMonths+1,$FJ171&gt;SwaptionFirstMonthPosition+SwaptionNumOfMonths+1),"",IF($FJ171=FK$169,1,IF($FJ171&lt;FK$169,INDEX($FK$170:$ID$241,FK$169,$FJ171),SUMPRODUCT(INDEX($FK$325:$ID$396,FK$169,1+SwaptionShift):INDEX($FK$325:$ID$396,FK$169,SwaptionMonthsToGo+SwaptionShift),INDEX($FK$245:$ID$316,$FJ171-FK$169,73-FK$169+SwaptionShift):INDEX($FK$245:$ID$316,$FJ171-FK$169,72-FK$169+SwaptionMonthsToGo+SwaptionShift))/SQRT(SUM(INDEX($FK326:$ID326,1+SwaptionShift):INDEX($FK326:$ID326,SwaptionMonthsToGo+SwaptionShift))*SUM(INDEX($FK$325:$ID$396,FK$169,1+SwaptionShift):INDEX($FK$325:$ID$396,FK$169,SwaptionMonthsToGo+SwaptionShift))))))</f>
        <v/>
      </c>
      <c r="FL171" s="150" t="str">
        <f aca="false">IF(OR(FL$169&lt;SwaptionFirstMonthPosition+1,$FJ171&lt;SwaptionFirstMonthPosition+1,FL$169&gt;SwaptionFirstMonthPosition+SwaptionNumOfMonths+1,$FJ171&gt;SwaptionFirstMonthPosition+SwaptionNumOfMonths+1),"",IF($FJ171=FL$169,1,IF($FJ171&lt;FL$169,INDEX($FK$170:$ID$241,FL$169,$FJ171),SUMPRODUCT(INDEX($FK$325:$ID$396,FL$169,1+SwaptionShift):INDEX($FK$325:$ID$396,FL$169,SwaptionMonthsToGo+SwaptionShift),INDEX($FK$245:$ID$316,$FJ171-FL$169,73-FL$169+SwaptionShift):INDEX($FK$245:$ID$316,$FJ171-FL$169,72-FL$169+SwaptionMonthsToGo+SwaptionShift))/SQRT(SUM(INDEX($FK326:$ID326,1+SwaptionShift):INDEX($FK326:$ID326,SwaptionMonthsToGo+SwaptionShift))*SUM(INDEX($FK$325:$ID$396,FL$169,1+SwaptionShift):INDEX($FK$325:$ID$396,FL$169,SwaptionMonthsToGo+SwaptionShift))))))</f>
        <v/>
      </c>
      <c r="FM171" s="150" t="str">
        <f aca="false">IF(OR(FM$169&lt;SwaptionFirstMonthPosition+1,$FJ171&lt;SwaptionFirstMonthPosition+1,FM$169&gt;SwaptionFirstMonthPosition+SwaptionNumOfMonths+1,$FJ171&gt;SwaptionFirstMonthPosition+SwaptionNumOfMonths+1),"",IF($FJ171=FM$169,1,IF($FJ171&lt;FM$169,INDEX($FK$170:$ID$241,FM$169,$FJ171),SUMPRODUCT(INDEX($FK$325:$ID$396,FM$169,1+SwaptionShift):INDEX($FK$325:$ID$396,FM$169,SwaptionMonthsToGo+SwaptionShift),INDEX($FK$245:$ID$316,$FJ171-FM$169,73-FM$169+SwaptionShift):INDEX($FK$245:$ID$316,$FJ171-FM$169,72-FM$169+SwaptionMonthsToGo+SwaptionShift))/SQRT(SUM(INDEX($FK326:$ID326,1+SwaptionShift):INDEX($FK326:$ID326,SwaptionMonthsToGo+SwaptionShift))*SUM(INDEX($FK$325:$ID$396,FM$169,1+SwaptionShift):INDEX($FK$325:$ID$396,FM$169,SwaptionMonthsToGo+SwaptionShift))))))</f>
        <v/>
      </c>
      <c r="FN171" s="150" t="str">
        <f aca="false">IF(OR(FN$169&lt;SwaptionFirstMonthPosition+1,$FJ171&lt;SwaptionFirstMonthPosition+1,FN$169&gt;SwaptionFirstMonthPosition+SwaptionNumOfMonths+1,$FJ171&gt;SwaptionFirstMonthPosition+SwaptionNumOfMonths+1),"",IF($FJ171=FN$169,1,IF($FJ171&lt;FN$169,INDEX($FK$170:$ID$241,FN$169,$FJ171),SUMPRODUCT(INDEX($FK$325:$ID$396,FN$169,1+SwaptionShift):INDEX($FK$325:$ID$396,FN$169,SwaptionMonthsToGo+SwaptionShift),INDEX($FK$245:$ID$316,$FJ171-FN$169,73-FN$169+SwaptionShift):INDEX($FK$245:$ID$316,$FJ171-FN$169,72-FN$169+SwaptionMonthsToGo+SwaptionShift))/SQRT(SUM(INDEX($FK326:$ID326,1+SwaptionShift):INDEX($FK326:$ID326,SwaptionMonthsToGo+SwaptionShift))*SUM(INDEX($FK$325:$ID$396,FN$169,1+SwaptionShift):INDEX($FK$325:$ID$396,FN$169,SwaptionMonthsToGo+SwaptionShift))))))</f>
        <v/>
      </c>
      <c r="FO171" s="150" t="str">
        <f aca="false">IF(OR(FO$169&lt;SwaptionFirstMonthPosition+1,$FJ171&lt;SwaptionFirstMonthPosition+1,FO$169&gt;SwaptionFirstMonthPosition+SwaptionNumOfMonths+1,$FJ171&gt;SwaptionFirstMonthPosition+SwaptionNumOfMonths+1),"",IF($FJ171=FO$169,1,IF($FJ171&lt;FO$169,INDEX($FK$170:$ID$241,FO$169,$FJ171),SUMPRODUCT(INDEX($FK$325:$ID$396,FO$169,1+SwaptionShift):INDEX($FK$325:$ID$396,FO$169,SwaptionMonthsToGo+SwaptionShift),INDEX($FK$245:$ID$316,$FJ171-FO$169,73-FO$169+SwaptionShift):INDEX($FK$245:$ID$316,$FJ171-FO$169,72-FO$169+SwaptionMonthsToGo+SwaptionShift))/SQRT(SUM(INDEX($FK326:$ID326,1+SwaptionShift):INDEX($FK326:$ID326,SwaptionMonthsToGo+SwaptionShift))*SUM(INDEX($FK$325:$ID$396,FO$169,1+SwaptionShift):INDEX($FK$325:$ID$396,FO$169,SwaptionMonthsToGo+SwaptionShift))))))</f>
        <v/>
      </c>
      <c r="FP171" s="150" t="str">
        <f aca="false">IF(OR(FP$169&lt;SwaptionFirstMonthPosition+1,$FJ171&lt;SwaptionFirstMonthPosition+1,FP$169&gt;SwaptionFirstMonthPosition+SwaptionNumOfMonths+1,$FJ171&gt;SwaptionFirstMonthPosition+SwaptionNumOfMonths+1),"",IF($FJ171=FP$169,1,IF($FJ171&lt;FP$169,INDEX($FK$170:$ID$241,FP$169,$FJ171),SUMPRODUCT(INDEX($FK$325:$ID$396,FP$169,1+SwaptionShift):INDEX($FK$325:$ID$396,FP$169,SwaptionMonthsToGo+SwaptionShift),INDEX($FK$245:$ID$316,$FJ171-FP$169,73-FP$169+SwaptionShift):INDEX($FK$245:$ID$316,$FJ171-FP$169,72-FP$169+SwaptionMonthsToGo+SwaptionShift))/SQRT(SUM(INDEX($FK326:$ID326,1+SwaptionShift):INDEX($FK326:$ID326,SwaptionMonthsToGo+SwaptionShift))*SUM(INDEX($FK$325:$ID$396,FP$169,1+SwaptionShift):INDEX($FK$325:$ID$396,FP$169,SwaptionMonthsToGo+SwaptionShift))))))</f>
        <v/>
      </c>
      <c r="FQ171" s="150" t="str">
        <f aca="false">IF(OR(FQ$169&lt;SwaptionFirstMonthPosition+1,$FJ171&lt;SwaptionFirstMonthPosition+1,FQ$169&gt;SwaptionFirstMonthPosition+SwaptionNumOfMonths+1,$FJ171&gt;SwaptionFirstMonthPosition+SwaptionNumOfMonths+1),"",IF($FJ171=FQ$169,1,IF($FJ171&lt;FQ$169,INDEX($FK$170:$ID$241,FQ$169,$FJ171),SUMPRODUCT(INDEX($FK$325:$ID$396,FQ$169,1+SwaptionShift):INDEX($FK$325:$ID$396,FQ$169,SwaptionMonthsToGo+SwaptionShift),INDEX($FK$245:$ID$316,$FJ171-FQ$169,73-FQ$169+SwaptionShift):INDEX($FK$245:$ID$316,$FJ171-FQ$169,72-FQ$169+SwaptionMonthsToGo+SwaptionShift))/SQRT(SUM(INDEX($FK326:$ID326,1+SwaptionShift):INDEX($FK326:$ID326,SwaptionMonthsToGo+SwaptionShift))*SUM(INDEX($FK$325:$ID$396,FQ$169,1+SwaptionShift):INDEX($FK$325:$ID$396,FQ$169,SwaptionMonthsToGo+SwaptionShift))))))</f>
        <v/>
      </c>
      <c r="FR171" s="150" t="str">
        <f aca="false">IF(OR(FR$169&lt;SwaptionFirstMonthPosition+1,$FJ171&lt;SwaptionFirstMonthPosition+1,FR$169&gt;SwaptionFirstMonthPosition+SwaptionNumOfMonths+1,$FJ171&gt;SwaptionFirstMonthPosition+SwaptionNumOfMonths+1),"",IF($FJ171=FR$169,1,IF($FJ171&lt;FR$169,INDEX($FK$170:$ID$241,FR$169,$FJ171),SUMPRODUCT(INDEX($FK$325:$ID$396,FR$169,1+SwaptionShift):INDEX($FK$325:$ID$396,FR$169,SwaptionMonthsToGo+SwaptionShift),INDEX($FK$245:$ID$316,$FJ171-FR$169,73-FR$169+SwaptionShift):INDEX($FK$245:$ID$316,$FJ171-FR$169,72-FR$169+SwaptionMonthsToGo+SwaptionShift))/SQRT(SUM(INDEX($FK326:$ID326,1+SwaptionShift):INDEX($FK326:$ID326,SwaptionMonthsToGo+SwaptionShift))*SUM(INDEX($FK$325:$ID$396,FR$169,1+SwaptionShift):INDEX($FK$325:$ID$396,FR$169,SwaptionMonthsToGo+SwaptionShift))))))</f>
        <v/>
      </c>
      <c r="FS171" s="150" t="str">
        <f aca="false">IF(OR(FS$169&lt;SwaptionFirstMonthPosition+1,$FJ171&lt;SwaptionFirstMonthPosition+1,FS$169&gt;SwaptionFirstMonthPosition+SwaptionNumOfMonths+1,$FJ171&gt;SwaptionFirstMonthPosition+SwaptionNumOfMonths+1),"",IF($FJ171=FS$169,1,IF($FJ171&lt;FS$169,INDEX($FK$170:$ID$241,FS$169,$FJ171),SUMPRODUCT(INDEX($FK$325:$ID$396,FS$169,1+SwaptionShift):INDEX($FK$325:$ID$396,FS$169,SwaptionMonthsToGo+SwaptionShift),INDEX($FK$245:$ID$316,$FJ171-FS$169,73-FS$169+SwaptionShift):INDEX($FK$245:$ID$316,$FJ171-FS$169,72-FS$169+SwaptionMonthsToGo+SwaptionShift))/SQRT(SUM(INDEX($FK326:$ID326,1+SwaptionShift):INDEX($FK326:$ID326,SwaptionMonthsToGo+SwaptionShift))*SUM(INDEX($FK$325:$ID$396,FS$169,1+SwaptionShift):INDEX($FK$325:$ID$396,FS$169,SwaptionMonthsToGo+SwaptionShift))))))</f>
        <v/>
      </c>
      <c r="FT171" s="150" t="str">
        <f aca="false">IF(OR(FT$169&lt;SwaptionFirstMonthPosition+1,$FJ171&lt;SwaptionFirstMonthPosition+1,FT$169&gt;SwaptionFirstMonthPosition+SwaptionNumOfMonths+1,$FJ171&gt;SwaptionFirstMonthPosition+SwaptionNumOfMonths+1),"",IF($FJ171=FT$169,1,IF($FJ171&lt;FT$169,INDEX($FK$170:$ID$241,FT$169,$FJ171),SUMPRODUCT(INDEX($FK$325:$ID$396,FT$169,1+SwaptionShift):INDEX($FK$325:$ID$396,FT$169,SwaptionMonthsToGo+SwaptionShift),INDEX($FK$245:$ID$316,$FJ171-FT$169,73-FT$169+SwaptionShift):INDEX($FK$245:$ID$316,$FJ171-FT$169,72-FT$169+SwaptionMonthsToGo+SwaptionShift))/SQRT(SUM(INDEX($FK326:$ID326,1+SwaptionShift):INDEX($FK326:$ID326,SwaptionMonthsToGo+SwaptionShift))*SUM(INDEX($FK$325:$ID$396,FT$169,1+SwaptionShift):INDEX($FK$325:$ID$396,FT$169,SwaptionMonthsToGo+SwaptionShift))))))</f>
        <v/>
      </c>
      <c r="FU171" s="150" t="str">
        <f aca="false">IF(OR(FU$169&lt;SwaptionFirstMonthPosition+1,$FJ171&lt;SwaptionFirstMonthPosition+1,FU$169&gt;SwaptionFirstMonthPosition+SwaptionNumOfMonths+1,$FJ171&gt;SwaptionFirstMonthPosition+SwaptionNumOfMonths+1),"",IF($FJ171=FU$169,1,IF($FJ171&lt;FU$169,INDEX($FK$170:$ID$241,FU$169,$FJ171),SUMPRODUCT(INDEX($FK$325:$ID$396,FU$169,1+SwaptionShift):INDEX($FK$325:$ID$396,FU$169,SwaptionMonthsToGo+SwaptionShift),INDEX($FK$245:$ID$316,$FJ171-FU$169,73-FU$169+SwaptionShift):INDEX($FK$245:$ID$316,$FJ171-FU$169,72-FU$169+SwaptionMonthsToGo+SwaptionShift))/SQRT(SUM(INDEX($FK326:$ID326,1+SwaptionShift):INDEX($FK326:$ID326,SwaptionMonthsToGo+SwaptionShift))*SUM(INDEX($FK$325:$ID$396,FU$169,1+SwaptionShift):INDEX($FK$325:$ID$396,FU$169,SwaptionMonthsToGo+SwaptionShift))))))</f>
        <v/>
      </c>
      <c r="FV171" s="150" t="str">
        <f aca="false">IF(OR(FV$169&lt;SwaptionFirstMonthPosition+1,$FJ171&lt;SwaptionFirstMonthPosition+1,FV$169&gt;SwaptionFirstMonthPosition+SwaptionNumOfMonths+1,$FJ171&gt;SwaptionFirstMonthPosition+SwaptionNumOfMonths+1),"",IF($FJ171=FV$169,1,IF($FJ171&lt;FV$169,INDEX($FK$170:$ID$241,FV$169,$FJ171),SUMPRODUCT(INDEX($FK$325:$ID$396,FV$169,1+SwaptionShift):INDEX($FK$325:$ID$396,FV$169,SwaptionMonthsToGo+SwaptionShift),INDEX($FK$245:$ID$316,$FJ171-FV$169,73-FV$169+SwaptionShift):INDEX($FK$245:$ID$316,$FJ171-FV$169,72-FV$169+SwaptionMonthsToGo+SwaptionShift))/SQRT(SUM(INDEX($FK326:$ID326,1+SwaptionShift):INDEX($FK326:$ID326,SwaptionMonthsToGo+SwaptionShift))*SUM(INDEX($FK$325:$ID$396,FV$169,1+SwaptionShift):INDEX($FK$325:$ID$396,FV$169,SwaptionMonthsToGo+SwaptionShift))))))</f>
        <v/>
      </c>
      <c r="FW171" s="150" t="str">
        <f aca="false">IF(OR(FW$169&lt;SwaptionFirstMonthPosition+1,$FJ171&lt;SwaptionFirstMonthPosition+1,FW$169&gt;SwaptionFirstMonthPosition+SwaptionNumOfMonths+1,$FJ171&gt;SwaptionFirstMonthPosition+SwaptionNumOfMonths+1),"",IF($FJ171=FW$169,1,IF($FJ171&lt;FW$169,INDEX($FK$170:$ID$241,FW$169,$FJ171),SUMPRODUCT(INDEX($FK$325:$ID$396,FW$169,1+SwaptionShift):INDEX($FK$325:$ID$396,FW$169,SwaptionMonthsToGo+SwaptionShift),INDEX($FK$245:$ID$316,$FJ171-FW$169,73-FW$169+SwaptionShift):INDEX($FK$245:$ID$316,$FJ171-FW$169,72-FW$169+SwaptionMonthsToGo+SwaptionShift))/SQRT(SUM(INDEX($FK326:$ID326,1+SwaptionShift):INDEX($FK326:$ID326,SwaptionMonthsToGo+SwaptionShift))*SUM(INDEX($FK$325:$ID$396,FW$169,1+SwaptionShift):INDEX($FK$325:$ID$396,FW$169,SwaptionMonthsToGo+SwaptionShift))))))</f>
        <v/>
      </c>
      <c r="FX171" s="150" t="str">
        <f aca="false">IF(OR(FX$169&lt;SwaptionFirstMonthPosition+1,$FJ171&lt;SwaptionFirstMonthPosition+1,FX$169&gt;SwaptionFirstMonthPosition+SwaptionNumOfMonths+1,$FJ171&gt;SwaptionFirstMonthPosition+SwaptionNumOfMonths+1),"",IF($FJ171=FX$169,1,IF($FJ171&lt;FX$169,INDEX($FK$170:$ID$241,FX$169,$FJ171),SUMPRODUCT(INDEX($FK$325:$ID$396,FX$169,1+SwaptionShift):INDEX($FK$325:$ID$396,FX$169,SwaptionMonthsToGo+SwaptionShift),INDEX($FK$245:$ID$316,$FJ171-FX$169,73-FX$169+SwaptionShift):INDEX($FK$245:$ID$316,$FJ171-FX$169,72-FX$169+SwaptionMonthsToGo+SwaptionShift))/SQRT(SUM(INDEX($FK326:$ID326,1+SwaptionShift):INDEX($FK326:$ID326,SwaptionMonthsToGo+SwaptionShift))*SUM(INDEX($FK$325:$ID$396,FX$169,1+SwaptionShift):INDEX($FK$325:$ID$396,FX$169,SwaptionMonthsToGo+SwaptionShift))))))</f>
        <v/>
      </c>
      <c r="FY171" s="150" t="str">
        <f aca="false">IF(OR(FY$169&lt;SwaptionFirstMonthPosition+1,$FJ171&lt;SwaptionFirstMonthPosition+1,FY$169&gt;SwaptionFirstMonthPosition+SwaptionNumOfMonths+1,$FJ171&gt;SwaptionFirstMonthPosition+SwaptionNumOfMonths+1),"",IF($FJ171=FY$169,1,IF($FJ171&lt;FY$169,INDEX($FK$170:$ID$241,FY$169,$FJ171),SUMPRODUCT(INDEX($FK$325:$ID$396,FY$169,1+SwaptionShift):INDEX($FK$325:$ID$396,FY$169,SwaptionMonthsToGo+SwaptionShift),INDEX($FK$245:$ID$316,$FJ171-FY$169,73-FY$169+SwaptionShift):INDEX($FK$245:$ID$316,$FJ171-FY$169,72-FY$169+SwaptionMonthsToGo+SwaptionShift))/SQRT(SUM(INDEX($FK326:$ID326,1+SwaptionShift):INDEX($FK326:$ID326,SwaptionMonthsToGo+SwaptionShift))*SUM(INDEX($FK$325:$ID$396,FY$169,1+SwaptionShift):INDEX($FK$325:$ID$396,FY$169,SwaptionMonthsToGo+SwaptionShift))))))</f>
        <v/>
      </c>
      <c r="FZ171" s="150" t="str">
        <f aca="false">IF(OR(FZ$169&lt;SwaptionFirstMonthPosition+1,$FJ171&lt;SwaptionFirstMonthPosition+1,FZ$169&gt;SwaptionFirstMonthPosition+SwaptionNumOfMonths+1,$FJ171&gt;SwaptionFirstMonthPosition+SwaptionNumOfMonths+1),"",IF($FJ171=FZ$169,1,IF($FJ171&lt;FZ$169,INDEX($FK$170:$ID$241,FZ$169,$FJ171),SUMPRODUCT(INDEX($FK$325:$ID$396,FZ$169,1+SwaptionShift):INDEX($FK$325:$ID$396,FZ$169,SwaptionMonthsToGo+SwaptionShift),INDEX($FK$245:$ID$316,$FJ171-FZ$169,73-FZ$169+SwaptionShift):INDEX($FK$245:$ID$316,$FJ171-FZ$169,72-FZ$169+SwaptionMonthsToGo+SwaptionShift))/SQRT(SUM(INDEX($FK326:$ID326,1+SwaptionShift):INDEX($FK326:$ID326,SwaptionMonthsToGo+SwaptionShift))*SUM(INDEX($FK$325:$ID$396,FZ$169,1+SwaptionShift):INDEX($FK$325:$ID$396,FZ$169,SwaptionMonthsToGo+SwaptionShift))))))</f>
        <v/>
      </c>
      <c r="GA171" s="150" t="str">
        <f aca="false">IF(OR(GA$169&lt;SwaptionFirstMonthPosition+1,$FJ171&lt;SwaptionFirstMonthPosition+1,GA$169&gt;SwaptionFirstMonthPosition+SwaptionNumOfMonths+1,$FJ171&gt;SwaptionFirstMonthPosition+SwaptionNumOfMonths+1),"",IF($FJ171=GA$169,1,IF($FJ171&lt;GA$169,INDEX($FK$170:$ID$241,GA$169,$FJ171),SUMPRODUCT(INDEX($FK$325:$ID$396,GA$169,1+SwaptionShift):INDEX($FK$325:$ID$396,GA$169,SwaptionMonthsToGo+SwaptionShift),INDEX($FK$245:$ID$316,$FJ171-GA$169,73-GA$169+SwaptionShift):INDEX($FK$245:$ID$316,$FJ171-GA$169,72-GA$169+SwaptionMonthsToGo+SwaptionShift))/SQRT(SUM(INDEX($FK326:$ID326,1+SwaptionShift):INDEX($FK326:$ID326,SwaptionMonthsToGo+SwaptionShift))*SUM(INDEX($FK$325:$ID$396,GA$169,1+SwaptionShift):INDEX($FK$325:$ID$396,GA$169,SwaptionMonthsToGo+SwaptionShift))))))</f>
        <v/>
      </c>
      <c r="GB171" s="150" t="str">
        <f aca="false">IF(OR(GB$169&lt;SwaptionFirstMonthPosition+1,$FJ171&lt;SwaptionFirstMonthPosition+1,GB$169&gt;SwaptionFirstMonthPosition+SwaptionNumOfMonths+1,$FJ171&gt;SwaptionFirstMonthPosition+SwaptionNumOfMonths+1),"",IF($FJ171=GB$169,1,IF($FJ171&lt;GB$169,INDEX($FK$170:$ID$241,GB$169,$FJ171),SUMPRODUCT(INDEX($FK$325:$ID$396,GB$169,1+SwaptionShift):INDEX($FK$325:$ID$396,GB$169,SwaptionMonthsToGo+SwaptionShift),INDEX($FK$245:$ID$316,$FJ171-GB$169,73-GB$169+SwaptionShift):INDEX($FK$245:$ID$316,$FJ171-GB$169,72-GB$169+SwaptionMonthsToGo+SwaptionShift))/SQRT(SUM(INDEX($FK326:$ID326,1+SwaptionShift):INDEX($FK326:$ID326,SwaptionMonthsToGo+SwaptionShift))*SUM(INDEX($FK$325:$ID$396,GB$169,1+SwaptionShift):INDEX($FK$325:$ID$396,GB$169,SwaptionMonthsToGo+SwaptionShift))))))</f>
        <v/>
      </c>
      <c r="GC171" s="150" t="str">
        <f aca="false">IF(OR(GC$169&lt;SwaptionFirstMonthPosition+1,$FJ171&lt;SwaptionFirstMonthPosition+1,GC$169&gt;SwaptionFirstMonthPosition+SwaptionNumOfMonths+1,$FJ171&gt;SwaptionFirstMonthPosition+SwaptionNumOfMonths+1),"",IF($FJ171=GC$169,1,IF($FJ171&lt;GC$169,INDEX($FK$170:$ID$241,GC$169,$FJ171),SUMPRODUCT(INDEX($FK$325:$ID$396,GC$169,1+SwaptionShift):INDEX($FK$325:$ID$396,GC$169,SwaptionMonthsToGo+SwaptionShift),INDEX($FK$245:$ID$316,$FJ171-GC$169,73-GC$169+SwaptionShift):INDEX($FK$245:$ID$316,$FJ171-GC$169,72-GC$169+SwaptionMonthsToGo+SwaptionShift))/SQRT(SUM(INDEX($FK326:$ID326,1+SwaptionShift):INDEX($FK326:$ID326,SwaptionMonthsToGo+SwaptionShift))*SUM(INDEX($FK$325:$ID$396,GC$169,1+SwaptionShift):INDEX($FK$325:$ID$396,GC$169,SwaptionMonthsToGo+SwaptionShift))))))</f>
        <v/>
      </c>
      <c r="GD171" s="150" t="str">
        <f aca="false">IF(OR(GD$169&lt;SwaptionFirstMonthPosition+1,$FJ171&lt;SwaptionFirstMonthPosition+1,GD$169&gt;SwaptionFirstMonthPosition+SwaptionNumOfMonths+1,$FJ171&gt;SwaptionFirstMonthPosition+SwaptionNumOfMonths+1),"",IF($FJ171=GD$169,1,IF($FJ171&lt;GD$169,INDEX($FK$170:$ID$241,GD$169,$FJ171),SUMPRODUCT(INDEX($FK$325:$ID$396,GD$169,1+SwaptionShift):INDEX($FK$325:$ID$396,GD$169,SwaptionMonthsToGo+SwaptionShift),INDEX($FK$245:$ID$316,$FJ171-GD$169,73-GD$169+SwaptionShift):INDEX($FK$245:$ID$316,$FJ171-GD$169,72-GD$169+SwaptionMonthsToGo+SwaptionShift))/SQRT(SUM(INDEX($FK326:$ID326,1+SwaptionShift):INDEX($FK326:$ID326,SwaptionMonthsToGo+SwaptionShift))*SUM(INDEX($FK$325:$ID$396,GD$169,1+SwaptionShift):INDEX($FK$325:$ID$396,GD$169,SwaptionMonthsToGo+SwaptionShift))))))</f>
        <v/>
      </c>
      <c r="GE171" s="150" t="str">
        <f aca="false">IF(OR(GE$169&lt;SwaptionFirstMonthPosition+1,$FJ171&lt;SwaptionFirstMonthPosition+1,GE$169&gt;SwaptionFirstMonthPosition+SwaptionNumOfMonths+1,$FJ171&gt;SwaptionFirstMonthPosition+SwaptionNumOfMonths+1),"",IF($FJ171=GE$169,1,IF($FJ171&lt;GE$169,INDEX($FK$170:$ID$241,GE$169,$FJ171),SUMPRODUCT(INDEX($FK$325:$ID$396,GE$169,1+SwaptionShift):INDEX($FK$325:$ID$396,GE$169,SwaptionMonthsToGo+SwaptionShift),INDEX($FK$245:$ID$316,$FJ171-GE$169,73-GE$169+SwaptionShift):INDEX($FK$245:$ID$316,$FJ171-GE$169,72-GE$169+SwaptionMonthsToGo+SwaptionShift))/SQRT(SUM(INDEX($FK326:$ID326,1+SwaptionShift):INDEX($FK326:$ID326,SwaptionMonthsToGo+SwaptionShift))*SUM(INDEX($FK$325:$ID$396,GE$169,1+SwaptionShift):INDEX($FK$325:$ID$396,GE$169,SwaptionMonthsToGo+SwaptionShift))))))</f>
        <v/>
      </c>
      <c r="GF171" s="150" t="str">
        <f aca="false">IF(OR(GF$169&lt;SwaptionFirstMonthPosition+1,$FJ171&lt;SwaptionFirstMonthPosition+1,GF$169&gt;SwaptionFirstMonthPosition+SwaptionNumOfMonths+1,$FJ171&gt;SwaptionFirstMonthPosition+SwaptionNumOfMonths+1),"",IF($FJ171=GF$169,1,IF($FJ171&lt;GF$169,INDEX($FK$170:$ID$241,GF$169,$FJ171),SUMPRODUCT(INDEX($FK$325:$ID$396,GF$169,1+SwaptionShift):INDEX($FK$325:$ID$396,GF$169,SwaptionMonthsToGo+SwaptionShift),INDEX($FK$245:$ID$316,$FJ171-GF$169,73-GF$169+SwaptionShift):INDEX($FK$245:$ID$316,$FJ171-GF$169,72-GF$169+SwaptionMonthsToGo+SwaptionShift))/SQRT(SUM(INDEX($FK326:$ID326,1+SwaptionShift):INDEX($FK326:$ID326,SwaptionMonthsToGo+SwaptionShift))*SUM(INDEX($FK$325:$ID$396,GF$169,1+SwaptionShift):INDEX($FK$325:$ID$396,GF$169,SwaptionMonthsToGo+SwaptionShift))))))</f>
        <v/>
      </c>
      <c r="GG171" s="150" t="str">
        <f aca="false">IF(OR(GG$169&lt;SwaptionFirstMonthPosition+1,$FJ171&lt;SwaptionFirstMonthPosition+1,GG$169&gt;SwaptionFirstMonthPosition+SwaptionNumOfMonths+1,$FJ171&gt;SwaptionFirstMonthPosition+SwaptionNumOfMonths+1),"",IF($FJ171=GG$169,1,IF($FJ171&lt;GG$169,INDEX($FK$170:$ID$241,GG$169,$FJ171),SUMPRODUCT(INDEX($FK$325:$ID$396,GG$169,1+SwaptionShift):INDEX($FK$325:$ID$396,GG$169,SwaptionMonthsToGo+SwaptionShift),INDEX($FK$245:$ID$316,$FJ171-GG$169,73-GG$169+SwaptionShift):INDEX($FK$245:$ID$316,$FJ171-GG$169,72-GG$169+SwaptionMonthsToGo+SwaptionShift))/SQRT(SUM(INDEX($FK326:$ID326,1+SwaptionShift):INDEX($FK326:$ID326,SwaptionMonthsToGo+SwaptionShift))*SUM(INDEX($FK$325:$ID$396,GG$169,1+SwaptionShift):INDEX($FK$325:$ID$396,GG$169,SwaptionMonthsToGo+SwaptionShift))))))</f>
        <v/>
      </c>
      <c r="GH171" s="150" t="str">
        <f aca="false">IF(OR(GH$169&lt;SwaptionFirstMonthPosition+1,$FJ171&lt;SwaptionFirstMonthPosition+1,GH$169&gt;SwaptionFirstMonthPosition+SwaptionNumOfMonths+1,$FJ171&gt;SwaptionFirstMonthPosition+SwaptionNumOfMonths+1),"",IF($FJ171=GH$169,1,IF($FJ171&lt;GH$169,INDEX($FK$170:$ID$241,GH$169,$FJ171),SUMPRODUCT(INDEX($FK$325:$ID$396,GH$169,1+SwaptionShift):INDEX($FK$325:$ID$396,GH$169,SwaptionMonthsToGo+SwaptionShift),INDEX($FK$245:$ID$316,$FJ171-GH$169,73-GH$169+SwaptionShift):INDEX($FK$245:$ID$316,$FJ171-GH$169,72-GH$169+SwaptionMonthsToGo+SwaptionShift))/SQRT(SUM(INDEX($FK326:$ID326,1+SwaptionShift):INDEX($FK326:$ID326,SwaptionMonthsToGo+SwaptionShift))*SUM(INDEX($FK$325:$ID$396,GH$169,1+SwaptionShift):INDEX($FK$325:$ID$396,GH$169,SwaptionMonthsToGo+SwaptionShift))))))</f>
        <v/>
      </c>
      <c r="GI171" s="150" t="str">
        <f aca="false">IF(OR(GI$169&lt;SwaptionFirstMonthPosition+1,$FJ171&lt;SwaptionFirstMonthPosition+1,GI$169&gt;SwaptionFirstMonthPosition+SwaptionNumOfMonths+1,$FJ171&gt;SwaptionFirstMonthPosition+SwaptionNumOfMonths+1),"",IF($FJ171=GI$169,1,IF($FJ171&lt;GI$169,INDEX($FK$170:$ID$241,GI$169,$FJ171),SUMPRODUCT(INDEX($FK$325:$ID$396,GI$169,1+SwaptionShift):INDEX($FK$325:$ID$396,GI$169,SwaptionMonthsToGo+SwaptionShift),INDEX($FK$245:$ID$316,$FJ171-GI$169,73-GI$169+SwaptionShift):INDEX($FK$245:$ID$316,$FJ171-GI$169,72-GI$169+SwaptionMonthsToGo+SwaptionShift))/SQRT(SUM(INDEX($FK326:$ID326,1+SwaptionShift):INDEX($FK326:$ID326,SwaptionMonthsToGo+SwaptionShift))*SUM(INDEX($FK$325:$ID$396,GI$169,1+SwaptionShift):INDEX($FK$325:$ID$396,GI$169,SwaptionMonthsToGo+SwaptionShift))))))</f>
        <v/>
      </c>
      <c r="GJ171" s="150" t="str">
        <f aca="false">IF(OR(GJ$169&lt;SwaptionFirstMonthPosition+1,$FJ171&lt;SwaptionFirstMonthPosition+1,GJ$169&gt;SwaptionFirstMonthPosition+SwaptionNumOfMonths+1,$FJ171&gt;SwaptionFirstMonthPosition+SwaptionNumOfMonths+1),"",IF($FJ171=GJ$169,1,IF($FJ171&lt;GJ$169,INDEX($FK$170:$ID$241,GJ$169,$FJ171),SUMPRODUCT(INDEX($FK$325:$ID$396,GJ$169,1+SwaptionShift):INDEX($FK$325:$ID$396,GJ$169,SwaptionMonthsToGo+SwaptionShift),INDEX($FK$245:$ID$316,$FJ171-GJ$169,73-GJ$169+SwaptionShift):INDEX($FK$245:$ID$316,$FJ171-GJ$169,72-GJ$169+SwaptionMonthsToGo+SwaptionShift))/SQRT(SUM(INDEX($FK326:$ID326,1+SwaptionShift):INDEX($FK326:$ID326,SwaptionMonthsToGo+SwaptionShift))*SUM(INDEX($FK$325:$ID$396,GJ$169,1+SwaptionShift):INDEX($FK$325:$ID$396,GJ$169,SwaptionMonthsToGo+SwaptionShift))))))</f>
        <v/>
      </c>
      <c r="GK171" s="150" t="str">
        <f aca="false">IF(OR(GK$169&lt;SwaptionFirstMonthPosition+1,$FJ171&lt;SwaptionFirstMonthPosition+1,GK$169&gt;SwaptionFirstMonthPosition+SwaptionNumOfMonths+1,$FJ171&gt;SwaptionFirstMonthPosition+SwaptionNumOfMonths+1),"",IF($FJ171=GK$169,1,IF($FJ171&lt;GK$169,INDEX($FK$170:$ID$241,GK$169,$FJ171),SUMPRODUCT(INDEX($FK$325:$ID$396,GK$169,1+SwaptionShift):INDEX($FK$325:$ID$396,GK$169,SwaptionMonthsToGo+SwaptionShift),INDEX($FK$245:$ID$316,$FJ171-GK$169,73-GK$169+SwaptionShift):INDEX($FK$245:$ID$316,$FJ171-GK$169,72-GK$169+SwaptionMonthsToGo+SwaptionShift))/SQRT(SUM(INDEX($FK326:$ID326,1+SwaptionShift):INDEX($FK326:$ID326,SwaptionMonthsToGo+SwaptionShift))*SUM(INDEX($FK$325:$ID$396,GK$169,1+SwaptionShift):INDEX($FK$325:$ID$396,GK$169,SwaptionMonthsToGo+SwaptionShift))))))</f>
        <v/>
      </c>
      <c r="GL171" s="150" t="str">
        <f aca="false">IF(OR(GL$169&lt;SwaptionFirstMonthPosition+1,$FJ171&lt;SwaptionFirstMonthPosition+1,GL$169&gt;SwaptionFirstMonthPosition+SwaptionNumOfMonths+1,$FJ171&gt;SwaptionFirstMonthPosition+SwaptionNumOfMonths+1),"",IF($FJ171=GL$169,1,IF($FJ171&lt;GL$169,INDEX($FK$170:$ID$241,GL$169,$FJ171),SUMPRODUCT(INDEX($FK$325:$ID$396,GL$169,1+SwaptionShift):INDEX($FK$325:$ID$396,GL$169,SwaptionMonthsToGo+SwaptionShift),INDEX($FK$245:$ID$316,$FJ171-GL$169,73-GL$169+SwaptionShift):INDEX($FK$245:$ID$316,$FJ171-GL$169,72-GL$169+SwaptionMonthsToGo+SwaptionShift))/SQRT(SUM(INDEX($FK326:$ID326,1+SwaptionShift):INDEX($FK326:$ID326,SwaptionMonthsToGo+SwaptionShift))*SUM(INDEX($FK$325:$ID$396,GL$169,1+SwaptionShift):INDEX($FK$325:$ID$396,GL$169,SwaptionMonthsToGo+SwaptionShift))))))</f>
        <v/>
      </c>
      <c r="GM171" s="150" t="str">
        <f aca="false">IF(OR(GM$169&lt;SwaptionFirstMonthPosition+1,$FJ171&lt;SwaptionFirstMonthPosition+1,GM$169&gt;SwaptionFirstMonthPosition+SwaptionNumOfMonths+1,$FJ171&gt;SwaptionFirstMonthPosition+SwaptionNumOfMonths+1),"",IF($FJ171=GM$169,1,IF($FJ171&lt;GM$169,INDEX($FK$170:$ID$241,GM$169,$FJ171),SUMPRODUCT(INDEX($FK$325:$ID$396,GM$169,1+SwaptionShift):INDEX($FK$325:$ID$396,GM$169,SwaptionMonthsToGo+SwaptionShift),INDEX($FK$245:$ID$316,$FJ171-GM$169,73-GM$169+SwaptionShift):INDEX($FK$245:$ID$316,$FJ171-GM$169,72-GM$169+SwaptionMonthsToGo+SwaptionShift))/SQRT(SUM(INDEX($FK326:$ID326,1+SwaptionShift):INDEX($FK326:$ID326,SwaptionMonthsToGo+SwaptionShift))*SUM(INDEX($FK$325:$ID$396,GM$169,1+SwaptionShift):INDEX($FK$325:$ID$396,GM$169,SwaptionMonthsToGo+SwaptionShift))))))</f>
        <v/>
      </c>
      <c r="GN171" s="150" t="str">
        <f aca="false">IF(OR(GN$169&lt;SwaptionFirstMonthPosition+1,$FJ171&lt;SwaptionFirstMonthPosition+1,GN$169&gt;SwaptionFirstMonthPosition+SwaptionNumOfMonths+1,$FJ171&gt;SwaptionFirstMonthPosition+SwaptionNumOfMonths+1),"",IF($FJ171=GN$169,1,IF($FJ171&lt;GN$169,INDEX($FK$170:$ID$241,GN$169,$FJ171),SUMPRODUCT(INDEX($FK$325:$ID$396,GN$169,1+SwaptionShift):INDEX($FK$325:$ID$396,GN$169,SwaptionMonthsToGo+SwaptionShift),INDEX($FK$245:$ID$316,$FJ171-GN$169,73-GN$169+SwaptionShift):INDEX($FK$245:$ID$316,$FJ171-GN$169,72-GN$169+SwaptionMonthsToGo+SwaptionShift))/SQRT(SUM(INDEX($FK326:$ID326,1+SwaptionShift):INDEX($FK326:$ID326,SwaptionMonthsToGo+SwaptionShift))*SUM(INDEX($FK$325:$ID$396,GN$169,1+SwaptionShift):INDEX($FK$325:$ID$396,GN$169,SwaptionMonthsToGo+SwaptionShift))))))</f>
        <v/>
      </c>
      <c r="GO171" s="150" t="str">
        <f aca="false">IF(OR(GO$169&lt;SwaptionFirstMonthPosition+1,$FJ171&lt;SwaptionFirstMonthPosition+1,GO$169&gt;SwaptionFirstMonthPosition+SwaptionNumOfMonths+1,$FJ171&gt;SwaptionFirstMonthPosition+SwaptionNumOfMonths+1),"",IF($FJ171=GO$169,1,IF($FJ171&lt;GO$169,INDEX($FK$170:$ID$241,GO$169,$FJ171),SUMPRODUCT(INDEX($FK$325:$ID$396,GO$169,1+SwaptionShift):INDEX($FK$325:$ID$396,GO$169,SwaptionMonthsToGo+SwaptionShift),INDEX($FK$245:$ID$316,$FJ171-GO$169,73-GO$169+SwaptionShift):INDEX($FK$245:$ID$316,$FJ171-GO$169,72-GO$169+SwaptionMonthsToGo+SwaptionShift))/SQRT(SUM(INDEX($FK326:$ID326,1+SwaptionShift):INDEX($FK326:$ID326,SwaptionMonthsToGo+SwaptionShift))*SUM(INDEX($FK$325:$ID$396,GO$169,1+SwaptionShift):INDEX($FK$325:$ID$396,GO$169,SwaptionMonthsToGo+SwaptionShift))))))</f>
        <v/>
      </c>
      <c r="GP171" s="150" t="str">
        <f aca="false">IF(OR(GP$169&lt;SwaptionFirstMonthPosition+1,$FJ171&lt;SwaptionFirstMonthPosition+1,GP$169&gt;SwaptionFirstMonthPosition+SwaptionNumOfMonths+1,$FJ171&gt;SwaptionFirstMonthPosition+SwaptionNumOfMonths+1),"",IF($FJ171=GP$169,1,IF($FJ171&lt;GP$169,INDEX($FK$170:$ID$241,GP$169,$FJ171),SUMPRODUCT(INDEX($FK$325:$ID$396,GP$169,1+SwaptionShift):INDEX($FK$325:$ID$396,GP$169,SwaptionMonthsToGo+SwaptionShift),INDEX($FK$245:$ID$316,$FJ171-GP$169,73-GP$169+SwaptionShift):INDEX($FK$245:$ID$316,$FJ171-GP$169,72-GP$169+SwaptionMonthsToGo+SwaptionShift))/SQRT(SUM(INDEX($FK326:$ID326,1+SwaptionShift):INDEX($FK326:$ID326,SwaptionMonthsToGo+SwaptionShift))*SUM(INDEX($FK$325:$ID$396,GP$169,1+SwaptionShift):INDEX($FK$325:$ID$396,GP$169,SwaptionMonthsToGo+SwaptionShift))))))</f>
        <v/>
      </c>
      <c r="GQ171" s="150" t="str">
        <f aca="false">IF(OR(GQ$169&lt;SwaptionFirstMonthPosition+1,$FJ171&lt;SwaptionFirstMonthPosition+1,GQ$169&gt;SwaptionFirstMonthPosition+SwaptionNumOfMonths+1,$FJ171&gt;SwaptionFirstMonthPosition+SwaptionNumOfMonths+1),"",IF($FJ171=GQ$169,1,IF($FJ171&lt;GQ$169,INDEX($FK$170:$ID$241,GQ$169,$FJ171),SUMPRODUCT(INDEX($FK$325:$ID$396,GQ$169,1+SwaptionShift):INDEX($FK$325:$ID$396,GQ$169,SwaptionMonthsToGo+SwaptionShift),INDEX($FK$245:$ID$316,$FJ171-GQ$169,73-GQ$169+SwaptionShift):INDEX($FK$245:$ID$316,$FJ171-GQ$169,72-GQ$169+SwaptionMonthsToGo+SwaptionShift))/SQRT(SUM(INDEX($FK326:$ID326,1+SwaptionShift):INDEX($FK326:$ID326,SwaptionMonthsToGo+SwaptionShift))*SUM(INDEX($FK$325:$ID$396,GQ$169,1+SwaptionShift):INDEX($FK$325:$ID$396,GQ$169,SwaptionMonthsToGo+SwaptionShift))))))</f>
        <v/>
      </c>
      <c r="GR171" s="150" t="str">
        <f aca="false">IF(OR(GR$169&lt;SwaptionFirstMonthPosition+1,$FJ171&lt;SwaptionFirstMonthPosition+1,GR$169&gt;SwaptionFirstMonthPosition+SwaptionNumOfMonths+1,$FJ171&gt;SwaptionFirstMonthPosition+SwaptionNumOfMonths+1),"",IF($FJ171=GR$169,1,IF($FJ171&lt;GR$169,INDEX($FK$170:$ID$241,GR$169,$FJ171),SUMPRODUCT(INDEX($FK$325:$ID$396,GR$169,1+SwaptionShift):INDEX($FK$325:$ID$396,GR$169,SwaptionMonthsToGo+SwaptionShift),INDEX($FK$245:$ID$316,$FJ171-GR$169,73-GR$169+SwaptionShift):INDEX($FK$245:$ID$316,$FJ171-GR$169,72-GR$169+SwaptionMonthsToGo+SwaptionShift))/SQRT(SUM(INDEX($FK326:$ID326,1+SwaptionShift):INDEX($FK326:$ID326,SwaptionMonthsToGo+SwaptionShift))*SUM(INDEX($FK$325:$ID$396,GR$169,1+SwaptionShift):INDEX($FK$325:$ID$396,GR$169,SwaptionMonthsToGo+SwaptionShift))))))</f>
        <v/>
      </c>
      <c r="GS171" s="150" t="str">
        <f aca="false">IF(OR(GS$169&lt;SwaptionFirstMonthPosition+1,$FJ171&lt;SwaptionFirstMonthPosition+1,GS$169&gt;SwaptionFirstMonthPosition+SwaptionNumOfMonths+1,$FJ171&gt;SwaptionFirstMonthPosition+SwaptionNumOfMonths+1),"",IF($FJ171=GS$169,1,IF($FJ171&lt;GS$169,INDEX($FK$170:$ID$241,GS$169,$FJ171),SUMPRODUCT(INDEX($FK$325:$ID$396,GS$169,1+SwaptionShift):INDEX($FK$325:$ID$396,GS$169,SwaptionMonthsToGo+SwaptionShift),INDEX($FK$245:$ID$316,$FJ171-GS$169,73-GS$169+SwaptionShift):INDEX($FK$245:$ID$316,$FJ171-GS$169,72-GS$169+SwaptionMonthsToGo+SwaptionShift))/SQRT(SUM(INDEX($FK326:$ID326,1+SwaptionShift):INDEX($FK326:$ID326,SwaptionMonthsToGo+SwaptionShift))*SUM(INDEX($FK$325:$ID$396,GS$169,1+SwaptionShift):INDEX($FK$325:$ID$396,GS$169,SwaptionMonthsToGo+SwaptionShift))))))</f>
        <v/>
      </c>
      <c r="GT171" s="150" t="str">
        <f aca="false">IF(OR(GT$169&lt;SwaptionFirstMonthPosition+1,$FJ171&lt;SwaptionFirstMonthPosition+1,GT$169&gt;SwaptionFirstMonthPosition+SwaptionNumOfMonths+1,$FJ171&gt;SwaptionFirstMonthPosition+SwaptionNumOfMonths+1),"",IF($FJ171=GT$169,1,IF($FJ171&lt;GT$169,INDEX($FK$170:$ID$241,GT$169,$FJ171),SUMPRODUCT(INDEX($FK$325:$ID$396,GT$169,1+SwaptionShift):INDEX($FK$325:$ID$396,GT$169,SwaptionMonthsToGo+SwaptionShift),INDEX($FK$245:$ID$316,$FJ171-GT$169,73-GT$169+SwaptionShift):INDEX($FK$245:$ID$316,$FJ171-GT$169,72-GT$169+SwaptionMonthsToGo+SwaptionShift))/SQRT(SUM(INDEX($FK326:$ID326,1+SwaptionShift):INDEX($FK326:$ID326,SwaptionMonthsToGo+SwaptionShift))*SUM(INDEX($FK$325:$ID$396,GT$169,1+SwaptionShift):INDEX($FK$325:$ID$396,GT$169,SwaptionMonthsToGo+SwaptionShift))))))</f>
        <v/>
      </c>
      <c r="GU171" s="150" t="str">
        <f aca="false">IF(OR(GU$169&lt;SwaptionFirstMonthPosition+1,$FJ171&lt;SwaptionFirstMonthPosition+1,GU$169&gt;SwaptionFirstMonthPosition+SwaptionNumOfMonths+1,$FJ171&gt;SwaptionFirstMonthPosition+SwaptionNumOfMonths+1),"",IF($FJ171=GU$169,1,IF($FJ171&lt;GU$169,INDEX($FK$170:$ID$241,GU$169,$FJ171),SUMPRODUCT(INDEX($FK$325:$ID$396,GU$169,1+SwaptionShift):INDEX($FK$325:$ID$396,GU$169,SwaptionMonthsToGo+SwaptionShift),INDEX($FK$245:$ID$316,$FJ171-GU$169,73-GU$169+SwaptionShift):INDEX($FK$245:$ID$316,$FJ171-GU$169,72-GU$169+SwaptionMonthsToGo+SwaptionShift))/SQRT(SUM(INDEX($FK326:$ID326,1+SwaptionShift):INDEX($FK326:$ID326,SwaptionMonthsToGo+SwaptionShift))*SUM(INDEX($FK$325:$ID$396,GU$169,1+SwaptionShift):INDEX($FK$325:$ID$396,GU$169,SwaptionMonthsToGo+SwaptionShift))))))</f>
        <v/>
      </c>
      <c r="GV171" s="150" t="str">
        <f aca="false">IF(OR(GV$169&lt;SwaptionFirstMonthPosition+1,$FJ171&lt;SwaptionFirstMonthPosition+1,GV$169&gt;SwaptionFirstMonthPosition+SwaptionNumOfMonths+1,$FJ171&gt;SwaptionFirstMonthPosition+SwaptionNumOfMonths+1),"",IF($FJ171=GV$169,1,IF($FJ171&lt;GV$169,INDEX($FK$170:$ID$241,GV$169,$FJ171),SUMPRODUCT(INDEX($FK$325:$ID$396,GV$169,1+SwaptionShift):INDEX($FK$325:$ID$396,GV$169,SwaptionMonthsToGo+SwaptionShift),INDEX($FK$245:$ID$316,$FJ171-GV$169,73-GV$169+SwaptionShift):INDEX($FK$245:$ID$316,$FJ171-GV$169,72-GV$169+SwaptionMonthsToGo+SwaptionShift))/SQRT(SUM(INDEX($FK326:$ID326,1+SwaptionShift):INDEX($FK326:$ID326,SwaptionMonthsToGo+SwaptionShift))*SUM(INDEX($FK$325:$ID$396,GV$169,1+SwaptionShift):INDEX($FK$325:$ID$396,GV$169,SwaptionMonthsToGo+SwaptionShift))))))</f>
        <v/>
      </c>
      <c r="GW171" s="150" t="str">
        <f aca="false">IF(OR(GW$169&lt;SwaptionFirstMonthPosition+1,$FJ171&lt;SwaptionFirstMonthPosition+1,GW$169&gt;SwaptionFirstMonthPosition+SwaptionNumOfMonths+1,$FJ171&gt;SwaptionFirstMonthPosition+SwaptionNumOfMonths+1),"",IF($FJ171=GW$169,1,IF($FJ171&lt;GW$169,INDEX($FK$170:$ID$241,GW$169,$FJ171),SUMPRODUCT(INDEX($FK$325:$ID$396,GW$169,1+SwaptionShift):INDEX($FK$325:$ID$396,GW$169,SwaptionMonthsToGo+SwaptionShift),INDEX($FK$245:$ID$316,$FJ171-GW$169,73-GW$169+SwaptionShift):INDEX($FK$245:$ID$316,$FJ171-GW$169,72-GW$169+SwaptionMonthsToGo+SwaptionShift))/SQRT(SUM(INDEX($FK326:$ID326,1+SwaptionShift):INDEX($FK326:$ID326,SwaptionMonthsToGo+SwaptionShift))*SUM(INDEX($FK$325:$ID$396,GW$169,1+SwaptionShift):INDEX($FK$325:$ID$396,GW$169,SwaptionMonthsToGo+SwaptionShift))))))</f>
        <v/>
      </c>
      <c r="GX171" s="150" t="str">
        <f aca="false">IF(OR(GX$169&lt;SwaptionFirstMonthPosition+1,$FJ171&lt;SwaptionFirstMonthPosition+1,GX$169&gt;SwaptionFirstMonthPosition+SwaptionNumOfMonths+1,$FJ171&gt;SwaptionFirstMonthPosition+SwaptionNumOfMonths+1),"",IF($FJ171=GX$169,1,IF($FJ171&lt;GX$169,INDEX($FK$170:$ID$241,GX$169,$FJ171),SUMPRODUCT(INDEX($FK$325:$ID$396,GX$169,1+SwaptionShift):INDEX($FK$325:$ID$396,GX$169,SwaptionMonthsToGo+SwaptionShift),INDEX($FK$245:$ID$316,$FJ171-GX$169,73-GX$169+SwaptionShift):INDEX($FK$245:$ID$316,$FJ171-GX$169,72-GX$169+SwaptionMonthsToGo+SwaptionShift))/SQRT(SUM(INDEX($FK326:$ID326,1+SwaptionShift):INDEX($FK326:$ID326,SwaptionMonthsToGo+SwaptionShift))*SUM(INDEX($FK$325:$ID$396,GX$169,1+SwaptionShift):INDEX($FK$325:$ID$396,GX$169,SwaptionMonthsToGo+SwaptionShift))))))</f>
        <v/>
      </c>
      <c r="GY171" s="150" t="str">
        <f aca="false">IF(OR(GY$169&lt;SwaptionFirstMonthPosition+1,$FJ171&lt;SwaptionFirstMonthPosition+1,GY$169&gt;SwaptionFirstMonthPosition+SwaptionNumOfMonths+1,$FJ171&gt;SwaptionFirstMonthPosition+SwaptionNumOfMonths+1),"",IF($FJ171=GY$169,1,IF($FJ171&lt;GY$169,INDEX($FK$170:$ID$241,GY$169,$FJ171),SUMPRODUCT(INDEX($FK$325:$ID$396,GY$169,1+SwaptionShift):INDEX($FK$325:$ID$396,GY$169,SwaptionMonthsToGo+SwaptionShift),INDEX($FK$245:$ID$316,$FJ171-GY$169,73-GY$169+SwaptionShift):INDEX($FK$245:$ID$316,$FJ171-GY$169,72-GY$169+SwaptionMonthsToGo+SwaptionShift))/SQRT(SUM(INDEX($FK326:$ID326,1+SwaptionShift):INDEX($FK326:$ID326,SwaptionMonthsToGo+SwaptionShift))*SUM(INDEX($FK$325:$ID$396,GY$169,1+SwaptionShift):INDEX($FK$325:$ID$396,GY$169,SwaptionMonthsToGo+SwaptionShift))))))</f>
        <v/>
      </c>
      <c r="GZ171" s="150" t="str">
        <f aca="false">IF(OR(GZ$169&lt;SwaptionFirstMonthPosition+1,$FJ171&lt;SwaptionFirstMonthPosition+1,GZ$169&gt;SwaptionFirstMonthPosition+SwaptionNumOfMonths+1,$FJ171&gt;SwaptionFirstMonthPosition+SwaptionNumOfMonths+1),"",IF($FJ171=GZ$169,1,IF($FJ171&lt;GZ$169,INDEX($FK$170:$ID$241,GZ$169,$FJ171),SUMPRODUCT(INDEX($FK$325:$ID$396,GZ$169,1+SwaptionShift):INDEX($FK$325:$ID$396,GZ$169,SwaptionMonthsToGo+SwaptionShift),INDEX($FK$245:$ID$316,$FJ171-GZ$169,73-GZ$169+SwaptionShift):INDEX($FK$245:$ID$316,$FJ171-GZ$169,72-GZ$169+SwaptionMonthsToGo+SwaptionShift))/SQRT(SUM(INDEX($FK326:$ID326,1+SwaptionShift):INDEX($FK326:$ID326,SwaptionMonthsToGo+SwaptionShift))*SUM(INDEX($FK$325:$ID$396,GZ$169,1+SwaptionShift):INDEX($FK$325:$ID$396,GZ$169,SwaptionMonthsToGo+SwaptionShift))))))</f>
        <v/>
      </c>
      <c r="HA171" s="150" t="str">
        <f aca="false">IF(OR(HA$169&lt;SwaptionFirstMonthPosition+1,$FJ171&lt;SwaptionFirstMonthPosition+1,HA$169&gt;SwaptionFirstMonthPosition+SwaptionNumOfMonths+1,$FJ171&gt;SwaptionFirstMonthPosition+SwaptionNumOfMonths+1),"",IF($FJ171=HA$169,1,IF($FJ171&lt;HA$169,INDEX($FK$170:$ID$241,HA$169,$FJ171),SUMPRODUCT(INDEX($FK$325:$ID$396,HA$169,1+SwaptionShift):INDEX($FK$325:$ID$396,HA$169,SwaptionMonthsToGo+SwaptionShift),INDEX($FK$245:$ID$316,$FJ171-HA$169,73-HA$169+SwaptionShift):INDEX($FK$245:$ID$316,$FJ171-HA$169,72-HA$169+SwaptionMonthsToGo+SwaptionShift))/SQRT(SUM(INDEX($FK326:$ID326,1+SwaptionShift):INDEX($FK326:$ID326,SwaptionMonthsToGo+SwaptionShift))*SUM(INDEX($FK$325:$ID$396,HA$169,1+SwaptionShift):INDEX($FK$325:$ID$396,HA$169,SwaptionMonthsToGo+SwaptionShift))))))</f>
        <v/>
      </c>
      <c r="HB171" s="150" t="str">
        <f aca="false">IF(OR(HB$169&lt;SwaptionFirstMonthPosition+1,$FJ171&lt;SwaptionFirstMonthPosition+1,HB$169&gt;SwaptionFirstMonthPosition+SwaptionNumOfMonths+1,$FJ171&gt;SwaptionFirstMonthPosition+SwaptionNumOfMonths+1),"",IF($FJ171=HB$169,1,IF($FJ171&lt;HB$169,INDEX($FK$170:$ID$241,HB$169,$FJ171),SUMPRODUCT(INDEX($FK$325:$ID$396,HB$169,1+SwaptionShift):INDEX($FK$325:$ID$396,HB$169,SwaptionMonthsToGo+SwaptionShift),INDEX($FK$245:$ID$316,$FJ171-HB$169,73-HB$169+SwaptionShift):INDEX($FK$245:$ID$316,$FJ171-HB$169,72-HB$169+SwaptionMonthsToGo+SwaptionShift))/SQRT(SUM(INDEX($FK326:$ID326,1+SwaptionShift):INDEX($FK326:$ID326,SwaptionMonthsToGo+SwaptionShift))*SUM(INDEX($FK$325:$ID$396,HB$169,1+SwaptionShift):INDEX($FK$325:$ID$396,HB$169,SwaptionMonthsToGo+SwaptionShift))))))</f>
        <v/>
      </c>
      <c r="HC171" s="150" t="str">
        <f aca="false">IF(OR(HC$169&lt;SwaptionFirstMonthPosition+1,$FJ171&lt;SwaptionFirstMonthPosition+1,HC$169&gt;SwaptionFirstMonthPosition+SwaptionNumOfMonths+1,$FJ171&gt;SwaptionFirstMonthPosition+SwaptionNumOfMonths+1),"",IF($FJ171=HC$169,1,IF($FJ171&lt;HC$169,INDEX($FK$170:$ID$241,HC$169,$FJ171),SUMPRODUCT(INDEX($FK$325:$ID$396,HC$169,1+SwaptionShift):INDEX($FK$325:$ID$396,HC$169,SwaptionMonthsToGo+SwaptionShift),INDEX($FK$245:$ID$316,$FJ171-HC$169,73-HC$169+SwaptionShift):INDEX($FK$245:$ID$316,$FJ171-HC$169,72-HC$169+SwaptionMonthsToGo+SwaptionShift))/SQRT(SUM(INDEX($FK326:$ID326,1+SwaptionShift):INDEX($FK326:$ID326,SwaptionMonthsToGo+SwaptionShift))*SUM(INDEX($FK$325:$ID$396,HC$169,1+SwaptionShift):INDEX($FK$325:$ID$396,HC$169,SwaptionMonthsToGo+SwaptionShift))))))</f>
        <v/>
      </c>
      <c r="HD171" s="150" t="str">
        <f aca="false">IF(OR(HD$169&lt;SwaptionFirstMonthPosition+1,$FJ171&lt;SwaptionFirstMonthPosition+1,HD$169&gt;SwaptionFirstMonthPosition+SwaptionNumOfMonths+1,$FJ171&gt;SwaptionFirstMonthPosition+SwaptionNumOfMonths+1),"",IF($FJ171=HD$169,1,IF($FJ171&lt;HD$169,INDEX($FK$170:$ID$241,HD$169,$FJ171),SUMPRODUCT(INDEX($FK$325:$ID$396,HD$169,1+SwaptionShift):INDEX($FK$325:$ID$396,HD$169,SwaptionMonthsToGo+SwaptionShift),INDEX($FK$245:$ID$316,$FJ171-HD$169,73-HD$169+SwaptionShift):INDEX($FK$245:$ID$316,$FJ171-HD$169,72-HD$169+SwaptionMonthsToGo+SwaptionShift))/SQRT(SUM(INDEX($FK326:$ID326,1+SwaptionShift):INDEX($FK326:$ID326,SwaptionMonthsToGo+SwaptionShift))*SUM(INDEX($FK$325:$ID$396,HD$169,1+SwaptionShift):INDEX($FK$325:$ID$396,HD$169,SwaptionMonthsToGo+SwaptionShift))))))</f>
        <v/>
      </c>
      <c r="HE171" s="150" t="str">
        <f aca="false">IF(OR(HE$169&lt;SwaptionFirstMonthPosition+1,$FJ171&lt;SwaptionFirstMonthPosition+1,HE$169&gt;SwaptionFirstMonthPosition+SwaptionNumOfMonths+1,$FJ171&gt;SwaptionFirstMonthPosition+SwaptionNumOfMonths+1),"",IF($FJ171=HE$169,1,IF($FJ171&lt;HE$169,INDEX($FK$170:$ID$241,HE$169,$FJ171),SUMPRODUCT(INDEX($FK$325:$ID$396,HE$169,1+SwaptionShift):INDEX($FK$325:$ID$396,HE$169,SwaptionMonthsToGo+SwaptionShift),INDEX($FK$245:$ID$316,$FJ171-HE$169,73-HE$169+SwaptionShift):INDEX($FK$245:$ID$316,$FJ171-HE$169,72-HE$169+SwaptionMonthsToGo+SwaptionShift))/SQRT(SUM(INDEX($FK326:$ID326,1+SwaptionShift):INDEX($FK326:$ID326,SwaptionMonthsToGo+SwaptionShift))*SUM(INDEX($FK$325:$ID$396,HE$169,1+SwaptionShift):INDEX($FK$325:$ID$396,HE$169,SwaptionMonthsToGo+SwaptionShift))))))</f>
        <v/>
      </c>
      <c r="HF171" s="150" t="str">
        <f aca="false">IF(OR(HF$169&lt;SwaptionFirstMonthPosition+1,$FJ171&lt;SwaptionFirstMonthPosition+1,HF$169&gt;SwaptionFirstMonthPosition+SwaptionNumOfMonths+1,$FJ171&gt;SwaptionFirstMonthPosition+SwaptionNumOfMonths+1),"",IF($FJ171=HF$169,1,IF($FJ171&lt;HF$169,INDEX($FK$170:$ID$241,HF$169,$FJ171),SUMPRODUCT(INDEX($FK$325:$ID$396,HF$169,1+SwaptionShift):INDEX($FK$325:$ID$396,HF$169,SwaptionMonthsToGo+SwaptionShift),INDEX($FK$245:$ID$316,$FJ171-HF$169,73-HF$169+SwaptionShift):INDEX($FK$245:$ID$316,$FJ171-HF$169,72-HF$169+SwaptionMonthsToGo+SwaptionShift))/SQRT(SUM(INDEX($FK326:$ID326,1+SwaptionShift):INDEX($FK326:$ID326,SwaptionMonthsToGo+SwaptionShift))*SUM(INDEX($FK$325:$ID$396,HF$169,1+SwaptionShift):INDEX($FK$325:$ID$396,HF$169,SwaptionMonthsToGo+SwaptionShift))))))</f>
        <v/>
      </c>
      <c r="HG171" s="150" t="str">
        <f aca="false">IF(OR(HG$169&lt;SwaptionFirstMonthPosition+1,$FJ171&lt;SwaptionFirstMonthPosition+1,HG$169&gt;SwaptionFirstMonthPosition+SwaptionNumOfMonths+1,$FJ171&gt;SwaptionFirstMonthPosition+SwaptionNumOfMonths+1),"",IF($FJ171=HG$169,1,IF($FJ171&lt;HG$169,INDEX($FK$170:$ID$241,HG$169,$FJ171),SUMPRODUCT(INDEX($FK$325:$ID$396,HG$169,1+SwaptionShift):INDEX($FK$325:$ID$396,HG$169,SwaptionMonthsToGo+SwaptionShift),INDEX($FK$245:$ID$316,$FJ171-HG$169,73-HG$169+SwaptionShift):INDEX($FK$245:$ID$316,$FJ171-HG$169,72-HG$169+SwaptionMonthsToGo+SwaptionShift))/SQRT(SUM(INDEX($FK326:$ID326,1+SwaptionShift):INDEX($FK326:$ID326,SwaptionMonthsToGo+SwaptionShift))*SUM(INDEX($FK$325:$ID$396,HG$169,1+SwaptionShift):INDEX($FK$325:$ID$396,HG$169,SwaptionMonthsToGo+SwaptionShift))))))</f>
        <v/>
      </c>
      <c r="HH171" s="150" t="str">
        <f aca="false">IF(OR(HH$169&lt;SwaptionFirstMonthPosition+1,$FJ171&lt;SwaptionFirstMonthPosition+1,HH$169&gt;SwaptionFirstMonthPosition+SwaptionNumOfMonths+1,$FJ171&gt;SwaptionFirstMonthPosition+SwaptionNumOfMonths+1),"",IF($FJ171=HH$169,1,IF($FJ171&lt;HH$169,INDEX($FK$170:$ID$241,HH$169,$FJ171),SUMPRODUCT(INDEX($FK$325:$ID$396,HH$169,1+SwaptionShift):INDEX($FK$325:$ID$396,HH$169,SwaptionMonthsToGo+SwaptionShift),INDEX($FK$245:$ID$316,$FJ171-HH$169,73-HH$169+SwaptionShift):INDEX($FK$245:$ID$316,$FJ171-HH$169,72-HH$169+SwaptionMonthsToGo+SwaptionShift))/SQRT(SUM(INDEX($FK326:$ID326,1+SwaptionShift):INDEX($FK326:$ID326,SwaptionMonthsToGo+SwaptionShift))*SUM(INDEX($FK$325:$ID$396,HH$169,1+SwaptionShift):INDEX($FK$325:$ID$396,HH$169,SwaptionMonthsToGo+SwaptionShift))))))</f>
        <v/>
      </c>
      <c r="HI171" s="150" t="str">
        <f aca="false">IF(OR(HI$169&lt;SwaptionFirstMonthPosition+1,$FJ171&lt;SwaptionFirstMonthPosition+1,HI$169&gt;SwaptionFirstMonthPosition+SwaptionNumOfMonths+1,$FJ171&gt;SwaptionFirstMonthPosition+SwaptionNumOfMonths+1),"",IF($FJ171=HI$169,1,IF($FJ171&lt;HI$169,INDEX($FK$170:$ID$241,HI$169,$FJ171),SUMPRODUCT(INDEX($FK$325:$ID$396,HI$169,1+SwaptionShift):INDEX($FK$325:$ID$396,HI$169,SwaptionMonthsToGo+SwaptionShift),INDEX($FK$245:$ID$316,$FJ171-HI$169,73-HI$169+SwaptionShift):INDEX($FK$245:$ID$316,$FJ171-HI$169,72-HI$169+SwaptionMonthsToGo+SwaptionShift))/SQRT(SUM(INDEX($FK326:$ID326,1+SwaptionShift):INDEX($FK326:$ID326,SwaptionMonthsToGo+SwaptionShift))*SUM(INDEX($FK$325:$ID$396,HI$169,1+SwaptionShift):INDEX($FK$325:$ID$396,HI$169,SwaptionMonthsToGo+SwaptionShift))))))</f>
        <v/>
      </c>
      <c r="HJ171" s="150" t="str">
        <f aca="false">IF(OR(HJ$169&lt;SwaptionFirstMonthPosition+1,$FJ171&lt;SwaptionFirstMonthPosition+1,HJ$169&gt;SwaptionFirstMonthPosition+SwaptionNumOfMonths+1,$FJ171&gt;SwaptionFirstMonthPosition+SwaptionNumOfMonths+1),"",IF($FJ171=HJ$169,1,IF($FJ171&lt;HJ$169,INDEX($FK$170:$ID$241,HJ$169,$FJ171),SUMPRODUCT(INDEX($FK$325:$ID$396,HJ$169,1+SwaptionShift):INDEX($FK$325:$ID$396,HJ$169,SwaptionMonthsToGo+SwaptionShift),INDEX($FK$245:$ID$316,$FJ171-HJ$169,73-HJ$169+SwaptionShift):INDEX($FK$245:$ID$316,$FJ171-HJ$169,72-HJ$169+SwaptionMonthsToGo+SwaptionShift))/SQRT(SUM(INDEX($FK326:$ID326,1+SwaptionShift):INDEX($FK326:$ID326,SwaptionMonthsToGo+SwaptionShift))*SUM(INDEX($FK$325:$ID$396,HJ$169,1+SwaptionShift):INDEX($FK$325:$ID$396,HJ$169,SwaptionMonthsToGo+SwaptionShift))))))</f>
        <v/>
      </c>
      <c r="HK171" s="150" t="str">
        <f aca="false">IF(OR(HK$169&lt;SwaptionFirstMonthPosition+1,$FJ171&lt;SwaptionFirstMonthPosition+1,HK$169&gt;SwaptionFirstMonthPosition+SwaptionNumOfMonths+1,$FJ171&gt;SwaptionFirstMonthPosition+SwaptionNumOfMonths+1),"",IF($FJ171=HK$169,1,IF($FJ171&lt;HK$169,INDEX($FK$170:$ID$241,HK$169,$FJ171),SUMPRODUCT(INDEX($FK$325:$ID$396,HK$169,1+SwaptionShift):INDEX($FK$325:$ID$396,HK$169,SwaptionMonthsToGo+SwaptionShift),INDEX($FK$245:$ID$316,$FJ171-HK$169,73-HK$169+SwaptionShift):INDEX($FK$245:$ID$316,$FJ171-HK$169,72-HK$169+SwaptionMonthsToGo+SwaptionShift))/SQRT(SUM(INDEX($FK326:$ID326,1+SwaptionShift):INDEX($FK326:$ID326,SwaptionMonthsToGo+SwaptionShift))*SUM(INDEX($FK$325:$ID$396,HK$169,1+SwaptionShift):INDEX($FK$325:$ID$396,HK$169,SwaptionMonthsToGo+SwaptionShift))))))</f>
        <v/>
      </c>
      <c r="HL171" s="150" t="str">
        <f aca="false">IF(OR(HL$169&lt;SwaptionFirstMonthPosition+1,$FJ171&lt;SwaptionFirstMonthPosition+1,HL$169&gt;SwaptionFirstMonthPosition+SwaptionNumOfMonths+1,$FJ171&gt;SwaptionFirstMonthPosition+SwaptionNumOfMonths+1),"",IF($FJ171=HL$169,1,IF($FJ171&lt;HL$169,INDEX($FK$170:$ID$241,HL$169,$FJ171),SUMPRODUCT(INDEX($FK$325:$ID$396,HL$169,1+SwaptionShift):INDEX($FK$325:$ID$396,HL$169,SwaptionMonthsToGo+SwaptionShift),INDEX($FK$245:$ID$316,$FJ171-HL$169,73-HL$169+SwaptionShift):INDEX($FK$245:$ID$316,$FJ171-HL$169,72-HL$169+SwaptionMonthsToGo+SwaptionShift))/SQRT(SUM(INDEX($FK326:$ID326,1+SwaptionShift):INDEX($FK326:$ID326,SwaptionMonthsToGo+SwaptionShift))*SUM(INDEX($FK$325:$ID$396,HL$169,1+SwaptionShift):INDEX($FK$325:$ID$396,HL$169,SwaptionMonthsToGo+SwaptionShift))))))</f>
        <v/>
      </c>
      <c r="HM171" s="150" t="str">
        <f aca="false">IF(OR(HM$169&lt;SwaptionFirstMonthPosition+1,$FJ171&lt;SwaptionFirstMonthPosition+1,HM$169&gt;SwaptionFirstMonthPosition+SwaptionNumOfMonths+1,$FJ171&gt;SwaptionFirstMonthPosition+SwaptionNumOfMonths+1),"",IF($FJ171=HM$169,1,IF($FJ171&lt;HM$169,INDEX($FK$170:$ID$241,HM$169,$FJ171),SUMPRODUCT(INDEX($FK$325:$ID$396,HM$169,1+SwaptionShift):INDEX($FK$325:$ID$396,HM$169,SwaptionMonthsToGo+SwaptionShift),INDEX($FK$245:$ID$316,$FJ171-HM$169,73-HM$169+SwaptionShift):INDEX($FK$245:$ID$316,$FJ171-HM$169,72-HM$169+SwaptionMonthsToGo+SwaptionShift))/SQRT(SUM(INDEX($FK326:$ID326,1+SwaptionShift):INDEX($FK326:$ID326,SwaptionMonthsToGo+SwaptionShift))*SUM(INDEX($FK$325:$ID$396,HM$169,1+SwaptionShift):INDEX($FK$325:$ID$396,HM$169,SwaptionMonthsToGo+SwaptionShift))))))</f>
        <v/>
      </c>
      <c r="HN171" s="150" t="str">
        <f aca="false">IF(OR(HN$169&lt;SwaptionFirstMonthPosition+1,$FJ171&lt;SwaptionFirstMonthPosition+1,HN$169&gt;SwaptionFirstMonthPosition+SwaptionNumOfMonths+1,$FJ171&gt;SwaptionFirstMonthPosition+SwaptionNumOfMonths+1),"",IF($FJ171=HN$169,1,IF($FJ171&lt;HN$169,INDEX($FK$170:$ID$241,HN$169,$FJ171),SUMPRODUCT(INDEX($FK$325:$ID$396,HN$169,1+SwaptionShift):INDEX($FK$325:$ID$396,HN$169,SwaptionMonthsToGo+SwaptionShift),INDEX($FK$245:$ID$316,$FJ171-HN$169,73-HN$169+SwaptionShift):INDEX($FK$245:$ID$316,$FJ171-HN$169,72-HN$169+SwaptionMonthsToGo+SwaptionShift))/SQRT(SUM(INDEX($FK326:$ID326,1+SwaptionShift):INDEX($FK326:$ID326,SwaptionMonthsToGo+SwaptionShift))*SUM(INDEX($FK$325:$ID$396,HN$169,1+SwaptionShift):INDEX($FK$325:$ID$396,HN$169,SwaptionMonthsToGo+SwaptionShift))))))</f>
        <v/>
      </c>
      <c r="HO171" s="150" t="str">
        <f aca="false">IF(OR(HO$169&lt;SwaptionFirstMonthPosition+1,$FJ171&lt;SwaptionFirstMonthPosition+1,HO$169&gt;SwaptionFirstMonthPosition+SwaptionNumOfMonths+1,$FJ171&gt;SwaptionFirstMonthPosition+SwaptionNumOfMonths+1),"",IF($FJ171=HO$169,1,IF($FJ171&lt;HO$169,INDEX($FK$170:$ID$241,HO$169,$FJ171),SUMPRODUCT(INDEX($FK$325:$ID$396,HO$169,1+SwaptionShift):INDEX($FK$325:$ID$396,HO$169,SwaptionMonthsToGo+SwaptionShift),INDEX($FK$245:$ID$316,$FJ171-HO$169,73-HO$169+SwaptionShift):INDEX($FK$245:$ID$316,$FJ171-HO$169,72-HO$169+SwaptionMonthsToGo+SwaptionShift))/SQRT(SUM(INDEX($FK326:$ID326,1+SwaptionShift):INDEX($FK326:$ID326,SwaptionMonthsToGo+SwaptionShift))*SUM(INDEX($FK$325:$ID$396,HO$169,1+SwaptionShift):INDEX($FK$325:$ID$396,HO$169,SwaptionMonthsToGo+SwaptionShift))))))</f>
        <v/>
      </c>
      <c r="HP171" s="150" t="str">
        <f aca="false">IF(OR(HP$169&lt;SwaptionFirstMonthPosition+1,$FJ171&lt;SwaptionFirstMonthPosition+1,HP$169&gt;SwaptionFirstMonthPosition+SwaptionNumOfMonths+1,$FJ171&gt;SwaptionFirstMonthPosition+SwaptionNumOfMonths+1),"",IF($FJ171=HP$169,1,IF($FJ171&lt;HP$169,INDEX($FK$170:$ID$241,HP$169,$FJ171),SUMPRODUCT(INDEX($FK$325:$ID$396,HP$169,1+SwaptionShift):INDEX($FK$325:$ID$396,HP$169,SwaptionMonthsToGo+SwaptionShift),INDEX($FK$245:$ID$316,$FJ171-HP$169,73-HP$169+SwaptionShift):INDEX($FK$245:$ID$316,$FJ171-HP$169,72-HP$169+SwaptionMonthsToGo+SwaptionShift))/SQRT(SUM(INDEX($FK326:$ID326,1+SwaptionShift):INDEX($FK326:$ID326,SwaptionMonthsToGo+SwaptionShift))*SUM(INDEX($FK$325:$ID$396,HP$169,1+SwaptionShift):INDEX($FK$325:$ID$396,HP$169,SwaptionMonthsToGo+SwaptionShift))))))</f>
        <v/>
      </c>
      <c r="HQ171" s="150" t="str">
        <f aca="false">IF(OR(HQ$169&lt;SwaptionFirstMonthPosition+1,$FJ171&lt;SwaptionFirstMonthPosition+1,HQ$169&gt;SwaptionFirstMonthPosition+SwaptionNumOfMonths+1,$FJ171&gt;SwaptionFirstMonthPosition+SwaptionNumOfMonths+1),"",IF($FJ171=HQ$169,1,IF($FJ171&lt;HQ$169,INDEX($FK$170:$ID$241,HQ$169,$FJ171),SUMPRODUCT(INDEX($FK$325:$ID$396,HQ$169,1+SwaptionShift):INDEX($FK$325:$ID$396,HQ$169,SwaptionMonthsToGo+SwaptionShift),INDEX($FK$245:$ID$316,$FJ171-HQ$169,73-HQ$169+SwaptionShift):INDEX($FK$245:$ID$316,$FJ171-HQ$169,72-HQ$169+SwaptionMonthsToGo+SwaptionShift))/SQRT(SUM(INDEX($FK326:$ID326,1+SwaptionShift):INDEX($FK326:$ID326,SwaptionMonthsToGo+SwaptionShift))*SUM(INDEX($FK$325:$ID$396,HQ$169,1+SwaptionShift):INDEX($FK$325:$ID$396,HQ$169,SwaptionMonthsToGo+SwaptionShift))))))</f>
        <v/>
      </c>
      <c r="HR171" s="150" t="str">
        <f aca="false">IF(OR(HR$169&lt;SwaptionFirstMonthPosition+1,$FJ171&lt;SwaptionFirstMonthPosition+1,HR$169&gt;SwaptionFirstMonthPosition+SwaptionNumOfMonths+1,$FJ171&gt;SwaptionFirstMonthPosition+SwaptionNumOfMonths+1),"",IF($FJ171=HR$169,1,IF($FJ171&lt;HR$169,INDEX($FK$170:$ID$241,HR$169,$FJ171),SUMPRODUCT(INDEX($FK$325:$ID$396,HR$169,1+SwaptionShift):INDEX($FK$325:$ID$396,HR$169,SwaptionMonthsToGo+SwaptionShift),INDEX($FK$245:$ID$316,$FJ171-HR$169,73-HR$169+SwaptionShift):INDEX($FK$245:$ID$316,$FJ171-HR$169,72-HR$169+SwaptionMonthsToGo+SwaptionShift))/SQRT(SUM(INDEX($FK326:$ID326,1+SwaptionShift):INDEX($FK326:$ID326,SwaptionMonthsToGo+SwaptionShift))*SUM(INDEX($FK$325:$ID$396,HR$169,1+SwaptionShift):INDEX($FK$325:$ID$396,HR$169,SwaptionMonthsToGo+SwaptionShift))))))</f>
        <v/>
      </c>
      <c r="HS171" s="150" t="str">
        <f aca="false">IF(OR(HS$169&lt;SwaptionFirstMonthPosition+1,$FJ171&lt;SwaptionFirstMonthPosition+1,HS$169&gt;SwaptionFirstMonthPosition+SwaptionNumOfMonths+1,$FJ171&gt;SwaptionFirstMonthPosition+SwaptionNumOfMonths+1),"",IF($FJ171=HS$169,1,IF($FJ171&lt;HS$169,INDEX($FK$170:$ID$241,HS$169,$FJ171),SUMPRODUCT(INDEX($FK$325:$ID$396,HS$169,1+SwaptionShift):INDEX($FK$325:$ID$396,HS$169,SwaptionMonthsToGo+SwaptionShift),INDEX($FK$245:$ID$316,$FJ171-HS$169,73-HS$169+SwaptionShift):INDEX($FK$245:$ID$316,$FJ171-HS$169,72-HS$169+SwaptionMonthsToGo+SwaptionShift))/SQRT(SUM(INDEX($FK326:$ID326,1+SwaptionShift):INDEX($FK326:$ID326,SwaptionMonthsToGo+SwaptionShift))*SUM(INDEX($FK$325:$ID$396,HS$169,1+SwaptionShift):INDEX($FK$325:$ID$396,HS$169,SwaptionMonthsToGo+SwaptionShift))))))</f>
        <v/>
      </c>
      <c r="HT171" s="150" t="str">
        <f aca="false">IF(OR(HT$169&lt;SwaptionFirstMonthPosition+1,$FJ171&lt;SwaptionFirstMonthPosition+1,HT$169&gt;SwaptionFirstMonthPosition+SwaptionNumOfMonths+1,$FJ171&gt;SwaptionFirstMonthPosition+SwaptionNumOfMonths+1),"",IF($FJ171=HT$169,1,IF($FJ171&lt;HT$169,INDEX($FK$170:$ID$241,HT$169,$FJ171),SUMPRODUCT(INDEX($FK$325:$ID$396,HT$169,1+SwaptionShift):INDEX($FK$325:$ID$396,HT$169,SwaptionMonthsToGo+SwaptionShift),INDEX($FK$245:$ID$316,$FJ171-HT$169,73-HT$169+SwaptionShift):INDEX($FK$245:$ID$316,$FJ171-HT$169,72-HT$169+SwaptionMonthsToGo+SwaptionShift))/SQRT(SUM(INDEX($FK326:$ID326,1+SwaptionShift):INDEX($FK326:$ID326,SwaptionMonthsToGo+SwaptionShift))*SUM(INDEX($FK$325:$ID$396,HT$169,1+SwaptionShift):INDEX($FK$325:$ID$396,HT$169,SwaptionMonthsToGo+SwaptionShift))))))</f>
        <v/>
      </c>
      <c r="HU171" s="150" t="str">
        <f aca="false">IF(OR(HU$169&lt;SwaptionFirstMonthPosition+1,$FJ171&lt;SwaptionFirstMonthPosition+1,HU$169&gt;SwaptionFirstMonthPosition+SwaptionNumOfMonths+1,$FJ171&gt;SwaptionFirstMonthPosition+SwaptionNumOfMonths+1),"",IF($FJ171=HU$169,1,IF($FJ171&lt;HU$169,INDEX($FK$170:$ID$241,HU$169,$FJ171),SUMPRODUCT(INDEX($FK$325:$ID$396,HU$169,1+SwaptionShift):INDEX($FK$325:$ID$396,HU$169,SwaptionMonthsToGo+SwaptionShift),INDEX($FK$245:$ID$316,$FJ171-HU$169,73-HU$169+SwaptionShift):INDEX($FK$245:$ID$316,$FJ171-HU$169,72-HU$169+SwaptionMonthsToGo+SwaptionShift))/SQRT(SUM(INDEX($FK326:$ID326,1+SwaptionShift):INDEX($FK326:$ID326,SwaptionMonthsToGo+SwaptionShift))*SUM(INDEX($FK$325:$ID$396,HU$169,1+SwaptionShift):INDEX($FK$325:$ID$396,HU$169,SwaptionMonthsToGo+SwaptionShift))))))</f>
        <v/>
      </c>
      <c r="HV171" s="150" t="str">
        <f aca="false">IF(OR(HV$169&lt;SwaptionFirstMonthPosition+1,$FJ171&lt;SwaptionFirstMonthPosition+1,HV$169&gt;SwaptionFirstMonthPosition+SwaptionNumOfMonths+1,$FJ171&gt;SwaptionFirstMonthPosition+SwaptionNumOfMonths+1),"",IF($FJ171=HV$169,1,IF($FJ171&lt;HV$169,INDEX($FK$170:$ID$241,HV$169,$FJ171),SUMPRODUCT(INDEX($FK$325:$ID$396,HV$169,1+SwaptionShift):INDEX($FK$325:$ID$396,HV$169,SwaptionMonthsToGo+SwaptionShift),INDEX($FK$245:$ID$316,$FJ171-HV$169,73-HV$169+SwaptionShift):INDEX($FK$245:$ID$316,$FJ171-HV$169,72-HV$169+SwaptionMonthsToGo+SwaptionShift))/SQRT(SUM(INDEX($FK326:$ID326,1+SwaptionShift):INDEX($FK326:$ID326,SwaptionMonthsToGo+SwaptionShift))*SUM(INDEX($FK$325:$ID$396,HV$169,1+SwaptionShift):INDEX($FK$325:$ID$396,HV$169,SwaptionMonthsToGo+SwaptionShift))))))</f>
        <v/>
      </c>
      <c r="HW171" s="150" t="str">
        <f aca="false">IF(OR(HW$169&lt;SwaptionFirstMonthPosition+1,$FJ171&lt;SwaptionFirstMonthPosition+1,HW$169&gt;SwaptionFirstMonthPosition+SwaptionNumOfMonths+1,$FJ171&gt;SwaptionFirstMonthPosition+SwaptionNumOfMonths+1),"",IF($FJ171=HW$169,1,IF($FJ171&lt;HW$169,INDEX($FK$170:$ID$241,HW$169,$FJ171),SUMPRODUCT(INDEX($FK$325:$ID$396,HW$169,1+SwaptionShift):INDEX($FK$325:$ID$396,HW$169,SwaptionMonthsToGo+SwaptionShift),INDEX($FK$245:$ID$316,$FJ171-HW$169,73-HW$169+SwaptionShift):INDEX($FK$245:$ID$316,$FJ171-HW$169,72-HW$169+SwaptionMonthsToGo+SwaptionShift))/SQRT(SUM(INDEX($FK326:$ID326,1+SwaptionShift):INDEX($FK326:$ID326,SwaptionMonthsToGo+SwaptionShift))*SUM(INDEX($FK$325:$ID$396,HW$169,1+SwaptionShift):INDEX($FK$325:$ID$396,HW$169,SwaptionMonthsToGo+SwaptionShift))))))</f>
        <v/>
      </c>
      <c r="HX171" s="150" t="str">
        <f aca="false">IF(OR(HX$169&lt;SwaptionFirstMonthPosition+1,$FJ171&lt;SwaptionFirstMonthPosition+1,HX$169&gt;SwaptionFirstMonthPosition+SwaptionNumOfMonths+1,$FJ171&gt;SwaptionFirstMonthPosition+SwaptionNumOfMonths+1),"",IF($FJ171=HX$169,1,IF($FJ171&lt;HX$169,INDEX($FK$170:$ID$241,HX$169,$FJ171),SUMPRODUCT(INDEX($FK$325:$ID$396,HX$169,1+SwaptionShift):INDEX($FK$325:$ID$396,HX$169,SwaptionMonthsToGo+SwaptionShift),INDEX($FK$245:$ID$316,$FJ171-HX$169,73-HX$169+SwaptionShift):INDEX($FK$245:$ID$316,$FJ171-HX$169,72-HX$169+SwaptionMonthsToGo+SwaptionShift))/SQRT(SUM(INDEX($FK326:$ID326,1+SwaptionShift):INDEX($FK326:$ID326,SwaptionMonthsToGo+SwaptionShift))*SUM(INDEX($FK$325:$ID$396,HX$169,1+SwaptionShift):INDEX($FK$325:$ID$396,HX$169,SwaptionMonthsToGo+SwaptionShift))))))</f>
        <v/>
      </c>
      <c r="HY171" s="150" t="str">
        <f aca="false">IF(OR(HY$169&lt;SwaptionFirstMonthPosition+1,$FJ171&lt;SwaptionFirstMonthPosition+1,HY$169&gt;SwaptionFirstMonthPosition+SwaptionNumOfMonths+1,$FJ171&gt;SwaptionFirstMonthPosition+SwaptionNumOfMonths+1),"",IF($FJ171=HY$169,1,IF($FJ171&lt;HY$169,INDEX($FK$170:$ID$241,HY$169,$FJ171),SUMPRODUCT(INDEX($FK$325:$ID$396,HY$169,1+SwaptionShift):INDEX($FK$325:$ID$396,HY$169,SwaptionMonthsToGo+SwaptionShift),INDEX($FK$245:$ID$316,$FJ171-HY$169,73-HY$169+SwaptionShift):INDEX($FK$245:$ID$316,$FJ171-HY$169,72-HY$169+SwaptionMonthsToGo+SwaptionShift))/SQRT(SUM(INDEX($FK326:$ID326,1+SwaptionShift):INDEX($FK326:$ID326,SwaptionMonthsToGo+SwaptionShift))*SUM(INDEX($FK$325:$ID$396,HY$169,1+SwaptionShift):INDEX($FK$325:$ID$396,HY$169,SwaptionMonthsToGo+SwaptionShift))))))</f>
        <v/>
      </c>
      <c r="HZ171" s="150" t="str">
        <f aca="false">IF(OR(HZ$169&lt;SwaptionFirstMonthPosition+1,$FJ171&lt;SwaptionFirstMonthPosition+1,HZ$169&gt;SwaptionFirstMonthPosition+SwaptionNumOfMonths+1,$FJ171&gt;SwaptionFirstMonthPosition+SwaptionNumOfMonths+1),"",IF($FJ171=HZ$169,1,IF($FJ171&lt;HZ$169,INDEX($FK$170:$ID$241,HZ$169,$FJ171),SUMPRODUCT(INDEX($FK$325:$ID$396,HZ$169,1+SwaptionShift):INDEX($FK$325:$ID$396,HZ$169,SwaptionMonthsToGo+SwaptionShift),INDEX($FK$245:$ID$316,$FJ171-HZ$169,73-HZ$169+SwaptionShift):INDEX($FK$245:$ID$316,$FJ171-HZ$169,72-HZ$169+SwaptionMonthsToGo+SwaptionShift))/SQRT(SUM(INDEX($FK326:$ID326,1+SwaptionShift):INDEX($FK326:$ID326,SwaptionMonthsToGo+SwaptionShift))*SUM(INDEX($FK$325:$ID$396,HZ$169,1+SwaptionShift):INDEX($FK$325:$ID$396,HZ$169,SwaptionMonthsToGo+SwaptionShift))))))</f>
        <v/>
      </c>
      <c r="IA171" s="150" t="str">
        <f aca="false">IF(OR(IA$169&lt;SwaptionFirstMonthPosition+1,$FJ171&lt;SwaptionFirstMonthPosition+1,IA$169&gt;SwaptionFirstMonthPosition+SwaptionNumOfMonths+1,$FJ171&gt;SwaptionFirstMonthPosition+SwaptionNumOfMonths+1),"",IF($FJ171=IA$169,1,IF($FJ171&lt;IA$169,INDEX($FK$170:$ID$241,IA$169,$FJ171),SUMPRODUCT(INDEX($FK$325:$ID$396,IA$169,1+SwaptionShift):INDEX($FK$325:$ID$396,IA$169,SwaptionMonthsToGo+SwaptionShift),INDEX($FK$245:$ID$316,$FJ171-IA$169,73-IA$169+SwaptionShift):INDEX($FK$245:$ID$316,$FJ171-IA$169,72-IA$169+SwaptionMonthsToGo+SwaptionShift))/SQRT(SUM(INDEX($FK326:$ID326,1+SwaptionShift):INDEX($FK326:$ID326,SwaptionMonthsToGo+SwaptionShift))*SUM(INDEX($FK$325:$ID$396,IA$169,1+SwaptionShift):INDEX($FK$325:$ID$396,IA$169,SwaptionMonthsToGo+SwaptionShift))))))</f>
        <v/>
      </c>
      <c r="IB171" s="150" t="str">
        <f aca="false">IF(OR(IB$169&lt;SwaptionFirstMonthPosition+1,$FJ171&lt;SwaptionFirstMonthPosition+1,IB$169&gt;SwaptionFirstMonthPosition+SwaptionNumOfMonths+1,$FJ171&gt;SwaptionFirstMonthPosition+SwaptionNumOfMonths+1),"",IF($FJ171=IB$169,1,IF($FJ171&lt;IB$169,INDEX($FK$170:$ID$241,IB$169,$FJ171),SUMPRODUCT(INDEX($FK$325:$ID$396,IB$169,1+SwaptionShift):INDEX($FK$325:$ID$396,IB$169,SwaptionMonthsToGo+SwaptionShift),INDEX($FK$245:$ID$316,$FJ171-IB$169,73-IB$169+SwaptionShift):INDEX($FK$245:$ID$316,$FJ171-IB$169,72-IB$169+SwaptionMonthsToGo+SwaptionShift))/SQRT(SUM(INDEX($FK326:$ID326,1+SwaptionShift):INDEX($FK326:$ID326,SwaptionMonthsToGo+SwaptionShift))*SUM(INDEX($FK$325:$ID$396,IB$169,1+SwaptionShift):INDEX($FK$325:$ID$396,IB$169,SwaptionMonthsToGo+SwaptionShift))))))</f>
        <v/>
      </c>
      <c r="IC171" s="150" t="str">
        <f aca="false">IF(OR(IC$169&lt;SwaptionFirstMonthPosition+1,$FJ171&lt;SwaptionFirstMonthPosition+1,IC$169&gt;SwaptionFirstMonthPosition+SwaptionNumOfMonths+1,$FJ171&gt;SwaptionFirstMonthPosition+SwaptionNumOfMonths+1),"",IF($FJ171=IC$169,1,IF($FJ171&lt;IC$169,INDEX($FK$170:$ID$241,IC$169,$FJ171),SUMPRODUCT(INDEX($FK$325:$ID$396,IC$169,1+SwaptionShift):INDEX($FK$325:$ID$396,IC$169,SwaptionMonthsToGo+SwaptionShift),INDEX($FK$245:$ID$316,$FJ171-IC$169,73-IC$169+SwaptionShift):INDEX($FK$245:$ID$316,$FJ171-IC$169,72-IC$169+SwaptionMonthsToGo+SwaptionShift))/SQRT(SUM(INDEX($FK326:$ID326,1+SwaptionShift):INDEX($FK326:$ID326,SwaptionMonthsToGo+SwaptionShift))*SUM(INDEX($FK$325:$ID$396,IC$169,1+SwaptionShift):INDEX($FK$325:$ID$396,IC$169,SwaptionMonthsToGo+SwaptionShift))))))</f>
        <v/>
      </c>
      <c r="ID171" s="572" t="str">
        <f aca="false">IF(OR(ID$169&lt;SwaptionFirstMonthPosition+1,$FJ171&lt;SwaptionFirstMonthPosition+1,ID$169&gt;SwaptionFirstMonthPosition+SwaptionNumOfMonths+1,$FJ171&gt;SwaptionFirstMonthPosition+SwaptionNumOfMonths+1),"",IF($FJ171=ID$169,1,IF($FJ171&lt;ID$169,INDEX($FK$170:$ID$241,ID$169,$FJ171),SUMPRODUCT(INDEX($FK$325:$ID$396,ID$169,1+SwaptionShift):INDEX($FK$325:$ID$396,ID$169,SwaptionMonthsToGo+SwaptionShift),INDEX($FK$245:$ID$316,$FJ171-ID$169,73-ID$169+SwaptionShift):INDEX($FK$245:$ID$316,$FJ171-ID$169,72-ID$169+SwaptionMonthsToGo+SwaptionShift))/SQRT(SUM(INDEX($FK326:$ID326,1+SwaptionShift):INDEX($FK326:$ID326,SwaptionMonthsToGo+SwaptionShift))*SUM(INDEX($FK$325:$ID$396,ID$169,1+SwaptionShift):INDEX($FK$325:$ID$396,ID$169,SwaptionMonthsToGo+SwaptionShift))))))</f>
        <v/>
      </c>
      <c r="IE171" s="129"/>
    </row>
    <row r="172" customFormat="false" ht="12.75" hidden="false" customHeight="false" outlineLevel="0" collapsed="false">
      <c r="H172" s="219" t="n">
        <f aca="false">VLOOKUP(I172,$EJ$20:$EL$54,3)</f>
        <v>0</v>
      </c>
      <c r="I172" s="511" t="n">
        <f aca="false">EOMONTH(I171,0)+1</f>
        <v>41395</v>
      </c>
      <c r="J172" s="512"/>
      <c r="K172" s="513" t="s">
        <v>280</v>
      </c>
      <c r="L172" s="514" t="n">
        <f aca="false">IF(ISNUMBER(K172),J172+K172/100,IF(K172="extra",L171+VLOOKUP(BF172,PriceSpreadTable,2)/12,IF(K172="inter",interpolateprices($K$19:$L$200,ROW(K172)-ROW(FirstPricingMonth)+1),interpolatechanges($J$19:$K$200,ROW(K172)-ROW(FirstPricingMonth)+1))))</f>
        <v>2.85</v>
      </c>
      <c r="M172" s="515"/>
      <c r="N172" s="516" t="n">
        <v>0</v>
      </c>
      <c r="O172" s="515" t="n">
        <f aca="false">M172+N172</f>
        <v>0</v>
      </c>
      <c r="P172" s="512"/>
      <c r="Q172" s="513" t="s">
        <v>280</v>
      </c>
      <c r="R172" s="512" t="e">
        <f aca="false">IF(ISNUMBER(Q172),P172+Q172/100,IF(Q172="extra",(Z170*AL170-R171*AM170)/AN170,IF(Q172="inter",interpolateprices($Q$19:$R$260,ROW(Q172)-ROW(FirstPricingMonth)+1),interpolatechanges($P$19:$Q$260,ROW(Q172)-ROW(FirstPricingMonth)+1))))</f>
        <v>#VALUE!</v>
      </c>
      <c r="S172" s="597" t="n">
        <f aca="false">S$19+(S171-S$19)*S$18</f>
        <v>0.36</v>
      </c>
      <c r="T172" s="575" t="n">
        <f aca="false">SQRT((1-(1-T171^2/U171)*T$18)*U172)</f>
        <v>0.999999999994879</v>
      </c>
      <c r="U172" s="576" t="n">
        <f aca="false">1-(1-U171)*U$18</f>
        <v>1</v>
      </c>
      <c r="V172" s="521" t="n">
        <v>0</v>
      </c>
      <c r="W172" s="577" t="n">
        <f aca="false">(J173*AJ172+J174*AK172)/AI172</f>
        <v>0</v>
      </c>
      <c r="X172" s="578" t="n">
        <f aca="false">(L173*AJ172+L174*AK172)/AI172</f>
        <v>2.90217391304348</v>
      </c>
      <c r="Y172" s="579" t="n">
        <f aca="false">IF(Q174="extra",W172-AA172,(P173*AM172+P174*AN172)/AL172)</f>
        <v>-1.2915</v>
      </c>
      <c r="Z172" s="579" t="n">
        <f aca="false">IF(Q174="extra",X172-AB172,(R173*AM172+R174*AN172)/AL172)</f>
        <v>1.61067391304348</v>
      </c>
      <c r="AA172" s="523" t="n">
        <f aca="false">IF(Q174="extra",INDEX(BrentSeasonalityTable,INT((BG172-1)/3)+1)*VLOOKUP(MAX(BF172,$AB$4),PriceSpreadTable,3),W172-Y172)</f>
        <v>1.2915</v>
      </c>
      <c r="AB172" s="524" t="n">
        <f aca="false">IF(Q174="extra",INDEX(BrentSeasonalityTable,INT((BG172-1)/3)+1)*VLOOKUP(MAX(BF172,$AB$4),PriceSpreadTable,3),X172-Z172)</f>
        <v>1.2915</v>
      </c>
      <c r="AC172" s="646" t="n">
        <v>41384</v>
      </c>
      <c r="AD172" s="646" t="n">
        <v>41380</v>
      </c>
      <c r="AE172" s="646" t="n">
        <v>41379</v>
      </c>
      <c r="AF172" s="646" t="n">
        <v>41375</v>
      </c>
      <c r="AG172" s="438" t="s">
        <v>278</v>
      </c>
      <c r="AH172" s="439" t="s">
        <v>278</v>
      </c>
      <c r="AI172" s="528" t="n">
        <v>23</v>
      </c>
      <c r="AJ172" s="529" t="n">
        <v>14</v>
      </c>
      <c r="AK172" s="529" t="n">
        <v>9</v>
      </c>
      <c r="AL172" s="530" t="n">
        <v>23</v>
      </c>
      <c r="AM172" s="529" t="n">
        <v>10</v>
      </c>
      <c r="AN172" s="531" t="n">
        <v>13</v>
      </c>
      <c r="AO172" s="532"/>
      <c r="AP172" s="465" t="n">
        <f aca="false">(1+AO172/2)^(-2*BL172)</f>
        <v>1</v>
      </c>
      <c r="AQ172" s="532"/>
      <c r="AR172" s="465" t="n">
        <f aca="false">(1+AQ172/2)^(-2*BH172/365.25)</f>
        <v>1</v>
      </c>
      <c r="AS172" s="580" t="n">
        <f aca="false">(O173*AJ172+O174*AK172)/AI172</f>
        <v>0</v>
      </c>
      <c r="AT172" s="468" t="n">
        <f aca="false">O172*VLOOKUP(BF172,BrentVolTable,2)+VLOOKUP(BF172,BrentVolTable,3)</f>
        <v>0</v>
      </c>
      <c r="AU172" s="468" t="n">
        <f aca="false">(AT173*AM172+AT174*AN172)/AL172</f>
        <v>0</v>
      </c>
      <c r="AV172" s="595" t="n">
        <f aca="false">SQRT(MAX(0.000000000001,(O172^2*BH172-S172^2*(BH172-BH171))/BH171))</f>
        <v>0.0296305927711888</v>
      </c>
      <c r="AW172" s="451" t="n">
        <f aca="false">IF($I172-DateToday+15&gt;=$T$8,"",IF($I172-DateToday+15&lt;$T$5,1,MATCH($I172-DateToday+15,$T$5:$T$8)))</f>
        <v>1</v>
      </c>
      <c r="AX172" s="468" t="n">
        <f aca="false">IF($AW172="",AX171^2/AX170,INDEX(U$5:U$8,$AW172)^((INDEX($T$5:$T$8,$AW172+1)-($I172-DateToday+15))/(INDEX($T$5:$T$8,$AW172+1)-INDEX($T$5:$T$8,$AW172)))/INDEX(U$5:U$8,$AW172+1)^((INDEX($T$5:$T$8,$AW172)-($I172-DateToday+15))/(INDEX($T$5:$T$8,$AW172+1)-INDEX($T$5:$T$8,$AW172))))</f>
        <v>0.487289450836387</v>
      </c>
      <c r="AY172" s="468" t="n">
        <f aca="false">IF($AW172="",AY171^2/AY170,INDEX(V$5:V$8,$AW172)^((INDEX($T$5:$T$8,$AW172+1)-($I172-DateToday+15))/(INDEX($T$5:$T$8,$AW172+1)-INDEX($T$5:$T$8,$AW172)))/INDEX(V$5:V$8,$AW172+1)^((INDEX($T$5:$T$8,$AW172)-($I172-DateToday+15))/(INDEX($T$5:$T$8,$AW172+1)-INDEX($T$5:$T$8,$AW172))))</f>
        <v>8.65113441398491</v>
      </c>
      <c r="AZ172" s="468" t="n">
        <f aca="false">IF($AW172="",AZ171^2/AZ170,INDEX(W$5:W$8,$AW172)^((INDEX($T$5:$T$8,$AW172+1)-($I172-DateToday+15))/(INDEX($T$5:$T$8,$AW172+1)-INDEX($T$5:$T$8,$AW172)))/INDEX(W$5:W$8,$AW172+1)^((INDEX($T$5:$T$8,$AW172)-($I172-DateToday+15))/(INDEX($T$5:$T$8,$AW172+1)-INDEX($T$5:$T$8,$AW172))))</f>
        <v>2605.67554588636</v>
      </c>
      <c r="BA172" s="468" t="n">
        <f aca="false">IF($AW172="",BA171^2/BA170,INDEX(X$5:X$8,$AW172)^((INDEX($T$5:$T$8,$AW172+1)-($I172-DateToday+15))/(INDEX($T$5:$T$8,$AW172+1)-INDEX($T$5:$T$8,$AW172)))/INDEX(X$5:X$8,$AW172+1)^((INDEX($T$5:$T$8,$AW172)-($I172-DateToday+15))/(INDEX($T$5:$T$8,$AW172+1)-INDEX($T$5:$T$8,$AW172))))</f>
        <v>13226.2313105496</v>
      </c>
      <c r="BB172" s="468" t="n">
        <f aca="false">IF($AW172="",BB171^2/BB170,INDEX(Y$5:Y$8,$AW172)^((INDEX($T$5:$T$8,$AW172+1)-($I172-DateToday+15))/(INDEX($T$5:$T$8,$AW172+1)-INDEX($T$5:$T$8,$AW172)))/INDEX(Y$5:Y$8,$AW172+1)^((INDEX($T$5:$T$8,$AW172)-($I172-DateToday+15))/(INDEX($T$5:$T$8,$AW172+1)-INDEX($T$5:$T$8,$AW172))))</f>
        <v>81234.6237294707</v>
      </c>
      <c r="BC172" s="468" t="n">
        <f aca="false">IF($AW172="",BC171^2/BC170,INDEX(Z$5:Z$8,$AW172)^((INDEX($T$5:$T$8,$AW172+1)-($I172-DateToday+15))/(INDEX($T$5:$T$8,$AW172+1)-INDEX($T$5:$T$8,$AW172)))/INDEX(Z$5:Z$8,$AW172+1)^((INDEX($T$5:$T$8,$AW172)-($I172-DateToday+15))/(INDEX($T$5:$T$8,$AW172+1)-INDEX($T$5:$T$8,$AW172))))</f>
        <v>245285.138176489</v>
      </c>
      <c r="BD172" s="535" t="n">
        <f aca="false">IF(OR(DateStart&gt;=I173,DateEnd&lt;I172),0,IF(VolumeOverrideFlag,V172,Volume))</f>
        <v>0</v>
      </c>
      <c r="BE172" s="536" t="n">
        <f aca="false">IF(OR(DateStart2&gt;=I173,DateEnd2&lt;I172),0,IF(VolumeOverrideFlag,V172,VolumeSwaption))</f>
        <v>0</v>
      </c>
      <c r="BF172" s="537" t="n">
        <f aca="false">YEAR(I172)</f>
        <v>2013</v>
      </c>
      <c r="BG172" s="538" t="n">
        <f aca="false">MONTH(I172)</f>
        <v>5</v>
      </c>
      <c r="BH172" s="539" t="n">
        <f aca="false">AD172-DateToday+1</f>
        <v>-4545</v>
      </c>
      <c r="BI172" s="540" t="n">
        <f aca="false">(I172-DateToday+1)/365.25</f>
        <v>-12.4024640657084</v>
      </c>
      <c r="BJ172" s="541" t="n">
        <f aca="false">BI172+(BL172-BI172)*CHOOSE(Underlying,AJ172/AI172,AM172/AL172)</f>
        <v>-12.3524685295956</v>
      </c>
      <c r="BK172" s="541" t="n">
        <f aca="false">BJ172+1/365.25</f>
        <v>-12.3497306788084</v>
      </c>
      <c r="BL172" s="541" t="n">
        <f aca="false">(I173-DateToday)/365.25</f>
        <v>-12.3203285420945</v>
      </c>
      <c r="BM172" s="542" t="e">
        <f aca="false">MAX(BI172-(BJ172-BI172)*(S173^2/O173^2-1),0)</f>
        <v>#DIV/0!</v>
      </c>
      <c r="BN172" s="541" t="e">
        <f aca="false">MAX(BL172+(BL172-BK172)*(S174^2/O174^2-1),0)</f>
        <v>#DIV/0!</v>
      </c>
      <c r="BO172" s="530" t="n">
        <f aca="false">CHOOSE(Underlying,AI172,AL172)</f>
        <v>23</v>
      </c>
      <c r="BP172" s="529" t="n">
        <f aca="false">CHOOSE(Underlying,AJ172,AM172)</f>
        <v>14</v>
      </c>
      <c r="BQ172" s="529" t="n">
        <f aca="false">CHOOSE(Underlying,AK172,AN172)</f>
        <v>9</v>
      </c>
      <c r="BR172" s="463" t="str">
        <f aca="false">IF(BD172,IF(Underlying=1,X172,Z172)+UnderlyingPriceAsian-SwapPriceCurve,"")</f>
        <v/>
      </c>
      <c r="BS172" s="463" t="str">
        <f aca="false">IF(BD172,Strike1/BR172-1,"")</f>
        <v/>
      </c>
      <c r="BT172" s="464" t="str">
        <f aca="false">IF(BD172,Strike2/BR172-1,"")</f>
        <v/>
      </c>
      <c r="BU172" s="465" t="str">
        <f aca="false">IF(BD172,IF(Underlying=1,L173,R173)+UnderlyingPriceAsian-SwapPriceCurve,"")</f>
        <v/>
      </c>
      <c r="BV172" s="465" t="str">
        <f aca="false">IF(BD172,IF(Underlying=1,L174,R174)+UnderlyingPriceAsian-SwapPriceCurve,"")</f>
        <v/>
      </c>
      <c r="BW172" s="466" t="str">
        <f aca="false">IF(BD172,IF(Underlying=1,O173,AT173),"")</f>
        <v/>
      </c>
      <c r="BX172" s="467" t="str">
        <f aca="false">IF(BD172,IF(Underlying=1,O174,AT174),"")</f>
        <v/>
      </c>
      <c r="BY172" s="466" t="str">
        <f aca="false">IF(BD172,IF(BS172&gt;0,IF(BS172&gt;0.2,BC172-BB172,IF(BS172&gt;0.1,BB172-BA172,BA172)),IF(BS172&lt;-0.2,AX172-AY172,IF(BS172&lt;-0.1,AY172-AZ172,AZ172))),"")</f>
        <v/>
      </c>
      <c r="BZ172" s="467" t="str">
        <f aca="false">IF(BD172,IF(BT172&gt;0,IF(BT172&gt;0.2,BC172-BB172,IF(BT172&gt;0.1,BB172-BA172,BA172)),IF(BT172&lt;-0.2,AX172-AY172,IF(BT172&lt;-0.1,AY172-AZ172,AZ172))),"")</f>
        <v/>
      </c>
      <c r="CA172" s="468" t="str">
        <f aca="false">IF($BD172,$BW172+IF(VolSkewFlag=1,IF(BS172&gt;0,$BA172*MIN(BS172/10%,1)+($BB172-$BA172)*MAX(0,MIN(BS172/10%-1,1))+($BC172-$BB172)*MAX(0,BS172/10%-2),$AZ172*MIN(-BS172/10%,1)+($AY172-$AZ172)*MAX(0,MIN(-BS172/10%-1,1))+($AX172-$AY172)*MAX(0,-BS172/10%-2)),0),"")</f>
        <v/>
      </c>
      <c r="CB172" s="468" t="str">
        <f aca="false">IF($BD172,$BX172+IF(VolSkewFlag=1,IF(BS172&gt;0,$BA172*MIN(BS172/10%,1)+($BB172-$BA172)*MAX(0,MIN(BS172/10%-1,1))+($BC172-$BB172)*MAX(0,BS172/10%-2),$AZ172*MIN(-BS172/10%,1)+($AY172-$AZ172)*MAX(0,MIN(-BS172/10%-1,1))+($AX172-$AY172)*MAX(0,-BS172/10%-2)),0),"")</f>
        <v/>
      </c>
      <c r="CC172" s="468" t="str">
        <f aca="false">IF($BD172,$BW172+IF(VolSkewFlag=1,IF(BT172&gt;0,$BA172*MIN(BT172/10%,1)+($BB172-$BA172)*MAX(0,MIN(BT172/10%-1,1))+($BC172-$BB172)*MAX(0,BT172/10%-2),$AZ172*MIN(-BT172/10%,1)+($AY172-$AZ172)*MAX(0,MIN(-BT172/10%-1,1))+($AX172-$AY172)*MAX(0,-BT172/10%-2)),0),"")</f>
        <v/>
      </c>
      <c r="CD172" s="468" t="str">
        <f aca="false">IF($BD172,$BX172+IF(VolSkewFlag=1,IF(BT172&gt;0,$BA172*MIN(BT172/10%,1)+($BB172-$BA172)*MAX(0,MIN(BT172/10%-1,1))+($BC172-$BB172)*MAX(0,BT172/10%-2),$AZ172*MIN(-BT172/10%,1)+($AY172-$AZ172)*MAX(0,MIN(-BT172/10%-1,1))+($AX172-$AY172)*MAX(0,-BT172/10%-2)),0),"")</f>
        <v/>
      </c>
      <c r="CE172" s="469" t="n">
        <v>1</v>
      </c>
      <c r="CF172" s="470" t="n">
        <f aca="false">IF(BD172,xCrudeAPO(BU172,BV172,CA172,CB172,S173,S174,BI172,BL172,BP172,BQ172,0,Strike1,AO172,CE172,0,BL172,IF(OptControl=4,0,1),0,1),0)</f>
        <v>0</v>
      </c>
      <c r="CG172" s="470" t="n">
        <f aca="false">IF(BD172,xCrudeAPO(BU172,BV172,CA172,CB172,S173,S174,BI172,BL172,BP172,BQ172,0,Strike1,AO172,CE172,0,BL172,IF(OptControl=4,0,1),1,1)+xCrudeAPO(BU172,BV172,CA172,CB172,S173,S174,BI172,BL172,BP172,BQ172,0,Strike1,AO172,CE172,0,BL172,IF(OptControl=4,0,1),1,2)+IF(OR(VolSkewFlag=2,ABS(BS172)&lt;0.0001),0,IF(BS172&gt;0,-1,1)*CH172*Strike1/BR172^2*BY172/10%),0)</f>
        <v>0</v>
      </c>
      <c r="CH172" s="470" t="n">
        <f aca="false">IF(BD172,(xCrudeAPO(BU172,BV172,CA172,CB172,S173,S174,BI172,BL172,BP172,BQ172,0,Strike1,AO172,CE172,0,BL172,IF(OptControl=4,0,1),3,1)+xCrudeAPO(BU172,BV172,CA172,CB172,S173,S174,BI172,BL172,BP172,BQ172,0,Strike1,AO172,CE172,0,BL172,IF(OptControl=4,0,1),3,2))/100,0)</f>
        <v>0</v>
      </c>
      <c r="CI172" s="470" t="n">
        <f aca="false">IF(BD172,xCrudeAPO(BU172,BV172,CA172,CB172,S173,S174,BI172-DaysForThetaCalculation/365.25,BL172-DaysForThetaCalculation/365.25,BP172,BQ172,0,Strike1,AO172,CE172,0,BL172,IF(OptControl=4,0,1),0,1)-xCrudeAPO(BU172,BV172,CA172,CB172,S173,S174,BI172,BL172,BP172,BQ172,0,Strike1,AO172,CE172,0,BL172,IF(OptControl=4,0,1),0,1),0)</f>
        <v>0</v>
      </c>
      <c r="CJ172" s="471" t="n">
        <f aca="false">IF(BD172,xCrudeAPO(BU172,BV172,CC172,CD172,S173,S174,BI172,BL172,BP172,BQ172,0,Strike2,AO172,CE172,0,BL172,IF(OptControl=3,1,0),0,1),0)</f>
        <v>0</v>
      </c>
      <c r="CK172" s="470" t="n">
        <f aca="false">IF(BD172,xCrudeAPO(BU172,BV172,CC172,CD172,S173,S174,BI172,BL172,BP172,BQ172,0,Strike2,AO172,CE172,0,BL172,IF(OptControl=3,1,0),1,1)+xCrudeAPO(BU172,BV172,CC172,CD172,S173,S174,BI172,BL172,BP172,BQ172,0,Strike2,AO172,CE172,0,BL172,IF(OptControl=3,1,0),1,2)+IF(OR(VolSkewFlag=2,ABS(BT172)&lt;0.0001),0,IF(BT172&gt;0,-1,1)*CL172*Strike2/BR172^2*BZ172/10%),0)</f>
        <v>0</v>
      </c>
      <c r="CL172" s="470" t="n">
        <f aca="false">IF(BD172,(xCrudeAPO(BU172,BV172,CC172,CD172,S173,S174,BI172,BL172,BP172,BQ172,0,Strike2,AO172,CE172,0,BL172,IF(OptControl=3,1,0),3,1)+xCrudeAPO(BU172,BV172,CC172,CD172,S173,S174,BI172,BL172,BP172,BQ172,0,Strike2,AO172,CE172,0,BL172,IF(OptControl=3,1,0),3,2))/100,0)</f>
        <v>0</v>
      </c>
      <c r="CM172" s="472" t="n">
        <f aca="false">IF(BD172,xCrudeAPO(BU172,BV172,CC172,CD172,S173,S174,BI172-DaysForThetaCalculation/365.25,BL172-DaysForThetaCalculation/365.25,BP172,BQ172,0,Strike2,AO172,CE172,0,BL172,IF(OptControl=3,1,0),0,1)-xCrudeAPO(BU172,BV172,CC172,CD172,S173,S174,BI172,BL172,BP172,BQ172,0,Strike2,AO172,CE172,0,BL172,IF(OptControl=3,1,0),0,1),0)</f>
        <v>0</v>
      </c>
      <c r="CN172" s="3"/>
      <c r="CO172" s="543" t="str">
        <f aca="false">IF(BD172,CHOOSE(Underlying,AD172,AF172)-DateToday+1,"")</f>
        <v/>
      </c>
      <c r="CP172" s="582" t="str">
        <f aca="false">IF(BD172,CHOOSE(Underlying,L172,R172),"")</f>
        <v/>
      </c>
      <c r="CQ172" s="544" t="str">
        <f aca="false">IF(BD172,Strike1/CP172-1,"")</f>
        <v/>
      </c>
      <c r="CR172" s="544" t="str">
        <f aca="false">IF(BD172,Strike2/CP172-1,"")</f>
        <v/>
      </c>
      <c r="CS172" s="544" t="str">
        <f aca="false">IF(BD172,IF(CQ172&gt;0,IF(CQ172&gt;0.2,BC171-BB171,IF(CQ172&gt;0.1,BB171-BA171,BA171)),IF(CQ172&lt;-0.2,AX171-AY171,IF(CQ172&lt;-0.1,AY171-AZ171,AZ171))),"")</f>
        <v/>
      </c>
      <c r="CT172" s="544" t="str">
        <f aca="false">IF(BD172,IF(CR172&gt;0,IF(CR172&gt;0.2,BC171-BB171,IF(CR172&gt;0.1,BB171-BA171,BA171)),IF(CR172&lt;-0.2,AX171-AY171,IF(CR172&lt;-0.1,AY171-AZ171,AZ171))),"")</f>
        <v/>
      </c>
      <c r="CU172" s="545" t="str">
        <f aca="false">IF(BD172,CHOOSE(Underlying,O172,AT172),"")</f>
        <v/>
      </c>
      <c r="CV172" s="545" t="str">
        <f aca="false">IF(BD172,CU172+IF(VolSkewFlag=1,IF(CQ172&gt;0,BA171*MIN(CQ172/10%,1)+(BB171-BA171)*MAX(0,MIN(CQ172/10%-1,1))+(BC171-BB171)*MAX(0,CQ172/10%-2),AZ171*MIN(-CQ172/10%,1)+(AY171-AZ171)*MAX(0,MIN(-CQ172/10%-1,1))+(AX171-AY171)*MAX(0,-CQ172/10%-2)),0),"")</f>
        <v/>
      </c>
      <c r="CW172" s="545" t="str">
        <f aca="false">IF(BD172,CU172+IF(VolSkewFlag=1,IF(CR172&gt;0,BA171*MIN(CR172/10%,1)+(BB171-BA171)*MAX(0,MIN(CR172/10%-1,1))+(BC171-BB171)*MAX(0,CR172/10%-2),AZ171*MIN(-CR172/10%,1)+(AY171-AZ171)*MAX(0,MIN(-CR172/10%-1,1))+(AX171-AY171)*MAX(0,-CR172/10%-2)),0),"")</f>
        <v/>
      </c>
      <c r="CX172" s="470" t="n">
        <f aca="false">IF(BD172,EURO(CP172,Strike1,AO172,AO172,CV172,CO172,IF(OptControl=4,0,1),0),0)</f>
        <v>0</v>
      </c>
      <c r="CY172" s="470" t="n">
        <f aca="false">IF(BD172,EURO(CP172,Strike1,AO172,AO172,CV172,CO172,IF(OptControl=4,0,1),1)+IF(OR(VolSkewFlag=2,ABS(CQ172)&lt;0.0001),0,IF(CQ172&gt;0,-1,1)*CZ172*100*Strike1/CP172^2*CS172/10%),0)</f>
        <v>0</v>
      </c>
      <c r="CZ172" s="470" t="n">
        <f aca="false">IF(BD172,EURO(CP172,Strike1,AO172,AO172,CV172,CO172,IF(OptControl=4,0,1),3)/100,0)</f>
        <v>0</v>
      </c>
      <c r="DA172" s="470" t="n">
        <f aca="false">IF(BD172,EURO(CP172,Strike1,AO172,AO172,CV172,CO172,IF(OptControl=4,0,1),0)-EURO(CP172,Strike1,AO172,AO172,CV172,CO172-1,IF(OptControl=4,0,1),0),0)</f>
        <v>0</v>
      </c>
      <c r="DB172" s="470" t="n">
        <f aca="false">IF(BD172,EURO(CP172,Strike2,AO172,AO172,CW172,CO172,IF(OptControl=3,1,0),0),0)</f>
        <v>0</v>
      </c>
      <c r="DC172" s="470" t="n">
        <f aca="false">IF(BD172,EURO(CP172,Strike2,AO172,AO172,CW172,CO172,IF(OptControl=3,1,0),1)+IF(OR(VolSkewFlag=2,ABS(CR172)&lt;0.0001),0,IF(CR172&gt;0,-1,1)*DD172*100*Strike2/CP172^2*CT172/10%),0)</f>
        <v>0</v>
      </c>
      <c r="DD172" s="470" t="n">
        <f aca="false">IF(BD172,EURO(CP172,Strike2,AO172,AO172,CW172,CO172,IF(OptControl=3,1,0),3)/100,0)</f>
        <v>0</v>
      </c>
      <c r="DE172" s="472" t="n">
        <f aca="false">IF(BD172,EURO(CP172,Strike2,AO172,AO172,CW172,CO172,IF(OptControl=3,1,0),0)-EURO(CP172,Strike2,AO172,AO172,CW172,CO172-1,IF(OptControl=3,1,0),0),0)</f>
        <v>0</v>
      </c>
      <c r="DG172" s="481" t="n">
        <f aca="false">EOMONTH(DG171,0)+1</f>
        <v>50314</v>
      </c>
      <c r="DH172" s="478" t="n">
        <v>21.7600000000001</v>
      </c>
      <c r="DI172" s="479" t="n">
        <v>21.8273913043479</v>
      </c>
      <c r="DJ172" s="480" t="n">
        <f aca="false">DG172</f>
        <v>50314</v>
      </c>
      <c r="DK172" s="478" t="n">
        <v>20.4134194772664</v>
      </c>
      <c r="DL172" s="479" t="n">
        <v>20.6342913043479</v>
      </c>
      <c r="DM172" s="481" t="n">
        <f aca="false">DG172</f>
        <v>50314</v>
      </c>
      <c r="DN172" s="482" t="n">
        <f aca="false">DK172+BrentPhyBrentSpread</f>
        <v>20.4634194772664</v>
      </c>
      <c r="DO172" s="481" t="n">
        <f aca="false">DG172</f>
        <v>50314</v>
      </c>
      <c r="DP172" s="483" t="n">
        <f aca="false">DL172+DQ172</f>
        <v>20.6342913043479</v>
      </c>
      <c r="DQ172" s="546" t="n">
        <v>0</v>
      </c>
      <c r="DR172" s="480" t="n">
        <f aca="false">DG172</f>
        <v>50314</v>
      </c>
      <c r="DS172" s="485" t="n">
        <v>0.133399999999999</v>
      </c>
      <c r="DT172" s="486" t="n">
        <v>0.132591304347825</v>
      </c>
      <c r="DU172" s="480" t="n">
        <f aca="false">DG172</f>
        <v>50314</v>
      </c>
      <c r="DV172" s="485" t="n">
        <v>0.133399999999999</v>
      </c>
      <c r="DW172" s="486" t="n">
        <v>0.132591304347825</v>
      </c>
      <c r="DX172" s="481" t="n">
        <f aca="false">DG172</f>
        <v>50314</v>
      </c>
      <c r="DY172" s="486" t="n">
        <v>0.35</v>
      </c>
      <c r="DZ172" s="481" t="n">
        <f aca="false">DR172</f>
        <v>50314</v>
      </c>
      <c r="EA172" s="486" t="n">
        <f aca="false">DT172</f>
        <v>0.132591304347825</v>
      </c>
      <c r="EB172" s="195"/>
      <c r="EC172" s="547" t="str">
        <f aca="false">IF(BD172,IF(Underlying=1,AS172,AU172),"")</f>
        <v/>
      </c>
      <c r="ED172" s="548" t="str">
        <f aca="false">IF($BD172,$EC172+IF(VolSkewFlag=1,IF(BS172&gt;0,$BA172*MIN(BS172/10%,1)+($BB172-$BA172)*MAX(0,MIN(BS172/10%-1,1))+($BC172-$BB172)*MAX(0,BS172/10%-2),$AZ172*MIN(-BS172/10%,1)+($AY172-$AZ172)*MAX(0,MIN(-BS172/10%-1,1))+($AX172-$AY172)*MAX(0,-BS172/10%-2)),0),"")</f>
        <v/>
      </c>
      <c r="EE172" s="549" t="str">
        <f aca="false">IF($BD172,$EC172+IF(VolSkewFlag=1,IF(BT172&gt;0,$BA172*MIN(BT172/10%,1)+($BB172-$BA172)*MAX(0,MIN(BT172/10%-1,1))+($BC172-$BB172)*MAX(0,BT172/10%-2),$AZ172*MIN(-BT172/10%,1)+($AY172-$AZ172)*MAX(0,MIN(-BT172/10%-1,1))+($AX172-$AY172)*MAX(0,-BT172/10%-2)),0),"")</f>
        <v/>
      </c>
      <c r="EF172" s="550" t="n">
        <f aca="false">IF(BD172,xASN(BR172,Strike1,AO172,ED172,0,BO172,0,BI172,BL172,IF(OptControl=4,0,1),0),0)</f>
        <v>0</v>
      </c>
      <c r="EG172" s="551" t="n">
        <f aca="false">IF(BD172,xASN(BR172,Strike2,AO172,EE172,0,BO172,0,BI172,BL172,IF(OptControl=3,1,0),0),0)</f>
        <v>0</v>
      </c>
      <c r="EL172" s="1"/>
      <c r="EM172" s="195"/>
      <c r="EN172" s="240"/>
      <c r="EO172" s="240"/>
      <c r="EP172" s="195"/>
      <c r="EQ172" s="407" t="s">
        <v>400</v>
      </c>
      <c r="ES172" s="130"/>
      <c r="ET172" s="19"/>
      <c r="EU172" s="672"/>
      <c r="EV172" s="478"/>
      <c r="EW172" s="131"/>
      <c r="EX172" s="131"/>
      <c r="EY172" s="129"/>
      <c r="EZ172" s="129"/>
      <c r="FA172" s="129"/>
      <c r="FB172" s="129"/>
      <c r="FC172" s="129"/>
      <c r="FD172" s="129"/>
      <c r="FE172" s="129"/>
      <c r="FF172" s="129"/>
      <c r="FG172" s="129"/>
      <c r="FH172" s="129"/>
      <c r="FI172" s="129"/>
      <c r="FJ172" s="571" t="n">
        <v>3</v>
      </c>
      <c r="FK172" s="150" t="str">
        <f aca="false">IF(OR(FK$169&lt;SwaptionFirstMonthPosition+1,$FJ172&lt;SwaptionFirstMonthPosition+1,FK$169&gt;SwaptionFirstMonthPosition+SwaptionNumOfMonths+1,$FJ172&gt;SwaptionFirstMonthPosition+SwaptionNumOfMonths+1),"",IF($FJ172=FK$169,1,IF($FJ172&lt;FK$169,INDEX($FK$170:$ID$241,FK$169,$FJ172),SUMPRODUCT(INDEX($FK$325:$ID$396,FK$169,1+SwaptionShift):INDEX($FK$325:$ID$396,FK$169,SwaptionMonthsToGo+SwaptionShift),INDEX($FK$245:$ID$316,$FJ172-FK$169,73-FK$169+SwaptionShift):INDEX($FK$245:$ID$316,$FJ172-FK$169,72-FK$169+SwaptionMonthsToGo+SwaptionShift))/SQRT(SUM(INDEX($FK327:$ID327,1+SwaptionShift):INDEX($FK327:$ID327,SwaptionMonthsToGo+SwaptionShift))*SUM(INDEX($FK$325:$ID$396,FK$169,1+SwaptionShift):INDEX($FK$325:$ID$396,FK$169,SwaptionMonthsToGo+SwaptionShift))))))</f>
        <v/>
      </c>
      <c r="FL172" s="150" t="str">
        <f aca="false">IF(OR(FL$169&lt;SwaptionFirstMonthPosition+1,$FJ172&lt;SwaptionFirstMonthPosition+1,FL$169&gt;SwaptionFirstMonthPosition+SwaptionNumOfMonths+1,$FJ172&gt;SwaptionFirstMonthPosition+SwaptionNumOfMonths+1),"",IF($FJ172=FL$169,1,IF($FJ172&lt;FL$169,INDEX($FK$170:$ID$241,FL$169,$FJ172),SUMPRODUCT(INDEX($FK$325:$ID$396,FL$169,1+SwaptionShift):INDEX($FK$325:$ID$396,FL$169,SwaptionMonthsToGo+SwaptionShift),INDEX($FK$245:$ID$316,$FJ172-FL$169,73-FL$169+SwaptionShift):INDEX($FK$245:$ID$316,$FJ172-FL$169,72-FL$169+SwaptionMonthsToGo+SwaptionShift))/SQRT(SUM(INDEX($FK327:$ID327,1+SwaptionShift):INDEX($FK327:$ID327,SwaptionMonthsToGo+SwaptionShift))*SUM(INDEX($FK$325:$ID$396,FL$169,1+SwaptionShift):INDEX($FK$325:$ID$396,FL$169,SwaptionMonthsToGo+SwaptionShift))))))</f>
        <v/>
      </c>
      <c r="FM172" s="150" t="str">
        <f aca="false">IF(OR(FM$169&lt;SwaptionFirstMonthPosition+1,$FJ172&lt;SwaptionFirstMonthPosition+1,FM$169&gt;SwaptionFirstMonthPosition+SwaptionNumOfMonths+1,$FJ172&gt;SwaptionFirstMonthPosition+SwaptionNumOfMonths+1),"",IF($FJ172=FM$169,1,IF($FJ172&lt;FM$169,INDEX($FK$170:$ID$241,FM$169,$FJ172),SUMPRODUCT(INDEX($FK$325:$ID$396,FM$169,1+SwaptionShift):INDEX($FK$325:$ID$396,FM$169,SwaptionMonthsToGo+SwaptionShift),INDEX($FK$245:$ID$316,$FJ172-FM$169,73-FM$169+SwaptionShift):INDEX($FK$245:$ID$316,$FJ172-FM$169,72-FM$169+SwaptionMonthsToGo+SwaptionShift))/SQRT(SUM(INDEX($FK327:$ID327,1+SwaptionShift):INDEX($FK327:$ID327,SwaptionMonthsToGo+SwaptionShift))*SUM(INDEX($FK$325:$ID$396,FM$169,1+SwaptionShift):INDEX($FK$325:$ID$396,FM$169,SwaptionMonthsToGo+SwaptionShift))))))</f>
        <v/>
      </c>
      <c r="FN172" s="150" t="str">
        <f aca="false">IF(OR(FN$169&lt;SwaptionFirstMonthPosition+1,$FJ172&lt;SwaptionFirstMonthPosition+1,FN$169&gt;SwaptionFirstMonthPosition+SwaptionNumOfMonths+1,$FJ172&gt;SwaptionFirstMonthPosition+SwaptionNumOfMonths+1),"",IF($FJ172=FN$169,1,IF($FJ172&lt;FN$169,INDEX($FK$170:$ID$241,FN$169,$FJ172),SUMPRODUCT(INDEX($FK$325:$ID$396,FN$169,1+SwaptionShift):INDEX($FK$325:$ID$396,FN$169,SwaptionMonthsToGo+SwaptionShift),INDEX($FK$245:$ID$316,$FJ172-FN$169,73-FN$169+SwaptionShift):INDEX($FK$245:$ID$316,$FJ172-FN$169,72-FN$169+SwaptionMonthsToGo+SwaptionShift))/SQRT(SUM(INDEX($FK327:$ID327,1+SwaptionShift):INDEX($FK327:$ID327,SwaptionMonthsToGo+SwaptionShift))*SUM(INDEX($FK$325:$ID$396,FN$169,1+SwaptionShift):INDEX($FK$325:$ID$396,FN$169,SwaptionMonthsToGo+SwaptionShift))))))</f>
        <v/>
      </c>
      <c r="FO172" s="150" t="str">
        <f aca="false">IF(OR(FO$169&lt;SwaptionFirstMonthPosition+1,$FJ172&lt;SwaptionFirstMonthPosition+1,FO$169&gt;SwaptionFirstMonthPosition+SwaptionNumOfMonths+1,$FJ172&gt;SwaptionFirstMonthPosition+SwaptionNumOfMonths+1),"",IF($FJ172=FO$169,1,IF($FJ172&lt;FO$169,INDEX($FK$170:$ID$241,FO$169,$FJ172),SUMPRODUCT(INDEX($FK$325:$ID$396,FO$169,1+SwaptionShift):INDEX($FK$325:$ID$396,FO$169,SwaptionMonthsToGo+SwaptionShift),INDEX($FK$245:$ID$316,$FJ172-FO$169,73-FO$169+SwaptionShift):INDEX($FK$245:$ID$316,$FJ172-FO$169,72-FO$169+SwaptionMonthsToGo+SwaptionShift))/SQRT(SUM(INDEX($FK327:$ID327,1+SwaptionShift):INDEX($FK327:$ID327,SwaptionMonthsToGo+SwaptionShift))*SUM(INDEX($FK$325:$ID$396,FO$169,1+SwaptionShift):INDEX($FK$325:$ID$396,FO$169,SwaptionMonthsToGo+SwaptionShift))))))</f>
        <v/>
      </c>
      <c r="FP172" s="150" t="str">
        <f aca="false">IF(OR(FP$169&lt;SwaptionFirstMonthPosition+1,$FJ172&lt;SwaptionFirstMonthPosition+1,FP$169&gt;SwaptionFirstMonthPosition+SwaptionNumOfMonths+1,$FJ172&gt;SwaptionFirstMonthPosition+SwaptionNumOfMonths+1),"",IF($FJ172=FP$169,1,IF($FJ172&lt;FP$169,INDEX($FK$170:$ID$241,FP$169,$FJ172),SUMPRODUCT(INDEX($FK$325:$ID$396,FP$169,1+SwaptionShift):INDEX($FK$325:$ID$396,FP$169,SwaptionMonthsToGo+SwaptionShift),INDEX($FK$245:$ID$316,$FJ172-FP$169,73-FP$169+SwaptionShift):INDEX($FK$245:$ID$316,$FJ172-FP$169,72-FP$169+SwaptionMonthsToGo+SwaptionShift))/SQRT(SUM(INDEX($FK327:$ID327,1+SwaptionShift):INDEX($FK327:$ID327,SwaptionMonthsToGo+SwaptionShift))*SUM(INDEX($FK$325:$ID$396,FP$169,1+SwaptionShift):INDEX($FK$325:$ID$396,FP$169,SwaptionMonthsToGo+SwaptionShift))))))</f>
        <v/>
      </c>
      <c r="FQ172" s="150" t="str">
        <f aca="false">IF(OR(FQ$169&lt;SwaptionFirstMonthPosition+1,$FJ172&lt;SwaptionFirstMonthPosition+1,FQ$169&gt;SwaptionFirstMonthPosition+SwaptionNumOfMonths+1,$FJ172&gt;SwaptionFirstMonthPosition+SwaptionNumOfMonths+1),"",IF($FJ172=FQ$169,1,IF($FJ172&lt;FQ$169,INDEX($FK$170:$ID$241,FQ$169,$FJ172),SUMPRODUCT(INDEX($FK$325:$ID$396,FQ$169,1+SwaptionShift):INDEX($FK$325:$ID$396,FQ$169,SwaptionMonthsToGo+SwaptionShift),INDEX($FK$245:$ID$316,$FJ172-FQ$169,73-FQ$169+SwaptionShift):INDEX($FK$245:$ID$316,$FJ172-FQ$169,72-FQ$169+SwaptionMonthsToGo+SwaptionShift))/SQRT(SUM(INDEX($FK327:$ID327,1+SwaptionShift):INDEX($FK327:$ID327,SwaptionMonthsToGo+SwaptionShift))*SUM(INDEX($FK$325:$ID$396,FQ$169,1+SwaptionShift):INDEX($FK$325:$ID$396,FQ$169,SwaptionMonthsToGo+SwaptionShift))))))</f>
        <v/>
      </c>
      <c r="FR172" s="150" t="str">
        <f aca="false">IF(OR(FR$169&lt;SwaptionFirstMonthPosition+1,$FJ172&lt;SwaptionFirstMonthPosition+1,FR$169&gt;SwaptionFirstMonthPosition+SwaptionNumOfMonths+1,$FJ172&gt;SwaptionFirstMonthPosition+SwaptionNumOfMonths+1),"",IF($FJ172=FR$169,1,IF($FJ172&lt;FR$169,INDEX($FK$170:$ID$241,FR$169,$FJ172),SUMPRODUCT(INDEX($FK$325:$ID$396,FR$169,1+SwaptionShift):INDEX($FK$325:$ID$396,FR$169,SwaptionMonthsToGo+SwaptionShift),INDEX($FK$245:$ID$316,$FJ172-FR$169,73-FR$169+SwaptionShift):INDEX($FK$245:$ID$316,$FJ172-FR$169,72-FR$169+SwaptionMonthsToGo+SwaptionShift))/SQRT(SUM(INDEX($FK327:$ID327,1+SwaptionShift):INDEX($FK327:$ID327,SwaptionMonthsToGo+SwaptionShift))*SUM(INDEX($FK$325:$ID$396,FR$169,1+SwaptionShift):INDEX($FK$325:$ID$396,FR$169,SwaptionMonthsToGo+SwaptionShift))))))</f>
        <v/>
      </c>
      <c r="FS172" s="150" t="str">
        <f aca="false">IF(OR(FS$169&lt;SwaptionFirstMonthPosition+1,$FJ172&lt;SwaptionFirstMonthPosition+1,FS$169&gt;SwaptionFirstMonthPosition+SwaptionNumOfMonths+1,$FJ172&gt;SwaptionFirstMonthPosition+SwaptionNumOfMonths+1),"",IF($FJ172=FS$169,1,IF($FJ172&lt;FS$169,INDEX($FK$170:$ID$241,FS$169,$FJ172),SUMPRODUCT(INDEX($FK$325:$ID$396,FS$169,1+SwaptionShift):INDEX($FK$325:$ID$396,FS$169,SwaptionMonthsToGo+SwaptionShift),INDEX($FK$245:$ID$316,$FJ172-FS$169,73-FS$169+SwaptionShift):INDEX($FK$245:$ID$316,$FJ172-FS$169,72-FS$169+SwaptionMonthsToGo+SwaptionShift))/SQRT(SUM(INDEX($FK327:$ID327,1+SwaptionShift):INDEX($FK327:$ID327,SwaptionMonthsToGo+SwaptionShift))*SUM(INDEX($FK$325:$ID$396,FS$169,1+SwaptionShift):INDEX($FK$325:$ID$396,FS$169,SwaptionMonthsToGo+SwaptionShift))))))</f>
        <v/>
      </c>
      <c r="FT172" s="150" t="str">
        <f aca="false">IF(OR(FT$169&lt;SwaptionFirstMonthPosition+1,$FJ172&lt;SwaptionFirstMonthPosition+1,FT$169&gt;SwaptionFirstMonthPosition+SwaptionNumOfMonths+1,$FJ172&gt;SwaptionFirstMonthPosition+SwaptionNumOfMonths+1),"",IF($FJ172=FT$169,1,IF($FJ172&lt;FT$169,INDEX($FK$170:$ID$241,FT$169,$FJ172),SUMPRODUCT(INDEX($FK$325:$ID$396,FT$169,1+SwaptionShift):INDEX($FK$325:$ID$396,FT$169,SwaptionMonthsToGo+SwaptionShift),INDEX($FK$245:$ID$316,$FJ172-FT$169,73-FT$169+SwaptionShift):INDEX($FK$245:$ID$316,$FJ172-FT$169,72-FT$169+SwaptionMonthsToGo+SwaptionShift))/SQRT(SUM(INDEX($FK327:$ID327,1+SwaptionShift):INDEX($FK327:$ID327,SwaptionMonthsToGo+SwaptionShift))*SUM(INDEX($FK$325:$ID$396,FT$169,1+SwaptionShift):INDEX($FK$325:$ID$396,FT$169,SwaptionMonthsToGo+SwaptionShift))))))</f>
        <v/>
      </c>
      <c r="FU172" s="150" t="str">
        <f aca="false">IF(OR(FU$169&lt;SwaptionFirstMonthPosition+1,$FJ172&lt;SwaptionFirstMonthPosition+1,FU$169&gt;SwaptionFirstMonthPosition+SwaptionNumOfMonths+1,$FJ172&gt;SwaptionFirstMonthPosition+SwaptionNumOfMonths+1),"",IF($FJ172=FU$169,1,IF($FJ172&lt;FU$169,INDEX($FK$170:$ID$241,FU$169,$FJ172),SUMPRODUCT(INDEX($FK$325:$ID$396,FU$169,1+SwaptionShift):INDEX($FK$325:$ID$396,FU$169,SwaptionMonthsToGo+SwaptionShift),INDEX($FK$245:$ID$316,$FJ172-FU$169,73-FU$169+SwaptionShift):INDEX($FK$245:$ID$316,$FJ172-FU$169,72-FU$169+SwaptionMonthsToGo+SwaptionShift))/SQRT(SUM(INDEX($FK327:$ID327,1+SwaptionShift):INDEX($FK327:$ID327,SwaptionMonthsToGo+SwaptionShift))*SUM(INDEX($FK$325:$ID$396,FU$169,1+SwaptionShift):INDEX($FK$325:$ID$396,FU$169,SwaptionMonthsToGo+SwaptionShift))))))</f>
        <v/>
      </c>
      <c r="FV172" s="150" t="str">
        <f aca="false">IF(OR(FV$169&lt;SwaptionFirstMonthPosition+1,$FJ172&lt;SwaptionFirstMonthPosition+1,FV$169&gt;SwaptionFirstMonthPosition+SwaptionNumOfMonths+1,$FJ172&gt;SwaptionFirstMonthPosition+SwaptionNumOfMonths+1),"",IF($FJ172=FV$169,1,IF($FJ172&lt;FV$169,INDEX($FK$170:$ID$241,FV$169,$FJ172),SUMPRODUCT(INDEX($FK$325:$ID$396,FV$169,1+SwaptionShift):INDEX($FK$325:$ID$396,FV$169,SwaptionMonthsToGo+SwaptionShift),INDEX($FK$245:$ID$316,$FJ172-FV$169,73-FV$169+SwaptionShift):INDEX($FK$245:$ID$316,$FJ172-FV$169,72-FV$169+SwaptionMonthsToGo+SwaptionShift))/SQRT(SUM(INDEX($FK327:$ID327,1+SwaptionShift):INDEX($FK327:$ID327,SwaptionMonthsToGo+SwaptionShift))*SUM(INDEX($FK$325:$ID$396,FV$169,1+SwaptionShift):INDEX($FK$325:$ID$396,FV$169,SwaptionMonthsToGo+SwaptionShift))))))</f>
        <v/>
      </c>
      <c r="FW172" s="150" t="str">
        <f aca="false">IF(OR(FW$169&lt;SwaptionFirstMonthPosition+1,$FJ172&lt;SwaptionFirstMonthPosition+1,FW$169&gt;SwaptionFirstMonthPosition+SwaptionNumOfMonths+1,$FJ172&gt;SwaptionFirstMonthPosition+SwaptionNumOfMonths+1),"",IF($FJ172=FW$169,1,IF($FJ172&lt;FW$169,INDEX($FK$170:$ID$241,FW$169,$FJ172),SUMPRODUCT(INDEX($FK$325:$ID$396,FW$169,1+SwaptionShift):INDEX($FK$325:$ID$396,FW$169,SwaptionMonthsToGo+SwaptionShift),INDEX($FK$245:$ID$316,$FJ172-FW$169,73-FW$169+SwaptionShift):INDEX($FK$245:$ID$316,$FJ172-FW$169,72-FW$169+SwaptionMonthsToGo+SwaptionShift))/SQRT(SUM(INDEX($FK327:$ID327,1+SwaptionShift):INDEX($FK327:$ID327,SwaptionMonthsToGo+SwaptionShift))*SUM(INDEX($FK$325:$ID$396,FW$169,1+SwaptionShift):INDEX($FK$325:$ID$396,FW$169,SwaptionMonthsToGo+SwaptionShift))))))</f>
        <v/>
      </c>
      <c r="FX172" s="150" t="str">
        <f aca="false">IF(OR(FX$169&lt;SwaptionFirstMonthPosition+1,$FJ172&lt;SwaptionFirstMonthPosition+1,FX$169&gt;SwaptionFirstMonthPosition+SwaptionNumOfMonths+1,$FJ172&gt;SwaptionFirstMonthPosition+SwaptionNumOfMonths+1),"",IF($FJ172=FX$169,1,IF($FJ172&lt;FX$169,INDEX($FK$170:$ID$241,FX$169,$FJ172),SUMPRODUCT(INDEX($FK$325:$ID$396,FX$169,1+SwaptionShift):INDEX($FK$325:$ID$396,FX$169,SwaptionMonthsToGo+SwaptionShift),INDEX($FK$245:$ID$316,$FJ172-FX$169,73-FX$169+SwaptionShift):INDEX($FK$245:$ID$316,$FJ172-FX$169,72-FX$169+SwaptionMonthsToGo+SwaptionShift))/SQRT(SUM(INDEX($FK327:$ID327,1+SwaptionShift):INDEX($FK327:$ID327,SwaptionMonthsToGo+SwaptionShift))*SUM(INDEX($FK$325:$ID$396,FX$169,1+SwaptionShift):INDEX($FK$325:$ID$396,FX$169,SwaptionMonthsToGo+SwaptionShift))))))</f>
        <v/>
      </c>
      <c r="FY172" s="150" t="str">
        <f aca="false">IF(OR(FY$169&lt;SwaptionFirstMonthPosition+1,$FJ172&lt;SwaptionFirstMonthPosition+1,FY$169&gt;SwaptionFirstMonthPosition+SwaptionNumOfMonths+1,$FJ172&gt;SwaptionFirstMonthPosition+SwaptionNumOfMonths+1),"",IF($FJ172=FY$169,1,IF($FJ172&lt;FY$169,INDEX($FK$170:$ID$241,FY$169,$FJ172),SUMPRODUCT(INDEX($FK$325:$ID$396,FY$169,1+SwaptionShift):INDEX($FK$325:$ID$396,FY$169,SwaptionMonthsToGo+SwaptionShift),INDEX($FK$245:$ID$316,$FJ172-FY$169,73-FY$169+SwaptionShift):INDEX($FK$245:$ID$316,$FJ172-FY$169,72-FY$169+SwaptionMonthsToGo+SwaptionShift))/SQRT(SUM(INDEX($FK327:$ID327,1+SwaptionShift):INDEX($FK327:$ID327,SwaptionMonthsToGo+SwaptionShift))*SUM(INDEX($FK$325:$ID$396,FY$169,1+SwaptionShift):INDEX($FK$325:$ID$396,FY$169,SwaptionMonthsToGo+SwaptionShift))))))</f>
        <v/>
      </c>
      <c r="FZ172" s="150" t="str">
        <f aca="false">IF(OR(FZ$169&lt;SwaptionFirstMonthPosition+1,$FJ172&lt;SwaptionFirstMonthPosition+1,FZ$169&gt;SwaptionFirstMonthPosition+SwaptionNumOfMonths+1,$FJ172&gt;SwaptionFirstMonthPosition+SwaptionNumOfMonths+1),"",IF($FJ172=FZ$169,1,IF($FJ172&lt;FZ$169,INDEX($FK$170:$ID$241,FZ$169,$FJ172),SUMPRODUCT(INDEX($FK$325:$ID$396,FZ$169,1+SwaptionShift):INDEX($FK$325:$ID$396,FZ$169,SwaptionMonthsToGo+SwaptionShift),INDEX($FK$245:$ID$316,$FJ172-FZ$169,73-FZ$169+SwaptionShift):INDEX($FK$245:$ID$316,$FJ172-FZ$169,72-FZ$169+SwaptionMonthsToGo+SwaptionShift))/SQRT(SUM(INDEX($FK327:$ID327,1+SwaptionShift):INDEX($FK327:$ID327,SwaptionMonthsToGo+SwaptionShift))*SUM(INDEX($FK$325:$ID$396,FZ$169,1+SwaptionShift):INDEX($FK$325:$ID$396,FZ$169,SwaptionMonthsToGo+SwaptionShift))))))</f>
        <v/>
      </c>
      <c r="GA172" s="150" t="str">
        <f aca="false">IF(OR(GA$169&lt;SwaptionFirstMonthPosition+1,$FJ172&lt;SwaptionFirstMonthPosition+1,GA$169&gt;SwaptionFirstMonthPosition+SwaptionNumOfMonths+1,$FJ172&gt;SwaptionFirstMonthPosition+SwaptionNumOfMonths+1),"",IF($FJ172=GA$169,1,IF($FJ172&lt;GA$169,INDEX($FK$170:$ID$241,GA$169,$FJ172),SUMPRODUCT(INDEX($FK$325:$ID$396,GA$169,1+SwaptionShift):INDEX($FK$325:$ID$396,GA$169,SwaptionMonthsToGo+SwaptionShift),INDEX($FK$245:$ID$316,$FJ172-GA$169,73-GA$169+SwaptionShift):INDEX($FK$245:$ID$316,$FJ172-GA$169,72-GA$169+SwaptionMonthsToGo+SwaptionShift))/SQRT(SUM(INDEX($FK327:$ID327,1+SwaptionShift):INDEX($FK327:$ID327,SwaptionMonthsToGo+SwaptionShift))*SUM(INDEX($FK$325:$ID$396,GA$169,1+SwaptionShift):INDEX($FK$325:$ID$396,GA$169,SwaptionMonthsToGo+SwaptionShift))))))</f>
        <v/>
      </c>
      <c r="GB172" s="150" t="str">
        <f aca="false">IF(OR(GB$169&lt;SwaptionFirstMonthPosition+1,$FJ172&lt;SwaptionFirstMonthPosition+1,GB$169&gt;SwaptionFirstMonthPosition+SwaptionNumOfMonths+1,$FJ172&gt;SwaptionFirstMonthPosition+SwaptionNumOfMonths+1),"",IF($FJ172=GB$169,1,IF($FJ172&lt;GB$169,INDEX($FK$170:$ID$241,GB$169,$FJ172),SUMPRODUCT(INDEX($FK$325:$ID$396,GB$169,1+SwaptionShift):INDEX($FK$325:$ID$396,GB$169,SwaptionMonthsToGo+SwaptionShift),INDEX($FK$245:$ID$316,$FJ172-GB$169,73-GB$169+SwaptionShift):INDEX($FK$245:$ID$316,$FJ172-GB$169,72-GB$169+SwaptionMonthsToGo+SwaptionShift))/SQRT(SUM(INDEX($FK327:$ID327,1+SwaptionShift):INDEX($FK327:$ID327,SwaptionMonthsToGo+SwaptionShift))*SUM(INDEX($FK$325:$ID$396,GB$169,1+SwaptionShift):INDEX($FK$325:$ID$396,GB$169,SwaptionMonthsToGo+SwaptionShift))))))</f>
        <v/>
      </c>
      <c r="GC172" s="150" t="str">
        <f aca="false">IF(OR(GC$169&lt;SwaptionFirstMonthPosition+1,$FJ172&lt;SwaptionFirstMonthPosition+1,GC$169&gt;SwaptionFirstMonthPosition+SwaptionNumOfMonths+1,$FJ172&gt;SwaptionFirstMonthPosition+SwaptionNumOfMonths+1),"",IF($FJ172=GC$169,1,IF($FJ172&lt;GC$169,INDEX($FK$170:$ID$241,GC$169,$FJ172),SUMPRODUCT(INDEX($FK$325:$ID$396,GC$169,1+SwaptionShift):INDEX($FK$325:$ID$396,GC$169,SwaptionMonthsToGo+SwaptionShift),INDEX($FK$245:$ID$316,$FJ172-GC$169,73-GC$169+SwaptionShift):INDEX($FK$245:$ID$316,$FJ172-GC$169,72-GC$169+SwaptionMonthsToGo+SwaptionShift))/SQRT(SUM(INDEX($FK327:$ID327,1+SwaptionShift):INDEX($FK327:$ID327,SwaptionMonthsToGo+SwaptionShift))*SUM(INDEX($FK$325:$ID$396,GC$169,1+SwaptionShift):INDEX($FK$325:$ID$396,GC$169,SwaptionMonthsToGo+SwaptionShift))))))</f>
        <v/>
      </c>
      <c r="GD172" s="150" t="str">
        <f aca="false">IF(OR(GD$169&lt;SwaptionFirstMonthPosition+1,$FJ172&lt;SwaptionFirstMonthPosition+1,GD$169&gt;SwaptionFirstMonthPosition+SwaptionNumOfMonths+1,$FJ172&gt;SwaptionFirstMonthPosition+SwaptionNumOfMonths+1),"",IF($FJ172=GD$169,1,IF($FJ172&lt;GD$169,INDEX($FK$170:$ID$241,GD$169,$FJ172),SUMPRODUCT(INDEX($FK$325:$ID$396,GD$169,1+SwaptionShift):INDEX($FK$325:$ID$396,GD$169,SwaptionMonthsToGo+SwaptionShift),INDEX($FK$245:$ID$316,$FJ172-GD$169,73-GD$169+SwaptionShift):INDEX($FK$245:$ID$316,$FJ172-GD$169,72-GD$169+SwaptionMonthsToGo+SwaptionShift))/SQRT(SUM(INDEX($FK327:$ID327,1+SwaptionShift):INDEX($FK327:$ID327,SwaptionMonthsToGo+SwaptionShift))*SUM(INDEX($FK$325:$ID$396,GD$169,1+SwaptionShift):INDEX($FK$325:$ID$396,GD$169,SwaptionMonthsToGo+SwaptionShift))))))</f>
        <v/>
      </c>
      <c r="GE172" s="150" t="str">
        <f aca="false">IF(OR(GE$169&lt;SwaptionFirstMonthPosition+1,$FJ172&lt;SwaptionFirstMonthPosition+1,GE$169&gt;SwaptionFirstMonthPosition+SwaptionNumOfMonths+1,$FJ172&gt;SwaptionFirstMonthPosition+SwaptionNumOfMonths+1),"",IF($FJ172=GE$169,1,IF($FJ172&lt;GE$169,INDEX($FK$170:$ID$241,GE$169,$FJ172),SUMPRODUCT(INDEX($FK$325:$ID$396,GE$169,1+SwaptionShift):INDEX($FK$325:$ID$396,GE$169,SwaptionMonthsToGo+SwaptionShift),INDEX($FK$245:$ID$316,$FJ172-GE$169,73-GE$169+SwaptionShift):INDEX($FK$245:$ID$316,$FJ172-GE$169,72-GE$169+SwaptionMonthsToGo+SwaptionShift))/SQRT(SUM(INDEX($FK327:$ID327,1+SwaptionShift):INDEX($FK327:$ID327,SwaptionMonthsToGo+SwaptionShift))*SUM(INDEX($FK$325:$ID$396,GE$169,1+SwaptionShift):INDEX($FK$325:$ID$396,GE$169,SwaptionMonthsToGo+SwaptionShift))))))</f>
        <v/>
      </c>
      <c r="GF172" s="150" t="str">
        <f aca="false">IF(OR(GF$169&lt;SwaptionFirstMonthPosition+1,$FJ172&lt;SwaptionFirstMonthPosition+1,GF$169&gt;SwaptionFirstMonthPosition+SwaptionNumOfMonths+1,$FJ172&gt;SwaptionFirstMonthPosition+SwaptionNumOfMonths+1),"",IF($FJ172=GF$169,1,IF($FJ172&lt;GF$169,INDEX($FK$170:$ID$241,GF$169,$FJ172),SUMPRODUCT(INDEX($FK$325:$ID$396,GF$169,1+SwaptionShift):INDEX($FK$325:$ID$396,GF$169,SwaptionMonthsToGo+SwaptionShift),INDEX($FK$245:$ID$316,$FJ172-GF$169,73-GF$169+SwaptionShift):INDEX($FK$245:$ID$316,$FJ172-GF$169,72-GF$169+SwaptionMonthsToGo+SwaptionShift))/SQRT(SUM(INDEX($FK327:$ID327,1+SwaptionShift):INDEX($FK327:$ID327,SwaptionMonthsToGo+SwaptionShift))*SUM(INDEX($FK$325:$ID$396,GF$169,1+SwaptionShift):INDEX($FK$325:$ID$396,GF$169,SwaptionMonthsToGo+SwaptionShift))))))</f>
        <v/>
      </c>
      <c r="GG172" s="150" t="str">
        <f aca="false">IF(OR(GG$169&lt;SwaptionFirstMonthPosition+1,$FJ172&lt;SwaptionFirstMonthPosition+1,GG$169&gt;SwaptionFirstMonthPosition+SwaptionNumOfMonths+1,$FJ172&gt;SwaptionFirstMonthPosition+SwaptionNumOfMonths+1),"",IF($FJ172=GG$169,1,IF($FJ172&lt;GG$169,INDEX($FK$170:$ID$241,GG$169,$FJ172),SUMPRODUCT(INDEX($FK$325:$ID$396,GG$169,1+SwaptionShift):INDEX($FK$325:$ID$396,GG$169,SwaptionMonthsToGo+SwaptionShift),INDEX($FK$245:$ID$316,$FJ172-GG$169,73-GG$169+SwaptionShift):INDEX($FK$245:$ID$316,$FJ172-GG$169,72-GG$169+SwaptionMonthsToGo+SwaptionShift))/SQRT(SUM(INDEX($FK327:$ID327,1+SwaptionShift):INDEX($FK327:$ID327,SwaptionMonthsToGo+SwaptionShift))*SUM(INDEX($FK$325:$ID$396,GG$169,1+SwaptionShift):INDEX($FK$325:$ID$396,GG$169,SwaptionMonthsToGo+SwaptionShift))))))</f>
        <v/>
      </c>
      <c r="GH172" s="150" t="str">
        <f aca="false">IF(OR(GH$169&lt;SwaptionFirstMonthPosition+1,$FJ172&lt;SwaptionFirstMonthPosition+1,GH$169&gt;SwaptionFirstMonthPosition+SwaptionNumOfMonths+1,$FJ172&gt;SwaptionFirstMonthPosition+SwaptionNumOfMonths+1),"",IF($FJ172=GH$169,1,IF($FJ172&lt;GH$169,INDEX($FK$170:$ID$241,GH$169,$FJ172),SUMPRODUCT(INDEX($FK$325:$ID$396,GH$169,1+SwaptionShift):INDEX($FK$325:$ID$396,GH$169,SwaptionMonthsToGo+SwaptionShift),INDEX($FK$245:$ID$316,$FJ172-GH$169,73-GH$169+SwaptionShift):INDEX($FK$245:$ID$316,$FJ172-GH$169,72-GH$169+SwaptionMonthsToGo+SwaptionShift))/SQRT(SUM(INDEX($FK327:$ID327,1+SwaptionShift):INDEX($FK327:$ID327,SwaptionMonthsToGo+SwaptionShift))*SUM(INDEX($FK$325:$ID$396,GH$169,1+SwaptionShift):INDEX($FK$325:$ID$396,GH$169,SwaptionMonthsToGo+SwaptionShift))))))</f>
        <v/>
      </c>
      <c r="GI172" s="150" t="str">
        <f aca="false">IF(OR(GI$169&lt;SwaptionFirstMonthPosition+1,$FJ172&lt;SwaptionFirstMonthPosition+1,GI$169&gt;SwaptionFirstMonthPosition+SwaptionNumOfMonths+1,$FJ172&gt;SwaptionFirstMonthPosition+SwaptionNumOfMonths+1),"",IF($FJ172=GI$169,1,IF($FJ172&lt;GI$169,INDEX($FK$170:$ID$241,GI$169,$FJ172),SUMPRODUCT(INDEX($FK$325:$ID$396,GI$169,1+SwaptionShift):INDEX($FK$325:$ID$396,GI$169,SwaptionMonthsToGo+SwaptionShift),INDEX($FK$245:$ID$316,$FJ172-GI$169,73-GI$169+SwaptionShift):INDEX($FK$245:$ID$316,$FJ172-GI$169,72-GI$169+SwaptionMonthsToGo+SwaptionShift))/SQRT(SUM(INDEX($FK327:$ID327,1+SwaptionShift):INDEX($FK327:$ID327,SwaptionMonthsToGo+SwaptionShift))*SUM(INDEX($FK$325:$ID$396,GI$169,1+SwaptionShift):INDEX($FK$325:$ID$396,GI$169,SwaptionMonthsToGo+SwaptionShift))))))</f>
        <v/>
      </c>
      <c r="GJ172" s="150" t="str">
        <f aca="false">IF(OR(GJ$169&lt;SwaptionFirstMonthPosition+1,$FJ172&lt;SwaptionFirstMonthPosition+1,GJ$169&gt;SwaptionFirstMonthPosition+SwaptionNumOfMonths+1,$FJ172&gt;SwaptionFirstMonthPosition+SwaptionNumOfMonths+1),"",IF($FJ172=GJ$169,1,IF($FJ172&lt;GJ$169,INDEX($FK$170:$ID$241,GJ$169,$FJ172),SUMPRODUCT(INDEX($FK$325:$ID$396,GJ$169,1+SwaptionShift):INDEX($FK$325:$ID$396,GJ$169,SwaptionMonthsToGo+SwaptionShift),INDEX($FK$245:$ID$316,$FJ172-GJ$169,73-GJ$169+SwaptionShift):INDEX($FK$245:$ID$316,$FJ172-GJ$169,72-GJ$169+SwaptionMonthsToGo+SwaptionShift))/SQRT(SUM(INDEX($FK327:$ID327,1+SwaptionShift):INDEX($FK327:$ID327,SwaptionMonthsToGo+SwaptionShift))*SUM(INDEX($FK$325:$ID$396,GJ$169,1+SwaptionShift):INDEX($FK$325:$ID$396,GJ$169,SwaptionMonthsToGo+SwaptionShift))))))</f>
        <v/>
      </c>
      <c r="GK172" s="150" t="str">
        <f aca="false">IF(OR(GK$169&lt;SwaptionFirstMonthPosition+1,$FJ172&lt;SwaptionFirstMonthPosition+1,GK$169&gt;SwaptionFirstMonthPosition+SwaptionNumOfMonths+1,$FJ172&gt;SwaptionFirstMonthPosition+SwaptionNumOfMonths+1),"",IF($FJ172=GK$169,1,IF($FJ172&lt;GK$169,INDEX($FK$170:$ID$241,GK$169,$FJ172),SUMPRODUCT(INDEX($FK$325:$ID$396,GK$169,1+SwaptionShift):INDEX($FK$325:$ID$396,GK$169,SwaptionMonthsToGo+SwaptionShift),INDEX($FK$245:$ID$316,$FJ172-GK$169,73-GK$169+SwaptionShift):INDEX($FK$245:$ID$316,$FJ172-GK$169,72-GK$169+SwaptionMonthsToGo+SwaptionShift))/SQRT(SUM(INDEX($FK327:$ID327,1+SwaptionShift):INDEX($FK327:$ID327,SwaptionMonthsToGo+SwaptionShift))*SUM(INDEX($FK$325:$ID$396,GK$169,1+SwaptionShift):INDEX($FK$325:$ID$396,GK$169,SwaptionMonthsToGo+SwaptionShift))))))</f>
        <v/>
      </c>
      <c r="GL172" s="150" t="str">
        <f aca="false">IF(OR(GL$169&lt;SwaptionFirstMonthPosition+1,$FJ172&lt;SwaptionFirstMonthPosition+1,GL$169&gt;SwaptionFirstMonthPosition+SwaptionNumOfMonths+1,$FJ172&gt;SwaptionFirstMonthPosition+SwaptionNumOfMonths+1),"",IF($FJ172=GL$169,1,IF($FJ172&lt;GL$169,INDEX($FK$170:$ID$241,GL$169,$FJ172),SUMPRODUCT(INDEX($FK$325:$ID$396,GL$169,1+SwaptionShift):INDEX($FK$325:$ID$396,GL$169,SwaptionMonthsToGo+SwaptionShift),INDEX($FK$245:$ID$316,$FJ172-GL$169,73-GL$169+SwaptionShift):INDEX($FK$245:$ID$316,$FJ172-GL$169,72-GL$169+SwaptionMonthsToGo+SwaptionShift))/SQRT(SUM(INDEX($FK327:$ID327,1+SwaptionShift):INDEX($FK327:$ID327,SwaptionMonthsToGo+SwaptionShift))*SUM(INDEX($FK$325:$ID$396,GL$169,1+SwaptionShift):INDEX($FK$325:$ID$396,GL$169,SwaptionMonthsToGo+SwaptionShift))))))</f>
        <v/>
      </c>
      <c r="GM172" s="150" t="str">
        <f aca="false">IF(OR(GM$169&lt;SwaptionFirstMonthPosition+1,$FJ172&lt;SwaptionFirstMonthPosition+1,GM$169&gt;SwaptionFirstMonthPosition+SwaptionNumOfMonths+1,$FJ172&gt;SwaptionFirstMonthPosition+SwaptionNumOfMonths+1),"",IF($FJ172=GM$169,1,IF($FJ172&lt;GM$169,INDEX($FK$170:$ID$241,GM$169,$FJ172),SUMPRODUCT(INDEX($FK$325:$ID$396,GM$169,1+SwaptionShift):INDEX($FK$325:$ID$396,GM$169,SwaptionMonthsToGo+SwaptionShift),INDEX($FK$245:$ID$316,$FJ172-GM$169,73-GM$169+SwaptionShift):INDEX($FK$245:$ID$316,$FJ172-GM$169,72-GM$169+SwaptionMonthsToGo+SwaptionShift))/SQRT(SUM(INDEX($FK327:$ID327,1+SwaptionShift):INDEX($FK327:$ID327,SwaptionMonthsToGo+SwaptionShift))*SUM(INDEX($FK$325:$ID$396,GM$169,1+SwaptionShift):INDEX($FK$325:$ID$396,GM$169,SwaptionMonthsToGo+SwaptionShift))))))</f>
        <v/>
      </c>
      <c r="GN172" s="150" t="str">
        <f aca="false">IF(OR(GN$169&lt;SwaptionFirstMonthPosition+1,$FJ172&lt;SwaptionFirstMonthPosition+1,GN$169&gt;SwaptionFirstMonthPosition+SwaptionNumOfMonths+1,$FJ172&gt;SwaptionFirstMonthPosition+SwaptionNumOfMonths+1),"",IF($FJ172=GN$169,1,IF($FJ172&lt;GN$169,INDEX($FK$170:$ID$241,GN$169,$FJ172),SUMPRODUCT(INDEX($FK$325:$ID$396,GN$169,1+SwaptionShift):INDEX($FK$325:$ID$396,GN$169,SwaptionMonthsToGo+SwaptionShift),INDEX($FK$245:$ID$316,$FJ172-GN$169,73-GN$169+SwaptionShift):INDEX($FK$245:$ID$316,$FJ172-GN$169,72-GN$169+SwaptionMonthsToGo+SwaptionShift))/SQRT(SUM(INDEX($FK327:$ID327,1+SwaptionShift):INDEX($FK327:$ID327,SwaptionMonthsToGo+SwaptionShift))*SUM(INDEX($FK$325:$ID$396,GN$169,1+SwaptionShift):INDEX($FK$325:$ID$396,GN$169,SwaptionMonthsToGo+SwaptionShift))))))</f>
        <v/>
      </c>
      <c r="GO172" s="150" t="str">
        <f aca="false">IF(OR(GO$169&lt;SwaptionFirstMonthPosition+1,$FJ172&lt;SwaptionFirstMonthPosition+1,GO$169&gt;SwaptionFirstMonthPosition+SwaptionNumOfMonths+1,$FJ172&gt;SwaptionFirstMonthPosition+SwaptionNumOfMonths+1),"",IF($FJ172=GO$169,1,IF($FJ172&lt;GO$169,INDEX($FK$170:$ID$241,GO$169,$FJ172),SUMPRODUCT(INDEX($FK$325:$ID$396,GO$169,1+SwaptionShift):INDEX($FK$325:$ID$396,GO$169,SwaptionMonthsToGo+SwaptionShift),INDEX($FK$245:$ID$316,$FJ172-GO$169,73-GO$169+SwaptionShift):INDEX($FK$245:$ID$316,$FJ172-GO$169,72-GO$169+SwaptionMonthsToGo+SwaptionShift))/SQRT(SUM(INDEX($FK327:$ID327,1+SwaptionShift):INDEX($FK327:$ID327,SwaptionMonthsToGo+SwaptionShift))*SUM(INDEX($FK$325:$ID$396,GO$169,1+SwaptionShift):INDEX($FK$325:$ID$396,GO$169,SwaptionMonthsToGo+SwaptionShift))))))</f>
        <v/>
      </c>
      <c r="GP172" s="150" t="str">
        <f aca="false">IF(OR(GP$169&lt;SwaptionFirstMonthPosition+1,$FJ172&lt;SwaptionFirstMonthPosition+1,GP$169&gt;SwaptionFirstMonthPosition+SwaptionNumOfMonths+1,$FJ172&gt;SwaptionFirstMonthPosition+SwaptionNumOfMonths+1),"",IF($FJ172=GP$169,1,IF($FJ172&lt;GP$169,INDEX($FK$170:$ID$241,GP$169,$FJ172),SUMPRODUCT(INDEX($FK$325:$ID$396,GP$169,1+SwaptionShift):INDEX($FK$325:$ID$396,GP$169,SwaptionMonthsToGo+SwaptionShift),INDEX($FK$245:$ID$316,$FJ172-GP$169,73-GP$169+SwaptionShift):INDEX($FK$245:$ID$316,$FJ172-GP$169,72-GP$169+SwaptionMonthsToGo+SwaptionShift))/SQRT(SUM(INDEX($FK327:$ID327,1+SwaptionShift):INDEX($FK327:$ID327,SwaptionMonthsToGo+SwaptionShift))*SUM(INDEX($FK$325:$ID$396,GP$169,1+SwaptionShift):INDEX($FK$325:$ID$396,GP$169,SwaptionMonthsToGo+SwaptionShift))))))</f>
        <v/>
      </c>
      <c r="GQ172" s="150" t="str">
        <f aca="false">IF(OR(GQ$169&lt;SwaptionFirstMonthPosition+1,$FJ172&lt;SwaptionFirstMonthPosition+1,GQ$169&gt;SwaptionFirstMonthPosition+SwaptionNumOfMonths+1,$FJ172&gt;SwaptionFirstMonthPosition+SwaptionNumOfMonths+1),"",IF($FJ172=GQ$169,1,IF($FJ172&lt;GQ$169,INDEX($FK$170:$ID$241,GQ$169,$FJ172),SUMPRODUCT(INDEX($FK$325:$ID$396,GQ$169,1+SwaptionShift):INDEX($FK$325:$ID$396,GQ$169,SwaptionMonthsToGo+SwaptionShift),INDEX($FK$245:$ID$316,$FJ172-GQ$169,73-GQ$169+SwaptionShift):INDEX($FK$245:$ID$316,$FJ172-GQ$169,72-GQ$169+SwaptionMonthsToGo+SwaptionShift))/SQRT(SUM(INDEX($FK327:$ID327,1+SwaptionShift):INDEX($FK327:$ID327,SwaptionMonthsToGo+SwaptionShift))*SUM(INDEX($FK$325:$ID$396,GQ$169,1+SwaptionShift):INDEX($FK$325:$ID$396,GQ$169,SwaptionMonthsToGo+SwaptionShift))))))</f>
        <v/>
      </c>
      <c r="GR172" s="150" t="str">
        <f aca="false">IF(OR(GR$169&lt;SwaptionFirstMonthPosition+1,$FJ172&lt;SwaptionFirstMonthPosition+1,GR$169&gt;SwaptionFirstMonthPosition+SwaptionNumOfMonths+1,$FJ172&gt;SwaptionFirstMonthPosition+SwaptionNumOfMonths+1),"",IF($FJ172=GR$169,1,IF($FJ172&lt;GR$169,INDEX($FK$170:$ID$241,GR$169,$FJ172),SUMPRODUCT(INDEX($FK$325:$ID$396,GR$169,1+SwaptionShift):INDEX($FK$325:$ID$396,GR$169,SwaptionMonthsToGo+SwaptionShift),INDEX($FK$245:$ID$316,$FJ172-GR$169,73-GR$169+SwaptionShift):INDEX($FK$245:$ID$316,$FJ172-GR$169,72-GR$169+SwaptionMonthsToGo+SwaptionShift))/SQRT(SUM(INDEX($FK327:$ID327,1+SwaptionShift):INDEX($FK327:$ID327,SwaptionMonthsToGo+SwaptionShift))*SUM(INDEX($FK$325:$ID$396,GR$169,1+SwaptionShift):INDEX($FK$325:$ID$396,GR$169,SwaptionMonthsToGo+SwaptionShift))))))</f>
        <v/>
      </c>
      <c r="GS172" s="150" t="str">
        <f aca="false">IF(OR(GS$169&lt;SwaptionFirstMonthPosition+1,$FJ172&lt;SwaptionFirstMonthPosition+1,GS$169&gt;SwaptionFirstMonthPosition+SwaptionNumOfMonths+1,$FJ172&gt;SwaptionFirstMonthPosition+SwaptionNumOfMonths+1),"",IF($FJ172=GS$169,1,IF($FJ172&lt;GS$169,INDEX($FK$170:$ID$241,GS$169,$FJ172),SUMPRODUCT(INDEX($FK$325:$ID$396,GS$169,1+SwaptionShift):INDEX($FK$325:$ID$396,GS$169,SwaptionMonthsToGo+SwaptionShift),INDEX($FK$245:$ID$316,$FJ172-GS$169,73-GS$169+SwaptionShift):INDEX($FK$245:$ID$316,$FJ172-GS$169,72-GS$169+SwaptionMonthsToGo+SwaptionShift))/SQRT(SUM(INDEX($FK327:$ID327,1+SwaptionShift):INDEX($FK327:$ID327,SwaptionMonthsToGo+SwaptionShift))*SUM(INDEX($FK$325:$ID$396,GS$169,1+SwaptionShift):INDEX($FK$325:$ID$396,GS$169,SwaptionMonthsToGo+SwaptionShift))))))</f>
        <v/>
      </c>
      <c r="GT172" s="150" t="str">
        <f aca="false">IF(OR(GT$169&lt;SwaptionFirstMonthPosition+1,$FJ172&lt;SwaptionFirstMonthPosition+1,GT$169&gt;SwaptionFirstMonthPosition+SwaptionNumOfMonths+1,$FJ172&gt;SwaptionFirstMonthPosition+SwaptionNumOfMonths+1),"",IF($FJ172=GT$169,1,IF($FJ172&lt;GT$169,INDEX($FK$170:$ID$241,GT$169,$FJ172),SUMPRODUCT(INDEX($FK$325:$ID$396,GT$169,1+SwaptionShift):INDEX($FK$325:$ID$396,GT$169,SwaptionMonthsToGo+SwaptionShift),INDEX($FK$245:$ID$316,$FJ172-GT$169,73-GT$169+SwaptionShift):INDEX($FK$245:$ID$316,$FJ172-GT$169,72-GT$169+SwaptionMonthsToGo+SwaptionShift))/SQRT(SUM(INDEX($FK327:$ID327,1+SwaptionShift):INDEX($FK327:$ID327,SwaptionMonthsToGo+SwaptionShift))*SUM(INDEX($FK$325:$ID$396,GT$169,1+SwaptionShift):INDEX($FK$325:$ID$396,GT$169,SwaptionMonthsToGo+SwaptionShift))))))</f>
        <v/>
      </c>
      <c r="GU172" s="150" t="str">
        <f aca="false">IF(OR(GU$169&lt;SwaptionFirstMonthPosition+1,$FJ172&lt;SwaptionFirstMonthPosition+1,GU$169&gt;SwaptionFirstMonthPosition+SwaptionNumOfMonths+1,$FJ172&gt;SwaptionFirstMonthPosition+SwaptionNumOfMonths+1),"",IF($FJ172=GU$169,1,IF($FJ172&lt;GU$169,INDEX($FK$170:$ID$241,GU$169,$FJ172),SUMPRODUCT(INDEX($FK$325:$ID$396,GU$169,1+SwaptionShift):INDEX($FK$325:$ID$396,GU$169,SwaptionMonthsToGo+SwaptionShift),INDEX($FK$245:$ID$316,$FJ172-GU$169,73-GU$169+SwaptionShift):INDEX($FK$245:$ID$316,$FJ172-GU$169,72-GU$169+SwaptionMonthsToGo+SwaptionShift))/SQRT(SUM(INDEX($FK327:$ID327,1+SwaptionShift):INDEX($FK327:$ID327,SwaptionMonthsToGo+SwaptionShift))*SUM(INDEX($FK$325:$ID$396,GU$169,1+SwaptionShift):INDEX($FK$325:$ID$396,GU$169,SwaptionMonthsToGo+SwaptionShift))))))</f>
        <v/>
      </c>
      <c r="GV172" s="150" t="str">
        <f aca="false">IF(OR(GV$169&lt;SwaptionFirstMonthPosition+1,$FJ172&lt;SwaptionFirstMonthPosition+1,GV$169&gt;SwaptionFirstMonthPosition+SwaptionNumOfMonths+1,$FJ172&gt;SwaptionFirstMonthPosition+SwaptionNumOfMonths+1),"",IF($FJ172=GV$169,1,IF($FJ172&lt;GV$169,INDEX($FK$170:$ID$241,GV$169,$FJ172),SUMPRODUCT(INDEX($FK$325:$ID$396,GV$169,1+SwaptionShift):INDEX($FK$325:$ID$396,GV$169,SwaptionMonthsToGo+SwaptionShift),INDEX($FK$245:$ID$316,$FJ172-GV$169,73-GV$169+SwaptionShift):INDEX($FK$245:$ID$316,$FJ172-GV$169,72-GV$169+SwaptionMonthsToGo+SwaptionShift))/SQRT(SUM(INDEX($FK327:$ID327,1+SwaptionShift):INDEX($FK327:$ID327,SwaptionMonthsToGo+SwaptionShift))*SUM(INDEX($FK$325:$ID$396,GV$169,1+SwaptionShift):INDEX($FK$325:$ID$396,GV$169,SwaptionMonthsToGo+SwaptionShift))))))</f>
        <v/>
      </c>
      <c r="GW172" s="150" t="str">
        <f aca="false">IF(OR(GW$169&lt;SwaptionFirstMonthPosition+1,$FJ172&lt;SwaptionFirstMonthPosition+1,GW$169&gt;SwaptionFirstMonthPosition+SwaptionNumOfMonths+1,$FJ172&gt;SwaptionFirstMonthPosition+SwaptionNumOfMonths+1),"",IF($FJ172=GW$169,1,IF($FJ172&lt;GW$169,INDEX($FK$170:$ID$241,GW$169,$FJ172),SUMPRODUCT(INDEX($FK$325:$ID$396,GW$169,1+SwaptionShift):INDEX($FK$325:$ID$396,GW$169,SwaptionMonthsToGo+SwaptionShift),INDEX($FK$245:$ID$316,$FJ172-GW$169,73-GW$169+SwaptionShift):INDEX($FK$245:$ID$316,$FJ172-GW$169,72-GW$169+SwaptionMonthsToGo+SwaptionShift))/SQRT(SUM(INDEX($FK327:$ID327,1+SwaptionShift):INDEX($FK327:$ID327,SwaptionMonthsToGo+SwaptionShift))*SUM(INDEX($FK$325:$ID$396,GW$169,1+SwaptionShift):INDEX($FK$325:$ID$396,GW$169,SwaptionMonthsToGo+SwaptionShift))))))</f>
        <v/>
      </c>
      <c r="GX172" s="150" t="str">
        <f aca="false">IF(OR(GX$169&lt;SwaptionFirstMonthPosition+1,$FJ172&lt;SwaptionFirstMonthPosition+1,GX$169&gt;SwaptionFirstMonthPosition+SwaptionNumOfMonths+1,$FJ172&gt;SwaptionFirstMonthPosition+SwaptionNumOfMonths+1),"",IF($FJ172=GX$169,1,IF($FJ172&lt;GX$169,INDEX($FK$170:$ID$241,GX$169,$FJ172),SUMPRODUCT(INDEX($FK$325:$ID$396,GX$169,1+SwaptionShift):INDEX($FK$325:$ID$396,GX$169,SwaptionMonthsToGo+SwaptionShift),INDEX($FK$245:$ID$316,$FJ172-GX$169,73-GX$169+SwaptionShift):INDEX($FK$245:$ID$316,$FJ172-GX$169,72-GX$169+SwaptionMonthsToGo+SwaptionShift))/SQRT(SUM(INDEX($FK327:$ID327,1+SwaptionShift):INDEX($FK327:$ID327,SwaptionMonthsToGo+SwaptionShift))*SUM(INDEX($FK$325:$ID$396,GX$169,1+SwaptionShift):INDEX($FK$325:$ID$396,GX$169,SwaptionMonthsToGo+SwaptionShift))))))</f>
        <v/>
      </c>
      <c r="GY172" s="150" t="str">
        <f aca="false">IF(OR(GY$169&lt;SwaptionFirstMonthPosition+1,$FJ172&lt;SwaptionFirstMonthPosition+1,GY$169&gt;SwaptionFirstMonthPosition+SwaptionNumOfMonths+1,$FJ172&gt;SwaptionFirstMonthPosition+SwaptionNumOfMonths+1),"",IF($FJ172=GY$169,1,IF($FJ172&lt;GY$169,INDEX($FK$170:$ID$241,GY$169,$FJ172),SUMPRODUCT(INDEX($FK$325:$ID$396,GY$169,1+SwaptionShift):INDEX($FK$325:$ID$396,GY$169,SwaptionMonthsToGo+SwaptionShift),INDEX($FK$245:$ID$316,$FJ172-GY$169,73-GY$169+SwaptionShift):INDEX($FK$245:$ID$316,$FJ172-GY$169,72-GY$169+SwaptionMonthsToGo+SwaptionShift))/SQRT(SUM(INDEX($FK327:$ID327,1+SwaptionShift):INDEX($FK327:$ID327,SwaptionMonthsToGo+SwaptionShift))*SUM(INDEX($FK$325:$ID$396,GY$169,1+SwaptionShift):INDEX($FK$325:$ID$396,GY$169,SwaptionMonthsToGo+SwaptionShift))))))</f>
        <v/>
      </c>
      <c r="GZ172" s="150" t="str">
        <f aca="false">IF(OR(GZ$169&lt;SwaptionFirstMonthPosition+1,$FJ172&lt;SwaptionFirstMonthPosition+1,GZ$169&gt;SwaptionFirstMonthPosition+SwaptionNumOfMonths+1,$FJ172&gt;SwaptionFirstMonthPosition+SwaptionNumOfMonths+1),"",IF($FJ172=GZ$169,1,IF($FJ172&lt;GZ$169,INDEX($FK$170:$ID$241,GZ$169,$FJ172),SUMPRODUCT(INDEX($FK$325:$ID$396,GZ$169,1+SwaptionShift):INDEX($FK$325:$ID$396,GZ$169,SwaptionMonthsToGo+SwaptionShift),INDEX($FK$245:$ID$316,$FJ172-GZ$169,73-GZ$169+SwaptionShift):INDEX($FK$245:$ID$316,$FJ172-GZ$169,72-GZ$169+SwaptionMonthsToGo+SwaptionShift))/SQRT(SUM(INDEX($FK327:$ID327,1+SwaptionShift):INDEX($FK327:$ID327,SwaptionMonthsToGo+SwaptionShift))*SUM(INDEX($FK$325:$ID$396,GZ$169,1+SwaptionShift):INDEX($FK$325:$ID$396,GZ$169,SwaptionMonthsToGo+SwaptionShift))))))</f>
        <v/>
      </c>
      <c r="HA172" s="150" t="str">
        <f aca="false">IF(OR(HA$169&lt;SwaptionFirstMonthPosition+1,$FJ172&lt;SwaptionFirstMonthPosition+1,HA$169&gt;SwaptionFirstMonthPosition+SwaptionNumOfMonths+1,$FJ172&gt;SwaptionFirstMonthPosition+SwaptionNumOfMonths+1),"",IF($FJ172=HA$169,1,IF($FJ172&lt;HA$169,INDEX($FK$170:$ID$241,HA$169,$FJ172),SUMPRODUCT(INDEX($FK$325:$ID$396,HA$169,1+SwaptionShift):INDEX($FK$325:$ID$396,HA$169,SwaptionMonthsToGo+SwaptionShift),INDEX($FK$245:$ID$316,$FJ172-HA$169,73-HA$169+SwaptionShift):INDEX($FK$245:$ID$316,$FJ172-HA$169,72-HA$169+SwaptionMonthsToGo+SwaptionShift))/SQRT(SUM(INDEX($FK327:$ID327,1+SwaptionShift):INDEX($FK327:$ID327,SwaptionMonthsToGo+SwaptionShift))*SUM(INDEX($FK$325:$ID$396,HA$169,1+SwaptionShift):INDEX($FK$325:$ID$396,HA$169,SwaptionMonthsToGo+SwaptionShift))))))</f>
        <v/>
      </c>
      <c r="HB172" s="150" t="str">
        <f aca="false">IF(OR(HB$169&lt;SwaptionFirstMonthPosition+1,$FJ172&lt;SwaptionFirstMonthPosition+1,HB$169&gt;SwaptionFirstMonthPosition+SwaptionNumOfMonths+1,$FJ172&gt;SwaptionFirstMonthPosition+SwaptionNumOfMonths+1),"",IF($FJ172=HB$169,1,IF($FJ172&lt;HB$169,INDEX($FK$170:$ID$241,HB$169,$FJ172),SUMPRODUCT(INDEX($FK$325:$ID$396,HB$169,1+SwaptionShift):INDEX($FK$325:$ID$396,HB$169,SwaptionMonthsToGo+SwaptionShift),INDEX($FK$245:$ID$316,$FJ172-HB$169,73-HB$169+SwaptionShift):INDEX($FK$245:$ID$316,$FJ172-HB$169,72-HB$169+SwaptionMonthsToGo+SwaptionShift))/SQRT(SUM(INDEX($FK327:$ID327,1+SwaptionShift):INDEX($FK327:$ID327,SwaptionMonthsToGo+SwaptionShift))*SUM(INDEX($FK$325:$ID$396,HB$169,1+SwaptionShift):INDEX($FK$325:$ID$396,HB$169,SwaptionMonthsToGo+SwaptionShift))))))</f>
        <v/>
      </c>
      <c r="HC172" s="150" t="str">
        <f aca="false">IF(OR(HC$169&lt;SwaptionFirstMonthPosition+1,$FJ172&lt;SwaptionFirstMonthPosition+1,HC$169&gt;SwaptionFirstMonthPosition+SwaptionNumOfMonths+1,$FJ172&gt;SwaptionFirstMonthPosition+SwaptionNumOfMonths+1),"",IF($FJ172=HC$169,1,IF($FJ172&lt;HC$169,INDEX($FK$170:$ID$241,HC$169,$FJ172),SUMPRODUCT(INDEX($FK$325:$ID$396,HC$169,1+SwaptionShift):INDEX($FK$325:$ID$396,HC$169,SwaptionMonthsToGo+SwaptionShift),INDEX($FK$245:$ID$316,$FJ172-HC$169,73-HC$169+SwaptionShift):INDEX($FK$245:$ID$316,$FJ172-HC$169,72-HC$169+SwaptionMonthsToGo+SwaptionShift))/SQRT(SUM(INDEX($FK327:$ID327,1+SwaptionShift):INDEX($FK327:$ID327,SwaptionMonthsToGo+SwaptionShift))*SUM(INDEX($FK$325:$ID$396,HC$169,1+SwaptionShift):INDEX($FK$325:$ID$396,HC$169,SwaptionMonthsToGo+SwaptionShift))))))</f>
        <v/>
      </c>
      <c r="HD172" s="150" t="str">
        <f aca="false">IF(OR(HD$169&lt;SwaptionFirstMonthPosition+1,$FJ172&lt;SwaptionFirstMonthPosition+1,HD$169&gt;SwaptionFirstMonthPosition+SwaptionNumOfMonths+1,$FJ172&gt;SwaptionFirstMonthPosition+SwaptionNumOfMonths+1),"",IF($FJ172=HD$169,1,IF($FJ172&lt;HD$169,INDEX($FK$170:$ID$241,HD$169,$FJ172),SUMPRODUCT(INDEX($FK$325:$ID$396,HD$169,1+SwaptionShift):INDEX($FK$325:$ID$396,HD$169,SwaptionMonthsToGo+SwaptionShift),INDEX($FK$245:$ID$316,$FJ172-HD$169,73-HD$169+SwaptionShift):INDEX($FK$245:$ID$316,$FJ172-HD$169,72-HD$169+SwaptionMonthsToGo+SwaptionShift))/SQRT(SUM(INDEX($FK327:$ID327,1+SwaptionShift):INDEX($FK327:$ID327,SwaptionMonthsToGo+SwaptionShift))*SUM(INDEX($FK$325:$ID$396,HD$169,1+SwaptionShift):INDEX($FK$325:$ID$396,HD$169,SwaptionMonthsToGo+SwaptionShift))))))</f>
        <v/>
      </c>
      <c r="HE172" s="150" t="str">
        <f aca="false">IF(OR(HE$169&lt;SwaptionFirstMonthPosition+1,$FJ172&lt;SwaptionFirstMonthPosition+1,HE$169&gt;SwaptionFirstMonthPosition+SwaptionNumOfMonths+1,$FJ172&gt;SwaptionFirstMonthPosition+SwaptionNumOfMonths+1),"",IF($FJ172=HE$169,1,IF($FJ172&lt;HE$169,INDEX($FK$170:$ID$241,HE$169,$FJ172),SUMPRODUCT(INDEX($FK$325:$ID$396,HE$169,1+SwaptionShift):INDEX($FK$325:$ID$396,HE$169,SwaptionMonthsToGo+SwaptionShift),INDEX($FK$245:$ID$316,$FJ172-HE$169,73-HE$169+SwaptionShift):INDEX($FK$245:$ID$316,$FJ172-HE$169,72-HE$169+SwaptionMonthsToGo+SwaptionShift))/SQRT(SUM(INDEX($FK327:$ID327,1+SwaptionShift):INDEX($FK327:$ID327,SwaptionMonthsToGo+SwaptionShift))*SUM(INDEX($FK$325:$ID$396,HE$169,1+SwaptionShift):INDEX($FK$325:$ID$396,HE$169,SwaptionMonthsToGo+SwaptionShift))))))</f>
        <v/>
      </c>
      <c r="HF172" s="150" t="str">
        <f aca="false">IF(OR(HF$169&lt;SwaptionFirstMonthPosition+1,$FJ172&lt;SwaptionFirstMonthPosition+1,HF$169&gt;SwaptionFirstMonthPosition+SwaptionNumOfMonths+1,$FJ172&gt;SwaptionFirstMonthPosition+SwaptionNumOfMonths+1),"",IF($FJ172=HF$169,1,IF($FJ172&lt;HF$169,INDEX($FK$170:$ID$241,HF$169,$FJ172),SUMPRODUCT(INDEX($FK$325:$ID$396,HF$169,1+SwaptionShift):INDEX($FK$325:$ID$396,HF$169,SwaptionMonthsToGo+SwaptionShift),INDEX($FK$245:$ID$316,$FJ172-HF$169,73-HF$169+SwaptionShift):INDEX($FK$245:$ID$316,$FJ172-HF$169,72-HF$169+SwaptionMonthsToGo+SwaptionShift))/SQRT(SUM(INDEX($FK327:$ID327,1+SwaptionShift):INDEX($FK327:$ID327,SwaptionMonthsToGo+SwaptionShift))*SUM(INDEX($FK$325:$ID$396,HF$169,1+SwaptionShift):INDEX($FK$325:$ID$396,HF$169,SwaptionMonthsToGo+SwaptionShift))))))</f>
        <v/>
      </c>
      <c r="HG172" s="150" t="str">
        <f aca="false">IF(OR(HG$169&lt;SwaptionFirstMonthPosition+1,$FJ172&lt;SwaptionFirstMonthPosition+1,HG$169&gt;SwaptionFirstMonthPosition+SwaptionNumOfMonths+1,$FJ172&gt;SwaptionFirstMonthPosition+SwaptionNumOfMonths+1),"",IF($FJ172=HG$169,1,IF($FJ172&lt;HG$169,INDEX($FK$170:$ID$241,HG$169,$FJ172),SUMPRODUCT(INDEX($FK$325:$ID$396,HG$169,1+SwaptionShift):INDEX($FK$325:$ID$396,HG$169,SwaptionMonthsToGo+SwaptionShift),INDEX($FK$245:$ID$316,$FJ172-HG$169,73-HG$169+SwaptionShift):INDEX($FK$245:$ID$316,$FJ172-HG$169,72-HG$169+SwaptionMonthsToGo+SwaptionShift))/SQRT(SUM(INDEX($FK327:$ID327,1+SwaptionShift):INDEX($FK327:$ID327,SwaptionMonthsToGo+SwaptionShift))*SUM(INDEX($FK$325:$ID$396,HG$169,1+SwaptionShift):INDEX($FK$325:$ID$396,HG$169,SwaptionMonthsToGo+SwaptionShift))))))</f>
        <v/>
      </c>
      <c r="HH172" s="150" t="str">
        <f aca="false">IF(OR(HH$169&lt;SwaptionFirstMonthPosition+1,$FJ172&lt;SwaptionFirstMonthPosition+1,HH$169&gt;SwaptionFirstMonthPosition+SwaptionNumOfMonths+1,$FJ172&gt;SwaptionFirstMonthPosition+SwaptionNumOfMonths+1),"",IF($FJ172=HH$169,1,IF($FJ172&lt;HH$169,INDEX($FK$170:$ID$241,HH$169,$FJ172),SUMPRODUCT(INDEX($FK$325:$ID$396,HH$169,1+SwaptionShift):INDEX($FK$325:$ID$396,HH$169,SwaptionMonthsToGo+SwaptionShift),INDEX($FK$245:$ID$316,$FJ172-HH$169,73-HH$169+SwaptionShift):INDEX($FK$245:$ID$316,$FJ172-HH$169,72-HH$169+SwaptionMonthsToGo+SwaptionShift))/SQRT(SUM(INDEX($FK327:$ID327,1+SwaptionShift):INDEX($FK327:$ID327,SwaptionMonthsToGo+SwaptionShift))*SUM(INDEX($FK$325:$ID$396,HH$169,1+SwaptionShift):INDEX($FK$325:$ID$396,HH$169,SwaptionMonthsToGo+SwaptionShift))))))</f>
        <v/>
      </c>
      <c r="HI172" s="150" t="str">
        <f aca="false">IF(OR(HI$169&lt;SwaptionFirstMonthPosition+1,$FJ172&lt;SwaptionFirstMonthPosition+1,HI$169&gt;SwaptionFirstMonthPosition+SwaptionNumOfMonths+1,$FJ172&gt;SwaptionFirstMonthPosition+SwaptionNumOfMonths+1),"",IF($FJ172=HI$169,1,IF($FJ172&lt;HI$169,INDEX($FK$170:$ID$241,HI$169,$FJ172),SUMPRODUCT(INDEX($FK$325:$ID$396,HI$169,1+SwaptionShift):INDEX($FK$325:$ID$396,HI$169,SwaptionMonthsToGo+SwaptionShift),INDEX($FK$245:$ID$316,$FJ172-HI$169,73-HI$169+SwaptionShift):INDEX($FK$245:$ID$316,$FJ172-HI$169,72-HI$169+SwaptionMonthsToGo+SwaptionShift))/SQRT(SUM(INDEX($FK327:$ID327,1+SwaptionShift):INDEX($FK327:$ID327,SwaptionMonthsToGo+SwaptionShift))*SUM(INDEX($FK$325:$ID$396,HI$169,1+SwaptionShift):INDEX($FK$325:$ID$396,HI$169,SwaptionMonthsToGo+SwaptionShift))))))</f>
        <v/>
      </c>
      <c r="HJ172" s="150" t="str">
        <f aca="false">IF(OR(HJ$169&lt;SwaptionFirstMonthPosition+1,$FJ172&lt;SwaptionFirstMonthPosition+1,HJ$169&gt;SwaptionFirstMonthPosition+SwaptionNumOfMonths+1,$FJ172&gt;SwaptionFirstMonthPosition+SwaptionNumOfMonths+1),"",IF($FJ172=HJ$169,1,IF($FJ172&lt;HJ$169,INDEX($FK$170:$ID$241,HJ$169,$FJ172),SUMPRODUCT(INDEX($FK$325:$ID$396,HJ$169,1+SwaptionShift):INDEX($FK$325:$ID$396,HJ$169,SwaptionMonthsToGo+SwaptionShift),INDEX($FK$245:$ID$316,$FJ172-HJ$169,73-HJ$169+SwaptionShift):INDEX($FK$245:$ID$316,$FJ172-HJ$169,72-HJ$169+SwaptionMonthsToGo+SwaptionShift))/SQRT(SUM(INDEX($FK327:$ID327,1+SwaptionShift):INDEX($FK327:$ID327,SwaptionMonthsToGo+SwaptionShift))*SUM(INDEX($FK$325:$ID$396,HJ$169,1+SwaptionShift):INDEX($FK$325:$ID$396,HJ$169,SwaptionMonthsToGo+SwaptionShift))))))</f>
        <v/>
      </c>
      <c r="HK172" s="150" t="str">
        <f aca="false">IF(OR(HK$169&lt;SwaptionFirstMonthPosition+1,$FJ172&lt;SwaptionFirstMonthPosition+1,HK$169&gt;SwaptionFirstMonthPosition+SwaptionNumOfMonths+1,$FJ172&gt;SwaptionFirstMonthPosition+SwaptionNumOfMonths+1),"",IF($FJ172=HK$169,1,IF($FJ172&lt;HK$169,INDEX($FK$170:$ID$241,HK$169,$FJ172),SUMPRODUCT(INDEX($FK$325:$ID$396,HK$169,1+SwaptionShift):INDEX($FK$325:$ID$396,HK$169,SwaptionMonthsToGo+SwaptionShift),INDEX($FK$245:$ID$316,$FJ172-HK$169,73-HK$169+SwaptionShift):INDEX($FK$245:$ID$316,$FJ172-HK$169,72-HK$169+SwaptionMonthsToGo+SwaptionShift))/SQRT(SUM(INDEX($FK327:$ID327,1+SwaptionShift):INDEX($FK327:$ID327,SwaptionMonthsToGo+SwaptionShift))*SUM(INDEX($FK$325:$ID$396,HK$169,1+SwaptionShift):INDEX($FK$325:$ID$396,HK$169,SwaptionMonthsToGo+SwaptionShift))))))</f>
        <v/>
      </c>
      <c r="HL172" s="150" t="str">
        <f aca="false">IF(OR(HL$169&lt;SwaptionFirstMonthPosition+1,$FJ172&lt;SwaptionFirstMonthPosition+1,HL$169&gt;SwaptionFirstMonthPosition+SwaptionNumOfMonths+1,$FJ172&gt;SwaptionFirstMonthPosition+SwaptionNumOfMonths+1),"",IF($FJ172=HL$169,1,IF($FJ172&lt;HL$169,INDEX($FK$170:$ID$241,HL$169,$FJ172),SUMPRODUCT(INDEX($FK$325:$ID$396,HL$169,1+SwaptionShift):INDEX($FK$325:$ID$396,HL$169,SwaptionMonthsToGo+SwaptionShift),INDEX($FK$245:$ID$316,$FJ172-HL$169,73-HL$169+SwaptionShift):INDEX($FK$245:$ID$316,$FJ172-HL$169,72-HL$169+SwaptionMonthsToGo+SwaptionShift))/SQRT(SUM(INDEX($FK327:$ID327,1+SwaptionShift):INDEX($FK327:$ID327,SwaptionMonthsToGo+SwaptionShift))*SUM(INDEX($FK$325:$ID$396,HL$169,1+SwaptionShift):INDEX($FK$325:$ID$396,HL$169,SwaptionMonthsToGo+SwaptionShift))))))</f>
        <v/>
      </c>
      <c r="HM172" s="150" t="str">
        <f aca="false">IF(OR(HM$169&lt;SwaptionFirstMonthPosition+1,$FJ172&lt;SwaptionFirstMonthPosition+1,HM$169&gt;SwaptionFirstMonthPosition+SwaptionNumOfMonths+1,$FJ172&gt;SwaptionFirstMonthPosition+SwaptionNumOfMonths+1),"",IF($FJ172=HM$169,1,IF($FJ172&lt;HM$169,INDEX($FK$170:$ID$241,HM$169,$FJ172),SUMPRODUCT(INDEX($FK$325:$ID$396,HM$169,1+SwaptionShift):INDEX($FK$325:$ID$396,HM$169,SwaptionMonthsToGo+SwaptionShift),INDEX($FK$245:$ID$316,$FJ172-HM$169,73-HM$169+SwaptionShift):INDEX($FK$245:$ID$316,$FJ172-HM$169,72-HM$169+SwaptionMonthsToGo+SwaptionShift))/SQRT(SUM(INDEX($FK327:$ID327,1+SwaptionShift):INDEX($FK327:$ID327,SwaptionMonthsToGo+SwaptionShift))*SUM(INDEX($FK$325:$ID$396,HM$169,1+SwaptionShift):INDEX($FK$325:$ID$396,HM$169,SwaptionMonthsToGo+SwaptionShift))))))</f>
        <v/>
      </c>
      <c r="HN172" s="150" t="str">
        <f aca="false">IF(OR(HN$169&lt;SwaptionFirstMonthPosition+1,$FJ172&lt;SwaptionFirstMonthPosition+1,HN$169&gt;SwaptionFirstMonthPosition+SwaptionNumOfMonths+1,$FJ172&gt;SwaptionFirstMonthPosition+SwaptionNumOfMonths+1),"",IF($FJ172=HN$169,1,IF($FJ172&lt;HN$169,INDEX($FK$170:$ID$241,HN$169,$FJ172),SUMPRODUCT(INDEX($FK$325:$ID$396,HN$169,1+SwaptionShift):INDEX($FK$325:$ID$396,HN$169,SwaptionMonthsToGo+SwaptionShift),INDEX($FK$245:$ID$316,$FJ172-HN$169,73-HN$169+SwaptionShift):INDEX($FK$245:$ID$316,$FJ172-HN$169,72-HN$169+SwaptionMonthsToGo+SwaptionShift))/SQRT(SUM(INDEX($FK327:$ID327,1+SwaptionShift):INDEX($FK327:$ID327,SwaptionMonthsToGo+SwaptionShift))*SUM(INDEX($FK$325:$ID$396,HN$169,1+SwaptionShift):INDEX($FK$325:$ID$396,HN$169,SwaptionMonthsToGo+SwaptionShift))))))</f>
        <v/>
      </c>
      <c r="HO172" s="150" t="str">
        <f aca="false">IF(OR(HO$169&lt;SwaptionFirstMonthPosition+1,$FJ172&lt;SwaptionFirstMonthPosition+1,HO$169&gt;SwaptionFirstMonthPosition+SwaptionNumOfMonths+1,$FJ172&gt;SwaptionFirstMonthPosition+SwaptionNumOfMonths+1),"",IF($FJ172=HO$169,1,IF($FJ172&lt;HO$169,INDEX($FK$170:$ID$241,HO$169,$FJ172),SUMPRODUCT(INDEX($FK$325:$ID$396,HO$169,1+SwaptionShift):INDEX($FK$325:$ID$396,HO$169,SwaptionMonthsToGo+SwaptionShift),INDEX($FK$245:$ID$316,$FJ172-HO$169,73-HO$169+SwaptionShift):INDEX($FK$245:$ID$316,$FJ172-HO$169,72-HO$169+SwaptionMonthsToGo+SwaptionShift))/SQRT(SUM(INDEX($FK327:$ID327,1+SwaptionShift):INDEX($FK327:$ID327,SwaptionMonthsToGo+SwaptionShift))*SUM(INDEX($FK$325:$ID$396,HO$169,1+SwaptionShift):INDEX($FK$325:$ID$396,HO$169,SwaptionMonthsToGo+SwaptionShift))))))</f>
        <v/>
      </c>
      <c r="HP172" s="150" t="str">
        <f aca="false">IF(OR(HP$169&lt;SwaptionFirstMonthPosition+1,$FJ172&lt;SwaptionFirstMonthPosition+1,HP$169&gt;SwaptionFirstMonthPosition+SwaptionNumOfMonths+1,$FJ172&gt;SwaptionFirstMonthPosition+SwaptionNumOfMonths+1),"",IF($FJ172=HP$169,1,IF($FJ172&lt;HP$169,INDEX($FK$170:$ID$241,HP$169,$FJ172),SUMPRODUCT(INDEX($FK$325:$ID$396,HP$169,1+SwaptionShift):INDEX($FK$325:$ID$396,HP$169,SwaptionMonthsToGo+SwaptionShift),INDEX($FK$245:$ID$316,$FJ172-HP$169,73-HP$169+SwaptionShift):INDEX($FK$245:$ID$316,$FJ172-HP$169,72-HP$169+SwaptionMonthsToGo+SwaptionShift))/SQRT(SUM(INDEX($FK327:$ID327,1+SwaptionShift):INDEX($FK327:$ID327,SwaptionMonthsToGo+SwaptionShift))*SUM(INDEX($FK$325:$ID$396,HP$169,1+SwaptionShift):INDEX($FK$325:$ID$396,HP$169,SwaptionMonthsToGo+SwaptionShift))))))</f>
        <v/>
      </c>
      <c r="HQ172" s="150" t="str">
        <f aca="false">IF(OR(HQ$169&lt;SwaptionFirstMonthPosition+1,$FJ172&lt;SwaptionFirstMonthPosition+1,HQ$169&gt;SwaptionFirstMonthPosition+SwaptionNumOfMonths+1,$FJ172&gt;SwaptionFirstMonthPosition+SwaptionNumOfMonths+1),"",IF($FJ172=HQ$169,1,IF($FJ172&lt;HQ$169,INDEX($FK$170:$ID$241,HQ$169,$FJ172),SUMPRODUCT(INDEX($FK$325:$ID$396,HQ$169,1+SwaptionShift):INDEX($FK$325:$ID$396,HQ$169,SwaptionMonthsToGo+SwaptionShift),INDEX($FK$245:$ID$316,$FJ172-HQ$169,73-HQ$169+SwaptionShift):INDEX($FK$245:$ID$316,$FJ172-HQ$169,72-HQ$169+SwaptionMonthsToGo+SwaptionShift))/SQRT(SUM(INDEX($FK327:$ID327,1+SwaptionShift):INDEX($FK327:$ID327,SwaptionMonthsToGo+SwaptionShift))*SUM(INDEX($FK$325:$ID$396,HQ$169,1+SwaptionShift):INDEX($FK$325:$ID$396,HQ$169,SwaptionMonthsToGo+SwaptionShift))))))</f>
        <v/>
      </c>
      <c r="HR172" s="150" t="str">
        <f aca="false">IF(OR(HR$169&lt;SwaptionFirstMonthPosition+1,$FJ172&lt;SwaptionFirstMonthPosition+1,HR$169&gt;SwaptionFirstMonthPosition+SwaptionNumOfMonths+1,$FJ172&gt;SwaptionFirstMonthPosition+SwaptionNumOfMonths+1),"",IF($FJ172=HR$169,1,IF($FJ172&lt;HR$169,INDEX($FK$170:$ID$241,HR$169,$FJ172),SUMPRODUCT(INDEX($FK$325:$ID$396,HR$169,1+SwaptionShift):INDEX($FK$325:$ID$396,HR$169,SwaptionMonthsToGo+SwaptionShift),INDEX($FK$245:$ID$316,$FJ172-HR$169,73-HR$169+SwaptionShift):INDEX($FK$245:$ID$316,$FJ172-HR$169,72-HR$169+SwaptionMonthsToGo+SwaptionShift))/SQRT(SUM(INDEX($FK327:$ID327,1+SwaptionShift):INDEX($FK327:$ID327,SwaptionMonthsToGo+SwaptionShift))*SUM(INDEX($FK$325:$ID$396,HR$169,1+SwaptionShift):INDEX($FK$325:$ID$396,HR$169,SwaptionMonthsToGo+SwaptionShift))))))</f>
        <v/>
      </c>
      <c r="HS172" s="150" t="str">
        <f aca="false">IF(OR(HS$169&lt;SwaptionFirstMonthPosition+1,$FJ172&lt;SwaptionFirstMonthPosition+1,HS$169&gt;SwaptionFirstMonthPosition+SwaptionNumOfMonths+1,$FJ172&gt;SwaptionFirstMonthPosition+SwaptionNumOfMonths+1),"",IF($FJ172=HS$169,1,IF($FJ172&lt;HS$169,INDEX($FK$170:$ID$241,HS$169,$FJ172),SUMPRODUCT(INDEX($FK$325:$ID$396,HS$169,1+SwaptionShift):INDEX($FK$325:$ID$396,HS$169,SwaptionMonthsToGo+SwaptionShift),INDEX($FK$245:$ID$316,$FJ172-HS$169,73-HS$169+SwaptionShift):INDEX($FK$245:$ID$316,$FJ172-HS$169,72-HS$169+SwaptionMonthsToGo+SwaptionShift))/SQRT(SUM(INDEX($FK327:$ID327,1+SwaptionShift):INDEX($FK327:$ID327,SwaptionMonthsToGo+SwaptionShift))*SUM(INDEX($FK$325:$ID$396,HS$169,1+SwaptionShift):INDEX($FK$325:$ID$396,HS$169,SwaptionMonthsToGo+SwaptionShift))))))</f>
        <v/>
      </c>
      <c r="HT172" s="150" t="str">
        <f aca="false">IF(OR(HT$169&lt;SwaptionFirstMonthPosition+1,$FJ172&lt;SwaptionFirstMonthPosition+1,HT$169&gt;SwaptionFirstMonthPosition+SwaptionNumOfMonths+1,$FJ172&gt;SwaptionFirstMonthPosition+SwaptionNumOfMonths+1),"",IF($FJ172=HT$169,1,IF($FJ172&lt;HT$169,INDEX($FK$170:$ID$241,HT$169,$FJ172),SUMPRODUCT(INDEX($FK$325:$ID$396,HT$169,1+SwaptionShift):INDEX($FK$325:$ID$396,HT$169,SwaptionMonthsToGo+SwaptionShift),INDEX($FK$245:$ID$316,$FJ172-HT$169,73-HT$169+SwaptionShift):INDEX($FK$245:$ID$316,$FJ172-HT$169,72-HT$169+SwaptionMonthsToGo+SwaptionShift))/SQRT(SUM(INDEX($FK327:$ID327,1+SwaptionShift):INDEX($FK327:$ID327,SwaptionMonthsToGo+SwaptionShift))*SUM(INDEX($FK$325:$ID$396,HT$169,1+SwaptionShift):INDEX($FK$325:$ID$396,HT$169,SwaptionMonthsToGo+SwaptionShift))))))</f>
        <v/>
      </c>
      <c r="HU172" s="150" t="str">
        <f aca="false">IF(OR(HU$169&lt;SwaptionFirstMonthPosition+1,$FJ172&lt;SwaptionFirstMonthPosition+1,HU$169&gt;SwaptionFirstMonthPosition+SwaptionNumOfMonths+1,$FJ172&gt;SwaptionFirstMonthPosition+SwaptionNumOfMonths+1),"",IF($FJ172=HU$169,1,IF($FJ172&lt;HU$169,INDEX($FK$170:$ID$241,HU$169,$FJ172),SUMPRODUCT(INDEX($FK$325:$ID$396,HU$169,1+SwaptionShift):INDEX($FK$325:$ID$396,HU$169,SwaptionMonthsToGo+SwaptionShift),INDEX($FK$245:$ID$316,$FJ172-HU$169,73-HU$169+SwaptionShift):INDEX($FK$245:$ID$316,$FJ172-HU$169,72-HU$169+SwaptionMonthsToGo+SwaptionShift))/SQRT(SUM(INDEX($FK327:$ID327,1+SwaptionShift):INDEX($FK327:$ID327,SwaptionMonthsToGo+SwaptionShift))*SUM(INDEX($FK$325:$ID$396,HU$169,1+SwaptionShift):INDEX($FK$325:$ID$396,HU$169,SwaptionMonthsToGo+SwaptionShift))))))</f>
        <v/>
      </c>
      <c r="HV172" s="150" t="str">
        <f aca="false">IF(OR(HV$169&lt;SwaptionFirstMonthPosition+1,$FJ172&lt;SwaptionFirstMonthPosition+1,HV$169&gt;SwaptionFirstMonthPosition+SwaptionNumOfMonths+1,$FJ172&gt;SwaptionFirstMonthPosition+SwaptionNumOfMonths+1),"",IF($FJ172=HV$169,1,IF($FJ172&lt;HV$169,INDEX($FK$170:$ID$241,HV$169,$FJ172),SUMPRODUCT(INDEX($FK$325:$ID$396,HV$169,1+SwaptionShift):INDEX($FK$325:$ID$396,HV$169,SwaptionMonthsToGo+SwaptionShift),INDEX($FK$245:$ID$316,$FJ172-HV$169,73-HV$169+SwaptionShift):INDEX($FK$245:$ID$316,$FJ172-HV$169,72-HV$169+SwaptionMonthsToGo+SwaptionShift))/SQRT(SUM(INDEX($FK327:$ID327,1+SwaptionShift):INDEX($FK327:$ID327,SwaptionMonthsToGo+SwaptionShift))*SUM(INDEX($FK$325:$ID$396,HV$169,1+SwaptionShift):INDEX($FK$325:$ID$396,HV$169,SwaptionMonthsToGo+SwaptionShift))))))</f>
        <v/>
      </c>
      <c r="HW172" s="150" t="str">
        <f aca="false">IF(OR(HW$169&lt;SwaptionFirstMonthPosition+1,$FJ172&lt;SwaptionFirstMonthPosition+1,HW$169&gt;SwaptionFirstMonthPosition+SwaptionNumOfMonths+1,$FJ172&gt;SwaptionFirstMonthPosition+SwaptionNumOfMonths+1),"",IF($FJ172=HW$169,1,IF($FJ172&lt;HW$169,INDEX($FK$170:$ID$241,HW$169,$FJ172),SUMPRODUCT(INDEX($FK$325:$ID$396,HW$169,1+SwaptionShift):INDEX($FK$325:$ID$396,HW$169,SwaptionMonthsToGo+SwaptionShift),INDEX($FK$245:$ID$316,$FJ172-HW$169,73-HW$169+SwaptionShift):INDEX($FK$245:$ID$316,$FJ172-HW$169,72-HW$169+SwaptionMonthsToGo+SwaptionShift))/SQRT(SUM(INDEX($FK327:$ID327,1+SwaptionShift):INDEX($FK327:$ID327,SwaptionMonthsToGo+SwaptionShift))*SUM(INDEX($FK$325:$ID$396,HW$169,1+SwaptionShift):INDEX($FK$325:$ID$396,HW$169,SwaptionMonthsToGo+SwaptionShift))))))</f>
        <v/>
      </c>
      <c r="HX172" s="150" t="str">
        <f aca="false">IF(OR(HX$169&lt;SwaptionFirstMonthPosition+1,$FJ172&lt;SwaptionFirstMonthPosition+1,HX$169&gt;SwaptionFirstMonthPosition+SwaptionNumOfMonths+1,$FJ172&gt;SwaptionFirstMonthPosition+SwaptionNumOfMonths+1),"",IF($FJ172=HX$169,1,IF($FJ172&lt;HX$169,INDEX($FK$170:$ID$241,HX$169,$FJ172),SUMPRODUCT(INDEX($FK$325:$ID$396,HX$169,1+SwaptionShift):INDEX($FK$325:$ID$396,HX$169,SwaptionMonthsToGo+SwaptionShift),INDEX($FK$245:$ID$316,$FJ172-HX$169,73-HX$169+SwaptionShift):INDEX($FK$245:$ID$316,$FJ172-HX$169,72-HX$169+SwaptionMonthsToGo+SwaptionShift))/SQRT(SUM(INDEX($FK327:$ID327,1+SwaptionShift):INDEX($FK327:$ID327,SwaptionMonthsToGo+SwaptionShift))*SUM(INDEX($FK$325:$ID$396,HX$169,1+SwaptionShift):INDEX($FK$325:$ID$396,HX$169,SwaptionMonthsToGo+SwaptionShift))))))</f>
        <v/>
      </c>
      <c r="HY172" s="150" t="str">
        <f aca="false">IF(OR(HY$169&lt;SwaptionFirstMonthPosition+1,$FJ172&lt;SwaptionFirstMonthPosition+1,HY$169&gt;SwaptionFirstMonthPosition+SwaptionNumOfMonths+1,$FJ172&gt;SwaptionFirstMonthPosition+SwaptionNumOfMonths+1),"",IF($FJ172=HY$169,1,IF($FJ172&lt;HY$169,INDEX($FK$170:$ID$241,HY$169,$FJ172),SUMPRODUCT(INDEX($FK$325:$ID$396,HY$169,1+SwaptionShift):INDEX($FK$325:$ID$396,HY$169,SwaptionMonthsToGo+SwaptionShift),INDEX($FK$245:$ID$316,$FJ172-HY$169,73-HY$169+SwaptionShift):INDEX($FK$245:$ID$316,$FJ172-HY$169,72-HY$169+SwaptionMonthsToGo+SwaptionShift))/SQRT(SUM(INDEX($FK327:$ID327,1+SwaptionShift):INDEX($FK327:$ID327,SwaptionMonthsToGo+SwaptionShift))*SUM(INDEX($FK$325:$ID$396,HY$169,1+SwaptionShift):INDEX($FK$325:$ID$396,HY$169,SwaptionMonthsToGo+SwaptionShift))))))</f>
        <v/>
      </c>
      <c r="HZ172" s="150" t="str">
        <f aca="false">IF(OR(HZ$169&lt;SwaptionFirstMonthPosition+1,$FJ172&lt;SwaptionFirstMonthPosition+1,HZ$169&gt;SwaptionFirstMonthPosition+SwaptionNumOfMonths+1,$FJ172&gt;SwaptionFirstMonthPosition+SwaptionNumOfMonths+1),"",IF($FJ172=HZ$169,1,IF($FJ172&lt;HZ$169,INDEX($FK$170:$ID$241,HZ$169,$FJ172),SUMPRODUCT(INDEX($FK$325:$ID$396,HZ$169,1+SwaptionShift):INDEX($FK$325:$ID$396,HZ$169,SwaptionMonthsToGo+SwaptionShift),INDEX($FK$245:$ID$316,$FJ172-HZ$169,73-HZ$169+SwaptionShift):INDEX($FK$245:$ID$316,$FJ172-HZ$169,72-HZ$169+SwaptionMonthsToGo+SwaptionShift))/SQRT(SUM(INDEX($FK327:$ID327,1+SwaptionShift):INDEX($FK327:$ID327,SwaptionMonthsToGo+SwaptionShift))*SUM(INDEX($FK$325:$ID$396,HZ$169,1+SwaptionShift):INDEX($FK$325:$ID$396,HZ$169,SwaptionMonthsToGo+SwaptionShift))))))</f>
        <v/>
      </c>
      <c r="IA172" s="150" t="str">
        <f aca="false">IF(OR(IA$169&lt;SwaptionFirstMonthPosition+1,$FJ172&lt;SwaptionFirstMonthPosition+1,IA$169&gt;SwaptionFirstMonthPosition+SwaptionNumOfMonths+1,$FJ172&gt;SwaptionFirstMonthPosition+SwaptionNumOfMonths+1),"",IF($FJ172=IA$169,1,IF($FJ172&lt;IA$169,INDEX($FK$170:$ID$241,IA$169,$FJ172),SUMPRODUCT(INDEX($FK$325:$ID$396,IA$169,1+SwaptionShift):INDEX($FK$325:$ID$396,IA$169,SwaptionMonthsToGo+SwaptionShift),INDEX($FK$245:$ID$316,$FJ172-IA$169,73-IA$169+SwaptionShift):INDEX($FK$245:$ID$316,$FJ172-IA$169,72-IA$169+SwaptionMonthsToGo+SwaptionShift))/SQRT(SUM(INDEX($FK327:$ID327,1+SwaptionShift):INDEX($FK327:$ID327,SwaptionMonthsToGo+SwaptionShift))*SUM(INDEX($FK$325:$ID$396,IA$169,1+SwaptionShift):INDEX($FK$325:$ID$396,IA$169,SwaptionMonthsToGo+SwaptionShift))))))</f>
        <v/>
      </c>
      <c r="IB172" s="150" t="str">
        <f aca="false">IF(OR(IB$169&lt;SwaptionFirstMonthPosition+1,$FJ172&lt;SwaptionFirstMonthPosition+1,IB$169&gt;SwaptionFirstMonthPosition+SwaptionNumOfMonths+1,$FJ172&gt;SwaptionFirstMonthPosition+SwaptionNumOfMonths+1),"",IF($FJ172=IB$169,1,IF($FJ172&lt;IB$169,INDEX($FK$170:$ID$241,IB$169,$FJ172),SUMPRODUCT(INDEX($FK$325:$ID$396,IB$169,1+SwaptionShift):INDEX($FK$325:$ID$396,IB$169,SwaptionMonthsToGo+SwaptionShift),INDEX($FK$245:$ID$316,$FJ172-IB$169,73-IB$169+SwaptionShift):INDEX($FK$245:$ID$316,$FJ172-IB$169,72-IB$169+SwaptionMonthsToGo+SwaptionShift))/SQRT(SUM(INDEX($FK327:$ID327,1+SwaptionShift):INDEX($FK327:$ID327,SwaptionMonthsToGo+SwaptionShift))*SUM(INDEX($FK$325:$ID$396,IB$169,1+SwaptionShift):INDEX($FK$325:$ID$396,IB$169,SwaptionMonthsToGo+SwaptionShift))))))</f>
        <v/>
      </c>
      <c r="IC172" s="150" t="str">
        <f aca="false">IF(OR(IC$169&lt;SwaptionFirstMonthPosition+1,$FJ172&lt;SwaptionFirstMonthPosition+1,IC$169&gt;SwaptionFirstMonthPosition+SwaptionNumOfMonths+1,$FJ172&gt;SwaptionFirstMonthPosition+SwaptionNumOfMonths+1),"",IF($FJ172=IC$169,1,IF($FJ172&lt;IC$169,INDEX($FK$170:$ID$241,IC$169,$FJ172),SUMPRODUCT(INDEX($FK$325:$ID$396,IC$169,1+SwaptionShift):INDEX($FK$325:$ID$396,IC$169,SwaptionMonthsToGo+SwaptionShift),INDEX($FK$245:$ID$316,$FJ172-IC$169,73-IC$169+SwaptionShift):INDEX($FK$245:$ID$316,$FJ172-IC$169,72-IC$169+SwaptionMonthsToGo+SwaptionShift))/SQRT(SUM(INDEX($FK327:$ID327,1+SwaptionShift):INDEX($FK327:$ID327,SwaptionMonthsToGo+SwaptionShift))*SUM(INDEX($FK$325:$ID$396,IC$169,1+SwaptionShift):INDEX($FK$325:$ID$396,IC$169,SwaptionMonthsToGo+SwaptionShift))))))</f>
        <v/>
      </c>
      <c r="ID172" s="572" t="str">
        <f aca="false">IF(OR(ID$169&lt;SwaptionFirstMonthPosition+1,$FJ172&lt;SwaptionFirstMonthPosition+1,ID$169&gt;SwaptionFirstMonthPosition+SwaptionNumOfMonths+1,$FJ172&gt;SwaptionFirstMonthPosition+SwaptionNumOfMonths+1),"",IF($FJ172=ID$169,1,IF($FJ172&lt;ID$169,INDEX($FK$170:$ID$241,ID$169,$FJ172),SUMPRODUCT(INDEX($FK$325:$ID$396,ID$169,1+SwaptionShift):INDEX($FK$325:$ID$396,ID$169,SwaptionMonthsToGo+SwaptionShift),INDEX($FK$245:$ID$316,$FJ172-ID$169,73-ID$169+SwaptionShift):INDEX($FK$245:$ID$316,$FJ172-ID$169,72-ID$169+SwaptionMonthsToGo+SwaptionShift))/SQRT(SUM(INDEX($FK327:$ID327,1+SwaptionShift):INDEX($FK327:$ID327,SwaptionMonthsToGo+SwaptionShift))*SUM(INDEX($FK$325:$ID$396,ID$169,1+SwaptionShift):INDEX($FK$325:$ID$396,ID$169,SwaptionMonthsToGo+SwaptionShift))))))</f>
        <v/>
      </c>
      <c r="IE172" s="129"/>
    </row>
    <row r="173" customFormat="false" ht="12.75" hidden="false" customHeight="false" outlineLevel="0" collapsed="false">
      <c r="H173" s="219" t="n">
        <f aca="false">VLOOKUP(I173,$EJ$20:$EL$54,3)</f>
        <v>0</v>
      </c>
      <c r="I173" s="511" t="n">
        <f aca="false">EOMONTH(I172,0)+1</f>
        <v>41426</v>
      </c>
      <c r="J173" s="512"/>
      <c r="K173" s="513" t="s">
        <v>280</v>
      </c>
      <c r="L173" s="514" t="n">
        <f aca="false">IF(ISNUMBER(K173),J173+K173/100,IF(K173="extra",L172+VLOOKUP(BF173,PriceSpreadTable,2)/12,IF(K173="inter",interpolateprices($K$19:$L$200,ROW(K173)-ROW(FirstPricingMonth)+1),interpolatechanges($J$19:$K$200,ROW(K173)-ROW(FirstPricingMonth)+1))))</f>
        <v>2.8875</v>
      </c>
      <c r="M173" s="515"/>
      <c r="N173" s="516" t="n">
        <v>0</v>
      </c>
      <c r="O173" s="515" t="n">
        <f aca="false">M173+N173</f>
        <v>0</v>
      </c>
      <c r="P173" s="512"/>
      <c r="Q173" s="513" t="s">
        <v>280</v>
      </c>
      <c r="R173" s="512" t="e">
        <f aca="false">IF(ISNUMBER(Q173),P173+Q173/100,IF(Q173="extra",(Z171*AL171-R172*AM171)/AN171,IF(Q173="inter",interpolateprices($Q$19:$R$260,ROW(Q173)-ROW(FirstPricingMonth)+1),interpolatechanges($P$19:$Q$260,ROW(Q173)-ROW(FirstPricingMonth)+1))))</f>
        <v>#VALUE!</v>
      </c>
      <c r="S173" s="597" t="n">
        <f aca="false">S$19+(S172-S$19)*S$18</f>
        <v>0.36</v>
      </c>
      <c r="T173" s="575" t="n">
        <f aca="false">SQRT((1-(1-T172^2/U172)*T$18)*U173)</f>
        <v>0.999999999995622</v>
      </c>
      <c r="U173" s="576" t="n">
        <f aca="false">1-(1-U172)*U$18</f>
        <v>1</v>
      </c>
      <c r="V173" s="521" t="n">
        <v>0</v>
      </c>
      <c r="W173" s="577" t="n">
        <f aca="false">(J174*AJ173+J175*AK173)/AI173</f>
        <v>0</v>
      </c>
      <c r="X173" s="578" t="n">
        <f aca="false">(L174*AJ173+L175*AK173)/AI173</f>
        <v>2.93625</v>
      </c>
      <c r="Y173" s="579" t="n">
        <f aca="false">IF(Q175="extra",W173-AA173,(P174*AM173+P175*AN173)/AL173)</f>
        <v>-1.2915</v>
      </c>
      <c r="Z173" s="579" t="n">
        <f aca="false">IF(Q175="extra",X173-AB173,(R174*AM173+R175*AN173)/AL173)</f>
        <v>1.64475</v>
      </c>
      <c r="AA173" s="523" t="n">
        <f aca="false">IF(Q175="extra",INDEX(BrentSeasonalityTable,INT((BG173-1)/3)+1)*VLOOKUP(MAX(BF173,$AB$4),PriceSpreadTable,3),W173-Y173)</f>
        <v>1.2915</v>
      </c>
      <c r="AB173" s="524" t="n">
        <f aca="false">IF(Q175="extra",INDEX(BrentSeasonalityTable,INT((BG173-1)/3)+1)*VLOOKUP(MAX(BF173,$AB$4),PriceSpreadTable,3),X173-Z173)</f>
        <v>1.2915</v>
      </c>
      <c r="AC173" s="646" t="n">
        <v>41414</v>
      </c>
      <c r="AD173" s="646" t="n">
        <v>41410</v>
      </c>
      <c r="AE173" s="646" t="n">
        <v>41409</v>
      </c>
      <c r="AF173" s="646" t="n">
        <v>41405</v>
      </c>
      <c r="AG173" s="438" t="s">
        <v>278</v>
      </c>
      <c r="AH173" s="439" t="s">
        <v>278</v>
      </c>
      <c r="AI173" s="528" t="n">
        <v>20</v>
      </c>
      <c r="AJ173" s="529" t="n">
        <v>14</v>
      </c>
      <c r="AK173" s="529" t="n">
        <v>6</v>
      </c>
      <c r="AL173" s="530" t="n">
        <v>20</v>
      </c>
      <c r="AM173" s="529" t="n">
        <v>10</v>
      </c>
      <c r="AN173" s="531" t="n">
        <v>10</v>
      </c>
      <c r="AO173" s="532"/>
      <c r="AP173" s="465" t="n">
        <f aca="false">(1+AO173/2)^(-2*BL173)</f>
        <v>1</v>
      </c>
      <c r="AQ173" s="532"/>
      <c r="AR173" s="465" t="n">
        <f aca="false">(1+AQ173/2)^(-2*BH173/365.25)</f>
        <v>1</v>
      </c>
      <c r="AS173" s="580" t="n">
        <f aca="false">(O174*AJ173+O175*AK173)/AI173</f>
        <v>0</v>
      </c>
      <c r="AT173" s="468" t="n">
        <f aca="false">O173*VLOOKUP(BF173,BrentVolTable,2)+VLOOKUP(BF173,BrentVolTable,3)</f>
        <v>0</v>
      </c>
      <c r="AU173" s="468" t="n">
        <f aca="false">(AT174*AM173+AT175*AN173)/AL173</f>
        <v>0</v>
      </c>
      <c r="AV173" s="595" t="n">
        <f aca="false">SQRT(MAX(0.000000000001,(O173^2*BH173-S173^2*(BH173-BH172))/BH172))</f>
        <v>0.029248000693286</v>
      </c>
      <c r="AW173" s="451" t="n">
        <f aca="false">IF($I173-DateToday+15&gt;=$T$8,"",IF($I173-DateToday+15&lt;$T$5,1,MATCH($I173-DateToday+15,$T$5:$T$8)))</f>
        <v>1</v>
      </c>
      <c r="AX173" s="468" t="n">
        <f aca="false">IF($AW173="",AX172^2/AX171,INDEX(U$5:U$8,$AW173)^((INDEX($T$5:$T$8,$AW173+1)-($I173-DateToday+15))/(INDEX($T$5:$T$8,$AW173+1)-INDEX($T$5:$T$8,$AW173)))/INDEX(U$5:U$8,$AW173+1)^((INDEX($T$5:$T$8,$AW173)-($I173-DateToday+15))/(INDEX($T$5:$T$8,$AW173+1)-INDEX($T$5:$T$8,$AW173))))</f>
        <v>0.476793648638816</v>
      </c>
      <c r="AY173" s="468" t="n">
        <f aca="false">IF($AW173="",AY172^2/AY171,INDEX(V$5:V$8,$AW173)^((INDEX($T$5:$T$8,$AW173+1)-($I173-DateToday+15))/(INDEX($T$5:$T$8,$AW173+1)-INDEX($T$5:$T$8,$AW173)))/INDEX(V$5:V$8,$AW173+1)^((INDEX($T$5:$T$8,$AW173)-($I173-DateToday+15))/(INDEX($T$5:$T$8,$AW173+1)-INDEX($T$5:$T$8,$AW173))))</f>
        <v>8.28774835996457</v>
      </c>
      <c r="AZ173" s="468" t="n">
        <f aca="false">IF($AW173="",AZ172^2/AZ171,INDEX(W$5:W$8,$AW173)^((INDEX($T$5:$T$8,$AW173+1)-($I173-DateToday+15))/(INDEX($T$5:$T$8,$AW173+1)-INDEX($T$5:$T$8,$AW173)))/INDEX(W$5:W$8,$AW173+1)^((INDEX($T$5:$T$8,$AW173)-($I173-DateToday+15))/(INDEX($T$5:$T$8,$AW173+1)-INDEX($T$5:$T$8,$AW173))))</f>
        <v>2396.22802769057</v>
      </c>
      <c r="BA173" s="468" t="n">
        <f aca="false">IF($AW173="",BA172^2/BA171,INDEX(X$5:X$8,$AW173)^((INDEX($T$5:$T$8,$AW173+1)-($I173-DateToday+15))/(INDEX($T$5:$T$8,$AW173+1)-INDEX($T$5:$T$8,$AW173)))/INDEX(X$5:X$8,$AW173+1)^((INDEX($T$5:$T$8,$AW173)-($I173-DateToday+15))/(INDEX($T$5:$T$8,$AW173+1)-INDEX($T$5:$T$8,$AW173))))</f>
        <v>11901.1073363873</v>
      </c>
      <c r="BB173" s="468" t="n">
        <f aca="false">IF($AW173="",BB172^2/BB171,INDEX(Y$5:Y$8,$AW173)^((INDEX($T$5:$T$8,$AW173+1)-($I173-DateToday+15))/(INDEX($T$5:$T$8,$AW173+1)-INDEX($T$5:$T$8,$AW173)))/INDEX(Y$5:Y$8,$AW173+1)^((INDEX($T$5:$T$8,$AW173)-($I173-DateToday+15))/(INDEX($T$5:$T$8,$AW173+1)-INDEX($T$5:$T$8,$AW173))))</f>
        <v>72362.4578837488</v>
      </c>
      <c r="BC173" s="468" t="n">
        <f aca="false">IF($AW173="",BC172^2/BC171,INDEX(Z$5:Z$8,$AW173)^((INDEX($T$5:$T$8,$AW173+1)-($I173-DateToday+15))/(INDEX($T$5:$T$8,$AW173+1)-INDEX($T$5:$T$8,$AW173)))/INDEX(Z$5:Z$8,$AW173+1)^((INDEX($T$5:$T$8,$AW173)-($I173-DateToday+15))/(INDEX($T$5:$T$8,$AW173+1)-INDEX($T$5:$T$8,$AW173))))</f>
        <v>217227.556675205</v>
      </c>
      <c r="BD173" s="535" t="n">
        <f aca="false">IF(OR(DateStart&gt;=I174,DateEnd&lt;I173),0,IF(VolumeOverrideFlag,V173,Volume))</f>
        <v>0</v>
      </c>
      <c r="BE173" s="536" t="n">
        <f aca="false">IF(OR(DateStart2&gt;=I174,DateEnd2&lt;I173),0,IF(VolumeOverrideFlag,V173,VolumeSwaption))</f>
        <v>0</v>
      </c>
      <c r="BF173" s="537" t="n">
        <f aca="false">YEAR(I173)</f>
        <v>2013</v>
      </c>
      <c r="BG173" s="538" t="n">
        <f aca="false">MONTH(I173)</f>
        <v>6</v>
      </c>
      <c r="BH173" s="539" t="n">
        <f aca="false">AD173-DateToday+1</f>
        <v>-4515</v>
      </c>
      <c r="BI173" s="540" t="n">
        <f aca="false">(I173-DateToday+1)/365.25</f>
        <v>-12.3175906913073</v>
      </c>
      <c r="BJ173" s="541" t="n">
        <f aca="false">BI173+(BL173-BI173)*CHOOSE(Underlying,AJ173/AI173,AM173/AL173)</f>
        <v>-12.2620123203285</v>
      </c>
      <c r="BK173" s="541" t="n">
        <f aca="false">BJ173+1/365.25</f>
        <v>-12.2592744695414</v>
      </c>
      <c r="BL173" s="541" t="n">
        <f aca="false">(I174-DateToday)/365.25</f>
        <v>-12.2381930184805</v>
      </c>
      <c r="BM173" s="542" t="e">
        <f aca="false">MAX(BI173-(BJ173-BI173)*(S174^2/O174^2-1),0)</f>
        <v>#DIV/0!</v>
      </c>
      <c r="BN173" s="541" t="e">
        <f aca="false">MAX(BL173+(BL173-BK173)*(S175^2/O175^2-1),0)</f>
        <v>#DIV/0!</v>
      </c>
      <c r="BO173" s="530" t="n">
        <f aca="false">CHOOSE(Underlying,AI173,AL173)</f>
        <v>20</v>
      </c>
      <c r="BP173" s="529" t="n">
        <f aca="false">CHOOSE(Underlying,AJ173,AM173)</f>
        <v>14</v>
      </c>
      <c r="BQ173" s="529" t="n">
        <f aca="false">CHOOSE(Underlying,AK173,AN173)</f>
        <v>6</v>
      </c>
      <c r="BR173" s="463" t="str">
        <f aca="false">IF(BD173,IF(Underlying=1,X173,Z173)+UnderlyingPriceAsian-SwapPriceCurve,"")</f>
        <v/>
      </c>
      <c r="BS173" s="463" t="str">
        <f aca="false">IF(BD173,Strike1/BR173-1,"")</f>
        <v/>
      </c>
      <c r="BT173" s="464" t="str">
        <f aca="false">IF(BD173,Strike2/BR173-1,"")</f>
        <v/>
      </c>
      <c r="BU173" s="465" t="str">
        <f aca="false">IF(BD173,IF(Underlying=1,L174,R174)+UnderlyingPriceAsian-SwapPriceCurve,"")</f>
        <v/>
      </c>
      <c r="BV173" s="465" t="str">
        <f aca="false">IF(BD173,IF(Underlying=1,L175,R175)+UnderlyingPriceAsian-SwapPriceCurve,"")</f>
        <v/>
      </c>
      <c r="BW173" s="466" t="str">
        <f aca="false">IF(BD173,IF(Underlying=1,O174,AT174),"")</f>
        <v/>
      </c>
      <c r="BX173" s="467" t="str">
        <f aca="false">IF(BD173,IF(Underlying=1,O175,AT175),"")</f>
        <v/>
      </c>
      <c r="BY173" s="466" t="str">
        <f aca="false">IF(BD173,IF(BS173&gt;0,IF(BS173&gt;0.2,BC173-BB173,IF(BS173&gt;0.1,BB173-BA173,BA173)),IF(BS173&lt;-0.2,AX173-AY173,IF(BS173&lt;-0.1,AY173-AZ173,AZ173))),"")</f>
        <v/>
      </c>
      <c r="BZ173" s="467" t="str">
        <f aca="false">IF(BD173,IF(BT173&gt;0,IF(BT173&gt;0.2,BC173-BB173,IF(BT173&gt;0.1,BB173-BA173,BA173)),IF(BT173&lt;-0.2,AX173-AY173,IF(BT173&lt;-0.1,AY173-AZ173,AZ173))),"")</f>
        <v/>
      </c>
      <c r="CA173" s="468" t="str">
        <f aca="false">IF($BD173,$BW173+IF(VolSkewFlag=1,IF(BS173&gt;0,$BA173*MIN(BS173/10%,1)+($BB173-$BA173)*MAX(0,MIN(BS173/10%-1,1))+($BC173-$BB173)*MAX(0,BS173/10%-2),$AZ173*MIN(-BS173/10%,1)+($AY173-$AZ173)*MAX(0,MIN(-BS173/10%-1,1))+($AX173-$AY173)*MAX(0,-BS173/10%-2)),0),"")</f>
        <v/>
      </c>
      <c r="CB173" s="468" t="str">
        <f aca="false">IF($BD173,$BX173+IF(VolSkewFlag=1,IF(BS173&gt;0,$BA173*MIN(BS173/10%,1)+($BB173-$BA173)*MAX(0,MIN(BS173/10%-1,1))+($BC173-$BB173)*MAX(0,BS173/10%-2),$AZ173*MIN(-BS173/10%,1)+($AY173-$AZ173)*MAX(0,MIN(-BS173/10%-1,1))+($AX173-$AY173)*MAX(0,-BS173/10%-2)),0),"")</f>
        <v/>
      </c>
      <c r="CC173" s="468" t="str">
        <f aca="false">IF($BD173,$BW173+IF(VolSkewFlag=1,IF(BT173&gt;0,$BA173*MIN(BT173/10%,1)+($BB173-$BA173)*MAX(0,MIN(BT173/10%-1,1))+($BC173-$BB173)*MAX(0,BT173/10%-2),$AZ173*MIN(-BT173/10%,1)+($AY173-$AZ173)*MAX(0,MIN(-BT173/10%-1,1))+($AX173-$AY173)*MAX(0,-BT173/10%-2)),0),"")</f>
        <v/>
      </c>
      <c r="CD173" s="468" t="str">
        <f aca="false">IF($BD173,$BX173+IF(VolSkewFlag=1,IF(BT173&gt;0,$BA173*MIN(BT173/10%,1)+($BB173-$BA173)*MAX(0,MIN(BT173/10%-1,1))+($BC173-$BB173)*MAX(0,BT173/10%-2),$AZ173*MIN(-BT173/10%,1)+($AY173-$AZ173)*MAX(0,MIN(-BT173/10%-1,1))+($AX173-$AY173)*MAX(0,-BT173/10%-2)),0),"")</f>
        <v/>
      </c>
      <c r="CE173" s="469" t="n">
        <v>1</v>
      </c>
      <c r="CF173" s="470" t="n">
        <f aca="false">IF(BD173,xCrudeAPO(BU173,BV173,CA173,CB173,S174,S175,BI173,BL173,BP173,BQ173,0,Strike1,AO173,CE173,0,BL173,IF(OptControl=4,0,1),0,1),0)</f>
        <v>0</v>
      </c>
      <c r="CG173" s="470" t="n">
        <f aca="false">IF(BD173,xCrudeAPO(BU173,BV173,CA173,CB173,S174,S175,BI173,BL173,BP173,BQ173,0,Strike1,AO173,CE173,0,BL173,IF(OptControl=4,0,1),1,1)+xCrudeAPO(BU173,BV173,CA173,CB173,S174,S175,BI173,BL173,BP173,BQ173,0,Strike1,AO173,CE173,0,BL173,IF(OptControl=4,0,1),1,2)+IF(OR(VolSkewFlag=2,ABS(BS173)&lt;0.0001),0,IF(BS173&gt;0,-1,1)*CH173*Strike1/BR173^2*BY173/10%),0)</f>
        <v>0</v>
      </c>
      <c r="CH173" s="470" t="n">
        <f aca="false">IF(BD173,(xCrudeAPO(BU173,BV173,CA173,CB173,S174,S175,BI173,BL173,BP173,BQ173,0,Strike1,AO173,CE173,0,BL173,IF(OptControl=4,0,1),3,1)+xCrudeAPO(BU173,BV173,CA173,CB173,S174,S175,BI173,BL173,BP173,BQ173,0,Strike1,AO173,CE173,0,BL173,IF(OptControl=4,0,1),3,2))/100,0)</f>
        <v>0</v>
      </c>
      <c r="CI173" s="470" t="n">
        <f aca="false">IF(BD173,xCrudeAPO(BU173,BV173,CA173,CB173,S174,S175,BI173-DaysForThetaCalculation/365.25,BL173-DaysForThetaCalculation/365.25,BP173,BQ173,0,Strike1,AO173,CE173,0,BL173,IF(OptControl=4,0,1),0,1)-xCrudeAPO(BU173,BV173,CA173,CB173,S174,S175,BI173,BL173,BP173,BQ173,0,Strike1,AO173,CE173,0,BL173,IF(OptControl=4,0,1),0,1),0)</f>
        <v>0</v>
      </c>
      <c r="CJ173" s="471" t="n">
        <f aca="false">IF(BD173,xCrudeAPO(BU173,BV173,CC173,CD173,S174,S175,BI173,BL173,BP173,BQ173,0,Strike2,AO173,CE173,0,BL173,IF(OptControl=3,1,0),0,1),0)</f>
        <v>0</v>
      </c>
      <c r="CK173" s="470" t="n">
        <f aca="false">IF(BD173,xCrudeAPO(BU173,BV173,CC173,CD173,S174,S175,BI173,BL173,BP173,BQ173,0,Strike2,AO173,CE173,0,BL173,IF(OptControl=3,1,0),1,1)+xCrudeAPO(BU173,BV173,CC173,CD173,S174,S175,BI173,BL173,BP173,BQ173,0,Strike2,AO173,CE173,0,BL173,IF(OptControl=3,1,0),1,2)+IF(OR(VolSkewFlag=2,ABS(BT173)&lt;0.0001),0,IF(BT173&gt;0,-1,1)*CL173*Strike2/BR173^2*BZ173/10%),0)</f>
        <v>0</v>
      </c>
      <c r="CL173" s="470" t="n">
        <f aca="false">IF(BD173,(xCrudeAPO(BU173,BV173,CC173,CD173,S174,S175,BI173,BL173,BP173,BQ173,0,Strike2,AO173,CE173,0,BL173,IF(OptControl=3,1,0),3,1)+xCrudeAPO(BU173,BV173,CC173,CD173,S174,S175,BI173,BL173,BP173,BQ173,0,Strike2,AO173,CE173,0,BL173,IF(OptControl=3,1,0),3,2))/100,0)</f>
        <v>0</v>
      </c>
      <c r="CM173" s="472" t="n">
        <f aca="false">IF(BD173,xCrudeAPO(BU173,BV173,CC173,CD173,S174,S175,BI173-DaysForThetaCalculation/365.25,BL173-DaysForThetaCalculation/365.25,BP173,BQ173,0,Strike2,AO173,CE173,0,BL173,IF(OptControl=3,1,0),0,1)-xCrudeAPO(BU173,BV173,CC173,CD173,S174,S175,BI173,BL173,BP173,BQ173,0,Strike2,AO173,CE173,0,BL173,IF(OptControl=3,1,0),0,1),0)</f>
        <v>0</v>
      </c>
      <c r="CN173" s="3"/>
      <c r="CO173" s="543" t="str">
        <f aca="false">IF(BD173,CHOOSE(Underlying,AD173,AF173)-DateToday+1,"")</f>
        <v/>
      </c>
      <c r="CP173" s="582" t="str">
        <f aca="false">IF(BD173,CHOOSE(Underlying,L173,R173),"")</f>
        <v/>
      </c>
      <c r="CQ173" s="544" t="str">
        <f aca="false">IF(BD173,Strike1/CP173-1,"")</f>
        <v/>
      </c>
      <c r="CR173" s="544" t="str">
        <f aca="false">IF(BD173,Strike2/CP173-1,"")</f>
        <v/>
      </c>
      <c r="CS173" s="544" t="str">
        <f aca="false">IF(BD173,IF(CQ173&gt;0,IF(CQ173&gt;0.2,BC172-BB172,IF(CQ173&gt;0.1,BB172-BA172,BA172)),IF(CQ173&lt;-0.2,AX172-AY172,IF(CQ173&lt;-0.1,AY172-AZ172,AZ172))),"")</f>
        <v/>
      </c>
      <c r="CT173" s="544" t="str">
        <f aca="false">IF(BD173,IF(CR173&gt;0,IF(CR173&gt;0.2,BC172-BB172,IF(CR173&gt;0.1,BB172-BA172,BA172)),IF(CR173&lt;-0.2,AX172-AY172,IF(CR173&lt;-0.1,AY172-AZ172,AZ172))),"")</f>
        <v/>
      </c>
      <c r="CU173" s="545" t="str">
        <f aca="false">IF(BD173,CHOOSE(Underlying,O173,AT173),"")</f>
        <v/>
      </c>
      <c r="CV173" s="545" t="str">
        <f aca="false">IF(BD173,CU173+IF(VolSkewFlag=1,IF(CQ173&gt;0,BA172*MIN(CQ173/10%,1)+(BB172-BA172)*MAX(0,MIN(CQ173/10%-1,1))+(BC172-BB172)*MAX(0,CQ173/10%-2),AZ172*MIN(-CQ173/10%,1)+(AY172-AZ172)*MAX(0,MIN(-CQ173/10%-1,1))+(AX172-AY172)*MAX(0,-CQ173/10%-2)),0),"")</f>
        <v/>
      </c>
      <c r="CW173" s="545" t="str">
        <f aca="false">IF(BD173,CU173+IF(VolSkewFlag=1,IF(CR173&gt;0,BA172*MIN(CR173/10%,1)+(BB172-BA172)*MAX(0,MIN(CR173/10%-1,1))+(BC172-BB172)*MAX(0,CR173/10%-2),AZ172*MIN(-CR173/10%,1)+(AY172-AZ172)*MAX(0,MIN(-CR173/10%-1,1))+(AX172-AY172)*MAX(0,-CR173/10%-2)),0),"")</f>
        <v/>
      </c>
      <c r="CX173" s="470" t="n">
        <f aca="false">IF(BD173,EURO(CP173,Strike1,AO173,AO173,CV173,CO173,IF(OptControl=4,0,1),0),0)</f>
        <v>0</v>
      </c>
      <c r="CY173" s="470" t="n">
        <f aca="false">IF(BD173,EURO(CP173,Strike1,AO173,AO173,CV173,CO173,IF(OptControl=4,0,1),1)+IF(OR(VolSkewFlag=2,ABS(CQ173)&lt;0.0001),0,IF(CQ173&gt;0,-1,1)*CZ173*100*Strike1/CP173^2*CS173/10%),0)</f>
        <v>0</v>
      </c>
      <c r="CZ173" s="470" t="n">
        <f aca="false">IF(BD173,EURO(CP173,Strike1,AO173,AO173,CV173,CO173,IF(OptControl=4,0,1),3)/100,0)</f>
        <v>0</v>
      </c>
      <c r="DA173" s="470" t="n">
        <f aca="false">IF(BD173,EURO(CP173,Strike1,AO173,AO173,CV173,CO173,IF(OptControl=4,0,1),0)-EURO(CP173,Strike1,AO173,AO173,CV173,CO173-1,IF(OptControl=4,0,1),0),0)</f>
        <v>0</v>
      </c>
      <c r="DB173" s="470" t="n">
        <f aca="false">IF(BD173,EURO(CP173,Strike2,AO173,AO173,CW173,CO173,IF(OptControl=3,1,0),0),0)</f>
        <v>0</v>
      </c>
      <c r="DC173" s="470" t="n">
        <f aca="false">IF(BD173,EURO(CP173,Strike2,AO173,AO173,CW173,CO173,IF(OptControl=3,1,0),1)+IF(OR(VolSkewFlag=2,ABS(CR173)&lt;0.0001),0,IF(CR173&gt;0,-1,1)*DD173*100*Strike2/CP173^2*CT173/10%),0)</f>
        <v>0</v>
      </c>
      <c r="DD173" s="470" t="n">
        <f aca="false">IF(BD173,EURO(CP173,Strike2,AO173,AO173,CW173,CO173,IF(OptControl=3,1,0),3)/100,0)</f>
        <v>0</v>
      </c>
      <c r="DE173" s="472" t="n">
        <f aca="false">IF(BD173,EURO(CP173,Strike2,AO173,AO173,CW173,CO173,IF(OptControl=3,1,0),0)-EURO(CP173,Strike2,AO173,AO173,CW173,CO173-1,IF(OptControl=3,1,0),0),0)</f>
        <v>0</v>
      </c>
      <c r="DG173" s="481" t="n">
        <f aca="false">EOMONTH(DG172,0)+1</f>
        <v>50345</v>
      </c>
      <c r="DH173" s="478" t="n">
        <v>21.8100000000001</v>
      </c>
      <c r="DI173" s="479" t="n">
        <v>21.8781818181819</v>
      </c>
      <c r="DJ173" s="480" t="n">
        <f aca="false">DG173</f>
        <v>50345</v>
      </c>
      <c r="DK173" s="478" t="n">
        <v>20.6027805227337</v>
      </c>
      <c r="DL173" s="479" t="n">
        <v>20.6850818181819</v>
      </c>
      <c r="DM173" s="481" t="n">
        <f aca="false">DG173</f>
        <v>50345</v>
      </c>
      <c r="DN173" s="482" t="n">
        <f aca="false">DK173+BrentPhyBrentSpread</f>
        <v>20.6527805227337</v>
      </c>
      <c r="DO173" s="481" t="n">
        <f aca="false">DG173</f>
        <v>50345</v>
      </c>
      <c r="DP173" s="483" t="n">
        <f aca="false">DL173+DQ173</f>
        <v>20.6850818181819</v>
      </c>
      <c r="DQ173" s="546" t="n">
        <v>0</v>
      </c>
      <c r="DR173" s="480" t="n">
        <f aca="false">DG173</f>
        <v>50345</v>
      </c>
      <c r="DS173" s="485" t="n">
        <v>0.132799999999999</v>
      </c>
      <c r="DT173" s="486" t="n">
        <v>0.131981818181817</v>
      </c>
      <c r="DU173" s="480" t="n">
        <f aca="false">DG173</f>
        <v>50345</v>
      </c>
      <c r="DV173" s="485" t="n">
        <v>0.132799999999999</v>
      </c>
      <c r="DW173" s="486" t="n">
        <v>0.131981818181817</v>
      </c>
      <c r="DX173" s="481" t="n">
        <f aca="false">DG173</f>
        <v>50345</v>
      </c>
      <c r="DY173" s="486" t="n">
        <v>0.35</v>
      </c>
      <c r="DZ173" s="481" t="n">
        <f aca="false">DR173</f>
        <v>50345</v>
      </c>
      <c r="EA173" s="486" t="n">
        <f aca="false">DT173</f>
        <v>0.131981818181817</v>
      </c>
      <c r="EB173" s="195"/>
      <c r="EC173" s="547" t="str">
        <f aca="false">IF(BD173,IF(Underlying=1,AS173,AU173),"")</f>
        <v/>
      </c>
      <c r="ED173" s="548" t="str">
        <f aca="false">IF($BD173,$EC173+IF(VolSkewFlag=1,IF(BS173&gt;0,$BA173*MIN(BS173/10%,1)+($BB173-$BA173)*MAX(0,MIN(BS173/10%-1,1))+($BC173-$BB173)*MAX(0,BS173/10%-2),$AZ173*MIN(-BS173/10%,1)+($AY173-$AZ173)*MAX(0,MIN(-BS173/10%-1,1))+($AX173-$AY173)*MAX(0,-BS173/10%-2)),0),"")</f>
        <v/>
      </c>
      <c r="EE173" s="549" t="str">
        <f aca="false">IF($BD173,$EC173+IF(VolSkewFlag=1,IF(BT173&gt;0,$BA173*MIN(BT173/10%,1)+($BB173-$BA173)*MAX(0,MIN(BT173/10%-1,1))+($BC173-$BB173)*MAX(0,BT173/10%-2),$AZ173*MIN(-BT173/10%,1)+($AY173-$AZ173)*MAX(0,MIN(-BT173/10%-1,1))+($AX173-$AY173)*MAX(0,-BT173/10%-2)),0),"")</f>
        <v/>
      </c>
      <c r="EF173" s="550" t="n">
        <f aca="false">IF(BD173,xASN(BR173,Strike1,AO173,ED173,0,BO173,0,BI173,BL173,IF(OptControl=4,0,1),0),0)</f>
        <v>0</v>
      </c>
      <c r="EG173" s="551" t="n">
        <f aca="false">IF(BD173,xASN(BR173,Strike2,AO173,EE173,0,BO173,0,BI173,BL173,IF(OptControl=3,1,0),0),0)</f>
        <v>0</v>
      </c>
      <c r="EL173" s="1"/>
      <c r="EM173" s="195"/>
      <c r="EN173" s="240"/>
      <c r="EO173" s="240"/>
      <c r="EP173" s="195"/>
      <c r="EQ173" s="407" t="s">
        <v>401</v>
      </c>
      <c r="ES173" s="130"/>
      <c r="ET173" s="19"/>
      <c r="EU173" s="672"/>
      <c r="EV173" s="478"/>
      <c r="EW173" s="131"/>
      <c r="EX173" s="131"/>
      <c r="EY173" s="129"/>
      <c r="EZ173" s="129"/>
      <c r="FA173" s="129"/>
      <c r="FB173" s="129"/>
      <c r="FC173" s="129"/>
      <c r="FD173" s="129"/>
      <c r="FE173" s="129"/>
      <c r="FF173" s="129"/>
      <c r="FG173" s="129"/>
      <c r="FH173" s="129"/>
      <c r="FI173" s="129"/>
      <c r="FJ173" s="571" t="n">
        <v>4</v>
      </c>
      <c r="FK173" s="150" t="str">
        <f aca="false">IF(OR(FK$169&lt;SwaptionFirstMonthPosition+1,$FJ173&lt;SwaptionFirstMonthPosition+1,FK$169&gt;SwaptionFirstMonthPosition+SwaptionNumOfMonths+1,$FJ173&gt;SwaptionFirstMonthPosition+SwaptionNumOfMonths+1),"",IF($FJ173=FK$169,1,IF($FJ173&lt;FK$169,INDEX($FK$170:$ID$241,FK$169,$FJ173),SUMPRODUCT(INDEX($FK$325:$ID$396,FK$169,1+SwaptionShift):INDEX($FK$325:$ID$396,FK$169,SwaptionMonthsToGo+SwaptionShift),INDEX($FK$245:$ID$316,$FJ173-FK$169,73-FK$169+SwaptionShift):INDEX($FK$245:$ID$316,$FJ173-FK$169,72-FK$169+SwaptionMonthsToGo+SwaptionShift))/SQRT(SUM(INDEX($FK328:$ID328,1+SwaptionShift):INDEX($FK328:$ID328,SwaptionMonthsToGo+SwaptionShift))*SUM(INDEX($FK$325:$ID$396,FK$169,1+SwaptionShift):INDEX($FK$325:$ID$396,FK$169,SwaptionMonthsToGo+SwaptionShift))))))</f>
        <v/>
      </c>
      <c r="FL173" s="150" t="str">
        <f aca="false">IF(OR(FL$169&lt;SwaptionFirstMonthPosition+1,$FJ173&lt;SwaptionFirstMonthPosition+1,FL$169&gt;SwaptionFirstMonthPosition+SwaptionNumOfMonths+1,$FJ173&gt;SwaptionFirstMonthPosition+SwaptionNumOfMonths+1),"",IF($FJ173=FL$169,1,IF($FJ173&lt;FL$169,INDEX($FK$170:$ID$241,FL$169,$FJ173),SUMPRODUCT(INDEX($FK$325:$ID$396,FL$169,1+SwaptionShift):INDEX($FK$325:$ID$396,FL$169,SwaptionMonthsToGo+SwaptionShift),INDEX($FK$245:$ID$316,$FJ173-FL$169,73-FL$169+SwaptionShift):INDEX($FK$245:$ID$316,$FJ173-FL$169,72-FL$169+SwaptionMonthsToGo+SwaptionShift))/SQRT(SUM(INDEX($FK328:$ID328,1+SwaptionShift):INDEX($FK328:$ID328,SwaptionMonthsToGo+SwaptionShift))*SUM(INDEX($FK$325:$ID$396,FL$169,1+SwaptionShift):INDEX($FK$325:$ID$396,FL$169,SwaptionMonthsToGo+SwaptionShift))))))</f>
        <v/>
      </c>
      <c r="FM173" s="150" t="str">
        <f aca="false">IF(OR(FM$169&lt;SwaptionFirstMonthPosition+1,$FJ173&lt;SwaptionFirstMonthPosition+1,FM$169&gt;SwaptionFirstMonthPosition+SwaptionNumOfMonths+1,$FJ173&gt;SwaptionFirstMonthPosition+SwaptionNumOfMonths+1),"",IF($FJ173=FM$169,1,IF($FJ173&lt;FM$169,INDEX($FK$170:$ID$241,FM$169,$FJ173),SUMPRODUCT(INDEX($FK$325:$ID$396,FM$169,1+SwaptionShift):INDEX($FK$325:$ID$396,FM$169,SwaptionMonthsToGo+SwaptionShift),INDEX($FK$245:$ID$316,$FJ173-FM$169,73-FM$169+SwaptionShift):INDEX($FK$245:$ID$316,$FJ173-FM$169,72-FM$169+SwaptionMonthsToGo+SwaptionShift))/SQRT(SUM(INDEX($FK328:$ID328,1+SwaptionShift):INDEX($FK328:$ID328,SwaptionMonthsToGo+SwaptionShift))*SUM(INDEX($FK$325:$ID$396,FM$169,1+SwaptionShift):INDEX($FK$325:$ID$396,FM$169,SwaptionMonthsToGo+SwaptionShift))))))</f>
        <v/>
      </c>
      <c r="FN173" s="150" t="str">
        <f aca="false">IF(OR(FN$169&lt;SwaptionFirstMonthPosition+1,$FJ173&lt;SwaptionFirstMonthPosition+1,FN$169&gt;SwaptionFirstMonthPosition+SwaptionNumOfMonths+1,$FJ173&gt;SwaptionFirstMonthPosition+SwaptionNumOfMonths+1),"",IF($FJ173=FN$169,1,IF($FJ173&lt;FN$169,INDEX($FK$170:$ID$241,FN$169,$FJ173),SUMPRODUCT(INDEX($FK$325:$ID$396,FN$169,1+SwaptionShift):INDEX($FK$325:$ID$396,FN$169,SwaptionMonthsToGo+SwaptionShift),INDEX($FK$245:$ID$316,$FJ173-FN$169,73-FN$169+SwaptionShift):INDEX($FK$245:$ID$316,$FJ173-FN$169,72-FN$169+SwaptionMonthsToGo+SwaptionShift))/SQRT(SUM(INDEX($FK328:$ID328,1+SwaptionShift):INDEX($FK328:$ID328,SwaptionMonthsToGo+SwaptionShift))*SUM(INDEX($FK$325:$ID$396,FN$169,1+SwaptionShift):INDEX($FK$325:$ID$396,FN$169,SwaptionMonthsToGo+SwaptionShift))))))</f>
        <v/>
      </c>
      <c r="FO173" s="150" t="str">
        <f aca="false">IF(OR(FO$169&lt;SwaptionFirstMonthPosition+1,$FJ173&lt;SwaptionFirstMonthPosition+1,FO$169&gt;SwaptionFirstMonthPosition+SwaptionNumOfMonths+1,$FJ173&gt;SwaptionFirstMonthPosition+SwaptionNumOfMonths+1),"",IF($FJ173=FO$169,1,IF($FJ173&lt;FO$169,INDEX($FK$170:$ID$241,FO$169,$FJ173),SUMPRODUCT(INDEX($FK$325:$ID$396,FO$169,1+SwaptionShift):INDEX($FK$325:$ID$396,FO$169,SwaptionMonthsToGo+SwaptionShift),INDEX($FK$245:$ID$316,$FJ173-FO$169,73-FO$169+SwaptionShift):INDEX($FK$245:$ID$316,$FJ173-FO$169,72-FO$169+SwaptionMonthsToGo+SwaptionShift))/SQRT(SUM(INDEX($FK328:$ID328,1+SwaptionShift):INDEX($FK328:$ID328,SwaptionMonthsToGo+SwaptionShift))*SUM(INDEX($FK$325:$ID$396,FO$169,1+SwaptionShift):INDEX($FK$325:$ID$396,FO$169,SwaptionMonthsToGo+SwaptionShift))))))</f>
        <v/>
      </c>
      <c r="FP173" s="150" t="str">
        <f aca="false">IF(OR(FP$169&lt;SwaptionFirstMonthPosition+1,$FJ173&lt;SwaptionFirstMonthPosition+1,FP$169&gt;SwaptionFirstMonthPosition+SwaptionNumOfMonths+1,$FJ173&gt;SwaptionFirstMonthPosition+SwaptionNumOfMonths+1),"",IF($FJ173=FP$169,1,IF($FJ173&lt;FP$169,INDEX($FK$170:$ID$241,FP$169,$FJ173),SUMPRODUCT(INDEX($FK$325:$ID$396,FP$169,1+SwaptionShift):INDEX($FK$325:$ID$396,FP$169,SwaptionMonthsToGo+SwaptionShift),INDEX($FK$245:$ID$316,$FJ173-FP$169,73-FP$169+SwaptionShift):INDEX($FK$245:$ID$316,$FJ173-FP$169,72-FP$169+SwaptionMonthsToGo+SwaptionShift))/SQRT(SUM(INDEX($FK328:$ID328,1+SwaptionShift):INDEX($FK328:$ID328,SwaptionMonthsToGo+SwaptionShift))*SUM(INDEX($FK$325:$ID$396,FP$169,1+SwaptionShift):INDEX($FK$325:$ID$396,FP$169,SwaptionMonthsToGo+SwaptionShift))))))</f>
        <v/>
      </c>
      <c r="FQ173" s="150" t="str">
        <f aca="false">IF(OR(FQ$169&lt;SwaptionFirstMonthPosition+1,$FJ173&lt;SwaptionFirstMonthPosition+1,FQ$169&gt;SwaptionFirstMonthPosition+SwaptionNumOfMonths+1,$FJ173&gt;SwaptionFirstMonthPosition+SwaptionNumOfMonths+1),"",IF($FJ173=FQ$169,1,IF($FJ173&lt;FQ$169,INDEX($FK$170:$ID$241,FQ$169,$FJ173),SUMPRODUCT(INDEX($FK$325:$ID$396,FQ$169,1+SwaptionShift):INDEX($FK$325:$ID$396,FQ$169,SwaptionMonthsToGo+SwaptionShift),INDEX($FK$245:$ID$316,$FJ173-FQ$169,73-FQ$169+SwaptionShift):INDEX($FK$245:$ID$316,$FJ173-FQ$169,72-FQ$169+SwaptionMonthsToGo+SwaptionShift))/SQRT(SUM(INDEX($FK328:$ID328,1+SwaptionShift):INDEX($FK328:$ID328,SwaptionMonthsToGo+SwaptionShift))*SUM(INDEX($FK$325:$ID$396,FQ$169,1+SwaptionShift):INDEX($FK$325:$ID$396,FQ$169,SwaptionMonthsToGo+SwaptionShift))))))</f>
        <v/>
      </c>
      <c r="FR173" s="150" t="str">
        <f aca="false">IF(OR(FR$169&lt;SwaptionFirstMonthPosition+1,$FJ173&lt;SwaptionFirstMonthPosition+1,FR$169&gt;SwaptionFirstMonthPosition+SwaptionNumOfMonths+1,$FJ173&gt;SwaptionFirstMonthPosition+SwaptionNumOfMonths+1),"",IF($FJ173=FR$169,1,IF($FJ173&lt;FR$169,INDEX($FK$170:$ID$241,FR$169,$FJ173),SUMPRODUCT(INDEX($FK$325:$ID$396,FR$169,1+SwaptionShift):INDEX($FK$325:$ID$396,FR$169,SwaptionMonthsToGo+SwaptionShift),INDEX($FK$245:$ID$316,$FJ173-FR$169,73-FR$169+SwaptionShift):INDEX($FK$245:$ID$316,$FJ173-FR$169,72-FR$169+SwaptionMonthsToGo+SwaptionShift))/SQRT(SUM(INDEX($FK328:$ID328,1+SwaptionShift):INDEX($FK328:$ID328,SwaptionMonthsToGo+SwaptionShift))*SUM(INDEX($FK$325:$ID$396,FR$169,1+SwaptionShift):INDEX($FK$325:$ID$396,FR$169,SwaptionMonthsToGo+SwaptionShift))))))</f>
        <v/>
      </c>
      <c r="FS173" s="150" t="str">
        <f aca="false">IF(OR(FS$169&lt;SwaptionFirstMonthPosition+1,$FJ173&lt;SwaptionFirstMonthPosition+1,FS$169&gt;SwaptionFirstMonthPosition+SwaptionNumOfMonths+1,$FJ173&gt;SwaptionFirstMonthPosition+SwaptionNumOfMonths+1),"",IF($FJ173=FS$169,1,IF($FJ173&lt;FS$169,INDEX($FK$170:$ID$241,FS$169,$FJ173),SUMPRODUCT(INDEX($FK$325:$ID$396,FS$169,1+SwaptionShift):INDEX($FK$325:$ID$396,FS$169,SwaptionMonthsToGo+SwaptionShift),INDEX($FK$245:$ID$316,$FJ173-FS$169,73-FS$169+SwaptionShift):INDEX($FK$245:$ID$316,$FJ173-FS$169,72-FS$169+SwaptionMonthsToGo+SwaptionShift))/SQRT(SUM(INDEX($FK328:$ID328,1+SwaptionShift):INDEX($FK328:$ID328,SwaptionMonthsToGo+SwaptionShift))*SUM(INDEX($FK$325:$ID$396,FS$169,1+SwaptionShift):INDEX($FK$325:$ID$396,FS$169,SwaptionMonthsToGo+SwaptionShift))))))</f>
        <v/>
      </c>
      <c r="FT173" s="150" t="str">
        <f aca="false">IF(OR(FT$169&lt;SwaptionFirstMonthPosition+1,$FJ173&lt;SwaptionFirstMonthPosition+1,FT$169&gt;SwaptionFirstMonthPosition+SwaptionNumOfMonths+1,$FJ173&gt;SwaptionFirstMonthPosition+SwaptionNumOfMonths+1),"",IF($FJ173=FT$169,1,IF($FJ173&lt;FT$169,INDEX($FK$170:$ID$241,FT$169,$FJ173),SUMPRODUCT(INDEX($FK$325:$ID$396,FT$169,1+SwaptionShift):INDEX($FK$325:$ID$396,FT$169,SwaptionMonthsToGo+SwaptionShift),INDEX($FK$245:$ID$316,$FJ173-FT$169,73-FT$169+SwaptionShift):INDEX($FK$245:$ID$316,$FJ173-FT$169,72-FT$169+SwaptionMonthsToGo+SwaptionShift))/SQRT(SUM(INDEX($FK328:$ID328,1+SwaptionShift):INDEX($FK328:$ID328,SwaptionMonthsToGo+SwaptionShift))*SUM(INDEX($FK$325:$ID$396,FT$169,1+SwaptionShift):INDEX($FK$325:$ID$396,FT$169,SwaptionMonthsToGo+SwaptionShift))))))</f>
        <v/>
      </c>
      <c r="FU173" s="150" t="str">
        <f aca="false">IF(OR(FU$169&lt;SwaptionFirstMonthPosition+1,$FJ173&lt;SwaptionFirstMonthPosition+1,FU$169&gt;SwaptionFirstMonthPosition+SwaptionNumOfMonths+1,$FJ173&gt;SwaptionFirstMonthPosition+SwaptionNumOfMonths+1),"",IF($FJ173=FU$169,1,IF($FJ173&lt;FU$169,INDEX($FK$170:$ID$241,FU$169,$FJ173),SUMPRODUCT(INDEX($FK$325:$ID$396,FU$169,1+SwaptionShift):INDEX($FK$325:$ID$396,FU$169,SwaptionMonthsToGo+SwaptionShift),INDEX($FK$245:$ID$316,$FJ173-FU$169,73-FU$169+SwaptionShift):INDEX($FK$245:$ID$316,$FJ173-FU$169,72-FU$169+SwaptionMonthsToGo+SwaptionShift))/SQRT(SUM(INDEX($FK328:$ID328,1+SwaptionShift):INDEX($FK328:$ID328,SwaptionMonthsToGo+SwaptionShift))*SUM(INDEX($FK$325:$ID$396,FU$169,1+SwaptionShift):INDEX($FK$325:$ID$396,FU$169,SwaptionMonthsToGo+SwaptionShift))))))</f>
        <v/>
      </c>
      <c r="FV173" s="150" t="str">
        <f aca="false">IF(OR(FV$169&lt;SwaptionFirstMonthPosition+1,$FJ173&lt;SwaptionFirstMonthPosition+1,FV$169&gt;SwaptionFirstMonthPosition+SwaptionNumOfMonths+1,$FJ173&gt;SwaptionFirstMonthPosition+SwaptionNumOfMonths+1),"",IF($FJ173=FV$169,1,IF($FJ173&lt;FV$169,INDEX($FK$170:$ID$241,FV$169,$FJ173),SUMPRODUCT(INDEX($FK$325:$ID$396,FV$169,1+SwaptionShift):INDEX($FK$325:$ID$396,FV$169,SwaptionMonthsToGo+SwaptionShift),INDEX($FK$245:$ID$316,$FJ173-FV$169,73-FV$169+SwaptionShift):INDEX($FK$245:$ID$316,$FJ173-FV$169,72-FV$169+SwaptionMonthsToGo+SwaptionShift))/SQRT(SUM(INDEX($FK328:$ID328,1+SwaptionShift):INDEX($FK328:$ID328,SwaptionMonthsToGo+SwaptionShift))*SUM(INDEX($FK$325:$ID$396,FV$169,1+SwaptionShift):INDEX($FK$325:$ID$396,FV$169,SwaptionMonthsToGo+SwaptionShift))))))</f>
        <v/>
      </c>
      <c r="FW173" s="150" t="str">
        <f aca="false">IF(OR(FW$169&lt;SwaptionFirstMonthPosition+1,$FJ173&lt;SwaptionFirstMonthPosition+1,FW$169&gt;SwaptionFirstMonthPosition+SwaptionNumOfMonths+1,$FJ173&gt;SwaptionFirstMonthPosition+SwaptionNumOfMonths+1),"",IF($FJ173=FW$169,1,IF($FJ173&lt;FW$169,INDEX($FK$170:$ID$241,FW$169,$FJ173),SUMPRODUCT(INDEX($FK$325:$ID$396,FW$169,1+SwaptionShift):INDEX($FK$325:$ID$396,FW$169,SwaptionMonthsToGo+SwaptionShift),INDEX($FK$245:$ID$316,$FJ173-FW$169,73-FW$169+SwaptionShift):INDEX($FK$245:$ID$316,$FJ173-FW$169,72-FW$169+SwaptionMonthsToGo+SwaptionShift))/SQRT(SUM(INDEX($FK328:$ID328,1+SwaptionShift):INDEX($FK328:$ID328,SwaptionMonthsToGo+SwaptionShift))*SUM(INDEX($FK$325:$ID$396,FW$169,1+SwaptionShift):INDEX($FK$325:$ID$396,FW$169,SwaptionMonthsToGo+SwaptionShift))))))</f>
        <v/>
      </c>
      <c r="FX173" s="150" t="str">
        <f aca="false">IF(OR(FX$169&lt;SwaptionFirstMonthPosition+1,$FJ173&lt;SwaptionFirstMonthPosition+1,FX$169&gt;SwaptionFirstMonthPosition+SwaptionNumOfMonths+1,$FJ173&gt;SwaptionFirstMonthPosition+SwaptionNumOfMonths+1),"",IF($FJ173=FX$169,1,IF($FJ173&lt;FX$169,INDEX($FK$170:$ID$241,FX$169,$FJ173),SUMPRODUCT(INDEX($FK$325:$ID$396,FX$169,1+SwaptionShift):INDEX($FK$325:$ID$396,FX$169,SwaptionMonthsToGo+SwaptionShift),INDEX($FK$245:$ID$316,$FJ173-FX$169,73-FX$169+SwaptionShift):INDEX($FK$245:$ID$316,$FJ173-FX$169,72-FX$169+SwaptionMonthsToGo+SwaptionShift))/SQRT(SUM(INDEX($FK328:$ID328,1+SwaptionShift):INDEX($FK328:$ID328,SwaptionMonthsToGo+SwaptionShift))*SUM(INDEX($FK$325:$ID$396,FX$169,1+SwaptionShift):INDEX($FK$325:$ID$396,FX$169,SwaptionMonthsToGo+SwaptionShift))))))</f>
        <v/>
      </c>
      <c r="FY173" s="150" t="str">
        <f aca="false">IF(OR(FY$169&lt;SwaptionFirstMonthPosition+1,$FJ173&lt;SwaptionFirstMonthPosition+1,FY$169&gt;SwaptionFirstMonthPosition+SwaptionNumOfMonths+1,$FJ173&gt;SwaptionFirstMonthPosition+SwaptionNumOfMonths+1),"",IF($FJ173=FY$169,1,IF($FJ173&lt;FY$169,INDEX($FK$170:$ID$241,FY$169,$FJ173),SUMPRODUCT(INDEX($FK$325:$ID$396,FY$169,1+SwaptionShift):INDEX($FK$325:$ID$396,FY$169,SwaptionMonthsToGo+SwaptionShift),INDEX($FK$245:$ID$316,$FJ173-FY$169,73-FY$169+SwaptionShift):INDEX($FK$245:$ID$316,$FJ173-FY$169,72-FY$169+SwaptionMonthsToGo+SwaptionShift))/SQRT(SUM(INDEX($FK328:$ID328,1+SwaptionShift):INDEX($FK328:$ID328,SwaptionMonthsToGo+SwaptionShift))*SUM(INDEX($FK$325:$ID$396,FY$169,1+SwaptionShift):INDEX($FK$325:$ID$396,FY$169,SwaptionMonthsToGo+SwaptionShift))))))</f>
        <v/>
      </c>
      <c r="FZ173" s="150" t="str">
        <f aca="false">IF(OR(FZ$169&lt;SwaptionFirstMonthPosition+1,$FJ173&lt;SwaptionFirstMonthPosition+1,FZ$169&gt;SwaptionFirstMonthPosition+SwaptionNumOfMonths+1,$FJ173&gt;SwaptionFirstMonthPosition+SwaptionNumOfMonths+1),"",IF($FJ173=FZ$169,1,IF($FJ173&lt;FZ$169,INDEX($FK$170:$ID$241,FZ$169,$FJ173),SUMPRODUCT(INDEX($FK$325:$ID$396,FZ$169,1+SwaptionShift):INDEX($FK$325:$ID$396,FZ$169,SwaptionMonthsToGo+SwaptionShift),INDEX($FK$245:$ID$316,$FJ173-FZ$169,73-FZ$169+SwaptionShift):INDEX($FK$245:$ID$316,$FJ173-FZ$169,72-FZ$169+SwaptionMonthsToGo+SwaptionShift))/SQRT(SUM(INDEX($FK328:$ID328,1+SwaptionShift):INDEX($FK328:$ID328,SwaptionMonthsToGo+SwaptionShift))*SUM(INDEX($FK$325:$ID$396,FZ$169,1+SwaptionShift):INDEX($FK$325:$ID$396,FZ$169,SwaptionMonthsToGo+SwaptionShift))))))</f>
        <v/>
      </c>
      <c r="GA173" s="150" t="str">
        <f aca="false">IF(OR(GA$169&lt;SwaptionFirstMonthPosition+1,$FJ173&lt;SwaptionFirstMonthPosition+1,GA$169&gt;SwaptionFirstMonthPosition+SwaptionNumOfMonths+1,$FJ173&gt;SwaptionFirstMonthPosition+SwaptionNumOfMonths+1),"",IF($FJ173=GA$169,1,IF($FJ173&lt;GA$169,INDEX($FK$170:$ID$241,GA$169,$FJ173),SUMPRODUCT(INDEX($FK$325:$ID$396,GA$169,1+SwaptionShift):INDEX($FK$325:$ID$396,GA$169,SwaptionMonthsToGo+SwaptionShift),INDEX($FK$245:$ID$316,$FJ173-GA$169,73-GA$169+SwaptionShift):INDEX($FK$245:$ID$316,$FJ173-GA$169,72-GA$169+SwaptionMonthsToGo+SwaptionShift))/SQRT(SUM(INDEX($FK328:$ID328,1+SwaptionShift):INDEX($FK328:$ID328,SwaptionMonthsToGo+SwaptionShift))*SUM(INDEX($FK$325:$ID$396,GA$169,1+SwaptionShift):INDEX($FK$325:$ID$396,GA$169,SwaptionMonthsToGo+SwaptionShift))))))</f>
        <v/>
      </c>
      <c r="GB173" s="150" t="str">
        <f aca="false">IF(OR(GB$169&lt;SwaptionFirstMonthPosition+1,$FJ173&lt;SwaptionFirstMonthPosition+1,GB$169&gt;SwaptionFirstMonthPosition+SwaptionNumOfMonths+1,$FJ173&gt;SwaptionFirstMonthPosition+SwaptionNumOfMonths+1),"",IF($FJ173=GB$169,1,IF($FJ173&lt;GB$169,INDEX($FK$170:$ID$241,GB$169,$FJ173),SUMPRODUCT(INDEX($FK$325:$ID$396,GB$169,1+SwaptionShift):INDEX($FK$325:$ID$396,GB$169,SwaptionMonthsToGo+SwaptionShift),INDEX($FK$245:$ID$316,$FJ173-GB$169,73-GB$169+SwaptionShift):INDEX($FK$245:$ID$316,$FJ173-GB$169,72-GB$169+SwaptionMonthsToGo+SwaptionShift))/SQRT(SUM(INDEX($FK328:$ID328,1+SwaptionShift):INDEX($FK328:$ID328,SwaptionMonthsToGo+SwaptionShift))*SUM(INDEX($FK$325:$ID$396,GB$169,1+SwaptionShift):INDEX($FK$325:$ID$396,GB$169,SwaptionMonthsToGo+SwaptionShift))))))</f>
        <v/>
      </c>
      <c r="GC173" s="150" t="str">
        <f aca="false">IF(OR(GC$169&lt;SwaptionFirstMonthPosition+1,$FJ173&lt;SwaptionFirstMonthPosition+1,GC$169&gt;SwaptionFirstMonthPosition+SwaptionNumOfMonths+1,$FJ173&gt;SwaptionFirstMonthPosition+SwaptionNumOfMonths+1),"",IF($FJ173=GC$169,1,IF($FJ173&lt;GC$169,INDEX($FK$170:$ID$241,GC$169,$FJ173),SUMPRODUCT(INDEX($FK$325:$ID$396,GC$169,1+SwaptionShift):INDEX($FK$325:$ID$396,GC$169,SwaptionMonthsToGo+SwaptionShift),INDEX($FK$245:$ID$316,$FJ173-GC$169,73-GC$169+SwaptionShift):INDEX($FK$245:$ID$316,$FJ173-GC$169,72-GC$169+SwaptionMonthsToGo+SwaptionShift))/SQRT(SUM(INDEX($FK328:$ID328,1+SwaptionShift):INDEX($FK328:$ID328,SwaptionMonthsToGo+SwaptionShift))*SUM(INDEX($FK$325:$ID$396,GC$169,1+SwaptionShift):INDEX($FK$325:$ID$396,GC$169,SwaptionMonthsToGo+SwaptionShift))))))</f>
        <v/>
      </c>
      <c r="GD173" s="150" t="str">
        <f aca="false">IF(OR(GD$169&lt;SwaptionFirstMonthPosition+1,$FJ173&lt;SwaptionFirstMonthPosition+1,GD$169&gt;SwaptionFirstMonthPosition+SwaptionNumOfMonths+1,$FJ173&gt;SwaptionFirstMonthPosition+SwaptionNumOfMonths+1),"",IF($FJ173=GD$169,1,IF($FJ173&lt;GD$169,INDEX($FK$170:$ID$241,GD$169,$FJ173),SUMPRODUCT(INDEX($FK$325:$ID$396,GD$169,1+SwaptionShift):INDEX($FK$325:$ID$396,GD$169,SwaptionMonthsToGo+SwaptionShift),INDEX($FK$245:$ID$316,$FJ173-GD$169,73-GD$169+SwaptionShift):INDEX($FK$245:$ID$316,$FJ173-GD$169,72-GD$169+SwaptionMonthsToGo+SwaptionShift))/SQRT(SUM(INDEX($FK328:$ID328,1+SwaptionShift):INDEX($FK328:$ID328,SwaptionMonthsToGo+SwaptionShift))*SUM(INDEX($FK$325:$ID$396,GD$169,1+SwaptionShift):INDEX($FK$325:$ID$396,GD$169,SwaptionMonthsToGo+SwaptionShift))))))</f>
        <v/>
      </c>
      <c r="GE173" s="150" t="str">
        <f aca="false">IF(OR(GE$169&lt;SwaptionFirstMonthPosition+1,$FJ173&lt;SwaptionFirstMonthPosition+1,GE$169&gt;SwaptionFirstMonthPosition+SwaptionNumOfMonths+1,$FJ173&gt;SwaptionFirstMonthPosition+SwaptionNumOfMonths+1),"",IF($FJ173=GE$169,1,IF($FJ173&lt;GE$169,INDEX($FK$170:$ID$241,GE$169,$FJ173),SUMPRODUCT(INDEX($FK$325:$ID$396,GE$169,1+SwaptionShift):INDEX($FK$325:$ID$396,GE$169,SwaptionMonthsToGo+SwaptionShift),INDEX($FK$245:$ID$316,$FJ173-GE$169,73-GE$169+SwaptionShift):INDEX($FK$245:$ID$316,$FJ173-GE$169,72-GE$169+SwaptionMonthsToGo+SwaptionShift))/SQRT(SUM(INDEX($FK328:$ID328,1+SwaptionShift):INDEX($FK328:$ID328,SwaptionMonthsToGo+SwaptionShift))*SUM(INDEX($FK$325:$ID$396,GE$169,1+SwaptionShift):INDEX($FK$325:$ID$396,GE$169,SwaptionMonthsToGo+SwaptionShift))))))</f>
        <v/>
      </c>
      <c r="GF173" s="150" t="str">
        <f aca="false">IF(OR(GF$169&lt;SwaptionFirstMonthPosition+1,$FJ173&lt;SwaptionFirstMonthPosition+1,GF$169&gt;SwaptionFirstMonthPosition+SwaptionNumOfMonths+1,$FJ173&gt;SwaptionFirstMonthPosition+SwaptionNumOfMonths+1),"",IF($FJ173=GF$169,1,IF($FJ173&lt;GF$169,INDEX($FK$170:$ID$241,GF$169,$FJ173),SUMPRODUCT(INDEX($FK$325:$ID$396,GF$169,1+SwaptionShift):INDEX($FK$325:$ID$396,GF$169,SwaptionMonthsToGo+SwaptionShift),INDEX($FK$245:$ID$316,$FJ173-GF$169,73-GF$169+SwaptionShift):INDEX($FK$245:$ID$316,$FJ173-GF$169,72-GF$169+SwaptionMonthsToGo+SwaptionShift))/SQRT(SUM(INDEX($FK328:$ID328,1+SwaptionShift):INDEX($FK328:$ID328,SwaptionMonthsToGo+SwaptionShift))*SUM(INDEX($FK$325:$ID$396,GF$169,1+SwaptionShift):INDEX($FK$325:$ID$396,GF$169,SwaptionMonthsToGo+SwaptionShift))))))</f>
        <v/>
      </c>
      <c r="GG173" s="150" t="str">
        <f aca="false">IF(OR(GG$169&lt;SwaptionFirstMonthPosition+1,$FJ173&lt;SwaptionFirstMonthPosition+1,GG$169&gt;SwaptionFirstMonthPosition+SwaptionNumOfMonths+1,$FJ173&gt;SwaptionFirstMonthPosition+SwaptionNumOfMonths+1),"",IF($FJ173=GG$169,1,IF($FJ173&lt;GG$169,INDEX($FK$170:$ID$241,GG$169,$FJ173),SUMPRODUCT(INDEX($FK$325:$ID$396,GG$169,1+SwaptionShift):INDEX($FK$325:$ID$396,GG$169,SwaptionMonthsToGo+SwaptionShift),INDEX($FK$245:$ID$316,$FJ173-GG$169,73-GG$169+SwaptionShift):INDEX($FK$245:$ID$316,$FJ173-GG$169,72-GG$169+SwaptionMonthsToGo+SwaptionShift))/SQRT(SUM(INDEX($FK328:$ID328,1+SwaptionShift):INDEX($FK328:$ID328,SwaptionMonthsToGo+SwaptionShift))*SUM(INDEX($FK$325:$ID$396,GG$169,1+SwaptionShift):INDEX($FK$325:$ID$396,GG$169,SwaptionMonthsToGo+SwaptionShift))))))</f>
        <v/>
      </c>
      <c r="GH173" s="150" t="str">
        <f aca="false">IF(OR(GH$169&lt;SwaptionFirstMonthPosition+1,$FJ173&lt;SwaptionFirstMonthPosition+1,GH$169&gt;SwaptionFirstMonthPosition+SwaptionNumOfMonths+1,$FJ173&gt;SwaptionFirstMonthPosition+SwaptionNumOfMonths+1),"",IF($FJ173=GH$169,1,IF($FJ173&lt;GH$169,INDEX($FK$170:$ID$241,GH$169,$FJ173),SUMPRODUCT(INDEX($FK$325:$ID$396,GH$169,1+SwaptionShift):INDEX($FK$325:$ID$396,GH$169,SwaptionMonthsToGo+SwaptionShift),INDEX($FK$245:$ID$316,$FJ173-GH$169,73-GH$169+SwaptionShift):INDEX($FK$245:$ID$316,$FJ173-GH$169,72-GH$169+SwaptionMonthsToGo+SwaptionShift))/SQRT(SUM(INDEX($FK328:$ID328,1+SwaptionShift):INDEX($FK328:$ID328,SwaptionMonthsToGo+SwaptionShift))*SUM(INDEX($FK$325:$ID$396,GH$169,1+SwaptionShift):INDEX($FK$325:$ID$396,GH$169,SwaptionMonthsToGo+SwaptionShift))))))</f>
        <v/>
      </c>
      <c r="GI173" s="150" t="str">
        <f aca="false">IF(OR(GI$169&lt;SwaptionFirstMonthPosition+1,$FJ173&lt;SwaptionFirstMonthPosition+1,GI$169&gt;SwaptionFirstMonthPosition+SwaptionNumOfMonths+1,$FJ173&gt;SwaptionFirstMonthPosition+SwaptionNumOfMonths+1),"",IF($FJ173=GI$169,1,IF($FJ173&lt;GI$169,INDEX($FK$170:$ID$241,GI$169,$FJ173),SUMPRODUCT(INDEX($FK$325:$ID$396,GI$169,1+SwaptionShift):INDEX($FK$325:$ID$396,GI$169,SwaptionMonthsToGo+SwaptionShift),INDEX($FK$245:$ID$316,$FJ173-GI$169,73-GI$169+SwaptionShift):INDEX($FK$245:$ID$316,$FJ173-GI$169,72-GI$169+SwaptionMonthsToGo+SwaptionShift))/SQRT(SUM(INDEX($FK328:$ID328,1+SwaptionShift):INDEX($FK328:$ID328,SwaptionMonthsToGo+SwaptionShift))*SUM(INDEX($FK$325:$ID$396,GI$169,1+SwaptionShift):INDEX($FK$325:$ID$396,GI$169,SwaptionMonthsToGo+SwaptionShift))))))</f>
        <v/>
      </c>
      <c r="GJ173" s="150" t="str">
        <f aca="false">IF(OR(GJ$169&lt;SwaptionFirstMonthPosition+1,$FJ173&lt;SwaptionFirstMonthPosition+1,GJ$169&gt;SwaptionFirstMonthPosition+SwaptionNumOfMonths+1,$FJ173&gt;SwaptionFirstMonthPosition+SwaptionNumOfMonths+1),"",IF($FJ173=GJ$169,1,IF($FJ173&lt;GJ$169,INDEX($FK$170:$ID$241,GJ$169,$FJ173),SUMPRODUCT(INDEX($FK$325:$ID$396,GJ$169,1+SwaptionShift):INDEX($FK$325:$ID$396,GJ$169,SwaptionMonthsToGo+SwaptionShift),INDEX($FK$245:$ID$316,$FJ173-GJ$169,73-GJ$169+SwaptionShift):INDEX($FK$245:$ID$316,$FJ173-GJ$169,72-GJ$169+SwaptionMonthsToGo+SwaptionShift))/SQRT(SUM(INDEX($FK328:$ID328,1+SwaptionShift):INDEX($FK328:$ID328,SwaptionMonthsToGo+SwaptionShift))*SUM(INDEX($FK$325:$ID$396,GJ$169,1+SwaptionShift):INDEX($FK$325:$ID$396,GJ$169,SwaptionMonthsToGo+SwaptionShift))))))</f>
        <v/>
      </c>
      <c r="GK173" s="150" t="str">
        <f aca="false">IF(OR(GK$169&lt;SwaptionFirstMonthPosition+1,$FJ173&lt;SwaptionFirstMonthPosition+1,GK$169&gt;SwaptionFirstMonthPosition+SwaptionNumOfMonths+1,$FJ173&gt;SwaptionFirstMonthPosition+SwaptionNumOfMonths+1),"",IF($FJ173=GK$169,1,IF($FJ173&lt;GK$169,INDEX($FK$170:$ID$241,GK$169,$FJ173),SUMPRODUCT(INDEX($FK$325:$ID$396,GK$169,1+SwaptionShift):INDEX($FK$325:$ID$396,GK$169,SwaptionMonthsToGo+SwaptionShift),INDEX($FK$245:$ID$316,$FJ173-GK$169,73-GK$169+SwaptionShift):INDEX($FK$245:$ID$316,$FJ173-GK$169,72-GK$169+SwaptionMonthsToGo+SwaptionShift))/SQRT(SUM(INDEX($FK328:$ID328,1+SwaptionShift):INDEX($FK328:$ID328,SwaptionMonthsToGo+SwaptionShift))*SUM(INDEX($FK$325:$ID$396,GK$169,1+SwaptionShift):INDEX($FK$325:$ID$396,GK$169,SwaptionMonthsToGo+SwaptionShift))))))</f>
        <v/>
      </c>
      <c r="GL173" s="150" t="str">
        <f aca="false">IF(OR(GL$169&lt;SwaptionFirstMonthPosition+1,$FJ173&lt;SwaptionFirstMonthPosition+1,GL$169&gt;SwaptionFirstMonthPosition+SwaptionNumOfMonths+1,$FJ173&gt;SwaptionFirstMonthPosition+SwaptionNumOfMonths+1),"",IF($FJ173=GL$169,1,IF($FJ173&lt;GL$169,INDEX($FK$170:$ID$241,GL$169,$FJ173),SUMPRODUCT(INDEX($FK$325:$ID$396,GL$169,1+SwaptionShift):INDEX($FK$325:$ID$396,GL$169,SwaptionMonthsToGo+SwaptionShift),INDEX($FK$245:$ID$316,$FJ173-GL$169,73-GL$169+SwaptionShift):INDEX($FK$245:$ID$316,$FJ173-GL$169,72-GL$169+SwaptionMonthsToGo+SwaptionShift))/SQRT(SUM(INDEX($FK328:$ID328,1+SwaptionShift):INDEX($FK328:$ID328,SwaptionMonthsToGo+SwaptionShift))*SUM(INDEX($FK$325:$ID$396,GL$169,1+SwaptionShift):INDEX($FK$325:$ID$396,GL$169,SwaptionMonthsToGo+SwaptionShift))))))</f>
        <v/>
      </c>
      <c r="GM173" s="150" t="str">
        <f aca="false">IF(OR(GM$169&lt;SwaptionFirstMonthPosition+1,$FJ173&lt;SwaptionFirstMonthPosition+1,GM$169&gt;SwaptionFirstMonthPosition+SwaptionNumOfMonths+1,$FJ173&gt;SwaptionFirstMonthPosition+SwaptionNumOfMonths+1),"",IF($FJ173=GM$169,1,IF($FJ173&lt;GM$169,INDEX($FK$170:$ID$241,GM$169,$FJ173),SUMPRODUCT(INDEX($FK$325:$ID$396,GM$169,1+SwaptionShift):INDEX($FK$325:$ID$396,GM$169,SwaptionMonthsToGo+SwaptionShift),INDEX($FK$245:$ID$316,$FJ173-GM$169,73-GM$169+SwaptionShift):INDEX($FK$245:$ID$316,$FJ173-GM$169,72-GM$169+SwaptionMonthsToGo+SwaptionShift))/SQRT(SUM(INDEX($FK328:$ID328,1+SwaptionShift):INDEX($FK328:$ID328,SwaptionMonthsToGo+SwaptionShift))*SUM(INDEX($FK$325:$ID$396,GM$169,1+SwaptionShift):INDEX($FK$325:$ID$396,GM$169,SwaptionMonthsToGo+SwaptionShift))))))</f>
        <v/>
      </c>
      <c r="GN173" s="150" t="str">
        <f aca="false">IF(OR(GN$169&lt;SwaptionFirstMonthPosition+1,$FJ173&lt;SwaptionFirstMonthPosition+1,GN$169&gt;SwaptionFirstMonthPosition+SwaptionNumOfMonths+1,$FJ173&gt;SwaptionFirstMonthPosition+SwaptionNumOfMonths+1),"",IF($FJ173=GN$169,1,IF($FJ173&lt;GN$169,INDEX($FK$170:$ID$241,GN$169,$FJ173),SUMPRODUCT(INDEX($FK$325:$ID$396,GN$169,1+SwaptionShift):INDEX($FK$325:$ID$396,GN$169,SwaptionMonthsToGo+SwaptionShift),INDEX($FK$245:$ID$316,$FJ173-GN$169,73-GN$169+SwaptionShift):INDEX($FK$245:$ID$316,$FJ173-GN$169,72-GN$169+SwaptionMonthsToGo+SwaptionShift))/SQRT(SUM(INDEX($FK328:$ID328,1+SwaptionShift):INDEX($FK328:$ID328,SwaptionMonthsToGo+SwaptionShift))*SUM(INDEX($FK$325:$ID$396,GN$169,1+SwaptionShift):INDEX($FK$325:$ID$396,GN$169,SwaptionMonthsToGo+SwaptionShift))))))</f>
        <v/>
      </c>
      <c r="GO173" s="150" t="str">
        <f aca="false">IF(OR(GO$169&lt;SwaptionFirstMonthPosition+1,$FJ173&lt;SwaptionFirstMonthPosition+1,GO$169&gt;SwaptionFirstMonthPosition+SwaptionNumOfMonths+1,$FJ173&gt;SwaptionFirstMonthPosition+SwaptionNumOfMonths+1),"",IF($FJ173=GO$169,1,IF($FJ173&lt;GO$169,INDEX($FK$170:$ID$241,GO$169,$FJ173),SUMPRODUCT(INDEX($FK$325:$ID$396,GO$169,1+SwaptionShift):INDEX($FK$325:$ID$396,GO$169,SwaptionMonthsToGo+SwaptionShift),INDEX($FK$245:$ID$316,$FJ173-GO$169,73-GO$169+SwaptionShift):INDEX($FK$245:$ID$316,$FJ173-GO$169,72-GO$169+SwaptionMonthsToGo+SwaptionShift))/SQRT(SUM(INDEX($FK328:$ID328,1+SwaptionShift):INDEX($FK328:$ID328,SwaptionMonthsToGo+SwaptionShift))*SUM(INDEX($FK$325:$ID$396,GO$169,1+SwaptionShift):INDEX($FK$325:$ID$396,GO$169,SwaptionMonthsToGo+SwaptionShift))))))</f>
        <v/>
      </c>
      <c r="GP173" s="150" t="str">
        <f aca="false">IF(OR(GP$169&lt;SwaptionFirstMonthPosition+1,$FJ173&lt;SwaptionFirstMonthPosition+1,GP$169&gt;SwaptionFirstMonthPosition+SwaptionNumOfMonths+1,$FJ173&gt;SwaptionFirstMonthPosition+SwaptionNumOfMonths+1),"",IF($FJ173=GP$169,1,IF($FJ173&lt;GP$169,INDEX($FK$170:$ID$241,GP$169,$FJ173),SUMPRODUCT(INDEX($FK$325:$ID$396,GP$169,1+SwaptionShift):INDEX($FK$325:$ID$396,GP$169,SwaptionMonthsToGo+SwaptionShift),INDEX($FK$245:$ID$316,$FJ173-GP$169,73-GP$169+SwaptionShift):INDEX($FK$245:$ID$316,$FJ173-GP$169,72-GP$169+SwaptionMonthsToGo+SwaptionShift))/SQRT(SUM(INDEX($FK328:$ID328,1+SwaptionShift):INDEX($FK328:$ID328,SwaptionMonthsToGo+SwaptionShift))*SUM(INDEX($FK$325:$ID$396,GP$169,1+SwaptionShift):INDEX($FK$325:$ID$396,GP$169,SwaptionMonthsToGo+SwaptionShift))))))</f>
        <v/>
      </c>
      <c r="GQ173" s="150" t="str">
        <f aca="false">IF(OR(GQ$169&lt;SwaptionFirstMonthPosition+1,$FJ173&lt;SwaptionFirstMonthPosition+1,GQ$169&gt;SwaptionFirstMonthPosition+SwaptionNumOfMonths+1,$FJ173&gt;SwaptionFirstMonthPosition+SwaptionNumOfMonths+1),"",IF($FJ173=GQ$169,1,IF($FJ173&lt;GQ$169,INDEX($FK$170:$ID$241,GQ$169,$FJ173),SUMPRODUCT(INDEX($FK$325:$ID$396,GQ$169,1+SwaptionShift):INDEX($FK$325:$ID$396,GQ$169,SwaptionMonthsToGo+SwaptionShift),INDEX($FK$245:$ID$316,$FJ173-GQ$169,73-GQ$169+SwaptionShift):INDEX($FK$245:$ID$316,$FJ173-GQ$169,72-GQ$169+SwaptionMonthsToGo+SwaptionShift))/SQRT(SUM(INDEX($FK328:$ID328,1+SwaptionShift):INDEX($FK328:$ID328,SwaptionMonthsToGo+SwaptionShift))*SUM(INDEX($FK$325:$ID$396,GQ$169,1+SwaptionShift):INDEX($FK$325:$ID$396,GQ$169,SwaptionMonthsToGo+SwaptionShift))))))</f>
        <v/>
      </c>
      <c r="GR173" s="150" t="str">
        <f aca="false">IF(OR(GR$169&lt;SwaptionFirstMonthPosition+1,$FJ173&lt;SwaptionFirstMonthPosition+1,GR$169&gt;SwaptionFirstMonthPosition+SwaptionNumOfMonths+1,$FJ173&gt;SwaptionFirstMonthPosition+SwaptionNumOfMonths+1),"",IF($FJ173=GR$169,1,IF($FJ173&lt;GR$169,INDEX($FK$170:$ID$241,GR$169,$FJ173),SUMPRODUCT(INDEX($FK$325:$ID$396,GR$169,1+SwaptionShift):INDEX($FK$325:$ID$396,GR$169,SwaptionMonthsToGo+SwaptionShift),INDEX($FK$245:$ID$316,$FJ173-GR$169,73-GR$169+SwaptionShift):INDEX($FK$245:$ID$316,$FJ173-GR$169,72-GR$169+SwaptionMonthsToGo+SwaptionShift))/SQRT(SUM(INDEX($FK328:$ID328,1+SwaptionShift):INDEX($FK328:$ID328,SwaptionMonthsToGo+SwaptionShift))*SUM(INDEX($FK$325:$ID$396,GR$169,1+SwaptionShift):INDEX($FK$325:$ID$396,GR$169,SwaptionMonthsToGo+SwaptionShift))))))</f>
        <v/>
      </c>
      <c r="GS173" s="150" t="str">
        <f aca="false">IF(OR(GS$169&lt;SwaptionFirstMonthPosition+1,$FJ173&lt;SwaptionFirstMonthPosition+1,GS$169&gt;SwaptionFirstMonthPosition+SwaptionNumOfMonths+1,$FJ173&gt;SwaptionFirstMonthPosition+SwaptionNumOfMonths+1),"",IF($FJ173=GS$169,1,IF($FJ173&lt;GS$169,INDEX($FK$170:$ID$241,GS$169,$FJ173),SUMPRODUCT(INDEX($FK$325:$ID$396,GS$169,1+SwaptionShift):INDEX($FK$325:$ID$396,GS$169,SwaptionMonthsToGo+SwaptionShift),INDEX($FK$245:$ID$316,$FJ173-GS$169,73-GS$169+SwaptionShift):INDEX($FK$245:$ID$316,$FJ173-GS$169,72-GS$169+SwaptionMonthsToGo+SwaptionShift))/SQRT(SUM(INDEX($FK328:$ID328,1+SwaptionShift):INDEX($FK328:$ID328,SwaptionMonthsToGo+SwaptionShift))*SUM(INDEX($FK$325:$ID$396,GS$169,1+SwaptionShift):INDEX($FK$325:$ID$396,GS$169,SwaptionMonthsToGo+SwaptionShift))))))</f>
        <v/>
      </c>
      <c r="GT173" s="150" t="str">
        <f aca="false">IF(OR(GT$169&lt;SwaptionFirstMonthPosition+1,$FJ173&lt;SwaptionFirstMonthPosition+1,GT$169&gt;SwaptionFirstMonthPosition+SwaptionNumOfMonths+1,$FJ173&gt;SwaptionFirstMonthPosition+SwaptionNumOfMonths+1),"",IF($FJ173=GT$169,1,IF($FJ173&lt;GT$169,INDEX($FK$170:$ID$241,GT$169,$FJ173),SUMPRODUCT(INDEX($FK$325:$ID$396,GT$169,1+SwaptionShift):INDEX($FK$325:$ID$396,GT$169,SwaptionMonthsToGo+SwaptionShift),INDEX($FK$245:$ID$316,$FJ173-GT$169,73-GT$169+SwaptionShift):INDEX($FK$245:$ID$316,$FJ173-GT$169,72-GT$169+SwaptionMonthsToGo+SwaptionShift))/SQRT(SUM(INDEX($FK328:$ID328,1+SwaptionShift):INDEX($FK328:$ID328,SwaptionMonthsToGo+SwaptionShift))*SUM(INDEX($FK$325:$ID$396,GT$169,1+SwaptionShift):INDEX($FK$325:$ID$396,GT$169,SwaptionMonthsToGo+SwaptionShift))))))</f>
        <v/>
      </c>
      <c r="GU173" s="150" t="str">
        <f aca="false">IF(OR(GU$169&lt;SwaptionFirstMonthPosition+1,$FJ173&lt;SwaptionFirstMonthPosition+1,GU$169&gt;SwaptionFirstMonthPosition+SwaptionNumOfMonths+1,$FJ173&gt;SwaptionFirstMonthPosition+SwaptionNumOfMonths+1),"",IF($FJ173=GU$169,1,IF($FJ173&lt;GU$169,INDEX($FK$170:$ID$241,GU$169,$FJ173),SUMPRODUCT(INDEX($FK$325:$ID$396,GU$169,1+SwaptionShift):INDEX($FK$325:$ID$396,GU$169,SwaptionMonthsToGo+SwaptionShift),INDEX($FK$245:$ID$316,$FJ173-GU$169,73-GU$169+SwaptionShift):INDEX($FK$245:$ID$316,$FJ173-GU$169,72-GU$169+SwaptionMonthsToGo+SwaptionShift))/SQRT(SUM(INDEX($FK328:$ID328,1+SwaptionShift):INDEX($FK328:$ID328,SwaptionMonthsToGo+SwaptionShift))*SUM(INDEX($FK$325:$ID$396,GU$169,1+SwaptionShift):INDEX($FK$325:$ID$396,GU$169,SwaptionMonthsToGo+SwaptionShift))))))</f>
        <v/>
      </c>
      <c r="GV173" s="150" t="str">
        <f aca="false">IF(OR(GV$169&lt;SwaptionFirstMonthPosition+1,$FJ173&lt;SwaptionFirstMonthPosition+1,GV$169&gt;SwaptionFirstMonthPosition+SwaptionNumOfMonths+1,$FJ173&gt;SwaptionFirstMonthPosition+SwaptionNumOfMonths+1),"",IF($FJ173=GV$169,1,IF($FJ173&lt;GV$169,INDEX($FK$170:$ID$241,GV$169,$FJ173),SUMPRODUCT(INDEX($FK$325:$ID$396,GV$169,1+SwaptionShift):INDEX($FK$325:$ID$396,GV$169,SwaptionMonthsToGo+SwaptionShift),INDEX($FK$245:$ID$316,$FJ173-GV$169,73-GV$169+SwaptionShift):INDEX($FK$245:$ID$316,$FJ173-GV$169,72-GV$169+SwaptionMonthsToGo+SwaptionShift))/SQRT(SUM(INDEX($FK328:$ID328,1+SwaptionShift):INDEX($FK328:$ID328,SwaptionMonthsToGo+SwaptionShift))*SUM(INDEX($FK$325:$ID$396,GV$169,1+SwaptionShift):INDEX($FK$325:$ID$396,GV$169,SwaptionMonthsToGo+SwaptionShift))))))</f>
        <v/>
      </c>
      <c r="GW173" s="150" t="str">
        <f aca="false">IF(OR(GW$169&lt;SwaptionFirstMonthPosition+1,$FJ173&lt;SwaptionFirstMonthPosition+1,GW$169&gt;SwaptionFirstMonthPosition+SwaptionNumOfMonths+1,$FJ173&gt;SwaptionFirstMonthPosition+SwaptionNumOfMonths+1),"",IF($FJ173=GW$169,1,IF($FJ173&lt;GW$169,INDEX($FK$170:$ID$241,GW$169,$FJ173),SUMPRODUCT(INDEX($FK$325:$ID$396,GW$169,1+SwaptionShift):INDEX($FK$325:$ID$396,GW$169,SwaptionMonthsToGo+SwaptionShift),INDEX($FK$245:$ID$316,$FJ173-GW$169,73-GW$169+SwaptionShift):INDEX($FK$245:$ID$316,$FJ173-GW$169,72-GW$169+SwaptionMonthsToGo+SwaptionShift))/SQRT(SUM(INDEX($FK328:$ID328,1+SwaptionShift):INDEX($FK328:$ID328,SwaptionMonthsToGo+SwaptionShift))*SUM(INDEX($FK$325:$ID$396,GW$169,1+SwaptionShift):INDEX($FK$325:$ID$396,GW$169,SwaptionMonthsToGo+SwaptionShift))))))</f>
        <v/>
      </c>
      <c r="GX173" s="150" t="str">
        <f aca="false">IF(OR(GX$169&lt;SwaptionFirstMonthPosition+1,$FJ173&lt;SwaptionFirstMonthPosition+1,GX$169&gt;SwaptionFirstMonthPosition+SwaptionNumOfMonths+1,$FJ173&gt;SwaptionFirstMonthPosition+SwaptionNumOfMonths+1),"",IF($FJ173=GX$169,1,IF($FJ173&lt;GX$169,INDEX($FK$170:$ID$241,GX$169,$FJ173),SUMPRODUCT(INDEX($FK$325:$ID$396,GX$169,1+SwaptionShift):INDEX($FK$325:$ID$396,GX$169,SwaptionMonthsToGo+SwaptionShift),INDEX($FK$245:$ID$316,$FJ173-GX$169,73-GX$169+SwaptionShift):INDEX($FK$245:$ID$316,$FJ173-GX$169,72-GX$169+SwaptionMonthsToGo+SwaptionShift))/SQRT(SUM(INDEX($FK328:$ID328,1+SwaptionShift):INDEX($FK328:$ID328,SwaptionMonthsToGo+SwaptionShift))*SUM(INDEX($FK$325:$ID$396,GX$169,1+SwaptionShift):INDEX($FK$325:$ID$396,GX$169,SwaptionMonthsToGo+SwaptionShift))))))</f>
        <v/>
      </c>
      <c r="GY173" s="150" t="str">
        <f aca="false">IF(OR(GY$169&lt;SwaptionFirstMonthPosition+1,$FJ173&lt;SwaptionFirstMonthPosition+1,GY$169&gt;SwaptionFirstMonthPosition+SwaptionNumOfMonths+1,$FJ173&gt;SwaptionFirstMonthPosition+SwaptionNumOfMonths+1),"",IF($FJ173=GY$169,1,IF($FJ173&lt;GY$169,INDEX($FK$170:$ID$241,GY$169,$FJ173),SUMPRODUCT(INDEX($FK$325:$ID$396,GY$169,1+SwaptionShift):INDEX($FK$325:$ID$396,GY$169,SwaptionMonthsToGo+SwaptionShift),INDEX($FK$245:$ID$316,$FJ173-GY$169,73-GY$169+SwaptionShift):INDEX($FK$245:$ID$316,$FJ173-GY$169,72-GY$169+SwaptionMonthsToGo+SwaptionShift))/SQRT(SUM(INDEX($FK328:$ID328,1+SwaptionShift):INDEX($FK328:$ID328,SwaptionMonthsToGo+SwaptionShift))*SUM(INDEX($FK$325:$ID$396,GY$169,1+SwaptionShift):INDEX($FK$325:$ID$396,GY$169,SwaptionMonthsToGo+SwaptionShift))))))</f>
        <v/>
      </c>
      <c r="GZ173" s="150" t="str">
        <f aca="false">IF(OR(GZ$169&lt;SwaptionFirstMonthPosition+1,$FJ173&lt;SwaptionFirstMonthPosition+1,GZ$169&gt;SwaptionFirstMonthPosition+SwaptionNumOfMonths+1,$FJ173&gt;SwaptionFirstMonthPosition+SwaptionNumOfMonths+1),"",IF($FJ173=GZ$169,1,IF($FJ173&lt;GZ$169,INDEX($FK$170:$ID$241,GZ$169,$FJ173),SUMPRODUCT(INDEX($FK$325:$ID$396,GZ$169,1+SwaptionShift):INDEX($FK$325:$ID$396,GZ$169,SwaptionMonthsToGo+SwaptionShift),INDEX($FK$245:$ID$316,$FJ173-GZ$169,73-GZ$169+SwaptionShift):INDEX($FK$245:$ID$316,$FJ173-GZ$169,72-GZ$169+SwaptionMonthsToGo+SwaptionShift))/SQRT(SUM(INDEX($FK328:$ID328,1+SwaptionShift):INDEX($FK328:$ID328,SwaptionMonthsToGo+SwaptionShift))*SUM(INDEX($FK$325:$ID$396,GZ$169,1+SwaptionShift):INDEX($FK$325:$ID$396,GZ$169,SwaptionMonthsToGo+SwaptionShift))))))</f>
        <v/>
      </c>
      <c r="HA173" s="150" t="str">
        <f aca="false">IF(OR(HA$169&lt;SwaptionFirstMonthPosition+1,$FJ173&lt;SwaptionFirstMonthPosition+1,HA$169&gt;SwaptionFirstMonthPosition+SwaptionNumOfMonths+1,$FJ173&gt;SwaptionFirstMonthPosition+SwaptionNumOfMonths+1),"",IF($FJ173=HA$169,1,IF($FJ173&lt;HA$169,INDEX($FK$170:$ID$241,HA$169,$FJ173),SUMPRODUCT(INDEX($FK$325:$ID$396,HA$169,1+SwaptionShift):INDEX($FK$325:$ID$396,HA$169,SwaptionMonthsToGo+SwaptionShift),INDEX($FK$245:$ID$316,$FJ173-HA$169,73-HA$169+SwaptionShift):INDEX($FK$245:$ID$316,$FJ173-HA$169,72-HA$169+SwaptionMonthsToGo+SwaptionShift))/SQRT(SUM(INDEX($FK328:$ID328,1+SwaptionShift):INDEX($FK328:$ID328,SwaptionMonthsToGo+SwaptionShift))*SUM(INDEX($FK$325:$ID$396,HA$169,1+SwaptionShift):INDEX($FK$325:$ID$396,HA$169,SwaptionMonthsToGo+SwaptionShift))))))</f>
        <v/>
      </c>
      <c r="HB173" s="150" t="str">
        <f aca="false">IF(OR(HB$169&lt;SwaptionFirstMonthPosition+1,$FJ173&lt;SwaptionFirstMonthPosition+1,HB$169&gt;SwaptionFirstMonthPosition+SwaptionNumOfMonths+1,$FJ173&gt;SwaptionFirstMonthPosition+SwaptionNumOfMonths+1),"",IF($FJ173=HB$169,1,IF($FJ173&lt;HB$169,INDEX($FK$170:$ID$241,HB$169,$FJ173),SUMPRODUCT(INDEX($FK$325:$ID$396,HB$169,1+SwaptionShift):INDEX($FK$325:$ID$396,HB$169,SwaptionMonthsToGo+SwaptionShift),INDEX($FK$245:$ID$316,$FJ173-HB$169,73-HB$169+SwaptionShift):INDEX($FK$245:$ID$316,$FJ173-HB$169,72-HB$169+SwaptionMonthsToGo+SwaptionShift))/SQRT(SUM(INDEX($FK328:$ID328,1+SwaptionShift):INDEX($FK328:$ID328,SwaptionMonthsToGo+SwaptionShift))*SUM(INDEX($FK$325:$ID$396,HB$169,1+SwaptionShift):INDEX($FK$325:$ID$396,HB$169,SwaptionMonthsToGo+SwaptionShift))))))</f>
        <v/>
      </c>
      <c r="HC173" s="150" t="str">
        <f aca="false">IF(OR(HC$169&lt;SwaptionFirstMonthPosition+1,$FJ173&lt;SwaptionFirstMonthPosition+1,HC$169&gt;SwaptionFirstMonthPosition+SwaptionNumOfMonths+1,$FJ173&gt;SwaptionFirstMonthPosition+SwaptionNumOfMonths+1),"",IF($FJ173=HC$169,1,IF($FJ173&lt;HC$169,INDEX($FK$170:$ID$241,HC$169,$FJ173),SUMPRODUCT(INDEX($FK$325:$ID$396,HC$169,1+SwaptionShift):INDEX($FK$325:$ID$396,HC$169,SwaptionMonthsToGo+SwaptionShift),INDEX($FK$245:$ID$316,$FJ173-HC$169,73-HC$169+SwaptionShift):INDEX($FK$245:$ID$316,$FJ173-HC$169,72-HC$169+SwaptionMonthsToGo+SwaptionShift))/SQRT(SUM(INDEX($FK328:$ID328,1+SwaptionShift):INDEX($FK328:$ID328,SwaptionMonthsToGo+SwaptionShift))*SUM(INDEX($FK$325:$ID$396,HC$169,1+SwaptionShift):INDEX($FK$325:$ID$396,HC$169,SwaptionMonthsToGo+SwaptionShift))))))</f>
        <v/>
      </c>
      <c r="HD173" s="150" t="str">
        <f aca="false">IF(OR(HD$169&lt;SwaptionFirstMonthPosition+1,$FJ173&lt;SwaptionFirstMonthPosition+1,HD$169&gt;SwaptionFirstMonthPosition+SwaptionNumOfMonths+1,$FJ173&gt;SwaptionFirstMonthPosition+SwaptionNumOfMonths+1),"",IF($FJ173=HD$169,1,IF($FJ173&lt;HD$169,INDEX($FK$170:$ID$241,HD$169,$FJ173),SUMPRODUCT(INDEX($FK$325:$ID$396,HD$169,1+SwaptionShift):INDEX($FK$325:$ID$396,HD$169,SwaptionMonthsToGo+SwaptionShift),INDEX($FK$245:$ID$316,$FJ173-HD$169,73-HD$169+SwaptionShift):INDEX($FK$245:$ID$316,$FJ173-HD$169,72-HD$169+SwaptionMonthsToGo+SwaptionShift))/SQRT(SUM(INDEX($FK328:$ID328,1+SwaptionShift):INDEX($FK328:$ID328,SwaptionMonthsToGo+SwaptionShift))*SUM(INDEX($FK$325:$ID$396,HD$169,1+SwaptionShift):INDEX($FK$325:$ID$396,HD$169,SwaptionMonthsToGo+SwaptionShift))))))</f>
        <v/>
      </c>
      <c r="HE173" s="150" t="str">
        <f aca="false">IF(OR(HE$169&lt;SwaptionFirstMonthPosition+1,$FJ173&lt;SwaptionFirstMonthPosition+1,HE$169&gt;SwaptionFirstMonthPosition+SwaptionNumOfMonths+1,$FJ173&gt;SwaptionFirstMonthPosition+SwaptionNumOfMonths+1),"",IF($FJ173=HE$169,1,IF($FJ173&lt;HE$169,INDEX($FK$170:$ID$241,HE$169,$FJ173),SUMPRODUCT(INDEX($FK$325:$ID$396,HE$169,1+SwaptionShift):INDEX($FK$325:$ID$396,HE$169,SwaptionMonthsToGo+SwaptionShift),INDEX($FK$245:$ID$316,$FJ173-HE$169,73-HE$169+SwaptionShift):INDEX($FK$245:$ID$316,$FJ173-HE$169,72-HE$169+SwaptionMonthsToGo+SwaptionShift))/SQRT(SUM(INDEX($FK328:$ID328,1+SwaptionShift):INDEX($FK328:$ID328,SwaptionMonthsToGo+SwaptionShift))*SUM(INDEX($FK$325:$ID$396,HE$169,1+SwaptionShift):INDEX($FK$325:$ID$396,HE$169,SwaptionMonthsToGo+SwaptionShift))))))</f>
        <v/>
      </c>
      <c r="HF173" s="150" t="str">
        <f aca="false">IF(OR(HF$169&lt;SwaptionFirstMonthPosition+1,$FJ173&lt;SwaptionFirstMonthPosition+1,HF$169&gt;SwaptionFirstMonthPosition+SwaptionNumOfMonths+1,$FJ173&gt;SwaptionFirstMonthPosition+SwaptionNumOfMonths+1),"",IF($FJ173=HF$169,1,IF($FJ173&lt;HF$169,INDEX($FK$170:$ID$241,HF$169,$FJ173),SUMPRODUCT(INDEX($FK$325:$ID$396,HF$169,1+SwaptionShift):INDEX($FK$325:$ID$396,HF$169,SwaptionMonthsToGo+SwaptionShift),INDEX($FK$245:$ID$316,$FJ173-HF$169,73-HF$169+SwaptionShift):INDEX($FK$245:$ID$316,$FJ173-HF$169,72-HF$169+SwaptionMonthsToGo+SwaptionShift))/SQRT(SUM(INDEX($FK328:$ID328,1+SwaptionShift):INDEX($FK328:$ID328,SwaptionMonthsToGo+SwaptionShift))*SUM(INDEX($FK$325:$ID$396,HF$169,1+SwaptionShift):INDEX($FK$325:$ID$396,HF$169,SwaptionMonthsToGo+SwaptionShift))))))</f>
        <v/>
      </c>
      <c r="HG173" s="150" t="str">
        <f aca="false">IF(OR(HG$169&lt;SwaptionFirstMonthPosition+1,$FJ173&lt;SwaptionFirstMonthPosition+1,HG$169&gt;SwaptionFirstMonthPosition+SwaptionNumOfMonths+1,$FJ173&gt;SwaptionFirstMonthPosition+SwaptionNumOfMonths+1),"",IF($FJ173=HG$169,1,IF($FJ173&lt;HG$169,INDEX($FK$170:$ID$241,HG$169,$FJ173),SUMPRODUCT(INDEX($FK$325:$ID$396,HG$169,1+SwaptionShift):INDEX($FK$325:$ID$396,HG$169,SwaptionMonthsToGo+SwaptionShift),INDEX($FK$245:$ID$316,$FJ173-HG$169,73-HG$169+SwaptionShift):INDEX($FK$245:$ID$316,$FJ173-HG$169,72-HG$169+SwaptionMonthsToGo+SwaptionShift))/SQRT(SUM(INDEX($FK328:$ID328,1+SwaptionShift):INDEX($FK328:$ID328,SwaptionMonthsToGo+SwaptionShift))*SUM(INDEX($FK$325:$ID$396,HG$169,1+SwaptionShift):INDEX($FK$325:$ID$396,HG$169,SwaptionMonthsToGo+SwaptionShift))))))</f>
        <v/>
      </c>
      <c r="HH173" s="150" t="str">
        <f aca="false">IF(OR(HH$169&lt;SwaptionFirstMonthPosition+1,$FJ173&lt;SwaptionFirstMonthPosition+1,HH$169&gt;SwaptionFirstMonthPosition+SwaptionNumOfMonths+1,$FJ173&gt;SwaptionFirstMonthPosition+SwaptionNumOfMonths+1),"",IF($FJ173=HH$169,1,IF($FJ173&lt;HH$169,INDEX($FK$170:$ID$241,HH$169,$FJ173),SUMPRODUCT(INDEX($FK$325:$ID$396,HH$169,1+SwaptionShift):INDEX($FK$325:$ID$396,HH$169,SwaptionMonthsToGo+SwaptionShift),INDEX($FK$245:$ID$316,$FJ173-HH$169,73-HH$169+SwaptionShift):INDEX($FK$245:$ID$316,$FJ173-HH$169,72-HH$169+SwaptionMonthsToGo+SwaptionShift))/SQRT(SUM(INDEX($FK328:$ID328,1+SwaptionShift):INDEX($FK328:$ID328,SwaptionMonthsToGo+SwaptionShift))*SUM(INDEX($FK$325:$ID$396,HH$169,1+SwaptionShift):INDEX($FK$325:$ID$396,HH$169,SwaptionMonthsToGo+SwaptionShift))))))</f>
        <v/>
      </c>
      <c r="HI173" s="150" t="str">
        <f aca="false">IF(OR(HI$169&lt;SwaptionFirstMonthPosition+1,$FJ173&lt;SwaptionFirstMonthPosition+1,HI$169&gt;SwaptionFirstMonthPosition+SwaptionNumOfMonths+1,$FJ173&gt;SwaptionFirstMonthPosition+SwaptionNumOfMonths+1),"",IF($FJ173=HI$169,1,IF($FJ173&lt;HI$169,INDEX($FK$170:$ID$241,HI$169,$FJ173),SUMPRODUCT(INDEX($FK$325:$ID$396,HI$169,1+SwaptionShift):INDEX($FK$325:$ID$396,HI$169,SwaptionMonthsToGo+SwaptionShift),INDEX($FK$245:$ID$316,$FJ173-HI$169,73-HI$169+SwaptionShift):INDEX($FK$245:$ID$316,$FJ173-HI$169,72-HI$169+SwaptionMonthsToGo+SwaptionShift))/SQRT(SUM(INDEX($FK328:$ID328,1+SwaptionShift):INDEX($FK328:$ID328,SwaptionMonthsToGo+SwaptionShift))*SUM(INDEX($FK$325:$ID$396,HI$169,1+SwaptionShift):INDEX($FK$325:$ID$396,HI$169,SwaptionMonthsToGo+SwaptionShift))))))</f>
        <v/>
      </c>
      <c r="HJ173" s="150" t="str">
        <f aca="false">IF(OR(HJ$169&lt;SwaptionFirstMonthPosition+1,$FJ173&lt;SwaptionFirstMonthPosition+1,HJ$169&gt;SwaptionFirstMonthPosition+SwaptionNumOfMonths+1,$FJ173&gt;SwaptionFirstMonthPosition+SwaptionNumOfMonths+1),"",IF($FJ173=HJ$169,1,IF($FJ173&lt;HJ$169,INDEX($FK$170:$ID$241,HJ$169,$FJ173),SUMPRODUCT(INDEX($FK$325:$ID$396,HJ$169,1+SwaptionShift):INDEX($FK$325:$ID$396,HJ$169,SwaptionMonthsToGo+SwaptionShift),INDEX($FK$245:$ID$316,$FJ173-HJ$169,73-HJ$169+SwaptionShift):INDEX($FK$245:$ID$316,$FJ173-HJ$169,72-HJ$169+SwaptionMonthsToGo+SwaptionShift))/SQRT(SUM(INDEX($FK328:$ID328,1+SwaptionShift):INDEX($FK328:$ID328,SwaptionMonthsToGo+SwaptionShift))*SUM(INDEX($FK$325:$ID$396,HJ$169,1+SwaptionShift):INDEX($FK$325:$ID$396,HJ$169,SwaptionMonthsToGo+SwaptionShift))))))</f>
        <v/>
      </c>
      <c r="HK173" s="150" t="str">
        <f aca="false">IF(OR(HK$169&lt;SwaptionFirstMonthPosition+1,$FJ173&lt;SwaptionFirstMonthPosition+1,HK$169&gt;SwaptionFirstMonthPosition+SwaptionNumOfMonths+1,$FJ173&gt;SwaptionFirstMonthPosition+SwaptionNumOfMonths+1),"",IF($FJ173=HK$169,1,IF($FJ173&lt;HK$169,INDEX($FK$170:$ID$241,HK$169,$FJ173),SUMPRODUCT(INDEX($FK$325:$ID$396,HK$169,1+SwaptionShift):INDEX($FK$325:$ID$396,HK$169,SwaptionMonthsToGo+SwaptionShift),INDEX($FK$245:$ID$316,$FJ173-HK$169,73-HK$169+SwaptionShift):INDEX($FK$245:$ID$316,$FJ173-HK$169,72-HK$169+SwaptionMonthsToGo+SwaptionShift))/SQRT(SUM(INDEX($FK328:$ID328,1+SwaptionShift):INDEX($FK328:$ID328,SwaptionMonthsToGo+SwaptionShift))*SUM(INDEX($FK$325:$ID$396,HK$169,1+SwaptionShift):INDEX($FK$325:$ID$396,HK$169,SwaptionMonthsToGo+SwaptionShift))))))</f>
        <v/>
      </c>
      <c r="HL173" s="150" t="str">
        <f aca="false">IF(OR(HL$169&lt;SwaptionFirstMonthPosition+1,$FJ173&lt;SwaptionFirstMonthPosition+1,HL$169&gt;SwaptionFirstMonthPosition+SwaptionNumOfMonths+1,$FJ173&gt;SwaptionFirstMonthPosition+SwaptionNumOfMonths+1),"",IF($FJ173=HL$169,1,IF($FJ173&lt;HL$169,INDEX($FK$170:$ID$241,HL$169,$FJ173),SUMPRODUCT(INDEX($FK$325:$ID$396,HL$169,1+SwaptionShift):INDEX($FK$325:$ID$396,HL$169,SwaptionMonthsToGo+SwaptionShift),INDEX($FK$245:$ID$316,$FJ173-HL$169,73-HL$169+SwaptionShift):INDEX($FK$245:$ID$316,$FJ173-HL$169,72-HL$169+SwaptionMonthsToGo+SwaptionShift))/SQRT(SUM(INDEX($FK328:$ID328,1+SwaptionShift):INDEX($FK328:$ID328,SwaptionMonthsToGo+SwaptionShift))*SUM(INDEX($FK$325:$ID$396,HL$169,1+SwaptionShift):INDEX($FK$325:$ID$396,HL$169,SwaptionMonthsToGo+SwaptionShift))))))</f>
        <v/>
      </c>
      <c r="HM173" s="150" t="str">
        <f aca="false">IF(OR(HM$169&lt;SwaptionFirstMonthPosition+1,$FJ173&lt;SwaptionFirstMonthPosition+1,HM$169&gt;SwaptionFirstMonthPosition+SwaptionNumOfMonths+1,$FJ173&gt;SwaptionFirstMonthPosition+SwaptionNumOfMonths+1),"",IF($FJ173=HM$169,1,IF($FJ173&lt;HM$169,INDEX($FK$170:$ID$241,HM$169,$FJ173),SUMPRODUCT(INDEX($FK$325:$ID$396,HM$169,1+SwaptionShift):INDEX($FK$325:$ID$396,HM$169,SwaptionMonthsToGo+SwaptionShift),INDEX($FK$245:$ID$316,$FJ173-HM$169,73-HM$169+SwaptionShift):INDEX($FK$245:$ID$316,$FJ173-HM$169,72-HM$169+SwaptionMonthsToGo+SwaptionShift))/SQRT(SUM(INDEX($FK328:$ID328,1+SwaptionShift):INDEX($FK328:$ID328,SwaptionMonthsToGo+SwaptionShift))*SUM(INDEX($FK$325:$ID$396,HM$169,1+SwaptionShift):INDEX($FK$325:$ID$396,HM$169,SwaptionMonthsToGo+SwaptionShift))))))</f>
        <v/>
      </c>
      <c r="HN173" s="150" t="str">
        <f aca="false">IF(OR(HN$169&lt;SwaptionFirstMonthPosition+1,$FJ173&lt;SwaptionFirstMonthPosition+1,HN$169&gt;SwaptionFirstMonthPosition+SwaptionNumOfMonths+1,$FJ173&gt;SwaptionFirstMonthPosition+SwaptionNumOfMonths+1),"",IF($FJ173=HN$169,1,IF($FJ173&lt;HN$169,INDEX($FK$170:$ID$241,HN$169,$FJ173),SUMPRODUCT(INDEX($FK$325:$ID$396,HN$169,1+SwaptionShift):INDEX($FK$325:$ID$396,HN$169,SwaptionMonthsToGo+SwaptionShift),INDEX($FK$245:$ID$316,$FJ173-HN$169,73-HN$169+SwaptionShift):INDEX($FK$245:$ID$316,$FJ173-HN$169,72-HN$169+SwaptionMonthsToGo+SwaptionShift))/SQRT(SUM(INDEX($FK328:$ID328,1+SwaptionShift):INDEX($FK328:$ID328,SwaptionMonthsToGo+SwaptionShift))*SUM(INDEX($FK$325:$ID$396,HN$169,1+SwaptionShift):INDEX($FK$325:$ID$396,HN$169,SwaptionMonthsToGo+SwaptionShift))))))</f>
        <v/>
      </c>
      <c r="HO173" s="150" t="str">
        <f aca="false">IF(OR(HO$169&lt;SwaptionFirstMonthPosition+1,$FJ173&lt;SwaptionFirstMonthPosition+1,HO$169&gt;SwaptionFirstMonthPosition+SwaptionNumOfMonths+1,$FJ173&gt;SwaptionFirstMonthPosition+SwaptionNumOfMonths+1),"",IF($FJ173=HO$169,1,IF($FJ173&lt;HO$169,INDEX($FK$170:$ID$241,HO$169,$FJ173),SUMPRODUCT(INDEX($FK$325:$ID$396,HO$169,1+SwaptionShift):INDEX($FK$325:$ID$396,HO$169,SwaptionMonthsToGo+SwaptionShift),INDEX($FK$245:$ID$316,$FJ173-HO$169,73-HO$169+SwaptionShift):INDEX($FK$245:$ID$316,$FJ173-HO$169,72-HO$169+SwaptionMonthsToGo+SwaptionShift))/SQRT(SUM(INDEX($FK328:$ID328,1+SwaptionShift):INDEX($FK328:$ID328,SwaptionMonthsToGo+SwaptionShift))*SUM(INDEX($FK$325:$ID$396,HO$169,1+SwaptionShift):INDEX($FK$325:$ID$396,HO$169,SwaptionMonthsToGo+SwaptionShift))))))</f>
        <v/>
      </c>
      <c r="HP173" s="150" t="str">
        <f aca="false">IF(OR(HP$169&lt;SwaptionFirstMonthPosition+1,$FJ173&lt;SwaptionFirstMonthPosition+1,HP$169&gt;SwaptionFirstMonthPosition+SwaptionNumOfMonths+1,$FJ173&gt;SwaptionFirstMonthPosition+SwaptionNumOfMonths+1),"",IF($FJ173=HP$169,1,IF($FJ173&lt;HP$169,INDEX($FK$170:$ID$241,HP$169,$FJ173),SUMPRODUCT(INDEX($FK$325:$ID$396,HP$169,1+SwaptionShift):INDEX($FK$325:$ID$396,HP$169,SwaptionMonthsToGo+SwaptionShift),INDEX($FK$245:$ID$316,$FJ173-HP$169,73-HP$169+SwaptionShift):INDEX($FK$245:$ID$316,$FJ173-HP$169,72-HP$169+SwaptionMonthsToGo+SwaptionShift))/SQRT(SUM(INDEX($FK328:$ID328,1+SwaptionShift):INDEX($FK328:$ID328,SwaptionMonthsToGo+SwaptionShift))*SUM(INDEX($FK$325:$ID$396,HP$169,1+SwaptionShift):INDEX($FK$325:$ID$396,HP$169,SwaptionMonthsToGo+SwaptionShift))))))</f>
        <v/>
      </c>
      <c r="HQ173" s="150" t="str">
        <f aca="false">IF(OR(HQ$169&lt;SwaptionFirstMonthPosition+1,$FJ173&lt;SwaptionFirstMonthPosition+1,HQ$169&gt;SwaptionFirstMonthPosition+SwaptionNumOfMonths+1,$FJ173&gt;SwaptionFirstMonthPosition+SwaptionNumOfMonths+1),"",IF($FJ173=HQ$169,1,IF($FJ173&lt;HQ$169,INDEX($FK$170:$ID$241,HQ$169,$FJ173),SUMPRODUCT(INDEX($FK$325:$ID$396,HQ$169,1+SwaptionShift):INDEX($FK$325:$ID$396,HQ$169,SwaptionMonthsToGo+SwaptionShift),INDEX($FK$245:$ID$316,$FJ173-HQ$169,73-HQ$169+SwaptionShift):INDEX($FK$245:$ID$316,$FJ173-HQ$169,72-HQ$169+SwaptionMonthsToGo+SwaptionShift))/SQRT(SUM(INDEX($FK328:$ID328,1+SwaptionShift):INDEX($FK328:$ID328,SwaptionMonthsToGo+SwaptionShift))*SUM(INDEX($FK$325:$ID$396,HQ$169,1+SwaptionShift):INDEX($FK$325:$ID$396,HQ$169,SwaptionMonthsToGo+SwaptionShift))))))</f>
        <v/>
      </c>
      <c r="HR173" s="150" t="str">
        <f aca="false">IF(OR(HR$169&lt;SwaptionFirstMonthPosition+1,$FJ173&lt;SwaptionFirstMonthPosition+1,HR$169&gt;SwaptionFirstMonthPosition+SwaptionNumOfMonths+1,$FJ173&gt;SwaptionFirstMonthPosition+SwaptionNumOfMonths+1),"",IF($FJ173=HR$169,1,IF($FJ173&lt;HR$169,INDEX($FK$170:$ID$241,HR$169,$FJ173),SUMPRODUCT(INDEX($FK$325:$ID$396,HR$169,1+SwaptionShift):INDEX($FK$325:$ID$396,HR$169,SwaptionMonthsToGo+SwaptionShift),INDEX($FK$245:$ID$316,$FJ173-HR$169,73-HR$169+SwaptionShift):INDEX($FK$245:$ID$316,$FJ173-HR$169,72-HR$169+SwaptionMonthsToGo+SwaptionShift))/SQRT(SUM(INDEX($FK328:$ID328,1+SwaptionShift):INDEX($FK328:$ID328,SwaptionMonthsToGo+SwaptionShift))*SUM(INDEX($FK$325:$ID$396,HR$169,1+SwaptionShift):INDEX($FK$325:$ID$396,HR$169,SwaptionMonthsToGo+SwaptionShift))))))</f>
        <v/>
      </c>
      <c r="HS173" s="150" t="str">
        <f aca="false">IF(OR(HS$169&lt;SwaptionFirstMonthPosition+1,$FJ173&lt;SwaptionFirstMonthPosition+1,HS$169&gt;SwaptionFirstMonthPosition+SwaptionNumOfMonths+1,$FJ173&gt;SwaptionFirstMonthPosition+SwaptionNumOfMonths+1),"",IF($FJ173=HS$169,1,IF($FJ173&lt;HS$169,INDEX($FK$170:$ID$241,HS$169,$FJ173),SUMPRODUCT(INDEX($FK$325:$ID$396,HS$169,1+SwaptionShift):INDEX($FK$325:$ID$396,HS$169,SwaptionMonthsToGo+SwaptionShift),INDEX($FK$245:$ID$316,$FJ173-HS$169,73-HS$169+SwaptionShift):INDEX($FK$245:$ID$316,$FJ173-HS$169,72-HS$169+SwaptionMonthsToGo+SwaptionShift))/SQRT(SUM(INDEX($FK328:$ID328,1+SwaptionShift):INDEX($FK328:$ID328,SwaptionMonthsToGo+SwaptionShift))*SUM(INDEX($FK$325:$ID$396,HS$169,1+SwaptionShift):INDEX($FK$325:$ID$396,HS$169,SwaptionMonthsToGo+SwaptionShift))))))</f>
        <v/>
      </c>
      <c r="HT173" s="150" t="str">
        <f aca="false">IF(OR(HT$169&lt;SwaptionFirstMonthPosition+1,$FJ173&lt;SwaptionFirstMonthPosition+1,HT$169&gt;SwaptionFirstMonthPosition+SwaptionNumOfMonths+1,$FJ173&gt;SwaptionFirstMonthPosition+SwaptionNumOfMonths+1),"",IF($FJ173=HT$169,1,IF($FJ173&lt;HT$169,INDEX($FK$170:$ID$241,HT$169,$FJ173),SUMPRODUCT(INDEX($FK$325:$ID$396,HT$169,1+SwaptionShift):INDEX($FK$325:$ID$396,HT$169,SwaptionMonthsToGo+SwaptionShift),INDEX($FK$245:$ID$316,$FJ173-HT$169,73-HT$169+SwaptionShift):INDEX($FK$245:$ID$316,$FJ173-HT$169,72-HT$169+SwaptionMonthsToGo+SwaptionShift))/SQRT(SUM(INDEX($FK328:$ID328,1+SwaptionShift):INDEX($FK328:$ID328,SwaptionMonthsToGo+SwaptionShift))*SUM(INDEX($FK$325:$ID$396,HT$169,1+SwaptionShift):INDEX($FK$325:$ID$396,HT$169,SwaptionMonthsToGo+SwaptionShift))))))</f>
        <v/>
      </c>
      <c r="HU173" s="150" t="str">
        <f aca="false">IF(OR(HU$169&lt;SwaptionFirstMonthPosition+1,$FJ173&lt;SwaptionFirstMonthPosition+1,HU$169&gt;SwaptionFirstMonthPosition+SwaptionNumOfMonths+1,$FJ173&gt;SwaptionFirstMonthPosition+SwaptionNumOfMonths+1),"",IF($FJ173=HU$169,1,IF($FJ173&lt;HU$169,INDEX($FK$170:$ID$241,HU$169,$FJ173),SUMPRODUCT(INDEX($FK$325:$ID$396,HU$169,1+SwaptionShift):INDEX($FK$325:$ID$396,HU$169,SwaptionMonthsToGo+SwaptionShift),INDEX($FK$245:$ID$316,$FJ173-HU$169,73-HU$169+SwaptionShift):INDEX($FK$245:$ID$316,$FJ173-HU$169,72-HU$169+SwaptionMonthsToGo+SwaptionShift))/SQRT(SUM(INDEX($FK328:$ID328,1+SwaptionShift):INDEX($FK328:$ID328,SwaptionMonthsToGo+SwaptionShift))*SUM(INDEX($FK$325:$ID$396,HU$169,1+SwaptionShift):INDEX($FK$325:$ID$396,HU$169,SwaptionMonthsToGo+SwaptionShift))))))</f>
        <v/>
      </c>
      <c r="HV173" s="150" t="str">
        <f aca="false">IF(OR(HV$169&lt;SwaptionFirstMonthPosition+1,$FJ173&lt;SwaptionFirstMonthPosition+1,HV$169&gt;SwaptionFirstMonthPosition+SwaptionNumOfMonths+1,$FJ173&gt;SwaptionFirstMonthPosition+SwaptionNumOfMonths+1),"",IF($FJ173=HV$169,1,IF($FJ173&lt;HV$169,INDEX($FK$170:$ID$241,HV$169,$FJ173),SUMPRODUCT(INDEX($FK$325:$ID$396,HV$169,1+SwaptionShift):INDEX($FK$325:$ID$396,HV$169,SwaptionMonthsToGo+SwaptionShift),INDEX($FK$245:$ID$316,$FJ173-HV$169,73-HV$169+SwaptionShift):INDEX($FK$245:$ID$316,$FJ173-HV$169,72-HV$169+SwaptionMonthsToGo+SwaptionShift))/SQRT(SUM(INDEX($FK328:$ID328,1+SwaptionShift):INDEX($FK328:$ID328,SwaptionMonthsToGo+SwaptionShift))*SUM(INDEX($FK$325:$ID$396,HV$169,1+SwaptionShift):INDEX($FK$325:$ID$396,HV$169,SwaptionMonthsToGo+SwaptionShift))))))</f>
        <v/>
      </c>
      <c r="HW173" s="150" t="str">
        <f aca="false">IF(OR(HW$169&lt;SwaptionFirstMonthPosition+1,$FJ173&lt;SwaptionFirstMonthPosition+1,HW$169&gt;SwaptionFirstMonthPosition+SwaptionNumOfMonths+1,$FJ173&gt;SwaptionFirstMonthPosition+SwaptionNumOfMonths+1),"",IF($FJ173=HW$169,1,IF($FJ173&lt;HW$169,INDEX($FK$170:$ID$241,HW$169,$FJ173),SUMPRODUCT(INDEX($FK$325:$ID$396,HW$169,1+SwaptionShift):INDEX($FK$325:$ID$396,HW$169,SwaptionMonthsToGo+SwaptionShift),INDEX($FK$245:$ID$316,$FJ173-HW$169,73-HW$169+SwaptionShift):INDEX($FK$245:$ID$316,$FJ173-HW$169,72-HW$169+SwaptionMonthsToGo+SwaptionShift))/SQRT(SUM(INDEX($FK328:$ID328,1+SwaptionShift):INDEX($FK328:$ID328,SwaptionMonthsToGo+SwaptionShift))*SUM(INDEX($FK$325:$ID$396,HW$169,1+SwaptionShift):INDEX($FK$325:$ID$396,HW$169,SwaptionMonthsToGo+SwaptionShift))))))</f>
        <v/>
      </c>
      <c r="HX173" s="150" t="str">
        <f aca="false">IF(OR(HX$169&lt;SwaptionFirstMonthPosition+1,$FJ173&lt;SwaptionFirstMonthPosition+1,HX$169&gt;SwaptionFirstMonthPosition+SwaptionNumOfMonths+1,$FJ173&gt;SwaptionFirstMonthPosition+SwaptionNumOfMonths+1),"",IF($FJ173=HX$169,1,IF($FJ173&lt;HX$169,INDEX($FK$170:$ID$241,HX$169,$FJ173),SUMPRODUCT(INDEX($FK$325:$ID$396,HX$169,1+SwaptionShift):INDEX($FK$325:$ID$396,HX$169,SwaptionMonthsToGo+SwaptionShift),INDEX($FK$245:$ID$316,$FJ173-HX$169,73-HX$169+SwaptionShift):INDEX($FK$245:$ID$316,$FJ173-HX$169,72-HX$169+SwaptionMonthsToGo+SwaptionShift))/SQRT(SUM(INDEX($FK328:$ID328,1+SwaptionShift):INDEX($FK328:$ID328,SwaptionMonthsToGo+SwaptionShift))*SUM(INDEX($FK$325:$ID$396,HX$169,1+SwaptionShift):INDEX($FK$325:$ID$396,HX$169,SwaptionMonthsToGo+SwaptionShift))))))</f>
        <v/>
      </c>
      <c r="HY173" s="150" t="str">
        <f aca="false">IF(OR(HY$169&lt;SwaptionFirstMonthPosition+1,$FJ173&lt;SwaptionFirstMonthPosition+1,HY$169&gt;SwaptionFirstMonthPosition+SwaptionNumOfMonths+1,$FJ173&gt;SwaptionFirstMonthPosition+SwaptionNumOfMonths+1),"",IF($FJ173=HY$169,1,IF($FJ173&lt;HY$169,INDEX($FK$170:$ID$241,HY$169,$FJ173),SUMPRODUCT(INDEX($FK$325:$ID$396,HY$169,1+SwaptionShift):INDEX($FK$325:$ID$396,HY$169,SwaptionMonthsToGo+SwaptionShift),INDEX($FK$245:$ID$316,$FJ173-HY$169,73-HY$169+SwaptionShift):INDEX($FK$245:$ID$316,$FJ173-HY$169,72-HY$169+SwaptionMonthsToGo+SwaptionShift))/SQRT(SUM(INDEX($FK328:$ID328,1+SwaptionShift):INDEX($FK328:$ID328,SwaptionMonthsToGo+SwaptionShift))*SUM(INDEX($FK$325:$ID$396,HY$169,1+SwaptionShift):INDEX($FK$325:$ID$396,HY$169,SwaptionMonthsToGo+SwaptionShift))))))</f>
        <v/>
      </c>
      <c r="HZ173" s="150" t="str">
        <f aca="false">IF(OR(HZ$169&lt;SwaptionFirstMonthPosition+1,$FJ173&lt;SwaptionFirstMonthPosition+1,HZ$169&gt;SwaptionFirstMonthPosition+SwaptionNumOfMonths+1,$FJ173&gt;SwaptionFirstMonthPosition+SwaptionNumOfMonths+1),"",IF($FJ173=HZ$169,1,IF($FJ173&lt;HZ$169,INDEX($FK$170:$ID$241,HZ$169,$FJ173),SUMPRODUCT(INDEX($FK$325:$ID$396,HZ$169,1+SwaptionShift):INDEX($FK$325:$ID$396,HZ$169,SwaptionMonthsToGo+SwaptionShift),INDEX($FK$245:$ID$316,$FJ173-HZ$169,73-HZ$169+SwaptionShift):INDEX($FK$245:$ID$316,$FJ173-HZ$169,72-HZ$169+SwaptionMonthsToGo+SwaptionShift))/SQRT(SUM(INDEX($FK328:$ID328,1+SwaptionShift):INDEX($FK328:$ID328,SwaptionMonthsToGo+SwaptionShift))*SUM(INDEX($FK$325:$ID$396,HZ$169,1+SwaptionShift):INDEX($FK$325:$ID$396,HZ$169,SwaptionMonthsToGo+SwaptionShift))))))</f>
        <v/>
      </c>
      <c r="IA173" s="150" t="str">
        <f aca="false">IF(OR(IA$169&lt;SwaptionFirstMonthPosition+1,$FJ173&lt;SwaptionFirstMonthPosition+1,IA$169&gt;SwaptionFirstMonthPosition+SwaptionNumOfMonths+1,$FJ173&gt;SwaptionFirstMonthPosition+SwaptionNumOfMonths+1),"",IF($FJ173=IA$169,1,IF($FJ173&lt;IA$169,INDEX($FK$170:$ID$241,IA$169,$FJ173),SUMPRODUCT(INDEX($FK$325:$ID$396,IA$169,1+SwaptionShift):INDEX($FK$325:$ID$396,IA$169,SwaptionMonthsToGo+SwaptionShift),INDEX($FK$245:$ID$316,$FJ173-IA$169,73-IA$169+SwaptionShift):INDEX($FK$245:$ID$316,$FJ173-IA$169,72-IA$169+SwaptionMonthsToGo+SwaptionShift))/SQRT(SUM(INDEX($FK328:$ID328,1+SwaptionShift):INDEX($FK328:$ID328,SwaptionMonthsToGo+SwaptionShift))*SUM(INDEX($FK$325:$ID$396,IA$169,1+SwaptionShift):INDEX($FK$325:$ID$396,IA$169,SwaptionMonthsToGo+SwaptionShift))))))</f>
        <v/>
      </c>
      <c r="IB173" s="150" t="str">
        <f aca="false">IF(OR(IB$169&lt;SwaptionFirstMonthPosition+1,$FJ173&lt;SwaptionFirstMonthPosition+1,IB$169&gt;SwaptionFirstMonthPosition+SwaptionNumOfMonths+1,$FJ173&gt;SwaptionFirstMonthPosition+SwaptionNumOfMonths+1),"",IF($FJ173=IB$169,1,IF($FJ173&lt;IB$169,INDEX($FK$170:$ID$241,IB$169,$FJ173),SUMPRODUCT(INDEX($FK$325:$ID$396,IB$169,1+SwaptionShift):INDEX($FK$325:$ID$396,IB$169,SwaptionMonthsToGo+SwaptionShift),INDEX($FK$245:$ID$316,$FJ173-IB$169,73-IB$169+SwaptionShift):INDEX($FK$245:$ID$316,$FJ173-IB$169,72-IB$169+SwaptionMonthsToGo+SwaptionShift))/SQRT(SUM(INDEX($FK328:$ID328,1+SwaptionShift):INDEX($FK328:$ID328,SwaptionMonthsToGo+SwaptionShift))*SUM(INDEX($FK$325:$ID$396,IB$169,1+SwaptionShift):INDEX($FK$325:$ID$396,IB$169,SwaptionMonthsToGo+SwaptionShift))))))</f>
        <v/>
      </c>
      <c r="IC173" s="150" t="str">
        <f aca="false">IF(OR(IC$169&lt;SwaptionFirstMonthPosition+1,$FJ173&lt;SwaptionFirstMonthPosition+1,IC$169&gt;SwaptionFirstMonthPosition+SwaptionNumOfMonths+1,$FJ173&gt;SwaptionFirstMonthPosition+SwaptionNumOfMonths+1),"",IF($FJ173=IC$169,1,IF($FJ173&lt;IC$169,INDEX($FK$170:$ID$241,IC$169,$FJ173),SUMPRODUCT(INDEX($FK$325:$ID$396,IC$169,1+SwaptionShift):INDEX($FK$325:$ID$396,IC$169,SwaptionMonthsToGo+SwaptionShift),INDEX($FK$245:$ID$316,$FJ173-IC$169,73-IC$169+SwaptionShift):INDEX($FK$245:$ID$316,$FJ173-IC$169,72-IC$169+SwaptionMonthsToGo+SwaptionShift))/SQRT(SUM(INDEX($FK328:$ID328,1+SwaptionShift):INDEX($FK328:$ID328,SwaptionMonthsToGo+SwaptionShift))*SUM(INDEX($FK$325:$ID$396,IC$169,1+SwaptionShift):INDEX($FK$325:$ID$396,IC$169,SwaptionMonthsToGo+SwaptionShift))))))</f>
        <v/>
      </c>
      <c r="ID173" s="572" t="str">
        <f aca="false">IF(OR(ID$169&lt;SwaptionFirstMonthPosition+1,$FJ173&lt;SwaptionFirstMonthPosition+1,ID$169&gt;SwaptionFirstMonthPosition+SwaptionNumOfMonths+1,$FJ173&gt;SwaptionFirstMonthPosition+SwaptionNumOfMonths+1),"",IF($FJ173=ID$169,1,IF($FJ173&lt;ID$169,INDEX($FK$170:$ID$241,ID$169,$FJ173),SUMPRODUCT(INDEX($FK$325:$ID$396,ID$169,1+SwaptionShift):INDEX($FK$325:$ID$396,ID$169,SwaptionMonthsToGo+SwaptionShift),INDEX($FK$245:$ID$316,$FJ173-ID$169,73-ID$169+SwaptionShift):INDEX($FK$245:$ID$316,$FJ173-ID$169,72-ID$169+SwaptionMonthsToGo+SwaptionShift))/SQRT(SUM(INDEX($FK328:$ID328,1+SwaptionShift):INDEX($FK328:$ID328,SwaptionMonthsToGo+SwaptionShift))*SUM(INDEX($FK$325:$ID$396,ID$169,1+SwaptionShift):INDEX($FK$325:$ID$396,ID$169,SwaptionMonthsToGo+SwaptionShift))))))</f>
        <v/>
      </c>
      <c r="IE173" s="129"/>
    </row>
    <row r="174" customFormat="false" ht="12.75" hidden="false" customHeight="false" outlineLevel="0" collapsed="false">
      <c r="H174" s="219" t="n">
        <f aca="false">VLOOKUP(I174,$EJ$20:$EL$54,3)</f>
        <v>0</v>
      </c>
      <c r="I174" s="511" t="n">
        <f aca="false">EOMONTH(I173,0)+1</f>
        <v>41456</v>
      </c>
      <c r="J174" s="512"/>
      <c r="K174" s="513" t="s">
        <v>280</v>
      </c>
      <c r="L174" s="514" t="n">
        <f aca="false">IF(ISNUMBER(K174),J174+K174/100,IF(K174="extra",L173+VLOOKUP(BF174,PriceSpreadTable,2)/12,IF(K174="inter",interpolateprices($K$19:$L$200,ROW(K174)-ROW(FirstPricingMonth)+1),interpolatechanges($J$19:$K$200,ROW(K174)-ROW(FirstPricingMonth)+1))))</f>
        <v>2.925</v>
      </c>
      <c r="M174" s="515"/>
      <c r="N174" s="516" t="n">
        <v>0</v>
      </c>
      <c r="O174" s="515" t="n">
        <f aca="false">M174+N174</f>
        <v>0</v>
      </c>
      <c r="P174" s="512"/>
      <c r="Q174" s="513" t="s">
        <v>280</v>
      </c>
      <c r="R174" s="512" t="e">
        <f aca="false">IF(ISNUMBER(Q174),P174+Q174/100,IF(Q174="extra",(Z172*AL172-R173*AM172)/AN172,IF(Q174="inter",interpolateprices($Q$19:$R$260,ROW(Q174)-ROW(FirstPricingMonth)+1),interpolatechanges($P$19:$Q$260,ROW(Q174)-ROW(FirstPricingMonth)+1))))</f>
        <v>#VALUE!</v>
      </c>
      <c r="S174" s="597" t="n">
        <f aca="false">S$19+(S173-S$19)*S$18</f>
        <v>0.36</v>
      </c>
      <c r="T174" s="575" t="n">
        <f aca="false">SQRT((1-(1-T173^2/U173)*T$18)*U174)</f>
        <v>0.999999999996256</v>
      </c>
      <c r="U174" s="576" t="n">
        <f aca="false">1-(1-U173)*U$18</f>
        <v>1</v>
      </c>
      <c r="V174" s="521" t="n">
        <v>0</v>
      </c>
      <c r="W174" s="577" t="n">
        <f aca="false">(J175*AJ174+J176*AK174)/AI174</f>
        <v>0</v>
      </c>
      <c r="X174" s="578" t="n">
        <f aca="false">(L175*AJ174+L176*AK174)/AI174</f>
        <v>2.97613636363637</v>
      </c>
      <c r="Y174" s="579" t="n">
        <f aca="false">IF(Q176="extra",W174-AA174,(P175*AM174+P176*AN174)/AL174)</f>
        <v>-1.2669</v>
      </c>
      <c r="Z174" s="579" t="n">
        <f aca="false">IF(Q176="extra",X174-AB174,(R175*AM174+R176*AN174)/AL174)</f>
        <v>1.70923636363637</v>
      </c>
      <c r="AA174" s="523" t="n">
        <f aca="false">IF(Q176="extra",INDEX(BrentSeasonalityTable,INT((BG174-1)/3)+1)*VLOOKUP(MAX(BF174,$AB$4),PriceSpreadTable,3),W174-Y174)</f>
        <v>1.2669</v>
      </c>
      <c r="AB174" s="524" t="n">
        <f aca="false">IF(Q176="extra",INDEX(BrentSeasonalityTable,INT((BG174-1)/3)+1)*VLOOKUP(MAX(BF174,$AB$4),PriceSpreadTable,3),X174-Z174)</f>
        <v>1.2669</v>
      </c>
      <c r="AC174" s="646" t="n">
        <v>41445</v>
      </c>
      <c r="AD174" s="646" t="n">
        <v>41441</v>
      </c>
      <c r="AE174" s="646" t="n">
        <v>41440</v>
      </c>
      <c r="AF174" s="646" t="n">
        <v>41436</v>
      </c>
      <c r="AG174" s="438" t="s">
        <v>278</v>
      </c>
      <c r="AH174" s="439" t="s">
        <v>278</v>
      </c>
      <c r="AI174" s="528" t="n">
        <v>22</v>
      </c>
      <c r="AJ174" s="529" t="n">
        <v>14</v>
      </c>
      <c r="AK174" s="529" t="n">
        <v>8</v>
      </c>
      <c r="AL174" s="530" t="n">
        <v>23</v>
      </c>
      <c r="AM174" s="529" t="n">
        <v>10</v>
      </c>
      <c r="AN174" s="531" t="n">
        <v>13</v>
      </c>
      <c r="AO174" s="532"/>
      <c r="AP174" s="465" t="n">
        <f aca="false">(1+AO174/2)^(-2*BL174)</f>
        <v>1</v>
      </c>
      <c r="AQ174" s="532"/>
      <c r="AR174" s="465" t="n">
        <f aca="false">(1+AQ174/2)^(-2*BH174/365.25)</f>
        <v>1</v>
      </c>
      <c r="AS174" s="580" t="n">
        <f aca="false">(O175*AJ174+O176*AK174)/AI174</f>
        <v>0</v>
      </c>
      <c r="AT174" s="468" t="n">
        <f aca="false">O174*VLOOKUP(BF174,BrentVolTable,2)+VLOOKUP(BF174,BrentVolTable,3)</f>
        <v>0</v>
      </c>
      <c r="AU174" s="468" t="n">
        <f aca="false">(AT175*AM174+AT176*AN174)/AL174</f>
        <v>0</v>
      </c>
      <c r="AV174" s="595" t="n">
        <f aca="false">SQRT(MAX(0.000000000001,(O174^2*BH174-S174^2*(BH174-BH173))/BH173))</f>
        <v>0.0298300835909521</v>
      </c>
      <c r="AW174" s="451" t="n">
        <f aca="false">IF($I174-DateToday+15&gt;=$T$8,"",IF($I174-DateToday+15&lt;$T$5,1,MATCH($I174-DateToday+15,$T$5:$T$8)))</f>
        <v>1</v>
      </c>
      <c r="AX174" s="468" t="n">
        <f aca="false">IF($AW174="",AX173^2/AX172,INDEX(U$5:U$8,$AW174)^((INDEX($T$5:$T$8,$AW174+1)-($I174-DateToday+15))/(INDEX($T$5:$T$8,$AW174+1)-INDEX($T$5:$T$8,$AW174)))/INDEX(U$5:U$8,$AW174+1)^((INDEX($T$5:$T$8,$AW174)-($I174-DateToday+15))/(INDEX($T$5:$T$8,$AW174+1)-INDEX($T$5:$T$8,$AW174))))</f>
        <v>0.466851720248812</v>
      </c>
      <c r="AY174" s="468" t="n">
        <f aca="false">IF($AW174="",AY173^2/AY172,INDEX(V$5:V$8,$AW174)^((INDEX($T$5:$T$8,$AW174+1)-($I174-DateToday+15))/(INDEX($T$5:$T$8,$AW174+1)-INDEX($T$5:$T$8,$AW174)))/INDEX(V$5:V$8,$AW174+1)^((INDEX($T$5:$T$8,$AW174)-($I174-DateToday+15))/(INDEX($T$5:$T$8,$AW174+1)-INDEX($T$5:$T$8,$AW174))))</f>
        <v>7.95062427012326</v>
      </c>
      <c r="AZ174" s="468" t="n">
        <f aca="false">IF($AW174="",AZ173^2/AZ172,INDEX(W$5:W$8,$AW174)^((INDEX($T$5:$T$8,$AW174+1)-($I174-DateToday+15))/(INDEX($T$5:$T$8,$AW174+1)-INDEX($T$5:$T$8,$AW174)))/INDEX(W$5:W$8,$AW174+1)^((INDEX($T$5:$T$8,$AW174)-($I174-DateToday+15))/(INDEX($T$5:$T$8,$AW174+1)-INDEX($T$5:$T$8,$AW174))))</f>
        <v>2209.58082204773</v>
      </c>
      <c r="BA174" s="468" t="n">
        <f aca="false">IF($AW174="",BA173^2/BA172,INDEX(X$5:X$8,$AW174)^((INDEX($T$5:$T$8,$AW174+1)-($I174-DateToday+15))/(INDEX($T$5:$T$8,$AW174+1)-INDEX($T$5:$T$8,$AW174)))/INDEX(X$5:X$8,$AW174+1)^((INDEX($T$5:$T$8,$AW174)-($I174-DateToday+15))/(INDEX($T$5:$T$8,$AW174+1)-INDEX($T$5:$T$8,$AW174))))</f>
        <v>10745.2771646017</v>
      </c>
      <c r="BB174" s="468" t="n">
        <f aca="false">IF($AW174="",BB173^2/BB172,INDEX(Y$5:Y$8,$AW174)^((INDEX($T$5:$T$8,$AW174+1)-($I174-DateToday+15))/(INDEX($T$5:$T$8,$AW174+1)-INDEX($T$5:$T$8,$AW174)))/INDEX(Y$5:Y$8,$AW174+1)^((INDEX($T$5:$T$8,$AW174)-($I174-DateToday+15))/(INDEX($T$5:$T$8,$AW174+1)-INDEX($T$5:$T$8,$AW174))))</f>
        <v>64700.211458927</v>
      </c>
      <c r="BC174" s="468" t="n">
        <f aca="false">IF($AW174="",BC173^2/BC172,INDEX(Z$5:Z$8,$AW174)^((INDEX($T$5:$T$8,$AW174+1)-($I174-DateToday+15))/(INDEX($T$5:$T$8,$AW174+1)-INDEX($T$5:$T$8,$AW174)))/INDEX(Z$5:Z$8,$AW174+1)^((INDEX($T$5:$T$8,$AW174)-($I174-DateToday+15))/(INDEX($T$5:$T$8,$AW174+1)-INDEX($T$5:$T$8,$AW174))))</f>
        <v>193134.747599489</v>
      </c>
      <c r="BD174" s="535" t="n">
        <f aca="false">IF(OR(DateStart&gt;=I175,DateEnd&lt;I174),0,IF(VolumeOverrideFlag,V174,Volume))</f>
        <v>0</v>
      </c>
      <c r="BE174" s="536" t="n">
        <f aca="false">IF(OR(DateStart2&gt;=I175,DateEnd2&lt;I174),0,IF(VolumeOverrideFlag,V174,VolumeSwaption))</f>
        <v>0</v>
      </c>
      <c r="BF174" s="537" t="n">
        <f aca="false">YEAR(I174)</f>
        <v>2013</v>
      </c>
      <c r="BG174" s="538" t="n">
        <f aca="false">MONTH(I174)</f>
        <v>7</v>
      </c>
      <c r="BH174" s="539" t="n">
        <f aca="false">AD174-DateToday+1</f>
        <v>-4484</v>
      </c>
      <c r="BI174" s="540" t="n">
        <f aca="false">(I174-DateToday+1)/365.25</f>
        <v>-12.2354551676934</v>
      </c>
      <c r="BJ174" s="541" t="n">
        <f aca="false">BI174+(BL174-BI174)*CHOOSE(Underlying,AJ174/AI174,AM174/AL174)</f>
        <v>-12.1831871072117</v>
      </c>
      <c r="BK174" s="541" t="n">
        <f aca="false">BJ174+1/365.25</f>
        <v>-12.1804492564246</v>
      </c>
      <c r="BL174" s="541" t="n">
        <f aca="false">(I175-DateToday)/365.25</f>
        <v>-12.1533196440794</v>
      </c>
      <c r="BM174" s="542" t="e">
        <f aca="false">MAX(BI174-(BJ174-BI174)*(S175^2/O175^2-1),0)</f>
        <v>#DIV/0!</v>
      </c>
      <c r="BN174" s="541" t="e">
        <f aca="false">MAX(BL174+(BL174-BK174)*(S176^2/O176^2-1),0)</f>
        <v>#DIV/0!</v>
      </c>
      <c r="BO174" s="530" t="n">
        <f aca="false">CHOOSE(Underlying,AI174,AL174)</f>
        <v>22</v>
      </c>
      <c r="BP174" s="529" t="n">
        <f aca="false">CHOOSE(Underlying,AJ174,AM174)</f>
        <v>14</v>
      </c>
      <c r="BQ174" s="529" t="n">
        <f aca="false">CHOOSE(Underlying,AK174,AN174)</f>
        <v>8</v>
      </c>
      <c r="BR174" s="463" t="str">
        <f aca="false">IF(BD174,IF(Underlying=1,X174,Z174)+UnderlyingPriceAsian-SwapPriceCurve,"")</f>
        <v/>
      </c>
      <c r="BS174" s="463" t="str">
        <f aca="false">IF(BD174,Strike1/BR174-1,"")</f>
        <v/>
      </c>
      <c r="BT174" s="464" t="str">
        <f aca="false">IF(BD174,Strike2/BR174-1,"")</f>
        <v/>
      </c>
      <c r="BU174" s="465" t="str">
        <f aca="false">IF(BD174,IF(Underlying=1,L175,R175)+UnderlyingPriceAsian-SwapPriceCurve,"")</f>
        <v/>
      </c>
      <c r="BV174" s="465" t="str">
        <f aca="false">IF(BD174,IF(Underlying=1,L176,R176)+UnderlyingPriceAsian-SwapPriceCurve,"")</f>
        <v/>
      </c>
      <c r="BW174" s="466" t="str">
        <f aca="false">IF(BD174,IF(Underlying=1,O175,AT175),"")</f>
        <v/>
      </c>
      <c r="BX174" s="467" t="str">
        <f aca="false">IF(BD174,IF(Underlying=1,O176,AT176),"")</f>
        <v/>
      </c>
      <c r="BY174" s="466" t="str">
        <f aca="false">IF(BD174,IF(BS174&gt;0,IF(BS174&gt;0.2,BC174-BB174,IF(BS174&gt;0.1,BB174-BA174,BA174)),IF(BS174&lt;-0.2,AX174-AY174,IF(BS174&lt;-0.1,AY174-AZ174,AZ174))),"")</f>
        <v/>
      </c>
      <c r="BZ174" s="467" t="str">
        <f aca="false">IF(BD174,IF(BT174&gt;0,IF(BT174&gt;0.2,BC174-BB174,IF(BT174&gt;0.1,BB174-BA174,BA174)),IF(BT174&lt;-0.2,AX174-AY174,IF(BT174&lt;-0.1,AY174-AZ174,AZ174))),"")</f>
        <v/>
      </c>
      <c r="CA174" s="468" t="str">
        <f aca="false">IF($BD174,$BW174+IF(VolSkewFlag=1,IF(BS174&gt;0,$BA174*MIN(BS174/10%,1)+($BB174-$BA174)*MAX(0,MIN(BS174/10%-1,1))+($BC174-$BB174)*MAX(0,BS174/10%-2),$AZ174*MIN(-BS174/10%,1)+($AY174-$AZ174)*MAX(0,MIN(-BS174/10%-1,1))+($AX174-$AY174)*MAX(0,-BS174/10%-2)),0),"")</f>
        <v/>
      </c>
      <c r="CB174" s="468" t="str">
        <f aca="false">IF($BD174,$BX174+IF(VolSkewFlag=1,IF(BS174&gt;0,$BA174*MIN(BS174/10%,1)+($BB174-$BA174)*MAX(0,MIN(BS174/10%-1,1))+($BC174-$BB174)*MAX(0,BS174/10%-2),$AZ174*MIN(-BS174/10%,1)+($AY174-$AZ174)*MAX(0,MIN(-BS174/10%-1,1))+($AX174-$AY174)*MAX(0,-BS174/10%-2)),0),"")</f>
        <v/>
      </c>
      <c r="CC174" s="468" t="str">
        <f aca="false">IF($BD174,$BW174+IF(VolSkewFlag=1,IF(BT174&gt;0,$BA174*MIN(BT174/10%,1)+($BB174-$BA174)*MAX(0,MIN(BT174/10%-1,1))+($BC174-$BB174)*MAX(0,BT174/10%-2),$AZ174*MIN(-BT174/10%,1)+($AY174-$AZ174)*MAX(0,MIN(-BT174/10%-1,1))+($AX174-$AY174)*MAX(0,-BT174/10%-2)),0),"")</f>
        <v/>
      </c>
      <c r="CD174" s="468" t="str">
        <f aca="false">IF($BD174,$BX174+IF(VolSkewFlag=1,IF(BT174&gt;0,$BA174*MIN(BT174/10%,1)+($BB174-$BA174)*MAX(0,MIN(BT174/10%-1,1))+($BC174-$BB174)*MAX(0,BT174/10%-2),$AZ174*MIN(-BT174/10%,1)+($AY174-$AZ174)*MAX(0,MIN(-BT174/10%-1,1))+($AX174-$AY174)*MAX(0,-BT174/10%-2)),0),"")</f>
        <v/>
      </c>
      <c r="CE174" s="469" t="n">
        <v>1</v>
      </c>
      <c r="CF174" s="470" t="n">
        <f aca="false">IF(BD174,xCrudeAPO(BU174,BV174,CA174,CB174,S175,S176,BI174,BL174,BP174,BQ174,0,Strike1,AO174,CE174,0,BL174,IF(OptControl=4,0,1),0,1),0)</f>
        <v>0</v>
      </c>
      <c r="CG174" s="470" t="n">
        <f aca="false">IF(BD174,xCrudeAPO(BU174,BV174,CA174,CB174,S175,S176,BI174,BL174,BP174,BQ174,0,Strike1,AO174,CE174,0,BL174,IF(OptControl=4,0,1),1,1)+xCrudeAPO(BU174,BV174,CA174,CB174,S175,S176,BI174,BL174,BP174,BQ174,0,Strike1,AO174,CE174,0,BL174,IF(OptControl=4,0,1),1,2)+IF(OR(VolSkewFlag=2,ABS(BS174)&lt;0.0001),0,IF(BS174&gt;0,-1,1)*CH174*Strike1/BR174^2*BY174/10%),0)</f>
        <v>0</v>
      </c>
      <c r="CH174" s="470" t="n">
        <f aca="false">IF(BD174,(xCrudeAPO(BU174,BV174,CA174,CB174,S175,S176,BI174,BL174,BP174,BQ174,0,Strike1,AO174,CE174,0,BL174,IF(OptControl=4,0,1),3,1)+xCrudeAPO(BU174,BV174,CA174,CB174,S175,S176,BI174,BL174,BP174,BQ174,0,Strike1,AO174,CE174,0,BL174,IF(OptControl=4,0,1),3,2))/100,0)</f>
        <v>0</v>
      </c>
      <c r="CI174" s="470" t="n">
        <f aca="false">IF(BD174,xCrudeAPO(BU174,BV174,CA174,CB174,S175,S176,BI174-DaysForThetaCalculation/365.25,BL174-DaysForThetaCalculation/365.25,BP174,BQ174,0,Strike1,AO174,CE174,0,BL174,IF(OptControl=4,0,1),0,1)-xCrudeAPO(BU174,BV174,CA174,CB174,S175,S176,BI174,BL174,BP174,BQ174,0,Strike1,AO174,CE174,0,BL174,IF(OptControl=4,0,1),0,1),0)</f>
        <v>0</v>
      </c>
      <c r="CJ174" s="471" t="n">
        <f aca="false">IF(BD174,xCrudeAPO(BU174,BV174,CC174,CD174,S175,S176,BI174,BL174,BP174,BQ174,0,Strike2,AO174,CE174,0,BL174,IF(OptControl=3,1,0),0,1),0)</f>
        <v>0</v>
      </c>
      <c r="CK174" s="470" t="n">
        <f aca="false">IF(BD174,xCrudeAPO(BU174,BV174,CC174,CD174,S175,S176,BI174,BL174,BP174,BQ174,0,Strike2,AO174,CE174,0,BL174,IF(OptControl=3,1,0),1,1)+xCrudeAPO(BU174,BV174,CC174,CD174,S175,S176,BI174,BL174,BP174,BQ174,0,Strike2,AO174,CE174,0,BL174,IF(OptControl=3,1,0),1,2)+IF(OR(VolSkewFlag=2,ABS(BT174)&lt;0.0001),0,IF(BT174&gt;0,-1,1)*CL174*Strike2/BR174^2*BZ174/10%),0)</f>
        <v>0</v>
      </c>
      <c r="CL174" s="470" t="n">
        <f aca="false">IF(BD174,(xCrudeAPO(BU174,BV174,CC174,CD174,S175,S176,BI174,BL174,BP174,BQ174,0,Strike2,AO174,CE174,0,BL174,IF(OptControl=3,1,0),3,1)+xCrudeAPO(BU174,BV174,CC174,CD174,S175,S176,BI174,BL174,BP174,BQ174,0,Strike2,AO174,CE174,0,BL174,IF(OptControl=3,1,0),3,2))/100,0)</f>
        <v>0</v>
      </c>
      <c r="CM174" s="472" t="n">
        <f aca="false">IF(BD174,xCrudeAPO(BU174,BV174,CC174,CD174,S175,S176,BI174-DaysForThetaCalculation/365.25,BL174-DaysForThetaCalculation/365.25,BP174,BQ174,0,Strike2,AO174,CE174,0,BL174,IF(OptControl=3,1,0),0,1)-xCrudeAPO(BU174,BV174,CC174,CD174,S175,S176,BI174,BL174,BP174,BQ174,0,Strike2,AO174,CE174,0,BL174,IF(OptControl=3,1,0),0,1),0)</f>
        <v>0</v>
      </c>
      <c r="CN174" s="3"/>
      <c r="CO174" s="543" t="str">
        <f aca="false">IF(BD174,CHOOSE(Underlying,AD174,AF174)-DateToday+1,"")</f>
        <v/>
      </c>
      <c r="CP174" s="582" t="str">
        <f aca="false">IF(BD174,CHOOSE(Underlying,L174,R174),"")</f>
        <v/>
      </c>
      <c r="CQ174" s="544" t="str">
        <f aca="false">IF(BD174,Strike1/CP174-1,"")</f>
        <v/>
      </c>
      <c r="CR174" s="544" t="str">
        <f aca="false">IF(BD174,Strike2/CP174-1,"")</f>
        <v/>
      </c>
      <c r="CS174" s="544" t="str">
        <f aca="false">IF(BD174,IF(CQ174&gt;0,IF(CQ174&gt;0.2,BC173-BB173,IF(CQ174&gt;0.1,BB173-BA173,BA173)),IF(CQ174&lt;-0.2,AX173-AY173,IF(CQ174&lt;-0.1,AY173-AZ173,AZ173))),"")</f>
        <v/>
      </c>
      <c r="CT174" s="544" t="str">
        <f aca="false">IF(BD174,IF(CR174&gt;0,IF(CR174&gt;0.2,BC173-BB173,IF(CR174&gt;0.1,BB173-BA173,BA173)),IF(CR174&lt;-0.2,AX173-AY173,IF(CR174&lt;-0.1,AY173-AZ173,AZ173))),"")</f>
        <v/>
      </c>
      <c r="CU174" s="545" t="str">
        <f aca="false">IF(BD174,CHOOSE(Underlying,O174,AT174),"")</f>
        <v/>
      </c>
      <c r="CV174" s="545" t="str">
        <f aca="false">IF(BD174,CU174+IF(VolSkewFlag=1,IF(CQ174&gt;0,BA173*MIN(CQ174/10%,1)+(BB173-BA173)*MAX(0,MIN(CQ174/10%-1,1))+(BC173-BB173)*MAX(0,CQ174/10%-2),AZ173*MIN(-CQ174/10%,1)+(AY173-AZ173)*MAX(0,MIN(-CQ174/10%-1,1))+(AX173-AY173)*MAX(0,-CQ174/10%-2)),0),"")</f>
        <v/>
      </c>
      <c r="CW174" s="545" t="str">
        <f aca="false">IF(BD174,CU174+IF(VolSkewFlag=1,IF(CR174&gt;0,BA173*MIN(CR174/10%,1)+(BB173-BA173)*MAX(0,MIN(CR174/10%-1,1))+(BC173-BB173)*MAX(0,CR174/10%-2),AZ173*MIN(-CR174/10%,1)+(AY173-AZ173)*MAX(0,MIN(-CR174/10%-1,1))+(AX173-AY173)*MAX(0,-CR174/10%-2)),0),"")</f>
        <v/>
      </c>
      <c r="CX174" s="470" t="n">
        <f aca="false">IF(BD174,EURO(CP174,Strike1,AO174,AO174,CV174,CO174,IF(OptControl=4,0,1),0),0)</f>
        <v>0</v>
      </c>
      <c r="CY174" s="470" t="n">
        <f aca="false">IF(BD174,EURO(CP174,Strike1,AO174,AO174,CV174,CO174,IF(OptControl=4,0,1),1)+IF(OR(VolSkewFlag=2,ABS(CQ174)&lt;0.0001),0,IF(CQ174&gt;0,-1,1)*CZ174*100*Strike1/CP174^2*CS174/10%),0)</f>
        <v>0</v>
      </c>
      <c r="CZ174" s="470" t="n">
        <f aca="false">IF(BD174,EURO(CP174,Strike1,AO174,AO174,CV174,CO174,IF(OptControl=4,0,1),3)/100,0)</f>
        <v>0</v>
      </c>
      <c r="DA174" s="470" t="n">
        <f aca="false">IF(BD174,EURO(CP174,Strike1,AO174,AO174,CV174,CO174,IF(OptControl=4,0,1),0)-EURO(CP174,Strike1,AO174,AO174,CV174,CO174-1,IF(OptControl=4,0,1),0),0)</f>
        <v>0</v>
      </c>
      <c r="DB174" s="470" t="n">
        <f aca="false">IF(BD174,EURO(CP174,Strike2,AO174,AO174,CW174,CO174,IF(OptControl=3,1,0),0),0)</f>
        <v>0</v>
      </c>
      <c r="DC174" s="470" t="n">
        <f aca="false">IF(BD174,EURO(CP174,Strike2,AO174,AO174,CW174,CO174,IF(OptControl=3,1,0),1)+IF(OR(VolSkewFlag=2,ABS(CR174)&lt;0.0001),0,IF(CR174&gt;0,-1,1)*DD174*100*Strike2/CP174^2*CT174/10%),0)</f>
        <v>0</v>
      </c>
      <c r="DD174" s="470" t="n">
        <f aca="false">IF(BD174,EURO(CP174,Strike2,AO174,AO174,CW174,CO174,IF(OptControl=3,1,0),3)/100,0)</f>
        <v>0</v>
      </c>
      <c r="DE174" s="472" t="n">
        <f aca="false">IF(BD174,EURO(CP174,Strike2,AO174,AO174,CW174,CO174,IF(OptControl=3,1,0),0)-EURO(CP174,Strike2,AO174,AO174,CW174,CO174-1,IF(OptControl=3,1,0),0),0)</f>
        <v>0</v>
      </c>
      <c r="DG174" s="481" t="n">
        <f aca="false">EOMONTH(DG173,0)+1</f>
        <v>50375</v>
      </c>
      <c r="DH174" s="478" t="n">
        <v>21.8600000000001</v>
      </c>
      <c r="DI174" s="479" t="n">
        <v>21.9250000000001</v>
      </c>
      <c r="DJ174" s="480" t="n">
        <f aca="false">DG174</f>
        <v>50375</v>
      </c>
      <c r="DK174" s="478" t="n">
        <v>20.658530367128</v>
      </c>
      <c r="DL174" s="479" t="n">
        <v>20.7319000000001</v>
      </c>
      <c r="DM174" s="481" t="n">
        <f aca="false">DG174</f>
        <v>50375</v>
      </c>
      <c r="DN174" s="482" t="n">
        <f aca="false">DK174+BrentPhyBrentSpread</f>
        <v>20.708530367128</v>
      </c>
      <c r="DO174" s="481" t="n">
        <f aca="false">DG174</f>
        <v>50375</v>
      </c>
      <c r="DP174" s="483" t="n">
        <f aca="false">DL174+DQ174</f>
        <v>20.7319000000001</v>
      </c>
      <c r="DQ174" s="546" t="n">
        <v>0</v>
      </c>
      <c r="DR174" s="480" t="n">
        <f aca="false">DG174</f>
        <v>50375</v>
      </c>
      <c r="DS174" s="485" t="n">
        <v>0.132199999999998</v>
      </c>
      <c r="DT174" s="486" t="n">
        <v>0.131419999999999</v>
      </c>
      <c r="DU174" s="480" t="n">
        <f aca="false">DG174</f>
        <v>50375</v>
      </c>
      <c r="DV174" s="485" t="n">
        <v>0.132199999999998</v>
      </c>
      <c r="DW174" s="486" t="n">
        <v>0.131419999999999</v>
      </c>
      <c r="DX174" s="481" t="n">
        <f aca="false">DG174</f>
        <v>50375</v>
      </c>
      <c r="DY174" s="486" t="n">
        <v>0.35</v>
      </c>
      <c r="DZ174" s="481" t="n">
        <f aca="false">DR174</f>
        <v>50375</v>
      </c>
      <c r="EA174" s="486" t="n">
        <f aca="false">DT174</f>
        <v>0.131419999999999</v>
      </c>
      <c r="EB174" s="195"/>
      <c r="EC174" s="547" t="str">
        <f aca="false">IF(BD174,IF(Underlying=1,AS174,AU174),"")</f>
        <v/>
      </c>
      <c r="ED174" s="548" t="str">
        <f aca="false">IF($BD174,$EC174+IF(VolSkewFlag=1,IF(BS174&gt;0,$BA174*MIN(BS174/10%,1)+($BB174-$BA174)*MAX(0,MIN(BS174/10%-1,1))+($BC174-$BB174)*MAX(0,BS174/10%-2),$AZ174*MIN(-BS174/10%,1)+($AY174-$AZ174)*MAX(0,MIN(-BS174/10%-1,1))+($AX174-$AY174)*MAX(0,-BS174/10%-2)),0),"")</f>
        <v/>
      </c>
      <c r="EE174" s="549" t="str">
        <f aca="false">IF($BD174,$EC174+IF(VolSkewFlag=1,IF(BT174&gt;0,$BA174*MIN(BT174/10%,1)+($BB174-$BA174)*MAX(0,MIN(BT174/10%-1,1))+($BC174-$BB174)*MAX(0,BT174/10%-2),$AZ174*MIN(-BT174/10%,1)+($AY174-$AZ174)*MAX(0,MIN(-BT174/10%-1,1))+($AX174-$AY174)*MAX(0,-BT174/10%-2)),0),"")</f>
        <v/>
      </c>
      <c r="EF174" s="550" t="n">
        <f aca="false">IF(BD174,xASN(BR174,Strike1,AO174,ED174,0,BO174,0,BI174,BL174,IF(OptControl=4,0,1),0),0)</f>
        <v>0</v>
      </c>
      <c r="EG174" s="551" t="n">
        <f aca="false">IF(BD174,xASN(BR174,Strike2,AO174,EE174,0,BO174,0,BI174,BL174,IF(OptControl=3,1,0),0),0)</f>
        <v>0</v>
      </c>
      <c r="EL174" s="1"/>
      <c r="EM174" s="195"/>
      <c r="EN174" s="240"/>
      <c r="EO174" s="240"/>
      <c r="EP174" s="195"/>
      <c r="EQ174" s="407" t="s">
        <v>402</v>
      </c>
      <c r="ES174" s="130"/>
      <c r="ET174" s="19"/>
      <c r="EU174" s="672"/>
      <c r="EV174" s="478"/>
      <c r="EW174" s="131"/>
      <c r="EX174" s="131"/>
      <c r="EY174" s="129"/>
      <c r="EZ174" s="129"/>
      <c r="FA174" s="129"/>
      <c r="FB174" s="129"/>
      <c r="FC174" s="129"/>
      <c r="FD174" s="129"/>
      <c r="FE174" s="129"/>
      <c r="FF174" s="129"/>
      <c r="FG174" s="129"/>
      <c r="FH174" s="129"/>
      <c r="FI174" s="129"/>
      <c r="FJ174" s="571" t="n">
        <v>5</v>
      </c>
      <c r="FK174" s="150" t="str">
        <f aca="false">IF(OR(FK$169&lt;SwaptionFirstMonthPosition+1,$FJ174&lt;SwaptionFirstMonthPosition+1,FK$169&gt;SwaptionFirstMonthPosition+SwaptionNumOfMonths+1,$FJ174&gt;SwaptionFirstMonthPosition+SwaptionNumOfMonths+1),"",IF($FJ174=FK$169,1,IF($FJ174&lt;FK$169,INDEX($FK$170:$ID$241,FK$169,$FJ174),SUMPRODUCT(INDEX($FK$325:$ID$396,FK$169,1+SwaptionShift):INDEX($FK$325:$ID$396,FK$169,SwaptionMonthsToGo+SwaptionShift),INDEX($FK$245:$ID$316,$FJ174-FK$169,73-FK$169+SwaptionShift):INDEX($FK$245:$ID$316,$FJ174-FK$169,72-FK$169+SwaptionMonthsToGo+SwaptionShift))/SQRT(SUM(INDEX($FK329:$ID329,1+SwaptionShift):INDEX($FK329:$ID329,SwaptionMonthsToGo+SwaptionShift))*SUM(INDEX($FK$325:$ID$396,FK$169,1+SwaptionShift):INDEX($FK$325:$ID$396,FK$169,SwaptionMonthsToGo+SwaptionShift))))))</f>
        <v/>
      </c>
      <c r="FL174" s="150" t="str">
        <f aca="false">IF(OR(FL$169&lt;SwaptionFirstMonthPosition+1,$FJ174&lt;SwaptionFirstMonthPosition+1,FL$169&gt;SwaptionFirstMonthPosition+SwaptionNumOfMonths+1,$FJ174&gt;SwaptionFirstMonthPosition+SwaptionNumOfMonths+1),"",IF($FJ174=FL$169,1,IF($FJ174&lt;FL$169,INDEX($FK$170:$ID$241,FL$169,$FJ174),SUMPRODUCT(INDEX($FK$325:$ID$396,FL$169,1+SwaptionShift):INDEX($FK$325:$ID$396,FL$169,SwaptionMonthsToGo+SwaptionShift),INDEX($FK$245:$ID$316,$FJ174-FL$169,73-FL$169+SwaptionShift):INDEX($FK$245:$ID$316,$FJ174-FL$169,72-FL$169+SwaptionMonthsToGo+SwaptionShift))/SQRT(SUM(INDEX($FK329:$ID329,1+SwaptionShift):INDEX($FK329:$ID329,SwaptionMonthsToGo+SwaptionShift))*SUM(INDEX($FK$325:$ID$396,FL$169,1+SwaptionShift):INDEX($FK$325:$ID$396,FL$169,SwaptionMonthsToGo+SwaptionShift))))))</f>
        <v/>
      </c>
      <c r="FM174" s="150" t="str">
        <f aca="false">IF(OR(FM$169&lt;SwaptionFirstMonthPosition+1,$FJ174&lt;SwaptionFirstMonthPosition+1,FM$169&gt;SwaptionFirstMonthPosition+SwaptionNumOfMonths+1,$FJ174&gt;SwaptionFirstMonthPosition+SwaptionNumOfMonths+1),"",IF($FJ174=FM$169,1,IF($FJ174&lt;FM$169,INDEX($FK$170:$ID$241,FM$169,$FJ174),SUMPRODUCT(INDEX($FK$325:$ID$396,FM$169,1+SwaptionShift):INDEX($FK$325:$ID$396,FM$169,SwaptionMonthsToGo+SwaptionShift),INDEX($FK$245:$ID$316,$FJ174-FM$169,73-FM$169+SwaptionShift):INDEX($FK$245:$ID$316,$FJ174-FM$169,72-FM$169+SwaptionMonthsToGo+SwaptionShift))/SQRT(SUM(INDEX($FK329:$ID329,1+SwaptionShift):INDEX($FK329:$ID329,SwaptionMonthsToGo+SwaptionShift))*SUM(INDEX($FK$325:$ID$396,FM$169,1+SwaptionShift):INDEX($FK$325:$ID$396,FM$169,SwaptionMonthsToGo+SwaptionShift))))))</f>
        <v/>
      </c>
      <c r="FN174" s="150" t="str">
        <f aca="false">IF(OR(FN$169&lt;SwaptionFirstMonthPosition+1,$FJ174&lt;SwaptionFirstMonthPosition+1,FN$169&gt;SwaptionFirstMonthPosition+SwaptionNumOfMonths+1,$FJ174&gt;SwaptionFirstMonthPosition+SwaptionNumOfMonths+1),"",IF($FJ174=FN$169,1,IF($FJ174&lt;FN$169,INDEX($FK$170:$ID$241,FN$169,$FJ174),SUMPRODUCT(INDEX($FK$325:$ID$396,FN$169,1+SwaptionShift):INDEX($FK$325:$ID$396,FN$169,SwaptionMonthsToGo+SwaptionShift),INDEX($FK$245:$ID$316,$FJ174-FN$169,73-FN$169+SwaptionShift):INDEX($FK$245:$ID$316,$FJ174-FN$169,72-FN$169+SwaptionMonthsToGo+SwaptionShift))/SQRT(SUM(INDEX($FK329:$ID329,1+SwaptionShift):INDEX($FK329:$ID329,SwaptionMonthsToGo+SwaptionShift))*SUM(INDEX($FK$325:$ID$396,FN$169,1+SwaptionShift):INDEX($FK$325:$ID$396,FN$169,SwaptionMonthsToGo+SwaptionShift))))))</f>
        <v/>
      </c>
      <c r="FO174" s="150" t="str">
        <f aca="false">IF(OR(FO$169&lt;SwaptionFirstMonthPosition+1,$FJ174&lt;SwaptionFirstMonthPosition+1,FO$169&gt;SwaptionFirstMonthPosition+SwaptionNumOfMonths+1,$FJ174&gt;SwaptionFirstMonthPosition+SwaptionNumOfMonths+1),"",IF($FJ174=FO$169,1,IF($FJ174&lt;FO$169,INDEX($FK$170:$ID$241,FO$169,$FJ174),SUMPRODUCT(INDEX($FK$325:$ID$396,FO$169,1+SwaptionShift):INDEX($FK$325:$ID$396,FO$169,SwaptionMonthsToGo+SwaptionShift),INDEX($FK$245:$ID$316,$FJ174-FO$169,73-FO$169+SwaptionShift):INDEX($FK$245:$ID$316,$FJ174-FO$169,72-FO$169+SwaptionMonthsToGo+SwaptionShift))/SQRT(SUM(INDEX($FK329:$ID329,1+SwaptionShift):INDEX($FK329:$ID329,SwaptionMonthsToGo+SwaptionShift))*SUM(INDEX($FK$325:$ID$396,FO$169,1+SwaptionShift):INDEX($FK$325:$ID$396,FO$169,SwaptionMonthsToGo+SwaptionShift))))))</f>
        <v/>
      </c>
      <c r="FP174" s="150" t="str">
        <f aca="false">IF(OR(FP$169&lt;SwaptionFirstMonthPosition+1,$FJ174&lt;SwaptionFirstMonthPosition+1,FP$169&gt;SwaptionFirstMonthPosition+SwaptionNumOfMonths+1,$FJ174&gt;SwaptionFirstMonthPosition+SwaptionNumOfMonths+1),"",IF($FJ174=FP$169,1,IF($FJ174&lt;FP$169,INDEX($FK$170:$ID$241,FP$169,$FJ174),SUMPRODUCT(INDEX($FK$325:$ID$396,FP$169,1+SwaptionShift):INDEX($FK$325:$ID$396,FP$169,SwaptionMonthsToGo+SwaptionShift),INDEX($FK$245:$ID$316,$FJ174-FP$169,73-FP$169+SwaptionShift):INDEX($FK$245:$ID$316,$FJ174-FP$169,72-FP$169+SwaptionMonthsToGo+SwaptionShift))/SQRT(SUM(INDEX($FK329:$ID329,1+SwaptionShift):INDEX($FK329:$ID329,SwaptionMonthsToGo+SwaptionShift))*SUM(INDEX($FK$325:$ID$396,FP$169,1+SwaptionShift):INDEX($FK$325:$ID$396,FP$169,SwaptionMonthsToGo+SwaptionShift))))))</f>
        <v/>
      </c>
      <c r="FQ174" s="150" t="str">
        <f aca="false">IF(OR(FQ$169&lt;SwaptionFirstMonthPosition+1,$FJ174&lt;SwaptionFirstMonthPosition+1,FQ$169&gt;SwaptionFirstMonthPosition+SwaptionNumOfMonths+1,$FJ174&gt;SwaptionFirstMonthPosition+SwaptionNumOfMonths+1),"",IF($FJ174=FQ$169,1,IF($FJ174&lt;FQ$169,INDEX($FK$170:$ID$241,FQ$169,$FJ174),SUMPRODUCT(INDEX($FK$325:$ID$396,FQ$169,1+SwaptionShift):INDEX($FK$325:$ID$396,FQ$169,SwaptionMonthsToGo+SwaptionShift),INDEX($FK$245:$ID$316,$FJ174-FQ$169,73-FQ$169+SwaptionShift):INDEX($FK$245:$ID$316,$FJ174-FQ$169,72-FQ$169+SwaptionMonthsToGo+SwaptionShift))/SQRT(SUM(INDEX($FK329:$ID329,1+SwaptionShift):INDEX($FK329:$ID329,SwaptionMonthsToGo+SwaptionShift))*SUM(INDEX($FK$325:$ID$396,FQ$169,1+SwaptionShift):INDEX($FK$325:$ID$396,FQ$169,SwaptionMonthsToGo+SwaptionShift))))))</f>
        <v/>
      </c>
      <c r="FR174" s="150" t="str">
        <f aca="false">IF(OR(FR$169&lt;SwaptionFirstMonthPosition+1,$FJ174&lt;SwaptionFirstMonthPosition+1,FR$169&gt;SwaptionFirstMonthPosition+SwaptionNumOfMonths+1,$FJ174&gt;SwaptionFirstMonthPosition+SwaptionNumOfMonths+1),"",IF($FJ174=FR$169,1,IF($FJ174&lt;FR$169,INDEX($FK$170:$ID$241,FR$169,$FJ174),SUMPRODUCT(INDEX($FK$325:$ID$396,FR$169,1+SwaptionShift):INDEX($FK$325:$ID$396,FR$169,SwaptionMonthsToGo+SwaptionShift),INDEX($FK$245:$ID$316,$FJ174-FR$169,73-FR$169+SwaptionShift):INDEX($FK$245:$ID$316,$FJ174-FR$169,72-FR$169+SwaptionMonthsToGo+SwaptionShift))/SQRT(SUM(INDEX($FK329:$ID329,1+SwaptionShift):INDEX($FK329:$ID329,SwaptionMonthsToGo+SwaptionShift))*SUM(INDEX($FK$325:$ID$396,FR$169,1+SwaptionShift):INDEX($FK$325:$ID$396,FR$169,SwaptionMonthsToGo+SwaptionShift))))))</f>
        <v/>
      </c>
      <c r="FS174" s="150" t="str">
        <f aca="false">IF(OR(FS$169&lt;SwaptionFirstMonthPosition+1,$FJ174&lt;SwaptionFirstMonthPosition+1,FS$169&gt;SwaptionFirstMonthPosition+SwaptionNumOfMonths+1,$FJ174&gt;SwaptionFirstMonthPosition+SwaptionNumOfMonths+1),"",IF($FJ174=FS$169,1,IF($FJ174&lt;FS$169,INDEX($FK$170:$ID$241,FS$169,$FJ174),SUMPRODUCT(INDEX($FK$325:$ID$396,FS$169,1+SwaptionShift):INDEX($FK$325:$ID$396,FS$169,SwaptionMonthsToGo+SwaptionShift),INDEX($FK$245:$ID$316,$FJ174-FS$169,73-FS$169+SwaptionShift):INDEX($FK$245:$ID$316,$FJ174-FS$169,72-FS$169+SwaptionMonthsToGo+SwaptionShift))/SQRT(SUM(INDEX($FK329:$ID329,1+SwaptionShift):INDEX($FK329:$ID329,SwaptionMonthsToGo+SwaptionShift))*SUM(INDEX($FK$325:$ID$396,FS$169,1+SwaptionShift):INDEX($FK$325:$ID$396,FS$169,SwaptionMonthsToGo+SwaptionShift))))))</f>
        <v/>
      </c>
      <c r="FT174" s="150" t="str">
        <f aca="false">IF(OR(FT$169&lt;SwaptionFirstMonthPosition+1,$FJ174&lt;SwaptionFirstMonthPosition+1,FT$169&gt;SwaptionFirstMonthPosition+SwaptionNumOfMonths+1,$FJ174&gt;SwaptionFirstMonthPosition+SwaptionNumOfMonths+1),"",IF($FJ174=FT$169,1,IF($FJ174&lt;FT$169,INDEX($FK$170:$ID$241,FT$169,$FJ174),SUMPRODUCT(INDEX($FK$325:$ID$396,FT$169,1+SwaptionShift):INDEX($FK$325:$ID$396,FT$169,SwaptionMonthsToGo+SwaptionShift),INDEX($FK$245:$ID$316,$FJ174-FT$169,73-FT$169+SwaptionShift):INDEX($FK$245:$ID$316,$FJ174-FT$169,72-FT$169+SwaptionMonthsToGo+SwaptionShift))/SQRT(SUM(INDEX($FK329:$ID329,1+SwaptionShift):INDEX($FK329:$ID329,SwaptionMonthsToGo+SwaptionShift))*SUM(INDEX($FK$325:$ID$396,FT$169,1+SwaptionShift):INDEX($FK$325:$ID$396,FT$169,SwaptionMonthsToGo+SwaptionShift))))))</f>
        <v/>
      </c>
      <c r="FU174" s="150" t="str">
        <f aca="false">IF(OR(FU$169&lt;SwaptionFirstMonthPosition+1,$FJ174&lt;SwaptionFirstMonthPosition+1,FU$169&gt;SwaptionFirstMonthPosition+SwaptionNumOfMonths+1,$FJ174&gt;SwaptionFirstMonthPosition+SwaptionNumOfMonths+1),"",IF($FJ174=FU$169,1,IF($FJ174&lt;FU$169,INDEX($FK$170:$ID$241,FU$169,$FJ174),SUMPRODUCT(INDEX($FK$325:$ID$396,FU$169,1+SwaptionShift):INDEX($FK$325:$ID$396,FU$169,SwaptionMonthsToGo+SwaptionShift),INDEX($FK$245:$ID$316,$FJ174-FU$169,73-FU$169+SwaptionShift):INDEX($FK$245:$ID$316,$FJ174-FU$169,72-FU$169+SwaptionMonthsToGo+SwaptionShift))/SQRT(SUM(INDEX($FK329:$ID329,1+SwaptionShift):INDEX($FK329:$ID329,SwaptionMonthsToGo+SwaptionShift))*SUM(INDEX($FK$325:$ID$396,FU$169,1+SwaptionShift):INDEX($FK$325:$ID$396,FU$169,SwaptionMonthsToGo+SwaptionShift))))))</f>
        <v/>
      </c>
      <c r="FV174" s="150" t="str">
        <f aca="false">IF(OR(FV$169&lt;SwaptionFirstMonthPosition+1,$FJ174&lt;SwaptionFirstMonthPosition+1,FV$169&gt;SwaptionFirstMonthPosition+SwaptionNumOfMonths+1,$FJ174&gt;SwaptionFirstMonthPosition+SwaptionNumOfMonths+1),"",IF($FJ174=FV$169,1,IF($FJ174&lt;FV$169,INDEX($FK$170:$ID$241,FV$169,$FJ174),SUMPRODUCT(INDEX($FK$325:$ID$396,FV$169,1+SwaptionShift):INDEX($FK$325:$ID$396,FV$169,SwaptionMonthsToGo+SwaptionShift),INDEX($FK$245:$ID$316,$FJ174-FV$169,73-FV$169+SwaptionShift):INDEX($FK$245:$ID$316,$FJ174-FV$169,72-FV$169+SwaptionMonthsToGo+SwaptionShift))/SQRT(SUM(INDEX($FK329:$ID329,1+SwaptionShift):INDEX($FK329:$ID329,SwaptionMonthsToGo+SwaptionShift))*SUM(INDEX($FK$325:$ID$396,FV$169,1+SwaptionShift):INDEX($FK$325:$ID$396,FV$169,SwaptionMonthsToGo+SwaptionShift))))))</f>
        <v/>
      </c>
      <c r="FW174" s="150" t="str">
        <f aca="false">IF(OR(FW$169&lt;SwaptionFirstMonthPosition+1,$FJ174&lt;SwaptionFirstMonthPosition+1,FW$169&gt;SwaptionFirstMonthPosition+SwaptionNumOfMonths+1,$FJ174&gt;SwaptionFirstMonthPosition+SwaptionNumOfMonths+1),"",IF($FJ174=FW$169,1,IF($FJ174&lt;FW$169,INDEX($FK$170:$ID$241,FW$169,$FJ174),SUMPRODUCT(INDEX($FK$325:$ID$396,FW$169,1+SwaptionShift):INDEX($FK$325:$ID$396,FW$169,SwaptionMonthsToGo+SwaptionShift),INDEX($FK$245:$ID$316,$FJ174-FW$169,73-FW$169+SwaptionShift):INDEX($FK$245:$ID$316,$FJ174-FW$169,72-FW$169+SwaptionMonthsToGo+SwaptionShift))/SQRT(SUM(INDEX($FK329:$ID329,1+SwaptionShift):INDEX($FK329:$ID329,SwaptionMonthsToGo+SwaptionShift))*SUM(INDEX($FK$325:$ID$396,FW$169,1+SwaptionShift):INDEX($FK$325:$ID$396,FW$169,SwaptionMonthsToGo+SwaptionShift))))))</f>
        <v/>
      </c>
      <c r="FX174" s="150" t="str">
        <f aca="false">IF(OR(FX$169&lt;SwaptionFirstMonthPosition+1,$FJ174&lt;SwaptionFirstMonthPosition+1,FX$169&gt;SwaptionFirstMonthPosition+SwaptionNumOfMonths+1,$FJ174&gt;SwaptionFirstMonthPosition+SwaptionNumOfMonths+1),"",IF($FJ174=FX$169,1,IF($FJ174&lt;FX$169,INDEX($FK$170:$ID$241,FX$169,$FJ174),SUMPRODUCT(INDEX($FK$325:$ID$396,FX$169,1+SwaptionShift):INDEX($FK$325:$ID$396,FX$169,SwaptionMonthsToGo+SwaptionShift),INDEX($FK$245:$ID$316,$FJ174-FX$169,73-FX$169+SwaptionShift):INDEX($FK$245:$ID$316,$FJ174-FX$169,72-FX$169+SwaptionMonthsToGo+SwaptionShift))/SQRT(SUM(INDEX($FK329:$ID329,1+SwaptionShift):INDEX($FK329:$ID329,SwaptionMonthsToGo+SwaptionShift))*SUM(INDEX($FK$325:$ID$396,FX$169,1+SwaptionShift):INDEX($FK$325:$ID$396,FX$169,SwaptionMonthsToGo+SwaptionShift))))))</f>
        <v/>
      </c>
      <c r="FY174" s="150" t="str">
        <f aca="false">IF(OR(FY$169&lt;SwaptionFirstMonthPosition+1,$FJ174&lt;SwaptionFirstMonthPosition+1,FY$169&gt;SwaptionFirstMonthPosition+SwaptionNumOfMonths+1,$FJ174&gt;SwaptionFirstMonthPosition+SwaptionNumOfMonths+1),"",IF($FJ174=FY$169,1,IF($FJ174&lt;FY$169,INDEX($FK$170:$ID$241,FY$169,$FJ174),SUMPRODUCT(INDEX($FK$325:$ID$396,FY$169,1+SwaptionShift):INDEX($FK$325:$ID$396,FY$169,SwaptionMonthsToGo+SwaptionShift),INDEX($FK$245:$ID$316,$FJ174-FY$169,73-FY$169+SwaptionShift):INDEX($FK$245:$ID$316,$FJ174-FY$169,72-FY$169+SwaptionMonthsToGo+SwaptionShift))/SQRT(SUM(INDEX($FK329:$ID329,1+SwaptionShift):INDEX($FK329:$ID329,SwaptionMonthsToGo+SwaptionShift))*SUM(INDEX($FK$325:$ID$396,FY$169,1+SwaptionShift):INDEX($FK$325:$ID$396,FY$169,SwaptionMonthsToGo+SwaptionShift))))))</f>
        <v/>
      </c>
      <c r="FZ174" s="150" t="str">
        <f aca="false">IF(OR(FZ$169&lt;SwaptionFirstMonthPosition+1,$FJ174&lt;SwaptionFirstMonthPosition+1,FZ$169&gt;SwaptionFirstMonthPosition+SwaptionNumOfMonths+1,$FJ174&gt;SwaptionFirstMonthPosition+SwaptionNumOfMonths+1),"",IF($FJ174=FZ$169,1,IF($FJ174&lt;FZ$169,INDEX($FK$170:$ID$241,FZ$169,$FJ174),SUMPRODUCT(INDEX($FK$325:$ID$396,FZ$169,1+SwaptionShift):INDEX($FK$325:$ID$396,FZ$169,SwaptionMonthsToGo+SwaptionShift),INDEX($FK$245:$ID$316,$FJ174-FZ$169,73-FZ$169+SwaptionShift):INDEX($FK$245:$ID$316,$FJ174-FZ$169,72-FZ$169+SwaptionMonthsToGo+SwaptionShift))/SQRT(SUM(INDEX($FK329:$ID329,1+SwaptionShift):INDEX($FK329:$ID329,SwaptionMonthsToGo+SwaptionShift))*SUM(INDEX($FK$325:$ID$396,FZ$169,1+SwaptionShift):INDEX($FK$325:$ID$396,FZ$169,SwaptionMonthsToGo+SwaptionShift))))))</f>
        <v/>
      </c>
      <c r="GA174" s="150" t="str">
        <f aca="false">IF(OR(GA$169&lt;SwaptionFirstMonthPosition+1,$FJ174&lt;SwaptionFirstMonthPosition+1,GA$169&gt;SwaptionFirstMonthPosition+SwaptionNumOfMonths+1,$FJ174&gt;SwaptionFirstMonthPosition+SwaptionNumOfMonths+1),"",IF($FJ174=GA$169,1,IF($FJ174&lt;GA$169,INDEX($FK$170:$ID$241,GA$169,$FJ174),SUMPRODUCT(INDEX($FK$325:$ID$396,GA$169,1+SwaptionShift):INDEX($FK$325:$ID$396,GA$169,SwaptionMonthsToGo+SwaptionShift),INDEX($FK$245:$ID$316,$FJ174-GA$169,73-GA$169+SwaptionShift):INDEX($FK$245:$ID$316,$FJ174-GA$169,72-GA$169+SwaptionMonthsToGo+SwaptionShift))/SQRT(SUM(INDEX($FK329:$ID329,1+SwaptionShift):INDEX($FK329:$ID329,SwaptionMonthsToGo+SwaptionShift))*SUM(INDEX($FK$325:$ID$396,GA$169,1+SwaptionShift):INDEX($FK$325:$ID$396,GA$169,SwaptionMonthsToGo+SwaptionShift))))))</f>
        <v/>
      </c>
      <c r="GB174" s="150" t="str">
        <f aca="false">IF(OR(GB$169&lt;SwaptionFirstMonthPosition+1,$FJ174&lt;SwaptionFirstMonthPosition+1,GB$169&gt;SwaptionFirstMonthPosition+SwaptionNumOfMonths+1,$FJ174&gt;SwaptionFirstMonthPosition+SwaptionNumOfMonths+1),"",IF($FJ174=GB$169,1,IF($FJ174&lt;GB$169,INDEX($FK$170:$ID$241,GB$169,$FJ174),SUMPRODUCT(INDEX($FK$325:$ID$396,GB$169,1+SwaptionShift):INDEX($FK$325:$ID$396,GB$169,SwaptionMonthsToGo+SwaptionShift),INDEX($FK$245:$ID$316,$FJ174-GB$169,73-GB$169+SwaptionShift):INDEX($FK$245:$ID$316,$FJ174-GB$169,72-GB$169+SwaptionMonthsToGo+SwaptionShift))/SQRT(SUM(INDEX($FK329:$ID329,1+SwaptionShift):INDEX($FK329:$ID329,SwaptionMonthsToGo+SwaptionShift))*SUM(INDEX($FK$325:$ID$396,GB$169,1+SwaptionShift):INDEX($FK$325:$ID$396,GB$169,SwaptionMonthsToGo+SwaptionShift))))))</f>
        <v/>
      </c>
      <c r="GC174" s="150" t="str">
        <f aca="false">IF(OR(GC$169&lt;SwaptionFirstMonthPosition+1,$FJ174&lt;SwaptionFirstMonthPosition+1,GC$169&gt;SwaptionFirstMonthPosition+SwaptionNumOfMonths+1,$FJ174&gt;SwaptionFirstMonthPosition+SwaptionNumOfMonths+1),"",IF($FJ174=GC$169,1,IF($FJ174&lt;GC$169,INDEX($FK$170:$ID$241,GC$169,$FJ174),SUMPRODUCT(INDEX($FK$325:$ID$396,GC$169,1+SwaptionShift):INDEX($FK$325:$ID$396,GC$169,SwaptionMonthsToGo+SwaptionShift),INDEX($FK$245:$ID$316,$FJ174-GC$169,73-GC$169+SwaptionShift):INDEX($FK$245:$ID$316,$FJ174-GC$169,72-GC$169+SwaptionMonthsToGo+SwaptionShift))/SQRT(SUM(INDEX($FK329:$ID329,1+SwaptionShift):INDEX($FK329:$ID329,SwaptionMonthsToGo+SwaptionShift))*SUM(INDEX($FK$325:$ID$396,GC$169,1+SwaptionShift):INDEX($FK$325:$ID$396,GC$169,SwaptionMonthsToGo+SwaptionShift))))))</f>
        <v/>
      </c>
      <c r="GD174" s="150" t="str">
        <f aca="false">IF(OR(GD$169&lt;SwaptionFirstMonthPosition+1,$FJ174&lt;SwaptionFirstMonthPosition+1,GD$169&gt;SwaptionFirstMonthPosition+SwaptionNumOfMonths+1,$FJ174&gt;SwaptionFirstMonthPosition+SwaptionNumOfMonths+1),"",IF($FJ174=GD$169,1,IF($FJ174&lt;GD$169,INDEX($FK$170:$ID$241,GD$169,$FJ174),SUMPRODUCT(INDEX($FK$325:$ID$396,GD$169,1+SwaptionShift):INDEX($FK$325:$ID$396,GD$169,SwaptionMonthsToGo+SwaptionShift),INDEX($FK$245:$ID$316,$FJ174-GD$169,73-GD$169+SwaptionShift):INDEX($FK$245:$ID$316,$FJ174-GD$169,72-GD$169+SwaptionMonthsToGo+SwaptionShift))/SQRT(SUM(INDEX($FK329:$ID329,1+SwaptionShift):INDEX($FK329:$ID329,SwaptionMonthsToGo+SwaptionShift))*SUM(INDEX($FK$325:$ID$396,GD$169,1+SwaptionShift):INDEX($FK$325:$ID$396,GD$169,SwaptionMonthsToGo+SwaptionShift))))))</f>
        <v/>
      </c>
      <c r="GE174" s="150" t="str">
        <f aca="false">IF(OR(GE$169&lt;SwaptionFirstMonthPosition+1,$FJ174&lt;SwaptionFirstMonthPosition+1,GE$169&gt;SwaptionFirstMonthPosition+SwaptionNumOfMonths+1,$FJ174&gt;SwaptionFirstMonthPosition+SwaptionNumOfMonths+1),"",IF($FJ174=GE$169,1,IF($FJ174&lt;GE$169,INDEX($FK$170:$ID$241,GE$169,$FJ174),SUMPRODUCT(INDEX($FK$325:$ID$396,GE$169,1+SwaptionShift):INDEX($FK$325:$ID$396,GE$169,SwaptionMonthsToGo+SwaptionShift),INDEX($FK$245:$ID$316,$FJ174-GE$169,73-GE$169+SwaptionShift):INDEX($FK$245:$ID$316,$FJ174-GE$169,72-GE$169+SwaptionMonthsToGo+SwaptionShift))/SQRT(SUM(INDEX($FK329:$ID329,1+SwaptionShift):INDEX($FK329:$ID329,SwaptionMonthsToGo+SwaptionShift))*SUM(INDEX($FK$325:$ID$396,GE$169,1+SwaptionShift):INDEX($FK$325:$ID$396,GE$169,SwaptionMonthsToGo+SwaptionShift))))))</f>
        <v/>
      </c>
      <c r="GF174" s="150" t="str">
        <f aca="false">IF(OR(GF$169&lt;SwaptionFirstMonthPosition+1,$FJ174&lt;SwaptionFirstMonthPosition+1,GF$169&gt;SwaptionFirstMonthPosition+SwaptionNumOfMonths+1,$FJ174&gt;SwaptionFirstMonthPosition+SwaptionNumOfMonths+1),"",IF($FJ174=GF$169,1,IF($FJ174&lt;GF$169,INDEX($FK$170:$ID$241,GF$169,$FJ174),SUMPRODUCT(INDEX($FK$325:$ID$396,GF$169,1+SwaptionShift):INDEX($FK$325:$ID$396,GF$169,SwaptionMonthsToGo+SwaptionShift),INDEX($FK$245:$ID$316,$FJ174-GF$169,73-GF$169+SwaptionShift):INDEX($FK$245:$ID$316,$FJ174-GF$169,72-GF$169+SwaptionMonthsToGo+SwaptionShift))/SQRT(SUM(INDEX($FK329:$ID329,1+SwaptionShift):INDEX($FK329:$ID329,SwaptionMonthsToGo+SwaptionShift))*SUM(INDEX($FK$325:$ID$396,GF$169,1+SwaptionShift):INDEX($FK$325:$ID$396,GF$169,SwaptionMonthsToGo+SwaptionShift))))))</f>
        <v/>
      </c>
      <c r="GG174" s="150" t="str">
        <f aca="false">IF(OR(GG$169&lt;SwaptionFirstMonthPosition+1,$FJ174&lt;SwaptionFirstMonthPosition+1,GG$169&gt;SwaptionFirstMonthPosition+SwaptionNumOfMonths+1,$FJ174&gt;SwaptionFirstMonthPosition+SwaptionNumOfMonths+1),"",IF($FJ174=GG$169,1,IF($FJ174&lt;GG$169,INDEX($FK$170:$ID$241,GG$169,$FJ174),SUMPRODUCT(INDEX($FK$325:$ID$396,GG$169,1+SwaptionShift):INDEX($FK$325:$ID$396,GG$169,SwaptionMonthsToGo+SwaptionShift),INDEX($FK$245:$ID$316,$FJ174-GG$169,73-GG$169+SwaptionShift):INDEX($FK$245:$ID$316,$FJ174-GG$169,72-GG$169+SwaptionMonthsToGo+SwaptionShift))/SQRT(SUM(INDEX($FK329:$ID329,1+SwaptionShift):INDEX($FK329:$ID329,SwaptionMonthsToGo+SwaptionShift))*SUM(INDEX($FK$325:$ID$396,GG$169,1+SwaptionShift):INDEX($FK$325:$ID$396,GG$169,SwaptionMonthsToGo+SwaptionShift))))))</f>
        <v/>
      </c>
      <c r="GH174" s="150" t="str">
        <f aca="false">IF(OR(GH$169&lt;SwaptionFirstMonthPosition+1,$FJ174&lt;SwaptionFirstMonthPosition+1,GH$169&gt;SwaptionFirstMonthPosition+SwaptionNumOfMonths+1,$FJ174&gt;SwaptionFirstMonthPosition+SwaptionNumOfMonths+1),"",IF($FJ174=GH$169,1,IF($FJ174&lt;GH$169,INDEX($FK$170:$ID$241,GH$169,$FJ174),SUMPRODUCT(INDEX($FK$325:$ID$396,GH$169,1+SwaptionShift):INDEX($FK$325:$ID$396,GH$169,SwaptionMonthsToGo+SwaptionShift),INDEX($FK$245:$ID$316,$FJ174-GH$169,73-GH$169+SwaptionShift):INDEX($FK$245:$ID$316,$FJ174-GH$169,72-GH$169+SwaptionMonthsToGo+SwaptionShift))/SQRT(SUM(INDEX($FK329:$ID329,1+SwaptionShift):INDEX($FK329:$ID329,SwaptionMonthsToGo+SwaptionShift))*SUM(INDEX($FK$325:$ID$396,GH$169,1+SwaptionShift):INDEX($FK$325:$ID$396,GH$169,SwaptionMonthsToGo+SwaptionShift))))))</f>
        <v/>
      </c>
      <c r="GI174" s="150" t="str">
        <f aca="false">IF(OR(GI$169&lt;SwaptionFirstMonthPosition+1,$FJ174&lt;SwaptionFirstMonthPosition+1,GI$169&gt;SwaptionFirstMonthPosition+SwaptionNumOfMonths+1,$FJ174&gt;SwaptionFirstMonthPosition+SwaptionNumOfMonths+1),"",IF($FJ174=GI$169,1,IF($FJ174&lt;GI$169,INDEX($FK$170:$ID$241,GI$169,$FJ174),SUMPRODUCT(INDEX($FK$325:$ID$396,GI$169,1+SwaptionShift):INDEX($FK$325:$ID$396,GI$169,SwaptionMonthsToGo+SwaptionShift),INDEX($FK$245:$ID$316,$FJ174-GI$169,73-GI$169+SwaptionShift):INDEX($FK$245:$ID$316,$FJ174-GI$169,72-GI$169+SwaptionMonthsToGo+SwaptionShift))/SQRT(SUM(INDEX($FK329:$ID329,1+SwaptionShift):INDEX($FK329:$ID329,SwaptionMonthsToGo+SwaptionShift))*SUM(INDEX($FK$325:$ID$396,GI$169,1+SwaptionShift):INDEX($FK$325:$ID$396,GI$169,SwaptionMonthsToGo+SwaptionShift))))))</f>
        <v/>
      </c>
      <c r="GJ174" s="150" t="str">
        <f aca="false">IF(OR(GJ$169&lt;SwaptionFirstMonthPosition+1,$FJ174&lt;SwaptionFirstMonthPosition+1,GJ$169&gt;SwaptionFirstMonthPosition+SwaptionNumOfMonths+1,$FJ174&gt;SwaptionFirstMonthPosition+SwaptionNumOfMonths+1),"",IF($FJ174=GJ$169,1,IF($FJ174&lt;GJ$169,INDEX($FK$170:$ID$241,GJ$169,$FJ174),SUMPRODUCT(INDEX($FK$325:$ID$396,GJ$169,1+SwaptionShift):INDEX($FK$325:$ID$396,GJ$169,SwaptionMonthsToGo+SwaptionShift),INDEX($FK$245:$ID$316,$FJ174-GJ$169,73-GJ$169+SwaptionShift):INDEX($FK$245:$ID$316,$FJ174-GJ$169,72-GJ$169+SwaptionMonthsToGo+SwaptionShift))/SQRT(SUM(INDEX($FK329:$ID329,1+SwaptionShift):INDEX($FK329:$ID329,SwaptionMonthsToGo+SwaptionShift))*SUM(INDEX($FK$325:$ID$396,GJ$169,1+SwaptionShift):INDEX($FK$325:$ID$396,GJ$169,SwaptionMonthsToGo+SwaptionShift))))))</f>
        <v/>
      </c>
      <c r="GK174" s="150" t="str">
        <f aca="false">IF(OR(GK$169&lt;SwaptionFirstMonthPosition+1,$FJ174&lt;SwaptionFirstMonthPosition+1,GK$169&gt;SwaptionFirstMonthPosition+SwaptionNumOfMonths+1,$FJ174&gt;SwaptionFirstMonthPosition+SwaptionNumOfMonths+1),"",IF($FJ174=GK$169,1,IF($FJ174&lt;GK$169,INDEX($FK$170:$ID$241,GK$169,$FJ174),SUMPRODUCT(INDEX($FK$325:$ID$396,GK$169,1+SwaptionShift):INDEX($FK$325:$ID$396,GK$169,SwaptionMonthsToGo+SwaptionShift),INDEX($FK$245:$ID$316,$FJ174-GK$169,73-GK$169+SwaptionShift):INDEX($FK$245:$ID$316,$FJ174-GK$169,72-GK$169+SwaptionMonthsToGo+SwaptionShift))/SQRT(SUM(INDEX($FK329:$ID329,1+SwaptionShift):INDEX($FK329:$ID329,SwaptionMonthsToGo+SwaptionShift))*SUM(INDEX($FK$325:$ID$396,GK$169,1+SwaptionShift):INDEX($FK$325:$ID$396,GK$169,SwaptionMonthsToGo+SwaptionShift))))))</f>
        <v/>
      </c>
      <c r="GL174" s="150" t="str">
        <f aca="false">IF(OR(GL$169&lt;SwaptionFirstMonthPosition+1,$FJ174&lt;SwaptionFirstMonthPosition+1,GL$169&gt;SwaptionFirstMonthPosition+SwaptionNumOfMonths+1,$FJ174&gt;SwaptionFirstMonthPosition+SwaptionNumOfMonths+1),"",IF($FJ174=GL$169,1,IF($FJ174&lt;GL$169,INDEX($FK$170:$ID$241,GL$169,$FJ174),SUMPRODUCT(INDEX($FK$325:$ID$396,GL$169,1+SwaptionShift):INDEX($FK$325:$ID$396,GL$169,SwaptionMonthsToGo+SwaptionShift),INDEX($FK$245:$ID$316,$FJ174-GL$169,73-GL$169+SwaptionShift):INDEX($FK$245:$ID$316,$FJ174-GL$169,72-GL$169+SwaptionMonthsToGo+SwaptionShift))/SQRT(SUM(INDEX($FK329:$ID329,1+SwaptionShift):INDEX($FK329:$ID329,SwaptionMonthsToGo+SwaptionShift))*SUM(INDEX($FK$325:$ID$396,GL$169,1+SwaptionShift):INDEX($FK$325:$ID$396,GL$169,SwaptionMonthsToGo+SwaptionShift))))))</f>
        <v/>
      </c>
      <c r="GM174" s="150" t="str">
        <f aca="false">IF(OR(GM$169&lt;SwaptionFirstMonthPosition+1,$FJ174&lt;SwaptionFirstMonthPosition+1,GM$169&gt;SwaptionFirstMonthPosition+SwaptionNumOfMonths+1,$FJ174&gt;SwaptionFirstMonthPosition+SwaptionNumOfMonths+1),"",IF($FJ174=GM$169,1,IF($FJ174&lt;GM$169,INDEX($FK$170:$ID$241,GM$169,$FJ174),SUMPRODUCT(INDEX($FK$325:$ID$396,GM$169,1+SwaptionShift):INDEX($FK$325:$ID$396,GM$169,SwaptionMonthsToGo+SwaptionShift),INDEX($FK$245:$ID$316,$FJ174-GM$169,73-GM$169+SwaptionShift):INDEX($FK$245:$ID$316,$FJ174-GM$169,72-GM$169+SwaptionMonthsToGo+SwaptionShift))/SQRT(SUM(INDEX($FK329:$ID329,1+SwaptionShift):INDEX($FK329:$ID329,SwaptionMonthsToGo+SwaptionShift))*SUM(INDEX($FK$325:$ID$396,GM$169,1+SwaptionShift):INDEX($FK$325:$ID$396,GM$169,SwaptionMonthsToGo+SwaptionShift))))))</f>
        <v/>
      </c>
      <c r="GN174" s="150" t="str">
        <f aca="false">IF(OR(GN$169&lt;SwaptionFirstMonthPosition+1,$FJ174&lt;SwaptionFirstMonthPosition+1,GN$169&gt;SwaptionFirstMonthPosition+SwaptionNumOfMonths+1,$FJ174&gt;SwaptionFirstMonthPosition+SwaptionNumOfMonths+1),"",IF($FJ174=GN$169,1,IF($FJ174&lt;GN$169,INDEX($FK$170:$ID$241,GN$169,$FJ174),SUMPRODUCT(INDEX($FK$325:$ID$396,GN$169,1+SwaptionShift):INDEX($FK$325:$ID$396,GN$169,SwaptionMonthsToGo+SwaptionShift),INDEX($FK$245:$ID$316,$FJ174-GN$169,73-GN$169+SwaptionShift):INDEX($FK$245:$ID$316,$FJ174-GN$169,72-GN$169+SwaptionMonthsToGo+SwaptionShift))/SQRT(SUM(INDEX($FK329:$ID329,1+SwaptionShift):INDEX($FK329:$ID329,SwaptionMonthsToGo+SwaptionShift))*SUM(INDEX($FK$325:$ID$396,GN$169,1+SwaptionShift):INDEX($FK$325:$ID$396,GN$169,SwaptionMonthsToGo+SwaptionShift))))))</f>
        <v/>
      </c>
      <c r="GO174" s="150" t="str">
        <f aca="false">IF(OR(GO$169&lt;SwaptionFirstMonthPosition+1,$FJ174&lt;SwaptionFirstMonthPosition+1,GO$169&gt;SwaptionFirstMonthPosition+SwaptionNumOfMonths+1,$FJ174&gt;SwaptionFirstMonthPosition+SwaptionNumOfMonths+1),"",IF($FJ174=GO$169,1,IF($FJ174&lt;GO$169,INDEX($FK$170:$ID$241,GO$169,$FJ174),SUMPRODUCT(INDEX($FK$325:$ID$396,GO$169,1+SwaptionShift):INDEX($FK$325:$ID$396,GO$169,SwaptionMonthsToGo+SwaptionShift),INDEX($FK$245:$ID$316,$FJ174-GO$169,73-GO$169+SwaptionShift):INDEX($FK$245:$ID$316,$FJ174-GO$169,72-GO$169+SwaptionMonthsToGo+SwaptionShift))/SQRT(SUM(INDEX($FK329:$ID329,1+SwaptionShift):INDEX($FK329:$ID329,SwaptionMonthsToGo+SwaptionShift))*SUM(INDEX($FK$325:$ID$396,GO$169,1+SwaptionShift):INDEX($FK$325:$ID$396,GO$169,SwaptionMonthsToGo+SwaptionShift))))))</f>
        <v/>
      </c>
      <c r="GP174" s="150" t="str">
        <f aca="false">IF(OR(GP$169&lt;SwaptionFirstMonthPosition+1,$FJ174&lt;SwaptionFirstMonthPosition+1,GP$169&gt;SwaptionFirstMonthPosition+SwaptionNumOfMonths+1,$FJ174&gt;SwaptionFirstMonthPosition+SwaptionNumOfMonths+1),"",IF($FJ174=GP$169,1,IF($FJ174&lt;GP$169,INDEX($FK$170:$ID$241,GP$169,$FJ174),SUMPRODUCT(INDEX($FK$325:$ID$396,GP$169,1+SwaptionShift):INDEX($FK$325:$ID$396,GP$169,SwaptionMonthsToGo+SwaptionShift),INDEX($FK$245:$ID$316,$FJ174-GP$169,73-GP$169+SwaptionShift):INDEX($FK$245:$ID$316,$FJ174-GP$169,72-GP$169+SwaptionMonthsToGo+SwaptionShift))/SQRT(SUM(INDEX($FK329:$ID329,1+SwaptionShift):INDEX($FK329:$ID329,SwaptionMonthsToGo+SwaptionShift))*SUM(INDEX($FK$325:$ID$396,GP$169,1+SwaptionShift):INDEX($FK$325:$ID$396,GP$169,SwaptionMonthsToGo+SwaptionShift))))))</f>
        <v/>
      </c>
      <c r="GQ174" s="150" t="str">
        <f aca="false">IF(OR(GQ$169&lt;SwaptionFirstMonthPosition+1,$FJ174&lt;SwaptionFirstMonthPosition+1,GQ$169&gt;SwaptionFirstMonthPosition+SwaptionNumOfMonths+1,$FJ174&gt;SwaptionFirstMonthPosition+SwaptionNumOfMonths+1),"",IF($FJ174=GQ$169,1,IF($FJ174&lt;GQ$169,INDEX($FK$170:$ID$241,GQ$169,$FJ174),SUMPRODUCT(INDEX($FK$325:$ID$396,GQ$169,1+SwaptionShift):INDEX($FK$325:$ID$396,GQ$169,SwaptionMonthsToGo+SwaptionShift),INDEX($FK$245:$ID$316,$FJ174-GQ$169,73-GQ$169+SwaptionShift):INDEX($FK$245:$ID$316,$FJ174-GQ$169,72-GQ$169+SwaptionMonthsToGo+SwaptionShift))/SQRT(SUM(INDEX($FK329:$ID329,1+SwaptionShift):INDEX($FK329:$ID329,SwaptionMonthsToGo+SwaptionShift))*SUM(INDEX($FK$325:$ID$396,GQ$169,1+SwaptionShift):INDEX($FK$325:$ID$396,GQ$169,SwaptionMonthsToGo+SwaptionShift))))))</f>
        <v/>
      </c>
      <c r="GR174" s="150" t="str">
        <f aca="false">IF(OR(GR$169&lt;SwaptionFirstMonthPosition+1,$FJ174&lt;SwaptionFirstMonthPosition+1,GR$169&gt;SwaptionFirstMonthPosition+SwaptionNumOfMonths+1,$FJ174&gt;SwaptionFirstMonthPosition+SwaptionNumOfMonths+1),"",IF($FJ174=GR$169,1,IF($FJ174&lt;GR$169,INDEX($FK$170:$ID$241,GR$169,$FJ174),SUMPRODUCT(INDEX($FK$325:$ID$396,GR$169,1+SwaptionShift):INDEX($FK$325:$ID$396,GR$169,SwaptionMonthsToGo+SwaptionShift),INDEX($FK$245:$ID$316,$FJ174-GR$169,73-GR$169+SwaptionShift):INDEX($FK$245:$ID$316,$FJ174-GR$169,72-GR$169+SwaptionMonthsToGo+SwaptionShift))/SQRT(SUM(INDEX($FK329:$ID329,1+SwaptionShift):INDEX($FK329:$ID329,SwaptionMonthsToGo+SwaptionShift))*SUM(INDEX($FK$325:$ID$396,GR$169,1+SwaptionShift):INDEX($FK$325:$ID$396,GR$169,SwaptionMonthsToGo+SwaptionShift))))))</f>
        <v/>
      </c>
      <c r="GS174" s="150" t="str">
        <f aca="false">IF(OR(GS$169&lt;SwaptionFirstMonthPosition+1,$FJ174&lt;SwaptionFirstMonthPosition+1,GS$169&gt;SwaptionFirstMonthPosition+SwaptionNumOfMonths+1,$FJ174&gt;SwaptionFirstMonthPosition+SwaptionNumOfMonths+1),"",IF($FJ174=GS$169,1,IF($FJ174&lt;GS$169,INDEX($FK$170:$ID$241,GS$169,$FJ174),SUMPRODUCT(INDEX($FK$325:$ID$396,GS$169,1+SwaptionShift):INDEX($FK$325:$ID$396,GS$169,SwaptionMonthsToGo+SwaptionShift),INDEX($FK$245:$ID$316,$FJ174-GS$169,73-GS$169+SwaptionShift):INDEX($FK$245:$ID$316,$FJ174-GS$169,72-GS$169+SwaptionMonthsToGo+SwaptionShift))/SQRT(SUM(INDEX($FK329:$ID329,1+SwaptionShift):INDEX($FK329:$ID329,SwaptionMonthsToGo+SwaptionShift))*SUM(INDEX($FK$325:$ID$396,GS$169,1+SwaptionShift):INDEX($FK$325:$ID$396,GS$169,SwaptionMonthsToGo+SwaptionShift))))))</f>
        <v/>
      </c>
      <c r="GT174" s="150" t="str">
        <f aca="false">IF(OR(GT$169&lt;SwaptionFirstMonthPosition+1,$FJ174&lt;SwaptionFirstMonthPosition+1,GT$169&gt;SwaptionFirstMonthPosition+SwaptionNumOfMonths+1,$FJ174&gt;SwaptionFirstMonthPosition+SwaptionNumOfMonths+1),"",IF($FJ174=GT$169,1,IF($FJ174&lt;GT$169,INDEX($FK$170:$ID$241,GT$169,$FJ174),SUMPRODUCT(INDEX($FK$325:$ID$396,GT$169,1+SwaptionShift):INDEX($FK$325:$ID$396,GT$169,SwaptionMonthsToGo+SwaptionShift),INDEX($FK$245:$ID$316,$FJ174-GT$169,73-GT$169+SwaptionShift):INDEX($FK$245:$ID$316,$FJ174-GT$169,72-GT$169+SwaptionMonthsToGo+SwaptionShift))/SQRT(SUM(INDEX($FK329:$ID329,1+SwaptionShift):INDEX($FK329:$ID329,SwaptionMonthsToGo+SwaptionShift))*SUM(INDEX($FK$325:$ID$396,GT$169,1+SwaptionShift):INDEX($FK$325:$ID$396,GT$169,SwaptionMonthsToGo+SwaptionShift))))))</f>
        <v/>
      </c>
      <c r="GU174" s="150" t="str">
        <f aca="false">IF(OR(GU$169&lt;SwaptionFirstMonthPosition+1,$FJ174&lt;SwaptionFirstMonthPosition+1,GU$169&gt;SwaptionFirstMonthPosition+SwaptionNumOfMonths+1,$FJ174&gt;SwaptionFirstMonthPosition+SwaptionNumOfMonths+1),"",IF($FJ174=GU$169,1,IF($FJ174&lt;GU$169,INDEX($FK$170:$ID$241,GU$169,$FJ174),SUMPRODUCT(INDEX($FK$325:$ID$396,GU$169,1+SwaptionShift):INDEX($FK$325:$ID$396,GU$169,SwaptionMonthsToGo+SwaptionShift),INDEX($FK$245:$ID$316,$FJ174-GU$169,73-GU$169+SwaptionShift):INDEX($FK$245:$ID$316,$FJ174-GU$169,72-GU$169+SwaptionMonthsToGo+SwaptionShift))/SQRT(SUM(INDEX($FK329:$ID329,1+SwaptionShift):INDEX($FK329:$ID329,SwaptionMonthsToGo+SwaptionShift))*SUM(INDEX($FK$325:$ID$396,GU$169,1+SwaptionShift):INDEX($FK$325:$ID$396,GU$169,SwaptionMonthsToGo+SwaptionShift))))))</f>
        <v/>
      </c>
      <c r="GV174" s="150" t="str">
        <f aca="false">IF(OR(GV$169&lt;SwaptionFirstMonthPosition+1,$FJ174&lt;SwaptionFirstMonthPosition+1,GV$169&gt;SwaptionFirstMonthPosition+SwaptionNumOfMonths+1,$FJ174&gt;SwaptionFirstMonthPosition+SwaptionNumOfMonths+1),"",IF($FJ174=GV$169,1,IF($FJ174&lt;GV$169,INDEX($FK$170:$ID$241,GV$169,$FJ174),SUMPRODUCT(INDEX($FK$325:$ID$396,GV$169,1+SwaptionShift):INDEX($FK$325:$ID$396,GV$169,SwaptionMonthsToGo+SwaptionShift),INDEX($FK$245:$ID$316,$FJ174-GV$169,73-GV$169+SwaptionShift):INDEX($FK$245:$ID$316,$FJ174-GV$169,72-GV$169+SwaptionMonthsToGo+SwaptionShift))/SQRT(SUM(INDEX($FK329:$ID329,1+SwaptionShift):INDEX($FK329:$ID329,SwaptionMonthsToGo+SwaptionShift))*SUM(INDEX($FK$325:$ID$396,GV$169,1+SwaptionShift):INDEX($FK$325:$ID$396,GV$169,SwaptionMonthsToGo+SwaptionShift))))))</f>
        <v/>
      </c>
      <c r="GW174" s="150" t="str">
        <f aca="false">IF(OR(GW$169&lt;SwaptionFirstMonthPosition+1,$FJ174&lt;SwaptionFirstMonthPosition+1,GW$169&gt;SwaptionFirstMonthPosition+SwaptionNumOfMonths+1,$FJ174&gt;SwaptionFirstMonthPosition+SwaptionNumOfMonths+1),"",IF($FJ174=GW$169,1,IF($FJ174&lt;GW$169,INDEX($FK$170:$ID$241,GW$169,$FJ174),SUMPRODUCT(INDEX($FK$325:$ID$396,GW$169,1+SwaptionShift):INDEX($FK$325:$ID$396,GW$169,SwaptionMonthsToGo+SwaptionShift),INDEX($FK$245:$ID$316,$FJ174-GW$169,73-GW$169+SwaptionShift):INDEX($FK$245:$ID$316,$FJ174-GW$169,72-GW$169+SwaptionMonthsToGo+SwaptionShift))/SQRT(SUM(INDEX($FK329:$ID329,1+SwaptionShift):INDEX($FK329:$ID329,SwaptionMonthsToGo+SwaptionShift))*SUM(INDEX($FK$325:$ID$396,GW$169,1+SwaptionShift):INDEX($FK$325:$ID$396,GW$169,SwaptionMonthsToGo+SwaptionShift))))))</f>
        <v/>
      </c>
      <c r="GX174" s="150" t="str">
        <f aca="false">IF(OR(GX$169&lt;SwaptionFirstMonthPosition+1,$FJ174&lt;SwaptionFirstMonthPosition+1,GX$169&gt;SwaptionFirstMonthPosition+SwaptionNumOfMonths+1,$FJ174&gt;SwaptionFirstMonthPosition+SwaptionNumOfMonths+1),"",IF($FJ174=GX$169,1,IF($FJ174&lt;GX$169,INDEX($FK$170:$ID$241,GX$169,$FJ174),SUMPRODUCT(INDEX($FK$325:$ID$396,GX$169,1+SwaptionShift):INDEX($FK$325:$ID$396,GX$169,SwaptionMonthsToGo+SwaptionShift),INDEX($FK$245:$ID$316,$FJ174-GX$169,73-GX$169+SwaptionShift):INDEX($FK$245:$ID$316,$FJ174-GX$169,72-GX$169+SwaptionMonthsToGo+SwaptionShift))/SQRT(SUM(INDEX($FK329:$ID329,1+SwaptionShift):INDEX($FK329:$ID329,SwaptionMonthsToGo+SwaptionShift))*SUM(INDEX($FK$325:$ID$396,GX$169,1+SwaptionShift):INDEX($FK$325:$ID$396,GX$169,SwaptionMonthsToGo+SwaptionShift))))))</f>
        <v/>
      </c>
      <c r="GY174" s="150" t="str">
        <f aca="false">IF(OR(GY$169&lt;SwaptionFirstMonthPosition+1,$FJ174&lt;SwaptionFirstMonthPosition+1,GY$169&gt;SwaptionFirstMonthPosition+SwaptionNumOfMonths+1,$FJ174&gt;SwaptionFirstMonthPosition+SwaptionNumOfMonths+1),"",IF($FJ174=GY$169,1,IF($FJ174&lt;GY$169,INDEX($FK$170:$ID$241,GY$169,$FJ174),SUMPRODUCT(INDEX($FK$325:$ID$396,GY$169,1+SwaptionShift):INDEX($FK$325:$ID$396,GY$169,SwaptionMonthsToGo+SwaptionShift),INDEX($FK$245:$ID$316,$FJ174-GY$169,73-GY$169+SwaptionShift):INDEX($FK$245:$ID$316,$FJ174-GY$169,72-GY$169+SwaptionMonthsToGo+SwaptionShift))/SQRT(SUM(INDEX($FK329:$ID329,1+SwaptionShift):INDEX($FK329:$ID329,SwaptionMonthsToGo+SwaptionShift))*SUM(INDEX($FK$325:$ID$396,GY$169,1+SwaptionShift):INDEX($FK$325:$ID$396,GY$169,SwaptionMonthsToGo+SwaptionShift))))))</f>
        <v/>
      </c>
      <c r="GZ174" s="150" t="str">
        <f aca="false">IF(OR(GZ$169&lt;SwaptionFirstMonthPosition+1,$FJ174&lt;SwaptionFirstMonthPosition+1,GZ$169&gt;SwaptionFirstMonthPosition+SwaptionNumOfMonths+1,$FJ174&gt;SwaptionFirstMonthPosition+SwaptionNumOfMonths+1),"",IF($FJ174=GZ$169,1,IF($FJ174&lt;GZ$169,INDEX($FK$170:$ID$241,GZ$169,$FJ174),SUMPRODUCT(INDEX($FK$325:$ID$396,GZ$169,1+SwaptionShift):INDEX($FK$325:$ID$396,GZ$169,SwaptionMonthsToGo+SwaptionShift),INDEX($FK$245:$ID$316,$FJ174-GZ$169,73-GZ$169+SwaptionShift):INDEX($FK$245:$ID$316,$FJ174-GZ$169,72-GZ$169+SwaptionMonthsToGo+SwaptionShift))/SQRT(SUM(INDEX($FK329:$ID329,1+SwaptionShift):INDEX($FK329:$ID329,SwaptionMonthsToGo+SwaptionShift))*SUM(INDEX($FK$325:$ID$396,GZ$169,1+SwaptionShift):INDEX($FK$325:$ID$396,GZ$169,SwaptionMonthsToGo+SwaptionShift))))))</f>
        <v/>
      </c>
      <c r="HA174" s="150" t="str">
        <f aca="false">IF(OR(HA$169&lt;SwaptionFirstMonthPosition+1,$FJ174&lt;SwaptionFirstMonthPosition+1,HA$169&gt;SwaptionFirstMonthPosition+SwaptionNumOfMonths+1,$FJ174&gt;SwaptionFirstMonthPosition+SwaptionNumOfMonths+1),"",IF($FJ174=HA$169,1,IF($FJ174&lt;HA$169,INDEX($FK$170:$ID$241,HA$169,$FJ174),SUMPRODUCT(INDEX($FK$325:$ID$396,HA$169,1+SwaptionShift):INDEX($FK$325:$ID$396,HA$169,SwaptionMonthsToGo+SwaptionShift),INDEX($FK$245:$ID$316,$FJ174-HA$169,73-HA$169+SwaptionShift):INDEX($FK$245:$ID$316,$FJ174-HA$169,72-HA$169+SwaptionMonthsToGo+SwaptionShift))/SQRT(SUM(INDEX($FK329:$ID329,1+SwaptionShift):INDEX($FK329:$ID329,SwaptionMonthsToGo+SwaptionShift))*SUM(INDEX($FK$325:$ID$396,HA$169,1+SwaptionShift):INDEX($FK$325:$ID$396,HA$169,SwaptionMonthsToGo+SwaptionShift))))))</f>
        <v/>
      </c>
      <c r="HB174" s="150" t="str">
        <f aca="false">IF(OR(HB$169&lt;SwaptionFirstMonthPosition+1,$FJ174&lt;SwaptionFirstMonthPosition+1,HB$169&gt;SwaptionFirstMonthPosition+SwaptionNumOfMonths+1,$FJ174&gt;SwaptionFirstMonthPosition+SwaptionNumOfMonths+1),"",IF($FJ174=HB$169,1,IF($FJ174&lt;HB$169,INDEX($FK$170:$ID$241,HB$169,$FJ174),SUMPRODUCT(INDEX($FK$325:$ID$396,HB$169,1+SwaptionShift):INDEX($FK$325:$ID$396,HB$169,SwaptionMonthsToGo+SwaptionShift),INDEX($FK$245:$ID$316,$FJ174-HB$169,73-HB$169+SwaptionShift):INDEX($FK$245:$ID$316,$FJ174-HB$169,72-HB$169+SwaptionMonthsToGo+SwaptionShift))/SQRT(SUM(INDEX($FK329:$ID329,1+SwaptionShift):INDEX($FK329:$ID329,SwaptionMonthsToGo+SwaptionShift))*SUM(INDEX($FK$325:$ID$396,HB$169,1+SwaptionShift):INDEX($FK$325:$ID$396,HB$169,SwaptionMonthsToGo+SwaptionShift))))))</f>
        <v/>
      </c>
      <c r="HC174" s="150" t="str">
        <f aca="false">IF(OR(HC$169&lt;SwaptionFirstMonthPosition+1,$FJ174&lt;SwaptionFirstMonthPosition+1,HC$169&gt;SwaptionFirstMonthPosition+SwaptionNumOfMonths+1,$FJ174&gt;SwaptionFirstMonthPosition+SwaptionNumOfMonths+1),"",IF($FJ174=HC$169,1,IF($FJ174&lt;HC$169,INDEX($FK$170:$ID$241,HC$169,$FJ174),SUMPRODUCT(INDEX($FK$325:$ID$396,HC$169,1+SwaptionShift):INDEX($FK$325:$ID$396,HC$169,SwaptionMonthsToGo+SwaptionShift),INDEX($FK$245:$ID$316,$FJ174-HC$169,73-HC$169+SwaptionShift):INDEX($FK$245:$ID$316,$FJ174-HC$169,72-HC$169+SwaptionMonthsToGo+SwaptionShift))/SQRT(SUM(INDEX($FK329:$ID329,1+SwaptionShift):INDEX($FK329:$ID329,SwaptionMonthsToGo+SwaptionShift))*SUM(INDEX($FK$325:$ID$396,HC$169,1+SwaptionShift):INDEX($FK$325:$ID$396,HC$169,SwaptionMonthsToGo+SwaptionShift))))))</f>
        <v/>
      </c>
      <c r="HD174" s="150" t="str">
        <f aca="false">IF(OR(HD$169&lt;SwaptionFirstMonthPosition+1,$FJ174&lt;SwaptionFirstMonthPosition+1,HD$169&gt;SwaptionFirstMonthPosition+SwaptionNumOfMonths+1,$FJ174&gt;SwaptionFirstMonthPosition+SwaptionNumOfMonths+1),"",IF($FJ174=HD$169,1,IF($FJ174&lt;HD$169,INDEX($FK$170:$ID$241,HD$169,$FJ174),SUMPRODUCT(INDEX($FK$325:$ID$396,HD$169,1+SwaptionShift):INDEX($FK$325:$ID$396,HD$169,SwaptionMonthsToGo+SwaptionShift),INDEX($FK$245:$ID$316,$FJ174-HD$169,73-HD$169+SwaptionShift):INDEX($FK$245:$ID$316,$FJ174-HD$169,72-HD$169+SwaptionMonthsToGo+SwaptionShift))/SQRT(SUM(INDEX($FK329:$ID329,1+SwaptionShift):INDEX($FK329:$ID329,SwaptionMonthsToGo+SwaptionShift))*SUM(INDEX($FK$325:$ID$396,HD$169,1+SwaptionShift):INDEX($FK$325:$ID$396,HD$169,SwaptionMonthsToGo+SwaptionShift))))))</f>
        <v/>
      </c>
      <c r="HE174" s="150" t="str">
        <f aca="false">IF(OR(HE$169&lt;SwaptionFirstMonthPosition+1,$FJ174&lt;SwaptionFirstMonthPosition+1,HE$169&gt;SwaptionFirstMonthPosition+SwaptionNumOfMonths+1,$FJ174&gt;SwaptionFirstMonthPosition+SwaptionNumOfMonths+1),"",IF($FJ174=HE$169,1,IF($FJ174&lt;HE$169,INDEX($FK$170:$ID$241,HE$169,$FJ174),SUMPRODUCT(INDEX($FK$325:$ID$396,HE$169,1+SwaptionShift):INDEX($FK$325:$ID$396,HE$169,SwaptionMonthsToGo+SwaptionShift),INDEX($FK$245:$ID$316,$FJ174-HE$169,73-HE$169+SwaptionShift):INDEX($FK$245:$ID$316,$FJ174-HE$169,72-HE$169+SwaptionMonthsToGo+SwaptionShift))/SQRT(SUM(INDEX($FK329:$ID329,1+SwaptionShift):INDEX($FK329:$ID329,SwaptionMonthsToGo+SwaptionShift))*SUM(INDEX($FK$325:$ID$396,HE$169,1+SwaptionShift):INDEX($FK$325:$ID$396,HE$169,SwaptionMonthsToGo+SwaptionShift))))))</f>
        <v/>
      </c>
      <c r="HF174" s="150" t="str">
        <f aca="false">IF(OR(HF$169&lt;SwaptionFirstMonthPosition+1,$FJ174&lt;SwaptionFirstMonthPosition+1,HF$169&gt;SwaptionFirstMonthPosition+SwaptionNumOfMonths+1,$FJ174&gt;SwaptionFirstMonthPosition+SwaptionNumOfMonths+1),"",IF($FJ174=HF$169,1,IF($FJ174&lt;HF$169,INDEX($FK$170:$ID$241,HF$169,$FJ174),SUMPRODUCT(INDEX($FK$325:$ID$396,HF$169,1+SwaptionShift):INDEX($FK$325:$ID$396,HF$169,SwaptionMonthsToGo+SwaptionShift),INDEX($FK$245:$ID$316,$FJ174-HF$169,73-HF$169+SwaptionShift):INDEX($FK$245:$ID$316,$FJ174-HF$169,72-HF$169+SwaptionMonthsToGo+SwaptionShift))/SQRT(SUM(INDEX($FK329:$ID329,1+SwaptionShift):INDEX($FK329:$ID329,SwaptionMonthsToGo+SwaptionShift))*SUM(INDEX($FK$325:$ID$396,HF$169,1+SwaptionShift):INDEX($FK$325:$ID$396,HF$169,SwaptionMonthsToGo+SwaptionShift))))))</f>
        <v/>
      </c>
      <c r="HG174" s="150" t="str">
        <f aca="false">IF(OR(HG$169&lt;SwaptionFirstMonthPosition+1,$FJ174&lt;SwaptionFirstMonthPosition+1,HG$169&gt;SwaptionFirstMonthPosition+SwaptionNumOfMonths+1,$FJ174&gt;SwaptionFirstMonthPosition+SwaptionNumOfMonths+1),"",IF($FJ174=HG$169,1,IF($FJ174&lt;HG$169,INDEX($FK$170:$ID$241,HG$169,$FJ174),SUMPRODUCT(INDEX($FK$325:$ID$396,HG$169,1+SwaptionShift):INDEX($FK$325:$ID$396,HG$169,SwaptionMonthsToGo+SwaptionShift),INDEX($FK$245:$ID$316,$FJ174-HG$169,73-HG$169+SwaptionShift):INDEX($FK$245:$ID$316,$FJ174-HG$169,72-HG$169+SwaptionMonthsToGo+SwaptionShift))/SQRT(SUM(INDEX($FK329:$ID329,1+SwaptionShift):INDEX($FK329:$ID329,SwaptionMonthsToGo+SwaptionShift))*SUM(INDEX($FK$325:$ID$396,HG$169,1+SwaptionShift):INDEX($FK$325:$ID$396,HG$169,SwaptionMonthsToGo+SwaptionShift))))))</f>
        <v/>
      </c>
      <c r="HH174" s="150" t="str">
        <f aca="false">IF(OR(HH$169&lt;SwaptionFirstMonthPosition+1,$FJ174&lt;SwaptionFirstMonthPosition+1,HH$169&gt;SwaptionFirstMonthPosition+SwaptionNumOfMonths+1,$FJ174&gt;SwaptionFirstMonthPosition+SwaptionNumOfMonths+1),"",IF($FJ174=HH$169,1,IF($FJ174&lt;HH$169,INDEX($FK$170:$ID$241,HH$169,$FJ174),SUMPRODUCT(INDEX($FK$325:$ID$396,HH$169,1+SwaptionShift):INDEX($FK$325:$ID$396,HH$169,SwaptionMonthsToGo+SwaptionShift),INDEX($FK$245:$ID$316,$FJ174-HH$169,73-HH$169+SwaptionShift):INDEX($FK$245:$ID$316,$FJ174-HH$169,72-HH$169+SwaptionMonthsToGo+SwaptionShift))/SQRT(SUM(INDEX($FK329:$ID329,1+SwaptionShift):INDEX($FK329:$ID329,SwaptionMonthsToGo+SwaptionShift))*SUM(INDEX($FK$325:$ID$396,HH$169,1+SwaptionShift):INDEX($FK$325:$ID$396,HH$169,SwaptionMonthsToGo+SwaptionShift))))))</f>
        <v/>
      </c>
      <c r="HI174" s="150" t="str">
        <f aca="false">IF(OR(HI$169&lt;SwaptionFirstMonthPosition+1,$FJ174&lt;SwaptionFirstMonthPosition+1,HI$169&gt;SwaptionFirstMonthPosition+SwaptionNumOfMonths+1,$FJ174&gt;SwaptionFirstMonthPosition+SwaptionNumOfMonths+1),"",IF($FJ174=HI$169,1,IF($FJ174&lt;HI$169,INDEX($FK$170:$ID$241,HI$169,$FJ174),SUMPRODUCT(INDEX($FK$325:$ID$396,HI$169,1+SwaptionShift):INDEX($FK$325:$ID$396,HI$169,SwaptionMonthsToGo+SwaptionShift),INDEX($FK$245:$ID$316,$FJ174-HI$169,73-HI$169+SwaptionShift):INDEX($FK$245:$ID$316,$FJ174-HI$169,72-HI$169+SwaptionMonthsToGo+SwaptionShift))/SQRT(SUM(INDEX($FK329:$ID329,1+SwaptionShift):INDEX($FK329:$ID329,SwaptionMonthsToGo+SwaptionShift))*SUM(INDEX($FK$325:$ID$396,HI$169,1+SwaptionShift):INDEX($FK$325:$ID$396,HI$169,SwaptionMonthsToGo+SwaptionShift))))))</f>
        <v/>
      </c>
      <c r="HJ174" s="150" t="str">
        <f aca="false">IF(OR(HJ$169&lt;SwaptionFirstMonthPosition+1,$FJ174&lt;SwaptionFirstMonthPosition+1,HJ$169&gt;SwaptionFirstMonthPosition+SwaptionNumOfMonths+1,$FJ174&gt;SwaptionFirstMonthPosition+SwaptionNumOfMonths+1),"",IF($FJ174=HJ$169,1,IF($FJ174&lt;HJ$169,INDEX($FK$170:$ID$241,HJ$169,$FJ174),SUMPRODUCT(INDEX($FK$325:$ID$396,HJ$169,1+SwaptionShift):INDEX($FK$325:$ID$396,HJ$169,SwaptionMonthsToGo+SwaptionShift),INDEX($FK$245:$ID$316,$FJ174-HJ$169,73-HJ$169+SwaptionShift):INDEX($FK$245:$ID$316,$FJ174-HJ$169,72-HJ$169+SwaptionMonthsToGo+SwaptionShift))/SQRT(SUM(INDEX($FK329:$ID329,1+SwaptionShift):INDEX($FK329:$ID329,SwaptionMonthsToGo+SwaptionShift))*SUM(INDEX($FK$325:$ID$396,HJ$169,1+SwaptionShift):INDEX($FK$325:$ID$396,HJ$169,SwaptionMonthsToGo+SwaptionShift))))))</f>
        <v/>
      </c>
      <c r="HK174" s="150" t="str">
        <f aca="false">IF(OR(HK$169&lt;SwaptionFirstMonthPosition+1,$FJ174&lt;SwaptionFirstMonthPosition+1,HK$169&gt;SwaptionFirstMonthPosition+SwaptionNumOfMonths+1,$FJ174&gt;SwaptionFirstMonthPosition+SwaptionNumOfMonths+1),"",IF($FJ174=HK$169,1,IF($FJ174&lt;HK$169,INDEX($FK$170:$ID$241,HK$169,$FJ174),SUMPRODUCT(INDEX($FK$325:$ID$396,HK$169,1+SwaptionShift):INDEX($FK$325:$ID$396,HK$169,SwaptionMonthsToGo+SwaptionShift),INDEX($FK$245:$ID$316,$FJ174-HK$169,73-HK$169+SwaptionShift):INDEX($FK$245:$ID$316,$FJ174-HK$169,72-HK$169+SwaptionMonthsToGo+SwaptionShift))/SQRT(SUM(INDEX($FK329:$ID329,1+SwaptionShift):INDEX($FK329:$ID329,SwaptionMonthsToGo+SwaptionShift))*SUM(INDEX($FK$325:$ID$396,HK$169,1+SwaptionShift):INDEX($FK$325:$ID$396,HK$169,SwaptionMonthsToGo+SwaptionShift))))))</f>
        <v/>
      </c>
      <c r="HL174" s="150" t="str">
        <f aca="false">IF(OR(HL$169&lt;SwaptionFirstMonthPosition+1,$FJ174&lt;SwaptionFirstMonthPosition+1,HL$169&gt;SwaptionFirstMonthPosition+SwaptionNumOfMonths+1,$FJ174&gt;SwaptionFirstMonthPosition+SwaptionNumOfMonths+1),"",IF($FJ174=HL$169,1,IF($FJ174&lt;HL$169,INDEX($FK$170:$ID$241,HL$169,$FJ174),SUMPRODUCT(INDEX($FK$325:$ID$396,HL$169,1+SwaptionShift):INDEX($FK$325:$ID$396,HL$169,SwaptionMonthsToGo+SwaptionShift),INDEX($FK$245:$ID$316,$FJ174-HL$169,73-HL$169+SwaptionShift):INDEX($FK$245:$ID$316,$FJ174-HL$169,72-HL$169+SwaptionMonthsToGo+SwaptionShift))/SQRT(SUM(INDEX($FK329:$ID329,1+SwaptionShift):INDEX($FK329:$ID329,SwaptionMonthsToGo+SwaptionShift))*SUM(INDEX($FK$325:$ID$396,HL$169,1+SwaptionShift):INDEX($FK$325:$ID$396,HL$169,SwaptionMonthsToGo+SwaptionShift))))))</f>
        <v/>
      </c>
      <c r="HM174" s="150" t="str">
        <f aca="false">IF(OR(HM$169&lt;SwaptionFirstMonthPosition+1,$FJ174&lt;SwaptionFirstMonthPosition+1,HM$169&gt;SwaptionFirstMonthPosition+SwaptionNumOfMonths+1,$FJ174&gt;SwaptionFirstMonthPosition+SwaptionNumOfMonths+1),"",IF($FJ174=HM$169,1,IF($FJ174&lt;HM$169,INDEX($FK$170:$ID$241,HM$169,$FJ174),SUMPRODUCT(INDEX($FK$325:$ID$396,HM$169,1+SwaptionShift):INDEX($FK$325:$ID$396,HM$169,SwaptionMonthsToGo+SwaptionShift),INDEX($FK$245:$ID$316,$FJ174-HM$169,73-HM$169+SwaptionShift):INDEX($FK$245:$ID$316,$FJ174-HM$169,72-HM$169+SwaptionMonthsToGo+SwaptionShift))/SQRT(SUM(INDEX($FK329:$ID329,1+SwaptionShift):INDEX($FK329:$ID329,SwaptionMonthsToGo+SwaptionShift))*SUM(INDEX($FK$325:$ID$396,HM$169,1+SwaptionShift):INDEX($FK$325:$ID$396,HM$169,SwaptionMonthsToGo+SwaptionShift))))))</f>
        <v/>
      </c>
      <c r="HN174" s="150" t="str">
        <f aca="false">IF(OR(HN$169&lt;SwaptionFirstMonthPosition+1,$FJ174&lt;SwaptionFirstMonthPosition+1,HN$169&gt;SwaptionFirstMonthPosition+SwaptionNumOfMonths+1,$FJ174&gt;SwaptionFirstMonthPosition+SwaptionNumOfMonths+1),"",IF($FJ174=HN$169,1,IF($FJ174&lt;HN$169,INDEX($FK$170:$ID$241,HN$169,$FJ174),SUMPRODUCT(INDEX($FK$325:$ID$396,HN$169,1+SwaptionShift):INDEX($FK$325:$ID$396,HN$169,SwaptionMonthsToGo+SwaptionShift),INDEX($FK$245:$ID$316,$FJ174-HN$169,73-HN$169+SwaptionShift):INDEX($FK$245:$ID$316,$FJ174-HN$169,72-HN$169+SwaptionMonthsToGo+SwaptionShift))/SQRT(SUM(INDEX($FK329:$ID329,1+SwaptionShift):INDEX($FK329:$ID329,SwaptionMonthsToGo+SwaptionShift))*SUM(INDEX($FK$325:$ID$396,HN$169,1+SwaptionShift):INDEX($FK$325:$ID$396,HN$169,SwaptionMonthsToGo+SwaptionShift))))))</f>
        <v/>
      </c>
      <c r="HO174" s="150" t="str">
        <f aca="false">IF(OR(HO$169&lt;SwaptionFirstMonthPosition+1,$FJ174&lt;SwaptionFirstMonthPosition+1,HO$169&gt;SwaptionFirstMonthPosition+SwaptionNumOfMonths+1,$FJ174&gt;SwaptionFirstMonthPosition+SwaptionNumOfMonths+1),"",IF($FJ174=HO$169,1,IF($FJ174&lt;HO$169,INDEX($FK$170:$ID$241,HO$169,$FJ174),SUMPRODUCT(INDEX($FK$325:$ID$396,HO$169,1+SwaptionShift):INDEX($FK$325:$ID$396,HO$169,SwaptionMonthsToGo+SwaptionShift),INDEX($FK$245:$ID$316,$FJ174-HO$169,73-HO$169+SwaptionShift):INDEX($FK$245:$ID$316,$FJ174-HO$169,72-HO$169+SwaptionMonthsToGo+SwaptionShift))/SQRT(SUM(INDEX($FK329:$ID329,1+SwaptionShift):INDEX($FK329:$ID329,SwaptionMonthsToGo+SwaptionShift))*SUM(INDEX($FK$325:$ID$396,HO$169,1+SwaptionShift):INDEX($FK$325:$ID$396,HO$169,SwaptionMonthsToGo+SwaptionShift))))))</f>
        <v/>
      </c>
      <c r="HP174" s="150" t="str">
        <f aca="false">IF(OR(HP$169&lt;SwaptionFirstMonthPosition+1,$FJ174&lt;SwaptionFirstMonthPosition+1,HP$169&gt;SwaptionFirstMonthPosition+SwaptionNumOfMonths+1,$FJ174&gt;SwaptionFirstMonthPosition+SwaptionNumOfMonths+1),"",IF($FJ174=HP$169,1,IF($FJ174&lt;HP$169,INDEX($FK$170:$ID$241,HP$169,$FJ174),SUMPRODUCT(INDEX($FK$325:$ID$396,HP$169,1+SwaptionShift):INDEX($FK$325:$ID$396,HP$169,SwaptionMonthsToGo+SwaptionShift),INDEX($FK$245:$ID$316,$FJ174-HP$169,73-HP$169+SwaptionShift):INDEX($FK$245:$ID$316,$FJ174-HP$169,72-HP$169+SwaptionMonthsToGo+SwaptionShift))/SQRT(SUM(INDEX($FK329:$ID329,1+SwaptionShift):INDEX($FK329:$ID329,SwaptionMonthsToGo+SwaptionShift))*SUM(INDEX($FK$325:$ID$396,HP$169,1+SwaptionShift):INDEX($FK$325:$ID$396,HP$169,SwaptionMonthsToGo+SwaptionShift))))))</f>
        <v/>
      </c>
      <c r="HQ174" s="150" t="str">
        <f aca="false">IF(OR(HQ$169&lt;SwaptionFirstMonthPosition+1,$FJ174&lt;SwaptionFirstMonthPosition+1,HQ$169&gt;SwaptionFirstMonthPosition+SwaptionNumOfMonths+1,$FJ174&gt;SwaptionFirstMonthPosition+SwaptionNumOfMonths+1),"",IF($FJ174=HQ$169,1,IF($FJ174&lt;HQ$169,INDEX($FK$170:$ID$241,HQ$169,$FJ174),SUMPRODUCT(INDEX($FK$325:$ID$396,HQ$169,1+SwaptionShift):INDEX($FK$325:$ID$396,HQ$169,SwaptionMonthsToGo+SwaptionShift),INDEX($FK$245:$ID$316,$FJ174-HQ$169,73-HQ$169+SwaptionShift):INDEX($FK$245:$ID$316,$FJ174-HQ$169,72-HQ$169+SwaptionMonthsToGo+SwaptionShift))/SQRT(SUM(INDEX($FK329:$ID329,1+SwaptionShift):INDEX($FK329:$ID329,SwaptionMonthsToGo+SwaptionShift))*SUM(INDEX($FK$325:$ID$396,HQ$169,1+SwaptionShift):INDEX($FK$325:$ID$396,HQ$169,SwaptionMonthsToGo+SwaptionShift))))))</f>
        <v/>
      </c>
      <c r="HR174" s="150" t="str">
        <f aca="false">IF(OR(HR$169&lt;SwaptionFirstMonthPosition+1,$FJ174&lt;SwaptionFirstMonthPosition+1,HR$169&gt;SwaptionFirstMonthPosition+SwaptionNumOfMonths+1,$FJ174&gt;SwaptionFirstMonthPosition+SwaptionNumOfMonths+1),"",IF($FJ174=HR$169,1,IF($FJ174&lt;HR$169,INDEX($FK$170:$ID$241,HR$169,$FJ174),SUMPRODUCT(INDEX($FK$325:$ID$396,HR$169,1+SwaptionShift):INDEX($FK$325:$ID$396,HR$169,SwaptionMonthsToGo+SwaptionShift),INDEX($FK$245:$ID$316,$FJ174-HR$169,73-HR$169+SwaptionShift):INDEX($FK$245:$ID$316,$FJ174-HR$169,72-HR$169+SwaptionMonthsToGo+SwaptionShift))/SQRT(SUM(INDEX($FK329:$ID329,1+SwaptionShift):INDEX($FK329:$ID329,SwaptionMonthsToGo+SwaptionShift))*SUM(INDEX($FK$325:$ID$396,HR$169,1+SwaptionShift):INDEX($FK$325:$ID$396,HR$169,SwaptionMonthsToGo+SwaptionShift))))))</f>
        <v/>
      </c>
      <c r="HS174" s="150" t="str">
        <f aca="false">IF(OR(HS$169&lt;SwaptionFirstMonthPosition+1,$FJ174&lt;SwaptionFirstMonthPosition+1,HS$169&gt;SwaptionFirstMonthPosition+SwaptionNumOfMonths+1,$FJ174&gt;SwaptionFirstMonthPosition+SwaptionNumOfMonths+1),"",IF($FJ174=HS$169,1,IF($FJ174&lt;HS$169,INDEX($FK$170:$ID$241,HS$169,$FJ174),SUMPRODUCT(INDEX($FK$325:$ID$396,HS$169,1+SwaptionShift):INDEX($FK$325:$ID$396,HS$169,SwaptionMonthsToGo+SwaptionShift),INDEX($FK$245:$ID$316,$FJ174-HS$169,73-HS$169+SwaptionShift):INDEX($FK$245:$ID$316,$FJ174-HS$169,72-HS$169+SwaptionMonthsToGo+SwaptionShift))/SQRT(SUM(INDEX($FK329:$ID329,1+SwaptionShift):INDEX($FK329:$ID329,SwaptionMonthsToGo+SwaptionShift))*SUM(INDEX($FK$325:$ID$396,HS$169,1+SwaptionShift):INDEX($FK$325:$ID$396,HS$169,SwaptionMonthsToGo+SwaptionShift))))))</f>
        <v/>
      </c>
      <c r="HT174" s="150" t="str">
        <f aca="false">IF(OR(HT$169&lt;SwaptionFirstMonthPosition+1,$FJ174&lt;SwaptionFirstMonthPosition+1,HT$169&gt;SwaptionFirstMonthPosition+SwaptionNumOfMonths+1,$FJ174&gt;SwaptionFirstMonthPosition+SwaptionNumOfMonths+1),"",IF($FJ174=HT$169,1,IF($FJ174&lt;HT$169,INDEX($FK$170:$ID$241,HT$169,$FJ174),SUMPRODUCT(INDEX($FK$325:$ID$396,HT$169,1+SwaptionShift):INDEX($FK$325:$ID$396,HT$169,SwaptionMonthsToGo+SwaptionShift),INDEX($FK$245:$ID$316,$FJ174-HT$169,73-HT$169+SwaptionShift):INDEX($FK$245:$ID$316,$FJ174-HT$169,72-HT$169+SwaptionMonthsToGo+SwaptionShift))/SQRT(SUM(INDEX($FK329:$ID329,1+SwaptionShift):INDEX($FK329:$ID329,SwaptionMonthsToGo+SwaptionShift))*SUM(INDEX($FK$325:$ID$396,HT$169,1+SwaptionShift):INDEX($FK$325:$ID$396,HT$169,SwaptionMonthsToGo+SwaptionShift))))))</f>
        <v/>
      </c>
      <c r="HU174" s="150" t="str">
        <f aca="false">IF(OR(HU$169&lt;SwaptionFirstMonthPosition+1,$FJ174&lt;SwaptionFirstMonthPosition+1,HU$169&gt;SwaptionFirstMonthPosition+SwaptionNumOfMonths+1,$FJ174&gt;SwaptionFirstMonthPosition+SwaptionNumOfMonths+1),"",IF($FJ174=HU$169,1,IF($FJ174&lt;HU$169,INDEX($FK$170:$ID$241,HU$169,$FJ174),SUMPRODUCT(INDEX($FK$325:$ID$396,HU$169,1+SwaptionShift):INDEX($FK$325:$ID$396,HU$169,SwaptionMonthsToGo+SwaptionShift),INDEX($FK$245:$ID$316,$FJ174-HU$169,73-HU$169+SwaptionShift):INDEX($FK$245:$ID$316,$FJ174-HU$169,72-HU$169+SwaptionMonthsToGo+SwaptionShift))/SQRT(SUM(INDEX($FK329:$ID329,1+SwaptionShift):INDEX($FK329:$ID329,SwaptionMonthsToGo+SwaptionShift))*SUM(INDEX($FK$325:$ID$396,HU$169,1+SwaptionShift):INDEX($FK$325:$ID$396,HU$169,SwaptionMonthsToGo+SwaptionShift))))))</f>
        <v/>
      </c>
      <c r="HV174" s="150" t="str">
        <f aca="false">IF(OR(HV$169&lt;SwaptionFirstMonthPosition+1,$FJ174&lt;SwaptionFirstMonthPosition+1,HV$169&gt;SwaptionFirstMonthPosition+SwaptionNumOfMonths+1,$FJ174&gt;SwaptionFirstMonthPosition+SwaptionNumOfMonths+1),"",IF($FJ174=HV$169,1,IF($FJ174&lt;HV$169,INDEX($FK$170:$ID$241,HV$169,$FJ174),SUMPRODUCT(INDEX($FK$325:$ID$396,HV$169,1+SwaptionShift):INDEX($FK$325:$ID$396,HV$169,SwaptionMonthsToGo+SwaptionShift),INDEX($FK$245:$ID$316,$FJ174-HV$169,73-HV$169+SwaptionShift):INDEX($FK$245:$ID$316,$FJ174-HV$169,72-HV$169+SwaptionMonthsToGo+SwaptionShift))/SQRT(SUM(INDEX($FK329:$ID329,1+SwaptionShift):INDEX($FK329:$ID329,SwaptionMonthsToGo+SwaptionShift))*SUM(INDEX($FK$325:$ID$396,HV$169,1+SwaptionShift):INDEX($FK$325:$ID$396,HV$169,SwaptionMonthsToGo+SwaptionShift))))))</f>
        <v/>
      </c>
      <c r="HW174" s="150" t="str">
        <f aca="false">IF(OR(HW$169&lt;SwaptionFirstMonthPosition+1,$FJ174&lt;SwaptionFirstMonthPosition+1,HW$169&gt;SwaptionFirstMonthPosition+SwaptionNumOfMonths+1,$FJ174&gt;SwaptionFirstMonthPosition+SwaptionNumOfMonths+1),"",IF($FJ174=HW$169,1,IF($FJ174&lt;HW$169,INDEX($FK$170:$ID$241,HW$169,$FJ174),SUMPRODUCT(INDEX($FK$325:$ID$396,HW$169,1+SwaptionShift):INDEX($FK$325:$ID$396,HW$169,SwaptionMonthsToGo+SwaptionShift),INDEX($FK$245:$ID$316,$FJ174-HW$169,73-HW$169+SwaptionShift):INDEX($FK$245:$ID$316,$FJ174-HW$169,72-HW$169+SwaptionMonthsToGo+SwaptionShift))/SQRT(SUM(INDEX($FK329:$ID329,1+SwaptionShift):INDEX($FK329:$ID329,SwaptionMonthsToGo+SwaptionShift))*SUM(INDEX($FK$325:$ID$396,HW$169,1+SwaptionShift):INDEX($FK$325:$ID$396,HW$169,SwaptionMonthsToGo+SwaptionShift))))))</f>
        <v/>
      </c>
      <c r="HX174" s="150" t="str">
        <f aca="false">IF(OR(HX$169&lt;SwaptionFirstMonthPosition+1,$FJ174&lt;SwaptionFirstMonthPosition+1,HX$169&gt;SwaptionFirstMonthPosition+SwaptionNumOfMonths+1,$FJ174&gt;SwaptionFirstMonthPosition+SwaptionNumOfMonths+1),"",IF($FJ174=HX$169,1,IF($FJ174&lt;HX$169,INDEX($FK$170:$ID$241,HX$169,$FJ174),SUMPRODUCT(INDEX($FK$325:$ID$396,HX$169,1+SwaptionShift):INDEX($FK$325:$ID$396,HX$169,SwaptionMonthsToGo+SwaptionShift),INDEX($FK$245:$ID$316,$FJ174-HX$169,73-HX$169+SwaptionShift):INDEX($FK$245:$ID$316,$FJ174-HX$169,72-HX$169+SwaptionMonthsToGo+SwaptionShift))/SQRT(SUM(INDEX($FK329:$ID329,1+SwaptionShift):INDEX($FK329:$ID329,SwaptionMonthsToGo+SwaptionShift))*SUM(INDEX($FK$325:$ID$396,HX$169,1+SwaptionShift):INDEX($FK$325:$ID$396,HX$169,SwaptionMonthsToGo+SwaptionShift))))))</f>
        <v/>
      </c>
      <c r="HY174" s="150" t="str">
        <f aca="false">IF(OR(HY$169&lt;SwaptionFirstMonthPosition+1,$FJ174&lt;SwaptionFirstMonthPosition+1,HY$169&gt;SwaptionFirstMonthPosition+SwaptionNumOfMonths+1,$FJ174&gt;SwaptionFirstMonthPosition+SwaptionNumOfMonths+1),"",IF($FJ174=HY$169,1,IF($FJ174&lt;HY$169,INDEX($FK$170:$ID$241,HY$169,$FJ174),SUMPRODUCT(INDEX($FK$325:$ID$396,HY$169,1+SwaptionShift):INDEX($FK$325:$ID$396,HY$169,SwaptionMonthsToGo+SwaptionShift),INDEX($FK$245:$ID$316,$FJ174-HY$169,73-HY$169+SwaptionShift):INDEX($FK$245:$ID$316,$FJ174-HY$169,72-HY$169+SwaptionMonthsToGo+SwaptionShift))/SQRT(SUM(INDEX($FK329:$ID329,1+SwaptionShift):INDEX($FK329:$ID329,SwaptionMonthsToGo+SwaptionShift))*SUM(INDEX($FK$325:$ID$396,HY$169,1+SwaptionShift):INDEX($FK$325:$ID$396,HY$169,SwaptionMonthsToGo+SwaptionShift))))))</f>
        <v/>
      </c>
      <c r="HZ174" s="150" t="str">
        <f aca="false">IF(OR(HZ$169&lt;SwaptionFirstMonthPosition+1,$FJ174&lt;SwaptionFirstMonthPosition+1,HZ$169&gt;SwaptionFirstMonthPosition+SwaptionNumOfMonths+1,$FJ174&gt;SwaptionFirstMonthPosition+SwaptionNumOfMonths+1),"",IF($FJ174=HZ$169,1,IF($FJ174&lt;HZ$169,INDEX($FK$170:$ID$241,HZ$169,$FJ174),SUMPRODUCT(INDEX($FK$325:$ID$396,HZ$169,1+SwaptionShift):INDEX($FK$325:$ID$396,HZ$169,SwaptionMonthsToGo+SwaptionShift),INDEX($FK$245:$ID$316,$FJ174-HZ$169,73-HZ$169+SwaptionShift):INDEX($FK$245:$ID$316,$FJ174-HZ$169,72-HZ$169+SwaptionMonthsToGo+SwaptionShift))/SQRT(SUM(INDEX($FK329:$ID329,1+SwaptionShift):INDEX($FK329:$ID329,SwaptionMonthsToGo+SwaptionShift))*SUM(INDEX($FK$325:$ID$396,HZ$169,1+SwaptionShift):INDEX($FK$325:$ID$396,HZ$169,SwaptionMonthsToGo+SwaptionShift))))))</f>
        <v/>
      </c>
      <c r="IA174" s="150" t="str">
        <f aca="false">IF(OR(IA$169&lt;SwaptionFirstMonthPosition+1,$FJ174&lt;SwaptionFirstMonthPosition+1,IA$169&gt;SwaptionFirstMonthPosition+SwaptionNumOfMonths+1,$FJ174&gt;SwaptionFirstMonthPosition+SwaptionNumOfMonths+1),"",IF($FJ174=IA$169,1,IF($FJ174&lt;IA$169,INDEX($FK$170:$ID$241,IA$169,$FJ174),SUMPRODUCT(INDEX($FK$325:$ID$396,IA$169,1+SwaptionShift):INDEX($FK$325:$ID$396,IA$169,SwaptionMonthsToGo+SwaptionShift),INDEX($FK$245:$ID$316,$FJ174-IA$169,73-IA$169+SwaptionShift):INDEX($FK$245:$ID$316,$FJ174-IA$169,72-IA$169+SwaptionMonthsToGo+SwaptionShift))/SQRT(SUM(INDEX($FK329:$ID329,1+SwaptionShift):INDEX($FK329:$ID329,SwaptionMonthsToGo+SwaptionShift))*SUM(INDEX($FK$325:$ID$396,IA$169,1+SwaptionShift):INDEX($FK$325:$ID$396,IA$169,SwaptionMonthsToGo+SwaptionShift))))))</f>
        <v/>
      </c>
      <c r="IB174" s="150" t="str">
        <f aca="false">IF(OR(IB$169&lt;SwaptionFirstMonthPosition+1,$FJ174&lt;SwaptionFirstMonthPosition+1,IB$169&gt;SwaptionFirstMonthPosition+SwaptionNumOfMonths+1,$FJ174&gt;SwaptionFirstMonthPosition+SwaptionNumOfMonths+1),"",IF($FJ174=IB$169,1,IF($FJ174&lt;IB$169,INDEX($FK$170:$ID$241,IB$169,$FJ174),SUMPRODUCT(INDEX($FK$325:$ID$396,IB$169,1+SwaptionShift):INDEX($FK$325:$ID$396,IB$169,SwaptionMonthsToGo+SwaptionShift),INDEX($FK$245:$ID$316,$FJ174-IB$169,73-IB$169+SwaptionShift):INDEX($FK$245:$ID$316,$FJ174-IB$169,72-IB$169+SwaptionMonthsToGo+SwaptionShift))/SQRT(SUM(INDEX($FK329:$ID329,1+SwaptionShift):INDEX($FK329:$ID329,SwaptionMonthsToGo+SwaptionShift))*SUM(INDEX($FK$325:$ID$396,IB$169,1+SwaptionShift):INDEX($FK$325:$ID$396,IB$169,SwaptionMonthsToGo+SwaptionShift))))))</f>
        <v/>
      </c>
      <c r="IC174" s="150" t="str">
        <f aca="false">IF(OR(IC$169&lt;SwaptionFirstMonthPosition+1,$FJ174&lt;SwaptionFirstMonthPosition+1,IC$169&gt;SwaptionFirstMonthPosition+SwaptionNumOfMonths+1,$FJ174&gt;SwaptionFirstMonthPosition+SwaptionNumOfMonths+1),"",IF($FJ174=IC$169,1,IF($FJ174&lt;IC$169,INDEX($FK$170:$ID$241,IC$169,$FJ174),SUMPRODUCT(INDEX($FK$325:$ID$396,IC$169,1+SwaptionShift):INDEX($FK$325:$ID$396,IC$169,SwaptionMonthsToGo+SwaptionShift),INDEX($FK$245:$ID$316,$FJ174-IC$169,73-IC$169+SwaptionShift):INDEX($FK$245:$ID$316,$FJ174-IC$169,72-IC$169+SwaptionMonthsToGo+SwaptionShift))/SQRT(SUM(INDEX($FK329:$ID329,1+SwaptionShift):INDEX($FK329:$ID329,SwaptionMonthsToGo+SwaptionShift))*SUM(INDEX($FK$325:$ID$396,IC$169,1+SwaptionShift):INDEX($FK$325:$ID$396,IC$169,SwaptionMonthsToGo+SwaptionShift))))))</f>
        <v/>
      </c>
      <c r="ID174" s="572" t="str">
        <f aca="false">IF(OR(ID$169&lt;SwaptionFirstMonthPosition+1,$FJ174&lt;SwaptionFirstMonthPosition+1,ID$169&gt;SwaptionFirstMonthPosition+SwaptionNumOfMonths+1,$FJ174&gt;SwaptionFirstMonthPosition+SwaptionNumOfMonths+1),"",IF($FJ174=ID$169,1,IF($FJ174&lt;ID$169,INDEX($FK$170:$ID$241,ID$169,$FJ174),SUMPRODUCT(INDEX($FK$325:$ID$396,ID$169,1+SwaptionShift):INDEX($FK$325:$ID$396,ID$169,SwaptionMonthsToGo+SwaptionShift),INDEX($FK$245:$ID$316,$FJ174-ID$169,73-ID$169+SwaptionShift):INDEX($FK$245:$ID$316,$FJ174-ID$169,72-ID$169+SwaptionMonthsToGo+SwaptionShift))/SQRT(SUM(INDEX($FK329:$ID329,1+SwaptionShift):INDEX($FK329:$ID329,SwaptionMonthsToGo+SwaptionShift))*SUM(INDEX($FK$325:$ID$396,ID$169,1+SwaptionShift):INDEX($FK$325:$ID$396,ID$169,SwaptionMonthsToGo+SwaptionShift))))))</f>
        <v/>
      </c>
      <c r="IE174" s="129"/>
    </row>
    <row r="175" customFormat="false" ht="12.75" hidden="false" customHeight="false" outlineLevel="0" collapsed="false">
      <c r="H175" s="219" t="n">
        <f aca="false">VLOOKUP(I175,$EJ$20:$EL$54,3)</f>
        <v>0</v>
      </c>
      <c r="I175" s="511" t="n">
        <f aca="false">EOMONTH(I174,0)+1</f>
        <v>41487</v>
      </c>
      <c r="J175" s="512"/>
      <c r="K175" s="513" t="s">
        <v>280</v>
      </c>
      <c r="L175" s="514" t="n">
        <f aca="false">IF(ISNUMBER(K175),J175+K175/100,IF(K175="extra",L174+VLOOKUP(BF175,PriceSpreadTable,2)/12,IF(K175="inter",interpolateprices($K$19:$L$200,ROW(K175)-ROW(FirstPricingMonth)+1),interpolatechanges($J$19:$K$200,ROW(K175)-ROW(FirstPricingMonth)+1))))</f>
        <v>2.9625</v>
      </c>
      <c r="M175" s="515"/>
      <c r="N175" s="516" t="n">
        <v>0</v>
      </c>
      <c r="O175" s="515" t="n">
        <f aca="false">M175+N175</f>
        <v>0</v>
      </c>
      <c r="P175" s="512"/>
      <c r="Q175" s="513" t="s">
        <v>280</v>
      </c>
      <c r="R175" s="512" t="e">
        <f aca="false">IF(ISNUMBER(Q175),P175+Q175/100,IF(Q175="extra",(Z173*AL173-R174*AM173)/AN173,IF(Q175="inter",interpolateprices($Q$19:$R$260,ROW(Q175)-ROW(FirstPricingMonth)+1),interpolatechanges($P$19:$Q$260,ROW(Q175)-ROW(FirstPricingMonth)+1))))</f>
        <v>#VALUE!</v>
      </c>
      <c r="S175" s="597" t="n">
        <f aca="false">S$19+(S174-S$19)*S$18</f>
        <v>0.36</v>
      </c>
      <c r="T175" s="575" t="n">
        <f aca="false">SQRT((1-(1-T174^2/U174)*T$18)*U175)</f>
        <v>0.999999999996799</v>
      </c>
      <c r="U175" s="576" t="n">
        <f aca="false">1-(1-U174)*U$18</f>
        <v>1</v>
      </c>
      <c r="V175" s="521" t="n">
        <v>0</v>
      </c>
      <c r="W175" s="577" t="n">
        <f aca="false">(J176*AJ175+J177*AK175)/AI175</f>
        <v>0</v>
      </c>
      <c r="X175" s="578" t="n">
        <f aca="false">(L176*AJ175+L177*AK175)/AI175</f>
        <v>3.01363636363637</v>
      </c>
      <c r="Y175" s="579" t="n">
        <f aca="false">IF(Q177="extra",W175-AA175,(P176*AM175+P177*AN175)/AL175)</f>
        <v>-1.2669</v>
      </c>
      <c r="Z175" s="579" t="n">
        <f aca="false">IF(Q177="extra",X175-AB175,(R176*AM175+R177*AN175)/AL175)</f>
        <v>1.74673636363637</v>
      </c>
      <c r="AA175" s="523" t="n">
        <f aca="false">IF(Q177="extra",INDEX(BrentSeasonalityTable,INT((BG175-1)/3)+1)*VLOOKUP(MAX(BF175,$AB$4),PriceSpreadTable,3),W175-Y175)</f>
        <v>1.2669</v>
      </c>
      <c r="AB175" s="524" t="n">
        <f aca="false">IF(Q177="extra",INDEX(BrentSeasonalityTable,INT((BG175-1)/3)+1)*VLOOKUP(MAX(BF175,$AB$4),PriceSpreadTable,3),X175-Z175)</f>
        <v>1.2669</v>
      </c>
      <c r="AC175" s="646" t="n">
        <v>41475</v>
      </c>
      <c r="AD175" s="646" t="n">
        <v>41471</v>
      </c>
      <c r="AE175" s="646" t="n">
        <v>41470</v>
      </c>
      <c r="AF175" s="646" t="n">
        <v>41466</v>
      </c>
      <c r="AG175" s="438" t="s">
        <v>278</v>
      </c>
      <c r="AH175" s="439" t="s">
        <v>278</v>
      </c>
      <c r="AI175" s="528" t="n">
        <v>22</v>
      </c>
      <c r="AJ175" s="529" t="n">
        <v>14</v>
      </c>
      <c r="AK175" s="529" t="n">
        <v>8</v>
      </c>
      <c r="AL175" s="530" t="n">
        <v>22</v>
      </c>
      <c r="AM175" s="529" t="n">
        <v>10</v>
      </c>
      <c r="AN175" s="531" t="n">
        <v>12</v>
      </c>
      <c r="AO175" s="532"/>
      <c r="AP175" s="465" t="n">
        <f aca="false">(1+AO175/2)^(-2*BL175)</f>
        <v>1</v>
      </c>
      <c r="AQ175" s="532"/>
      <c r="AR175" s="465" t="n">
        <f aca="false">(1+AQ175/2)^(-2*BH175/365.25)</f>
        <v>1</v>
      </c>
      <c r="AS175" s="580" t="n">
        <f aca="false">(O176*AJ175+O177*AK175)/AI175</f>
        <v>0</v>
      </c>
      <c r="AT175" s="468" t="n">
        <f aca="false">O175*VLOOKUP(BF175,BrentVolTable,2)+VLOOKUP(BF175,BrentVolTable,3)</f>
        <v>0</v>
      </c>
      <c r="AU175" s="468" t="n">
        <f aca="false">(AT176*AM175+AT177*AN175)/AL175</f>
        <v>0</v>
      </c>
      <c r="AV175" s="595" t="n">
        <f aca="false">SQRT(MAX(0.000000000001,(O175^2*BH175-S175^2*(BH175-BH174))/BH174))</f>
        <v>0.0294462724575012</v>
      </c>
      <c r="AW175" s="451" t="n">
        <f aca="false">IF($I175-DateToday+15&gt;=$T$8,"",IF($I175-DateToday+15&lt;$T$5,1,MATCH($I175-DateToday+15,$T$5:$T$8)))</f>
        <v>1</v>
      </c>
      <c r="AX175" s="468" t="n">
        <f aca="false">IF($AW175="",AX174^2/AX173,INDEX(U$5:U$8,$AW175)^((INDEX($T$5:$T$8,$AW175+1)-($I175-DateToday+15))/(INDEX($T$5:$T$8,$AW175+1)-INDEX($T$5:$T$8,$AW175)))/INDEX(U$5:U$8,$AW175+1)^((INDEX($T$5:$T$8,$AW175)-($I175-DateToday+15))/(INDEX($T$5:$T$8,$AW175+1)-INDEX($T$5:$T$8,$AW175))))</f>
        <v>0.456796129464081</v>
      </c>
      <c r="AY175" s="468" t="n">
        <f aca="false">IF($AW175="",AY174^2/AY173,INDEX(V$5:V$8,$AW175)^((INDEX($T$5:$T$8,$AW175+1)-($I175-DateToday+15))/(INDEX($T$5:$T$8,$AW175+1)-INDEX($T$5:$T$8,$AW175)))/INDEX(V$5:V$8,$AW175+1)^((INDEX($T$5:$T$8,$AW175)-($I175-DateToday+15))/(INDEX($T$5:$T$8,$AW175+1)-INDEX($T$5:$T$8,$AW175))))</f>
        <v>7.6166627522155</v>
      </c>
      <c r="AZ175" s="468" t="n">
        <f aca="false">IF($AW175="",AZ174^2/AZ173,INDEX(W$5:W$8,$AW175)^((INDEX($T$5:$T$8,$AW175+1)-($I175-DateToday+15))/(INDEX($T$5:$T$8,$AW175+1)-INDEX($T$5:$T$8,$AW175)))/INDEX(W$5:W$8,$AW175+1)^((INDEX($T$5:$T$8,$AW175)-($I175-DateToday+15))/(INDEX($T$5:$T$8,$AW175+1)-INDEX($T$5:$T$8,$AW175))))</f>
        <v>2031.97190210315</v>
      </c>
      <c r="BA175" s="468" t="n">
        <f aca="false">IF($AW175="",BA174^2/BA173,INDEX(X$5:X$8,$AW175)^((INDEX($T$5:$T$8,$AW175+1)-($I175-DateToday+15))/(INDEX($T$5:$T$8,$AW175+1)-INDEX($T$5:$T$8,$AW175)))/INDEX(X$5:X$8,$AW175+1)^((INDEX($T$5:$T$8,$AW175)-($I175-DateToday+15))/(INDEX($T$5:$T$8,$AW175+1)-INDEX($T$5:$T$8,$AW175))))</f>
        <v>9668.71770896334</v>
      </c>
      <c r="BB175" s="468" t="n">
        <f aca="false">IF($AW175="",BB174^2/BB173,INDEX(Y$5:Y$8,$AW175)^((INDEX($T$5:$T$8,$AW175+1)-($I175-DateToday+15))/(INDEX($T$5:$T$8,$AW175+1)-INDEX($T$5:$T$8,$AW175)))/INDEX(Y$5:Y$8,$AW175+1)^((INDEX($T$5:$T$8,$AW175)-($I175-DateToday+15))/(INDEX($T$5:$T$8,$AW175+1)-INDEX($T$5:$T$8,$AW175))))</f>
        <v>57633.8771797344</v>
      </c>
      <c r="BC175" s="468" t="n">
        <f aca="false">IF($AW175="",BC174^2/BC173,INDEX(Z$5:Z$8,$AW175)^((INDEX($T$5:$T$8,$AW175+1)-($I175-DateToday+15))/(INDEX($T$5:$T$8,$AW175+1)-INDEX($T$5:$T$8,$AW175)))/INDEX(Z$5:Z$8,$AW175+1)^((INDEX($T$5:$T$8,$AW175)-($I175-DateToday+15))/(INDEX($T$5:$T$8,$AW175+1)-INDEX($T$5:$T$8,$AW175))))</f>
        <v>171042.524802022</v>
      </c>
      <c r="BD175" s="535" t="n">
        <f aca="false">IF(OR(DateStart&gt;=I176,DateEnd&lt;I175),0,IF(VolumeOverrideFlag,V175,Volume))</f>
        <v>0</v>
      </c>
      <c r="BE175" s="536" t="n">
        <f aca="false">IF(OR(DateStart2&gt;=I176,DateEnd2&lt;I175),0,IF(VolumeOverrideFlag,V175,VolumeSwaption))</f>
        <v>0</v>
      </c>
      <c r="BF175" s="537" t="n">
        <f aca="false">YEAR(I175)</f>
        <v>2013</v>
      </c>
      <c r="BG175" s="538" t="n">
        <f aca="false">MONTH(I175)</f>
        <v>8</v>
      </c>
      <c r="BH175" s="539" t="n">
        <f aca="false">AD175-DateToday+1</f>
        <v>-4454</v>
      </c>
      <c r="BI175" s="540" t="n">
        <f aca="false">(I175-DateToday+1)/365.25</f>
        <v>-12.1505817932923</v>
      </c>
      <c r="BJ175" s="541" t="n">
        <f aca="false">BI175+(BL175-BI175)*CHOOSE(Underlying,AJ175/AI175,AM175/AL175)</f>
        <v>-12.0983137328107</v>
      </c>
      <c r="BK175" s="541" t="n">
        <f aca="false">BJ175+1/365.25</f>
        <v>-12.0955758820235</v>
      </c>
      <c r="BL175" s="541" t="n">
        <f aca="false">(I176-DateToday)/365.25</f>
        <v>-12.0684462696783</v>
      </c>
      <c r="BM175" s="542" t="e">
        <f aca="false">MAX(BI175-(BJ175-BI175)*(S176^2/O176^2-1),0)</f>
        <v>#DIV/0!</v>
      </c>
      <c r="BN175" s="541" t="e">
        <f aca="false">MAX(BL175+(BL175-BK175)*(S177^2/O177^2-1),0)</f>
        <v>#DIV/0!</v>
      </c>
      <c r="BO175" s="530" t="n">
        <f aca="false">CHOOSE(Underlying,AI175,AL175)</f>
        <v>22</v>
      </c>
      <c r="BP175" s="529" t="n">
        <f aca="false">CHOOSE(Underlying,AJ175,AM175)</f>
        <v>14</v>
      </c>
      <c r="BQ175" s="529" t="n">
        <f aca="false">CHOOSE(Underlying,AK175,AN175)</f>
        <v>8</v>
      </c>
      <c r="BR175" s="463" t="str">
        <f aca="false">IF(BD175,IF(Underlying=1,X175,Z175)+UnderlyingPriceAsian-SwapPriceCurve,"")</f>
        <v/>
      </c>
      <c r="BS175" s="463" t="str">
        <f aca="false">IF(BD175,Strike1/BR175-1,"")</f>
        <v/>
      </c>
      <c r="BT175" s="464" t="str">
        <f aca="false">IF(BD175,Strike2/BR175-1,"")</f>
        <v/>
      </c>
      <c r="BU175" s="465" t="str">
        <f aca="false">IF(BD175,IF(Underlying=1,L176,R176)+UnderlyingPriceAsian-SwapPriceCurve,"")</f>
        <v/>
      </c>
      <c r="BV175" s="465" t="str">
        <f aca="false">IF(BD175,IF(Underlying=1,L177,R177)+UnderlyingPriceAsian-SwapPriceCurve,"")</f>
        <v/>
      </c>
      <c r="BW175" s="466" t="str">
        <f aca="false">IF(BD175,IF(Underlying=1,O176,AT176),"")</f>
        <v/>
      </c>
      <c r="BX175" s="467" t="str">
        <f aca="false">IF(BD175,IF(Underlying=1,O177,AT177),"")</f>
        <v/>
      </c>
      <c r="BY175" s="466" t="str">
        <f aca="false">IF(BD175,IF(BS175&gt;0,IF(BS175&gt;0.2,BC175-BB175,IF(BS175&gt;0.1,BB175-BA175,BA175)),IF(BS175&lt;-0.2,AX175-AY175,IF(BS175&lt;-0.1,AY175-AZ175,AZ175))),"")</f>
        <v/>
      </c>
      <c r="BZ175" s="467" t="str">
        <f aca="false">IF(BD175,IF(BT175&gt;0,IF(BT175&gt;0.2,BC175-BB175,IF(BT175&gt;0.1,BB175-BA175,BA175)),IF(BT175&lt;-0.2,AX175-AY175,IF(BT175&lt;-0.1,AY175-AZ175,AZ175))),"")</f>
        <v/>
      </c>
      <c r="CA175" s="468" t="str">
        <f aca="false">IF($BD175,$BW175+IF(VolSkewFlag=1,IF(BS175&gt;0,$BA175*MIN(BS175/10%,1)+($BB175-$BA175)*MAX(0,MIN(BS175/10%-1,1))+($BC175-$BB175)*MAX(0,BS175/10%-2),$AZ175*MIN(-BS175/10%,1)+($AY175-$AZ175)*MAX(0,MIN(-BS175/10%-1,1))+($AX175-$AY175)*MAX(0,-BS175/10%-2)),0),"")</f>
        <v/>
      </c>
      <c r="CB175" s="468" t="str">
        <f aca="false">IF($BD175,$BX175+IF(VolSkewFlag=1,IF(BS175&gt;0,$BA175*MIN(BS175/10%,1)+($BB175-$BA175)*MAX(0,MIN(BS175/10%-1,1))+($BC175-$BB175)*MAX(0,BS175/10%-2),$AZ175*MIN(-BS175/10%,1)+($AY175-$AZ175)*MAX(0,MIN(-BS175/10%-1,1))+($AX175-$AY175)*MAX(0,-BS175/10%-2)),0),"")</f>
        <v/>
      </c>
      <c r="CC175" s="468" t="str">
        <f aca="false">IF($BD175,$BW175+IF(VolSkewFlag=1,IF(BT175&gt;0,$BA175*MIN(BT175/10%,1)+($BB175-$BA175)*MAX(0,MIN(BT175/10%-1,1))+($BC175-$BB175)*MAX(0,BT175/10%-2),$AZ175*MIN(-BT175/10%,1)+($AY175-$AZ175)*MAX(0,MIN(-BT175/10%-1,1))+($AX175-$AY175)*MAX(0,-BT175/10%-2)),0),"")</f>
        <v/>
      </c>
      <c r="CD175" s="468" t="str">
        <f aca="false">IF($BD175,$BX175+IF(VolSkewFlag=1,IF(BT175&gt;0,$BA175*MIN(BT175/10%,1)+($BB175-$BA175)*MAX(0,MIN(BT175/10%-1,1))+($BC175-$BB175)*MAX(0,BT175/10%-2),$AZ175*MIN(-BT175/10%,1)+($AY175-$AZ175)*MAX(0,MIN(-BT175/10%-1,1))+($AX175-$AY175)*MAX(0,-BT175/10%-2)),0),"")</f>
        <v/>
      </c>
      <c r="CE175" s="469" t="n">
        <v>1</v>
      </c>
      <c r="CF175" s="470" t="n">
        <f aca="false">IF(BD175,xCrudeAPO(BU175,BV175,CA175,CB175,S176,S177,BI175,BL175,BP175,BQ175,0,Strike1,AO175,CE175,0,BL175,IF(OptControl=4,0,1),0,1),0)</f>
        <v>0</v>
      </c>
      <c r="CG175" s="470" t="n">
        <f aca="false">IF(BD175,xCrudeAPO(BU175,BV175,CA175,CB175,S176,S177,BI175,BL175,BP175,BQ175,0,Strike1,AO175,CE175,0,BL175,IF(OptControl=4,0,1),1,1)+xCrudeAPO(BU175,BV175,CA175,CB175,S176,S177,BI175,BL175,BP175,BQ175,0,Strike1,AO175,CE175,0,BL175,IF(OptControl=4,0,1),1,2)+IF(OR(VolSkewFlag=2,ABS(BS175)&lt;0.0001),0,IF(BS175&gt;0,-1,1)*CH175*Strike1/BR175^2*BY175/10%),0)</f>
        <v>0</v>
      </c>
      <c r="CH175" s="470" t="n">
        <f aca="false">IF(BD175,(xCrudeAPO(BU175,BV175,CA175,CB175,S176,S177,BI175,BL175,BP175,BQ175,0,Strike1,AO175,CE175,0,BL175,IF(OptControl=4,0,1),3,1)+xCrudeAPO(BU175,BV175,CA175,CB175,S176,S177,BI175,BL175,BP175,BQ175,0,Strike1,AO175,CE175,0,BL175,IF(OptControl=4,0,1),3,2))/100,0)</f>
        <v>0</v>
      </c>
      <c r="CI175" s="470" t="n">
        <f aca="false">IF(BD175,xCrudeAPO(BU175,BV175,CA175,CB175,S176,S177,BI175-DaysForThetaCalculation/365.25,BL175-DaysForThetaCalculation/365.25,BP175,BQ175,0,Strike1,AO175,CE175,0,BL175,IF(OptControl=4,0,1),0,1)-xCrudeAPO(BU175,BV175,CA175,CB175,S176,S177,BI175,BL175,BP175,BQ175,0,Strike1,AO175,CE175,0,BL175,IF(OptControl=4,0,1),0,1),0)</f>
        <v>0</v>
      </c>
      <c r="CJ175" s="471" t="n">
        <f aca="false">IF(BD175,xCrudeAPO(BU175,BV175,CC175,CD175,S176,S177,BI175,BL175,BP175,BQ175,0,Strike2,AO175,CE175,0,BL175,IF(OptControl=3,1,0),0,1),0)</f>
        <v>0</v>
      </c>
      <c r="CK175" s="470" t="n">
        <f aca="false">IF(BD175,xCrudeAPO(BU175,BV175,CC175,CD175,S176,S177,BI175,BL175,BP175,BQ175,0,Strike2,AO175,CE175,0,BL175,IF(OptControl=3,1,0),1,1)+xCrudeAPO(BU175,BV175,CC175,CD175,S176,S177,BI175,BL175,BP175,BQ175,0,Strike2,AO175,CE175,0,BL175,IF(OptControl=3,1,0),1,2)+IF(OR(VolSkewFlag=2,ABS(BT175)&lt;0.0001),0,IF(BT175&gt;0,-1,1)*CL175*Strike2/BR175^2*BZ175/10%),0)</f>
        <v>0</v>
      </c>
      <c r="CL175" s="470" t="n">
        <f aca="false">IF(BD175,(xCrudeAPO(BU175,BV175,CC175,CD175,S176,S177,BI175,BL175,BP175,BQ175,0,Strike2,AO175,CE175,0,BL175,IF(OptControl=3,1,0),3,1)+xCrudeAPO(BU175,BV175,CC175,CD175,S176,S177,BI175,BL175,BP175,BQ175,0,Strike2,AO175,CE175,0,BL175,IF(OptControl=3,1,0),3,2))/100,0)</f>
        <v>0</v>
      </c>
      <c r="CM175" s="472" t="n">
        <f aca="false">IF(BD175,xCrudeAPO(BU175,BV175,CC175,CD175,S176,S177,BI175-DaysForThetaCalculation/365.25,BL175-DaysForThetaCalculation/365.25,BP175,BQ175,0,Strike2,AO175,CE175,0,BL175,IF(OptControl=3,1,0),0,1)-xCrudeAPO(BU175,BV175,CC175,CD175,S176,S177,BI175,BL175,BP175,BQ175,0,Strike2,AO175,CE175,0,BL175,IF(OptControl=3,1,0),0,1),0)</f>
        <v>0</v>
      </c>
      <c r="CN175" s="3"/>
      <c r="CO175" s="543" t="str">
        <f aca="false">IF(BD175,CHOOSE(Underlying,AD175,AF175)-DateToday+1,"")</f>
        <v/>
      </c>
      <c r="CP175" s="582" t="str">
        <f aca="false">IF(BD175,CHOOSE(Underlying,L175,R175),"")</f>
        <v/>
      </c>
      <c r="CQ175" s="544" t="str">
        <f aca="false">IF(BD175,Strike1/CP175-1,"")</f>
        <v/>
      </c>
      <c r="CR175" s="544" t="str">
        <f aca="false">IF(BD175,Strike2/CP175-1,"")</f>
        <v/>
      </c>
      <c r="CS175" s="544" t="str">
        <f aca="false">IF(BD175,IF(CQ175&gt;0,IF(CQ175&gt;0.2,BC174-BB174,IF(CQ175&gt;0.1,BB174-BA174,BA174)),IF(CQ175&lt;-0.2,AX174-AY174,IF(CQ175&lt;-0.1,AY174-AZ174,AZ174))),"")</f>
        <v/>
      </c>
      <c r="CT175" s="544" t="str">
        <f aca="false">IF(BD175,IF(CR175&gt;0,IF(CR175&gt;0.2,BC174-BB174,IF(CR175&gt;0.1,BB174-BA174,BA174)),IF(CR175&lt;-0.2,AX174-AY174,IF(CR175&lt;-0.1,AY174-AZ174,AZ174))),"")</f>
        <v/>
      </c>
      <c r="CU175" s="545" t="str">
        <f aca="false">IF(BD175,CHOOSE(Underlying,O175,AT175),"")</f>
        <v/>
      </c>
      <c r="CV175" s="545" t="str">
        <f aca="false">IF(BD175,CU175+IF(VolSkewFlag=1,IF(CQ175&gt;0,BA174*MIN(CQ175/10%,1)+(BB174-BA174)*MAX(0,MIN(CQ175/10%-1,1))+(BC174-BB174)*MAX(0,CQ175/10%-2),AZ174*MIN(-CQ175/10%,1)+(AY174-AZ174)*MAX(0,MIN(-CQ175/10%-1,1))+(AX174-AY174)*MAX(0,-CQ175/10%-2)),0),"")</f>
        <v/>
      </c>
      <c r="CW175" s="545" t="str">
        <f aca="false">IF(BD175,CU175+IF(VolSkewFlag=1,IF(CR175&gt;0,BA174*MIN(CR175/10%,1)+(BB174-BA174)*MAX(0,MIN(CR175/10%-1,1))+(BC174-BB174)*MAX(0,CR175/10%-2),AZ174*MIN(-CR175/10%,1)+(AY174-AZ174)*MAX(0,MIN(-CR175/10%-1,1))+(AX174-AY174)*MAX(0,-CR175/10%-2)),0),"")</f>
        <v/>
      </c>
      <c r="CX175" s="470" t="n">
        <f aca="false">IF(BD175,EURO(CP175,Strike1,AO175,AO175,CV175,CO175,IF(OptControl=4,0,1),0),0)</f>
        <v>0</v>
      </c>
      <c r="CY175" s="470" t="n">
        <f aca="false">IF(BD175,EURO(CP175,Strike1,AO175,AO175,CV175,CO175,IF(OptControl=4,0,1),1)+IF(OR(VolSkewFlag=2,ABS(CQ175)&lt;0.0001),0,IF(CQ175&gt;0,-1,1)*CZ175*100*Strike1/CP175^2*CS175/10%),0)</f>
        <v>0</v>
      </c>
      <c r="CZ175" s="470" t="n">
        <f aca="false">IF(BD175,EURO(CP175,Strike1,AO175,AO175,CV175,CO175,IF(OptControl=4,0,1),3)/100,0)</f>
        <v>0</v>
      </c>
      <c r="DA175" s="470" t="n">
        <f aca="false">IF(BD175,EURO(CP175,Strike1,AO175,AO175,CV175,CO175,IF(OptControl=4,0,1),0)-EURO(CP175,Strike1,AO175,AO175,CV175,CO175-1,IF(OptControl=4,0,1),0),0)</f>
        <v>0</v>
      </c>
      <c r="DB175" s="470" t="n">
        <f aca="false">IF(BD175,EURO(CP175,Strike2,AO175,AO175,CW175,CO175,IF(OptControl=3,1,0),0),0)</f>
        <v>0</v>
      </c>
      <c r="DC175" s="470" t="n">
        <f aca="false">IF(BD175,EURO(CP175,Strike2,AO175,AO175,CW175,CO175,IF(OptControl=3,1,0),1)+IF(OR(VolSkewFlag=2,ABS(CR175)&lt;0.0001),0,IF(CR175&gt;0,-1,1)*DD175*100*Strike2/CP175^2*CT175/10%),0)</f>
        <v>0</v>
      </c>
      <c r="DD175" s="470" t="n">
        <f aca="false">IF(BD175,EURO(CP175,Strike2,AO175,AO175,CW175,CO175,IF(OptControl=3,1,0),3)/100,0)</f>
        <v>0</v>
      </c>
      <c r="DE175" s="472" t="n">
        <f aca="false">IF(BD175,EURO(CP175,Strike2,AO175,AO175,CW175,CO175,IF(OptControl=3,1,0),0)-EURO(CP175,Strike2,AO175,AO175,CW175,CO175-1,IF(OptControl=3,1,0),0),0)</f>
        <v>0</v>
      </c>
      <c r="DG175" s="481" t="n">
        <f aca="false">EOMONTH(DG174,0)+1</f>
        <v>50406</v>
      </c>
      <c r="DH175" s="478" t="n">
        <v>21.9100000000001</v>
      </c>
      <c r="DI175" s="479" t="n">
        <v>21.9804545454546</v>
      </c>
      <c r="DJ175" s="480" t="n">
        <f aca="false">DG175</f>
        <v>50406</v>
      </c>
      <c r="DK175" s="478" t="n">
        <v>20.7072080273934</v>
      </c>
      <c r="DL175" s="479" t="n">
        <v>20.8119545454546</v>
      </c>
      <c r="DM175" s="481" t="n">
        <f aca="false">DG175</f>
        <v>50406</v>
      </c>
      <c r="DN175" s="482" t="n">
        <f aca="false">DK175+BrentPhyBrentSpread</f>
        <v>20.7572080273934</v>
      </c>
      <c r="DO175" s="481" t="n">
        <f aca="false">DG175</f>
        <v>50406</v>
      </c>
      <c r="DP175" s="483" t="n">
        <f aca="false">DL175+DQ175</f>
        <v>20.8119545454546</v>
      </c>
      <c r="DQ175" s="546" t="n">
        <v>0</v>
      </c>
      <c r="DR175" s="480" t="n">
        <f aca="false">DG175</f>
        <v>50406</v>
      </c>
      <c r="DS175" s="485" t="n">
        <v>0.131599999999999</v>
      </c>
      <c r="DT175" s="486" t="n">
        <v>0.130754545454545</v>
      </c>
      <c r="DU175" s="480" t="n">
        <f aca="false">DG175</f>
        <v>50406</v>
      </c>
      <c r="DV175" s="485" t="n">
        <v>0.131599999999999</v>
      </c>
      <c r="DW175" s="486" t="n">
        <v>0.130754545454545</v>
      </c>
      <c r="DX175" s="481" t="n">
        <f aca="false">DG175</f>
        <v>50406</v>
      </c>
      <c r="DY175" s="486" t="n">
        <v>0.35</v>
      </c>
      <c r="DZ175" s="481" t="n">
        <f aca="false">DR175</f>
        <v>50406</v>
      </c>
      <c r="EA175" s="486" t="n">
        <f aca="false">DT175</f>
        <v>0.130754545454545</v>
      </c>
      <c r="EB175" s="195"/>
      <c r="EC175" s="547" t="str">
        <f aca="false">IF(BD175,IF(Underlying=1,AS175,AU175),"")</f>
        <v/>
      </c>
      <c r="ED175" s="548" t="str">
        <f aca="false">IF($BD175,$EC175+IF(VolSkewFlag=1,IF(BS175&gt;0,$BA175*MIN(BS175/10%,1)+($BB175-$BA175)*MAX(0,MIN(BS175/10%-1,1))+($BC175-$BB175)*MAX(0,BS175/10%-2),$AZ175*MIN(-BS175/10%,1)+($AY175-$AZ175)*MAX(0,MIN(-BS175/10%-1,1))+($AX175-$AY175)*MAX(0,-BS175/10%-2)),0),"")</f>
        <v/>
      </c>
      <c r="EE175" s="549" t="str">
        <f aca="false">IF($BD175,$EC175+IF(VolSkewFlag=1,IF(BT175&gt;0,$BA175*MIN(BT175/10%,1)+($BB175-$BA175)*MAX(0,MIN(BT175/10%-1,1))+($BC175-$BB175)*MAX(0,BT175/10%-2),$AZ175*MIN(-BT175/10%,1)+($AY175-$AZ175)*MAX(0,MIN(-BT175/10%-1,1))+($AX175-$AY175)*MAX(0,-BT175/10%-2)),0),"")</f>
        <v/>
      </c>
      <c r="EF175" s="550" t="n">
        <f aca="false">IF(BD175,xASN(BR175,Strike1,AO175,ED175,0,BO175,0,BI175,BL175,IF(OptControl=4,0,1),0),0)</f>
        <v>0</v>
      </c>
      <c r="EG175" s="551" t="n">
        <f aca="false">IF(BD175,xASN(BR175,Strike2,AO175,EE175,0,BO175,0,BI175,BL175,IF(OptControl=3,1,0),0),0)</f>
        <v>0</v>
      </c>
      <c r="EL175" s="1"/>
      <c r="EM175" s="195"/>
      <c r="EN175" s="240"/>
      <c r="EO175" s="240"/>
      <c r="EP175" s="195"/>
      <c r="EQ175" s="407" t="s">
        <v>403</v>
      </c>
      <c r="ES175" s="130"/>
      <c r="ET175" s="19"/>
      <c r="EU175" s="672"/>
      <c r="EV175" s="478"/>
      <c r="EW175" s="131"/>
      <c r="EX175" s="131"/>
      <c r="EY175" s="129"/>
      <c r="EZ175" s="129"/>
      <c r="FA175" s="129"/>
      <c r="FB175" s="129"/>
      <c r="FC175" s="129"/>
      <c r="FD175" s="129"/>
      <c r="FE175" s="129"/>
      <c r="FF175" s="129"/>
      <c r="FG175" s="129"/>
      <c r="FH175" s="129"/>
      <c r="FI175" s="129"/>
      <c r="FJ175" s="571" t="n">
        <v>6</v>
      </c>
      <c r="FK175" s="150" t="str">
        <f aca="false">IF(OR(FK$169&lt;SwaptionFirstMonthPosition+1,$FJ175&lt;SwaptionFirstMonthPosition+1,FK$169&gt;SwaptionFirstMonthPosition+SwaptionNumOfMonths+1,$FJ175&gt;SwaptionFirstMonthPosition+SwaptionNumOfMonths+1),"",IF($FJ175=FK$169,1,IF($FJ175&lt;FK$169,INDEX($FK$170:$ID$241,FK$169,$FJ175),SUMPRODUCT(INDEX($FK$325:$ID$396,FK$169,1+SwaptionShift):INDEX($FK$325:$ID$396,FK$169,SwaptionMonthsToGo+SwaptionShift),INDEX($FK$245:$ID$316,$FJ175-FK$169,73-FK$169+SwaptionShift):INDEX($FK$245:$ID$316,$FJ175-FK$169,72-FK$169+SwaptionMonthsToGo+SwaptionShift))/SQRT(SUM(INDEX($FK330:$ID330,1+SwaptionShift):INDEX($FK330:$ID330,SwaptionMonthsToGo+SwaptionShift))*SUM(INDEX($FK$325:$ID$396,FK$169,1+SwaptionShift):INDEX($FK$325:$ID$396,FK$169,SwaptionMonthsToGo+SwaptionShift))))))</f>
        <v/>
      </c>
      <c r="FL175" s="150" t="str">
        <f aca="false">IF(OR(FL$169&lt;SwaptionFirstMonthPosition+1,$FJ175&lt;SwaptionFirstMonthPosition+1,FL$169&gt;SwaptionFirstMonthPosition+SwaptionNumOfMonths+1,$FJ175&gt;SwaptionFirstMonthPosition+SwaptionNumOfMonths+1),"",IF($FJ175=FL$169,1,IF($FJ175&lt;FL$169,INDEX($FK$170:$ID$241,FL$169,$FJ175),SUMPRODUCT(INDEX($FK$325:$ID$396,FL$169,1+SwaptionShift):INDEX($FK$325:$ID$396,FL$169,SwaptionMonthsToGo+SwaptionShift),INDEX($FK$245:$ID$316,$FJ175-FL$169,73-FL$169+SwaptionShift):INDEX($FK$245:$ID$316,$FJ175-FL$169,72-FL$169+SwaptionMonthsToGo+SwaptionShift))/SQRT(SUM(INDEX($FK330:$ID330,1+SwaptionShift):INDEX($FK330:$ID330,SwaptionMonthsToGo+SwaptionShift))*SUM(INDEX($FK$325:$ID$396,FL$169,1+SwaptionShift):INDEX($FK$325:$ID$396,FL$169,SwaptionMonthsToGo+SwaptionShift))))))</f>
        <v/>
      </c>
      <c r="FM175" s="150" t="str">
        <f aca="false">IF(OR(FM$169&lt;SwaptionFirstMonthPosition+1,$FJ175&lt;SwaptionFirstMonthPosition+1,FM$169&gt;SwaptionFirstMonthPosition+SwaptionNumOfMonths+1,$FJ175&gt;SwaptionFirstMonthPosition+SwaptionNumOfMonths+1),"",IF($FJ175=FM$169,1,IF($FJ175&lt;FM$169,INDEX($FK$170:$ID$241,FM$169,$FJ175),SUMPRODUCT(INDEX($FK$325:$ID$396,FM$169,1+SwaptionShift):INDEX($FK$325:$ID$396,FM$169,SwaptionMonthsToGo+SwaptionShift),INDEX($FK$245:$ID$316,$FJ175-FM$169,73-FM$169+SwaptionShift):INDEX($FK$245:$ID$316,$FJ175-FM$169,72-FM$169+SwaptionMonthsToGo+SwaptionShift))/SQRT(SUM(INDEX($FK330:$ID330,1+SwaptionShift):INDEX($FK330:$ID330,SwaptionMonthsToGo+SwaptionShift))*SUM(INDEX($FK$325:$ID$396,FM$169,1+SwaptionShift):INDEX($FK$325:$ID$396,FM$169,SwaptionMonthsToGo+SwaptionShift))))))</f>
        <v/>
      </c>
      <c r="FN175" s="150" t="str">
        <f aca="false">IF(OR(FN$169&lt;SwaptionFirstMonthPosition+1,$FJ175&lt;SwaptionFirstMonthPosition+1,FN$169&gt;SwaptionFirstMonthPosition+SwaptionNumOfMonths+1,$FJ175&gt;SwaptionFirstMonthPosition+SwaptionNumOfMonths+1),"",IF($FJ175=FN$169,1,IF($FJ175&lt;FN$169,INDEX($FK$170:$ID$241,FN$169,$FJ175),SUMPRODUCT(INDEX($FK$325:$ID$396,FN$169,1+SwaptionShift):INDEX($FK$325:$ID$396,FN$169,SwaptionMonthsToGo+SwaptionShift),INDEX($FK$245:$ID$316,$FJ175-FN$169,73-FN$169+SwaptionShift):INDEX($FK$245:$ID$316,$FJ175-FN$169,72-FN$169+SwaptionMonthsToGo+SwaptionShift))/SQRT(SUM(INDEX($FK330:$ID330,1+SwaptionShift):INDEX($FK330:$ID330,SwaptionMonthsToGo+SwaptionShift))*SUM(INDEX($FK$325:$ID$396,FN$169,1+SwaptionShift):INDEX($FK$325:$ID$396,FN$169,SwaptionMonthsToGo+SwaptionShift))))))</f>
        <v/>
      </c>
      <c r="FO175" s="150" t="str">
        <f aca="false">IF(OR(FO$169&lt;SwaptionFirstMonthPosition+1,$FJ175&lt;SwaptionFirstMonthPosition+1,FO$169&gt;SwaptionFirstMonthPosition+SwaptionNumOfMonths+1,$FJ175&gt;SwaptionFirstMonthPosition+SwaptionNumOfMonths+1),"",IF($FJ175=FO$169,1,IF($FJ175&lt;FO$169,INDEX($FK$170:$ID$241,FO$169,$FJ175),SUMPRODUCT(INDEX($FK$325:$ID$396,FO$169,1+SwaptionShift):INDEX($FK$325:$ID$396,FO$169,SwaptionMonthsToGo+SwaptionShift),INDEX($FK$245:$ID$316,$FJ175-FO$169,73-FO$169+SwaptionShift):INDEX($FK$245:$ID$316,$FJ175-FO$169,72-FO$169+SwaptionMonthsToGo+SwaptionShift))/SQRT(SUM(INDEX($FK330:$ID330,1+SwaptionShift):INDEX($FK330:$ID330,SwaptionMonthsToGo+SwaptionShift))*SUM(INDEX($FK$325:$ID$396,FO$169,1+SwaptionShift):INDEX($FK$325:$ID$396,FO$169,SwaptionMonthsToGo+SwaptionShift))))))</f>
        <v/>
      </c>
      <c r="FP175" s="150" t="n">
        <f aca="false">IF(OR(FP$169&lt;SwaptionFirstMonthPosition+1,$FJ175&lt;SwaptionFirstMonthPosition+1,FP$169&gt;SwaptionFirstMonthPosition+SwaptionNumOfMonths+1,$FJ175&gt;SwaptionFirstMonthPosition+SwaptionNumOfMonths+1),"",IF($FJ175=FP$169,1,IF($FJ175&lt;FP$169,INDEX($FK$170:$ID$241,FP$169,$FJ175),SUMPRODUCT(INDEX($FK$325:$ID$396,FP$169,1+SwaptionShift):INDEX($FK$325:$ID$396,FP$169,SwaptionMonthsToGo+SwaptionShift),INDEX($FK$245:$ID$316,$FJ175-FP$169,73-FP$169+SwaptionShift):INDEX($FK$245:$ID$316,$FJ175-FP$169,72-FP$169+SwaptionMonthsToGo+SwaptionShift))/SQRT(SUM(INDEX($FK330:$ID330,1+SwaptionShift):INDEX($FK330:$ID330,SwaptionMonthsToGo+SwaptionShift))*SUM(INDEX($FK$325:$ID$396,FP$169,1+SwaptionShift):INDEX($FK$325:$ID$396,FP$169,SwaptionMonthsToGo+SwaptionShift))))))</f>
        <v>1</v>
      </c>
      <c r="FQ175" s="150" t="e">
        <f aca="false">IF(OR(FQ$169&lt;SwaptionFirstMonthPosition+1,$FJ175&lt;SwaptionFirstMonthPosition+1,FQ$169&gt;SwaptionFirstMonthPosition+SwaptionNumOfMonths+1,$FJ175&gt;SwaptionFirstMonthPosition+SwaptionNumOfMonths+1),"",IF($FJ175=FQ$169,1,IF($FJ175&lt;FQ$169,INDEX($FK$170:$ID$241,FQ$169,$FJ175),SUMPRODUCT(INDEX($FK$325:$ID$396,FQ$169,1+SwaptionShift):INDEX($FK$325:$ID$396,FQ$169,SwaptionMonthsToGo+SwaptionShift),INDEX($FK$245:$ID$316,$FJ175-FQ$169,73-FQ$169+SwaptionShift):INDEX($FK$245:$ID$316,$FJ175-FQ$169,72-FQ$169+SwaptionMonthsToGo+SwaptionShift))/SQRT(SUM(INDEX($FK330:$ID330,1+SwaptionShift):INDEX($FK330:$ID330,SwaptionMonthsToGo+SwaptionShift))*SUM(INDEX($FK$325:$ID$396,FQ$169,1+SwaptionShift):INDEX($FK$325:$ID$396,FQ$169,SwaptionMonthsToGo+SwaptionShift))))))</f>
        <v>#DIV/0!</v>
      </c>
      <c r="FR175" s="150" t="e">
        <f aca="false">IF(OR(FR$169&lt;SwaptionFirstMonthPosition+1,$FJ175&lt;SwaptionFirstMonthPosition+1,FR$169&gt;SwaptionFirstMonthPosition+SwaptionNumOfMonths+1,$FJ175&gt;SwaptionFirstMonthPosition+SwaptionNumOfMonths+1),"",IF($FJ175=FR$169,1,IF($FJ175&lt;FR$169,INDEX($FK$170:$ID$241,FR$169,$FJ175),SUMPRODUCT(INDEX($FK$325:$ID$396,FR$169,1+SwaptionShift):INDEX($FK$325:$ID$396,FR$169,SwaptionMonthsToGo+SwaptionShift),INDEX($FK$245:$ID$316,$FJ175-FR$169,73-FR$169+SwaptionShift):INDEX($FK$245:$ID$316,$FJ175-FR$169,72-FR$169+SwaptionMonthsToGo+SwaptionShift))/SQRT(SUM(INDEX($FK330:$ID330,1+SwaptionShift):INDEX($FK330:$ID330,SwaptionMonthsToGo+SwaptionShift))*SUM(INDEX($FK$325:$ID$396,FR$169,1+SwaptionShift):INDEX($FK$325:$ID$396,FR$169,SwaptionMonthsToGo+SwaptionShift))))))</f>
        <v>#DIV/0!</v>
      </c>
      <c r="FS175" s="150" t="e">
        <f aca="false">IF(OR(FS$169&lt;SwaptionFirstMonthPosition+1,$FJ175&lt;SwaptionFirstMonthPosition+1,FS$169&gt;SwaptionFirstMonthPosition+SwaptionNumOfMonths+1,$FJ175&gt;SwaptionFirstMonthPosition+SwaptionNumOfMonths+1),"",IF($FJ175=FS$169,1,IF($FJ175&lt;FS$169,INDEX($FK$170:$ID$241,FS$169,$FJ175),SUMPRODUCT(INDEX($FK$325:$ID$396,FS$169,1+SwaptionShift):INDEX($FK$325:$ID$396,FS$169,SwaptionMonthsToGo+SwaptionShift),INDEX($FK$245:$ID$316,$FJ175-FS$169,73-FS$169+SwaptionShift):INDEX($FK$245:$ID$316,$FJ175-FS$169,72-FS$169+SwaptionMonthsToGo+SwaptionShift))/SQRT(SUM(INDEX($FK330:$ID330,1+SwaptionShift):INDEX($FK330:$ID330,SwaptionMonthsToGo+SwaptionShift))*SUM(INDEX($FK$325:$ID$396,FS$169,1+SwaptionShift):INDEX($FK$325:$ID$396,FS$169,SwaptionMonthsToGo+SwaptionShift))))))</f>
        <v>#DIV/0!</v>
      </c>
      <c r="FT175" s="150" t="e">
        <f aca="false">IF(OR(FT$169&lt;SwaptionFirstMonthPosition+1,$FJ175&lt;SwaptionFirstMonthPosition+1,FT$169&gt;SwaptionFirstMonthPosition+SwaptionNumOfMonths+1,$FJ175&gt;SwaptionFirstMonthPosition+SwaptionNumOfMonths+1),"",IF($FJ175=FT$169,1,IF($FJ175&lt;FT$169,INDEX($FK$170:$ID$241,FT$169,$FJ175),SUMPRODUCT(INDEX($FK$325:$ID$396,FT$169,1+SwaptionShift):INDEX($FK$325:$ID$396,FT$169,SwaptionMonthsToGo+SwaptionShift),INDEX($FK$245:$ID$316,$FJ175-FT$169,73-FT$169+SwaptionShift):INDEX($FK$245:$ID$316,$FJ175-FT$169,72-FT$169+SwaptionMonthsToGo+SwaptionShift))/SQRT(SUM(INDEX($FK330:$ID330,1+SwaptionShift):INDEX($FK330:$ID330,SwaptionMonthsToGo+SwaptionShift))*SUM(INDEX($FK$325:$ID$396,FT$169,1+SwaptionShift):INDEX($FK$325:$ID$396,FT$169,SwaptionMonthsToGo+SwaptionShift))))))</f>
        <v>#DIV/0!</v>
      </c>
      <c r="FU175" s="150" t="e">
        <f aca="false">IF(OR(FU$169&lt;SwaptionFirstMonthPosition+1,$FJ175&lt;SwaptionFirstMonthPosition+1,FU$169&gt;SwaptionFirstMonthPosition+SwaptionNumOfMonths+1,$FJ175&gt;SwaptionFirstMonthPosition+SwaptionNumOfMonths+1),"",IF($FJ175=FU$169,1,IF($FJ175&lt;FU$169,INDEX($FK$170:$ID$241,FU$169,$FJ175),SUMPRODUCT(INDEX($FK$325:$ID$396,FU$169,1+SwaptionShift):INDEX($FK$325:$ID$396,FU$169,SwaptionMonthsToGo+SwaptionShift),INDEX($FK$245:$ID$316,$FJ175-FU$169,73-FU$169+SwaptionShift):INDEX($FK$245:$ID$316,$FJ175-FU$169,72-FU$169+SwaptionMonthsToGo+SwaptionShift))/SQRT(SUM(INDEX($FK330:$ID330,1+SwaptionShift):INDEX($FK330:$ID330,SwaptionMonthsToGo+SwaptionShift))*SUM(INDEX($FK$325:$ID$396,FU$169,1+SwaptionShift):INDEX($FK$325:$ID$396,FU$169,SwaptionMonthsToGo+SwaptionShift))))))</f>
        <v>#DIV/0!</v>
      </c>
      <c r="FV175" s="150" t="e">
        <f aca="false">IF(OR(FV$169&lt;SwaptionFirstMonthPosition+1,$FJ175&lt;SwaptionFirstMonthPosition+1,FV$169&gt;SwaptionFirstMonthPosition+SwaptionNumOfMonths+1,$FJ175&gt;SwaptionFirstMonthPosition+SwaptionNumOfMonths+1),"",IF($FJ175=FV$169,1,IF($FJ175&lt;FV$169,INDEX($FK$170:$ID$241,FV$169,$FJ175),SUMPRODUCT(INDEX($FK$325:$ID$396,FV$169,1+SwaptionShift):INDEX($FK$325:$ID$396,FV$169,SwaptionMonthsToGo+SwaptionShift),INDEX($FK$245:$ID$316,$FJ175-FV$169,73-FV$169+SwaptionShift):INDEX($FK$245:$ID$316,$FJ175-FV$169,72-FV$169+SwaptionMonthsToGo+SwaptionShift))/SQRT(SUM(INDEX($FK330:$ID330,1+SwaptionShift):INDEX($FK330:$ID330,SwaptionMonthsToGo+SwaptionShift))*SUM(INDEX($FK$325:$ID$396,FV$169,1+SwaptionShift):INDEX($FK$325:$ID$396,FV$169,SwaptionMonthsToGo+SwaptionShift))))))</f>
        <v>#DIV/0!</v>
      </c>
      <c r="FW175" s="150" t="e">
        <f aca="false">IF(OR(FW$169&lt;SwaptionFirstMonthPosition+1,$FJ175&lt;SwaptionFirstMonthPosition+1,FW$169&gt;SwaptionFirstMonthPosition+SwaptionNumOfMonths+1,$FJ175&gt;SwaptionFirstMonthPosition+SwaptionNumOfMonths+1),"",IF($FJ175=FW$169,1,IF($FJ175&lt;FW$169,INDEX($FK$170:$ID$241,FW$169,$FJ175),SUMPRODUCT(INDEX($FK$325:$ID$396,FW$169,1+SwaptionShift):INDEX($FK$325:$ID$396,FW$169,SwaptionMonthsToGo+SwaptionShift),INDEX($FK$245:$ID$316,$FJ175-FW$169,73-FW$169+SwaptionShift):INDEX($FK$245:$ID$316,$FJ175-FW$169,72-FW$169+SwaptionMonthsToGo+SwaptionShift))/SQRT(SUM(INDEX($FK330:$ID330,1+SwaptionShift):INDEX($FK330:$ID330,SwaptionMonthsToGo+SwaptionShift))*SUM(INDEX($FK$325:$ID$396,FW$169,1+SwaptionShift):INDEX($FK$325:$ID$396,FW$169,SwaptionMonthsToGo+SwaptionShift))))))</f>
        <v>#DIV/0!</v>
      </c>
      <c r="FX175" s="150" t="e">
        <f aca="false">IF(OR(FX$169&lt;SwaptionFirstMonthPosition+1,$FJ175&lt;SwaptionFirstMonthPosition+1,FX$169&gt;SwaptionFirstMonthPosition+SwaptionNumOfMonths+1,$FJ175&gt;SwaptionFirstMonthPosition+SwaptionNumOfMonths+1),"",IF($FJ175=FX$169,1,IF($FJ175&lt;FX$169,INDEX($FK$170:$ID$241,FX$169,$FJ175),SUMPRODUCT(INDEX($FK$325:$ID$396,FX$169,1+SwaptionShift):INDEX($FK$325:$ID$396,FX$169,SwaptionMonthsToGo+SwaptionShift),INDEX($FK$245:$ID$316,$FJ175-FX$169,73-FX$169+SwaptionShift):INDEX($FK$245:$ID$316,$FJ175-FX$169,72-FX$169+SwaptionMonthsToGo+SwaptionShift))/SQRT(SUM(INDEX($FK330:$ID330,1+SwaptionShift):INDEX($FK330:$ID330,SwaptionMonthsToGo+SwaptionShift))*SUM(INDEX($FK$325:$ID$396,FX$169,1+SwaptionShift):INDEX($FK$325:$ID$396,FX$169,SwaptionMonthsToGo+SwaptionShift))))))</f>
        <v>#DIV/0!</v>
      </c>
      <c r="FY175" s="150" t="e">
        <f aca="false">IF(OR(FY$169&lt;SwaptionFirstMonthPosition+1,$FJ175&lt;SwaptionFirstMonthPosition+1,FY$169&gt;SwaptionFirstMonthPosition+SwaptionNumOfMonths+1,$FJ175&gt;SwaptionFirstMonthPosition+SwaptionNumOfMonths+1),"",IF($FJ175=FY$169,1,IF($FJ175&lt;FY$169,INDEX($FK$170:$ID$241,FY$169,$FJ175),SUMPRODUCT(INDEX($FK$325:$ID$396,FY$169,1+SwaptionShift):INDEX($FK$325:$ID$396,FY$169,SwaptionMonthsToGo+SwaptionShift),INDEX($FK$245:$ID$316,$FJ175-FY$169,73-FY$169+SwaptionShift):INDEX($FK$245:$ID$316,$FJ175-FY$169,72-FY$169+SwaptionMonthsToGo+SwaptionShift))/SQRT(SUM(INDEX($FK330:$ID330,1+SwaptionShift):INDEX($FK330:$ID330,SwaptionMonthsToGo+SwaptionShift))*SUM(INDEX($FK$325:$ID$396,FY$169,1+SwaptionShift):INDEX($FK$325:$ID$396,FY$169,SwaptionMonthsToGo+SwaptionShift))))))</f>
        <v>#DIV/0!</v>
      </c>
      <c r="FZ175" s="150" t="e">
        <f aca="false">IF(OR(FZ$169&lt;SwaptionFirstMonthPosition+1,$FJ175&lt;SwaptionFirstMonthPosition+1,FZ$169&gt;SwaptionFirstMonthPosition+SwaptionNumOfMonths+1,$FJ175&gt;SwaptionFirstMonthPosition+SwaptionNumOfMonths+1),"",IF($FJ175=FZ$169,1,IF($FJ175&lt;FZ$169,INDEX($FK$170:$ID$241,FZ$169,$FJ175),SUMPRODUCT(INDEX($FK$325:$ID$396,FZ$169,1+SwaptionShift):INDEX($FK$325:$ID$396,FZ$169,SwaptionMonthsToGo+SwaptionShift),INDEX($FK$245:$ID$316,$FJ175-FZ$169,73-FZ$169+SwaptionShift):INDEX($FK$245:$ID$316,$FJ175-FZ$169,72-FZ$169+SwaptionMonthsToGo+SwaptionShift))/SQRT(SUM(INDEX($FK330:$ID330,1+SwaptionShift):INDEX($FK330:$ID330,SwaptionMonthsToGo+SwaptionShift))*SUM(INDEX($FK$325:$ID$396,FZ$169,1+SwaptionShift):INDEX($FK$325:$ID$396,FZ$169,SwaptionMonthsToGo+SwaptionShift))))))</f>
        <v>#DIV/0!</v>
      </c>
      <c r="GA175" s="150" t="e">
        <f aca="false">IF(OR(GA$169&lt;SwaptionFirstMonthPosition+1,$FJ175&lt;SwaptionFirstMonthPosition+1,GA$169&gt;SwaptionFirstMonthPosition+SwaptionNumOfMonths+1,$FJ175&gt;SwaptionFirstMonthPosition+SwaptionNumOfMonths+1),"",IF($FJ175=GA$169,1,IF($FJ175&lt;GA$169,INDEX($FK$170:$ID$241,GA$169,$FJ175),SUMPRODUCT(INDEX($FK$325:$ID$396,GA$169,1+SwaptionShift):INDEX($FK$325:$ID$396,GA$169,SwaptionMonthsToGo+SwaptionShift),INDEX($FK$245:$ID$316,$FJ175-GA$169,73-GA$169+SwaptionShift):INDEX($FK$245:$ID$316,$FJ175-GA$169,72-GA$169+SwaptionMonthsToGo+SwaptionShift))/SQRT(SUM(INDEX($FK330:$ID330,1+SwaptionShift):INDEX($FK330:$ID330,SwaptionMonthsToGo+SwaptionShift))*SUM(INDEX($FK$325:$ID$396,GA$169,1+SwaptionShift):INDEX($FK$325:$ID$396,GA$169,SwaptionMonthsToGo+SwaptionShift))))))</f>
        <v>#DIV/0!</v>
      </c>
      <c r="GB175" s="150" t="e">
        <f aca="false">IF(OR(GB$169&lt;SwaptionFirstMonthPosition+1,$FJ175&lt;SwaptionFirstMonthPosition+1,GB$169&gt;SwaptionFirstMonthPosition+SwaptionNumOfMonths+1,$FJ175&gt;SwaptionFirstMonthPosition+SwaptionNumOfMonths+1),"",IF($FJ175=GB$169,1,IF($FJ175&lt;GB$169,INDEX($FK$170:$ID$241,GB$169,$FJ175),SUMPRODUCT(INDEX($FK$325:$ID$396,GB$169,1+SwaptionShift):INDEX($FK$325:$ID$396,GB$169,SwaptionMonthsToGo+SwaptionShift),INDEX($FK$245:$ID$316,$FJ175-GB$169,73-GB$169+SwaptionShift):INDEX($FK$245:$ID$316,$FJ175-GB$169,72-GB$169+SwaptionMonthsToGo+SwaptionShift))/SQRT(SUM(INDEX($FK330:$ID330,1+SwaptionShift):INDEX($FK330:$ID330,SwaptionMonthsToGo+SwaptionShift))*SUM(INDEX($FK$325:$ID$396,GB$169,1+SwaptionShift):INDEX($FK$325:$ID$396,GB$169,SwaptionMonthsToGo+SwaptionShift))))))</f>
        <v>#DIV/0!</v>
      </c>
      <c r="GC175" s="150" t="str">
        <f aca="false">IF(OR(GC$169&lt;SwaptionFirstMonthPosition+1,$FJ175&lt;SwaptionFirstMonthPosition+1,GC$169&gt;SwaptionFirstMonthPosition+SwaptionNumOfMonths+1,$FJ175&gt;SwaptionFirstMonthPosition+SwaptionNumOfMonths+1),"",IF($FJ175=GC$169,1,IF($FJ175&lt;GC$169,INDEX($FK$170:$ID$241,GC$169,$FJ175),SUMPRODUCT(INDEX($FK$325:$ID$396,GC$169,1+SwaptionShift):INDEX($FK$325:$ID$396,GC$169,SwaptionMonthsToGo+SwaptionShift),INDEX($FK$245:$ID$316,$FJ175-GC$169,73-GC$169+SwaptionShift):INDEX($FK$245:$ID$316,$FJ175-GC$169,72-GC$169+SwaptionMonthsToGo+SwaptionShift))/SQRT(SUM(INDEX($FK330:$ID330,1+SwaptionShift):INDEX($FK330:$ID330,SwaptionMonthsToGo+SwaptionShift))*SUM(INDEX($FK$325:$ID$396,GC$169,1+SwaptionShift):INDEX($FK$325:$ID$396,GC$169,SwaptionMonthsToGo+SwaptionShift))))))</f>
        <v/>
      </c>
      <c r="GD175" s="150" t="str">
        <f aca="false">IF(OR(GD$169&lt;SwaptionFirstMonthPosition+1,$FJ175&lt;SwaptionFirstMonthPosition+1,GD$169&gt;SwaptionFirstMonthPosition+SwaptionNumOfMonths+1,$FJ175&gt;SwaptionFirstMonthPosition+SwaptionNumOfMonths+1),"",IF($FJ175=GD$169,1,IF($FJ175&lt;GD$169,INDEX($FK$170:$ID$241,GD$169,$FJ175),SUMPRODUCT(INDEX($FK$325:$ID$396,GD$169,1+SwaptionShift):INDEX($FK$325:$ID$396,GD$169,SwaptionMonthsToGo+SwaptionShift),INDEX($FK$245:$ID$316,$FJ175-GD$169,73-GD$169+SwaptionShift):INDEX($FK$245:$ID$316,$FJ175-GD$169,72-GD$169+SwaptionMonthsToGo+SwaptionShift))/SQRT(SUM(INDEX($FK330:$ID330,1+SwaptionShift):INDEX($FK330:$ID330,SwaptionMonthsToGo+SwaptionShift))*SUM(INDEX($FK$325:$ID$396,GD$169,1+SwaptionShift):INDEX($FK$325:$ID$396,GD$169,SwaptionMonthsToGo+SwaptionShift))))))</f>
        <v/>
      </c>
      <c r="GE175" s="150" t="str">
        <f aca="false">IF(OR(GE$169&lt;SwaptionFirstMonthPosition+1,$FJ175&lt;SwaptionFirstMonthPosition+1,GE$169&gt;SwaptionFirstMonthPosition+SwaptionNumOfMonths+1,$FJ175&gt;SwaptionFirstMonthPosition+SwaptionNumOfMonths+1),"",IF($FJ175=GE$169,1,IF($FJ175&lt;GE$169,INDEX($FK$170:$ID$241,GE$169,$FJ175),SUMPRODUCT(INDEX($FK$325:$ID$396,GE$169,1+SwaptionShift):INDEX($FK$325:$ID$396,GE$169,SwaptionMonthsToGo+SwaptionShift),INDEX($FK$245:$ID$316,$FJ175-GE$169,73-GE$169+SwaptionShift):INDEX($FK$245:$ID$316,$FJ175-GE$169,72-GE$169+SwaptionMonthsToGo+SwaptionShift))/SQRT(SUM(INDEX($FK330:$ID330,1+SwaptionShift):INDEX($FK330:$ID330,SwaptionMonthsToGo+SwaptionShift))*SUM(INDEX($FK$325:$ID$396,GE$169,1+SwaptionShift):INDEX($FK$325:$ID$396,GE$169,SwaptionMonthsToGo+SwaptionShift))))))</f>
        <v/>
      </c>
      <c r="GF175" s="150" t="str">
        <f aca="false">IF(OR(GF$169&lt;SwaptionFirstMonthPosition+1,$FJ175&lt;SwaptionFirstMonthPosition+1,GF$169&gt;SwaptionFirstMonthPosition+SwaptionNumOfMonths+1,$FJ175&gt;SwaptionFirstMonthPosition+SwaptionNumOfMonths+1),"",IF($FJ175=GF$169,1,IF($FJ175&lt;GF$169,INDEX($FK$170:$ID$241,GF$169,$FJ175),SUMPRODUCT(INDEX($FK$325:$ID$396,GF$169,1+SwaptionShift):INDEX($FK$325:$ID$396,GF$169,SwaptionMonthsToGo+SwaptionShift),INDEX($FK$245:$ID$316,$FJ175-GF$169,73-GF$169+SwaptionShift):INDEX($FK$245:$ID$316,$FJ175-GF$169,72-GF$169+SwaptionMonthsToGo+SwaptionShift))/SQRT(SUM(INDEX($FK330:$ID330,1+SwaptionShift):INDEX($FK330:$ID330,SwaptionMonthsToGo+SwaptionShift))*SUM(INDEX($FK$325:$ID$396,GF$169,1+SwaptionShift):INDEX($FK$325:$ID$396,GF$169,SwaptionMonthsToGo+SwaptionShift))))))</f>
        <v/>
      </c>
      <c r="GG175" s="150" t="str">
        <f aca="false">IF(OR(GG$169&lt;SwaptionFirstMonthPosition+1,$FJ175&lt;SwaptionFirstMonthPosition+1,GG$169&gt;SwaptionFirstMonthPosition+SwaptionNumOfMonths+1,$FJ175&gt;SwaptionFirstMonthPosition+SwaptionNumOfMonths+1),"",IF($FJ175=GG$169,1,IF($FJ175&lt;GG$169,INDEX($FK$170:$ID$241,GG$169,$FJ175),SUMPRODUCT(INDEX($FK$325:$ID$396,GG$169,1+SwaptionShift):INDEX($FK$325:$ID$396,GG$169,SwaptionMonthsToGo+SwaptionShift),INDEX($FK$245:$ID$316,$FJ175-GG$169,73-GG$169+SwaptionShift):INDEX($FK$245:$ID$316,$FJ175-GG$169,72-GG$169+SwaptionMonthsToGo+SwaptionShift))/SQRT(SUM(INDEX($FK330:$ID330,1+SwaptionShift):INDEX($FK330:$ID330,SwaptionMonthsToGo+SwaptionShift))*SUM(INDEX($FK$325:$ID$396,GG$169,1+SwaptionShift):INDEX($FK$325:$ID$396,GG$169,SwaptionMonthsToGo+SwaptionShift))))))</f>
        <v/>
      </c>
      <c r="GH175" s="150" t="str">
        <f aca="false">IF(OR(GH$169&lt;SwaptionFirstMonthPosition+1,$FJ175&lt;SwaptionFirstMonthPosition+1,GH$169&gt;SwaptionFirstMonthPosition+SwaptionNumOfMonths+1,$FJ175&gt;SwaptionFirstMonthPosition+SwaptionNumOfMonths+1),"",IF($FJ175=GH$169,1,IF($FJ175&lt;GH$169,INDEX($FK$170:$ID$241,GH$169,$FJ175),SUMPRODUCT(INDEX($FK$325:$ID$396,GH$169,1+SwaptionShift):INDEX($FK$325:$ID$396,GH$169,SwaptionMonthsToGo+SwaptionShift),INDEX($FK$245:$ID$316,$FJ175-GH$169,73-GH$169+SwaptionShift):INDEX($FK$245:$ID$316,$FJ175-GH$169,72-GH$169+SwaptionMonthsToGo+SwaptionShift))/SQRT(SUM(INDEX($FK330:$ID330,1+SwaptionShift):INDEX($FK330:$ID330,SwaptionMonthsToGo+SwaptionShift))*SUM(INDEX($FK$325:$ID$396,GH$169,1+SwaptionShift):INDEX($FK$325:$ID$396,GH$169,SwaptionMonthsToGo+SwaptionShift))))))</f>
        <v/>
      </c>
      <c r="GI175" s="150" t="str">
        <f aca="false">IF(OR(GI$169&lt;SwaptionFirstMonthPosition+1,$FJ175&lt;SwaptionFirstMonthPosition+1,GI$169&gt;SwaptionFirstMonthPosition+SwaptionNumOfMonths+1,$FJ175&gt;SwaptionFirstMonthPosition+SwaptionNumOfMonths+1),"",IF($FJ175=GI$169,1,IF($FJ175&lt;GI$169,INDEX($FK$170:$ID$241,GI$169,$FJ175),SUMPRODUCT(INDEX($FK$325:$ID$396,GI$169,1+SwaptionShift):INDEX($FK$325:$ID$396,GI$169,SwaptionMonthsToGo+SwaptionShift),INDEX($FK$245:$ID$316,$FJ175-GI$169,73-GI$169+SwaptionShift):INDEX($FK$245:$ID$316,$FJ175-GI$169,72-GI$169+SwaptionMonthsToGo+SwaptionShift))/SQRT(SUM(INDEX($FK330:$ID330,1+SwaptionShift):INDEX($FK330:$ID330,SwaptionMonthsToGo+SwaptionShift))*SUM(INDEX($FK$325:$ID$396,GI$169,1+SwaptionShift):INDEX($FK$325:$ID$396,GI$169,SwaptionMonthsToGo+SwaptionShift))))))</f>
        <v/>
      </c>
      <c r="GJ175" s="150" t="str">
        <f aca="false">IF(OR(GJ$169&lt;SwaptionFirstMonthPosition+1,$FJ175&lt;SwaptionFirstMonthPosition+1,GJ$169&gt;SwaptionFirstMonthPosition+SwaptionNumOfMonths+1,$FJ175&gt;SwaptionFirstMonthPosition+SwaptionNumOfMonths+1),"",IF($FJ175=GJ$169,1,IF($FJ175&lt;GJ$169,INDEX($FK$170:$ID$241,GJ$169,$FJ175),SUMPRODUCT(INDEX($FK$325:$ID$396,GJ$169,1+SwaptionShift):INDEX($FK$325:$ID$396,GJ$169,SwaptionMonthsToGo+SwaptionShift),INDEX($FK$245:$ID$316,$FJ175-GJ$169,73-GJ$169+SwaptionShift):INDEX($FK$245:$ID$316,$FJ175-GJ$169,72-GJ$169+SwaptionMonthsToGo+SwaptionShift))/SQRT(SUM(INDEX($FK330:$ID330,1+SwaptionShift):INDEX($FK330:$ID330,SwaptionMonthsToGo+SwaptionShift))*SUM(INDEX($FK$325:$ID$396,GJ$169,1+SwaptionShift):INDEX($FK$325:$ID$396,GJ$169,SwaptionMonthsToGo+SwaptionShift))))))</f>
        <v/>
      </c>
      <c r="GK175" s="150" t="str">
        <f aca="false">IF(OR(GK$169&lt;SwaptionFirstMonthPosition+1,$FJ175&lt;SwaptionFirstMonthPosition+1,GK$169&gt;SwaptionFirstMonthPosition+SwaptionNumOfMonths+1,$FJ175&gt;SwaptionFirstMonthPosition+SwaptionNumOfMonths+1),"",IF($FJ175=GK$169,1,IF($FJ175&lt;GK$169,INDEX($FK$170:$ID$241,GK$169,$FJ175),SUMPRODUCT(INDEX($FK$325:$ID$396,GK$169,1+SwaptionShift):INDEX($FK$325:$ID$396,GK$169,SwaptionMonthsToGo+SwaptionShift),INDEX($FK$245:$ID$316,$FJ175-GK$169,73-GK$169+SwaptionShift):INDEX($FK$245:$ID$316,$FJ175-GK$169,72-GK$169+SwaptionMonthsToGo+SwaptionShift))/SQRT(SUM(INDEX($FK330:$ID330,1+SwaptionShift):INDEX($FK330:$ID330,SwaptionMonthsToGo+SwaptionShift))*SUM(INDEX($FK$325:$ID$396,GK$169,1+SwaptionShift):INDEX($FK$325:$ID$396,GK$169,SwaptionMonthsToGo+SwaptionShift))))))</f>
        <v/>
      </c>
      <c r="GL175" s="150" t="str">
        <f aca="false">IF(OR(GL$169&lt;SwaptionFirstMonthPosition+1,$FJ175&lt;SwaptionFirstMonthPosition+1,GL$169&gt;SwaptionFirstMonthPosition+SwaptionNumOfMonths+1,$FJ175&gt;SwaptionFirstMonthPosition+SwaptionNumOfMonths+1),"",IF($FJ175=GL$169,1,IF($FJ175&lt;GL$169,INDEX($FK$170:$ID$241,GL$169,$FJ175),SUMPRODUCT(INDEX($FK$325:$ID$396,GL$169,1+SwaptionShift):INDEX($FK$325:$ID$396,GL$169,SwaptionMonthsToGo+SwaptionShift),INDEX($FK$245:$ID$316,$FJ175-GL$169,73-GL$169+SwaptionShift):INDEX($FK$245:$ID$316,$FJ175-GL$169,72-GL$169+SwaptionMonthsToGo+SwaptionShift))/SQRT(SUM(INDEX($FK330:$ID330,1+SwaptionShift):INDEX($FK330:$ID330,SwaptionMonthsToGo+SwaptionShift))*SUM(INDEX($FK$325:$ID$396,GL$169,1+SwaptionShift):INDEX($FK$325:$ID$396,GL$169,SwaptionMonthsToGo+SwaptionShift))))))</f>
        <v/>
      </c>
      <c r="GM175" s="150" t="str">
        <f aca="false">IF(OR(GM$169&lt;SwaptionFirstMonthPosition+1,$FJ175&lt;SwaptionFirstMonthPosition+1,GM$169&gt;SwaptionFirstMonthPosition+SwaptionNumOfMonths+1,$FJ175&gt;SwaptionFirstMonthPosition+SwaptionNumOfMonths+1),"",IF($FJ175=GM$169,1,IF($FJ175&lt;GM$169,INDEX($FK$170:$ID$241,GM$169,$FJ175),SUMPRODUCT(INDEX($FK$325:$ID$396,GM$169,1+SwaptionShift):INDEX($FK$325:$ID$396,GM$169,SwaptionMonthsToGo+SwaptionShift),INDEX($FK$245:$ID$316,$FJ175-GM$169,73-GM$169+SwaptionShift):INDEX($FK$245:$ID$316,$FJ175-GM$169,72-GM$169+SwaptionMonthsToGo+SwaptionShift))/SQRT(SUM(INDEX($FK330:$ID330,1+SwaptionShift):INDEX($FK330:$ID330,SwaptionMonthsToGo+SwaptionShift))*SUM(INDEX($FK$325:$ID$396,GM$169,1+SwaptionShift):INDEX($FK$325:$ID$396,GM$169,SwaptionMonthsToGo+SwaptionShift))))))</f>
        <v/>
      </c>
      <c r="GN175" s="150" t="str">
        <f aca="false">IF(OR(GN$169&lt;SwaptionFirstMonthPosition+1,$FJ175&lt;SwaptionFirstMonthPosition+1,GN$169&gt;SwaptionFirstMonthPosition+SwaptionNumOfMonths+1,$FJ175&gt;SwaptionFirstMonthPosition+SwaptionNumOfMonths+1),"",IF($FJ175=GN$169,1,IF($FJ175&lt;GN$169,INDEX($FK$170:$ID$241,GN$169,$FJ175),SUMPRODUCT(INDEX($FK$325:$ID$396,GN$169,1+SwaptionShift):INDEX($FK$325:$ID$396,GN$169,SwaptionMonthsToGo+SwaptionShift),INDEX($FK$245:$ID$316,$FJ175-GN$169,73-GN$169+SwaptionShift):INDEX($FK$245:$ID$316,$FJ175-GN$169,72-GN$169+SwaptionMonthsToGo+SwaptionShift))/SQRT(SUM(INDEX($FK330:$ID330,1+SwaptionShift):INDEX($FK330:$ID330,SwaptionMonthsToGo+SwaptionShift))*SUM(INDEX($FK$325:$ID$396,GN$169,1+SwaptionShift):INDEX($FK$325:$ID$396,GN$169,SwaptionMonthsToGo+SwaptionShift))))))</f>
        <v/>
      </c>
      <c r="GO175" s="150" t="str">
        <f aca="false">IF(OR(GO$169&lt;SwaptionFirstMonthPosition+1,$FJ175&lt;SwaptionFirstMonthPosition+1,GO$169&gt;SwaptionFirstMonthPosition+SwaptionNumOfMonths+1,$FJ175&gt;SwaptionFirstMonthPosition+SwaptionNumOfMonths+1),"",IF($FJ175=GO$169,1,IF($FJ175&lt;GO$169,INDEX($FK$170:$ID$241,GO$169,$FJ175),SUMPRODUCT(INDEX($FK$325:$ID$396,GO$169,1+SwaptionShift):INDEX($FK$325:$ID$396,GO$169,SwaptionMonthsToGo+SwaptionShift),INDEX($FK$245:$ID$316,$FJ175-GO$169,73-GO$169+SwaptionShift):INDEX($FK$245:$ID$316,$FJ175-GO$169,72-GO$169+SwaptionMonthsToGo+SwaptionShift))/SQRT(SUM(INDEX($FK330:$ID330,1+SwaptionShift):INDEX($FK330:$ID330,SwaptionMonthsToGo+SwaptionShift))*SUM(INDEX($FK$325:$ID$396,GO$169,1+SwaptionShift):INDEX($FK$325:$ID$396,GO$169,SwaptionMonthsToGo+SwaptionShift))))))</f>
        <v/>
      </c>
      <c r="GP175" s="150" t="str">
        <f aca="false">IF(OR(GP$169&lt;SwaptionFirstMonthPosition+1,$FJ175&lt;SwaptionFirstMonthPosition+1,GP$169&gt;SwaptionFirstMonthPosition+SwaptionNumOfMonths+1,$FJ175&gt;SwaptionFirstMonthPosition+SwaptionNumOfMonths+1),"",IF($FJ175=GP$169,1,IF($FJ175&lt;GP$169,INDEX($FK$170:$ID$241,GP$169,$FJ175),SUMPRODUCT(INDEX($FK$325:$ID$396,GP$169,1+SwaptionShift):INDEX($FK$325:$ID$396,GP$169,SwaptionMonthsToGo+SwaptionShift),INDEX($FK$245:$ID$316,$FJ175-GP$169,73-GP$169+SwaptionShift):INDEX($FK$245:$ID$316,$FJ175-GP$169,72-GP$169+SwaptionMonthsToGo+SwaptionShift))/SQRT(SUM(INDEX($FK330:$ID330,1+SwaptionShift):INDEX($FK330:$ID330,SwaptionMonthsToGo+SwaptionShift))*SUM(INDEX($FK$325:$ID$396,GP$169,1+SwaptionShift):INDEX($FK$325:$ID$396,GP$169,SwaptionMonthsToGo+SwaptionShift))))))</f>
        <v/>
      </c>
      <c r="GQ175" s="150" t="str">
        <f aca="false">IF(OR(GQ$169&lt;SwaptionFirstMonthPosition+1,$FJ175&lt;SwaptionFirstMonthPosition+1,GQ$169&gt;SwaptionFirstMonthPosition+SwaptionNumOfMonths+1,$FJ175&gt;SwaptionFirstMonthPosition+SwaptionNumOfMonths+1),"",IF($FJ175=GQ$169,1,IF($FJ175&lt;GQ$169,INDEX($FK$170:$ID$241,GQ$169,$FJ175),SUMPRODUCT(INDEX($FK$325:$ID$396,GQ$169,1+SwaptionShift):INDEX($FK$325:$ID$396,GQ$169,SwaptionMonthsToGo+SwaptionShift),INDEX($FK$245:$ID$316,$FJ175-GQ$169,73-GQ$169+SwaptionShift):INDEX($FK$245:$ID$316,$FJ175-GQ$169,72-GQ$169+SwaptionMonthsToGo+SwaptionShift))/SQRT(SUM(INDEX($FK330:$ID330,1+SwaptionShift):INDEX($FK330:$ID330,SwaptionMonthsToGo+SwaptionShift))*SUM(INDEX($FK$325:$ID$396,GQ$169,1+SwaptionShift):INDEX($FK$325:$ID$396,GQ$169,SwaptionMonthsToGo+SwaptionShift))))))</f>
        <v/>
      </c>
      <c r="GR175" s="150" t="str">
        <f aca="false">IF(OR(GR$169&lt;SwaptionFirstMonthPosition+1,$FJ175&lt;SwaptionFirstMonthPosition+1,GR$169&gt;SwaptionFirstMonthPosition+SwaptionNumOfMonths+1,$FJ175&gt;SwaptionFirstMonthPosition+SwaptionNumOfMonths+1),"",IF($FJ175=GR$169,1,IF($FJ175&lt;GR$169,INDEX($FK$170:$ID$241,GR$169,$FJ175),SUMPRODUCT(INDEX($FK$325:$ID$396,GR$169,1+SwaptionShift):INDEX($FK$325:$ID$396,GR$169,SwaptionMonthsToGo+SwaptionShift),INDEX($FK$245:$ID$316,$FJ175-GR$169,73-GR$169+SwaptionShift):INDEX($FK$245:$ID$316,$FJ175-GR$169,72-GR$169+SwaptionMonthsToGo+SwaptionShift))/SQRT(SUM(INDEX($FK330:$ID330,1+SwaptionShift):INDEX($FK330:$ID330,SwaptionMonthsToGo+SwaptionShift))*SUM(INDEX($FK$325:$ID$396,GR$169,1+SwaptionShift):INDEX($FK$325:$ID$396,GR$169,SwaptionMonthsToGo+SwaptionShift))))))</f>
        <v/>
      </c>
      <c r="GS175" s="150" t="str">
        <f aca="false">IF(OR(GS$169&lt;SwaptionFirstMonthPosition+1,$FJ175&lt;SwaptionFirstMonthPosition+1,GS$169&gt;SwaptionFirstMonthPosition+SwaptionNumOfMonths+1,$FJ175&gt;SwaptionFirstMonthPosition+SwaptionNumOfMonths+1),"",IF($FJ175=GS$169,1,IF($FJ175&lt;GS$169,INDEX($FK$170:$ID$241,GS$169,$FJ175),SUMPRODUCT(INDEX($FK$325:$ID$396,GS$169,1+SwaptionShift):INDEX($FK$325:$ID$396,GS$169,SwaptionMonthsToGo+SwaptionShift),INDEX($FK$245:$ID$316,$FJ175-GS$169,73-GS$169+SwaptionShift):INDEX($FK$245:$ID$316,$FJ175-GS$169,72-GS$169+SwaptionMonthsToGo+SwaptionShift))/SQRT(SUM(INDEX($FK330:$ID330,1+SwaptionShift):INDEX($FK330:$ID330,SwaptionMonthsToGo+SwaptionShift))*SUM(INDEX($FK$325:$ID$396,GS$169,1+SwaptionShift):INDEX($FK$325:$ID$396,GS$169,SwaptionMonthsToGo+SwaptionShift))))))</f>
        <v/>
      </c>
      <c r="GT175" s="150" t="str">
        <f aca="false">IF(OR(GT$169&lt;SwaptionFirstMonthPosition+1,$FJ175&lt;SwaptionFirstMonthPosition+1,GT$169&gt;SwaptionFirstMonthPosition+SwaptionNumOfMonths+1,$FJ175&gt;SwaptionFirstMonthPosition+SwaptionNumOfMonths+1),"",IF($FJ175=GT$169,1,IF($FJ175&lt;GT$169,INDEX($FK$170:$ID$241,GT$169,$FJ175),SUMPRODUCT(INDEX($FK$325:$ID$396,GT$169,1+SwaptionShift):INDEX($FK$325:$ID$396,GT$169,SwaptionMonthsToGo+SwaptionShift),INDEX($FK$245:$ID$316,$FJ175-GT$169,73-GT$169+SwaptionShift):INDEX($FK$245:$ID$316,$FJ175-GT$169,72-GT$169+SwaptionMonthsToGo+SwaptionShift))/SQRT(SUM(INDEX($FK330:$ID330,1+SwaptionShift):INDEX($FK330:$ID330,SwaptionMonthsToGo+SwaptionShift))*SUM(INDEX($FK$325:$ID$396,GT$169,1+SwaptionShift):INDEX($FK$325:$ID$396,GT$169,SwaptionMonthsToGo+SwaptionShift))))))</f>
        <v/>
      </c>
      <c r="GU175" s="150" t="str">
        <f aca="false">IF(OR(GU$169&lt;SwaptionFirstMonthPosition+1,$FJ175&lt;SwaptionFirstMonthPosition+1,GU$169&gt;SwaptionFirstMonthPosition+SwaptionNumOfMonths+1,$FJ175&gt;SwaptionFirstMonthPosition+SwaptionNumOfMonths+1),"",IF($FJ175=GU$169,1,IF($FJ175&lt;GU$169,INDEX($FK$170:$ID$241,GU$169,$FJ175),SUMPRODUCT(INDEX($FK$325:$ID$396,GU$169,1+SwaptionShift):INDEX($FK$325:$ID$396,GU$169,SwaptionMonthsToGo+SwaptionShift),INDEX($FK$245:$ID$316,$FJ175-GU$169,73-GU$169+SwaptionShift):INDEX($FK$245:$ID$316,$FJ175-GU$169,72-GU$169+SwaptionMonthsToGo+SwaptionShift))/SQRT(SUM(INDEX($FK330:$ID330,1+SwaptionShift):INDEX($FK330:$ID330,SwaptionMonthsToGo+SwaptionShift))*SUM(INDEX($FK$325:$ID$396,GU$169,1+SwaptionShift):INDEX($FK$325:$ID$396,GU$169,SwaptionMonthsToGo+SwaptionShift))))))</f>
        <v/>
      </c>
      <c r="GV175" s="150" t="str">
        <f aca="false">IF(OR(GV$169&lt;SwaptionFirstMonthPosition+1,$FJ175&lt;SwaptionFirstMonthPosition+1,GV$169&gt;SwaptionFirstMonthPosition+SwaptionNumOfMonths+1,$FJ175&gt;SwaptionFirstMonthPosition+SwaptionNumOfMonths+1),"",IF($FJ175=GV$169,1,IF($FJ175&lt;GV$169,INDEX($FK$170:$ID$241,GV$169,$FJ175),SUMPRODUCT(INDEX($FK$325:$ID$396,GV$169,1+SwaptionShift):INDEX($FK$325:$ID$396,GV$169,SwaptionMonthsToGo+SwaptionShift),INDEX($FK$245:$ID$316,$FJ175-GV$169,73-GV$169+SwaptionShift):INDEX($FK$245:$ID$316,$FJ175-GV$169,72-GV$169+SwaptionMonthsToGo+SwaptionShift))/SQRT(SUM(INDEX($FK330:$ID330,1+SwaptionShift):INDEX($FK330:$ID330,SwaptionMonthsToGo+SwaptionShift))*SUM(INDEX($FK$325:$ID$396,GV$169,1+SwaptionShift):INDEX($FK$325:$ID$396,GV$169,SwaptionMonthsToGo+SwaptionShift))))))</f>
        <v/>
      </c>
      <c r="GW175" s="150" t="str">
        <f aca="false">IF(OR(GW$169&lt;SwaptionFirstMonthPosition+1,$FJ175&lt;SwaptionFirstMonthPosition+1,GW$169&gt;SwaptionFirstMonthPosition+SwaptionNumOfMonths+1,$FJ175&gt;SwaptionFirstMonthPosition+SwaptionNumOfMonths+1),"",IF($FJ175=GW$169,1,IF($FJ175&lt;GW$169,INDEX($FK$170:$ID$241,GW$169,$FJ175),SUMPRODUCT(INDEX($FK$325:$ID$396,GW$169,1+SwaptionShift):INDEX($FK$325:$ID$396,GW$169,SwaptionMonthsToGo+SwaptionShift),INDEX($FK$245:$ID$316,$FJ175-GW$169,73-GW$169+SwaptionShift):INDEX($FK$245:$ID$316,$FJ175-GW$169,72-GW$169+SwaptionMonthsToGo+SwaptionShift))/SQRT(SUM(INDEX($FK330:$ID330,1+SwaptionShift):INDEX($FK330:$ID330,SwaptionMonthsToGo+SwaptionShift))*SUM(INDEX($FK$325:$ID$396,GW$169,1+SwaptionShift):INDEX($FK$325:$ID$396,GW$169,SwaptionMonthsToGo+SwaptionShift))))))</f>
        <v/>
      </c>
      <c r="GX175" s="150" t="str">
        <f aca="false">IF(OR(GX$169&lt;SwaptionFirstMonthPosition+1,$FJ175&lt;SwaptionFirstMonthPosition+1,GX$169&gt;SwaptionFirstMonthPosition+SwaptionNumOfMonths+1,$FJ175&gt;SwaptionFirstMonthPosition+SwaptionNumOfMonths+1),"",IF($FJ175=GX$169,1,IF($FJ175&lt;GX$169,INDEX($FK$170:$ID$241,GX$169,$FJ175),SUMPRODUCT(INDEX($FK$325:$ID$396,GX$169,1+SwaptionShift):INDEX($FK$325:$ID$396,GX$169,SwaptionMonthsToGo+SwaptionShift),INDEX($FK$245:$ID$316,$FJ175-GX$169,73-GX$169+SwaptionShift):INDEX($FK$245:$ID$316,$FJ175-GX$169,72-GX$169+SwaptionMonthsToGo+SwaptionShift))/SQRT(SUM(INDEX($FK330:$ID330,1+SwaptionShift):INDEX($FK330:$ID330,SwaptionMonthsToGo+SwaptionShift))*SUM(INDEX($FK$325:$ID$396,GX$169,1+SwaptionShift):INDEX($FK$325:$ID$396,GX$169,SwaptionMonthsToGo+SwaptionShift))))))</f>
        <v/>
      </c>
      <c r="GY175" s="150" t="str">
        <f aca="false">IF(OR(GY$169&lt;SwaptionFirstMonthPosition+1,$FJ175&lt;SwaptionFirstMonthPosition+1,GY$169&gt;SwaptionFirstMonthPosition+SwaptionNumOfMonths+1,$FJ175&gt;SwaptionFirstMonthPosition+SwaptionNumOfMonths+1),"",IF($FJ175=GY$169,1,IF($FJ175&lt;GY$169,INDEX($FK$170:$ID$241,GY$169,$FJ175),SUMPRODUCT(INDEX($FK$325:$ID$396,GY$169,1+SwaptionShift):INDEX($FK$325:$ID$396,GY$169,SwaptionMonthsToGo+SwaptionShift),INDEX($FK$245:$ID$316,$FJ175-GY$169,73-GY$169+SwaptionShift):INDEX($FK$245:$ID$316,$FJ175-GY$169,72-GY$169+SwaptionMonthsToGo+SwaptionShift))/SQRT(SUM(INDEX($FK330:$ID330,1+SwaptionShift):INDEX($FK330:$ID330,SwaptionMonthsToGo+SwaptionShift))*SUM(INDEX($FK$325:$ID$396,GY$169,1+SwaptionShift):INDEX($FK$325:$ID$396,GY$169,SwaptionMonthsToGo+SwaptionShift))))))</f>
        <v/>
      </c>
      <c r="GZ175" s="150" t="str">
        <f aca="false">IF(OR(GZ$169&lt;SwaptionFirstMonthPosition+1,$FJ175&lt;SwaptionFirstMonthPosition+1,GZ$169&gt;SwaptionFirstMonthPosition+SwaptionNumOfMonths+1,$FJ175&gt;SwaptionFirstMonthPosition+SwaptionNumOfMonths+1),"",IF($FJ175=GZ$169,1,IF($FJ175&lt;GZ$169,INDEX($FK$170:$ID$241,GZ$169,$FJ175),SUMPRODUCT(INDEX($FK$325:$ID$396,GZ$169,1+SwaptionShift):INDEX($FK$325:$ID$396,GZ$169,SwaptionMonthsToGo+SwaptionShift),INDEX($FK$245:$ID$316,$FJ175-GZ$169,73-GZ$169+SwaptionShift):INDEX($FK$245:$ID$316,$FJ175-GZ$169,72-GZ$169+SwaptionMonthsToGo+SwaptionShift))/SQRT(SUM(INDEX($FK330:$ID330,1+SwaptionShift):INDEX($FK330:$ID330,SwaptionMonthsToGo+SwaptionShift))*SUM(INDEX($FK$325:$ID$396,GZ$169,1+SwaptionShift):INDEX($FK$325:$ID$396,GZ$169,SwaptionMonthsToGo+SwaptionShift))))))</f>
        <v/>
      </c>
      <c r="HA175" s="150" t="str">
        <f aca="false">IF(OR(HA$169&lt;SwaptionFirstMonthPosition+1,$FJ175&lt;SwaptionFirstMonthPosition+1,HA$169&gt;SwaptionFirstMonthPosition+SwaptionNumOfMonths+1,$FJ175&gt;SwaptionFirstMonthPosition+SwaptionNumOfMonths+1),"",IF($FJ175=HA$169,1,IF($FJ175&lt;HA$169,INDEX($FK$170:$ID$241,HA$169,$FJ175),SUMPRODUCT(INDEX($FK$325:$ID$396,HA$169,1+SwaptionShift):INDEX($FK$325:$ID$396,HA$169,SwaptionMonthsToGo+SwaptionShift),INDEX($FK$245:$ID$316,$FJ175-HA$169,73-HA$169+SwaptionShift):INDEX($FK$245:$ID$316,$FJ175-HA$169,72-HA$169+SwaptionMonthsToGo+SwaptionShift))/SQRT(SUM(INDEX($FK330:$ID330,1+SwaptionShift):INDEX($FK330:$ID330,SwaptionMonthsToGo+SwaptionShift))*SUM(INDEX($FK$325:$ID$396,HA$169,1+SwaptionShift):INDEX($FK$325:$ID$396,HA$169,SwaptionMonthsToGo+SwaptionShift))))))</f>
        <v/>
      </c>
      <c r="HB175" s="150" t="str">
        <f aca="false">IF(OR(HB$169&lt;SwaptionFirstMonthPosition+1,$FJ175&lt;SwaptionFirstMonthPosition+1,HB$169&gt;SwaptionFirstMonthPosition+SwaptionNumOfMonths+1,$FJ175&gt;SwaptionFirstMonthPosition+SwaptionNumOfMonths+1),"",IF($FJ175=HB$169,1,IF($FJ175&lt;HB$169,INDEX($FK$170:$ID$241,HB$169,$FJ175),SUMPRODUCT(INDEX($FK$325:$ID$396,HB$169,1+SwaptionShift):INDEX($FK$325:$ID$396,HB$169,SwaptionMonthsToGo+SwaptionShift),INDEX($FK$245:$ID$316,$FJ175-HB$169,73-HB$169+SwaptionShift):INDEX($FK$245:$ID$316,$FJ175-HB$169,72-HB$169+SwaptionMonthsToGo+SwaptionShift))/SQRT(SUM(INDEX($FK330:$ID330,1+SwaptionShift):INDEX($FK330:$ID330,SwaptionMonthsToGo+SwaptionShift))*SUM(INDEX($FK$325:$ID$396,HB$169,1+SwaptionShift):INDEX($FK$325:$ID$396,HB$169,SwaptionMonthsToGo+SwaptionShift))))))</f>
        <v/>
      </c>
      <c r="HC175" s="150" t="str">
        <f aca="false">IF(OR(HC$169&lt;SwaptionFirstMonthPosition+1,$FJ175&lt;SwaptionFirstMonthPosition+1,HC$169&gt;SwaptionFirstMonthPosition+SwaptionNumOfMonths+1,$FJ175&gt;SwaptionFirstMonthPosition+SwaptionNumOfMonths+1),"",IF($FJ175=HC$169,1,IF($FJ175&lt;HC$169,INDEX($FK$170:$ID$241,HC$169,$FJ175),SUMPRODUCT(INDEX($FK$325:$ID$396,HC$169,1+SwaptionShift):INDEX($FK$325:$ID$396,HC$169,SwaptionMonthsToGo+SwaptionShift),INDEX($FK$245:$ID$316,$FJ175-HC$169,73-HC$169+SwaptionShift):INDEX($FK$245:$ID$316,$FJ175-HC$169,72-HC$169+SwaptionMonthsToGo+SwaptionShift))/SQRT(SUM(INDEX($FK330:$ID330,1+SwaptionShift):INDEX($FK330:$ID330,SwaptionMonthsToGo+SwaptionShift))*SUM(INDEX($FK$325:$ID$396,HC$169,1+SwaptionShift):INDEX($FK$325:$ID$396,HC$169,SwaptionMonthsToGo+SwaptionShift))))))</f>
        <v/>
      </c>
      <c r="HD175" s="150" t="str">
        <f aca="false">IF(OR(HD$169&lt;SwaptionFirstMonthPosition+1,$FJ175&lt;SwaptionFirstMonthPosition+1,HD$169&gt;SwaptionFirstMonthPosition+SwaptionNumOfMonths+1,$FJ175&gt;SwaptionFirstMonthPosition+SwaptionNumOfMonths+1),"",IF($FJ175=HD$169,1,IF($FJ175&lt;HD$169,INDEX($FK$170:$ID$241,HD$169,$FJ175),SUMPRODUCT(INDEX($FK$325:$ID$396,HD$169,1+SwaptionShift):INDEX($FK$325:$ID$396,HD$169,SwaptionMonthsToGo+SwaptionShift),INDEX($FK$245:$ID$316,$FJ175-HD$169,73-HD$169+SwaptionShift):INDEX($FK$245:$ID$316,$FJ175-HD$169,72-HD$169+SwaptionMonthsToGo+SwaptionShift))/SQRT(SUM(INDEX($FK330:$ID330,1+SwaptionShift):INDEX($FK330:$ID330,SwaptionMonthsToGo+SwaptionShift))*SUM(INDEX($FK$325:$ID$396,HD$169,1+SwaptionShift):INDEX($FK$325:$ID$396,HD$169,SwaptionMonthsToGo+SwaptionShift))))))</f>
        <v/>
      </c>
      <c r="HE175" s="150" t="str">
        <f aca="false">IF(OR(HE$169&lt;SwaptionFirstMonthPosition+1,$FJ175&lt;SwaptionFirstMonthPosition+1,HE$169&gt;SwaptionFirstMonthPosition+SwaptionNumOfMonths+1,$FJ175&gt;SwaptionFirstMonthPosition+SwaptionNumOfMonths+1),"",IF($FJ175=HE$169,1,IF($FJ175&lt;HE$169,INDEX($FK$170:$ID$241,HE$169,$FJ175),SUMPRODUCT(INDEX($FK$325:$ID$396,HE$169,1+SwaptionShift):INDEX($FK$325:$ID$396,HE$169,SwaptionMonthsToGo+SwaptionShift),INDEX($FK$245:$ID$316,$FJ175-HE$169,73-HE$169+SwaptionShift):INDEX($FK$245:$ID$316,$FJ175-HE$169,72-HE$169+SwaptionMonthsToGo+SwaptionShift))/SQRT(SUM(INDEX($FK330:$ID330,1+SwaptionShift):INDEX($FK330:$ID330,SwaptionMonthsToGo+SwaptionShift))*SUM(INDEX($FK$325:$ID$396,HE$169,1+SwaptionShift):INDEX($FK$325:$ID$396,HE$169,SwaptionMonthsToGo+SwaptionShift))))))</f>
        <v/>
      </c>
      <c r="HF175" s="150" t="str">
        <f aca="false">IF(OR(HF$169&lt;SwaptionFirstMonthPosition+1,$FJ175&lt;SwaptionFirstMonthPosition+1,HF$169&gt;SwaptionFirstMonthPosition+SwaptionNumOfMonths+1,$FJ175&gt;SwaptionFirstMonthPosition+SwaptionNumOfMonths+1),"",IF($FJ175=HF$169,1,IF($FJ175&lt;HF$169,INDEX($FK$170:$ID$241,HF$169,$FJ175),SUMPRODUCT(INDEX($FK$325:$ID$396,HF$169,1+SwaptionShift):INDEX($FK$325:$ID$396,HF$169,SwaptionMonthsToGo+SwaptionShift),INDEX($FK$245:$ID$316,$FJ175-HF$169,73-HF$169+SwaptionShift):INDEX($FK$245:$ID$316,$FJ175-HF$169,72-HF$169+SwaptionMonthsToGo+SwaptionShift))/SQRT(SUM(INDEX($FK330:$ID330,1+SwaptionShift):INDEX($FK330:$ID330,SwaptionMonthsToGo+SwaptionShift))*SUM(INDEX($FK$325:$ID$396,HF$169,1+SwaptionShift):INDEX($FK$325:$ID$396,HF$169,SwaptionMonthsToGo+SwaptionShift))))))</f>
        <v/>
      </c>
      <c r="HG175" s="150" t="str">
        <f aca="false">IF(OR(HG$169&lt;SwaptionFirstMonthPosition+1,$FJ175&lt;SwaptionFirstMonthPosition+1,HG$169&gt;SwaptionFirstMonthPosition+SwaptionNumOfMonths+1,$FJ175&gt;SwaptionFirstMonthPosition+SwaptionNumOfMonths+1),"",IF($FJ175=HG$169,1,IF($FJ175&lt;HG$169,INDEX($FK$170:$ID$241,HG$169,$FJ175),SUMPRODUCT(INDEX($FK$325:$ID$396,HG$169,1+SwaptionShift):INDEX($FK$325:$ID$396,HG$169,SwaptionMonthsToGo+SwaptionShift),INDEX($FK$245:$ID$316,$FJ175-HG$169,73-HG$169+SwaptionShift):INDEX($FK$245:$ID$316,$FJ175-HG$169,72-HG$169+SwaptionMonthsToGo+SwaptionShift))/SQRT(SUM(INDEX($FK330:$ID330,1+SwaptionShift):INDEX($FK330:$ID330,SwaptionMonthsToGo+SwaptionShift))*SUM(INDEX($FK$325:$ID$396,HG$169,1+SwaptionShift):INDEX($FK$325:$ID$396,HG$169,SwaptionMonthsToGo+SwaptionShift))))))</f>
        <v/>
      </c>
      <c r="HH175" s="150" t="str">
        <f aca="false">IF(OR(HH$169&lt;SwaptionFirstMonthPosition+1,$FJ175&lt;SwaptionFirstMonthPosition+1,HH$169&gt;SwaptionFirstMonthPosition+SwaptionNumOfMonths+1,$FJ175&gt;SwaptionFirstMonthPosition+SwaptionNumOfMonths+1),"",IF($FJ175=HH$169,1,IF($FJ175&lt;HH$169,INDEX($FK$170:$ID$241,HH$169,$FJ175),SUMPRODUCT(INDEX($FK$325:$ID$396,HH$169,1+SwaptionShift):INDEX($FK$325:$ID$396,HH$169,SwaptionMonthsToGo+SwaptionShift),INDEX($FK$245:$ID$316,$FJ175-HH$169,73-HH$169+SwaptionShift):INDEX($FK$245:$ID$316,$FJ175-HH$169,72-HH$169+SwaptionMonthsToGo+SwaptionShift))/SQRT(SUM(INDEX($FK330:$ID330,1+SwaptionShift):INDEX($FK330:$ID330,SwaptionMonthsToGo+SwaptionShift))*SUM(INDEX($FK$325:$ID$396,HH$169,1+SwaptionShift):INDEX($FK$325:$ID$396,HH$169,SwaptionMonthsToGo+SwaptionShift))))))</f>
        <v/>
      </c>
      <c r="HI175" s="150" t="str">
        <f aca="false">IF(OR(HI$169&lt;SwaptionFirstMonthPosition+1,$FJ175&lt;SwaptionFirstMonthPosition+1,HI$169&gt;SwaptionFirstMonthPosition+SwaptionNumOfMonths+1,$FJ175&gt;SwaptionFirstMonthPosition+SwaptionNumOfMonths+1),"",IF($FJ175=HI$169,1,IF($FJ175&lt;HI$169,INDEX($FK$170:$ID$241,HI$169,$FJ175),SUMPRODUCT(INDEX($FK$325:$ID$396,HI$169,1+SwaptionShift):INDEX($FK$325:$ID$396,HI$169,SwaptionMonthsToGo+SwaptionShift),INDEX($FK$245:$ID$316,$FJ175-HI$169,73-HI$169+SwaptionShift):INDEX($FK$245:$ID$316,$FJ175-HI$169,72-HI$169+SwaptionMonthsToGo+SwaptionShift))/SQRT(SUM(INDEX($FK330:$ID330,1+SwaptionShift):INDEX($FK330:$ID330,SwaptionMonthsToGo+SwaptionShift))*SUM(INDEX($FK$325:$ID$396,HI$169,1+SwaptionShift):INDEX($FK$325:$ID$396,HI$169,SwaptionMonthsToGo+SwaptionShift))))))</f>
        <v/>
      </c>
      <c r="HJ175" s="150" t="str">
        <f aca="false">IF(OR(HJ$169&lt;SwaptionFirstMonthPosition+1,$FJ175&lt;SwaptionFirstMonthPosition+1,HJ$169&gt;SwaptionFirstMonthPosition+SwaptionNumOfMonths+1,$FJ175&gt;SwaptionFirstMonthPosition+SwaptionNumOfMonths+1),"",IF($FJ175=HJ$169,1,IF($FJ175&lt;HJ$169,INDEX($FK$170:$ID$241,HJ$169,$FJ175),SUMPRODUCT(INDEX($FK$325:$ID$396,HJ$169,1+SwaptionShift):INDEX($FK$325:$ID$396,HJ$169,SwaptionMonthsToGo+SwaptionShift),INDEX($FK$245:$ID$316,$FJ175-HJ$169,73-HJ$169+SwaptionShift):INDEX($FK$245:$ID$316,$FJ175-HJ$169,72-HJ$169+SwaptionMonthsToGo+SwaptionShift))/SQRT(SUM(INDEX($FK330:$ID330,1+SwaptionShift):INDEX($FK330:$ID330,SwaptionMonthsToGo+SwaptionShift))*SUM(INDEX($FK$325:$ID$396,HJ$169,1+SwaptionShift):INDEX($FK$325:$ID$396,HJ$169,SwaptionMonthsToGo+SwaptionShift))))))</f>
        <v/>
      </c>
      <c r="HK175" s="150" t="str">
        <f aca="false">IF(OR(HK$169&lt;SwaptionFirstMonthPosition+1,$FJ175&lt;SwaptionFirstMonthPosition+1,HK$169&gt;SwaptionFirstMonthPosition+SwaptionNumOfMonths+1,$FJ175&gt;SwaptionFirstMonthPosition+SwaptionNumOfMonths+1),"",IF($FJ175=HK$169,1,IF($FJ175&lt;HK$169,INDEX($FK$170:$ID$241,HK$169,$FJ175),SUMPRODUCT(INDEX($FK$325:$ID$396,HK$169,1+SwaptionShift):INDEX($FK$325:$ID$396,HK$169,SwaptionMonthsToGo+SwaptionShift),INDEX($FK$245:$ID$316,$FJ175-HK$169,73-HK$169+SwaptionShift):INDEX($FK$245:$ID$316,$FJ175-HK$169,72-HK$169+SwaptionMonthsToGo+SwaptionShift))/SQRT(SUM(INDEX($FK330:$ID330,1+SwaptionShift):INDEX($FK330:$ID330,SwaptionMonthsToGo+SwaptionShift))*SUM(INDEX($FK$325:$ID$396,HK$169,1+SwaptionShift):INDEX($FK$325:$ID$396,HK$169,SwaptionMonthsToGo+SwaptionShift))))))</f>
        <v/>
      </c>
      <c r="HL175" s="150" t="str">
        <f aca="false">IF(OR(HL$169&lt;SwaptionFirstMonthPosition+1,$FJ175&lt;SwaptionFirstMonthPosition+1,HL$169&gt;SwaptionFirstMonthPosition+SwaptionNumOfMonths+1,$FJ175&gt;SwaptionFirstMonthPosition+SwaptionNumOfMonths+1),"",IF($FJ175=HL$169,1,IF($FJ175&lt;HL$169,INDEX($FK$170:$ID$241,HL$169,$FJ175),SUMPRODUCT(INDEX($FK$325:$ID$396,HL$169,1+SwaptionShift):INDEX($FK$325:$ID$396,HL$169,SwaptionMonthsToGo+SwaptionShift),INDEX($FK$245:$ID$316,$FJ175-HL$169,73-HL$169+SwaptionShift):INDEX($FK$245:$ID$316,$FJ175-HL$169,72-HL$169+SwaptionMonthsToGo+SwaptionShift))/SQRT(SUM(INDEX($FK330:$ID330,1+SwaptionShift):INDEX($FK330:$ID330,SwaptionMonthsToGo+SwaptionShift))*SUM(INDEX($FK$325:$ID$396,HL$169,1+SwaptionShift):INDEX($FK$325:$ID$396,HL$169,SwaptionMonthsToGo+SwaptionShift))))))</f>
        <v/>
      </c>
      <c r="HM175" s="150" t="str">
        <f aca="false">IF(OR(HM$169&lt;SwaptionFirstMonthPosition+1,$FJ175&lt;SwaptionFirstMonthPosition+1,HM$169&gt;SwaptionFirstMonthPosition+SwaptionNumOfMonths+1,$FJ175&gt;SwaptionFirstMonthPosition+SwaptionNumOfMonths+1),"",IF($FJ175=HM$169,1,IF($FJ175&lt;HM$169,INDEX($FK$170:$ID$241,HM$169,$FJ175),SUMPRODUCT(INDEX($FK$325:$ID$396,HM$169,1+SwaptionShift):INDEX($FK$325:$ID$396,HM$169,SwaptionMonthsToGo+SwaptionShift),INDEX($FK$245:$ID$316,$FJ175-HM$169,73-HM$169+SwaptionShift):INDEX($FK$245:$ID$316,$FJ175-HM$169,72-HM$169+SwaptionMonthsToGo+SwaptionShift))/SQRT(SUM(INDEX($FK330:$ID330,1+SwaptionShift):INDEX($FK330:$ID330,SwaptionMonthsToGo+SwaptionShift))*SUM(INDEX($FK$325:$ID$396,HM$169,1+SwaptionShift):INDEX($FK$325:$ID$396,HM$169,SwaptionMonthsToGo+SwaptionShift))))))</f>
        <v/>
      </c>
      <c r="HN175" s="150" t="str">
        <f aca="false">IF(OR(HN$169&lt;SwaptionFirstMonthPosition+1,$FJ175&lt;SwaptionFirstMonthPosition+1,HN$169&gt;SwaptionFirstMonthPosition+SwaptionNumOfMonths+1,$FJ175&gt;SwaptionFirstMonthPosition+SwaptionNumOfMonths+1),"",IF($FJ175=HN$169,1,IF($FJ175&lt;HN$169,INDEX($FK$170:$ID$241,HN$169,$FJ175),SUMPRODUCT(INDEX($FK$325:$ID$396,HN$169,1+SwaptionShift):INDEX($FK$325:$ID$396,HN$169,SwaptionMonthsToGo+SwaptionShift),INDEX($FK$245:$ID$316,$FJ175-HN$169,73-HN$169+SwaptionShift):INDEX($FK$245:$ID$316,$FJ175-HN$169,72-HN$169+SwaptionMonthsToGo+SwaptionShift))/SQRT(SUM(INDEX($FK330:$ID330,1+SwaptionShift):INDEX($FK330:$ID330,SwaptionMonthsToGo+SwaptionShift))*SUM(INDEX($FK$325:$ID$396,HN$169,1+SwaptionShift):INDEX($FK$325:$ID$396,HN$169,SwaptionMonthsToGo+SwaptionShift))))))</f>
        <v/>
      </c>
      <c r="HO175" s="150" t="str">
        <f aca="false">IF(OR(HO$169&lt;SwaptionFirstMonthPosition+1,$FJ175&lt;SwaptionFirstMonthPosition+1,HO$169&gt;SwaptionFirstMonthPosition+SwaptionNumOfMonths+1,$FJ175&gt;SwaptionFirstMonthPosition+SwaptionNumOfMonths+1),"",IF($FJ175=HO$169,1,IF($FJ175&lt;HO$169,INDEX($FK$170:$ID$241,HO$169,$FJ175),SUMPRODUCT(INDEX($FK$325:$ID$396,HO$169,1+SwaptionShift):INDEX($FK$325:$ID$396,HO$169,SwaptionMonthsToGo+SwaptionShift),INDEX($FK$245:$ID$316,$FJ175-HO$169,73-HO$169+SwaptionShift):INDEX($FK$245:$ID$316,$FJ175-HO$169,72-HO$169+SwaptionMonthsToGo+SwaptionShift))/SQRT(SUM(INDEX($FK330:$ID330,1+SwaptionShift):INDEX($FK330:$ID330,SwaptionMonthsToGo+SwaptionShift))*SUM(INDEX($FK$325:$ID$396,HO$169,1+SwaptionShift):INDEX($FK$325:$ID$396,HO$169,SwaptionMonthsToGo+SwaptionShift))))))</f>
        <v/>
      </c>
      <c r="HP175" s="150" t="str">
        <f aca="false">IF(OR(HP$169&lt;SwaptionFirstMonthPosition+1,$FJ175&lt;SwaptionFirstMonthPosition+1,HP$169&gt;SwaptionFirstMonthPosition+SwaptionNumOfMonths+1,$FJ175&gt;SwaptionFirstMonthPosition+SwaptionNumOfMonths+1),"",IF($FJ175=HP$169,1,IF($FJ175&lt;HP$169,INDEX($FK$170:$ID$241,HP$169,$FJ175),SUMPRODUCT(INDEX($FK$325:$ID$396,HP$169,1+SwaptionShift):INDEX($FK$325:$ID$396,HP$169,SwaptionMonthsToGo+SwaptionShift),INDEX($FK$245:$ID$316,$FJ175-HP$169,73-HP$169+SwaptionShift):INDEX($FK$245:$ID$316,$FJ175-HP$169,72-HP$169+SwaptionMonthsToGo+SwaptionShift))/SQRT(SUM(INDEX($FK330:$ID330,1+SwaptionShift):INDEX($FK330:$ID330,SwaptionMonthsToGo+SwaptionShift))*SUM(INDEX($FK$325:$ID$396,HP$169,1+SwaptionShift):INDEX($FK$325:$ID$396,HP$169,SwaptionMonthsToGo+SwaptionShift))))))</f>
        <v/>
      </c>
      <c r="HQ175" s="150" t="str">
        <f aca="false">IF(OR(HQ$169&lt;SwaptionFirstMonthPosition+1,$FJ175&lt;SwaptionFirstMonthPosition+1,HQ$169&gt;SwaptionFirstMonthPosition+SwaptionNumOfMonths+1,$FJ175&gt;SwaptionFirstMonthPosition+SwaptionNumOfMonths+1),"",IF($FJ175=HQ$169,1,IF($FJ175&lt;HQ$169,INDEX($FK$170:$ID$241,HQ$169,$FJ175),SUMPRODUCT(INDEX($FK$325:$ID$396,HQ$169,1+SwaptionShift):INDEX($FK$325:$ID$396,HQ$169,SwaptionMonthsToGo+SwaptionShift),INDEX($FK$245:$ID$316,$FJ175-HQ$169,73-HQ$169+SwaptionShift):INDEX($FK$245:$ID$316,$FJ175-HQ$169,72-HQ$169+SwaptionMonthsToGo+SwaptionShift))/SQRT(SUM(INDEX($FK330:$ID330,1+SwaptionShift):INDEX($FK330:$ID330,SwaptionMonthsToGo+SwaptionShift))*SUM(INDEX($FK$325:$ID$396,HQ$169,1+SwaptionShift):INDEX($FK$325:$ID$396,HQ$169,SwaptionMonthsToGo+SwaptionShift))))))</f>
        <v/>
      </c>
      <c r="HR175" s="150" t="str">
        <f aca="false">IF(OR(HR$169&lt;SwaptionFirstMonthPosition+1,$FJ175&lt;SwaptionFirstMonthPosition+1,HR$169&gt;SwaptionFirstMonthPosition+SwaptionNumOfMonths+1,$FJ175&gt;SwaptionFirstMonthPosition+SwaptionNumOfMonths+1),"",IF($FJ175=HR$169,1,IF($FJ175&lt;HR$169,INDEX($FK$170:$ID$241,HR$169,$FJ175),SUMPRODUCT(INDEX($FK$325:$ID$396,HR$169,1+SwaptionShift):INDEX($FK$325:$ID$396,HR$169,SwaptionMonthsToGo+SwaptionShift),INDEX($FK$245:$ID$316,$FJ175-HR$169,73-HR$169+SwaptionShift):INDEX($FK$245:$ID$316,$FJ175-HR$169,72-HR$169+SwaptionMonthsToGo+SwaptionShift))/SQRT(SUM(INDEX($FK330:$ID330,1+SwaptionShift):INDEX($FK330:$ID330,SwaptionMonthsToGo+SwaptionShift))*SUM(INDEX($FK$325:$ID$396,HR$169,1+SwaptionShift):INDEX($FK$325:$ID$396,HR$169,SwaptionMonthsToGo+SwaptionShift))))))</f>
        <v/>
      </c>
      <c r="HS175" s="150" t="str">
        <f aca="false">IF(OR(HS$169&lt;SwaptionFirstMonthPosition+1,$FJ175&lt;SwaptionFirstMonthPosition+1,HS$169&gt;SwaptionFirstMonthPosition+SwaptionNumOfMonths+1,$FJ175&gt;SwaptionFirstMonthPosition+SwaptionNumOfMonths+1),"",IF($FJ175=HS$169,1,IF($FJ175&lt;HS$169,INDEX($FK$170:$ID$241,HS$169,$FJ175),SUMPRODUCT(INDEX($FK$325:$ID$396,HS$169,1+SwaptionShift):INDEX($FK$325:$ID$396,HS$169,SwaptionMonthsToGo+SwaptionShift),INDEX($FK$245:$ID$316,$FJ175-HS$169,73-HS$169+SwaptionShift):INDEX($FK$245:$ID$316,$FJ175-HS$169,72-HS$169+SwaptionMonthsToGo+SwaptionShift))/SQRT(SUM(INDEX($FK330:$ID330,1+SwaptionShift):INDEX($FK330:$ID330,SwaptionMonthsToGo+SwaptionShift))*SUM(INDEX($FK$325:$ID$396,HS$169,1+SwaptionShift):INDEX($FK$325:$ID$396,HS$169,SwaptionMonthsToGo+SwaptionShift))))))</f>
        <v/>
      </c>
      <c r="HT175" s="150" t="str">
        <f aca="false">IF(OR(HT$169&lt;SwaptionFirstMonthPosition+1,$FJ175&lt;SwaptionFirstMonthPosition+1,HT$169&gt;SwaptionFirstMonthPosition+SwaptionNumOfMonths+1,$FJ175&gt;SwaptionFirstMonthPosition+SwaptionNumOfMonths+1),"",IF($FJ175=HT$169,1,IF($FJ175&lt;HT$169,INDEX($FK$170:$ID$241,HT$169,$FJ175),SUMPRODUCT(INDEX($FK$325:$ID$396,HT$169,1+SwaptionShift):INDEX($FK$325:$ID$396,HT$169,SwaptionMonthsToGo+SwaptionShift),INDEX($FK$245:$ID$316,$FJ175-HT$169,73-HT$169+SwaptionShift):INDEX($FK$245:$ID$316,$FJ175-HT$169,72-HT$169+SwaptionMonthsToGo+SwaptionShift))/SQRT(SUM(INDEX($FK330:$ID330,1+SwaptionShift):INDEX($FK330:$ID330,SwaptionMonthsToGo+SwaptionShift))*SUM(INDEX($FK$325:$ID$396,HT$169,1+SwaptionShift):INDEX($FK$325:$ID$396,HT$169,SwaptionMonthsToGo+SwaptionShift))))))</f>
        <v/>
      </c>
      <c r="HU175" s="150" t="str">
        <f aca="false">IF(OR(HU$169&lt;SwaptionFirstMonthPosition+1,$FJ175&lt;SwaptionFirstMonthPosition+1,HU$169&gt;SwaptionFirstMonthPosition+SwaptionNumOfMonths+1,$FJ175&gt;SwaptionFirstMonthPosition+SwaptionNumOfMonths+1),"",IF($FJ175=HU$169,1,IF($FJ175&lt;HU$169,INDEX($FK$170:$ID$241,HU$169,$FJ175),SUMPRODUCT(INDEX($FK$325:$ID$396,HU$169,1+SwaptionShift):INDEX($FK$325:$ID$396,HU$169,SwaptionMonthsToGo+SwaptionShift),INDEX($FK$245:$ID$316,$FJ175-HU$169,73-HU$169+SwaptionShift):INDEX($FK$245:$ID$316,$FJ175-HU$169,72-HU$169+SwaptionMonthsToGo+SwaptionShift))/SQRT(SUM(INDEX($FK330:$ID330,1+SwaptionShift):INDEX($FK330:$ID330,SwaptionMonthsToGo+SwaptionShift))*SUM(INDEX($FK$325:$ID$396,HU$169,1+SwaptionShift):INDEX($FK$325:$ID$396,HU$169,SwaptionMonthsToGo+SwaptionShift))))))</f>
        <v/>
      </c>
      <c r="HV175" s="150" t="str">
        <f aca="false">IF(OR(HV$169&lt;SwaptionFirstMonthPosition+1,$FJ175&lt;SwaptionFirstMonthPosition+1,HV$169&gt;SwaptionFirstMonthPosition+SwaptionNumOfMonths+1,$FJ175&gt;SwaptionFirstMonthPosition+SwaptionNumOfMonths+1),"",IF($FJ175=HV$169,1,IF($FJ175&lt;HV$169,INDEX($FK$170:$ID$241,HV$169,$FJ175),SUMPRODUCT(INDEX($FK$325:$ID$396,HV$169,1+SwaptionShift):INDEX($FK$325:$ID$396,HV$169,SwaptionMonthsToGo+SwaptionShift),INDEX($FK$245:$ID$316,$FJ175-HV$169,73-HV$169+SwaptionShift):INDEX($FK$245:$ID$316,$FJ175-HV$169,72-HV$169+SwaptionMonthsToGo+SwaptionShift))/SQRT(SUM(INDEX($FK330:$ID330,1+SwaptionShift):INDEX($FK330:$ID330,SwaptionMonthsToGo+SwaptionShift))*SUM(INDEX($FK$325:$ID$396,HV$169,1+SwaptionShift):INDEX($FK$325:$ID$396,HV$169,SwaptionMonthsToGo+SwaptionShift))))))</f>
        <v/>
      </c>
      <c r="HW175" s="150" t="str">
        <f aca="false">IF(OR(HW$169&lt;SwaptionFirstMonthPosition+1,$FJ175&lt;SwaptionFirstMonthPosition+1,HW$169&gt;SwaptionFirstMonthPosition+SwaptionNumOfMonths+1,$FJ175&gt;SwaptionFirstMonthPosition+SwaptionNumOfMonths+1),"",IF($FJ175=HW$169,1,IF($FJ175&lt;HW$169,INDEX($FK$170:$ID$241,HW$169,$FJ175),SUMPRODUCT(INDEX($FK$325:$ID$396,HW$169,1+SwaptionShift):INDEX($FK$325:$ID$396,HW$169,SwaptionMonthsToGo+SwaptionShift),INDEX($FK$245:$ID$316,$FJ175-HW$169,73-HW$169+SwaptionShift):INDEX($FK$245:$ID$316,$FJ175-HW$169,72-HW$169+SwaptionMonthsToGo+SwaptionShift))/SQRT(SUM(INDEX($FK330:$ID330,1+SwaptionShift):INDEX($FK330:$ID330,SwaptionMonthsToGo+SwaptionShift))*SUM(INDEX($FK$325:$ID$396,HW$169,1+SwaptionShift):INDEX($FK$325:$ID$396,HW$169,SwaptionMonthsToGo+SwaptionShift))))))</f>
        <v/>
      </c>
      <c r="HX175" s="150" t="str">
        <f aca="false">IF(OR(HX$169&lt;SwaptionFirstMonthPosition+1,$FJ175&lt;SwaptionFirstMonthPosition+1,HX$169&gt;SwaptionFirstMonthPosition+SwaptionNumOfMonths+1,$FJ175&gt;SwaptionFirstMonthPosition+SwaptionNumOfMonths+1),"",IF($FJ175=HX$169,1,IF($FJ175&lt;HX$169,INDEX($FK$170:$ID$241,HX$169,$FJ175),SUMPRODUCT(INDEX($FK$325:$ID$396,HX$169,1+SwaptionShift):INDEX($FK$325:$ID$396,HX$169,SwaptionMonthsToGo+SwaptionShift),INDEX($FK$245:$ID$316,$FJ175-HX$169,73-HX$169+SwaptionShift):INDEX($FK$245:$ID$316,$FJ175-HX$169,72-HX$169+SwaptionMonthsToGo+SwaptionShift))/SQRT(SUM(INDEX($FK330:$ID330,1+SwaptionShift):INDEX($FK330:$ID330,SwaptionMonthsToGo+SwaptionShift))*SUM(INDEX($FK$325:$ID$396,HX$169,1+SwaptionShift):INDEX($FK$325:$ID$396,HX$169,SwaptionMonthsToGo+SwaptionShift))))))</f>
        <v/>
      </c>
      <c r="HY175" s="150" t="str">
        <f aca="false">IF(OR(HY$169&lt;SwaptionFirstMonthPosition+1,$FJ175&lt;SwaptionFirstMonthPosition+1,HY$169&gt;SwaptionFirstMonthPosition+SwaptionNumOfMonths+1,$FJ175&gt;SwaptionFirstMonthPosition+SwaptionNumOfMonths+1),"",IF($FJ175=HY$169,1,IF($FJ175&lt;HY$169,INDEX($FK$170:$ID$241,HY$169,$FJ175),SUMPRODUCT(INDEX($FK$325:$ID$396,HY$169,1+SwaptionShift):INDEX($FK$325:$ID$396,HY$169,SwaptionMonthsToGo+SwaptionShift),INDEX($FK$245:$ID$316,$FJ175-HY$169,73-HY$169+SwaptionShift):INDEX($FK$245:$ID$316,$FJ175-HY$169,72-HY$169+SwaptionMonthsToGo+SwaptionShift))/SQRT(SUM(INDEX($FK330:$ID330,1+SwaptionShift):INDEX($FK330:$ID330,SwaptionMonthsToGo+SwaptionShift))*SUM(INDEX($FK$325:$ID$396,HY$169,1+SwaptionShift):INDEX($FK$325:$ID$396,HY$169,SwaptionMonthsToGo+SwaptionShift))))))</f>
        <v/>
      </c>
      <c r="HZ175" s="150" t="str">
        <f aca="false">IF(OR(HZ$169&lt;SwaptionFirstMonthPosition+1,$FJ175&lt;SwaptionFirstMonthPosition+1,HZ$169&gt;SwaptionFirstMonthPosition+SwaptionNumOfMonths+1,$FJ175&gt;SwaptionFirstMonthPosition+SwaptionNumOfMonths+1),"",IF($FJ175=HZ$169,1,IF($FJ175&lt;HZ$169,INDEX($FK$170:$ID$241,HZ$169,$FJ175),SUMPRODUCT(INDEX($FK$325:$ID$396,HZ$169,1+SwaptionShift):INDEX($FK$325:$ID$396,HZ$169,SwaptionMonthsToGo+SwaptionShift),INDEX($FK$245:$ID$316,$FJ175-HZ$169,73-HZ$169+SwaptionShift):INDEX($FK$245:$ID$316,$FJ175-HZ$169,72-HZ$169+SwaptionMonthsToGo+SwaptionShift))/SQRT(SUM(INDEX($FK330:$ID330,1+SwaptionShift):INDEX($FK330:$ID330,SwaptionMonthsToGo+SwaptionShift))*SUM(INDEX($FK$325:$ID$396,HZ$169,1+SwaptionShift):INDEX($FK$325:$ID$396,HZ$169,SwaptionMonthsToGo+SwaptionShift))))))</f>
        <v/>
      </c>
      <c r="IA175" s="150" t="str">
        <f aca="false">IF(OR(IA$169&lt;SwaptionFirstMonthPosition+1,$FJ175&lt;SwaptionFirstMonthPosition+1,IA$169&gt;SwaptionFirstMonthPosition+SwaptionNumOfMonths+1,$FJ175&gt;SwaptionFirstMonthPosition+SwaptionNumOfMonths+1),"",IF($FJ175=IA$169,1,IF($FJ175&lt;IA$169,INDEX($FK$170:$ID$241,IA$169,$FJ175),SUMPRODUCT(INDEX($FK$325:$ID$396,IA$169,1+SwaptionShift):INDEX($FK$325:$ID$396,IA$169,SwaptionMonthsToGo+SwaptionShift),INDEX($FK$245:$ID$316,$FJ175-IA$169,73-IA$169+SwaptionShift):INDEX($FK$245:$ID$316,$FJ175-IA$169,72-IA$169+SwaptionMonthsToGo+SwaptionShift))/SQRT(SUM(INDEX($FK330:$ID330,1+SwaptionShift):INDEX($FK330:$ID330,SwaptionMonthsToGo+SwaptionShift))*SUM(INDEX($FK$325:$ID$396,IA$169,1+SwaptionShift):INDEX($FK$325:$ID$396,IA$169,SwaptionMonthsToGo+SwaptionShift))))))</f>
        <v/>
      </c>
      <c r="IB175" s="150" t="str">
        <f aca="false">IF(OR(IB$169&lt;SwaptionFirstMonthPosition+1,$FJ175&lt;SwaptionFirstMonthPosition+1,IB$169&gt;SwaptionFirstMonthPosition+SwaptionNumOfMonths+1,$FJ175&gt;SwaptionFirstMonthPosition+SwaptionNumOfMonths+1),"",IF($FJ175=IB$169,1,IF($FJ175&lt;IB$169,INDEX($FK$170:$ID$241,IB$169,$FJ175),SUMPRODUCT(INDEX($FK$325:$ID$396,IB$169,1+SwaptionShift):INDEX($FK$325:$ID$396,IB$169,SwaptionMonthsToGo+SwaptionShift),INDEX($FK$245:$ID$316,$FJ175-IB$169,73-IB$169+SwaptionShift):INDEX($FK$245:$ID$316,$FJ175-IB$169,72-IB$169+SwaptionMonthsToGo+SwaptionShift))/SQRT(SUM(INDEX($FK330:$ID330,1+SwaptionShift):INDEX($FK330:$ID330,SwaptionMonthsToGo+SwaptionShift))*SUM(INDEX($FK$325:$ID$396,IB$169,1+SwaptionShift):INDEX($FK$325:$ID$396,IB$169,SwaptionMonthsToGo+SwaptionShift))))))</f>
        <v/>
      </c>
      <c r="IC175" s="150" t="str">
        <f aca="false">IF(OR(IC$169&lt;SwaptionFirstMonthPosition+1,$FJ175&lt;SwaptionFirstMonthPosition+1,IC$169&gt;SwaptionFirstMonthPosition+SwaptionNumOfMonths+1,$FJ175&gt;SwaptionFirstMonthPosition+SwaptionNumOfMonths+1),"",IF($FJ175=IC$169,1,IF($FJ175&lt;IC$169,INDEX($FK$170:$ID$241,IC$169,$FJ175),SUMPRODUCT(INDEX($FK$325:$ID$396,IC$169,1+SwaptionShift):INDEX($FK$325:$ID$396,IC$169,SwaptionMonthsToGo+SwaptionShift),INDEX($FK$245:$ID$316,$FJ175-IC$169,73-IC$169+SwaptionShift):INDEX($FK$245:$ID$316,$FJ175-IC$169,72-IC$169+SwaptionMonthsToGo+SwaptionShift))/SQRT(SUM(INDEX($FK330:$ID330,1+SwaptionShift):INDEX($FK330:$ID330,SwaptionMonthsToGo+SwaptionShift))*SUM(INDEX($FK$325:$ID$396,IC$169,1+SwaptionShift):INDEX($FK$325:$ID$396,IC$169,SwaptionMonthsToGo+SwaptionShift))))))</f>
        <v/>
      </c>
      <c r="ID175" s="572" t="str">
        <f aca="false">IF(OR(ID$169&lt;SwaptionFirstMonthPosition+1,$FJ175&lt;SwaptionFirstMonthPosition+1,ID$169&gt;SwaptionFirstMonthPosition+SwaptionNumOfMonths+1,$FJ175&gt;SwaptionFirstMonthPosition+SwaptionNumOfMonths+1),"",IF($FJ175=ID$169,1,IF($FJ175&lt;ID$169,INDEX($FK$170:$ID$241,ID$169,$FJ175),SUMPRODUCT(INDEX($FK$325:$ID$396,ID$169,1+SwaptionShift):INDEX($FK$325:$ID$396,ID$169,SwaptionMonthsToGo+SwaptionShift),INDEX($FK$245:$ID$316,$FJ175-ID$169,73-ID$169+SwaptionShift):INDEX($FK$245:$ID$316,$FJ175-ID$169,72-ID$169+SwaptionMonthsToGo+SwaptionShift))/SQRT(SUM(INDEX($FK330:$ID330,1+SwaptionShift):INDEX($FK330:$ID330,SwaptionMonthsToGo+SwaptionShift))*SUM(INDEX($FK$325:$ID$396,ID$169,1+SwaptionShift):INDEX($FK$325:$ID$396,ID$169,SwaptionMonthsToGo+SwaptionShift))))))</f>
        <v/>
      </c>
      <c r="IE175" s="129"/>
    </row>
    <row r="176" customFormat="false" ht="12.75" hidden="false" customHeight="false" outlineLevel="0" collapsed="false">
      <c r="H176" s="219" t="n">
        <f aca="false">VLOOKUP(I176,$EJ$20:$EL$54,3)</f>
        <v>0</v>
      </c>
      <c r="I176" s="511" t="n">
        <f aca="false">EOMONTH(I175,0)+1</f>
        <v>41518</v>
      </c>
      <c r="J176" s="512"/>
      <c r="K176" s="513" t="s">
        <v>280</v>
      </c>
      <c r="L176" s="514" t="n">
        <f aca="false">IF(ISNUMBER(K176),J176+K176/100,IF(K176="extra",L175+VLOOKUP(BF176,PriceSpreadTable,2)/12,IF(K176="inter",interpolateprices($K$19:$L$200,ROW(K176)-ROW(FirstPricingMonth)+1),interpolatechanges($J$19:$K$200,ROW(K176)-ROW(FirstPricingMonth)+1))))</f>
        <v>3</v>
      </c>
      <c r="M176" s="515"/>
      <c r="N176" s="516" t="n">
        <v>0</v>
      </c>
      <c r="O176" s="515" t="n">
        <f aca="false">M176+N176</f>
        <v>0</v>
      </c>
      <c r="P176" s="512"/>
      <c r="Q176" s="513" t="s">
        <v>280</v>
      </c>
      <c r="R176" s="512" t="e">
        <f aca="false">IF(ISNUMBER(Q176),P176+Q176/100,IF(Q176="extra",(Z174*AL174-R175*AM174)/AN174,IF(Q176="inter",interpolateprices($Q$19:$R$260,ROW(Q176)-ROW(FirstPricingMonth)+1),interpolatechanges($P$19:$Q$260,ROW(Q176)-ROW(FirstPricingMonth)+1))))</f>
        <v>#VALUE!</v>
      </c>
      <c r="S176" s="597" t="n">
        <f aca="false">S$19+(S175-S$19)*S$18</f>
        <v>0.36</v>
      </c>
      <c r="T176" s="575" t="n">
        <f aca="false">SQRT((1-(1-T175^2/U175)*T$18)*U176)</f>
        <v>0.999999999997263</v>
      </c>
      <c r="U176" s="576" t="n">
        <f aca="false">1-(1-U175)*U$18</f>
        <v>1</v>
      </c>
      <c r="V176" s="521" t="n">
        <v>0</v>
      </c>
      <c r="W176" s="577" t="n">
        <f aca="false">(J177*AJ176+J178*AK176)/AI176</f>
        <v>0</v>
      </c>
      <c r="X176" s="578" t="n">
        <f aca="false">(L177*AJ176+L178*AK176)/AI176</f>
        <v>3.04821428571429</v>
      </c>
      <c r="Y176" s="579" t="n">
        <f aca="false">IF(Q178="extra",W176-AA176,(P177*AM176+P178*AN176)/AL176)</f>
        <v>-1.2669</v>
      </c>
      <c r="Z176" s="579" t="n">
        <f aca="false">IF(Q178="extra",X176-AB176,(R177*AM176+R178*AN176)/AL176)</f>
        <v>1.78131428571429</v>
      </c>
      <c r="AA176" s="523" t="n">
        <f aca="false">IF(Q178="extra",INDEX(BrentSeasonalityTable,INT((BG176-1)/3)+1)*VLOOKUP(MAX(BF176,$AB$4),PriceSpreadTable,3),W176-Y176)</f>
        <v>1.2669</v>
      </c>
      <c r="AB176" s="524" t="n">
        <f aca="false">IF(Q178="extra",INDEX(BrentSeasonalityTable,INT((BG176-1)/3)+1)*VLOOKUP(MAX(BF176,$AB$4),PriceSpreadTable,3),X176-Z176)</f>
        <v>1.2669</v>
      </c>
      <c r="AC176" s="646" t="n">
        <v>41506</v>
      </c>
      <c r="AD176" s="646" t="n">
        <v>41502</v>
      </c>
      <c r="AE176" s="646" t="n">
        <v>41501</v>
      </c>
      <c r="AF176" s="646" t="n">
        <v>41497</v>
      </c>
      <c r="AG176" s="438" t="s">
        <v>278</v>
      </c>
      <c r="AH176" s="439" t="s">
        <v>278</v>
      </c>
      <c r="AI176" s="528" t="n">
        <v>21</v>
      </c>
      <c r="AJ176" s="529" t="n">
        <v>15</v>
      </c>
      <c r="AK176" s="529" t="n">
        <v>6</v>
      </c>
      <c r="AL176" s="530" t="n">
        <v>21</v>
      </c>
      <c r="AM176" s="529" t="n">
        <v>10</v>
      </c>
      <c r="AN176" s="531" t="n">
        <v>11</v>
      </c>
      <c r="AO176" s="532"/>
      <c r="AP176" s="465" t="n">
        <f aca="false">(1+AO176/2)^(-2*BL176)</f>
        <v>1</v>
      </c>
      <c r="AQ176" s="532"/>
      <c r="AR176" s="465" t="n">
        <f aca="false">(1+AQ176/2)^(-2*BH176/365.25)</f>
        <v>1</v>
      </c>
      <c r="AS176" s="580" t="n">
        <f aca="false">(O177*AJ176+O178*AK176)/AI176</f>
        <v>0</v>
      </c>
      <c r="AT176" s="468" t="n">
        <f aca="false">O176*VLOOKUP(BF176,BrentVolTable,2)+VLOOKUP(BF176,BrentVolTable,3)</f>
        <v>0</v>
      </c>
      <c r="AU176" s="468" t="n">
        <f aca="false">(AT177*AM176+AT178*AN176)/AL176</f>
        <v>0</v>
      </c>
      <c r="AV176" s="595" t="n">
        <f aca="false">SQRT(MAX(0.000000000001,(O176^2*BH176-S176^2*(BH176-BH175))/BH175))</f>
        <v>0.0300336587113605</v>
      </c>
      <c r="AW176" s="451" t="n">
        <f aca="false">IF($I176-DateToday+15&gt;=$T$8,"",IF($I176-DateToday+15&lt;$T$5,1,MATCH($I176-DateToday+15,$T$5:$T$8)))</f>
        <v>1</v>
      </c>
      <c r="AX176" s="468" t="n">
        <f aca="false">IF($AW176="",AX175^2/AX174,INDEX(U$5:U$8,$AW176)^((INDEX($T$5:$T$8,$AW176+1)-($I176-DateToday+15))/(INDEX($T$5:$T$8,$AW176+1)-INDEX($T$5:$T$8,$AW176)))/INDEX(U$5:U$8,$AW176+1)^((INDEX($T$5:$T$8,$AW176)-($I176-DateToday+15))/(INDEX($T$5:$T$8,$AW176+1)-INDEX($T$5:$T$8,$AW176))))</f>
        <v>0.446957127591084</v>
      </c>
      <c r="AY176" s="468" t="n">
        <f aca="false">IF($AW176="",AY175^2/AY174,INDEX(V$5:V$8,$AW176)^((INDEX($T$5:$T$8,$AW176+1)-($I176-DateToday+15))/(INDEX($T$5:$T$8,$AW176+1)-INDEX($T$5:$T$8,$AW176)))/INDEX(V$5:V$8,$AW176+1)^((INDEX($T$5:$T$8,$AW176)-($I176-DateToday+15))/(INDEX($T$5:$T$8,$AW176+1)-INDEX($T$5:$T$8,$AW176))))</f>
        <v>7.29672910075621</v>
      </c>
      <c r="AZ176" s="468" t="n">
        <f aca="false">IF($AW176="",AZ175^2/AZ174,INDEX(W$5:W$8,$AW176)^((INDEX($T$5:$T$8,$AW176+1)-($I176-DateToday+15))/(INDEX($T$5:$T$8,$AW176+1)-INDEX($T$5:$T$8,$AW176)))/INDEX(W$5:W$8,$AW176+1)^((INDEX($T$5:$T$8,$AW176)-($I176-DateToday+15))/(INDEX($T$5:$T$8,$AW176+1)-INDEX($T$5:$T$8,$AW176))))</f>
        <v>1868.63941329388</v>
      </c>
      <c r="BA176" s="468" t="n">
        <f aca="false">IF($AW176="",BA175^2/BA174,INDEX(X$5:X$8,$AW176)^((INDEX($T$5:$T$8,$AW176+1)-($I176-DateToday+15))/(INDEX($T$5:$T$8,$AW176+1)-INDEX($T$5:$T$8,$AW176)))/INDEX(X$5:X$8,$AW176+1)^((INDEX($T$5:$T$8,$AW176)-($I176-DateToday+15))/(INDEX($T$5:$T$8,$AW176+1)-INDEX($T$5:$T$8,$AW176))))</f>
        <v>8700.01775697207</v>
      </c>
      <c r="BB176" s="468" t="n">
        <f aca="false">IF($AW176="",BB175^2/BB174,INDEX(Y$5:Y$8,$AW176)^((INDEX($T$5:$T$8,$AW176+1)-($I176-DateToday+15))/(INDEX($T$5:$T$8,$AW176+1)-INDEX($T$5:$T$8,$AW176)))/INDEX(Y$5:Y$8,$AW176+1)^((INDEX($T$5:$T$8,$AW176)-($I176-DateToday+15))/(INDEX($T$5:$T$8,$AW176+1)-INDEX($T$5:$T$8,$AW176))))</f>
        <v>51339.3035952807</v>
      </c>
      <c r="BC176" s="468" t="n">
        <f aca="false">IF($AW176="",BC175^2/BC174,INDEX(Z$5:Z$8,$AW176)^((INDEX($T$5:$T$8,$AW176+1)-($I176-DateToday+15))/(INDEX($T$5:$T$8,$AW176+1)-INDEX($T$5:$T$8,$AW176)))/INDEX(Z$5:Z$8,$AW176+1)^((INDEX($T$5:$T$8,$AW176)-($I176-DateToday+15))/(INDEX($T$5:$T$8,$AW176+1)-INDEX($T$5:$T$8,$AW176))))</f>
        <v>151477.378639906</v>
      </c>
      <c r="BD176" s="535" t="n">
        <f aca="false">IF(OR(DateStart&gt;=I177,DateEnd&lt;I176),0,IF(VolumeOverrideFlag,V176,Volume))</f>
        <v>0</v>
      </c>
      <c r="BE176" s="536" t="n">
        <f aca="false">IF(OR(DateStart2&gt;=I177,DateEnd2&lt;I176),0,IF(VolumeOverrideFlag,V176,VolumeSwaption))</f>
        <v>0</v>
      </c>
      <c r="BF176" s="537" t="n">
        <f aca="false">YEAR(I176)</f>
        <v>2013</v>
      </c>
      <c r="BG176" s="538" t="n">
        <f aca="false">MONTH(I176)</f>
        <v>9</v>
      </c>
      <c r="BH176" s="539" t="n">
        <f aca="false">AD176-DateToday+1</f>
        <v>-4423</v>
      </c>
      <c r="BI176" s="540" t="n">
        <f aca="false">(I176-DateToday+1)/365.25</f>
        <v>-12.0657084188912</v>
      </c>
      <c r="BJ176" s="541" t="n">
        <f aca="false">BI176+(BL176-BI176)*CHOOSE(Underlying,AJ176/AI176,AM176/AL176)</f>
        <v>-12.0089957954434</v>
      </c>
      <c r="BK176" s="541" t="n">
        <f aca="false">BJ176+1/365.25</f>
        <v>-12.0062579446563</v>
      </c>
      <c r="BL176" s="541" t="n">
        <f aca="false">(I177-DateToday)/365.25</f>
        <v>-11.9863107460643</v>
      </c>
      <c r="BM176" s="542" t="e">
        <f aca="false">MAX(BI176-(BJ176-BI176)*(S177^2/O177^2-1),0)</f>
        <v>#DIV/0!</v>
      </c>
      <c r="BN176" s="541" t="e">
        <f aca="false">MAX(BL176+(BL176-BK176)*(S178^2/O178^2-1),0)</f>
        <v>#DIV/0!</v>
      </c>
      <c r="BO176" s="530" t="n">
        <f aca="false">CHOOSE(Underlying,AI176,AL176)</f>
        <v>21</v>
      </c>
      <c r="BP176" s="529" t="n">
        <f aca="false">CHOOSE(Underlying,AJ176,AM176)</f>
        <v>15</v>
      </c>
      <c r="BQ176" s="529" t="n">
        <f aca="false">CHOOSE(Underlying,AK176,AN176)</f>
        <v>6</v>
      </c>
      <c r="BR176" s="463" t="str">
        <f aca="false">IF(BD176,IF(Underlying=1,X176,Z176)+UnderlyingPriceAsian-SwapPriceCurve,"")</f>
        <v/>
      </c>
      <c r="BS176" s="463" t="str">
        <f aca="false">IF(BD176,Strike1/BR176-1,"")</f>
        <v/>
      </c>
      <c r="BT176" s="464" t="str">
        <f aca="false">IF(BD176,Strike2/BR176-1,"")</f>
        <v/>
      </c>
      <c r="BU176" s="465" t="str">
        <f aca="false">IF(BD176,IF(Underlying=1,L177,R177)+UnderlyingPriceAsian-SwapPriceCurve,"")</f>
        <v/>
      </c>
      <c r="BV176" s="465" t="str">
        <f aca="false">IF(BD176,IF(Underlying=1,L178,R178)+UnderlyingPriceAsian-SwapPriceCurve,"")</f>
        <v/>
      </c>
      <c r="BW176" s="466" t="str">
        <f aca="false">IF(BD176,IF(Underlying=1,O177,AT177),"")</f>
        <v/>
      </c>
      <c r="BX176" s="467" t="str">
        <f aca="false">IF(BD176,IF(Underlying=1,O178,AT178),"")</f>
        <v/>
      </c>
      <c r="BY176" s="466" t="str">
        <f aca="false">IF(BD176,IF(BS176&gt;0,IF(BS176&gt;0.2,BC176-BB176,IF(BS176&gt;0.1,BB176-BA176,BA176)),IF(BS176&lt;-0.2,AX176-AY176,IF(BS176&lt;-0.1,AY176-AZ176,AZ176))),"")</f>
        <v/>
      </c>
      <c r="BZ176" s="467" t="str">
        <f aca="false">IF(BD176,IF(BT176&gt;0,IF(BT176&gt;0.2,BC176-BB176,IF(BT176&gt;0.1,BB176-BA176,BA176)),IF(BT176&lt;-0.2,AX176-AY176,IF(BT176&lt;-0.1,AY176-AZ176,AZ176))),"")</f>
        <v/>
      </c>
      <c r="CA176" s="468" t="str">
        <f aca="false">IF($BD176,$BW176+IF(VolSkewFlag=1,IF(BS176&gt;0,$BA176*MIN(BS176/10%,1)+($BB176-$BA176)*MAX(0,MIN(BS176/10%-1,1))+($BC176-$BB176)*MAX(0,BS176/10%-2),$AZ176*MIN(-BS176/10%,1)+($AY176-$AZ176)*MAX(0,MIN(-BS176/10%-1,1))+($AX176-$AY176)*MAX(0,-BS176/10%-2)),0),"")</f>
        <v/>
      </c>
      <c r="CB176" s="468" t="str">
        <f aca="false">IF($BD176,$BX176+IF(VolSkewFlag=1,IF(BS176&gt;0,$BA176*MIN(BS176/10%,1)+($BB176-$BA176)*MAX(0,MIN(BS176/10%-1,1))+($BC176-$BB176)*MAX(0,BS176/10%-2),$AZ176*MIN(-BS176/10%,1)+($AY176-$AZ176)*MAX(0,MIN(-BS176/10%-1,1))+($AX176-$AY176)*MAX(0,-BS176/10%-2)),0),"")</f>
        <v/>
      </c>
      <c r="CC176" s="468" t="str">
        <f aca="false">IF($BD176,$BW176+IF(VolSkewFlag=1,IF(BT176&gt;0,$BA176*MIN(BT176/10%,1)+($BB176-$BA176)*MAX(0,MIN(BT176/10%-1,1))+($BC176-$BB176)*MAX(0,BT176/10%-2),$AZ176*MIN(-BT176/10%,1)+($AY176-$AZ176)*MAX(0,MIN(-BT176/10%-1,1))+($AX176-$AY176)*MAX(0,-BT176/10%-2)),0),"")</f>
        <v/>
      </c>
      <c r="CD176" s="468" t="str">
        <f aca="false">IF($BD176,$BX176+IF(VolSkewFlag=1,IF(BT176&gt;0,$BA176*MIN(BT176/10%,1)+($BB176-$BA176)*MAX(0,MIN(BT176/10%-1,1))+($BC176-$BB176)*MAX(0,BT176/10%-2),$AZ176*MIN(-BT176/10%,1)+($AY176-$AZ176)*MAX(0,MIN(-BT176/10%-1,1))+($AX176-$AY176)*MAX(0,-BT176/10%-2)),0),"")</f>
        <v/>
      </c>
      <c r="CE176" s="469" t="n">
        <v>1</v>
      </c>
      <c r="CF176" s="470" t="n">
        <f aca="false">IF(BD176,xCrudeAPO(BU176,BV176,CA176,CB176,S177,S178,BI176,BL176,BP176,BQ176,0,Strike1,AO176,CE176,0,BL176,IF(OptControl=4,0,1),0,1),0)</f>
        <v>0</v>
      </c>
      <c r="CG176" s="470" t="n">
        <f aca="false">IF(BD176,xCrudeAPO(BU176,BV176,CA176,CB176,S177,S178,BI176,BL176,BP176,BQ176,0,Strike1,AO176,CE176,0,BL176,IF(OptControl=4,0,1),1,1)+xCrudeAPO(BU176,BV176,CA176,CB176,S177,S178,BI176,BL176,BP176,BQ176,0,Strike1,AO176,CE176,0,BL176,IF(OptControl=4,0,1),1,2)+IF(OR(VolSkewFlag=2,ABS(BS176)&lt;0.0001),0,IF(BS176&gt;0,-1,1)*CH176*Strike1/BR176^2*BY176/10%),0)</f>
        <v>0</v>
      </c>
      <c r="CH176" s="470" t="n">
        <f aca="false">IF(BD176,(xCrudeAPO(BU176,BV176,CA176,CB176,S177,S178,BI176,BL176,BP176,BQ176,0,Strike1,AO176,CE176,0,BL176,IF(OptControl=4,0,1),3,1)+xCrudeAPO(BU176,BV176,CA176,CB176,S177,S178,BI176,BL176,BP176,BQ176,0,Strike1,AO176,CE176,0,BL176,IF(OptControl=4,0,1),3,2))/100,0)</f>
        <v>0</v>
      </c>
      <c r="CI176" s="470" t="n">
        <f aca="false">IF(BD176,xCrudeAPO(BU176,BV176,CA176,CB176,S177,S178,BI176-DaysForThetaCalculation/365.25,BL176-DaysForThetaCalculation/365.25,BP176,BQ176,0,Strike1,AO176,CE176,0,BL176,IF(OptControl=4,0,1),0,1)-xCrudeAPO(BU176,BV176,CA176,CB176,S177,S178,BI176,BL176,BP176,BQ176,0,Strike1,AO176,CE176,0,BL176,IF(OptControl=4,0,1),0,1),0)</f>
        <v>0</v>
      </c>
      <c r="CJ176" s="471" t="n">
        <f aca="false">IF(BD176,xCrudeAPO(BU176,BV176,CC176,CD176,S177,S178,BI176,BL176,BP176,BQ176,0,Strike2,AO176,CE176,0,BL176,IF(OptControl=3,1,0),0,1),0)</f>
        <v>0</v>
      </c>
      <c r="CK176" s="470" t="n">
        <f aca="false">IF(BD176,xCrudeAPO(BU176,BV176,CC176,CD176,S177,S178,BI176,BL176,BP176,BQ176,0,Strike2,AO176,CE176,0,BL176,IF(OptControl=3,1,0),1,1)+xCrudeAPO(BU176,BV176,CC176,CD176,S177,S178,BI176,BL176,BP176,BQ176,0,Strike2,AO176,CE176,0,BL176,IF(OptControl=3,1,0),1,2)+IF(OR(VolSkewFlag=2,ABS(BT176)&lt;0.0001),0,IF(BT176&gt;0,-1,1)*CL176*Strike2/BR176^2*BZ176/10%),0)</f>
        <v>0</v>
      </c>
      <c r="CL176" s="470" t="n">
        <f aca="false">IF(BD176,(xCrudeAPO(BU176,BV176,CC176,CD176,S177,S178,BI176,BL176,BP176,BQ176,0,Strike2,AO176,CE176,0,BL176,IF(OptControl=3,1,0),3,1)+xCrudeAPO(BU176,BV176,CC176,CD176,S177,S178,BI176,BL176,BP176,BQ176,0,Strike2,AO176,CE176,0,BL176,IF(OptControl=3,1,0),3,2))/100,0)</f>
        <v>0</v>
      </c>
      <c r="CM176" s="472" t="n">
        <f aca="false">IF(BD176,xCrudeAPO(BU176,BV176,CC176,CD176,S177,S178,BI176-DaysForThetaCalculation/365.25,BL176-DaysForThetaCalculation/365.25,BP176,BQ176,0,Strike2,AO176,CE176,0,BL176,IF(OptControl=3,1,0),0,1)-xCrudeAPO(BU176,BV176,CC176,CD176,S177,S178,BI176,BL176,BP176,BQ176,0,Strike2,AO176,CE176,0,BL176,IF(OptControl=3,1,0),0,1),0)</f>
        <v>0</v>
      </c>
      <c r="CN176" s="3"/>
      <c r="CO176" s="543" t="str">
        <f aca="false">IF(BD176,CHOOSE(Underlying,AD176,AF176)-DateToday+1,"")</f>
        <v/>
      </c>
      <c r="CP176" s="582" t="str">
        <f aca="false">IF(BD176,CHOOSE(Underlying,L176,R176),"")</f>
        <v/>
      </c>
      <c r="CQ176" s="544" t="str">
        <f aca="false">IF(BD176,Strike1/CP176-1,"")</f>
        <v/>
      </c>
      <c r="CR176" s="544" t="str">
        <f aca="false">IF(BD176,Strike2/CP176-1,"")</f>
        <v/>
      </c>
      <c r="CS176" s="544" t="str">
        <f aca="false">IF(BD176,IF(CQ176&gt;0,IF(CQ176&gt;0.2,BC175-BB175,IF(CQ176&gt;0.1,BB175-BA175,BA175)),IF(CQ176&lt;-0.2,AX175-AY175,IF(CQ176&lt;-0.1,AY175-AZ175,AZ175))),"")</f>
        <v/>
      </c>
      <c r="CT176" s="544" t="str">
        <f aca="false">IF(BD176,IF(CR176&gt;0,IF(CR176&gt;0.2,BC175-BB175,IF(CR176&gt;0.1,BB175-BA175,BA175)),IF(CR176&lt;-0.2,AX175-AY175,IF(CR176&lt;-0.1,AY175-AZ175,AZ175))),"")</f>
        <v/>
      </c>
      <c r="CU176" s="545" t="str">
        <f aca="false">IF(BD176,CHOOSE(Underlying,O176,AT176),"")</f>
        <v/>
      </c>
      <c r="CV176" s="545" t="str">
        <f aca="false">IF(BD176,CU176+IF(VolSkewFlag=1,IF(CQ176&gt;0,BA175*MIN(CQ176/10%,1)+(BB175-BA175)*MAX(0,MIN(CQ176/10%-1,1))+(BC175-BB175)*MAX(0,CQ176/10%-2),AZ175*MIN(-CQ176/10%,1)+(AY175-AZ175)*MAX(0,MIN(-CQ176/10%-1,1))+(AX175-AY175)*MAX(0,-CQ176/10%-2)),0),"")</f>
        <v/>
      </c>
      <c r="CW176" s="545" t="str">
        <f aca="false">IF(BD176,CU176+IF(VolSkewFlag=1,IF(CR176&gt;0,BA175*MIN(CR176/10%,1)+(BB175-BA175)*MAX(0,MIN(CR176/10%-1,1))+(BC175-BB175)*MAX(0,CR176/10%-2),AZ175*MIN(-CR176/10%,1)+(AY175-AZ175)*MAX(0,MIN(-CR176/10%-1,1))+(AX175-AY175)*MAX(0,-CR176/10%-2)),0),"")</f>
        <v/>
      </c>
      <c r="CX176" s="470" t="n">
        <f aca="false">IF(BD176,EURO(CP176,Strike1,AO176,AO176,CV176,CO176,IF(OptControl=4,0,1),0),0)</f>
        <v>0</v>
      </c>
      <c r="CY176" s="470" t="n">
        <f aca="false">IF(BD176,EURO(CP176,Strike1,AO176,AO176,CV176,CO176,IF(OptControl=4,0,1),1)+IF(OR(VolSkewFlag=2,ABS(CQ176)&lt;0.0001),0,IF(CQ176&gt;0,-1,1)*CZ176*100*Strike1/CP176^2*CS176/10%),0)</f>
        <v>0</v>
      </c>
      <c r="CZ176" s="470" t="n">
        <f aca="false">IF(BD176,EURO(CP176,Strike1,AO176,AO176,CV176,CO176,IF(OptControl=4,0,1),3)/100,0)</f>
        <v>0</v>
      </c>
      <c r="DA176" s="470" t="n">
        <f aca="false">IF(BD176,EURO(CP176,Strike1,AO176,AO176,CV176,CO176,IF(OptControl=4,0,1),0)-EURO(CP176,Strike1,AO176,AO176,CV176,CO176-1,IF(OptControl=4,0,1),0),0)</f>
        <v>0</v>
      </c>
      <c r="DB176" s="470" t="n">
        <f aca="false">IF(BD176,EURO(CP176,Strike2,AO176,AO176,CW176,CO176,IF(OptControl=3,1,0),0),0)</f>
        <v>0</v>
      </c>
      <c r="DC176" s="470" t="n">
        <f aca="false">IF(BD176,EURO(CP176,Strike2,AO176,AO176,CW176,CO176,IF(OptControl=3,1,0),1)+IF(OR(VolSkewFlag=2,ABS(CR176)&lt;0.0001),0,IF(CR176&gt;0,-1,1)*DD176*100*Strike2/CP176^2*CT176/10%),0)</f>
        <v>0</v>
      </c>
      <c r="DD176" s="470" t="n">
        <f aca="false">IF(BD176,EURO(CP176,Strike2,AO176,AO176,CW176,CO176,IF(OptControl=3,1,0),3)/100,0)</f>
        <v>0</v>
      </c>
      <c r="DE176" s="472" t="n">
        <f aca="false">IF(BD176,EURO(CP176,Strike2,AO176,AO176,CW176,CO176,IF(OptControl=3,1,0),0)-EURO(CP176,Strike2,AO176,AO176,CW176,CO176-1,IF(OptControl=3,1,0),0),0)</f>
        <v>0</v>
      </c>
      <c r="DG176" s="481" t="n">
        <f aca="false">EOMONTH(DG175,0)+1</f>
        <v>50437</v>
      </c>
      <c r="DH176" s="478" t="n">
        <v>21.9600000000001</v>
      </c>
      <c r="DI176" s="479" t="n">
        <v>22.0250000000001</v>
      </c>
      <c r="DJ176" s="480" t="n">
        <f aca="false">DG176</f>
        <v>50437</v>
      </c>
      <c r="DK176" s="478" t="n">
        <v>20.7565919726067</v>
      </c>
      <c r="DL176" s="479" t="n">
        <v>20.8565000000001</v>
      </c>
      <c r="DM176" s="481" t="n">
        <f aca="false">DG176</f>
        <v>50437</v>
      </c>
      <c r="DN176" s="482" t="n">
        <f aca="false">DK176+BrentPhyBrentSpread</f>
        <v>20.8065919726067</v>
      </c>
      <c r="DO176" s="481" t="n">
        <f aca="false">DG176</f>
        <v>50437</v>
      </c>
      <c r="DP176" s="483" t="n">
        <f aca="false">DL176+DQ176</f>
        <v>20.8565000000001</v>
      </c>
      <c r="DQ176" s="546" t="n">
        <v>0</v>
      </c>
      <c r="DR176" s="480" t="n">
        <f aca="false">DG176</f>
        <v>50437</v>
      </c>
      <c r="DS176" s="485" t="n">
        <v>0.130999999999999</v>
      </c>
      <c r="DT176" s="486" t="n">
        <v>0.130219999999999</v>
      </c>
      <c r="DU176" s="480" t="n">
        <f aca="false">DG176</f>
        <v>50437</v>
      </c>
      <c r="DV176" s="485" t="n">
        <v>0.130999999999999</v>
      </c>
      <c r="DW176" s="486" t="n">
        <v>0.130219999999999</v>
      </c>
      <c r="DX176" s="481" t="n">
        <f aca="false">DG176</f>
        <v>50437</v>
      </c>
      <c r="DY176" s="486" t="n">
        <v>0.35</v>
      </c>
      <c r="DZ176" s="481" t="n">
        <f aca="false">DR176</f>
        <v>50437</v>
      </c>
      <c r="EA176" s="486" t="n">
        <f aca="false">DT176</f>
        <v>0.130219999999999</v>
      </c>
      <c r="EB176" s="195"/>
      <c r="EC176" s="547" t="str">
        <f aca="false">IF(BD176,IF(Underlying=1,AS176,AU176),"")</f>
        <v/>
      </c>
      <c r="ED176" s="548" t="str">
        <f aca="false">IF($BD176,$EC176+IF(VolSkewFlag=1,IF(BS176&gt;0,$BA176*MIN(BS176/10%,1)+($BB176-$BA176)*MAX(0,MIN(BS176/10%-1,1))+($BC176-$BB176)*MAX(0,BS176/10%-2),$AZ176*MIN(-BS176/10%,1)+($AY176-$AZ176)*MAX(0,MIN(-BS176/10%-1,1))+($AX176-$AY176)*MAX(0,-BS176/10%-2)),0),"")</f>
        <v/>
      </c>
      <c r="EE176" s="549" t="str">
        <f aca="false">IF($BD176,$EC176+IF(VolSkewFlag=1,IF(BT176&gt;0,$BA176*MIN(BT176/10%,1)+($BB176-$BA176)*MAX(0,MIN(BT176/10%-1,1))+($BC176-$BB176)*MAX(0,BT176/10%-2),$AZ176*MIN(-BT176/10%,1)+($AY176-$AZ176)*MAX(0,MIN(-BT176/10%-1,1))+($AX176-$AY176)*MAX(0,-BT176/10%-2)),0),"")</f>
        <v/>
      </c>
      <c r="EF176" s="550" t="n">
        <f aca="false">IF(BD176,xASN(BR176,Strike1,AO176,ED176,0,BO176,0,BI176,BL176,IF(OptControl=4,0,1),0),0)</f>
        <v>0</v>
      </c>
      <c r="EG176" s="551" t="n">
        <f aca="false">IF(BD176,xASN(BR176,Strike2,AO176,EE176,0,BO176,0,BI176,BL176,IF(OptControl=3,1,0),0),0)</f>
        <v>0</v>
      </c>
      <c r="EL176" s="1"/>
      <c r="EM176" s="195"/>
      <c r="EN176" s="240"/>
      <c r="EO176" s="240"/>
      <c r="EP176" s="195"/>
      <c r="EQ176" s="407" t="s">
        <v>404</v>
      </c>
      <c r="ES176" s="130"/>
      <c r="ET176" s="19"/>
      <c r="EU176" s="672"/>
      <c r="EV176" s="478"/>
      <c r="EW176" s="131"/>
      <c r="EX176" s="131"/>
      <c r="EY176" s="129"/>
      <c r="EZ176" s="129"/>
      <c r="FA176" s="129"/>
      <c r="FB176" s="129"/>
      <c r="FC176" s="129"/>
      <c r="FD176" s="129"/>
      <c r="FE176" s="129"/>
      <c r="FF176" s="129"/>
      <c r="FG176" s="129"/>
      <c r="FH176" s="129"/>
      <c r="FI176" s="129"/>
      <c r="FJ176" s="571" t="n">
        <v>7</v>
      </c>
      <c r="FK176" s="150" t="str">
        <f aca="false">IF(OR(FK$169&lt;SwaptionFirstMonthPosition+1,$FJ176&lt;SwaptionFirstMonthPosition+1,FK$169&gt;SwaptionFirstMonthPosition+SwaptionNumOfMonths+1,$FJ176&gt;SwaptionFirstMonthPosition+SwaptionNumOfMonths+1),"",IF($FJ176=FK$169,1,IF($FJ176&lt;FK$169,INDEX($FK$170:$ID$241,FK$169,$FJ176),SUMPRODUCT(INDEX($FK$325:$ID$396,FK$169,1+SwaptionShift):INDEX($FK$325:$ID$396,FK$169,SwaptionMonthsToGo+SwaptionShift),INDEX($FK$245:$ID$316,$FJ176-FK$169,73-FK$169+SwaptionShift):INDEX($FK$245:$ID$316,$FJ176-FK$169,72-FK$169+SwaptionMonthsToGo+SwaptionShift))/SQRT(SUM(INDEX($FK331:$ID331,1+SwaptionShift):INDEX($FK331:$ID331,SwaptionMonthsToGo+SwaptionShift))*SUM(INDEX($FK$325:$ID$396,FK$169,1+SwaptionShift):INDEX($FK$325:$ID$396,FK$169,SwaptionMonthsToGo+SwaptionShift))))))</f>
        <v/>
      </c>
      <c r="FL176" s="150" t="str">
        <f aca="false">IF(OR(FL$169&lt;SwaptionFirstMonthPosition+1,$FJ176&lt;SwaptionFirstMonthPosition+1,FL$169&gt;SwaptionFirstMonthPosition+SwaptionNumOfMonths+1,$FJ176&gt;SwaptionFirstMonthPosition+SwaptionNumOfMonths+1),"",IF($FJ176=FL$169,1,IF($FJ176&lt;FL$169,INDEX($FK$170:$ID$241,FL$169,$FJ176),SUMPRODUCT(INDEX($FK$325:$ID$396,FL$169,1+SwaptionShift):INDEX($FK$325:$ID$396,FL$169,SwaptionMonthsToGo+SwaptionShift),INDEX($FK$245:$ID$316,$FJ176-FL$169,73-FL$169+SwaptionShift):INDEX($FK$245:$ID$316,$FJ176-FL$169,72-FL$169+SwaptionMonthsToGo+SwaptionShift))/SQRT(SUM(INDEX($FK331:$ID331,1+SwaptionShift):INDEX($FK331:$ID331,SwaptionMonthsToGo+SwaptionShift))*SUM(INDEX($FK$325:$ID$396,FL$169,1+SwaptionShift):INDEX($FK$325:$ID$396,FL$169,SwaptionMonthsToGo+SwaptionShift))))))</f>
        <v/>
      </c>
      <c r="FM176" s="150" t="str">
        <f aca="false">IF(OR(FM$169&lt;SwaptionFirstMonthPosition+1,$FJ176&lt;SwaptionFirstMonthPosition+1,FM$169&gt;SwaptionFirstMonthPosition+SwaptionNumOfMonths+1,$FJ176&gt;SwaptionFirstMonthPosition+SwaptionNumOfMonths+1),"",IF($FJ176=FM$169,1,IF($FJ176&lt;FM$169,INDEX($FK$170:$ID$241,FM$169,$FJ176),SUMPRODUCT(INDEX($FK$325:$ID$396,FM$169,1+SwaptionShift):INDEX($FK$325:$ID$396,FM$169,SwaptionMonthsToGo+SwaptionShift),INDEX($FK$245:$ID$316,$FJ176-FM$169,73-FM$169+SwaptionShift):INDEX($FK$245:$ID$316,$FJ176-FM$169,72-FM$169+SwaptionMonthsToGo+SwaptionShift))/SQRT(SUM(INDEX($FK331:$ID331,1+SwaptionShift):INDEX($FK331:$ID331,SwaptionMonthsToGo+SwaptionShift))*SUM(INDEX($FK$325:$ID$396,FM$169,1+SwaptionShift):INDEX($FK$325:$ID$396,FM$169,SwaptionMonthsToGo+SwaptionShift))))))</f>
        <v/>
      </c>
      <c r="FN176" s="150" t="str">
        <f aca="false">IF(OR(FN$169&lt;SwaptionFirstMonthPosition+1,$FJ176&lt;SwaptionFirstMonthPosition+1,FN$169&gt;SwaptionFirstMonthPosition+SwaptionNumOfMonths+1,$FJ176&gt;SwaptionFirstMonthPosition+SwaptionNumOfMonths+1),"",IF($FJ176=FN$169,1,IF($FJ176&lt;FN$169,INDEX($FK$170:$ID$241,FN$169,$FJ176),SUMPRODUCT(INDEX($FK$325:$ID$396,FN$169,1+SwaptionShift):INDEX($FK$325:$ID$396,FN$169,SwaptionMonthsToGo+SwaptionShift),INDEX($FK$245:$ID$316,$FJ176-FN$169,73-FN$169+SwaptionShift):INDEX($FK$245:$ID$316,$FJ176-FN$169,72-FN$169+SwaptionMonthsToGo+SwaptionShift))/SQRT(SUM(INDEX($FK331:$ID331,1+SwaptionShift):INDEX($FK331:$ID331,SwaptionMonthsToGo+SwaptionShift))*SUM(INDEX($FK$325:$ID$396,FN$169,1+SwaptionShift):INDEX($FK$325:$ID$396,FN$169,SwaptionMonthsToGo+SwaptionShift))))))</f>
        <v/>
      </c>
      <c r="FO176" s="150" t="str">
        <f aca="false">IF(OR(FO$169&lt;SwaptionFirstMonthPosition+1,$FJ176&lt;SwaptionFirstMonthPosition+1,FO$169&gt;SwaptionFirstMonthPosition+SwaptionNumOfMonths+1,$FJ176&gt;SwaptionFirstMonthPosition+SwaptionNumOfMonths+1),"",IF($FJ176=FO$169,1,IF($FJ176&lt;FO$169,INDEX($FK$170:$ID$241,FO$169,$FJ176),SUMPRODUCT(INDEX($FK$325:$ID$396,FO$169,1+SwaptionShift):INDEX($FK$325:$ID$396,FO$169,SwaptionMonthsToGo+SwaptionShift),INDEX($FK$245:$ID$316,$FJ176-FO$169,73-FO$169+SwaptionShift):INDEX($FK$245:$ID$316,$FJ176-FO$169,72-FO$169+SwaptionMonthsToGo+SwaptionShift))/SQRT(SUM(INDEX($FK331:$ID331,1+SwaptionShift):INDEX($FK331:$ID331,SwaptionMonthsToGo+SwaptionShift))*SUM(INDEX($FK$325:$ID$396,FO$169,1+SwaptionShift):INDEX($FK$325:$ID$396,FO$169,SwaptionMonthsToGo+SwaptionShift))))))</f>
        <v/>
      </c>
      <c r="FP176" s="150" t="e">
        <f aca="false">IF(OR(FP$169&lt;SwaptionFirstMonthPosition+1,$FJ176&lt;SwaptionFirstMonthPosition+1,FP$169&gt;SwaptionFirstMonthPosition+SwaptionNumOfMonths+1,$FJ176&gt;SwaptionFirstMonthPosition+SwaptionNumOfMonths+1),"",IF($FJ176=FP$169,1,IF($FJ176&lt;FP$169,INDEX($FK$170:$ID$241,FP$169,$FJ176),SUMPRODUCT(INDEX($FK$325:$ID$396,FP$169,1+SwaptionShift):INDEX($FK$325:$ID$396,FP$169,SwaptionMonthsToGo+SwaptionShift),INDEX($FK$245:$ID$316,$FJ176-FP$169,73-FP$169+SwaptionShift):INDEX($FK$245:$ID$316,$FJ176-FP$169,72-FP$169+SwaptionMonthsToGo+SwaptionShift))/SQRT(SUM(INDEX($FK331:$ID331,1+SwaptionShift):INDEX($FK331:$ID331,SwaptionMonthsToGo+SwaptionShift))*SUM(INDEX($FK$325:$ID$396,FP$169,1+SwaptionShift):INDEX($FK$325:$ID$396,FP$169,SwaptionMonthsToGo+SwaptionShift))))))</f>
        <v>#DIV/0!</v>
      </c>
      <c r="FQ176" s="150" t="n">
        <f aca="false">IF(OR(FQ$169&lt;SwaptionFirstMonthPosition+1,$FJ176&lt;SwaptionFirstMonthPosition+1,FQ$169&gt;SwaptionFirstMonthPosition+SwaptionNumOfMonths+1,$FJ176&gt;SwaptionFirstMonthPosition+SwaptionNumOfMonths+1),"",IF($FJ176=FQ$169,1,IF($FJ176&lt;FQ$169,INDEX($FK$170:$ID$241,FQ$169,$FJ176),SUMPRODUCT(INDEX($FK$325:$ID$396,FQ$169,1+SwaptionShift):INDEX($FK$325:$ID$396,FQ$169,SwaptionMonthsToGo+SwaptionShift),INDEX($FK$245:$ID$316,$FJ176-FQ$169,73-FQ$169+SwaptionShift):INDEX($FK$245:$ID$316,$FJ176-FQ$169,72-FQ$169+SwaptionMonthsToGo+SwaptionShift))/SQRT(SUM(INDEX($FK331:$ID331,1+SwaptionShift):INDEX($FK331:$ID331,SwaptionMonthsToGo+SwaptionShift))*SUM(INDEX($FK$325:$ID$396,FQ$169,1+SwaptionShift):INDEX($FK$325:$ID$396,FQ$169,SwaptionMonthsToGo+SwaptionShift))))))</f>
        <v>1</v>
      </c>
      <c r="FR176" s="150" t="e">
        <f aca="false">IF(OR(FR$169&lt;SwaptionFirstMonthPosition+1,$FJ176&lt;SwaptionFirstMonthPosition+1,FR$169&gt;SwaptionFirstMonthPosition+SwaptionNumOfMonths+1,$FJ176&gt;SwaptionFirstMonthPosition+SwaptionNumOfMonths+1),"",IF($FJ176=FR$169,1,IF($FJ176&lt;FR$169,INDEX($FK$170:$ID$241,FR$169,$FJ176),SUMPRODUCT(INDEX($FK$325:$ID$396,FR$169,1+SwaptionShift):INDEX($FK$325:$ID$396,FR$169,SwaptionMonthsToGo+SwaptionShift),INDEX($FK$245:$ID$316,$FJ176-FR$169,73-FR$169+SwaptionShift):INDEX($FK$245:$ID$316,$FJ176-FR$169,72-FR$169+SwaptionMonthsToGo+SwaptionShift))/SQRT(SUM(INDEX($FK331:$ID331,1+SwaptionShift):INDEX($FK331:$ID331,SwaptionMonthsToGo+SwaptionShift))*SUM(INDEX($FK$325:$ID$396,FR$169,1+SwaptionShift):INDEX($FK$325:$ID$396,FR$169,SwaptionMonthsToGo+SwaptionShift))))))</f>
        <v>#DIV/0!</v>
      </c>
      <c r="FS176" s="150" t="e">
        <f aca="false">IF(OR(FS$169&lt;SwaptionFirstMonthPosition+1,$FJ176&lt;SwaptionFirstMonthPosition+1,FS$169&gt;SwaptionFirstMonthPosition+SwaptionNumOfMonths+1,$FJ176&gt;SwaptionFirstMonthPosition+SwaptionNumOfMonths+1),"",IF($FJ176=FS$169,1,IF($FJ176&lt;FS$169,INDEX($FK$170:$ID$241,FS$169,$FJ176),SUMPRODUCT(INDEX($FK$325:$ID$396,FS$169,1+SwaptionShift):INDEX($FK$325:$ID$396,FS$169,SwaptionMonthsToGo+SwaptionShift),INDEX($FK$245:$ID$316,$FJ176-FS$169,73-FS$169+SwaptionShift):INDEX($FK$245:$ID$316,$FJ176-FS$169,72-FS$169+SwaptionMonthsToGo+SwaptionShift))/SQRT(SUM(INDEX($FK331:$ID331,1+SwaptionShift):INDEX($FK331:$ID331,SwaptionMonthsToGo+SwaptionShift))*SUM(INDEX($FK$325:$ID$396,FS$169,1+SwaptionShift):INDEX($FK$325:$ID$396,FS$169,SwaptionMonthsToGo+SwaptionShift))))))</f>
        <v>#DIV/0!</v>
      </c>
      <c r="FT176" s="150" t="e">
        <f aca="false">IF(OR(FT$169&lt;SwaptionFirstMonthPosition+1,$FJ176&lt;SwaptionFirstMonthPosition+1,FT$169&gt;SwaptionFirstMonthPosition+SwaptionNumOfMonths+1,$FJ176&gt;SwaptionFirstMonthPosition+SwaptionNumOfMonths+1),"",IF($FJ176=FT$169,1,IF($FJ176&lt;FT$169,INDEX($FK$170:$ID$241,FT$169,$FJ176),SUMPRODUCT(INDEX($FK$325:$ID$396,FT$169,1+SwaptionShift):INDEX($FK$325:$ID$396,FT$169,SwaptionMonthsToGo+SwaptionShift),INDEX($FK$245:$ID$316,$FJ176-FT$169,73-FT$169+SwaptionShift):INDEX($FK$245:$ID$316,$FJ176-FT$169,72-FT$169+SwaptionMonthsToGo+SwaptionShift))/SQRT(SUM(INDEX($FK331:$ID331,1+SwaptionShift):INDEX($FK331:$ID331,SwaptionMonthsToGo+SwaptionShift))*SUM(INDEX($FK$325:$ID$396,FT$169,1+SwaptionShift):INDEX($FK$325:$ID$396,FT$169,SwaptionMonthsToGo+SwaptionShift))))))</f>
        <v>#DIV/0!</v>
      </c>
      <c r="FU176" s="150" t="e">
        <f aca="false">IF(OR(FU$169&lt;SwaptionFirstMonthPosition+1,$FJ176&lt;SwaptionFirstMonthPosition+1,FU$169&gt;SwaptionFirstMonthPosition+SwaptionNumOfMonths+1,$FJ176&gt;SwaptionFirstMonthPosition+SwaptionNumOfMonths+1),"",IF($FJ176=FU$169,1,IF($FJ176&lt;FU$169,INDEX($FK$170:$ID$241,FU$169,$FJ176),SUMPRODUCT(INDEX($FK$325:$ID$396,FU$169,1+SwaptionShift):INDEX($FK$325:$ID$396,FU$169,SwaptionMonthsToGo+SwaptionShift),INDEX($FK$245:$ID$316,$FJ176-FU$169,73-FU$169+SwaptionShift):INDEX($FK$245:$ID$316,$FJ176-FU$169,72-FU$169+SwaptionMonthsToGo+SwaptionShift))/SQRT(SUM(INDEX($FK331:$ID331,1+SwaptionShift):INDEX($FK331:$ID331,SwaptionMonthsToGo+SwaptionShift))*SUM(INDEX($FK$325:$ID$396,FU$169,1+SwaptionShift):INDEX($FK$325:$ID$396,FU$169,SwaptionMonthsToGo+SwaptionShift))))))</f>
        <v>#DIV/0!</v>
      </c>
      <c r="FV176" s="150" t="e">
        <f aca="false">IF(OR(FV$169&lt;SwaptionFirstMonthPosition+1,$FJ176&lt;SwaptionFirstMonthPosition+1,FV$169&gt;SwaptionFirstMonthPosition+SwaptionNumOfMonths+1,$FJ176&gt;SwaptionFirstMonthPosition+SwaptionNumOfMonths+1),"",IF($FJ176=FV$169,1,IF($FJ176&lt;FV$169,INDEX($FK$170:$ID$241,FV$169,$FJ176),SUMPRODUCT(INDEX($FK$325:$ID$396,FV$169,1+SwaptionShift):INDEX($FK$325:$ID$396,FV$169,SwaptionMonthsToGo+SwaptionShift),INDEX($FK$245:$ID$316,$FJ176-FV$169,73-FV$169+SwaptionShift):INDEX($FK$245:$ID$316,$FJ176-FV$169,72-FV$169+SwaptionMonthsToGo+SwaptionShift))/SQRT(SUM(INDEX($FK331:$ID331,1+SwaptionShift):INDEX($FK331:$ID331,SwaptionMonthsToGo+SwaptionShift))*SUM(INDEX($FK$325:$ID$396,FV$169,1+SwaptionShift):INDEX($FK$325:$ID$396,FV$169,SwaptionMonthsToGo+SwaptionShift))))))</f>
        <v>#DIV/0!</v>
      </c>
      <c r="FW176" s="150" t="e">
        <f aca="false">IF(OR(FW$169&lt;SwaptionFirstMonthPosition+1,$FJ176&lt;SwaptionFirstMonthPosition+1,FW$169&gt;SwaptionFirstMonthPosition+SwaptionNumOfMonths+1,$FJ176&gt;SwaptionFirstMonthPosition+SwaptionNumOfMonths+1),"",IF($FJ176=FW$169,1,IF($FJ176&lt;FW$169,INDEX($FK$170:$ID$241,FW$169,$FJ176),SUMPRODUCT(INDEX($FK$325:$ID$396,FW$169,1+SwaptionShift):INDEX($FK$325:$ID$396,FW$169,SwaptionMonthsToGo+SwaptionShift),INDEX($FK$245:$ID$316,$FJ176-FW$169,73-FW$169+SwaptionShift):INDEX($FK$245:$ID$316,$FJ176-FW$169,72-FW$169+SwaptionMonthsToGo+SwaptionShift))/SQRT(SUM(INDEX($FK331:$ID331,1+SwaptionShift):INDEX($FK331:$ID331,SwaptionMonthsToGo+SwaptionShift))*SUM(INDEX($FK$325:$ID$396,FW$169,1+SwaptionShift):INDEX($FK$325:$ID$396,FW$169,SwaptionMonthsToGo+SwaptionShift))))))</f>
        <v>#DIV/0!</v>
      </c>
      <c r="FX176" s="150" t="e">
        <f aca="false">IF(OR(FX$169&lt;SwaptionFirstMonthPosition+1,$FJ176&lt;SwaptionFirstMonthPosition+1,FX$169&gt;SwaptionFirstMonthPosition+SwaptionNumOfMonths+1,$FJ176&gt;SwaptionFirstMonthPosition+SwaptionNumOfMonths+1),"",IF($FJ176=FX$169,1,IF($FJ176&lt;FX$169,INDEX($FK$170:$ID$241,FX$169,$FJ176),SUMPRODUCT(INDEX($FK$325:$ID$396,FX$169,1+SwaptionShift):INDEX($FK$325:$ID$396,FX$169,SwaptionMonthsToGo+SwaptionShift),INDEX($FK$245:$ID$316,$FJ176-FX$169,73-FX$169+SwaptionShift):INDEX($FK$245:$ID$316,$FJ176-FX$169,72-FX$169+SwaptionMonthsToGo+SwaptionShift))/SQRT(SUM(INDEX($FK331:$ID331,1+SwaptionShift):INDEX($FK331:$ID331,SwaptionMonthsToGo+SwaptionShift))*SUM(INDEX($FK$325:$ID$396,FX$169,1+SwaptionShift):INDEX($FK$325:$ID$396,FX$169,SwaptionMonthsToGo+SwaptionShift))))))</f>
        <v>#DIV/0!</v>
      </c>
      <c r="FY176" s="150" t="e">
        <f aca="false">IF(OR(FY$169&lt;SwaptionFirstMonthPosition+1,$FJ176&lt;SwaptionFirstMonthPosition+1,FY$169&gt;SwaptionFirstMonthPosition+SwaptionNumOfMonths+1,$FJ176&gt;SwaptionFirstMonthPosition+SwaptionNumOfMonths+1),"",IF($FJ176=FY$169,1,IF($FJ176&lt;FY$169,INDEX($FK$170:$ID$241,FY$169,$FJ176),SUMPRODUCT(INDEX($FK$325:$ID$396,FY$169,1+SwaptionShift):INDEX($FK$325:$ID$396,FY$169,SwaptionMonthsToGo+SwaptionShift),INDEX($FK$245:$ID$316,$FJ176-FY$169,73-FY$169+SwaptionShift):INDEX($FK$245:$ID$316,$FJ176-FY$169,72-FY$169+SwaptionMonthsToGo+SwaptionShift))/SQRT(SUM(INDEX($FK331:$ID331,1+SwaptionShift):INDEX($FK331:$ID331,SwaptionMonthsToGo+SwaptionShift))*SUM(INDEX($FK$325:$ID$396,FY$169,1+SwaptionShift):INDEX($FK$325:$ID$396,FY$169,SwaptionMonthsToGo+SwaptionShift))))))</f>
        <v>#DIV/0!</v>
      </c>
      <c r="FZ176" s="150" t="e">
        <f aca="false">IF(OR(FZ$169&lt;SwaptionFirstMonthPosition+1,$FJ176&lt;SwaptionFirstMonthPosition+1,FZ$169&gt;SwaptionFirstMonthPosition+SwaptionNumOfMonths+1,$FJ176&gt;SwaptionFirstMonthPosition+SwaptionNumOfMonths+1),"",IF($FJ176=FZ$169,1,IF($FJ176&lt;FZ$169,INDEX($FK$170:$ID$241,FZ$169,$FJ176),SUMPRODUCT(INDEX($FK$325:$ID$396,FZ$169,1+SwaptionShift):INDEX($FK$325:$ID$396,FZ$169,SwaptionMonthsToGo+SwaptionShift),INDEX($FK$245:$ID$316,$FJ176-FZ$169,73-FZ$169+SwaptionShift):INDEX($FK$245:$ID$316,$FJ176-FZ$169,72-FZ$169+SwaptionMonthsToGo+SwaptionShift))/SQRT(SUM(INDEX($FK331:$ID331,1+SwaptionShift):INDEX($FK331:$ID331,SwaptionMonthsToGo+SwaptionShift))*SUM(INDEX($FK$325:$ID$396,FZ$169,1+SwaptionShift):INDEX($FK$325:$ID$396,FZ$169,SwaptionMonthsToGo+SwaptionShift))))))</f>
        <v>#DIV/0!</v>
      </c>
      <c r="GA176" s="150" t="e">
        <f aca="false">IF(OR(GA$169&lt;SwaptionFirstMonthPosition+1,$FJ176&lt;SwaptionFirstMonthPosition+1,GA$169&gt;SwaptionFirstMonthPosition+SwaptionNumOfMonths+1,$FJ176&gt;SwaptionFirstMonthPosition+SwaptionNumOfMonths+1),"",IF($FJ176=GA$169,1,IF($FJ176&lt;GA$169,INDEX($FK$170:$ID$241,GA$169,$FJ176),SUMPRODUCT(INDEX($FK$325:$ID$396,GA$169,1+SwaptionShift):INDEX($FK$325:$ID$396,GA$169,SwaptionMonthsToGo+SwaptionShift),INDEX($FK$245:$ID$316,$FJ176-GA$169,73-GA$169+SwaptionShift):INDEX($FK$245:$ID$316,$FJ176-GA$169,72-GA$169+SwaptionMonthsToGo+SwaptionShift))/SQRT(SUM(INDEX($FK331:$ID331,1+SwaptionShift):INDEX($FK331:$ID331,SwaptionMonthsToGo+SwaptionShift))*SUM(INDEX($FK$325:$ID$396,GA$169,1+SwaptionShift):INDEX($FK$325:$ID$396,GA$169,SwaptionMonthsToGo+SwaptionShift))))))</f>
        <v>#DIV/0!</v>
      </c>
      <c r="GB176" s="150" t="e">
        <f aca="false">IF(OR(GB$169&lt;SwaptionFirstMonthPosition+1,$FJ176&lt;SwaptionFirstMonthPosition+1,GB$169&gt;SwaptionFirstMonthPosition+SwaptionNumOfMonths+1,$FJ176&gt;SwaptionFirstMonthPosition+SwaptionNumOfMonths+1),"",IF($FJ176=GB$169,1,IF($FJ176&lt;GB$169,INDEX($FK$170:$ID$241,GB$169,$FJ176),SUMPRODUCT(INDEX($FK$325:$ID$396,GB$169,1+SwaptionShift):INDEX($FK$325:$ID$396,GB$169,SwaptionMonthsToGo+SwaptionShift),INDEX($FK$245:$ID$316,$FJ176-GB$169,73-GB$169+SwaptionShift):INDEX($FK$245:$ID$316,$FJ176-GB$169,72-GB$169+SwaptionMonthsToGo+SwaptionShift))/SQRT(SUM(INDEX($FK331:$ID331,1+SwaptionShift):INDEX($FK331:$ID331,SwaptionMonthsToGo+SwaptionShift))*SUM(INDEX($FK$325:$ID$396,GB$169,1+SwaptionShift):INDEX($FK$325:$ID$396,GB$169,SwaptionMonthsToGo+SwaptionShift))))))</f>
        <v>#DIV/0!</v>
      </c>
      <c r="GC176" s="150" t="str">
        <f aca="false">IF(OR(GC$169&lt;SwaptionFirstMonthPosition+1,$FJ176&lt;SwaptionFirstMonthPosition+1,GC$169&gt;SwaptionFirstMonthPosition+SwaptionNumOfMonths+1,$FJ176&gt;SwaptionFirstMonthPosition+SwaptionNumOfMonths+1),"",IF($FJ176=GC$169,1,IF($FJ176&lt;GC$169,INDEX($FK$170:$ID$241,GC$169,$FJ176),SUMPRODUCT(INDEX($FK$325:$ID$396,GC$169,1+SwaptionShift):INDEX($FK$325:$ID$396,GC$169,SwaptionMonthsToGo+SwaptionShift),INDEX($FK$245:$ID$316,$FJ176-GC$169,73-GC$169+SwaptionShift):INDEX($FK$245:$ID$316,$FJ176-GC$169,72-GC$169+SwaptionMonthsToGo+SwaptionShift))/SQRT(SUM(INDEX($FK331:$ID331,1+SwaptionShift):INDEX($FK331:$ID331,SwaptionMonthsToGo+SwaptionShift))*SUM(INDEX($FK$325:$ID$396,GC$169,1+SwaptionShift):INDEX($FK$325:$ID$396,GC$169,SwaptionMonthsToGo+SwaptionShift))))))</f>
        <v/>
      </c>
      <c r="GD176" s="150" t="str">
        <f aca="false">IF(OR(GD$169&lt;SwaptionFirstMonthPosition+1,$FJ176&lt;SwaptionFirstMonthPosition+1,GD$169&gt;SwaptionFirstMonthPosition+SwaptionNumOfMonths+1,$FJ176&gt;SwaptionFirstMonthPosition+SwaptionNumOfMonths+1),"",IF($FJ176=GD$169,1,IF($FJ176&lt;GD$169,INDEX($FK$170:$ID$241,GD$169,$FJ176),SUMPRODUCT(INDEX($FK$325:$ID$396,GD$169,1+SwaptionShift):INDEX($FK$325:$ID$396,GD$169,SwaptionMonthsToGo+SwaptionShift),INDEX($FK$245:$ID$316,$FJ176-GD$169,73-GD$169+SwaptionShift):INDEX($FK$245:$ID$316,$FJ176-GD$169,72-GD$169+SwaptionMonthsToGo+SwaptionShift))/SQRT(SUM(INDEX($FK331:$ID331,1+SwaptionShift):INDEX($FK331:$ID331,SwaptionMonthsToGo+SwaptionShift))*SUM(INDEX($FK$325:$ID$396,GD$169,1+SwaptionShift):INDEX($FK$325:$ID$396,GD$169,SwaptionMonthsToGo+SwaptionShift))))))</f>
        <v/>
      </c>
      <c r="GE176" s="150" t="str">
        <f aca="false">IF(OR(GE$169&lt;SwaptionFirstMonthPosition+1,$FJ176&lt;SwaptionFirstMonthPosition+1,GE$169&gt;SwaptionFirstMonthPosition+SwaptionNumOfMonths+1,$FJ176&gt;SwaptionFirstMonthPosition+SwaptionNumOfMonths+1),"",IF($FJ176=GE$169,1,IF($FJ176&lt;GE$169,INDEX($FK$170:$ID$241,GE$169,$FJ176),SUMPRODUCT(INDEX($FK$325:$ID$396,GE$169,1+SwaptionShift):INDEX($FK$325:$ID$396,GE$169,SwaptionMonthsToGo+SwaptionShift),INDEX($FK$245:$ID$316,$FJ176-GE$169,73-GE$169+SwaptionShift):INDEX($FK$245:$ID$316,$FJ176-GE$169,72-GE$169+SwaptionMonthsToGo+SwaptionShift))/SQRT(SUM(INDEX($FK331:$ID331,1+SwaptionShift):INDEX($FK331:$ID331,SwaptionMonthsToGo+SwaptionShift))*SUM(INDEX($FK$325:$ID$396,GE$169,1+SwaptionShift):INDEX($FK$325:$ID$396,GE$169,SwaptionMonthsToGo+SwaptionShift))))))</f>
        <v/>
      </c>
      <c r="GF176" s="150" t="str">
        <f aca="false">IF(OR(GF$169&lt;SwaptionFirstMonthPosition+1,$FJ176&lt;SwaptionFirstMonthPosition+1,GF$169&gt;SwaptionFirstMonthPosition+SwaptionNumOfMonths+1,$FJ176&gt;SwaptionFirstMonthPosition+SwaptionNumOfMonths+1),"",IF($FJ176=GF$169,1,IF($FJ176&lt;GF$169,INDEX($FK$170:$ID$241,GF$169,$FJ176),SUMPRODUCT(INDEX($FK$325:$ID$396,GF$169,1+SwaptionShift):INDEX($FK$325:$ID$396,GF$169,SwaptionMonthsToGo+SwaptionShift),INDEX($FK$245:$ID$316,$FJ176-GF$169,73-GF$169+SwaptionShift):INDEX($FK$245:$ID$316,$FJ176-GF$169,72-GF$169+SwaptionMonthsToGo+SwaptionShift))/SQRT(SUM(INDEX($FK331:$ID331,1+SwaptionShift):INDEX($FK331:$ID331,SwaptionMonthsToGo+SwaptionShift))*SUM(INDEX($FK$325:$ID$396,GF$169,1+SwaptionShift):INDEX($FK$325:$ID$396,GF$169,SwaptionMonthsToGo+SwaptionShift))))))</f>
        <v/>
      </c>
      <c r="GG176" s="150" t="str">
        <f aca="false">IF(OR(GG$169&lt;SwaptionFirstMonthPosition+1,$FJ176&lt;SwaptionFirstMonthPosition+1,GG$169&gt;SwaptionFirstMonthPosition+SwaptionNumOfMonths+1,$FJ176&gt;SwaptionFirstMonthPosition+SwaptionNumOfMonths+1),"",IF($FJ176=GG$169,1,IF($FJ176&lt;GG$169,INDEX($FK$170:$ID$241,GG$169,$FJ176),SUMPRODUCT(INDEX($FK$325:$ID$396,GG$169,1+SwaptionShift):INDEX($FK$325:$ID$396,GG$169,SwaptionMonthsToGo+SwaptionShift),INDEX($FK$245:$ID$316,$FJ176-GG$169,73-GG$169+SwaptionShift):INDEX($FK$245:$ID$316,$FJ176-GG$169,72-GG$169+SwaptionMonthsToGo+SwaptionShift))/SQRT(SUM(INDEX($FK331:$ID331,1+SwaptionShift):INDEX($FK331:$ID331,SwaptionMonthsToGo+SwaptionShift))*SUM(INDEX($FK$325:$ID$396,GG$169,1+SwaptionShift):INDEX($FK$325:$ID$396,GG$169,SwaptionMonthsToGo+SwaptionShift))))))</f>
        <v/>
      </c>
      <c r="GH176" s="150" t="str">
        <f aca="false">IF(OR(GH$169&lt;SwaptionFirstMonthPosition+1,$FJ176&lt;SwaptionFirstMonthPosition+1,GH$169&gt;SwaptionFirstMonthPosition+SwaptionNumOfMonths+1,$FJ176&gt;SwaptionFirstMonthPosition+SwaptionNumOfMonths+1),"",IF($FJ176=GH$169,1,IF($FJ176&lt;GH$169,INDEX($FK$170:$ID$241,GH$169,$FJ176),SUMPRODUCT(INDEX($FK$325:$ID$396,GH$169,1+SwaptionShift):INDEX($FK$325:$ID$396,GH$169,SwaptionMonthsToGo+SwaptionShift),INDEX($FK$245:$ID$316,$FJ176-GH$169,73-GH$169+SwaptionShift):INDEX($FK$245:$ID$316,$FJ176-GH$169,72-GH$169+SwaptionMonthsToGo+SwaptionShift))/SQRT(SUM(INDEX($FK331:$ID331,1+SwaptionShift):INDEX($FK331:$ID331,SwaptionMonthsToGo+SwaptionShift))*SUM(INDEX($FK$325:$ID$396,GH$169,1+SwaptionShift):INDEX($FK$325:$ID$396,GH$169,SwaptionMonthsToGo+SwaptionShift))))))</f>
        <v/>
      </c>
      <c r="GI176" s="150" t="str">
        <f aca="false">IF(OR(GI$169&lt;SwaptionFirstMonthPosition+1,$FJ176&lt;SwaptionFirstMonthPosition+1,GI$169&gt;SwaptionFirstMonthPosition+SwaptionNumOfMonths+1,$FJ176&gt;SwaptionFirstMonthPosition+SwaptionNumOfMonths+1),"",IF($FJ176=GI$169,1,IF($FJ176&lt;GI$169,INDEX($FK$170:$ID$241,GI$169,$FJ176),SUMPRODUCT(INDEX($FK$325:$ID$396,GI$169,1+SwaptionShift):INDEX($FK$325:$ID$396,GI$169,SwaptionMonthsToGo+SwaptionShift),INDEX($FK$245:$ID$316,$FJ176-GI$169,73-GI$169+SwaptionShift):INDEX($FK$245:$ID$316,$FJ176-GI$169,72-GI$169+SwaptionMonthsToGo+SwaptionShift))/SQRT(SUM(INDEX($FK331:$ID331,1+SwaptionShift):INDEX($FK331:$ID331,SwaptionMonthsToGo+SwaptionShift))*SUM(INDEX($FK$325:$ID$396,GI$169,1+SwaptionShift):INDEX($FK$325:$ID$396,GI$169,SwaptionMonthsToGo+SwaptionShift))))))</f>
        <v/>
      </c>
      <c r="GJ176" s="150" t="str">
        <f aca="false">IF(OR(GJ$169&lt;SwaptionFirstMonthPosition+1,$FJ176&lt;SwaptionFirstMonthPosition+1,GJ$169&gt;SwaptionFirstMonthPosition+SwaptionNumOfMonths+1,$FJ176&gt;SwaptionFirstMonthPosition+SwaptionNumOfMonths+1),"",IF($FJ176=GJ$169,1,IF($FJ176&lt;GJ$169,INDEX($FK$170:$ID$241,GJ$169,$FJ176),SUMPRODUCT(INDEX($FK$325:$ID$396,GJ$169,1+SwaptionShift):INDEX($FK$325:$ID$396,GJ$169,SwaptionMonthsToGo+SwaptionShift),INDEX($FK$245:$ID$316,$FJ176-GJ$169,73-GJ$169+SwaptionShift):INDEX($FK$245:$ID$316,$FJ176-GJ$169,72-GJ$169+SwaptionMonthsToGo+SwaptionShift))/SQRT(SUM(INDEX($FK331:$ID331,1+SwaptionShift):INDEX($FK331:$ID331,SwaptionMonthsToGo+SwaptionShift))*SUM(INDEX($FK$325:$ID$396,GJ$169,1+SwaptionShift):INDEX($FK$325:$ID$396,GJ$169,SwaptionMonthsToGo+SwaptionShift))))))</f>
        <v/>
      </c>
      <c r="GK176" s="150" t="str">
        <f aca="false">IF(OR(GK$169&lt;SwaptionFirstMonthPosition+1,$FJ176&lt;SwaptionFirstMonthPosition+1,GK$169&gt;SwaptionFirstMonthPosition+SwaptionNumOfMonths+1,$FJ176&gt;SwaptionFirstMonthPosition+SwaptionNumOfMonths+1),"",IF($FJ176=GK$169,1,IF($FJ176&lt;GK$169,INDEX($FK$170:$ID$241,GK$169,$FJ176),SUMPRODUCT(INDEX($FK$325:$ID$396,GK$169,1+SwaptionShift):INDEX($FK$325:$ID$396,GK$169,SwaptionMonthsToGo+SwaptionShift),INDEX($FK$245:$ID$316,$FJ176-GK$169,73-GK$169+SwaptionShift):INDEX($FK$245:$ID$316,$FJ176-GK$169,72-GK$169+SwaptionMonthsToGo+SwaptionShift))/SQRT(SUM(INDEX($FK331:$ID331,1+SwaptionShift):INDEX($FK331:$ID331,SwaptionMonthsToGo+SwaptionShift))*SUM(INDEX($FK$325:$ID$396,GK$169,1+SwaptionShift):INDEX($FK$325:$ID$396,GK$169,SwaptionMonthsToGo+SwaptionShift))))))</f>
        <v/>
      </c>
      <c r="GL176" s="150" t="str">
        <f aca="false">IF(OR(GL$169&lt;SwaptionFirstMonthPosition+1,$FJ176&lt;SwaptionFirstMonthPosition+1,GL$169&gt;SwaptionFirstMonthPosition+SwaptionNumOfMonths+1,$FJ176&gt;SwaptionFirstMonthPosition+SwaptionNumOfMonths+1),"",IF($FJ176=GL$169,1,IF($FJ176&lt;GL$169,INDEX($FK$170:$ID$241,GL$169,$FJ176),SUMPRODUCT(INDEX($FK$325:$ID$396,GL$169,1+SwaptionShift):INDEX($FK$325:$ID$396,GL$169,SwaptionMonthsToGo+SwaptionShift),INDEX($FK$245:$ID$316,$FJ176-GL$169,73-GL$169+SwaptionShift):INDEX($FK$245:$ID$316,$FJ176-GL$169,72-GL$169+SwaptionMonthsToGo+SwaptionShift))/SQRT(SUM(INDEX($FK331:$ID331,1+SwaptionShift):INDEX($FK331:$ID331,SwaptionMonthsToGo+SwaptionShift))*SUM(INDEX($FK$325:$ID$396,GL$169,1+SwaptionShift):INDEX($FK$325:$ID$396,GL$169,SwaptionMonthsToGo+SwaptionShift))))))</f>
        <v/>
      </c>
      <c r="GM176" s="150" t="str">
        <f aca="false">IF(OR(GM$169&lt;SwaptionFirstMonthPosition+1,$FJ176&lt;SwaptionFirstMonthPosition+1,GM$169&gt;SwaptionFirstMonthPosition+SwaptionNumOfMonths+1,$FJ176&gt;SwaptionFirstMonthPosition+SwaptionNumOfMonths+1),"",IF($FJ176=GM$169,1,IF($FJ176&lt;GM$169,INDEX($FK$170:$ID$241,GM$169,$FJ176),SUMPRODUCT(INDEX($FK$325:$ID$396,GM$169,1+SwaptionShift):INDEX($FK$325:$ID$396,GM$169,SwaptionMonthsToGo+SwaptionShift),INDEX($FK$245:$ID$316,$FJ176-GM$169,73-GM$169+SwaptionShift):INDEX($FK$245:$ID$316,$FJ176-GM$169,72-GM$169+SwaptionMonthsToGo+SwaptionShift))/SQRT(SUM(INDEX($FK331:$ID331,1+SwaptionShift):INDEX($FK331:$ID331,SwaptionMonthsToGo+SwaptionShift))*SUM(INDEX($FK$325:$ID$396,GM$169,1+SwaptionShift):INDEX($FK$325:$ID$396,GM$169,SwaptionMonthsToGo+SwaptionShift))))))</f>
        <v/>
      </c>
      <c r="GN176" s="150" t="str">
        <f aca="false">IF(OR(GN$169&lt;SwaptionFirstMonthPosition+1,$FJ176&lt;SwaptionFirstMonthPosition+1,GN$169&gt;SwaptionFirstMonthPosition+SwaptionNumOfMonths+1,$FJ176&gt;SwaptionFirstMonthPosition+SwaptionNumOfMonths+1),"",IF($FJ176=GN$169,1,IF($FJ176&lt;GN$169,INDEX($FK$170:$ID$241,GN$169,$FJ176),SUMPRODUCT(INDEX($FK$325:$ID$396,GN$169,1+SwaptionShift):INDEX($FK$325:$ID$396,GN$169,SwaptionMonthsToGo+SwaptionShift),INDEX($FK$245:$ID$316,$FJ176-GN$169,73-GN$169+SwaptionShift):INDEX($FK$245:$ID$316,$FJ176-GN$169,72-GN$169+SwaptionMonthsToGo+SwaptionShift))/SQRT(SUM(INDEX($FK331:$ID331,1+SwaptionShift):INDEX($FK331:$ID331,SwaptionMonthsToGo+SwaptionShift))*SUM(INDEX($FK$325:$ID$396,GN$169,1+SwaptionShift):INDEX($FK$325:$ID$396,GN$169,SwaptionMonthsToGo+SwaptionShift))))))</f>
        <v/>
      </c>
      <c r="GO176" s="150" t="str">
        <f aca="false">IF(OR(GO$169&lt;SwaptionFirstMonthPosition+1,$FJ176&lt;SwaptionFirstMonthPosition+1,GO$169&gt;SwaptionFirstMonthPosition+SwaptionNumOfMonths+1,$FJ176&gt;SwaptionFirstMonthPosition+SwaptionNumOfMonths+1),"",IF($FJ176=GO$169,1,IF($FJ176&lt;GO$169,INDEX($FK$170:$ID$241,GO$169,$FJ176),SUMPRODUCT(INDEX($FK$325:$ID$396,GO$169,1+SwaptionShift):INDEX($FK$325:$ID$396,GO$169,SwaptionMonthsToGo+SwaptionShift),INDEX($FK$245:$ID$316,$FJ176-GO$169,73-GO$169+SwaptionShift):INDEX($FK$245:$ID$316,$FJ176-GO$169,72-GO$169+SwaptionMonthsToGo+SwaptionShift))/SQRT(SUM(INDEX($FK331:$ID331,1+SwaptionShift):INDEX($FK331:$ID331,SwaptionMonthsToGo+SwaptionShift))*SUM(INDEX($FK$325:$ID$396,GO$169,1+SwaptionShift):INDEX($FK$325:$ID$396,GO$169,SwaptionMonthsToGo+SwaptionShift))))))</f>
        <v/>
      </c>
      <c r="GP176" s="150" t="str">
        <f aca="false">IF(OR(GP$169&lt;SwaptionFirstMonthPosition+1,$FJ176&lt;SwaptionFirstMonthPosition+1,GP$169&gt;SwaptionFirstMonthPosition+SwaptionNumOfMonths+1,$FJ176&gt;SwaptionFirstMonthPosition+SwaptionNumOfMonths+1),"",IF($FJ176=GP$169,1,IF($FJ176&lt;GP$169,INDEX($FK$170:$ID$241,GP$169,$FJ176),SUMPRODUCT(INDEX($FK$325:$ID$396,GP$169,1+SwaptionShift):INDEX($FK$325:$ID$396,GP$169,SwaptionMonthsToGo+SwaptionShift),INDEX($FK$245:$ID$316,$FJ176-GP$169,73-GP$169+SwaptionShift):INDEX($FK$245:$ID$316,$FJ176-GP$169,72-GP$169+SwaptionMonthsToGo+SwaptionShift))/SQRT(SUM(INDEX($FK331:$ID331,1+SwaptionShift):INDEX($FK331:$ID331,SwaptionMonthsToGo+SwaptionShift))*SUM(INDEX($FK$325:$ID$396,GP$169,1+SwaptionShift):INDEX($FK$325:$ID$396,GP$169,SwaptionMonthsToGo+SwaptionShift))))))</f>
        <v/>
      </c>
      <c r="GQ176" s="150" t="str">
        <f aca="false">IF(OR(GQ$169&lt;SwaptionFirstMonthPosition+1,$FJ176&lt;SwaptionFirstMonthPosition+1,GQ$169&gt;SwaptionFirstMonthPosition+SwaptionNumOfMonths+1,$FJ176&gt;SwaptionFirstMonthPosition+SwaptionNumOfMonths+1),"",IF($FJ176=GQ$169,1,IF($FJ176&lt;GQ$169,INDEX($FK$170:$ID$241,GQ$169,$FJ176),SUMPRODUCT(INDEX($FK$325:$ID$396,GQ$169,1+SwaptionShift):INDEX($FK$325:$ID$396,GQ$169,SwaptionMonthsToGo+SwaptionShift),INDEX($FK$245:$ID$316,$FJ176-GQ$169,73-GQ$169+SwaptionShift):INDEX($FK$245:$ID$316,$FJ176-GQ$169,72-GQ$169+SwaptionMonthsToGo+SwaptionShift))/SQRT(SUM(INDEX($FK331:$ID331,1+SwaptionShift):INDEX($FK331:$ID331,SwaptionMonthsToGo+SwaptionShift))*SUM(INDEX($FK$325:$ID$396,GQ$169,1+SwaptionShift):INDEX($FK$325:$ID$396,GQ$169,SwaptionMonthsToGo+SwaptionShift))))))</f>
        <v/>
      </c>
      <c r="GR176" s="150" t="str">
        <f aca="false">IF(OR(GR$169&lt;SwaptionFirstMonthPosition+1,$FJ176&lt;SwaptionFirstMonthPosition+1,GR$169&gt;SwaptionFirstMonthPosition+SwaptionNumOfMonths+1,$FJ176&gt;SwaptionFirstMonthPosition+SwaptionNumOfMonths+1),"",IF($FJ176=GR$169,1,IF($FJ176&lt;GR$169,INDEX($FK$170:$ID$241,GR$169,$FJ176),SUMPRODUCT(INDEX($FK$325:$ID$396,GR$169,1+SwaptionShift):INDEX($FK$325:$ID$396,GR$169,SwaptionMonthsToGo+SwaptionShift),INDEX($FK$245:$ID$316,$FJ176-GR$169,73-GR$169+SwaptionShift):INDEX($FK$245:$ID$316,$FJ176-GR$169,72-GR$169+SwaptionMonthsToGo+SwaptionShift))/SQRT(SUM(INDEX($FK331:$ID331,1+SwaptionShift):INDEX($FK331:$ID331,SwaptionMonthsToGo+SwaptionShift))*SUM(INDEX($FK$325:$ID$396,GR$169,1+SwaptionShift):INDEX($FK$325:$ID$396,GR$169,SwaptionMonthsToGo+SwaptionShift))))))</f>
        <v/>
      </c>
      <c r="GS176" s="150" t="str">
        <f aca="false">IF(OR(GS$169&lt;SwaptionFirstMonthPosition+1,$FJ176&lt;SwaptionFirstMonthPosition+1,GS$169&gt;SwaptionFirstMonthPosition+SwaptionNumOfMonths+1,$FJ176&gt;SwaptionFirstMonthPosition+SwaptionNumOfMonths+1),"",IF($FJ176=GS$169,1,IF($FJ176&lt;GS$169,INDEX($FK$170:$ID$241,GS$169,$FJ176),SUMPRODUCT(INDEX($FK$325:$ID$396,GS$169,1+SwaptionShift):INDEX($FK$325:$ID$396,GS$169,SwaptionMonthsToGo+SwaptionShift),INDEX($FK$245:$ID$316,$FJ176-GS$169,73-GS$169+SwaptionShift):INDEX($FK$245:$ID$316,$FJ176-GS$169,72-GS$169+SwaptionMonthsToGo+SwaptionShift))/SQRT(SUM(INDEX($FK331:$ID331,1+SwaptionShift):INDEX($FK331:$ID331,SwaptionMonthsToGo+SwaptionShift))*SUM(INDEX($FK$325:$ID$396,GS$169,1+SwaptionShift):INDEX($FK$325:$ID$396,GS$169,SwaptionMonthsToGo+SwaptionShift))))))</f>
        <v/>
      </c>
      <c r="GT176" s="150" t="str">
        <f aca="false">IF(OR(GT$169&lt;SwaptionFirstMonthPosition+1,$FJ176&lt;SwaptionFirstMonthPosition+1,GT$169&gt;SwaptionFirstMonthPosition+SwaptionNumOfMonths+1,$FJ176&gt;SwaptionFirstMonthPosition+SwaptionNumOfMonths+1),"",IF($FJ176=GT$169,1,IF($FJ176&lt;GT$169,INDEX($FK$170:$ID$241,GT$169,$FJ176),SUMPRODUCT(INDEX($FK$325:$ID$396,GT$169,1+SwaptionShift):INDEX($FK$325:$ID$396,GT$169,SwaptionMonthsToGo+SwaptionShift),INDEX($FK$245:$ID$316,$FJ176-GT$169,73-GT$169+SwaptionShift):INDEX($FK$245:$ID$316,$FJ176-GT$169,72-GT$169+SwaptionMonthsToGo+SwaptionShift))/SQRT(SUM(INDEX($FK331:$ID331,1+SwaptionShift):INDEX($FK331:$ID331,SwaptionMonthsToGo+SwaptionShift))*SUM(INDEX($FK$325:$ID$396,GT$169,1+SwaptionShift):INDEX($FK$325:$ID$396,GT$169,SwaptionMonthsToGo+SwaptionShift))))))</f>
        <v/>
      </c>
      <c r="GU176" s="150" t="str">
        <f aca="false">IF(OR(GU$169&lt;SwaptionFirstMonthPosition+1,$FJ176&lt;SwaptionFirstMonthPosition+1,GU$169&gt;SwaptionFirstMonthPosition+SwaptionNumOfMonths+1,$FJ176&gt;SwaptionFirstMonthPosition+SwaptionNumOfMonths+1),"",IF($FJ176=GU$169,1,IF($FJ176&lt;GU$169,INDEX($FK$170:$ID$241,GU$169,$FJ176),SUMPRODUCT(INDEX($FK$325:$ID$396,GU$169,1+SwaptionShift):INDEX($FK$325:$ID$396,GU$169,SwaptionMonthsToGo+SwaptionShift),INDEX($FK$245:$ID$316,$FJ176-GU$169,73-GU$169+SwaptionShift):INDEX($FK$245:$ID$316,$FJ176-GU$169,72-GU$169+SwaptionMonthsToGo+SwaptionShift))/SQRT(SUM(INDEX($FK331:$ID331,1+SwaptionShift):INDEX($FK331:$ID331,SwaptionMonthsToGo+SwaptionShift))*SUM(INDEX($FK$325:$ID$396,GU$169,1+SwaptionShift):INDEX($FK$325:$ID$396,GU$169,SwaptionMonthsToGo+SwaptionShift))))))</f>
        <v/>
      </c>
      <c r="GV176" s="150" t="str">
        <f aca="false">IF(OR(GV$169&lt;SwaptionFirstMonthPosition+1,$FJ176&lt;SwaptionFirstMonthPosition+1,GV$169&gt;SwaptionFirstMonthPosition+SwaptionNumOfMonths+1,$FJ176&gt;SwaptionFirstMonthPosition+SwaptionNumOfMonths+1),"",IF($FJ176=GV$169,1,IF($FJ176&lt;GV$169,INDEX($FK$170:$ID$241,GV$169,$FJ176),SUMPRODUCT(INDEX($FK$325:$ID$396,GV$169,1+SwaptionShift):INDEX($FK$325:$ID$396,GV$169,SwaptionMonthsToGo+SwaptionShift),INDEX($FK$245:$ID$316,$FJ176-GV$169,73-GV$169+SwaptionShift):INDEX($FK$245:$ID$316,$FJ176-GV$169,72-GV$169+SwaptionMonthsToGo+SwaptionShift))/SQRT(SUM(INDEX($FK331:$ID331,1+SwaptionShift):INDEX($FK331:$ID331,SwaptionMonthsToGo+SwaptionShift))*SUM(INDEX($FK$325:$ID$396,GV$169,1+SwaptionShift):INDEX($FK$325:$ID$396,GV$169,SwaptionMonthsToGo+SwaptionShift))))))</f>
        <v/>
      </c>
      <c r="GW176" s="150" t="str">
        <f aca="false">IF(OR(GW$169&lt;SwaptionFirstMonthPosition+1,$FJ176&lt;SwaptionFirstMonthPosition+1,GW$169&gt;SwaptionFirstMonthPosition+SwaptionNumOfMonths+1,$FJ176&gt;SwaptionFirstMonthPosition+SwaptionNumOfMonths+1),"",IF($FJ176=GW$169,1,IF($FJ176&lt;GW$169,INDEX($FK$170:$ID$241,GW$169,$FJ176),SUMPRODUCT(INDEX($FK$325:$ID$396,GW$169,1+SwaptionShift):INDEX($FK$325:$ID$396,GW$169,SwaptionMonthsToGo+SwaptionShift),INDEX($FK$245:$ID$316,$FJ176-GW$169,73-GW$169+SwaptionShift):INDEX($FK$245:$ID$316,$FJ176-GW$169,72-GW$169+SwaptionMonthsToGo+SwaptionShift))/SQRT(SUM(INDEX($FK331:$ID331,1+SwaptionShift):INDEX($FK331:$ID331,SwaptionMonthsToGo+SwaptionShift))*SUM(INDEX($FK$325:$ID$396,GW$169,1+SwaptionShift):INDEX($FK$325:$ID$396,GW$169,SwaptionMonthsToGo+SwaptionShift))))))</f>
        <v/>
      </c>
      <c r="GX176" s="150" t="str">
        <f aca="false">IF(OR(GX$169&lt;SwaptionFirstMonthPosition+1,$FJ176&lt;SwaptionFirstMonthPosition+1,GX$169&gt;SwaptionFirstMonthPosition+SwaptionNumOfMonths+1,$FJ176&gt;SwaptionFirstMonthPosition+SwaptionNumOfMonths+1),"",IF($FJ176=GX$169,1,IF($FJ176&lt;GX$169,INDEX($FK$170:$ID$241,GX$169,$FJ176),SUMPRODUCT(INDEX($FK$325:$ID$396,GX$169,1+SwaptionShift):INDEX($FK$325:$ID$396,GX$169,SwaptionMonthsToGo+SwaptionShift),INDEX($FK$245:$ID$316,$FJ176-GX$169,73-GX$169+SwaptionShift):INDEX($FK$245:$ID$316,$FJ176-GX$169,72-GX$169+SwaptionMonthsToGo+SwaptionShift))/SQRT(SUM(INDEX($FK331:$ID331,1+SwaptionShift):INDEX($FK331:$ID331,SwaptionMonthsToGo+SwaptionShift))*SUM(INDEX($FK$325:$ID$396,GX$169,1+SwaptionShift):INDEX($FK$325:$ID$396,GX$169,SwaptionMonthsToGo+SwaptionShift))))))</f>
        <v/>
      </c>
      <c r="GY176" s="150" t="str">
        <f aca="false">IF(OR(GY$169&lt;SwaptionFirstMonthPosition+1,$FJ176&lt;SwaptionFirstMonthPosition+1,GY$169&gt;SwaptionFirstMonthPosition+SwaptionNumOfMonths+1,$FJ176&gt;SwaptionFirstMonthPosition+SwaptionNumOfMonths+1),"",IF($FJ176=GY$169,1,IF($FJ176&lt;GY$169,INDEX($FK$170:$ID$241,GY$169,$FJ176),SUMPRODUCT(INDEX($FK$325:$ID$396,GY$169,1+SwaptionShift):INDEX($FK$325:$ID$396,GY$169,SwaptionMonthsToGo+SwaptionShift),INDEX($FK$245:$ID$316,$FJ176-GY$169,73-GY$169+SwaptionShift):INDEX($FK$245:$ID$316,$FJ176-GY$169,72-GY$169+SwaptionMonthsToGo+SwaptionShift))/SQRT(SUM(INDEX($FK331:$ID331,1+SwaptionShift):INDEX($FK331:$ID331,SwaptionMonthsToGo+SwaptionShift))*SUM(INDEX($FK$325:$ID$396,GY$169,1+SwaptionShift):INDEX($FK$325:$ID$396,GY$169,SwaptionMonthsToGo+SwaptionShift))))))</f>
        <v/>
      </c>
      <c r="GZ176" s="150" t="str">
        <f aca="false">IF(OR(GZ$169&lt;SwaptionFirstMonthPosition+1,$FJ176&lt;SwaptionFirstMonthPosition+1,GZ$169&gt;SwaptionFirstMonthPosition+SwaptionNumOfMonths+1,$FJ176&gt;SwaptionFirstMonthPosition+SwaptionNumOfMonths+1),"",IF($FJ176=GZ$169,1,IF($FJ176&lt;GZ$169,INDEX($FK$170:$ID$241,GZ$169,$FJ176),SUMPRODUCT(INDEX($FK$325:$ID$396,GZ$169,1+SwaptionShift):INDEX($FK$325:$ID$396,GZ$169,SwaptionMonthsToGo+SwaptionShift),INDEX($FK$245:$ID$316,$FJ176-GZ$169,73-GZ$169+SwaptionShift):INDEX($FK$245:$ID$316,$FJ176-GZ$169,72-GZ$169+SwaptionMonthsToGo+SwaptionShift))/SQRT(SUM(INDEX($FK331:$ID331,1+SwaptionShift):INDEX($FK331:$ID331,SwaptionMonthsToGo+SwaptionShift))*SUM(INDEX($FK$325:$ID$396,GZ$169,1+SwaptionShift):INDEX($FK$325:$ID$396,GZ$169,SwaptionMonthsToGo+SwaptionShift))))))</f>
        <v/>
      </c>
      <c r="HA176" s="150" t="str">
        <f aca="false">IF(OR(HA$169&lt;SwaptionFirstMonthPosition+1,$FJ176&lt;SwaptionFirstMonthPosition+1,HA$169&gt;SwaptionFirstMonthPosition+SwaptionNumOfMonths+1,$FJ176&gt;SwaptionFirstMonthPosition+SwaptionNumOfMonths+1),"",IF($FJ176=HA$169,1,IF($FJ176&lt;HA$169,INDEX($FK$170:$ID$241,HA$169,$FJ176),SUMPRODUCT(INDEX($FK$325:$ID$396,HA$169,1+SwaptionShift):INDEX($FK$325:$ID$396,HA$169,SwaptionMonthsToGo+SwaptionShift),INDEX($FK$245:$ID$316,$FJ176-HA$169,73-HA$169+SwaptionShift):INDEX($FK$245:$ID$316,$FJ176-HA$169,72-HA$169+SwaptionMonthsToGo+SwaptionShift))/SQRT(SUM(INDEX($FK331:$ID331,1+SwaptionShift):INDEX($FK331:$ID331,SwaptionMonthsToGo+SwaptionShift))*SUM(INDEX($FK$325:$ID$396,HA$169,1+SwaptionShift):INDEX($FK$325:$ID$396,HA$169,SwaptionMonthsToGo+SwaptionShift))))))</f>
        <v/>
      </c>
      <c r="HB176" s="150" t="str">
        <f aca="false">IF(OR(HB$169&lt;SwaptionFirstMonthPosition+1,$FJ176&lt;SwaptionFirstMonthPosition+1,HB$169&gt;SwaptionFirstMonthPosition+SwaptionNumOfMonths+1,$FJ176&gt;SwaptionFirstMonthPosition+SwaptionNumOfMonths+1),"",IF($FJ176=HB$169,1,IF($FJ176&lt;HB$169,INDEX($FK$170:$ID$241,HB$169,$FJ176),SUMPRODUCT(INDEX($FK$325:$ID$396,HB$169,1+SwaptionShift):INDEX($FK$325:$ID$396,HB$169,SwaptionMonthsToGo+SwaptionShift),INDEX($FK$245:$ID$316,$FJ176-HB$169,73-HB$169+SwaptionShift):INDEX($FK$245:$ID$316,$FJ176-HB$169,72-HB$169+SwaptionMonthsToGo+SwaptionShift))/SQRT(SUM(INDEX($FK331:$ID331,1+SwaptionShift):INDEX($FK331:$ID331,SwaptionMonthsToGo+SwaptionShift))*SUM(INDEX($FK$325:$ID$396,HB$169,1+SwaptionShift):INDEX($FK$325:$ID$396,HB$169,SwaptionMonthsToGo+SwaptionShift))))))</f>
        <v/>
      </c>
      <c r="HC176" s="150" t="str">
        <f aca="false">IF(OR(HC$169&lt;SwaptionFirstMonthPosition+1,$FJ176&lt;SwaptionFirstMonthPosition+1,HC$169&gt;SwaptionFirstMonthPosition+SwaptionNumOfMonths+1,$FJ176&gt;SwaptionFirstMonthPosition+SwaptionNumOfMonths+1),"",IF($FJ176=HC$169,1,IF($FJ176&lt;HC$169,INDEX($FK$170:$ID$241,HC$169,$FJ176),SUMPRODUCT(INDEX($FK$325:$ID$396,HC$169,1+SwaptionShift):INDEX($FK$325:$ID$396,HC$169,SwaptionMonthsToGo+SwaptionShift),INDEX($FK$245:$ID$316,$FJ176-HC$169,73-HC$169+SwaptionShift):INDEX($FK$245:$ID$316,$FJ176-HC$169,72-HC$169+SwaptionMonthsToGo+SwaptionShift))/SQRT(SUM(INDEX($FK331:$ID331,1+SwaptionShift):INDEX($FK331:$ID331,SwaptionMonthsToGo+SwaptionShift))*SUM(INDEX($FK$325:$ID$396,HC$169,1+SwaptionShift):INDEX($FK$325:$ID$396,HC$169,SwaptionMonthsToGo+SwaptionShift))))))</f>
        <v/>
      </c>
      <c r="HD176" s="150" t="str">
        <f aca="false">IF(OR(HD$169&lt;SwaptionFirstMonthPosition+1,$FJ176&lt;SwaptionFirstMonthPosition+1,HD$169&gt;SwaptionFirstMonthPosition+SwaptionNumOfMonths+1,$FJ176&gt;SwaptionFirstMonthPosition+SwaptionNumOfMonths+1),"",IF($FJ176=HD$169,1,IF($FJ176&lt;HD$169,INDEX($FK$170:$ID$241,HD$169,$FJ176),SUMPRODUCT(INDEX($FK$325:$ID$396,HD$169,1+SwaptionShift):INDEX($FK$325:$ID$396,HD$169,SwaptionMonthsToGo+SwaptionShift),INDEX($FK$245:$ID$316,$FJ176-HD$169,73-HD$169+SwaptionShift):INDEX($FK$245:$ID$316,$FJ176-HD$169,72-HD$169+SwaptionMonthsToGo+SwaptionShift))/SQRT(SUM(INDEX($FK331:$ID331,1+SwaptionShift):INDEX($FK331:$ID331,SwaptionMonthsToGo+SwaptionShift))*SUM(INDEX($FK$325:$ID$396,HD$169,1+SwaptionShift):INDEX($FK$325:$ID$396,HD$169,SwaptionMonthsToGo+SwaptionShift))))))</f>
        <v/>
      </c>
      <c r="HE176" s="150" t="str">
        <f aca="false">IF(OR(HE$169&lt;SwaptionFirstMonthPosition+1,$FJ176&lt;SwaptionFirstMonthPosition+1,HE$169&gt;SwaptionFirstMonthPosition+SwaptionNumOfMonths+1,$FJ176&gt;SwaptionFirstMonthPosition+SwaptionNumOfMonths+1),"",IF($FJ176=HE$169,1,IF($FJ176&lt;HE$169,INDEX($FK$170:$ID$241,HE$169,$FJ176),SUMPRODUCT(INDEX($FK$325:$ID$396,HE$169,1+SwaptionShift):INDEX($FK$325:$ID$396,HE$169,SwaptionMonthsToGo+SwaptionShift),INDEX($FK$245:$ID$316,$FJ176-HE$169,73-HE$169+SwaptionShift):INDEX($FK$245:$ID$316,$FJ176-HE$169,72-HE$169+SwaptionMonthsToGo+SwaptionShift))/SQRT(SUM(INDEX($FK331:$ID331,1+SwaptionShift):INDEX($FK331:$ID331,SwaptionMonthsToGo+SwaptionShift))*SUM(INDEX($FK$325:$ID$396,HE$169,1+SwaptionShift):INDEX($FK$325:$ID$396,HE$169,SwaptionMonthsToGo+SwaptionShift))))))</f>
        <v/>
      </c>
      <c r="HF176" s="150" t="str">
        <f aca="false">IF(OR(HF$169&lt;SwaptionFirstMonthPosition+1,$FJ176&lt;SwaptionFirstMonthPosition+1,HF$169&gt;SwaptionFirstMonthPosition+SwaptionNumOfMonths+1,$FJ176&gt;SwaptionFirstMonthPosition+SwaptionNumOfMonths+1),"",IF($FJ176=HF$169,1,IF($FJ176&lt;HF$169,INDEX($FK$170:$ID$241,HF$169,$FJ176),SUMPRODUCT(INDEX($FK$325:$ID$396,HF$169,1+SwaptionShift):INDEX($FK$325:$ID$396,HF$169,SwaptionMonthsToGo+SwaptionShift),INDEX($FK$245:$ID$316,$FJ176-HF$169,73-HF$169+SwaptionShift):INDEX($FK$245:$ID$316,$FJ176-HF$169,72-HF$169+SwaptionMonthsToGo+SwaptionShift))/SQRT(SUM(INDEX($FK331:$ID331,1+SwaptionShift):INDEX($FK331:$ID331,SwaptionMonthsToGo+SwaptionShift))*SUM(INDEX($FK$325:$ID$396,HF$169,1+SwaptionShift):INDEX($FK$325:$ID$396,HF$169,SwaptionMonthsToGo+SwaptionShift))))))</f>
        <v/>
      </c>
      <c r="HG176" s="150" t="str">
        <f aca="false">IF(OR(HG$169&lt;SwaptionFirstMonthPosition+1,$FJ176&lt;SwaptionFirstMonthPosition+1,HG$169&gt;SwaptionFirstMonthPosition+SwaptionNumOfMonths+1,$FJ176&gt;SwaptionFirstMonthPosition+SwaptionNumOfMonths+1),"",IF($FJ176=HG$169,1,IF($FJ176&lt;HG$169,INDEX($FK$170:$ID$241,HG$169,$FJ176),SUMPRODUCT(INDEX($FK$325:$ID$396,HG$169,1+SwaptionShift):INDEX($FK$325:$ID$396,HG$169,SwaptionMonthsToGo+SwaptionShift),INDEX($FK$245:$ID$316,$FJ176-HG$169,73-HG$169+SwaptionShift):INDEX($FK$245:$ID$316,$FJ176-HG$169,72-HG$169+SwaptionMonthsToGo+SwaptionShift))/SQRT(SUM(INDEX($FK331:$ID331,1+SwaptionShift):INDEX($FK331:$ID331,SwaptionMonthsToGo+SwaptionShift))*SUM(INDEX($FK$325:$ID$396,HG$169,1+SwaptionShift):INDEX($FK$325:$ID$396,HG$169,SwaptionMonthsToGo+SwaptionShift))))))</f>
        <v/>
      </c>
      <c r="HH176" s="150" t="str">
        <f aca="false">IF(OR(HH$169&lt;SwaptionFirstMonthPosition+1,$FJ176&lt;SwaptionFirstMonthPosition+1,HH$169&gt;SwaptionFirstMonthPosition+SwaptionNumOfMonths+1,$FJ176&gt;SwaptionFirstMonthPosition+SwaptionNumOfMonths+1),"",IF($FJ176=HH$169,1,IF($FJ176&lt;HH$169,INDEX($FK$170:$ID$241,HH$169,$FJ176),SUMPRODUCT(INDEX($FK$325:$ID$396,HH$169,1+SwaptionShift):INDEX($FK$325:$ID$396,HH$169,SwaptionMonthsToGo+SwaptionShift),INDEX($FK$245:$ID$316,$FJ176-HH$169,73-HH$169+SwaptionShift):INDEX($FK$245:$ID$316,$FJ176-HH$169,72-HH$169+SwaptionMonthsToGo+SwaptionShift))/SQRT(SUM(INDEX($FK331:$ID331,1+SwaptionShift):INDEX($FK331:$ID331,SwaptionMonthsToGo+SwaptionShift))*SUM(INDEX($FK$325:$ID$396,HH$169,1+SwaptionShift):INDEX($FK$325:$ID$396,HH$169,SwaptionMonthsToGo+SwaptionShift))))))</f>
        <v/>
      </c>
      <c r="HI176" s="150" t="str">
        <f aca="false">IF(OR(HI$169&lt;SwaptionFirstMonthPosition+1,$FJ176&lt;SwaptionFirstMonthPosition+1,HI$169&gt;SwaptionFirstMonthPosition+SwaptionNumOfMonths+1,$FJ176&gt;SwaptionFirstMonthPosition+SwaptionNumOfMonths+1),"",IF($FJ176=HI$169,1,IF($FJ176&lt;HI$169,INDEX($FK$170:$ID$241,HI$169,$FJ176),SUMPRODUCT(INDEX($FK$325:$ID$396,HI$169,1+SwaptionShift):INDEX($FK$325:$ID$396,HI$169,SwaptionMonthsToGo+SwaptionShift),INDEX($FK$245:$ID$316,$FJ176-HI$169,73-HI$169+SwaptionShift):INDEX($FK$245:$ID$316,$FJ176-HI$169,72-HI$169+SwaptionMonthsToGo+SwaptionShift))/SQRT(SUM(INDEX($FK331:$ID331,1+SwaptionShift):INDEX($FK331:$ID331,SwaptionMonthsToGo+SwaptionShift))*SUM(INDEX($FK$325:$ID$396,HI$169,1+SwaptionShift):INDEX($FK$325:$ID$396,HI$169,SwaptionMonthsToGo+SwaptionShift))))))</f>
        <v/>
      </c>
      <c r="HJ176" s="150" t="str">
        <f aca="false">IF(OR(HJ$169&lt;SwaptionFirstMonthPosition+1,$FJ176&lt;SwaptionFirstMonthPosition+1,HJ$169&gt;SwaptionFirstMonthPosition+SwaptionNumOfMonths+1,$FJ176&gt;SwaptionFirstMonthPosition+SwaptionNumOfMonths+1),"",IF($FJ176=HJ$169,1,IF($FJ176&lt;HJ$169,INDEX($FK$170:$ID$241,HJ$169,$FJ176),SUMPRODUCT(INDEX($FK$325:$ID$396,HJ$169,1+SwaptionShift):INDEX($FK$325:$ID$396,HJ$169,SwaptionMonthsToGo+SwaptionShift),INDEX($FK$245:$ID$316,$FJ176-HJ$169,73-HJ$169+SwaptionShift):INDEX($FK$245:$ID$316,$FJ176-HJ$169,72-HJ$169+SwaptionMonthsToGo+SwaptionShift))/SQRT(SUM(INDEX($FK331:$ID331,1+SwaptionShift):INDEX($FK331:$ID331,SwaptionMonthsToGo+SwaptionShift))*SUM(INDEX($FK$325:$ID$396,HJ$169,1+SwaptionShift):INDEX($FK$325:$ID$396,HJ$169,SwaptionMonthsToGo+SwaptionShift))))))</f>
        <v/>
      </c>
      <c r="HK176" s="150" t="str">
        <f aca="false">IF(OR(HK$169&lt;SwaptionFirstMonthPosition+1,$FJ176&lt;SwaptionFirstMonthPosition+1,HK$169&gt;SwaptionFirstMonthPosition+SwaptionNumOfMonths+1,$FJ176&gt;SwaptionFirstMonthPosition+SwaptionNumOfMonths+1),"",IF($FJ176=HK$169,1,IF($FJ176&lt;HK$169,INDEX($FK$170:$ID$241,HK$169,$FJ176),SUMPRODUCT(INDEX($FK$325:$ID$396,HK$169,1+SwaptionShift):INDEX($FK$325:$ID$396,HK$169,SwaptionMonthsToGo+SwaptionShift),INDEX($FK$245:$ID$316,$FJ176-HK$169,73-HK$169+SwaptionShift):INDEX($FK$245:$ID$316,$FJ176-HK$169,72-HK$169+SwaptionMonthsToGo+SwaptionShift))/SQRT(SUM(INDEX($FK331:$ID331,1+SwaptionShift):INDEX($FK331:$ID331,SwaptionMonthsToGo+SwaptionShift))*SUM(INDEX($FK$325:$ID$396,HK$169,1+SwaptionShift):INDEX($FK$325:$ID$396,HK$169,SwaptionMonthsToGo+SwaptionShift))))))</f>
        <v/>
      </c>
      <c r="HL176" s="150" t="str">
        <f aca="false">IF(OR(HL$169&lt;SwaptionFirstMonthPosition+1,$FJ176&lt;SwaptionFirstMonthPosition+1,HL$169&gt;SwaptionFirstMonthPosition+SwaptionNumOfMonths+1,$FJ176&gt;SwaptionFirstMonthPosition+SwaptionNumOfMonths+1),"",IF($FJ176=HL$169,1,IF($FJ176&lt;HL$169,INDEX($FK$170:$ID$241,HL$169,$FJ176),SUMPRODUCT(INDEX($FK$325:$ID$396,HL$169,1+SwaptionShift):INDEX($FK$325:$ID$396,HL$169,SwaptionMonthsToGo+SwaptionShift),INDEX($FK$245:$ID$316,$FJ176-HL$169,73-HL$169+SwaptionShift):INDEX($FK$245:$ID$316,$FJ176-HL$169,72-HL$169+SwaptionMonthsToGo+SwaptionShift))/SQRT(SUM(INDEX($FK331:$ID331,1+SwaptionShift):INDEX($FK331:$ID331,SwaptionMonthsToGo+SwaptionShift))*SUM(INDEX($FK$325:$ID$396,HL$169,1+SwaptionShift):INDEX($FK$325:$ID$396,HL$169,SwaptionMonthsToGo+SwaptionShift))))))</f>
        <v/>
      </c>
      <c r="HM176" s="150" t="str">
        <f aca="false">IF(OR(HM$169&lt;SwaptionFirstMonthPosition+1,$FJ176&lt;SwaptionFirstMonthPosition+1,HM$169&gt;SwaptionFirstMonthPosition+SwaptionNumOfMonths+1,$FJ176&gt;SwaptionFirstMonthPosition+SwaptionNumOfMonths+1),"",IF($FJ176=HM$169,1,IF($FJ176&lt;HM$169,INDEX($FK$170:$ID$241,HM$169,$FJ176),SUMPRODUCT(INDEX($FK$325:$ID$396,HM$169,1+SwaptionShift):INDEX($FK$325:$ID$396,HM$169,SwaptionMonthsToGo+SwaptionShift),INDEX($FK$245:$ID$316,$FJ176-HM$169,73-HM$169+SwaptionShift):INDEX($FK$245:$ID$316,$FJ176-HM$169,72-HM$169+SwaptionMonthsToGo+SwaptionShift))/SQRT(SUM(INDEX($FK331:$ID331,1+SwaptionShift):INDEX($FK331:$ID331,SwaptionMonthsToGo+SwaptionShift))*SUM(INDEX($FK$325:$ID$396,HM$169,1+SwaptionShift):INDEX($FK$325:$ID$396,HM$169,SwaptionMonthsToGo+SwaptionShift))))))</f>
        <v/>
      </c>
      <c r="HN176" s="150" t="str">
        <f aca="false">IF(OR(HN$169&lt;SwaptionFirstMonthPosition+1,$FJ176&lt;SwaptionFirstMonthPosition+1,HN$169&gt;SwaptionFirstMonthPosition+SwaptionNumOfMonths+1,$FJ176&gt;SwaptionFirstMonthPosition+SwaptionNumOfMonths+1),"",IF($FJ176=HN$169,1,IF($FJ176&lt;HN$169,INDEX($FK$170:$ID$241,HN$169,$FJ176),SUMPRODUCT(INDEX($FK$325:$ID$396,HN$169,1+SwaptionShift):INDEX($FK$325:$ID$396,HN$169,SwaptionMonthsToGo+SwaptionShift),INDEX($FK$245:$ID$316,$FJ176-HN$169,73-HN$169+SwaptionShift):INDEX($FK$245:$ID$316,$FJ176-HN$169,72-HN$169+SwaptionMonthsToGo+SwaptionShift))/SQRT(SUM(INDEX($FK331:$ID331,1+SwaptionShift):INDEX($FK331:$ID331,SwaptionMonthsToGo+SwaptionShift))*SUM(INDEX($FK$325:$ID$396,HN$169,1+SwaptionShift):INDEX($FK$325:$ID$396,HN$169,SwaptionMonthsToGo+SwaptionShift))))))</f>
        <v/>
      </c>
      <c r="HO176" s="150" t="str">
        <f aca="false">IF(OR(HO$169&lt;SwaptionFirstMonthPosition+1,$FJ176&lt;SwaptionFirstMonthPosition+1,HO$169&gt;SwaptionFirstMonthPosition+SwaptionNumOfMonths+1,$FJ176&gt;SwaptionFirstMonthPosition+SwaptionNumOfMonths+1),"",IF($FJ176=HO$169,1,IF($FJ176&lt;HO$169,INDEX($FK$170:$ID$241,HO$169,$FJ176),SUMPRODUCT(INDEX($FK$325:$ID$396,HO$169,1+SwaptionShift):INDEX($FK$325:$ID$396,HO$169,SwaptionMonthsToGo+SwaptionShift),INDEX($FK$245:$ID$316,$FJ176-HO$169,73-HO$169+SwaptionShift):INDEX($FK$245:$ID$316,$FJ176-HO$169,72-HO$169+SwaptionMonthsToGo+SwaptionShift))/SQRT(SUM(INDEX($FK331:$ID331,1+SwaptionShift):INDEX($FK331:$ID331,SwaptionMonthsToGo+SwaptionShift))*SUM(INDEX($FK$325:$ID$396,HO$169,1+SwaptionShift):INDEX($FK$325:$ID$396,HO$169,SwaptionMonthsToGo+SwaptionShift))))))</f>
        <v/>
      </c>
      <c r="HP176" s="150" t="str">
        <f aca="false">IF(OR(HP$169&lt;SwaptionFirstMonthPosition+1,$FJ176&lt;SwaptionFirstMonthPosition+1,HP$169&gt;SwaptionFirstMonthPosition+SwaptionNumOfMonths+1,$FJ176&gt;SwaptionFirstMonthPosition+SwaptionNumOfMonths+1),"",IF($FJ176=HP$169,1,IF($FJ176&lt;HP$169,INDEX($FK$170:$ID$241,HP$169,$FJ176),SUMPRODUCT(INDEX($FK$325:$ID$396,HP$169,1+SwaptionShift):INDEX($FK$325:$ID$396,HP$169,SwaptionMonthsToGo+SwaptionShift),INDEX($FK$245:$ID$316,$FJ176-HP$169,73-HP$169+SwaptionShift):INDEX($FK$245:$ID$316,$FJ176-HP$169,72-HP$169+SwaptionMonthsToGo+SwaptionShift))/SQRT(SUM(INDEX($FK331:$ID331,1+SwaptionShift):INDEX($FK331:$ID331,SwaptionMonthsToGo+SwaptionShift))*SUM(INDEX($FK$325:$ID$396,HP$169,1+SwaptionShift):INDEX($FK$325:$ID$396,HP$169,SwaptionMonthsToGo+SwaptionShift))))))</f>
        <v/>
      </c>
      <c r="HQ176" s="150" t="str">
        <f aca="false">IF(OR(HQ$169&lt;SwaptionFirstMonthPosition+1,$FJ176&lt;SwaptionFirstMonthPosition+1,HQ$169&gt;SwaptionFirstMonthPosition+SwaptionNumOfMonths+1,$FJ176&gt;SwaptionFirstMonthPosition+SwaptionNumOfMonths+1),"",IF($FJ176=HQ$169,1,IF($FJ176&lt;HQ$169,INDEX($FK$170:$ID$241,HQ$169,$FJ176),SUMPRODUCT(INDEX($FK$325:$ID$396,HQ$169,1+SwaptionShift):INDEX($FK$325:$ID$396,HQ$169,SwaptionMonthsToGo+SwaptionShift),INDEX($FK$245:$ID$316,$FJ176-HQ$169,73-HQ$169+SwaptionShift):INDEX($FK$245:$ID$316,$FJ176-HQ$169,72-HQ$169+SwaptionMonthsToGo+SwaptionShift))/SQRT(SUM(INDEX($FK331:$ID331,1+SwaptionShift):INDEX($FK331:$ID331,SwaptionMonthsToGo+SwaptionShift))*SUM(INDEX($FK$325:$ID$396,HQ$169,1+SwaptionShift):INDEX($FK$325:$ID$396,HQ$169,SwaptionMonthsToGo+SwaptionShift))))))</f>
        <v/>
      </c>
      <c r="HR176" s="150" t="str">
        <f aca="false">IF(OR(HR$169&lt;SwaptionFirstMonthPosition+1,$FJ176&lt;SwaptionFirstMonthPosition+1,HR$169&gt;SwaptionFirstMonthPosition+SwaptionNumOfMonths+1,$FJ176&gt;SwaptionFirstMonthPosition+SwaptionNumOfMonths+1),"",IF($FJ176=HR$169,1,IF($FJ176&lt;HR$169,INDEX($FK$170:$ID$241,HR$169,$FJ176),SUMPRODUCT(INDEX($FK$325:$ID$396,HR$169,1+SwaptionShift):INDEX($FK$325:$ID$396,HR$169,SwaptionMonthsToGo+SwaptionShift),INDEX($FK$245:$ID$316,$FJ176-HR$169,73-HR$169+SwaptionShift):INDEX($FK$245:$ID$316,$FJ176-HR$169,72-HR$169+SwaptionMonthsToGo+SwaptionShift))/SQRT(SUM(INDEX($FK331:$ID331,1+SwaptionShift):INDEX($FK331:$ID331,SwaptionMonthsToGo+SwaptionShift))*SUM(INDEX($FK$325:$ID$396,HR$169,1+SwaptionShift):INDEX($FK$325:$ID$396,HR$169,SwaptionMonthsToGo+SwaptionShift))))))</f>
        <v/>
      </c>
      <c r="HS176" s="150" t="str">
        <f aca="false">IF(OR(HS$169&lt;SwaptionFirstMonthPosition+1,$FJ176&lt;SwaptionFirstMonthPosition+1,HS$169&gt;SwaptionFirstMonthPosition+SwaptionNumOfMonths+1,$FJ176&gt;SwaptionFirstMonthPosition+SwaptionNumOfMonths+1),"",IF($FJ176=HS$169,1,IF($FJ176&lt;HS$169,INDEX($FK$170:$ID$241,HS$169,$FJ176),SUMPRODUCT(INDEX($FK$325:$ID$396,HS$169,1+SwaptionShift):INDEX($FK$325:$ID$396,HS$169,SwaptionMonthsToGo+SwaptionShift),INDEX($FK$245:$ID$316,$FJ176-HS$169,73-HS$169+SwaptionShift):INDEX($FK$245:$ID$316,$FJ176-HS$169,72-HS$169+SwaptionMonthsToGo+SwaptionShift))/SQRT(SUM(INDEX($FK331:$ID331,1+SwaptionShift):INDEX($FK331:$ID331,SwaptionMonthsToGo+SwaptionShift))*SUM(INDEX($FK$325:$ID$396,HS$169,1+SwaptionShift):INDEX($FK$325:$ID$396,HS$169,SwaptionMonthsToGo+SwaptionShift))))))</f>
        <v/>
      </c>
      <c r="HT176" s="150" t="str">
        <f aca="false">IF(OR(HT$169&lt;SwaptionFirstMonthPosition+1,$FJ176&lt;SwaptionFirstMonthPosition+1,HT$169&gt;SwaptionFirstMonthPosition+SwaptionNumOfMonths+1,$FJ176&gt;SwaptionFirstMonthPosition+SwaptionNumOfMonths+1),"",IF($FJ176=HT$169,1,IF($FJ176&lt;HT$169,INDEX($FK$170:$ID$241,HT$169,$FJ176),SUMPRODUCT(INDEX($FK$325:$ID$396,HT$169,1+SwaptionShift):INDEX($FK$325:$ID$396,HT$169,SwaptionMonthsToGo+SwaptionShift),INDEX($FK$245:$ID$316,$FJ176-HT$169,73-HT$169+SwaptionShift):INDEX($FK$245:$ID$316,$FJ176-HT$169,72-HT$169+SwaptionMonthsToGo+SwaptionShift))/SQRT(SUM(INDEX($FK331:$ID331,1+SwaptionShift):INDEX($FK331:$ID331,SwaptionMonthsToGo+SwaptionShift))*SUM(INDEX($FK$325:$ID$396,HT$169,1+SwaptionShift):INDEX($FK$325:$ID$396,HT$169,SwaptionMonthsToGo+SwaptionShift))))))</f>
        <v/>
      </c>
      <c r="HU176" s="150" t="str">
        <f aca="false">IF(OR(HU$169&lt;SwaptionFirstMonthPosition+1,$FJ176&lt;SwaptionFirstMonthPosition+1,HU$169&gt;SwaptionFirstMonthPosition+SwaptionNumOfMonths+1,$FJ176&gt;SwaptionFirstMonthPosition+SwaptionNumOfMonths+1),"",IF($FJ176=HU$169,1,IF($FJ176&lt;HU$169,INDEX($FK$170:$ID$241,HU$169,$FJ176),SUMPRODUCT(INDEX($FK$325:$ID$396,HU$169,1+SwaptionShift):INDEX($FK$325:$ID$396,HU$169,SwaptionMonthsToGo+SwaptionShift),INDEX($FK$245:$ID$316,$FJ176-HU$169,73-HU$169+SwaptionShift):INDEX($FK$245:$ID$316,$FJ176-HU$169,72-HU$169+SwaptionMonthsToGo+SwaptionShift))/SQRT(SUM(INDEX($FK331:$ID331,1+SwaptionShift):INDEX($FK331:$ID331,SwaptionMonthsToGo+SwaptionShift))*SUM(INDEX($FK$325:$ID$396,HU$169,1+SwaptionShift):INDEX($FK$325:$ID$396,HU$169,SwaptionMonthsToGo+SwaptionShift))))))</f>
        <v/>
      </c>
      <c r="HV176" s="150" t="str">
        <f aca="false">IF(OR(HV$169&lt;SwaptionFirstMonthPosition+1,$FJ176&lt;SwaptionFirstMonthPosition+1,HV$169&gt;SwaptionFirstMonthPosition+SwaptionNumOfMonths+1,$FJ176&gt;SwaptionFirstMonthPosition+SwaptionNumOfMonths+1),"",IF($FJ176=HV$169,1,IF($FJ176&lt;HV$169,INDEX($FK$170:$ID$241,HV$169,$FJ176),SUMPRODUCT(INDEX($FK$325:$ID$396,HV$169,1+SwaptionShift):INDEX($FK$325:$ID$396,HV$169,SwaptionMonthsToGo+SwaptionShift),INDEX($FK$245:$ID$316,$FJ176-HV$169,73-HV$169+SwaptionShift):INDEX($FK$245:$ID$316,$FJ176-HV$169,72-HV$169+SwaptionMonthsToGo+SwaptionShift))/SQRT(SUM(INDEX($FK331:$ID331,1+SwaptionShift):INDEX($FK331:$ID331,SwaptionMonthsToGo+SwaptionShift))*SUM(INDEX($FK$325:$ID$396,HV$169,1+SwaptionShift):INDEX($FK$325:$ID$396,HV$169,SwaptionMonthsToGo+SwaptionShift))))))</f>
        <v/>
      </c>
      <c r="HW176" s="150" t="str">
        <f aca="false">IF(OR(HW$169&lt;SwaptionFirstMonthPosition+1,$FJ176&lt;SwaptionFirstMonthPosition+1,HW$169&gt;SwaptionFirstMonthPosition+SwaptionNumOfMonths+1,$FJ176&gt;SwaptionFirstMonthPosition+SwaptionNumOfMonths+1),"",IF($FJ176=HW$169,1,IF($FJ176&lt;HW$169,INDEX($FK$170:$ID$241,HW$169,$FJ176),SUMPRODUCT(INDEX($FK$325:$ID$396,HW$169,1+SwaptionShift):INDEX($FK$325:$ID$396,HW$169,SwaptionMonthsToGo+SwaptionShift),INDEX($FK$245:$ID$316,$FJ176-HW$169,73-HW$169+SwaptionShift):INDEX($FK$245:$ID$316,$FJ176-HW$169,72-HW$169+SwaptionMonthsToGo+SwaptionShift))/SQRT(SUM(INDEX($FK331:$ID331,1+SwaptionShift):INDEX($FK331:$ID331,SwaptionMonthsToGo+SwaptionShift))*SUM(INDEX($FK$325:$ID$396,HW$169,1+SwaptionShift):INDEX($FK$325:$ID$396,HW$169,SwaptionMonthsToGo+SwaptionShift))))))</f>
        <v/>
      </c>
      <c r="HX176" s="150" t="str">
        <f aca="false">IF(OR(HX$169&lt;SwaptionFirstMonthPosition+1,$FJ176&lt;SwaptionFirstMonthPosition+1,HX$169&gt;SwaptionFirstMonthPosition+SwaptionNumOfMonths+1,$FJ176&gt;SwaptionFirstMonthPosition+SwaptionNumOfMonths+1),"",IF($FJ176=HX$169,1,IF($FJ176&lt;HX$169,INDEX($FK$170:$ID$241,HX$169,$FJ176),SUMPRODUCT(INDEX($FK$325:$ID$396,HX$169,1+SwaptionShift):INDEX($FK$325:$ID$396,HX$169,SwaptionMonthsToGo+SwaptionShift),INDEX($FK$245:$ID$316,$FJ176-HX$169,73-HX$169+SwaptionShift):INDEX($FK$245:$ID$316,$FJ176-HX$169,72-HX$169+SwaptionMonthsToGo+SwaptionShift))/SQRT(SUM(INDEX($FK331:$ID331,1+SwaptionShift):INDEX($FK331:$ID331,SwaptionMonthsToGo+SwaptionShift))*SUM(INDEX($FK$325:$ID$396,HX$169,1+SwaptionShift):INDEX($FK$325:$ID$396,HX$169,SwaptionMonthsToGo+SwaptionShift))))))</f>
        <v/>
      </c>
      <c r="HY176" s="150" t="str">
        <f aca="false">IF(OR(HY$169&lt;SwaptionFirstMonthPosition+1,$FJ176&lt;SwaptionFirstMonthPosition+1,HY$169&gt;SwaptionFirstMonthPosition+SwaptionNumOfMonths+1,$FJ176&gt;SwaptionFirstMonthPosition+SwaptionNumOfMonths+1),"",IF($FJ176=HY$169,1,IF($FJ176&lt;HY$169,INDEX($FK$170:$ID$241,HY$169,$FJ176),SUMPRODUCT(INDEX($FK$325:$ID$396,HY$169,1+SwaptionShift):INDEX($FK$325:$ID$396,HY$169,SwaptionMonthsToGo+SwaptionShift),INDEX($FK$245:$ID$316,$FJ176-HY$169,73-HY$169+SwaptionShift):INDEX($FK$245:$ID$316,$FJ176-HY$169,72-HY$169+SwaptionMonthsToGo+SwaptionShift))/SQRT(SUM(INDEX($FK331:$ID331,1+SwaptionShift):INDEX($FK331:$ID331,SwaptionMonthsToGo+SwaptionShift))*SUM(INDEX($FK$325:$ID$396,HY$169,1+SwaptionShift):INDEX($FK$325:$ID$396,HY$169,SwaptionMonthsToGo+SwaptionShift))))))</f>
        <v/>
      </c>
      <c r="HZ176" s="150" t="str">
        <f aca="false">IF(OR(HZ$169&lt;SwaptionFirstMonthPosition+1,$FJ176&lt;SwaptionFirstMonthPosition+1,HZ$169&gt;SwaptionFirstMonthPosition+SwaptionNumOfMonths+1,$FJ176&gt;SwaptionFirstMonthPosition+SwaptionNumOfMonths+1),"",IF($FJ176=HZ$169,1,IF($FJ176&lt;HZ$169,INDEX($FK$170:$ID$241,HZ$169,$FJ176),SUMPRODUCT(INDEX($FK$325:$ID$396,HZ$169,1+SwaptionShift):INDEX($FK$325:$ID$396,HZ$169,SwaptionMonthsToGo+SwaptionShift),INDEX($FK$245:$ID$316,$FJ176-HZ$169,73-HZ$169+SwaptionShift):INDEX($FK$245:$ID$316,$FJ176-HZ$169,72-HZ$169+SwaptionMonthsToGo+SwaptionShift))/SQRT(SUM(INDEX($FK331:$ID331,1+SwaptionShift):INDEX($FK331:$ID331,SwaptionMonthsToGo+SwaptionShift))*SUM(INDEX($FK$325:$ID$396,HZ$169,1+SwaptionShift):INDEX($FK$325:$ID$396,HZ$169,SwaptionMonthsToGo+SwaptionShift))))))</f>
        <v/>
      </c>
      <c r="IA176" s="150" t="str">
        <f aca="false">IF(OR(IA$169&lt;SwaptionFirstMonthPosition+1,$FJ176&lt;SwaptionFirstMonthPosition+1,IA$169&gt;SwaptionFirstMonthPosition+SwaptionNumOfMonths+1,$FJ176&gt;SwaptionFirstMonthPosition+SwaptionNumOfMonths+1),"",IF($FJ176=IA$169,1,IF($FJ176&lt;IA$169,INDEX($FK$170:$ID$241,IA$169,$FJ176),SUMPRODUCT(INDEX($FK$325:$ID$396,IA$169,1+SwaptionShift):INDEX($FK$325:$ID$396,IA$169,SwaptionMonthsToGo+SwaptionShift),INDEX($FK$245:$ID$316,$FJ176-IA$169,73-IA$169+SwaptionShift):INDEX($FK$245:$ID$316,$FJ176-IA$169,72-IA$169+SwaptionMonthsToGo+SwaptionShift))/SQRT(SUM(INDEX($FK331:$ID331,1+SwaptionShift):INDEX($FK331:$ID331,SwaptionMonthsToGo+SwaptionShift))*SUM(INDEX($FK$325:$ID$396,IA$169,1+SwaptionShift):INDEX($FK$325:$ID$396,IA$169,SwaptionMonthsToGo+SwaptionShift))))))</f>
        <v/>
      </c>
      <c r="IB176" s="150" t="str">
        <f aca="false">IF(OR(IB$169&lt;SwaptionFirstMonthPosition+1,$FJ176&lt;SwaptionFirstMonthPosition+1,IB$169&gt;SwaptionFirstMonthPosition+SwaptionNumOfMonths+1,$FJ176&gt;SwaptionFirstMonthPosition+SwaptionNumOfMonths+1),"",IF($FJ176=IB$169,1,IF($FJ176&lt;IB$169,INDEX($FK$170:$ID$241,IB$169,$FJ176),SUMPRODUCT(INDEX($FK$325:$ID$396,IB$169,1+SwaptionShift):INDEX($FK$325:$ID$396,IB$169,SwaptionMonthsToGo+SwaptionShift),INDEX($FK$245:$ID$316,$FJ176-IB$169,73-IB$169+SwaptionShift):INDEX($FK$245:$ID$316,$FJ176-IB$169,72-IB$169+SwaptionMonthsToGo+SwaptionShift))/SQRT(SUM(INDEX($FK331:$ID331,1+SwaptionShift):INDEX($FK331:$ID331,SwaptionMonthsToGo+SwaptionShift))*SUM(INDEX($FK$325:$ID$396,IB$169,1+SwaptionShift):INDEX($FK$325:$ID$396,IB$169,SwaptionMonthsToGo+SwaptionShift))))))</f>
        <v/>
      </c>
      <c r="IC176" s="150" t="str">
        <f aca="false">IF(OR(IC$169&lt;SwaptionFirstMonthPosition+1,$FJ176&lt;SwaptionFirstMonthPosition+1,IC$169&gt;SwaptionFirstMonthPosition+SwaptionNumOfMonths+1,$FJ176&gt;SwaptionFirstMonthPosition+SwaptionNumOfMonths+1),"",IF($FJ176=IC$169,1,IF($FJ176&lt;IC$169,INDEX($FK$170:$ID$241,IC$169,$FJ176),SUMPRODUCT(INDEX($FK$325:$ID$396,IC$169,1+SwaptionShift):INDEX($FK$325:$ID$396,IC$169,SwaptionMonthsToGo+SwaptionShift),INDEX($FK$245:$ID$316,$FJ176-IC$169,73-IC$169+SwaptionShift):INDEX($FK$245:$ID$316,$FJ176-IC$169,72-IC$169+SwaptionMonthsToGo+SwaptionShift))/SQRT(SUM(INDEX($FK331:$ID331,1+SwaptionShift):INDEX($FK331:$ID331,SwaptionMonthsToGo+SwaptionShift))*SUM(INDEX($FK$325:$ID$396,IC$169,1+SwaptionShift):INDEX($FK$325:$ID$396,IC$169,SwaptionMonthsToGo+SwaptionShift))))))</f>
        <v/>
      </c>
      <c r="ID176" s="572" t="str">
        <f aca="false">IF(OR(ID$169&lt;SwaptionFirstMonthPosition+1,$FJ176&lt;SwaptionFirstMonthPosition+1,ID$169&gt;SwaptionFirstMonthPosition+SwaptionNumOfMonths+1,$FJ176&gt;SwaptionFirstMonthPosition+SwaptionNumOfMonths+1),"",IF($FJ176=ID$169,1,IF($FJ176&lt;ID$169,INDEX($FK$170:$ID$241,ID$169,$FJ176),SUMPRODUCT(INDEX($FK$325:$ID$396,ID$169,1+SwaptionShift):INDEX($FK$325:$ID$396,ID$169,SwaptionMonthsToGo+SwaptionShift),INDEX($FK$245:$ID$316,$FJ176-ID$169,73-ID$169+SwaptionShift):INDEX($FK$245:$ID$316,$FJ176-ID$169,72-ID$169+SwaptionMonthsToGo+SwaptionShift))/SQRT(SUM(INDEX($FK331:$ID331,1+SwaptionShift):INDEX($FK331:$ID331,SwaptionMonthsToGo+SwaptionShift))*SUM(INDEX($FK$325:$ID$396,ID$169,1+SwaptionShift):INDEX($FK$325:$ID$396,ID$169,SwaptionMonthsToGo+SwaptionShift))))))</f>
        <v/>
      </c>
      <c r="IE176" s="129"/>
    </row>
    <row r="177" customFormat="false" ht="12.75" hidden="false" customHeight="false" outlineLevel="0" collapsed="false">
      <c r="H177" s="219" t="n">
        <f aca="false">VLOOKUP(I177,$EJ$20:$EL$54,3)</f>
        <v>0</v>
      </c>
      <c r="I177" s="511" t="n">
        <f aca="false">EOMONTH(I176,0)+1</f>
        <v>41548</v>
      </c>
      <c r="J177" s="512"/>
      <c r="K177" s="513" t="s">
        <v>280</v>
      </c>
      <c r="L177" s="514" t="n">
        <f aca="false">IF(ISNUMBER(K177),J177+K177/100,IF(K177="extra",L176+VLOOKUP(BF177,PriceSpreadTable,2)/12,IF(K177="inter",interpolateprices($K$19:$L$200,ROW(K177)-ROW(FirstPricingMonth)+1),interpolatechanges($J$19:$K$200,ROW(K177)-ROW(FirstPricingMonth)+1))))</f>
        <v>3.0375</v>
      </c>
      <c r="M177" s="515"/>
      <c r="N177" s="516" t="n">
        <v>0</v>
      </c>
      <c r="O177" s="515" t="n">
        <f aca="false">M177+N177</f>
        <v>0</v>
      </c>
      <c r="P177" s="512"/>
      <c r="Q177" s="513" t="s">
        <v>280</v>
      </c>
      <c r="R177" s="512" t="e">
        <f aca="false">IF(ISNUMBER(Q177),P177+Q177/100,IF(Q177="extra",(Z175*AL175-R176*AM175)/AN175,IF(Q177="inter",interpolateprices($Q$19:$R$260,ROW(Q177)-ROW(FirstPricingMonth)+1),interpolatechanges($P$19:$Q$260,ROW(Q177)-ROW(FirstPricingMonth)+1))))</f>
        <v>#VALUE!</v>
      </c>
      <c r="S177" s="597" t="n">
        <f aca="false">S$19+(S176-S$19)*S$18</f>
        <v>0.36</v>
      </c>
      <c r="T177" s="575" t="n">
        <f aca="false">SQRT((1-(1-T176^2/U176)*T$18)*U177)</f>
        <v>0.99999999999766</v>
      </c>
      <c r="U177" s="576" t="n">
        <f aca="false">1-(1-U176)*U$18</f>
        <v>1</v>
      </c>
      <c r="V177" s="521" t="n">
        <v>0</v>
      </c>
      <c r="W177" s="577" t="n">
        <f aca="false">(J178*AJ177+J179*AK177)/AI177</f>
        <v>0</v>
      </c>
      <c r="X177" s="578" t="n">
        <f aca="false">(L178*AJ177+L179*AK177)/AI177</f>
        <v>3.08967391304348</v>
      </c>
      <c r="Y177" s="579" t="n">
        <f aca="false">IF(Q179="extra",W177-AA177,(P178*AM177+P179*AN177)/AL177)</f>
        <v>-1.1931</v>
      </c>
      <c r="Z177" s="579" t="n">
        <f aca="false">IF(Q179="extra",X177-AB177,(R178*AM177+R179*AN177)/AL177)</f>
        <v>1.89657391304348</v>
      </c>
      <c r="AA177" s="523" t="n">
        <f aca="false">IF(Q179="extra",INDEX(BrentSeasonalityTable,INT((BG177-1)/3)+1)*VLOOKUP(MAX(BF177,$AB$4),PriceSpreadTable,3),W177-Y177)</f>
        <v>1.1931</v>
      </c>
      <c r="AB177" s="524" t="n">
        <f aca="false">IF(Q179="extra",INDEX(BrentSeasonalityTable,INT((BG177-1)/3)+1)*VLOOKUP(MAX(BF177,$AB$4),PriceSpreadTable,3),X177-Z177)</f>
        <v>1.1931</v>
      </c>
      <c r="AC177" s="646" t="n">
        <v>41537</v>
      </c>
      <c r="AD177" s="646" t="n">
        <v>41533</v>
      </c>
      <c r="AE177" s="646" t="n">
        <v>41532</v>
      </c>
      <c r="AF177" s="646" t="n">
        <v>41528</v>
      </c>
      <c r="AG177" s="438" t="s">
        <v>278</v>
      </c>
      <c r="AH177" s="439" t="s">
        <v>278</v>
      </c>
      <c r="AI177" s="528" t="n">
        <v>23</v>
      </c>
      <c r="AJ177" s="529" t="n">
        <v>14</v>
      </c>
      <c r="AK177" s="529" t="n">
        <v>9</v>
      </c>
      <c r="AL177" s="530" t="n">
        <v>23</v>
      </c>
      <c r="AM177" s="529" t="n">
        <v>10</v>
      </c>
      <c r="AN177" s="531" t="n">
        <v>13</v>
      </c>
      <c r="AO177" s="532"/>
      <c r="AP177" s="465" t="n">
        <f aca="false">(1+AO177/2)^(-2*BL177)</f>
        <v>1</v>
      </c>
      <c r="AQ177" s="532"/>
      <c r="AR177" s="465" t="n">
        <f aca="false">(1+AQ177/2)^(-2*BH177/365.25)</f>
        <v>1</v>
      </c>
      <c r="AS177" s="580" t="n">
        <f aca="false">(O178*AJ177+O179*AK177)/AI177</f>
        <v>0</v>
      </c>
      <c r="AT177" s="468" t="n">
        <f aca="false">O177*VLOOKUP(BF177,BrentVolTable,2)+VLOOKUP(BF177,BrentVolTable,3)</f>
        <v>0</v>
      </c>
      <c r="AU177" s="468" t="n">
        <f aca="false">(AT178*AM177+AT179*AN177)/AL177</f>
        <v>0</v>
      </c>
      <c r="AV177" s="595" t="n">
        <f aca="false">SQRT(MAX(0.000000000001,(O177^2*BH177-S177^2*(BH177-BH176))/BH176))</f>
        <v>0.0301387251519871</v>
      </c>
      <c r="AW177" s="451" t="n">
        <f aca="false">IF($I177-DateToday+15&gt;=$T$8,"",IF($I177-DateToday+15&lt;$T$5,1,MATCH($I177-DateToday+15,$T$5:$T$8)))</f>
        <v>1</v>
      </c>
      <c r="AX177" s="468" t="n">
        <f aca="false">IF($AW177="",AX176^2/AX175,INDEX(U$5:U$8,$AW177)^((INDEX($T$5:$T$8,$AW177+1)-($I177-DateToday+15))/(INDEX($T$5:$T$8,$AW177+1)-INDEX($T$5:$T$8,$AW177)))/INDEX(U$5:U$8,$AW177+1)^((INDEX($T$5:$T$8,$AW177)-($I177-DateToday+15))/(INDEX($T$5:$T$8,$AW177+1)-INDEX($T$5:$T$8,$AW177))))</f>
        <v>0.437637339526376</v>
      </c>
      <c r="AY177" s="468" t="n">
        <f aca="false">IF($AW177="",AY176^2/AY175,INDEX(V$5:V$8,$AW177)^((INDEX($T$5:$T$8,$AW177+1)-($I177-DateToday+15))/(INDEX($T$5:$T$8,$AW177+1)-INDEX($T$5:$T$8,$AW177)))/INDEX(V$5:V$8,$AW177+1)^((INDEX($T$5:$T$8,$AW177)-($I177-DateToday+15))/(INDEX($T$5:$T$8,$AW177+1)-INDEX($T$5:$T$8,$AW177))))</f>
        <v>6.99991710187917</v>
      </c>
      <c r="AZ177" s="468" t="n">
        <f aca="false">IF($AW177="",AZ176^2/AZ175,INDEX(W$5:W$8,$AW177)^((INDEX($T$5:$T$8,$AW177+1)-($I177-DateToday+15))/(INDEX($T$5:$T$8,$AW177+1)-INDEX($T$5:$T$8,$AW177)))/INDEX(W$5:W$8,$AW177+1)^((INDEX($T$5:$T$8,$AW177)-($I177-DateToday+15))/(INDEX($T$5:$T$8,$AW177+1)-INDEX($T$5:$T$8,$AW177))))</f>
        <v>1723.08718670486</v>
      </c>
      <c r="BA177" s="468" t="n">
        <f aca="false">IF($AW177="",BA176^2/BA175,INDEX(X$5:X$8,$AW177)^((INDEX($T$5:$T$8,$AW177+1)-($I177-DateToday+15))/(INDEX($T$5:$T$8,$AW177+1)-INDEX($T$5:$T$8,$AW177)))/INDEX(X$5:X$8,$AW177+1)^((INDEX($T$5:$T$8,$AW177)-($I177-DateToday+15))/(INDEX($T$5:$T$8,$AW177+1)-INDEX($T$5:$T$8,$AW177))))</f>
        <v>7855.07596001562</v>
      </c>
      <c r="BB177" s="468" t="n">
        <f aca="false">IF($AW177="",BB176^2/BB175,INDEX(Y$5:Y$8,$AW177)^((INDEX($T$5:$T$8,$AW177+1)-($I177-DateToday+15))/(INDEX($T$5:$T$8,$AW177+1)-INDEX($T$5:$T$8,$AW177)))/INDEX(Y$5:Y$8,$AW177+1)^((INDEX($T$5:$T$8,$AW177)-($I177-DateToday+15))/(INDEX($T$5:$T$8,$AW177+1)-INDEX($T$5:$T$8,$AW177))))</f>
        <v>45903.1367356953</v>
      </c>
      <c r="BC177" s="468" t="n">
        <f aca="false">IF($AW177="",BC176^2/BC175,INDEX(Z$5:Z$8,$AW177)^((INDEX($T$5:$T$8,$AW177+1)-($I177-DateToday+15))/(INDEX($T$5:$T$8,$AW177+1)-INDEX($T$5:$T$8,$AW177)))/INDEX(Z$5:Z$8,$AW177+1)^((INDEX($T$5:$T$8,$AW177)-($I177-DateToday+15))/(INDEX($T$5:$T$8,$AW177+1)-INDEX($T$5:$T$8,$AW177))))</f>
        <v>134676.952309475</v>
      </c>
      <c r="BD177" s="535" t="n">
        <f aca="false">IF(OR(DateStart&gt;=I178,DateEnd&lt;I177),0,IF(VolumeOverrideFlag,V177,Volume))</f>
        <v>0</v>
      </c>
      <c r="BE177" s="536" t="n">
        <f aca="false">IF(OR(DateStart2&gt;=I178,DateEnd2&lt;I177),0,IF(VolumeOverrideFlag,V177,VolumeSwaption))</f>
        <v>0</v>
      </c>
      <c r="BF177" s="537" t="n">
        <f aca="false">YEAR(I177)</f>
        <v>2013</v>
      </c>
      <c r="BG177" s="538" t="n">
        <f aca="false">MONTH(I177)</f>
        <v>10</v>
      </c>
      <c r="BH177" s="539" t="n">
        <f aca="false">AD177-DateToday+1</f>
        <v>-4392</v>
      </c>
      <c r="BI177" s="540" t="n">
        <f aca="false">(I177-DateToday+1)/365.25</f>
        <v>-11.9835728952772</v>
      </c>
      <c r="BJ177" s="541" t="n">
        <f aca="false">BI177+(BL177-BI177)*CHOOSE(Underlying,AJ177/AI177,AM177/AL177)</f>
        <v>-11.9335773591644</v>
      </c>
      <c r="BK177" s="541" t="n">
        <f aca="false">BJ177+1/365.25</f>
        <v>-11.9308395083772</v>
      </c>
      <c r="BL177" s="541" t="n">
        <f aca="false">(I178-DateToday)/365.25</f>
        <v>-11.9014373716632</v>
      </c>
      <c r="BM177" s="542" t="e">
        <f aca="false">MAX(BI177-(BJ177-BI177)*(S178^2/O178^2-1),0)</f>
        <v>#DIV/0!</v>
      </c>
      <c r="BN177" s="541" t="e">
        <f aca="false">MAX(BL177+(BL177-BK177)*(S179^2/O179^2-1),0)</f>
        <v>#DIV/0!</v>
      </c>
      <c r="BO177" s="530" t="n">
        <f aca="false">CHOOSE(Underlying,AI177,AL177)</f>
        <v>23</v>
      </c>
      <c r="BP177" s="529" t="n">
        <f aca="false">CHOOSE(Underlying,AJ177,AM177)</f>
        <v>14</v>
      </c>
      <c r="BQ177" s="529" t="n">
        <f aca="false">CHOOSE(Underlying,AK177,AN177)</f>
        <v>9</v>
      </c>
      <c r="BR177" s="463" t="str">
        <f aca="false">IF(BD177,IF(Underlying=1,X177,Z177)+UnderlyingPriceAsian-SwapPriceCurve,"")</f>
        <v/>
      </c>
      <c r="BS177" s="463" t="str">
        <f aca="false">IF(BD177,Strike1/BR177-1,"")</f>
        <v/>
      </c>
      <c r="BT177" s="464" t="str">
        <f aca="false">IF(BD177,Strike2/BR177-1,"")</f>
        <v/>
      </c>
      <c r="BU177" s="465" t="str">
        <f aca="false">IF(BD177,IF(Underlying=1,L178,R178)+UnderlyingPriceAsian-SwapPriceCurve,"")</f>
        <v/>
      </c>
      <c r="BV177" s="465" t="str">
        <f aca="false">IF(BD177,IF(Underlying=1,L179,R179)+UnderlyingPriceAsian-SwapPriceCurve,"")</f>
        <v/>
      </c>
      <c r="BW177" s="466" t="str">
        <f aca="false">IF(BD177,IF(Underlying=1,O178,AT178),"")</f>
        <v/>
      </c>
      <c r="BX177" s="467" t="str">
        <f aca="false">IF(BD177,IF(Underlying=1,O179,AT179),"")</f>
        <v/>
      </c>
      <c r="BY177" s="466" t="str">
        <f aca="false">IF(BD177,IF(BS177&gt;0,IF(BS177&gt;0.2,BC177-BB177,IF(BS177&gt;0.1,BB177-BA177,BA177)),IF(BS177&lt;-0.2,AX177-AY177,IF(BS177&lt;-0.1,AY177-AZ177,AZ177))),"")</f>
        <v/>
      </c>
      <c r="BZ177" s="467" t="str">
        <f aca="false">IF(BD177,IF(BT177&gt;0,IF(BT177&gt;0.2,BC177-BB177,IF(BT177&gt;0.1,BB177-BA177,BA177)),IF(BT177&lt;-0.2,AX177-AY177,IF(BT177&lt;-0.1,AY177-AZ177,AZ177))),"")</f>
        <v/>
      </c>
      <c r="CA177" s="468" t="str">
        <f aca="false">IF($BD177,$BW177+IF(VolSkewFlag=1,IF(BS177&gt;0,$BA177*MIN(BS177/10%,1)+($BB177-$BA177)*MAX(0,MIN(BS177/10%-1,1))+($BC177-$BB177)*MAX(0,BS177/10%-2),$AZ177*MIN(-BS177/10%,1)+($AY177-$AZ177)*MAX(0,MIN(-BS177/10%-1,1))+($AX177-$AY177)*MAX(0,-BS177/10%-2)),0),"")</f>
        <v/>
      </c>
      <c r="CB177" s="468" t="str">
        <f aca="false">IF($BD177,$BX177+IF(VolSkewFlag=1,IF(BS177&gt;0,$BA177*MIN(BS177/10%,1)+($BB177-$BA177)*MAX(0,MIN(BS177/10%-1,1))+($BC177-$BB177)*MAX(0,BS177/10%-2),$AZ177*MIN(-BS177/10%,1)+($AY177-$AZ177)*MAX(0,MIN(-BS177/10%-1,1))+($AX177-$AY177)*MAX(0,-BS177/10%-2)),0),"")</f>
        <v/>
      </c>
      <c r="CC177" s="468" t="str">
        <f aca="false">IF($BD177,$BW177+IF(VolSkewFlag=1,IF(BT177&gt;0,$BA177*MIN(BT177/10%,1)+($BB177-$BA177)*MAX(0,MIN(BT177/10%-1,1))+($BC177-$BB177)*MAX(0,BT177/10%-2),$AZ177*MIN(-BT177/10%,1)+($AY177-$AZ177)*MAX(0,MIN(-BT177/10%-1,1))+($AX177-$AY177)*MAX(0,-BT177/10%-2)),0),"")</f>
        <v/>
      </c>
      <c r="CD177" s="468" t="str">
        <f aca="false">IF($BD177,$BX177+IF(VolSkewFlag=1,IF(BT177&gt;0,$BA177*MIN(BT177/10%,1)+($BB177-$BA177)*MAX(0,MIN(BT177/10%-1,1))+($BC177-$BB177)*MAX(0,BT177/10%-2),$AZ177*MIN(-BT177/10%,1)+($AY177-$AZ177)*MAX(0,MIN(-BT177/10%-1,1))+($AX177-$AY177)*MAX(0,-BT177/10%-2)),0),"")</f>
        <v/>
      </c>
      <c r="CE177" s="469" t="n">
        <v>1</v>
      </c>
      <c r="CF177" s="470" t="n">
        <f aca="false">IF(BD177,xCrudeAPO(BU177,BV177,CA177,CB177,S178,S179,BI177,BL177,BP177,BQ177,0,Strike1,AO177,CE177,0,BL177,IF(OptControl=4,0,1),0,1),0)</f>
        <v>0</v>
      </c>
      <c r="CG177" s="470" t="n">
        <f aca="false">IF(BD177,xCrudeAPO(BU177,BV177,CA177,CB177,S178,S179,BI177,BL177,BP177,BQ177,0,Strike1,AO177,CE177,0,BL177,IF(OptControl=4,0,1),1,1)+xCrudeAPO(BU177,BV177,CA177,CB177,S178,S179,BI177,BL177,BP177,BQ177,0,Strike1,AO177,CE177,0,BL177,IF(OptControl=4,0,1),1,2)+IF(OR(VolSkewFlag=2,ABS(BS177)&lt;0.0001),0,IF(BS177&gt;0,-1,1)*CH177*Strike1/BR177^2*BY177/10%),0)</f>
        <v>0</v>
      </c>
      <c r="CH177" s="470" t="n">
        <f aca="false">IF(BD177,(xCrudeAPO(BU177,BV177,CA177,CB177,S178,S179,BI177,BL177,BP177,BQ177,0,Strike1,AO177,CE177,0,BL177,IF(OptControl=4,0,1),3,1)+xCrudeAPO(BU177,BV177,CA177,CB177,S178,S179,BI177,BL177,BP177,BQ177,0,Strike1,AO177,CE177,0,BL177,IF(OptControl=4,0,1),3,2))/100,0)</f>
        <v>0</v>
      </c>
      <c r="CI177" s="470" t="n">
        <f aca="false">IF(BD177,xCrudeAPO(BU177,BV177,CA177,CB177,S178,S179,BI177-DaysForThetaCalculation/365.25,BL177-DaysForThetaCalculation/365.25,BP177,BQ177,0,Strike1,AO177,CE177,0,BL177,IF(OptControl=4,0,1),0,1)-xCrudeAPO(BU177,BV177,CA177,CB177,S178,S179,BI177,BL177,BP177,BQ177,0,Strike1,AO177,CE177,0,BL177,IF(OptControl=4,0,1),0,1),0)</f>
        <v>0</v>
      </c>
      <c r="CJ177" s="471" t="n">
        <f aca="false">IF(BD177,xCrudeAPO(BU177,BV177,CC177,CD177,S178,S179,BI177,BL177,BP177,BQ177,0,Strike2,AO177,CE177,0,BL177,IF(OptControl=3,1,0),0,1),0)</f>
        <v>0</v>
      </c>
      <c r="CK177" s="470" t="n">
        <f aca="false">IF(BD177,xCrudeAPO(BU177,BV177,CC177,CD177,S178,S179,BI177,BL177,BP177,BQ177,0,Strike2,AO177,CE177,0,BL177,IF(OptControl=3,1,0),1,1)+xCrudeAPO(BU177,BV177,CC177,CD177,S178,S179,BI177,BL177,BP177,BQ177,0,Strike2,AO177,CE177,0,BL177,IF(OptControl=3,1,0),1,2)+IF(OR(VolSkewFlag=2,ABS(BT177)&lt;0.0001),0,IF(BT177&gt;0,-1,1)*CL177*Strike2/BR177^2*BZ177/10%),0)</f>
        <v>0</v>
      </c>
      <c r="CL177" s="470" t="n">
        <f aca="false">IF(BD177,(xCrudeAPO(BU177,BV177,CC177,CD177,S178,S179,BI177,BL177,BP177,BQ177,0,Strike2,AO177,CE177,0,BL177,IF(OptControl=3,1,0),3,1)+xCrudeAPO(BU177,BV177,CC177,CD177,S178,S179,BI177,BL177,BP177,BQ177,0,Strike2,AO177,CE177,0,BL177,IF(OptControl=3,1,0),3,2))/100,0)</f>
        <v>0</v>
      </c>
      <c r="CM177" s="472" t="n">
        <f aca="false">IF(BD177,xCrudeAPO(BU177,BV177,CC177,CD177,S178,S179,BI177-DaysForThetaCalculation/365.25,BL177-DaysForThetaCalculation/365.25,BP177,BQ177,0,Strike2,AO177,CE177,0,BL177,IF(OptControl=3,1,0),0,1)-xCrudeAPO(BU177,BV177,CC177,CD177,S178,S179,BI177,BL177,BP177,BQ177,0,Strike2,AO177,CE177,0,BL177,IF(OptControl=3,1,0),0,1),0)</f>
        <v>0</v>
      </c>
      <c r="CN177" s="3"/>
      <c r="CO177" s="543" t="str">
        <f aca="false">IF(BD177,CHOOSE(Underlying,AD177,AF177)-DateToday+1,"")</f>
        <v/>
      </c>
      <c r="CP177" s="582" t="str">
        <f aca="false">IF(BD177,CHOOSE(Underlying,L177,R177),"")</f>
        <v/>
      </c>
      <c r="CQ177" s="544" t="str">
        <f aca="false">IF(BD177,Strike1/CP177-1,"")</f>
        <v/>
      </c>
      <c r="CR177" s="544" t="str">
        <f aca="false">IF(BD177,Strike2/CP177-1,"")</f>
        <v/>
      </c>
      <c r="CS177" s="544" t="str">
        <f aca="false">IF(BD177,IF(CQ177&gt;0,IF(CQ177&gt;0.2,BC176-BB176,IF(CQ177&gt;0.1,BB176-BA176,BA176)),IF(CQ177&lt;-0.2,AX176-AY176,IF(CQ177&lt;-0.1,AY176-AZ176,AZ176))),"")</f>
        <v/>
      </c>
      <c r="CT177" s="544" t="str">
        <f aca="false">IF(BD177,IF(CR177&gt;0,IF(CR177&gt;0.2,BC176-BB176,IF(CR177&gt;0.1,BB176-BA176,BA176)),IF(CR177&lt;-0.2,AX176-AY176,IF(CR177&lt;-0.1,AY176-AZ176,AZ176))),"")</f>
        <v/>
      </c>
      <c r="CU177" s="545" t="str">
        <f aca="false">IF(BD177,CHOOSE(Underlying,O177,AT177),"")</f>
        <v/>
      </c>
      <c r="CV177" s="545" t="str">
        <f aca="false">IF(BD177,CU177+IF(VolSkewFlag=1,IF(CQ177&gt;0,BA176*MIN(CQ177/10%,1)+(BB176-BA176)*MAX(0,MIN(CQ177/10%-1,1))+(BC176-BB176)*MAX(0,CQ177/10%-2),AZ176*MIN(-CQ177/10%,1)+(AY176-AZ176)*MAX(0,MIN(-CQ177/10%-1,1))+(AX176-AY176)*MAX(0,-CQ177/10%-2)),0),"")</f>
        <v/>
      </c>
      <c r="CW177" s="545" t="str">
        <f aca="false">IF(BD177,CU177+IF(VolSkewFlag=1,IF(CR177&gt;0,BA176*MIN(CR177/10%,1)+(BB176-BA176)*MAX(0,MIN(CR177/10%-1,1))+(BC176-BB176)*MAX(0,CR177/10%-2),AZ176*MIN(-CR177/10%,1)+(AY176-AZ176)*MAX(0,MIN(-CR177/10%-1,1))+(AX176-AY176)*MAX(0,-CR177/10%-2)),0),"")</f>
        <v/>
      </c>
      <c r="CX177" s="470" t="n">
        <f aca="false">IF(BD177,EURO(CP177,Strike1,AO177,AO177,CV177,CO177,IF(OptControl=4,0,1),0),0)</f>
        <v>0</v>
      </c>
      <c r="CY177" s="470" t="n">
        <f aca="false">IF(BD177,EURO(CP177,Strike1,AO177,AO177,CV177,CO177,IF(OptControl=4,0,1),1)+IF(OR(VolSkewFlag=2,ABS(CQ177)&lt;0.0001),0,IF(CQ177&gt;0,-1,1)*CZ177*100*Strike1/CP177^2*CS177/10%),0)</f>
        <v>0</v>
      </c>
      <c r="CZ177" s="470" t="n">
        <f aca="false">IF(BD177,EURO(CP177,Strike1,AO177,AO177,CV177,CO177,IF(OptControl=4,0,1),3)/100,0)</f>
        <v>0</v>
      </c>
      <c r="DA177" s="470" t="n">
        <f aca="false">IF(BD177,EURO(CP177,Strike1,AO177,AO177,CV177,CO177,IF(OptControl=4,0,1),0)-EURO(CP177,Strike1,AO177,AO177,CV177,CO177-1,IF(OptControl=4,0,1),0),0)</f>
        <v>0</v>
      </c>
      <c r="DB177" s="470" t="n">
        <f aca="false">IF(BD177,EURO(CP177,Strike2,AO177,AO177,CW177,CO177,IF(OptControl=3,1,0),0),0)</f>
        <v>0</v>
      </c>
      <c r="DC177" s="470" t="n">
        <f aca="false">IF(BD177,EURO(CP177,Strike2,AO177,AO177,CW177,CO177,IF(OptControl=3,1,0),1)+IF(OR(VolSkewFlag=2,ABS(CR177)&lt;0.0001),0,IF(CR177&gt;0,-1,1)*DD177*100*Strike2/CP177^2*CT177/10%),0)</f>
        <v>0</v>
      </c>
      <c r="DD177" s="470" t="n">
        <f aca="false">IF(BD177,EURO(CP177,Strike2,AO177,AO177,CW177,CO177,IF(OptControl=3,1,0),3)/100,0)</f>
        <v>0</v>
      </c>
      <c r="DE177" s="472" t="n">
        <f aca="false">IF(BD177,EURO(CP177,Strike2,AO177,AO177,CW177,CO177,IF(OptControl=3,1,0),0)-EURO(CP177,Strike2,AO177,AO177,CW177,CO177-1,IF(OptControl=3,1,0),0),0)</f>
        <v>0</v>
      </c>
      <c r="DG177" s="481" t="n">
        <f aca="false">EOMONTH(DG176,0)+1</f>
        <v>50465</v>
      </c>
      <c r="DH177" s="478" t="n">
        <v>22.0100000000001</v>
      </c>
      <c r="DI177" s="479" t="n">
        <v>22.0766666666667</v>
      </c>
      <c r="DJ177" s="480" t="n">
        <f aca="false">DG177</f>
        <v>50465</v>
      </c>
      <c r="DK177" s="478" t="n">
        <v>20.8502824805032</v>
      </c>
      <c r="DL177" s="479" t="n">
        <v>20.9081666666667</v>
      </c>
      <c r="DM177" s="481" t="n">
        <f aca="false">DG177</f>
        <v>50465</v>
      </c>
      <c r="DN177" s="482" t="n">
        <f aca="false">DK177+BrentPhyBrentSpread</f>
        <v>20.9002824805032</v>
      </c>
      <c r="DO177" s="481" t="n">
        <f aca="false">DG177</f>
        <v>50465</v>
      </c>
      <c r="DP177" s="483" t="n">
        <f aca="false">DL177+DQ177</f>
        <v>20.9081666666667</v>
      </c>
      <c r="DQ177" s="546" t="n">
        <v>0</v>
      </c>
      <c r="DR177" s="480" t="n">
        <f aca="false">DG177</f>
        <v>50465</v>
      </c>
      <c r="DS177" s="485" t="n">
        <v>0.130399999999999</v>
      </c>
      <c r="DT177" s="486" t="n">
        <v>0.129599999999999</v>
      </c>
      <c r="DU177" s="480" t="n">
        <f aca="false">DG177</f>
        <v>50465</v>
      </c>
      <c r="DV177" s="485" t="n">
        <v>0.130399999999999</v>
      </c>
      <c r="DW177" s="486" t="n">
        <v>0.129599999999999</v>
      </c>
      <c r="DX177" s="481" t="n">
        <f aca="false">DG177</f>
        <v>50465</v>
      </c>
      <c r="DY177" s="486" t="n">
        <v>0.35</v>
      </c>
      <c r="DZ177" s="481" t="n">
        <f aca="false">DR177</f>
        <v>50465</v>
      </c>
      <c r="EA177" s="486" t="n">
        <f aca="false">DT177</f>
        <v>0.129599999999999</v>
      </c>
      <c r="EB177" s="195"/>
      <c r="EC177" s="547" t="str">
        <f aca="false">IF(BD177,IF(Underlying=1,AS177,AU177),"")</f>
        <v/>
      </c>
      <c r="ED177" s="548" t="str">
        <f aca="false">IF($BD177,$EC177+IF(VolSkewFlag=1,IF(BS177&gt;0,$BA177*MIN(BS177/10%,1)+($BB177-$BA177)*MAX(0,MIN(BS177/10%-1,1))+($BC177-$BB177)*MAX(0,BS177/10%-2),$AZ177*MIN(-BS177/10%,1)+($AY177-$AZ177)*MAX(0,MIN(-BS177/10%-1,1))+($AX177-$AY177)*MAX(0,-BS177/10%-2)),0),"")</f>
        <v/>
      </c>
      <c r="EE177" s="549" t="str">
        <f aca="false">IF($BD177,$EC177+IF(VolSkewFlag=1,IF(BT177&gt;0,$BA177*MIN(BT177/10%,1)+($BB177-$BA177)*MAX(0,MIN(BT177/10%-1,1))+($BC177-$BB177)*MAX(0,BT177/10%-2),$AZ177*MIN(-BT177/10%,1)+($AY177-$AZ177)*MAX(0,MIN(-BT177/10%-1,1))+($AX177-$AY177)*MAX(0,-BT177/10%-2)),0),"")</f>
        <v/>
      </c>
      <c r="EF177" s="550" t="n">
        <f aca="false">IF(BD177,xASN(BR177,Strike1,AO177,ED177,0,BO177,0,BI177,BL177,IF(OptControl=4,0,1),0),0)</f>
        <v>0</v>
      </c>
      <c r="EG177" s="551" t="n">
        <f aca="false">IF(BD177,xASN(BR177,Strike2,AO177,EE177,0,BO177,0,BI177,BL177,IF(OptControl=3,1,0),0),0)</f>
        <v>0</v>
      </c>
      <c r="EL177" s="1"/>
      <c r="EM177" s="195"/>
      <c r="EN177" s="240"/>
      <c r="EO177" s="240"/>
      <c r="EP177" s="195"/>
      <c r="EQ177" s="407" t="s">
        <v>405</v>
      </c>
      <c r="ES177" s="130"/>
      <c r="ET177" s="19"/>
      <c r="EU177" s="672"/>
      <c r="EV177" s="478"/>
      <c r="EW177" s="131"/>
      <c r="EX177" s="131"/>
      <c r="EY177" s="129"/>
      <c r="EZ177" s="129"/>
      <c r="FA177" s="129"/>
      <c r="FB177" s="129"/>
      <c r="FC177" s="129"/>
      <c r="FD177" s="129"/>
      <c r="FE177" s="129"/>
      <c r="FF177" s="129"/>
      <c r="FG177" s="129"/>
      <c r="FH177" s="129"/>
      <c r="FI177" s="129"/>
      <c r="FJ177" s="571" t="n">
        <v>8</v>
      </c>
      <c r="FK177" s="150" t="str">
        <f aca="false">IF(OR(FK$169&lt;SwaptionFirstMonthPosition+1,$FJ177&lt;SwaptionFirstMonthPosition+1,FK$169&gt;SwaptionFirstMonthPosition+SwaptionNumOfMonths+1,$FJ177&gt;SwaptionFirstMonthPosition+SwaptionNumOfMonths+1),"",IF($FJ177=FK$169,1,IF($FJ177&lt;FK$169,INDEX($FK$170:$ID$241,FK$169,$FJ177),SUMPRODUCT(INDEX($FK$325:$ID$396,FK$169,1+SwaptionShift):INDEX($FK$325:$ID$396,FK$169,SwaptionMonthsToGo+SwaptionShift),INDEX($FK$245:$ID$316,$FJ177-FK$169,73-FK$169+SwaptionShift):INDEX($FK$245:$ID$316,$FJ177-FK$169,72-FK$169+SwaptionMonthsToGo+SwaptionShift))/SQRT(SUM(INDEX($FK332:$ID332,1+SwaptionShift):INDEX($FK332:$ID332,SwaptionMonthsToGo+SwaptionShift))*SUM(INDEX($FK$325:$ID$396,FK$169,1+SwaptionShift):INDEX($FK$325:$ID$396,FK$169,SwaptionMonthsToGo+SwaptionShift))))))</f>
        <v/>
      </c>
      <c r="FL177" s="150" t="str">
        <f aca="false">IF(OR(FL$169&lt;SwaptionFirstMonthPosition+1,$FJ177&lt;SwaptionFirstMonthPosition+1,FL$169&gt;SwaptionFirstMonthPosition+SwaptionNumOfMonths+1,$FJ177&gt;SwaptionFirstMonthPosition+SwaptionNumOfMonths+1),"",IF($FJ177=FL$169,1,IF($FJ177&lt;FL$169,INDEX($FK$170:$ID$241,FL$169,$FJ177),SUMPRODUCT(INDEX($FK$325:$ID$396,FL$169,1+SwaptionShift):INDEX($FK$325:$ID$396,FL$169,SwaptionMonthsToGo+SwaptionShift),INDEX($FK$245:$ID$316,$FJ177-FL$169,73-FL$169+SwaptionShift):INDEX($FK$245:$ID$316,$FJ177-FL$169,72-FL$169+SwaptionMonthsToGo+SwaptionShift))/SQRT(SUM(INDEX($FK332:$ID332,1+SwaptionShift):INDEX($FK332:$ID332,SwaptionMonthsToGo+SwaptionShift))*SUM(INDEX($FK$325:$ID$396,FL$169,1+SwaptionShift):INDEX($FK$325:$ID$396,FL$169,SwaptionMonthsToGo+SwaptionShift))))))</f>
        <v/>
      </c>
      <c r="FM177" s="150" t="str">
        <f aca="false">IF(OR(FM$169&lt;SwaptionFirstMonthPosition+1,$FJ177&lt;SwaptionFirstMonthPosition+1,FM$169&gt;SwaptionFirstMonthPosition+SwaptionNumOfMonths+1,$FJ177&gt;SwaptionFirstMonthPosition+SwaptionNumOfMonths+1),"",IF($FJ177=FM$169,1,IF($FJ177&lt;FM$169,INDEX($FK$170:$ID$241,FM$169,$FJ177),SUMPRODUCT(INDEX($FK$325:$ID$396,FM$169,1+SwaptionShift):INDEX($FK$325:$ID$396,FM$169,SwaptionMonthsToGo+SwaptionShift),INDEX($FK$245:$ID$316,$FJ177-FM$169,73-FM$169+SwaptionShift):INDEX($FK$245:$ID$316,$FJ177-FM$169,72-FM$169+SwaptionMonthsToGo+SwaptionShift))/SQRT(SUM(INDEX($FK332:$ID332,1+SwaptionShift):INDEX($FK332:$ID332,SwaptionMonthsToGo+SwaptionShift))*SUM(INDEX($FK$325:$ID$396,FM$169,1+SwaptionShift):INDEX($FK$325:$ID$396,FM$169,SwaptionMonthsToGo+SwaptionShift))))))</f>
        <v/>
      </c>
      <c r="FN177" s="150" t="str">
        <f aca="false">IF(OR(FN$169&lt;SwaptionFirstMonthPosition+1,$FJ177&lt;SwaptionFirstMonthPosition+1,FN$169&gt;SwaptionFirstMonthPosition+SwaptionNumOfMonths+1,$FJ177&gt;SwaptionFirstMonthPosition+SwaptionNumOfMonths+1),"",IF($FJ177=FN$169,1,IF($FJ177&lt;FN$169,INDEX($FK$170:$ID$241,FN$169,$FJ177),SUMPRODUCT(INDEX($FK$325:$ID$396,FN$169,1+SwaptionShift):INDEX($FK$325:$ID$396,FN$169,SwaptionMonthsToGo+SwaptionShift),INDEX($FK$245:$ID$316,$FJ177-FN$169,73-FN$169+SwaptionShift):INDEX($FK$245:$ID$316,$FJ177-FN$169,72-FN$169+SwaptionMonthsToGo+SwaptionShift))/SQRT(SUM(INDEX($FK332:$ID332,1+SwaptionShift):INDEX($FK332:$ID332,SwaptionMonthsToGo+SwaptionShift))*SUM(INDEX($FK$325:$ID$396,FN$169,1+SwaptionShift):INDEX($FK$325:$ID$396,FN$169,SwaptionMonthsToGo+SwaptionShift))))))</f>
        <v/>
      </c>
      <c r="FO177" s="150" t="str">
        <f aca="false">IF(OR(FO$169&lt;SwaptionFirstMonthPosition+1,$FJ177&lt;SwaptionFirstMonthPosition+1,FO$169&gt;SwaptionFirstMonthPosition+SwaptionNumOfMonths+1,$FJ177&gt;SwaptionFirstMonthPosition+SwaptionNumOfMonths+1),"",IF($FJ177=FO$169,1,IF($FJ177&lt;FO$169,INDEX($FK$170:$ID$241,FO$169,$FJ177),SUMPRODUCT(INDEX($FK$325:$ID$396,FO$169,1+SwaptionShift):INDEX($FK$325:$ID$396,FO$169,SwaptionMonthsToGo+SwaptionShift),INDEX($FK$245:$ID$316,$FJ177-FO$169,73-FO$169+SwaptionShift):INDEX($FK$245:$ID$316,$FJ177-FO$169,72-FO$169+SwaptionMonthsToGo+SwaptionShift))/SQRT(SUM(INDEX($FK332:$ID332,1+SwaptionShift):INDEX($FK332:$ID332,SwaptionMonthsToGo+SwaptionShift))*SUM(INDEX($FK$325:$ID$396,FO$169,1+SwaptionShift):INDEX($FK$325:$ID$396,FO$169,SwaptionMonthsToGo+SwaptionShift))))))</f>
        <v/>
      </c>
      <c r="FP177" s="150" t="e">
        <f aca="false">IF(OR(FP$169&lt;SwaptionFirstMonthPosition+1,$FJ177&lt;SwaptionFirstMonthPosition+1,FP$169&gt;SwaptionFirstMonthPosition+SwaptionNumOfMonths+1,$FJ177&gt;SwaptionFirstMonthPosition+SwaptionNumOfMonths+1),"",IF($FJ177=FP$169,1,IF($FJ177&lt;FP$169,INDEX($FK$170:$ID$241,FP$169,$FJ177),SUMPRODUCT(INDEX($FK$325:$ID$396,FP$169,1+SwaptionShift):INDEX($FK$325:$ID$396,FP$169,SwaptionMonthsToGo+SwaptionShift),INDEX($FK$245:$ID$316,$FJ177-FP$169,73-FP$169+SwaptionShift):INDEX($FK$245:$ID$316,$FJ177-FP$169,72-FP$169+SwaptionMonthsToGo+SwaptionShift))/SQRT(SUM(INDEX($FK332:$ID332,1+SwaptionShift):INDEX($FK332:$ID332,SwaptionMonthsToGo+SwaptionShift))*SUM(INDEX($FK$325:$ID$396,FP$169,1+SwaptionShift):INDEX($FK$325:$ID$396,FP$169,SwaptionMonthsToGo+SwaptionShift))))))</f>
        <v>#DIV/0!</v>
      </c>
      <c r="FQ177" s="150" t="e">
        <f aca="false">IF(OR(FQ$169&lt;SwaptionFirstMonthPosition+1,$FJ177&lt;SwaptionFirstMonthPosition+1,FQ$169&gt;SwaptionFirstMonthPosition+SwaptionNumOfMonths+1,$FJ177&gt;SwaptionFirstMonthPosition+SwaptionNumOfMonths+1),"",IF($FJ177=FQ$169,1,IF($FJ177&lt;FQ$169,INDEX($FK$170:$ID$241,FQ$169,$FJ177),SUMPRODUCT(INDEX($FK$325:$ID$396,FQ$169,1+SwaptionShift):INDEX($FK$325:$ID$396,FQ$169,SwaptionMonthsToGo+SwaptionShift),INDEX($FK$245:$ID$316,$FJ177-FQ$169,73-FQ$169+SwaptionShift):INDEX($FK$245:$ID$316,$FJ177-FQ$169,72-FQ$169+SwaptionMonthsToGo+SwaptionShift))/SQRT(SUM(INDEX($FK332:$ID332,1+SwaptionShift):INDEX($FK332:$ID332,SwaptionMonthsToGo+SwaptionShift))*SUM(INDEX($FK$325:$ID$396,FQ$169,1+SwaptionShift):INDEX($FK$325:$ID$396,FQ$169,SwaptionMonthsToGo+SwaptionShift))))))</f>
        <v>#DIV/0!</v>
      </c>
      <c r="FR177" s="150" t="n">
        <f aca="false">IF(OR(FR$169&lt;SwaptionFirstMonthPosition+1,$FJ177&lt;SwaptionFirstMonthPosition+1,FR$169&gt;SwaptionFirstMonthPosition+SwaptionNumOfMonths+1,$FJ177&gt;SwaptionFirstMonthPosition+SwaptionNumOfMonths+1),"",IF($FJ177=FR$169,1,IF($FJ177&lt;FR$169,INDEX($FK$170:$ID$241,FR$169,$FJ177),SUMPRODUCT(INDEX($FK$325:$ID$396,FR$169,1+SwaptionShift):INDEX($FK$325:$ID$396,FR$169,SwaptionMonthsToGo+SwaptionShift),INDEX($FK$245:$ID$316,$FJ177-FR$169,73-FR$169+SwaptionShift):INDEX($FK$245:$ID$316,$FJ177-FR$169,72-FR$169+SwaptionMonthsToGo+SwaptionShift))/SQRT(SUM(INDEX($FK332:$ID332,1+SwaptionShift):INDEX($FK332:$ID332,SwaptionMonthsToGo+SwaptionShift))*SUM(INDEX($FK$325:$ID$396,FR$169,1+SwaptionShift):INDEX($FK$325:$ID$396,FR$169,SwaptionMonthsToGo+SwaptionShift))))))</f>
        <v>1</v>
      </c>
      <c r="FS177" s="150" t="e">
        <f aca="false">IF(OR(FS$169&lt;SwaptionFirstMonthPosition+1,$FJ177&lt;SwaptionFirstMonthPosition+1,FS$169&gt;SwaptionFirstMonthPosition+SwaptionNumOfMonths+1,$FJ177&gt;SwaptionFirstMonthPosition+SwaptionNumOfMonths+1),"",IF($FJ177=FS$169,1,IF($FJ177&lt;FS$169,INDEX($FK$170:$ID$241,FS$169,$FJ177),SUMPRODUCT(INDEX($FK$325:$ID$396,FS$169,1+SwaptionShift):INDEX($FK$325:$ID$396,FS$169,SwaptionMonthsToGo+SwaptionShift),INDEX($FK$245:$ID$316,$FJ177-FS$169,73-FS$169+SwaptionShift):INDEX($FK$245:$ID$316,$FJ177-FS$169,72-FS$169+SwaptionMonthsToGo+SwaptionShift))/SQRT(SUM(INDEX($FK332:$ID332,1+SwaptionShift):INDEX($FK332:$ID332,SwaptionMonthsToGo+SwaptionShift))*SUM(INDEX($FK$325:$ID$396,FS$169,1+SwaptionShift):INDEX($FK$325:$ID$396,FS$169,SwaptionMonthsToGo+SwaptionShift))))))</f>
        <v>#DIV/0!</v>
      </c>
      <c r="FT177" s="150" t="e">
        <f aca="false">IF(OR(FT$169&lt;SwaptionFirstMonthPosition+1,$FJ177&lt;SwaptionFirstMonthPosition+1,FT$169&gt;SwaptionFirstMonthPosition+SwaptionNumOfMonths+1,$FJ177&gt;SwaptionFirstMonthPosition+SwaptionNumOfMonths+1),"",IF($FJ177=FT$169,1,IF($FJ177&lt;FT$169,INDEX($FK$170:$ID$241,FT$169,$FJ177),SUMPRODUCT(INDEX($FK$325:$ID$396,FT$169,1+SwaptionShift):INDEX($FK$325:$ID$396,FT$169,SwaptionMonthsToGo+SwaptionShift),INDEX($FK$245:$ID$316,$FJ177-FT$169,73-FT$169+SwaptionShift):INDEX($FK$245:$ID$316,$FJ177-FT$169,72-FT$169+SwaptionMonthsToGo+SwaptionShift))/SQRT(SUM(INDEX($FK332:$ID332,1+SwaptionShift):INDEX($FK332:$ID332,SwaptionMonthsToGo+SwaptionShift))*SUM(INDEX($FK$325:$ID$396,FT$169,1+SwaptionShift):INDEX($FK$325:$ID$396,FT$169,SwaptionMonthsToGo+SwaptionShift))))))</f>
        <v>#DIV/0!</v>
      </c>
      <c r="FU177" s="150" t="e">
        <f aca="false">IF(OR(FU$169&lt;SwaptionFirstMonthPosition+1,$FJ177&lt;SwaptionFirstMonthPosition+1,FU$169&gt;SwaptionFirstMonthPosition+SwaptionNumOfMonths+1,$FJ177&gt;SwaptionFirstMonthPosition+SwaptionNumOfMonths+1),"",IF($FJ177=FU$169,1,IF($FJ177&lt;FU$169,INDEX($FK$170:$ID$241,FU$169,$FJ177),SUMPRODUCT(INDEX($FK$325:$ID$396,FU$169,1+SwaptionShift):INDEX($FK$325:$ID$396,FU$169,SwaptionMonthsToGo+SwaptionShift),INDEX($FK$245:$ID$316,$FJ177-FU$169,73-FU$169+SwaptionShift):INDEX($FK$245:$ID$316,$FJ177-FU$169,72-FU$169+SwaptionMonthsToGo+SwaptionShift))/SQRT(SUM(INDEX($FK332:$ID332,1+SwaptionShift):INDEX($FK332:$ID332,SwaptionMonthsToGo+SwaptionShift))*SUM(INDEX($FK$325:$ID$396,FU$169,1+SwaptionShift):INDEX($FK$325:$ID$396,FU$169,SwaptionMonthsToGo+SwaptionShift))))))</f>
        <v>#DIV/0!</v>
      </c>
      <c r="FV177" s="150" t="e">
        <f aca="false">IF(OR(FV$169&lt;SwaptionFirstMonthPosition+1,$FJ177&lt;SwaptionFirstMonthPosition+1,FV$169&gt;SwaptionFirstMonthPosition+SwaptionNumOfMonths+1,$FJ177&gt;SwaptionFirstMonthPosition+SwaptionNumOfMonths+1),"",IF($FJ177=FV$169,1,IF($FJ177&lt;FV$169,INDEX($FK$170:$ID$241,FV$169,$FJ177),SUMPRODUCT(INDEX($FK$325:$ID$396,FV$169,1+SwaptionShift):INDEX($FK$325:$ID$396,FV$169,SwaptionMonthsToGo+SwaptionShift),INDEX($FK$245:$ID$316,$FJ177-FV$169,73-FV$169+SwaptionShift):INDEX($FK$245:$ID$316,$FJ177-FV$169,72-FV$169+SwaptionMonthsToGo+SwaptionShift))/SQRT(SUM(INDEX($FK332:$ID332,1+SwaptionShift):INDEX($FK332:$ID332,SwaptionMonthsToGo+SwaptionShift))*SUM(INDEX($FK$325:$ID$396,FV$169,1+SwaptionShift):INDEX($FK$325:$ID$396,FV$169,SwaptionMonthsToGo+SwaptionShift))))))</f>
        <v>#DIV/0!</v>
      </c>
      <c r="FW177" s="150" t="e">
        <f aca="false">IF(OR(FW$169&lt;SwaptionFirstMonthPosition+1,$FJ177&lt;SwaptionFirstMonthPosition+1,FW$169&gt;SwaptionFirstMonthPosition+SwaptionNumOfMonths+1,$FJ177&gt;SwaptionFirstMonthPosition+SwaptionNumOfMonths+1),"",IF($FJ177=FW$169,1,IF($FJ177&lt;FW$169,INDEX($FK$170:$ID$241,FW$169,$FJ177),SUMPRODUCT(INDEX($FK$325:$ID$396,FW$169,1+SwaptionShift):INDEX($FK$325:$ID$396,FW$169,SwaptionMonthsToGo+SwaptionShift),INDEX($FK$245:$ID$316,$FJ177-FW$169,73-FW$169+SwaptionShift):INDEX($FK$245:$ID$316,$FJ177-FW$169,72-FW$169+SwaptionMonthsToGo+SwaptionShift))/SQRT(SUM(INDEX($FK332:$ID332,1+SwaptionShift):INDEX($FK332:$ID332,SwaptionMonthsToGo+SwaptionShift))*SUM(INDEX($FK$325:$ID$396,FW$169,1+SwaptionShift):INDEX($FK$325:$ID$396,FW$169,SwaptionMonthsToGo+SwaptionShift))))))</f>
        <v>#DIV/0!</v>
      </c>
      <c r="FX177" s="150" t="e">
        <f aca="false">IF(OR(FX$169&lt;SwaptionFirstMonthPosition+1,$FJ177&lt;SwaptionFirstMonthPosition+1,FX$169&gt;SwaptionFirstMonthPosition+SwaptionNumOfMonths+1,$FJ177&gt;SwaptionFirstMonthPosition+SwaptionNumOfMonths+1),"",IF($FJ177=FX$169,1,IF($FJ177&lt;FX$169,INDEX($FK$170:$ID$241,FX$169,$FJ177),SUMPRODUCT(INDEX($FK$325:$ID$396,FX$169,1+SwaptionShift):INDEX($FK$325:$ID$396,FX$169,SwaptionMonthsToGo+SwaptionShift),INDEX($FK$245:$ID$316,$FJ177-FX$169,73-FX$169+SwaptionShift):INDEX($FK$245:$ID$316,$FJ177-FX$169,72-FX$169+SwaptionMonthsToGo+SwaptionShift))/SQRT(SUM(INDEX($FK332:$ID332,1+SwaptionShift):INDEX($FK332:$ID332,SwaptionMonthsToGo+SwaptionShift))*SUM(INDEX($FK$325:$ID$396,FX$169,1+SwaptionShift):INDEX($FK$325:$ID$396,FX$169,SwaptionMonthsToGo+SwaptionShift))))))</f>
        <v>#DIV/0!</v>
      </c>
      <c r="FY177" s="150" t="e">
        <f aca="false">IF(OR(FY$169&lt;SwaptionFirstMonthPosition+1,$FJ177&lt;SwaptionFirstMonthPosition+1,FY$169&gt;SwaptionFirstMonthPosition+SwaptionNumOfMonths+1,$FJ177&gt;SwaptionFirstMonthPosition+SwaptionNumOfMonths+1),"",IF($FJ177=FY$169,1,IF($FJ177&lt;FY$169,INDEX($FK$170:$ID$241,FY$169,$FJ177),SUMPRODUCT(INDEX($FK$325:$ID$396,FY$169,1+SwaptionShift):INDEX($FK$325:$ID$396,FY$169,SwaptionMonthsToGo+SwaptionShift),INDEX($FK$245:$ID$316,$FJ177-FY$169,73-FY$169+SwaptionShift):INDEX($FK$245:$ID$316,$FJ177-FY$169,72-FY$169+SwaptionMonthsToGo+SwaptionShift))/SQRT(SUM(INDEX($FK332:$ID332,1+SwaptionShift):INDEX($FK332:$ID332,SwaptionMonthsToGo+SwaptionShift))*SUM(INDEX($FK$325:$ID$396,FY$169,1+SwaptionShift):INDEX($FK$325:$ID$396,FY$169,SwaptionMonthsToGo+SwaptionShift))))))</f>
        <v>#DIV/0!</v>
      </c>
      <c r="FZ177" s="150" t="e">
        <f aca="false">IF(OR(FZ$169&lt;SwaptionFirstMonthPosition+1,$FJ177&lt;SwaptionFirstMonthPosition+1,FZ$169&gt;SwaptionFirstMonthPosition+SwaptionNumOfMonths+1,$FJ177&gt;SwaptionFirstMonthPosition+SwaptionNumOfMonths+1),"",IF($FJ177=FZ$169,1,IF($FJ177&lt;FZ$169,INDEX($FK$170:$ID$241,FZ$169,$FJ177),SUMPRODUCT(INDEX($FK$325:$ID$396,FZ$169,1+SwaptionShift):INDEX($FK$325:$ID$396,FZ$169,SwaptionMonthsToGo+SwaptionShift),INDEX($FK$245:$ID$316,$FJ177-FZ$169,73-FZ$169+SwaptionShift):INDEX($FK$245:$ID$316,$FJ177-FZ$169,72-FZ$169+SwaptionMonthsToGo+SwaptionShift))/SQRT(SUM(INDEX($FK332:$ID332,1+SwaptionShift):INDEX($FK332:$ID332,SwaptionMonthsToGo+SwaptionShift))*SUM(INDEX($FK$325:$ID$396,FZ$169,1+SwaptionShift):INDEX($FK$325:$ID$396,FZ$169,SwaptionMonthsToGo+SwaptionShift))))))</f>
        <v>#DIV/0!</v>
      </c>
      <c r="GA177" s="150" t="e">
        <f aca="false">IF(OR(GA$169&lt;SwaptionFirstMonthPosition+1,$FJ177&lt;SwaptionFirstMonthPosition+1,GA$169&gt;SwaptionFirstMonthPosition+SwaptionNumOfMonths+1,$FJ177&gt;SwaptionFirstMonthPosition+SwaptionNumOfMonths+1),"",IF($FJ177=GA$169,1,IF($FJ177&lt;GA$169,INDEX($FK$170:$ID$241,GA$169,$FJ177),SUMPRODUCT(INDEX($FK$325:$ID$396,GA$169,1+SwaptionShift):INDEX($FK$325:$ID$396,GA$169,SwaptionMonthsToGo+SwaptionShift),INDEX($FK$245:$ID$316,$FJ177-GA$169,73-GA$169+SwaptionShift):INDEX($FK$245:$ID$316,$FJ177-GA$169,72-GA$169+SwaptionMonthsToGo+SwaptionShift))/SQRT(SUM(INDEX($FK332:$ID332,1+SwaptionShift):INDEX($FK332:$ID332,SwaptionMonthsToGo+SwaptionShift))*SUM(INDEX($FK$325:$ID$396,GA$169,1+SwaptionShift):INDEX($FK$325:$ID$396,GA$169,SwaptionMonthsToGo+SwaptionShift))))))</f>
        <v>#DIV/0!</v>
      </c>
      <c r="GB177" s="150" t="e">
        <f aca="false">IF(OR(GB$169&lt;SwaptionFirstMonthPosition+1,$FJ177&lt;SwaptionFirstMonthPosition+1,GB$169&gt;SwaptionFirstMonthPosition+SwaptionNumOfMonths+1,$FJ177&gt;SwaptionFirstMonthPosition+SwaptionNumOfMonths+1),"",IF($FJ177=GB$169,1,IF($FJ177&lt;GB$169,INDEX($FK$170:$ID$241,GB$169,$FJ177),SUMPRODUCT(INDEX($FK$325:$ID$396,GB$169,1+SwaptionShift):INDEX($FK$325:$ID$396,GB$169,SwaptionMonthsToGo+SwaptionShift),INDEX($FK$245:$ID$316,$FJ177-GB$169,73-GB$169+SwaptionShift):INDEX($FK$245:$ID$316,$FJ177-GB$169,72-GB$169+SwaptionMonthsToGo+SwaptionShift))/SQRT(SUM(INDEX($FK332:$ID332,1+SwaptionShift):INDEX($FK332:$ID332,SwaptionMonthsToGo+SwaptionShift))*SUM(INDEX($FK$325:$ID$396,GB$169,1+SwaptionShift):INDEX($FK$325:$ID$396,GB$169,SwaptionMonthsToGo+SwaptionShift))))))</f>
        <v>#DIV/0!</v>
      </c>
      <c r="GC177" s="150" t="str">
        <f aca="false">IF(OR(GC$169&lt;SwaptionFirstMonthPosition+1,$FJ177&lt;SwaptionFirstMonthPosition+1,GC$169&gt;SwaptionFirstMonthPosition+SwaptionNumOfMonths+1,$FJ177&gt;SwaptionFirstMonthPosition+SwaptionNumOfMonths+1),"",IF($FJ177=GC$169,1,IF($FJ177&lt;GC$169,INDEX($FK$170:$ID$241,GC$169,$FJ177),SUMPRODUCT(INDEX($FK$325:$ID$396,GC$169,1+SwaptionShift):INDEX($FK$325:$ID$396,GC$169,SwaptionMonthsToGo+SwaptionShift),INDEX($FK$245:$ID$316,$FJ177-GC$169,73-GC$169+SwaptionShift):INDEX($FK$245:$ID$316,$FJ177-GC$169,72-GC$169+SwaptionMonthsToGo+SwaptionShift))/SQRT(SUM(INDEX($FK332:$ID332,1+SwaptionShift):INDEX($FK332:$ID332,SwaptionMonthsToGo+SwaptionShift))*SUM(INDEX($FK$325:$ID$396,GC$169,1+SwaptionShift):INDEX($FK$325:$ID$396,GC$169,SwaptionMonthsToGo+SwaptionShift))))))</f>
        <v/>
      </c>
      <c r="GD177" s="150" t="str">
        <f aca="false">IF(OR(GD$169&lt;SwaptionFirstMonthPosition+1,$FJ177&lt;SwaptionFirstMonthPosition+1,GD$169&gt;SwaptionFirstMonthPosition+SwaptionNumOfMonths+1,$FJ177&gt;SwaptionFirstMonthPosition+SwaptionNumOfMonths+1),"",IF($FJ177=GD$169,1,IF($FJ177&lt;GD$169,INDEX($FK$170:$ID$241,GD$169,$FJ177),SUMPRODUCT(INDEX($FK$325:$ID$396,GD$169,1+SwaptionShift):INDEX($FK$325:$ID$396,GD$169,SwaptionMonthsToGo+SwaptionShift),INDEX($FK$245:$ID$316,$FJ177-GD$169,73-GD$169+SwaptionShift):INDEX($FK$245:$ID$316,$FJ177-GD$169,72-GD$169+SwaptionMonthsToGo+SwaptionShift))/SQRT(SUM(INDEX($FK332:$ID332,1+SwaptionShift):INDEX($FK332:$ID332,SwaptionMonthsToGo+SwaptionShift))*SUM(INDEX($FK$325:$ID$396,GD$169,1+SwaptionShift):INDEX($FK$325:$ID$396,GD$169,SwaptionMonthsToGo+SwaptionShift))))))</f>
        <v/>
      </c>
      <c r="GE177" s="150" t="str">
        <f aca="false">IF(OR(GE$169&lt;SwaptionFirstMonthPosition+1,$FJ177&lt;SwaptionFirstMonthPosition+1,GE$169&gt;SwaptionFirstMonthPosition+SwaptionNumOfMonths+1,$FJ177&gt;SwaptionFirstMonthPosition+SwaptionNumOfMonths+1),"",IF($FJ177=GE$169,1,IF($FJ177&lt;GE$169,INDEX($FK$170:$ID$241,GE$169,$FJ177),SUMPRODUCT(INDEX($FK$325:$ID$396,GE$169,1+SwaptionShift):INDEX($FK$325:$ID$396,GE$169,SwaptionMonthsToGo+SwaptionShift),INDEX($FK$245:$ID$316,$FJ177-GE$169,73-GE$169+SwaptionShift):INDEX($FK$245:$ID$316,$FJ177-GE$169,72-GE$169+SwaptionMonthsToGo+SwaptionShift))/SQRT(SUM(INDEX($FK332:$ID332,1+SwaptionShift):INDEX($FK332:$ID332,SwaptionMonthsToGo+SwaptionShift))*SUM(INDEX($FK$325:$ID$396,GE$169,1+SwaptionShift):INDEX($FK$325:$ID$396,GE$169,SwaptionMonthsToGo+SwaptionShift))))))</f>
        <v/>
      </c>
      <c r="GF177" s="150" t="str">
        <f aca="false">IF(OR(GF$169&lt;SwaptionFirstMonthPosition+1,$FJ177&lt;SwaptionFirstMonthPosition+1,GF$169&gt;SwaptionFirstMonthPosition+SwaptionNumOfMonths+1,$FJ177&gt;SwaptionFirstMonthPosition+SwaptionNumOfMonths+1),"",IF($FJ177=GF$169,1,IF($FJ177&lt;GF$169,INDEX($FK$170:$ID$241,GF$169,$FJ177),SUMPRODUCT(INDEX($FK$325:$ID$396,GF$169,1+SwaptionShift):INDEX($FK$325:$ID$396,GF$169,SwaptionMonthsToGo+SwaptionShift),INDEX($FK$245:$ID$316,$FJ177-GF$169,73-GF$169+SwaptionShift):INDEX($FK$245:$ID$316,$FJ177-GF$169,72-GF$169+SwaptionMonthsToGo+SwaptionShift))/SQRT(SUM(INDEX($FK332:$ID332,1+SwaptionShift):INDEX($FK332:$ID332,SwaptionMonthsToGo+SwaptionShift))*SUM(INDEX($FK$325:$ID$396,GF$169,1+SwaptionShift):INDEX($FK$325:$ID$396,GF$169,SwaptionMonthsToGo+SwaptionShift))))))</f>
        <v/>
      </c>
      <c r="GG177" s="150" t="str">
        <f aca="false">IF(OR(GG$169&lt;SwaptionFirstMonthPosition+1,$FJ177&lt;SwaptionFirstMonthPosition+1,GG$169&gt;SwaptionFirstMonthPosition+SwaptionNumOfMonths+1,$FJ177&gt;SwaptionFirstMonthPosition+SwaptionNumOfMonths+1),"",IF($FJ177=GG$169,1,IF($FJ177&lt;GG$169,INDEX($FK$170:$ID$241,GG$169,$FJ177),SUMPRODUCT(INDEX($FK$325:$ID$396,GG$169,1+SwaptionShift):INDEX($FK$325:$ID$396,GG$169,SwaptionMonthsToGo+SwaptionShift),INDEX($FK$245:$ID$316,$FJ177-GG$169,73-GG$169+SwaptionShift):INDEX($FK$245:$ID$316,$FJ177-GG$169,72-GG$169+SwaptionMonthsToGo+SwaptionShift))/SQRT(SUM(INDEX($FK332:$ID332,1+SwaptionShift):INDEX($FK332:$ID332,SwaptionMonthsToGo+SwaptionShift))*SUM(INDEX($FK$325:$ID$396,GG$169,1+SwaptionShift):INDEX($FK$325:$ID$396,GG$169,SwaptionMonthsToGo+SwaptionShift))))))</f>
        <v/>
      </c>
      <c r="GH177" s="150" t="str">
        <f aca="false">IF(OR(GH$169&lt;SwaptionFirstMonthPosition+1,$FJ177&lt;SwaptionFirstMonthPosition+1,GH$169&gt;SwaptionFirstMonthPosition+SwaptionNumOfMonths+1,$FJ177&gt;SwaptionFirstMonthPosition+SwaptionNumOfMonths+1),"",IF($FJ177=GH$169,1,IF($FJ177&lt;GH$169,INDEX($FK$170:$ID$241,GH$169,$FJ177),SUMPRODUCT(INDEX($FK$325:$ID$396,GH$169,1+SwaptionShift):INDEX($FK$325:$ID$396,GH$169,SwaptionMonthsToGo+SwaptionShift),INDEX($FK$245:$ID$316,$FJ177-GH$169,73-GH$169+SwaptionShift):INDEX($FK$245:$ID$316,$FJ177-GH$169,72-GH$169+SwaptionMonthsToGo+SwaptionShift))/SQRT(SUM(INDEX($FK332:$ID332,1+SwaptionShift):INDEX($FK332:$ID332,SwaptionMonthsToGo+SwaptionShift))*SUM(INDEX($FK$325:$ID$396,GH$169,1+SwaptionShift):INDEX($FK$325:$ID$396,GH$169,SwaptionMonthsToGo+SwaptionShift))))))</f>
        <v/>
      </c>
      <c r="GI177" s="150" t="str">
        <f aca="false">IF(OR(GI$169&lt;SwaptionFirstMonthPosition+1,$FJ177&lt;SwaptionFirstMonthPosition+1,GI$169&gt;SwaptionFirstMonthPosition+SwaptionNumOfMonths+1,$FJ177&gt;SwaptionFirstMonthPosition+SwaptionNumOfMonths+1),"",IF($FJ177=GI$169,1,IF($FJ177&lt;GI$169,INDEX($FK$170:$ID$241,GI$169,$FJ177),SUMPRODUCT(INDEX($FK$325:$ID$396,GI$169,1+SwaptionShift):INDEX($FK$325:$ID$396,GI$169,SwaptionMonthsToGo+SwaptionShift),INDEX($FK$245:$ID$316,$FJ177-GI$169,73-GI$169+SwaptionShift):INDEX($FK$245:$ID$316,$FJ177-GI$169,72-GI$169+SwaptionMonthsToGo+SwaptionShift))/SQRT(SUM(INDEX($FK332:$ID332,1+SwaptionShift):INDEX($FK332:$ID332,SwaptionMonthsToGo+SwaptionShift))*SUM(INDEX($FK$325:$ID$396,GI$169,1+SwaptionShift):INDEX($FK$325:$ID$396,GI$169,SwaptionMonthsToGo+SwaptionShift))))))</f>
        <v/>
      </c>
      <c r="GJ177" s="150" t="str">
        <f aca="false">IF(OR(GJ$169&lt;SwaptionFirstMonthPosition+1,$FJ177&lt;SwaptionFirstMonthPosition+1,GJ$169&gt;SwaptionFirstMonthPosition+SwaptionNumOfMonths+1,$FJ177&gt;SwaptionFirstMonthPosition+SwaptionNumOfMonths+1),"",IF($FJ177=GJ$169,1,IF($FJ177&lt;GJ$169,INDEX($FK$170:$ID$241,GJ$169,$FJ177),SUMPRODUCT(INDEX($FK$325:$ID$396,GJ$169,1+SwaptionShift):INDEX($FK$325:$ID$396,GJ$169,SwaptionMonthsToGo+SwaptionShift),INDEX($FK$245:$ID$316,$FJ177-GJ$169,73-GJ$169+SwaptionShift):INDEX($FK$245:$ID$316,$FJ177-GJ$169,72-GJ$169+SwaptionMonthsToGo+SwaptionShift))/SQRT(SUM(INDEX($FK332:$ID332,1+SwaptionShift):INDEX($FK332:$ID332,SwaptionMonthsToGo+SwaptionShift))*SUM(INDEX($FK$325:$ID$396,GJ$169,1+SwaptionShift):INDEX($FK$325:$ID$396,GJ$169,SwaptionMonthsToGo+SwaptionShift))))))</f>
        <v/>
      </c>
      <c r="GK177" s="150" t="str">
        <f aca="false">IF(OR(GK$169&lt;SwaptionFirstMonthPosition+1,$FJ177&lt;SwaptionFirstMonthPosition+1,GK$169&gt;SwaptionFirstMonthPosition+SwaptionNumOfMonths+1,$FJ177&gt;SwaptionFirstMonthPosition+SwaptionNumOfMonths+1),"",IF($FJ177=GK$169,1,IF($FJ177&lt;GK$169,INDEX($FK$170:$ID$241,GK$169,$FJ177),SUMPRODUCT(INDEX($FK$325:$ID$396,GK$169,1+SwaptionShift):INDEX($FK$325:$ID$396,GK$169,SwaptionMonthsToGo+SwaptionShift),INDEX($FK$245:$ID$316,$FJ177-GK$169,73-GK$169+SwaptionShift):INDEX($FK$245:$ID$316,$FJ177-GK$169,72-GK$169+SwaptionMonthsToGo+SwaptionShift))/SQRT(SUM(INDEX($FK332:$ID332,1+SwaptionShift):INDEX($FK332:$ID332,SwaptionMonthsToGo+SwaptionShift))*SUM(INDEX($FK$325:$ID$396,GK$169,1+SwaptionShift):INDEX($FK$325:$ID$396,GK$169,SwaptionMonthsToGo+SwaptionShift))))))</f>
        <v/>
      </c>
      <c r="GL177" s="150" t="str">
        <f aca="false">IF(OR(GL$169&lt;SwaptionFirstMonthPosition+1,$FJ177&lt;SwaptionFirstMonthPosition+1,GL$169&gt;SwaptionFirstMonthPosition+SwaptionNumOfMonths+1,$FJ177&gt;SwaptionFirstMonthPosition+SwaptionNumOfMonths+1),"",IF($FJ177=GL$169,1,IF($FJ177&lt;GL$169,INDEX($FK$170:$ID$241,GL$169,$FJ177),SUMPRODUCT(INDEX($FK$325:$ID$396,GL$169,1+SwaptionShift):INDEX($FK$325:$ID$396,GL$169,SwaptionMonthsToGo+SwaptionShift),INDEX($FK$245:$ID$316,$FJ177-GL$169,73-GL$169+SwaptionShift):INDEX($FK$245:$ID$316,$FJ177-GL$169,72-GL$169+SwaptionMonthsToGo+SwaptionShift))/SQRT(SUM(INDEX($FK332:$ID332,1+SwaptionShift):INDEX($FK332:$ID332,SwaptionMonthsToGo+SwaptionShift))*SUM(INDEX($FK$325:$ID$396,GL$169,1+SwaptionShift):INDEX($FK$325:$ID$396,GL$169,SwaptionMonthsToGo+SwaptionShift))))))</f>
        <v/>
      </c>
      <c r="GM177" s="150" t="str">
        <f aca="false">IF(OR(GM$169&lt;SwaptionFirstMonthPosition+1,$FJ177&lt;SwaptionFirstMonthPosition+1,GM$169&gt;SwaptionFirstMonthPosition+SwaptionNumOfMonths+1,$FJ177&gt;SwaptionFirstMonthPosition+SwaptionNumOfMonths+1),"",IF($FJ177=GM$169,1,IF($FJ177&lt;GM$169,INDEX($FK$170:$ID$241,GM$169,$FJ177),SUMPRODUCT(INDEX($FK$325:$ID$396,GM$169,1+SwaptionShift):INDEX($FK$325:$ID$396,GM$169,SwaptionMonthsToGo+SwaptionShift),INDEX($FK$245:$ID$316,$FJ177-GM$169,73-GM$169+SwaptionShift):INDEX($FK$245:$ID$316,$FJ177-GM$169,72-GM$169+SwaptionMonthsToGo+SwaptionShift))/SQRT(SUM(INDEX($FK332:$ID332,1+SwaptionShift):INDEX($FK332:$ID332,SwaptionMonthsToGo+SwaptionShift))*SUM(INDEX($FK$325:$ID$396,GM$169,1+SwaptionShift):INDEX($FK$325:$ID$396,GM$169,SwaptionMonthsToGo+SwaptionShift))))))</f>
        <v/>
      </c>
      <c r="GN177" s="150" t="str">
        <f aca="false">IF(OR(GN$169&lt;SwaptionFirstMonthPosition+1,$FJ177&lt;SwaptionFirstMonthPosition+1,GN$169&gt;SwaptionFirstMonthPosition+SwaptionNumOfMonths+1,$FJ177&gt;SwaptionFirstMonthPosition+SwaptionNumOfMonths+1),"",IF($FJ177=GN$169,1,IF($FJ177&lt;GN$169,INDEX($FK$170:$ID$241,GN$169,$FJ177),SUMPRODUCT(INDEX($FK$325:$ID$396,GN$169,1+SwaptionShift):INDEX($FK$325:$ID$396,GN$169,SwaptionMonthsToGo+SwaptionShift),INDEX($FK$245:$ID$316,$FJ177-GN$169,73-GN$169+SwaptionShift):INDEX($FK$245:$ID$316,$FJ177-GN$169,72-GN$169+SwaptionMonthsToGo+SwaptionShift))/SQRT(SUM(INDEX($FK332:$ID332,1+SwaptionShift):INDEX($FK332:$ID332,SwaptionMonthsToGo+SwaptionShift))*SUM(INDEX($FK$325:$ID$396,GN$169,1+SwaptionShift):INDEX($FK$325:$ID$396,GN$169,SwaptionMonthsToGo+SwaptionShift))))))</f>
        <v/>
      </c>
      <c r="GO177" s="150" t="str">
        <f aca="false">IF(OR(GO$169&lt;SwaptionFirstMonthPosition+1,$FJ177&lt;SwaptionFirstMonthPosition+1,GO$169&gt;SwaptionFirstMonthPosition+SwaptionNumOfMonths+1,$FJ177&gt;SwaptionFirstMonthPosition+SwaptionNumOfMonths+1),"",IF($FJ177=GO$169,1,IF($FJ177&lt;GO$169,INDEX($FK$170:$ID$241,GO$169,$FJ177),SUMPRODUCT(INDEX($FK$325:$ID$396,GO$169,1+SwaptionShift):INDEX($FK$325:$ID$396,GO$169,SwaptionMonthsToGo+SwaptionShift),INDEX($FK$245:$ID$316,$FJ177-GO$169,73-GO$169+SwaptionShift):INDEX($FK$245:$ID$316,$FJ177-GO$169,72-GO$169+SwaptionMonthsToGo+SwaptionShift))/SQRT(SUM(INDEX($FK332:$ID332,1+SwaptionShift):INDEX($FK332:$ID332,SwaptionMonthsToGo+SwaptionShift))*SUM(INDEX($FK$325:$ID$396,GO$169,1+SwaptionShift):INDEX($FK$325:$ID$396,GO$169,SwaptionMonthsToGo+SwaptionShift))))))</f>
        <v/>
      </c>
      <c r="GP177" s="150" t="str">
        <f aca="false">IF(OR(GP$169&lt;SwaptionFirstMonthPosition+1,$FJ177&lt;SwaptionFirstMonthPosition+1,GP$169&gt;SwaptionFirstMonthPosition+SwaptionNumOfMonths+1,$FJ177&gt;SwaptionFirstMonthPosition+SwaptionNumOfMonths+1),"",IF($FJ177=GP$169,1,IF($FJ177&lt;GP$169,INDEX($FK$170:$ID$241,GP$169,$FJ177),SUMPRODUCT(INDEX($FK$325:$ID$396,GP$169,1+SwaptionShift):INDEX($FK$325:$ID$396,GP$169,SwaptionMonthsToGo+SwaptionShift),INDEX($FK$245:$ID$316,$FJ177-GP$169,73-GP$169+SwaptionShift):INDEX($FK$245:$ID$316,$FJ177-GP$169,72-GP$169+SwaptionMonthsToGo+SwaptionShift))/SQRT(SUM(INDEX($FK332:$ID332,1+SwaptionShift):INDEX($FK332:$ID332,SwaptionMonthsToGo+SwaptionShift))*SUM(INDEX($FK$325:$ID$396,GP$169,1+SwaptionShift):INDEX($FK$325:$ID$396,GP$169,SwaptionMonthsToGo+SwaptionShift))))))</f>
        <v/>
      </c>
      <c r="GQ177" s="150" t="str">
        <f aca="false">IF(OR(GQ$169&lt;SwaptionFirstMonthPosition+1,$FJ177&lt;SwaptionFirstMonthPosition+1,GQ$169&gt;SwaptionFirstMonthPosition+SwaptionNumOfMonths+1,$FJ177&gt;SwaptionFirstMonthPosition+SwaptionNumOfMonths+1),"",IF($FJ177=GQ$169,1,IF($FJ177&lt;GQ$169,INDEX($FK$170:$ID$241,GQ$169,$FJ177),SUMPRODUCT(INDEX($FK$325:$ID$396,GQ$169,1+SwaptionShift):INDEX($FK$325:$ID$396,GQ$169,SwaptionMonthsToGo+SwaptionShift),INDEX($FK$245:$ID$316,$FJ177-GQ$169,73-GQ$169+SwaptionShift):INDEX($FK$245:$ID$316,$FJ177-GQ$169,72-GQ$169+SwaptionMonthsToGo+SwaptionShift))/SQRT(SUM(INDEX($FK332:$ID332,1+SwaptionShift):INDEX($FK332:$ID332,SwaptionMonthsToGo+SwaptionShift))*SUM(INDEX($FK$325:$ID$396,GQ$169,1+SwaptionShift):INDEX($FK$325:$ID$396,GQ$169,SwaptionMonthsToGo+SwaptionShift))))))</f>
        <v/>
      </c>
      <c r="GR177" s="150" t="str">
        <f aca="false">IF(OR(GR$169&lt;SwaptionFirstMonthPosition+1,$FJ177&lt;SwaptionFirstMonthPosition+1,GR$169&gt;SwaptionFirstMonthPosition+SwaptionNumOfMonths+1,$FJ177&gt;SwaptionFirstMonthPosition+SwaptionNumOfMonths+1),"",IF($FJ177=GR$169,1,IF($FJ177&lt;GR$169,INDEX($FK$170:$ID$241,GR$169,$FJ177),SUMPRODUCT(INDEX($FK$325:$ID$396,GR$169,1+SwaptionShift):INDEX($FK$325:$ID$396,GR$169,SwaptionMonthsToGo+SwaptionShift),INDEX($FK$245:$ID$316,$FJ177-GR$169,73-GR$169+SwaptionShift):INDEX($FK$245:$ID$316,$FJ177-GR$169,72-GR$169+SwaptionMonthsToGo+SwaptionShift))/SQRT(SUM(INDEX($FK332:$ID332,1+SwaptionShift):INDEX($FK332:$ID332,SwaptionMonthsToGo+SwaptionShift))*SUM(INDEX($FK$325:$ID$396,GR$169,1+SwaptionShift):INDEX($FK$325:$ID$396,GR$169,SwaptionMonthsToGo+SwaptionShift))))))</f>
        <v/>
      </c>
      <c r="GS177" s="150" t="str">
        <f aca="false">IF(OR(GS$169&lt;SwaptionFirstMonthPosition+1,$FJ177&lt;SwaptionFirstMonthPosition+1,GS$169&gt;SwaptionFirstMonthPosition+SwaptionNumOfMonths+1,$FJ177&gt;SwaptionFirstMonthPosition+SwaptionNumOfMonths+1),"",IF($FJ177=GS$169,1,IF($FJ177&lt;GS$169,INDEX($FK$170:$ID$241,GS$169,$FJ177),SUMPRODUCT(INDEX($FK$325:$ID$396,GS$169,1+SwaptionShift):INDEX($FK$325:$ID$396,GS$169,SwaptionMonthsToGo+SwaptionShift),INDEX($FK$245:$ID$316,$FJ177-GS$169,73-GS$169+SwaptionShift):INDEX($FK$245:$ID$316,$FJ177-GS$169,72-GS$169+SwaptionMonthsToGo+SwaptionShift))/SQRT(SUM(INDEX($FK332:$ID332,1+SwaptionShift):INDEX($FK332:$ID332,SwaptionMonthsToGo+SwaptionShift))*SUM(INDEX($FK$325:$ID$396,GS$169,1+SwaptionShift):INDEX($FK$325:$ID$396,GS$169,SwaptionMonthsToGo+SwaptionShift))))))</f>
        <v/>
      </c>
      <c r="GT177" s="150" t="str">
        <f aca="false">IF(OR(GT$169&lt;SwaptionFirstMonthPosition+1,$FJ177&lt;SwaptionFirstMonthPosition+1,GT$169&gt;SwaptionFirstMonthPosition+SwaptionNumOfMonths+1,$FJ177&gt;SwaptionFirstMonthPosition+SwaptionNumOfMonths+1),"",IF($FJ177=GT$169,1,IF($FJ177&lt;GT$169,INDEX($FK$170:$ID$241,GT$169,$FJ177),SUMPRODUCT(INDEX($FK$325:$ID$396,GT$169,1+SwaptionShift):INDEX($FK$325:$ID$396,GT$169,SwaptionMonthsToGo+SwaptionShift),INDEX($FK$245:$ID$316,$FJ177-GT$169,73-GT$169+SwaptionShift):INDEX($FK$245:$ID$316,$FJ177-GT$169,72-GT$169+SwaptionMonthsToGo+SwaptionShift))/SQRT(SUM(INDEX($FK332:$ID332,1+SwaptionShift):INDEX($FK332:$ID332,SwaptionMonthsToGo+SwaptionShift))*SUM(INDEX($FK$325:$ID$396,GT$169,1+SwaptionShift):INDEX($FK$325:$ID$396,GT$169,SwaptionMonthsToGo+SwaptionShift))))))</f>
        <v/>
      </c>
      <c r="GU177" s="150" t="str">
        <f aca="false">IF(OR(GU$169&lt;SwaptionFirstMonthPosition+1,$FJ177&lt;SwaptionFirstMonthPosition+1,GU$169&gt;SwaptionFirstMonthPosition+SwaptionNumOfMonths+1,$FJ177&gt;SwaptionFirstMonthPosition+SwaptionNumOfMonths+1),"",IF($FJ177=GU$169,1,IF($FJ177&lt;GU$169,INDEX($FK$170:$ID$241,GU$169,$FJ177),SUMPRODUCT(INDEX($FK$325:$ID$396,GU$169,1+SwaptionShift):INDEX($FK$325:$ID$396,GU$169,SwaptionMonthsToGo+SwaptionShift),INDEX($FK$245:$ID$316,$FJ177-GU$169,73-GU$169+SwaptionShift):INDEX($FK$245:$ID$316,$FJ177-GU$169,72-GU$169+SwaptionMonthsToGo+SwaptionShift))/SQRT(SUM(INDEX($FK332:$ID332,1+SwaptionShift):INDEX($FK332:$ID332,SwaptionMonthsToGo+SwaptionShift))*SUM(INDEX($FK$325:$ID$396,GU$169,1+SwaptionShift):INDEX($FK$325:$ID$396,GU$169,SwaptionMonthsToGo+SwaptionShift))))))</f>
        <v/>
      </c>
      <c r="GV177" s="150" t="str">
        <f aca="false">IF(OR(GV$169&lt;SwaptionFirstMonthPosition+1,$FJ177&lt;SwaptionFirstMonthPosition+1,GV$169&gt;SwaptionFirstMonthPosition+SwaptionNumOfMonths+1,$FJ177&gt;SwaptionFirstMonthPosition+SwaptionNumOfMonths+1),"",IF($FJ177=GV$169,1,IF($FJ177&lt;GV$169,INDEX($FK$170:$ID$241,GV$169,$FJ177),SUMPRODUCT(INDEX($FK$325:$ID$396,GV$169,1+SwaptionShift):INDEX($FK$325:$ID$396,GV$169,SwaptionMonthsToGo+SwaptionShift),INDEX($FK$245:$ID$316,$FJ177-GV$169,73-GV$169+SwaptionShift):INDEX($FK$245:$ID$316,$FJ177-GV$169,72-GV$169+SwaptionMonthsToGo+SwaptionShift))/SQRT(SUM(INDEX($FK332:$ID332,1+SwaptionShift):INDEX($FK332:$ID332,SwaptionMonthsToGo+SwaptionShift))*SUM(INDEX($FK$325:$ID$396,GV$169,1+SwaptionShift):INDEX($FK$325:$ID$396,GV$169,SwaptionMonthsToGo+SwaptionShift))))))</f>
        <v/>
      </c>
      <c r="GW177" s="150" t="str">
        <f aca="false">IF(OR(GW$169&lt;SwaptionFirstMonthPosition+1,$FJ177&lt;SwaptionFirstMonthPosition+1,GW$169&gt;SwaptionFirstMonthPosition+SwaptionNumOfMonths+1,$FJ177&gt;SwaptionFirstMonthPosition+SwaptionNumOfMonths+1),"",IF($FJ177=GW$169,1,IF($FJ177&lt;GW$169,INDEX($FK$170:$ID$241,GW$169,$FJ177),SUMPRODUCT(INDEX($FK$325:$ID$396,GW$169,1+SwaptionShift):INDEX($FK$325:$ID$396,GW$169,SwaptionMonthsToGo+SwaptionShift),INDEX($FK$245:$ID$316,$FJ177-GW$169,73-GW$169+SwaptionShift):INDEX($FK$245:$ID$316,$FJ177-GW$169,72-GW$169+SwaptionMonthsToGo+SwaptionShift))/SQRT(SUM(INDEX($FK332:$ID332,1+SwaptionShift):INDEX($FK332:$ID332,SwaptionMonthsToGo+SwaptionShift))*SUM(INDEX($FK$325:$ID$396,GW$169,1+SwaptionShift):INDEX($FK$325:$ID$396,GW$169,SwaptionMonthsToGo+SwaptionShift))))))</f>
        <v/>
      </c>
      <c r="GX177" s="150" t="str">
        <f aca="false">IF(OR(GX$169&lt;SwaptionFirstMonthPosition+1,$FJ177&lt;SwaptionFirstMonthPosition+1,GX$169&gt;SwaptionFirstMonthPosition+SwaptionNumOfMonths+1,$FJ177&gt;SwaptionFirstMonthPosition+SwaptionNumOfMonths+1),"",IF($FJ177=GX$169,1,IF($FJ177&lt;GX$169,INDEX($FK$170:$ID$241,GX$169,$FJ177),SUMPRODUCT(INDEX($FK$325:$ID$396,GX$169,1+SwaptionShift):INDEX($FK$325:$ID$396,GX$169,SwaptionMonthsToGo+SwaptionShift),INDEX($FK$245:$ID$316,$FJ177-GX$169,73-GX$169+SwaptionShift):INDEX($FK$245:$ID$316,$FJ177-GX$169,72-GX$169+SwaptionMonthsToGo+SwaptionShift))/SQRT(SUM(INDEX($FK332:$ID332,1+SwaptionShift):INDEX($FK332:$ID332,SwaptionMonthsToGo+SwaptionShift))*SUM(INDEX($FK$325:$ID$396,GX$169,1+SwaptionShift):INDEX($FK$325:$ID$396,GX$169,SwaptionMonthsToGo+SwaptionShift))))))</f>
        <v/>
      </c>
      <c r="GY177" s="150" t="str">
        <f aca="false">IF(OR(GY$169&lt;SwaptionFirstMonthPosition+1,$FJ177&lt;SwaptionFirstMonthPosition+1,GY$169&gt;SwaptionFirstMonthPosition+SwaptionNumOfMonths+1,$FJ177&gt;SwaptionFirstMonthPosition+SwaptionNumOfMonths+1),"",IF($FJ177=GY$169,1,IF($FJ177&lt;GY$169,INDEX($FK$170:$ID$241,GY$169,$FJ177),SUMPRODUCT(INDEX($FK$325:$ID$396,GY$169,1+SwaptionShift):INDEX($FK$325:$ID$396,GY$169,SwaptionMonthsToGo+SwaptionShift),INDEX($FK$245:$ID$316,$FJ177-GY$169,73-GY$169+SwaptionShift):INDEX($FK$245:$ID$316,$FJ177-GY$169,72-GY$169+SwaptionMonthsToGo+SwaptionShift))/SQRT(SUM(INDEX($FK332:$ID332,1+SwaptionShift):INDEX($FK332:$ID332,SwaptionMonthsToGo+SwaptionShift))*SUM(INDEX($FK$325:$ID$396,GY$169,1+SwaptionShift):INDEX($FK$325:$ID$396,GY$169,SwaptionMonthsToGo+SwaptionShift))))))</f>
        <v/>
      </c>
      <c r="GZ177" s="150" t="str">
        <f aca="false">IF(OR(GZ$169&lt;SwaptionFirstMonthPosition+1,$FJ177&lt;SwaptionFirstMonthPosition+1,GZ$169&gt;SwaptionFirstMonthPosition+SwaptionNumOfMonths+1,$FJ177&gt;SwaptionFirstMonthPosition+SwaptionNumOfMonths+1),"",IF($FJ177=GZ$169,1,IF($FJ177&lt;GZ$169,INDEX($FK$170:$ID$241,GZ$169,$FJ177),SUMPRODUCT(INDEX($FK$325:$ID$396,GZ$169,1+SwaptionShift):INDEX($FK$325:$ID$396,GZ$169,SwaptionMonthsToGo+SwaptionShift),INDEX($FK$245:$ID$316,$FJ177-GZ$169,73-GZ$169+SwaptionShift):INDEX($FK$245:$ID$316,$FJ177-GZ$169,72-GZ$169+SwaptionMonthsToGo+SwaptionShift))/SQRT(SUM(INDEX($FK332:$ID332,1+SwaptionShift):INDEX($FK332:$ID332,SwaptionMonthsToGo+SwaptionShift))*SUM(INDEX($FK$325:$ID$396,GZ$169,1+SwaptionShift):INDEX($FK$325:$ID$396,GZ$169,SwaptionMonthsToGo+SwaptionShift))))))</f>
        <v/>
      </c>
      <c r="HA177" s="150" t="str">
        <f aca="false">IF(OR(HA$169&lt;SwaptionFirstMonthPosition+1,$FJ177&lt;SwaptionFirstMonthPosition+1,HA$169&gt;SwaptionFirstMonthPosition+SwaptionNumOfMonths+1,$FJ177&gt;SwaptionFirstMonthPosition+SwaptionNumOfMonths+1),"",IF($FJ177=HA$169,1,IF($FJ177&lt;HA$169,INDEX($FK$170:$ID$241,HA$169,$FJ177),SUMPRODUCT(INDEX($FK$325:$ID$396,HA$169,1+SwaptionShift):INDEX($FK$325:$ID$396,HA$169,SwaptionMonthsToGo+SwaptionShift),INDEX($FK$245:$ID$316,$FJ177-HA$169,73-HA$169+SwaptionShift):INDEX($FK$245:$ID$316,$FJ177-HA$169,72-HA$169+SwaptionMonthsToGo+SwaptionShift))/SQRT(SUM(INDEX($FK332:$ID332,1+SwaptionShift):INDEX($FK332:$ID332,SwaptionMonthsToGo+SwaptionShift))*SUM(INDEX($FK$325:$ID$396,HA$169,1+SwaptionShift):INDEX($FK$325:$ID$396,HA$169,SwaptionMonthsToGo+SwaptionShift))))))</f>
        <v/>
      </c>
      <c r="HB177" s="150" t="str">
        <f aca="false">IF(OR(HB$169&lt;SwaptionFirstMonthPosition+1,$FJ177&lt;SwaptionFirstMonthPosition+1,HB$169&gt;SwaptionFirstMonthPosition+SwaptionNumOfMonths+1,$FJ177&gt;SwaptionFirstMonthPosition+SwaptionNumOfMonths+1),"",IF($FJ177=HB$169,1,IF($FJ177&lt;HB$169,INDEX($FK$170:$ID$241,HB$169,$FJ177),SUMPRODUCT(INDEX($FK$325:$ID$396,HB$169,1+SwaptionShift):INDEX($FK$325:$ID$396,HB$169,SwaptionMonthsToGo+SwaptionShift),INDEX($FK$245:$ID$316,$FJ177-HB$169,73-HB$169+SwaptionShift):INDEX($FK$245:$ID$316,$FJ177-HB$169,72-HB$169+SwaptionMonthsToGo+SwaptionShift))/SQRT(SUM(INDEX($FK332:$ID332,1+SwaptionShift):INDEX($FK332:$ID332,SwaptionMonthsToGo+SwaptionShift))*SUM(INDEX($FK$325:$ID$396,HB$169,1+SwaptionShift):INDEX($FK$325:$ID$396,HB$169,SwaptionMonthsToGo+SwaptionShift))))))</f>
        <v/>
      </c>
      <c r="HC177" s="150" t="str">
        <f aca="false">IF(OR(HC$169&lt;SwaptionFirstMonthPosition+1,$FJ177&lt;SwaptionFirstMonthPosition+1,HC$169&gt;SwaptionFirstMonthPosition+SwaptionNumOfMonths+1,$FJ177&gt;SwaptionFirstMonthPosition+SwaptionNumOfMonths+1),"",IF($FJ177=HC$169,1,IF($FJ177&lt;HC$169,INDEX($FK$170:$ID$241,HC$169,$FJ177),SUMPRODUCT(INDEX($FK$325:$ID$396,HC$169,1+SwaptionShift):INDEX($FK$325:$ID$396,HC$169,SwaptionMonthsToGo+SwaptionShift),INDEX($FK$245:$ID$316,$FJ177-HC$169,73-HC$169+SwaptionShift):INDEX($FK$245:$ID$316,$FJ177-HC$169,72-HC$169+SwaptionMonthsToGo+SwaptionShift))/SQRT(SUM(INDEX($FK332:$ID332,1+SwaptionShift):INDEX($FK332:$ID332,SwaptionMonthsToGo+SwaptionShift))*SUM(INDEX($FK$325:$ID$396,HC$169,1+SwaptionShift):INDEX($FK$325:$ID$396,HC$169,SwaptionMonthsToGo+SwaptionShift))))))</f>
        <v/>
      </c>
      <c r="HD177" s="150" t="str">
        <f aca="false">IF(OR(HD$169&lt;SwaptionFirstMonthPosition+1,$FJ177&lt;SwaptionFirstMonthPosition+1,HD$169&gt;SwaptionFirstMonthPosition+SwaptionNumOfMonths+1,$FJ177&gt;SwaptionFirstMonthPosition+SwaptionNumOfMonths+1),"",IF($FJ177=HD$169,1,IF($FJ177&lt;HD$169,INDEX($FK$170:$ID$241,HD$169,$FJ177),SUMPRODUCT(INDEX($FK$325:$ID$396,HD$169,1+SwaptionShift):INDEX($FK$325:$ID$396,HD$169,SwaptionMonthsToGo+SwaptionShift),INDEX($FK$245:$ID$316,$FJ177-HD$169,73-HD$169+SwaptionShift):INDEX($FK$245:$ID$316,$FJ177-HD$169,72-HD$169+SwaptionMonthsToGo+SwaptionShift))/SQRT(SUM(INDEX($FK332:$ID332,1+SwaptionShift):INDEX($FK332:$ID332,SwaptionMonthsToGo+SwaptionShift))*SUM(INDEX($FK$325:$ID$396,HD$169,1+SwaptionShift):INDEX($FK$325:$ID$396,HD$169,SwaptionMonthsToGo+SwaptionShift))))))</f>
        <v/>
      </c>
      <c r="HE177" s="150" t="str">
        <f aca="false">IF(OR(HE$169&lt;SwaptionFirstMonthPosition+1,$FJ177&lt;SwaptionFirstMonthPosition+1,HE$169&gt;SwaptionFirstMonthPosition+SwaptionNumOfMonths+1,$FJ177&gt;SwaptionFirstMonthPosition+SwaptionNumOfMonths+1),"",IF($FJ177=HE$169,1,IF($FJ177&lt;HE$169,INDEX($FK$170:$ID$241,HE$169,$FJ177),SUMPRODUCT(INDEX($FK$325:$ID$396,HE$169,1+SwaptionShift):INDEX($FK$325:$ID$396,HE$169,SwaptionMonthsToGo+SwaptionShift),INDEX($FK$245:$ID$316,$FJ177-HE$169,73-HE$169+SwaptionShift):INDEX($FK$245:$ID$316,$FJ177-HE$169,72-HE$169+SwaptionMonthsToGo+SwaptionShift))/SQRT(SUM(INDEX($FK332:$ID332,1+SwaptionShift):INDEX($FK332:$ID332,SwaptionMonthsToGo+SwaptionShift))*SUM(INDEX($FK$325:$ID$396,HE$169,1+SwaptionShift):INDEX($FK$325:$ID$396,HE$169,SwaptionMonthsToGo+SwaptionShift))))))</f>
        <v/>
      </c>
      <c r="HF177" s="150" t="str">
        <f aca="false">IF(OR(HF$169&lt;SwaptionFirstMonthPosition+1,$FJ177&lt;SwaptionFirstMonthPosition+1,HF$169&gt;SwaptionFirstMonthPosition+SwaptionNumOfMonths+1,$FJ177&gt;SwaptionFirstMonthPosition+SwaptionNumOfMonths+1),"",IF($FJ177=HF$169,1,IF($FJ177&lt;HF$169,INDEX($FK$170:$ID$241,HF$169,$FJ177),SUMPRODUCT(INDEX($FK$325:$ID$396,HF$169,1+SwaptionShift):INDEX($FK$325:$ID$396,HF$169,SwaptionMonthsToGo+SwaptionShift),INDEX($FK$245:$ID$316,$FJ177-HF$169,73-HF$169+SwaptionShift):INDEX($FK$245:$ID$316,$FJ177-HF$169,72-HF$169+SwaptionMonthsToGo+SwaptionShift))/SQRT(SUM(INDEX($FK332:$ID332,1+SwaptionShift):INDEX($FK332:$ID332,SwaptionMonthsToGo+SwaptionShift))*SUM(INDEX($FK$325:$ID$396,HF$169,1+SwaptionShift):INDEX($FK$325:$ID$396,HF$169,SwaptionMonthsToGo+SwaptionShift))))))</f>
        <v/>
      </c>
      <c r="HG177" s="150" t="str">
        <f aca="false">IF(OR(HG$169&lt;SwaptionFirstMonthPosition+1,$FJ177&lt;SwaptionFirstMonthPosition+1,HG$169&gt;SwaptionFirstMonthPosition+SwaptionNumOfMonths+1,$FJ177&gt;SwaptionFirstMonthPosition+SwaptionNumOfMonths+1),"",IF($FJ177=HG$169,1,IF($FJ177&lt;HG$169,INDEX($FK$170:$ID$241,HG$169,$FJ177),SUMPRODUCT(INDEX($FK$325:$ID$396,HG$169,1+SwaptionShift):INDEX($FK$325:$ID$396,HG$169,SwaptionMonthsToGo+SwaptionShift),INDEX($FK$245:$ID$316,$FJ177-HG$169,73-HG$169+SwaptionShift):INDEX($FK$245:$ID$316,$FJ177-HG$169,72-HG$169+SwaptionMonthsToGo+SwaptionShift))/SQRT(SUM(INDEX($FK332:$ID332,1+SwaptionShift):INDEX($FK332:$ID332,SwaptionMonthsToGo+SwaptionShift))*SUM(INDEX($FK$325:$ID$396,HG$169,1+SwaptionShift):INDEX($FK$325:$ID$396,HG$169,SwaptionMonthsToGo+SwaptionShift))))))</f>
        <v/>
      </c>
      <c r="HH177" s="150" t="str">
        <f aca="false">IF(OR(HH$169&lt;SwaptionFirstMonthPosition+1,$FJ177&lt;SwaptionFirstMonthPosition+1,HH$169&gt;SwaptionFirstMonthPosition+SwaptionNumOfMonths+1,$FJ177&gt;SwaptionFirstMonthPosition+SwaptionNumOfMonths+1),"",IF($FJ177=HH$169,1,IF($FJ177&lt;HH$169,INDEX($FK$170:$ID$241,HH$169,$FJ177),SUMPRODUCT(INDEX($FK$325:$ID$396,HH$169,1+SwaptionShift):INDEX($FK$325:$ID$396,HH$169,SwaptionMonthsToGo+SwaptionShift),INDEX($FK$245:$ID$316,$FJ177-HH$169,73-HH$169+SwaptionShift):INDEX($FK$245:$ID$316,$FJ177-HH$169,72-HH$169+SwaptionMonthsToGo+SwaptionShift))/SQRT(SUM(INDEX($FK332:$ID332,1+SwaptionShift):INDEX($FK332:$ID332,SwaptionMonthsToGo+SwaptionShift))*SUM(INDEX($FK$325:$ID$396,HH$169,1+SwaptionShift):INDEX($FK$325:$ID$396,HH$169,SwaptionMonthsToGo+SwaptionShift))))))</f>
        <v/>
      </c>
      <c r="HI177" s="150" t="str">
        <f aca="false">IF(OR(HI$169&lt;SwaptionFirstMonthPosition+1,$FJ177&lt;SwaptionFirstMonthPosition+1,HI$169&gt;SwaptionFirstMonthPosition+SwaptionNumOfMonths+1,$FJ177&gt;SwaptionFirstMonthPosition+SwaptionNumOfMonths+1),"",IF($FJ177=HI$169,1,IF($FJ177&lt;HI$169,INDEX($FK$170:$ID$241,HI$169,$FJ177),SUMPRODUCT(INDEX($FK$325:$ID$396,HI$169,1+SwaptionShift):INDEX($FK$325:$ID$396,HI$169,SwaptionMonthsToGo+SwaptionShift),INDEX($FK$245:$ID$316,$FJ177-HI$169,73-HI$169+SwaptionShift):INDEX($FK$245:$ID$316,$FJ177-HI$169,72-HI$169+SwaptionMonthsToGo+SwaptionShift))/SQRT(SUM(INDEX($FK332:$ID332,1+SwaptionShift):INDEX($FK332:$ID332,SwaptionMonthsToGo+SwaptionShift))*SUM(INDEX($FK$325:$ID$396,HI$169,1+SwaptionShift):INDEX($FK$325:$ID$396,HI$169,SwaptionMonthsToGo+SwaptionShift))))))</f>
        <v/>
      </c>
      <c r="HJ177" s="150" t="str">
        <f aca="false">IF(OR(HJ$169&lt;SwaptionFirstMonthPosition+1,$FJ177&lt;SwaptionFirstMonthPosition+1,HJ$169&gt;SwaptionFirstMonthPosition+SwaptionNumOfMonths+1,$FJ177&gt;SwaptionFirstMonthPosition+SwaptionNumOfMonths+1),"",IF($FJ177=HJ$169,1,IF($FJ177&lt;HJ$169,INDEX($FK$170:$ID$241,HJ$169,$FJ177),SUMPRODUCT(INDEX($FK$325:$ID$396,HJ$169,1+SwaptionShift):INDEX($FK$325:$ID$396,HJ$169,SwaptionMonthsToGo+SwaptionShift),INDEX($FK$245:$ID$316,$FJ177-HJ$169,73-HJ$169+SwaptionShift):INDEX($FK$245:$ID$316,$FJ177-HJ$169,72-HJ$169+SwaptionMonthsToGo+SwaptionShift))/SQRT(SUM(INDEX($FK332:$ID332,1+SwaptionShift):INDEX($FK332:$ID332,SwaptionMonthsToGo+SwaptionShift))*SUM(INDEX($FK$325:$ID$396,HJ$169,1+SwaptionShift):INDEX($FK$325:$ID$396,HJ$169,SwaptionMonthsToGo+SwaptionShift))))))</f>
        <v/>
      </c>
      <c r="HK177" s="150" t="str">
        <f aca="false">IF(OR(HK$169&lt;SwaptionFirstMonthPosition+1,$FJ177&lt;SwaptionFirstMonthPosition+1,HK$169&gt;SwaptionFirstMonthPosition+SwaptionNumOfMonths+1,$FJ177&gt;SwaptionFirstMonthPosition+SwaptionNumOfMonths+1),"",IF($FJ177=HK$169,1,IF($FJ177&lt;HK$169,INDEX($FK$170:$ID$241,HK$169,$FJ177),SUMPRODUCT(INDEX($FK$325:$ID$396,HK$169,1+SwaptionShift):INDEX($FK$325:$ID$396,HK$169,SwaptionMonthsToGo+SwaptionShift),INDEX($FK$245:$ID$316,$FJ177-HK$169,73-HK$169+SwaptionShift):INDEX($FK$245:$ID$316,$FJ177-HK$169,72-HK$169+SwaptionMonthsToGo+SwaptionShift))/SQRT(SUM(INDEX($FK332:$ID332,1+SwaptionShift):INDEX($FK332:$ID332,SwaptionMonthsToGo+SwaptionShift))*SUM(INDEX($FK$325:$ID$396,HK$169,1+SwaptionShift):INDEX($FK$325:$ID$396,HK$169,SwaptionMonthsToGo+SwaptionShift))))))</f>
        <v/>
      </c>
      <c r="HL177" s="150" t="str">
        <f aca="false">IF(OR(HL$169&lt;SwaptionFirstMonthPosition+1,$FJ177&lt;SwaptionFirstMonthPosition+1,HL$169&gt;SwaptionFirstMonthPosition+SwaptionNumOfMonths+1,$FJ177&gt;SwaptionFirstMonthPosition+SwaptionNumOfMonths+1),"",IF($FJ177=HL$169,1,IF($FJ177&lt;HL$169,INDEX($FK$170:$ID$241,HL$169,$FJ177),SUMPRODUCT(INDEX($FK$325:$ID$396,HL$169,1+SwaptionShift):INDEX($FK$325:$ID$396,HL$169,SwaptionMonthsToGo+SwaptionShift),INDEX($FK$245:$ID$316,$FJ177-HL$169,73-HL$169+SwaptionShift):INDEX($FK$245:$ID$316,$FJ177-HL$169,72-HL$169+SwaptionMonthsToGo+SwaptionShift))/SQRT(SUM(INDEX($FK332:$ID332,1+SwaptionShift):INDEX($FK332:$ID332,SwaptionMonthsToGo+SwaptionShift))*SUM(INDEX($FK$325:$ID$396,HL$169,1+SwaptionShift):INDEX($FK$325:$ID$396,HL$169,SwaptionMonthsToGo+SwaptionShift))))))</f>
        <v/>
      </c>
      <c r="HM177" s="150" t="str">
        <f aca="false">IF(OR(HM$169&lt;SwaptionFirstMonthPosition+1,$FJ177&lt;SwaptionFirstMonthPosition+1,HM$169&gt;SwaptionFirstMonthPosition+SwaptionNumOfMonths+1,$FJ177&gt;SwaptionFirstMonthPosition+SwaptionNumOfMonths+1),"",IF($FJ177=HM$169,1,IF($FJ177&lt;HM$169,INDEX($FK$170:$ID$241,HM$169,$FJ177),SUMPRODUCT(INDEX($FK$325:$ID$396,HM$169,1+SwaptionShift):INDEX($FK$325:$ID$396,HM$169,SwaptionMonthsToGo+SwaptionShift),INDEX($FK$245:$ID$316,$FJ177-HM$169,73-HM$169+SwaptionShift):INDEX($FK$245:$ID$316,$FJ177-HM$169,72-HM$169+SwaptionMonthsToGo+SwaptionShift))/SQRT(SUM(INDEX($FK332:$ID332,1+SwaptionShift):INDEX($FK332:$ID332,SwaptionMonthsToGo+SwaptionShift))*SUM(INDEX($FK$325:$ID$396,HM$169,1+SwaptionShift):INDEX($FK$325:$ID$396,HM$169,SwaptionMonthsToGo+SwaptionShift))))))</f>
        <v/>
      </c>
      <c r="HN177" s="150" t="str">
        <f aca="false">IF(OR(HN$169&lt;SwaptionFirstMonthPosition+1,$FJ177&lt;SwaptionFirstMonthPosition+1,HN$169&gt;SwaptionFirstMonthPosition+SwaptionNumOfMonths+1,$FJ177&gt;SwaptionFirstMonthPosition+SwaptionNumOfMonths+1),"",IF($FJ177=HN$169,1,IF($FJ177&lt;HN$169,INDEX($FK$170:$ID$241,HN$169,$FJ177),SUMPRODUCT(INDEX($FK$325:$ID$396,HN$169,1+SwaptionShift):INDEX($FK$325:$ID$396,HN$169,SwaptionMonthsToGo+SwaptionShift),INDEX($FK$245:$ID$316,$FJ177-HN$169,73-HN$169+SwaptionShift):INDEX($FK$245:$ID$316,$FJ177-HN$169,72-HN$169+SwaptionMonthsToGo+SwaptionShift))/SQRT(SUM(INDEX($FK332:$ID332,1+SwaptionShift):INDEX($FK332:$ID332,SwaptionMonthsToGo+SwaptionShift))*SUM(INDEX($FK$325:$ID$396,HN$169,1+SwaptionShift):INDEX($FK$325:$ID$396,HN$169,SwaptionMonthsToGo+SwaptionShift))))))</f>
        <v/>
      </c>
      <c r="HO177" s="150" t="str">
        <f aca="false">IF(OR(HO$169&lt;SwaptionFirstMonthPosition+1,$FJ177&lt;SwaptionFirstMonthPosition+1,HO$169&gt;SwaptionFirstMonthPosition+SwaptionNumOfMonths+1,$FJ177&gt;SwaptionFirstMonthPosition+SwaptionNumOfMonths+1),"",IF($FJ177=HO$169,1,IF($FJ177&lt;HO$169,INDEX($FK$170:$ID$241,HO$169,$FJ177),SUMPRODUCT(INDEX($FK$325:$ID$396,HO$169,1+SwaptionShift):INDEX($FK$325:$ID$396,HO$169,SwaptionMonthsToGo+SwaptionShift),INDEX($FK$245:$ID$316,$FJ177-HO$169,73-HO$169+SwaptionShift):INDEX($FK$245:$ID$316,$FJ177-HO$169,72-HO$169+SwaptionMonthsToGo+SwaptionShift))/SQRT(SUM(INDEX($FK332:$ID332,1+SwaptionShift):INDEX($FK332:$ID332,SwaptionMonthsToGo+SwaptionShift))*SUM(INDEX($FK$325:$ID$396,HO$169,1+SwaptionShift):INDEX($FK$325:$ID$396,HO$169,SwaptionMonthsToGo+SwaptionShift))))))</f>
        <v/>
      </c>
      <c r="HP177" s="150" t="str">
        <f aca="false">IF(OR(HP$169&lt;SwaptionFirstMonthPosition+1,$FJ177&lt;SwaptionFirstMonthPosition+1,HP$169&gt;SwaptionFirstMonthPosition+SwaptionNumOfMonths+1,$FJ177&gt;SwaptionFirstMonthPosition+SwaptionNumOfMonths+1),"",IF($FJ177=HP$169,1,IF($FJ177&lt;HP$169,INDEX($FK$170:$ID$241,HP$169,$FJ177),SUMPRODUCT(INDEX($FK$325:$ID$396,HP$169,1+SwaptionShift):INDEX($FK$325:$ID$396,HP$169,SwaptionMonthsToGo+SwaptionShift),INDEX($FK$245:$ID$316,$FJ177-HP$169,73-HP$169+SwaptionShift):INDEX($FK$245:$ID$316,$FJ177-HP$169,72-HP$169+SwaptionMonthsToGo+SwaptionShift))/SQRT(SUM(INDEX($FK332:$ID332,1+SwaptionShift):INDEX($FK332:$ID332,SwaptionMonthsToGo+SwaptionShift))*SUM(INDEX($FK$325:$ID$396,HP$169,1+SwaptionShift):INDEX($FK$325:$ID$396,HP$169,SwaptionMonthsToGo+SwaptionShift))))))</f>
        <v/>
      </c>
      <c r="HQ177" s="150" t="str">
        <f aca="false">IF(OR(HQ$169&lt;SwaptionFirstMonthPosition+1,$FJ177&lt;SwaptionFirstMonthPosition+1,HQ$169&gt;SwaptionFirstMonthPosition+SwaptionNumOfMonths+1,$FJ177&gt;SwaptionFirstMonthPosition+SwaptionNumOfMonths+1),"",IF($FJ177=HQ$169,1,IF($FJ177&lt;HQ$169,INDEX($FK$170:$ID$241,HQ$169,$FJ177),SUMPRODUCT(INDEX($FK$325:$ID$396,HQ$169,1+SwaptionShift):INDEX($FK$325:$ID$396,HQ$169,SwaptionMonthsToGo+SwaptionShift),INDEX($FK$245:$ID$316,$FJ177-HQ$169,73-HQ$169+SwaptionShift):INDEX($FK$245:$ID$316,$FJ177-HQ$169,72-HQ$169+SwaptionMonthsToGo+SwaptionShift))/SQRT(SUM(INDEX($FK332:$ID332,1+SwaptionShift):INDEX($FK332:$ID332,SwaptionMonthsToGo+SwaptionShift))*SUM(INDEX($FK$325:$ID$396,HQ$169,1+SwaptionShift):INDEX($FK$325:$ID$396,HQ$169,SwaptionMonthsToGo+SwaptionShift))))))</f>
        <v/>
      </c>
      <c r="HR177" s="150" t="str">
        <f aca="false">IF(OR(HR$169&lt;SwaptionFirstMonthPosition+1,$FJ177&lt;SwaptionFirstMonthPosition+1,HR$169&gt;SwaptionFirstMonthPosition+SwaptionNumOfMonths+1,$FJ177&gt;SwaptionFirstMonthPosition+SwaptionNumOfMonths+1),"",IF($FJ177=HR$169,1,IF($FJ177&lt;HR$169,INDEX($FK$170:$ID$241,HR$169,$FJ177),SUMPRODUCT(INDEX($FK$325:$ID$396,HR$169,1+SwaptionShift):INDEX($FK$325:$ID$396,HR$169,SwaptionMonthsToGo+SwaptionShift),INDEX($FK$245:$ID$316,$FJ177-HR$169,73-HR$169+SwaptionShift):INDEX($FK$245:$ID$316,$FJ177-HR$169,72-HR$169+SwaptionMonthsToGo+SwaptionShift))/SQRT(SUM(INDEX($FK332:$ID332,1+SwaptionShift):INDEX($FK332:$ID332,SwaptionMonthsToGo+SwaptionShift))*SUM(INDEX($FK$325:$ID$396,HR$169,1+SwaptionShift):INDEX($FK$325:$ID$396,HR$169,SwaptionMonthsToGo+SwaptionShift))))))</f>
        <v/>
      </c>
      <c r="HS177" s="150" t="str">
        <f aca="false">IF(OR(HS$169&lt;SwaptionFirstMonthPosition+1,$FJ177&lt;SwaptionFirstMonthPosition+1,HS$169&gt;SwaptionFirstMonthPosition+SwaptionNumOfMonths+1,$FJ177&gt;SwaptionFirstMonthPosition+SwaptionNumOfMonths+1),"",IF($FJ177=HS$169,1,IF($FJ177&lt;HS$169,INDEX($FK$170:$ID$241,HS$169,$FJ177),SUMPRODUCT(INDEX($FK$325:$ID$396,HS$169,1+SwaptionShift):INDEX($FK$325:$ID$396,HS$169,SwaptionMonthsToGo+SwaptionShift),INDEX($FK$245:$ID$316,$FJ177-HS$169,73-HS$169+SwaptionShift):INDEX($FK$245:$ID$316,$FJ177-HS$169,72-HS$169+SwaptionMonthsToGo+SwaptionShift))/SQRT(SUM(INDEX($FK332:$ID332,1+SwaptionShift):INDEX($FK332:$ID332,SwaptionMonthsToGo+SwaptionShift))*SUM(INDEX($FK$325:$ID$396,HS$169,1+SwaptionShift):INDEX($FK$325:$ID$396,HS$169,SwaptionMonthsToGo+SwaptionShift))))))</f>
        <v/>
      </c>
      <c r="HT177" s="150" t="str">
        <f aca="false">IF(OR(HT$169&lt;SwaptionFirstMonthPosition+1,$FJ177&lt;SwaptionFirstMonthPosition+1,HT$169&gt;SwaptionFirstMonthPosition+SwaptionNumOfMonths+1,$FJ177&gt;SwaptionFirstMonthPosition+SwaptionNumOfMonths+1),"",IF($FJ177=HT$169,1,IF($FJ177&lt;HT$169,INDEX($FK$170:$ID$241,HT$169,$FJ177),SUMPRODUCT(INDEX($FK$325:$ID$396,HT$169,1+SwaptionShift):INDEX($FK$325:$ID$396,HT$169,SwaptionMonthsToGo+SwaptionShift),INDEX($FK$245:$ID$316,$FJ177-HT$169,73-HT$169+SwaptionShift):INDEX($FK$245:$ID$316,$FJ177-HT$169,72-HT$169+SwaptionMonthsToGo+SwaptionShift))/SQRT(SUM(INDEX($FK332:$ID332,1+SwaptionShift):INDEX($FK332:$ID332,SwaptionMonthsToGo+SwaptionShift))*SUM(INDEX($FK$325:$ID$396,HT$169,1+SwaptionShift):INDEX($FK$325:$ID$396,HT$169,SwaptionMonthsToGo+SwaptionShift))))))</f>
        <v/>
      </c>
      <c r="HU177" s="150" t="str">
        <f aca="false">IF(OR(HU$169&lt;SwaptionFirstMonthPosition+1,$FJ177&lt;SwaptionFirstMonthPosition+1,HU$169&gt;SwaptionFirstMonthPosition+SwaptionNumOfMonths+1,$FJ177&gt;SwaptionFirstMonthPosition+SwaptionNumOfMonths+1),"",IF($FJ177=HU$169,1,IF($FJ177&lt;HU$169,INDEX($FK$170:$ID$241,HU$169,$FJ177),SUMPRODUCT(INDEX($FK$325:$ID$396,HU$169,1+SwaptionShift):INDEX($FK$325:$ID$396,HU$169,SwaptionMonthsToGo+SwaptionShift),INDEX($FK$245:$ID$316,$FJ177-HU$169,73-HU$169+SwaptionShift):INDEX($FK$245:$ID$316,$FJ177-HU$169,72-HU$169+SwaptionMonthsToGo+SwaptionShift))/SQRT(SUM(INDEX($FK332:$ID332,1+SwaptionShift):INDEX($FK332:$ID332,SwaptionMonthsToGo+SwaptionShift))*SUM(INDEX($FK$325:$ID$396,HU$169,1+SwaptionShift):INDEX($FK$325:$ID$396,HU$169,SwaptionMonthsToGo+SwaptionShift))))))</f>
        <v/>
      </c>
      <c r="HV177" s="150" t="str">
        <f aca="false">IF(OR(HV$169&lt;SwaptionFirstMonthPosition+1,$FJ177&lt;SwaptionFirstMonthPosition+1,HV$169&gt;SwaptionFirstMonthPosition+SwaptionNumOfMonths+1,$FJ177&gt;SwaptionFirstMonthPosition+SwaptionNumOfMonths+1),"",IF($FJ177=HV$169,1,IF($FJ177&lt;HV$169,INDEX($FK$170:$ID$241,HV$169,$FJ177),SUMPRODUCT(INDEX($FK$325:$ID$396,HV$169,1+SwaptionShift):INDEX($FK$325:$ID$396,HV$169,SwaptionMonthsToGo+SwaptionShift),INDEX($FK$245:$ID$316,$FJ177-HV$169,73-HV$169+SwaptionShift):INDEX($FK$245:$ID$316,$FJ177-HV$169,72-HV$169+SwaptionMonthsToGo+SwaptionShift))/SQRT(SUM(INDEX($FK332:$ID332,1+SwaptionShift):INDEX($FK332:$ID332,SwaptionMonthsToGo+SwaptionShift))*SUM(INDEX($FK$325:$ID$396,HV$169,1+SwaptionShift):INDEX($FK$325:$ID$396,HV$169,SwaptionMonthsToGo+SwaptionShift))))))</f>
        <v/>
      </c>
      <c r="HW177" s="150" t="str">
        <f aca="false">IF(OR(HW$169&lt;SwaptionFirstMonthPosition+1,$FJ177&lt;SwaptionFirstMonthPosition+1,HW$169&gt;SwaptionFirstMonthPosition+SwaptionNumOfMonths+1,$FJ177&gt;SwaptionFirstMonthPosition+SwaptionNumOfMonths+1),"",IF($FJ177=HW$169,1,IF($FJ177&lt;HW$169,INDEX($FK$170:$ID$241,HW$169,$FJ177),SUMPRODUCT(INDEX($FK$325:$ID$396,HW$169,1+SwaptionShift):INDEX($FK$325:$ID$396,HW$169,SwaptionMonthsToGo+SwaptionShift),INDEX($FK$245:$ID$316,$FJ177-HW$169,73-HW$169+SwaptionShift):INDEX($FK$245:$ID$316,$FJ177-HW$169,72-HW$169+SwaptionMonthsToGo+SwaptionShift))/SQRT(SUM(INDEX($FK332:$ID332,1+SwaptionShift):INDEX($FK332:$ID332,SwaptionMonthsToGo+SwaptionShift))*SUM(INDEX($FK$325:$ID$396,HW$169,1+SwaptionShift):INDEX($FK$325:$ID$396,HW$169,SwaptionMonthsToGo+SwaptionShift))))))</f>
        <v/>
      </c>
      <c r="HX177" s="150" t="str">
        <f aca="false">IF(OR(HX$169&lt;SwaptionFirstMonthPosition+1,$FJ177&lt;SwaptionFirstMonthPosition+1,HX$169&gt;SwaptionFirstMonthPosition+SwaptionNumOfMonths+1,$FJ177&gt;SwaptionFirstMonthPosition+SwaptionNumOfMonths+1),"",IF($FJ177=HX$169,1,IF($FJ177&lt;HX$169,INDEX($FK$170:$ID$241,HX$169,$FJ177),SUMPRODUCT(INDEX($FK$325:$ID$396,HX$169,1+SwaptionShift):INDEX($FK$325:$ID$396,HX$169,SwaptionMonthsToGo+SwaptionShift),INDEX($FK$245:$ID$316,$FJ177-HX$169,73-HX$169+SwaptionShift):INDEX($FK$245:$ID$316,$FJ177-HX$169,72-HX$169+SwaptionMonthsToGo+SwaptionShift))/SQRT(SUM(INDEX($FK332:$ID332,1+SwaptionShift):INDEX($FK332:$ID332,SwaptionMonthsToGo+SwaptionShift))*SUM(INDEX($FK$325:$ID$396,HX$169,1+SwaptionShift):INDEX($FK$325:$ID$396,HX$169,SwaptionMonthsToGo+SwaptionShift))))))</f>
        <v/>
      </c>
      <c r="HY177" s="150" t="str">
        <f aca="false">IF(OR(HY$169&lt;SwaptionFirstMonthPosition+1,$FJ177&lt;SwaptionFirstMonthPosition+1,HY$169&gt;SwaptionFirstMonthPosition+SwaptionNumOfMonths+1,$FJ177&gt;SwaptionFirstMonthPosition+SwaptionNumOfMonths+1),"",IF($FJ177=HY$169,1,IF($FJ177&lt;HY$169,INDEX($FK$170:$ID$241,HY$169,$FJ177),SUMPRODUCT(INDEX($FK$325:$ID$396,HY$169,1+SwaptionShift):INDEX($FK$325:$ID$396,HY$169,SwaptionMonthsToGo+SwaptionShift),INDEX($FK$245:$ID$316,$FJ177-HY$169,73-HY$169+SwaptionShift):INDEX($FK$245:$ID$316,$FJ177-HY$169,72-HY$169+SwaptionMonthsToGo+SwaptionShift))/SQRT(SUM(INDEX($FK332:$ID332,1+SwaptionShift):INDEX($FK332:$ID332,SwaptionMonthsToGo+SwaptionShift))*SUM(INDEX($FK$325:$ID$396,HY$169,1+SwaptionShift):INDEX($FK$325:$ID$396,HY$169,SwaptionMonthsToGo+SwaptionShift))))))</f>
        <v/>
      </c>
      <c r="HZ177" s="150" t="str">
        <f aca="false">IF(OR(HZ$169&lt;SwaptionFirstMonthPosition+1,$FJ177&lt;SwaptionFirstMonthPosition+1,HZ$169&gt;SwaptionFirstMonthPosition+SwaptionNumOfMonths+1,$FJ177&gt;SwaptionFirstMonthPosition+SwaptionNumOfMonths+1),"",IF($FJ177=HZ$169,1,IF($FJ177&lt;HZ$169,INDEX($FK$170:$ID$241,HZ$169,$FJ177),SUMPRODUCT(INDEX($FK$325:$ID$396,HZ$169,1+SwaptionShift):INDEX($FK$325:$ID$396,HZ$169,SwaptionMonthsToGo+SwaptionShift),INDEX($FK$245:$ID$316,$FJ177-HZ$169,73-HZ$169+SwaptionShift):INDEX($FK$245:$ID$316,$FJ177-HZ$169,72-HZ$169+SwaptionMonthsToGo+SwaptionShift))/SQRT(SUM(INDEX($FK332:$ID332,1+SwaptionShift):INDEX($FK332:$ID332,SwaptionMonthsToGo+SwaptionShift))*SUM(INDEX($FK$325:$ID$396,HZ$169,1+SwaptionShift):INDEX($FK$325:$ID$396,HZ$169,SwaptionMonthsToGo+SwaptionShift))))))</f>
        <v/>
      </c>
      <c r="IA177" s="150" t="str">
        <f aca="false">IF(OR(IA$169&lt;SwaptionFirstMonthPosition+1,$FJ177&lt;SwaptionFirstMonthPosition+1,IA$169&gt;SwaptionFirstMonthPosition+SwaptionNumOfMonths+1,$FJ177&gt;SwaptionFirstMonthPosition+SwaptionNumOfMonths+1),"",IF($FJ177=IA$169,1,IF($FJ177&lt;IA$169,INDEX($FK$170:$ID$241,IA$169,$FJ177),SUMPRODUCT(INDEX($FK$325:$ID$396,IA$169,1+SwaptionShift):INDEX($FK$325:$ID$396,IA$169,SwaptionMonthsToGo+SwaptionShift),INDEX($FK$245:$ID$316,$FJ177-IA$169,73-IA$169+SwaptionShift):INDEX($FK$245:$ID$316,$FJ177-IA$169,72-IA$169+SwaptionMonthsToGo+SwaptionShift))/SQRT(SUM(INDEX($FK332:$ID332,1+SwaptionShift):INDEX($FK332:$ID332,SwaptionMonthsToGo+SwaptionShift))*SUM(INDEX($FK$325:$ID$396,IA$169,1+SwaptionShift):INDEX($FK$325:$ID$396,IA$169,SwaptionMonthsToGo+SwaptionShift))))))</f>
        <v/>
      </c>
      <c r="IB177" s="150" t="str">
        <f aca="false">IF(OR(IB$169&lt;SwaptionFirstMonthPosition+1,$FJ177&lt;SwaptionFirstMonthPosition+1,IB$169&gt;SwaptionFirstMonthPosition+SwaptionNumOfMonths+1,$FJ177&gt;SwaptionFirstMonthPosition+SwaptionNumOfMonths+1),"",IF($FJ177=IB$169,1,IF($FJ177&lt;IB$169,INDEX($FK$170:$ID$241,IB$169,$FJ177),SUMPRODUCT(INDEX($FK$325:$ID$396,IB$169,1+SwaptionShift):INDEX($FK$325:$ID$396,IB$169,SwaptionMonthsToGo+SwaptionShift),INDEX($FK$245:$ID$316,$FJ177-IB$169,73-IB$169+SwaptionShift):INDEX($FK$245:$ID$316,$FJ177-IB$169,72-IB$169+SwaptionMonthsToGo+SwaptionShift))/SQRT(SUM(INDEX($FK332:$ID332,1+SwaptionShift):INDEX($FK332:$ID332,SwaptionMonthsToGo+SwaptionShift))*SUM(INDEX($FK$325:$ID$396,IB$169,1+SwaptionShift):INDEX($FK$325:$ID$396,IB$169,SwaptionMonthsToGo+SwaptionShift))))))</f>
        <v/>
      </c>
      <c r="IC177" s="150" t="str">
        <f aca="false">IF(OR(IC$169&lt;SwaptionFirstMonthPosition+1,$FJ177&lt;SwaptionFirstMonthPosition+1,IC$169&gt;SwaptionFirstMonthPosition+SwaptionNumOfMonths+1,$FJ177&gt;SwaptionFirstMonthPosition+SwaptionNumOfMonths+1),"",IF($FJ177=IC$169,1,IF($FJ177&lt;IC$169,INDEX($FK$170:$ID$241,IC$169,$FJ177),SUMPRODUCT(INDEX($FK$325:$ID$396,IC$169,1+SwaptionShift):INDEX($FK$325:$ID$396,IC$169,SwaptionMonthsToGo+SwaptionShift),INDEX($FK$245:$ID$316,$FJ177-IC$169,73-IC$169+SwaptionShift):INDEX($FK$245:$ID$316,$FJ177-IC$169,72-IC$169+SwaptionMonthsToGo+SwaptionShift))/SQRT(SUM(INDEX($FK332:$ID332,1+SwaptionShift):INDEX($FK332:$ID332,SwaptionMonthsToGo+SwaptionShift))*SUM(INDEX($FK$325:$ID$396,IC$169,1+SwaptionShift):INDEX($FK$325:$ID$396,IC$169,SwaptionMonthsToGo+SwaptionShift))))))</f>
        <v/>
      </c>
      <c r="ID177" s="572" t="str">
        <f aca="false">IF(OR(ID$169&lt;SwaptionFirstMonthPosition+1,$FJ177&lt;SwaptionFirstMonthPosition+1,ID$169&gt;SwaptionFirstMonthPosition+SwaptionNumOfMonths+1,$FJ177&gt;SwaptionFirstMonthPosition+SwaptionNumOfMonths+1),"",IF($FJ177=ID$169,1,IF($FJ177&lt;ID$169,INDEX($FK$170:$ID$241,ID$169,$FJ177),SUMPRODUCT(INDEX($FK$325:$ID$396,ID$169,1+SwaptionShift):INDEX($FK$325:$ID$396,ID$169,SwaptionMonthsToGo+SwaptionShift),INDEX($FK$245:$ID$316,$FJ177-ID$169,73-ID$169+SwaptionShift):INDEX($FK$245:$ID$316,$FJ177-ID$169,72-ID$169+SwaptionMonthsToGo+SwaptionShift))/SQRT(SUM(INDEX($FK332:$ID332,1+SwaptionShift):INDEX($FK332:$ID332,SwaptionMonthsToGo+SwaptionShift))*SUM(INDEX($FK$325:$ID$396,ID$169,1+SwaptionShift):INDEX($FK$325:$ID$396,ID$169,SwaptionMonthsToGo+SwaptionShift))))))</f>
        <v/>
      </c>
      <c r="IE177" s="129"/>
    </row>
    <row r="178" customFormat="false" ht="12.75" hidden="false" customHeight="false" outlineLevel="0" collapsed="false">
      <c r="H178" s="219" t="n">
        <f aca="false">VLOOKUP(I178,$EJ$20:$EL$54,3)</f>
        <v>0</v>
      </c>
      <c r="I178" s="511" t="n">
        <f aca="false">EOMONTH(I177,0)+1</f>
        <v>41579</v>
      </c>
      <c r="J178" s="512"/>
      <c r="K178" s="513" t="s">
        <v>280</v>
      </c>
      <c r="L178" s="514" t="n">
        <f aca="false">IF(ISNUMBER(K178),J178+K178/100,IF(K178="extra",L177+VLOOKUP(BF178,PriceSpreadTable,2)/12,IF(K178="inter",interpolateprices($K$19:$L$200,ROW(K178)-ROW(FirstPricingMonth)+1),interpolatechanges($J$19:$K$200,ROW(K178)-ROW(FirstPricingMonth)+1))))</f>
        <v>3.075</v>
      </c>
      <c r="M178" s="515"/>
      <c r="N178" s="516" t="n">
        <v>0</v>
      </c>
      <c r="O178" s="515" t="n">
        <f aca="false">M178+N178</f>
        <v>0</v>
      </c>
      <c r="P178" s="512"/>
      <c r="Q178" s="513" t="s">
        <v>280</v>
      </c>
      <c r="R178" s="512" t="e">
        <f aca="false">IF(ISNUMBER(Q178),P178+Q178/100,IF(Q178="extra",(Z176*AL176-R177*AM176)/AN176,IF(Q178="inter",interpolateprices($Q$19:$R$260,ROW(Q178)-ROW(FirstPricingMonth)+1),interpolatechanges($P$19:$Q$260,ROW(Q178)-ROW(FirstPricingMonth)+1))))</f>
        <v>#VALUE!</v>
      </c>
      <c r="S178" s="597" t="n">
        <f aca="false">S$19+(S177-S$19)*S$18</f>
        <v>0.36</v>
      </c>
      <c r="T178" s="575" t="n">
        <f aca="false">SQRT((1-(1-T177^2/U177)*T$18)*U178)</f>
        <v>0.999999999997999</v>
      </c>
      <c r="U178" s="576" t="n">
        <f aca="false">1-(1-U177)*U$18</f>
        <v>1</v>
      </c>
      <c r="V178" s="521" t="n">
        <v>0</v>
      </c>
      <c r="W178" s="577" t="n">
        <f aca="false">(J179*AJ178+J180*AK178)/AI178</f>
        <v>0</v>
      </c>
      <c r="X178" s="578" t="n">
        <f aca="false">(L179*AJ178+L180*AK178)/AI178</f>
        <v>3.12500000000001</v>
      </c>
      <c r="Y178" s="579" t="n">
        <f aca="false">IF(Q180="extra",W178-AA178,(P179*AM178+P180*AN178)/AL178)</f>
        <v>-1.1931</v>
      </c>
      <c r="Z178" s="579" t="n">
        <f aca="false">IF(Q180="extra",X178-AB178,(R179*AM178+R180*AN178)/AL178)</f>
        <v>1.9319</v>
      </c>
      <c r="AA178" s="523" t="n">
        <f aca="false">IF(Q180="extra",INDEX(BrentSeasonalityTable,INT((BG178-1)/3)+1)*VLOOKUP(MAX(BF178,$AB$4),PriceSpreadTable,3),W178-Y178)</f>
        <v>1.1931</v>
      </c>
      <c r="AB178" s="524" t="n">
        <f aca="false">IF(Q180="extra",INDEX(BrentSeasonalityTable,INT((BG178-1)/3)+1)*VLOOKUP(MAX(BF178,$AB$4),PriceSpreadTable,3),X178-Z178)</f>
        <v>1.1931</v>
      </c>
      <c r="AC178" s="646" t="n">
        <v>41567</v>
      </c>
      <c r="AD178" s="646" t="n">
        <v>41563</v>
      </c>
      <c r="AE178" s="646" t="n">
        <v>41562</v>
      </c>
      <c r="AF178" s="646" t="n">
        <v>41558</v>
      </c>
      <c r="AG178" s="438" t="s">
        <v>278</v>
      </c>
      <c r="AH178" s="439" t="s">
        <v>278</v>
      </c>
      <c r="AI178" s="528" t="n">
        <v>21</v>
      </c>
      <c r="AJ178" s="529" t="n">
        <v>14</v>
      </c>
      <c r="AK178" s="529" t="n">
        <v>7</v>
      </c>
      <c r="AL178" s="530" t="n">
        <v>21</v>
      </c>
      <c r="AM178" s="529" t="n">
        <v>10</v>
      </c>
      <c r="AN178" s="531" t="n">
        <v>11</v>
      </c>
      <c r="AO178" s="532"/>
      <c r="AP178" s="465" t="n">
        <f aca="false">(1+AO178/2)^(-2*BL178)</f>
        <v>1</v>
      </c>
      <c r="AQ178" s="532"/>
      <c r="AR178" s="465" t="n">
        <f aca="false">(1+AQ178/2)^(-2*BH178/365.25)</f>
        <v>1</v>
      </c>
      <c r="AS178" s="580" t="n">
        <f aca="false">(O179*AJ178+O180*AK178)/AI178</f>
        <v>0</v>
      </c>
      <c r="AT178" s="468" t="n">
        <f aca="false">O178*VLOOKUP(BF178,BrentVolTable,2)+VLOOKUP(BF178,BrentVolTable,3)</f>
        <v>0</v>
      </c>
      <c r="AU178" s="468" t="n">
        <f aca="false">(AT179*AM178+AT180*AN178)/AL178</f>
        <v>0</v>
      </c>
      <c r="AV178" s="595" t="n">
        <f aca="false">SQRT(MAX(0.000000000001,(O178^2*BH178-S178^2*(BH178-BH177))/BH177))</f>
        <v>0.0297530822208279</v>
      </c>
      <c r="AW178" s="451" t="n">
        <f aca="false">IF($I178-DateToday+15&gt;=$T$8,"",IF($I178-DateToday+15&lt;$T$5,1,MATCH($I178-DateToday+15,$T$5:$T$8)))</f>
        <v>1</v>
      </c>
      <c r="AX178" s="468" t="n">
        <f aca="false">IF($AW178="",AX177^2/AX176,INDEX(U$5:U$8,$AW178)^((INDEX($T$5:$T$8,$AW178+1)-($I178-DateToday+15))/(INDEX($T$5:$T$8,$AW178+1)-INDEX($T$5:$T$8,$AW178)))/INDEX(U$5:U$8,$AW178+1)^((INDEX($T$5:$T$8,$AW178)-($I178-DateToday+15))/(INDEX($T$5:$T$8,$AW178+1)-INDEX($T$5:$T$8,$AW178))))</f>
        <v>0.428211001767462</v>
      </c>
      <c r="AY178" s="468" t="n">
        <f aca="false">IF($AW178="",AY177^2/AY176,INDEX(V$5:V$8,$AW178)^((INDEX($T$5:$T$8,$AW178+1)-($I178-DateToday+15))/(INDEX($T$5:$T$8,$AW178+1)-INDEX($T$5:$T$8,$AW178)))/INDEX(V$5:V$8,$AW178+1)^((INDEX($T$5:$T$8,$AW178)-($I178-DateToday+15))/(INDEX($T$5:$T$8,$AW178+1)-INDEX($T$5:$T$8,$AW178))))</f>
        <v>6.70588950591333</v>
      </c>
      <c r="AZ178" s="468" t="n">
        <f aca="false">IF($AW178="",AZ177^2/AZ176,INDEX(W$5:W$8,$AW178)^((INDEX($T$5:$T$8,$AW178+1)-($I178-DateToday+15))/(INDEX($T$5:$T$8,$AW178+1)-INDEX($T$5:$T$8,$AW178)))/INDEX(W$5:W$8,$AW178+1)^((INDEX($T$5:$T$8,$AW178)-($I178-DateToday+15))/(INDEX($T$5:$T$8,$AW178+1)-INDEX($T$5:$T$8,$AW178))))</f>
        <v>1584.58324462349</v>
      </c>
      <c r="BA178" s="468" t="n">
        <f aca="false">IF($AW178="",BA177^2/BA176,INDEX(X$5:X$8,$AW178)^((INDEX($T$5:$T$8,$AW178+1)-($I178-DateToday+15))/(INDEX($T$5:$T$8,$AW178+1)-INDEX($T$5:$T$8,$AW178)))/INDEX(X$5:X$8,$AW178+1)^((INDEX($T$5:$T$8,$AW178)-($I178-DateToday+15))/(INDEX($T$5:$T$8,$AW178+1)-INDEX($T$5:$T$8,$AW178))))</f>
        <v>7068.08311004329</v>
      </c>
      <c r="BB178" s="468" t="n">
        <f aca="false">IF($AW178="",BB177^2/BB176,INDEX(Y$5:Y$8,$AW178)^((INDEX($T$5:$T$8,$AW178+1)-($I178-DateToday+15))/(INDEX($T$5:$T$8,$AW178+1)-INDEX($T$5:$T$8,$AW178)))/INDEX(Y$5:Y$8,$AW178+1)^((INDEX($T$5:$T$8,$AW178)-($I178-DateToday+15))/(INDEX($T$5:$T$8,$AW178+1)-INDEX($T$5:$T$8,$AW178))))</f>
        <v>40889.7542238958</v>
      </c>
      <c r="BC178" s="468" t="n">
        <f aca="false">IF($AW178="",BC177^2/BC176,INDEX(Z$5:Z$8,$AW178)^((INDEX($T$5:$T$8,$AW178+1)-($I178-DateToday+15))/(INDEX($T$5:$T$8,$AW178+1)-INDEX($T$5:$T$8,$AW178)))/INDEX(Z$5:Z$8,$AW178+1)^((INDEX($T$5:$T$8,$AW178)-($I178-DateToday+15))/(INDEX($T$5:$T$8,$AW178+1)-INDEX($T$5:$T$8,$AW178))))</f>
        <v>119271.577186223</v>
      </c>
      <c r="BD178" s="535" t="n">
        <f aca="false">IF(OR(DateStart&gt;=I179,DateEnd&lt;I178),0,IF(VolumeOverrideFlag,V178,Volume))</f>
        <v>0</v>
      </c>
      <c r="BE178" s="536" t="n">
        <f aca="false">IF(OR(DateStart2&gt;=I179,DateEnd2&lt;I178),0,IF(VolumeOverrideFlag,V178,VolumeSwaption))</f>
        <v>0</v>
      </c>
      <c r="BF178" s="537" t="n">
        <f aca="false">YEAR(I178)</f>
        <v>2013</v>
      </c>
      <c r="BG178" s="538" t="n">
        <f aca="false">MONTH(I178)</f>
        <v>11</v>
      </c>
      <c r="BH178" s="539" t="n">
        <f aca="false">AD178-DateToday+1</f>
        <v>-4362</v>
      </c>
      <c r="BI178" s="540" t="n">
        <f aca="false">(I178-DateToday+1)/365.25</f>
        <v>-11.8986995208761</v>
      </c>
      <c r="BJ178" s="541" t="n">
        <f aca="false">BI178+(BL178-BI178)*CHOOSE(Underlying,AJ178/AI178,AM178/AL178)</f>
        <v>-11.8457677389916</v>
      </c>
      <c r="BK178" s="541" t="n">
        <f aca="false">BJ178+1/365.25</f>
        <v>-11.8430298882044</v>
      </c>
      <c r="BL178" s="541" t="n">
        <f aca="false">(I179-DateToday)/365.25</f>
        <v>-11.8193018480493</v>
      </c>
      <c r="BM178" s="542" t="e">
        <f aca="false">MAX(BI178-(BJ178-BI178)*(S179^2/O179^2-1),0)</f>
        <v>#DIV/0!</v>
      </c>
      <c r="BN178" s="541" t="e">
        <f aca="false">MAX(BL178+(BL178-BK178)*(S180^2/O180^2-1),0)</f>
        <v>#DIV/0!</v>
      </c>
      <c r="BO178" s="530" t="n">
        <f aca="false">CHOOSE(Underlying,AI178,AL178)</f>
        <v>21</v>
      </c>
      <c r="BP178" s="529" t="n">
        <f aca="false">CHOOSE(Underlying,AJ178,AM178)</f>
        <v>14</v>
      </c>
      <c r="BQ178" s="529" t="n">
        <f aca="false">CHOOSE(Underlying,AK178,AN178)</f>
        <v>7</v>
      </c>
      <c r="BR178" s="463" t="str">
        <f aca="false">IF(BD178,IF(Underlying=1,X178,Z178)+UnderlyingPriceAsian-SwapPriceCurve,"")</f>
        <v/>
      </c>
      <c r="BS178" s="463" t="str">
        <f aca="false">IF(BD178,Strike1/BR178-1,"")</f>
        <v/>
      </c>
      <c r="BT178" s="464" t="str">
        <f aca="false">IF(BD178,Strike2/BR178-1,"")</f>
        <v/>
      </c>
      <c r="BU178" s="465" t="str">
        <f aca="false">IF(BD178,IF(Underlying=1,L179,R179)+UnderlyingPriceAsian-SwapPriceCurve,"")</f>
        <v/>
      </c>
      <c r="BV178" s="465" t="str">
        <f aca="false">IF(BD178,IF(Underlying=1,L180,R180)+UnderlyingPriceAsian-SwapPriceCurve,"")</f>
        <v/>
      </c>
      <c r="BW178" s="466" t="str">
        <f aca="false">IF(BD178,IF(Underlying=1,O179,AT179),"")</f>
        <v/>
      </c>
      <c r="BX178" s="467" t="str">
        <f aca="false">IF(BD178,IF(Underlying=1,O180,AT180),"")</f>
        <v/>
      </c>
      <c r="BY178" s="466" t="str">
        <f aca="false">IF(BD178,IF(BS178&gt;0,IF(BS178&gt;0.2,BC178-BB178,IF(BS178&gt;0.1,BB178-BA178,BA178)),IF(BS178&lt;-0.2,AX178-AY178,IF(BS178&lt;-0.1,AY178-AZ178,AZ178))),"")</f>
        <v/>
      </c>
      <c r="BZ178" s="467" t="str">
        <f aca="false">IF(BD178,IF(BT178&gt;0,IF(BT178&gt;0.2,BC178-BB178,IF(BT178&gt;0.1,BB178-BA178,BA178)),IF(BT178&lt;-0.2,AX178-AY178,IF(BT178&lt;-0.1,AY178-AZ178,AZ178))),"")</f>
        <v/>
      </c>
      <c r="CA178" s="468" t="str">
        <f aca="false">IF($BD178,$BW178+IF(VolSkewFlag=1,IF(BS178&gt;0,$BA178*MIN(BS178/10%,1)+($BB178-$BA178)*MAX(0,MIN(BS178/10%-1,1))+($BC178-$BB178)*MAX(0,BS178/10%-2),$AZ178*MIN(-BS178/10%,1)+($AY178-$AZ178)*MAX(0,MIN(-BS178/10%-1,1))+($AX178-$AY178)*MAX(0,-BS178/10%-2)),0),"")</f>
        <v/>
      </c>
      <c r="CB178" s="468" t="str">
        <f aca="false">IF($BD178,$BX178+IF(VolSkewFlag=1,IF(BS178&gt;0,$BA178*MIN(BS178/10%,1)+($BB178-$BA178)*MAX(0,MIN(BS178/10%-1,1))+($BC178-$BB178)*MAX(0,BS178/10%-2),$AZ178*MIN(-BS178/10%,1)+($AY178-$AZ178)*MAX(0,MIN(-BS178/10%-1,1))+($AX178-$AY178)*MAX(0,-BS178/10%-2)),0),"")</f>
        <v/>
      </c>
      <c r="CC178" s="468" t="str">
        <f aca="false">IF($BD178,$BW178+IF(VolSkewFlag=1,IF(BT178&gt;0,$BA178*MIN(BT178/10%,1)+($BB178-$BA178)*MAX(0,MIN(BT178/10%-1,1))+($BC178-$BB178)*MAX(0,BT178/10%-2),$AZ178*MIN(-BT178/10%,1)+($AY178-$AZ178)*MAX(0,MIN(-BT178/10%-1,1))+($AX178-$AY178)*MAX(0,-BT178/10%-2)),0),"")</f>
        <v/>
      </c>
      <c r="CD178" s="468" t="str">
        <f aca="false">IF($BD178,$BX178+IF(VolSkewFlag=1,IF(BT178&gt;0,$BA178*MIN(BT178/10%,1)+($BB178-$BA178)*MAX(0,MIN(BT178/10%-1,1))+($BC178-$BB178)*MAX(0,BT178/10%-2),$AZ178*MIN(-BT178/10%,1)+($AY178-$AZ178)*MAX(0,MIN(-BT178/10%-1,1))+($AX178-$AY178)*MAX(0,-BT178/10%-2)),0),"")</f>
        <v/>
      </c>
      <c r="CE178" s="469" t="n">
        <v>1</v>
      </c>
      <c r="CF178" s="470" t="n">
        <f aca="false">IF(BD178,xCrudeAPO(BU178,BV178,CA178,CB178,S179,S180,BI178,BL178,BP178,BQ178,0,Strike1,AO178,CE178,0,BL178,IF(OptControl=4,0,1),0,1),0)</f>
        <v>0</v>
      </c>
      <c r="CG178" s="470" t="n">
        <f aca="false">IF(BD178,xCrudeAPO(BU178,BV178,CA178,CB178,S179,S180,BI178,BL178,BP178,BQ178,0,Strike1,AO178,CE178,0,BL178,IF(OptControl=4,0,1),1,1)+xCrudeAPO(BU178,BV178,CA178,CB178,S179,S180,BI178,BL178,BP178,BQ178,0,Strike1,AO178,CE178,0,BL178,IF(OptControl=4,0,1),1,2)+IF(OR(VolSkewFlag=2,ABS(BS178)&lt;0.0001),0,IF(BS178&gt;0,-1,1)*CH178*Strike1/BR178^2*BY178/10%),0)</f>
        <v>0</v>
      </c>
      <c r="CH178" s="470" t="n">
        <f aca="false">IF(BD178,(xCrudeAPO(BU178,BV178,CA178,CB178,S179,S180,BI178,BL178,BP178,BQ178,0,Strike1,AO178,CE178,0,BL178,IF(OptControl=4,0,1),3,1)+xCrudeAPO(BU178,BV178,CA178,CB178,S179,S180,BI178,BL178,BP178,BQ178,0,Strike1,AO178,CE178,0,BL178,IF(OptControl=4,0,1),3,2))/100,0)</f>
        <v>0</v>
      </c>
      <c r="CI178" s="470" t="n">
        <f aca="false">IF(BD178,xCrudeAPO(BU178,BV178,CA178,CB178,S179,S180,BI178-DaysForThetaCalculation/365.25,BL178-DaysForThetaCalculation/365.25,BP178,BQ178,0,Strike1,AO178,CE178,0,BL178,IF(OptControl=4,0,1),0,1)-xCrudeAPO(BU178,BV178,CA178,CB178,S179,S180,BI178,BL178,BP178,BQ178,0,Strike1,AO178,CE178,0,BL178,IF(OptControl=4,0,1),0,1),0)</f>
        <v>0</v>
      </c>
      <c r="CJ178" s="471" t="n">
        <f aca="false">IF(BD178,xCrudeAPO(BU178,BV178,CC178,CD178,S179,S180,BI178,BL178,BP178,BQ178,0,Strike2,AO178,CE178,0,BL178,IF(OptControl=3,1,0),0,1),0)</f>
        <v>0</v>
      </c>
      <c r="CK178" s="470" t="n">
        <f aca="false">IF(BD178,xCrudeAPO(BU178,BV178,CC178,CD178,S179,S180,BI178,BL178,BP178,BQ178,0,Strike2,AO178,CE178,0,BL178,IF(OptControl=3,1,0),1,1)+xCrudeAPO(BU178,BV178,CC178,CD178,S179,S180,BI178,BL178,BP178,BQ178,0,Strike2,AO178,CE178,0,BL178,IF(OptControl=3,1,0),1,2)+IF(OR(VolSkewFlag=2,ABS(BT178)&lt;0.0001),0,IF(BT178&gt;0,-1,1)*CL178*Strike2/BR178^2*BZ178/10%),0)</f>
        <v>0</v>
      </c>
      <c r="CL178" s="470" t="n">
        <f aca="false">IF(BD178,(xCrudeAPO(BU178,BV178,CC178,CD178,S179,S180,BI178,BL178,BP178,BQ178,0,Strike2,AO178,CE178,0,BL178,IF(OptControl=3,1,0),3,1)+xCrudeAPO(BU178,BV178,CC178,CD178,S179,S180,BI178,BL178,BP178,BQ178,0,Strike2,AO178,CE178,0,BL178,IF(OptControl=3,1,0),3,2))/100,0)</f>
        <v>0</v>
      </c>
      <c r="CM178" s="472" t="n">
        <f aca="false">IF(BD178,xCrudeAPO(BU178,BV178,CC178,CD178,S179,S180,BI178-DaysForThetaCalculation/365.25,BL178-DaysForThetaCalculation/365.25,BP178,BQ178,0,Strike2,AO178,CE178,0,BL178,IF(OptControl=3,1,0),0,1)-xCrudeAPO(BU178,BV178,CC178,CD178,S179,S180,BI178,BL178,BP178,BQ178,0,Strike2,AO178,CE178,0,BL178,IF(OptControl=3,1,0),0,1),0)</f>
        <v>0</v>
      </c>
      <c r="CN178" s="3"/>
      <c r="CO178" s="543" t="str">
        <f aca="false">IF(BD178,CHOOSE(Underlying,AD178,AF178)-DateToday+1,"")</f>
        <v/>
      </c>
      <c r="CP178" s="582" t="str">
        <f aca="false">IF(BD178,CHOOSE(Underlying,L178,R178),"")</f>
        <v/>
      </c>
      <c r="CQ178" s="544" t="str">
        <f aca="false">IF(BD178,Strike1/CP178-1,"")</f>
        <v/>
      </c>
      <c r="CR178" s="544" t="str">
        <f aca="false">IF(BD178,Strike2/CP178-1,"")</f>
        <v/>
      </c>
      <c r="CS178" s="544" t="str">
        <f aca="false">IF(BD178,IF(CQ178&gt;0,IF(CQ178&gt;0.2,BC177-BB177,IF(CQ178&gt;0.1,BB177-BA177,BA177)),IF(CQ178&lt;-0.2,AX177-AY177,IF(CQ178&lt;-0.1,AY177-AZ177,AZ177))),"")</f>
        <v/>
      </c>
      <c r="CT178" s="544" t="str">
        <f aca="false">IF(BD178,IF(CR178&gt;0,IF(CR178&gt;0.2,BC177-BB177,IF(CR178&gt;0.1,BB177-BA177,BA177)),IF(CR178&lt;-0.2,AX177-AY177,IF(CR178&lt;-0.1,AY177-AZ177,AZ177))),"")</f>
        <v/>
      </c>
      <c r="CU178" s="545" t="str">
        <f aca="false">IF(BD178,CHOOSE(Underlying,O178,AT178),"")</f>
        <v/>
      </c>
      <c r="CV178" s="545" t="str">
        <f aca="false">IF(BD178,CU178+IF(VolSkewFlag=1,IF(CQ178&gt;0,BA177*MIN(CQ178/10%,1)+(BB177-BA177)*MAX(0,MIN(CQ178/10%-1,1))+(BC177-BB177)*MAX(0,CQ178/10%-2),AZ177*MIN(-CQ178/10%,1)+(AY177-AZ177)*MAX(0,MIN(-CQ178/10%-1,1))+(AX177-AY177)*MAX(0,-CQ178/10%-2)),0),"")</f>
        <v/>
      </c>
      <c r="CW178" s="545" t="str">
        <f aca="false">IF(BD178,CU178+IF(VolSkewFlag=1,IF(CR178&gt;0,BA177*MIN(CR178/10%,1)+(BB177-BA177)*MAX(0,MIN(CR178/10%-1,1))+(BC177-BB177)*MAX(0,CR178/10%-2),AZ177*MIN(-CR178/10%,1)+(AY177-AZ177)*MAX(0,MIN(-CR178/10%-1,1))+(AX177-AY177)*MAX(0,-CR178/10%-2)),0),"")</f>
        <v/>
      </c>
      <c r="CX178" s="470" t="n">
        <f aca="false">IF(BD178,EURO(CP178,Strike1,AO178,AO178,CV178,CO178,IF(OptControl=4,0,1),0),0)</f>
        <v>0</v>
      </c>
      <c r="CY178" s="470" t="n">
        <f aca="false">IF(BD178,EURO(CP178,Strike1,AO178,AO178,CV178,CO178,IF(OptControl=4,0,1),1)+IF(OR(VolSkewFlag=2,ABS(CQ178)&lt;0.0001),0,IF(CQ178&gt;0,-1,1)*CZ178*100*Strike1/CP178^2*CS178/10%),0)</f>
        <v>0</v>
      </c>
      <c r="CZ178" s="470" t="n">
        <f aca="false">IF(BD178,EURO(CP178,Strike1,AO178,AO178,CV178,CO178,IF(OptControl=4,0,1),3)/100,0)</f>
        <v>0</v>
      </c>
      <c r="DA178" s="470" t="n">
        <f aca="false">IF(BD178,EURO(CP178,Strike1,AO178,AO178,CV178,CO178,IF(OptControl=4,0,1),0)-EURO(CP178,Strike1,AO178,AO178,CV178,CO178-1,IF(OptControl=4,0,1),0),0)</f>
        <v>0</v>
      </c>
      <c r="DB178" s="470" t="n">
        <f aca="false">IF(BD178,EURO(CP178,Strike2,AO178,AO178,CW178,CO178,IF(OptControl=3,1,0),0),0)</f>
        <v>0</v>
      </c>
      <c r="DC178" s="470" t="n">
        <f aca="false">IF(BD178,EURO(CP178,Strike2,AO178,AO178,CW178,CO178,IF(OptControl=3,1,0),1)+IF(OR(VolSkewFlag=2,ABS(CR178)&lt;0.0001),0,IF(CR178&gt;0,-1,1)*DD178*100*Strike2/CP178^2*CT178/10%),0)</f>
        <v>0</v>
      </c>
      <c r="DD178" s="470" t="n">
        <f aca="false">IF(BD178,EURO(CP178,Strike2,AO178,AO178,CW178,CO178,IF(OptControl=3,1,0),3)/100,0)</f>
        <v>0</v>
      </c>
      <c r="DE178" s="472" t="n">
        <f aca="false">IF(BD178,EURO(CP178,Strike2,AO178,AO178,CW178,CO178,IF(OptControl=3,1,0),0)-EURO(CP178,Strike2,AO178,AO178,CW178,CO178-1,IF(OptControl=3,1,0),0),0)</f>
        <v>0</v>
      </c>
      <c r="DG178" s="481" t="n">
        <f aca="false">EOMONTH(DG177,0)+1</f>
        <v>50496</v>
      </c>
      <c r="DH178" s="478" t="n">
        <v>22.0600000000001</v>
      </c>
      <c r="DI178" s="479" t="n">
        <v>22.1259090909092</v>
      </c>
      <c r="DJ178" s="480" t="n">
        <f aca="false">DG178</f>
        <v>50496</v>
      </c>
      <c r="DK178" s="478" t="n">
        <v>20.862717519497</v>
      </c>
      <c r="DL178" s="479" t="n">
        <v>20.8344090909092</v>
      </c>
      <c r="DM178" s="481" t="n">
        <f aca="false">DG178</f>
        <v>50496</v>
      </c>
      <c r="DN178" s="482" t="n">
        <f aca="false">DK178+BrentPhyBrentSpread</f>
        <v>20.912717519497</v>
      </c>
      <c r="DO178" s="481" t="n">
        <f aca="false">DG178</f>
        <v>50496</v>
      </c>
      <c r="DP178" s="483" t="n">
        <f aca="false">DL178+DQ178</f>
        <v>20.8344090909092</v>
      </c>
      <c r="DQ178" s="546" t="n">
        <v>0</v>
      </c>
      <c r="DR178" s="480" t="n">
        <f aca="false">DG178</f>
        <v>50496</v>
      </c>
      <c r="DS178" s="485" t="n">
        <v>0.129799999999999</v>
      </c>
      <c r="DT178" s="486" t="n">
        <v>0.12900909090909</v>
      </c>
      <c r="DU178" s="480" t="n">
        <f aca="false">DG178</f>
        <v>50496</v>
      </c>
      <c r="DV178" s="485" t="n">
        <v>0.129799999999999</v>
      </c>
      <c r="DW178" s="486" t="n">
        <v>0.12900909090909</v>
      </c>
      <c r="DX178" s="481" t="n">
        <f aca="false">DG178</f>
        <v>50496</v>
      </c>
      <c r="DY178" s="486" t="n">
        <v>0.35</v>
      </c>
      <c r="DZ178" s="481" t="n">
        <f aca="false">DR178</f>
        <v>50496</v>
      </c>
      <c r="EA178" s="486" t="n">
        <f aca="false">DT178</f>
        <v>0.12900909090909</v>
      </c>
      <c r="EB178" s="195"/>
      <c r="EC178" s="547" t="str">
        <f aca="false">IF(BD178,IF(Underlying=1,AS178,AU178),"")</f>
        <v/>
      </c>
      <c r="ED178" s="548" t="str">
        <f aca="false">IF($BD178,$EC178+IF(VolSkewFlag=1,IF(BS178&gt;0,$BA178*MIN(BS178/10%,1)+($BB178-$BA178)*MAX(0,MIN(BS178/10%-1,1))+($BC178-$BB178)*MAX(0,BS178/10%-2),$AZ178*MIN(-BS178/10%,1)+($AY178-$AZ178)*MAX(0,MIN(-BS178/10%-1,1))+($AX178-$AY178)*MAX(0,-BS178/10%-2)),0),"")</f>
        <v/>
      </c>
      <c r="EE178" s="549" t="str">
        <f aca="false">IF($BD178,$EC178+IF(VolSkewFlag=1,IF(BT178&gt;0,$BA178*MIN(BT178/10%,1)+($BB178-$BA178)*MAX(0,MIN(BT178/10%-1,1))+($BC178-$BB178)*MAX(0,BT178/10%-2),$AZ178*MIN(-BT178/10%,1)+($AY178-$AZ178)*MAX(0,MIN(-BT178/10%-1,1))+($AX178-$AY178)*MAX(0,-BT178/10%-2)),0),"")</f>
        <v/>
      </c>
      <c r="EF178" s="550" t="n">
        <f aca="false">IF(BD178,xASN(BR178,Strike1,AO178,ED178,0,BO178,0,BI178,BL178,IF(OptControl=4,0,1),0),0)</f>
        <v>0</v>
      </c>
      <c r="EG178" s="551" t="n">
        <f aca="false">IF(BD178,xASN(BR178,Strike2,AO178,EE178,0,BO178,0,BI178,BL178,IF(OptControl=3,1,0),0),0)</f>
        <v>0</v>
      </c>
      <c r="EL178" s="1"/>
      <c r="EM178" s="195"/>
      <c r="EN178" s="240"/>
      <c r="EO178" s="240"/>
      <c r="EP178" s="195"/>
      <c r="EQ178" s="407" t="s">
        <v>406</v>
      </c>
      <c r="ES178" s="130"/>
      <c r="ET178" s="19"/>
      <c r="EU178" s="672"/>
      <c r="EV178" s="478"/>
      <c r="EW178" s="131"/>
      <c r="EX178" s="131"/>
      <c r="EY178" s="129"/>
      <c r="EZ178" s="129"/>
      <c r="FA178" s="129"/>
      <c r="FB178" s="129"/>
      <c r="FC178" s="129"/>
      <c r="FD178" s="129"/>
      <c r="FE178" s="129"/>
      <c r="FF178" s="129"/>
      <c r="FG178" s="129"/>
      <c r="FH178" s="129"/>
      <c r="FI178" s="129"/>
      <c r="FJ178" s="571" t="n">
        <v>9</v>
      </c>
      <c r="FK178" s="150" t="str">
        <f aca="false">IF(OR(FK$169&lt;SwaptionFirstMonthPosition+1,$FJ178&lt;SwaptionFirstMonthPosition+1,FK$169&gt;SwaptionFirstMonthPosition+SwaptionNumOfMonths+1,$FJ178&gt;SwaptionFirstMonthPosition+SwaptionNumOfMonths+1),"",IF($FJ178=FK$169,1,IF($FJ178&lt;FK$169,INDEX($FK$170:$ID$241,FK$169,$FJ178),SUMPRODUCT(INDEX($FK$325:$ID$396,FK$169,1+SwaptionShift):INDEX($FK$325:$ID$396,FK$169,SwaptionMonthsToGo+SwaptionShift),INDEX($FK$245:$ID$316,$FJ178-FK$169,73-FK$169+SwaptionShift):INDEX($FK$245:$ID$316,$FJ178-FK$169,72-FK$169+SwaptionMonthsToGo+SwaptionShift))/SQRT(SUM(INDEX($FK333:$ID333,1+SwaptionShift):INDEX($FK333:$ID333,SwaptionMonthsToGo+SwaptionShift))*SUM(INDEX($FK$325:$ID$396,FK$169,1+SwaptionShift):INDEX($FK$325:$ID$396,FK$169,SwaptionMonthsToGo+SwaptionShift))))))</f>
        <v/>
      </c>
      <c r="FL178" s="150" t="str">
        <f aca="false">IF(OR(FL$169&lt;SwaptionFirstMonthPosition+1,$FJ178&lt;SwaptionFirstMonthPosition+1,FL$169&gt;SwaptionFirstMonthPosition+SwaptionNumOfMonths+1,$FJ178&gt;SwaptionFirstMonthPosition+SwaptionNumOfMonths+1),"",IF($FJ178=FL$169,1,IF($FJ178&lt;FL$169,INDEX($FK$170:$ID$241,FL$169,$FJ178),SUMPRODUCT(INDEX($FK$325:$ID$396,FL$169,1+SwaptionShift):INDEX($FK$325:$ID$396,FL$169,SwaptionMonthsToGo+SwaptionShift),INDEX($FK$245:$ID$316,$FJ178-FL$169,73-FL$169+SwaptionShift):INDEX($FK$245:$ID$316,$FJ178-FL$169,72-FL$169+SwaptionMonthsToGo+SwaptionShift))/SQRT(SUM(INDEX($FK333:$ID333,1+SwaptionShift):INDEX($FK333:$ID333,SwaptionMonthsToGo+SwaptionShift))*SUM(INDEX($FK$325:$ID$396,FL$169,1+SwaptionShift):INDEX($FK$325:$ID$396,FL$169,SwaptionMonthsToGo+SwaptionShift))))))</f>
        <v/>
      </c>
      <c r="FM178" s="150" t="str">
        <f aca="false">IF(OR(FM$169&lt;SwaptionFirstMonthPosition+1,$FJ178&lt;SwaptionFirstMonthPosition+1,FM$169&gt;SwaptionFirstMonthPosition+SwaptionNumOfMonths+1,$FJ178&gt;SwaptionFirstMonthPosition+SwaptionNumOfMonths+1),"",IF($FJ178=FM$169,1,IF($FJ178&lt;FM$169,INDEX($FK$170:$ID$241,FM$169,$FJ178),SUMPRODUCT(INDEX($FK$325:$ID$396,FM$169,1+SwaptionShift):INDEX($FK$325:$ID$396,FM$169,SwaptionMonthsToGo+SwaptionShift),INDEX($FK$245:$ID$316,$FJ178-FM$169,73-FM$169+SwaptionShift):INDEX($FK$245:$ID$316,$FJ178-FM$169,72-FM$169+SwaptionMonthsToGo+SwaptionShift))/SQRT(SUM(INDEX($FK333:$ID333,1+SwaptionShift):INDEX($FK333:$ID333,SwaptionMonthsToGo+SwaptionShift))*SUM(INDEX($FK$325:$ID$396,FM$169,1+SwaptionShift):INDEX($FK$325:$ID$396,FM$169,SwaptionMonthsToGo+SwaptionShift))))))</f>
        <v/>
      </c>
      <c r="FN178" s="150" t="str">
        <f aca="false">IF(OR(FN$169&lt;SwaptionFirstMonthPosition+1,$FJ178&lt;SwaptionFirstMonthPosition+1,FN$169&gt;SwaptionFirstMonthPosition+SwaptionNumOfMonths+1,$FJ178&gt;SwaptionFirstMonthPosition+SwaptionNumOfMonths+1),"",IF($FJ178=FN$169,1,IF($FJ178&lt;FN$169,INDEX($FK$170:$ID$241,FN$169,$FJ178),SUMPRODUCT(INDEX($FK$325:$ID$396,FN$169,1+SwaptionShift):INDEX($FK$325:$ID$396,FN$169,SwaptionMonthsToGo+SwaptionShift),INDEX($FK$245:$ID$316,$FJ178-FN$169,73-FN$169+SwaptionShift):INDEX($FK$245:$ID$316,$FJ178-FN$169,72-FN$169+SwaptionMonthsToGo+SwaptionShift))/SQRT(SUM(INDEX($FK333:$ID333,1+SwaptionShift):INDEX($FK333:$ID333,SwaptionMonthsToGo+SwaptionShift))*SUM(INDEX($FK$325:$ID$396,FN$169,1+SwaptionShift):INDEX($FK$325:$ID$396,FN$169,SwaptionMonthsToGo+SwaptionShift))))))</f>
        <v/>
      </c>
      <c r="FO178" s="150" t="str">
        <f aca="false">IF(OR(FO$169&lt;SwaptionFirstMonthPosition+1,$FJ178&lt;SwaptionFirstMonthPosition+1,FO$169&gt;SwaptionFirstMonthPosition+SwaptionNumOfMonths+1,$FJ178&gt;SwaptionFirstMonthPosition+SwaptionNumOfMonths+1),"",IF($FJ178=FO$169,1,IF($FJ178&lt;FO$169,INDEX($FK$170:$ID$241,FO$169,$FJ178),SUMPRODUCT(INDEX($FK$325:$ID$396,FO$169,1+SwaptionShift):INDEX($FK$325:$ID$396,FO$169,SwaptionMonthsToGo+SwaptionShift),INDEX($FK$245:$ID$316,$FJ178-FO$169,73-FO$169+SwaptionShift):INDEX($FK$245:$ID$316,$FJ178-FO$169,72-FO$169+SwaptionMonthsToGo+SwaptionShift))/SQRT(SUM(INDEX($FK333:$ID333,1+SwaptionShift):INDEX($FK333:$ID333,SwaptionMonthsToGo+SwaptionShift))*SUM(INDEX($FK$325:$ID$396,FO$169,1+SwaptionShift):INDEX($FK$325:$ID$396,FO$169,SwaptionMonthsToGo+SwaptionShift))))))</f>
        <v/>
      </c>
      <c r="FP178" s="150" t="e">
        <f aca="false">IF(OR(FP$169&lt;SwaptionFirstMonthPosition+1,$FJ178&lt;SwaptionFirstMonthPosition+1,FP$169&gt;SwaptionFirstMonthPosition+SwaptionNumOfMonths+1,$FJ178&gt;SwaptionFirstMonthPosition+SwaptionNumOfMonths+1),"",IF($FJ178=FP$169,1,IF($FJ178&lt;FP$169,INDEX($FK$170:$ID$241,FP$169,$FJ178),SUMPRODUCT(INDEX($FK$325:$ID$396,FP$169,1+SwaptionShift):INDEX($FK$325:$ID$396,FP$169,SwaptionMonthsToGo+SwaptionShift),INDEX($FK$245:$ID$316,$FJ178-FP$169,73-FP$169+SwaptionShift):INDEX($FK$245:$ID$316,$FJ178-FP$169,72-FP$169+SwaptionMonthsToGo+SwaptionShift))/SQRT(SUM(INDEX($FK333:$ID333,1+SwaptionShift):INDEX($FK333:$ID333,SwaptionMonthsToGo+SwaptionShift))*SUM(INDEX($FK$325:$ID$396,FP$169,1+SwaptionShift):INDEX($FK$325:$ID$396,FP$169,SwaptionMonthsToGo+SwaptionShift))))))</f>
        <v>#DIV/0!</v>
      </c>
      <c r="FQ178" s="150" t="e">
        <f aca="false">IF(OR(FQ$169&lt;SwaptionFirstMonthPosition+1,$FJ178&lt;SwaptionFirstMonthPosition+1,FQ$169&gt;SwaptionFirstMonthPosition+SwaptionNumOfMonths+1,$FJ178&gt;SwaptionFirstMonthPosition+SwaptionNumOfMonths+1),"",IF($FJ178=FQ$169,1,IF($FJ178&lt;FQ$169,INDEX($FK$170:$ID$241,FQ$169,$FJ178),SUMPRODUCT(INDEX($FK$325:$ID$396,FQ$169,1+SwaptionShift):INDEX($FK$325:$ID$396,FQ$169,SwaptionMonthsToGo+SwaptionShift),INDEX($FK$245:$ID$316,$FJ178-FQ$169,73-FQ$169+SwaptionShift):INDEX($FK$245:$ID$316,$FJ178-FQ$169,72-FQ$169+SwaptionMonthsToGo+SwaptionShift))/SQRT(SUM(INDEX($FK333:$ID333,1+SwaptionShift):INDEX($FK333:$ID333,SwaptionMonthsToGo+SwaptionShift))*SUM(INDEX($FK$325:$ID$396,FQ$169,1+SwaptionShift):INDEX($FK$325:$ID$396,FQ$169,SwaptionMonthsToGo+SwaptionShift))))))</f>
        <v>#DIV/0!</v>
      </c>
      <c r="FR178" s="150" t="e">
        <f aca="false">IF(OR(FR$169&lt;SwaptionFirstMonthPosition+1,$FJ178&lt;SwaptionFirstMonthPosition+1,FR$169&gt;SwaptionFirstMonthPosition+SwaptionNumOfMonths+1,$FJ178&gt;SwaptionFirstMonthPosition+SwaptionNumOfMonths+1),"",IF($FJ178=FR$169,1,IF($FJ178&lt;FR$169,INDEX($FK$170:$ID$241,FR$169,$FJ178),SUMPRODUCT(INDEX($FK$325:$ID$396,FR$169,1+SwaptionShift):INDEX($FK$325:$ID$396,FR$169,SwaptionMonthsToGo+SwaptionShift),INDEX($FK$245:$ID$316,$FJ178-FR$169,73-FR$169+SwaptionShift):INDEX($FK$245:$ID$316,$FJ178-FR$169,72-FR$169+SwaptionMonthsToGo+SwaptionShift))/SQRT(SUM(INDEX($FK333:$ID333,1+SwaptionShift):INDEX($FK333:$ID333,SwaptionMonthsToGo+SwaptionShift))*SUM(INDEX($FK$325:$ID$396,FR$169,1+SwaptionShift):INDEX($FK$325:$ID$396,FR$169,SwaptionMonthsToGo+SwaptionShift))))))</f>
        <v>#DIV/0!</v>
      </c>
      <c r="FS178" s="150" t="n">
        <f aca="false">IF(OR(FS$169&lt;SwaptionFirstMonthPosition+1,$FJ178&lt;SwaptionFirstMonthPosition+1,FS$169&gt;SwaptionFirstMonthPosition+SwaptionNumOfMonths+1,$FJ178&gt;SwaptionFirstMonthPosition+SwaptionNumOfMonths+1),"",IF($FJ178=FS$169,1,IF($FJ178&lt;FS$169,INDEX($FK$170:$ID$241,FS$169,$FJ178),SUMPRODUCT(INDEX($FK$325:$ID$396,FS$169,1+SwaptionShift):INDEX($FK$325:$ID$396,FS$169,SwaptionMonthsToGo+SwaptionShift),INDEX($FK$245:$ID$316,$FJ178-FS$169,73-FS$169+SwaptionShift):INDEX($FK$245:$ID$316,$FJ178-FS$169,72-FS$169+SwaptionMonthsToGo+SwaptionShift))/SQRT(SUM(INDEX($FK333:$ID333,1+SwaptionShift):INDEX($FK333:$ID333,SwaptionMonthsToGo+SwaptionShift))*SUM(INDEX($FK$325:$ID$396,FS$169,1+SwaptionShift):INDEX($FK$325:$ID$396,FS$169,SwaptionMonthsToGo+SwaptionShift))))))</f>
        <v>1</v>
      </c>
      <c r="FT178" s="150" t="e">
        <f aca="false">IF(OR(FT$169&lt;SwaptionFirstMonthPosition+1,$FJ178&lt;SwaptionFirstMonthPosition+1,FT$169&gt;SwaptionFirstMonthPosition+SwaptionNumOfMonths+1,$FJ178&gt;SwaptionFirstMonthPosition+SwaptionNumOfMonths+1),"",IF($FJ178=FT$169,1,IF($FJ178&lt;FT$169,INDEX($FK$170:$ID$241,FT$169,$FJ178),SUMPRODUCT(INDEX($FK$325:$ID$396,FT$169,1+SwaptionShift):INDEX($FK$325:$ID$396,FT$169,SwaptionMonthsToGo+SwaptionShift),INDEX($FK$245:$ID$316,$FJ178-FT$169,73-FT$169+SwaptionShift):INDEX($FK$245:$ID$316,$FJ178-FT$169,72-FT$169+SwaptionMonthsToGo+SwaptionShift))/SQRT(SUM(INDEX($FK333:$ID333,1+SwaptionShift):INDEX($FK333:$ID333,SwaptionMonthsToGo+SwaptionShift))*SUM(INDEX($FK$325:$ID$396,FT$169,1+SwaptionShift):INDEX($FK$325:$ID$396,FT$169,SwaptionMonthsToGo+SwaptionShift))))))</f>
        <v>#DIV/0!</v>
      </c>
      <c r="FU178" s="150" t="e">
        <f aca="false">IF(OR(FU$169&lt;SwaptionFirstMonthPosition+1,$FJ178&lt;SwaptionFirstMonthPosition+1,FU$169&gt;SwaptionFirstMonthPosition+SwaptionNumOfMonths+1,$FJ178&gt;SwaptionFirstMonthPosition+SwaptionNumOfMonths+1),"",IF($FJ178=FU$169,1,IF($FJ178&lt;FU$169,INDEX($FK$170:$ID$241,FU$169,$FJ178),SUMPRODUCT(INDEX($FK$325:$ID$396,FU$169,1+SwaptionShift):INDEX($FK$325:$ID$396,FU$169,SwaptionMonthsToGo+SwaptionShift),INDEX($FK$245:$ID$316,$FJ178-FU$169,73-FU$169+SwaptionShift):INDEX($FK$245:$ID$316,$FJ178-FU$169,72-FU$169+SwaptionMonthsToGo+SwaptionShift))/SQRT(SUM(INDEX($FK333:$ID333,1+SwaptionShift):INDEX($FK333:$ID333,SwaptionMonthsToGo+SwaptionShift))*SUM(INDEX($FK$325:$ID$396,FU$169,1+SwaptionShift):INDEX($FK$325:$ID$396,FU$169,SwaptionMonthsToGo+SwaptionShift))))))</f>
        <v>#DIV/0!</v>
      </c>
      <c r="FV178" s="150" t="e">
        <f aca="false">IF(OR(FV$169&lt;SwaptionFirstMonthPosition+1,$FJ178&lt;SwaptionFirstMonthPosition+1,FV$169&gt;SwaptionFirstMonthPosition+SwaptionNumOfMonths+1,$FJ178&gt;SwaptionFirstMonthPosition+SwaptionNumOfMonths+1),"",IF($FJ178=FV$169,1,IF($FJ178&lt;FV$169,INDEX($FK$170:$ID$241,FV$169,$FJ178),SUMPRODUCT(INDEX($FK$325:$ID$396,FV$169,1+SwaptionShift):INDEX($FK$325:$ID$396,FV$169,SwaptionMonthsToGo+SwaptionShift),INDEX($FK$245:$ID$316,$FJ178-FV$169,73-FV$169+SwaptionShift):INDEX($FK$245:$ID$316,$FJ178-FV$169,72-FV$169+SwaptionMonthsToGo+SwaptionShift))/SQRT(SUM(INDEX($FK333:$ID333,1+SwaptionShift):INDEX($FK333:$ID333,SwaptionMonthsToGo+SwaptionShift))*SUM(INDEX($FK$325:$ID$396,FV$169,1+SwaptionShift):INDEX($FK$325:$ID$396,FV$169,SwaptionMonthsToGo+SwaptionShift))))))</f>
        <v>#DIV/0!</v>
      </c>
      <c r="FW178" s="150" t="e">
        <f aca="false">IF(OR(FW$169&lt;SwaptionFirstMonthPosition+1,$FJ178&lt;SwaptionFirstMonthPosition+1,FW$169&gt;SwaptionFirstMonthPosition+SwaptionNumOfMonths+1,$FJ178&gt;SwaptionFirstMonthPosition+SwaptionNumOfMonths+1),"",IF($FJ178=FW$169,1,IF($FJ178&lt;FW$169,INDEX($FK$170:$ID$241,FW$169,$FJ178),SUMPRODUCT(INDEX($FK$325:$ID$396,FW$169,1+SwaptionShift):INDEX($FK$325:$ID$396,FW$169,SwaptionMonthsToGo+SwaptionShift),INDEX($FK$245:$ID$316,$FJ178-FW$169,73-FW$169+SwaptionShift):INDEX($FK$245:$ID$316,$FJ178-FW$169,72-FW$169+SwaptionMonthsToGo+SwaptionShift))/SQRT(SUM(INDEX($FK333:$ID333,1+SwaptionShift):INDEX($FK333:$ID333,SwaptionMonthsToGo+SwaptionShift))*SUM(INDEX($FK$325:$ID$396,FW$169,1+SwaptionShift):INDEX($FK$325:$ID$396,FW$169,SwaptionMonthsToGo+SwaptionShift))))))</f>
        <v>#DIV/0!</v>
      </c>
      <c r="FX178" s="150" t="e">
        <f aca="false">IF(OR(FX$169&lt;SwaptionFirstMonthPosition+1,$FJ178&lt;SwaptionFirstMonthPosition+1,FX$169&gt;SwaptionFirstMonthPosition+SwaptionNumOfMonths+1,$FJ178&gt;SwaptionFirstMonthPosition+SwaptionNumOfMonths+1),"",IF($FJ178=FX$169,1,IF($FJ178&lt;FX$169,INDEX($FK$170:$ID$241,FX$169,$FJ178),SUMPRODUCT(INDEX($FK$325:$ID$396,FX$169,1+SwaptionShift):INDEX($FK$325:$ID$396,FX$169,SwaptionMonthsToGo+SwaptionShift),INDEX($FK$245:$ID$316,$FJ178-FX$169,73-FX$169+SwaptionShift):INDEX($FK$245:$ID$316,$FJ178-FX$169,72-FX$169+SwaptionMonthsToGo+SwaptionShift))/SQRT(SUM(INDEX($FK333:$ID333,1+SwaptionShift):INDEX($FK333:$ID333,SwaptionMonthsToGo+SwaptionShift))*SUM(INDEX($FK$325:$ID$396,FX$169,1+SwaptionShift):INDEX($FK$325:$ID$396,FX$169,SwaptionMonthsToGo+SwaptionShift))))))</f>
        <v>#DIV/0!</v>
      </c>
      <c r="FY178" s="150" t="e">
        <f aca="false">IF(OR(FY$169&lt;SwaptionFirstMonthPosition+1,$FJ178&lt;SwaptionFirstMonthPosition+1,FY$169&gt;SwaptionFirstMonthPosition+SwaptionNumOfMonths+1,$FJ178&gt;SwaptionFirstMonthPosition+SwaptionNumOfMonths+1),"",IF($FJ178=FY$169,1,IF($FJ178&lt;FY$169,INDEX($FK$170:$ID$241,FY$169,$FJ178),SUMPRODUCT(INDEX($FK$325:$ID$396,FY$169,1+SwaptionShift):INDEX($FK$325:$ID$396,FY$169,SwaptionMonthsToGo+SwaptionShift),INDEX($FK$245:$ID$316,$FJ178-FY$169,73-FY$169+SwaptionShift):INDEX($FK$245:$ID$316,$FJ178-FY$169,72-FY$169+SwaptionMonthsToGo+SwaptionShift))/SQRT(SUM(INDEX($FK333:$ID333,1+SwaptionShift):INDEX($FK333:$ID333,SwaptionMonthsToGo+SwaptionShift))*SUM(INDEX($FK$325:$ID$396,FY$169,1+SwaptionShift):INDEX($FK$325:$ID$396,FY$169,SwaptionMonthsToGo+SwaptionShift))))))</f>
        <v>#DIV/0!</v>
      </c>
      <c r="FZ178" s="150" t="e">
        <f aca="false">IF(OR(FZ$169&lt;SwaptionFirstMonthPosition+1,$FJ178&lt;SwaptionFirstMonthPosition+1,FZ$169&gt;SwaptionFirstMonthPosition+SwaptionNumOfMonths+1,$FJ178&gt;SwaptionFirstMonthPosition+SwaptionNumOfMonths+1),"",IF($FJ178=FZ$169,1,IF($FJ178&lt;FZ$169,INDEX($FK$170:$ID$241,FZ$169,$FJ178),SUMPRODUCT(INDEX($FK$325:$ID$396,FZ$169,1+SwaptionShift):INDEX($FK$325:$ID$396,FZ$169,SwaptionMonthsToGo+SwaptionShift),INDEX($FK$245:$ID$316,$FJ178-FZ$169,73-FZ$169+SwaptionShift):INDEX($FK$245:$ID$316,$FJ178-FZ$169,72-FZ$169+SwaptionMonthsToGo+SwaptionShift))/SQRT(SUM(INDEX($FK333:$ID333,1+SwaptionShift):INDEX($FK333:$ID333,SwaptionMonthsToGo+SwaptionShift))*SUM(INDEX($FK$325:$ID$396,FZ$169,1+SwaptionShift):INDEX($FK$325:$ID$396,FZ$169,SwaptionMonthsToGo+SwaptionShift))))))</f>
        <v>#DIV/0!</v>
      </c>
      <c r="GA178" s="150" t="e">
        <f aca="false">IF(OR(GA$169&lt;SwaptionFirstMonthPosition+1,$FJ178&lt;SwaptionFirstMonthPosition+1,GA$169&gt;SwaptionFirstMonthPosition+SwaptionNumOfMonths+1,$FJ178&gt;SwaptionFirstMonthPosition+SwaptionNumOfMonths+1),"",IF($FJ178=GA$169,1,IF($FJ178&lt;GA$169,INDEX($FK$170:$ID$241,GA$169,$FJ178),SUMPRODUCT(INDEX($FK$325:$ID$396,GA$169,1+SwaptionShift):INDEX($FK$325:$ID$396,GA$169,SwaptionMonthsToGo+SwaptionShift),INDEX($FK$245:$ID$316,$FJ178-GA$169,73-GA$169+SwaptionShift):INDEX($FK$245:$ID$316,$FJ178-GA$169,72-GA$169+SwaptionMonthsToGo+SwaptionShift))/SQRT(SUM(INDEX($FK333:$ID333,1+SwaptionShift):INDEX($FK333:$ID333,SwaptionMonthsToGo+SwaptionShift))*SUM(INDEX($FK$325:$ID$396,GA$169,1+SwaptionShift):INDEX($FK$325:$ID$396,GA$169,SwaptionMonthsToGo+SwaptionShift))))))</f>
        <v>#DIV/0!</v>
      </c>
      <c r="GB178" s="150" t="e">
        <f aca="false">IF(OR(GB$169&lt;SwaptionFirstMonthPosition+1,$FJ178&lt;SwaptionFirstMonthPosition+1,GB$169&gt;SwaptionFirstMonthPosition+SwaptionNumOfMonths+1,$FJ178&gt;SwaptionFirstMonthPosition+SwaptionNumOfMonths+1),"",IF($FJ178=GB$169,1,IF($FJ178&lt;GB$169,INDEX($FK$170:$ID$241,GB$169,$FJ178),SUMPRODUCT(INDEX($FK$325:$ID$396,GB$169,1+SwaptionShift):INDEX($FK$325:$ID$396,GB$169,SwaptionMonthsToGo+SwaptionShift),INDEX($FK$245:$ID$316,$FJ178-GB$169,73-GB$169+SwaptionShift):INDEX($FK$245:$ID$316,$FJ178-GB$169,72-GB$169+SwaptionMonthsToGo+SwaptionShift))/SQRT(SUM(INDEX($FK333:$ID333,1+SwaptionShift):INDEX($FK333:$ID333,SwaptionMonthsToGo+SwaptionShift))*SUM(INDEX($FK$325:$ID$396,GB$169,1+SwaptionShift):INDEX($FK$325:$ID$396,GB$169,SwaptionMonthsToGo+SwaptionShift))))))</f>
        <v>#DIV/0!</v>
      </c>
      <c r="GC178" s="150" t="str">
        <f aca="false">IF(OR(GC$169&lt;SwaptionFirstMonthPosition+1,$FJ178&lt;SwaptionFirstMonthPosition+1,GC$169&gt;SwaptionFirstMonthPosition+SwaptionNumOfMonths+1,$FJ178&gt;SwaptionFirstMonthPosition+SwaptionNumOfMonths+1),"",IF($FJ178=GC$169,1,IF($FJ178&lt;GC$169,INDEX($FK$170:$ID$241,GC$169,$FJ178),SUMPRODUCT(INDEX($FK$325:$ID$396,GC$169,1+SwaptionShift):INDEX($FK$325:$ID$396,GC$169,SwaptionMonthsToGo+SwaptionShift),INDEX($FK$245:$ID$316,$FJ178-GC$169,73-GC$169+SwaptionShift):INDEX($FK$245:$ID$316,$FJ178-GC$169,72-GC$169+SwaptionMonthsToGo+SwaptionShift))/SQRT(SUM(INDEX($FK333:$ID333,1+SwaptionShift):INDEX($FK333:$ID333,SwaptionMonthsToGo+SwaptionShift))*SUM(INDEX($FK$325:$ID$396,GC$169,1+SwaptionShift):INDEX($FK$325:$ID$396,GC$169,SwaptionMonthsToGo+SwaptionShift))))))</f>
        <v/>
      </c>
      <c r="GD178" s="150" t="str">
        <f aca="false">IF(OR(GD$169&lt;SwaptionFirstMonthPosition+1,$FJ178&lt;SwaptionFirstMonthPosition+1,GD$169&gt;SwaptionFirstMonthPosition+SwaptionNumOfMonths+1,$FJ178&gt;SwaptionFirstMonthPosition+SwaptionNumOfMonths+1),"",IF($FJ178=GD$169,1,IF($FJ178&lt;GD$169,INDEX($FK$170:$ID$241,GD$169,$FJ178),SUMPRODUCT(INDEX($FK$325:$ID$396,GD$169,1+SwaptionShift):INDEX($FK$325:$ID$396,GD$169,SwaptionMonthsToGo+SwaptionShift),INDEX($FK$245:$ID$316,$FJ178-GD$169,73-GD$169+SwaptionShift):INDEX($FK$245:$ID$316,$FJ178-GD$169,72-GD$169+SwaptionMonthsToGo+SwaptionShift))/SQRT(SUM(INDEX($FK333:$ID333,1+SwaptionShift):INDEX($FK333:$ID333,SwaptionMonthsToGo+SwaptionShift))*SUM(INDEX($FK$325:$ID$396,GD$169,1+SwaptionShift):INDEX($FK$325:$ID$396,GD$169,SwaptionMonthsToGo+SwaptionShift))))))</f>
        <v/>
      </c>
      <c r="GE178" s="150" t="str">
        <f aca="false">IF(OR(GE$169&lt;SwaptionFirstMonthPosition+1,$FJ178&lt;SwaptionFirstMonthPosition+1,GE$169&gt;SwaptionFirstMonthPosition+SwaptionNumOfMonths+1,$FJ178&gt;SwaptionFirstMonthPosition+SwaptionNumOfMonths+1),"",IF($FJ178=GE$169,1,IF($FJ178&lt;GE$169,INDEX($FK$170:$ID$241,GE$169,$FJ178),SUMPRODUCT(INDEX($FK$325:$ID$396,GE$169,1+SwaptionShift):INDEX($FK$325:$ID$396,GE$169,SwaptionMonthsToGo+SwaptionShift),INDEX($FK$245:$ID$316,$FJ178-GE$169,73-GE$169+SwaptionShift):INDEX($FK$245:$ID$316,$FJ178-GE$169,72-GE$169+SwaptionMonthsToGo+SwaptionShift))/SQRT(SUM(INDEX($FK333:$ID333,1+SwaptionShift):INDEX($FK333:$ID333,SwaptionMonthsToGo+SwaptionShift))*SUM(INDEX($FK$325:$ID$396,GE$169,1+SwaptionShift):INDEX($FK$325:$ID$396,GE$169,SwaptionMonthsToGo+SwaptionShift))))))</f>
        <v/>
      </c>
      <c r="GF178" s="150" t="str">
        <f aca="false">IF(OR(GF$169&lt;SwaptionFirstMonthPosition+1,$FJ178&lt;SwaptionFirstMonthPosition+1,GF$169&gt;SwaptionFirstMonthPosition+SwaptionNumOfMonths+1,$FJ178&gt;SwaptionFirstMonthPosition+SwaptionNumOfMonths+1),"",IF($FJ178=GF$169,1,IF($FJ178&lt;GF$169,INDEX($FK$170:$ID$241,GF$169,$FJ178),SUMPRODUCT(INDEX($FK$325:$ID$396,GF$169,1+SwaptionShift):INDEX($FK$325:$ID$396,GF$169,SwaptionMonthsToGo+SwaptionShift),INDEX($FK$245:$ID$316,$FJ178-GF$169,73-GF$169+SwaptionShift):INDEX($FK$245:$ID$316,$FJ178-GF$169,72-GF$169+SwaptionMonthsToGo+SwaptionShift))/SQRT(SUM(INDEX($FK333:$ID333,1+SwaptionShift):INDEX($FK333:$ID333,SwaptionMonthsToGo+SwaptionShift))*SUM(INDEX($FK$325:$ID$396,GF$169,1+SwaptionShift):INDEX($FK$325:$ID$396,GF$169,SwaptionMonthsToGo+SwaptionShift))))))</f>
        <v/>
      </c>
      <c r="GG178" s="150" t="str">
        <f aca="false">IF(OR(GG$169&lt;SwaptionFirstMonthPosition+1,$FJ178&lt;SwaptionFirstMonthPosition+1,GG$169&gt;SwaptionFirstMonthPosition+SwaptionNumOfMonths+1,$FJ178&gt;SwaptionFirstMonthPosition+SwaptionNumOfMonths+1),"",IF($FJ178=GG$169,1,IF($FJ178&lt;GG$169,INDEX($FK$170:$ID$241,GG$169,$FJ178),SUMPRODUCT(INDEX($FK$325:$ID$396,GG$169,1+SwaptionShift):INDEX($FK$325:$ID$396,GG$169,SwaptionMonthsToGo+SwaptionShift),INDEX($FK$245:$ID$316,$FJ178-GG$169,73-GG$169+SwaptionShift):INDEX($FK$245:$ID$316,$FJ178-GG$169,72-GG$169+SwaptionMonthsToGo+SwaptionShift))/SQRT(SUM(INDEX($FK333:$ID333,1+SwaptionShift):INDEX($FK333:$ID333,SwaptionMonthsToGo+SwaptionShift))*SUM(INDEX($FK$325:$ID$396,GG$169,1+SwaptionShift):INDEX($FK$325:$ID$396,GG$169,SwaptionMonthsToGo+SwaptionShift))))))</f>
        <v/>
      </c>
      <c r="GH178" s="150" t="str">
        <f aca="false">IF(OR(GH$169&lt;SwaptionFirstMonthPosition+1,$FJ178&lt;SwaptionFirstMonthPosition+1,GH$169&gt;SwaptionFirstMonthPosition+SwaptionNumOfMonths+1,$FJ178&gt;SwaptionFirstMonthPosition+SwaptionNumOfMonths+1),"",IF($FJ178=GH$169,1,IF($FJ178&lt;GH$169,INDEX($FK$170:$ID$241,GH$169,$FJ178),SUMPRODUCT(INDEX($FK$325:$ID$396,GH$169,1+SwaptionShift):INDEX($FK$325:$ID$396,GH$169,SwaptionMonthsToGo+SwaptionShift),INDEX($FK$245:$ID$316,$FJ178-GH$169,73-GH$169+SwaptionShift):INDEX($FK$245:$ID$316,$FJ178-GH$169,72-GH$169+SwaptionMonthsToGo+SwaptionShift))/SQRT(SUM(INDEX($FK333:$ID333,1+SwaptionShift):INDEX($FK333:$ID333,SwaptionMonthsToGo+SwaptionShift))*SUM(INDEX($FK$325:$ID$396,GH$169,1+SwaptionShift):INDEX($FK$325:$ID$396,GH$169,SwaptionMonthsToGo+SwaptionShift))))))</f>
        <v/>
      </c>
      <c r="GI178" s="150" t="str">
        <f aca="false">IF(OR(GI$169&lt;SwaptionFirstMonthPosition+1,$FJ178&lt;SwaptionFirstMonthPosition+1,GI$169&gt;SwaptionFirstMonthPosition+SwaptionNumOfMonths+1,$FJ178&gt;SwaptionFirstMonthPosition+SwaptionNumOfMonths+1),"",IF($FJ178=GI$169,1,IF($FJ178&lt;GI$169,INDEX($FK$170:$ID$241,GI$169,$FJ178),SUMPRODUCT(INDEX($FK$325:$ID$396,GI$169,1+SwaptionShift):INDEX($FK$325:$ID$396,GI$169,SwaptionMonthsToGo+SwaptionShift),INDEX($FK$245:$ID$316,$FJ178-GI$169,73-GI$169+SwaptionShift):INDEX($FK$245:$ID$316,$FJ178-GI$169,72-GI$169+SwaptionMonthsToGo+SwaptionShift))/SQRT(SUM(INDEX($FK333:$ID333,1+SwaptionShift):INDEX($FK333:$ID333,SwaptionMonthsToGo+SwaptionShift))*SUM(INDEX($FK$325:$ID$396,GI$169,1+SwaptionShift):INDEX($FK$325:$ID$396,GI$169,SwaptionMonthsToGo+SwaptionShift))))))</f>
        <v/>
      </c>
      <c r="GJ178" s="150" t="str">
        <f aca="false">IF(OR(GJ$169&lt;SwaptionFirstMonthPosition+1,$FJ178&lt;SwaptionFirstMonthPosition+1,GJ$169&gt;SwaptionFirstMonthPosition+SwaptionNumOfMonths+1,$FJ178&gt;SwaptionFirstMonthPosition+SwaptionNumOfMonths+1),"",IF($FJ178=GJ$169,1,IF($FJ178&lt;GJ$169,INDEX($FK$170:$ID$241,GJ$169,$FJ178),SUMPRODUCT(INDEX($FK$325:$ID$396,GJ$169,1+SwaptionShift):INDEX($FK$325:$ID$396,GJ$169,SwaptionMonthsToGo+SwaptionShift),INDEX($FK$245:$ID$316,$FJ178-GJ$169,73-GJ$169+SwaptionShift):INDEX($FK$245:$ID$316,$FJ178-GJ$169,72-GJ$169+SwaptionMonthsToGo+SwaptionShift))/SQRT(SUM(INDEX($FK333:$ID333,1+SwaptionShift):INDEX($FK333:$ID333,SwaptionMonthsToGo+SwaptionShift))*SUM(INDEX($FK$325:$ID$396,GJ$169,1+SwaptionShift):INDEX($FK$325:$ID$396,GJ$169,SwaptionMonthsToGo+SwaptionShift))))))</f>
        <v/>
      </c>
      <c r="GK178" s="150" t="str">
        <f aca="false">IF(OR(GK$169&lt;SwaptionFirstMonthPosition+1,$FJ178&lt;SwaptionFirstMonthPosition+1,GK$169&gt;SwaptionFirstMonthPosition+SwaptionNumOfMonths+1,$FJ178&gt;SwaptionFirstMonthPosition+SwaptionNumOfMonths+1),"",IF($FJ178=GK$169,1,IF($FJ178&lt;GK$169,INDEX($FK$170:$ID$241,GK$169,$FJ178),SUMPRODUCT(INDEX($FK$325:$ID$396,GK$169,1+SwaptionShift):INDEX($FK$325:$ID$396,GK$169,SwaptionMonthsToGo+SwaptionShift),INDEX($FK$245:$ID$316,$FJ178-GK$169,73-GK$169+SwaptionShift):INDEX($FK$245:$ID$316,$FJ178-GK$169,72-GK$169+SwaptionMonthsToGo+SwaptionShift))/SQRT(SUM(INDEX($FK333:$ID333,1+SwaptionShift):INDEX($FK333:$ID333,SwaptionMonthsToGo+SwaptionShift))*SUM(INDEX($FK$325:$ID$396,GK$169,1+SwaptionShift):INDEX($FK$325:$ID$396,GK$169,SwaptionMonthsToGo+SwaptionShift))))))</f>
        <v/>
      </c>
      <c r="GL178" s="150" t="str">
        <f aca="false">IF(OR(GL$169&lt;SwaptionFirstMonthPosition+1,$FJ178&lt;SwaptionFirstMonthPosition+1,GL$169&gt;SwaptionFirstMonthPosition+SwaptionNumOfMonths+1,$FJ178&gt;SwaptionFirstMonthPosition+SwaptionNumOfMonths+1),"",IF($FJ178=GL$169,1,IF($FJ178&lt;GL$169,INDEX($FK$170:$ID$241,GL$169,$FJ178),SUMPRODUCT(INDEX($FK$325:$ID$396,GL$169,1+SwaptionShift):INDEX($FK$325:$ID$396,GL$169,SwaptionMonthsToGo+SwaptionShift),INDEX($FK$245:$ID$316,$FJ178-GL$169,73-GL$169+SwaptionShift):INDEX($FK$245:$ID$316,$FJ178-GL$169,72-GL$169+SwaptionMonthsToGo+SwaptionShift))/SQRT(SUM(INDEX($FK333:$ID333,1+SwaptionShift):INDEX($FK333:$ID333,SwaptionMonthsToGo+SwaptionShift))*SUM(INDEX($FK$325:$ID$396,GL$169,1+SwaptionShift):INDEX($FK$325:$ID$396,GL$169,SwaptionMonthsToGo+SwaptionShift))))))</f>
        <v/>
      </c>
      <c r="GM178" s="150" t="str">
        <f aca="false">IF(OR(GM$169&lt;SwaptionFirstMonthPosition+1,$FJ178&lt;SwaptionFirstMonthPosition+1,GM$169&gt;SwaptionFirstMonthPosition+SwaptionNumOfMonths+1,$FJ178&gt;SwaptionFirstMonthPosition+SwaptionNumOfMonths+1),"",IF($FJ178=GM$169,1,IF($FJ178&lt;GM$169,INDEX($FK$170:$ID$241,GM$169,$FJ178),SUMPRODUCT(INDEX($FK$325:$ID$396,GM$169,1+SwaptionShift):INDEX($FK$325:$ID$396,GM$169,SwaptionMonthsToGo+SwaptionShift),INDEX($FK$245:$ID$316,$FJ178-GM$169,73-GM$169+SwaptionShift):INDEX($FK$245:$ID$316,$FJ178-GM$169,72-GM$169+SwaptionMonthsToGo+SwaptionShift))/SQRT(SUM(INDEX($FK333:$ID333,1+SwaptionShift):INDEX($FK333:$ID333,SwaptionMonthsToGo+SwaptionShift))*SUM(INDEX($FK$325:$ID$396,GM$169,1+SwaptionShift):INDEX($FK$325:$ID$396,GM$169,SwaptionMonthsToGo+SwaptionShift))))))</f>
        <v/>
      </c>
      <c r="GN178" s="150" t="str">
        <f aca="false">IF(OR(GN$169&lt;SwaptionFirstMonthPosition+1,$FJ178&lt;SwaptionFirstMonthPosition+1,GN$169&gt;SwaptionFirstMonthPosition+SwaptionNumOfMonths+1,$FJ178&gt;SwaptionFirstMonthPosition+SwaptionNumOfMonths+1),"",IF($FJ178=GN$169,1,IF($FJ178&lt;GN$169,INDEX($FK$170:$ID$241,GN$169,$FJ178),SUMPRODUCT(INDEX($FK$325:$ID$396,GN$169,1+SwaptionShift):INDEX($FK$325:$ID$396,GN$169,SwaptionMonthsToGo+SwaptionShift),INDEX($FK$245:$ID$316,$FJ178-GN$169,73-GN$169+SwaptionShift):INDEX($FK$245:$ID$316,$FJ178-GN$169,72-GN$169+SwaptionMonthsToGo+SwaptionShift))/SQRT(SUM(INDEX($FK333:$ID333,1+SwaptionShift):INDEX($FK333:$ID333,SwaptionMonthsToGo+SwaptionShift))*SUM(INDEX($FK$325:$ID$396,GN$169,1+SwaptionShift):INDEX($FK$325:$ID$396,GN$169,SwaptionMonthsToGo+SwaptionShift))))))</f>
        <v/>
      </c>
      <c r="GO178" s="150" t="str">
        <f aca="false">IF(OR(GO$169&lt;SwaptionFirstMonthPosition+1,$FJ178&lt;SwaptionFirstMonthPosition+1,GO$169&gt;SwaptionFirstMonthPosition+SwaptionNumOfMonths+1,$FJ178&gt;SwaptionFirstMonthPosition+SwaptionNumOfMonths+1),"",IF($FJ178=GO$169,1,IF($FJ178&lt;GO$169,INDEX($FK$170:$ID$241,GO$169,$FJ178),SUMPRODUCT(INDEX($FK$325:$ID$396,GO$169,1+SwaptionShift):INDEX($FK$325:$ID$396,GO$169,SwaptionMonthsToGo+SwaptionShift),INDEX($FK$245:$ID$316,$FJ178-GO$169,73-GO$169+SwaptionShift):INDEX($FK$245:$ID$316,$FJ178-GO$169,72-GO$169+SwaptionMonthsToGo+SwaptionShift))/SQRT(SUM(INDEX($FK333:$ID333,1+SwaptionShift):INDEX($FK333:$ID333,SwaptionMonthsToGo+SwaptionShift))*SUM(INDEX($FK$325:$ID$396,GO$169,1+SwaptionShift):INDEX($FK$325:$ID$396,GO$169,SwaptionMonthsToGo+SwaptionShift))))))</f>
        <v/>
      </c>
      <c r="GP178" s="150" t="str">
        <f aca="false">IF(OR(GP$169&lt;SwaptionFirstMonthPosition+1,$FJ178&lt;SwaptionFirstMonthPosition+1,GP$169&gt;SwaptionFirstMonthPosition+SwaptionNumOfMonths+1,$FJ178&gt;SwaptionFirstMonthPosition+SwaptionNumOfMonths+1),"",IF($FJ178=GP$169,1,IF($FJ178&lt;GP$169,INDEX($FK$170:$ID$241,GP$169,$FJ178),SUMPRODUCT(INDEX($FK$325:$ID$396,GP$169,1+SwaptionShift):INDEX($FK$325:$ID$396,GP$169,SwaptionMonthsToGo+SwaptionShift),INDEX($FK$245:$ID$316,$FJ178-GP$169,73-GP$169+SwaptionShift):INDEX($FK$245:$ID$316,$FJ178-GP$169,72-GP$169+SwaptionMonthsToGo+SwaptionShift))/SQRT(SUM(INDEX($FK333:$ID333,1+SwaptionShift):INDEX($FK333:$ID333,SwaptionMonthsToGo+SwaptionShift))*SUM(INDEX($FK$325:$ID$396,GP$169,1+SwaptionShift):INDEX($FK$325:$ID$396,GP$169,SwaptionMonthsToGo+SwaptionShift))))))</f>
        <v/>
      </c>
      <c r="GQ178" s="150" t="str">
        <f aca="false">IF(OR(GQ$169&lt;SwaptionFirstMonthPosition+1,$FJ178&lt;SwaptionFirstMonthPosition+1,GQ$169&gt;SwaptionFirstMonthPosition+SwaptionNumOfMonths+1,$FJ178&gt;SwaptionFirstMonthPosition+SwaptionNumOfMonths+1),"",IF($FJ178=GQ$169,1,IF($FJ178&lt;GQ$169,INDEX($FK$170:$ID$241,GQ$169,$FJ178),SUMPRODUCT(INDEX($FK$325:$ID$396,GQ$169,1+SwaptionShift):INDEX($FK$325:$ID$396,GQ$169,SwaptionMonthsToGo+SwaptionShift),INDEX($FK$245:$ID$316,$FJ178-GQ$169,73-GQ$169+SwaptionShift):INDEX($FK$245:$ID$316,$FJ178-GQ$169,72-GQ$169+SwaptionMonthsToGo+SwaptionShift))/SQRT(SUM(INDEX($FK333:$ID333,1+SwaptionShift):INDEX($FK333:$ID333,SwaptionMonthsToGo+SwaptionShift))*SUM(INDEX($FK$325:$ID$396,GQ$169,1+SwaptionShift):INDEX($FK$325:$ID$396,GQ$169,SwaptionMonthsToGo+SwaptionShift))))))</f>
        <v/>
      </c>
      <c r="GR178" s="150" t="str">
        <f aca="false">IF(OR(GR$169&lt;SwaptionFirstMonthPosition+1,$FJ178&lt;SwaptionFirstMonthPosition+1,GR$169&gt;SwaptionFirstMonthPosition+SwaptionNumOfMonths+1,$FJ178&gt;SwaptionFirstMonthPosition+SwaptionNumOfMonths+1),"",IF($FJ178=GR$169,1,IF($FJ178&lt;GR$169,INDEX($FK$170:$ID$241,GR$169,$FJ178),SUMPRODUCT(INDEX($FK$325:$ID$396,GR$169,1+SwaptionShift):INDEX($FK$325:$ID$396,GR$169,SwaptionMonthsToGo+SwaptionShift),INDEX($FK$245:$ID$316,$FJ178-GR$169,73-GR$169+SwaptionShift):INDEX($FK$245:$ID$316,$FJ178-GR$169,72-GR$169+SwaptionMonthsToGo+SwaptionShift))/SQRT(SUM(INDEX($FK333:$ID333,1+SwaptionShift):INDEX($FK333:$ID333,SwaptionMonthsToGo+SwaptionShift))*SUM(INDEX($FK$325:$ID$396,GR$169,1+SwaptionShift):INDEX($FK$325:$ID$396,GR$169,SwaptionMonthsToGo+SwaptionShift))))))</f>
        <v/>
      </c>
      <c r="GS178" s="150" t="str">
        <f aca="false">IF(OR(GS$169&lt;SwaptionFirstMonthPosition+1,$FJ178&lt;SwaptionFirstMonthPosition+1,GS$169&gt;SwaptionFirstMonthPosition+SwaptionNumOfMonths+1,$FJ178&gt;SwaptionFirstMonthPosition+SwaptionNumOfMonths+1),"",IF($FJ178=GS$169,1,IF($FJ178&lt;GS$169,INDEX($FK$170:$ID$241,GS$169,$FJ178),SUMPRODUCT(INDEX($FK$325:$ID$396,GS$169,1+SwaptionShift):INDEX($FK$325:$ID$396,GS$169,SwaptionMonthsToGo+SwaptionShift),INDEX($FK$245:$ID$316,$FJ178-GS$169,73-GS$169+SwaptionShift):INDEX($FK$245:$ID$316,$FJ178-GS$169,72-GS$169+SwaptionMonthsToGo+SwaptionShift))/SQRT(SUM(INDEX($FK333:$ID333,1+SwaptionShift):INDEX($FK333:$ID333,SwaptionMonthsToGo+SwaptionShift))*SUM(INDEX($FK$325:$ID$396,GS$169,1+SwaptionShift):INDEX($FK$325:$ID$396,GS$169,SwaptionMonthsToGo+SwaptionShift))))))</f>
        <v/>
      </c>
      <c r="GT178" s="150" t="str">
        <f aca="false">IF(OR(GT$169&lt;SwaptionFirstMonthPosition+1,$FJ178&lt;SwaptionFirstMonthPosition+1,GT$169&gt;SwaptionFirstMonthPosition+SwaptionNumOfMonths+1,$FJ178&gt;SwaptionFirstMonthPosition+SwaptionNumOfMonths+1),"",IF($FJ178=GT$169,1,IF($FJ178&lt;GT$169,INDEX($FK$170:$ID$241,GT$169,$FJ178),SUMPRODUCT(INDEX($FK$325:$ID$396,GT$169,1+SwaptionShift):INDEX($FK$325:$ID$396,GT$169,SwaptionMonthsToGo+SwaptionShift),INDEX($FK$245:$ID$316,$FJ178-GT$169,73-GT$169+SwaptionShift):INDEX($FK$245:$ID$316,$FJ178-GT$169,72-GT$169+SwaptionMonthsToGo+SwaptionShift))/SQRT(SUM(INDEX($FK333:$ID333,1+SwaptionShift):INDEX($FK333:$ID333,SwaptionMonthsToGo+SwaptionShift))*SUM(INDEX($FK$325:$ID$396,GT$169,1+SwaptionShift):INDEX($FK$325:$ID$396,GT$169,SwaptionMonthsToGo+SwaptionShift))))))</f>
        <v/>
      </c>
      <c r="GU178" s="150" t="str">
        <f aca="false">IF(OR(GU$169&lt;SwaptionFirstMonthPosition+1,$FJ178&lt;SwaptionFirstMonthPosition+1,GU$169&gt;SwaptionFirstMonthPosition+SwaptionNumOfMonths+1,$FJ178&gt;SwaptionFirstMonthPosition+SwaptionNumOfMonths+1),"",IF($FJ178=GU$169,1,IF($FJ178&lt;GU$169,INDEX($FK$170:$ID$241,GU$169,$FJ178),SUMPRODUCT(INDEX($FK$325:$ID$396,GU$169,1+SwaptionShift):INDEX($FK$325:$ID$396,GU$169,SwaptionMonthsToGo+SwaptionShift),INDEX($FK$245:$ID$316,$FJ178-GU$169,73-GU$169+SwaptionShift):INDEX($FK$245:$ID$316,$FJ178-GU$169,72-GU$169+SwaptionMonthsToGo+SwaptionShift))/SQRT(SUM(INDEX($FK333:$ID333,1+SwaptionShift):INDEX($FK333:$ID333,SwaptionMonthsToGo+SwaptionShift))*SUM(INDEX($FK$325:$ID$396,GU$169,1+SwaptionShift):INDEX($FK$325:$ID$396,GU$169,SwaptionMonthsToGo+SwaptionShift))))))</f>
        <v/>
      </c>
      <c r="GV178" s="150" t="str">
        <f aca="false">IF(OR(GV$169&lt;SwaptionFirstMonthPosition+1,$FJ178&lt;SwaptionFirstMonthPosition+1,GV$169&gt;SwaptionFirstMonthPosition+SwaptionNumOfMonths+1,$FJ178&gt;SwaptionFirstMonthPosition+SwaptionNumOfMonths+1),"",IF($FJ178=GV$169,1,IF($FJ178&lt;GV$169,INDEX($FK$170:$ID$241,GV$169,$FJ178),SUMPRODUCT(INDEX($FK$325:$ID$396,GV$169,1+SwaptionShift):INDEX($FK$325:$ID$396,GV$169,SwaptionMonthsToGo+SwaptionShift),INDEX($FK$245:$ID$316,$FJ178-GV$169,73-GV$169+SwaptionShift):INDEX($FK$245:$ID$316,$FJ178-GV$169,72-GV$169+SwaptionMonthsToGo+SwaptionShift))/SQRT(SUM(INDEX($FK333:$ID333,1+SwaptionShift):INDEX($FK333:$ID333,SwaptionMonthsToGo+SwaptionShift))*SUM(INDEX($FK$325:$ID$396,GV$169,1+SwaptionShift):INDEX($FK$325:$ID$396,GV$169,SwaptionMonthsToGo+SwaptionShift))))))</f>
        <v/>
      </c>
      <c r="GW178" s="150" t="str">
        <f aca="false">IF(OR(GW$169&lt;SwaptionFirstMonthPosition+1,$FJ178&lt;SwaptionFirstMonthPosition+1,GW$169&gt;SwaptionFirstMonthPosition+SwaptionNumOfMonths+1,$FJ178&gt;SwaptionFirstMonthPosition+SwaptionNumOfMonths+1),"",IF($FJ178=GW$169,1,IF($FJ178&lt;GW$169,INDEX($FK$170:$ID$241,GW$169,$FJ178),SUMPRODUCT(INDEX($FK$325:$ID$396,GW$169,1+SwaptionShift):INDEX($FK$325:$ID$396,GW$169,SwaptionMonthsToGo+SwaptionShift),INDEX($FK$245:$ID$316,$FJ178-GW$169,73-GW$169+SwaptionShift):INDEX($FK$245:$ID$316,$FJ178-GW$169,72-GW$169+SwaptionMonthsToGo+SwaptionShift))/SQRT(SUM(INDEX($FK333:$ID333,1+SwaptionShift):INDEX($FK333:$ID333,SwaptionMonthsToGo+SwaptionShift))*SUM(INDEX($FK$325:$ID$396,GW$169,1+SwaptionShift):INDEX($FK$325:$ID$396,GW$169,SwaptionMonthsToGo+SwaptionShift))))))</f>
        <v/>
      </c>
      <c r="GX178" s="150" t="str">
        <f aca="false">IF(OR(GX$169&lt;SwaptionFirstMonthPosition+1,$FJ178&lt;SwaptionFirstMonthPosition+1,GX$169&gt;SwaptionFirstMonthPosition+SwaptionNumOfMonths+1,$FJ178&gt;SwaptionFirstMonthPosition+SwaptionNumOfMonths+1),"",IF($FJ178=GX$169,1,IF($FJ178&lt;GX$169,INDEX($FK$170:$ID$241,GX$169,$FJ178),SUMPRODUCT(INDEX($FK$325:$ID$396,GX$169,1+SwaptionShift):INDEX($FK$325:$ID$396,GX$169,SwaptionMonthsToGo+SwaptionShift),INDEX($FK$245:$ID$316,$FJ178-GX$169,73-GX$169+SwaptionShift):INDEX($FK$245:$ID$316,$FJ178-GX$169,72-GX$169+SwaptionMonthsToGo+SwaptionShift))/SQRT(SUM(INDEX($FK333:$ID333,1+SwaptionShift):INDEX($FK333:$ID333,SwaptionMonthsToGo+SwaptionShift))*SUM(INDEX($FK$325:$ID$396,GX$169,1+SwaptionShift):INDEX($FK$325:$ID$396,GX$169,SwaptionMonthsToGo+SwaptionShift))))))</f>
        <v/>
      </c>
      <c r="GY178" s="150" t="str">
        <f aca="false">IF(OR(GY$169&lt;SwaptionFirstMonthPosition+1,$FJ178&lt;SwaptionFirstMonthPosition+1,GY$169&gt;SwaptionFirstMonthPosition+SwaptionNumOfMonths+1,$FJ178&gt;SwaptionFirstMonthPosition+SwaptionNumOfMonths+1),"",IF($FJ178=GY$169,1,IF($FJ178&lt;GY$169,INDEX($FK$170:$ID$241,GY$169,$FJ178),SUMPRODUCT(INDEX($FK$325:$ID$396,GY$169,1+SwaptionShift):INDEX($FK$325:$ID$396,GY$169,SwaptionMonthsToGo+SwaptionShift),INDEX($FK$245:$ID$316,$FJ178-GY$169,73-GY$169+SwaptionShift):INDEX($FK$245:$ID$316,$FJ178-GY$169,72-GY$169+SwaptionMonthsToGo+SwaptionShift))/SQRT(SUM(INDEX($FK333:$ID333,1+SwaptionShift):INDEX($FK333:$ID333,SwaptionMonthsToGo+SwaptionShift))*SUM(INDEX($FK$325:$ID$396,GY$169,1+SwaptionShift):INDEX($FK$325:$ID$396,GY$169,SwaptionMonthsToGo+SwaptionShift))))))</f>
        <v/>
      </c>
      <c r="GZ178" s="150" t="str">
        <f aca="false">IF(OR(GZ$169&lt;SwaptionFirstMonthPosition+1,$FJ178&lt;SwaptionFirstMonthPosition+1,GZ$169&gt;SwaptionFirstMonthPosition+SwaptionNumOfMonths+1,$FJ178&gt;SwaptionFirstMonthPosition+SwaptionNumOfMonths+1),"",IF($FJ178=GZ$169,1,IF($FJ178&lt;GZ$169,INDEX($FK$170:$ID$241,GZ$169,$FJ178),SUMPRODUCT(INDEX($FK$325:$ID$396,GZ$169,1+SwaptionShift):INDEX($FK$325:$ID$396,GZ$169,SwaptionMonthsToGo+SwaptionShift),INDEX($FK$245:$ID$316,$FJ178-GZ$169,73-GZ$169+SwaptionShift):INDEX($FK$245:$ID$316,$FJ178-GZ$169,72-GZ$169+SwaptionMonthsToGo+SwaptionShift))/SQRT(SUM(INDEX($FK333:$ID333,1+SwaptionShift):INDEX($FK333:$ID333,SwaptionMonthsToGo+SwaptionShift))*SUM(INDEX($FK$325:$ID$396,GZ$169,1+SwaptionShift):INDEX($FK$325:$ID$396,GZ$169,SwaptionMonthsToGo+SwaptionShift))))))</f>
        <v/>
      </c>
      <c r="HA178" s="150" t="str">
        <f aca="false">IF(OR(HA$169&lt;SwaptionFirstMonthPosition+1,$FJ178&lt;SwaptionFirstMonthPosition+1,HA$169&gt;SwaptionFirstMonthPosition+SwaptionNumOfMonths+1,$FJ178&gt;SwaptionFirstMonthPosition+SwaptionNumOfMonths+1),"",IF($FJ178=HA$169,1,IF($FJ178&lt;HA$169,INDEX($FK$170:$ID$241,HA$169,$FJ178),SUMPRODUCT(INDEX($FK$325:$ID$396,HA$169,1+SwaptionShift):INDEX($FK$325:$ID$396,HA$169,SwaptionMonthsToGo+SwaptionShift),INDEX($FK$245:$ID$316,$FJ178-HA$169,73-HA$169+SwaptionShift):INDEX($FK$245:$ID$316,$FJ178-HA$169,72-HA$169+SwaptionMonthsToGo+SwaptionShift))/SQRT(SUM(INDEX($FK333:$ID333,1+SwaptionShift):INDEX($FK333:$ID333,SwaptionMonthsToGo+SwaptionShift))*SUM(INDEX($FK$325:$ID$396,HA$169,1+SwaptionShift):INDEX($FK$325:$ID$396,HA$169,SwaptionMonthsToGo+SwaptionShift))))))</f>
        <v/>
      </c>
      <c r="HB178" s="150" t="str">
        <f aca="false">IF(OR(HB$169&lt;SwaptionFirstMonthPosition+1,$FJ178&lt;SwaptionFirstMonthPosition+1,HB$169&gt;SwaptionFirstMonthPosition+SwaptionNumOfMonths+1,$FJ178&gt;SwaptionFirstMonthPosition+SwaptionNumOfMonths+1),"",IF($FJ178=HB$169,1,IF($FJ178&lt;HB$169,INDEX($FK$170:$ID$241,HB$169,$FJ178),SUMPRODUCT(INDEX($FK$325:$ID$396,HB$169,1+SwaptionShift):INDEX($FK$325:$ID$396,HB$169,SwaptionMonthsToGo+SwaptionShift),INDEX($FK$245:$ID$316,$FJ178-HB$169,73-HB$169+SwaptionShift):INDEX($FK$245:$ID$316,$FJ178-HB$169,72-HB$169+SwaptionMonthsToGo+SwaptionShift))/SQRT(SUM(INDEX($FK333:$ID333,1+SwaptionShift):INDEX($FK333:$ID333,SwaptionMonthsToGo+SwaptionShift))*SUM(INDEX($FK$325:$ID$396,HB$169,1+SwaptionShift):INDEX($FK$325:$ID$396,HB$169,SwaptionMonthsToGo+SwaptionShift))))))</f>
        <v/>
      </c>
      <c r="HC178" s="150" t="str">
        <f aca="false">IF(OR(HC$169&lt;SwaptionFirstMonthPosition+1,$FJ178&lt;SwaptionFirstMonthPosition+1,HC$169&gt;SwaptionFirstMonthPosition+SwaptionNumOfMonths+1,$FJ178&gt;SwaptionFirstMonthPosition+SwaptionNumOfMonths+1),"",IF($FJ178=HC$169,1,IF($FJ178&lt;HC$169,INDEX($FK$170:$ID$241,HC$169,$FJ178),SUMPRODUCT(INDEX($FK$325:$ID$396,HC$169,1+SwaptionShift):INDEX($FK$325:$ID$396,HC$169,SwaptionMonthsToGo+SwaptionShift),INDEX($FK$245:$ID$316,$FJ178-HC$169,73-HC$169+SwaptionShift):INDEX($FK$245:$ID$316,$FJ178-HC$169,72-HC$169+SwaptionMonthsToGo+SwaptionShift))/SQRT(SUM(INDEX($FK333:$ID333,1+SwaptionShift):INDEX($FK333:$ID333,SwaptionMonthsToGo+SwaptionShift))*SUM(INDEX($FK$325:$ID$396,HC$169,1+SwaptionShift):INDEX($FK$325:$ID$396,HC$169,SwaptionMonthsToGo+SwaptionShift))))))</f>
        <v/>
      </c>
      <c r="HD178" s="150" t="str">
        <f aca="false">IF(OR(HD$169&lt;SwaptionFirstMonthPosition+1,$FJ178&lt;SwaptionFirstMonthPosition+1,HD$169&gt;SwaptionFirstMonthPosition+SwaptionNumOfMonths+1,$FJ178&gt;SwaptionFirstMonthPosition+SwaptionNumOfMonths+1),"",IF($FJ178=HD$169,1,IF($FJ178&lt;HD$169,INDEX($FK$170:$ID$241,HD$169,$FJ178),SUMPRODUCT(INDEX($FK$325:$ID$396,HD$169,1+SwaptionShift):INDEX($FK$325:$ID$396,HD$169,SwaptionMonthsToGo+SwaptionShift),INDEX($FK$245:$ID$316,$FJ178-HD$169,73-HD$169+SwaptionShift):INDEX($FK$245:$ID$316,$FJ178-HD$169,72-HD$169+SwaptionMonthsToGo+SwaptionShift))/SQRT(SUM(INDEX($FK333:$ID333,1+SwaptionShift):INDEX($FK333:$ID333,SwaptionMonthsToGo+SwaptionShift))*SUM(INDEX($FK$325:$ID$396,HD$169,1+SwaptionShift):INDEX($FK$325:$ID$396,HD$169,SwaptionMonthsToGo+SwaptionShift))))))</f>
        <v/>
      </c>
      <c r="HE178" s="150" t="str">
        <f aca="false">IF(OR(HE$169&lt;SwaptionFirstMonthPosition+1,$FJ178&lt;SwaptionFirstMonthPosition+1,HE$169&gt;SwaptionFirstMonthPosition+SwaptionNumOfMonths+1,$FJ178&gt;SwaptionFirstMonthPosition+SwaptionNumOfMonths+1),"",IF($FJ178=HE$169,1,IF($FJ178&lt;HE$169,INDEX($FK$170:$ID$241,HE$169,$FJ178),SUMPRODUCT(INDEX($FK$325:$ID$396,HE$169,1+SwaptionShift):INDEX($FK$325:$ID$396,HE$169,SwaptionMonthsToGo+SwaptionShift),INDEX($FK$245:$ID$316,$FJ178-HE$169,73-HE$169+SwaptionShift):INDEX($FK$245:$ID$316,$FJ178-HE$169,72-HE$169+SwaptionMonthsToGo+SwaptionShift))/SQRT(SUM(INDEX($FK333:$ID333,1+SwaptionShift):INDEX($FK333:$ID333,SwaptionMonthsToGo+SwaptionShift))*SUM(INDEX($FK$325:$ID$396,HE$169,1+SwaptionShift):INDEX($FK$325:$ID$396,HE$169,SwaptionMonthsToGo+SwaptionShift))))))</f>
        <v/>
      </c>
      <c r="HF178" s="150" t="str">
        <f aca="false">IF(OR(HF$169&lt;SwaptionFirstMonthPosition+1,$FJ178&lt;SwaptionFirstMonthPosition+1,HF$169&gt;SwaptionFirstMonthPosition+SwaptionNumOfMonths+1,$FJ178&gt;SwaptionFirstMonthPosition+SwaptionNumOfMonths+1),"",IF($FJ178=HF$169,1,IF($FJ178&lt;HF$169,INDEX($FK$170:$ID$241,HF$169,$FJ178),SUMPRODUCT(INDEX($FK$325:$ID$396,HF$169,1+SwaptionShift):INDEX($FK$325:$ID$396,HF$169,SwaptionMonthsToGo+SwaptionShift),INDEX($FK$245:$ID$316,$FJ178-HF$169,73-HF$169+SwaptionShift):INDEX($FK$245:$ID$316,$FJ178-HF$169,72-HF$169+SwaptionMonthsToGo+SwaptionShift))/SQRT(SUM(INDEX($FK333:$ID333,1+SwaptionShift):INDEX($FK333:$ID333,SwaptionMonthsToGo+SwaptionShift))*SUM(INDEX($FK$325:$ID$396,HF$169,1+SwaptionShift):INDEX($FK$325:$ID$396,HF$169,SwaptionMonthsToGo+SwaptionShift))))))</f>
        <v/>
      </c>
      <c r="HG178" s="150" t="str">
        <f aca="false">IF(OR(HG$169&lt;SwaptionFirstMonthPosition+1,$FJ178&lt;SwaptionFirstMonthPosition+1,HG$169&gt;SwaptionFirstMonthPosition+SwaptionNumOfMonths+1,$FJ178&gt;SwaptionFirstMonthPosition+SwaptionNumOfMonths+1),"",IF($FJ178=HG$169,1,IF($FJ178&lt;HG$169,INDEX($FK$170:$ID$241,HG$169,$FJ178),SUMPRODUCT(INDEX($FK$325:$ID$396,HG$169,1+SwaptionShift):INDEX($FK$325:$ID$396,HG$169,SwaptionMonthsToGo+SwaptionShift),INDEX($FK$245:$ID$316,$FJ178-HG$169,73-HG$169+SwaptionShift):INDEX($FK$245:$ID$316,$FJ178-HG$169,72-HG$169+SwaptionMonthsToGo+SwaptionShift))/SQRT(SUM(INDEX($FK333:$ID333,1+SwaptionShift):INDEX($FK333:$ID333,SwaptionMonthsToGo+SwaptionShift))*SUM(INDEX($FK$325:$ID$396,HG$169,1+SwaptionShift):INDEX($FK$325:$ID$396,HG$169,SwaptionMonthsToGo+SwaptionShift))))))</f>
        <v/>
      </c>
      <c r="HH178" s="150" t="str">
        <f aca="false">IF(OR(HH$169&lt;SwaptionFirstMonthPosition+1,$FJ178&lt;SwaptionFirstMonthPosition+1,HH$169&gt;SwaptionFirstMonthPosition+SwaptionNumOfMonths+1,$FJ178&gt;SwaptionFirstMonthPosition+SwaptionNumOfMonths+1),"",IF($FJ178=HH$169,1,IF($FJ178&lt;HH$169,INDEX($FK$170:$ID$241,HH$169,$FJ178),SUMPRODUCT(INDEX($FK$325:$ID$396,HH$169,1+SwaptionShift):INDEX($FK$325:$ID$396,HH$169,SwaptionMonthsToGo+SwaptionShift),INDEX($FK$245:$ID$316,$FJ178-HH$169,73-HH$169+SwaptionShift):INDEX($FK$245:$ID$316,$FJ178-HH$169,72-HH$169+SwaptionMonthsToGo+SwaptionShift))/SQRT(SUM(INDEX($FK333:$ID333,1+SwaptionShift):INDEX($FK333:$ID333,SwaptionMonthsToGo+SwaptionShift))*SUM(INDEX($FK$325:$ID$396,HH$169,1+SwaptionShift):INDEX($FK$325:$ID$396,HH$169,SwaptionMonthsToGo+SwaptionShift))))))</f>
        <v/>
      </c>
      <c r="HI178" s="150" t="str">
        <f aca="false">IF(OR(HI$169&lt;SwaptionFirstMonthPosition+1,$FJ178&lt;SwaptionFirstMonthPosition+1,HI$169&gt;SwaptionFirstMonthPosition+SwaptionNumOfMonths+1,$FJ178&gt;SwaptionFirstMonthPosition+SwaptionNumOfMonths+1),"",IF($FJ178=HI$169,1,IF($FJ178&lt;HI$169,INDEX($FK$170:$ID$241,HI$169,$FJ178),SUMPRODUCT(INDEX($FK$325:$ID$396,HI$169,1+SwaptionShift):INDEX($FK$325:$ID$396,HI$169,SwaptionMonthsToGo+SwaptionShift),INDEX($FK$245:$ID$316,$FJ178-HI$169,73-HI$169+SwaptionShift):INDEX($FK$245:$ID$316,$FJ178-HI$169,72-HI$169+SwaptionMonthsToGo+SwaptionShift))/SQRT(SUM(INDEX($FK333:$ID333,1+SwaptionShift):INDEX($FK333:$ID333,SwaptionMonthsToGo+SwaptionShift))*SUM(INDEX($FK$325:$ID$396,HI$169,1+SwaptionShift):INDEX($FK$325:$ID$396,HI$169,SwaptionMonthsToGo+SwaptionShift))))))</f>
        <v/>
      </c>
      <c r="HJ178" s="150" t="str">
        <f aca="false">IF(OR(HJ$169&lt;SwaptionFirstMonthPosition+1,$FJ178&lt;SwaptionFirstMonthPosition+1,HJ$169&gt;SwaptionFirstMonthPosition+SwaptionNumOfMonths+1,$FJ178&gt;SwaptionFirstMonthPosition+SwaptionNumOfMonths+1),"",IF($FJ178=HJ$169,1,IF($FJ178&lt;HJ$169,INDEX($FK$170:$ID$241,HJ$169,$FJ178),SUMPRODUCT(INDEX($FK$325:$ID$396,HJ$169,1+SwaptionShift):INDEX($FK$325:$ID$396,HJ$169,SwaptionMonthsToGo+SwaptionShift),INDEX($FK$245:$ID$316,$FJ178-HJ$169,73-HJ$169+SwaptionShift):INDEX($FK$245:$ID$316,$FJ178-HJ$169,72-HJ$169+SwaptionMonthsToGo+SwaptionShift))/SQRT(SUM(INDEX($FK333:$ID333,1+SwaptionShift):INDEX($FK333:$ID333,SwaptionMonthsToGo+SwaptionShift))*SUM(INDEX($FK$325:$ID$396,HJ$169,1+SwaptionShift):INDEX($FK$325:$ID$396,HJ$169,SwaptionMonthsToGo+SwaptionShift))))))</f>
        <v/>
      </c>
      <c r="HK178" s="150" t="str">
        <f aca="false">IF(OR(HK$169&lt;SwaptionFirstMonthPosition+1,$FJ178&lt;SwaptionFirstMonthPosition+1,HK$169&gt;SwaptionFirstMonthPosition+SwaptionNumOfMonths+1,$FJ178&gt;SwaptionFirstMonthPosition+SwaptionNumOfMonths+1),"",IF($FJ178=HK$169,1,IF($FJ178&lt;HK$169,INDEX($FK$170:$ID$241,HK$169,$FJ178),SUMPRODUCT(INDEX($FK$325:$ID$396,HK$169,1+SwaptionShift):INDEX($FK$325:$ID$396,HK$169,SwaptionMonthsToGo+SwaptionShift),INDEX($FK$245:$ID$316,$FJ178-HK$169,73-HK$169+SwaptionShift):INDEX($FK$245:$ID$316,$FJ178-HK$169,72-HK$169+SwaptionMonthsToGo+SwaptionShift))/SQRT(SUM(INDEX($FK333:$ID333,1+SwaptionShift):INDEX($FK333:$ID333,SwaptionMonthsToGo+SwaptionShift))*SUM(INDEX($FK$325:$ID$396,HK$169,1+SwaptionShift):INDEX($FK$325:$ID$396,HK$169,SwaptionMonthsToGo+SwaptionShift))))))</f>
        <v/>
      </c>
      <c r="HL178" s="150" t="str">
        <f aca="false">IF(OR(HL$169&lt;SwaptionFirstMonthPosition+1,$FJ178&lt;SwaptionFirstMonthPosition+1,HL$169&gt;SwaptionFirstMonthPosition+SwaptionNumOfMonths+1,$FJ178&gt;SwaptionFirstMonthPosition+SwaptionNumOfMonths+1),"",IF($FJ178=HL$169,1,IF($FJ178&lt;HL$169,INDEX($FK$170:$ID$241,HL$169,$FJ178),SUMPRODUCT(INDEX($FK$325:$ID$396,HL$169,1+SwaptionShift):INDEX($FK$325:$ID$396,HL$169,SwaptionMonthsToGo+SwaptionShift),INDEX($FK$245:$ID$316,$FJ178-HL$169,73-HL$169+SwaptionShift):INDEX($FK$245:$ID$316,$FJ178-HL$169,72-HL$169+SwaptionMonthsToGo+SwaptionShift))/SQRT(SUM(INDEX($FK333:$ID333,1+SwaptionShift):INDEX($FK333:$ID333,SwaptionMonthsToGo+SwaptionShift))*SUM(INDEX($FK$325:$ID$396,HL$169,1+SwaptionShift):INDEX($FK$325:$ID$396,HL$169,SwaptionMonthsToGo+SwaptionShift))))))</f>
        <v/>
      </c>
      <c r="HM178" s="150" t="str">
        <f aca="false">IF(OR(HM$169&lt;SwaptionFirstMonthPosition+1,$FJ178&lt;SwaptionFirstMonthPosition+1,HM$169&gt;SwaptionFirstMonthPosition+SwaptionNumOfMonths+1,$FJ178&gt;SwaptionFirstMonthPosition+SwaptionNumOfMonths+1),"",IF($FJ178=HM$169,1,IF($FJ178&lt;HM$169,INDEX($FK$170:$ID$241,HM$169,$FJ178),SUMPRODUCT(INDEX($FK$325:$ID$396,HM$169,1+SwaptionShift):INDEX($FK$325:$ID$396,HM$169,SwaptionMonthsToGo+SwaptionShift),INDEX($FK$245:$ID$316,$FJ178-HM$169,73-HM$169+SwaptionShift):INDEX($FK$245:$ID$316,$FJ178-HM$169,72-HM$169+SwaptionMonthsToGo+SwaptionShift))/SQRT(SUM(INDEX($FK333:$ID333,1+SwaptionShift):INDEX($FK333:$ID333,SwaptionMonthsToGo+SwaptionShift))*SUM(INDEX($FK$325:$ID$396,HM$169,1+SwaptionShift):INDEX($FK$325:$ID$396,HM$169,SwaptionMonthsToGo+SwaptionShift))))))</f>
        <v/>
      </c>
      <c r="HN178" s="150" t="str">
        <f aca="false">IF(OR(HN$169&lt;SwaptionFirstMonthPosition+1,$FJ178&lt;SwaptionFirstMonthPosition+1,HN$169&gt;SwaptionFirstMonthPosition+SwaptionNumOfMonths+1,$FJ178&gt;SwaptionFirstMonthPosition+SwaptionNumOfMonths+1),"",IF($FJ178=HN$169,1,IF($FJ178&lt;HN$169,INDEX($FK$170:$ID$241,HN$169,$FJ178),SUMPRODUCT(INDEX($FK$325:$ID$396,HN$169,1+SwaptionShift):INDEX($FK$325:$ID$396,HN$169,SwaptionMonthsToGo+SwaptionShift),INDEX($FK$245:$ID$316,$FJ178-HN$169,73-HN$169+SwaptionShift):INDEX($FK$245:$ID$316,$FJ178-HN$169,72-HN$169+SwaptionMonthsToGo+SwaptionShift))/SQRT(SUM(INDEX($FK333:$ID333,1+SwaptionShift):INDEX($FK333:$ID333,SwaptionMonthsToGo+SwaptionShift))*SUM(INDEX($FK$325:$ID$396,HN$169,1+SwaptionShift):INDEX($FK$325:$ID$396,HN$169,SwaptionMonthsToGo+SwaptionShift))))))</f>
        <v/>
      </c>
      <c r="HO178" s="150" t="str">
        <f aca="false">IF(OR(HO$169&lt;SwaptionFirstMonthPosition+1,$FJ178&lt;SwaptionFirstMonthPosition+1,HO$169&gt;SwaptionFirstMonthPosition+SwaptionNumOfMonths+1,$FJ178&gt;SwaptionFirstMonthPosition+SwaptionNumOfMonths+1),"",IF($FJ178=HO$169,1,IF($FJ178&lt;HO$169,INDEX($FK$170:$ID$241,HO$169,$FJ178),SUMPRODUCT(INDEX($FK$325:$ID$396,HO$169,1+SwaptionShift):INDEX($FK$325:$ID$396,HO$169,SwaptionMonthsToGo+SwaptionShift),INDEX($FK$245:$ID$316,$FJ178-HO$169,73-HO$169+SwaptionShift):INDEX($FK$245:$ID$316,$FJ178-HO$169,72-HO$169+SwaptionMonthsToGo+SwaptionShift))/SQRT(SUM(INDEX($FK333:$ID333,1+SwaptionShift):INDEX($FK333:$ID333,SwaptionMonthsToGo+SwaptionShift))*SUM(INDEX($FK$325:$ID$396,HO$169,1+SwaptionShift):INDEX($FK$325:$ID$396,HO$169,SwaptionMonthsToGo+SwaptionShift))))))</f>
        <v/>
      </c>
      <c r="HP178" s="150" t="str">
        <f aca="false">IF(OR(HP$169&lt;SwaptionFirstMonthPosition+1,$FJ178&lt;SwaptionFirstMonthPosition+1,HP$169&gt;SwaptionFirstMonthPosition+SwaptionNumOfMonths+1,$FJ178&gt;SwaptionFirstMonthPosition+SwaptionNumOfMonths+1),"",IF($FJ178=HP$169,1,IF($FJ178&lt;HP$169,INDEX($FK$170:$ID$241,HP$169,$FJ178),SUMPRODUCT(INDEX($FK$325:$ID$396,HP$169,1+SwaptionShift):INDEX($FK$325:$ID$396,HP$169,SwaptionMonthsToGo+SwaptionShift),INDEX($FK$245:$ID$316,$FJ178-HP$169,73-HP$169+SwaptionShift):INDEX($FK$245:$ID$316,$FJ178-HP$169,72-HP$169+SwaptionMonthsToGo+SwaptionShift))/SQRT(SUM(INDEX($FK333:$ID333,1+SwaptionShift):INDEX($FK333:$ID333,SwaptionMonthsToGo+SwaptionShift))*SUM(INDEX($FK$325:$ID$396,HP$169,1+SwaptionShift):INDEX($FK$325:$ID$396,HP$169,SwaptionMonthsToGo+SwaptionShift))))))</f>
        <v/>
      </c>
      <c r="HQ178" s="150" t="str">
        <f aca="false">IF(OR(HQ$169&lt;SwaptionFirstMonthPosition+1,$FJ178&lt;SwaptionFirstMonthPosition+1,HQ$169&gt;SwaptionFirstMonthPosition+SwaptionNumOfMonths+1,$FJ178&gt;SwaptionFirstMonthPosition+SwaptionNumOfMonths+1),"",IF($FJ178=HQ$169,1,IF($FJ178&lt;HQ$169,INDEX($FK$170:$ID$241,HQ$169,$FJ178),SUMPRODUCT(INDEX($FK$325:$ID$396,HQ$169,1+SwaptionShift):INDEX($FK$325:$ID$396,HQ$169,SwaptionMonthsToGo+SwaptionShift),INDEX($FK$245:$ID$316,$FJ178-HQ$169,73-HQ$169+SwaptionShift):INDEX($FK$245:$ID$316,$FJ178-HQ$169,72-HQ$169+SwaptionMonthsToGo+SwaptionShift))/SQRT(SUM(INDEX($FK333:$ID333,1+SwaptionShift):INDEX($FK333:$ID333,SwaptionMonthsToGo+SwaptionShift))*SUM(INDEX($FK$325:$ID$396,HQ$169,1+SwaptionShift):INDEX($FK$325:$ID$396,HQ$169,SwaptionMonthsToGo+SwaptionShift))))))</f>
        <v/>
      </c>
      <c r="HR178" s="150" t="str">
        <f aca="false">IF(OR(HR$169&lt;SwaptionFirstMonthPosition+1,$FJ178&lt;SwaptionFirstMonthPosition+1,HR$169&gt;SwaptionFirstMonthPosition+SwaptionNumOfMonths+1,$FJ178&gt;SwaptionFirstMonthPosition+SwaptionNumOfMonths+1),"",IF($FJ178=HR$169,1,IF($FJ178&lt;HR$169,INDEX($FK$170:$ID$241,HR$169,$FJ178),SUMPRODUCT(INDEX($FK$325:$ID$396,HR$169,1+SwaptionShift):INDEX($FK$325:$ID$396,HR$169,SwaptionMonthsToGo+SwaptionShift),INDEX($FK$245:$ID$316,$FJ178-HR$169,73-HR$169+SwaptionShift):INDEX($FK$245:$ID$316,$FJ178-HR$169,72-HR$169+SwaptionMonthsToGo+SwaptionShift))/SQRT(SUM(INDEX($FK333:$ID333,1+SwaptionShift):INDEX($FK333:$ID333,SwaptionMonthsToGo+SwaptionShift))*SUM(INDEX($FK$325:$ID$396,HR$169,1+SwaptionShift):INDEX($FK$325:$ID$396,HR$169,SwaptionMonthsToGo+SwaptionShift))))))</f>
        <v/>
      </c>
      <c r="HS178" s="150" t="str">
        <f aca="false">IF(OR(HS$169&lt;SwaptionFirstMonthPosition+1,$FJ178&lt;SwaptionFirstMonthPosition+1,HS$169&gt;SwaptionFirstMonthPosition+SwaptionNumOfMonths+1,$FJ178&gt;SwaptionFirstMonthPosition+SwaptionNumOfMonths+1),"",IF($FJ178=HS$169,1,IF($FJ178&lt;HS$169,INDEX($FK$170:$ID$241,HS$169,$FJ178),SUMPRODUCT(INDEX($FK$325:$ID$396,HS$169,1+SwaptionShift):INDEX($FK$325:$ID$396,HS$169,SwaptionMonthsToGo+SwaptionShift),INDEX($FK$245:$ID$316,$FJ178-HS$169,73-HS$169+SwaptionShift):INDEX($FK$245:$ID$316,$FJ178-HS$169,72-HS$169+SwaptionMonthsToGo+SwaptionShift))/SQRT(SUM(INDEX($FK333:$ID333,1+SwaptionShift):INDEX($FK333:$ID333,SwaptionMonthsToGo+SwaptionShift))*SUM(INDEX($FK$325:$ID$396,HS$169,1+SwaptionShift):INDEX($FK$325:$ID$396,HS$169,SwaptionMonthsToGo+SwaptionShift))))))</f>
        <v/>
      </c>
      <c r="HT178" s="150" t="str">
        <f aca="false">IF(OR(HT$169&lt;SwaptionFirstMonthPosition+1,$FJ178&lt;SwaptionFirstMonthPosition+1,HT$169&gt;SwaptionFirstMonthPosition+SwaptionNumOfMonths+1,$FJ178&gt;SwaptionFirstMonthPosition+SwaptionNumOfMonths+1),"",IF($FJ178=HT$169,1,IF($FJ178&lt;HT$169,INDEX($FK$170:$ID$241,HT$169,$FJ178),SUMPRODUCT(INDEX($FK$325:$ID$396,HT$169,1+SwaptionShift):INDEX($FK$325:$ID$396,HT$169,SwaptionMonthsToGo+SwaptionShift),INDEX($FK$245:$ID$316,$FJ178-HT$169,73-HT$169+SwaptionShift):INDEX($FK$245:$ID$316,$FJ178-HT$169,72-HT$169+SwaptionMonthsToGo+SwaptionShift))/SQRT(SUM(INDEX($FK333:$ID333,1+SwaptionShift):INDEX($FK333:$ID333,SwaptionMonthsToGo+SwaptionShift))*SUM(INDEX($FK$325:$ID$396,HT$169,1+SwaptionShift):INDEX($FK$325:$ID$396,HT$169,SwaptionMonthsToGo+SwaptionShift))))))</f>
        <v/>
      </c>
      <c r="HU178" s="150" t="str">
        <f aca="false">IF(OR(HU$169&lt;SwaptionFirstMonthPosition+1,$FJ178&lt;SwaptionFirstMonthPosition+1,HU$169&gt;SwaptionFirstMonthPosition+SwaptionNumOfMonths+1,$FJ178&gt;SwaptionFirstMonthPosition+SwaptionNumOfMonths+1),"",IF($FJ178=HU$169,1,IF($FJ178&lt;HU$169,INDEX($FK$170:$ID$241,HU$169,$FJ178),SUMPRODUCT(INDEX($FK$325:$ID$396,HU$169,1+SwaptionShift):INDEX($FK$325:$ID$396,HU$169,SwaptionMonthsToGo+SwaptionShift),INDEX($FK$245:$ID$316,$FJ178-HU$169,73-HU$169+SwaptionShift):INDEX($FK$245:$ID$316,$FJ178-HU$169,72-HU$169+SwaptionMonthsToGo+SwaptionShift))/SQRT(SUM(INDEX($FK333:$ID333,1+SwaptionShift):INDEX($FK333:$ID333,SwaptionMonthsToGo+SwaptionShift))*SUM(INDEX($FK$325:$ID$396,HU$169,1+SwaptionShift):INDEX($FK$325:$ID$396,HU$169,SwaptionMonthsToGo+SwaptionShift))))))</f>
        <v/>
      </c>
      <c r="HV178" s="150" t="str">
        <f aca="false">IF(OR(HV$169&lt;SwaptionFirstMonthPosition+1,$FJ178&lt;SwaptionFirstMonthPosition+1,HV$169&gt;SwaptionFirstMonthPosition+SwaptionNumOfMonths+1,$FJ178&gt;SwaptionFirstMonthPosition+SwaptionNumOfMonths+1),"",IF($FJ178=HV$169,1,IF($FJ178&lt;HV$169,INDEX($FK$170:$ID$241,HV$169,$FJ178),SUMPRODUCT(INDEX($FK$325:$ID$396,HV$169,1+SwaptionShift):INDEX($FK$325:$ID$396,HV$169,SwaptionMonthsToGo+SwaptionShift),INDEX($FK$245:$ID$316,$FJ178-HV$169,73-HV$169+SwaptionShift):INDEX($FK$245:$ID$316,$FJ178-HV$169,72-HV$169+SwaptionMonthsToGo+SwaptionShift))/SQRT(SUM(INDEX($FK333:$ID333,1+SwaptionShift):INDEX($FK333:$ID333,SwaptionMonthsToGo+SwaptionShift))*SUM(INDEX($FK$325:$ID$396,HV$169,1+SwaptionShift):INDEX($FK$325:$ID$396,HV$169,SwaptionMonthsToGo+SwaptionShift))))))</f>
        <v/>
      </c>
      <c r="HW178" s="150" t="str">
        <f aca="false">IF(OR(HW$169&lt;SwaptionFirstMonthPosition+1,$FJ178&lt;SwaptionFirstMonthPosition+1,HW$169&gt;SwaptionFirstMonthPosition+SwaptionNumOfMonths+1,$FJ178&gt;SwaptionFirstMonthPosition+SwaptionNumOfMonths+1),"",IF($FJ178=HW$169,1,IF($FJ178&lt;HW$169,INDEX($FK$170:$ID$241,HW$169,$FJ178),SUMPRODUCT(INDEX($FK$325:$ID$396,HW$169,1+SwaptionShift):INDEX($FK$325:$ID$396,HW$169,SwaptionMonthsToGo+SwaptionShift),INDEX($FK$245:$ID$316,$FJ178-HW$169,73-HW$169+SwaptionShift):INDEX($FK$245:$ID$316,$FJ178-HW$169,72-HW$169+SwaptionMonthsToGo+SwaptionShift))/SQRT(SUM(INDEX($FK333:$ID333,1+SwaptionShift):INDEX($FK333:$ID333,SwaptionMonthsToGo+SwaptionShift))*SUM(INDEX($FK$325:$ID$396,HW$169,1+SwaptionShift):INDEX($FK$325:$ID$396,HW$169,SwaptionMonthsToGo+SwaptionShift))))))</f>
        <v/>
      </c>
      <c r="HX178" s="150" t="str">
        <f aca="false">IF(OR(HX$169&lt;SwaptionFirstMonthPosition+1,$FJ178&lt;SwaptionFirstMonthPosition+1,HX$169&gt;SwaptionFirstMonthPosition+SwaptionNumOfMonths+1,$FJ178&gt;SwaptionFirstMonthPosition+SwaptionNumOfMonths+1),"",IF($FJ178=HX$169,1,IF($FJ178&lt;HX$169,INDEX($FK$170:$ID$241,HX$169,$FJ178),SUMPRODUCT(INDEX($FK$325:$ID$396,HX$169,1+SwaptionShift):INDEX($FK$325:$ID$396,HX$169,SwaptionMonthsToGo+SwaptionShift),INDEX($FK$245:$ID$316,$FJ178-HX$169,73-HX$169+SwaptionShift):INDEX($FK$245:$ID$316,$FJ178-HX$169,72-HX$169+SwaptionMonthsToGo+SwaptionShift))/SQRT(SUM(INDEX($FK333:$ID333,1+SwaptionShift):INDEX($FK333:$ID333,SwaptionMonthsToGo+SwaptionShift))*SUM(INDEX($FK$325:$ID$396,HX$169,1+SwaptionShift):INDEX($FK$325:$ID$396,HX$169,SwaptionMonthsToGo+SwaptionShift))))))</f>
        <v/>
      </c>
      <c r="HY178" s="150" t="str">
        <f aca="false">IF(OR(HY$169&lt;SwaptionFirstMonthPosition+1,$FJ178&lt;SwaptionFirstMonthPosition+1,HY$169&gt;SwaptionFirstMonthPosition+SwaptionNumOfMonths+1,$FJ178&gt;SwaptionFirstMonthPosition+SwaptionNumOfMonths+1),"",IF($FJ178=HY$169,1,IF($FJ178&lt;HY$169,INDEX($FK$170:$ID$241,HY$169,$FJ178),SUMPRODUCT(INDEX($FK$325:$ID$396,HY$169,1+SwaptionShift):INDEX($FK$325:$ID$396,HY$169,SwaptionMonthsToGo+SwaptionShift),INDEX($FK$245:$ID$316,$FJ178-HY$169,73-HY$169+SwaptionShift):INDEX($FK$245:$ID$316,$FJ178-HY$169,72-HY$169+SwaptionMonthsToGo+SwaptionShift))/SQRT(SUM(INDEX($FK333:$ID333,1+SwaptionShift):INDEX($FK333:$ID333,SwaptionMonthsToGo+SwaptionShift))*SUM(INDEX($FK$325:$ID$396,HY$169,1+SwaptionShift):INDEX($FK$325:$ID$396,HY$169,SwaptionMonthsToGo+SwaptionShift))))))</f>
        <v/>
      </c>
      <c r="HZ178" s="150" t="str">
        <f aca="false">IF(OR(HZ$169&lt;SwaptionFirstMonthPosition+1,$FJ178&lt;SwaptionFirstMonthPosition+1,HZ$169&gt;SwaptionFirstMonthPosition+SwaptionNumOfMonths+1,$FJ178&gt;SwaptionFirstMonthPosition+SwaptionNumOfMonths+1),"",IF($FJ178=HZ$169,1,IF($FJ178&lt;HZ$169,INDEX($FK$170:$ID$241,HZ$169,$FJ178),SUMPRODUCT(INDEX($FK$325:$ID$396,HZ$169,1+SwaptionShift):INDEX($FK$325:$ID$396,HZ$169,SwaptionMonthsToGo+SwaptionShift),INDEX($FK$245:$ID$316,$FJ178-HZ$169,73-HZ$169+SwaptionShift):INDEX($FK$245:$ID$316,$FJ178-HZ$169,72-HZ$169+SwaptionMonthsToGo+SwaptionShift))/SQRT(SUM(INDEX($FK333:$ID333,1+SwaptionShift):INDEX($FK333:$ID333,SwaptionMonthsToGo+SwaptionShift))*SUM(INDEX($FK$325:$ID$396,HZ$169,1+SwaptionShift):INDEX($FK$325:$ID$396,HZ$169,SwaptionMonthsToGo+SwaptionShift))))))</f>
        <v/>
      </c>
      <c r="IA178" s="150" t="str">
        <f aca="false">IF(OR(IA$169&lt;SwaptionFirstMonthPosition+1,$FJ178&lt;SwaptionFirstMonthPosition+1,IA$169&gt;SwaptionFirstMonthPosition+SwaptionNumOfMonths+1,$FJ178&gt;SwaptionFirstMonthPosition+SwaptionNumOfMonths+1),"",IF($FJ178=IA$169,1,IF($FJ178&lt;IA$169,INDEX($FK$170:$ID$241,IA$169,$FJ178),SUMPRODUCT(INDEX($FK$325:$ID$396,IA$169,1+SwaptionShift):INDEX($FK$325:$ID$396,IA$169,SwaptionMonthsToGo+SwaptionShift),INDEX($FK$245:$ID$316,$FJ178-IA$169,73-IA$169+SwaptionShift):INDEX($FK$245:$ID$316,$FJ178-IA$169,72-IA$169+SwaptionMonthsToGo+SwaptionShift))/SQRT(SUM(INDEX($FK333:$ID333,1+SwaptionShift):INDEX($FK333:$ID333,SwaptionMonthsToGo+SwaptionShift))*SUM(INDEX($FK$325:$ID$396,IA$169,1+SwaptionShift):INDEX($FK$325:$ID$396,IA$169,SwaptionMonthsToGo+SwaptionShift))))))</f>
        <v/>
      </c>
      <c r="IB178" s="150" t="str">
        <f aca="false">IF(OR(IB$169&lt;SwaptionFirstMonthPosition+1,$FJ178&lt;SwaptionFirstMonthPosition+1,IB$169&gt;SwaptionFirstMonthPosition+SwaptionNumOfMonths+1,$FJ178&gt;SwaptionFirstMonthPosition+SwaptionNumOfMonths+1),"",IF($FJ178=IB$169,1,IF($FJ178&lt;IB$169,INDEX($FK$170:$ID$241,IB$169,$FJ178),SUMPRODUCT(INDEX($FK$325:$ID$396,IB$169,1+SwaptionShift):INDEX($FK$325:$ID$396,IB$169,SwaptionMonthsToGo+SwaptionShift),INDEX($FK$245:$ID$316,$FJ178-IB$169,73-IB$169+SwaptionShift):INDEX($FK$245:$ID$316,$FJ178-IB$169,72-IB$169+SwaptionMonthsToGo+SwaptionShift))/SQRT(SUM(INDEX($FK333:$ID333,1+SwaptionShift):INDEX($FK333:$ID333,SwaptionMonthsToGo+SwaptionShift))*SUM(INDEX($FK$325:$ID$396,IB$169,1+SwaptionShift):INDEX($FK$325:$ID$396,IB$169,SwaptionMonthsToGo+SwaptionShift))))))</f>
        <v/>
      </c>
      <c r="IC178" s="150" t="str">
        <f aca="false">IF(OR(IC$169&lt;SwaptionFirstMonthPosition+1,$FJ178&lt;SwaptionFirstMonthPosition+1,IC$169&gt;SwaptionFirstMonthPosition+SwaptionNumOfMonths+1,$FJ178&gt;SwaptionFirstMonthPosition+SwaptionNumOfMonths+1),"",IF($FJ178=IC$169,1,IF($FJ178&lt;IC$169,INDEX($FK$170:$ID$241,IC$169,$FJ178),SUMPRODUCT(INDEX($FK$325:$ID$396,IC$169,1+SwaptionShift):INDEX($FK$325:$ID$396,IC$169,SwaptionMonthsToGo+SwaptionShift),INDEX($FK$245:$ID$316,$FJ178-IC$169,73-IC$169+SwaptionShift):INDEX($FK$245:$ID$316,$FJ178-IC$169,72-IC$169+SwaptionMonthsToGo+SwaptionShift))/SQRT(SUM(INDEX($FK333:$ID333,1+SwaptionShift):INDEX($FK333:$ID333,SwaptionMonthsToGo+SwaptionShift))*SUM(INDEX($FK$325:$ID$396,IC$169,1+SwaptionShift):INDEX($FK$325:$ID$396,IC$169,SwaptionMonthsToGo+SwaptionShift))))))</f>
        <v/>
      </c>
      <c r="ID178" s="572" t="str">
        <f aca="false">IF(OR(ID$169&lt;SwaptionFirstMonthPosition+1,$FJ178&lt;SwaptionFirstMonthPosition+1,ID$169&gt;SwaptionFirstMonthPosition+SwaptionNumOfMonths+1,$FJ178&gt;SwaptionFirstMonthPosition+SwaptionNumOfMonths+1),"",IF($FJ178=ID$169,1,IF($FJ178&lt;ID$169,INDEX($FK$170:$ID$241,ID$169,$FJ178),SUMPRODUCT(INDEX($FK$325:$ID$396,ID$169,1+SwaptionShift):INDEX($FK$325:$ID$396,ID$169,SwaptionMonthsToGo+SwaptionShift),INDEX($FK$245:$ID$316,$FJ178-ID$169,73-ID$169+SwaptionShift):INDEX($FK$245:$ID$316,$FJ178-ID$169,72-ID$169+SwaptionMonthsToGo+SwaptionShift))/SQRT(SUM(INDEX($FK333:$ID333,1+SwaptionShift):INDEX($FK333:$ID333,SwaptionMonthsToGo+SwaptionShift))*SUM(INDEX($FK$325:$ID$396,ID$169,1+SwaptionShift):INDEX($FK$325:$ID$396,ID$169,SwaptionMonthsToGo+SwaptionShift))))))</f>
        <v/>
      </c>
      <c r="IE178" s="129"/>
    </row>
    <row r="179" customFormat="false" ht="12.75" hidden="false" customHeight="false" outlineLevel="0" collapsed="false">
      <c r="H179" s="219" t="n">
        <f aca="false">VLOOKUP(I179,$EJ$20:$EL$54,3)</f>
        <v>0</v>
      </c>
      <c r="I179" s="511" t="n">
        <f aca="false">EOMONTH(I178,0)+1</f>
        <v>41609</v>
      </c>
      <c r="J179" s="512"/>
      <c r="K179" s="513" t="s">
        <v>280</v>
      </c>
      <c r="L179" s="514" t="n">
        <f aca="false">IF(ISNUMBER(K179),J179+K179/100,IF(K179="extra",L178+VLOOKUP(BF179,PriceSpreadTable,2)/12,IF(K179="inter",interpolateprices($K$19:$L$200,ROW(K179)-ROW(FirstPricingMonth)+1),interpolatechanges($J$19:$K$200,ROW(K179)-ROW(FirstPricingMonth)+1))))</f>
        <v>3.1125</v>
      </c>
      <c r="M179" s="515"/>
      <c r="N179" s="516" t="n">
        <v>0</v>
      </c>
      <c r="O179" s="515" t="n">
        <f aca="false">M179+N179</f>
        <v>0</v>
      </c>
      <c r="P179" s="512"/>
      <c r="Q179" s="513" t="s">
        <v>280</v>
      </c>
      <c r="R179" s="512" t="e">
        <f aca="false">IF(ISNUMBER(Q179),P179+Q179/100,IF(Q179="extra",(Z177*AL177-R178*AM177)/AN177,IF(Q179="inter",interpolateprices($Q$19:$R$260,ROW(Q179)-ROW(FirstPricingMonth)+1),interpolatechanges($P$19:$Q$260,ROW(Q179)-ROW(FirstPricingMonth)+1))))</f>
        <v>#VALUE!</v>
      </c>
      <c r="S179" s="597" t="n">
        <f aca="false">S$19+(S178-S$19)*S$18</f>
        <v>0.36</v>
      </c>
      <c r="T179" s="575" t="n">
        <f aca="false">SQRT((1-(1-T178^2/U178)*T$18)*U179)</f>
        <v>0.999999999998289</v>
      </c>
      <c r="U179" s="576" t="n">
        <f aca="false">1-(1-U178)*U$18</f>
        <v>1</v>
      </c>
      <c r="V179" s="521" t="n">
        <v>0</v>
      </c>
      <c r="W179" s="577" t="n">
        <f aca="false">(J180*AJ179+J181*AK179)/AI179</f>
        <v>0</v>
      </c>
      <c r="X179" s="578" t="n">
        <f aca="false">(L180*AJ179+L181*AK179)/AI179</f>
        <v>3.16071428571429</v>
      </c>
      <c r="Y179" s="579" t="n">
        <f aca="false">IF(Q181="extra",W179-AA179,(P180*AM179+P181*AN179)/AL179)</f>
        <v>-1.1931</v>
      </c>
      <c r="Z179" s="579" t="n">
        <f aca="false">IF(Q181="extra",X179-AB179,(R180*AM179+R181*AN179)/AL179)</f>
        <v>1.96761428571429</v>
      </c>
      <c r="AA179" s="523" t="n">
        <f aca="false">IF(Q181="extra",INDEX(BrentSeasonalityTable,INT((BG179-1)/3)+1)*VLOOKUP(MAX(BF179,$AB$4),PriceSpreadTable,3),W179-Y179)</f>
        <v>1.1931</v>
      </c>
      <c r="AB179" s="524" t="n">
        <f aca="false">IF(Q181="extra",INDEX(BrentSeasonalityTable,INT((BG179-1)/3)+1)*VLOOKUP(MAX(BF179,$AB$4),PriceSpreadTable,3),X179-Z179)</f>
        <v>1.1931</v>
      </c>
      <c r="AC179" s="646" t="n">
        <v>41598</v>
      </c>
      <c r="AD179" s="646" t="n">
        <v>41594</v>
      </c>
      <c r="AE179" s="646" t="n">
        <v>41593</v>
      </c>
      <c r="AF179" s="646" t="n">
        <v>41589</v>
      </c>
      <c r="AG179" s="438" t="s">
        <v>278</v>
      </c>
      <c r="AH179" s="439" t="s">
        <v>278</v>
      </c>
      <c r="AI179" s="528" t="n">
        <v>21</v>
      </c>
      <c r="AJ179" s="529" t="n">
        <v>15</v>
      </c>
      <c r="AK179" s="529" t="n">
        <v>6</v>
      </c>
      <c r="AL179" s="530" t="n">
        <v>21</v>
      </c>
      <c r="AM179" s="529" t="n">
        <v>10</v>
      </c>
      <c r="AN179" s="531" t="n">
        <v>11</v>
      </c>
      <c r="AO179" s="532"/>
      <c r="AP179" s="465" t="n">
        <f aca="false">(1+AO179/2)^(-2*BL179)</f>
        <v>1</v>
      </c>
      <c r="AQ179" s="532"/>
      <c r="AR179" s="465" t="n">
        <f aca="false">(1+AQ179/2)^(-2*BH179/365.25)</f>
        <v>1</v>
      </c>
      <c r="AS179" s="580" t="n">
        <f aca="false">(O180*AJ179+O181*AK179)/AI179</f>
        <v>0</v>
      </c>
      <c r="AT179" s="468" t="n">
        <f aca="false">O179*VLOOKUP(BF179,BrentVolTable,2)+VLOOKUP(BF179,BrentVolTable,3)</f>
        <v>0</v>
      </c>
      <c r="AU179" s="468" t="n">
        <f aca="false">(AT180*AM179+AT181*AN179)/AL179</f>
        <v>0</v>
      </c>
      <c r="AV179" s="595" t="n">
        <f aca="false">SQRT(MAX(0.000000000001,(O179^2*BH179-S179^2*(BH179-BH178))/BH178))</f>
        <v>0.0303487296607619</v>
      </c>
      <c r="AW179" s="451" t="n">
        <f aca="false">IF($I179-DateToday+15&gt;=$T$8,"",IF($I179-DateToday+15&lt;$T$5,1,MATCH($I179-DateToday+15,$T$5:$T$8)))</f>
        <v>1</v>
      </c>
      <c r="AX179" s="468" t="n">
        <f aca="false">IF($AW179="",AX178^2/AX177,INDEX(U$5:U$8,$AW179)^((INDEX($T$5:$T$8,$AW179+1)-($I179-DateToday+15))/(INDEX($T$5:$T$8,$AW179+1)-INDEX($T$5:$T$8,$AW179)))/INDEX(U$5:U$8,$AW179+1)^((INDEX($T$5:$T$8,$AW179)-($I179-DateToday+15))/(INDEX($T$5:$T$8,$AW179+1)-INDEX($T$5:$T$8,$AW179))))</f>
        <v>0.419282101125564</v>
      </c>
      <c r="AY179" s="468" t="n">
        <f aca="false">IF($AW179="",AY178^2/AY177,INDEX(V$5:V$8,$AW179)^((INDEX($T$5:$T$8,$AW179+1)-($I179-DateToday+15))/(INDEX($T$5:$T$8,$AW179+1)-INDEX($T$5:$T$8,$AW179)))/INDEX(V$5:V$8,$AW179+1)^((INDEX($T$5:$T$8,$AW179)-($I179-DateToday+15))/(INDEX($T$5:$T$8,$AW179+1)-INDEX($T$5:$T$8,$AW179))))</f>
        <v>6.4331113280456</v>
      </c>
      <c r="AZ179" s="468" t="n">
        <f aca="false">IF($AW179="",AZ178^2/AZ177,INDEX(W$5:W$8,$AW179)^((INDEX($T$5:$T$8,$AW179+1)-($I179-DateToday+15))/(INDEX($T$5:$T$8,$AW179+1)-INDEX($T$5:$T$8,$AW179)))/INDEX(W$5:W$8,$AW179+1)^((INDEX($T$5:$T$8,$AW179)-($I179-DateToday+15))/(INDEX($T$5:$T$8,$AW179+1)-INDEX($T$5:$T$8,$AW179))))</f>
        <v>1461.1567462687</v>
      </c>
      <c r="BA179" s="468" t="n">
        <f aca="false">IF($AW179="",BA178^2/BA177,INDEX(X$5:X$8,$AW179)^((INDEX($T$5:$T$8,$AW179+1)-($I179-DateToday+15))/(INDEX($T$5:$T$8,$AW179+1)-INDEX($T$5:$T$8,$AW179)))/INDEX(X$5:X$8,$AW179+1)^((INDEX($T$5:$T$8,$AW179)-($I179-DateToday+15))/(INDEX($T$5:$T$8,$AW179+1)-INDEX($T$5:$T$8,$AW179))))</f>
        <v>6381.63406926387</v>
      </c>
      <c r="BB179" s="468" t="n">
        <f aca="false">IF($AW179="",BB178^2/BB177,INDEX(Y$5:Y$8,$AW179)^((INDEX($T$5:$T$8,$AW179+1)-($I179-DateToday+15))/(INDEX($T$5:$T$8,$AW179+1)-INDEX($T$5:$T$8,$AW179)))/INDEX(Y$5:Y$8,$AW179+1)^((INDEX($T$5:$T$8,$AW179)-($I179-DateToday+15))/(INDEX($T$5:$T$8,$AW179+1)-INDEX($T$5:$T$8,$AW179))))</f>
        <v>36560.0592097047</v>
      </c>
      <c r="BC179" s="468" t="n">
        <f aca="false">IF($AW179="",BC178^2/BC177,INDEX(Z$5:Z$8,$AW179)^((INDEX($T$5:$T$8,$AW179+1)-($I179-DateToday+15))/(INDEX($T$5:$T$8,$AW179+1)-INDEX($T$5:$T$8,$AW179)))/INDEX(Z$5:Z$8,$AW179+1)^((INDEX($T$5:$T$8,$AW179)-($I179-DateToday+15))/(INDEX($T$5:$T$8,$AW179+1)-INDEX($T$5:$T$8,$AW179))))</f>
        <v>106043.111234255</v>
      </c>
      <c r="BD179" s="535" t="n">
        <f aca="false">IF(OR(DateStart&gt;=I180,DateEnd&lt;I179),0,IF(VolumeOverrideFlag,V179,Volume))</f>
        <v>0</v>
      </c>
      <c r="BE179" s="536" t="n">
        <f aca="false">IF(OR(DateStart2&gt;=I180,DateEnd2&lt;I179),0,IF(VolumeOverrideFlag,V179,VolumeSwaption))</f>
        <v>0</v>
      </c>
      <c r="BF179" s="537" t="n">
        <f aca="false">YEAR(I179)</f>
        <v>2013</v>
      </c>
      <c r="BG179" s="538" t="n">
        <f aca="false">MONTH(I179)</f>
        <v>12</v>
      </c>
      <c r="BH179" s="539" t="n">
        <f aca="false">AD179-DateToday+1</f>
        <v>-4331</v>
      </c>
      <c r="BI179" s="540" t="n">
        <f aca="false">(I179-DateToday+1)/365.25</f>
        <v>-11.8165639972621</v>
      </c>
      <c r="BJ179" s="541" t="n">
        <f aca="false">BI179+(BL179-BI179)*CHOOSE(Underlying,AJ179/AI179,AM179/AL179)</f>
        <v>-11.7578957661093</v>
      </c>
      <c r="BK179" s="541" t="n">
        <f aca="false">BJ179+1/365.25</f>
        <v>-11.7551579153222</v>
      </c>
      <c r="BL179" s="541" t="n">
        <f aca="false">(I180-DateToday)/365.25</f>
        <v>-11.7344284736482</v>
      </c>
      <c r="BM179" s="542" t="e">
        <f aca="false">MAX(BI179-(BJ179-BI179)*(S180^2/O180^2-1),0)</f>
        <v>#DIV/0!</v>
      </c>
      <c r="BN179" s="541" t="e">
        <f aca="false">MAX(BL179+(BL179-BK179)*(S181^2/O181^2-1),0)</f>
        <v>#DIV/0!</v>
      </c>
      <c r="BO179" s="530" t="n">
        <f aca="false">CHOOSE(Underlying,AI179,AL179)</f>
        <v>21</v>
      </c>
      <c r="BP179" s="529" t="n">
        <f aca="false">CHOOSE(Underlying,AJ179,AM179)</f>
        <v>15</v>
      </c>
      <c r="BQ179" s="529" t="n">
        <f aca="false">CHOOSE(Underlying,AK179,AN179)</f>
        <v>6</v>
      </c>
      <c r="BR179" s="463" t="str">
        <f aca="false">IF(BD179,IF(Underlying=1,X179,Z179)+UnderlyingPriceAsian-SwapPriceCurve,"")</f>
        <v/>
      </c>
      <c r="BS179" s="463" t="str">
        <f aca="false">IF(BD179,Strike1/BR179-1,"")</f>
        <v/>
      </c>
      <c r="BT179" s="464" t="str">
        <f aca="false">IF(BD179,Strike2/BR179-1,"")</f>
        <v/>
      </c>
      <c r="BU179" s="465" t="str">
        <f aca="false">IF(BD179,IF(Underlying=1,L180,R180)+UnderlyingPriceAsian-SwapPriceCurve,"")</f>
        <v/>
      </c>
      <c r="BV179" s="465" t="str">
        <f aca="false">IF(BD179,IF(Underlying=1,L181,R181)+UnderlyingPriceAsian-SwapPriceCurve,"")</f>
        <v/>
      </c>
      <c r="BW179" s="466" t="str">
        <f aca="false">IF(BD179,IF(Underlying=1,O180,AT180),"")</f>
        <v/>
      </c>
      <c r="BX179" s="467" t="str">
        <f aca="false">IF(BD179,IF(Underlying=1,O181,AT181),"")</f>
        <v/>
      </c>
      <c r="BY179" s="466" t="str">
        <f aca="false">IF(BD179,IF(BS179&gt;0,IF(BS179&gt;0.2,BC179-BB179,IF(BS179&gt;0.1,BB179-BA179,BA179)),IF(BS179&lt;-0.2,AX179-AY179,IF(BS179&lt;-0.1,AY179-AZ179,AZ179))),"")</f>
        <v/>
      </c>
      <c r="BZ179" s="467" t="str">
        <f aca="false">IF(BD179,IF(BT179&gt;0,IF(BT179&gt;0.2,BC179-BB179,IF(BT179&gt;0.1,BB179-BA179,BA179)),IF(BT179&lt;-0.2,AX179-AY179,IF(BT179&lt;-0.1,AY179-AZ179,AZ179))),"")</f>
        <v/>
      </c>
      <c r="CA179" s="468" t="str">
        <f aca="false">IF($BD179,$BW179+IF(VolSkewFlag=1,IF(BS179&gt;0,$BA179*MIN(BS179/10%,1)+($BB179-$BA179)*MAX(0,MIN(BS179/10%-1,1))+($BC179-$BB179)*MAX(0,BS179/10%-2),$AZ179*MIN(-BS179/10%,1)+($AY179-$AZ179)*MAX(0,MIN(-BS179/10%-1,1))+($AX179-$AY179)*MAX(0,-BS179/10%-2)),0),"")</f>
        <v/>
      </c>
      <c r="CB179" s="468" t="str">
        <f aca="false">IF($BD179,$BX179+IF(VolSkewFlag=1,IF(BS179&gt;0,$BA179*MIN(BS179/10%,1)+($BB179-$BA179)*MAX(0,MIN(BS179/10%-1,1))+($BC179-$BB179)*MAX(0,BS179/10%-2),$AZ179*MIN(-BS179/10%,1)+($AY179-$AZ179)*MAX(0,MIN(-BS179/10%-1,1))+($AX179-$AY179)*MAX(0,-BS179/10%-2)),0),"")</f>
        <v/>
      </c>
      <c r="CC179" s="468" t="str">
        <f aca="false">IF($BD179,$BW179+IF(VolSkewFlag=1,IF(BT179&gt;0,$BA179*MIN(BT179/10%,1)+($BB179-$BA179)*MAX(0,MIN(BT179/10%-1,1))+($BC179-$BB179)*MAX(0,BT179/10%-2),$AZ179*MIN(-BT179/10%,1)+($AY179-$AZ179)*MAX(0,MIN(-BT179/10%-1,1))+($AX179-$AY179)*MAX(0,-BT179/10%-2)),0),"")</f>
        <v/>
      </c>
      <c r="CD179" s="468" t="str">
        <f aca="false">IF($BD179,$BX179+IF(VolSkewFlag=1,IF(BT179&gt;0,$BA179*MIN(BT179/10%,1)+($BB179-$BA179)*MAX(0,MIN(BT179/10%-1,1))+($BC179-$BB179)*MAX(0,BT179/10%-2),$AZ179*MIN(-BT179/10%,1)+($AY179-$AZ179)*MAX(0,MIN(-BT179/10%-1,1))+($AX179-$AY179)*MAX(0,-BT179/10%-2)),0),"")</f>
        <v/>
      </c>
      <c r="CE179" s="469" t="n">
        <v>1</v>
      </c>
      <c r="CF179" s="470" t="n">
        <f aca="false">IF(BD179,xCrudeAPO(BU179,BV179,CA179,CB179,S180,S181,BI179,BL179,BP179,BQ179,0,Strike1,AO179,CE179,0,BL179,IF(OptControl=4,0,1),0,1),0)</f>
        <v>0</v>
      </c>
      <c r="CG179" s="470" t="n">
        <f aca="false">IF(BD179,xCrudeAPO(BU179,BV179,CA179,CB179,S180,S181,BI179,BL179,BP179,BQ179,0,Strike1,AO179,CE179,0,BL179,IF(OptControl=4,0,1),1,1)+xCrudeAPO(BU179,BV179,CA179,CB179,S180,S181,BI179,BL179,BP179,BQ179,0,Strike1,AO179,CE179,0,BL179,IF(OptControl=4,0,1),1,2)+IF(OR(VolSkewFlag=2,ABS(BS179)&lt;0.0001),0,IF(BS179&gt;0,-1,1)*CH179*Strike1/BR179^2*BY179/10%),0)</f>
        <v>0</v>
      </c>
      <c r="CH179" s="470" t="n">
        <f aca="false">IF(BD179,(xCrudeAPO(BU179,BV179,CA179,CB179,S180,S181,BI179,BL179,BP179,BQ179,0,Strike1,AO179,CE179,0,BL179,IF(OptControl=4,0,1),3,1)+xCrudeAPO(BU179,BV179,CA179,CB179,S180,S181,BI179,BL179,BP179,BQ179,0,Strike1,AO179,CE179,0,BL179,IF(OptControl=4,0,1),3,2))/100,0)</f>
        <v>0</v>
      </c>
      <c r="CI179" s="470" t="n">
        <f aca="false">IF(BD179,xCrudeAPO(BU179,BV179,CA179,CB179,S180,S181,BI179-DaysForThetaCalculation/365.25,BL179-DaysForThetaCalculation/365.25,BP179,BQ179,0,Strike1,AO179,CE179,0,BL179,IF(OptControl=4,0,1),0,1)-xCrudeAPO(BU179,BV179,CA179,CB179,S180,S181,BI179,BL179,BP179,BQ179,0,Strike1,AO179,CE179,0,BL179,IF(OptControl=4,0,1),0,1),0)</f>
        <v>0</v>
      </c>
      <c r="CJ179" s="471" t="n">
        <f aca="false">IF(BD179,xCrudeAPO(BU179,BV179,CC179,CD179,S180,S181,BI179,BL179,BP179,BQ179,0,Strike2,AO179,CE179,0,BL179,IF(OptControl=3,1,0),0,1),0)</f>
        <v>0</v>
      </c>
      <c r="CK179" s="470" t="n">
        <f aca="false">IF(BD179,xCrudeAPO(BU179,BV179,CC179,CD179,S180,S181,BI179,BL179,BP179,BQ179,0,Strike2,AO179,CE179,0,BL179,IF(OptControl=3,1,0),1,1)+xCrudeAPO(BU179,BV179,CC179,CD179,S180,S181,BI179,BL179,BP179,BQ179,0,Strike2,AO179,CE179,0,BL179,IF(OptControl=3,1,0),1,2)+IF(OR(VolSkewFlag=2,ABS(BT179)&lt;0.0001),0,IF(BT179&gt;0,-1,1)*CL179*Strike2/BR179^2*BZ179/10%),0)</f>
        <v>0</v>
      </c>
      <c r="CL179" s="470" t="n">
        <f aca="false">IF(BD179,(xCrudeAPO(BU179,BV179,CC179,CD179,S180,S181,BI179,BL179,BP179,BQ179,0,Strike2,AO179,CE179,0,BL179,IF(OptControl=3,1,0),3,1)+xCrudeAPO(BU179,BV179,CC179,CD179,S180,S181,BI179,BL179,BP179,BQ179,0,Strike2,AO179,CE179,0,BL179,IF(OptControl=3,1,0),3,2))/100,0)</f>
        <v>0</v>
      </c>
      <c r="CM179" s="472" t="n">
        <f aca="false">IF(BD179,xCrudeAPO(BU179,BV179,CC179,CD179,S180,S181,BI179-DaysForThetaCalculation/365.25,BL179-DaysForThetaCalculation/365.25,BP179,BQ179,0,Strike2,AO179,CE179,0,BL179,IF(OptControl=3,1,0),0,1)-xCrudeAPO(BU179,BV179,CC179,CD179,S180,S181,BI179,BL179,BP179,BQ179,0,Strike2,AO179,CE179,0,BL179,IF(OptControl=3,1,0),0,1),0)</f>
        <v>0</v>
      </c>
      <c r="CN179" s="3"/>
      <c r="CO179" s="543" t="str">
        <f aca="false">IF(BD179,CHOOSE(Underlying,AD179,AF179)-DateToday+1,"")</f>
        <v/>
      </c>
      <c r="CP179" s="582" t="str">
        <f aca="false">IF(BD179,CHOOSE(Underlying,L179,R179),"")</f>
        <v/>
      </c>
      <c r="CQ179" s="544" t="str">
        <f aca="false">IF(BD179,Strike1/CP179-1,"")</f>
        <v/>
      </c>
      <c r="CR179" s="544" t="str">
        <f aca="false">IF(BD179,Strike2/CP179-1,"")</f>
        <v/>
      </c>
      <c r="CS179" s="544" t="str">
        <f aca="false">IF(BD179,IF(CQ179&gt;0,IF(CQ179&gt;0.2,BC178-BB178,IF(CQ179&gt;0.1,BB178-BA178,BA178)),IF(CQ179&lt;-0.2,AX178-AY178,IF(CQ179&lt;-0.1,AY178-AZ178,AZ178))),"")</f>
        <v/>
      </c>
      <c r="CT179" s="544" t="str">
        <f aca="false">IF(BD179,IF(CR179&gt;0,IF(CR179&gt;0.2,BC178-BB178,IF(CR179&gt;0.1,BB178-BA178,BA178)),IF(CR179&lt;-0.2,AX178-AY178,IF(CR179&lt;-0.1,AY178-AZ178,AZ178))),"")</f>
        <v/>
      </c>
      <c r="CU179" s="545" t="str">
        <f aca="false">IF(BD179,CHOOSE(Underlying,O179,AT179),"")</f>
        <v/>
      </c>
      <c r="CV179" s="545" t="str">
        <f aca="false">IF(BD179,CU179+IF(VolSkewFlag=1,IF(CQ179&gt;0,BA178*MIN(CQ179/10%,1)+(BB178-BA178)*MAX(0,MIN(CQ179/10%-1,1))+(BC178-BB178)*MAX(0,CQ179/10%-2),AZ178*MIN(-CQ179/10%,1)+(AY178-AZ178)*MAX(0,MIN(-CQ179/10%-1,1))+(AX178-AY178)*MAX(0,-CQ179/10%-2)),0),"")</f>
        <v/>
      </c>
      <c r="CW179" s="545" t="str">
        <f aca="false">IF(BD179,CU179+IF(VolSkewFlag=1,IF(CR179&gt;0,BA178*MIN(CR179/10%,1)+(BB178-BA178)*MAX(0,MIN(CR179/10%-1,1))+(BC178-BB178)*MAX(0,CR179/10%-2),AZ178*MIN(-CR179/10%,1)+(AY178-AZ178)*MAX(0,MIN(-CR179/10%-1,1))+(AX178-AY178)*MAX(0,-CR179/10%-2)),0),"")</f>
        <v/>
      </c>
      <c r="CX179" s="470" t="n">
        <f aca="false">IF(BD179,EURO(CP179,Strike1,AO179,AO179,CV179,CO179,IF(OptControl=4,0,1),0),0)</f>
        <v>0</v>
      </c>
      <c r="CY179" s="470" t="n">
        <f aca="false">IF(BD179,EURO(CP179,Strike1,AO179,AO179,CV179,CO179,IF(OptControl=4,0,1),1)+IF(OR(VolSkewFlag=2,ABS(CQ179)&lt;0.0001),0,IF(CQ179&gt;0,-1,1)*CZ179*100*Strike1/CP179^2*CS179/10%),0)</f>
        <v>0</v>
      </c>
      <c r="CZ179" s="470" t="n">
        <f aca="false">IF(BD179,EURO(CP179,Strike1,AO179,AO179,CV179,CO179,IF(OptControl=4,0,1),3)/100,0)</f>
        <v>0</v>
      </c>
      <c r="DA179" s="470" t="n">
        <f aca="false">IF(BD179,EURO(CP179,Strike1,AO179,AO179,CV179,CO179,IF(OptControl=4,0,1),0)-EURO(CP179,Strike1,AO179,AO179,CV179,CO179-1,IF(OptControl=4,0,1),0),0)</f>
        <v>0</v>
      </c>
      <c r="DB179" s="470" t="n">
        <f aca="false">IF(BD179,EURO(CP179,Strike2,AO179,AO179,CW179,CO179,IF(OptControl=3,1,0),0),0)</f>
        <v>0</v>
      </c>
      <c r="DC179" s="470" t="n">
        <f aca="false">IF(BD179,EURO(CP179,Strike2,AO179,AO179,CW179,CO179,IF(OptControl=3,1,0),1)+IF(OR(VolSkewFlag=2,ABS(CR179)&lt;0.0001),0,IF(CR179&gt;0,-1,1)*DD179*100*Strike2/CP179^2*CT179/10%),0)</f>
        <v>0</v>
      </c>
      <c r="DD179" s="470" t="n">
        <f aca="false">IF(BD179,EURO(CP179,Strike2,AO179,AO179,CW179,CO179,IF(OptControl=3,1,0),3)/100,0)</f>
        <v>0</v>
      </c>
      <c r="DE179" s="472" t="n">
        <f aca="false">IF(BD179,EURO(CP179,Strike2,AO179,AO179,CW179,CO179,IF(OptControl=3,1,0),0)-EURO(CP179,Strike2,AO179,AO179,CW179,CO179-1,IF(OptControl=3,1,0),0),0)</f>
        <v>0</v>
      </c>
      <c r="DG179" s="481" t="n">
        <f aca="false">EOMONTH(DG178,0)+1</f>
        <v>50526</v>
      </c>
      <c r="DH179" s="478" t="n">
        <v>22.1100000000001</v>
      </c>
      <c r="DI179" s="479" t="n">
        <v>22.1795652173914</v>
      </c>
      <c r="DJ179" s="480" t="n">
        <f aca="false">DG179</f>
        <v>50526</v>
      </c>
      <c r="DK179" s="478" t="n">
        <v>20.9494840731847</v>
      </c>
      <c r="DL179" s="479" t="n">
        <v>20.8880652173914</v>
      </c>
      <c r="DM179" s="481" t="n">
        <f aca="false">DG179</f>
        <v>50526</v>
      </c>
      <c r="DN179" s="482" t="n">
        <f aca="false">DK179+BrentPhyBrentSpread</f>
        <v>20.9994840731847</v>
      </c>
      <c r="DO179" s="481" t="n">
        <f aca="false">DG179</f>
        <v>50526</v>
      </c>
      <c r="DP179" s="483" t="n">
        <f aca="false">DL179+DQ179</f>
        <v>20.8880652173914</v>
      </c>
      <c r="DQ179" s="546" t="n">
        <v>0</v>
      </c>
      <c r="DR179" s="480" t="n">
        <f aca="false">DG179</f>
        <v>50526</v>
      </c>
      <c r="DS179" s="485" t="n">
        <v>0.129199999999999</v>
      </c>
      <c r="DT179" s="486" t="n">
        <v>0.128365217391302</v>
      </c>
      <c r="DU179" s="480" t="n">
        <f aca="false">DG179</f>
        <v>50526</v>
      </c>
      <c r="DV179" s="485" t="n">
        <v>0.129199999999999</v>
      </c>
      <c r="DW179" s="486" t="n">
        <v>0.128365217391302</v>
      </c>
      <c r="DX179" s="481" t="n">
        <f aca="false">DG179</f>
        <v>50526</v>
      </c>
      <c r="DY179" s="486" t="n">
        <v>0.35</v>
      </c>
      <c r="DZ179" s="481" t="n">
        <f aca="false">DR179</f>
        <v>50526</v>
      </c>
      <c r="EA179" s="486" t="n">
        <f aca="false">DT179</f>
        <v>0.128365217391302</v>
      </c>
      <c r="EB179" s="195"/>
      <c r="EC179" s="547" t="str">
        <f aca="false">IF(BD179,IF(Underlying=1,AS179,AU179),"")</f>
        <v/>
      </c>
      <c r="ED179" s="548" t="str">
        <f aca="false">IF($BD179,$EC179+IF(VolSkewFlag=1,IF(BS179&gt;0,$BA179*MIN(BS179/10%,1)+($BB179-$BA179)*MAX(0,MIN(BS179/10%-1,1))+($BC179-$BB179)*MAX(0,BS179/10%-2),$AZ179*MIN(-BS179/10%,1)+($AY179-$AZ179)*MAX(0,MIN(-BS179/10%-1,1))+($AX179-$AY179)*MAX(0,-BS179/10%-2)),0),"")</f>
        <v/>
      </c>
      <c r="EE179" s="549" t="str">
        <f aca="false">IF($BD179,$EC179+IF(VolSkewFlag=1,IF(BT179&gt;0,$BA179*MIN(BT179/10%,1)+($BB179-$BA179)*MAX(0,MIN(BT179/10%-1,1))+($BC179-$BB179)*MAX(0,BT179/10%-2),$AZ179*MIN(-BT179/10%,1)+($AY179-$AZ179)*MAX(0,MIN(-BT179/10%-1,1))+($AX179-$AY179)*MAX(0,-BT179/10%-2)),0),"")</f>
        <v/>
      </c>
      <c r="EF179" s="550" t="n">
        <f aca="false">IF(BD179,xASN(BR179,Strike1,AO179,ED179,0,BO179,0,BI179,BL179,IF(OptControl=4,0,1),0),0)</f>
        <v>0</v>
      </c>
      <c r="EG179" s="551" t="n">
        <f aca="false">IF(BD179,xASN(BR179,Strike2,AO179,EE179,0,BO179,0,BI179,BL179,IF(OptControl=3,1,0),0),0)</f>
        <v>0</v>
      </c>
      <c r="EL179" s="1"/>
      <c r="EM179" s="195"/>
      <c r="EN179" s="240"/>
      <c r="EO179" s="240"/>
      <c r="EP179" s="195"/>
      <c r="EQ179" s="407" t="s">
        <v>407</v>
      </c>
      <c r="ES179" s="130"/>
      <c r="ET179" s="19"/>
      <c r="EU179" s="672"/>
      <c r="EV179" s="478"/>
      <c r="EW179" s="131"/>
      <c r="EX179" s="131"/>
      <c r="EY179" s="129"/>
      <c r="EZ179" s="129"/>
      <c r="FA179" s="129"/>
      <c r="FB179" s="129"/>
      <c r="FC179" s="129"/>
      <c r="FD179" s="129"/>
      <c r="FE179" s="129"/>
      <c r="FF179" s="129"/>
      <c r="FG179" s="129"/>
      <c r="FH179" s="129"/>
      <c r="FI179" s="129"/>
      <c r="FJ179" s="571" t="n">
        <v>10</v>
      </c>
      <c r="FK179" s="150" t="str">
        <f aca="false">IF(OR(FK$169&lt;SwaptionFirstMonthPosition+1,$FJ179&lt;SwaptionFirstMonthPosition+1,FK$169&gt;SwaptionFirstMonthPosition+SwaptionNumOfMonths+1,$FJ179&gt;SwaptionFirstMonthPosition+SwaptionNumOfMonths+1),"",IF($FJ179=FK$169,1,IF($FJ179&lt;FK$169,INDEX($FK$170:$ID$241,FK$169,$FJ179),SUMPRODUCT(INDEX($FK$325:$ID$396,FK$169,1+SwaptionShift):INDEX($FK$325:$ID$396,FK$169,SwaptionMonthsToGo+SwaptionShift),INDEX($FK$245:$ID$316,$FJ179-FK$169,73-FK$169+SwaptionShift):INDEX($FK$245:$ID$316,$FJ179-FK$169,72-FK$169+SwaptionMonthsToGo+SwaptionShift))/SQRT(SUM(INDEX($FK334:$ID334,1+SwaptionShift):INDEX($FK334:$ID334,SwaptionMonthsToGo+SwaptionShift))*SUM(INDEX($FK$325:$ID$396,FK$169,1+SwaptionShift):INDEX($FK$325:$ID$396,FK$169,SwaptionMonthsToGo+SwaptionShift))))))</f>
        <v/>
      </c>
      <c r="FL179" s="150" t="str">
        <f aca="false">IF(OR(FL$169&lt;SwaptionFirstMonthPosition+1,$FJ179&lt;SwaptionFirstMonthPosition+1,FL$169&gt;SwaptionFirstMonthPosition+SwaptionNumOfMonths+1,$FJ179&gt;SwaptionFirstMonthPosition+SwaptionNumOfMonths+1),"",IF($FJ179=FL$169,1,IF($FJ179&lt;FL$169,INDEX($FK$170:$ID$241,FL$169,$FJ179),SUMPRODUCT(INDEX($FK$325:$ID$396,FL$169,1+SwaptionShift):INDEX($FK$325:$ID$396,FL$169,SwaptionMonthsToGo+SwaptionShift),INDEX($FK$245:$ID$316,$FJ179-FL$169,73-FL$169+SwaptionShift):INDEX($FK$245:$ID$316,$FJ179-FL$169,72-FL$169+SwaptionMonthsToGo+SwaptionShift))/SQRT(SUM(INDEX($FK334:$ID334,1+SwaptionShift):INDEX($FK334:$ID334,SwaptionMonthsToGo+SwaptionShift))*SUM(INDEX($FK$325:$ID$396,FL$169,1+SwaptionShift):INDEX($FK$325:$ID$396,FL$169,SwaptionMonthsToGo+SwaptionShift))))))</f>
        <v/>
      </c>
      <c r="FM179" s="150" t="str">
        <f aca="false">IF(OR(FM$169&lt;SwaptionFirstMonthPosition+1,$FJ179&lt;SwaptionFirstMonthPosition+1,FM$169&gt;SwaptionFirstMonthPosition+SwaptionNumOfMonths+1,$FJ179&gt;SwaptionFirstMonthPosition+SwaptionNumOfMonths+1),"",IF($FJ179=FM$169,1,IF($FJ179&lt;FM$169,INDEX($FK$170:$ID$241,FM$169,$FJ179),SUMPRODUCT(INDEX($FK$325:$ID$396,FM$169,1+SwaptionShift):INDEX($FK$325:$ID$396,FM$169,SwaptionMonthsToGo+SwaptionShift),INDEX($FK$245:$ID$316,$FJ179-FM$169,73-FM$169+SwaptionShift):INDEX($FK$245:$ID$316,$FJ179-FM$169,72-FM$169+SwaptionMonthsToGo+SwaptionShift))/SQRT(SUM(INDEX($FK334:$ID334,1+SwaptionShift):INDEX($FK334:$ID334,SwaptionMonthsToGo+SwaptionShift))*SUM(INDEX($FK$325:$ID$396,FM$169,1+SwaptionShift):INDEX($FK$325:$ID$396,FM$169,SwaptionMonthsToGo+SwaptionShift))))))</f>
        <v/>
      </c>
      <c r="FN179" s="150" t="str">
        <f aca="false">IF(OR(FN$169&lt;SwaptionFirstMonthPosition+1,$FJ179&lt;SwaptionFirstMonthPosition+1,FN$169&gt;SwaptionFirstMonthPosition+SwaptionNumOfMonths+1,$FJ179&gt;SwaptionFirstMonthPosition+SwaptionNumOfMonths+1),"",IF($FJ179=FN$169,1,IF($FJ179&lt;FN$169,INDEX($FK$170:$ID$241,FN$169,$FJ179),SUMPRODUCT(INDEX($FK$325:$ID$396,FN$169,1+SwaptionShift):INDEX($FK$325:$ID$396,FN$169,SwaptionMonthsToGo+SwaptionShift),INDEX($FK$245:$ID$316,$FJ179-FN$169,73-FN$169+SwaptionShift):INDEX($FK$245:$ID$316,$FJ179-FN$169,72-FN$169+SwaptionMonthsToGo+SwaptionShift))/SQRT(SUM(INDEX($FK334:$ID334,1+SwaptionShift):INDEX($FK334:$ID334,SwaptionMonthsToGo+SwaptionShift))*SUM(INDEX($FK$325:$ID$396,FN$169,1+SwaptionShift):INDEX($FK$325:$ID$396,FN$169,SwaptionMonthsToGo+SwaptionShift))))))</f>
        <v/>
      </c>
      <c r="FO179" s="150" t="str">
        <f aca="false">IF(OR(FO$169&lt;SwaptionFirstMonthPosition+1,$FJ179&lt;SwaptionFirstMonthPosition+1,FO$169&gt;SwaptionFirstMonthPosition+SwaptionNumOfMonths+1,$FJ179&gt;SwaptionFirstMonthPosition+SwaptionNumOfMonths+1),"",IF($FJ179=FO$169,1,IF($FJ179&lt;FO$169,INDEX($FK$170:$ID$241,FO$169,$FJ179),SUMPRODUCT(INDEX($FK$325:$ID$396,FO$169,1+SwaptionShift):INDEX($FK$325:$ID$396,FO$169,SwaptionMonthsToGo+SwaptionShift),INDEX($FK$245:$ID$316,$FJ179-FO$169,73-FO$169+SwaptionShift):INDEX($FK$245:$ID$316,$FJ179-FO$169,72-FO$169+SwaptionMonthsToGo+SwaptionShift))/SQRT(SUM(INDEX($FK334:$ID334,1+SwaptionShift):INDEX($FK334:$ID334,SwaptionMonthsToGo+SwaptionShift))*SUM(INDEX($FK$325:$ID$396,FO$169,1+SwaptionShift):INDEX($FK$325:$ID$396,FO$169,SwaptionMonthsToGo+SwaptionShift))))))</f>
        <v/>
      </c>
      <c r="FP179" s="150" t="e">
        <f aca="false">IF(OR(FP$169&lt;SwaptionFirstMonthPosition+1,$FJ179&lt;SwaptionFirstMonthPosition+1,FP$169&gt;SwaptionFirstMonthPosition+SwaptionNumOfMonths+1,$FJ179&gt;SwaptionFirstMonthPosition+SwaptionNumOfMonths+1),"",IF($FJ179=FP$169,1,IF($FJ179&lt;FP$169,INDEX($FK$170:$ID$241,FP$169,$FJ179),SUMPRODUCT(INDEX($FK$325:$ID$396,FP$169,1+SwaptionShift):INDEX($FK$325:$ID$396,FP$169,SwaptionMonthsToGo+SwaptionShift),INDEX($FK$245:$ID$316,$FJ179-FP$169,73-FP$169+SwaptionShift):INDEX($FK$245:$ID$316,$FJ179-FP$169,72-FP$169+SwaptionMonthsToGo+SwaptionShift))/SQRT(SUM(INDEX($FK334:$ID334,1+SwaptionShift):INDEX($FK334:$ID334,SwaptionMonthsToGo+SwaptionShift))*SUM(INDEX($FK$325:$ID$396,FP$169,1+SwaptionShift):INDEX($FK$325:$ID$396,FP$169,SwaptionMonthsToGo+SwaptionShift))))))</f>
        <v>#DIV/0!</v>
      </c>
      <c r="FQ179" s="150" t="e">
        <f aca="false">IF(OR(FQ$169&lt;SwaptionFirstMonthPosition+1,$FJ179&lt;SwaptionFirstMonthPosition+1,FQ$169&gt;SwaptionFirstMonthPosition+SwaptionNumOfMonths+1,$FJ179&gt;SwaptionFirstMonthPosition+SwaptionNumOfMonths+1),"",IF($FJ179=FQ$169,1,IF($FJ179&lt;FQ$169,INDEX($FK$170:$ID$241,FQ$169,$FJ179),SUMPRODUCT(INDEX($FK$325:$ID$396,FQ$169,1+SwaptionShift):INDEX($FK$325:$ID$396,FQ$169,SwaptionMonthsToGo+SwaptionShift),INDEX($FK$245:$ID$316,$FJ179-FQ$169,73-FQ$169+SwaptionShift):INDEX($FK$245:$ID$316,$FJ179-FQ$169,72-FQ$169+SwaptionMonthsToGo+SwaptionShift))/SQRT(SUM(INDEX($FK334:$ID334,1+SwaptionShift):INDEX($FK334:$ID334,SwaptionMonthsToGo+SwaptionShift))*SUM(INDEX($FK$325:$ID$396,FQ$169,1+SwaptionShift):INDEX($FK$325:$ID$396,FQ$169,SwaptionMonthsToGo+SwaptionShift))))))</f>
        <v>#DIV/0!</v>
      </c>
      <c r="FR179" s="150" t="e">
        <f aca="false">IF(OR(FR$169&lt;SwaptionFirstMonthPosition+1,$FJ179&lt;SwaptionFirstMonthPosition+1,FR$169&gt;SwaptionFirstMonthPosition+SwaptionNumOfMonths+1,$FJ179&gt;SwaptionFirstMonthPosition+SwaptionNumOfMonths+1),"",IF($FJ179=FR$169,1,IF($FJ179&lt;FR$169,INDEX($FK$170:$ID$241,FR$169,$FJ179),SUMPRODUCT(INDEX($FK$325:$ID$396,FR$169,1+SwaptionShift):INDEX($FK$325:$ID$396,FR$169,SwaptionMonthsToGo+SwaptionShift),INDEX($FK$245:$ID$316,$FJ179-FR$169,73-FR$169+SwaptionShift):INDEX($FK$245:$ID$316,$FJ179-FR$169,72-FR$169+SwaptionMonthsToGo+SwaptionShift))/SQRT(SUM(INDEX($FK334:$ID334,1+SwaptionShift):INDEX($FK334:$ID334,SwaptionMonthsToGo+SwaptionShift))*SUM(INDEX($FK$325:$ID$396,FR$169,1+SwaptionShift):INDEX($FK$325:$ID$396,FR$169,SwaptionMonthsToGo+SwaptionShift))))))</f>
        <v>#DIV/0!</v>
      </c>
      <c r="FS179" s="150" t="e">
        <f aca="false">IF(OR(FS$169&lt;SwaptionFirstMonthPosition+1,$FJ179&lt;SwaptionFirstMonthPosition+1,FS$169&gt;SwaptionFirstMonthPosition+SwaptionNumOfMonths+1,$FJ179&gt;SwaptionFirstMonthPosition+SwaptionNumOfMonths+1),"",IF($FJ179=FS$169,1,IF($FJ179&lt;FS$169,INDEX($FK$170:$ID$241,FS$169,$FJ179),SUMPRODUCT(INDEX($FK$325:$ID$396,FS$169,1+SwaptionShift):INDEX($FK$325:$ID$396,FS$169,SwaptionMonthsToGo+SwaptionShift),INDEX($FK$245:$ID$316,$FJ179-FS$169,73-FS$169+SwaptionShift):INDEX($FK$245:$ID$316,$FJ179-FS$169,72-FS$169+SwaptionMonthsToGo+SwaptionShift))/SQRT(SUM(INDEX($FK334:$ID334,1+SwaptionShift):INDEX($FK334:$ID334,SwaptionMonthsToGo+SwaptionShift))*SUM(INDEX($FK$325:$ID$396,FS$169,1+SwaptionShift):INDEX($FK$325:$ID$396,FS$169,SwaptionMonthsToGo+SwaptionShift))))))</f>
        <v>#DIV/0!</v>
      </c>
      <c r="FT179" s="150" t="n">
        <f aca="false">IF(OR(FT$169&lt;SwaptionFirstMonthPosition+1,$FJ179&lt;SwaptionFirstMonthPosition+1,FT$169&gt;SwaptionFirstMonthPosition+SwaptionNumOfMonths+1,$FJ179&gt;SwaptionFirstMonthPosition+SwaptionNumOfMonths+1),"",IF($FJ179=FT$169,1,IF($FJ179&lt;FT$169,INDEX($FK$170:$ID$241,FT$169,$FJ179),SUMPRODUCT(INDEX($FK$325:$ID$396,FT$169,1+SwaptionShift):INDEX($FK$325:$ID$396,FT$169,SwaptionMonthsToGo+SwaptionShift),INDEX($FK$245:$ID$316,$FJ179-FT$169,73-FT$169+SwaptionShift):INDEX($FK$245:$ID$316,$FJ179-FT$169,72-FT$169+SwaptionMonthsToGo+SwaptionShift))/SQRT(SUM(INDEX($FK334:$ID334,1+SwaptionShift):INDEX($FK334:$ID334,SwaptionMonthsToGo+SwaptionShift))*SUM(INDEX($FK$325:$ID$396,FT$169,1+SwaptionShift):INDEX($FK$325:$ID$396,FT$169,SwaptionMonthsToGo+SwaptionShift))))))</f>
        <v>1</v>
      </c>
      <c r="FU179" s="150" t="e">
        <f aca="false">IF(OR(FU$169&lt;SwaptionFirstMonthPosition+1,$FJ179&lt;SwaptionFirstMonthPosition+1,FU$169&gt;SwaptionFirstMonthPosition+SwaptionNumOfMonths+1,$FJ179&gt;SwaptionFirstMonthPosition+SwaptionNumOfMonths+1),"",IF($FJ179=FU$169,1,IF($FJ179&lt;FU$169,INDEX($FK$170:$ID$241,FU$169,$FJ179),SUMPRODUCT(INDEX($FK$325:$ID$396,FU$169,1+SwaptionShift):INDEX($FK$325:$ID$396,FU$169,SwaptionMonthsToGo+SwaptionShift),INDEX($FK$245:$ID$316,$FJ179-FU$169,73-FU$169+SwaptionShift):INDEX($FK$245:$ID$316,$FJ179-FU$169,72-FU$169+SwaptionMonthsToGo+SwaptionShift))/SQRT(SUM(INDEX($FK334:$ID334,1+SwaptionShift):INDEX($FK334:$ID334,SwaptionMonthsToGo+SwaptionShift))*SUM(INDEX($FK$325:$ID$396,FU$169,1+SwaptionShift):INDEX($FK$325:$ID$396,FU$169,SwaptionMonthsToGo+SwaptionShift))))))</f>
        <v>#DIV/0!</v>
      </c>
      <c r="FV179" s="150" t="e">
        <f aca="false">IF(OR(FV$169&lt;SwaptionFirstMonthPosition+1,$FJ179&lt;SwaptionFirstMonthPosition+1,FV$169&gt;SwaptionFirstMonthPosition+SwaptionNumOfMonths+1,$FJ179&gt;SwaptionFirstMonthPosition+SwaptionNumOfMonths+1),"",IF($FJ179=FV$169,1,IF($FJ179&lt;FV$169,INDEX($FK$170:$ID$241,FV$169,$FJ179),SUMPRODUCT(INDEX($FK$325:$ID$396,FV$169,1+SwaptionShift):INDEX($FK$325:$ID$396,FV$169,SwaptionMonthsToGo+SwaptionShift),INDEX($FK$245:$ID$316,$FJ179-FV$169,73-FV$169+SwaptionShift):INDEX($FK$245:$ID$316,$FJ179-FV$169,72-FV$169+SwaptionMonthsToGo+SwaptionShift))/SQRT(SUM(INDEX($FK334:$ID334,1+SwaptionShift):INDEX($FK334:$ID334,SwaptionMonthsToGo+SwaptionShift))*SUM(INDEX($FK$325:$ID$396,FV$169,1+SwaptionShift):INDEX($FK$325:$ID$396,FV$169,SwaptionMonthsToGo+SwaptionShift))))))</f>
        <v>#DIV/0!</v>
      </c>
      <c r="FW179" s="150" t="e">
        <f aca="false">IF(OR(FW$169&lt;SwaptionFirstMonthPosition+1,$FJ179&lt;SwaptionFirstMonthPosition+1,FW$169&gt;SwaptionFirstMonthPosition+SwaptionNumOfMonths+1,$FJ179&gt;SwaptionFirstMonthPosition+SwaptionNumOfMonths+1),"",IF($FJ179=FW$169,1,IF($FJ179&lt;FW$169,INDEX($FK$170:$ID$241,FW$169,$FJ179),SUMPRODUCT(INDEX($FK$325:$ID$396,FW$169,1+SwaptionShift):INDEX($FK$325:$ID$396,FW$169,SwaptionMonthsToGo+SwaptionShift),INDEX($FK$245:$ID$316,$FJ179-FW$169,73-FW$169+SwaptionShift):INDEX($FK$245:$ID$316,$FJ179-FW$169,72-FW$169+SwaptionMonthsToGo+SwaptionShift))/SQRT(SUM(INDEX($FK334:$ID334,1+SwaptionShift):INDEX($FK334:$ID334,SwaptionMonthsToGo+SwaptionShift))*SUM(INDEX($FK$325:$ID$396,FW$169,1+SwaptionShift):INDEX($FK$325:$ID$396,FW$169,SwaptionMonthsToGo+SwaptionShift))))))</f>
        <v>#DIV/0!</v>
      </c>
      <c r="FX179" s="150" t="e">
        <f aca="false">IF(OR(FX$169&lt;SwaptionFirstMonthPosition+1,$FJ179&lt;SwaptionFirstMonthPosition+1,FX$169&gt;SwaptionFirstMonthPosition+SwaptionNumOfMonths+1,$FJ179&gt;SwaptionFirstMonthPosition+SwaptionNumOfMonths+1),"",IF($FJ179=FX$169,1,IF($FJ179&lt;FX$169,INDEX($FK$170:$ID$241,FX$169,$FJ179),SUMPRODUCT(INDEX($FK$325:$ID$396,FX$169,1+SwaptionShift):INDEX($FK$325:$ID$396,FX$169,SwaptionMonthsToGo+SwaptionShift),INDEX($FK$245:$ID$316,$FJ179-FX$169,73-FX$169+SwaptionShift):INDEX($FK$245:$ID$316,$FJ179-FX$169,72-FX$169+SwaptionMonthsToGo+SwaptionShift))/SQRT(SUM(INDEX($FK334:$ID334,1+SwaptionShift):INDEX($FK334:$ID334,SwaptionMonthsToGo+SwaptionShift))*SUM(INDEX($FK$325:$ID$396,FX$169,1+SwaptionShift):INDEX($FK$325:$ID$396,FX$169,SwaptionMonthsToGo+SwaptionShift))))))</f>
        <v>#DIV/0!</v>
      </c>
      <c r="FY179" s="150" t="e">
        <f aca="false">IF(OR(FY$169&lt;SwaptionFirstMonthPosition+1,$FJ179&lt;SwaptionFirstMonthPosition+1,FY$169&gt;SwaptionFirstMonthPosition+SwaptionNumOfMonths+1,$FJ179&gt;SwaptionFirstMonthPosition+SwaptionNumOfMonths+1),"",IF($FJ179=FY$169,1,IF($FJ179&lt;FY$169,INDEX($FK$170:$ID$241,FY$169,$FJ179),SUMPRODUCT(INDEX($FK$325:$ID$396,FY$169,1+SwaptionShift):INDEX($FK$325:$ID$396,FY$169,SwaptionMonthsToGo+SwaptionShift),INDEX($FK$245:$ID$316,$FJ179-FY$169,73-FY$169+SwaptionShift):INDEX($FK$245:$ID$316,$FJ179-FY$169,72-FY$169+SwaptionMonthsToGo+SwaptionShift))/SQRT(SUM(INDEX($FK334:$ID334,1+SwaptionShift):INDEX($FK334:$ID334,SwaptionMonthsToGo+SwaptionShift))*SUM(INDEX($FK$325:$ID$396,FY$169,1+SwaptionShift):INDEX($FK$325:$ID$396,FY$169,SwaptionMonthsToGo+SwaptionShift))))))</f>
        <v>#DIV/0!</v>
      </c>
      <c r="FZ179" s="150" t="e">
        <f aca="false">IF(OR(FZ$169&lt;SwaptionFirstMonthPosition+1,$FJ179&lt;SwaptionFirstMonthPosition+1,FZ$169&gt;SwaptionFirstMonthPosition+SwaptionNumOfMonths+1,$FJ179&gt;SwaptionFirstMonthPosition+SwaptionNumOfMonths+1),"",IF($FJ179=FZ$169,1,IF($FJ179&lt;FZ$169,INDEX($FK$170:$ID$241,FZ$169,$FJ179),SUMPRODUCT(INDEX($FK$325:$ID$396,FZ$169,1+SwaptionShift):INDEX($FK$325:$ID$396,FZ$169,SwaptionMonthsToGo+SwaptionShift),INDEX($FK$245:$ID$316,$FJ179-FZ$169,73-FZ$169+SwaptionShift):INDEX($FK$245:$ID$316,$FJ179-FZ$169,72-FZ$169+SwaptionMonthsToGo+SwaptionShift))/SQRT(SUM(INDEX($FK334:$ID334,1+SwaptionShift):INDEX($FK334:$ID334,SwaptionMonthsToGo+SwaptionShift))*SUM(INDEX($FK$325:$ID$396,FZ$169,1+SwaptionShift):INDEX($FK$325:$ID$396,FZ$169,SwaptionMonthsToGo+SwaptionShift))))))</f>
        <v>#DIV/0!</v>
      </c>
      <c r="GA179" s="150" t="e">
        <f aca="false">IF(OR(GA$169&lt;SwaptionFirstMonthPosition+1,$FJ179&lt;SwaptionFirstMonthPosition+1,GA$169&gt;SwaptionFirstMonthPosition+SwaptionNumOfMonths+1,$FJ179&gt;SwaptionFirstMonthPosition+SwaptionNumOfMonths+1),"",IF($FJ179=GA$169,1,IF($FJ179&lt;GA$169,INDEX($FK$170:$ID$241,GA$169,$FJ179),SUMPRODUCT(INDEX($FK$325:$ID$396,GA$169,1+SwaptionShift):INDEX($FK$325:$ID$396,GA$169,SwaptionMonthsToGo+SwaptionShift),INDEX($FK$245:$ID$316,$FJ179-GA$169,73-GA$169+SwaptionShift):INDEX($FK$245:$ID$316,$FJ179-GA$169,72-GA$169+SwaptionMonthsToGo+SwaptionShift))/SQRT(SUM(INDEX($FK334:$ID334,1+SwaptionShift):INDEX($FK334:$ID334,SwaptionMonthsToGo+SwaptionShift))*SUM(INDEX($FK$325:$ID$396,GA$169,1+SwaptionShift):INDEX($FK$325:$ID$396,GA$169,SwaptionMonthsToGo+SwaptionShift))))))</f>
        <v>#DIV/0!</v>
      </c>
      <c r="GB179" s="150" t="e">
        <f aca="false">IF(OR(GB$169&lt;SwaptionFirstMonthPosition+1,$FJ179&lt;SwaptionFirstMonthPosition+1,GB$169&gt;SwaptionFirstMonthPosition+SwaptionNumOfMonths+1,$FJ179&gt;SwaptionFirstMonthPosition+SwaptionNumOfMonths+1),"",IF($FJ179=GB$169,1,IF($FJ179&lt;GB$169,INDEX($FK$170:$ID$241,GB$169,$FJ179),SUMPRODUCT(INDEX($FK$325:$ID$396,GB$169,1+SwaptionShift):INDEX($FK$325:$ID$396,GB$169,SwaptionMonthsToGo+SwaptionShift),INDEX($FK$245:$ID$316,$FJ179-GB$169,73-GB$169+SwaptionShift):INDEX($FK$245:$ID$316,$FJ179-GB$169,72-GB$169+SwaptionMonthsToGo+SwaptionShift))/SQRT(SUM(INDEX($FK334:$ID334,1+SwaptionShift):INDEX($FK334:$ID334,SwaptionMonthsToGo+SwaptionShift))*SUM(INDEX($FK$325:$ID$396,GB$169,1+SwaptionShift):INDEX($FK$325:$ID$396,GB$169,SwaptionMonthsToGo+SwaptionShift))))))</f>
        <v>#DIV/0!</v>
      </c>
      <c r="GC179" s="150" t="str">
        <f aca="false">IF(OR(GC$169&lt;SwaptionFirstMonthPosition+1,$FJ179&lt;SwaptionFirstMonthPosition+1,GC$169&gt;SwaptionFirstMonthPosition+SwaptionNumOfMonths+1,$FJ179&gt;SwaptionFirstMonthPosition+SwaptionNumOfMonths+1),"",IF($FJ179=GC$169,1,IF($FJ179&lt;GC$169,INDEX($FK$170:$ID$241,GC$169,$FJ179),SUMPRODUCT(INDEX($FK$325:$ID$396,GC$169,1+SwaptionShift):INDEX($FK$325:$ID$396,GC$169,SwaptionMonthsToGo+SwaptionShift),INDEX($FK$245:$ID$316,$FJ179-GC$169,73-GC$169+SwaptionShift):INDEX($FK$245:$ID$316,$FJ179-GC$169,72-GC$169+SwaptionMonthsToGo+SwaptionShift))/SQRT(SUM(INDEX($FK334:$ID334,1+SwaptionShift):INDEX($FK334:$ID334,SwaptionMonthsToGo+SwaptionShift))*SUM(INDEX($FK$325:$ID$396,GC$169,1+SwaptionShift):INDEX($FK$325:$ID$396,GC$169,SwaptionMonthsToGo+SwaptionShift))))))</f>
        <v/>
      </c>
      <c r="GD179" s="150" t="str">
        <f aca="false">IF(OR(GD$169&lt;SwaptionFirstMonthPosition+1,$FJ179&lt;SwaptionFirstMonthPosition+1,GD$169&gt;SwaptionFirstMonthPosition+SwaptionNumOfMonths+1,$FJ179&gt;SwaptionFirstMonthPosition+SwaptionNumOfMonths+1),"",IF($FJ179=GD$169,1,IF($FJ179&lt;GD$169,INDEX($FK$170:$ID$241,GD$169,$FJ179),SUMPRODUCT(INDEX($FK$325:$ID$396,GD$169,1+SwaptionShift):INDEX($FK$325:$ID$396,GD$169,SwaptionMonthsToGo+SwaptionShift),INDEX($FK$245:$ID$316,$FJ179-GD$169,73-GD$169+SwaptionShift):INDEX($FK$245:$ID$316,$FJ179-GD$169,72-GD$169+SwaptionMonthsToGo+SwaptionShift))/SQRT(SUM(INDEX($FK334:$ID334,1+SwaptionShift):INDEX($FK334:$ID334,SwaptionMonthsToGo+SwaptionShift))*SUM(INDEX($FK$325:$ID$396,GD$169,1+SwaptionShift):INDEX($FK$325:$ID$396,GD$169,SwaptionMonthsToGo+SwaptionShift))))))</f>
        <v/>
      </c>
      <c r="GE179" s="150" t="str">
        <f aca="false">IF(OR(GE$169&lt;SwaptionFirstMonthPosition+1,$FJ179&lt;SwaptionFirstMonthPosition+1,GE$169&gt;SwaptionFirstMonthPosition+SwaptionNumOfMonths+1,$FJ179&gt;SwaptionFirstMonthPosition+SwaptionNumOfMonths+1),"",IF($FJ179=GE$169,1,IF($FJ179&lt;GE$169,INDEX($FK$170:$ID$241,GE$169,$FJ179),SUMPRODUCT(INDEX($FK$325:$ID$396,GE$169,1+SwaptionShift):INDEX($FK$325:$ID$396,GE$169,SwaptionMonthsToGo+SwaptionShift),INDEX($FK$245:$ID$316,$FJ179-GE$169,73-GE$169+SwaptionShift):INDEX($FK$245:$ID$316,$FJ179-GE$169,72-GE$169+SwaptionMonthsToGo+SwaptionShift))/SQRT(SUM(INDEX($FK334:$ID334,1+SwaptionShift):INDEX($FK334:$ID334,SwaptionMonthsToGo+SwaptionShift))*SUM(INDEX($FK$325:$ID$396,GE$169,1+SwaptionShift):INDEX($FK$325:$ID$396,GE$169,SwaptionMonthsToGo+SwaptionShift))))))</f>
        <v/>
      </c>
      <c r="GF179" s="150" t="str">
        <f aca="false">IF(OR(GF$169&lt;SwaptionFirstMonthPosition+1,$FJ179&lt;SwaptionFirstMonthPosition+1,GF$169&gt;SwaptionFirstMonthPosition+SwaptionNumOfMonths+1,$FJ179&gt;SwaptionFirstMonthPosition+SwaptionNumOfMonths+1),"",IF($FJ179=GF$169,1,IF($FJ179&lt;GF$169,INDEX($FK$170:$ID$241,GF$169,$FJ179),SUMPRODUCT(INDEX($FK$325:$ID$396,GF$169,1+SwaptionShift):INDEX($FK$325:$ID$396,GF$169,SwaptionMonthsToGo+SwaptionShift),INDEX($FK$245:$ID$316,$FJ179-GF$169,73-GF$169+SwaptionShift):INDEX($FK$245:$ID$316,$FJ179-GF$169,72-GF$169+SwaptionMonthsToGo+SwaptionShift))/SQRT(SUM(INDEX($FK334:$ID334,1+SwaptionShift):INDEX($FK334:$ID334,SwaptionMonthsToGo+SwaptionShift))*SUM(INDEX($FK$325:$ID$396,GF$169,1+SwaptionShift):INDEX($FK$325:$ID$396,GF$169,SwaptionMonthsToGo+SwaptionShift))))))</f>
        <v/>
      </c>
      <c r="GG179" s="150" t="str">
        <f aca="false">IF(OR(GG$169&lt;SwaptionFirstMonthPosition+1,$FJ179&lt;SwaptionFirstMonthPosition+1,GG$169&gt;SwaptionFirstMonthPosition+SwaptionNumOfMonths+1,$FJ179&gt;SwaptionFirstMonthPosition+SwaptionNumOfMonths+1),"",IF($FJ179=GG$169,1,IF($FJ179&lt;GG$169,INDEX($FK$170:$ID$241,GG$169,$FJ179),SUMPRODUCT(INDEX($FK$325:$ID$396,GG$169,1+SwaptionShift):INDEX($FK$325:$ID$396,GG$169,SwaptionMonthsToGo+SwaptionShift),INDEX($FK$245:$ID$316,$FJ179-GG$169,73-GG$169+SwaptionShift):INDEX($FK$245:$ID$316,$FJ179-GG$169,72-GG$169+SwaptionMonthsToGo+SwaptionShift))/SQRT(SUM(INDEX($FK334:$ID334,1+SwaptionShift):INDEX($FK334:$ID334,SwaptionMonthsToGo+SwaptionShift))*SUM(INDEX($FK$325:$ID$396,GG$169,1+SwaptionShift):INDEX($FK$325:$ID$396,GG$169,SwaptionMonthsToGo+SwaptionShift))))))</f>
        <v/>
      </c>
      <c r="GH179" s="150" t="str">
        <f aca="false">IF(OR(GH$169&lt;SwaptionFirstMonthPosition+1,$FJ179&lt;SwaptionFirstMonthPosition+1,GH$169&gt;SwaptionFirstMonthPosition+SwaptionNumOfMonths+1,$FJ179&gt;SwaptionFirstMonthPosition+SwaptionNumOfMonths+1),"",IF($FJ179=GH$169,1,IF($FJ179&lt;GH$169,INDEX($FK$170:$ID$241,GH$169,$FJ179),SUMPRODUCT(INDEX($FK$325:$ID$396,GH$169,1+SwaptionShift):INDEX($FK$325:$ID$396,GH$169,SwaptionMonthsToGo+SwaptionShift),INDEX($FK$245:$ID$316,$FJ179-GH$169,73-GH$169+SwaptionShift):INDEX($FK$245:$ID$316,$FJ179-GH$169,72-GH$169+SwaptionMonthsToGo+SwaptionShift))/SQRT(SUM(INDEX($FK334:$ID334,1+SwaptionShift):INDEX($FK334:$ID334,SwaptionMonthsToGo+SwaptionShift))*SUM(INDEX($FK$325:$ID$396,GH$169,1+SwaptionShift):INDEX($FK$325:$ID$396,GH$169,SwaptionMonthsToGo+SwaptionShift))))))</f>
        <v/>
      </c>
      <c r="GI179" s="150" t="str">
        <f aca="false">IF(OR(GI$169&lt;SwaptionFirstMonthPosition+1,$FJ179&lt;SwaptionFirstMonthPosition+1,GI$169&gt;SwaptionFirstMonthPosition+SwaptionNumOfMonths+1,$FJ179&gt;SwaptionFirstMonthPosition+SwaptionNumOfMonths+1),"",IF($FJ179=GI$169,1,IF($FJ179&lt;GI$169,INDEX($FK$170:$ID$241,GI$169,$FJ179),SUMPRODUCT(INDEX($FK$325:$ID$396,GI$169,1+SwaptionShift):INDEX($FK$325:$ID$396,GI$169,SwaptionMonthsToGo+SwaptionShift),INDEX($FK$245:$ID$316,$FJ179-GI$169,73-GI$169+SwaptionShift):INDEX($FK$245:$ID$316,$FJ179-GI$169,72-GI$169+SwaptionMonthsToGo+SwaptionShift))/SQRT(SUM(INDEX($FK334:$ID334,1+SwaptionShift):INDEX($FK334:$ID334,SwaptionMonthsToGo+SwaptionShift))*SUM(INDEX($FK$325:$ID$396,GI$169,1+SwaptionShift):INDEX($FK$325:$ID$396,GI$169,SwaptionMonthsToGo+SwaptionShift))))))</f>
        <v/>
      </c>
      <c r="GJ179" s="150" t="str">
        <f aca="false">IF(OR(GJ$169&lt;SwaptionFirstMonthPosition+1,$FJ179&lt;SwaptionFirstMonthPosition+1,GJ$169&gt;SwaptionFirstMonthPosition+SwaptionNumOfMonths+1,$FJ179&gt;SwaptionFirstMonthPosition+SwaptionNumOfMonths+1),"",IF($FJ179=GJ$169,1,IF($FJ179&lt;GJ$169,INDEX($FK$170:$ID$241,GJ$169,$FJ179),SUMPRODUCT(INDEX($FK$325:$ID$396,GJ$169,1+SwaptionShift):INDEX($FK$325:$ID$396,GJ$169,SwaptionMonthsToGo+SwaptionShift),INDEX($FK$245:$ID$316,$FJ179-GJ$169,73-GJ$169+SwaptionShift):INDEX($FK$245:$ID$316,$FJ179-GJ$169,72-GJ$169+SwaptionMonthsToGo+SwaptionShift))/SQRT(SUM(INDEX($FK334:$ID334,1+SwaptionShift):INDEX($FK334:$ID334,SwaptionMonthsToGo+SwaptionShift))*SUM(INDEX($FK$325:$ID$396,GJ$169,1+SwaptionShift):INDEX($FK$325:$ID$396,GJ$169,SwaptionMonthsToGo+SwaptionShift))))))</f>
        <v/>
      </c>
      <c r="GK179" s="150" t="str">
        <f aca="false">IF(OR(GK$169&lt;SwaptionFirstMonthPosition+1,$FJ179&lt;SwaptionFirstMonthPosition+1,GK$169&gt;SwaptionFirstMonthPosition+SwaptionNumOfMonths+1,$FJ179&gt;SwaptionFirstMonthPosition+SwaptionNumOfMonths+1),"",IF($FJ179=GK$169,1,IF($FJ179&lt;GK$169,INDEX($FK$170:$ID$241,GK$169,$FJ179),SUMPRODUCT(INDEX($FK$325:$ID$396,GK$169,1+SwaptionShift):INDEX($FK$325:$ID$396,GK$169,SwaptionMonthsToGo+SwaptionShift),INDEX($FK$245:$ID$316,$FJ179-GK$169,73-GK$169+SwaptionShift):INDEX($FK$245:$ID$316,$FJ179-GK$169,72-GK$169+SwaptionMonthsToGo+SwaptionShift))/SQRT(SUM(INDEX($FK334:$ID334,1+SwaptionShift):INDEX($FK334:$ID334,SwaptionMonthsToGo+SwaptionShift))*SUM(INDEX($FK$325:$ID$396,GK$169,1+SwaptionShift):INDEX($FK$325:$ID$396,GK$169,SwaptionMonthsToGo+SwaptionShift))))))</f>
        <v/>
      </c>
      <c r="GL179" s="150" t="str">
        <f aca="false">IF(OR(GL$169&lt;SwaptionFirstMonthPosition+1,$FJ179&lt;SwaptionFirstMonthPosition+1,GL$169&gt;SwaptionFirstMonthPosition+SwaptionNumOfMonths+1,$FJ179&gt;SwaptionFirstMonthPosition+SwaptionNumOfMonths+1),"",IF($FJ179=GL$169,1,IF($FJ179&lt;GL$169,INDEX($FK$170:$ID$241,GL$169,$FJ179),SUMPRODUCT(INDEX($FK$325:$ID$396,GL$169,1+SwaptionShift):INDEX($FK$325:$ID$396,GL$169,SwaptionMonthsToGo+SwaptionShift),INDEX($FK$245:$ID$316,$FJ179-GL$169,73-GL$169+SwaptionShift):INDEX($FK$245:$ID$316,$FJ179-GL$169,72-GL$169+SwaptionMonthsToGo+SwaptionShift))/SQRT(SUM(INDEX($FK334:$ID334,1+SwaptionShift):INDEX($FK334:$ID334,SwaptionMonthsToGo+SwaptionShift))*SUM(INDEX($FK$325:$ID$396,GL$169,1+SwaptionShift):INDEX($FK$325:$ID$396,GL$169,SwaptionMonthsToGo+SwaptionShift))))))</f>
        <v/>
      </c>
      <c r="GM179" s="150" t="str">
        <f aca="false">IF(OR(GM$169&lt;SwaptionFirstMonthPosition+1,$FJ179&lt;SwaptionFirstMonthPosition+1,GM$169&gt;SwaptionFirstMonthPosition+SwaptionNumOfMonths+1,$FJ179&gt;SwaptionFirstMonthPosition+SwaptionNumOfMonths+1),"",IF($FJ179=GM$169,1,IF($FJ179&lt;GM$169,INDEX($FK$170:$ID$241,GM$169,$FJ179),SUMPRODUCT(INDEX($FK$325:$ID$396,GM$169,1+SwaptionShift):INDEX($FK$325:$ID$396,GM$169,SwaptionMonthsToGo+SwaptionShift),INDEX($FK$245:$ID$316,$FJ179-GM$169,73-GM$169+SwaptionShift):INDEX($FK$245:$ID$316,$FJ179-GM$169,72-GM$169+SwaptionMonthsToGo+SwaptionShift))/SQRT(SUM(INDEX($FK334:$ID334,1+SwaptionShift):INDEX($FK334:$ID334,SwaptionMonthsToGo+SwaptionShift))*SUM(INDEX($FK$325:$ID$396,GM$169,1+SwaptionShift):INDEX($FK$325:$ID$396,GM$169,SwaptionMonthsToGo+SwaptionShift))))))</f>
        <v/>
      </c>
      <c r="GN179" s="150" t="str">
        <f aca="false">IF(OR(GN$169&lt;SwaptionFirstMonthPosition+1,$FJ179&lt;SwaptionFirstMonthPosition+1,GN$169&gt;SwaptionFirstMonthPosition+SwaptionNumOfMonths+1,$FJ179&gt;SwaptionFirstMonthPosition+SwaptionNumOfMonths+1),"",IF($FJ179=GN$169,1,IF($FJ179&lt;GN$169,INDEX($FK$170:$ID$241,GN$169,$FJ179),SUMPRODUCT(INDEX($FK$325:$ID$396,GN$169,1+SwaptionShift):INDEX($FK$325:$ID$396,GN$169,SwaptionMonthsToGo+SwaptionShift),INDEX($FK$245:$ID$316,$FJ179-GN$169,73-GN$169+SwaptionShift):INDEX($FK$245:$ID$316,$FJ179-GN$169,72-GN$169+SwaptionMonthsToGo+SwaptionShift))/SQRT(SUM(INDEX($FK334:$ID334,1+SwaptionShift):INDEX($FK334:$ID334,SwaptionMonthsToGo+SwaptionShift))*SUM(INDEX($FK$325:$ID$396,GN$169,1+SwaptionShift):INDEX($FK$325:$ID$396,GN$169,SwaptionMonthsToGo+SwaptionShift))))))</f>
        <v/>
      </c>
      <c r="GO179" s="150" t="str">
        <f aca="false">IF(OR(GO$169&lt;SwaptionFirstMonthPosition+1,$FJ179&lt;SwaptionFirstMonthPosition+1,GO$169&gt;SwaptionFirstMonthPosition+SwaptionNumOfMonths+1,$FJ179&gt;SwaptionFirstMonthPosition+SwaptionNumOfMonths+1),"",IF($FJ179=GO$169,1,IF($FJ179&lt;GO$169,INDEX($FK$170:$ID$241,GO$169,$FJ179),SUMPRODUCT(INDEX($FK$325:$ID$396,GO$169,1+SwaptionShift):INDEX($FK$325:$ID$396,GO$169,SwaptionMonthsToGo+SwaptionShift),INDEX($FK$245:$ID$316,$FJ179-GO$169,73-GO$169+SwaptionShift):INDEX($FK$245:$ID$316,$FJ179-GO$169,72-GO$169+SwaptionMonthsToGo+SwaptionShift))/SQRT(SUM(INDEX($FK334:$ID334,1+SwaptionShift):INDEX($FK334:$ID334,SwaptionMonthsToGo+SwaptionShift))*SUM(INDEX($FK$325:$ID$396,GO$169,1+SwaptionShift):INDEX($FK$325:$ID$396,GO$169,SwaptionMonthsToGo+SwaptionShift))))))</f>
        <v/>
      </c>
      <c r="GP179" s="150" t="str">
        <f aca="false">IF(OR(GP$169&lt;SwaptionFirstMonthPosition+1,$FJ179&lt;SwaptionFirstMonthPosition+1,GP$169&gt;SwaptionFirstMonthPosition+SwaptionNumOfMonths+1,$FJ179&gt;SwaptionFirstMonthPosition+SwaptionNumOfMonths+1),"",IF($FJ179=GP$169,1,IF($FJ179&lt;GP$169,INDEX($FK$170:$ID$241,GP$169,$FJ179),SUMPRODUCT(INDEX($FK$325:$ID$396,GP$169,1+SwaptionShift):INDEX($FK$325:$ID$396,GP$169,SwaptionMonthsToGo+SwaptionShift),INDEX($FK$245:$ID$316,$FJ179-GP$169,73-GP$169+SwaptionShift):INDEX($FK$245:$ID$316,$FJ179-GP$169,72-GP$169+SwaptionMonthsToGo+SwaptionShift))/SQRT(SUM(INDEX($FK334:$ID334,1+SwaptionShift):INDEX($FK334:$ID334,SwaptionMonthsToGo+SwaptionShift))*SUM(INDEX($FK$325:$ID$396,GP$169,1+SwaptionShift):INDEX($FK$325:$ID$396,GP$169,SwaptionMonthsToGo+SwaptionShift))))))</f>
        <v/>
      </c>
      <c r="GQ179" s="150" t="str">
        <f aca="false">IF(OR(GQ$169&lt;SwaptionFirstMonthPosition+1,$FJ179&lt;SwaptionFirstMonthPosition+1,GQ$169&gt;SwaptionFirstMonthPosition+SwaptionNumOfMonths+1,$FJ179&gt;SwaptionFirstMonthPosition+SwaptionNumOfMonths+1),"",IF($FJ179=GQ$169,1,IF($FJ179&lt;GQ$169,INDEX($FK$170:$ID$241,GQ$169,$FJ179),SUMPRODUCT(INDEX($FK$325:$ID$396,GQ$169,1+SwaptionShift):INDEX($FK$325:$ID$396,GQ$169,SwaptionMonthsToGo+SwaptionShift),INDEX($FK$245:$ID$316,$FJ179-GQ$169,73-GQ$169+SwaptionShift):INDEX($FK$245:$ID$316,$FJ179-GQ$169,72-GQ$169+SwaptionMonthsToGo+SwaptionShift))/SQRT(SUM(INDEX($FK334:$ID334,1+SwaptionShift):INDEX($FK334:$ID334,SwaptionMonthsToGo+SwaptionShift))*SUM(INDEX($FK$325:$ID$396,GQ$169,1+SwaptionShift):INDEX($FK$325:$ID$396,GQ$169,SwaptionMonthsToGo+SwaptionShift))))))</f>
        <v/>
      </c>
      <c r="GR179" s="150" t="str">
        <f aca="false">IF(OR(GR$169&lt;SwaptionFirstMonthPosition+1,$FJ179&lt;SwaptionFirstMonthPosition+1,GR$169&gt;SwaptionFirstMonthPosition+SwaptionNumOfMonths+1,$FJ179&gt;SwaptionFirstMonthPosition+SwaptionNumOfMonths+1),"",IF($FJ179=GR$169,1,IF($FJ179&lt;GR$169,INDEX($FK$170:$ID$241,GR$169,$FJ179),SUMPRODUCT(INDEX($FK$325:$ID$396,GR$169,1+SwaptionShift):INDEX($FK$325:$ID$396,GR$169,SwaptionMonthsToGo+SwaptionShift),INDEX($FK$245:$ID$316,$FJ179-GR$169,73-GR$169+SwaptionShift):INDEX($FK$245:$ID$316,$FJ179-GR$169,72-GR$169+SwaptionMonthsToGo+SwaptionShift))/SQRT(SUM(INDEX($FK334:$ID334,1+SwaptionShift):INDEX($FK334:$ID334,SwaptionMonthsToGo+SwaptionShift))*SUM(INDEX($FK$325:$ID$396,GR$169,1+SwaptionShift):INDEX($FK$325:$ID$396,GR$169,SwaptionMonthsToGo+SwaptionShift))))))</f>
        <v/>
      </c>
      <c r="GS179" s="150" t="str">
        <f aca="false">IF(OR(GS$169&lt;SwaptionFirstMonthPosition+1,$FJ179&lt;SwaptionFirstMonthPosition+1,GS$169&gt;SwaptionFirstMonthPosition+SwaptionNumOfMonths+1,$FJ179&gt;SwaptionFirstMonthPosition+SwaptionNumOfMonths+1),"",IF($FJ179=GS$169,1,IF($FJ179&lt;GS$169,INDEX($FK$170:$ID$241,GS$169,$FJ179),SUMPRODUCT(INDEX($FK$325:$ID$396,GS$169,1+SwaptionShift):INDEX($FK$325:$ID$396,GS$169,SwaptionMonthsToGo+SwaptionShift),INDEX($FK$245:$ID$316,$FJ179-GS$169,73-GS$169+SwaptionShift):INDEX($FK$245:$ID$316,$FJ179-GS$169,72-GS$169+SwaptionMonthsToGo+SwaptionShift))/SQRT(SUM(INDEX($FK334:$ID334,1+SwaptionShift):INDEX($FK334:$ID334,SwaptionMonthsToGo+SwaptionShift))*SUM(INDEX($FK$325:$ID$396,GS$169,1+SwaptionShift):INDEX($FK$325:$ID$396,GS$169,SwaptionMonthsToGo+SwaptionShift))))))</f>
        <v/>
      </c>
      <c r="GT179" s="150" t="str">
        <f aca="false">IF(OR(GT$169&lt;SwaptionFirstMonthPosition+1,$FJ179&lt;SwaptionFirstMonthPosition+1,GT$169&gt;SwaptionFirstMonthPosition+SwaptionNumOfMonths+1,$FJ179&gt;SwaptionFirstMonthPosition+SwaptionNumOfMonths+1),"",IF($FJ179=GT$169,1,IF($FJ179&lt;GT$169,INDEX($FK$170:$ID$241,GT$169,$FJ179),SUMPRODUCT(INDEX($FK$325:$ID$396,GT$169,1+SwaptionShift):INDEX($FK$325:$ID$396,GT$169,SwaptionMonthsToGo+SwaptionShift),INDEX($FK$245:$ID$316,$FJ179-GT$169,73-GT$169+SwaptionShift):INDEX($FK$245:$ID$316,$FJ179-GT$169,72-GT$169+SwaptionMonthsToGo+SwaptionShift))/SQRT(SUM(INDEX($FK334:$ID334,1+SwaptionShift):INDEX($FK334:$ID334,SwaptionMonthsToGo+SwaptionShift))*SUM(INDEX($FK$325:$ID$396,GT$169,1+SwaptionShift):INDEX($FK$325:$ID$396,GT$169,SwaptionMonthsToGo+SwaptionShift))))))</f>
        <v/>
      </c>
      <c r="GU179" s="150" t="str">
        <f aca="false">IF(OR(GU$169&lt;SwaptionFirstMonthPosition+1,$FJ179&lt;SwaptionFirstMonthPosition+1,GU$169&gt;SwaptionFirstMonthPosition+SwaptionNumOfMonths+1,$FJ179&gt;SwaptionFirstMonthPosition+SwaptionNumOfMonths+1),"",IF($FJ179=GU$169,1,IF($FJ179&lt;GU$169,INDEX($FK$170:$ID$241,GU$169,$FJ179),SUMPRODUCT(INDEX($FK$325:$ID$396,GU$169,1+SwaptionShift):INDEX($FK$325:$ID$396,GU$169,SwaptionMonthsToGo+SwaptionShift),INDEX($FK$245:$ID$316,$FJ179-GU$169,73-GU$169+SwaptionShift):INDEX($FK$245:$ID$316,$FJ179-GU$169,72-GU$169+SwaptionMonthsToGo+SwaptionShift))/SQRT(SUM(INDEX($FK334:$ID334,1+SwaptionShift):INDEX($FK334:$ID334,SwaptionMonthsToGo+SwaptionShift))*SUM(INDEX($FK$325:$ID$396,GU$169,1+SwaptionShift):INDEX($FK$325:$ID$396,GU$169,SwaptionMonthsToGo+SwaptionShift))))))</f>
        <v/>
      </c>
      <c r="GV179" s="150" t="str">
        <f aca="false">IF(OR(GV$169&lt;SwaptionFirstMonthPosition+1,$FJ179&lt;SwaptionFirstMonthPosition+1,GV$169&gt;SwaptionFirstMonthPosition+SwaptionNumOfMonths+1,$FJ179&gt;SwaptionFirstMonthPosition+SwaptionNumOfMonths+1),"",IF($FJ179=GV$169,1,IF($FJ179&lt;GV$169,INDEX($FK$170:$ID$241,GV$169,$FJ179),SUMPRODUCT(INDEX($FK$325:$ID$396,GV$169,1+SwaptionShift):INDEX($FK$325:$ID$396,GV$169,SwaptionMonthsToGo+SwaptionShift),INDEX($FK$245:$ID$316,$FJ179-GV$169,73-GV$169+SwaptionShift):INDEX($FK$245:$ID$316,$FJ179-GV$169,72-GV$169+SwaptionMonthsToGo+SwaptionShift))/SQRT(SUM(INDEX($FK334:$ID334,1+SwaptionShift):INDEX($FK334:$ID334,SwaptionMonthsToGo+SwaptionShift))*SUM(INDEX($FK$325:$ID$396,GV$169,1+SwaptionShift):INDEX($FK$325:$ID$396,GV$169,SwaptionMonthsToGo+SwaptionShift))))))</f>
        <v/>
      </c>
      <c r="GW179" s="150" t="str">
        <f aca="false">IF(OR(GW$169&lt;SwaptionFirstMonthPosition+1,$FJ179&lt;SwaptionFirstMonthPosition+1,GW$169&gt;SwaptionFirstMonthPosition+SwaptionNumOfMonths+1,$FJ179&gt;SwaptionFirstMonthPosition+SwaptionNumOfMonths+1),"",IF($FJ179=GW$169,1,IF($FJ179&lt;GW$169,INDEX($FK$170:$ID$241,GW$169,$FJ179),SUMPRODUCT(INDEX($FK$325:$ID$396,GW$169,1+SwaptionShift):INDEX($FK$325:$ID$396,GW$169,SwaptionMonthsToGo+SwaptionShift),INDEX($FK$245:$ID$316,$FJ179-GW$169,73-GW$169+SwaptionShift):INDEX($FK$245:$ID$316,$FJ179-GW$169,72-GW$169+SwaptionMonthsToGo+SwaptionShift))/SQRT(SUM(INDEX($FK334:$ID334,1+SwaptionShift):INDEX($FK334:$ID334,SwaptionMonthsToGo+SwaptionShift))*SUM(INDEX($FK$325:$ID$396,GW$169,1+SwaptionShift):INDEX($FK$325:$ID$396,GW$169,SwaptionMonthsToGo+SwaptionShift))))))</f>
        <v/>
      </c>
      <c r="GX179" s="150" t="str">
        <f aca="false">IF(OR(GX$169&lt;SwaptionFirstMonthPosition+1,$FJ179&lt;SwaptionFirstMonthPosition+1,GX$169&gt;SwaptionFirstMonthPosition+SwaptionNumOfMonths+1,$FJ179&gt;SwaptionFirstMonthPosition+SwaptionNumOfMonths+1),"",IF($FJ179=GX$169,1,IF($FJ179&lt;GX$169,INDEX($FK$170:$ID$241,GX$169,$FJ179),SUMPRODUCT(INDEX($FK$325:$ID$396,GX$169,1+SwaptionShift):INDEX($FK$325:$ID$396,GX$169,SwaptionMonthsToGo+SwaptionShift),INDEX($FK$245:$ID$316,$FJ179-GX$169,73-GX$169+SwaptionShift):INDEX($FK$245:$ID$316,$FJ179-GX$169,72-GX$169+SwaptionMonthsToGo+SwaptionShift))/SQRT(SUM(INDEX($FK334:$ID334,1+SwaptionShift):INDEX($FK334:$ID334,SwaptionMonthsToGo+SwaptionShift))*SUM(INDEX($FK$325:$ID$396,GX$169,1+SwaptionShift):INDEX($FK$325:$ID$396,GX$169,SwaptionMonthsToGo+SwaptionShift))))))</f>
        <v/>
      </c>
      <c r="GY179" s="150" t="str">
        <f aca="false">IF(OR(GY$169&lt;SwaptionFirstMonthPosition+1,$FJ179&lt;SwaptionFirstMonthPosition+1,GY$169&gt;SwaptionFirstMonthPosition+SwaptionNumOfMonths+1,$FJ179&gt;SwaptionFirstMonthPosition+SwaptionNumOfMonths+1),"",IF($FJ179=GY$169,1,IF($FJ179&lt;GY$169,INDEX($FK$170:$ID$241,GY$169,$FJ179),SUMPRODUCT(INDEX($FK$325:$ID$396,GY$169,1+SwaptionShift):INDEX($FK$325:$ID$396,GY$169,SwaptionMonthsToGo+SwaptionShift),INDEX($FK$245:$ID$316,$FJ179-GY$169,73-GY$169+SwaptionShift):INDEX($FK$245:$ID$316,$FJ179-GY$169,72-GY$169+SwaptionMonthsToGo+SwaptionShift))/SQRT(SUM(INDEX($FK334:$ID334,1+SwaptionShift):INDEX($FK334:$ID334,SwaptionMonthsToGo+SwaptionShift))*SUM(INDEX($FK$325:$ID$396,GY$169,1+SwaptionShift):INDEX($FK$325:$ID$396,GY$169,SwaptionMonthsToGo+SwaptionShift))))))</f>
        <v/>
      </c>
      <c r="GZ179" s="150" t="str">
        <f aca="false">IF(OR(GZ$169&lt;SwaptionFirstMonthPosition+1,$FJ179&lt;SwaptionFirstMonthPosition+1,GZ$169&gt;SwaptionFirstMonthPosition+SwaptionNumOfMonths+1,$FJ179&gt;SwaptionFirstMonthPosition+SwaptionNumOfMonths+1),"",IF($FJ179=GZ$169,1,IF($FJ179&lt;GZ$169,INDEX($FK$170:$ID$241,GZ$169,$FJ179),SUMPRODUCT(INDEX($FK$325:$ID$396,GZ$169,1+SwaptionShift):INDEX($FK$325:$ID$396,GZ$169,SwaptionMonthsToGo+SwaptionShift),INDEX($FK$245:$ID$316,$FJ179-GZ$169,73-GZ$169+SwaptionShift):INDEX($FK$245:$ID$316,$FJ179-GZ$169,72-GZ$169+SwaptionMonthsToGo+SwaptionShift))/SQRT(SUM(INDEX($FK334:$ID334,1+SwaptionShift):INDEX($FK334:$ID334,SwaptionMonthsToGo+SwaptionShift))*SUM(INDEX($FK$325:$ID$396,GZ$169,1+SwaptionShift):INDEX($FK$325:$ID$396,GZ$169,SwaptionMonthsToGo+SwaptionShift))))))</f>
        <v/>
      </c>
      <c r="HA179" s="150" t="str">
        <f aca="false">IF(OR(HA$169&lt;SwaptionFirstMonthPosition+1,$FJ179&lt;SwaptionFirstMonthPosition+1,HA$169&gt;SwaptionFirstMonthPosition+SwaptionNumOfMonths+1,$FJ179&gt;SwaptionFirstMonthPosition+SwaptionNumOfMonths+1),"",IF($FJ179=HA$169,1,IF($FJ179&lt;HA$169,INDEX($FK$170:$ID$241,HA$169,$FJ179),SUMPRODUCT(INDEX($FK$325:$ID$396,HA$169,1+SwaptionShift):INDEX($FK$325:$ID$396,HA$169,SwaptionMonthsToGo+SwaptionShift),INDEX($FK$245:$ID$316,$FJ179-HA$169,73-HA$169+SwaptionShift):INDEX($FK$245:$ID$316,$FJ179-HA$169,72-HA$169+SwaptionMonthsToGo+SwaptionShift))/SQRT(SUM(INDEX($FK334:$ID334,1+SwaptionShift):INDEX($FK334:$ID334,SwaptionMonthsToGo+SwaptionShift))*SUM(INDEX($FK$325:$ID$396,HA$169,1+SwaptionShift):INDEX($FK$325:$ID$396,HA$169,SwaptionMonthsToGo+SwaptionShift))))))</f>
        <v/>
      </c>
      <c r="HB179" s="150" t="str">
        <f aca="false">IF(OR(HB$169&lt;SwaptionFirstMonthPosition+1,$FJ179&lt;SwaptionFirstMonthPosition+1,HB$169&gt;SwaptionFirstMonthPosition+SwaptionNumOfMonths+1,$FJ179&gt;SwaptionFirstMonthPosition+SwaptionNumOfMonths+1),"",IF($FJ179=HB$169,1,IF($FJ179&lt;HB$169,INDEX($FK$170:$ID$241,HB$169,$FJ179),SUMPRODUCT(INDEX($FK$325:$ID$396,HB$169,1+SwaptionShift):INDEX($FK$325:$ID$396,HB$169,SwaptionMonthsToGo+SwaptionShift),INDEX($FK$245:$ID$316,$FJ179-HB$169,73-HB$169+SwaptionShift):INDEX($FK$245:$ID$316,$FJ179-HB$169,72-HB$169+SwaptionMonthsToGo+SwaptionShift))/SQRT(SUM(INDEX($FK334:$ID334,1+SwaptionShift):INDEX($FK334:$ID334,SwaptionMonthsToGo+SwaptionShift))*SUM(INDEX($FK$325:$ID$396,HB$169,1+SwaptionShift):INDEX($FK$325:$ID$396,HB$169,SwaptionMonthsToGo+SwaptionShift))))))</f>
        <v/>
      </c>
      <c r="HC179" s="150" t="str">
        <f aca="false">IF(OR(HC$169&lt;SwaptionFirstMonthPosition+1,$FJ179&lt;SwaptionFirstMonthPosition+1,HC$169&gt;SwaptionFirstMonthPosition+SwaptionNumOfMonths+1,$FJ179&gt;SwaptionFirstMonthPosition+SwaptionNumOfMonths+1),"",IF($FJ179=HC$169,1,IF($FJ179&lt;HC$169,INDEX($FK$170:$ID$241,HC$169,$FJ179),SUMPRODUCT(INDEX($FK$325:$ID$396,HC$169,1+SwaptionShift):INDEX($FK$325:$ID$396,HC$169,SwaptionMonthsToGo+SwaptionShift),INDEX($FK$245:$ID$316,$FJ179-HC$169,73-HC$169+SwaptionShift):INDEX($FK$245:$ID$316,$FJ179-HC$169,72-HC$169+SwaptionMonthsToGo+SwaptionShift))/SQRT(SUM(INDEX($FK334:$ID334,1+SwaptionShift):INDEX($FK334:$ID334,SwaptionMonthsToGo+SwaptionShift))*SUM(INDEX($FK$325:$ID$396,HC$169,1+SwaptionShift):INDEX($FK$325:$ID$396,HC$169,SwaptionMonthsToGo+SwaptionShift))))))</f>
        <v/>
      </c>
      <c r="HD179" s="150" t="str">
        <f aca="false">IF(OR(HD$169&lt;SwaptionFirstMonthPosition+1,$FJ179&lt;SwaptionFirstMonthPosition+1,HD$169&gt;SwaptionFirstMonthPosition+SwaptionNumOfMonths+1,$FJ179&gt;SwaptionFirstMonthPosition+SwaptionNumOfMonths+1),"",IF($FJ179=HD$169,1,IF($FJ179&lt;HD$169,INDEX($FK$170:$ID$241,HD$169,$FJ179),SUMPRODUCT(INDEX($FK$325:$ID$396,HD$169,1+SwaptionShift):INDEX($FK$325:$ID$396,HD$169,SwaptionMonthsToGo+SwaptionShift),INDEX($FK$245:$ID$316,$FJ179-HD$169,73-HD$169+SwaptionShift):INDEX($FK$245:$ID$316,$FJ179-HD$169,72-HD$169+SwaptionMonthsToGo+SwaptionShift))/SQRT(SUM(INDEX($FK334:$ID334,1+SwaptionShift):INDEX($FK334:$ID334,SwaptionMonthsToGo+SwaptionShift))*SUM(INDEX($FK$325:$ID$396,HD$169,1+SwaptionShift):INDEX($FK$325:$ID$396,HD$169,SwaptionMonthsToGo+SwaptionShift))))))</f>
        <v/>
      </c>
      <c r="HE179" s="150" t="str">
        <f aca="false">IF(OR(HE$169&lt;SwaptionFirstMonthPosition+1,$FJ179&lt;SwaptionFirstMonthPosition+1,HE$169&gt;SwaptionFirstMonthPosition+SwaptionNumOfMonths+1,$FJ179&gt;SwaptionFirstMonthPosition+SwaptionNumOfMonths+1),"",IF($FJ179=HE$169,1,IF($FJ179&lt;HE$169,INDEX($FK$170:$ID$241,HE$169,$FJ179),SUMPRODUCT(INDEX($FK$325:$ID$396,HE$169,1+SwaptionShift):INDEX($FK$325:$ID$396,HE$169,SwaptionMonthsToGo+SwaptionShift),INDEX($FK$245:$ID$316,$FJ179-HE$169,73-HE$169+SwaptionShift):INDEX($FK$245:$ID$316,$FJ179-HE$169,72-HE$169+SwaptionMonthsToGo+SwaptionShift))/SQRT(SUM(INDEX($FK334:$ID334,1+SwaptionShift):INDEX($FK334:$ID334,SwaptionMonthsToGo+SwaptionShift))*SUM(INDEX($FK$325:$ID$396,HE$169,1+SwaptionShift):INDEX($FK$325:$ID$396,HE$169,SwaptionMonthsToGo+SwaptionShift))))))</f>
        <v/>
      </c>
      <c r="HF179" s="150" t="str">
        <f aca="false">IF(OR(HF$169&lt;SwaptionFirstMonthPosition+1,$FJ179&lt;SwaptionFirstMonthPosition+1,HF$169&gt;SwaptionFirstMonthPosition+SwaptionNumOfMonths+1,$FJ179&gt;SwaptionFirstMonthPosition+SwaptionNumOfMonths+1),"",IF($FJ179=HF$169,1,IF($FJ179&lt;HF$169,INDEX($FK$170:$ID$241,HF$169,$FJ179),SUMPRODUCT(INDEX($FK$325:$ID$396,HF$169,1+SwaptionShift):INDEX($FK$325:$ID$396,HF$169,SwaptionMonthsToGo+SwaptionShift),INDEX($FK$245:$ID$316,$FJ179-HF$169,73-HF$169+SwaptionShift):INDEX($FK$245:$ID$316,$FJ179-HF$169,72-HF$169+SwaptionMonthsToGo+SwaptionShift))/SQRT(SUM(INDEX($FK334:$ID334,1+SwaptionShift):INDEX($FK334:$ID334,SwaptionMonthsToGo+SwaptionShift))*SUM(INDEX($FK$325:$ID$396,HF$169,1+SwaptionShift):INDEX($FK$325:$ID$396,HF$169,SwaptionMonthsToGo+SwaptionShift))))))</f>
        <v/>
      </c>
      <c r="HG179" s="150" t="str">
        <f aca="false">IF(OR(HG$169&lt;SwaptionFirstMonthPosition+1,$FJ179&lt;SwaptionFirstMonthPosition+1,HG$169&gt;SwaptionFirstMonthPosition+SwaptionNumOfMonths+1,$FJ179&gt;SwaptionFirstMonthPosition+SwaptionNumOfMonths+1),"",IF($FJ179=HG$169,1,IF($FJ179&lt;HG$169,INDEX($FK$170:$ID$241,HG$169,$FJ179),SUMPRODUCT(INDEX($FK$325:$ID$396,HG$169,1+SwaptionShift):INDEX($FK$325:$ID$396,HG$169,SwaptionMonthsToGo+SwaptionShift),INDEX($FK$245:$ID$316,$FJ179-HG$169,73-HG$169+SwaptionShift):INDEX($FK$245:$ID$316,$FJ179-HG$169,72-HG$169+SwaptionMonthsToGo+SwaptionShift))/SQRT(SUM(INDEX($FK334:$ID334,1+SwaptionShift):INDEX($FK334:$ID334,SwaptionMonthsToGo+SwaptionShift))*SUM(INDEX($FK$325:$ID$396,HG$169,1+SwaptionShift):INDEX($FK$325:$ID$396,HG$169,SwaptionMonthsToGo+SwaptionShift))))))</f>
        <v/>
      </c>
      <c r="HH179" s="150" t="str">
        <f aca="false">IF(OR(HH$169&lt;SwaptionFirstMonthPosition+1,$FJ179&lt;SwaptionFirstMonthPosition+1,HH$169&gt;SwaptionFirstMonthPosition+SwaptionNumOfMonths+1,$FJ179&gt;SwaptionFirstMonthPosition+SwaptionNumOfMonths+1),"",IF($FJ179=HH$169,1,IF($FJ179&lt;HH$169,INDEX($FK$170:$ID$241,HH$169,$FJ179),SUMPRODUCT(INDEX($FK$325:$ID$396,HH$169,1+SwaptionShift):INDEX($FK$325:$ID$396,HH$169,SwaptionMonthsToGo+SwaptionShift),INDEX($FK$245:$ID$316,$FJ179-HH$169,73-HH$169+SwaptionShift):INDEX($FK$245:$ID$316,$FJ179-HH$169,72-HH$169+SwaptionMonthsToGo+SwaptionShift))/SQRT(SUM(INDEX($FK334:$ID334,1+SwaptionShift):INDEX($FK334:$ID334,SwaptionMonthsToGo+SwaptionShift))*SUM(INDEX($FK$325:$ID$396,HH$169,1+SwaptionShift):INDEX($FK$325:$ID$396,HH$169,SwaptionMonthsToGo+SwaptionShift))))))</f>
        <v/>
      </c>
      <c r="HI179" s="150" t="str">
        <f aca="false">IF(OR(HI$169&lt;SwaptionFirstMonthPosition+1,$FJ179&lt;SwaptionFirstMonthPosition+1,HI$169&gt;SwaptionFirstMonthPosition+SwaptionNumOfMonths+1,$FJ179&gt;SwaptionFirstMonthPosition+SwaptionNumOfMonths+1),"",IF($FJ179=HI$169,1,IF($FJ179&lt;HI$169,INDEX($FK$170:$ID$241,HI$169,$FJ179),SUMPRODUCT(INDEX($FK$325:$ID$396,HI$169,1+SwaptionShift):INDEX($FK$325:$ID$396,HI$169,SwaptionMonthsToGo+SwaptionShift),INDEX($FK$245:$ID$316,$FJ179-HI$169,73-HI$169+SwaptionShift):INDEX($FK$245:$ID$316,$FJ179-HI$169,72-HI$169+SwaptionMonthsToGo+SwaptionShift))/SQRT(SUM(INDEX($FK334:$ID334,1+SwaptionShift):INDEX($FK334:$ID334,SwaptionMonthsToGo+SwaptionShift))*SUM(INDEX($FK$325:$ID$396,HI$169,1+SwaptionShift):INDEX($FK$325:$ID$396,HI$169,SwaptionMonthsToGo+SwaptionShift))))))</f>
        <v/>
      </c>
      <c r="HJ179" s="150" t="str">
        <f aca="false">IF(OR(HJ$169&lt;SwaptionFirstMonthPosition+1,$FJ179&lt;SwaptionFirstMonthPosition+1,HJ$169&gt;SwaptionFirstMonthPosition+SwaptionNumOfMonths+1,$FJ179&gt;SwaptionFirstMonthPosition+SwaptionNumOfMonths+1),"",IF($FJ179=HJ$169,1,IF($FJ179&lt;HJ$169,INDEX($FK$170:$ID$241,HJ$169,$FJ179),SUMPRODUCT(INDEX($FK$325:$ID$396,HJ$169,1+SwaptionShift):INDEX($FK$325:$ID$396,HJ$169,SwaptionMonthsToGo+SwaptionShift),INDEX($FK$245:$ID$316,$FJ179-HJ$169,73-HJ$169+SwaptionShift):INDEX($FK$245:$ID$316,$FJ179-HJ$169,72-HJ$169+SwaptionMonthsToGo+SwaptionShift))/SQRT(SUM(INDEX($FK334:$ID334,1+SwaptionShift):INDEX($FK334:$ID334,SwaptionMonthsToGo+SwaptionShift))*SUM(INDEX($FK$325:$ID$396,HJ$169,1+SwaptionShift):INDEX($FK$325:$ID$396,HJ$169,SwaptionMonthsToGo+SwaptionShift))))))</f>
        <v/>
      </c>
      <c r="HK179" s="150" t="str">
        <f aca="false">IF(OR(HK$169&lt;SwaptionFirstMonthPosition+1,$FJ179&lt;SwaptionFirstMonthPosition+1,HK$169&gt;SwaptionFirstMonthPosition+SwaptionNumOfMonths+1,$FJ179&gt;SwaptionFirstMonthPosition+SwaptionNumOfMonths+1),"",IF($FJ179=HK$169,1,IF($FJ179&lt;HK$169,INDEX($FK$170:$ID$241,HK$169,$FJ179),SUMPRODUCT(INDEX($FK$325:$ID$396,HK$169,1+SwaptionShift):INDEX($FK$325:$ID$396,HK$169,SwaptionMonthsToGo+SwaptionShift),INDEX($FK$245:$ID$316,$FJ179-HK$169,73-HK$169+SwaptionShift):INDEX($FK$245:$ID$316,$FJ179-HK$169,72-HK$169+SwaptionMonthsToGo+SwaptionShift))/SQRT(SUM(INDEX($FK334:$ID334,1+SwaptionShift):INDEX($FK334:$ID334,SwaptionMonthsToGo+SwaptionShift))*SUM(INDEX($FK$325:$ID$396,HK$169,1+SwaptionShift):INDEX($FK$325:$ID$396,HK$169,SwaptionMonthsToGo+SwaptionShift))))))</f>
        <v/>
      </c>
      <c r="HL179" s="150" t="str">
        <f aca="false">IF(OR(HL$169&lt;SwaptionFirstMonthPosition+1,$FJ179&lt;SwaptionFirstMonthPosition+1,HL$169&gt;SwaptionFirstMonthPosition+SwaptionNumOfMonths+1,$FJ179&gt;SwaptionFirstMonthPosition+SwaptionNumOfMonths+1),"",IF($FJ179=HL$169,1,IF($FJ179&lt;HL$169,INDEX($FK$170:$ID$241,HL$169,$FJ179),SUMPRODUCT(INDEX($FK$325:$ID$396,HL$169,1+SwaptionShift):INDEX($FK$325:$ID$396,HL$169,SwaptionMonthsToGo+SwaptionShift),INDEX($FK$245:$ID$316,$FJ179-HL$169,73-HL$169+SwaptionShift):INDEX($FK$245:$ID$316,$FJ179-HL$169,72-HL$169+SwaptionMonthsToGo+SwaptionShift))/SQRT(SUM(INDEX($FK334:$ID334,1+SwaptionShift):INDEX($FK334:$ID334,SwaptionMonthsToGo+SwaptionShift))*SUM(INDEX($FK$325:$ID$396,HL$169,1+SwaptionShift):INDEX($FK$325:$ID$396,HL$169,SwaptionMonthsToGo+SwaptionShift))))))</f>
        <v/>
      </c>
      <c r="HM179" s="150" t="str">
        <f aca="false">IF(OR(HM$169&lt;SwaptionFirstMonthPosition+1,$FJ179&lt;SwaptionFirstMonthPosition+1,HM$169&gt;SwaptionFirstMonthPosition+SwaptionNumOfMonths+1,$FJ179&gt;SwaptionFirstMonthPosition+SwaptionNumOfMonths+1),"",IF($FJ179=HM$169,1,IF($FJ179&lt;HM$169,INDEX($FK$170:$ID$241,HM$169,$FJ179),SUMPRODUCT(INDEX($FK$325:$ID$396,HM$169,1+SwaptionShift):INDEX($FK$325:$ID$396,HM$169,SwaptionMonthsToGo+SwaptionShift),INDEX($FK$245:$ID$316,$FJ179-HM$169,73-HM$169+SwaptionShift):INDEX($FK$245:$ID$316,$FJ179-HM$169,72-HM$169+SwaptionMonthsToGo+SwaptionShift))/SQRT(SUM(INDEX($FK334:$ID334,1+SwaptionShift):INDEX($FK334:$ID334,SwaptionMonthsToGo+SwaptionShift))*SUM(INDEX($FK$325:$ID$396,HM$169,1+SwaptionShift):INDEX($FK$325:$ID$396,HM$169,SwaptionMonthsToGo+SwaptionShift))))))</f>
        <v/>
      </c>
      <c r="HN179" s="150" t="str">
        <f aca="false">IF(OR(HN$169&lt;SwaptionFirstMonthPosition+1,$FJ179&lt;SwaptionFirstMonthPosition+1,HN$169&gt;SwaptionFirstMonthPosition+SwaptionNumOfMonths+1,$FJ179&gt;SwaptionFirstMonthPosition+SwaptionNumOfMonths+1),"",IF($FJ179=HN$169,1,IF($FJ179&lt;HN$169,INDEX($FK$170:$ID$241,HN$169,$FJ179),SUMPRODUCT(INDEX($FK$325:$ID$396,HN$169,1+SwaptionShift):INDEX($FK$325:$ID$396,HN$169,SwaptionMonthsToGo+SwaptionShift),INDEX($FK$245:$ID$316,$FJ179-HN$169,73-HN$169+SwaptionShift):INDEX($FK$245:$ID$316,$FJ179-HN$169,72-HN$169+SwaptionMonthsToGo+SwaptionShift))/SQRT(SUM(INDEX($FK334:$ID334,1+SwaptionShift):INDEX($FK334:$ID334,SwaptionMonthsToGo+SwaptionShift))*SUM(INDEX($FK$325:$ID$396,HN$169,1+SwaptionShift):INDEX($FK$325:$ID$396,HN$169,SwaptionMonthsToGo+SwaptionShift))))))</f>
        <v/>
      </c>
      <c r="HO179" s="150" t="str">
        <f aca="false">IF(OR(HO$169&lt;SwaptionFirstMonthPosition+1,$FJ179&lt;SwaptionFirstMonthPosition+1,HO$169&gt;SwaptionFirstMonthPosition+SwaptionNumOfMonths+1,$FJ179&gt;SwaptionFirstMonthPosition+SwaptionNumOfMonths+1),"",IF($FJ179=HO$169,1,IF($FJ179&lt;HO$169,INDEX($FK$170:$ID$241,HO$169,$FJ179),SUMPRODUCT(INDEX($FK$325:$ID$396,HO$169,1+SwaptionShift):INDEX($FK$325:$ID$396,HO$169,SwaptionMonthsToGo+SwaptionShift),INDEX($FK$245:$ID$316,$FJ179-HO$169,73-HO$169+SwaptionShift):INDEX($FK$245:$ID$316,$FJ179-HO$169,72-HO$169+SwaptionMonthsToGo+SwaptionShift))/SQRT(SUM(INDEX($FK334:$ID334,1+SwaptionShift):INDEX($FK334:$ID334,SwaptionMonthsToGo+SwaptionShift))*SUM(INDEX($FK$325:$ID$396,HO$169,1+SwaptionShift):INDEX($FK$325:$ID$396,HO$169,SwaptionMonthsToGo+SwaptionShift))))))</f>
        <v/>
      </c>
      <c r="HP179" s="150" t="str">
        <f aca="false">IF(OR(HP$169&lt;SwaptionFirstMonthPosition+1,$FJ179&lt;SwaptionFirstMonthPosition+1,HP$169&gt;SwaptionFirstMonthPosition+SwaptionNumOfMonths+1,$FJ179&gt;SwaptionFirstMonthPosition+SwaptionNumOfMonths+1),"",IF($FJ179=HP$169,1,IF($FJ179&lt;HP$169,INDEX($FK$170:$ID$241,HP$169,$FJ179),SUMPRODUCT(INDEX($FK$325:$ID$396,HP$169,1+SwaptionShift):INDEX($FK$325:$ID$396,HP$169,SwaptionMonthsToGo+SwaptionShift),INDEX($FK$245:$ID$316,$FJ179-HP$169,73-HP$169+SwaptionShift):INDEX($FK$245:$ID$316,$FJ179-HP$169,72-HP$169+SwaptionMonthsToGo+SwaptionShift))/SQRT(SUM(INDEX($FK334:$ID334,1+SwaptionShift):INDEX($FK334:$ID334,SwaptionMonthsToGo+SwaptionShift))*SUM(INDEX($FK$325:$ID$396,HP$169,1+SwaptionShift):INDEX($FK$325:$ID$396,HP$169,SwaptionMonthsToGo+SwaptionShift))))))</f>
        <v/>
      </c>
      <c r="HQ179" s="150" t="str">
        <f aca="false">IF(OR(HQ$169&lt;SwaptionFirstMonthPosition+1,$FJ179&lt;SwaptionFirstMonthPosition+1,HQ$169&gt;SwaptionFirstMonthPosition+SwaptionNumOfMonths+1,$FJ179&gt;SwaptionFirstMonthPosition+SwaptionNumOfMonths+1),"",IF($FJ179=HQ$169,1,IF($FJ179&lt;HQ$169,INDEX($FK$170:$ID$241,HQ$169,$FJ179),SUMPRODUCT(INDEX($FK$325:$ID$396,HQ$169,1+SwaptionShift):INDEX($FK$325:$ID$396,HQ$169,SwaptionMonthsToGo+SwaptionShift),INDEX($FK$245:$ID$316,$FJ179-HQ$169,73-HQ$169+SwaptionShift):INDEX($FK$245:$ID$316,$FJ179-HQ$169,72-HQ$169+SwaptionMonthsToGo+SwaptionShift))/SQRT(SUM(INDEX($FK334:$ID334,1+SwaptionShift):INDEX($FK334:$ID334,SwaptionMonthsToGo+SwaptionShift))*SUM(INDEX($FK$325:$ID$396,HQ$169,1+SwaptionShift):INDEX($FK$325:$ID$396,HQ$169,SwaptionMonthsToGo+SwaptionShift))))))</f>
        <v/>
      </c>
      <c r="HR179" s="150" t="str">
        <f aca="false">IF(OR(HR$169&lt;SwaptionFirstMonthPosition+1,$FJ179&lt;SwaptionFirstMonthPosition+1,HR$169&gt;SwaptionFirstMonthPosition+SwaptionNumOfMonths+1,$FJ179&gt;SwaptionFirstMonthPosition+SwaptionNumOfMonths+1),"",IF($FJ179=HR$169,1,IF($FJ179&lt;HR$169,INDEX($FK$170:$ID$241,HR$169,$FJ179),SUMPRODUCT(INDEX($FK$325:$ID$396,HR$169,1+SwaptionShift):INDEX($FK$325:$ID$396,HR$169,SwaptionMonthsToGo+SwaptionShift),INDEX($FK$245:$ID$316,$FJ179-HR$169,73-HR$169+SwaptionShift):INDEX($FK$245:$ID$316,$FJ179-HR$169,72-HR$169+SwaptionMonthsToGo+SwaptionShift))/SQRT(SUM(INDEX($FK334:$ID334,1+SwaptionShift):INDEX($FK334:$ID334,SwaptionMonthsToGo+SwaptionShift))*SUM(INDEX($FK$325:$ID$396,HR$169,1+SwaptionShift):INDEX($FK$325:$ID$396,HR$169,SwaptionMonthsToGo+SwaptionShift))))))</f>
        <v/>
      </c>
      <c r="HS179" s="150" t="str">
        <f aca="false">IF(OR(HS$169&lt;SwaptionFirstMonthPosition+1,$FJ179&lt;SwaptionFirstMonthPosition+1,HS$169&gt;SwaptionFirstMonthPosition+SwaptionNumOfMonths+1,$FJ179&gt;SwaptionFirstMonthPosition+SwaptionNumOfMonths+1),"",IF($FJ179=HS$169,1,IF($FJ179&lt;HS$169,INDEX($FK$170:$ID$241,HS$169,$FJ179),SUMPRODUCT(INDEX($FK$325:$ID$396,HS$169,1+SwaptionShift):INDEX($FK$325:$ID$396,HS$169,SwaptionMonthsToGo+SwaptionShift),INDEX($FK$245:$ID$316,$FJ179-HS$169,73-HS$169+SwaptionShift):INDEX($FK$245:$ID$316,$FJ179-HS$169,72-HS$169+SwaptionMonthsToGo+SwaptionShift))/SQRT(SUM(INDEX($FK334:$ID334,1+SwaptionShift):INDEX($FK334:$ID334,SwaptionMonthsToGo+SwaptionShift))*SUM(INDEX($FK$325:$ID$396,HS$169,1+SwaptionShift):INDEX($FK$325:$ID$396,HS$169,SwaptionMonthsToGo+SwaptionShift))))))</f>
        <v/>
      </c>
      <c r="HT179" s="150" t="str">
        <f aca="false">IF(OR(HT$169&lt;SwaptionFirstMonthPosition+1,$FJ179&lt;SwaptionFirstMonthPosition+1,HT$169&gt;SwaptionFirstMonthPosition+SwaptionNumOfMonths+1,$FJ179&gt;SwaptionFirstMonthPosition+SwaptionNumOfMonths+1),"",IF($FJ179=HT$169,1,IF($FJ179&lt;HT$169,INDEX($FK$170:$ID$241,HT$169,$FJ179),SUMPRODUCT(INDEX($FK$325:$ID$396,HT$169,1+SwaptionShift):INDEX($FK$325:$ID$396,HT$169,SwaptionMonthsToGo+SwaptionShift),INDEX($FK$245:$ID$316,$FJ179-HT$169,73-HT$169+SwaptionShift):INDEX($FK$245:$ID$316,$FJ179-HT$169,72-HT$169+SwaptionMonthsToGo+SwaptionShift))/SQRT(SUM(INDEX($FK334:$ID334,1+SwaptionShift):INDEX($FK334:$ID334,SwaptionMonthsToGo+SwaptionShift))*SUM(INDEX($FK$325:$ID$396,HT$169,1+SwaptionShift):INDEX($FK$325:$ID$396,HT$169,SwaptionMonthsToGo+SwaptionShift))))))</f>
        <v/>
      </c>
      <c r="HU179" s="150" t="str">
        <f aca="false">IF(OR(HU$169&lt;SwaptionFirstMonthPosition+1,$FJ179&lt;SwaptionFirstMonthPosition+1,HU$169&gt;SwaptionFirstMonthPosition+SwaptionNumOfMonths+1,$FJ179&gt;SwaptionFirstMonthPosition+SwaptionNumOfMonths+1),"",IF($FJ179=HU$169,1,IF($FJ179&lt;HU$169,INDEX($FK$170:$ID$241,HU$169,$FJ179),SUMPRODUCT(INDEX($FK$325:$ID$396,HU$169,1+SwaptionShift):INDEX($FK$325:$ID$396,HU$169,SwaptionMonthsToGo+SwaptionShift),INDEX($FK$245:$ID$316,$FJ179-HU$169,73-HU$169+SwaptionShift):INDEX($FK$245:$ID$316,$FJ179-HU$169,72-HU$169+SwaptionMonthsToGo+SwaptionShift))/SQRT(SUM(INDEX($FK334:$ID334,1+SwaptionShift):INDEX($FK334:$ID334,SwaptionMonthsToGo+SwaptionShift))*SUM(INDEX($FK$325:$ID$396,HU$169,1+SwaptionShift):INDEX($FK$325:$ID$396,HU$169,SwaptionMonthsToGo+SwaptionShift))))))</f>
        <v/>
      </c>
      <c r="HV179" s="150" t="str">
        <f aca="false">IF(OR(HV$169&lt;SwaptionFirstMonthPosition+1,$FJ179&lt;SwaptionFirstMonthPosition+1,HV$169&gt;SwaptionFirstMonthPosition+SwaptionNumOfMonths+1,$FJ179&gt;SwaptionFirstMonthPosition+SwaptionNumOfMonths+1),"",IF($FJ179=HV$169,1,IF($FJ179&lt;HV$169,INDEX($FK$170:$ID$241,HV$169,$FJ179),SUMPRODUCT(INDEX($FK$325:$ID$396,HV$169,1+SwaptionShift):INDEX($FK$325:$ID$396,HV$169,SwaptionMonthsToGo+SwaptionShift),INDEX($FK$245:$ID$316,$FJ179-HV$169,73-HV$169+SwaptionShift):INDEX($FK$245:$ID$316,$FJ179-HV$169,72-HV$169+SwaptionMonthsToGo+SwaptionShift))/SQRT(SUM(INDEX($FK334:$ID334,1+SwaptionShift):INDEX($FK334:$ID334,SwaptionMonthsToGo+SwaptionShift))*SUM(INDEX($FK$325:$ID$396,HV$169,1+SwaptionShift):INDEX($FK$325:$ID$396,HV$169,SwaptionMonthsToGo+SwaptionShift))))))</f>
        <v/>
      </c>
      <c r="HW179" s="150" t="str">
        <f aca="false">IF(OR(HW$169&lt;SwaptionFirstMonthPosition+1,$FJ179&lt;SwaptionFirstMonthPosition+1,HW$169&gt;SwaptionFirstMonthPosition+SwaptionNumOfMonths+1,$FJ179&gt;SwaptionFirstMonthPosition+SwaptionNumOfMonths+1),"",IF($FJ179=HW$169,1,IF($FJ179&lt;HW$169,INDEX($FK$170:$ID$241,HW$169,$FJ179),SUMPRODUCT(INDEX($FK$325:$ID$396,HW$169,1+SwaptionShift):INDEX($FK$325:$ID$396,HW$169,SwaptionMonthsToGo+SwaptionShift),INDEX($FK$245:$ID$316,$FJ179-HW$169,73-HW$169+SwaptionShift):INDEX($FK$245:$ID$316,$FJ179-HW$169,72-HW$169+SwaptionMonthsToGo+SwaptionShift))/SQRT(SUM(INDEX($FK334:$ID334,1+SwaptionShift):INDEX($FK334:$ID334,SwaptionMonthsToGo+SwaptionShift))*SUM(INDEX($FK$325:$ID$396,HW$169,1+SwaptionShift):INDEX($FK$325:$ID$396,HW$169,SwaptionMonthsToGo+SwaptionShift))))))</f>
        <v/>
      </c>
      <c r="HX179" s="150" t="str">
        <f aca="false">IF(OR(HX$169&lt;SwaptionFirstMonthPosition+1,$FJ179&lt;SwaptionFirstMonthPosition+1,HX$169&gt;SwaptionFirstMonthPosition+SwaptionNumOfMonths+1,$FJ179&gt;SwaptionFirstMonthPosition+SwaptionNumOfMonths+1),"",IF($FJ179=HX$169,1,IF($FJ179&lt;HX$169,INDEX($FK$170:$ID$241,HX$169,$FJ179),SUMPRODUCT(INDEX($FK$325:$ID$396,HX$169,1+SwaptionShift):INDEX($FK$325:$ID$396,HX$169,SwaptionMonthsToGo+SwaptionShift),INDEX($FK$245:$ID$316,$FJ179-HX$169,73-HX$169+SwaptionShift):INDEX($FK$245:$ID$316,$FJ179-HX$169,72-HX$169+SwaptionMonthsToGo+SwaptionShift))/SQRT(SUM(INDEX($FK334:$ID334,1+SwaptionShift):INDEX($FK334:$ID334,SwaptionMonthsToGo+SwaptionShift))*SUM(INDEX($FK$325:$ID$396,HX$169,1+SwaptionShift):INDEX($FK$325:$ID$396,HX$169,SwaptionMonthsToGo+SwaptionShift))))))</f>
        <v/>
      </c>
      <c r="HY179" s="150" t="str">
        <f aca="false">IF(OR(HY$169&lt;SwaptionFirstMonthPosition+1,$FJ179&lt;SwaptionFirstMonthPosition+1,HY$169&gt;SwaptionFirstMonthPosition+SwaptionNumOfMonths+1,$FJ179&gt;SwaptionFirstMonthPosition+SwaptionNumOfMonths+1),"",IF($FJ179=HY$169,1,IF($FJ179&lt;HY$169,INDEX($FK$170:$ID$241,HY$169,$FJ179),SUMPRODUCT(INDEX($FK$325:$ID$396,HY$169,1+SwaptionShift):INDEX($FK$325:$ID$396,HY$169,SwaptionMonthsToGo+SwaptionShift),INDEX($FK$245:$ID$316,$FJ179-HY$169,73-HY$169+SwaptionShift):INDEX($FK$245:$ID$316,$FJ179-HY$169,72-HY$169+SwaptionMonthsToGo+SwaptionShift))/SQRT(SUM(INDEX($FK334:$ID334,1+SwaptionShift):INDEX($FK334:$ID334,SwaptionMonthsToGo+SwaptionShift))*SUM(INDEX($FK$325:$ID$396,HY$169,1+SwaptionShift):INDEX($FK$325:$ID$396,HY$169,SwaptionMonthsToGo+SwaptionShift))))))</f>
        <v/>
      </c>
      <c r="HZ179" s="150" t="str">
        <f aca="false">IF(OR(HZ$169&lt;SwaptionFirstMonthPosition+1,$FJ179&lt;SwaptionFirstMonthPosition+1,HZ$169&gt;SwaptionFirstMonthPosition+SwaptionNumOfMonths+1,$FJ179&gt;SwaptionFirstMonthPosition+SwaptionNumOfMonths+1),"",IF($FJ179=HZ$169,1,IF($FJ179&lt;HZ$169,INDEX($FK$170:$ID$241,HZ$169,$FJ179),SUMPRODUCT(INDEX($FK$325:$ID$396,HZ$169,1+SwaptionShift):INDEX($FK$325:$ID$396,HZ$169,SwaptionMonthsToGo+SwaptionShift),INDEX($FK$245:$ID$316,$FJ179-HZ$169,73-HZ$169+SwaptionShift):INDEX($FK$245:$ID$316,$FJ179-HZ$169,72-HZ$169+SwaptionMonthsToGo+SwaptionShift))/SQRT(SUM(INDEX($FK334:$ID334,1+SwaptionShift):INDEX($FK334:$ID334,SwaptionMonthsToGo+SwaptionShift))*SUM(INDEX($FK$325:$ID$396,HZ$169,1+SwaptionShift):INDEX($FK$325:$ID$396,HZ$169,SwaptionMonthsToGo+SwaptionShift))))))</f>
        <v/>
      </c>
      <c r="IA179" s="150" t="str">
        <f aca="false">IF(OR(IA$169&lt;SwaptionFirstMonthPosition+1,$FJ179&lt;SwaptionFirstMonthPosition+1,IA$169&gt;SwaptionFirstMonthPosition+SwaptionNumOfMonths+1,$FJ179&gt;SwaptionFirstMonthPosition+SwaptionNumOfMonths+1),"",IF($FJ179=IA$169,1,IF($FJ179&lt;IA$169,INDEX($FK$170:$ID$241,IA$169,$FJ179),SUMPRODUCT(INDEX($FK$325:$ID$396,IA$169,1+SwaptionShift):INDEX($FK$325:$ID$396,IA$169,SwaptionMonthsToGo+SwaptionShift),INDEX($FK$245:$ID$316,$FJ179-IA$169,73-IA$169+SwaptionShift):INDEX($FK$245:$ID$316,$FJ179-IA$169,72-IA$169+SwaptionMonthsToGo+SwaptionShift))/SQRT(SUM(INDEX($FK334:$ID334,1+SwaptionShift):INDEX($FK334:$ID334,SwaptionMonthsToGo+SwaptionShift))*SUM(INDEX($FK$325:$ID$396,IA$169,1+SwaptionShift):INDEX($FK$325:$ID$396,IA$169,SwaptionMonthsToGo+SwaptionShift))))))</f>
        <v/>
      </c>
      <c r="IB179" s="150" t="str">
        <f aca="false">IF(OR(IB$169&lt;SwaptionFirstMonthPosition+1,$FJ179&lt;SwaptionFirstMonthPosition+1,IB$169&gt;SwaptionFirstMonthPosition+SwaptionNumOfMonths+1,$FJ179&gt;SwaptionFirstMonthPosition+SwaptionNumOfMonths+1),"",IF($FJ179=IB$169,1,IF($FJ179&lt;IB$169,INDEX($FK$170:$ID$241,IB$169,$FJ179),SUMPRODUCT(INDEX($FK$325:$ID$396,IB$169,1+SwaptionShift):INDEX($FK$325:$ID$396,IB$169,SwaptionMonthsToGo+SwaptionShift),INDEX($FK$245:$ID$316,$FJ179-IB$169,73-IB$169+SwaptionShift):INDEX($FK$245:$ID$316,$FJ179-IB$169,72-IB$169+SwaptionMonthsToGo+SwaptionShift))/SQRT(SUM(INDEX($FK334:$ID334,1+SwaptionShift):INDEX($FK334:$ID334,SwaptionMonthsToGo+SwaptionShift))*SUM(INDEX($FK$325:$ID$396,IB$169,1+SwaptionShift):INDEX($FK$325:$ID$396,IB$169,SwaptionMonthsToGo+SwaptionShift))))))</f>
        <v/>
      </c>
      <c r="IC179" s="150" t="str">
        <f aca="false">IF(OR(IC$169&lt;SwaptionFirstMonthPosition+1,$FJ179&lt;SwaptionFirstMonthPosition+1,IC$169&gt;SwaptionFirstMonthPosition+SwaptionNumOfMonths+1,$FJ179&gt;SwaptionFirstMonthPosition+SwaptionNumOfMonths+1),"",IF($FJ179=IC$169,1,IF($FJ179&lt;IC$169,INDEX($FK$170:$ID$241,IC$169,$FJ179),SUMPRODUCT(INDEX($FK$325:$ID$396,IC$169,1+SwaptionShift):INDEX($FK$325:$ID$396,IC$169,SwaptionMonthsToGo+SwaptionShift),INDEX($FK$245:$ID$316,$FJ179-IC$169,73-IC$169+SwaptionShift):INDEX($FK$245:$ID$316,$FJ179-IC$169,72-IC$169+SwaptionMonthsToGo+SwaptionShift))/SQRT(SUM(INDEX($FK334:$ID334,1+SwaptionShift):INDEX($FK334:$ID334,SwaptionMonthsToGo+SwaptionShift))*SUM(INDEX($FK$325:$ID$396,IC$169,1+SwaptionShift):INDEX($FK$325:$ID$396,IC$169,SwaptionMonthsToGo+SwaptionShift))))))</f>
        <v/>
      </c>
      <c r="ID179" s="572" t="str">
        <f aca="false">IF(OR(ID$169&lt;SwaptionFirstMonthPosition+1,$FJ179&lt;SwaptionFirstMonthPosition+1,ID$169&gt;SwaptionFirstMonthPosition+SwaptionNumOfMonths+1,$FJ179&gt;SwaptionFirstMonthPosition+SwaptionNumOfMonths+1),"",IF($FJ179=ID$169,1,IF($FJ179&lt;ID$169,INDEX($FK$170:$ID$241,ID$169,$FJ179),SUMPRODUCT(INDEX($FK$325:$ID$396,ID$169,1+SwaptionShift):INDEX($FK$325:$ID$396,ID$169,SwaptionMonthsToGo+SwaptionShift),INDEX($FK$245:$ID$316,$FJ179-ID$169,73-ID$169+SwaptionShift):INDEX($FK$245:$ID$316,$FJ179-ID$169,72-ID$169+SwaptionMonthsToGo+SwaptionShift))/SQRT(SUM(INDEX($FK334:$ID334,1+SwaptionShift):INDEX($FK334:$ID334,SwaptionMonthsToGo+SwaptionShift))*SUM(INDEX($FK$325:$ID$396,ID$169,1+SwaptionShift):INDEX($FK$325:$ID$396,ID$169,SwaptionMonthsToGo+SwaptionShift))))))</f>
        <v/>
      </c>
      <c r="IE179" s="129"/>
    </row>
    <row r="180" customFormat="false" ht="12.75" hidden="false" customHeight="false" outlineLevel="0" collapsed="false">
      <c r="H180" s="219" t="n">
        <f aca="false">VLOOKUP(I180,$EJ$20:$EL$54,3)</f>
        <v>0</v>
      </c>
      <c r="I180" s="511" t="n">
        <f aca="false">EOMONTH(I179,0)+1</f>
        <v>41640</v>
      </c>
      <c r="J180" s="512"/>
      <c r="K180" s="513" t="s">
        <v>280</v>
      </c>
      <c r="L180" s="514" t="n">
        <f aca="false">IF(ISNUMBER(K180),J180+K180/100,IF(K180="extra",L179+VLOOKUP(BF180,PriceSpreadTable,2)/12,IF(K180="inter",interpolateprices($K$19:$L$200,ROW(K180)-ROW(FirstPricingMonth)+1),interpolatechanges($J$19:$K$200,ROW(K180)-ROW(FirstPricingMonth)+1))))</f>
        <v>3.15000000000001</v>
      </c>
      <c r="M180" s="515"/>
      <c r="N180" s="516" t="n">
        <v>0</v>
      </c>
      <c r="O180" s="515" t="n">
        <f aca="false">M180+N180</f>
        <v>0</v>
      </c>
      <c r="P180" s="512"/>
      <c r="Q180" s="513" t="s">
        <v>280</v>
      </c>
      <c r="R180" s="512" t="e">
        <f aca="false">IF(ISNUMBER(Q180),P180+Q180/100,IF(Q180="extra",(Z178*AL178-R179*AM178)/AN178,IF(Q180="inter",interpolateprices($Q$19:$R$260,ROW(Q180)-ROW(FirstPricingMonth)+1),interpolatechanges($P$19:$Q$260,ROW(Q180)-ROW(FirstPricingMonth)+1))))</f>
        <v>#VALUE!</v>
      </c>
      <c r="S180" s="597" t="n">
        <f aca="false">S$19+(S179-S$19)*S$18</f>
        <v>0.36</v>
      </c>
      <c r="T180" s="575" t="n">
        <f aca="false">SQRT((1-(1-T179^2/U179)*T$18)*U180)</f>
        <v>0.999999999998537</v>
      </c>
      <c r="U180" s="576" t="n">
        <f aca="false">1-(1-U179)*U$18</f>
        <v>1</v>
      </c>
      <c r="V180" s="521" t="n">
        <v>0</v>
      </c>
      <c r="W180" s="577" t="n">
        <f aca="false">(J181*AJ180+J182*AK180)/AI180</f>
        <v>0</v>
      </c>
      <c r="X180" s="578" t="n">
        <f aca="false">(L181*AJ180+L182*AK180)/AI180</f>
        <v>3.20284090909091</v>
      </c>
      <c r="Y180" s="579" t="n">
        <f aca="false">IF(Q182="extra",W180-AA180,(P181*AM180+P182*AN180)/AL180)</f>
        <v>-1.1685</v>
      </c>
      <c r="Z180" s="579" t="n">
        <f aca="false">IF(Q182="extra",X180-AB180,(R181*AM180+R182*AN180)/AL180)</f>
        <v>2.03434090909091</v>
      </c>
      <c r="AA180" s="523" t="n">
        <f aca="false">IF(Q182="extra",INDEX(BrentSeasonalityTable,INT((BG180-1)/3)+1)*VLOOKUP(MAX(BF180,$AB$4),PriceSpreadTable,3),W180-Y180)</f>
        <v>1.1685</v>
      </c>
      <c r="AB180" s="524" t="n">
        <f aca="false">IF(Q182="extra",INDEX(BrentSeasonalityTable,INT((BG180-1)/3)+1)*VLOOKUP(MAX(BF180,$AB$4),PriceSpreadTable,3),X180-Z180)</f>
        <v>1.1685</v>
      </c>
      <c r="AC180" s="646" t="n">
        <v>41628</v>
      </c>
      <c r="AD180" s="646" t="n">
        <v>41624</v>
      </c>
      <c r="AE180" s="646" t="n">
        <v>41623</v>
      </c>
      <c r="AF180" s="646" t="n">
        <v>41619</v>
      </c>
      <c r="AG180" s="438" t="s">
        <v>278</v>
      </c>
      <c r="AH180" s="439" t="s">
        <v>278</v>
      </c>
      <c r="AI180" s="528" t="n">
        <v>22</v>
      </c>
      <c r="AJ180" s="529" t="n">
        <v>13</v>
      </c>
      <c r="AK180" s="529" t="n">
        <v>9</v>
      </c>
      <c r="AL180" s="530" t="n">
        <v>22</v>
      </c>
      <c r="AM180" s="529" t="n">
        <v>9</v>
      </c>
      <c r="AN180" s="531" t="n">
        <v>13</v>
      </c>
      <c r="AO180" s="532"/>
      <c r="AP180" s="465" t="n">
        <f aca="false">(1+AO180/2)^(-2*BL180)</f>
        <v>1</v>
      </c>
      <c r="AQ180" s="532"/>
      <c r="AR180" s="465" t="n">
        <f aca="false">(1+AQ180/2)^(-2*BH180/365.25)</f>
        <v>1</v>
      </c>
      <c r="AS180" s="580" t="n">
        <f aca="false">(O181*AJ180+O182*AK180)/AI180</f>
        <v>0</v>
      </c>
      <c r="AT180" s="468" t="n">
        <f aca="false">O180*VLOOKUP(BF180,BrentVolTable,2)+VLOOKUP(BF180,BrentVolTable,3)</f>
        <v>0</v>
      </c>
      <c r="AU180" s="468" t="n">
        <f aca="false">(AT181*AM180+AT182*AN180)/AL180</f>
        <v>0</v>
      </c>
      <c r="AV180" s="595" t="n">
        <f aca="false">SQRT(MAX(0.000000000001,(O180^2*BH180-S180^2*(BH180-BH179))/BH179))</f>
        <v>0.0299618783419049</v>
      </c>
      <c r="AW180" s="451" t="n">
        <f aca="false">IF($I180-DateToday+15&gt;=$T$8,"",IF($I180-DateToday+15&lt;$T$5,1,MATCH($I180-DateToday+15,$T$5:$T$8)))</f>
        <v>1</v>
      </c>
      <c r="AX180" s="468" t="n">
        <f aca="false">IF($AW180="",AX179^2/AX178,INDEX(U$5:U$8,$AW180)^((INDEX($T$5:$T$8,$AW180+1)-($I180-DateToday+15))/(INDEX($T$5:$T$8,$AW180+1)-INDEX($T$5:$T$8,$AW180)))/INDEX(U$5:U$8,$AW180+1)^((INDEX($T$5:$T$8,$AW180)-($I180-DateToday+15))/(INDEX($T$5:$T$8,$AW180+1)-INDEX($T$5:$T$8,$AW180))))</f>
        <v>0.41025111966097</v>
      </c>
      <c r="AY180" s="468" t="n">
        <f aca="false">IF($AW180="",AY179^2/AY178,INDEX(V$5:V$8,$AW180)^((INDEX($T$5:$T$8,$AW180+1)-($I180-DateToday+15))/(INDEX($T$5:$T$8,$AW180+1)-INDEX($T$5:$T$8,$AW180)))/INDEX(V$5:V$8,$AW180+1)^((INDEX($T$5:$T$8,$AW180)-($I180-DateToday+15))/(INDEX($T$5:$T$8,$AW180+1)-INDEX($T$5:$T$8,$AW180))))</f>
        <v>6.16289209104091</v>
      </c>
      <c r="AZ180" s="468" t="n">
        <f aca="false">IF($AW180="",AZ179^2/AZ178,INDEX(W$5:W$8,$AW180)^((INDEX($T$5:$T$8,$AW180+1)-($I180-DateToday+15))/(INDEX($T$5:$T$8,$AW180+1)-INDEX($T$5:$T$8,$AW180)))/INDEX(W$5:W$8,$AW180+1)^((INDEX($T$5:$T$8,$AW180)-($I180-DateToday+15))/(INDEX($T$5:$T$8,$AW180+1)-INDEX($T$5:$T$8,$AW180))))</f>
        <v>1343.7071065067</v>
      </c>
      <c r="BA180" s="468" t="n">
        <f aca="false">IF($AW180="",BA179^2/BA178,INDEX(X$5:X$8,$AW180)^((INDEX($T$5:$T$8,$AW180+1)-($I180-DateToday+15))/(INDEX($T$5:$T$8,$AW180+1)-INDEX($T$5:$T$8,$AW180)))/INDEX(X$5:X$8,$AW180+1)^((INDEX($T$5:$T$8,$AW180)-($I180-DateToday+15))/(INDEX($T$5:$T$8,$AW180+1)-INDEX($T$5:$T$8,$AW180))))</f>
        <v>5742.26400979973</v>
      </c>
      <c r="BB180" s="468" t="n">
        <f aca="false">IF($AW180="",BB179^2/BB178,INDEX(Y$5:Y$8,$AW180)^((INDEX($T$5:$T$8,$AW180+1)-($I180-DateToday+15))/(INDEX($T$5:$T$8,$AW180+1)-INDEX($T$5:$T$8,$AW180)))/INDEX(Y$5:Y$8,$AW180+1)^((INDEX($T$5:$T$8,$AW180)-($I180-DateToday+15))/(INDEX($T$5:$T$8,$AW180+1)-INDEX($T$5:$T$8,$AW180))))</f>
        <v>32567.0954493489</v>
      </c>
      <c r="BC180" s="468" t="n">
        <f aca="false">IF($AW180="",BC179^2/BC178,INDEX(Z$5:Z$8,$AW180)^((INDEX($T$5:$T$8,$AW180+1)-($I180-DateToday+15))/(INDEX($T$5:$T$8,$AW180+1)-INDEX($T$5:$T$8,$AW180)))/INDEX(Z$5:Z$8,$AW180+1)^((INDEX($T$5:$T$8,$AW180)-($I180-DateToday+15))/(INDEX($T$5:$T$8,$AW180+1)-INDEX($T$5:$T$8,$AW180))))</f>
        <v>93913.092847393</v>
      </c>
      <c r="BD180" s="535" t="n">
        <f aca="false">IF(OR(DateStart&gt;=I181,DateEnd&lt;I180),0,IF(VolumeOverrideFlag,V180,Volume))</f>
        <v>0</v>
      </c>
      <c r="BE180" s="536" t="n">
        <f aca="false">IF(OR(DateStart2&gt;=I181,DateEnd2&lt;I180),0,IF(VolumeOverrideFlag,V180,VolumeSwaption))</f>
        <v>0</v>
      </c>
      <c r="BF180" s="537" t="n">
        <f aca="false">YEAR(I180)</f>
        <v>2014</v>
      </c>
      <c r="BG180" s="538" t="n">
        <f aca="false">MONTH(I180)</f>
        <v>1</v>
      </c>
      <c r="BH180" s="539" t="n">
        <f aca="false">AD180-DateToday+1</f>
        <v>-4301</v>
      </c>
      <c r="BI180" s="540" t="n">
        <f aca="false">(I180-DateToday+1)/365.25</f>
        <v>-11.7316906228611</v>
      </c>
      <c r="BJ180" s="541" t="n">
        <f aca="false">BI180+(BL180-BI180)*CHOOSE(Underlying,AJ180/AI180,AM180/AL180)</f>
        <v>-11.683155995271</v>
      </c>
      <c r="BK180" s="541" t="n">
        <f aca="false">BJ180+1/365.25</f>
        <v>-11.6804181444839</v>
      </c>
      <c r="BL180" s="541" t="n">
        <f aca="false">(I181-DateToday)/365.25</f>
        <v>-11.6495550992471</v>
      </c>
      <c r="BM180" s="542" t="e">
        <f aca="false">MAX(BI180-(BJ180-BI180)*(S181^2/O181^2-1),0)</f>
        <v>#DIV/0!</v>
      </c>
      <c r="BN180" s="541" t="e">
        <f aca="false">MAX(BL180+(BL180-BK180)*(S182^2/O182^2-1),0)</f>
        <v>#DIV/0!</v>
      </c>
      <c r="BO180" s="530" t="n">
        <f aca="false">CHOOSE(Underlying,AI180,AL180)</f>
        <v>22</v>
      </c>
      <c r="BP180" s="529" t="n">
        <f aca="false">CHOOSE(Underlying,AJ180,AM180)</f>
        <v>13</v>
      </c>
      <c r="BQ180" s="529" t="n">
        <f aca="false">CHOOSE(Underlying,AK180,AN180)</f>
        <v>9</v>
      </c>
      <c r="BR180" s="463" t="str">
        <f aca="false">IF(BD180,IF(Underlying=1,X180,Z180)+UnderlyingPriceAsian-SwapPriceCurve,"")</f>
        <v/>
      </c>
      <c r="BS180" s="463" t="str">
        <f aca="false">IF(BD180,Strike1/BR180-1,"")</f>
        <v/>
      </c>
      <c r="BT180" s="464" t="str">
        <f aca="false">IF(BD180,Strike2/BR180-1,"")</f>
        <v/>
      </c>
      <c r="BU180" s="465" t="str">
        <f aca="false">IF(BD180,IF(Underlying=1,L181,R181)+UnderlyingPriceAsian-SwapPriceCurve,"")</f>
        <v/>
      </c>
      <c r="BV180" s="465" t="str">
        <f aca="false">IF(BD180,IF(Underlying=1,L182,R182)+UnderlyingPriceAsian-SwapPriceCurve,"")</f>
        <v/>
      </c>
      <c r="BW180" s="466" t="str">
        <f aca="false">IF(BD180,IF(Underlying=1,O181,AT181),"")</f>
        <v/>
      </c>
      <c r="BX180" s="467" t="str">
        <f aca="false">IF(BD180,IF(Underlying=1,O182,AT182),"")</f>
        <v/>
      </c>
      <c r="BY180" s="466" t="str">
        <f aca="false">IF(BD180,IF(BS180&gt;0,IF(BS180&gt;0.2,BC180-BB180,IF(BS180&gt;0.1,BB180-BA180,BA180)),IF(BS180&lt;-0.2,AX180-AY180,IF(BS180&lt;-0.1,AY180-AZ180,AZ180))),"")</f>
        <v/>
      </c>
      <c r="BZ180" s="467" t="str">
        <f aca="false">IF(BD180,IF(BT180&gt;0,IF(BT180&gt;0.2,BC180-BB180,IF(BT180&gt;0.1,BB180-BA180,BA180)),IF(BT180&lt;-0.2,AX180-AY180,IF(BT180&lt;-0.1,AY180-AZ180,AZ180))),"")</f>
        <v/>
      </c>
      <c r="CA180" s="468" t="str">
        <f aca="false">IF($BD180,$BW180+IF(VolSkewFlag=1,IF(BS180&gt;0,$BA180*MIN(BS180/10%,1)+($BB180-$BA180)*MAX(0,MIN(BS180/10%-1,1))+($BC180-$BB180)*MAX(0,BS180/10%-2),$AZ180*MIN(-BS180/10%,1)+($AY180-$AZ180)*MAX(0,MIN(-BS180/10%-1,1))+($AX180-$AY180)*MAX(0,-BS180/10%-2)),0),"")</f>
        <v/>
      </c>
      <c r="CB180" s="468" t="str">
        <f aca="false">IF($BD180,$BX180+IF(VolSkewFlag=1,IF(BS180&gt;0,$BA180*MIN(BS180/10%,1)+($BB180-$BA180)*MAX(0,MIN(BS180/10%-1,1))+($BC180-$BB180)*MAX(0,BS180/10%-2),$AZ180*MIN(-BS180/10%,1)+($AY180-$AZ180)*MAX(0,MIN(-BS180/10%-1,1))+($AX180-$AY180)*MAX(0,-BS180/10%-2)),0),"")</f>
        <v/>
      </c>
      <c r="CC180" s="468" t="str">
        <f aca="false">IF($BD180,$BW180+IF(VolSkewFlag=1,IF(BT180&gt;0,$BA180*MIN(BT180/10%,1)+($BB180-$BA180)*MAX(0,MIN(BT180/10%-1,1))+($BC180-$BB180)*MAX(0,BT180/10%-2),$AZ180*MIN(-BT180/10%,1)+($AY180-$AZ180)*MAX(0,MIN(-BT180/10%-1,1))+($AX180-$AY180)*MAX(0,-BT180/10%-2)),0),"")</f>
        <v/>
      </c>
      <c r="CD180" s="468" t="str">
        <f aca="false">IF($BD180,$BX180+IF(VolSkewFlag=1,IF(BT180&gt;0,$BA180*MIN(BT180/10%,1)+($BB180-$BA180)*MAX(0,MIN(BT180/10%-1,1))+($BC180-$BB180)*MAX(0,BT180/10%-2),$AZ180*MIN(-BT180/10%,1)+($AY180-$AZ180)*MAX(0,MIN(-BT180/10%-1,1))+($AX180-$AY180)*MAX(0,-BT180/10%-2)),0),"")</f>
        <v/>
      </c>
      <c r="CE180" s="469" t="n">
        <v>1</v>
      </c>
      <c r="CF180" s="470" t="n">
        <f aca="false">IF(BD180,xCrudeAPO(BU180,BV180,CA180,CB180,S181,S182,BI180,BL180,BP180,BQ180,0,Strike1,AO180,CE180,0,BL180,IF(OptControl=4,0,1),0,1),0)</f>
        <v>0</v>
      </c>
      <c r="CG180" s="470" t="n">
        <f aca="false">IF(BD180,xCrudeAPO(BU180,BV180,CA180,CB180,S181,S182,BI180,BL180,BP180,BQ180,0,Strike1,AO180,CE180,0,BL180,IF(OptControl=4,0,1),1,1)+xCrudeAPO(BU180,BV180,CA180,CB180,S181,S182,BI180,BL180,BP180,BQ180,0,Strike1,AO180,CE180,0,BL180,IF(OptControl=4,0,1),1,2)+IF(OR(VolSkewFlag=2,ABS(BS180)&lt;0.0001),0,IF(BS180&gt;0,-1,1)*CH180*Strike1/BR180^2*BY180/10%),0)</f>
        <v>0</v>
      </c>
      <c r="CH180" s="470" t="n">
        <f aca="false">IF(BD180,(xCrudeAPO(BU180,BV180,CA180,CB180,S181,S182,BI180,BL180,BP180,BQ180,0,Strike1,AO180,CE180,0,BL180,IF(OptControl=4,0,1),3,1)+xCrudeAPO(BU180,BV180,CA180,CB180,S181,S182,BI180,BL180,BP180,BQ180,0,Strike1,AO180,CE180,0,BL180,IF(OptControl=4,0,1),3,2))/100,0)</f>
        <v>0</v>
      </c>
      <c r="CI180" s="470" t="n">
        <f aca="false">IF(BD180,xCrudeAPO(BU180,BV180,CA180,CB180,S181,S182,BI180-DaysForThetaCalculation/365.25,BL180-DaysForThetaCalculation/365.25,BP180,BQ180,0,Strike1,AO180,CE180,0,BL180,IF(OptControl=4,0,1),0,1)-xCrudeAPO(BU180,BV180,CA180,CB180,S181,S182,BI180,BL180,BP180,BQ180,0,Strike1,AO180,CE180,0,BL180,IF(OptControl=4,0,1),0,1),0)</f>
        <v>0</v>
      </c>
      <c r="CJ180" s="471" t="n">
        <f aca="false">IF(BD180,xCrudeAPO(BU180,BV180,CC180,CD180,S181,S182,BI180,BL180,BP180,BQ180,0,Strike2,AO180,CE180,0,BL180,IF(OptControl=3,1,0),0,1),0)</f>
        <v>0</v>
      </c>
      <c r="CK180" s="470" t="n">
        <f aca="false">IF(BD180,xCrudeAPO(BU180,BV180,CC180,CD180,S181,S182,BI180,BL180,BP180,BQ180,0,Strike2,AO180,CE180,0,BL180,IF(OptControl=3,1,0),1,1)+xCrudeAPO(BU180,BV180,CC180,CD180,S181,S182,BI180,BL180,BP180,BQ180,0,Strike2,AO180,CE180,0,BL180,IF(OptControl=3,1,0),1,2)+IF(OR(VolSkewFlag=2,ABS(BT180)&lt;0.0001),0,IF(BT180&gt;0,-1,1)*CL180*Strike2/BR180^2*BZ180/10%),0)</f>
        <v>0</v>
      </c>
      <c r="CL180" s="470" t="n">
        <f aca="false">IF(BD180,(xCrudeAPO(BU180,BV180,CC180,CD180,S181,S182,BI180,BL180,BP180,BQ180,0,Strike2,AO180,CE180,0,BL180,IF(OptControl=3,1,0),3,1)+xCrudeAPO(BU180,BV180,CC180,CD180,S181,S182,BI180,BL180,BP180,BQ180,0,Strike2,AO180,CE180,0,BL180,IF(OptControl=3,1,0),3,2))/100,0)</f>
        <v>0</v>
      </c>
      <c r="CM180" s="472" t="n">
        <f aca="false">IF(BD180,xCrudeAPO(BU180,BV180,CC180,CD180,S181,S182,BI180-DaysForThetaCalculation/365.25,BL180-DaysForThetaCalculation/365.25,BP180,BQ180,0,Strike2,AO180,CE180,0,BL180,IF(OptControl=3,1,0),0,1)-xCrudeAPO(BU180,BV180,CC180,CD180,S181,S182,BI180,BL180,BP180,BQ180,0,Strike2,AO180,CE180,0,BL180,IF(OptControl=3,1,0),0,1),0)</f>
        <v>0</v>
      </c>
      <c r="CN180" s="3"/>
      <c r="CO180" s="543" t="str">
        <f aca="false">IF(BD180,CHOOSE(Underlying,AD180,AF180)-DateToday+1,"")</f>
        <v/>
      </c>
      <c r="CP180" s="582" t="str">
        <f aca="false">IF(BD180,CHOOSE(Underlying,L180,R180),"")</f>
        <v/>
      </c>
      <c r="CQ180" s="544" t="str">
        <f aca="false">IF(BD180,Strike1/CP180-1,"")</f>
        <v/>
      </c>
      <c r="CR180" s="544" t="str">
        <f aca="false">IF(BD180,Strike2/CP180-1,"")</f>
        <v/>
      </c>
      <c r="CS180" s="544" t="str">
        <f aca="false">IF(BD180,IF(CQ180&gt;0,IF(CQ180&gt;0.2,BC179-BB179,IF(CQ180&gt;0.1,BB179-BA179,BA179)),IF(CQ180&lt;-0.2,AX179-AY179,IF(CQ180&lt;-0.1,AY179-AZ179,AZ179))),"")</f>
        <v/>
      </c>
      <c r="CT180" s="544" t="str">
        <f aca="false">IF(BD180,IF(CR180&gt;0,IF(CR180&gt;0.2,BC179-BB179,IF(CR180&gt;0.1,BB179-BA179,BA179)),IF(CR180&lt;-0.2,AX179-AY179,IF(CR180&lt;-0.1,AY179-AZ179,AZ179))),"")</f>
        <v/>
      </c>
      <c r="CU180" s="545" t="str">
        <f aca="false">IF(BD180,CHOOSE(Underlying,O180,AT180),"")</f>
        <v/>
      </c>
      <c r="CV180" s="545" t="str">
        <f aca="false">IF(BD180,CU180+IF(VolSkewFlag=1,IF(CQ180&gt;0,BA179*MIN(CQ180/10%,1)+(BB179-BA179)*MAX(0,MIN(CQ180/10%-1,1))+(BC179-BB179)*MAX(0,CQ180/10%-2),AZ179*MIN(-CQ180/10%,1)+(AY179-AZ179)*MAX(0,MIN(-CQ180/10%-1,1))+(AX179-AY179)*MAX(0,-CQ180/10%-2)),0),"")</f>
        <v/>
      </c>
      <c r="CW180" s="545" t="str">
        <f aca="false">IF(BD180,CU180+IF(VolSkewFlag=1,IF(CR180&gt;0,BA179*MIN(CR180/10%,1)+(BB179-BA179)*MAX(0,MIN(CR180/10%-1,1))+(BC179-BB179)*MAX(0,CR180/10%-2),AZ179*MIN(-CR180/10%,1)+(AY179-AZ179)*MAX(0,MIN(-CR180/10%-1,1))+(AX179-AY179)*MAX(0,-CR180/10%-2)),0),"")</f>
        <v/>
      </c>
      <c r="CX180" s="470" t="n">
        <f aca="false">IF(BD180,EURO(CP180,Strike1,AO180,AO180,CV180,CO180,IF(OptControl=4,0,1),0),0)</f>
        <v>0</v>
      </c>
      <c r="CY180" s="470" t="n">
        <f aca="false">IF(BD180,EURO(CP180,Strike1,AO180,AO180,CV180,CO180,IF(OptControl=4,0,1),1)+IF(OR(VolSkewFlag=2,ABS(CQ180)&lt;0.0001),0,IF(CQ180&gt;0,-1,1)*CZ180*100*Strike1/CP180^2*CS180/10%),0)</f>
        <v>0</v>
      </c>
      <c r="CZ180" s="470" t="n">
        <f aca="false">IF(BD180,EURO(CP180,Strike1,AO180,AO180,CV180,CO180,IF(OptControl=4,0,1),3)/100,0)</f>
        <v>0</v>
      </c>
      <c r="DA180" s="470" t="n">
        <f aca="false">IF(BD180,EURO(CP180,Strike1,AO180,AO180,CV180,CO180,IF(OptControl=4,0,1),0)-EURO(CP180,Strike1,AO180,AO180,CV180,CO180-1,IF(OptControl=4,0,1),0),0)</f>
        <v>0</v>
      </c>
      <c r="DB180" s="470" t="n">
        <f aca="false">IF(BD180,EURO(CP180,Strike2,AO180,AO180,CW180,CO180,IF(OptControl=3,1,0),0),0)</f>
        <v>0</v>
      </c>
      <c r="DC180" s="470" t="n">
        <f aca="false">IF(BD180,EURO(CP180,Strike2,AO180,AO180,CW180,CO180,IF(OptControl=3,1,0),1)+IF(OR(VolSkewFlag=2,ABS(CR180)&lt;0.0001),0,IF(CR180&gt;0,-1,1)*DD180*100*Strike2/CP180^2*CT180/10%),0)</f>
        <v>0</v>
      </c>
      <c r="DD180" s="470" t="n">
        <f aca="false">IF(BD180,EURO(CP180,Strike2,AO180,AO180,CW180,CO180,IF(OptControl=3,1,0),3)/100,0)</f>
        <v>0</v>
      </c>
      <c r="DE180" s="472" t="n">
        <f aca="false">IF(BD180,EURO(CP180,Strike2,AO180,AO180,CW180,CO180,IF(OptControl=3,1,0),0)-EURO(CP180,Strike2,AO180,AO180,CW180,CO180-1,IF(OptControl=3,1,0),0),0)</f>
        <v>0</v>
      </c>
      <c r="DG180" s="481" t="n">
        <f aca="false">EOMONTH(DG179,0)+1</f>
        <v>50557</v>
      </c>
      <c r="DH180" s="478" t="n">
        <v>22.1600000000001</v>
      </c>
      <c r="DI180" s="479" t="n">
        <v>22.2250000000001</v>
      </c>
      <c r="DJ180" s="480" t="n">
        <f aca="false">DG180</f>
        <v>50557</v>
      </c>
      <c r="DK180" s="478" t="n">
        <v>20.7385132723462</v>
      </c>
      <c r="DL180" s="479" t="n">
        <v>20.9335000000001</v>
      </c>
      <c r="DM180" s="481" t="n">
        <f aca="false">DG180</f>
        <v>50557</v>
      </c>
      <c r="DN180" s="482" t="n">
        <f aca="false">DK180+BrentPhyBrentSpread</f>
        <v>20.7885132723462</v>
      </c>
      <c r="DO180" s="481" t="n">
        <f aca="false">DG180</f>
        <v>50557</v>
      </c>
      <c r="DP180" s="483" t="n">
        <f aca="false">DL180+DQ180</f>
        <v>20.9335000000001</v>
      </c>
      <c r="DQ180" s="546" t="n">
        <v>0</v>
      </c>
      <c r="DR180" s="480" t="n">
        <f aca="false">DG180</f>
        <v>50557</v>
      </c>
      <c r="DS180" s="485" t="n">
        <v>0.128599999999998</v>
      </c>
      <c r="DT180" s="486" t="n">
        <v>0.127819999999998</v>
      </c>
      <c r="DU180" s="480" t="n">
        <f aca="false">DG180</f>
        <v>50557</v>
      </c>
      <c r="DV180" s="485" t="n">
        <v>0.128599999999998</v>
      </c>
      <c r="DW180" s="486" t="n">
        <v>0.127819999999998</v>
      </c>
      <c r="DX180" s="481" t="n">
        <f aca="false">DG180</f>
        <v>50557</v>
      </c>
      <c r="DY180" s="486" t="n">
        <v>0.35</v>
      </c>
      <c r="DZ180" s="481" t="n">
        <f aca="false">DR180</f>
        <v>50557</v>
      </c>
      <c r="EA180" s="486" t="n">
        <f aca="false">DT180</f>
        <v>0.127819999999998</v>
      </c>
      <c r="EB180" s="195"/>
      <c r="EC180" s="547" t="str">
        <f aca="false">IF(BD180,IF(Underlying=1,AS180,AU180),"")</f>
        <v/>
      </c>
      <c r="ED180" s="548" t="str">
        <f aca="false">IF($BD180,$EC180+IF(VolSkewFlag=1,IF(BS180&gt;0,$BA180*MIN(BS180/10%,1)+($BB180-$BA180)*MAX(0,MIN(BS180/10%-1,1))+($BC180-$BB180)*MAX(0,BS180/10%-2),$AZ180*MIN(-BS180/10%,1)+($AY180-$AZ180)*MAX(0,MIN(-BS180/10%-1,1))+($AX180-$AY180)*MAX(0,-BS180/10%-2)),0),"")</f>
        <v/>
      </c>
      <c r="EE180" s="549" t="str">
        <f aca="false">IF($BD180,$EC180+IF(VolSkewFlag=1,IF(BT180&gt;0,$BA180*MIN(BT180/10%,1)+($BB180-$BA180)*MAX(0,MIN(BT180/10%-1,1))+($BC180-$BB180)*MAX(0,BT180/10%-2),$AZ180*MIN(-BT180/10%,1)+($AY180-$AZ180)*MAX(0,MIN(-BT180/10%-1,1))+($AX180-$AY180)*MAX(0,-BT180/10%-2)),0),"")</f>
        <v/>
      </c>
      <c r="EF180" s="550" t="n">
        <f aca="false">IF(BD180,xASN(BR180,Strike1,AO180,ED180,0,BO180,0,BI180,BL180,IF(OptControl=4,0,1),0),0)</f>
        <v>0</v>
      </c>
      <c r="EG180" s="551" t="n">
        <f aca="false">IF(BD180,xASN(BR180,Strike2,AO180,EE180,0,BO180,0,BI180,BL180,IF(OptControl=3,1,0),0),0)</f>
        <v>0</v>
      </c>
      <c r="EL180" s="1"/>
      <c r="EM180" s="195"/>
      <c r="EN180" s="240"/>
      <c r="EO180" s="240"/>
      <c r="EP180" s="195"/>
      <c r="EQ180" s="407" t="s">
        <v>408</v>
      </c>
      <c r="ES180" s="130"/>
      <c r="ET180" s="19"/>
      <c r="EU180" s="672"/>
      <c r="EV180" s="478"/>
      <c r="EW180" s="131"/>
      <c r="EX180" s="131"/>
      <c r="EY180" s="129"/>
      <c r="EZ180" s="129"/>
      <c r="FA180" s="129"/>
      <c r="FB180" s="129"/>
      <c r="FC180" s="129"/>
      <c r="FD180" s="129"/>
      <c r="FE180" s="129"/>
      <c r="FF180" s="129"/>
      <c r="FG180" s="129"/>
      <c r="FH180" s="129"/>
      <c r="FI180" s="129"/>
      <c r="FJ180" s="571" t="n">
        <v>11</v>
      </c>
      <c r="FK180" s="150" t="str">
        <f aca="false">IF(OR(FK$169&lt;SwaptionFirstMonthPosition+1,$FJ180&lt;SwaptionFirstMonthPosition+1,FK$169&gt;SwaptionFirstMonthPosition+SwaptionNumOfMonths+1,$FJ180&gt;SwaptionFirstMonthPosition+SwaptionNumOfMonths+1),"",IF($FJ180=FK$169,1,IF($FJ180&lt;FK$169,INDEX($FK$170:$ID$241,FK$169,$FJ180),SUMPRODUCT(INDEX($FK$325:$ID$396,FK$169,1+SwaptionShift):INDEX($FK$325:$ID$396,FK$169,SwaptionMonthsToGo+SwaptionShift),INDEX($FK$245:$ID$316,$FJ180-FK$169,73-FK$169+SwaptionShift):INDEX($FK$245:$ID$316,$FJ180-FK$169,72-FK$169+SwaptionMonthsToGo+SwaptionShift))/SQRT(SUM(INDEX($FK335:$ID335,1+SwaptionShift):INDEX($FK335:$ID335,SwaptionMonthsToGo+SwaptionShift))*SUM(INDEX($FK$325:$ID$396,FK$169,1+SwaptionShift):INDEX($FK$325:$ID$396,FK$169,SwaptionMonthsToGo+SwaptionShift))))))</f>
        <v/>
      </c>
      <c r="FL180" s="150" t="str">
        <f aca="false">IF(OR(FL$169&lt;SwaptionFirstMonthPosition+1,$FJ180&lt;SwaptionFirstMonthPosition+1,FL$169&gt;SwaptionFirstMonthPosition+SwaptionNumOfMonths+1,$FJ180&gt;SwaptionFirstMonthPosition+SwaptionNumOfMonths+1),"",IF($FJ180=FL$169,1,IF($FJ180&lt;FL$169,INDEX($FK$170:$ID$241,FL$169,$FJ180),SUMPRODUCT(INDEX($FK$325:$ID$396,FL$169,1+SwaptionShift):INDEX($FK$325:$ID$396,FL$169,SwaptionMonthsToGo+SwaptionShift),INDEX($FK$245:$ID$316,$FJ180-FL$169,73-FL$169+SwaptionShift):INDEX($FK$245:$ID$316,$FJ180-FL$169,72-FL$169+SwaptionMonthsToGo+SwaptionShift))/SQRT(SUM(INDEX($FK335:$ID335,1+SwaptionShift):INDEX($FK335:$ID335,SwaptionMonthsToGo+SwaptionShift))*SUM(INDEX($FK$325:$ID$396,FL$169,1+SwaptionShift):INDEX($FK$325:$ID$396,FL$169,SwaptionMonthsToGo+SwaptionShift))))))</f>
        <v/>
      </c>
      <c r="FM180" s="150" t="str">
        <f aca="false">IF(OR(FM$169&lt;SwaptionFirstMonthPosition+1,$FJ180&lt;SwaptionFirstMonthPosition+1,FM$169&gt;SwaptionFirstMonthPosition+SwaptionNumOfMonths+1,$FJ180&gt;SwaptionFirstMonthPosition+SwaptionNumOfMonths+1),"",IF($FJ180=FM$169,1,IF($FJ180&lt;FM$169,INDEX($FK$170:$ID$241,FM$169,$FJ180),SUMPRODUCT(INDEX($FK$325:$ID$396,FM$169,1+SwaptionShift):INDEX($FK$325:$ID$396,FM$169,SwaptionMonthsToGo+SwaptionShift),INDEX($FK$245:$ID$316,$FJ180-FM$169,73-FM$169+SwaptionShift):INDEX($FK$245:$ID$316,$FJ180-FM$169,72-FM$169+SwaptionMonthsToGo+SwaptionShift))/SQRT(SUM(INDEX($FK335:$ID335,1+SwaptionShift):INDEX($FK335:$ID335,SwaptionMonthsToGo+SwaptionShift))*SUM(INDEX($FK$325:$ID$396,FM$169,1+SwaptionShift):INDEX($FK$325:$ID$396,FM$169,SwaptionMonthsToGo+SwaptionShift))))))</f>
        <v/>
      </c>
      <c r="FN180" s="150" t="str">
        <f aca="false">IF(OR(FN$169&lt;SwaptionFirstMonthPosition+1,$FJ180&lt;SwaptionFirstMonthPosition+1,FN$169&gt;SwaptionFirstMonthPosition+SwaptionNumOfMonths+1,$FJ180&gt;SwaptionFirstMonthPosition+SwaptionNumOfMonths+1),"",IF($FJ180=FN$169,1,IF($FJ180&lt;FN$169,INDEX($FK$170:$ID$241,FN$169,$FJ180),SUMPRODUCT(INDEX($FK$325:$ID$396,FN$169,1+SwaptionShift):INDEX($FK$325:$ID$396,FN$169,SwaptionMonthsToGo+SwaptionShift),INDEX($FK$245:$ID$316,$FJ180-FN$169,73-FN$169+SwaptionShift):INDEX($FK$245:$ID$316,$FJ180-FN$169,72-FN$169+SwaptionMonthsToGo+SwaptionShift))/SQRT(SUM(INDEX($FK335:$ID335,1+SwaptionShift):INDEX($FK335:$ID335,SwaptionMonthsToGo+SwaptionShift))*SUM(INDEX($FK$325:$ID$396,FN$169,1+SwaptionShift):INDEX($FK$325:$ID$396,FN$169,SwaptionMonthsToGo+SwaptionShift))))))</f>
        <v/>
      </c>
      <c r="FO180" s="150" t="str">
        <f aca="false">IF(OR(FO$169&lt;SwaptionFirstMonthPosition+1,$FJ180&lt;SwaptionFirstMonthPosition+1,FO$169&gt;SwaptionFirstMonthPosition+SwaptionNumOfMonths+1,$FJ180&gt;SwaptionFirstMonthPosition+SwaptionNumOfMonths+1),"",IF($FJ180=FO$169,1,IF($FJ180&lt;FO$169,INDEX($FK$170:$ID$241,FO$169,$FJ180),SUMPRODUCT(INDEX($FK$325:$ID$396,FO$169,1+SwaptionShift):INDEX($FK$325:$ID$396,FO$169,SwaptionMonthsToGo+SwaptionShift),INDEX($FK$245:$ID$316,$FJ180-FO$169,73-FO$169+SwaptionShift):INDEX($FK$245:$ID$316,$FJ180-FO$169,72-FO$169+SwaptionMonthsToGo+SwaptionShift))/SQRT(SUM(INDEX($FK335:$ID335,1+SwaptionShift):INDEX($FK335:$ID335,SwaptionMonthsToGo+SwaptionShift))*SUM(INDEX($FK$325:$ID$396,FO$169,1+SwaptionShift):INDEX($FK$325:$ID$396,FO$169,SwaptionMonthsToGo+SwaptionShift))))))</f>
        <v/>
      </c>
      <c r="FP180" s="150" t="e">
        <f aca="false">IF(OR(FP$169&lt;SwaptionFirstMonthPosition+1,$FJ180&lt;SwaptionFirstMonthPosition+1,FP$169&gt;SwaptionFirstMonthPosition+SwaptionNumOfMonths+1,$FJ180&gt;SwaptionFirstMonthPosition+SwaptionNumOfMonths+1),"",IF($FJ180=FP$169,1,IF($FJ180&lt;FP$169,INDEX($FK$170:$ID$241,FP$169,$FJ180),SUMPRODUCT(INDEX($FK$325:$ID$396,FP$169,1+SwaptionShift):INDEX($FK$325:$ID$396,FP$169,SwaptionMonthsToGo+SwaptionShift),INDEX($FK$245:$ID$316,$FJ180-FP$169,73-FP$169+SwaptionShift):INDEX($FK$245:$ID$316,$FJ180-FP$169,72-FP$169+SwaptionMonthsToGo+SwaptionShift))/SQRT(SUM(INDEX($FK335:$ID335,1+SwaptionShift):INDEX($FK335:$ID335,SwaptionMonthsToGo+SwaptionShift))*SUM(INDEX($FK$325:$ID$396,FP$169,1+SwaptionShift):INDEX($FK$325:$ID$396,FP$169,SwaptionMonthsToGo+SwaptionShift))))))</f>
        <v>#DIV/0!</v>
      </c>
      <c r="FQ180" s="150" t="e">
        <f aca="false">IF(OR(FQ$169&lt;SwaptionFirstMonthPosition+1,$FJ180&lt;SwaptionFirstMonthPosition+1,FQ$169&gt;SwaptionFirstMonthPosition+SwaptionNumOfMonths+1,$FJ180&gt;SwaptionFirstMonthPosition+SwaptionNumOfMonths+1),"",IF($FJ180=FQ$169,1,IF($FJ180&lt;FQ$169,INDEX($FK$170:$ID$241,FQ$169,$FJ180),SUMPRODUCT(INDEX($FK$325:$ID$396,FQ$169,1+SwaptionShift):INDEX($FK$325:$ID$396,FQ$169,SwaptionMonthsToGo+SwaptionShift),INDEX($FK$245:$ID$316,$FJ180-FQ$169,73-FQ$169+SwaptionShift):INDEX($FK$245:$ID$316,$FJ180-FQ$169,72-FQ$169+SwaptionMonthsToGo+SwaptionShift))/SQRT(SUM(INDEX($FK335:$ID335,1+SwaptionShift):INDEX($FK335:$ID335,SwaptionMonthsToGo+SwaptionShift))*SUM(INDEX($FK$325:$ID$396,FQ$169,1+SwaptionShift):INDEX($FK$325:$ID$396,FQ$169,SwaptionMonthsToGo+SwaptionShift))))))</f>
        <v>#DIV/0!</v>
      </c>
      <c r="FR180" s="150" t="e">
        <f aca="false">IF(OR(FR$169&lt;SwaptionFirstMonthPosition+1,$FJ180&lt;SwaptionFirstMonthPosition+1,FR$169&gt;SwaptionFirstMonthPosition+SwaptionNumOfMonths+1,$FJ180&gt;SwaptionFirstMonthPosition+SwaptionNumOfMonths+1),"",IF($FJ180=FR$169,1,IF($FJ180&lt;FR$169,INDEX($FK$170:$ID$241,FR$169,$FJ180),SUMPRODUCT(INDEX($FK$325:$ID$396,FR$169,1+SwaptionShift):INDEX($FK$325:$ID$396,FR$169,SwaptionMonthsToGo+SwaptionShift),INDEX($FK$245:$ID$316,$FJ180-FR$169,73-FR$169+SwaptionShift):INDEX($FK$245:$ID$316,$FJ180-FR$169,72-FR$169+SwaptionMonthsToGo+SwaptionShift))/SQRT(SUM(INDEX($FK335:$ID335,1+SwaptionShift):INDEX($FK335:$ID335,SwaptionMonthsToGo+SwaptionShift))*SUM(INDEX($FK$325:$ID$396,FR$169,1+SwaptionShift):INDEX($FK$325:$ID$396,FR$169,SwaptionMonthsToGo+SwaptionShift))))))</f>
        <v>#DIV/0!</v>
      </c>
      <c r="FS180" s="150" t="e">
        <f aca="false">IF(OR(FS$169&lt;SwaptionFirstMonthPosition+1,$FJ180&lt;SwaptionFirstMonthPosition+1,FS$169&gt;SwaptionFirstMonthPosition+SwaptionNumOfMonths+1,$FJ180&gt;SwaptionFirstMonthPosition+SwaptionNumOfMonths+1),"",IF($FJ180=FS$169,1,IF($FJ180&lt;FS$169,INDEX($FK$170:$ID$241,FS$169,$FJ180),SUMPRODUCT(INDEX($FK$325:$ID$396,FS$169,1+SwaptionShift):INDEX($FK$325:$ID$396,FS$169,SwaptionMonthsToGo+SwaptionShift),INDEX($FK$245:$ID$316,$FJ180-FS$169,73-FS$169+SwaptionShift):INDEX($FK$245:$ID$316,$FJ180-FS$169,72-FS$169+SwaptionMonthsToGo+SwaptionShift))/SQRT(SUM(INDEX($FK335:$ID335,1+SwaptionShift):INDEX($FK335:$ID335,SwaptionMonthsToGo+SwaptionShift))*SUM(INDEX($FK$325:$ID$396,FS$169,1+SwaptionShift):INDEX($FK$325:$ID$396,FS$169,SwaptionMonthsToGo+SwaptionShift))))))</f>
        <v>#DIV/0!</v>
      </c>
      <c r="FT180" s="150" t="e">
        <f aca="false">IF(OR(FT$169&lt;SwaptionFirstMonthPosition+1,$FJ180&lt;SwaptionFirstMonthPosition+1,FT$169&gt;SwaptionFirstMonthPosition+SwaptionNumOfMonths+1,$FJ180&gt;SwaptionFirstMonthPosition+SwaptionNumOfMonths+1),"",IF($FJ180=FT$169,1,IF($FJ180&lt;FT$169,INDEX($FK$170:$ID$241,FT$169,$FJ180),SUMPRODUCT(INDEX($FK$325:$ID$396,FT$169,1+SwaptionShift):INDEX($FK$325:$ID$396,FT$169,SwaptionMonthsToGo+SwaptionShift),INDEX($FK$245:$ID$316,$FJ180-FT$169,73-FT$169+SwaptionShift):INDEX($FK$245:$ID$316,$FJ180-FT$169,72-FT$169+SwaptionMonthsToGo+SwaptionShift))/SQRT(SUM(INDEX($FK335:$ID335,1+SwaptionShift):INDEX($FK335:$ID335,SwaptionMonthsToGo+SwaptionShift))*SUM(INDEX($FK$325:$ID$396,FT$169,1+SwaptionShift):INDEX($FK$325:$ID$396,FT$169,SwaptionMonthsToGo+SwaptionShift))))))</f>
        <v>#DIV/0!</v>
      </c>
      <c r="FU180" s="150" t="n">
        <f aca="false">IF(OR(FU$169&lt;SwaptionFirstMonthPosition+1,$FJ180&lt;SwaptionFirstMonthPosition+1,FU$169&gt;SwaptionFirstMonthPosition+SwaptionNumOfMonths+1,$FJ180&gt;SwaptionFirstMonthPosition+SwaptionNumOfMonths+1),"",IF($FJ180=FU$169,1,IF($FJ180&lt;FU$169,INDEX($FK$170:$ID$241,FU$169,$FJ180),SUMPRODUCT(INDEX($FK$325:$ID$396,FU$169,1+SwaptionShift):INDEX($FK$325:$ID$396,FU$169,SwaptionMonthsToGo+SwaptionShift),INDEX($FK$245:$ID$316,$FJ180-FU$169,73-FU$169+SwaptionShift):INDEX($FK$245:$ID$316,$FJ180-FU$169,72-FU$169+SwaptionMonthsToGo+SwaptionShift))/SQRT(SUM(INDEX($FK335:$ID335,1+SwaptionShift):INDEX($FK335:$ID335,SwaptionMonthsToGo+SwaptionShift))*SUM(INDEX($FK$325:$ID$396,FU$169,1+SwaptionShift):INDEX($FK$325:$ID$396,FU$169,SwaptionMonthsToGo+SwaptionShift))))))</f>
        <v>1</v>
      </c>
      <c r="FV180" s="150" t="e">
        <f aca="false">IF(OR(FV$169&lt;SwaptionFirstMonthPosition+1,$FJ180&lt;SwaptionFirstMonthPosition+1,FV$169&gt;SwaptionFirstMonthPosition+SwaptionNumOfMonths+1,$FJ180&gt;SwaptionFirstMonthPosition+SwaptionNumOfMonths+1),"",IF($FJ180=FV$169,1,IF($FJ180&lt;FV$169,INDEX($FK$170:$ID$241,FV$169,$FJ180),SUMPRODUCT(INDEX($FK$325:$ID$396,FV$169,1+SwaptionShift):INDEX($FK$325:$ID$396,FV$169,SwaptionMonthsToGo+SwaptionShift),INDEX($FK$245:$ID$316,$FJ180-FV$169,73-FV$169+SwaptionShift):INDEX($FK$245:$ID$316,$FJ180-FV$169,72-FV$169+SwaptionMonthsToGo+SwaptionShift))/SQRT(SUM(INDEX($FK335:$ID335,1+SwaptionShift):INDEX($FK335:$ID335,SwaptionMonthsToGo+SwaptionShift))*SUM(INDEX($FK$325:$ID$396,FV$169,1+SwaptionShift):INDEX($FK$325:$ID$396,FV$169,SwaptionMonthsToGo+SwaptionShift))))))</f>
        <v>#DIV/0!</v>
      </c>
      <c r="FW180" s="150" t="e">
        <f aca="false">IF(OR(FW$169&lt;SwaptionFirstMonthPosition+1,$FJ180&lt;SwaptionFirstMonthPosition+1,FW$169&gt;SwaptionFirstMonthPosition+SwaptionNumOfMonths+1,$FJ180&gt;SwaptionFirstMonthPosition+SwaptionNumOfMonths+1),"",IF($FJ180=FW$169,1,IF($FJ180&lt;FW$169,INDEX($FK$170:$ID$241,FW$169,$FJ180),SUMPRODUCT(INDEX($FK$325:$ID$396,FW$169,1+SwaptionShift):INDEX($FK$325:$ID$396,FW$169,SwaptionMonthsToGo+SwaptionShift),INDEX($FK$245:$ID$316,$FJ180-FW$169,73-FW$169+SwaptionShift):INDEX($FK$245:$ID$316,$FJ180-FW$169,72-FW$169+SwaptionMonthsToGo+SwaptionShift))/SQRT(SUM(INDEX($FK335:$ID335,1+SwaptionShift):INDEX($FK335:$ID335,SwaptionMonthsToGo+SwaptionShift))*SUM(INDEX($FK$325:$ID$396,FW$169,1+SwaptionShift):INDEX($FK$325:$ID$396,FW$169,SwaptionMonthsToGo+SwaptionShift))))))</f>
        <v>#DIV/0!</v>
      </c>
      <c r="FX180" s="150" t="e">
        <f aca="false">IF(OR(FX$169&lt;SwaptionFirstMonthPosition+1,$FJ180&lt;SwaptionFirstMonthPosition+1,FX$169&gt;SwaptionFirstMonthPosition+SwaptionNumOfMonths+1,$FJ180&gt;SwaptionFirstMonthPosition+SwaptionNumOfMonths+1),"",IF($FJ180=FX$169,1,IF($FJ180&lt;FX$169,INDEX($FK$170:$ID$241,FX$169,$FJ180),SUMPRODUCT(INDEX($FK$325:$ID$396,FX$169,1+SwaptionShift):INDEX($FK$325:$ID$396,FX$169,SwaptionMonthsToGo+SwaptionShift),INDEX($FK$245:$ID$316,$FJ180-FX$169,73-FX$169+SwaptionShift):INDEX($FK$245:$ID$316,$FJ180-FX$169,72-FX$169+SwaptionMonthsToGo+SwaptionShift))/SQRT(SUM(INDEX($FK335:$ID335,1+SwaptionShift):INDEX($FK335:$ID335,SwaptionMonthsToGo+SwaptionShift))*SUM(INDEX($FK$325:$ID$396,FX$169,1+SwaptionShift):INDEX($FK$325:$ID$396,FX$169,SwaptionMonthsToGo+SwaptionShift))))))</f>
        <v>#DIV/0!</v>
      </c>
      <c r="FY180" s="150" t="e">
        <f aca="false">IF(OR(FY$169&lt;SwaptionFirstMonthPosition+1,$FJ180&lt;SwaptionFirstMonthPosition+1,FY$169&gt;SwaptionFirstMonthPosition+SwaptionNumOfMonths+1,$FJ180&gt;SwaptionFirstMonthPosition+SwaptionNumOfMonths+1),"",IF($FJ180=FY$169,1,IF($FJ180&lt;FY$169,INDEX($FK$170:$ID$241,FY$169,$FJ180),SUMPRODUCT(INDEX($FK$325:$ID$396,FY$169,1+SwaptionShift):INDEX($FK$325:$ID$396,FY$169,SwaptionMonthsToGo+SwaptionShift),INDEX($FK$245:$ID$316,$FJ180-FY$169,73-FY$169+SwaptionShift):INDEX($FK$245:$ID$316,$FJ180-FY$169,72-FY$169+SwaptionMonthsToGo+SwaptionShift))/SQRT(SUM(INDEX($FK335:$ID335,1+SwaptionShift):INDEX($FK335:$ID335,SwaptionMonthsToGo+SwaptionShift))*SUM(INDEX($FK$325:$ID$396,FY$169,1+SwaptionShift):INDEX($FK$325:$ID$396,FY$169,SwaptionMonthsToGo+SwaptionShift))))))</f>
        <v>#DIV/0!</v>
      </c>
      <c r="FZ180" s="150" t="e">
        <f aca="false">IF(OR(FZ$169&lt;SwaptionFirstMonthPosition+1,$FJ180&lt;SwaptionFirstMonthPosition+1,FZ$169&gt;SwaptionFirstMonthPosition+SwaptionNumOfMonths+1,$FJ180&gt;SwaptionFirstMonthPosition+SwaptionNumOfMonths+1),"",IF($FJ180=FZ$169,1,IF($FJ180&lt;FZ$169,INDEX($FK$170:$ID$241,FZ$169,$FJ180),SUMPRODUCT(INDEX($FK$325:$ID$396,FZ$169,1+SwaptionShift):INDEX($FK$325:$ID$396,FZ$169,SwaptionMonthsToGo+SwaptionShift),INDEX($FK$245:$ID$316,$FJ180-FZ$169,73-FZ$169+SwaptionShift):INDEX($FK$245:$ID$316,$FJ180-FZ$169,72-FZ$169+SwaptionMonthsToGo+SwaptionShift))/SQRT(SUM(INDEX($FK335:$ID335,1+SwaptionShift):INDEX($FK335:$ID335,SwaptionMonthsToGo+SwaptionShift))*SUM(INDEX($FK$325:$ID$396,FZ$169,1+SwaptionShift):INDEX($FK$325:$ID$396,FZ$169,SwaptionMonthsToGo+SwaptionShift))))))</f>
        <v>#DIV/0!</v>
      </c>
      <c r="GA180" s="150" t="e">
        <f aca="false">IF(OR(GA$169&lt;SwaptionFirstMonthPosition+1,$FJ180&lt;SwaptionFirstMonthPosition+1,GA$169&gt;SwaptionFirstMonthPosition+SwaptionNumOfMonths+1,$FJ180&gt;SwaptionFirstMonthPosition+SwaptionNumOfMonths+1),"",IF($FJ180=GA$169,1,IF($FJ180&lt;GA$169,INDEX($FK$170:$ID$241,GA$169,$FJ180),SUMPRODUCT(INDEX($FK$325:$ID$396,GA$169,1+SwaptionShift):INDEX($FK$325:$ID$396,GA$169,SwaptionMonthsToGo+SwaptionShift),INDEX($FK$245:$ID$316,$FJ180-GA$169,73-GA$169+SwaptionShift):INDEX($FK$245:$ID$316,$FJ180-GA$169,72-GA$169+SwaptionMonthsToGo+SwaptionShift))/SQRT(SUM(INDEX($FK335:$ID335,1+SwaptionShift):INDEX($FK335:$ID335,SwaptionMonthsToGo+SwaptionShift))*SUM(INDEX($FK$325:$ID$396,GA$169,1+SwaptionShift):INDEX($FK$325:$ID$396,GA$169,SwaptionMonthsToGo+SwaptionShift))))))</f>
        <v>#DIV/0!</v>
      </c>
      <c r="GB180" s="150" t="e">
        <f aca="false">IF(OR(GB$169&lt;SwaptionFirstMonthPosition+1,$FJ180&lt;SwaptionFirstMonthPosition+1,GB$169&gt;SwaptionFirstMonthPosition+SwaptionNumOfMonths+1,$FJ180&gt;SwaptionFirstMonthPosition+SwaptionNumOfMonths+1),"",IF($FJ180=GB$169,1,IF($FJ180&lt;GB$169,INDEX($FK$170:$ID$241,GB$169,$FJ180),SUMPRODUCT(INDEX($FK$325:$ID$396,GB$169,1+SwaptionShift):INDEX($FK$325:$ID$396,GB$169,SwaptionMonthsToGo+SwaptionShift),INDEX($FK$245:$ID$316,$FJ180-GB$169,73-GB$169+SwaptionShift):INDEX($FK$245:$ID$316,$FJ180-GB$169,72-GB$169+SwaptionMonthsToGo+SwaptionShift))/SQRT(SUM(INDEX($FK335:$ID335,1+SwaptionShift):INDEX($FK335:$ID335,SwaptionMonthsToGo+SwaptionShift))*SUM(INDEX($FK$325:$ID$396,GB$169,1+SwaptionShift):INDEX($FK$325:$ID$396,GB$169,SwaptionMonthsToGo+SwaptionShift))))))</f>
        <v>#DIV/0!</v>
      </c>
      <c r="GC180" s="150" t="str">
        <f aca="false">IF(OR(GC$169&lt;SwaptionFirstMonthPosition+1,$FJ180&lt;SwaptionFirstMonthPosition+1,GC$169&gt;SwaptionFirstMonthPosition+SwaptionNumOfMonths+1,$FJ180&gt;SwaptionFirstMonthPosition+SwaptionNumOfMonths+1),"",IF($FJ180=GC$169,1,IF($FJ180&lt;GC$169,INDEX($FK$170:$ID$241,GC$169,$FJ180),SUMPRODUCT(INDEX($FK$325:$ID$396,GC$169,1+SwaptionShift):INDEX($FK$325:$ID$396,GC$169,SwaptionMonthsToGo+SwaptionShift),INDEX($FK$245:$ID$316,$FJ180-GC$169,73-GC$169+SwaptionShift):INDEX($FK$245:$ID$316,$FJ180-GC$169,72-GC$169+SwaptionMonthsToGo+SwaptionShift))/SQRT(SUM(INDEX($FK335:$ID335,1+SwaptionShift):INDEX($FK335:$ID335,SwaptionMonthsToGo+SwaptionShift))*SUM(INDEX($FK$325:$ID$396,GC$169,1+SwaptionShift):INDEX($FK$325:$ID$396,GC$169,SwaptionMonthsToGo+SwaptionShift))))))</f>
        <v/>
      </c>
      <c r="GD180" s="150" t="str">
        <f aca="false">IF(OR(GD$169&lt;SwaptionFirstMonthPosition+1,$FJ180&lt;SwaptionFirstMonthPosition+1,GD$169&gt;SwaptionFirstMonthPosition+SwaptionNumOfMonths+1,$FJ180&gt;SwaptionFirstMonthPosition+SwaptionNumOfMonths+1),"",IF($FJ180=GD$169,1,IF($FJ180&lt;GD$169,INDEX($FK$170:$ID$241,GD$169,$FJ180),SUMPRODUCT(INDEX($FK$325:$ID$396,GD$169,1+SwaptionShift):INDEX($FK$325:$ID$396,GD$169,SwaptionMonthsToGo+SwaptionShift),INDEX($FK$245:$ID$316,$FJ180-GD$169,73-GD$169+SwaptionShift):INDEX($FK$245:$ID$316,$FJ180-GD$169,72-GD$169+SwaptionMonthsToGo+SwaptionShift))/SQRT(SUM(INDEX($FK335:$ID335,1+SwaptionShift):INDEX($FK335:$ID335,SwaptionMonthsToGo+SwaptionShift))*SUM(INDEX($FK$325:$ID$396,GD$169,1+SwaptionShift):INDEX($FK$325:$ID$396,GD$169,SwaptionMonthsToGo+SwaptionShift))))))</f>
        <v/>
      </c>
      <c r="GE180" s="150" t="str">
        <f aca="false">IF(OR(GE$169&lt;SwaptionFirstMonthPosition+1,$FJ180&lt;SwaptionFirstMonthPosition+1,GE$169&gt;SwaptionFirstMonthPosition+SwaptionNumOfMonths+1,$FJ180&gt;SwaptionFirstMonthPosition+SwaptionNumOfMonths+1),"",IF($FJ180=GE$169,1,IF($FJ180&lt;GE$169,INDEX($FK$170:$ID$241,GE$169,$FJ180),SUMPRODUCT(INDEX($FK$325:$ID$396,GE$169,1+SwaptionShift):INDEX($FK$325:$ID$396,GE$169,SwaptionMonthsToGo+SwaptionShift),INDEX($FK$245:$ID$316,$FJ180-GE$169,73-GE$169+SwaptionShift):INDEX($FK$245:$ID$316,$FJ180-GE$169,72-GE$169+SwaptionMonthsToGo+SwaptionShift))/SQRT(SUM(INDEX($FK335:$ID335,1+SwaptionShift):INDEX($FK335:$ID335,SwaptionMonthsToGo+SwaptionShift))*SUM(INDEX($FK$325:$ID$396,GE$169,1+SwaptionShift):INDEX($FK$325:$ID$396,GE$169,SwaptionMonthsToGo+SwaptionShift))))))</f>
        <v/>
      </c>
      <c r="GF180" s="150" t="str">
        <f aca="false">IF(OR(GF$169&lt;SwaptionFirstMonthPosition+1,$FJ180&lt;SwaptionFirstMonthPosition+1,GF$169&gt;SwaptionFirstMonthPosition+SwaptionNumOfMonths+1,$FJ180&gt;SwaptionFirstMonthPosition+SwaptionNumOfMonths+1),"",IF($FJ180=GF$169,1,IF($FJ180&lt;GF$169,INDEX($FK$170:$ID$241,GF$169,$FJ180),SUMPRODUCT(INDEX($FK$325:$ID$396,GF$169,1+SwaptionShift):INDEX($FK$325:$ID$396,GF$169,SwaptionMonthsToGo+SwaptionShift),INDEX($FK$245:$ID$316,$FJ180-GF$169,73-GF$169+SwaptionShift):INDEX($FK$245:$ID$316,$FJ180-GF$169,72-GF$169+SwaptionMonthsToGo+SwaptionShift))/SQRT(SUM(INDEX($FK335:$ID335,1+SwaptionShift):INDEX($FK335:$ID335,SwaptionMonthsToGo+SwaptionShift))*SUM(INDEX($FK$325:$ID$396,GF$169,1+SwaptionShift):INDEX($FK$325:$ID$396,GF$169,SwaptionMonthsToGo+SwaptionShift))))))</f>
        <v/>
      </c>
      <c r="GG180" s="150" t="str">
        <f aca="false">IF(OR(GG$169&lt;SwaptionFirstMonthPosition+1,$FJ180&lt;SwaptionFirstMonthPosition+1,GG$169&gt;SwaptionFirstMonthPosition+SwaptionNumOfMonths+1,$FJ180&gt;SwaptionFirstMonthPosition+SwaptionNumOfMonths+1),"",IF($FJ180=GG$169,1,IF($FJ180&lt;GG$169,INDEX($FK$170:$ID$241,GG$169,$FJ180),SUMPRODUCT(INDEX($FK$325:$ID$396,GG$169,1+SwaptionShift):INDEX($FK$325:$ID$396,GG$169,SwaptionMonthsToGo+SwaptionShift),INDEX($FK$245:$ID$316,$FJ180-GG$169,73-GG$169+SwaptionShift):INDEX($FK$245:$ID$316,$FJ180-GG$169,72-GG$169+SwaptionMonthsToGo+SwaptionShift))/SQRT(SUM(INDEX($FK335:$ID335,1+SwaptionShift):INDEX($FK335:$ID335,SwaptionMonthsToGo+SwaptionShift))*SUM(INDEX($FK$325:$ID$396,GG$169,1+SwaptionShift):INDEX($FK$325:$ID$396,GG$169,SwaptionMonthsToGo+SwaptionShift))))))</f>
        <v/>
      </c>
      <c r="GH180" s="150" t="str">
        <f aca="false">IF(OR(GH$169&lt;SwaptionFirstMonthPosition+1,$FJ180&lt;SwaptionFirstMonthPosition+1,GH$169&gt;SwaptionFirstMonthPosition+SwaptionNumOfMonths+1,$FJ180&gt;SwaptionFirstMonthPosition+SwaptionNumOfMonths+1),"",IF($FJ180=GH$169,1,IF($FJ180&lt;GH$169,INDEX($FK$170:$ID$241,GH$169,$FJ180),SUMPRODUCT(INDEX($FK$325:$ID$396,GH$169,1+SwaptionShift):INDEX($FK$325:$ID$396,GH$169,SwaptionMonthsToGo+SwaptionShift),INDEX($FK$245:$ID$316,$FJ180-GH$169,73-GH$169+SwaptionShift):INDEX($FK$245:$ID$316,$FJ180-GH$169,72-GH$169+SwaptionMonthsToGo+SwaptionShift))/SQRT(SUM(INDEX($FK335:$ID335,1+SwaptionShift):INDEX($FK335:$ID335,SwaptionMonthsToGo+SwaptionShift))*SUM(INDEX($FK$325:$ID$396,GH$169,1+SwaptionShift):INDEX($FK$325:$ID$396,GH$169,SwaptionMonthsToGo+SwaptionShift))))))</f>
        <v/>
      </c>
      <c r="GI180" s="150" t="str">
        <f aca="false">IF(OR(GI$169&lt;SwaptionFirstMonthPosition+1,$FJ180&lt;SwaptionFirstMonthPosition+1,GI$169&gt;SwaptionFirstMonthPosition+SwaptionNumOfMonths+1,$FJ180&gt;SwaptionFirstMonthPosition+SwaptionNumOfMonths+1),"",IF($FJ180=GI$169,1,IF($FJ180&lt;GI$169,INDEX($FK$170:$ID$241,GI$169,$FJ180),SUMPRODUCT(INDEX($FK$325:$ID$396,GI$169,1+SwaptionShift):INDEX($FK$325:$ID$396,GI$169,SwaptionMonthsToGo+SwaptionShift),INDEX($FK$245:$ID$316,$FJ180-GI$169,73-GI$169+SwaptionShift):INDEX($FK$245:$ID$316,$FJ180-GI$169,72-GI$169+SwaptionMonthsToGo+SwaptionShift))/SQRT(SUM(INDEX($FK335:$ID335,1+SwaptionShift):INDEX($FK335:$ID335,SwaptionMonthsToGo+SwaptionShift))*SUM(INDEX($FK$325:$ID$396,GI$169,1+SwaptionShift):INDEX($FK$325:$ID$396,GI$169,SwaptionMonthsToGo+SwaptionShift))))))</f>
        <v/>
      </c>
      <c r="GJ180" s="150" t="str">
        <f aca="false">IF(OR(GJ$169&lt;SwaptionFirstMonthPosition+1,$FJ180&lt;SwaptionFirstMonthPosition+1,GJ$169&gt;SwaptionFirstMonthPosition+SwaptionNumOfMonths+1,$FJ180&gt;SwaptionFirstMonthPosition+SwaptionNumOfMonths+1),"",IF($FJ180=GJ$169,1,IF($FJ180&lt;GJ$169,INDEX($FK$170:$ID$241,GJ$169,$FJ180),SUMPRODUCT(INDEX($FK$325:$ID$396,GJ$169,1+SwaptionShift):INDEX($FK$325:$ID$396,GJ$169,SwaptionMonthsToGo+SwaptionShift),INDEX($FK$245:$ID$316,$FJ180-GJ$169,73-GJ$169+SwaptionShift):INDEX($FK$245:$ID$316,$FJ180-GJ$169,72-GJ$169+SwaptionMonthsToGo+SwaptionShift))/SQRT(SUM(INDEX($FK335:$ID335,1+SwaptionShift):INDEX($FK335:$ID335,SwaptionMonthsToGo+SwaptionShift))*SUM(INDEX($FK$325:$ID$396,GJ$169,1+SwaptionShift):INDEX($FK$325:$ID$396,GJ$169,SwaptionMonthsToGo+SwaptionShift))))))</f>
        <v/>
      </c>
      <c r="GK180" s="150" t="str">
        <f aca="false">IF(OR(GK$169&lt;SwaptionFirstMonthPosition+1,$FJ180&lt;SwaptionFirstMonthPosition+1,GK$169&gt;SwaptionFirstMonthPosition+SwaptionNumOfMonths+1,$FJ180&gt;SwaptionFirstMonthPosition+SwaptionNumOfMonths+1),"",IF($FJ180=GK$169,1,IF($FJ180&lt;GK$169,INDEX($FK$170:$ID$241,GK$169,$FJ180),SUMPRODUCT(INDEX($FK$325:$ID$396,GK$169,1+SwaptionShift):INDEX($FK$325:$ID$396,GK$169,SwaptionMonthsToGo+SwaptionShift),INDEX($FK$245:$ID$316,$FJ180-GK$169,73-GK$169+SwaptionShift):INDEX($FK$245:$ID$316,$FJ180-GK$169,72-GK$169+SwaptionMonthsToGo+SwaptionShift))/SQRT(SUM(INDEX($FK335:$ID335,1+SwaptionShift):INDEX($FK335:$ID335,SwaptionMonthsToGo+SwaptionShift))*SUM(INDEX($FK$325:$ID$396,GK$169,1+SwaptionShift):INDEX($FK$325:$ID$396,GK$169,SwaptionMonthsToGo+SwaptionShift))))))</f>
        <v/>
      </c>
      <c r="GL180" s="150" t="str">
        <f aca="false">IF(OR(GL$169&lt;SwaptionFirstMonthPosition+1,$FJ180&lt;SwaptionFirstMonthPosition+1,GL$169&gt;SwaptionFirstMonthPosition+SwaptionNumOfMonths+1,$FJ180&gt;SwaptionFirstMonthPosition+SwaptionNumOfMonths+1),"",IF($FJ180=GL$169,1,IF($FJ180&lt;GL$169,INDEX($FK$170:$ID$241,GL$169,$FJ180),SUMPRODUCT(INDEX($FK$325:$ID$396,GL$169,1+SwaptionShift):INDEX($FK$325:$ID$396,GL$169,SwaptionMonthsToGo+SwaptionShift),INDEX($FK$245:$ID$316,$FJ180-GL$169,73-GL$169+SwaptionShift):INDEX($FK$245:$ID$316,$FJ180-GL$169,72-GL$169+SwaptionMonthsToGo+SwaptionShift))/SQRT(SUM(INDEX($FK335:$ID335,1+SwaptionShift):INDEX($FK335:$ID335,SwaptionMonthsToGo+SwaptionShift))*SUM(INDEX($FK$325:$ID$396,GL$169,1+SwaptionShift):INDEX($FK$325:$ID$396,GL$169,SwaptionMonthsToGo+SwaptionShift))))))</f>
        <v/>
      </c>
      <c r="GM180" s="150" t="str">
        <f aca="false">IF(OR(GM$169&lt;SwaptionFirstMonthPosition+1,$FJ180&lt;SwaptionFirstMonthPosition+1,GM$169&gt;SwaptionFirstMonthPosition+SwaptionNumOfMonths+1,$FJ180&gt;SwaptionFirstMonthPosition+SwaptionNumOfMonths+1),"",IF($FJ180=GM$169,1,IF($FJ180&lt;GM$169,INDEX($FK$170:$ID$241,GM$169,$FJ180),SUMPRODUCT(INDEX($FK$325:$ID$396,GM$169,1+SwaptionShift):INDEX($FK$325:$ID$396,GM$169,SwaptionMonthsToGo+SwaptionShift),INDEX($FK$245:$ID$316,$FJ180-GM$169,73-GM$169+SwaptionShift):INDEX($FK$245:$ID$316,$FJ180-GM$169,72-GM$169+SwaptionMonthsToGo+SwaptionShift))/SQRT(SUM(INDEX($FK335:$ID335,1+SwaptionShift):INDEX($FK335:$ID335,SwaptionMonthsToGo+SwaptionShift))*SUM(INDEX($FK$325:$ID$396,GM$169,1+SwaptionShift):INDEX($FK$325:$ID$396,GM$169,SwaptionMonthsToGo+SwaptionShift))))))</f>
        <v/>
      </c>
      <c r="GN180" s="150" t="str">
        <f aca="false">IF(OR(GN$169&lt;SwaptionFirstMonthPosition+1,$FJ180&lt;SwaptionFirstMonthPosition+1,GN$169&gt;SwaptionFirstMonthPosition+SwaptionNumOfMonths+1,$FJ180&gt;SwaptionFirstMonthPosition+SwaptionNumOfMonths+1),"",IF($FJ180=GN$169,1,IF($FJ180&lt;GN$169,INDEX($FK$170:$ID$241,GN$169,$FJ180),SUMPRODUCT(INDEX($FK$325:$ID$396,GN$169,1+SwaptionShift):INDEX($FK$325:$ID$396,GN$169,SwaptionMonthsToGo+SwaptionShift),INDEX($FK$245:$ID$316,$FJ180-GN$169,73-GN$169+SwaptionShift):INDEX($FK$245:$ID$316,$FJ180-GN$169,72-GN$169+SwaptionMonthsToGo+SwaptionShift))/SQRT(SUM(INDEX($FK335:$ID335,1+SwaptionShift):INDEX($FK335:$ID335,SwaptionMonthsToGo+SwaptionShift))*SUM(INDEX($FK$325:$ID$396,GN$169,1+SwaptionShift):INDEX($FK$325:$ID$396,GN$169,SwaptionMonthsToGo+SwaptionShift))))))</f>
        <v/>
      </c>
      <c r="GO180" s="150" t="str">
        <f aca="false">IF(OR(GO$169&lt;SwaptionFirstMonthPosition+1,$FJ180&lt;SwaptionFirstMonthPosition+1,GO$169&gt;SwaptionFirstMonthPosition+SwaptionNumOfMonths+1,$FJ180&gt;SwaptionFirstMonthPosition+SwaptionNumOfMonths+1),"",IF($FJ180=GO$169,1,IF($FJ180&lt;GO$169,INDEX($FK$170:$ID$241,GO$169,$FJ180),SUMPRODUCT(INDEX($FK$325:$ID$396,GO$169,1+SwaptionShift):INDEX($FK$325:$ID$396,GO$169,SwaptionMonthsToGo+SwaptionShift),INDEX($FK$245:$ID$316,$FJ180-GO$169,73-GO$169+SwaptionShift):INDEX($FK$245:$ID$316,$FJ180-GO$169,72-GO$169+SwaptionMonthsToGo+SwaptionShift))/SQRT(SUM(INDEX($FK335:$ID335,1+SwaptionShift):INDEX($FK335:$ID335,SwaptionMonthsToGo+SwaptionShift))*SUM(INDEX($FK$325:$ID$396,GO$169,1+SwaptionShift):INDEX($FK$325:$ID$396,GO$169,SwaptionMonthsToGo+SwaptionShift))))))</f>
        <v/>
      </c>
      <c r="GP180" s="150" t="str">
        <f aca="false">IF(OR(GP$169&lt;SwaptionFirstMonthPosition+1,$FJ180&lt;SwaptionFirstMonthPosition+1,GP$169&gt;SwaptionFirstMonthPosition+SwaptionNumOfMonths+1,$FJ180&gt;SwaptionFirstMonthPosition+SwaptionNumOfMonths+1),"",IF($FJ180=GP$169,1,IF($FJ180&lt;GP$169,INDEX($FK$170:$ID$241,GP$169,$FJ180),SUMPRODUCT(INDEX($FK$325:$ID$396,GP$169,1+SwaptionShift):INDEX($FK$325:$ID$396,GP$169,SwaptionMonthsToGo+SwaptionShift),INDEX($FK$245:$ID$316,$FJ180-GP$169,73-GP$169+SwaptionShift):INDEX($FK$245:$ID$316,$FJ180-GP$169,72-GP$169+SwaptionMonthsToGo+SwaptionShift))/SQRT(SUM(INDEX($FK335:$ID335,1+SwaptionShift):INDEX($FK335:$ID335,SwaptionMonthsToGo+SwaptionShift))*SUM(INDEX($FK$325:$ID$396,GP$169,1+SwaptionShift):INDEX($FK$325:$ID$396,GP$169,SwaptionMonthsToGo+SwaptionShift))))))</f>
        <v/>
      </c>
      <c r="GQ180" s="150" t="str">
        <f aca="false">IF(OR(GQ$169&lt;SwaptionFirstMonthPosition+1,$FJ180&lt;SwaptionFirstMonthPosition+1,GQ$169&gt;SwaptionFirstMonthPosition+SwaptionNumOfMonths+1,$FJ180&gt;SwaptionFirstMonthPosition+SwaptionNumOfMonths+1),"",IF($FJ180=GQ$169,1,IF($FJ180&lt;GQ$169,INDEX($FK$170:$ID$241,GQ$169,$FJ180),SUMPRODUCT(INDEX($FK$325:$ID$396,GQ$169,1+SwaptionShift):INDEX($FK$325:$ID$396,GQ$169,SwaptionMonthsToGo+SwaptionShift),INDEX($FK$245:$ID$316,$FJ180-GQ$169,73-GQ$169+SwaptionShift):INDEX($FK$245:$ID$316,$FJ180-GQ$169,72-GQ$169+SwaptionMonthsToGo+SwaptionShift))/SQRT(SUM(INDEX($FK335:$ID335,1+SwaptionShift):INDEX($FK335:$ID335,SwaptionMonthsToGo+SwaptionShift))*SUM(INDEX($FK$325:$ID$396,GQ$169,1+SwaptionShift):INDEX($FK$325:$ID$396,GQ$169,SwaptionMonthsToGo+SwaptionShift))))))</f>
        <v/>
      </c>
      <c r="GR180" s="150" t="str">
        <f aca="false">IF(OR(GR$169&lt;SwaptionFirstMonthPosition+1,$FJ180&lt;SwaptionFirstMonthPosition+1,GR$169&gt;SwaptionFirstMonthPosition+SwaptionNumOfMonths+1,$FJ180&gt;SwaptionFirstMonthPosition+SwaptionNumOfMonths+1),"",IF($FJ180=GR$169,1,IF($FJ180&lt;GR$169,INDEX($FK$170:$ID$241,GR$169,$FJ180),SUMPRODUCT(INDEX($FK$325:$ID$396,GR$169,1+SwaptionShift):INDEX($FK$325:$ID$396,GR$169,SwaptionMonthsToGo+SwaptionShift),INDEX($FK$245:$ID$316,$FJ180-GR$169,73-GR$169+SwaptionShift):INDEX($FK$245:$ID$316,$FJ180-GR$169,72-GR$169+SwaptionMonthsToGo+SwaptionShift))/SQRT(SUM(INDEX($FK335:$ID335,1+SwaptionShift):INDEX($FK335:$ID335,SwaptionMonthsToGo+SwaptionShift))*SUM(INDEX($FK$325:$ID$396,GR$169,1+SwaptionShift):INDEX($FK$325:$ID$396,GR$169,SwaptionMonthsToGo+SwaptionShift))))))</f>
        <v/>
      </c>
      <c r="GS180" s="150" t="str">
        <f aca="false">IF(OR(GS$169&lt;SwaptionFirstMonthPosition+1,$FJ180&lt;SwaptionFirstMonthPosition+1,GS$169&gt;SwaptionFirstMonthPosition+SwaptionNumOfMonths+1,$FJ180&gt;SwaptionFirstMonthPosition+SwaptionNumOfMonths+1),"",IF($FJ180=GS$169,1,IF($FJ180&lt;GS$169,INDEX($FK$170:$ID$241,GS$169,$FJ180),SUMPRODUCT(INDEX($FK$325:$ID$396,GS$169,1+SwaptionShift):INDEX($FK$325:$ID$396,GS$169,SwaptionMonthsToGo+SwaptionShift),INDEX($FK$245:$ID$316,$FJ180-GS$169,73-GS$169+SwaptionShift):INDEX($FK$245:$ID$316,$FJ180-GS$169,72-GS$169+SwaptionMonthsToGo+SwaptionShift))/SQRT(SUM(INDEX($FK335:$ID335,1+SwaptionShift):INDEX($FK335:$ID335,SwaptionMonthsToGo+SwaptionShift))*SUM(INDEX($FK$325:$ID$396,GS$169,1+SwaptionShift):INDEX($FK$325:$ID$396,GS$169,SwaptionMonthsToGo+SwaptionShift))))))</f>
        <v/>
      </c>
      <c r="GT180" s="150" t="str">
        <f aca="false">IF(OR(GT$169&lt;SwaptionFirstMonthPosition+1,$FJ180&lt;SwaptionFirstMonthPosition+1,GT$169&gt;SwaptionFirstMonthPosition+SwaptionNumOfMonths+1,$FJ180&gt;SwaptionFirstMonthPosition+SwaptionNumOfMonths+1),"",IF($FJ180=GT$169,1,IF($FJ180&lt;GT$169,INDEX($FK$170:$ID$241,GT$169,$FJ180),SUMPRODUCT(INDEX($FK$325:$ID$396,GT$169,1+SwaptionShift):INDEX($FK$325:$ID$396,GT$169,SwaptionMonthsToGo+SwaptionShift),INDEX($FK$245:$ID$316,$FJ180-GT$169,73-GT$169+SwaptionShift):INDEX($FK$245:$ID$316,$FJ180-GT$169,72-GT$169+SwaptionMonthsToGo+SwaptionShift))/SQRT(SUM(INDEX($FK335:$ID335,1+SwaptionShift):INDEX($FK335:$ID335,SwaptionMonthsToGo+SwaptionShift))*SUM(INDEX($FK$325:$ID$396,GT$169,1+SwaptionShift):INDEX($FK$325:$ID$396,GT$169,SwaptionMonthsToGo+SwaptionShift))))))</f>
        <v/>
      </c>
      <c r="GU180" s="150" t="str">
        <f aca="false">IF(OR(GU$169&lt;SwaptionFirstMonthPosition+1,$FJ180&lt;SwaptionFirstMonthPosition+1,GU$169&gt;SwaptionFirstMonthPosition+SwaptionNumOfMonths+1,$FJ180&gt;SwaptionFirstMonthPosition+SwaptionNumOfMonths+1),"",IF($FJ180=GU$169,1,IF($FJ180&lt;GU$169,INDEX($FK$170:$ID$241,GU$169,$FJ180),SUMPRODUCT(INDEX($FK$325:$ID$396,GU$169,1+SwaptionShift):INDEX($FK$325:$ID$396,GU$169,SwaptionMonthsToGo+SwaptionShift),INDEX($FK$245:$ID$316,$FJ180-GU$169,73-GU$169+SwaptionShift):INDEX($FK$245:$ID$316,$FJ180-GU$169,72-GU$169+SwaptionMonthsToGo+SwaptionShift))/SQRT(SUM(INDEX($FK335:$ID335,1+SwaptionShift):INDEX($FK335:$ID335,SwaptionMonthsToGo+SwaptionShift))*SUM(INDEX($FK$325:$ID$396,GU$169,1+SwaptionShift):INDEX($FK$325:$ID$396,GU$169,SwaptionMonthsToGo+SwaptionShift))))))</f>
        <v/>
      </c>
      <c r="GV180" s="150" t="str">
        <f aca="false">IF(OR(GV$169&lt;SwaptionFirstMonthPosition+1,$FJ180&lt;SwaptionFirstMonthPosition+1,GV$169&gt;SwaptionFirstMonthPosition+SwaptionNumOfMonths+1,$FJ180&gt;SwaptionFirstMonthPosition+SwaptionNumOfMonths+1),"",IF($FJ180=GV$169,1,IF($FJ180&lt;GV$169,INDEX($FK$170:$ID$241,GV$169,$FJ180),SUMPRODUCT(INDEX($FK$325:$ID$396,GV$169,1+SwaptionShift):INDEX($FK$325:$ID$396,GV$169,SwaptionMonthsToGo+SwaptionShift),INDEX($FK$245:$ID$316,$FJ180-GV$169,73-GV$169+SwaptionShift):INDEX($FK$245:$ID$316,$FJ180-GV$169,72-GV$169+SwaptionMonthsToGo+SwaptionShift))/SQRT(SUM(INDEX($FK335:$ID335,1+SwaptionShift):INDEX($FK335:$ID335,SwaptionMonthsToGo+SwaptionShift))*SUM(INDEX($FK$325:$ID$396,GV$169,1+SwaptionShift):INDEX($FK$325:$ID$396,GV$169,SwaptionMonthsToGo+SwaptionShift))))))</f>
        <v/>
      </c>
      <c r="GW180" s="150" t="str">
        <f aca="false">IF(OR(GW$169&lt;SwaptionFirstMonthPosition+1,$FJ180&lt;SwaptionFirstMonthPosition+1,GW$169&gt;SwaptionFirstMonthPosition+SwaptionNumOfMonths+1,$FJ180&gt;SwaptionFirstMonthPosition+SwaptionNumOfMonths+1),"",IF($FJ180=GW$169,1,IF($FJ180&lt;GW$169,INDEX($FK$170:$ID$241,GW$169,$FJ180),SUMPRODUCT(INDEX($FK$325:$ID$396,GW$169,1+SwaptionShift):INDEX($FK$325:$ID$396,GW$169,SwaptionMonthsToGo+SwaptionShift),INDEX($FK$245:$ID$316,$FJ180-GW$169,73-GW$169+SwaptionShift):INDEX($FK$245:$ID$316,$FJ180-GW$169,72-GW$169+SwaptionMonthsToGo+SwaptionShift))/SQRT(SUM(INDEX($FK335:$ID335,1+SwaptionShift):INDEX($FK335:$ID335,SwaptionMonthsToGo+SwaptionShift))*SUM(INDEX($FK$325:$ID$396,GW$169,1+SwaptionShift):INDEX($FK$325:$ID$396,GW$169,SwaptionMonthsToGo+SwaptionShift))))))</f>
        <v/>
      </c>
      <c r="GX180" s="150" t="str">
        <f aca="false">IF(OR(GX$169&lt;SwaptionFirstMonthPosition+1,$FJ180&lt;SwaptionFirstMonthPosition+1,GX$169&gt;SwaptionFirstMonthPosition+SwaptionNumOfMonths+1,$FJ180&gt;SwaptionFirstMonthPosition+SwaptionNumOfMonths+1),"",IF($FJ180=GX$169,1,IF($FJ180&lt;GX$169,INDEX($FK$170:$ID$241,GX$169,$FJ180),SUMPRODUCT(INDEX($FK$325:$ID$396,GX$169,1+SwaptionShift):INDEX($FK$325:$ID$396,GX$169,SwaptionMonthsToGo+SwaptionShift),INDEX($FK$245:$ID$316,$FJ180-GX$169,73-GX$169+SwaptionShift):INDEX($FK$245:$ID$316,$FJ180-GX$169,72-GX$169+SwaptionMonthsToGo+SwaptionShift))/SQRT(SUM(INDEX($FK335:$ID335,1+SwaptionShift):INDEX($FK335:$ID335,SwaptionMonthsToGo+SwaptionShift))*SUM(INDEX($FK$325:$ID$396,GX$169,1+SwaptionShift):INDEX($FK$325:$ID$396,GX$169,SwaptionMonthsToGo+SwaptionShift))))))</f>
        <v/>
      </c>
      <c r="GY180" s="150" t="str">
        <f aca="false">IF(OR(GY$169&lt;SwaptionFirstMonthPosition+1,$FJ180&lt;SwaptionFirstMonthPosition+1,GY$169&gt;SwaptionFirstMonthPosition+SwaptionNumOfMonths+1,$FJ180&gt;SwaptionFirstMonthPosition+SwaptionNumOfMonths+1),"",IF($FJ180=GY$169,1,IF($FJ180&lt;GY$169,INDEX($FK$170:$ID$241,GY$169,$FJ180),SUMPRODUCT(INDEX($FK$325:$ID$396,GY$169,1+SwaptionShift):INDEX($FK$325:$ID$396,GY$169,SwaptionMonthsToGo+SwaptionShift),INDEX($FK$245:$ID$316,$FJ180-GY$169,73-GY$169+SwaptionShift):INDEX($FK$245:$ID$316,$FJ180-GY$169,72-GY$169+SwaptionMonthsToGo+SwaptionShift))/SQRT(SUM(INDEX($FK335:$ID335,1+SwaptionShift):INDEX($FK335:$ID335,SwaptionMonthsToGo+SwaptionShift))*SUM(INDEX($FK$325:$ID$396,GY$169,1+SwaptionShift):INDEX($FK$325:$ID$396,GY$169,SwaptionMonthsToGo+SwaptionShift))))))</f>
        <v/>
      </c>
      <c r="GZ180" s="150" t="str">
        <f aca="false">IF(OR(GZ$169&lt;SwaptionFirstMonthPosition+1,$FJ180&lt;SwaptionFirstMonthPosition+1,GZ$169&gt;SwaptionFirstMonthPosition+SwaptionNumOfMonths+1,$FJ180&gt;SwaptionFirstMonthPosition+SwaptionNumOfMonths+1),"",IF($FJ180=GZ$169,1,IF($FJ180&lt;GZ$169,INDEX($FK$170:$ID$241,GZ$169,$FJ180),SUMPRODUCT(INDEX($FK$325:$ID$396,GZ$169,1+SwaptionShift):INDEX($FK$325:$ID$396,GZ$169,SwaptionMonthsToGo+SwaptionShift),INDEX($FK$245:$ID$316,$FJ180-GZ$169,73-GZ$169+SwaptionShift):INDEX($FK$245:$ID$316,$FJ180-GZ$169,72-GZ$169+SwaptionMonthsToGo+SwaptionShift))/SQRT(SUM(INDEX($FK335:$ID335,1+SwaptionShift):INDEX($FK335:$ID335,SwaptionMonthsToGo+SwaptionShift))*SUM(INDEX($FK$325:$ID$396,GZ$169,1+SwaptionShift):INDEX($FK$325:$ID$396,GZ$169,SwaptionMonthsToGo+SwaptionShift))))))</f>
        <v/>
      </c>
      <c r="HA180" s="150" t="str">
        <f aca="false">IF(OR(HA$169&lt;SwaptionFirstMonthPosition+1,$FJ180&lt;SwaptionFirstMonthPosition+1,HA$169&gt;SwaptionFirstMonthPosition+SwaptionNumOfMonths+1,$FJ180&gt;SwaptionFirstMonthPosition+SwaptionNumOfMonths+1),"",IF($FJ180=HA$169,1,IF($FJ180&lt;HA$169,INDEX($FK$170:$ID$241,HA$169,$FJ180),SUMPRODUCT(INDEX($FK$325:$ID$396,HA$169,1+SwaptionShift):INDEX($FK$325:$ID$396,HA$169,SwaptionMonthsToGo+SwaptionShift),INDEX($FK$245:$ID$316,$FJ180-HA$169,73-HA$169+SwaptionShift):INDEX($FK$245:$ID$316,$FJ180-HA$169,72-HA$169+SwaptionMonthsToGo+SwaptionShift))/SQRT(SUM(INDEX($FK335:$ID335,1+SwaptionShift):INDEX($FK335:$ID335,SwaptionMonthsToGo+SwaptionShift))*SUM(INDEX($FK$325:$ID$396,HA$169,1+SwaptionShift):INDEX($FK$325:$ID$396,HA$169,SwaptionMonthsToGo+SwaptionShift))))))</f>
        <v/>
      </c>
      <c r="HB180" s="150" t="str">
        <f aca="false">IF(OR(HB$169&lt;SwaptionFirstMonthPosition+1,$FJ180&lt;SwaptionFirstMonthPosition+1,HB$169&gt;SwaptionFirstMonthPosition+SwaptionNumOfMonths+1,$FJ180&gt;SwaptionFirstMonthPosition+SwaptionNumOfMonths+1),"",IF($FJ180=HB$169,1,IF($FJ180&lt;HB$169,INDEX($FK$170:$ID$241,HB$169,$FJ180),SUMPRODUCT(INDEX($FK$325:$ID$396,HB$169,1+SwaptionShift):INDEX($FK$325:$ID$396,HB$169,SwaptionMonthsToGo+SwaptionShift),INDEX($FK$245:$ID$316,$FJ180-HB$169,73-HB$169+SwaptionShift):INDEX($FK$245:$ID$316,$FJ180-HB$169,72-HB$169+SwaptionMonthsToGo+SwaptionShift))/SQRT(SUM(INDEX($FK335:$ID335,1+SwaptionShift):INDEX($FK335:$ID335,SwaptionMonthsToGo+SwaptionShift))*SUM(INDEX($FK$325:$ID$396,HB$169,1+SwaptionShift):INDEX($FK$325:$ID$396,HB$169,SwaptionMonthsToGo+SwaptionShift))))))</f>
        <v/>
      </c>
      <c r="HC180" s="150" t="str">
        <f aca="false">IF(OR(HC$169&lt;SwaptionFirstMonthPosition+1,$FJ180&lt;SwaptionFirstMonthPosition+1,HC$169&gt;SwaptionFirstMonthPosition+SwaptionNumOfMonths+1,$FJ180&gt;SwaptionFirstMonthPosition+SwaptionNumOfMonths+1),"",IF($FJ180=HC$169,1,IF($FJ180&lt;HC$169,INDEX($FK$170:$ID$241,HC$169,$FJ180),SUMPRODUCT(INDEX($FK$325:$ID$396,HC$169,1+SwaptionShift):INDEX($FK$325:$ID$396,HC$169,SwaptionMonthsToGo+SwaptionShift),INDEX($FK$245:$ID$316,$FJ180-HC$169,73-HC$169+SwaptionShift):INDEX($FK$245:$ID$316,$FJ180-HC$169,72-HC$169+SwaptionMonthsToGo+SwaptionShift))/SQRT(SUM(INDEX($FK335:$ID335,1+SwaptionShift):INDEX($FK335:$ID335,SwaptionMonthsToGo+SwaptionShift))*SUM(INDEX($FK$325:$ID$396,HC$169,1+SwaptionShift):INDEX($FK$325:$ID$396,HC$169,SwaptionMonthsToGo+SwaptionShift))))))</f>
        <v/>
      </c>
      <c r="HD180" s="150" t="str">
        <f aca="false">IF(OR(HD$169&lt;SwaptionFirstMonthPosition+1,$FJ180&lt;SwaptionFirstMonthPosition+1,HD$169&gt;SwaptionFirstMonthPosition+SwaptionNumOfMonths+1,$FJ180&gt;SwaptionFirstMonthPosition+SwaptionNumOfMonths+1),"",IF($FJ180=HD$169,1,IF($FJ180&lt;HD$169,INDEX($FK$170:$ID$241,HD$169,$FJ180),SUMPRODUCT(INDEX($FK$325:$ID$396,HD$169,1+SwaptionShift):INDEX($FK$325:$ID$396,HD$169,SwaptionMonthsToGo+SwaptionShift),INDEX($FK$245:$ID$316,$FJ180-HD$169,73-HD$169+SwaptionShift):INDEX($FK$245:$ID$316,$FJ180-HD$169,72-HD$169+SwaptionMonthsToGo+SwaptionShift))/SQRT(SUM(INDEX($FK335:$ID335,1+SwaptionShift):INDEX($FK335:$ID335,SwaptionMonthsToGo+SwaptionShift))*SUM(INDEX($FK$325:$ID$396,HD$169,1+SwaptionShift):INDEX($FK$325:$ID$396,HD$169,SwaptionMonthsToGo+SwaptionShift))))))</f>
        <v/>
      </c>
      <c r="HE180" s="150" t="str">
        <f aca="false">IF(OR(HE$169&lt;SwaptionFirstMonthPosition+1,$FJ180&lt;SwaptionFirstMonthPosition+1,HE$169&gt;SwaptionFirstMonthPosition+SwaptionNumOfMonths+1,$FJ180&gt;SwaptionFirstMonthPosition+SwaptionNumOfMonths+1),"",IF($FJ180=HE$169,1,IF($FJ180&lt;HE$169,INDEX($FK$170:$ID$241,HE$169,$FJ180),SUMPRODUCT(INDEX($FK$325:$ID$396,HE$169,1+SwaptionShift):INDEX($FK$325:$ID$396,HE$169,SwaptionMonthsToGo+SwaptionShift),INDEX($FK$245:$ID$316,$FJ180-HE$169,73-HE$169+SwaptionShift):INDEX($FK$245:$ID$316,$FJ180-HE$169,72-HE$169+SwaptionMonthsToGo+SwaptionShift))/SQRT(SUM(INDEX($FK335:$ID335,1+SwaptionShift):INDEX($FK335:$ID335,SwaptionMonthsToGo+SwaptionShift))*SUM(INDEX($FK$325:$ID$396,HE$169,1+SwaptionShift):INDEX($FK$325:$ID$396,HE$169,SwaptionMonthsToGo+SwaptionShift))))))</f>
        <v/>
      </c>
      <c r="HF180" s="150" t="str">
        <f aca="false">IF(OR(HF$169&lt;SwaptionFirstMonthPosition+1,$FJ180&lt;SwaptionFirstMonthPosition+1,HF$169&gt;SwaptionFirstMonthPosition+SwaptionNumOfMonths+1,$FJ180&gt;SwaptionFirstMonthPosition+SwaptionNumOfMonths+1),"",IF($FJ180=HF$169,1,IF($FJ180&lt;HF$169,INDEX($FK$170:$ID$241,HF$169,$FJ180),SUMPRODUCT(INDEX($FK$325:$ID$396,HF$169,1+SwaptionShift):INDEX($FK$325:$ID$396,HF$169,SwaptionMonthsToGo+SwaptionShift),INDEX($FK$245:$ID$316,$FJ180-HF$169,73-HF$169+SwaptionShift):INDEX($FK$245:$ID$316,$FJ180-HF$169,72-HF$169+SwaptionMonthsToGo+SwaptionShift))/SQRT(SUM(INDEX($FK335:$ID335,1+SwaptionShift):INDEX($FK335:$ID335,SwaptionMonthsToGo+SwaptionShift))*SUM(INDEX($FK$325:$ID$396,HF$169,1+SwaptionShift):INDEX($FK$325:$ID$396,HF$169,SwaptionMonthsToGo+SwaptionShift))))))</f>
        <v/>
      </c>
      <c r="HG180" s="150" t="str">
        <f aca="false">IF(OR(HG$169&lt;SwaptionFirstMonthPosition+1,$FJ180&lt;SwaptionFirstMonthPosition+1,HG$169&gt;SwaptionFirstMonthPosition+SwaptionNumOfMonths+1,$FJ180&gt;SwaptionFirstMonthPosition+SwaptionNumOfMonths+1),"",IF($FJ180=HG$169,1,IF($FJ180&lt;HG$169,INDEX($FK$170:$ID$241,HG$169,$FJ180),SUMPRODUCT(INDEX($FK$325:$ID$396,HG$169,1+SwaptionShift):INDEX($FK$325:$ID$396,HG$169,SwaptionMonthsToGo+SwaptionShift),INDEX($FK$245:$ID$316,$FJ180-HG$169,73-HG$169+SwaptionShift):INDEX($FK$245:$ID$316,$FJ180-HG$169,72-HG$169+SwaptionMonthsToGo+SwaptionShift))/SQRT(SUM(INDEX($FK335:$ID335,1+SwaptionShift):INDEX($FK335:$ID335,SwaptionMonthsToGo+SwaptionShift))*SUM(INDEX($FK$325:$ID$396,HG$169,1+SwaptionShift):INDEX($FK$325:$ID$396,HG$169,SwaptionMonthsToGo+SwaptionShift))))))</f>
        <v/>
      </c>
      <c r="HH180" s="150" t="str">
        <f aca="false">IF(OR(HH$169&lt;SwaptionFirstMonthPosition+1,$FJ180&lt;SwaptionFirstMonthPosition+1,HH$169&gt;SwaptionFirstMonthPosition+SwaptionNumOfMonths+1,$FJ180&gt;SwaptionFirstMonthPosition+SwaptionNumOfMonths+1),"",IF($FJ180=HH$169,1,IF($FJ180&lt;HH$169,INDEX($FK$170:$ID$241,HH$169,$FJ180),SUMPRODUCT(INDEX($FK$325:$ID$396,HH$169,1+SwaptionShift):INDEX($FK$325:$ID$396,HH$169,SwaptionMonthsToGo+SwaptionShift),INDEX($FK$245:$ID$316,$FJ180-HH$169,73-HH$169+SwaptionShift):INDEX($FK$245:$ID$316,$FJ180-HH$169,72-HH$169+SwaptionMonthsToGo+SwaptionShift))/SQRT(SUM(INDEX($FK335:$ID335,1+SwaptionShift):INDEX($FK335:$ID335,SwaptionMonthsToGo+SwaptionShift))*SUM(INDEX($FK$325:$ID$396,HH$169,1+SwaptionShift):INDEX($FK$325:$ID$396,HH$169,SwaptionMonthsToGo+SwaptionShift))))))</f>
        <v/>
      </c>
      <c r="HI180" s="150" t="str">
        <f aca="false">IF(OR(HI$169&lt;SwaptionFirstMonthPosition+1,$FJ180&lt;SwaptionFirstMonthPosition+1,HI$169&gt;SwaptionFirstMonthPosition+SwaptionNumOfMonths+1,$FJ180&gt;SwaptionFirstMonthPosition+SwaptionNumOfMonths+1),"",IF($FJ180=HI$169,1,IF($FJ180&lt;HI$169,INDEX($FK$170:$ID$241,HI$169,$FJ180),SUMPRODUCT(INDEX($FK$325:$ID$396,HI$169,1+SwaptionShift):INDEX($FK$325:$ID$396,HI$169,SwaptionMonthsToGo+SwaptionShift),INDEX($FK$245:$ID$316,$FJ180-HI$169,73-HI$169+SwaptionShift):INDEX($FK$245:$ID$316,$FJ180-HI$169,72-HI$169+SwaptionMonthsToGo+SwaptionShift))/SQRT(SUM(INDEX($FK335:$ID335,1+SwaptionShift):INDEX($FK335:$ID335,SwaptionMonthsToGo+SwaptionShift))*SUM(INDEX($FK$325:$ID$396,HI$169,1+SwaptionShift):INDEX($FK$325:$ID$396,HI$169,SwaptionMonthsToGo+SwaptionShift))))))</f>
        <v/>
      </c>
      <c r="HJ180" s="150" t="str">
        <f aca="false">IF(OR(HJ$169&lt;SwaptionFirstMonthPosition+1,$FJ180&lt;SwaptionFirstMonthPosition+1,HJ$169&gt;SwaptionFirstMonthPosition+SwaptionNumOfMonths+1,$FJ180&gt;SwaptionFirstMonthPosition+SwaptionNumOfMonths+1),"",IF($FJ180=HJ$169,1,IF($FJ180&lt;HJ$169,INDEX($FK$170:$ID$241,HJ$169,$FJ180),SUMPRODUCT(INDEX($FK$325:$ID$396,HJ$169,1+SwaptionShift):INDEX($FK$325:$ID$396,HJ$169,SwaptionMonthsToGo+SwaptionShift),INDEX($FK$245:$ID$316,$FJ180-HJ$169,73-HJ$169+SwaptionShift):INDEX($FK$245:$ID$316,$FJ180-HJ$169,72-HJ$169+SwaptionMonthsToGo+SwaptionShift))/SQRT(SUM(INDEX($FK335:$ID335,1+SwaptionShift):INDEX($FK335:$ID335,SwaptionMonthsToGo+SwaptionShift))*SUM(INDEX($FK$325:$ID$396,HJ$169,1+SwaptionShift):INDEX($FK$325:$ID$396,HJ$169,SwaptionMonthsToGo+SwaptionShift))))))</f>
        <v/>
      </c>
      <c r="HK180" s="150" t="str">
        <f aca="false">IF(OR(HK$169&lt;SwaptionFirstMonthPosition+1,$FJ180&lt;SwaptionFirstMonthPosition+1,HK$169&gt;SwaptionFirstMonthPosition+SwaptionNumOfMonths+1,$FJ180&gt;SwaptionFirstMonthPosition+SwaptionNumOfMonths+1),"",IF($FJ180=HK$169,1,IF($FJ180&lt;HK$169,INDEX($FK$170:$ID$241,HK$169,$FJ180),SUMPRODUCT(INDEX($FK$325:$ID$396,HK$169,1+SwaptionShift):INDEX($FK$325:$ID$396,HK$169,SwaptionMonthsToGo+SwaptionShift),INDEX($FK$245:$ID$316,$FJ180-HK$169,73-HK$169+SwaptionShift):INDEX($FK$245:$ID$316,$FJ180-HK$169,72-HK$169+SwaptionMonthsToGo+SwaptionShift))/SQRT(SUM(INDEX($FK335:$ID335,1+SwaptionShift):INDEX($FK335:$ID335,SwaptionMonthsToGo+SwaptionShift))*SUM(INDEX($FK$325:$ID$396,HK$169,1+SwaptionShift):INDEX($FK$325:$ID$396,HK$169,SwaptionMonthsToGo+SwaptionShift))))))</f>
        <v/>
      </c>
      <c r="HL180" s="150" t="str">
        <f aca="false">IF(OR(HL$169&lt;SwaptionFirstMonthPosition+1,$FJ180&lt;SwaptionFirstMonthPosition+1,HL$169&gt;SwaptionFirstMonthPosition+SwaptionNumOfMonths+1,$FJ180&gt;SwaptionFirstMonthPosition+SwaptionNumOfMonths+1),"",IF($FJ180=HL$169,1,IF($FJ180&lt;HL$169,INDEX($FK$170:$ID$241,HL$169,$FJ180),SUMPRODUCT(INDEX($FK$325:$ID$396,HL$169,1+SwaptionShift):INDEX($FK$325:$ID$396,HL$169,SwaptionMonthsToGo+SwaptionShift),INDEX($FK$245:$ID$316,$FJ180-HL$169,73-HL$169+SwaptionShift):INDEX($FK$245:$ID$316,$FJ180-HL$169,72-HL$169+SwaptionMonthsToGo+SwaptionShift))/SQRT(SUM(INDEX($FK335:$ID335,1+SwaptionShift):INDEX($FK335:$ID335,SwaptionMonthsToGo+SwaptionShift))*SUM(INDEX($FK$325:$ID$396,HL$169,1+SwaptionShift):INDEX($FK$325:$ID$396,HL$169,SwaptionMonthsToGo+SwaptionShift))))))</f>
        <v/>
      </c>
      <c r="HM180" s="150" t="str">
        <f aca="false">IF(OR(HM$169&lt;SwaptionFirstMonthPosition+1,$FJ180&lt;SwaptionFirstMonthPosition+1,HM$169&gt;SwaptionFirstMonthPosition+SwaptionNumOfMonths+1,$FJ180&gt;SwaptionFirstMonthPosition+SwaptionNumOfMonths+1),"",IF($FJ180=HM$169,1,IF($FJ180&lt;HM$169,INDEX($FK$170:$ID$241,HM$169,$FJ180),SUMPRODUCT(INDEX($FK$325:$ID$396,HM$169,1+SwaptionShift):INDEX($FK$325:$ID$396,HM$169,SwaptionMonthsToGo+SwaptionShift),INDEX($FK$245:$ID$316,$FJ180-HM$169,73-HM$169+SwaptionShift):INDEX($FK$245:$ID$316,$FJ180-HM$169,72-HM$169+SwaptionMonthsToGo+SwaptionShift))/SQRT(SUM(INDEX($FK335:$ID335,1+SwaptionShift):INDEX($FK335:$ID335,SwaptionMonthsToGo+SwaptionShift))*SUM(INDEX($FK$325:$ID$396,HM$169,1+SwaptionShift):INDEX($FK$325:$ID$396,HM$169,SwaptionMonthsToGo+SwaptionShift))))))</f>
        <v/>
      </c>
      <c r="HN180" s="150" t="str">
        <f aca="false">IF(OR(HN$169&lt;SwaptionFirstMonthPosition+1,$FJ180&lt;SwaptionFirstMonthPosition+1,HN$169&gt;SwaptionFirstMonthPosition+SwaptionNumOfMonths+1,$FJ180&gt;SwaptionFirstMonthPosition+SwaptionNumOfMonths+1),"",IF($FJ180=HN$169,1,IF($FJ180&lt;HN$169,INDEX($FK$170:$ID$241,HN$169,$FJ180),SUMPRODUCT(INDEX($FK$325:$ID$396,HN$169,1+SwaptionShift):INDEX($FK$325:$ID$396,HN$169,SwaptionMonthsToGo+SwaptionShift),INDEX($FK$245:$ID$316,$FJ180-HN$169,73-HN$169+SwaptionShift):INDEX($FK$245:$ID$316,$FJ180-HN$169,72-HN$169+SwaptionMonthsToGo+SwaptionShift))/SQRT(SUM(INDEX($FK335:$ID335,1+SwaptionShift):INDEX($FK335:$ID335,SwaptionMonthsToGo+SwaptionShift))*SUM(INDEX($FK$325:$ID$396,HN$169,1+SwaptionShift):INDEX($FK$325:$ID$396,HN$169,SwaptionMonthsToGo+SwaptionShift))))))</f>
        <v/>
      </c>
      <c r="HO180" s="150" t="str">
        <f aca="false">IF(OR(HO$169&lt;SwaptionFirstMonthPosition+1,$FJ180&lt;SwaptionFirstMonthPosition+1,HO$169&gt;SwaptionFirstMonthPosition+SwaptionNumOfMonths+1,$FJ180&gt;SwaptionFirstMonthPosition+SwaptionNumOfMonths+1),"",IF($FJ180=HO$169,1,IF($FJ180&lt;HO$169,INDEX($FK$170:$ID$241,HO$169,$FJ180),SUMPRODUCT(INDEX($FK$325:$ID$396,HO$169,1+SwaptionShift):INDEX($FK$325:$ID$396,HO$169,SwaptionMonthsToGo+SwaptionShift),INDEX($FK$245:$ID$316,$FJ180-HO$169,73-HO$169+SwaptionShift):INDEX($FK$245:$ID$316,$FJ180-HO$169,72-HO$169+SwaptionMonthsToGo+SwaptionShift))/SQRT(SUM(INDEX($FK335:$ID335,1+SwaptionShift):INDEX($FK335:$ID335,SwaptionMonthsToGo+SwaptionShift))*SUM(INDEX($FK$325:$ID$396,HO$169,1+SwaptionShift):INDEX($FK$325:$ID$396,HO$169,SwaptionMonthsToGo+SwaptionShift))))))</f>
        <v/>
      </c>
      <c r="HP180" s="150" t="str">
        <f aca="false">IF(OR(HP$169&lt;SwaptionFirstMonthPosition+1,$FJ180&lt;SwaptionFirstMonthPosition+1,HP$169&gt;SwaptionFirstMonthPosition+SwaptionNumOfMonths+1,$FJ180&gt;SwaptionFirstMonthPosition+SwaptionNumOfMonths+1),"",IF($FJ180=HP$169,1,IF($FJ180&lt;HP$169,INDEX($FK$170:$ID$241,HP$169,$FJ180),SUMPRODUCT(INDEX($FK$325:$ID$396,HP$169,1+SwaptionShift):INDEX($FK$325:$ID$396,HP$169,SwaptionMonthsToGo+SwaptionShift),INDEX($FK$245:$ID$316,$FJ180-HP$169,73-HP$169+SwaptionShift):INDEX($FK$245:$ID$316,$FJ180-HP$169,72-HP$169+SwaptionMonthsToGo+SwaptionShift))/SQRT(SUM(INDEX($FK335:$ID335,1+SwaptionShift):INDEX($FK335:$ID335,SwaptionMonthsToGo+SwaptionShift))*SUM(INDEX($FK$325:$ID$396,HP$169,1+SwaptionShift):INDEX($FK$325:$ID$396,HP$169,SwaptionMonthsToGo+SwaptionShift))))))</f>
        <v/>
      </c>
      <c r="HQ180" s="150" t="str">
        <f aca="false">IF(OR(HQ$169&lt;SwaptionFirstMonthPosition+1,$FJ180&lt;SwaptionFirstMonthPosition+1,HQ$169&gt;SwaptionFirstMonthPosition+SwaptionNumOfMonths+1,$FJ180&gt;SwaptionFirstMonthPosition+SwaptionNumOfMonths+1),"",IF($FJ180=HQ$169,1,IF($FJ180&lt;HQ$169,INDEX($FK$170:$ID$241,HQ$169,$FJ180),SUMPRODUCT(INDEX($FK$325:$ID$396,HQ$169,1+SwaptionShift):INDEX($FK$325:$ID$396,HQ$169,SwaptionMonthsToGo+SwaptionShift),INDEX($FK$245:$ID$316,$FJ180-HQ$169,73-HQ$169+SwaptionShift):INDEX($FK$245:$ID$316,$FJ180-HQ$169,72-HQ$169+SwaptionMonthsToGo+SwaptionShift))/SQRT(SUM(INDEX($FK335:$ID335,1+SwaptionShift):INDEX($FK335:$ID335,SwaptionMonthsToGo+SwaptionShift))*SUM(INDEX($FK$325:$ID$396,HQ$169,1+SwaptionShift):INDEX($FK$325:$ID$396,HQ$169,SwaptionMonthsToGo+SwaptionShift))))))</f>
        <v/>
      </c>
      <c r="HR180" s="150" t="str">
        <f aca="false">IF(OR(HR$169&lt;SwaptionFirstMonthPosition+1,$FJ180&lt;SwaptionFirstMonthPosition+1,HR$169&gt;SwaptionFirstMonthPosition+SwaptionNumOfMonths+1,$FJ180&gt;SwaptionFirstMonthPosition+SwaptionNumOfMonths+1),"",IF($FJ180=HR$169,1,IF($FJ180&lt;HR$169,INDEX($FK$170:$ID$241,HR$169,$FJ180),SUMPRODUCT(INDEX($FK$325:$ID$396,HR$169,1+SwaptionShift):INDEX($FK$325:$ID$396,HR$169,SwaptionMonthsToGo+SwaptionShift),INDEX($FK$245:$ID$316,$FJ180-HR$169,73-HR$169+SwaptionShift):INDEX($FK$245:$ID$316,$FJ180-HR$169,72-HR$169+SwaptionMonthsToGo+SwaptionShift))/SQRT(SUM(INDEX($FK335:$ID335,1+SwaptionShift):INDEX($FK335:$ID335,SwaptionMonthsToGo+SwaptionShift))*SUM(INDEX($FK$325:$ID$396,HR$169,1+SwaptionShift):INDEX($FK$325:$ID$396,HR$169,SwaptionMonthsToGo+SwaptionShift))))))</f>
        <v/>
      </c>
      <c r="HS180" s="150" t="str">
        <f aca="false">IF(OR(HS$169&lt;SwaptionFirstMonthPosition+1,$FJ180&lt;SwaptionFirstMonthPosition+1,HS$169&gt;SwaptionFirstMonthPosition+SwaptionNumOfMonths+1,$FJ180&gt;SwaptionFirstMonthPosition+SwaptionNumOfMonths+1),"",IF($FJ180=HS$169,1,IF($FJ180&lt;HS$169,INDEX($FK$170:$ID$241,HS$169,$FJ180),SUMPRODUCT(INDEX($FK$325:$ID$396,HS$169,1+SwaptionShift):INDEX($FK$325:$ID$396,HS$169,SwaptionMonthsToGo+SwaptionShift),INDEX($FK$245:$ID$316,$FJ180-HS$169,73-HS$169+SwaptionShift):INDEX($FK$245:$ID$316,$FJ180-HS$169,72-HS$169+SwaptionMonthsToGo+SwaptionShift))/SQRT(SUM(INDEX($FK335:$ID335,1+SwaptionShift):INDEX($FK335:$ID335,SwaptionMonthsToGo+SwaptionShift))*SUM(INDEX($FK$325:$ID$396,HS$169,1+SwaptionShift):INDEX($FK$325:$ID$396,HS$169,SwaptionMonthsToGo+SwaptionShift))))))</f>
        <v/>
      </c>
      <c r="HT180" s="150" t="str">
        <f aca="false">IF(OR(HT$169&lt;SwaptionFirstMonthPosition+1,$FJ180&lt;SwaptionFirstMonthPosition+1,HT$169&gt;SwaptionFirstMonthPosition+SwaptionNumOfMonths+1,$FJ180&gt;SwaptionFirstMonthPosition+SwaptionNumOfMonths+1),"",IF($FJ180=HT$169,1,IF($FJ180&lt;HT$169,INDEX($FK$170:$ID$241,HT$169,$FJ180),SUMPRODUCT(INDEX($FK$325:$ID$396,HT$169,1+SwaptionShift):INDEX($FK$325:$ID$396,HT$169,SwaptionMonthsToGo+SwaptionShift),INDEX($FK$245:$ID$316,$FJ180-HT$169,73-HT$169+SwaptionShift):INDEX($FK$245:$ID$316,$FJ180-HT$169,72-HT$169+SwaptionMonthsToGo+SwaptionShift))/SQRT(SUM(INDEX($FK335:$ID335,1+SwaptionShift):INDEX($FK335:$ID335,SwaptionMonthsToGo+SwaptionShift))*SUM(INDEX($FK$325:$ID$396,HT$169,1+SwaptionShift):INDEX($FK$325:$ID$396,HT$169,SwaptionMonthsToGo+SwaptionShift))))))</f>
        <v/>
      </c>
      <c r="HU180" s="150" t="str">
        <f aca="false">IF(OR(HU$169&lt;SwaptionFirstMonthPosition+1,$FJ180&lt;SwaptionFirstMonthPosition+1,HU$169&gt;SwaptionFirstMonthPosition+SwaptionNumOfMonths+1,$FJ180&gt;SwaptionFirstMonthPosition+SwaptionNumOfMonths+1),"",IF($FJ180=HU$169,1,IF($FJ180&lt;HU$169,INDEX($FK$170:$ID$241,HU$169,$FJ180),SUMPRODUCT(INDEX($FK$325:$ID$396,HU$169,1+SwaptionShift):INDEX($FK$325:$ID$396,HU$169,SwaptionMonthsToGo+SwaptionShift),INDEX($FK$245:$ID$316,$FJ180-HU$169,73-HU$169+SwaptionShift):INDEX($FK$245:$ID$316,$FJ180-HU$169,72-HU$169+SwaptionMonthsToGo+SwaptionShift))/SQRT(SUM(INDEX($FK335:$ID335,1+SwaptionShift):INDEX($FK335:$ID335,SwaptionMonthsToGo+SwaptionShift))*SUM(INDEX($FK$325:$ID$396,HU$169,1+SwaptionShift):INDEX($FK$325:$ID$396,HU$169,SwaptionMonthsToGo+SwaptionShift))))))</f>
        <v/>
      </c>
      <c r="HV180" s="150" t="str">
        <f aca="false">IF(OR(HV$169&lt;SwaptionFirstMonthPosition+1,$FJ180&lt;SwaptionFirstMonthPosition+1,HV$169&gt;SwaptionFirstMonthPosition+SwaptionNumOfMonths+1,$FJ180&gt;SwaptionFirstMonthPosition+SwaptionNumOfMonths+1),"",IF($FJ180=HV$169,1,IF($FJ180&lt;HV$169,INDEX($FK$170:$ID$241,HV$169,$FJ180),SUMPRODUCT(INDEX($FK$325:$ID$396,HV$169,1+SwaptionShift):INDEX($FK$325:$ID$396,HV$169,SwaptionMonthsToGo+SwaptionShift),INDEX($FK$245:$ID$316,$FJ180-HV$169,73-HV$169+SwaptionShift):INDEX($FK$245:$ID$316,$FJ180-HV$169,72-HV$169+SwaptionMonthsToGo+SwaptionShift))/SQRT(SUM(INDEX($FK335:$ID335,1+SwaptionShift):INDEX($FK335:$ID335,SwaptionMonthsToGo+SwaptionShift))*SUM(INDEX($FK$325:$ID$396,HV$169,1+SwaptionShift):INDEX($FK$325:$ID$396,HV$169,SwaptionMonthsToGo+SwaptionShift))))))</f>
        <v/>
      </c>
      <c r="HW180" s="150" t="str">
        <f aca="false">IF(OR(HW$169&lt;SwaptionFirstMonthPosition+1,$FJ180&lt;SwaptionFirstMonthPosition+1,HW$169&gt;SwaptionFirstMonthPosition+SwaptionNumOfMonths+1,$FJ180&gt;SwaptionFirstMonthPosition+SwaptionNumOfMonths+1),"",IF($FJ180=HW$169,1,IF($FJ180&lt;HW$169,INDEX($FK$170:$ID$241,HW$169,$FJ180),SUMPRODUCT(INDEX($FK$325:$ID$396,HW$169,1+SwaptionShift):INDEX($FK$325:$ID$396,HW$169,SwaptionMonthsToGo+SwaptionShift),INDEX($FK$245:$ID$316,$FJ180-HW$169,73-HW$169+SwaptionShift):INDEX($FK$245:$ID$316,$FJ180-HW$169,72-HW$169+SwaptionMonthsToGo+SwaptionShift))/SQRT(SUM(INDEX($FK335:$ID335,1+SwaptionShift):INDEX($FK335:$ID335,SwaptionMonthsToGo+SwaptionShift))*SUM(INDEX($FK$325:$ID$396,HW$169,1+SwaptionShift):INDEX($FK$325:$ID$396,HW$169,SwaptionMonthsToGo+SwaptionShift))))))</f>
        <v/>
      </c>
      <c r="HX180" s="150" t="str">
        <f aca="false">IF(OR(HX$169&lt;SwaptionFirstMonthPosition+1,$FJ180&lt;SwaptionFirstMonthPosition+1,HX$169&gt;SwaptionFirstMonthPosition+SwaptionNumOfMonths+1,$FJ180&gt;SwaptionFirstMonthPosition+SwaptionNumOfMonths+1),"",IF($FJ180=HX$169,1,IF($FJ180&lt;HX$169,INDEX($FK$170:$ID$241,HX$169,$FJ180),SUMPRODUCT(INDEX($FK$325:$ID$396,HX$169,1+SwaptionShift):INDEX($FK$325:$ID$396,HX$169,SwaptionMonthsToGo+SwaptionShift),INDEX($FK$245:$ID$316,$FJ180-HX$169,73-HX$169+SwaptionShift):INDEX($FK$245:$ID$316,$FJ180-HX$169,72-HX$169+SwaptionMonthsToGo+SwaptionShift))/SQRT(SUM(INDEX($FK335:$ID335,1+SwaptionShift):INDEX($FK335:$ID335,SwaptionMonthsToGo+SwaptionShift))*SUM(INDEX($FK$325:$ID$396,HX$169,1+SwaptionShift):INDEX($FK$325:$ID$396,HX$169,SwaptionMonthsToGo+SwaptionShift))))))</f>
        <v/>
      </c>
      <c r="HY180" s="150" t="str">
        <f aca="false">IF(OR(HY$169&lt;SwaptionFirstMonthPosition+1,$FJ180&lt;SwaptionFirstMonthPosition+1,HY$169&gt;SwaptionFirstMonthPosition+SwaptionNumOfMonths+1,$FJ180&gt;SwaptionFirstMonthPosition+SwaptionNumOfMonths+1),"",IF($FJ180=HY$169,1,IF($FJ180&lt;HY$169,INDEX($FK$170:$ID$241,HY$169,$FJ180),SUMPRODUCT(INDEX($FK$325:$ID$396,HY$169,1+SwaptionShift):INDEX($FK$325:$ID$396,HY$169,SwaptionMonthsToGo+SwaptionShift),INDEX($FK$245:$ID$316,$FJ180-HY$169,73-HY$169+SwaptionShift):INDEX($FK$245:$ID$316,$FJ180-HY$169,72-HY$169+SwaptionMonthsToGo+SwaptionShift))/SQRT(SUM(INDEX($FK335:$ID335,1+SwaptionShift):INDEX($FK335:$ID335,SwaptionMonthsToGo+SwaptionShift))*SUM(INDEX($FK$325:$ID$396,HY$169,1+SwaptionShift):INDEX($FK$325:$ID$396,HY$169,SwaptionMonthsToGo+SwaptionShift))))))</f>
        <v/>
      </c>
      <c r="HZ180" s="150" t="str">
        <f aca="false">IF(OR(HZ$169&lt;SwaptionFirstMonthPosition+1,$FJ180&lt;SwaptionFirstMonthPosition+1,HZ$169&gt;SwaptionFirstMonthPosition+SwaptionNumOfMonths+1,$FJ180&gt;SwaptionFirstMonthPosition+SwaptionNumOfMonths+1),"",IF($FJ180=HZ$169,1,IF($FJ180&lt;HZ$169,INDEX($FK$170:$ID$241,HZ$169,$FJ180),SUMPRODUCT(INDEX($FK$325:$ID$396,HZ$169,1+SwaptionShift):INDEX($FK$325:$ID$396,HZ$169,SwaptionMonthsToGo+SwaptionShift),INDEX($FK$245:$ID$316,$FJ180-HZ$169,73-HZ$169+SwaptionShift):INDEX($FK$245:$ID$316,$FJ180-HZ$169,72-HZ$169+SwaptionMonthsToGo+SwaptionShift))/SQRT(SUM(INDEX($FK335:$ID335,1+SwaptionShift):INDEX($FK335:$ID335,SwaptionMonthsToGo+SwaptionShift))*SUM(INDEX($FK$325:$ID$396,HZ$169,1+SwaptionShift):INDEX($FK$325:$ID$396,HZ$169,SwaptionMonthsToGo+SwaptionShift))))))</f>
        <v/>
      </c>
      <c r="IA180" s="150" t="str">
        <f aca="false">IF(OR(IA$169&lt;SwaptionFirstMonthPosition+1,$FJ180&lt;SwaptionFirstMonthPosition+1,IA$169&gt;SwaptionFirstMonthPosition+SwaptionNumOfMonths+1,$FJ180&gt;SwaptionFirstMonthPosition+SwaptionNumOfMonths+1),"",IF($FJ180=IA$169,1,IF($FJ180&lt;IA$169,INDEX($FK$170:$ID$241,IA$169,$FJ180),SUMPRODUCT(INDEX($FK$325:$ID$396,IA$169,1+SwaptionShift):INDEX($FK$325:$ID$396,IA$169,SwaptionMonthsToGo+SwaptionShift),INDEX($FK$245:$ID$316,$FJ180-IA$169,73-IA$169+SwaptionShift):INDEX($FK$245:$ID$316,$FJ180-IA$169,72-IA$169+SwaptionMonthsToGo+SwaptionShift))/SQRT(SUM(INDEX($FK335:$ID335,1+SwaptionShift):INDEX($FK335:$ID335,SwaptionMonthsToGo+SwaptionShift))*SUM(INDEX($FK$325:$ID$396,IA$169,1+SwaptionShift):INDEX($FK$325:$ID$396,IA$169,SwaptionMonthsToGo+SwaptionShift))))))</f>
        <v/>
      </c>
      <c r="IB180" s="150" t="str">
        <f aca="false">IF(OR(IB$169&lt;SwaptionFirstMonthPosition+1,$FJ180&lt;SwaptionFirstMonthPosition+1,IB$169&gt;SwaptionFirstMonthPosition+SwaptionNumOfMonths+1,$FJ180&gt;SwaptionFirstMonthPosition+SwaptionNumOfMonths+1),"",IF($FJ180=IB$169,1,IF($FJ180&lt;IB$169,INDEX($FK$170:$ID$241,IB$169,$FJ180),SUMPRODUCT(INDEX($FK$325:$ID$396,IB$169,1+SwaptionShift):INDEX($FK$325:$ID$396,IB$169,SwaptionMonthsToGo+SwaptionShift),INDEX($FK$245:$ID$316,$FJ180-IB$169,73-IB$169+SwaptionShift):INDEX($FK$245:$ID$316,$FJ180-IB$169,72-IB$169+SwaptionMonthsToGo+SwaptionShift))/SQRT(SUM(INDEX($FK335:$ID335,1+SwaptionShift):INDEX($FK335:$ID335,SwaptionMonthsToGo+SwaptionShift))*SUM(INDEX($FK$325:$ID$396,IB$169,1+SwaptionShift):INDEX($FK$325:$ID$396,IB$169,SwaptionMonthsToGo+SwaptionShift))))))</f>
        <v/>
      </c>
      <c r="IC180" s="150" t="str">
        <f aca="false">IF(OR(IC$169&lt;SwaptionFirstMonthPosition+1,$FJ180&lt;SwaptionFirstMonthPosition+1,IC$169&gt;SwaptionFirstMonthPosition+SwaptionNumOfMonths+1,$FJ180&gt;SwaptionFirstMonthPosition+SwaptionNumOfMonths+1),"",IF($FJ180=IC$169,1,IF($FJ180&lt;IC$169,INDEX($FK$170:$ID$241,IC$169,$FJ180),SUMPRODUCT(INDEX($FK$325:$ID$396,IC$169,1+SwaptionShift):INDEX($FK$325:$ID$396,IC$169,SwaptionMonthsToGo+SwaptionShift),INDEX($FK$245:$ID$316,$FJ180-IC$169,73-IC$169+SwaptionShift):INDEX($FK$245:$ID$316,$FJ180-IC$169,72-IC$169+SwaptionMonthsToGo+SwaptionShift))/SQRT(SUM(INDEX($FK335:$ID335,1+SwaptionShift):INDEX($FK335:$ID335,SwaptionMonthsToGo+SwaptionShift))*SUM(INDEX($FK$325:$ID$396,IC$169,1+SwaptionShift):INDEX($FK$325:$ID$396,IC$169,SwaptionMonthsToGo+SwaptionShift))))))</f>
        <v/>
      </c>
      <c r="ID180" s="572" t="str">
        <f aca="false">IF(OR(ID$169&lt;SwaptionFirstMonthPosition+1,$FJ180&lt;SwaptionFirstMonthPosition+1,ID$169&gt;SwaptionFirstMonthPosition+SwaptionNumOfMonths+1,$FJ180&gt;SwaptionFirstMonthPosition+SwaptionNumOfMonths+1),"",IF($FJ180=ID$169,1,IF($FJ180&lt;ID$169,INDEX($FK$170:$ID$241,ID$169,$FJ180),SUMPRODUCT(INDEX($FK$325:$ID$396,ID$169,1+SwaptionShift):INDEX($FK$325:$ID$396,ID$169,SwaptionMonthsToGo+SwaptionShift),INDEX($FK$245:$ID$316,$FJ180-ID$169,73-ID$169+SwaptionShift):INDEX($FK$245:$ID$316,$FJ180-ID$169,72-ID$169+SwaptionMonthsToGo+SwaptionShift))/SQRT(SUM(INDEX($FK335:$ID335,1+SwaptionShift):INDEX($FK335:$ID335,SwaptionMonthsToGo+SwaptionShift))*SUM(INDEX($FK$325:$ID$396,ID$169,1+SwaptionShift):INDEX($FK$325:$ID$396,ID$169,SwaptionMonthsToGo+SwaptionShift))))))</f>
        <v/>
      </c>
      <c r="IE180" s="129"/>
    </row>
    <row r="181" customFormat="false" ht="12.75" hidden="false" customHeight="false" outlineLevel="0" collapsed="false">
      <c r="H181" s="219" t="n">
        <f aca="false">VLOOKUP(I181,$EJ$20:$EL$54,3)</f>
        <v>0</v>
      </c>
      <c r="I181" s="511" t="n">
        <f aca="false">EOMONTH(I180,0)+1</f>
        <v>41671</v>
      </c>
      <c r="J181" s="512"/>
      <c r="K181" s="513" t="s">
        <v>280</v>
      </c>
      <c r="L181" s="514" t="n">
        <f aca="false">IF(ISNUMBER(K181),J181+K181/100,IF(K181="extra",L180+VLOOKUP(BF181,PriceSpreadTable,2)/12,IF(K181="inter",interpolateprices($K$19:$L$200,ROW(K181)-ROW(FirstPricingMonth)+1),interpolatechanges($J$19:$K$200,ROW(K181)-ROW(FirstPricingMonth)+1))))</f>
        <v>3.18750000000001</v>
      </c>
      <c r="M181" s="515"/>
      <c r="N181" s="516" t="n">
        <v>0</v>
      </c>
      <c r="O181" s="515" t="n">
        <f aca="false">M181+N181</f>
        <v>0</v>
      </c>
      <c r="P181" s="512"/>
      <c r="Q181" s="513" t="s">
        <v>280</v>
      </c>
      <c r="R181" s="512" t="e">
        <f aca="false">IF(ISNUMBER(Q181),P181+Q181/100,IF(Q181="extra",(Z179*AL179-R180*AM179)/AN179,IF(Q181="inter",interpolateprices($Q$19:$R$260,ROW(Q181)-ROW(FirstPricingMonth)+1),interpolatechanges($P$19:$Q$260,ROW(Q181)-ROW(FirstPricingMonth)+1))))</f>
        <v>#VALUE!</v>
      </c>
      <c r="S181" s="597" t="n">
        <f aca="false">S$19+(S180-S$19)*S$18</f>
        <v>0.36</v>
      </c>
      <c r="T181" s="575" t="n">
        <f aca="false">SQRT((1-(1-T180^2/U180)*T$18)*U181)</f>
        <v>0.999999999998749</v>
      </c>
      <c r="U181" s="576" t="n">
        <f aca="false">1-(1-U180)*U$18</f>
        <v>1</v>
      </c>
      <c r="V181" s="521" t="n">
        <v>0</v>
      </c>
      <c r="W181" s="577" t="n">
        <f aca="false">(J182*AJ181+J183*AK181)/AI181</f>
        <v>0</v>
      </c>
      <c r="X181" s="578" t="n">
        <f aca="false">(L182*AJ181+L183*AK181)/AI181</f>
        <v>3.23625000000001</v>
      </c>
      <c r="Y181" s="579" t="n">
        <f aca="false">IF(Q183="extra",W181-AA181,(P182*AM181+P183*AN181)/AL181)</f>
        <v>-1.1685</v>
      </c>
      <c r="Z181" s="579" t="n">
        <f aca="false">IF(Q183="extra",X181-AB181,(R182*AM181+R183*AN181)/AL181)</f>
        <v>2.06775000000001</v>
      </c>
      <c r="AA181" s="523" t="n">
        <f aca="false">IF(Q183="extra",INDEX(BrentSeasonalityTable,INT((BG181-1)/3)+1)*VLOOKUP(MAX(BF181,$AB$4),PriceSpreadTable,3),W181-Y181)</f>
        <v>1.1685</v>
      </c>
      <c r="AB181" s="524" t="n">
        <f aca="false">IF(Q183="extra",INDEX(BrentSeasonalityTable,INT((BG181-1)/3)+1)*VLOOKUP(MAX(BF181,$AB$4),PriceSpreadTable,3),X181-Z181)</f>
        <v>1.1685</v>
      </c>
      <c r="AC181" s="646" t="n">
        <v>41659</v>
      </c>
      <c r="AD181" s="646" t="n">
        <v>41655</v>
      </c>
      <c r="AE181" s="646" t="n">
        <v>41654</v>
      </c>
      <c r="AF181" s="646" t="n">
        <v>41650</v>
      </c>
      <c r="AG181" s="438" t="s">
        <v>278</v>
      </c>
      <c r="AH181" s="439" t="s">
        <v>278</v>
      </c>
      <c r="AI181" s="528" t="n">
        <v>20</v>
      </c>
      <c r="AJ181" s="529" t="n">
        <v>14</v>
      </c>
      <c r="AK181" s="529" t="n">
        <v>6</v>
      </c>
      <c r="AL181" s="530" t="n">
        <v>20</v>
      </c>
      <c r="AM181" s="529" t="n">
        <v>10</v>
      </c>
      <c r="AN181" s="531" t="n">
        <v>10</v>
      </c>
      <c r="AO181" s="532"/>
      <c r="AP181" s="465" t="n">
        <f aca="false">(1+AO181/2)^(-2*BL181)</f>
        <v>1</v>
      </c>
      <c r="AQ181" s="532"/>
      <c r="AR181" s="465" t="n">
        <f aca="false">(1+AQ181/2)^(-2*BH181/365.25)</f>
        <v>1</v>
      </c>
      <c r="AS181" s="580" t="n">
        <f aca="false">(O182*AJ181+O183*AK181)/AI181</f>
        <v>0</v>
      </c>
      <c r="AT181" s="468" t="n">
        <f aca="false">O181*VLOOKUP(BF181,BrentVolTable,2)+VLOOKUP(BF181,BrentVolTable,3)</f>
        <v>0</v>
      </c>
      <c r="AU181" s="468" t="n">
        <f aca="false">(AT182*AM181+AT183*AN181)/AL181</f>
        <v>0</v>
      </c>
      <c r="AV181" s="595" t="n">
        <f aca="false">SQRT(MAX(0.000000000001,(O181^2*BH181-S181^2*(BH181-BH180))/BH180))</f>
        <v>0.030563186137837</v>
      </c>
      <c r="AW181" s="451" t="n">
        <f aca="false">IF($I181-DateToday+15&gt;=$T$8,"",IF($I181-DateToday+15&lt;$T$5,1,MATCH($I181-DateToday+15,$T$5:$T$8)))</f>
        <v>1</v>
      </c>
      <c r="AX181" s="468" t="n">
        <f aca="false">IF($AW181="",AX180^2/AX179,INDEX(U$5:U$8,$AW181)^((INDEX($T$5:$T$8,$AW181+1)-($I181-DateToday+15))/(INDEX($T$5:$T$8,$AW181+1)-INDEX($T$5:$T$8,$AW181)))/INDEX(U$5:U$8,$AW181+1)^((INDEX($T$5:$T$8,$AW181)-($I181-DateToday+15))/(INDEX($T$5:$T$8,$AW181+1)-INDEX($T$5:$T$8,$AW181))))</f>
        <v>0.40141465789086</v>
      </c>
      <c r="AY181" s="468" t="n">
        <f aca="false">IF($AW181="",AY180^2/AY179,INDEX(V$5:V$8,$AW181)^((INDEX($T$5:$T$8,$AW181+1)-($I181-DateToday+15))/(INDEX($T$5:$T$8,$AW181+1)-INDEX($T$5:$T$8,$AW181)))/INDEX(V$5:V$8,$AW181+1)^((INDEX($T$5:$T$8,$AW181)-($I181-DateToday+15))/(INDEX($T$5:$T$8,$AW181+1)-INDEX($T$5:$T$8,$AW181))))</f>
        <v>5.90402326168874</v>
      </c>
      <c r="AZ181" s="468" t="n">
        <f aca="false">IF($AW181="",AZ180^2/AZ179,INDEX(W$5:W$8,$AW181)^((INDEX($T$5:$T$8,$AW181+1)-($I181-DateToday+15))/(INDEX($T$5:$T$8,$AW181+1)-INDEX($T$5:$T$8,$AW181)))/INDEX(W$5:W$8,$AW181+1)^((INDEX($T$5:$T$8,$AW181)-($I181-DateToday+15))/(INDEX($T$5:$T$8,$AW181+1)-INDEX($T$5:$T$8,$AW181))))</f>
        <v>1235.69821833788</v>
      </c>
      <c r="BA181" s="468" t="n">
        <f aca="false">IF($AW181="",BA180^2/BA179,INDEX(X$5:X$8,$AW181)^((INDEX($T$5:$T$8,$AW181+1)-($I181-DateToday+15))/(INDEX($T$5:$T$8,$AW181+1)-INDEX($T$5:$T$8,$AW181)))/INDEX(X$5:X$8,$AW181+1)^((INDEX($T$5:$T$8,$AW181)-($I181-DateToday+15))/(INDEX($T$5:$T$8,$AW181+1)-INDEX($T$5:$T$8,$AW181))))</f>
        <v>5166.95184969213</v>
      </c>
      <c r="BB181" s="468" t="n">
        <f aca="false">IF($AW181="",BB180^2/BB179,INDEX(Y$5:Y$8,$AW181)^((INDEX($T$5:$T$8,$AW181+1)-($I181-DateToday+15))/(INDEX($T$5:$T$8,$AW181+1)-INDEX($T$5:$T$8,$AW181)))/INDEX(Y$5:Y$8,$AW181+1)^((INDEX($T$5:$T$8,$AW181)-($I181-DateToday+15))/(INDEX($T$5:$T$8,$AW181+1)-INDEX($T$5:$T$8,$AW181))))</f>
        <v>29010.2294398218</v>
      </c>
      <c r="BC181" s="468" t="n">
        <f aca="false">IF($AW181="",BC180^2/BC179,INDEX(Z$5:Z$8,$AW181)^((INDEX($T$5:$T$8,$AW181+1)-($I181-DateToday+15))/(INDEX($T$5:$T$8,$AW181+1)-INDEX($T$5:$T$8,$AW181)))/INDEX(Z$5:Z$8,$AW181+1)^((INDEX($T$5:$T$8,$AW181)-($I181-DateToday+15))/(INDEX($T$5:$T$8,$AW181+1)-INDEX($T$5:$T$8,$AW181))))</f>
        <v>83170.5983114729</v>
      </c>
      <c r="BD181" s="535" t="n">
        <f aca="false">IF(OR(DateStart&gt;=I182,DateEnd&lt;I181),0,IF(VolumeOverrideFlag,V181,Volume))</f>
        <v>0</v>
      </c>
      <c r="BE181" s="536" t="n">
        <f aca="false">IF(OR(DateStart2&gt;=I182,DateEnd2&lt;I181),0,IF(VolumeOverrideFlag,V181,VolumeSwaption))</f>
        <v>0</v>
      </c>
      <c r="BF181" s="537" t="n">
        <f aca="false">YEAR(I181)</f>
        <v>2014</v>
      </c>
      <c r="BG181" s="538" t="n">
        <f aca="false">MONTH(I181)</f>
        <v>2</v>
      </c>
      <c r="BH181" s="539" t="n">
        <f aca="false">AD181-DateToday+1</f>
        <v>-4270</v>
      </c>
      <c r="BI181" s="540" t="n">
        <f aca="false">(I181-DateToday+1)/365.25</f>
        <v>-11.64681724846</v>
      </c>
      <c r="BJ181" s="541" t="n">
        <f aca="false">BI181+(BL181-BI181)*CHOOSE(Underlying,AJ181/AI181,AM181/AL181)</f>
        <v>-11.5950718685832</v>
      </c>
      <c r="BK181" s="541" t="n">
        <f aca="false">BJ181+1/365.25</f>
        <v>-11.592334017796</v>
      </c>
      <c r="BL181" s="541" t="n">
        <f aca="false">(I182-DateToday)/365.25</f>
        <v>-11.5728952772074</v>
      </c>
      <c r="BM181" s="542" t="e">
        <f aca="false">MAX(BI181-(BJ181-BI181)*(S182^2/O182^2-1),0)</f>
        <v>#DIV/0!</v>
      </c>
      <c r="BN181" s="541" t="e">
        <f aca="false">MAX(BL181+(BL181-BK181)*(S183^2/O183^2-1),0)</f>
        <v>#DIV/0!</v>
      </c>
      <c r="BO181" s="530" t="n">
        <f aca="false">CHOOSE(Underlying,AI181,AL181)</f>
        <v>20</v>
      </c>
      <c r="BP181" s="529" t="n">
        <f aca="false">CHOOSE(Underlying,AJ181,AM181)</f>
        <v>14</v>
      </c>
      <c r="BQ181" s="529" t="n">
        <f aca="false">CHOOSE(Underlying,AK181,AN181)</f>
        <v>6</v>
      </c>
      <c r="BR181" s="463" t="str">
        <f aca="false">IF(BD181,IF(Underlying=1,X181,Z181)+UnderlyingPriceAsian-SwapPriceCurve,"")</f>
        <v/>
      </c>
      <c r="BS181" s="463" t="str">
        <f aca="false">IF(BD181,Strike1/BR181-1,"")</f>
        <v/>
      </c>
      <c r="BT181" s="464" t="str">
        <f aca="false">IF(BD181,Strike2/BR181-1,"")</f>
        <v/>
      </c>
      <c r="BU181" s="465" t="str">
        <f aca="false">IF(BD181,IF(Underlying=1,L182,R182)+UnderlyingPriceAsian-SwapPriceCurve,"")</f>
        <v/>
      </c>
      <c r="BV181" s="465" t="str">
        <f aca="false">IF(BD181,IF(Underlying=1,L183,R183)+UnderlyingPriceAsian-SwapPriceCurve,"")</f>
        <v/>
      </c>
      <c r="BW181" s="466" t="str">
        <f aca="false">IF(BD181,IF(Underlying=1,O182,AT182),"")</f>
        <v/>
      </c>
      <c r="BX181" s="467" t="str">
        <f aca="false">IF(BD181,IF(Underlying=1,O183,AT183),"")</f>
        <v/>
      </c>
      <c r="BY181" s="466" t="str">
        <f aca="false">IF(BD181,IF(BS181&gt;0,IF(BS181&gt;0.2,BC181-BB181,IF(BS181&gt;0.1,BB181-BA181,BA181)),IF(BS181&lt;-0.2,AX181-AY181,IF(BS181&lt;-0.1,AY181-AZ181,AZ181))),"")</f>
        <v/>
      </c>
      <c r="BZ181" s="467" t="str">
        <f aca="false">IF(BD181,IF(BT181&gt;0,IF(BT181&gt;0.2,BC181-BB181,IF(BT181&gt;0.1,BB181-BA181,BA181)),IF(BT181&lt;-0.2,AX181-AY181,IF(BT181&lt;-0.1,AY181-AZ181,AZ181))),"")</f>
        <v/>
      </c>
      <c r="CA181" s="468" t="str">
        <f aca="false">IF($BD181,$BW181+IF(VolSkewFlag=1,IF(BS181&gt;0,$BA181*MIN(BS181/10%,1)+($BB181-$BA181)*MAX(0,MIN(BS181/10%-1,1))+($BC181-$BB181)*MAX(0,BS181/10%-2),$AZ181*MIN(-BS181/10%,1)+($AY181-$AZ181)*MAX(0,MIN(-BS181/10%-1,1))+($AX181-$AY181)*MAX(0,-BS181/10%-2)),0),"")</f>
        <v/>
      </c>
      <c r="CB181" s="468" t="str">
        <f aca="false">IF($BD181,$BX181+IF(VolSkewFlag=1,IF(BS181&gt;0,$BA181*MIN(BS181/10%,1)+($BB181-$BA181)*MAX(0,MIN(BS181/10%-1,1))+($BC181-$BB181)*MAX(0,BS181/10%-2),$AZ181*MIN(-BS181/10%,1)+($AY181-$AZ181)*MAX(0,MIN(-BS181/10%-1,1))+($AX181-$AY181)*MAX(0,-BS181/10%-2)),0),"")</f>
        <v/>
      </c>
      <c r="CC181" s="468" t="str">
        <f aca="false">IF($BD181,$BW181+IF(VolSkewFlag=1,IF(BT181&gt;0,$BA181*MIN(BT181/10%,1)+($BB181-$BA181)*MAX(0,MIN(BT181/10%-1,1))+($BC181-$BB181)*MAX(0,BT181/10%-2),$AZ181*MIN(-BT181/10%,1)+($AY181-$AZ181)*MAX(0,MIN(-BT181/10%-1,1))+($AX181-$AY181)*MAX(0,-BT181/10%-2)),0),"")</f>
        <v/>
      </c>
      <c r="CD181" s="468" t="str">
        <f aca="false">IF($BD181,$BX181+IF(VolSkewFlag=1,IF(BT181&gt;0,$BA181*MIN(BT181/10%,1)+($BB181-$BA181)*MAX(0,MIN(BT181/10%-1,1))+($BC181-$BB181)*MAX(0,BT181/10%-2),$AZ181*MIN(-BT181/10%,1)+($AY181-$AZ181)*MAX(0,MIN(-BT181/10%-1,1))+($AX181-$AY181)*MAX(0,-BT181/10%-2)),0),"")</f>
        <v/>
      </c>
      <c r="CE181" s="469" t="n">
        <v>1</v>
      </c>
      <c r="CF181" s="470" t="n">
        <f aca="false">IF(BD181,xCrudeAPO(BU181,BV181,CA181,CB181,S182,S183,BI181,BL181,BP181,BQ181,0,Strike1,AO181,CE181,0,BL181,IF(OptControl=4,0,1),0,1),0)</f>
        <v>0</v>
      </c>
      <c r="CG181" s="470" t="n">
        <f aca="false">IF(BD181,xCrudeAPO(BU181,BV181,CA181,CB181,S182,S183,BI181,BL181,BP181,BQ181,0,Strike1,AO181,CE181,0,BL181,IF(OptControl=4,0,1),1,1)+xCrudeAPO(BU181,BV181,CA181,CB181,S182,S183,BI181,BL181,BP181,BQ181,0,Strike1,AO181,CE181,0,BL181,IF(OptControl=4,0,1),1,2)+IF(OR(VolSkewFlag=2,ABS(BS181)&lt;0.0001),0,IF(BS181&gt;0,-1,1)*CH181*Strike1/BR181^2*BY181/10%),0)</f>
        <v>0</v>
      </c>
      <c r="CH181" s="470" t="n">
        <f aca="false">IF(BD181,(xCrudeAPO(BU181,BV181,CA181,CB181,S182,S183,BI181,BL181,BP181,BQ181,0,Strike1,AO181,CE181,0,BL181,IF(OptControl=4,0,1),3,1)+xCrudeAPO(BU181,BV181,CA181,CB181,S182,S183,BI181,BL181,BP181,BQ181,0,Strike1,AO181,CE181,0,BL181,IF(OptControl=4,0,1),3,2))/100,0)</f>
        <v>0</v>
      </c>
      <c r="CI181" s="470" t="n">
        <f aca="false">IF(BD181,xCrudeAPO(BU181,BV181,CA181,CB181,S182,S183,BI181-DaysForThetaCalculation/365.25,BL181-DaysForThetaCalculation/365.25,BP181,BQ181,0,Strike1,AO181,CE181,0,BL181,IF(OptControl=4,0,1),0,1)-xCrudeAPO(BU181,BV181,CA181,CB181,S182,S183,BI181,BL181,BP181,BQ181,0,Strike1,AO181,CE181,0,BL181,IF(OptControl=4,0,1),0,1),0)</f>
        <v>0</v>
      </c>
      <c r="CJ181" s="471" t="n">
        <f aca="false">IF(BD181,xCrudeAPO(BU181,BV181,CC181,CD181,S182,S183,BI181,BL181,BP181,BQ181,0,Strike2,AO181,CE181,0,BL181,IF(OptControl=3,1,0),0,1),0)</f>
        <v>0</v>
      </c>
      <c r="CK181" s="470" t="n">
        <f aca="false">IF(BD181,xCrudeAPO(BU181,BV181,CC181,CD181,S182,S183,BI181,BL181,BP181,BQ181,0,Strike2,AO181,CE181,0,BL181,IF(OptControl=3,1,0),1,1)+xCrudeAPO(BU181,BV181,CC181,CD181,S182,S183,BI181,BL181,BP181,BQ181,0,Strike2,AO181,CE181,0,BL181,IF(OptControl=3,1,0),1,2)+IF(OR(VolSkewFlag=2,ABS(BT181)&lt;0.0001),0,IF(BT181&gt;0,-1,1)*CL181*Strike2/BR181^2*BZ181/10%),0)</f>
        <v>0</v>
      </c>
      <c r="CL181" s="470" t="n">
        <f aca="false">IF(BD181,(xCrudeAPO(BU181,BV181,CC181,CD181,S182,S183,BI181,BL181,BP181,BQ181,0,Strike2,AO181,CE181,0,BL181,IF(OptControl=3,1,0),3,1)+xCrudeAPO(BU181,BV181,CC181,CD181,S182,S183,BI181,BL181,BP181,BQ181,0,Strike2,AO181,CE181,0,BL181,IF(OptControl=3,1,0),3,2))/100,0)</f>
        <v>0</v>
      </c>
      <c r="CM181" s="472" t="n">
        <f aca="false">IF(BD181,xCrudeAPO(BU181,BV181,CC181,CD181,S182,S183,BI181-DaysForThetaCalculation/365.25,BL181-DaysForThetaCalculation/365.25,BP181,BQ181,0,Strike2,AO181,CE181,0,BL181,IF(OptControl=3,1,0),0,1)-xCrudeAPO(BU181,BV181,CC181,CD181,S182,S183,BI181,BL181,BP181,BQ181,0,Strike2,AO181,CE181,0,BL181,IF(OptControl=3,1,0),0,1),0)</f>
        <v>0</v>
      </c>
      <c r="CN181" s="3"/>
      <c r="CO181" s="543" t="str">
        <f aca="false">IF(BD181,CHOOSE(Underlying,AD181,AF181)-DateToday+1,"")</f>
        <v/>
      </c>
      <c r="CP181" s="582" t="str">
        <f aca="false">IF(BD181,CHOOSE(Underlying,L181,R181),"")</f>
        <v/>
      </c>
      <c r="CQ181" s="544" t="str">
        <f aca="false">IF(BD181,Strike1/CP181-1,"")</f>
        <v/>
      </c>
      <c r="CR181" s="544" t="str">
        <f aca="false">IF(BD181,Strike2/CP181-1,"")</f>
        <v/>
      </c>
      <c r="CS181" s="544" t="str">
        <f aca="false">IF(BD181,IF(CQ181&gt;0,IF(CQ181&gt;0.2,BC180-BB180,IF(CQ181&gt;0.1,BB180-BA180,BA180)),IF(CQ181&lt;-0.2,AX180-AY180,IF(CQ181&lt;-0.1,AY180-AZ180,AZ180))),"")</f>
        <v/>
      </c>
      <c r="CT181" s="544" t="str">
        <f aca="false">IF(BD181,IF(CR181&gt;0,IF(CR181&gt;0.2,BC180-BB180,IF(CR181&gt;0.1,BB180-BA180,BA180)),IF(CR181&lt;-0.2,AX180-AY180,IF(CR181&lt;-0.1,AY180-AZ180,AZ180))),"")</f>
        <v/>
      </c>
      <c r="CU181" s="545" t="str">
        <f aca="false">IF(BD181,CHOOSE(Underlying,O181,AT181),"")</f>
        <v/>
      </c>
      <c r="CV181" s="545" t="str">
        <f aca="false">IF(BD181,CU181+IF(VolSkewFlag=1,IF(CQ181&gt;0,BA180*MIN(CQ181/10%,1)+(BB180-BA180)*MAX(0,MIN(CQ181/10%-1,1))+(BC180-BB180)*MAX(0,CQ181/10%-2),AZ180*MIN(-CQ181/10%,1)+(AY180-AZ180)*MAX(0,MIN(-CQ181/10%-1,1))+(AX180-AY180)*MAX(0,-CQ181/10%-2)),0),"")</f>
        <v/>
      </c>
      <c r="CW181" s="545" t="str">
        <f aca="false">IF(BD181,CU181+IF(VolSkewFlag=1,IF(CR181&gt;0,BA180*MIN(CR181/10%,1)+(BB180-BA180)*MAX(0,MIN(CR181/10%-1,1))+(BC180-BB180)*MAX(0,CR181/10%-2),AZ180*MIN(-CR181/10%,1)+(AY180-AZ180)*MAX(0,MIN(-CR181/10%-1,1))+(AX180-AY180)*MAX(0,-CR181/10%-2)),0),"")</f>
        <v/>
      </c>
      <c r="CX181" s="470" t="n">
        <f aca="false">IF(BD181,EURO(CP181,Strike1,AO181,AO181,CV181,CO181,IF(OptControl=4,0,1),0),0)</f>
        <v>0</v>
      </c>
      <c r="CY181" s="470" t="n">
        <f aca="false">IF(BD181,EURO(CP181,Strike1,AO181,AO181,CV181,CO181,IF(OptControl=4,0,1),1)+IF(OR(VolSkewFlag=2,ABS(CQ181)&lt;0.0001),0,IF(CQ181&gt;0,-1,1)*CZ181*100*Strike1/CP181^2*CS181/10%),0)</f>
        <v>0</v>
      </c>
      <c r="CZ181" s="470" t="n">
        <f aca="false">IF(BD181,EURO(CP181,Strike1,AO181,AO181,CV181,CO181,IF(OptControl=4,0,1),3)/100,0)</f>
        <v>0</v>
      </c>
      <c r="DA181" s="470" t="n">
        <f aca="false">IF(BD181,EURO(CP181,Strike1,AO181,AO181,CV181,CO181,IF(OptControl=4,0,1),0)-EURO(CP181,Strike1,AO181,AO181,CV181,CO181-1,IF(OptControl=4,0,1),0),0)</f>
        <v>0</v>
      </c>
      <c r="DB181" s="470" t="n">
        <f aca="false">IF(BD181,EURO(CP181,Strike2,AO181,AO181,CW181,CO181,IF(OptControl=3,1,0),0),0)</f>
        <v>0</v>
      </c>
      <c r="DC181" s="470" t="n">
        <f aca="false">IF(BD181,EURO(CP181,Strike2,AO181,AO181,CW181,CO181,IF(OptControl=3,1,0),1)+IF(OR(VolSkewFlag=2,ABS(CR181)&lt;0.0001),0,IF(CR181&gt;0,-1,1)*DD181*100*Strike2/CP181^2*CT181/10%),0)</f>
        <v>0</v>
      </c>
      <c r="DD181" s="470" t="n">
        <f aca="false">IF(BD181,EURO(CP181,Strike2,AO181,AO181,CW181,CO181,IF(OptControl=3,1,0),3)/100,0)</f>
        <v>0</v>
      </c>
      <c r="DE181" s="472" t="n">
        <f aca="false">IF(BD181,EURO(CP181,Strike2,AO181,AO181,CW181,CO181,IF(OptControl=3,1,0),0)-EURO(CP181,Strike2,AO181,AO181,CW181,CO181-1,IF(OptControl=3,1,0),0),0)</f>
        <v>0</v>
      </c>
      <c r="DG181" s="481" t="n">
        <f aca="false">EOMONTH(DG180,0)+1</f>
        <v>50587</v>
      </c>
      <c r="DH181" s="478" t="n">
        <v>22.2100000000001</v>
      </c>
      <c r="DI181" s="479" t="n">
        <v>22.2781818181819</v>
      </c>
      <c r="DJ181" s="480" t="n">
        <f aca="false">DG181</f>
        <v>50587</v>
      </c>
      <c r="DK181" s="478" t="n">
        <v>21.0031051751184</v>
      </c>
      <c r="DL181" s="479" t="n">
        <v>21.0112818181819</v>
      </c>
      <c r="DM181" s="481" t="n">
        <f aca="false">DG181</f>
        <v>50587</v>
      </c>
      <c r="DN181" s="482" t="n">
        <f aca="false">DK181+BrentPhyBrentSpread</f>
        <v>21.0531051751184</v>
      </c>
      <c r="DO181" s="481" t="n">
        <f aca="false">DG181</f>
        <v>50587</v>
      </c>
      <c r="DP181" s="483" t="n">
        <f aca="false">DL181+DQ181</f>
        <v>21.0112818181819</v>
      </c>
      <c r="DQ181" s="546" t="n">
        <v>0</v>
      </c>
      <c r="DR181" s="480" t="n">
        <f aca="false">DG181</f>
        <v>50587</v>
      </c>
      <c r="DS181" s="485" t="n">
        <v>0.127999999999998</v>
      </c>
      <c r="DT181" s="486" t="n">
        <v>0.127181818181816</v>
      </c>
      <c r="DU181" s="480" t="n">
        <f aca="false">DG181</f>
        <v>50587</v>
      </c>
      <c r="DV181" s="485" t="n">
        <v>0.127999999999998</v>
      </c>
      <c r="DW181" s="486" t="n">
        <v>0.127181818181816</v>
      </c>
      <c r="DX181" s="481" t="n">
        <f aca="false">DG181</f>
        <v>50587</v>
      </c>
      <c r="DY181" s="486" t="n">
        <v>0.35</v>
      </c>
      <c r="DZ181" s="481" t="n">
        <f aca="false">DR181</f>
        <v>50587</v>
      </c>
      <c r="EA181" s="486" t="n">
        <f aca="false">DT181</f>
        <v>0.127181818181816</v>
      </c>
      <c r="EB181" s="195"/>
      <c r="EC181" s="547" t="str">
        <f aca="false">IF(BD181,IF(Underlying=1,AS181,AU181),"")</f>
        <v/>
      </c>
      <c r="ED181" s="548" t="str">
        <f aca="false">IF($BD181,$EC181+IF(VolSkewFlag=1,IF(BS181&gt;0,$BA181*MIN(BS181/10%,1)+($BB181-$BA181)*MAX(0,MIN(BS181/10%-1,1))+($BC181-$BB181)*MAX(0,BS181/10%-2),$AZ181*MIN(-BS181/10%,1)+($AY181-$AZ181)*MAX(0,MIN(-BS181/10%-1,1))+($AX181-$AY181)*MAX(0,-BS181/10%-2)),0),"")</f>
        <v/>
      </c>
      <c r="EE181" s="549" t="str">
        <f aca="false">IF($BD181,$EC181+IF(VolSkewFlag=1,IF(BT181&gt;0,$BA181*MIN(BT181/10%,1)+($BB181-$BA181)*MAX(0,MIN(BT181/10%-1,1))+($BC181-$BB181)*MAX(0,BT181/10%-2),$AZ181*MIN(-BT181/10%,1)+($AY181-$AZ181)*MAX(0,MIN(-BT181/10%-1,1))+($AX181-$AY181)*MAX(0,-BT181/10%-2)),0),"")</f>
        <v/>
      </c>
      <c r="EF181" s="550" t="n">
        <f aca="false">IF(BD181,xASN(BR181,Strike1,AO181,ED181,0,BO181,0,BI181,BL181,IF(OptControl=4,0,1),0),0)</f>
        <v>0</v>
      </c>
      <c r="EG181" s="551" t="n">
        <f aca="false">IF(BD181,xASN(BR181,Strike2,AO181,EE181,0,BO181,0,BI181,BL181,IF(OptControl=3,1,0),0),0)</f>
        <v>0</v>
      </c>
      <c r="EL181" s="1"/>
      <c r="EM181" s="195"/>
      <c r="EN181" s="240"/>
      <c r="EO181" s="240"/>
      <c r="EP181" s="195"/>
      <c r="EQ181" s="407" t="s">
        <v>409</v>
      </c>
      <c r="ES181" s="130"/>
      <c r="ET181" s="19"/>
      <c r="EU181" s="672"/>
      <c r="EV181" s="478"/>
      <c r="EW181" s="131"/>
      <c r="EX181" s="131"/>
      <c r="EY181" s="129"/>
      <c r="EZ181" s="129"/>
      <c r="FA181" s="129"/>
      <c r="FB181" s="129"/>
      <c r="FC181" s="129"/>
      <c r="FD181" s="129"/>
      <c r="FE181" s="129"/>
      <c r="FF181" s="129"/>
      <c r="FG181" s="129"/>
      <c r="FH181" s="129"/>
      <c r="FI181" s="129"/>
      <c r="FJ181" s="571" t="n">
        <v>12</v>
      </c>
      <c r="FK181" s="150" t="str">
        <f aca="false">IF(OR(FK$169&lt;SwaptionFirstMonthPosition+1,$FJ181&lt;SwaptionFirstMonthPosition+1,FK$169&gt;SwaptionFirstMonthPosition+SwaptionNumOfMonths+1,$FJ181&gt;SwaptionFirstMonthPosition+SwaptionNumOfMonths+1),"",IF($FJ181=FK$169,1,IF($FJ181&lt;FK$169,INDEX($FK$170:$ID$241,FK$169,$FJ181),SUMPRODUCT(INDEX($FK$325:$ID$396,FK$169,1+SwaptionShift):INDEX($FK$325:$ID$396,FK$169,SwaptionMonthsToGo+SwaptionShift),INDEX($FK$245:$ID$316,$FJ181-FK$169,73-FK$169+SwaptionShift):INDEX($FK$245:$ID$316,$FJ181-FK$169,72-FK$169+SwaptionMonthsToGo+SwaptionShift))/SQRT(SUM(INDEX($FK336:$ID336,1+SwaptionShift):INDEX($FK336:$ID336,SwaptionMonthsToGo+SwaptionShift))*SUM(INDEX($FK$325:$ID$396,FK$169,1+SwaptionShift):INDEX($FK$325:$ID$396,FK$169,SwaptionMonthsToGo+SwaptionShift))))))</f>
        <v/>
      </c>
      <c r="FL181" s="150" t="str">
        <f aca="false">IF(OR(FL$169&lt;SwaptionFirstMonthPosition+1,$FJ181&lt;SwaptionFirstMonthPosition+1,FL$169&gt;SwaptionFirstMonthPosition+SwaptionNumOfMonths+1,$FJ181&gt;SwaptionFirstMonthPosition+SwaptionNumOfMonths+1),"",IF($FJ181=FL$169,1,IF($FJ181&lt;FL$169,INDEX($FK$170:$ID$241,FL$169,$FJ181),SUMPRODUCT(INDEX($FK$325:$ID$396,FL$169,1+SwaptionShift):INDEX($FK$325:$ID$396,FL$169,SwaptionMonthsToGo+SwaptionShift),INDEX($FK$245:$ID$316,$FJ181-FL$169,73-FL$169+SwaptionShift):INDEX($FK$245:$ID$316,$FJ181-FL$169,72-FL$169+SwaptionMonthsToGo+SwaptionShift))/SQRT(SUM(INDEX($FK336:$ID336,1+SwaptionShift):INDEX($FK336:$ID336,SwaptionMonthsToGo+SwaptionShift))*SUM(INDEX($FK$325:$ID$396,FL$169,1+SwaptionShift):INDEX($FK$325:$ID$396,FL$169,SwaptionMonthsToGo+SwaptionShift))))))</f>
        <v/>
      </c>
      <c r="FM181" s="150" t="str">
        <f aca="false">IF(OR(FM$169&lt;SwaptionFirstMonthPosition+1,$FJ181&lt;SwaptionFirstMonthPosition+1,FM$169&gt;SwaptionFirstMonthPosition+SwaptionNumOfMonths+1,$FJ181&gt;SwaptionFirstMonthPosition+SwaptionNumOfMonths+1),"",IF($FJ181=FM$169,1,IF($FJ181&lt;FM$169,INDEX($FK$170:$ID$241,FM$169,$FJ181),SUMPRODUCT(INDEX($FK$325:$ID$396,FM$169,1+SwaptionShift):INDEX($FK$325:$ID$396,FM$169,SwaptionMonthsToGo+SwaptionShift),INDEX($FK$245:$ID$316,$FJ181-FM$169,73-FM$169+SwaptionShift):INDEX($FK$245:$ID$316,$FJ181-FM$169,72-FM$169+SwaptionMonthsToGo+SwaptionShift))/SQRT(SUM(INDEX($FK336:$ID336,1+SwaptionShift):INDEX($FK336:$ID336,SwaptionMonthsToGo+SwaptionShift))*SUM(INDEX($FK$325:$ID$396,FM$169,1+SwaptionShift):INDEX($FK$325:$ID$396,FM$169,SwaptionMonthsToGo+SwaptionShift))))))</f>
        <v/>
      </c>
      <c r="FN181" s="150" t="str">
        <f aca="false">IF(OR(FN$169&lt;SwaptionFirstMonthPosition+1,$FJ181&lt;SwaptionFirstMonthPosition+1,FN$169&gt;SwaptionFirstMonthPosition+SwaptionNumOfMonths+1,$FJ181&gt;SwaptionFirstMonthPosition+SwaptionNumOfMonths+1),"",IF($FJ181=FN$169,1,IF($FJ181&lt;FN$169,INDEX($FK$170:$ID$241,FN$169,$FJ181),SUMPRODUCT(INDEX($FK$325:$ID$396,FN$169,1+SwaptionShift):INDEX($FK$325:$ID$396,FN$169,SwaptionMonthsToGo+SwaptionShift),INDEX($FK$245:$ID$316,$FJ181-FN$169,73-FN$169+SwaptionShift):INDEX($FK$245:$ID$316,$FJ181-FN$169,72-FN$169+SwaptionMonthsToGo+SwaptionShift))/SQRT(SUM(INDEX($FK336:$ID336,1+SwaptionShift):INDEX($FK336:$ID336,SwaptionMonthsToGo+SwaptionShift))*SUM(INDEX($FK$325:$ID$396,FN$169,1+SwaptionShift):INDEX($FK$325:$ID$396,FN$169,SwaptionMonthsToGo+SwaptionShift))))))</f>
        <v/>
      </c>
      <c r="FO181" s="150" t="str">
        <f aca="false">IF(OR(FO$169&lt;SwaptionFirstMonthPosition+1,$FJ181&lt;SwaptionFirstMonthPosition+1,FO$169&gt;SwaptionFirstMonthPosition+SwaptionNumOfMonths+1,$FJ181&gt;SwaptionFirstMonthPosition+SwaptionNumOfMonths+1),"",IF($FJ181=FO$169,1,IF($FJ181&lt;FO$169,INDEX($FK$170:$ID$241,FO$169,$FJ181),SUMPRODUCT(INDEX($FK$325:$ID$396,FO$169,1+SwaptionShift):INDEX($FK$325:$ID$396,FO$169,SwaptionMonthsToGo+SwaptionShift),INDEX($FK$245:$ID$316,$FJ181-FO$169,73-FO$169+SwaptionShift):INDEX($FK$245:$ID$316,$FJ181-FO$169,72-FO$169+SwaptionMonthsToGo+SwaptionShift))/SQRT(SUM(INDEX($FK336:$ID336,1+SwaptionShift):INDEX($FK336:$ID336,SwaptionMonthsToGo+SwaptionShift))*SUM(INDEX($FK$325:$ID$396,FO$169,1+SwaptionShift):INDEX($FK$325:$ID$396,FO$169,SwaptionMonthsToGo+SwaptionShift))))))</f>
        <v/>
      </c>
      <c r="FP181" s="150" t="e">
        <f aca="false">IF(OR(FP$169&lt;SwaptionFirstMonthPosition+1,$FJ181&lt;SwaptionFirstMonthPosition+1,FP$169&gt;SwaptionFirstMonthPosition+SwaptionNumOfMonths+1,$FJ181&gt;SwaptionFirstMonthPosition+SwaptionNumOfMonths+1),"",IF($FJ181=FP$169,1,IF($FJ181&lt;FP$169,INDEX($FK$170:$ID$241,FP$169,$FJ181),SUMPRODUCT(INDEX($FK$325:$ID$396,FP$169,1+SwaptionShift):INDEX($FK$325:$ID$396,FP$169,SwaptionMonthsToGo+SwaptionShift),INDEX($FK$245:$ID$316,$FJ181-FP$169,73-FP$169+SwaptionShift):INDEX($FK$245:$ID$316,$FJ181-FP$169,72-FP$169+SwaptionMonthsToGo+SwaptionShift))/SQRT(SUM(INDEX($FK336:$ID336,1+SwaptionShift):INDEX($FK336:$ID336,SwaptionMonthsToGo+SwaptionShift))*SUM(INDEX($FK$325:$ID$396,FP$169,1+SwaptionShift):INDEX($FK$325:$ID$396,FP$169,SwaptionMonthsToGo+SwaptionShift))))))</f>
        <v>#DIV/0!</v>
      </c>
      <c r="FQ181" s="150" t="e">
        <f aca="false">IF(OR(FQ$169&lt;SwaptionFirstMonthPosition+1,$FJ181&lt;SwaptionFirstMonthPosition+1,FQ$169&gt;SwaptionFirstMonthPosition+SwaptionNumOfMonths+1,$FJ181&gt;SwaptionFirstMonthPosition+SwaptionNumOfMonths+1),"",IF($FJ181=FQ$169,1,IF($FJ181&lt;FQ$169,INDEX($FK$170:$ID$241,FQ$169,$FJ181),SUMPRODUCT(INDEX($FK$325:$ID$396,FQ$169,1+SwaptionShift):INDEX($FK$325:$ID$396,FQ$169,SwaptionMonthsToGo+SwaptionShift),INDEX($FK$245:$ID$316,$FJ181-FQ$169,73-FQ$169+SwaptionShift):INDEX($FK$245:$ID$316,$FJ181-FQ$169,72-FQ$169+SwaptionMonthsToGo+SwaptionShift))/SQRT(SUM(INDEX($FK336:$ID336,1+SwaptionShift):INDEX($FK336:$ID336,SwaptionMonthsToGo+SwaptionShift))*SUM(INDEX($FK$325:$ID$396,FQ$169,1+SwaptionShift):INDEX($FK$325:$ID$396,FQ$169,SwaptionMonthsToGo+SwaptionShift))))))</f>
        <v>#DIV/0!</v>
      </c>
      <c r="FR181" s="150" t="e">
        <f aca="false">IF(OR(FR$169&lt;SwaptionFirstMonthPosition+1,$FJ181&lt;SwaptionFirstMonthPosition+1,FR$169&gt;SwaptionFirstMonthPosition+SwaptionNumOfMonths+1,$FJ181&gt;SwaptionFirstMonthPosition+SwaptionNumOfMonths+1),"",IF($FJ181=FR$169,1,IF($FJ181&lt;FR$169,INDEX($FK$170:$ID$241,FR$169,$FJ181),SUMPRODUCT(INDEX($FK$325:$ID$396,FR$169,1+SwaptionShift):INDEX($FK$325:$ID$396,FR$169,SwaptionMonthsToGo+SwaptionShift),INDEX($FK$245:$ID$316,$FJ181-FR$169,73-FR$169+SwaptionShift):INDEX($FK$245:$ID$316,$FJ181-FR$169,72-FR$169+SwaptionMonthsToGo+SwaptionShift))/SQRT(SUM(INDEX($FK336:$ID336,1+SwaptionShift):INDEX($FK336:$ID336,SwaptionMonthsToGo+SwaptionShift))*SUM(INDEX($FK$325:$ID$396,FR$169,1+SwaptionShift):INDEX($FK$325:$ID$396,FR$169,SwaptionMonthsToGo+SwaptionShift))))))</f>
        <v>#DIV/0!</v>
      </c>
      <c r="FS181" s="150" t="e">
        <f aca="false">IF(OR(FS$169&lt;SwaptionFirstMonthPosition+1,$FJ181&lt;SwaptionFirstMonthPosition+1,FS$169&gt;SwaptionFirstMonthPosition+SwaptionNumOfMonths+1,$FJ181&gt;SwaptionFirstMonthPosition+SwaptionNumOfMonths+1),"",IF($FJ181=FS$169,1,IF($FJ181&lt;FS$169,INDEX($FK$170:$ID$241,FS$169,$FJ181),SUMPRODUCT(INDEX($FK$325:$ID$396,FS$169,1+SwaptionShift):INDEX($FK$325:$ID$396,FS$169,SwaptionMonthsToGo+SwaptionShift),INDEX($FK$245:$ID$316,$FJ181-FS$169,73-FS$169+SwaptionShift):INDEX($FK$245:$ID$316,$FJ181-FS$169,72-FS$169+SwaptionMonthsToGo+SwaptionShift))/SQRT(SUM(INDEX($FK336:$ID336,1+SwaptionShift):INDEX($FK336:$ID336,SwaptionMonthsToGo+SwaptionShift))*SUM(INDEX($FK$325:$ID$396,FS$169,1+SwaptionShift):INDEX($FK$325:$ID$396,FS$169,SwaptionMonthsToGo+SwaptionShift))))))</f>
        <v>#DIV/0!</v>
      </c>
      <c r="FT181" s="150" t="e">
        <f aca="false">IF(OR(FT$169&lt;SwaptionFirstMonthPosition+1,$FJ181&lt;SwaptionFirstMonthPosition+1,FT$169&gt;SwaptionFirstMonthPosition+SwaptionNumOfMonths+1,$FJ181&gt;SwaptionFirstMonthPosition+SwaptionNumOfMonths+1),"",IF($FJ181=FT$169,1,IF($FJ181&lt;FT$169,INDEX($FK$170:$ID$241,FT$169,$FJ181),SUMPRODUCT(INDEX($FK$325:$ID$396,FT$169,1+SwaptionShift):INDEX($FK$325:$ID$396,FT$169,SwaptionMonthsToGo+SwaptionShift),INDEX($FK$245:$ID$316,$FJ181-FT$169,73-FT$169+SwaptionShift):INDEX($FK$245:$ID$316,$FJ181-FT$169,72-FT$169+SwaptionMonthsToGo+SwaptionShift))/SQRT(SUM(INDEX($FK336:$ID336,1+SwaptionShift):INDEX($FK336:$ID336,SwaptionMonthsToGo+SwaptionShift))*SUM(INDEX($FK$325:$ID$396,FT$169,1+SwaptionShift):INDEX($FK$325:$ID$396,FT$169,SwaptionMonthsToGo+SwaptionShift))))))</f>
        <v>#DIV/0!</v>
      </c>
      <c r="FU181" s="150" t="e">
        <f aca="false">IF(OR(FU$169&lt;SwaptionFirstMonthPosition+1,$FJ181&lt;SwaptionFirstMonthPosition+1,FU$169&gt;SwaptionFirstMonthPosition+SwaptionNumOfMonths+1,$FJ181&gt;SwaptionFirstMonthPosition+SwaptionNumOfMonths+1),"",IF($FJ181=FU$169,1,IF($FJ181&lt;FU$169,INDEX($FK$170:$ID$241,FU$169,$FJ181),SUMPRODUCT(INDEX($FK$325:$ID$396,FU$169,1+SwaptionShift):INDEX($FK$325:$ID$396,FU$169,SwaptionMonthsToGo+SwaptionShift),INDEX($FK$245:$ID$316,$FJ181-FU$169,73-FU$169+SwaptionShift):INDEX($FK$245:$ID$316,$FJ181-FU$169,72-FU$169+SwaptionMonthsToGo+SwaptionShift))/SQRT(SUM(INDEX($FK336:$ID336,1+SwaptionShift):INDEX($FK336:$ID336,SwaptionMonthsToGo+SwaptionShift))*SUM(INDEX($FK$325:$ID$396,FU$169,1+SwaptionShift):INDEX($FK$325:$ID$396,FU$169,SwaptionMonthsToGo+SwaptionShift))))))</f>
        <v>#DIV/0!</v>
      </c>
      <c r="FV181" s="150" t="n">
        <f aca="false">IF(OR(FV$169&lt;SwaptionFirstMonthPosition+1,$FJ181&lt;SwaptionFirstMonthPosition+1,FV$169&gt;SwaptionFirstMonthPosition+SwaptionNumOfMonths+1,$FJ181&gt;SwaptionFirstMonthPosition+SwaptionNumOfMonths+1),"",IF($FJ181=FV$169,1,IF($FJ181&lt;FV$169,INDEX($FK$170:$ID$241,FV$169,$FJ181),SUMPRODUCT(INDEX($FK$325:$ID$396,FV$169,1+SwaptionShift):INDEX($FK$325:$ID$396,FV$169,SwaptionMonthsToGo+SwaptionShift),INDEX($FK$245:$ID$316,$FJ181-FV$169,73-FV$169+SwaptionShift):INDEX($FK$245:$ID$316,$FJ181-FV$169,72-FV$169+SwaptionMonthsToGo+SwaptionShift))/SQRT(SUM(INDEX($FK336:$ID336,1+SwaptionShift):INDEX($FK336:$ID336,SwaptionMonthsToGo+SwaptionShift))*SUM(INDEX($FK$325:$ID$396,FV$169,1+SwaptionShift):INDEX($FK$325:$ID$396,FV$169,SwaptionMonthsToGo+SwaptionShift))))))</f>
        <v>1</v>
      </c>
      <c r="FW181" s="150" t="e">
        <f aca="false">IF(OR(FW$169&lt;SwaptionFirstMonthPosition+1,$FJ181&lt;SwaptionFirstMonthPosition+1,FW$169&gt;SwaptionFirstMonthPosition+SwaptionNumOfMonths+1,$FJ181&gt;SwaptionFirstMonthPosition+SwaptionNumOfMonths+1),"",IF($FJ181=FW$169,1,IF($FJ181&lt;FW$169,INDEX($FK$170:$ID$241,FW$169,$FJ181),SUMPRODUCT(INDEX($FK$325:$ID$396,FW$169,1+SwaptionShift):INDEX($FK$325:$ID$396,FW$169,SwaptionMonthsToGo+SwaptionShift),INDEX($FK$245:$ID$316,$FJ181-FW$169,73-FW$169+SwaptionShift):INDEX($FK$245:$ID$316,$FJ181-FW$169,72-FW$169+SwaptionMonthsToGo+SwaptionShift))/SQRT(SUM(INDEX($FK336:$ID336,1+SwaptionShift):INDEX($FK336:$ID336,SwaptionMonthsToGo+SwaptionShift))*SUM(INDEX($FK$325:$ID$396,FW$169,1+SwaptionShift):INDEX($FK$325:$ID$396,FW$169,SwaptionMonthsToGo+SwaptionShift))))))</f>
        <v>#DIV/0!</v>
      </c>
      <c r="FX181" s="150" t="e">
        <f aca="false">IF(OR(FX$169&lt;SwaptionFirstMonthPosition+1,$FJ181&lt;SwaptionFirstMonthPosition+1,FX$169&gt;SwaptionFirstMonthPosition+SwaptionNumOfMonths+1,$FJ181&gt;SwaptionFirstMonthPosition+SwaptionNumOfMonths+1),"",IF($FJ181=FX$169,1,IF($FJ181&lt;FX$169,INDEX($FK$170:$ID$241,FX$169,$FJ181),SUMPRODUCT(INDEX($FK$325:$ID$396,FX$169,1+SwaptionShift):INDEX($FK$325:$ID$396,FX$169,SwaptionMonthsToGo+SwaptionShift),INDEX($FK$245:$ID$316,$FJ181-FX$169,73-FX$169+SwaptionShift):INDEX($FK$245:$ID$316,$FJ181-FX$169,72-FX$169+SwaptionMonthsToGo+SwaptionShift))/SQRT(SUM(INDEX($FK336:$ID336,1+SwaptionShift):INDEX($FK336:$ID336,SwaptionMonthsToGo+SwaptionShift))*SUM(INDEX($FK$325:$ID$396,FX$169,1+SwaptionShift):INDEX($FK$325:$ID$396,FX$169,SwaptionMonthsToGo+SwaptionShift))))))</f>
        <v>#DIV/0!</v>
      </c>
      <c r="FY181" s="150" t="e">
        <f aca="false">IF(OR(FY$169&lt;SwaptionFirstMonthPosition+1,$FJ181&lt;SwaptionFirstMonthPosition+1,FY$169&gt;SwaptionFirstMonthPosition+SwaptionNumOfMonths+1,$FJ181&gt;SwaptionFirstMonthPosition+SwaptionNumOfMonths+1),"",IF($FJ181=FY$169,1,IF($FJ181&lt;FY$169,INDEX($FK$170:$ID$241,FY$169,$FJ181),SUMPRODUCT(INDEX($FK$325:$ID$396,FY$169,1+SwaptionShift):INDEX($FK$325:$ID$396,FY$169,SwaptionMonthsToGo+SwaptionShift),INDEX($FK$245:$ID$316,$FJ181-FY$169,73-FY$169+SwaptionShift):INDEX($FK$245:$ID$316,$FJ181-FY$169,72-FY$169+SwaptionMonthsToGo+SwaptionShift))/SQRT(SUM(INDEX($FK336:$ID336,1+SwaptionShift):INDEX($FK336:$ID336,SwaptionMonthsToGo+SwaptionShift))*SUM(INDEX($FK$325:$ID$396,FY$169,1+SwaptionShift):INDEX($FK$325:$ID$396,FY$169,SwaptionMonthsToGo+SwaptionShift))))))</f>
        <v>#DIV/0!</v>
      </c>
      <c r="FZ181" s="150" t="e">
        <f aca="false">IF(OR(FZ$169&lt;SwaptionFirstMonthPosition+1,$FJ181&lt;SwaptionFirstMonthPosition+1,FZ$169&gt;SwaptionFirstMonthPosition+SwaptionNumOfMonths+1,$FJ181&gt;SwaptionFirstMonthPosition+SwaptionNumOfMonths+1),"",IF($FJ181=FZ$169,1,IF($FJ181&lt;FZ$169,INDEX($FK$170:$ID$241,FZ$169,$FJ181),SUMPRODUCT(INDEX($FK$325:$ID$396,FZ$169,1+SwaptionShift):INDEX($FK$325:$ID$396,FZ$169,SwaptionMonthsToGo+SwaptionShift),INDEX($FK$245:$ID$316,$FJ181-FZ$169,73-FZ$169+SwaptionShift):INDEX($FK$245:$ID$316,$FJ181-FZ$169,72-FZ$169+SwaptionMonthsToGo+SwaptionShift))/SQRT(SUM(INDEX($FK336:$ID336,1+SwaptionShift):INDEX($FK336:$ID336,SwaptionMonthsToGo+SwaptionShift))*SUM(INDEX($FK$325:$ID$396,FZ$169,1+SwaptionShift):INDEX($FK$325:$ID$396,FZ$169,SwaptionMonthsToGo+SwaptionShift))))))</f>
        <v>#DIV/0!</v>
      </c>
      <c r="GA181" s="150" t="e">
        <f aca="false">IF(OR(GA$169&lt;SwaptionFirstMonthPosition+1,$FJ181&lt;SwaptionFirstMonthPosition+1,GA$169&gt;SwaptionFirstMonthPosition+SwaptionNumOfMonths+1,$FJ181&gt;SwaptionFirstMonthPosition+SwaptionNumOfMonths+1),"",IF($FJ181=GA$169,1,IF($FJ181&lt;GA$169,INDEX($FK$170:$ID$241,GA$169,$FJ181),SUMPRODUCT(INDEX($FK$325:$ID$396,GA$169,1+SwaptionShift):INDEX($FK$325:$ID$396,GA$169,SwaptionMonthsToGo+SwaptionShift),INDEX($FK$245:$ID$316,$FJ181-GA$169,73-GA$169+SwaptionShift):INDEX($FK$245:$ID$316,$FJ181-GA$169,72-GA$169+SwaptionMonthsToGo+SwaptionShift))/SQRT(SUM(INDEX($FK336:$ID336,1+SwaptionShift):INDEX($FK336:$ID336,SwaptionMonthsToGo+SwaptionShift))*SUM(INDEX($FK$325:$ID$396,GA$169,1+SwaptionShift):INDEX($FK$325:$ID$396,GA$169,SwaptionMonthsToGo+SwaptionShift))))))</f>
        <v>#DIV/0!</v>
      </c>
      <c r="GB181" s="150" t="e">
        <f aca="false">IF(OR(GB$169&lt;SwaptionFirstMonthPosition+1,$FJ181&lt;SwaptionFirstMonthPosition+1,GB$169&gt;SwaptionFirstMonthPosition+SwaptionNumOfMonths+1,$FJ181&gt;SwaptionFirstMonthPosition+SwaptionNumOfMonths+1),"",IF($FJ181=GB$169,1,IF($FJ181&lt;GB$169,INDEX($FK$170:$ID$241,GB$169,$FJ181),SUMPRODUCT(INDEX($FK$325:$ID$396,GB$169,1+SwaptionShift):INDEX($FK$325:$ID$396,GB$169,SwaptionMonthsToGo+SwaptionShift),INDEX($FK$245:$ID$316,$FJ181-GB$169,73-GB$169+SwaptionShift):INDEX($FK$245:$ID$316,$FJ181-GB$169,72-GB$169+SwaptionMonthsToGo+SwaptionShift))/SQRT(SUM(INDEX($FK336:$ID336,1+SwaptionShift):INDEX($FK336:$ID336,SwaptionMonthsToGo+SwaptionShift))*SUM(INDEX($FK$325:$ID$396,GB$169,1+SwaptionShift):INDEX($FK$325:$ID$396,GB$169,SwaptionMonthsToGo+SwaptionShift))))))</f>
        <v>#DIV/0!</v>
      </c>
      <c r="GC181" s="150" t="str">
        <f aca="false">IF(OR(GC$169&lt;SwaptionFirstMonthPosition+1,$FJ181&lt;SwaptionFirstMonthPosition+1,GC$169&gt;SwaptionFirstMonthPosition+SwaptionNumOfMonths+1,$FJ181&gt;SwaptionFirstMonthPosition+SwaptionNumOfMonths+1),"",IF($FJ181=GC$169,1,IF($FJ181&lt;GC$169,INDEX($FK$170:$ID$241,GC$169,$FJ181),SUMPRODUCT(INDEX($FK$325:$ID$396,GC$169,1+SwaptionShift):INDEX($FK$325:$ID$396,GC$169,SwaptionMonthsToGo+SwaptionShift),INDEX($FK$245:$ID$316,$FJ181-GC$169,73-GC$169+SwaptionShift):INDEX($FK$245:$ID$316,$FJ181-GC$169,72-GC$169+SwaptionMonthsToGo+SwaptionShift))/SQRT(SUM(INDEX($FK336:$ID336,1+SwaptionShift):INDEX($FK336:$ID336,SwaptionMonthsToGo+SwaptionShift))*SUM(INDEX($FK$325:$ID$396,GC$169,1+SwaptionShift):INDEX($FK$325:$ID$396,GC$169,SwaptionMonthsToGo+SwaptionShift))))))</f>
        <v/>
      </c>
      <c r="GD181" s="150" t="str">
        <f aca="false">IF(OR(GD$169&lt;SwaptionFirstMonthPosition+1,$FJ181&lt;SwaptionFirstMonthPosition+1,GD$169&gt;SwaptionFirstMonthPosition+SwaptionNumOfMonths+1,$FJ181&gt;SwaptionFirstMonthPosition+SwaptionNumOfMonths+1),"",IF($FJ181=GD$169,1,IF($FJ181&lt;GD$169,INDEX($FK$170:$ID$241,GD$169,$FJ181),SUMPRODUCT(INDEX($FK$325:$ID$396,GD$169,1+SwaptionShift):INDEX($FK$325:$ID$396,GD$169,SwaptionMonthsToGo+SwaptionShift),INDEX($FK$245:$ID$316,$FJ181-GD$169,73-GD$169+SwaptionShift):INDEX($FK$245:$ID$316,$FJ181-GD$169,72-GD$169+SwaptionMonthsToGo+SwaptionShift))/SQRT(SUM(INDEX($FK336:$ID336,1+SwaptionShift):INDEX($FK336:$ID336,SwaptionMonthsToGo+SwaptionShift))*SUM(INDEX($FK$325:$ID$396,GD$169,1+SwaptionShift):INDEX($FK$325:$ID$396,GD$169,SwaptionMonthsToGo+SwaptionShift))))))</f>
        <v/>
      </c>
      <c r="GE181" s="150" t="str">
        <f aca="false">IF(OR(GE$169&lt;SwaptionFirstMonthPosition+1,$FJ181&lt;SwaptionFirstMonthPosition+1,GE$169&gt;SwaptionFirstMonthPosition+SwaptionNumOfMonths+1,$FJ181&gt;SwaptionFirstMonthPosition+SwaptionNumOfMonths+1),"",IF($FJ181=GE$169,1,IF($FJ181&lt;GE$169,INDEX($FK$170:$ID$241,GE$169,$FJ181),SUMPRODUCT(INDEX($FK$325:$ID$396,GE$169,1+SwaptionShift):INDEX($FK$325:$ID$396,GE$169,SwaptionMonthsToGo+SwaptionShift),INDEX($FK$245:$ID$316,$FJ181-GE$169,73-GE$169+SwaptionShift):INDEX($FK$245:$ID$316,$FJ181-GE$169,72-GE$169+SwaptionMonthsToGo+SwaptionShift))/SQRT(SUM(INDEX($FK336:$ID336,1+SwaptionShift):INDEX($FK336:$ID336,SwaptionMonthsToGo+SwaptionShift))*SUM(INDEX($FK$325:$ID$396,GE$169,1+SwaptionShift):INDEX($FK$325:$ID$396,GE$169,SwaptionMonthsToGo+SwaptionShift))))))</f>
        <v/>
      </c>
      <c r="GF181" s="150" t="str">
        <f aca="false">IF(OR(GF$169&lt;SwaptionFirstMonthPosition+1,$FJ181&lt;SwaptionFirstMonthPosition+1,GF$169&gt;SwaptionFirstMonthPosition+SwaptionNumOfMonths+1,$FJ181&gt;SwaptionFirstMonthPosition+SwaptionNumOfMonths+1),"",IF($FJ181=GF$169,1,IF($FJ181&lt;GF$169,INDEX($FK$170:$ID$241,GF$169,$FJ181),SUMPRODUCT(INDEX($FK$325:$ID$396,GF$169,1+SwaptionShift):INDEX($FK$325:$ID$396,GF$169,SwaptionMonthsToGo+SwaptionShift),INDEX($FK$245:$ID$316,$FJ181-GF$169,73-GF$169+SwaptionShift):INDEX($FK$245:$ID$316,$FJ181-GF$169,72-GF$169+SwaptionMonthsToGo+SwaptionShift))/SQRT(SUM(INDEX($FK336:$ID336,1+SwaptionShift):INDEX($FK336:$ID336,SwaptionMonthsToGo+SwaptionShift))*SUM(INDEX($FK$325:$ID$396,GF$169,1+SwaptionShift):INDEX($FK$325:$ID$396,GF$169,SwaptionMonthsToGo+SwaptionShift))))))</f>
        <v/>
      </c>
      <c r="GG181" s="150" t="str">
        <f aca="false">IF(OR(GG$169&lt;SwaptionFirstMonthPosition+1,$FJ181&lt;SwaptionFirstMonthPosition+1,GG$169&gt;SwaptionFirstMonthPosition+SwaptionNumOfMonths+1,$FJ181&gt;SwaptionFirstMonthPosition+SwaptionNumOfMonths+1),"",IF($FJ181=GG$169,1,IF($FJ181&lt;GG$169,INDEX($FK$170:$ID$241,GG$169,$FJ181),SUMPRODUCT(INDEX($FK$325:$ID$396,GG$169,1+SwaptionShift):INDEX($FK$325:$ID$396,GG$169,SwaptionMonthsToGo+SwaptionShift),INDEX($FK$245:$ID$316,$FJ181-GG$169,73-GG$169+SwaptionShift):INDEX($FK$245:$ID$316,$FJ181-GG$169,72-GG$169+SwaptionMonthsToGo+SwaptionShift))/SQRT(SUM(INDEX($FK336:$ID336,1+SwaptionShift):INDEX($FK336:$ID336,SwaptionMonthsToGo+SwaptionShift))*SUM(INDEX($FK$325:$ID$396,GG$169,1+SwaptionShift):INDEX($FK$325:$ID$396,GG$169,SwaptionMonthsToGo+SwaptionShift))))))</f>
        <v/>
      </c>
      <c r="GH181" s="150" t="str">
        <f aca="false">IF(OR(GH$169&lt;SwaptionFirstMonthPosition+1,$FJ181&lt;SwaptionFirstMonthPosition+1,GH$169&gt;SwaptionFirstMonthPosition+SwaptionNumOfMonths+1,$FJ181&gt;SwaptionFirstMonthPosition+SwaptionNumOfMonths+1),"",IF($FJ181=GH$169,1,IF($FJ181&lt;GH$169,INDEX($FK$170:$ID$241,GH$169,$FJ181),SUMPRODUCT(INDEX($FK$325:$ID$396,GH$169,1+SwaptionShift):INDEX($FK$325:$ID$396,GH$169,SwaptionMonthsToGo+SwaptionShift),INDEX($FK$245:$ID$316,$FJ181-GH$169,73-GH$169+SwaptionShift):INDEX($FK$245:$ID$316,$FJ181-GH$169,72-GH$169+SwaptionMonthsToGo+SwaptionShift))/SQRT(SUM(INDEX($FK336:$ID336,1+SwaptionShift):INDEX($FK336:$ID336,SwaptionMonthsToGo+SwaptionShift))*SUM(INDEX($FK$325:$ID$396,GH$169,1+SwaptionShift):INDEX($FK$325:$ID$396,GH$169,SwaptionMonthsToGo+SwaptionShift))))))</f>
        <v/>
      </c>
      <c r="GI181" s="150" t="str">
        <f aca="false">IF(OR(GI$169&lt;SwaptionFirstMonthPosition+1,$FJ181&lt;SwaptionFirstMonthPosition+1,GI$169&gt;SwaptionFirstMonthPosition+SwaptionNumOfMonths+1,$FJ181&gt;SwaptionFirstMonthPosition+SwaptionNumOfMonths+1),"",IF($FJ181=GI$169,1,IF($FJ181&lt;GI$169,INDEX($FK$170:$ID$241,GI$169,$FJ181),SUMPRODUCT(INDEX($FK$325:$ID$396,GI$169,1+SwaptionShift):INDEX($FK$325:$ID$396,GI$169,SwaptionMonthsToGo+SwaptionShift),INDEX($FK$245:$ID$316,$FJ181-GI$169,73-GI$169+SwaptionShift):INDEX($FK$245:$ID$316,$FJ181-GI$169,72-GI$169+SwaptionMonthsToGo+SwaptionShift))/SQRT(SUM(INDEX($FK336:$ID336,1+SwaptionShift):INDEX($FK336:$ID336,SwaptionMonthsToGo+SwaptionShift))*SUM(INDEX($FK$325:$ID$396,GI$169,1+SwaptionShift):INDEX($FK$325:$ID$396,GI$169,SwaptionMonthsToGo+SwaptionShift))))))</f>
        <v/>
      </c>
      <c r="GJ181" s="150" t="str">
        <f aca="false">IF(OR(GJ$169&lt;SwaptionFirstMonthPosition+1,$FJ181&lt;SwaptionFirstMonthPosition+1,GJ$169&gt;SwaptionFirstMonthPosition+SwaptionNumOfMonths+1,$FJ181&gt;SwaptionFirstMonthPosition+SwaptionNumOfMonths+1),"",IF($FJ181=GJ$169,1,IF($FJ181&lt;GJ$169,INDEX($FK$170:$ID$241,GJ$169,$FJ181),SUMPRODUCT(INDEX($FK$325:$ID$396,GJ$169,1+SwaptionShift):INDEX($FK$325:$ID$396,GJ$169,SwaptionMonthsToGo+SwaptionShift),INDEX($FK$245:$ID$316,$FJ181-GJ$169,73-GJ$169+SwaptionShift):INDEX($FK$245:$ID$316,$FJ181-GJ$169,72-GJ$169+SwaptionMonthsToGo+SwaptionShift))/SQRT(SUM(INDEX($FK336:$ID336,1+SwaptionShift):INDEX($FK336:$ID336,SwaptionMonthsToGo+SwaptionShift))*SUM(INDEX($FK$325:$ID$396,GJ$169,1+SwaptionShift):INDEX($FK$325:$ID$396,GJ$169,SwaptionMonthsToGo+SwaptionShift))))))</f>
        <v/>
      </c>
      <c r="GK181" s="150" t="str">
        <f aca="false">IF(OR(GK$169&lt;SwaptionFirstMonthPosition+1,$FJ181&lt;SwaptionFirstMonthPosition+1,GK$169&gt;SwaptionFirstMonthPosition+SwaptionNumOfMonths+1,$FJ181&gt;SwaptionFirstMonthPosition+SwaptionNumOfMonths+1),"",IF($FJ181=GK$169,1,IF($FJ181&lt;GK$169,INDEX($FK$170:$ID$241,GK$169,$FJ181),SUMPRODUCT(INDEX($FK$325:$ID$396,GK$169,1+SwaptionShift):INDEX($FK$325:$ID$396,GK$169,SwaptionMonthsToGo+SwaptionShift),INDEX($FK$245:$ID$316,$FJ181-GK$169,73-GK$169+SwaptionShift):INDEX($FK$245:$ID$316,$FJ181-GK$169,72-GK$169+SwaptionMonthsToGo+SwaptionShift))/SQRT(SUM(INDEX($FK336:$ID336,1+SwaptionShift):INDEX($FK336:$ID336,SwaptionMonthsToGo+SwaptionShift))*SUM(INDEX($FK$325:$ID$396,GK$169,1+SwaptionShift):INDEX($FK$325:$ID$396,GK$169,SwaptionMonthsToGo+SwaptionShift))))))</f>
        <v/>
      </c>
      <c r="GL181" s="150" t="str">
        <f aca="false">IF(OR(GL$169&lt;SwaptionFirstMonthPosition+1,$FJ181&lt;SwaptionFirstMonthPosition+1,GL$169&gt;SwaptionFirstMonthPosition+SwaptionNumOfMonths+1,$FJ181&gt;SwaptionFirstMonthPosition+SwaptionNumOfMonths+1),"",IF($FJ181=GL$169,1,IF($FJ181&lt;GL$169,INDEX($FK$170:$ID$241,GL$169,$FJ181),SUMPRODUCT(INDEX($FK$325:$ID$396,GL$169,1+SwaptionShift):INDEX($FK$325:$ID$396,GL$169,SwaptionMonthsToGo+SwaptionShift),INDEX($FK$245:$ID$316,$FJ181-GL$169,73-GL$169+SwaptionShift):INDEX($FK$245:$ID$316,$FJ181-GL$169,72-GL$169+SwaptionMonthsToGo+SwaptionShift))/SQRT(SUM(INDEX($FK336:$ID336,1+SwaptionShift):INDEX($FK336:$ID336,SwaptionMonthsToGo+SwaptionShift))*SUM(INDEX($FK$325:$ID$396,GL$169,1+SwaptionShift):INDEX($FK$325:$ID$396,GL$169,SwaptionMonthsToGo+SwaptionShift))))))</f>
        <v/>
      </c>
      <c r="GM181" s="150" t="str">
        <f aca="false">IF(OR(GM$169&lt;SwaptionFirstMonthPosition+1,$FJ181&lt;SwaptionFirstMonthPosition+1,GM$169&gt;SwaptionFirstMonthPosition+SwaptionNumOfMonths+1,$FJ181&gt;SwaptionFirstMonthPosition+SwaptionNumOfMonths+1),"",IF($FJ181=GM$169,1,IF($FJ181&lt;GM$169,INDEX($FK$170:$ID$241,GM$169,$FJ181),SUMPRODUCT(INDEX($FK$325:$ID$396,GM$169,1+SwaptionShift):INDEX($FK$325:$ID$396,GM$169,SwaptionMonthsToGo+SwaptionShift),INDEX($FK$245:$ID$316,$FJ181-GM$169,73-GM$169+SwaptionShift):INDEX($FK$245:$ID$316,$FJ181-GM$169,72-GM$169+SwaptionMonthsToGo+SwaptionShift))/SQRT(SUM(INDEX($FK336:$ID336,1+SwaptionShift):INDEX($FK336:$ID336,SwaptionMonthsToGo+SwaptionShift))*SUM(INDEX($FK$325:$ID$396,GM$169,1+SwaptionShift):INDEX($FK$325:$ID$396,GM$169,SwaptionMonthsToGo+SwaptionShift))))))</f>
        <v/>
      </c>
      <c r="GN181" s="150" t="str">
        <f aca="false">IF(OR(GN$169&lt;SwaptionFirstMonthPosition+1,$FJ181&lt;SwaptionFirstMonthPosition+1,GN$169&gt;SwaptionFirstMonthPosition+SwaptionNumOfMonths+1,$FJ181&gt;SwaptionFirstMonthPosition+SwaptionNumOfMonths+1),"",IF($FJ181=GN$169,1,IF($FJ181&lt;GN$169,INDEX($FK$170:$ID$241,GN$169,$FJ181),SUMPRODUCT(INDEX($FK$325:$ID$396,GN$169,1+SwaptionShift):INDEX($FK$325:$ID$396,GN$169,SwaptionMonthsToGo+SwaptionShift),INDEX($FK$245:$ID$316,$FJ181-GN$169,73-GN$169+SwaptionShift):INDEX($FK$245:$ID$316,$FJ181-GN$169,72-GN$169+SwaptionMonthsToGo+SwaptionShift))/SQRT(SUM(INDEX($FK336:$ID336,1+SwaptionShift):INDEX($FK336:$ID336,SwaptionMonthsToGo+SwaptionShift))*SUM(INDEX($FK$325:$ID$396,GN$169,1+SwaptionShift):INDEX($FK$325:$ID$396,GN$169,SwaptionMonthsToGo+SwaptionShift))))))</f>
        <v/>
      </c>
      <c r="GO181" s="150" t="str">
        <f aca="false">IF(OR(GO$169&lt;SwaptionFirstMonthPosition+1,$FJ181&lt;SwaptionFirstMonthPosition+1,GO$169&gt;SwaptionFirstMonthPosition+SwaptionNumOfMonths+1,$FJ181&gt;SwaptionFirstMonthPosition+SwaptionNumOfMonths+1),"",IF($FJ181=GO$169,1,IF($FJ181&lt;GO$169,INDEX($FK$170:$ID$241,GO$169,$FJ181),SUMPRODUCT(INDEX($FK$325:$ID$396,GO$169,1+SwaptionShift):INDEX($FK$325:$ID$396,GO$169,SwaptionMonthsToGo+SwaptionShift),INDEX($FK$245:$ID$316,$FJ181-GO$169,73-GO$169+SwaptionShift):INDEX($FK$245:$ID$316,$FJ181-GO$169,72-GO$169+SwaptionMonthsToGo+SwaptionShift))/SQRT(SUM(INDEX($FK336:$ID336,1+SwaptionShift):INDEX($FK336:$ID336,SwaptionMonthsToGo+SwaptionShift))*SUM(INDEX($FK$325:$ID$396,GO$169,1+SwaptionShift):INDEX($FK$325:$ID$396,GO$169,SwaptionMonthsToGo+SwaptionShift))))))</f>
        <v/>
      </c>
      <c r="GP181" s="150" t="str">
        <f aca="false">IF(OR(GP$169&lt;SwaptionFirstMonthPosition+1,$FJ181&lt;SwaptionFirstMonthPosition+1,GP$169&gt;SwaptionFirstMonthPosition+SwaptionNumOfMonths+1,$FJ181&gt;SwaptionFirstMonthPosition+SwaptionNumOfMonths+1),"",IF($FJ181=GP$169,1,IF($FJ181&lt;GP$169,INDEX($FK$170:$ID$241,GP$169,$FJ181),SUMPRODUCT(INDEX($FK$325:$ID$396,GP$169,1+SwaptionShift):INDEX($FK$325:$ID$396,GP$169,SwaptionMonthsToGo+SwaptionShift),INDEX($FK$245:$ID$316,$FJ181-GP$169,73-GP$169+SwaptionShift):INDEX($FK$245:$ID$316,$FJ181-GP$169,72-GP$169+SwaptionMonthsToGo+SwaptionShift))/SQRT(SUM(INDEX($FK336:$ID336,1+SwaptionShift):INDEX($FK336:$ID336,SwaptionMonthsToGo+SwaptionShift))*SUM(INDEX($FK$325:$ID$396,GP$169,1+SwaptionShift):INDEX($FK$325:$ID$396,GP$169,SwaptionMonthsToGo+SwaptionShift))))))</f>
        <v/>
      </c>
      <c r="GQ181" s="150" t="str">
        <f aca="false">IF(OR(GQ$169&lt;SwaptionFirstMonthPosition+1,$FJ181&lt;SwaptionFirstMonthPosition+1,GQ$169&gt;SwaptionFirstMonthPosition+SwaptionNumOfMonths+1,$FJ181&gt;SwaptionFirstMonthPosition+SwaptionNumOfMonths+1),"",IF($FJ181=GQ$169,1,IF($FJ181&lt;GQ$169,INDEX($FK$170:$ID$241,GQ$169,$FJ181),SUMPRODUCT(INDEX($FK$325:$ID$396,GQ$169,1+SwaptionShift):INDEX($FK$325:$ID$396,GQ$169,SwaptionMonthsToGo+SwaptionShift),INDEX($FK$245:$ID$316,$FJ181-GQ$169,73-GQ$169+SwaptionShift):INDEX($FK$245:$ID$316,$FJ181-GQ$169,72-GQ$169+SwaptionMonthsToGo+SwaptionShift))/SQRT(SUM(INDEX($FK336:$ID336,1+SwaptionShift):INDEX($FK336:$ID336,SwaptionMonthsToGo+SwaptionShift))*SUM(INDEX($FK$325:$ID$396,GQ$169,1+SwaptionShift):INDEX($FK$325:$ID$396,GQ$169,SwaptionMonthsToGo+SwaptionShift))))))</f>
        <v/>
      </c>
      <c r="GR181" s="150" t="str">
        <f aca="false">IF(OR(GR$169&lt;SwaptionFirstMonthPosition+1,$FJ181&lt;SwaptionFirstMonthPosition+1,GR$169&gt;SwaptionFirstMonthPosition+SwaptionNumOfMonths+1,$FJ181&gt;SwaptionFirstMonthPosition+SwaptionNumOfMonths+1),"",IF($FJ181=GR$169,1,IF($FJ181&lt;GR$169,INDEX($FK$170:$ID$241,GR$169,$FJ181),SUMPRODUCT(INDEX($FK$325:$ID$396,GR$169,1+SwaptionShift):INDEX($FK$325:$ID$396,GR$169,SwaptionMonthsToGo+SwaptionShift),INDEX($FK$245:$ID$316,$FJ181-GR$169,73-GR$169+SwaptionShift):INDEX($FK$245:$ID$316,$FJ181-GR$169,72-GR$169+SwaptionMonthsToGo+SwaptionShift))/SQRT(SUM(INDEX($FK336:$ID336,1+SwaptionShift):INDEX($FK336:$ID336,SwaptionMonthsToGo+SwaptionShift))*SUM(INDEX($FK$325:$ID$396,GR$169,1+SwaptionShift):INDEX($FK$325:$ID$396,GR$169,SwaptionMonthsToGo+SwaptionShift))))))</f>
        <v/>
      </c>
      <c r="GS181" s="150" t="str">
        <f aca="false">IF(OR(GS$169&lt;SwaptionFirstMonthPosition+1,$FJ181&lt;SwaptionFirstMonthPosition+1,GS$169&gt;SwaptionFirstMonthPosition+SwaptionNumOfMonths+1,$FJ181&gt;SwaptionFirstMonthPosition+SwaptionNumOfMonths+1),"",IF($FJ181=GS$169,1,IF($FJ181&lt;GS$169,INDEX($FK$170:$ID$241,GS$169,$FJ181),SUMPRODUCT(INDEX($FK$325:$ID$396,GS$169,1+SwaptionShift):INDEX($FK$325:$ID$396,GS$169,SwaptionMonthsToGo+SwaptionShift),INDEX($FK$245:$ID$316,$FJ181-GS$169,73-GS$169+SwaptionShift):INDEX($FK$245:$ID$316,$FJ181-GS$169,72-GS$169+SwaptionMonthsToGo+SwaptionShift))/SQRT(SUM(INDEX($FK336:$ID336,1+SwaptionShift):INDEX($FK336:$ID336,SwaptionMonthsToGo+SwaptionShift))*SUM(INDEX($FK$325:$ID$396,GS$169,1+SwaptionShift):INDEX($FK$325:$ID$396,GS$169,SwaptionMonthsToGo+SwaptionShift))))))</f>
        <v/>
      </c>
      <c r="GT181" s="150" t="str">
        <f aca="false">IF(OR(GT$169&lt;SwaptionFirstMonthPosition+1,$FJ181&lt;SwaptionFirstMonthPosition+1,GT$169&gt;SwaptionFirstMonthPosition+SwaptionNumOfMonths+1,$FJ181&gt;SwaptionFirstMonthPosition+SwaptionNumOfMonths+1),"",IF($FJ181=GT$169,1,IF($FJ181&lt;GT$169,INDEX($FK$170:$ID$241,GT$169,$FJ181),SUMPRODUCT(INDEX($FK$325:$ID$396,GT$169,1+SwaptionShift):INDEX($FK$325:$ID$396,GT$169,SwaptionMonthsToGo+SwaptionShift),INDEX($FK$245:$ID$316,$FJ181-GT$169,73-GT$169+SwaptionShift):INDEX($FK$245:$ID$316,$FJ181-GT$169,72-GT$169+SwaptionMonthsToGo+SwaptionShift))/SQRT(SUM(INDEX($FK336:$ID336,1+SwaptionShift):INDEX($FK336:$ID336,SwaptionMonthsToGo+SwaptionShift))*SUM(INDEX($FK$325:$ID$396,GT$169,1+SwaptionShift):INDEX($FK$325:$ID$396,GT$169,SwaptionMonthsToGo+SwaptionShift))))))</f>
        <v/>
      </c>
      <c r="GU181" s="150" t="str">
        <f aca="false">IF(OR(GU$169&lt;SwaptionFirstMonthPosition+1,$FJ181&lt;SwaptionFirstMonthPosition+1,GU$169&gt;SwaptionFirstMonthPosition+SwaptionNumOfMonths+1,$FJ181&gt;SwaptionFirstMonthPosition+SwaptionNumOfMonths+1),"",IF($FJ181=GU$169,1,IF($FJ181&lt;GU$169,INDEX($FK$170:$ID$241,GU$169,$FJ181),SUMPRODUCT(INDEX($FK$325:$ID$396,GU$169,1+SwaptionShift):INDEX($FK$325:$ID$396,GU$169,SwaptionMonthsToGo+SwaptionShift),INDEX($FK$245:$ID$316,$FJ181-GU$169,73-GU$169+SwaptionShift):INDEX($FK$245:$ID$316,$FJ181-GU$169,72-GU$169+SwaptionMonthsToGo+SwaptionShift))/SQRT(SUM(INDEX($FK336:$ID336,1+SwaptionShift):INDEX($FK336:$ID336,SwaptionMonthsToGo+SwaptionShift))*SUM(INDEX($FK$325:$ID$396,GU$169,1+SwaptionShift):INDEX($FK$325:$ID$396,GU$169,SwaptionMonthsToGo+SwaptionShift))))))</f>
        <v/>
      </c>
      <c r="GV181" s="150" t="str">
        <f aca="false">IF(OR(GV$169&lt;SwaptionFirstMonthPosition+1,$FJ181&lt;SwaptionFirstMonthPosition+1,GV$169&gt;SwaptionFirstMonthPosition+SwaptionNumOfMonths+1,$FJ181&gt;SwaptionFirstMonthPosition+SwaptionNumOfMonths+1),"",IF($FJ181=GV$169,1,IF($FJ181&lt;GV$169,INDEX($FK$170:$ID$241,GV$169,$FJ181),SUMPRODUCT(INDEX($FK$325:$ID$396,GV$169,1+SwaptionShift):INDEX($FK$325:$ID$396,GV$169,SwaptionMonthsToGo+SwaptionShift),INDEX($FK$245:$ID$316,$FJ181-GV$169,73-GV$169+SwaptionShift):INDEX($FK$245:$ID$316,$FJ181-GV$169,72-GV$169+SwaptionMonthsToGo+SwaptionShift))/SQRT(SUM(INDEX($FK336:$ID336,1+SwaptionShift):INDEX($FK336:$ID336,SwaptionMonthsToGo+SwaptionShift))*SUM(INDEX($FK$325:$ID$396,GV$169,1+SwaptionShift):INDEX($FK$325:$ID$396,GV$169,SwaptionMonthsToGo+SwaptionShift))))))</f>
        <v/>
      </c>
      <c r="GW181" s="150" t="str">
        <f aca="false">IF(OR(GW$169&lt;SwaptionFirstMonthPosition+1,$FJ181&lt;SwaptionFirstMonthPosition+1,GW$169&gt;SwaptionFirstMonthPosition+SwaptionNumOfMonths+1,$FJ181&gt;SwaptionFirstMonthPosition+SwaptionNumOfMonths+1),"",IF($FJ181=GW$169,1,IF($FJ181&lt;GW$169,INDEX($FK$170:$ID$241,GW$169,$FJ181),SUMPRODUCT(INDEX($FK$325:$ID$396,GW$169,1+SwaptionShift):INDEX($FK$325:$ID$396,GW$169,SwaptionMonthsToGo+SwaptionShift),INDEX($FK$245:$ID$316,$FJ181-GW$169,73-GW$169+SwaptionShift):INDEX($FK$245:$ID$316,$FJ181-GW$169,72-GW$169+SwaptionMonthsToGo+SwaptionShift))/SQRT(SUM(INDEX($FK336:$ID336,1+SwaptionShift):INDEX($FK336:$ID336,SwaptionMonthsToGo+SwaptionShift))*SUM(INDEX($FK$325:$ID$396,GW$169,1+SwaptionShift):INDEX($FK$325:$ID$396,GW$169,SwaptionMonthsToGo+SwaptionShift))))))</f>
        <v/>
      </c>
      <c r="GX181" s="150" t="str">
        <f aca="false">IF(OR(GX$169&lt;SwaptionFirstMonthPosition+1,$FJ181&lt;SwaptionFirstMonthPosition+1,GX$169&gt;SwaptionFirstMonthPosition+SwaptionNumOfMonths+1,$FJ181&gt;SwaptionFirstMonthPosition+SwaptionNumOfMonths+1),"",IF($FJ181=GX$169,1,IF($FJ181&lt;GX$169,INDEX($FK$170:$ID$241,GX$169,$FJ181),SUMPRODUCT(INDEX($FK$325:$ID$396,GX$169,1+SwaptionShift):INDEX($FK$325:$ID$396,GX$169,SwaptionMonthsToGo+SwaptionShift),INDEX($FK$245:$ID$316,$FJ181-GX$169,73-GX$169+SwaptionShift):INDEX($FK$245:$ID$316,$FJ181-GX$169,72-GX$169+SwaptionMonthsToGo+SwaptionShift))/SQRT(SUM(INDEX($FK336:$ID336,1+SwaptionShift):INDEX($FK336:$ID336,SwaptionMonthsToGo+SwaptionShift))*SUM(INDEX($FK$325:$ID$396,GX$169,1+SwaptionShift):INDEX($FK$325:$ID$396,GX$169,SwaptionMonthsToGo+SwaptionShift))))))</f>
        <v/>
      </c>
      <c r="GY181" s="150" t="str">
        <f aca="false">IF(OR(GY$169&lt;SwaptionFirstMonthPosition+1,$FJ181&lt;SwaptionFirstMonthPosition+1,GY$169&gt;SwaptionFirstMonthPosition+SwaptionNumOfMonths+1,$FJ181&gt;SwaptionFirstMonthPosition+SwaptionNumOfMonths+1),"",IF($FJ181=GY$169,1,IF($FJ181&lt;GY$169,INDEX($FK$170:$ID$241,GY$169,$FJ181),SUMPRODUCT(INDEX($FK$325:$ID$396,GY$169,1+SwaptionShift):INDEX($FK$325:$ID$396,GY$169,SwaptionMonthsToGo+SwaptionShift),INDEX($FK$245:$ID$316,$FJ181-GY$169,73-GY$169+SwaptionShift):INDEX($FK$245:$ID$316,$FJ181-GY$169,72-GY$169+SwaptionMonthsToGo+SwaptionShift))/SQRT(SUM(INDEX($FK336:$ID336,1+SwaptionShift):INDEX($FK336:$ID336,SwaptionMonthsToGo+SwaptionShift))*SUM(INDEX($FK$325:$ID$396,GY$169,1+SwaptionShift):INDEX($FK$325:$ID$396,GY$169,SwaptionMonthsToGo+SwaptionShift))))))</f>
        <v/>
      </c>
      <c r="GZ181" s="150" t="str">
        <f aca="false">IF(OR(GZ$169&lt;SwaptionFirstMonthPosition+1,$FJ181&lt;SwaptionFirstMonthPosition+1,GZ$169&gt;SwaptionFirstMonthPosition+SwaptionNumOfMonths+1,$FJ181&gt;SwaptionFirstMonthPosition+SwaptionNumOfMonths+1),"",IF($FJ181=GZ$169,1,IF($FJ181&lt;GZ$169,INDEX($FK$170:$ID$241,GZ$169,$FJ181),SUMPRODUCT(INDEX($FK$325:$ID$396,GZ$169,1+SwaptionShift):INDEX($FK$325:$ID$396,GZ$169,SwaptionMonthsToGo+SwaptionShift),INDEX($FK$245:$ID$316,$FJ181-GZ$169,73-GZ$169+SwaptionShift):INDEX($FK$245:$ID$316,$FJ181-GZ$169,72-GZ$169+SwaptionMonthsToGo+SwaptionShift))/SQRT(SUM(INDEX($FK336:$ID336,1+SwaptionShift):INDEX($FK336:$ID336,SwaptionMonthsToGo+SwaptionShift))*SUM(INDEX($FK$325:$ID$396,GZ$169,1+SwaptionShift):INDEX($FK$325:$ID$396,GZ$169,SwaptionMonthsToGo+SwaptionShift))))))</f>
        <v/>
      </c>
      <c r="HA181" s="150" t="str">
        <f aca="false">IF(OR(HA$169&lt;SwaptionFirstMonthPosition+1,$FJ181&lt;SwaptionFirstMonthPosition+1,HA$169&gt;SwaptionFirstMonthPosition+SwaptionNumOfMonths+1,$FJ181&gt;SwaptionFirstMonthPosition+SwaptionNumOfMonths+1),"",IF($FJ181=HA$169,1,IF($FJ181&lt;HA$169,INDEX($FK$170:$ID$241,HA$169,$FJ181),SUMPRODUCT(INDEX($FK$325:$ID$396,HA$169,1+SwaptionShift):INDEX($FK$325:$ID$396,HA$169,SwaptionMonthsToGo+SwaptionShift),INDEX($FK$245:$ID$316,$FJ181-HA$169,73-HA$169+SwaptionShift):INDEX($FK$245:$ID$316,$FJ181-HA$169,72-HA$169+SwaptionMonthsToGo+SwaptionShift))/SQRT(SUM(INDEX($FK336:$ID336,1+SwaptionShift):INDEX($FK336:$ID336,SwaptionMonthsToGo+SwaptionShift))*SUM(INDEX($FK$325:$ID$396,HA$169,1+SwaptionShift):INDEX($FK$325:$ID$396,HA$169,SwaptionMonthsToGo+SwaptionShift))))))</f>
        <v/>
      </c>
      <c r="HB181" s="150" t="str">
        <f aca="false">IF(OR(HB$169&lt;SwaptionFirstMonthPosition+1,$FJ181&lt;SwaptionFirstMonthPosition+1,HB$169&gt;SwaptionFirstMonthPosition+SwaptionNumOfMonths+1,$FJ181&gt;SwaptionFirstMonthPosition+SwaptionNumOfMonths+1),"",IF($FJ181=HB$169,1,IF($FJ181&lt;HB$169,INDEX($FK$170:$ID$241,HB$169,$FJ181),SUMPRODUCT(INDEX($FK$325:$ID$396,HB$169,1+SwaptionShift):INDEX($FK$325:$ID$396,HB$169,SwaptionMonthsToGo+SwaptionShift),INDEX($FK$245:$ID$316,$FJ181-HB$169,73-HB$169+SwaptionShift):INDEX($FK$245:$ID$316,$FJ181-HB$169,72-HB$169+SwaptionMonthsToGo+SwaptionShift))/SQRT(SUM(INDEX($FK336:$ID336,1+SwaptionShift):INDEX($FK336:$ID336,SwaptionMonthsToGo+SwaptionShift))*SUM(INDEX($FK$325:$ID$396,HB$169,1+SwaptionShift):INDEX($FK$325:$ID$396,HB$169,SwaptionMonthsToGo+SwaptionShift))))))</f>
        <v/>
      </c>
      <c r="HC181" s="150" t="str">
        <f aca="false">IF(OR(HC$169&lt;SwaptionFirstMonthPosition+1,$FJ181&lt;SwaptionFirstMonthPosition+1,HC$169&gt;SwaptionFirstMonthPosition+SwaptionNumOfMonths+1,$FJ181&gt;SwaptionFirstMonthPosition+SwaptionNumOfMonths+1),"",IF($FJ181=HC$169,1,IF($FJ181&lt;HC$169,INDEX($FK$170:$ID$241,HC$169,$FJ181),SUMPRODUCT(INDEX($FK$325:$ID$396,HC$169,1+SwaptionShift):INDEX($FK$325:$ID$396,HC$169,SwaptionMonthsToGo+SwaptionShift),INDEX($FK$245:$ID$316,$FJ181-HC$169,73-HC$169+SwaptionShift):INDEX($FK$245:$ID$316,$FJ181-HC$169,72-HC$169+SwaptionMonthsToGo+SwaptionShift))/SQRT(SUM(INDEX($FK336:$ID336,1+SwaptionShift):INDEX($FK336:$ID336,SwaptionMonthsToGo+SwaptionShift))*SUM(INDEX($FK$325:$ID$396,HC$169,1+SwaptionShift):INDEX($FK$325:$ID$396,HC$169,SwaptionMonthsToGo+SwaptionShift))))))</f>
        <v/>
      </c>
      <c r="HD181" s="150" t="str">
        <f aca="false">IF(OR(HD$169&lt;SwaptionFirstMonthPosition+1,$FJ181&lt;SwaptionFirstMonthPosition+1,HD$169&gt;SwaptionFirstMonthPosition+SwaptionNumOfMonths+1,$FJ181&gt;SwaptionFirstMonthPosition+SwaptionNumOfMonths+1),"",IF($FJ181=HD$169,1,IF($FJ181&lt;HD$169,INDEX($FK$170:$ID$241,HD$169,$FJ181),SUMPRODUCT(INDEX($FK$325:$ID$396,HD$169,1+SwaptionShift):INDEX($FK$325:$ID$396,HD$169,SwaptionMonthsToGo+SwaptionShift),INDEX($FK$245:$ID$316,$FJ181-HD$169,73-HD$169+SwaptionShift):INDEX($FK$245:$ID$316,$FJ181-HD$169,72-HD$169+SwaptionMonthsToGo+SwaptionShift))/SQRT(SUM(INDEX($FK336:$ID336,1+SwaptionShift):INDEX($FK336:$ID336,SwaptionMonthsToGo+SwaptionShift))*SUM(INDEX($FK$325:$ID$396,HD$169,1+SwaptionShift):INDEX($FK$325:$ID$396,HD$169,SwaptionMonthsToGo+SwaptionShift))))))</f>
        <v/>
      </c>
      <c r="HE181" s="150" t="str">
        <f aca="false">IF(OR(HE$169&lt;SwaptionFirstMonthPosition+1,$FJ181&lt;SwaptionFirstMonthPosition+1,HE$169&gt;SwaptionFirstMonthPosition+SwaptionNumOfMonths+1,$FJ181&gt;SwaptionFirstMonthPosition+SwaptionNumOfMonths+1),"",IF($FJ181=HE$169,1,IF($FJ181&lt;HE$169,INDEX($FK$170:$ID$241,HE$169,$FJ181),SUMPRODUCT(INDEX($FK$325:$ID$396,HE$169,1+SwaptionShift):INDEX($FK$325:$ID$396,HE$169,SwaptionMonthsToGo+SwaptionShift),INDEX($FK$245:$ID$316,$FJ181-HE$169,73-HE$169+SwaptionShift):INDEX($FK$245:$ID$316,$FJ181-HE$169,72-HE$169+SwaptionMonthsToGo+SwaptionShift))/SQRT(SUM(INDEX($FK336:$ID336,1+SwaptionShift):INDEX($FK336:$ID336,SwaptionMonthsToGo+SwaptionShift))*SUM(INDEX($FK$325:$ID$396,HE$169,1+SwaptionShift):INDEX($FK$325:$ID$396,HE$169,SwaptionMonthsToGo+SwaptionShift))))))</f>
        <v/>
      </c>
      <c r="HF181" s="150" t="str">
        <f aca="false">IF(OR(HF$169&lt;SwaptionFirstMonthPosition+1,$FJ181&lt;SwaptionFirstMonthPosition+1,HF$169&gt;SwaptionFirstMonthPosition+SwaptionNumOfMonths+1,$FJ181&gt;SwaptionFirstMonthPosition+SwaptionNumOfMonths+1),"",IF($FJ181=HF$169,1,IF($FJ181&lt;HF$169,INDEX($FK$170:$ID$241,HF$169,$FJ181),SUMPRODUCT(INDEX($FK$325:$ID$396,HF$169,1+SwaptionShift):INDEX($FK$325:$ID$396,HF$169,SwaptionMonthsToGo+SwaptionShift),INDEX($FK$245:$ID$316,$FJ181-HF$169,73-HF$169+SwaptionShift):INDEX($FK$245:$ID$316,$FJ181-HF$169,72-HF$169+SwaptionMonthsToGo+SwaptionShift))/SQRT(SUM(INDEX($FK336:$ID336,1+SwaptionShift):INDEX($FK336:$ID336,SwaptionMonthsToGo+SwaptionShift))*SUM(INDEX($FK$325:$ID$396,HF$169,1+SwaptionShift):INDEX($FK$325:$ID$396,HF$169,SwaptionMonthsToGo+SwaptionShift))))))</f>
        <v/>
      </c>
      <c r="HG181" s="150" t="str">
        <f aca="false">IF(OR(HG$169&lt;SwaptionFirstMonthPosition+1,$FJ181&lt;SwaptionFirstMonthPosition+1,HG$169&gt;SwaptionFirstMonthPosition+SwaptionNumOfMonths+1,$FJ181&gt;SwaptionFirstMonthPosition+SwaptionNumOfMonths+1),"",IF($FJ181=HG$169,1,IF($FJ181&lt;HG$169,INDEX($FK$170:$ID$241,HG$169,$FJ181),SUMPRODUCT(INDEX($FK$325:$ID$396,HG$169,1+SwaptionShift):INDEX($FK$325:$ID$396,HG$169,SwaptionMonthsToGo+SwaptionShift),INDEX($FK$245:$ID$316,$FJ181-HG$169,73-HG$169+SwaptionShift):INDEX($FK$245:$ID$316,$FJ181-HG$169,72-HG$169+SwaptionMonthsToGo+SwaptionShift))/SQRT(SUM(INDEX($FK336:$ID336,1+SwaptionShift):INDEX($FK336:$ID336,SwaptionMonthsToGo+SwaptionShift))*SUM(INDEX($FK$325:$ID$396,HG$169,1+SwaptionShift):INDEX($FK$325:$ID$396,HG$169,SwaptionMonthsToGo+SwaptionShift))))))</f>
        <v/>
      </c>
      <c r="HH181" s="150" t="str">
        <f aca="false">IF(OR(HH$169&lt;SwaptionFirstMonthPosition+1,$FJ181&lt;SwaptionFirstMonthPosition+1,HH$169&gt;SwaptionFirstMonthPosition+SwaptionNumOfMonths+1,$FJ181&gt;SwaptionFirstMonthPosition+SwaptionNumOfMonths+1),"",IF($FJ181=HH$169,1,IF($FJ181&lt;HH$169,INDEX($FK$170:$ID$241,HH$169,$FJ181),SUMPRODUCT(INDEX($FK$325:$ID$396,HH$169,1+SwaptionShift):INDEX($FK$325:$ID$396,HH$169,SwaptionMonthsToGo+SwaptionShift),INDEX($FK$245:$ID$316,$FJ181-HH$169,73-HH$169+SwaptionShift):INDEX($FK$245:$ID$316,$FJ181-HH$169,72-HH$169+SwaptionMonthsToGo+SwaptionShift))/SQRT(SUM(INDEX($FK336:$ID336,1+SwaptionShift):INDEX($FK336:$ID336,SwaptionMonthsToGo+SwaptionShift))*SUM(INDEX($FK$325:$ID$396,HH$169,1+SwaptionShift):INDEX($FK$325:$ID$396,HH$169,SwaptionMonthsToGo+SwaptionShift))))))</f>
        <v/>
      </c>
      <c r="HI181" s="150" t="str">
        <f aca="false">IF(OR(HI$169&lt;SwaptionFirstMonthPosition+1,$FJ181&lt;SwaptionFirstMonthPosition+1,HI$169&gt;SwaptionFirstMonthPosition+SwaptionNumOfMonths+1,$FJ181&gt;SwaptionFirstMonthPosition+SwaptionNumOfMonths+1),"",IF($FJ181=HI$169,1,IF($FJ181&lt;HI$169,INDEX($FK$170:$ID$241,HI$169,$FJ181),SUMPRODUCT(INDEX($FK$325:$ID$396,HI$169,1+SwaptionShift):INDEX($FK$325:$ID$396,HI$169,SwaptionMonthsToGo+SwaptionShift),INDEX($FK$245:$ID$316,$FJ181-HI$169,73-HI$169+SwaptionShift):INDEX($FK$245:$ID$316,$FJ181-HI$169,72-HI$169+SwaptionMonthsToGo+SwaptionShift))/SQRT(SUM(INDEX($FK336:$ID336,1+SwaptionShift):INDEX($FK336:$ID336,SwaptionMonthsToGo+SwaptionShift))*SUM(INDEX($FK$325:$ID$396,HI$169,1+SwaptionShift):INDEX($FK$325:$ID$396,HI$169,SwaptionMonthsToGo+SwaptionShift))))))</f>
        <v/>
      </c>
      <c r="HJ181" s="150" t="str">
        <f aca="false">IF(OR(HJ$169&lt;SwaptionFirstMonthPosition+1,$FJ181&lt;SwaptionFirstMonthPosition+1,HJ$169&gt;SwaptionFirstMonthPosition+SwaptionNumOfMonths+1,$FJ181&gt;SwaptionFirstMonthPosition+SwaptionNumOfMonths+1),"",IF($FJ181=HJ$169,1,IF($FJ181&lt;HJ$169,INDEX($FK$170:$ID$241,HJ$169,$FJ181),SUMPRODUCT(INDEX($FK$325:$ID$396,HJ$169,1+SwaptionShift):INDEX($FK$325:$ID$396,HJ$169,SwaptionMonthsToGo+SwaptionShift),INDEX($FK$245:$ID$316,$FJ181-HJ$169,73-HJ$169+SwaptionShift):INDEX($FK$245:$ID$316,$FJ181-HJ$169,72-HJ$169+SwaptionMonthsToGo+SwaptionShift))/SQRT(SUM(INDEX($FK336:$ID336,1+SwaptionShift):INDEX($FK336:$ID336,SwaptionMonthsToGo+SwaptionShift))*SUM(INDEX($FK$325:$ID$396,HJ$169,1+SwaptionShift):INDEX($FK$325:$ID$396,HJ$169,SwaptionMonthsToGo+SwaptionShift))))))</f>
        <v/>
      </c>
      <c r="HK181" s="150" t="str">
        <f aca="false">IF(OR(HK$169&lt;SwaptionFirstMonthPosition+1,$FJ181&lt;SwaptionFirstMonthPosition+1,HK$169&gt;SwaptionFirstMonthPosition+SwaptionNumOfMonths+1,$FJ181&gt;SwaptionFirstMonthPosition+SwaptionNumOfMonths+1),"",IF($FJ181=HK$169,1,IF($FJ181&lt;HK$169,INDEX($FK$170:$ID$241,HK$169,$FJ181),SUMPRODUCT(INDEX($FK$325:$ID$396,HK$169,1+SwaptionShift):INDEX($FK$325:$ID$396,HK$169,SwaptionMonthsToGo+SwaptionShift),INDEX($FK$245:$ID$316,$FJ181-HK$169,73-HK$169+SwaptionShift):INDEX($FK$245:$ID$316,$FJ181-HK$169,72-HK$169+SwaptionMonthsToGo+SwaptionShift))/SQRT(SUM(INDEX($FK336:$ID336,1+SwaptionShift):INDEX($FK336:$ID336,SwaptionMonthsToGo+SwaptionShift))*SUM(INDEX($FK$325:$ID$396,HK$169,1+SwaptionShift):INDEX($FK$325:$ID$396,HK$169,SwaptionMonthsToGo+SwaptionShift))))))</f>
        <v/>
      </c>
      <c r="HL181" s="150" t="str">
        <f aca="false">IF(OR(HL$169&lt;SwaptionFirstMonthPosition+1,$FJ181&lt;SwaptionFirstMonthPosition+1,HL$169&gt;SwaptionFirstMonthPosition+SwaptionNumOfMonths+1,$FJ181&gt;SwaptionFirstMonthPosition+SwaptionNumOfMonths+1),"",IF($FJ181=HL$169,1,IF($FJ181&lt;HL$169,INDEX($FK$170:$ID$241,HL$169,$FJ181),SUMPRODUCT(INDEX($FK$325:$ID$396,HL$169,1+SwaptionShift):INDEX($FK$325:$ID$396,HL$169,SwaptionMonthsToGo+SwaptionShift),INDEX($FK$245:$ID$316,$FJ181-HL$169,73-HL$169+SwaptionShift):INDEX($FK$245:$ID$316,$FJ181-HL$169,72-HL$169+SwaptionMonthsToGo+SwaptionShift))/SQRT(SUM(INDEX($FK336:$ID336,1+SwaptionShift):INDEX($FK336:$ID336,SwaptionMonthsToGo+SwaptionShift))*SUM(INDEX($FK$325:$ID$396,HL$169,1+SwaptionShift):INDEX($FK$325:$ID$396,HL$169,SwaptionMonthsToGo+SwaptionShift))))))</f>
        <v/>
      </c>
      <c r="HM181" s="150" t="str">
        <f aca="false">IF(OR(HM$169&lt;SwaptionFirstMonthPosition+1,$FJ181&lt;SwaptionFirstMonthPosition+1,HM$169&gt;SwaptionFirstMonthPosition+SwaptionNumOfMonths+1,$FJ181&gt;SwaptionFirstMonthPosition+SwaptionNumOfMonths+1),"",IF($FJ181=HM$169,1,IF($FJ181&lt;HM$169,INDEX($FK$170:$ID$241,HM$169,$FJ181),SUMPRODUCT(INDEX($FK$325:$ID$396,HM$169,1+SwaptionShift):INDEX($FK$325:$ID$396,HM$169,SwaptionMonthsToGo+SwaptionShift),INDEX($FK$245:$ID$316,$FJ181-HM$169,73-HM$169+SwaptionShift):INDEX($FK$245:$ID$316,$FJ181-HM$169,72-HM$169+SwaptionMonthsToGo+SwaptionShift))/SQRT(SUM(INDEX($FK336:$ID336,1+SwaptionShift):INDEX($FK336:$ID336,SwaptionMonthsToGo+SwaptionShift))*SUM(INDEX($FK$325:$ID$396,HM$169,1+SwaptionShift):INDEX($FK$325:$ID$396,HM$169,SwaptionMonthsToGo+SwaptionShift))))))</f>
        <v/>
      </c>
      <c r="HN181" s="150" t="str">
        <f aca="false">IF(OR(HN$169&lt;SwaptionFirstMonthPosition+1,$FJ181&lt;SwaptionFirstMonthPosition+1,HN$169&gt;SwaptionFirstMonthPosition+SwaptionNumOfMonths+1,$FJ181&gt;SwaptionFirstMonthPosition+SwaptionNumOfMonths+1),"",IF($FJ181=HN$169,1,IF($FJ181&lt;HN$169,INDEX($FK$170:$ID$241,HN$169,$FJ181),SUMPRODUCT(INDEX($FK$325:$ID$396,HN$169,1+SwaptionShift):INDEX($FK$325:$ID$396,HN$169,SwaptionMonthsToGo+SwaptionShift),INDEX($FK$245:$ID$316,$FJ181-HN$169,73-HN$169+SwaptionShift):INDEX($FK$245:$ID$316,$FJ181-HN$169,72-HN$169+SwaptionMonthsToGo+SwaptionShift))/SQRT(SUM(INDEX($FK336:$ID336,1+SwaptionShift):INDEX($FK336:$ID336,SwaptionMonthsToGo+SwaptionShift))*SUM(INDEX($FK$325:$ID$396,HN$169,1+SwaptionShift):INDEX($FK$325:$ID$396,HN$169,SwaptionMonthsToGo+SwaptionShift))))))</f>
        <v/>
      </c>
      <c r="HO181" s="150" t="str">
        <f aca="false">IF(OR(HO$169&lt;SwaptionFirstMonthPosition+1,$FJ181&lt;SwaptionFirstMonthPosition+1,HO$169&gt;SwaptionFirstMonthPosition+SwaptionNumOfMonths+1,$FJ181&gt;SwaptionFirstMonthPosition+SwaptionNumOfMonths+1),"",IF($FJ181=HO$169,1,IF($FJ181&lt;HO$169,INDEX($FK$170:$ID$241,HO$169,$FJ181),SUMPRODUCT(INDEX($FK$325:$ID$396,HO$169,1+SwaptionShift):INDEX($FK$325:$ID$396,HO$169,SwaptionMonthsToGo+SwaptionShift),INDEX($FK$245:$ID$316,$FJ181-HO$169,73-HO$169+SwaptionShift):INDEX($FK$245:$ID$316,$FJ181-HO$169,72-HO$169+SwaptionMonthsToGo+SwaptionShift))/SQRT(SUM(INDEX($FK336:$ID336,1+SwaptionShift):INDEX($FK336:$ID336,SwaptionMonthsToGo+SwaptionShift))*SUM(INDEX($FK$325:$ID$396,HO$169,1+SwaptionShift):INDEX($FK$325:$ID$396,HO$169,SwaptionMonthsToGo+SwaptionShift))))))</f>
        <v/>
      </c>
      <c r="HP181" s="150" t="str">
        <f aca="false">IF(OR(HP$169&lt;SwaptionFirstMonthPosition+1,$FJ181&lt;SwaptionFirstMonthPosition+1,HP$169&gt;SwaptionFirstMonthPosition+SwaptionNumOfMonths+1,$FJ181&gt;SwaptionFirstMonthPosition+SwaptionNumOfMonths+1),"",IF($FJ181=HP$169,1,IF($FJ181&lt;HP$169,INDEX($FK$170:$ID$241,HP$169,$FJ181),SUMPRODUCT(INDEX($FK$325:$ID$396,HP$169,1+SwaptionShift):INDEX($FK$325:$ID$396,HP$169,SwaptionMonthsToGo+SwaptionShift),INDEX($FK$245:$ID$316,$FJ181-HP$169,73-HP$169+SwaptionShift):INDEX($FK$245:$ID$316,$FJ181-HP$169,72-HP$169+SwaptionMonthsToGo+SwaptionShift))/SQRT(SUM(INDEX($FK336:$ID336,1+SwaptionShift):INDEX($FK336:$ID336,SwaptionMonthsToGo+SwaptionShift))*SUM(INDEX($FK$325:$ID$396,HP$169,1+SwaptionShift):INDEX($FK$325:$ID$396,HP$169,SwaptionMonthsToGo+SwaptionShift))))))</f>
        <v/>
      </c>
      <c r="HQ181" s="150" t="str">
        <f aca="false">IF(OR(HQ$169&lt;SwaptionFirstMonthPosition+1,$FJ181&lt;SwaptionFirstMonthPosition+1,HQ$169&gt;SwaptionFirstMonthPosition+SwaptionNumOfMonths+1,$FJ181&gt;SwaptionFirstMonthPosition+SwaptionNumOfMonths+1),"",IF($FJ181=HQ$169,1,IF($FJ181&lt;HQ$169,INDEX($FK$170:$ID$241,HQ$169,$FJ181),SUMPRODUCT(INDEX($FK$325:$ID$396,HQ$169,1+SwaptionShift):INDEX($FK$325:$ID$396,HQ$169,SwaptionMonthsToGo+SwaptionShift),INDEX($FK$245:$ID$316,$FJ181-HQ$169,73-HQ$169+SwaptionShift):INDEX($FK$245:$ID$316,$FJ181-HQ$169,72-HQ$169+SwaptionMonthsToGo+SwaptionShift))/SQRT(SUM(INDEX($FK336:$ID336,1+SwaptionShift):INDEX($FK336:$ID336,SwaptionMonthsToGo+SwaptionShift))*SUM(INDEX($FK$325:$ID$396,HQ$169,1+SwaptionShift):INDEX($FK$325:$ID$396,HQ$169,SwaptionMonthsToGo+SwaptionShift))))))</f>
        <v/>
      </c>
      <c r="HR181" s="150" t="str">
        <f aca="false">IF(OR(HR$169&lt;SwaptionFirstMonthPosition+1,$FJ181&lt;SwaptionFirstMonthPosition+1,HR$169&gt;SwaptionFirstMonthPosition+SwaptionNumOfMonths+1,$FJ181&gt;SwaptionFirstMonthPosition+SwaptionNumOfMonths+1),"",IF($FJ181=HR$169,1,IF($FJ181&lt;HR$169,INDEX($FK$170:$ID$241,HR$169,$FJ181),SUMPRODUCT(INDEX($FK$325:$ID$396,HR$169,1+SwaptionShift):INDEX($FK$325:$ID$396,HR$169,SwaptionMonthsToGo+SwaptionShift),INDEX($FK$245:$ID$316,$FJ181-HR$169,73-HR$169+SwaptionShift):INDEX($FK$245:$ID$316,$FJ181-HR$169,72-HR$169+SwaptionMonthsToGo+SwaptionShift))/SQRT(SUM(INDEX($FK336:$ID336,1+SwaptionShift):INDEX($FK336:$ID336,SwaptionMonthsToGo+SwaptionShift))*SUM(INDEX($FK$325:$ID$396,HR$169,1+SwaptionShift):INDEX($FK$325:$ID$396,HR$169,SwaptionMonthsToGo+SwaptionShift))))))</f>
        <v/>
      </c>
      <c r="HS181" s="150" t="str">
        <f aca="false">IF(OR(HS$169&lt;SwaptionFirstMonthPosition+1,$FJ181&lt;SwaptionFirstMonthPosition+1,HS$169&gt;SwaptionFirstMonthPosition+SwaptionNumOfMonths+1,$FJ181&gt;SwaptionFirstMonthPosition+SwaptionNumOfMonths+1),"",IF($FJ181=HS$169,1,IF($FJ181&lt;HS$169,INDEX($FK$170:$ID$241,HS$169,$FJ181),SUMPRODUCT(INDEX($FK$325:$ID$396,HS$169,1+SwaptionShift):INDEX($FK$325:$ID$396,HS$169,SwaptionMonthsToGo+SwaptionShift),INDEX($FK$245:$ID$316,$FJ181-HS$169,73-HS$169+SwaptionShift):INDEX($FK$245:$ID$316,$FJ181-HS$169,72-HS$169+SwaptionMonthsToGo+SwaptionShift))/SQRT(SUM(INDEX($FK336:$ID336,1+SwaptionShift):INDEX($FK336:$ID336,SwaptionMonthsToGo+SwaptionShift))*SUM(INDEX($FK$325:$ID$396,HS$169,1+SwaptionShift):INDEX($FK$325:$ID$396,HS$169,SwaptionMonthsToGo+SwaptionShift))))))</f>
        <v/>
      </c>
      <c r="HT181" s="150" t="str">
        <f aca="false">IF(OR(HT$169&lt;SwaptionFirstMonthPosition+1,$FJ181&lt;SwaptionFirstMonthPosition+1,HT$169&gt;SwaptionFirstMonthPosition+SwaptionNumOfMonths+1,$FJ181&gt;SwaptionFirstMonthPosition+SwaptionNumOfMonths+1),"",IF($FJ181=HT$169,1,IF($FJ181&lt;HT$169,INDEX($FK$170:$ID$241,HT$169,$FJ181),SUMPRODUCT(INDEX($FK$325:$ID$396,HT$169,1+SwaptionShift):INDEX($FK$325:$ID$396,HT$169,SwaptionMonthsToGo+SwaptionShift),INDEX($FK$245:$ID$316,$FJ181-HT$169,73-HT$169+SwaptionShift):INDEX($FK$245:$ID$316,$FJ181-HT$169,72-HT$169+SwaptionMonthsToGo+SwaptionShift))/SQRT(SUM(INDEX($FK336:$ID336,1+SwaptionShift):INDEX($FK336:$ID336,SwaptionMonthsToGo+SwaptionShift))*SUM(INDEX($FK$325:$ID$396,HT$169,1+SwaptionShift):INDEX($FK$325:$ID$396,HT$169,SwaptionMonthsToGo+SwaptionShift))))))</f>
        <v/>
      </c>
      <c r="HU181" s="150" t="str">
        <f aca="false">IF(OR(HU$169&lt;SwaptionFirstMonthPosition+1,$FJ181&lt;SwaptionFirstMonthPosition+1,HU$169&gt;SwaptionFirstMonthPosition+SwaptionNumOfMonths+1,$FJ181&gt;SwaptionFirstMonthPosition+SwaptionNumOfMonths+1),"",IF($FJ181=HU$169,1,IF($FJ181&lt;HU$169,INDEX($FK$170:$ID$241,HU$169,$FJ181),SUMPRODUCT(INDEX($FK$325:$ID$396,HU$169,1+SwaptionShift):INDEX($FK$325:$ID$396,HU$169,SwaptionMonthsToGo+SwaptionShift),INDEX($FK$245:$ID$316,$FJ181-HU$169,73-HU$169+SwaptionShift):INDEX($FK$245:$ID$316,$FJ181-HU$169,72-HU$169+SwaptionMonthsToGo+SwaptionShift))/SQRT(SUM(INDEX($FK336:$ID336,1+SwaptionShift):INDEX($FK336:$ID336,SwaptionMonthsToGo+SwaptionShift))*SUM(INDEX($FK$325:$ID$396,HU$169,1+SwaptionShift):INDEX($FK$325:$ID$396,HU$169,SwaptionMonthsToGo+SwaptionShift))))))</f>
        <v/>
      </c>
      <c r="HV181" s="150" t="str">
        <f aca="false">IF(OR(HV$169&lt;SwaptionFirstMonthPosition+1,$FJ181&lt;SwaptionFirstMonthPosition+1,HV$169&gt;SwaptionFirstMonthPosition+SwaptionNumOfMonths+1,$FJ181&gt;SwaptionFirstMonthPosition+SwaptionNumOfMonths+1),"",IF($FJ181=HV$169,1,IF($FJ181&lt;HV$169,INDEX($FK$170:$ID$241,HV$169,$FJ181),SUMPRODUCT(INDEX($FK$325:$ID$396,HV$169,1+SwaptionShift):INDEX($FK$325:$ID$396,HV$169,SwaptionMonthsToGo+SwaptionShift),INDEX($FK$245:$ID$316,$FJ181-HV$169,73-HV$169+SwaptionShift):INDEX($FK$245:$ID$316,$FJ181-HV$169,72-HV$169+SwaptionMonthsToGo+SwaptionShift))/SQRT(SUM(INDEX($FK336:$ID336,1+SwaptionShift):INDEX($FK336:$ID336,SwaptionMonthsToGo+SwaptionShift))*SUM(INDEX($FK$325:$ID$396,HV$169,1+SwaptionShift):INDEX($FK$325:$ID$396,HV$169,SwaptionMonthsToGo+SwaptionShift))))))</f>
        <v/>
      </c>
      <c r="HW181" s="150" t="str">
        <f aca="false">IF(OR(HW$169&lt;SwaptionFirstMonthPosition+1,$FJ181&lt;SwaptionFirstMonthPosition+1,HW$169&gt;SwaptionFirstMonthPosition+SwaptionNumOfMonths+1,$FJ181&gt;SwaptionFirstMonthPosition+SwaptionNumOfMonths+1),"",IF($FJ181=HW$169,1,IF($FJ181&lt;HW$169,INDEX($FK$170:$ID$241,HW$169,$FJ181),SUMPRODUCT(INDEX($FK$325:$ID$396,HW$169,1+SwaptionShift):INDEX($FK$325:$ID$396,HW$169,SwaptionMonthsToGo+SwaptionShift),INDEX($FK$245:$ID$316,$FJ181-HW$169,73-HW$169+SwaptionShift):INDEX($FK$245:$ID$316,$FJ181-HW$169,72-HW$169+SwaptionMonthsToGo+SwaptionShift))/SQRT(SUM(INDEX($FK336:$ID336,1+SwaptionShift):INDEX($FK336:$ID336,SwaptionMonthsToGo+SwaptionShift))*SUM(INDEX($FK$325:$ID$396,HW$169,1+SwaptionShift):INDEX($FK$325:$ID$396,HW$169,SwaptionMonthsToGo+SwaptionShift))))))</f>
        <v/>
      </c>
      <c r="HX181" s="150" t="str">
        <f aca="false">IF(OR(HX$169&lt;SwaptionFirstMonthPosition+1,$FJ181&lt;SwaptionFirstMonthPosition+1,HX$169&gt;SwaptionFirstMonthPosition+SwaptionNumOfMonths+1,$FJ181&gt;SwaptionFirstMonthPosition+SwaptionNumOfMonths+1),"",IF($FJ181=HX$169,1,IF($FJ181&lt;HX$169,INDEX($FK$170:$ID$241,HX$169,$FJ181),SUMPRODUCT(INDEX($FK$325:$ID$396,HX$169,1+SwaptionShift):INDEX($FK$325:$ID$396,HX$169,SwaptionMonthsToGo+SwaptionShift),INDEX($FK$245:$ID$316,$FJ181-HX$169,73-HX$169+SwaptionShift):INDEX($FK$245:$ID$316,$FJ181-HX$169,72-HX$169+SwaptionMonthsToGo+SwaptionShift))/SQRT(SUM(INDEX($FK336:$ID336,1+SwaptionShift):INDEX($FK336:$ID336,SwaptionMonthsToGo+SwaptionShift))*SUM(INDEX($FK$325:$ID$396,HX$169,1+SwaptionShift):INDEX($FK$325:$ID$396,HX$169,SwaptionMonthsToGo+SwaptionShift))))))</f>
        <v/>
      </c>
      <c r="HY181" s="150" t="str">
        <f aca="false">IF(OR(HY$169&lt;SwaptionFirstMonthPosition+1,$FJ181&lt;SwaptionFirstMonthPosition+1,HY$169&gt;SwaptionFirstMonthPosition+SwaptionNumOfMonths+1,$FJ181&gt;SwaptionFirstMonthPosition+SwaptionNumOfMonths+1),"",IF($FJ181=HY$169,1,IF($FJ181&lt;HY$169,INDEX($FK$170:$ID$241,HY$169,$FJ181),SUMPRODUCT(INDEX($FK$325:$ID$396,HY$169,1+SwaptionShift):INDEX($FK$325:$ID$396,HY$169,SwaptionMonthsToGo+SwaptionShift),INDEX($FK$245:$ID$316,$FJ181-HY$169,73-HY$169+SwaptionShift):INDEX($FK$245:$ID$316,$FJ181-HY$169,72-HY$169+SwaptionMonthsToGo+SwaptionShift))/SQRT(SUM(INDEX($FK336:$ID336,1+SwaptionShift):INDEX($FK336:$ID336,SwaptionMonthsToGo+SwaptionShift))*SUM(INDEX($FK$325:$ID$396,HY$169,1+SwaptionShift):INDEX($FK$325:$ID$396,HY$169,SwaptionMonthsToGo+SwaptionShift))))))</f>
        <v/>
      </c>
      <c r="HZ181" s="150" t="str">
        <f aca="false">IF(OR(HZ$169&lt;SwaptionFirstMonthPosition+1,$FJ181&lt;SwaptionFirstMonthPosition+1,HZ$169&gt;SwaptionFirstMonthPosition+SwaptionNumOfMonths+1,$FJ181&gt;SwaptionFirstMonthPosition+SwaptionNumOfMonths+1),"",IF($FJ181=HZ$169,1,IF($FJ181&lt;HZ$169,INDEX($FK$170:$ID$241,HZ$169,$FJ181),SUMPRODUCT(INDEX($FK$325:$ID$396,HZ$169,1+SwaptionShift):INDEX($FK$325:$ID$396,HZ$169,SwaptionMonthsToGo+SwaptionShift),INDEX($FK$245:$ID$316,$FJ181-HZ$169,73-HZ$169+SwaptionShift):INDEX($FK$245:$ID$316,$FJ181-HZ$169,72-HZ$169+SwaptionMonthsToGo+SwaptionShift))/SQRT(SUM(INDEX($FK336:$ID336,1+SwaptionShift):INDEX($FK336:$ID336,SwaptionMonthsToGo+SwaptionShift))*SUM(INDEX($FK$325:$ID$396,HZ$169,1+SwaptionShift):INDEX($FK$325:$ID$396,HZ$169,SwaptionMonthsToGo+SwaptionShift))))))</f>
        <v/>
      </c>
      <c r="IA181" s="150" t="str">
        <f aca="false">IF(OR(IA$169&lt;SwaptionFirstMonthPosition+1,$FJ181&lt;SwaptionFirstMonthPosition+1,IA$169&gt;SwaptionFirstMonthPosition+SwaptionNumOfMonths+1,$FJ181&gt;SwaptionFirstMonthPosition+SwaptionNumOfMonths+1),"",IF($FJ181=IA$169,1,IF($FJ181&lt;IA$169,INDEX($FK$170:$ID$241,IA$169,$FJ181),SUMPRODUCT(INDEX($FK$325:$ID$396,IA$169,1+SwaptionShift):INDEX($FK$325:$ID$396,IA$169,SwaptionMonthsToGo+SwaptionShift),INDEX($FK$245:$ID$316,$FJ181-IA$169,73-IA$169+SwaptionShift):INDEX($FK$245:$ID$316,$FJ181-IA$169,72-IA$169+SwaptionMonthsToGo+SwaptionShift))/SQRT(SUM(INDEX($FK336:$ID336,1+SwaptionShift):INDEX($FK336:$ID336,SwaptionMonthsToGo+SwaptionShift))*SUM(INDEX($FK$325:$ID$396,IA$169,1+SwaptionShift):INDEX($FK$325:$ID$396,IA$169,SwaptionMonthsToGo+SwaptionShift))))))</f>
        <v/>
      </c>
      <c r="IB181" s="150" t="str">
        <f aca="false">IF(OR(IB$169&lt;SwaptionFirstMonthPosition+1,$FJ181&lt;SwaptionFirstMonthPosition+1,IB$169&gt;SwaptionFirstMonthPosition+SwaptionNumOfMonths+1,$FJ181&gt;SwaptionFirstMonthPosition+SwaptionNumOfMonths+1),"",IF($FJ181=IB$169,1,IF($FJ181&lt;IB$169,INDEX($FK$170:$ID$241,IB$169,$FJ181),SUMPRODUCT(INDEX($FK$325:$ID$396,IB$169,1+SwaptionShift):INDEX($FK$325:$ID$396,IB$169,SwaptionMonthsToGo+SwaptionShift),INDEX($FK$245:$ID$316,$FJ181-IB$169,73-IB$169+SwaptionShift):INDEX($FK$245:$ID$316,$FJ181-IB$169,72-IB$169+SwaptionMonthsToGo+SwaptionShift))/SQRT(SUM(INDEX($FK336:$ID336,1+SwaptionShift):INDEX($FK336:$ID336,SwaptionMonthsToGo+SwaptionShift))*SUM(INDEX($FK$325:$ID$396,IB$169,1+SwaptionShift):INDEX($FK$325:$ID$396,IB$169,SwaptionMonthsToGo+SwaptionShift))))))</f>
        <v/>
      </c>
      <c r="IC181" s="150" t="str">
        <f aca="false">IF(OR(IC$169&lt;SwaptionFirstMonthPosition+1,$FJ181&lt;SwaptionFirstMonthPosition+1,IC$169&gt;SwaptionFirstMonthPosition+SwaptionNumOfMonths+1,$FJ181&gt;SwaptionFirstMonthPosition+SwaptionNumOfMonths+1),"",IF($FJ181=IC$169,1,IF($FJ181&lt;IC$169,INDEX($FK$170:$ID$241,IC$169,$FJ181),SUMPRODUCT(INDEX($FK$325:$ID$396,IC$169,1+SwaptionShift):INDEX($FK$325:$ID$396,IC$169,SwaptionMonthsToGo+SwaptionShift),INDEX($FK$245:$ID$316,$FJ181-IC$169,73-IC$169+SwaptionShift):INDEX($FK$245:$ID$316,$FJ181-IC$169,72-IC$169+SwaptionMonthsToGo+SwaptionShift))/SQRT(SUM(INDEX($FK336:$ID336,1+SwaptionShift):INDEX($FK336:$ID336,SwaptionMonthsToGo+SwaptionShift))*SUM(INDEX($FK$325:$ID$396,IC$169,1+SwaptionShift):INDEX($FK$325:$ID$396,IC$169,SwaptionMonthsToGo+SwaptionShift))))))</f>
        <v/>
      </c>
      <c r="ID181" s="572" t="str">
        <f aca="false">IF(OR(ID$169&lt;SwaptionFirstMonthPosition+1,$FJ181&lt;SwaptionFirstMonthPosition+1,ID$169&gt;SwaptionFirstMonthPosition+SwaptionNumOfMonths+1,$FJ181&gt;SwaptionFirstMonthPosition+SwaptionNumOfMonths+1),"",IF($FJ181=ID$169,1,IF($FJ181&lt;ID$169,INDEX($FK$170:$ID$241,ID$169,$FJ181),SUMPRODUCT(INDEX($FK$325:$ID$396,ID$169,1+SwaptionShift):INDEX($FK$325:$ID$396,ID$169,SwaptionMonthsToGo+SwaptionShift),INDEX($FK$245:$ID$316,$FJ181-ID$169,73-ID$169+SwaptionShift):INDEX($FK$245:$ID$316,$FJ181-ID$169,72-ID$169+SwaptionMonthsToGo+SwaptionShift))/SQRT(SUM(INDEX($FK336:$ID336,1+SwaptionShift):INDEX($FK336:$ID336,SwaptionMonthsToGo+SwaptionShift))*SUM(INDEX($FK$325:$ID$396,ID$169,1+SwaptionShift):INDEX($FK$325:$ID$396,ID$169,SwaptionMonthsToGo+SwaptionShift))))))</f>
        <v/>
      </c>
      <c r="IE181" s="129"/>
    </row>
    <row r="182" customFormat="false" ht="12.75" hidden="false" customHeight="false" outlineLevel="0" collapsed="false">
      <c r="H182" s="219" t="n">
        <f aca="false">VLOOKUP(I182,$EJ$20:$EL$54,3)</f>
        <v>0</v>
      </c>
      <c r="I182" s="511" t="n">
        <f aca="false">EOMONTH(I181,0)+1</f>
        <v>41699</v>
      </c>
      <c r="J182" s="512"/>
      <c r="K182" s="513" t="s">
        <v>280</v>
      </c>
      <c r="L182" s="514" t="n">
        <f aca="false">IF(ISNUMBER(K182),J182+K182/100,IF(K182="extra",L181+VLOOKUP(BF182,PriceSpreadTable,2)/12,IF(K182="inter",interpolateprices($K$19:$L$200,ROW(K182)-ROW(FirstPricingMonth)+1),interpolatechanges($J$19:$K$200,ROW(K182)-ROW(FirstPricingMonth)+1))))</f>
        <v>3.22500000000001</v>
      </c>
      <c r="M182" s="515"/>
      <c r="N182" s="516" t="n">
        <v>0</v>
      </c>
      <c r="O182" s="515" t="n">
        <f aca="false">M182+N182</f>
        <v>0</v>
      </c>
      <c r="P182" s="512"/>
      <c r="Q182" s="513" t="s">
        <v>280</v>
      </c>
      <c r="R182" s="512" t="e">
        <f aca="false">IF(ISNUMBER(Q182),P182+Q182/100,IF(Q182="extra",(Z180*AL180-R181*AM180)/AN180,IF(Q182="inter",interpolateprices($Q$19:$R$260,ROW(Q182)-ROW(FirstPricingMonth)+1),interpolatechanges($P$19:$Q$260,ROW(Q182)-ROW(FirstPricingMonth)+1))))</f>
        <v>#VALUE!</v>
      </c>
      <c r="S182" s="597" t="n">
        <f aca="false">S$19+(S181-S$19)*S$18</f>
        <v>0.36</v>
      </c>
      <c r="T182" s="575" t="n">
        <f aca="false">SQRT((1-(1-T181^2/U181)*T$18)*U182)</f>
        <v>0.999999999998931</v>
      </c>
      <c r="U182" s="576" t="n">
        <f aca="false">1-(1-U181)*U$18</f>
        <v>1</v>
      </c>
      <c r="V182" s="521" t="n">
        <v>0</v>
      </c>
      <c r="W182" s="577" t="n">
        <f aca="false">(J183*AJ182+J184*AK182)/AI182</f>
        <v>0</v>
      </c>
      <c r="X182" s="578" t="n">
        <f aca="false">(L183*AJ182+L184*AK182)/AI182</f>
        <v>3.27500000000001</v>
      </c>
      <c r="Y182" s="579" t="n">
        <f aca="false">IF(Q184="extra",W182-AA182,(P183*AM182+P184*AN182)/AL182)</f>
        <v>-1.1685</v>
      </c>
      <c r="Z182" s="579" t="n">
        <f aca="false">IF(Q184="extra",X182-AB182,(R183*AM182+R184*AN182)/AL182)</f>
        <v>2.10650000000001</v>
      </c>
      <c r="AA182" s="523" t="n">
        <f aca="false">IF(Q184="extra",INDEX(BrentSeasonalityTable,INT((BG182-1)/3)+1)*VLOOKUP(MAX(BF182,$AB$4),PriceSpreadTable,3),W182-Y182)</f>
        <v>1.1685</v>
      </c>
      <c r="AB182" s="524" t="n">
        <f aca="false">IF(Q184="extra",INDEX(BrentSeasonalityTable,INT((BG182-1)/3)+1)*VLOOKUP(MAX(BF182,$AB$4),PriceSpreadTable,3),X182-Z182)</f>
        <v>1.1685</v>
      </c>
      <c r="AC182" s="646" t="n">
        <v>41690</v>
      </c>
      <c r="AD182" s="646" t="n">
        <v>41686</v>
      </c>
      <c r="AE182" s="646" t="n">
        <v>41685</v>
      </c>
      <c r="AF182" s="646" t="n">
        <v>41681</v>
      </c>
      <c r="AG182" s="438" t="s">
        <v>278</v>
      </c>
      <c r="AH182" s="439" t="s">
        <v>278</v>
      </c>
      <c r="AI182" s="528" t="n">
        <v>21</v>
      </c>
      <c r="AJ182" s="529" t="n">
        <v>14</v>
      </c>
      <c r="AK182" s="529" t="n">
        <v>7</v>
      </c>
      <c r="AL182" s="530" t="n">
        <v>21</v>
      </c>
      <c r="AM182" s="529" t="n">
        <v>10</v>
      </c>
      <c r="AN182" s="531" t="n">
        <v>11</v>
      </c>
      <c r="AO182" s="532"/>
      <c r="AP182" s="465" t="n">
        <f aca="false">(1+AO182/2)^(-2*BL182)</f>
        <v>1</v>
      </c>
      <c r="AQ182" s="532"/>
      <c r="AR182" s="465" t="n">
        <f aca="false">(1+AQ182/2)^(-2*BH182/365.25)</f>
        <v>1</v>
      </c>
      <c r="AS182" s="580" t="n">
        <f aca="false">(O183*AJ182+O184*AK182)/AI182</f>
        <v>0</v>
      </c>
      <c r="AT182" s="468" t="n">
        <f aca="false">O182*VLOOKUP(BF182,BrentVolTable,2)+VLOOKUP(BF182,BrentVolTable,3)</f>
        <v>0</v>
      </c>
      <c r="AU182" s="468" t="n">
        <f aca="false">(AT183*AM182+AT184*AN182)/AL182</f>
        <v>0</v>
      </c>
      <c r="AV182" s="595" t="n">
        <f aca="false">SQRT(MAX(0.000000000001,(O182^2*BH182-S182^2*(BH182-BH181))/BH181))</f>
        <v>0.0306739291539638</v>
      </c>
      <c r="AW182" s="451" t="n">
        <f aca="false">IF($I182-DateToday+15&gt;=$T$8,"",IF($I182-DateToday+15&lt;$T$5,1,MATCH($I182-DateToday+15,$T$5:$T$8)))</f>
        <v>1</v>
      </c>
      <c r="AX182" s="468" t="n">
        <f aca="false">IF($AW182="",AX181^2/AX180,INDEX(U$5:U$8,$AW182)^((INDEX($T$5:$T$8,$AW182+1)-($I182-DateToday+15))/(INDEX($T$5:$T$8,$AW182+1)-INDEX($T$5:$T$8,$AW182)))/INDEX(U$5:U$8,$AW182+1)^((INDEX($T$5:$T$8,$AW182)-($I182-DateToday+15))/(INDEX($T$5:$T$8,$AW182+1)-INDEX($T$5:$T$8,$AW182))))</f>
        <v>0.393597044539238</v>
      </c>
      <c r="AY182" s="468" t="n">
        <f aca="false">IF($AW182="",AY181^2/AY180,INDEX(V$5:V$8,$AW182)^((INDEX($T$5:$T$8,$AW182+1)-($I182-DateToday+15))/(INDEX($T$5:$T$8,$AW182+1)-INDEX($T$5:$T$8,$AW182)))/INDEX(V$5:V$8,$AW182+1)^((INDEX($T$5:$T$8,$AW182)-($I182-DateToday+15))/(INDEX($T$5:$T$8,$AW182+1)-INDEX($T$5:$T$8,$AW182))))</f>
        <v>5.67956519249822</v>
      </c>
      <c r="AZ182" s="468" t="n">
        <f aca="false">IF($AW182="",AZ181^2/AZ180,INDEX(W$5:W$8,$AW182)^((INDEX($T$5:$T$8,$AW182+1)-($I182-DateToday+15))/(INDEX($T$5:$T$8,$AW182+1)-INDEX($T$5:$T$8,$AW182)))/INDEX(W$5:W$8,$AW182+1)^((INDEX($T$5:$T$8,$AW182)-($I182-DateToday+15))/(INDEX($T$5:$T$8,$AW182+1)-INDEX($T$5:$T$8,$AW182))))</f>
        <v>1145.62386527135</v>
      </c>
      <c r="BA182" s="468" t="n">
        <f aca="false">IF($AW182="",BA181^2/BA180,INDEX(X$5:X$8,$AW182)^((INDEX($T$5:$T$8,$AW182+1)-($I182-DateToday+15))/(INDEX($T$5:$T$8,$AW182+1)-INDEX($T$5:$T$8,$AW182)))/INDEX(X$5:X$8,$AW182+1)^((INDEX($T$5:$T$8,$AW182)-($I182-DateToday+15))/(INDEX($T$5:$T$8,$AW182+1)-INDEX($T$5:$T$8,$AW182))))</f>
        <v>4697.02257837939</v>
      </c>
      <c r="BB182" s="468" t="n">
        <f aca="false">IF($AW182="",BB181^2/BB180,INDEX(Y$5:Y$8,$AW182)^((INDEX($T$5:$T$8,$AW182+1)-($I182-DateToday+15))/(INDEX($T$5:$T$8,$AW182+1)-INDEX($T$5:$T$8,$AW182)))/INDEX(Y$5:Y$8,$AW182+1)^((INDEX($T$5:$T$8,$AW182)-($I182-DateToday+15))/(INDEX($T$5:$T$8,$AW182+1)-INDEX($T$5:$T$8,$AW182))))</f>
        <v>26132.6866630268</v>
      </c>
      <c r="BC182" s="468" t="n">
        <f aca="false">IF($AW182="",BC181^2/BC180,INDEX(Z$5:Z$8,$AW182)^((INDEX($T$5:$T$8,$AW182+1)-($I182-DateToday+15))/(INDEX($T$5:$T$8,$AW182+1)-INDEX($T$5:$T$8,$AW182)))/INDEX(Z$5:Z$8,$AW182+1)^((INDEX($T$5:$T$8,$AW182)-($I182-DateToday+15))/(INDEX($T$5:$T$8,$AW182+1)-INDEX($T$5:$T$8,$AW182))))</f>
        <v>74527.9126936288</v>
      </c>
      <c r="BD182" s="535" t="n">
        <f aca="false">IF(OR(DateStart&gt;=I183,DateEnd&lt;I182),0,IF(VolumeOverrideFlag,V182,Volume))</f>
        <v>0</v>
      </c>
      <c r="BE182" s="536" t="n">
        <f aca="false">IF(OR(DateStart2&gt;=I183,DateEnd2&lt;I182),0,IF(VolumeOverrideFlag,V182,VolumeSwaption))</f>
        <v>0</v>
      </c>
      <c r="BF182" s="537" t="n">
        <f aca="false">YEAR(I182)</f>
        <v>2014</v>
      </c>
      <c r="BG182" s="538" t="n">
        <f aca="false">MONTH(I182)</f>
        <v>3</v>
      </c>
      <c r="BH182" s="539" t="n">
        <f aca="false">AD182-DateToday+1</f>
        <v>-4239</v>
      </c>
      <c r="BI182" s="540" t="n">
        <f aca="false">(I182-DateToday+1)/365.25</f>
        <v>-11.5701574264203</v>
      </c>
      <c r="BJ182" s="541" t="n">
        <f aca="false">BI182+(BL182-BI182)*CHOOSE(Underlying,AJ182/AI182,AM182/AL182)</f>
        <v>-11.5154004106776</v>
      </c>
      <c r="BK182" s="541" t="n">
        <f aca="false">BJ182+1/365.25</f>
        <v>-11.5126625598905</v>
      </c>
      <c r="BL182" s="541" t="n">
        <f aca="false">(I183-DateToday)/365.25</f>
        <v>-11.4880219028063</v>
      </c>
      <c r="BM182" s="542" t="e">
        <f aca="false">MAX(BI182-(BJ182-BI182)*(S183^2/O183^2-1),0)</f>
        <v>#DIV/0!</v>
      </c>
      <c r="BN182" s="541" t="e">
        <f aca="false">MAX(BL182+(BL182-BK182)*(S184^2/O184^2-1),0)</f>
        <v>#DIV/0!</v>
      </c>
      <c r="BO182" s="530" t="n">
        <f aca="false">CHOOSE(Underlying,AI182,AL182)</f>
        <v>21</v>
      </c>
      <c r="BP182" s="529" t="n">
        <f aca="false">CHOOSE(Underlying,AJ182,AM182)</f>
        <v>14</v>
      </c>
      <c r="BQ182" s="529" t="n">
        <f aca="false">CHOOSE(Underlying,AK182,AN182)</f>
        <v>7</v>
      </c>
      <c r="BR182" s="463" t="str">
        <f aca="false">IF(BD182,IF(Underlying=1,X182,Z182)+UnderlyingPriceAsian-SwapPriceCurve,"")</f>
        <v/>
      </c>
      <c r="BS182" s="463" t="str">
        <f aca="false">IF(BD182,Strike1/BR182-1,"")</f>
        <v/>
      </c>
      <c r="BT182" s="464" t="str">
        <f aca="false">IF(BD182,Strike2/BR182-1,"")</f>
        <v/>
      </c>
      <c r="BU182" s="465" t="str">
        <f aca="false">IF(BD182,IF(Underlying=1,L183,R183)+UnderlyingPriceAsian-SwapPriceCurve,"")</f>
        <v/>
      </c>
      <c r="BV182" s="465" t="str">
        <f aca="false">IF(BD182,IF(Underlying=1,L184,R184)+UnderlyingPriceAsian-SwapPriceCurve,"")</f>
        <v/>
      </c>
      <c r="BW182" s="466" t="str">
        <f aca="false">IF(BD182,IF(Underlying=1,O183,AT183),"")</f>
        <v/>
      </c>
      <c r="BX182" s="467" t="str">
        <f aca="false">IF(BD182,IF(Underlying=1,O184,AT184),"")</f>
        <v/>
      </c>
      <c r="BY182" s="466" t="str">
        <f aca="false">IF(BD182,IF(BS182&gt;0,IF(BS182&gt;0.2,BC182-BB182,IF(BS182&gt;0.1,BB182-BA182,BA182)),IF(BS182&lt;-0.2,AX182-AY182,IF(BS182&lt;-0.1,AY182-AZ182,AZ182))),"")</f>
        <v/>
      </c>
      <c r="BZ182" s="467" t="str">
        <f aca="false">IF(BD182,IF(BT182&gt;0,IF(BT182&gt;0.2,BC182-BB182,IF(BT182&gt;0.1,BB182-BA182,BA182)),IF(BT182&lt;-0.2,AX182-AY182,IF(BT182&lt;-0.1,AY182-AZ182,AZ182))),"")</f>
        <v/>
      </c>
      <c r="CA182" s="468" t="str">
        <f aca="false">IF($BD182,$BW182+IF(VolSkewFlag=1,IF(BS182&gt;0,$BA182*MIN(BS182/10%,1)+($BB182-$BA182)*MAX(0,MIN(BS182/10%-1,1))+($BC182-$BB182)*MAX(0,BS182/10%-2),$AZ182*MIN(-BS182/10%,1)+($AY182-$AZ182)*MAX(0,MIN(-BS182/10%-1,1))+($AX182-$AY182)*MAX(0,-BS182/10%-2)),0),"")</f>
        <v/>
      </c>
      <c r="CB182" s="468" t="str">
        <f aca="false">IF($BD182,$BX182+IF(VolSkewFlag=1,IF(BS182&gt;0,$BA182*MIN(BS182/10%,1)+($BB182-$BA182)*MAX(0,MIN(BS182/10%-1,1))+($BC182-$BB182)*MAX(0,BS182/10%-2),$AZ182*MIN(-BS182/10%,1)+($AY182-$AZ182)*MAX(0,MIN(-BS182/10%-1,1))+($AX182-$AY182)*MAX(0,-BS182/10%-2)),0),"")</f>
        <v/>
      </c>
      <c r="CC182" s="468" t="str">
        <f aca="false">IF($BD182,$BW182+IF(VolSkewFlag=1,IF(BT182&gt;0,$BA182*MIN(BT182/10%,1)+($BB182-$BA182)*MAX(0,MIN(BT182/10%-1,1))+($BC182-$BB182)*MAX(0,BT182/10%-2),$AZ182*MIN(-BT182/10%,1)+($AY182-$AZ182)*MAX(0,MIN(-BT182/10%-1,1))+($AX182-$AY182)*MAX(0,-BT182/10%-2)),0),"")</f>
        <v/>
      </c>
      <c r="CD182" s="468" t="str">
        <f aca="false">IF($BD182,$BX182+IF(VolSkewFlag=1,IF(BT182&gt;0,$BA182*MIN(BT182/10%,1)+($BB182-$BA182)*MAX(0,MIN(BT182/10%-1,1))+($BC182-$BB182)*MAX(0,BT182/10%-2),$AZ182*MIN(-BT182/10%,1)+($AY182-$AZ182)*MAX(0,MIN(-BT182/10%-1,1))+($AX182-$AY182)*MAX(0,-BT182/10%-2)),0),"")</f>
        <v/>
      </c>
      <c r="CE182" s="469" t="n">
        <v>1</v>
      </c>
      <c r="CF182" s="470" t="n">
        <f aca="false">IF(BD182,xCrudeAPO(BU182,BV182,CA182,CB182,S183,S184,BI182,BL182,BP182,BQ182,0,Strike1,AO182,CE182,0,BL182,IF(OptControl=4,0,1),0,1),0)</f>
        <v>0</v>
      </c>
      <c r="CG182" s="470" t="n">
        <f aca="false">IF(BD182,xCrudeAPO(BU182,BV182,CA182,CB182,S183,S184,BI182,BL182,BP182,BQ182,0,Strike1,AO182,CE182,0,BL182,IF(OptControl=4,0,1),1,1)+xCrudeAPO(BU182,BV182,CA182,CB182,S183,S184,BI182,BL182,BP182,BQ182,0,Strike1,AO182,CE182,0,BL182,IF(OptControl=4,0,1),1,2)+IF(OR(VolSkewFlag=2,ABS(BS182)&lt;0.0001),0,IF(BS182&gt;0,-1,1)*CH182*Strike1/BR182^2*BY182/10%),0)</f>
        <v>0</v>
      </c>
      <c r="CH182" s="470" t="n">
        <f aca="false">IF(BD182,(xCrudeAPO(BU182,BV182,CA182,CB182,S183,S184,BI182,BL182,BP182,BQ182,0,Strike1,AO182,CE182,0,BL182,IF(OptControl=4,0,1),3,1)+xCrudeAPO(BU182,BV182,CA182,CB182,S183,S184,BI182,BL182,BP182,BQ182,0,Strike1,AO182,CE182,0,BL182,IF(OptControl=4,0,1),3,2))/100,0)</f>
        <v>0</v>
      </c>
      <c r="CI182" s="470" t="n">
        <f aca="false">IF(BD182,xCrudeAPO(BU182,BV182,CA182,CB182,S183,S184,BI182-DaysForThetaCalculation/365.25,BL182-DaysForThetaCalculation/365.25,BP182,BQ182,0,Strike1,AO182,CE182,0,BL182,IF(OptControl=4,0,1),0,1)-xCrudeAPO(BU182,BV182,CA182,CB182,S183,S184,BI182,BL182,BP182,BQ182,0,Strike1,AO182,CE182,0,BL182,IF(OptControl=4,0,1),0,1),0)</f>
        <v>0</v>
      </c>
      <c r="CJ182" s="471" t="n">
        <f aca="false">IF(BD182,xCrudeAPO(BU182,BV182,CC182,CD182,S183,S184,BI182,BL182,BP182,BQ182,0,Strike2,AO182,CE182,0,BL182,IF(OptControl=3,1,0),0,1),0)</f>
        <v>0</v>
      </c>
      <c r="CK182" s="470" t="n">
        <f aca="false">IF(BD182,xCrudeAPO(BU182,BV182,CC182,CD182,S183,S184,BI182,BL182,BP182,BQ182,0,Strike2,AO182,CE182,0,BL182,IF(OptControl=3,1,0),1,1)+xCrudeAPO(BU182,BV182,CC182,CD182,S183,S184,BI182,BL182,BP182,BQ182,0,Strike2,AO182,CE182,0,BL182,IF(OptControl=3,1,0),1,2)+IF(OR(VolSkewFlag=2,ABS(BT182)&lt;0.0001),0,IF(BT182&gt;0,-1,1)*CL182*Strike2/BR182^2*BZ182/10%),0)</f>
        <v>0</v>
      </c>
      <c r="CL182" s="470" t="n">
        <f aca="false">IF(BD182,(xCrudeAPO(BU182,BV182,CC182,CD182,S183,S184,BI182,BL182,BP182,BQ182,0,Strike2,AO182,CE182,0,BL182,IF(OptControl=3,1,0),3,1)+xCrudeAPO(BU182,BV182,CC182,CD182,S183,S184,BI182,BL182,BP182,BQ182,0,Strike2,AO182,CE182,0,BL182,IF(OptControl=3,1,0),3,2))/100,0)</f>
        <v>0</v>
      </c>
      <c r="CM182" s="472" t="n">
        <f aca="false">IF(BD182,xCrudeAPO(BU182,BV182,CC182,CD182,S183,S184,BI182-DaysForThetaCalculation/365.25,BL182-DaysForThetaCalculation/365.25,BP182,BQ182,0,Strike2,AO182,CE182,0,BL182,IF(OptControl=3,1,0),0,1)-xCrudeAPO(BU182,BV182,CC182,CD182,S183,S184,BI182,BL182,BP182,BQ182,0,Strike2,AO182,CE182,0,BL182,IF(OptControl=3,1,0),0,1),0)</f>
        <v>0</v>
      </c>
      <c r="CN182" s="3"/>
      <c r="CO182" s="543" t="str">
        <f aca="false">IF(BD182,CHOOSE(Underlying,AD182,AF182)-DateToday+1,"")</f>
        <v/>
      </c>
      <c r="CP182" s="582" t="str">
        <f aca="false">IF(BD182,CHOOSE(Underlying,L182,R182),"")</f>
        <v/>
      </c>
      <c r="CQ182" s="544" t="str">
        <f aca="false">IF(BD182,Strike1/CP182-1,"")</f>
        <v/>
      </c>
      <c r="CR182" s="544" t="str">
        <f aca="false">IF(BD182,Strike2/CP182-1,"")</f>
        <v/>
      </c>
      <c r="CS182" s="544" t="str">
        <f aca="false">IF(BD182,IF(CQ182&gt;0,IF(CQ182&gt;0.2,BC181-BB181,IF(CQ182&gt;0.1,BB181-BA181,BA181)),IF(CQ182&lt;-0.2,AX181-AY181,IF(CQ182&lt;-0.1,AY181-AZ181,AZ181))),"")</f>
        <v/>
      </c>
      <c r="CT182" s="544" t="str">
        <f aca="false">IF(BD182,IF(CR182&gt;0,IF(CR182&gt;0.2,BC181-BB181,IF(CR182&gt;0.1,BB181-BA181,BA181)),IF(CR182&lt;-0.2,AX181-AY181,IF(CR182&lt;-0.1,AY181-AZ181,AZ181))),"")</f>
        <v/>
      </c>
      <c r="CU182" s="545" t="str">
        <f aca="false">IF(BD182,CHOOSE(Underlying,O182,AT182),"")</f>
        <v/>
      </c>
      <c r="CV182" s="545" t="str">
        <f aca="false">IF(BD182,CU182+IF(VolSkewFlag=1,IF(CQ182&gt;0,BA181*MIN(CQ182/10%,1)+(BB181-BA181)*MAX(0,MIN(CQ182/10%-1,1))+(BC181-BB181)*MAX(0,CQ182/10%-2),AZ181*MIN(-CQ182/10%,1)+(AY181-AZ181)*MAX(0,MIN(-CQ182/10%-1,1))+(AX181-AY181)*MAX(0,-CQ182/10%-2)),0),"")</f>
        <v/>
      </c>
      <c r="CW182" s="545" t="str">
        <f aca="false">IF(BD182,CU182+IF(VolSkewFlag=1,IF(CR182&gt;0,BA181*MIN(CR182/10%,1)+(BB181-BA181)*MAX(0,MIN(CR182/10%-1,1))+(BC181-BB181)*MAX(0,CR182/10%-2),AZ181*MIN(-CR182/10%,1)+(AY181-AZ181)*MAX(0,MIN(-CR182/10%-1,1))+(AX181-AY181)*MAX(0,-CR182/10%-2)),0),"")</f>
        <v/>
      </c>
      <c r="CX182" s="470" t="n">
        <f aca="false">IF(BD182,EURO(CP182,Strike1,AO182,AO182,CV182,CO182,IF(OptControl=4,0,1),0),0)</f>
        <v>0</v>
      </c>
      <c r="CY182" s="470" t="n">
        <f aca="false">IF(BD182,EURO(CP182,Strike1,AO182,AO182,CV182,CO182,IF(OptControl=4,0,1),1)+IF(OR(VolSkewFlag=2,ABS(CQ182)&lt;0.0001),0,IF(CQ182&gt;0,-1,1)*CZ182*100*Strike1/CP182^2*CS182/10%),0)</f>
        <v>0</v>
      </c>
      <c r="CZ182" s="470" t="n">
        <f aca="false">IF(BD182,EURO(CP182,Strike1,AO182,AO182,CV182,CO182,IF(OptControl=4,0,1),3)/100,0)</f>
        <v>0</v>
      </c>
      <c r="DA182" s="470" t="n">
        <f aca="false">IF(BD182,EURO(CP182,Strike1,AO182,AO182,CV182,CO182,IF(OptControl=4,0,1),0)-EURO(CP182,Strike1,AO182,AO182,CV182,CO182-1,IF(OptControl=4,0,1),0),0)</f>
        <v>0</v>
      </c>
      <c r="DB182" s="470" t="n">
        <f aca="false">IF(BD182,EURO(CP182,Strike2,AO182,AO182,CW182,CO182,IF(OptControl=3,1,0),0),0)</f>
        <v>0</v>
      </c>
      <c r="DC182" s="470" t="n">
        <f aca="false">IF(BD182,EURO(CP182,Strike2,AO182,AO182,CW182,CO182,IF(OptControl=3,1,0),1)+IF(OR(VolSkewFlag=2,ABS(CR182)&lt;0.0001),0,IF(CR182&gt;0,-1,1)*DD182*100*Strike2/CP182^2*CT182/10%),0)</f>
        <v>0</v>
      </c>
      <c r="DD182" s="470" t="n">
        <f aca="false">IF(BD182,EURO(CP182,Strike2,AO182,AO182,CW182,CO182,IF(OptControl=3,1,0),3)/100,0)</f>
        <v>0</v>
      </c>
      <c r="DE182" s="472" t="n">
        <f aca="false">IF(BD182,EURO(CP182,Strike2,AO182,AO182,CW182,CO182,IF(OptControl=3,1,0),0)-EURO(CP182,Strike2,AO182,AO182,CW182,CO182-1,IF(OptControl=3,1,0),0),0)</f>
        <v>0</v>
      </c>
      <c r="DG182" s="481" t="n">
        <f aca="false">EOMONTH(DG181,0)+1</f>
        <v>50618</v>
      </c>
      <c r="DH182" s="478" t="n">
        <v>22.2600000000001</v>
      </c>
      <c r="DI182" s="479" t="n">
        <v>22.3281818181819</v>
      </c>
      <c r="DJ182" s="480" t="n">
        <f aca="false">DG182</f>
        <v>50618</v>
      </c>
      <c r="DK182" s="478" t="n">
        <v>20.8638948248817</v>
      </c>
      <c r="DL182" s="479" t="n">
        <v>21.0612818181819</v>
      </c>
      <c r="DM182" s="481" t="n">
        <f aca="false">DG182</f>
        <v>50618</v>
      </c>
      <c r="DN182" s="482" t="n">
        <f aca="false">DK182+BrentPhyBrentSpread</f>
        <v>20.9138948248817</v>
      </c>
      <c r="DO182" s="481" t="n">
        <f aca="false">DG182</f>
        <v>50618</v>
      </c>
      <c r="DP182" s="483" t="n">
        <f aca="false">DL182+DQ182</f>
        <v>21.0612818181819</v>
      </c>
      <c r="DQ182" s="546" t="n">
        <v>0</v>
      </c>
      <c r="DR182" s="480" t="n">
        <f aca="false">DG182</f>
        <v>50618</v>
      </c>
      <c r="DS182" s="485" t="n">
        <v>0.127399999999998</v>
      </c>
      <c r="DT182" s="486" t="n">
        <v>0.126581818181816</v>
      </c>
      <c r="DU182" s="480" t="n">
        <f aca="false">DG182</f>
        <v>50618</v>
      </c>
      <c r="DV182" s="485" t="n">
        <v>0.127399999999998</v>
      </c>
      <c r="DW182" s="486" t="n">
        <v>0.126581818181816</v>
      </c>
      <c r="DX182" s="481" t="n">
        <f aca="false">DG182</f>
        <v>50618</v>
      </c>
      <c r="DY182" s="486" t="n">
        <v>0.35</v>
      </c>
      <c r="DZ182" s="481" t="n">
        <f aca="false">DR182</f>
        <v>50618</v>
      </c>
      <c r="EA182" s="486" t="n">
        <f aca="false">DT182</f>
        <v>0.126581818181816</v>
      </c>
      <c r="EB182" s="195"/>
      <c r="EC182" s="547" t="str">
        <f aca="false">IF(BD182,IF(Underlying=1,AS182,AU182),"")</f>
        <v/>
      </c>
      <c r="ED182" s="548" t="str">
        <f aca="false">IF($BD182,$EC182+IF(VolSkewFlag=1,IF(BS182&gt;0,$BA182*MIN(BS182/10%,1)+($BB182-$BA182)*MAX(0,MIN(BS182/10%-1,1))+($BC182-$BB182)*MAX(0,BS182/10%-2),$AZ182*MIN(-BS182/10%,1)+($AY182-$AZ182)*MAX(0,MIN(-BS182/10%-1,1))+($AX182-$AY182)*MAX(0,-BS182/10%-2)),0),"")</f>
        <v/>
      </c>
      <c r="EE182" s="549" t="str">
        <f aca="false">IF($BD182,$EC182+IF(VolSkewFlag=1,IF(BT182&gt;0,$BA182*MIN(BT182/10%,1)+($BB182-$BA182)*MAX(0,MIN(BT182/10%-1,1))+($BC182-$BB182)*MAX(0,BT182/10%-2),$AZ182*MIN(-BT182/10%,1)+($AY182-$AZ182)*MAX(0,MIN(-BT182/10%-1,1))+($AX182-$AY182)*MAX(0,-BT182/10%-2)),0),"")</f>
        <v/>
      </c>
      <c r="EF182" s="550" t="n">
        <f aca="false">IF(BD182,xASN(BR182,Strike1,AO182,ED182,0,BO182,0,BI182,BL182,IF(OptControl=4,0,1),0),0)</f>
        <v>0</v>
      </c>
      <c r="EG182" s="551" t="n">
        <f aca="false">IF(BD182,xASN(BR182,Strike2,AO182,EE182,0,BO182,0,BI182,BL182,IF(OptControl=3,1,0),0),0)</f>
        <v>0</v>
      </c>
      <c r="EL182" s="1"/>
      <c r="EM182" s="195"/>
      <c r="EN182" s="240"/>
      <c r="EO182" s="240"/>
      <c r="EP182" s="195"/>
      <c r="EQ182" s="407" t="s">
        <v>410</v>
      </c>
      <c r="ES182" s="130"/>
      <c r="ET182" s="19"/>
      <c r="EU182" s="672"/>
      <c r="EV182" s="478"/>
      <c r="EW182" s="131"/>
      <c r="EX182" s="131"/>
      <c r="EY182" s="129"/>
      <c r="EZ182" s="129"/>
      <c r="FA182" s="129"/>
      <c r="FB182" s="129"/>
      <c r="FC182" s="129"/>
      <c r="FD182" s="129"/>
      <c r="FE182" s="129"/>
      <c r="FF182" s="129"/>
      <c r="FG182" s="129"/>
      <c r="FH182" s="129"/>
      <c r="FI182" s="129"/>
      <c r="FJ182" s="571" t="n">
        <v>13</v>
      </c>
      <c r="FK182" s="150" t="str">
        <f aca="false">IF(OR(FK$169&lt;SwaptionFirstMonthPosition+1,$FJ182&lt;SwaptionFirstMonthPosition+1,FK$169&gt;SwaptionFirstMonthPosition+SwaptionNumOfMonths+1,$FJ182&gt;SwaptionFirstMonthPosition+SwaptionNumOfMonths+1),"",IF($FJ182=FK$169,1,IF($FJ182&lt;FK$169,INDEX($FK$170:$ID$241,FK$169,$FJ182),SUMPRODUCT(INDEX($FK$325:$ID$396,FK$169,1+SwaptionShift):INDEX($FK$325:$ID$396,FK$169,SwaptionMonthsToGo+SwaptionShift),INDEX($FK$245:$ID$316,$FJ182-FK$169,73-FK$169+SwaptionShift):INDEX($FK$245:$ID$316,$FJ182-FK$169,72-FK$169+SwaptionMonthsToGo+SwaptionShift))/SQRT(SUM(INDEX($FK337:$ID337,1+SwaptionShift):INDEX($FK337:$ID337,SwaptionMonthsToGo+SwaptionShift))*SUM(INDEX($FK$325:$ID$396,FK$169,1+SwaptionShift):INDEX($FK$325:$ID$396,FK$169,SwaptionMonthsToGo+SwaptionShift))))))</f>
        <v/>
      </c>
      <c r="FL182" s="150" t="str">
        <f aca="false">IF(OR(FL$169&lt;SwaptionFirstMonthPosition+1,$FJ182&lt;SwaptionFirstMonthPosition+1,FL$169&gt;SwaptionFirstMonthPosition+SwaptionNumOfMonths+1,$FJ182&gt;SwaptionFirstMonthPosition+SwaptionNumOfMonths+1),"",IF($FJ182=FL$169,1,IF($FJ182&lt;FL$169,INDEX($FK$170:$ID$241,FL$169,$FJ182),SUMPRODUCT(INDEX($FK$325:$ID$396,FL$169,1+SwaptionShift):INDEX($FK$325:$ID$396,FL$169,SwaptionMonthsToGo+SwaptionShift),INDEX($FK$245:$ID$316,$FJ182-FL$169,73-FL$169+SwaptionShift):INDEX($FK$245:$ID$316,$FJ182-FL$169,72-FL$169+SwaptionMonthsToGo+SwaptionShift))/SQRT(SUM(INDEX($FK337:$ID337,1+SwaptionShift):INDEX($FK337:$ID337,SwaptionMonthsToGo+SwaptionShift))*SUM(INDEX($FK$325:$ID$396,FL$169,1+SwaptionShift):INDEX($FK$325:$ID$396,FL$169,SwaptionMonthsToGo+SwaptionShift))))))</f>
        <v/>
      </c>
      <c r="FM182" s="150" t="str">
        <f aca="false">IF(OR(FM$169&lt;SwaptionFirstMonthPosition+1,$FJ182&lt;SwaptionFirstMonthPosition+1,FM$169&gt;SwaptionFirstMonthPosition+SwaptionNumOfMonths+1,$FJ182&gt;SwaptionFirstMonthPosition+SwaptionNumOfMonths+1),"",IF($FJ182=FM$169,1,IF($FJ182&lt;FM$169,INDEX($FK$170:$ID$241,FM$169,$FJ182),SUMPRODUCT(INDEX($FK$325:$ID$396,FM$169,1+SwaptionShift):INDEX($FK$325:$ID$396,FM$169,SwaptionMonthsToGo+SwaptionShift),INDEX($FK$245:$ID$316,$FJ182-FM$169,73-FM$169+SwaptionShift):INDEX($FK$245:$ID$316,$FJ182-FM$169,72-FM$169+SwaptionMonthsToGo+SwaptionShift))/SQRT(SUM(INDEX($FK337:$ID337,1+SwaptionShift):INDEX($FK337:$ID337,SwaptionMonthsToGo+SwaptionShift))*SUM(INDEX($FK$325:$ID$396,FM$169,1+SwaptionShift):INDEX($FK$325:$ID$396,FM$169,SwaptionMonthsToGo+SwaptionShift))))))</f>
        <v/>
      </c>
      <c r="FN182" s="150" t="str">
        <f aca="false">IF(OR(FN$169&lt;SwaptionFirstMonthPosition+1,$FJ182&lt;SwaptionFirstMonthPosition+1,FN$169&gt;SwaptionFirstMonthPosition+SwaptionNumOfMonths+1,$FJ182&gt;SwaptionFirstMonthPosition+SwaptionNumOfMonths+1),"",IF($FJ182=FN$169,1,IF($FJ182&lt;FN$169,INDEX($FK$170:$ID$241,FN$169,$FJ182),SUMPRODUCT(INDEX($FK$325:$ID$396,FN$169,1+SwaptionShift):INDEX($FK$325:$ID$396,FN$169,SwaptionMonthsToGo+SwaptionShift),INDEX($FK$245:$ID$316,$FJ182-FN$169,73-FN$169+SwaptionShift):INDEX($FK$245:$ID$316,$FJ182-FN$169,72-FN$169+SwaptionMonthsToGo+SwaptionShift))/SQRT(SUM(INDEX($FK337:$ID337,1+SwaptionShift):INDEX($FK337:$ID337,SwaptionMonthsToGo+SwaptionShift))*SUM(INDEX($FK$325:$ID$396,FN$169,1+SwaptionShift):INDEX($FK$325:$ID$396,FN$169,SwaptionMonthsToGo+SwaptionShift))))))</f>
        <v/>
      </c>
      <c r="FO182" s="150" t="str">
        <f aca="false">IF(OR(FO$169&lt;SwaptionFirstMonthPosition+1,$FJ182&lt;SwaptionFirstMonthPosition+1,FO$169&gt;SwaptionFirstMonthPosition+SwaptionNumOfMonths+1,$FJ182&gt;SwaptionFirstMonthPosition+SwaptionNumOfMonths+1),"",IF($FJ182=FO$169,1,IF($FJ182&lt;FO$169,INDEX($FK$170:$ID$241,FO$169,$FJ182),SUMPRODUCT(INDEX($FK$325:$ID$396,FO$169,1+SwaptionShift):INDEX($FK$325:$ID$396,FO$169,SwaptionMonthsToGo+SwaptionShift),INDEX($FK$245:$ID$316,$FJ182-FO$169,73-FO$169+SwaptionShift):INDEX($FK$245:$ID$316,$FJ182-FO$169,72-FO$169+SwaptionMonthsToGo+SwaptionShift))/SQRT(SUM(INDEX($FK337:$ID337,1+SwaptionShift):INDEX($FK337:$ID337,SwaptionMonthsToGo+SwaptionShift))*SUM(INDEX($FK$325:$ID$396,FO$169,1+SwaptionShift):INDEX($FK$325:$ID$396,FO$169,SwaptionMonthsToGo+SwaptionShift))))))</f>
        <v/>
      </c>
      <c r="FP182" s="150" t="e">
        <f aca="false">IF(OR(FP$169&lt;SwaptionFirstMonthPosition+1,$FJ182&lt;SwaptionFirstMonthPosition+1,FP$169&gt;SwaptionFirstMonthPosition+SwaptionNumOfMonths+1,$FJ182&gt;SwaptionFirstMonthPosition+SwaptionNumOfMonths+1),"",IF($FJ182=FP$169,1,IF($FJ182&lt;FP$169,INDEX($FK$170:$ID$241,FP$169,$FJ182),SUMPRODUCT(INDEX($FK$325:$ID$396,FP$169,1+SwaptionShift):INDEX($FK$325:$ID$396,FP$169,SwaptionMonthsToGo+SwaptionShift),INDEX($FK$245:$ID$316,$FJ182-FP$169,73-FP$169+SwaptionShift):INDEX($FK$245:$ID$316,$FJ182-FP$169,72-FP$169+SwaptionMonthsToGo+SwaptionShift))/SQRT(SUM(INDEX($FK337:$ID337,1+SwaptionShift):INDEX($FK337:$ID337,SwaptionMonthsToGo+SwaptionShift))*SUM(INDEX($FK$325:$ID$396,FP$169,1+SwaptionShift):INDEX($FK$325:$ID$396,FP$169,SwaptionMonthsToGo+SwaptionShift))))))</f>
        <v>#DIV/0!</v>
      </c>
      <c r="FQ182" s="150" t="e">
        <f aca="false">IF(OR(FQ$169&lt;SwaptionFirstMonthPosition+1,$FJ182&lt;SwaptionFirstMonthPosition+1,FQ$169&gt;SwaptionFirstMonthPosition+SwaptionNumOfMonths+1,$FJ182&gt;SwaptionFirstMonthPosition+SwaptionNumOfMonths+1),"",IF($FJ182=FQ$169,1,IF($FJ182&lt;FQ$169,INDEX($FK$170:$ID$241,FQ$169,$FJ182),SUMPRODUCT(INDEX($FK$325:$ID$396,FQ$169,1+SwaptionShift):INDEX($FK$325:$ID$396,FQ$169,SwaptionMonthsToGo+SwaptionShift),INDEX($FK$245:$ID$316,$FJ182-FQ$169,73-FQ$169+SwaptionShift):INDEX($FK$245:$ID$316,$FJ182-FQ$169,72-FQ$169+SwaptionMonthsToGo+SwaptionShift))/SQRT(SUM(INDEX($FK337:$ID337,1+SwaptionShift):INDEX($FK337:$ID337,SwaptionMonthsToGo+SwaptionShift))*SUM(INDEX($FK$325:$ID$396,FQ$169,1+SwaptionShift):INDEX($FK$325:$ID$396,FQ$169,SwaptionMonthsToGo+SwaptionShift))))))</f>
        <v>#DIV/0!</v>
      </c>
      <c r="FR182" s="150" t="e">
        <f aca="false">IF(OR(FR$169&lt;SwaptionFirstMonthPosition+1,$FJ182&lt;SwaptionFirstMonthPosition+1,FR$169&gt;SwaptionFirstMonthPosition+SwaptionNumOfMonths+1,$FJ182&gt;SwaptionFirstMonthPosition+SwaptionNumOfMonths+1),"",IF($FJ182=FR$169,1,IF($FJ182&lt;FR$169,INDEX($FK$170:$ID$241,FR$169,$FJ182),SUMPRODUCT(INDEX($FK$325:$ID$396,FR$169,1+SwaptionShift):INDEX($FK$325:$ID$396,FR$169,SwaptionMonthsToGo+SwaptionShift),INDEX($FK$245:$ID$316,$FJ182-FR$169,73-FR$169+SwaptionShift):INDEX($FK$245:$ID$316,$FJ182-FR$169,72-FR$169+SwaptionMonthsToGo+SwaptionShift))/SQRT(SUM(INDEX($FK337:$ID337,1+SwaptionShift):INDEX($FK337:$ID337,SwaptionMonthsToGo+SwaptionShift))*SUM(INDEX($FK$325:$ID$396,FR$169,1+SwaptionShift):INDEX($FK$325:$ID$396,FR$169,SwaptionMonthsToGo+SwaptionShift))))))</f>
        <v>#DIV/0!</v>
      </c>
      <c r="FS182" s="150" t="e">
        <f aca="false">IF(OR(FS$169&lt;SwaptionFirstMonthPosition+1,$FJ182&lt;SwaptionFirstMonthPosition+1,FS$169&gt;SwaptionFirstMonthPosition+SwaptionNumOfMonths+1,$FJ182&gt;SwaptionFirstMonthPosition+SwaptionNumOfMonths+1),"",IF($FJ182=FS$169,1,IF($FJ182&lt;FS$169,INDEX($FK$170:$ID$241,FS$169,$FJ182),SUMPRODUCT(INDEX($FK$325:$ID$396,FS$169,1+SwaptionShift):INDEX($FK$325:$ID$396,FS$169,SwaptionMonthsToGo+SwaptionShift),INDEX($FK$245:$ID$316,$FJ182-FS$169,73-FS$169+SwaptionShift):INDEX($FK$245:$ID$316,$FJ182-FS$169,72-FS$169+SwaptionMonthsToGo+SwaptionShift))/SQRT(SUM(INDEX($FK337:$ID337,1+SwaptionShift):INDEX($FK337:$ID337,SwaptionMonthsToGo+SwaptionShift))*SUM(INDEX($FK$325:$ID$396,FS$169,1+SwaptionShift):INDEX($FK$325:$ID$396,FS$169,SwaptionMonthsToGo+SwaptionShift))))))</f>
        <v>#DIV/0!</v>
      </c>
      <c r="FT182" s="150" t="e">
        <f aca="false">IF(OR(FT$169&lt;SwaptionFirstMonthPosition+1,$FJ182&lt;SwaptionFirstMonthPosition+1,FT$169&gt;SwaptionFirstMonthPosition+SwaptionNumOfMonths+1,$FJ182&gt;SwaptionFirstMonthPosition+SwaptionNumOfMonths+1),"",IF($FJ182=FT$169,1,IF($FJ182&lt;FT$169,INDEX($FK$170:$ID$241,FT$169,$FJ182),SUMPRODUCT(INDEX($FK$325:$ID$396,FT$169,1+SwaptionShift):INDEX($FK$325:$ID$396,FT$169,SwaptionMonthsToGo+SwaptionShift),INDEX($FK$245:$ID$316,$FJ182-FT$169,73-FT$169+SwaptionShift):INDEX($FK$245:$ID$316,$FJ182-FT$169,72-FT$169+SwaptionMonthsToGo+SwaptionShift))/SQRT(SUM(INDEX($FK337:$ID337,1+SwaptionShift):INDEX($FK337:$ID337,SwaptionMonthsToGo+SwaptionShift))*SUM(INDEX($FK$325:$ID$396,FT$169,1+SwaptionShift):INDEX($FK$325:$ID$396,FT$169,SwaptionMonthsToGo+SwaptionShift))))))</f>
        <v>#DIV/0!</v>
      </c>
      <c r="FU182" s="150" t="e">
        <f aca="false">IF(OR(FU$169&lt;SwaptionFirstMonthPosition+1,$FJ182&lt;SwaptionFirstMonthPosition+1,FU$169&gt;SwaptionFirstMonthPosition+SwaptionNumOfMonths+1,$FJ182&gt;SwaptionFirstMonthPosition+SwaptionNumOfMonths+1),"",IF($FJ182=FU$169,1,IF($FJ182&lt;FU$169,INDEX($FK$170:$ID$241,FU$169,$FJ182),SUMPRODUCT(INDEX($FK$325:$ID$396,FU$169,1+SwaptionShift):INDEX($FK$325:$ID$396,FU$169,SwaptionMonthsToGo+SwaptionShift),INDEX($FK$245:$ID$316,$FJ182-FU$169,73-FU$169+SwaptionShift):INDEX($FK$245:$ID$316,$FJ182-FU$169,72-FU$169+SwaptionMonthsToGo+SwaptionShift))/SQRT(SUM(INDEX($FK337:$ID337,1+SwaptionShift):INDEX($FK337:$ID337,SwaptionMonthsToGo+SwaptionShift))*SUM(INDEX($FK$325:$ID$396,FU$169,1+SwaptionShift):INDEX($FK$325:$ID$396,FU$169,SwaptionMonthsToGo+SwaptionShift))))))</f>
        <v>#DIV/0!</v>
      </c>
      <c r="FV182" s="150" t="e">
        <f aca="false">IF(OR(FV$169&lt;SwaptionFirstMonthPosition+1,$FJ182&lt;SwaptionFirstMonthPosition+1,FV$169&gt;SwaptionFirstMonthPosition+SwaptionNumOfMonths+1,$FJ182&gt;SwaptionFirstMonthPosition+SwaptionNumOfMonths+1),"",IF($FJ182=FV$169,1,IF($FJ182&lt;FV$169,INDEX($FK$170:$ID$241,FV$169,$FJ182),SUMPRODUCT(INDEX($FK$325:$ID$396,FV$169,1+SwaptionShift):INDEX($FK$325:$ID$396,FV$169,SwaptionMonthsToGo+SwaptionShift),INDEX($FK$245:$ID$316,$FJ182-FV$169,73-FV$169+SwaptionShift):INDEX($FK$245:$ID$316,$FJ182-FV$169,72-FV$169+SwaptionMonthsToGo+SwaptionShift))/SQRT(SUM(INDEX($FK337:$ID337,1+SwaptionShift):INDEX($FK337:$ID337,SwaptionMonthsToGo+SwaptionShift))*SUM(INDEX($FK$325:$ID$396,FV$169,1+SwaptionShift):INDEX($FK$325:$ID$396,FV$169,SwaptionMonthsToGo+SwaptionShift))))))</f>
        <v>#DIV/0!</v>
      </c>
      <c r="FW182" s="150" t="n">
        <f aca="false">IF(OR(FW$169&lt;SwaptionFirstMonthPosition+1,$FJ182&lt;SwaptionFirstMonthPosition+1,FW$169&gt;SwaptionFirstMonthPosition+SwaptionNumOfMonths+1,$FJ182&gt;SwaptionFirstMonthPosition+SwaptionNumOfMonths+1),"",IF($FJ182=FW$169,1,IF($FJ182&lt;FW$169,INDEX($FK$170:$ID$241,FW$169,$FJ182),SUMPRODUCT(INDEX($FK$325:$ID$396,FW$169,1+SwaptionShift):INDEX($FK$325:$ID$396,FW$169,SwaptionMonthsToGo+SwaptionShift),INDEX($FK$245:$ID$316,$FJ182-FW$169,73-FW$169+SwaptionShift):INDEX($FK$245:$ID$316,$FJ182-FW$169,72-FW$169+SwaptionMonthsToGo+SwaptionShift))/SQRT(SUM(INDEX($FK337:$ID337,1+SwaptionShift):INDEX($FK337:$ID337,SwaptionMonthsToGo+SwaptionShift))*SUM(INDEX($FK$325:$ID$396,FW$169,1+SwaptionShift):INDEX($FK$325:$ID$396,FW$169,SwaptionMonthsToGo+SwaptionShift))))))</f>
        <v>1</v>
      </c>
      <c r="FX182" s="150" t="e">
        <f aca="false">IF(OR(FX$169&lt;SwaptionFirstMonthPosition+1,$FJ182&lt;SwaptionFirstMonthPosition+1,FX$169&gt;SwaptionFirstMonthPosition+SwaptionNumOfMonths+1,$FJ182&gt;SwaptionFirstMonthPosition+SwaptionNumOfMonths+1),"",IF($FJ182=FX$169,1,IF($FJ182&lt;FX$169,INDEX($FK$170:$ID$241,FX$169,$FJ182),SUMPRODUCT(INDEX($FK$325:$ID$396,FX$169,1+SwaptionShift):INDEX($FK$325:$ID$396,FX$169,SwaptionMonthsToGo+SwaptionShift),INDEX($FK$245:$ID$316,$FJ182-FX$169,73-FX$169+SwaptionShift):INDEX($FK$245:$ID$316,$FJ182-FX$169,72-FX$169+SwaptionMonthsToGo+SwaptionShift))/SQRT(SUM(INDEX($FK337:$ID337,1+SwaptionShift):INDEX($FK337:$ID337,SwaptionMonthsToGo+SwaptionShift))*SUM(INDEX($FK$325:$ID$396,FX$169,1+SwaptionShift):INDEX($FK$325:$ID$396,FX$169,SwaptionMonthsToGo+SwaptionShift))))))</f>
        <v>#DIV/0!</v>
      </c>
      <c r="FY182" s="150" t="e">
        <f aca="false">IF(OR(FY$169&lt;SwaptionFirstMonthPosition+1,$FJ182&lt;SwaptionFirstMonthPosition+1,FY$169&gt;SwaptionFirstMonthPosition+SwaptionNumOfMonths+1,$FJ182&gt;SwaptionFirstMonthPosition+SwaptionNumOfMonths+1),"",IF($FJ182=FY$169,1,IF($FJ182&lt;FY$169,INDEX($FK$170:$ID$241,FY$169,$FJ182),SUMPRODUCT(INDEX($FK$325:$ID$396,FY$169,1+SwaptionShift):INDEX($FK$325:$ID$396,FY$169,SwaptionMonthsToGo+SwaptionShift),INDEX($FK$245:$ID$316,$FJ182-FY$169,73-FY$169+SwaptionShift):INDEX($FK$245:$ID$316,$FJ182-FY$169,72-FY$169+SwaptionMonthsToGo+SwaptionShift))/SQRT(SUM(INDEX($FK337:$ID337,1+SwaptionShift):INDEX($FK337:$ID337,SwaptionMonthsToGo+SwaptionShift))*SUM(INDEX($FK$325:$ID$396,FY$169,1+SwaptionShift):INDEX($FK$325:$ID$396,FY$169,SwaptionMonthsToGo+SwaptionShift))))))</f>
        <v>#DIV/0!</v>
      </c>
      <c r="FZ182" s="150" t="e">
        <f aca="false">IF(OR(FZ$169&lt;SwaptionFirstMonthPosition+1,$FJ182&lt;SwaptionFirstMonthPosition+1,FZ$169&gt;SwaptionFirstMonthPosition+SwaptionNumOfMonths+1,$FJ182&gt;SwaptionFirstMonthPosition+SwaptionNumOfMonths+1),"",IF($FJ182=FZ$169,1,IF($FJ182&lt;FZ$169,INDEX($FK$170:$ID$241,FZ$169,$FJ182),SUMPRODUCT(INDEX($FK$325:$ID$396,FZ$169,1+SwaptionShift):INDEX($FK$325:$ID$396,FZ$169,SwaptionMonthsToGo+SwaptionShift),INDEX($FK$245:$ID$316,$FJ182-FZ$169,73-FZ$169+SwaptionShift):INDEX($FK$245:$ID$316,$FJ182-FZ$169,72-FZ$169+SwaptionMonthsToGo+SwaptionShift))/SQRT(SUM(INDEX($FK337:$ID337,1+SwaptionShift):INDEX($FK337:$ID337,SwaptionMonthsToGo+SwaptionShift))*SUM(INDEX($FK$325:$ID$396,FZ$169,1+SwaptionShift):INDEX($FK$325:$ID$396,FZ$169,SwaptionMonthsToGo+SwaptionShift))))))</f>
        <v>#DIV/0!</v>
      </c>
      <c r="GA182" s="150" t="e">
        <f aca="false">IF(OR(GA$169&lt;SwaptionFirstMonthPosition+1,$FJ182&lt;SwaptionFirstMonthPosition+1,GA$169&gt;SwaptionFirstMonthPosition+SwaptionNumOfMonths+1,$FJ182&gt;SwaptionFirstMonthPosition+SwaptionNumOfMonths+1),"",IF($FJ182=GA$169,1,IF($FJ182&lt;GA$169,INDEX($FK$170:$ID$241,GA$169,$FJ182),SUMPRODUCT(INDEX($FK$325:$ID$396,GA$169,1+SwaptionShift):INDEX($FK$325:$ID$396,GA$169,SwaptionMonthsToGo+SwaptionShift),INDEX($FK$245:$ID$316,$FJ182-GA$169,73-GA$169+SwaptionShift):INDEX($FK$245:$ID$316,$FJ182-GA$169,72-GA$169+SwaptionMonthsToGo+SwaptionShift))/SQRT(SUM(INDEX($FK337:$ID337,1+SwaptionShift):INDEX($FK337:$ID337,SwaptionMonthsToGo+SwaptionShift))*SUM(INDEX($FK$325:$ID$396,GA$169,1+SwaptionShift):INDEX($FK$325:$ID$396,GA$169,SwaptionMonthsToGo+SwaptionShift))))))</f>
        <v>#DIV/0!</v>
      </c>
      <c r="GB182" s="150" t="e">
        <f aca="false">IF(OR(GB$169&lt;SwaptionFirstMonthPosition+1,$FJ182&lt;SwaptionFirstMonthPosition+1,GB$169&gt;SwaptionFirstMonthPosition+SwaptionNumOfMonths+1,$FJ182&gt;SwaptionFirstMonthPosition+SwaptionNumOfMonths+1),"",IF($FJ182=GB$169,1,IF($FJ182&lt;GB$169,INDEX($FK$170:$ID$241,GB$169,$FJ182),SUMPRODUCT(INDEX($FK$325:$ID$396,GB$169,1+SwaptionShift):INDEX($FK$325:$ID$396,GB$169,SwaptionMonthsToGo+SwaptionShift),INDEX($FK$245:$ID$316,$FJ182-GB$169,73-GB$169+SwaptionShift):INDEX($FK$245:$ID$316,$FJ182-GB$169,72-GB$169+SwaptionMonthsToGo+SwaptionShift))/SQRT(SUM(INDEX($FK337:$ID337,1+SwaptionShift):INDEX($FK337:$ID337,SwaptionMonthsToGo+SwaptionShift))*SUM(INDEX($FK$325:$ID$396,GB$169,1+SwaptionShift):INDEX($FK$325:$ID$396,GB$169,SwaptionMonthsToGo+SwaptionShift))))))</f>
        <v>#DIV/0!</v>
      </c>
      <c r="GC182" s="150" t="str">
        <f aca="false">IF(OR(GC$169&lt;SwaptionFirstMonthPosition+1,$FJ182&lt;SwaptionFirstMonthPosition+1,GC$169&gt;SwaptionFirstMonthPosition+SwaptionNumOfMonths+1,$FJ182&gt;SwaptionFirstMonthPosition+SwaptionNumOfMonths+1),"",IF($FJ182=GC$169,1,IF($FJ182&lt;GC$169,INDEX($FK$170:$ID$241,GC$169,$FJ182),SUMPRODUCT(INDEX($FK$325:$ID$396,GC$169,1+SwaptionShift):INDEX($FK$325:$ID$396,GC$169,SwaptionMonthsToGo+SwaptionShift),INDEX($FK$245:$ID$316,$FJ182-GC$169,73-GC$169+SwaptionShift):INDEX($FK$245:$ID$316,$FJ182-GC$169,72-GC$169+SwaptionMonthsToGo+SwaptionShift))/SQRT(SUM(INDEX($FK337:$ID337,1+SwaptionShift):INDEX($FK337:$ID337,SwaptionMonthsToGo+SwaptionShift))*SUM(INDEX($FK$325:$ID$396,GC$169,1+SwaptionShift):INDEX($FK$325:$ID$396,GC$169,SwaptionMonthsToGo+SwaptionShift))))))</f>
        <v/>
      </c>
      <c r="GD182" s="150" t="str">
        <f aca="false">IF(OR(GD$169&lt;SwaptionFirstMonthPosition+1,$FJ182&lt;SwaptionFirstMonthPosition+1,GD$169&gt;SwaptionFirstMonthPosition+SwaptionNumOfMonths+1,$FJ182&gt;SwaptionFirstMonthPosition+SwaptionNumOfMonths+1),"",IF($FJ182=GD$169,1,IF($FJ182&lt;GD$169,INDEX($FK$170:$ID$241,GD$169,$FJ182),SUMPRODUCT(INDEX($FK$325:$ID$396,GD$169,1+SwaptionShift):INDEX($FK$325:$ID$396,GD$169,SwaptionMonthsToGo+SwaptionShift),INDEX($FK$245:$ID$316,$FJ182-GD$169,73-GD$169+SwaptionShift):INDEX($FK$245:$ID$316,$FJ182-GD$169,72-GD$169+SwaptionMonthsToGo+SwaptionShift))/SQRT(SUM(INDEX($FK337:$ID337,1+SwaptionShift):INDEX($FK337:$ID337,SwaptionMonthsToGo+SwaptionShift))*SUM(INDEX($FK$325:$ID$396,GD$169,1+SwaptionShift):INDEX($FK$325:$ID$396,GD$169,SwaptionMonthsToGo+SwaptionShift))))))</f>
        <v/>
      </c>
      <c r="GE182" s="150" t="str">
        <f aca="false">IF(OR(GE$169&lt;SwaptionFirstMonthPosition+1,$FJ182&lt;SwaptionFirstMonthPosition+1,GE$169&gt;SwaptionFirstMonthPosition+SwaptionNumOfMonths+1,$FJ182&gt;SwaptionFirstMonthPosition+SwaptionNumOfMonths+1),"",IF($FJ182=GE$169,1,IF($FJ182&lt;GE$169,INDEX($FK$170:$ID$241,GE$169,$FJ182),SUMPRODUCT(INDEX($FK$325:$ID$396,GE$169,1+SwaptionShift):INDEX($FK$325:$ID$396,GE$169,SwaptionMonthsToGo+SwaptionShift),INDEX($FK$245:$ID$316,$FJ182-GE$169,73-GE$169+SwaptionShift):INDEX($FK$245:$ID$316,$FJ182-GE$169,72-GE$169+SwaptionMonthsToGo+SwaptionShift))/SQRT(SUM(INDEX($FK337:$ID337,1+SwaptionShift):INDEX($FK337:$ID337,SwaptionMonthsToGo+SwaptionShift))*SUM(INDEX($FK$325:$ID$396,GE$169,1+SwaptionShift):INDEX($FK$325:$ID$396,GE$169,SwaptionMonthsToGo+SwaptionShift))))))</f>
        <v/>
      </c>
      <c r="GF182" s="150" t="str">
        <f aca="false">IF(OR(GF$169&lt;SwaptionFirstMonthPosition+1,$FJ182&lt;SwaptionFirstMonthPosition+1,GF$169&gt;SwaptionFirstMonthPosition+SwaptionNumOfMonths+1,$FJ182&gt;SwaptionFirstMonthPosition+SwaptionNumOfMonths+1),"",IF($FJ182=GF$169,1,IF($FJ182&lt;GF$169,INDEX($FK$170:$ID$241,GF$169,$FJ182),SUMPRODUCT(INDEX($FK$325:$ID$396,GF$169,1+SwaptionShift):INDEX($FK$325:$ID$396,GF$169,SwaptionMonthsToGo+SwaptionShift),INDEX($FK$245:$ID$316,$FJ182-GF$169,73-GF$169+SwaptionShift):INDEX($FK$245:$ID$316,$FJ182-GF$169,72-GF$169+SwaptionMonthsToGo+SwaptionShift))/SQRT(SUM(INDEX($FK337:$ID337,1+SwaptionShift):INDEX($FK337:$ID337,SwaptionMonthsToGo+SwaptionShift))*SUM(INDEX($FK$325:$ID$396,GF$169,1+SwaptionShift):INDEX($FK$325:$ID$396,GF$169,SwaptionMonthsToGo+SwaptionShift))))))</f>
        <v/>
      </c>
      <c r="GG182" s="150" t="str">
        <f aca="false">IF(OR(GG$169&lt;SwaptionFirstMonthPosition+1,$FJ182&lt;SwaptionFirstMonthPosition+1,GG$169&gt;SwaptionFirstMonthPosition+SwaptionNumOfMonths+1,$FJ182&gt;SwaptionFirstMonthPosition+SwaptionNumOfMonths+1),"",IF($FJ182=GG$169,1,IF($FJ182&lt;GG$169,INDEX($FK$170:$ID$241,GG$169,$FJ182),SUMPRODUCT(INDEX($FK$325:$ID$396,GG$169,1+SwaptionShift):INDEX($FK$325:$ID$396,GG$169,SwaptionMonthsToGo+SwaptionShift),INDEX($FK$245:$ID$316,$FJ182-GG$169,73-GG$169+SwaptionShift):INDEX($FK$245:$ID$316,$FJ182-GG$169,72-GG$169+SwaptionMonthsToGo+SwaptionShift))/SQRT(SUM(INDEX($FK337:$ID337,1+SwaptionShift):INDEX($FK337:$ID337,SwaptionMonthsToGo+SwaptionShift))*SUM(INDEX($FK$325:$ID$396,GG$169,1+SwaptionShift):INDEX($FK$325:$ID$396,GG$169,SwaptionMonthsToGo+SwaptionShift))))))</f>
        <v/>
      </c>
      <c r="GH182" s="150" t="str">
        <f aca="false">IF(OR(GH$169&lt;SwaptionFirstMonthPosition+1,$FJ182&lt;SwaptionFirstMonthPosition+1,GH$169&gt;SwaptionFirstMonthPosition+SwaptionNumOfMonths+1,$FJ182&gt;SwaptionFirstMonthPosition+SwaptionNumOfMonths+1),"",IF($FJ182=GH$169,1,IF($FJ182&lt;GH$169,INDEX($FK$170:$ID$241,GH$169,$FJ182),SUMPRODUCT(INDEX($FK$325:$ID$396,GH$169,1+SwaptionShift):INDEX($FK$325:$ID$396,GH$169,SwaptionMonthsToGo+SwaptionShift),INDEX($FK$245:$ID$316,$FJ182-GH$169,73-GH$169+SwaptionShift):INDEX($FK$245:$ID$316,$FJ182-GH$169,72-GH$169+SwaptionMonthsToGo+SwaptionShift))/SQRT(SUM(INDEX($FK337:$ID337,1+SwaptionShift):INDEX($FK337:$ID337,SwaptionMonthsToGo+SwaptionShift))*SUM(INDEX($FK$325:$ID$396,GH$169,1+SwaptionShift):INDEX($FK$325:$ID$396,GH$169,SwaptionMonthsToGo+SwaptionShift))))))</f>
        <v/>
      </c>
      <c r="GI182" s="150" t="str">
        <f aca="false">IF(OR(GI$169&lt;SwaptionFirstMonthPosition+1,$FJ182&lt;SwaptionFirstMonthPosition+1,GI$169&gt;SwaptionFirstMonthPosition+SwaptionNumOfMonths+1,$FJ182&gt;SwaptionFirstMonthPosition+SwaptionNumOfMonths+1),"",IF($FJ182=GI$169,1,IF($FJ182&lt;GI$169,INDEX($FK$170:$ID$241,GI$169,$FJ182),SUMPRODUCT(INDEX($FK$325:$ID$396,GI$169,1+SwaptionShift):INDEX($FK$325:$ID$396,GI$169,SwaptionMonthsToGo+SwaptionShift),INDEX($FK$245:$ID$316,$FJ182-GI$169,73-GI$169+SwaptionShift):INDEX($FK$245:$ID$316,$FJ182-GI$169,72-GI$169+SwaptionMonthsToGo+SwaptionShift))/SQRT(SUM(INDEX($FK337:$ID337,1+SwaptionShift):INDEX($FK337:$ID337,SwaptionMonthsToGo+SwaptionShift))*SUM(INDEX($FK$325:$ID$396,GI$169,1+SwaptionShift):INDEX($FK$325:$ID$396,GI$169,SwaptionMonthsToGo+SwaptionShift))))))</f>
        <v/>
      </c>
      <c r="GJ182" s="150" t="str">
        <f aca="false">IF(OR(GJ$169&lt;SwaptionFirstMonthPosition+1,$FJ182&lt;SwaptionFirstMonthPosition+1,GJ$169&gt;SwaptionFirstMonthPosition+SwaptionNumOfMonths+1,$FJ182&gt;SwaptionFirstMonthPosition+SwaptionNumOfMonths+1),"",IF($FJ182=GJ$169,1,IF($FJ182&lt;GJ$169,INDEX($FK$170:$ID$241,GJ$169,$FJ182),SUMPRODUCT(INDEX($FK$325:$ID$396,GJ$169,1+SwaptionShift):INDEX($FK$325:$ID$396,GJ$169,SwaptionMonthsToGo+SwaptionShift),INDEX($FK$245:$ID$316,$FJ182-GJ$169,73-GJ$169+SwaptionShift):INDEX($FK$245:$ID$316,$FJ182-GJ$169,72-GJ$169+SwaptionMonthsToGo+SwaptionShift))/SQRT(SUM(INDEX($FK337:$ID337,1+SwaptionShift):INDEX($FK337:$ID337,SwaptionMonthsToGo+SwaptionShift))*SUM(INDEX($FK$325:$ID$396,GJ$169,1+SwaptionShift):INDEX($FK$325:$ID$396,GJ$169,SwaptionMonthsToGo+SwaptionShift))))))</f>
        <v/>
      </c>
      <c r="GK182" s="150" t="str">
        <f aca="false">IF(OR(GK$169&lt;SwaptionFirstMonthPosition+1,$FJ182&lt;SwaptionFirstMonthPosition+1,GK$169&gt;SwaptionFirstMonthPosition+SwaptionNumOfMonths+1,$FJ182&gt;SwaptionFirstMonthPosition+SwaptionNumOfMonths+1),"",IF($FJ182=GK$169,1,IF($FJ182&lt;GK$169,INDEX($FK$170:$ID$241,GK$169,$FJ182),SUMPRODUCT(INDEX($FK$325:$ID$396,GK$169,1+SwaptionShift):INDEX($FK$325:$ID$396,GK$169,SwaptionMonthsToGo+SwaptionShift),INDEX($FK$245:$ID$316,$FJ182-GK$169,73-GK$169+SwaptionShift):INDEX($FK$245:$ID$316,$FJ182-GK$169,72-GK$169+SwaptionMonthsToGo+SwaptionShift))/SQRT(SUM(INDEX($FK337:$ID337,1+SwaptionShift):INDEX($FK337:$ID337,SwaptionMonthsToGo+SwaptionShift))*SUM(INDEX($FK$325:$ID$396,GK$169,1+SwaptionShift):INDEX($FK$325:$ID$396,GK$169,SwaptionMonthsToGo+SwaptionShift))))))</f>
        <v/>
      </c>
      <c r="GL182" s="150" t="str">
        <f aca="false">IF(OR(GL$169&lt;SwaptionFirstMonthPosition+1,$FJ182&lt;SwaptionFirstMonthPosition+1,GL$169&gt;SwaptionFirstMonthPosition+SwaptionNumOfMonths+1,$FJ182&gt;SwaptionFirstMonthPosition+SwaptionNumOfMonths+1),"",IF($FJ182=GL$169,1,IF($FJ182&lt;GL$169,INDEX($FK$170:$ID$241,GL$169,$FJ182),SUMPRODUCT(INDEX($FK$325:$ID$396,GL$169,1+SwaptionShift):INDEX($FK$325:$ID$396,GL$169,SwaptionMonthsToGo+SwaptionShift),INDEX($FK$245:$ID$316,$FJ182-GL$169,73-GL$169+SwaptionShift):INDEX($FK$245:$ID$316,$FJ182-GL$169,72-GL$169+SwaptionMonthsToGo+SwaptionShift))/SQRT(SUM(INDEX($FK337:$ID337,1+SwaptionShift):INDEX($FK337:$ID337,SwaptionMonthsToGo+SwaptionShift))*SUM(INDEX($FK$325:$ID$396,GL$169,1+SwaptionShift):INDEX($FK$325:$ID$396,GL$169,SwaptionMonthsToGo+SwaptionShift))))))</f>
        <v/>
      </c>
      <c r="GM182" s="150" t="str">
        <f aca="false">IF(OR(GM$169&lt;SwaptionFirstMonthPosition+1,$FJ182&lt;SwaptionFirstMonthPosition+1,GM$169&gt;SwaptionFirstMonthPosition+SwaptionNumOfMonths+1,$FJ182&gt;SwaptionFirstMonthPosition+SwaptionNumOfMonths+1),"",IF($FJ182=GM$169,1,IF($FJ182&lt;GM$169,INDEX($FK$170:$ID$241,GM$169,$FJ182),SUMPRODUCT(INDEX($FK$325:$ID$396,GM$169,1+SwaptionShift):INDEX($FK$325:$ID$396,GM$169,SwaptionMonthsToGo+SwaptionShift),INDEX($FK$245:$ID$316,$FJ182-GM$169,73-GM$169+SwaptionShift):INDEX($FK$245:$ID$316,$FJ182-GM$169,72-GM$169+SwaptionMonthsToGo+SwaptionShift))/SQRT(SUM(INDEX($FK337:$ID337,1+SwaptionShift):INDEX($FK337:$ID337,SwaptionMonthsToGo+SwaptionShift))*SUM(INDEX($FK$325:$ID$396,GM$169,1+SwaptionShift):INDEX($FK$325:$ID$396,GM$169,SwaptionMonthsToGo+SwaptionShift))))))</f>
        <v/>
      </c>
      <c r="GN182" s="150" t="str">
        <f aca="false">IF(OR(GN$169&lt;SwaptionFirstMonthPosition+1,$FJ182&lt;SwaptionFirstMonthPosition+1,GN$169&gt;SwaptionFirstMonthPosition+SwaptionNumOfMonths+1,$FJ182&gt;SwaptionFirstMonthPosition+SwaptionNumOfMonths+1),"",IF($FJ182=GN$169,1,IF($FJ182&lt;GN$169,INDEX($FK$170:$ID$241,GN$169,$FJ182),SUMPRODUCT(INDEX($FK$325:$ID$396,GN$169,1+SwaptionShift):INDEX($FK$325:$ID$396,GN$169,SwaptionMonthsToGo+SwaptionShift),INDEX($FK$245:$ID$316,$FJ182-GN$169,73-GN$169+SwaptionShift):INDEX($FK$245:$ID$316,$FJ182-GN$169,72-GN$169+SwaptionMonthsToGo+SwaptionShift))/SQRT(SUM(INDEX($FK337:$ID337,1+SwaptionShift):INDEX($FK337:$ID337,SwaptionMonthsToGo+SwaptionShift))*SUM(INDEX($FK$325:$ID$396,GN$169,1+SwaptionShift):INDEX($FK$325:$ID$396,GN$169,SwaptionMonthsToGo+SwaptionShift))))))</f>
        <v/>
      </c>
      <c r="GO182" s="150" t="str">
        <f aca="false">IF(OR(GO$169&lt;SwaptionFirstMonthPosition+1,$FJ182&lt;SwaptionFirstMonthPosition+1,GO$169&gt;SwaptionFirstMonthPosition+SwaptionNumOfMonths+1,$FJ182&gt;SwaptionFirstMonthPosition+SwaptionNumOfMonths+1),"",IF($FJ182=GO$169,1,IF($FJ182&lt;GO$169,INDEX($FK$170:$ID$241,GO$169,$FJ182),SUMPRODUCT(INDEX($FK$325:$ID$396,GO$169,1+SwaptionShift):INDEX($FK$325:$ID$396,GO$169,SwaptionMonthsToGo+SwaptionShift),INDEX($FK$245:$ID$316,$FJ182-GO$169,73-GO$169+SwaptionShift):INDEX($FK$245:$ID$316,$FJ182-GO$169,72-GO$169+SwaptionMonthsToGo+SwaptionShift))/SQRT(SUM(INDEX($FK337:$ID337,1+SwaptionShift):INDEX($FK337:$ID337,SwaptionMonthsToGo+SwaptionShift))*SUM(INDEX($FK$325:$ID$396,GO$169,1+SwaptionShift):INDEX($FK$325:$ID$396,GO$169,SwaptionMonthsToGo+SwaptionShift))))))</f>
        <v/>
      </c>
      <c r="GP182" s="150" t="str">
        <f aca="false">IF(OR(GP$169&lt;SwaptionFirstMonthPosition+1,$FJ182&lt;SwaptionFirstMonthPosition+1,GP$169&gt;SwaptionFirstMonthPosition+SwaptionNumOfMonths+1,$FJ182&gt;SwaptionFirstMonthPosition+SwaptionNumOfMonths+1),"",IF($FJ182=GP$169,1,IF($FJ182&lt;GP$169,INDEX($FK$170:$ID$241,GP$169,$FJ182),SUMPRODUCT(INDEX($FK$325:$ID$396,GP$169,1+SwaptionShift):INDEX($FK$325:$ID$396,GP$169,SwaptionMonthsToGo+SwaptionShift),INDEX($FK$245:$ID$316,$FJ182-GP$169,73-GP$169+SwaptionShift):INDEX($FK$245:$ID$316,$FJ182-GP$169,72-GP$169+SwaptionMonthsToGo+SwaptionShift))/SQRT(SUM(INDEX($FK337:$ID337,1+SwaptionShift):INDEX($FK337:$ID337,SwaptionMonthsToGo+SwaptionShift))*SUM(INDEX($FK$325:$ID$396,GP$169,1+SwaptionShift):INDEX($FK$325:$ID$396,GP$169,SwaptionMonthsToGo+SwaptionShift))))))</f>
        <v/>
      </c>
      <c r="GQ182" s="150" t="str">
        <f aca="false">IF(OR(GQ$169&lt;SwaptionFirstMonthPosition+1,$FJ182&lt;SwaptionFirstMonthPosition+1,GQ$169&gt;SwaptionFirstMonthPosition+SwaptionNumOfMonths+1,$FJ182&gt;SwaptionFirstMonthPosition+SwaptionNumOfMonths+1),"",IF($FJ182=GQ$169,1,IF($FJ182&lt;GQ$169,INDEX($FK$170:$ID$241,GQ$169,$FJ182),SUMPRODUCT(INDEX($FK$325:$ID$396,GQ$169,1+SwaptionShift):INDEX($FK$325:$ID$396,GQ$169,SwaptionMonthsToGo+SwaptionShift),INDEX($FK$245:$ID$316,$FJ182-GQ$169,73-GQ$169+SwaptionShift):INDEX($FK$245:$ID$316,$FJ182-GQ$169,72-GQ$169+SwaptionMonthsToGo+SwaptionShift))/SQRT(SUM(INDEX($FK337:$ID337,1+SwaptionShift):INDEX($FK337:$ID337,SwaptionMonthsToGo+SwaptionShift))*SUM(INDEX($FK$325:$ID$396,GQ$169,1+SwaptionShift):INDEX($FK$325:$ID$396,GQ$169,SwaptionMonthsToGo+SwaptionShift))))))</f>
        <v/>
      </c>
      <c r="GR182" s="150" t="str">
        <f aca="false">IF(OR(GR$169&lt;SwaptionFirstMonthPosition+1,$FJ182&lt;SwaptionFirstMonthPosition+1,GR$169&gt;SwaptionFirstMonthPosition+SwaptionNumOfMonths+1,$FJ182&gt;SwaptionFirstMonthPosition+SwaptionNumOfMonths+1),"",IF($FJ182=GR$169,1,IF($FJ182&lt;GR$169,INDEX($FK$170:$ID$241,GR$169,$FJ182),SUMPRODUCT(INDEX($FK$325:$ID$396,GR$169,1+SwaptionShift):INDEX($FK$325:$ID$396,GR$169,SwaptionMonthsToGo+SwaptionShift),INDEX($FK$245:$ID$316,$FJ182-GR$169,73-GR$169+SwaptionShift):INDEX($FK$245:$ID$316,$FJ182-GR$169,72-GR$169+SwaptionMonthsToGo+SwaptionShift))/SQRT(SUM(INDEX($FK337:$ID337,1+SwaptionShift):INDEX($FK337:$ID337,SwaptionMonthsToGo+SwaptionShift))*SUM(INDEX($FK$325:$ID$396,GR$169,1+SwaptionShift):INDEX($FK$325:$ID$396,GR$169,SwaptionMonthsToGo+SwaptionShift))))))</f>
        <v/>
      </c>
      <c r="GS182" s="150" t="str">
        <f aca="false">IF(OR(GS$169&lt;SwaptionFirstMonthPosition+1,$FJ182&lt;SwaptionFirstMonthPosition+1,GS$169&gt;SwaptionFirstMonthPosition+SwaptionNumOfMonths+1,$FJ182&gt;SwaptionFirstMonthPosition+SwaptionNumOfMonths+1),"",IF($FJ182=GS$169,1,IF($FJ182&lt;GS$169,INDEX($FK$170:$ID$241,GS$169,$FJ182),SUMPRODUCT(INDEX($FK$325:$ID$396,GS$169,1+SwaptionShift):INDEX($FK$325:$ID$396,GS$169,SwaptionMonthsToGo+SwaptionShift),INDEX($FK$245:$ID$316,$FJ182-GS$169,73-GS$169+SwaptionShift):INDEX($FK$245:$ID$316,$FJ182-GS$169,72-GS$169+SwaptionMonthsToGo+SwaptionShift))/SQRT(SUM(INDEX($FK337:$ID337,1+SwaptionShift):INDEX($FK337:$ID337,SwaptionMonthsToGo+SwaptionShift))*SUM(INDEX($FK$325:$ID$396,GS$169,1+SwaptionShift):INDEX($FK$325:$ID$396,GS$169,SwaptionMonthsToGo+SwaptionShift))))))</f>
        <v/>
      </c>
      <c r="GT182" s="150" t="str">
        <f aca="false">IF(OR(GT$169&lt;SwaptionFirstMonthPosition+1,$FJ182&lt;SwaptionFirstMonthPosition+1,GT$169&gt;SwaptionFirstMonthPosition+SwaptionNumOfMonths+1,$FJ182&gt;SwaptionFirstMonthPosition+SwaptionNumOfMonths+1),"",IF($FJ182=GT$169,1,IF($FJ182&lt;GT$169,INDEX($FK$170:$ID$241,GT$169,$FJ182),SUMPRODUCT(INDEX($FK$325:$ID$396,GT$169,1+SwaptionShift):INDEX($FK$325:$ID$396,GT$169,SwaptionMonthsToGo+SwaptionShift),INDEX($FK$245:$ID$316,$FJ182-GT$169,73-GT$169+SwaptionShift):INDEX($FK$245:$ID$316,$FJ182-GT$169,72-GT$169+SwaptionMonthsToGo+SwaptionShift))/SQRT(SUM(INDEX($FK337:$ID337,1+SwaptionShift):INDEX($FK337:$ID337,SwaptionMonthsToGo+SwaptionShift))*SUM(INDEX($FK$325:$ID$396,GT$169,1+SwaptionShift):INDEX($FK$325:$ID$396,GT$169,SwaptionMonthsToGo+SwaptionShift))))))</f>
        <v/>
      </c>
      <c r="GU182" s="150" t="str">
        <f aca="false">IF(OR(GU$169&lt;SwaptionFirstMonthPosition+1,$FJ182&lt;SwaptionFirstMonthPosition+1,GU$169&gt;SwaptionFirstMonthPosition+SwaptionNumOfMonths+1,$FJ182&gt;SwaptionFirstMonthPosition+SwaptionNumOfMonths+1),"",IF($FJ182=GU$169,1,IF($FJ182&lt;GU$169,INDEX($FK$170:$ID$241,GU$169,$FJ182),SUMPRODUCT(INDEX($FK$325:$ID$396,GU$169,1+SwaptionShift):INDEX($FK$325:$ID$396,GU$169,SwaptionMonthsToGo+SwaptionShift),INDEX($FK$245:$ID$316,$FJ182-GU$169,73-GU$169+SwaptionShift):INDEX($FK$245:$ID$316,$FJ182-GU$169,72-GU$169+SwaptionMonthsToGo+SwaptionShift))/SQRT(SUM(INDEX($FK337:$ID337,1+SwaptionShift):INDEX($FK337:$ID337,SwaptionMonthsToGo+SwaptionShift))*SUM(INDEX($FK$325:$ID$396,GU$169,1+SwaptionShift):INDEX($FK$325:$ID$396,GU$169,SwaptionMonthsToGo+SwaptionShift))))))</f>
        <v/>
      </c>
      <c r="GV182" s="150" t="str">
        <f aca="false">IF(OR(GV$169&lt;SwaptionFirstMonthPosition+1,$FJ182&lt;SwaptionFirstMonthPosition+1,GV$169&gt;SwaptionFirstMonthPosition+SwaptionNumOfMonths+1,$FJ182&gt;SwaptionFirstMonthPosition+SwaptionNumOfMonths+1),"",IF($FJ182=GV$169,1,IF($FJ182&lt;GV$169,INDEX($FK$170:$ID$241,GV$169,$FJ182),SUMPRODUCT(INDEX($FK$325:$ID$396,GV$169,1+SwaptionShift):INDEX($FK$325:$ID$396,GV$169,SwaptionMonthsToGo+SwaptionShift),INDEX($FK$245:$ID$316,$FJ182-GV$169,73-GV$169+SwaptionShift):INDEX($FK$245:$ID$316,$FJ182-GV$169,72-GV$169+SwaptionMonthsToGo+SwaptionShift))/SQRT(SUM(INDEX($FK337:$ID337,1+SwaptionShift):INDEX($FK337:$ID337,SwaptionMonthsToGo+SwaptionShift))*SUM(INDEX($FK$325:$ID$396,GV$169,1+SwaptionShift):INDEX($FK$325:$ID$396,GV$169,SwaptionMonthsToGo+SwaptionShift))))))</f>
        <v/>
      </c>
      <c r="GW182" s="150" t="str">
        <f aca="false">IF(OR(GW$169&lt;SwaptionFirstMonthPosition+1,$FJ182&lt;SwaptionFirstMonthPosition+1,GW$169&gt;SwaptionFirstMonthPosition+SwaptionNumOfMonths+1,$FJ182&gt;SwaptionFirstMonthPosition+SwaptionNumOfMonths+1),"",IF($FJ182=GW$169,1,IF($FJ182&lt;GW$169,INDEX($FK$170:$ID$241,GW$169,$FJ182),SUMPRODUCT(INDEX($FK$325:$ID$396,GW$169,1+SwaptionShift):INDEX($FK$325:$ID$396,GW$169,SwaptionMonthsToGo+SwaptionShift),INDEX($FK$245:$ID$316,$FJ182-GW$169,73-GW$169+SwaptionShift):INDEX($FK$245:$ID$316,$FJ182-GW$169,72-GW$169+SwaptionMonthsToGo+SwaptionShift))/SQRT(SUM(INDEX($FK337:$ID337,1+SwaptionShift):INDEX($FK337:$ID337,SwaptionMonthsToGo+SwaptionShift))*SUM(INDEX($FK$325:$ID$396,GW$169,1+SwaptionShift):INDEX($FK$325:$ID$396,GW$169,SwaptionMonthsToGo+SwaptionShift))))))</f>
        <v/>
      </c>
      <c r="GX182" s="150" t="str">
        <f aca="false">IF(OR(GX$169&lt;SwaptionFirstMonthPosition+1,$FJ182&lt;SwaptionFirstMonthPosition+1,GX$169&gt;SwaptionFirstMonthPosition+SwaptionNumOfMonths+1,$FJ182&gt;SwaptionFirstMonthPosition+SwaptionNumOfMonths+1),"",IF($FJ182=GX$169,1,IF($FJ182&lt;GX$169,INDEX($FK$170:$ID$241,GX$169,$FJ182),SUMPRODUCT(INDEX($FK$325:$ID$396,GX$169,1+SwaptionShift):INDEX($FK$325:$ID$396,GX$169,SwaptionMonthsToGo+SwaptionShift),INDEX($FK$245:$ID$316,$FJ182-GX$169,73-GX$169+SwaptionShift):INDEX($FK$245:$ID$316,$FJ182-GX$169,72-GX$169+SwaptionMonthsToGo+SwaptionShift))/SQRT(SUM(INDEX($FK337:$ID337,1+SwaptionShift):INDEX($FK337:$ID337,SwaptionMonthsToGo+SwaptionShift))*SUM(INDEX($FK$325:$ID$396,GX$169,1+SwaptionShift):INDEX($FK$325:$ID$396,GX$169,SwaptionMonthsToGo+SwaptionShift))))))</f>
        <v/>
      </c>
      <c r="GY182" s="150" t="str">
        <f aca="false">IF(OR(GY$169&lt;SwaptionFirstMonthPosition+1,$FJ182&lt;SwaptionFirstMonthPosition+1,GY$169&gt;SwaptionFirstMonthPosition+SwaptionNumOfMonths+1,$FJ182&gt;SwaptionFirstMonthPosition+SwaptionNumOfMonths+1),"",IF($FJ182=GY$169,1,IF($FJ182&lt;GY$169,INDEX($FK$170:$ID$241,GY$169,$FJ182),SUMPRODUCT(INDEX($FK$325:$ID$396,GY$169,1+SwaptionShift):INDEX($FK$325:$ID$396,GY$169,SwaptionMonthsToGo+SwaptionShift),INDEX($FK$245:$ID$316,$FJ182-GY$169,73-GY$169+SwaptionShift):INDEX($FK$245:$ID$316,$FJ182-GY$169,72-GY$169+SwaptionMonthsToGo+SwaptionShift))/SQRT(SUM(INDEX($FK337:$ID337,1+SwaptionShift):INDEX($FK337:$ID337,SwaptionMonthsToGo+SwaptionShift))*SUM(INDEX($FK$325:$ID$396,GY$169,1+SwaptionShift):INDEX($FK$325:$ID$396,GY$169,SwaptionMonthsToGo+SwaptionShift))))))</f>
        <v/>
      </c>
      <c r="GZ182" s="150" t="str">
        <f aca="false">IF(OR(GZ$169&lt;SwaptionFirstMonthPosition+1,$FJ182&lt;SwaptionFirstMonthPosition+1,GZ$169&gt;SwaptionFirstMonthPosition+SwaptionNumOfMonths+1,$FJ182&gt;SwaptionFirstMonthPosition+SwaptionNumOfMonths+1),"",IF($FJ182=GZ$169,1,IF($FJ182&lt;GZ$169,INDEX($FK$170:$ID$241,GZ$169,$FJ182),SUMPRODUCT(INDEX($FK$325:$ID$396,GZ$169,1+SwaptionShift):INDEX($FK$325:$ID$396,GZ$169,SwaptionMonthsToGo+SwaptionShift),INDEX($FK$245:$ID$316,$FJ182-GZ$169,73-GZ$169+SwaptionShift):INDEX($FK$245:$ID$316,$FJ182-GZ$169,72-GZ$169+SwaptionMonthsToGo+SwaptionShift))/SQRT(SUM(INDEX($FK337:$ID337,1+SwaptionShift):INDEX($FK337:$ID337,SwaptionMonthsToGo+SwaptionShift))*SUM(INDEX($FK$325:$ID$396,GZ$169,1+SwaptionShift):INDEX($FK$325:$ID$396,GZ$169,SwaptionMonthsToGo+SwaptionShift))))))</f>
        <v/>
      </c>
      <c r="HA182" s="150" t="str">
        <f aca="false">IF(OR(HA$169&lt;SwaptionFirstMonthPosition+1,$FJ182&lt;SwaptionFirstMonthPosition+1,HA$169&gt;SwaptionFirstMonthPosition+SwaptionNumOfMonths+1,$FJ182&gt;SwaptionFirstMonthPosition+SwaptionNumOfMonths+1),"",IF($FJ182=HA$169,1,IF($FJ182&lt;HA$169,INDEX($FK$170:$ID$241,HA$169,$FJ182),SUMPRODUCT(INDEX($FK$325:$ID$396,HA$169,1+SwaptionShift):INDEX($FK$325:$ID$396,HA$169,SwaptionMonthsToGo+SwaptionShift),INDEX($FK$245:$ID$316,$FJ182-HA$169,73-HA$169+SwaptionShift):INDEX($FK$245:$ID$316,$FJ182-HA$169,72-HA$169+SwaptionMonthsToGo+SwaptionShift))/SQRT(SUM(INDEX($FK337:$ID337,1+SwaptionShift):INDEX($FK337:$ID337,SwaptionMonthsToGo+SwaptionShift))*SUM(INDEX($FK$325:$ID$396,HA$169,1+SwaptionShift):INDEX($FK$325:$ID$396,HA$169,SwaptionMonthsToGo+SwaptionShift))))))</f>
        <v/>
      </c>
      <c r="HB182" s="150" t="str">
        <f aca="false">IF(OR(HB$169&lt;SwaptionFirstMonthPosition+1,$FJ182&lt;SwaptionFirstMonthPosition+1,HB$169&gt;SwaptionFirstMonthPosition+SwaptionNumOfMonths+1,$FJ182&gt;SwaptionFirstMonthPosition+SwaptionNumOfMonths+1),"",IF($FJ182=HB$169,1,IF($FJ182&lt;HB$169,INDEX($FK$170:$ID$241,HB$169,$FJ182),SUMPRODUCT(INDEX($FK$325:$ID$396,HB$169,1+SwaptionShift):INDEX($FK$325:$ID$396,HB$169,SwaptionMonthsToGo+SwaptionShift),INDEX($FK$245:$ID$316,$FJ182-HB$169,73-HB$169+SwaptionShift):INDEX($FK$245:$ID$316,$FJ182-HB$169,72-HB$169+SwaptionMonthsToGo+SwaptionShift))/SQRT(SUM(INDEX($FK337:$ID337,1+SwaptionShift):INDEX($FK337:$ID337,SwaptionMonthsToGo+SwaptionShift))*SUM(INDEX($FK$325:$ID$396,HB$169,1+SwaptionShift):INDEX($FK$325:$ID$396,HB$169,SwaptionMonthsToGo+SwaptionShift))))))</f>
        <v/>
      </c>
      <c r="HC182" s="150" t="str">
        <f aca="false">IF(OR(HC$169&lt;SwaptionFirstMonthPosition+1,$FJ182&lt;SwaptionFirstMonthPosition+1,HC$169&gt;SwaptionFirstMonthPosition+SwaptionNumOfMonths+1,$FJ182&gt;SwaptionFirstMonthPosition+SwaptionNumOfMonths+1),"",IF($FJ182=HC$169,1,IF($FJ182&lt;HC$169,INDEX($FK$170:$ID$241,HC$169,$FJ182),SUMPRODUCT(INDEX($FK$325:$ID$396,HC$169,1+SwaptionShift):INDEX($FK$325:$ID$396,HC$169,SwaptionMonthsToGo+SwaptionShift),INDEX($FK$245:$ID$316,$FJ182-HC$169,73-HC$169+SwaptionShift):INDEX($FK$245:$ID$316,$FJ182-HC$169,72-HC$169+SwaptionMonthsToGo+SwaptionShift))/SQRT(SUM(INDEX($FK337:$ID337,1+SwaptionShift):INDEX($FK337:$ID337,SwaptionMonthsToGo+SwaptionShift))*SUM(INDEX($FK$325:$ID$396,HC$169,1+SwaptionShift):INDEX($FK$325:$ID$396,HC$169,SwaptionMonthsToGo+SwaptionShift))))))</f>
        <v/>
      </c>
      <c r="HD182" s="150" t="str">
        <f aca="false">IF(OR(HD$169&lt;SwaptionFirstMonthPosition+1,$FJ182&lt;SwaptionFirstMonthPosition+1,HD$169&gt;SwaptionFirstMonthPosition+SwaptionNumOfMonths+1,$FJ182&gt;SwaptionFirstMonthPosition+SwaptionNumOfMonths+1),"",IF($FJ182=HD$169,1,IF($FJ182&lt;HD$169,INDEX($FK$170:$ID$241,HD$169,$FJ182),SUMPRODUCT(INDEX($FK$325:$ID$396,HD$169,1+SwaptionShift):INDEX($FK$325:$ID$396,HD$169,SwaptionMonthsToGo+SwaptionShift),INDEX($FK$245:$ID$316,$FJ182-HD$169,73-HD$169+SwaptionShift):INDEX($FK$245:$ID$316,$FJ182-HD$169,72-HD$169+SwaptionMonthsToGo+SwaptionShift))/SQRT(SUM(INDEX($FK337:$ID337,1+SwaptionShift):INDEX($FK337:$ID337,SwaptionMonthsToGo+SwaptionShift))*SUM(INDEX($FK$325:$ID$396,HD$169,1+SwaptionShift):INDEX($FK$325:$ID$396,HD$169,SwaptionMonthsToGo+SwaptionShift))))))</f>
        <v/>
      </c>
      <c r="HE182" s="150" t="str">
        <f aca="false">IF(OR(HE$169&lt;SwaptionFirstMonthPosition+1,$FJ182&lt;SwaptionFirstMonthPosition+1,HE$169&gt;SwaptionFirstMonthPosition+SwaptionNumOfMonths+1,$FJ182&gt;SwaptionFirstMonthPosition+SwaptionNumOfMonths+1),"",IF($FJ182=HE$169,1,IF($FJ182&lt;HE$169,INDEX($FK$170:$ID$241,HE$169,$FJ182),SUMPRODUCT(INDEX($FK$325:$ID$396,HE$169,1+SwaptionShift):INDEX($FK$325:$ID$396,HE$169,SwaptionMonthsToGo+SwaptionShift),INDEX($FK$245:$ID$316,$FJ182-HE$169,73-HE$169+SwaptionShift):INDEX($FK$245:$ID$316,$FJ182-HE$169,72-HE$169+SwaptionMonthsToGo+SwaptionShift))/SQRT(SUM(INDEX($FK337:$ID337,1+SwaptionShift):INDEX($FK337:$ID337,SwaptionMonthsToGo+SwaptionShift))*SUM(INDEX($FK$325:$ID$396,HE$169,1+SwaptionShift):INDEX($FK$325:$ID$396,HE$169,SwaptionMonthsToGo+SwaptionShift))))))</f>
        <v/>
      </c>
      <c r="HF182" s="150" t="str">
        <f aca="false">IF(OR(HF$169&lt;SwaptionFirstMonthPosition+1,$FJ182&lt;SwaptionFirstMonthPosition+1,HF$169&gt;SwaptionFirstMonthPosition+SwaptionNumOfMonths+1,$FJ182&gt;SwaptionFirstMonthPosition+SwaptionNumOfMonths+1),"",IF($FJ182=HF$169,1,IF($FJ182&lt;HF$169,INDEX($FK$170:$ID$241,HF$169,$FJ182),SUMPRODUCT(INDEX($FK$325:$ID$396,HF$169,1+SwaptionShift):INDEX($FK$325:$ID$396,HF$169,SwaptionMonthsToGo+SwaptionShift),INDEX($FK$245:$ID$316,$FJ182-HF$169,73-HF$169+SwaptionShift):INDEX($FK$245:$ID$316,$FJ182-HF$169,72-HF$169+SwaptionMonthsToGo+SwaptionShift))/SQRT(SUM(INDEX($FK337:$ID337,1+SwaptionShift):INDEX($FK337:$ID337,SwaptionMonthsToGo+SwaptionShift))*SUM(INDEX($FK$325:$ID$396,HF$169,1+SwaptionShift):INDEX($FK$325:$ID$396,HF$169,SwaptionMonthsToGo+SwaptionShift))))))</f>
        <v/>
      </c>
      <c r="HG182" s="150" t="str">
        <f aca="false">IF(OR(HG$169&lt;SwaptionFirstMonthPosition+1,$FJ182&lt;SwaptionFirstMonthPosition+1,HG$169&gt;SwaptionFirstMonthPosition+SwaptionNumOfMonths+1,$FJ182&gt;SwaptionFirstMonthPosition+SwaptionNumOfMonths+1),"",IF($FJ182=HG$169,1,IF($FJ182&lt;HG$169,INDEX($FK$170:$ID$241,HG$169,$FJ182),SUMPRODUCT(INDEX($FK$325:$ID$396,HG$169,1+SwaptionShift):INDEX($FK$325:$ID$396,HG$169,SwaptionMonthsToGo+SwaptionShift),INDEX($FK$245:$ID$316,$FJ182-HG$169,73-HG$169+SwaptionShift):INDEX($FK$245:$ID$316,$FJ182-HG$169,72-HG$169+SwaptionMonthsToGo+SwaptionShift))/SQRT(SUM(INDEX($FK337:$ID337,1+SwaptionShift):INDEX($FK337:$ID337,SwaptionMonthsToGo+SwaptionShift))*SUM(INDEX($FK$325:$ID$396,HG$169,1+SwaptionShift):INDEX($FK$325:$ID$396,HG$169,SwaptionMonthsToGo+SwaptionShift))))))</f>
        <v/>
      </c>
      <c r="HH182" s="150" t="str">
        <f aca="false">IF(OR(HH$169&lt;SwaptionFirstMonthPosition+1,$FJ182&lt;SwaptionFirstMonthPosition+1,HH$169&gt;SwaptionFirstMonthPosition+SwaptionNumOfMonths+1,$FJ182&gt;SwaptionFirstMonthPosition+SwaptionNumOfMonths+1),"",IF($FJ182=HH$169,1,IF($FJ182&lt;HH$169,INDEX($FK$170:$ID$241,HH$169,$FJ182),SUMPRODUCT(INDEX($FK$325:$ID$396,HH$169,1+SwaptionShift):INDEX($FK$325:$ID$396,HH$169,SwaptionMonthsToGo+SwaptionShift),INDEX($FK$245:$ID$316,$FJ182-HH$169,73-HH$169+SwaptionShift):INDEX($FK$245:$ID$316,$FJ182-HH$169,72-HH$169+SwaptionMonthsToGo+SwaptionShift))/SQRT(SUM(INDEX($FK337:$ID337,1+SwaptionShift):INDEX($FK337:$ID337,SwaptionMonthsToGo+SwaptionShift))*SUM(INDEX($FK$325:$ID$396,HH$169,1+SwaptionShift):INDEX($FK$325:$ID$396,HH$169,SwaptionMonthsToGo+SwaptionShift))))))</f>
        <v/>
      </c>
      <c r="HI182" s="150" t="str">
        <f aca="false">IF(OR(HI$169&lt;SwaptionFirstMonthPosition+1,$FJ182&lt;SwaptionFirstMonthPosition+1,HI$169&gt;SwaptionFirstMonthPosition+SwaptionNumOfMonths+1,$FJ182&gt;SwaptionFirstMonthPosition+SwaptionNumOfMonths+1),"",IF($FJ182=HI$169,1,IF($FJ182&lt;HI$169,INDEX($FK$170:$ID$241,HI$169,$FJ182),SUMPRODUCT(INDEX($FK$325:$ID$396,HI$169,1+SwaptionShift):INDEX($FK$325:$ID$396,HI$169,SwaptionMonthsToGo+SwaptionShift),INDEX($FK$245:$ID$316,$FJ182-HI$169,73-HI$169+SwaptionShift):INDEX($FK$245:$ID$316,$FJ182-HI$169,72-HI$169+SwaptionMonthsToGo+SwaptionShift))/SQRT(SUM(INDEX($FK337:$ID337,1+SwaptionShift):INDEX($FK337:$ID337,SwaptionMonthsToGo+SwaptionShift))*SUM(INDEX($FK$325:$ID$396,HI$169,1+SwaptionShift):INDEX($FK$325:$ID$396,HI$169,SwaptionMonthsToGo+SwaptionShift))))))</f>
        <v/>
      </c>
      <c r="HJ182" s="150" t="str">
        <f aca="false">IF(OR(HJ$169&lt;SwaptionFirstMonthPosition+1,$FJ182&lt;SwaptionFirstMonthPosition+1,HJ$169&gt;SwaptionFirstMonthPosition+SwaptionNumOfMonths+1,$FJ182&gt;SwaptionFirstMonthPosition+SwaptionNumOfMonths+1),"",IF($FJ182=HJ$169,1,IF($FJ182&lt;HJ$169,INDEX($FK$170:$ID$241,HJ$169,$FJ182),SUMPRODUCT(INDEX($FK$325:$ID$396,HJ$169,1+SwaptionShift):INDEX($FK$325:$ID$396,HJ$169,SwaptionMonthsToGo+SwaptionShift),INDEX($FK$245:$ID$316,$FJ182-HJ$169,73-HJ$169+SwaptionShift):INDEX($FK$245:$ID$316,$FJ182-HJ$169,72-HJ$169+SwaptionMonthsToGo+SwaptionShift))/SQRT(SUM(INDEX($FK337:$ID337,1+SwaptionShift):INDEX($FK337:$ID337,SwaptionMonthsToGo+SwaptionShift))*SUM(INDEX($FK$325:$ID$396,HJ$169,1+SwaptionShift):INDEX($FK$325:$ID$396,HJ$169,SwaptionMonthsToGo+SwaptionShift))))))</f>
        <v/>
      </c>
      <c r="HK182" s="150" t="str">
        <f aca="false">IF(OR(HK$169&lt;SwaptionFirstMonthPosition+1,$FJ182&lt;SwaptionFirstMonthPosition+1,HK$169&gt;SwaptionFirstMonthPosition+SwaptionNumOfMonths+1,$FJ182&gt;SwaptionFirstMonthPosition+SwaptionNumOfMonths+1),"",IF($FJ182=HK$169,1,IF($FJ182&lt;HK$169,INDEX($FK$170:$ID$241,HK$169,$FJ182),SUMPRODUCT(INDEX($FK$325:$ID$396,HK$169,1+SwaptionShift):INDEX($FK$325:$ID$396,HK$169,SwaptionMonthsToGo+SwaptionShift),INDEX($FK$245:$ID$316,$FJ182-HK$169,73-HK$169+SwaptionShift):INDEX($FK$245:$ID$316,$FJ182-HK$169,72-HK$169+SwaptionMonthsToGo+SwaptionShift))/SQRT(SUM(INDEX($FK337:$ID337,1+SwaptionShift):INDEX($FK337:$ID337,SwaptionMonthsToGo+SwaptionShift))*SUM(INDEX($FK$325:$ID$396,HK$169,1+SwaptionShift):INDEX($FK$325:$ID$396,HK$169,SwaptionMonthsToGo+SwaptionShift))))))</f>
        <v/>
      </c>
      <c r="HL182" s="150" t="str">
        <f aca="false">IF(OR(HL$169&lt;SwaptionFirstMonthPosition+1,$FJ182&lt;SwaptionFirstMonthPosition+1,HL$169&gt;SwaptionFirstMonthPosition+SwaptionNumOfMonths+1,$FJ182&gt;SwaptionFirstMonthPosition+SwaptionNumOfMonths+1),"",IF($FJ182=HL$169,1,IF($FJ182&lt;HL$169,INDEX($FK$170:$ID$241,HL$169,$FJ182),SUMPRODUCT(INDEX($FK$325:$ID$396,HL$169,1+SwaptionShift):INDEX($FK$325:$ID$396,HL$169,SwaptionMonthsToGo+SwaptionShift),INDEX($FK$245:$ID$316,$FJ182-HL$169,73-HL$169+SwaptionShift):INDEX($FK$245:$ID$316,$FJ182-HL$169,72-HL$169+SwaptionMonthsToGo+SwaptionShift))/SQRT(SUM(INDEX($FK337:$ID337,1+SwaptionShift):INDEX($FK337:$ID337,SwaptionMonthsToGo+SwaptionShift))*SUM(INDEX($FK$325:$ID$396,HL$169,1+SwaptionShift):INDEX($FK$325:$ID$396,HL$169,SwaptionMonthsToGo+SwaptionShift))))))</f>
        <v/>
      </c>
      <c r="HM182" s="150" t="str">
        <f aca="false">IF(OR(HM$169&lt;SwaptionFirstMonthPosition+1,$FJ182&lt;SwaptionFirstMonthPosition+1,HM$169&gt;SwaptionFirstMonthPosition+SwaptionNumOfMonths+1,$FJ182&gt;SwaptionFirstMonthPosition+SwaptionNumOfMonths+1),"",IF($FJ182=HM$169,1,IF($FJ182&lt;HM$169,INDEX($FK$170:$ID$241,HM$169,$FJ182),SUMPRODUCT(INDEX($FK$325:$ID$396,HM$169,1+SwaptionShift):INDEX($FK$325:$ID$396,HM$169,SwaptionMonthsToGo+SwaptionShift),INDEX($FK$245:$ID$316,$FJ182-HM$169,73-HM$169+SwaptionShift):INDEX($FK$245:$ID$316,$FJ182-HM$169,72-HM$169+SwaptionMonthsToGo+SwaptionShift))/SQRT(SUM(INDEX($FK337:$ID337,1+SwaptionShift):INDEX($FK337:$ID337,SwaptionMonthsToGo+SwaptionShift))*SUM(INDEX($FK$325:$ID$396,HM$169,1+SwaptionShift):INDEX($FK$325:$ID$396,HM$169,SwaptionMonthsToGo+SwaptionShift))))))</f>
        <v/>
      </c>
      <c r="HN182" s="150" t="str">
        <f aca="false">IF(OR(HN$169&lt;SwaptionFirstMonthPosition+1,$FJ182&lt;SwaptionFirstMonthPosition+1,HN$169&gt;SwaptionFirstMonthPosition+SwaptionNumOfMonths+1,$FJ182&gt;SwaptionFirstMonthPosition+SwaptionNumOfMonths+1),"",IF($FJ182=HN$169,1,IF($FJ182&lt;HN$169,INDEX($FK$170:$ID$241,HN$169,$FJ182),SUMPRODUCT(INDEX($FK$325:$ID$396,HN$169,1+SwaptionShift):INDEX($FK$325:$ID$396,HN$169,SwaptionMonthsToGo+SwaptionShift),INDEX($FK$245:$ID$316,$FJ182-HN$169,73-HN$169+SwaptionShift):INDEX($FK$245:$ID$316,$FJ182-HN$169,72-HN$169+SwaptionMonthsToGo+SwaptionShift))/SQRT(SUM(INDEX($FK337:$ID337,1+SwaptionShift):INDEX($FK337:$ID337,SwaptionMonthsToGo+SwaptionShift))*SUM(INDEX($FK$325:$ID$396,HN$169,1+SwaptionShift):INDEX($FK$325:$ID$396,HN$169,SwaptionMonthsToGo+SwaptionShift))))))</f>
        <v/>
      </c>
      <c r="HO182" s="150" t="str">
        <f aca="false">IF(OR(HO$169&lt;SwaptionFirstMonthPosition+1,$FJ182&lt;SwaptionFirstMonthPosition+1,HO$169&gt;SwaptionFirstMonthPosition+SwaptionNumOfMonths+1,$FJ182&gt;SwaptionFirstMonthPosition+SwaptionNumOfMonths+1),"",IF($FJ182=HO$169,1,IF($FJ182&lt;HO$169,INDEX($FK$170:$ID$241,HO$169,$FJ182),SUMPRODUCT(INDEX($FK$325:$ID$396,HO$169,1+SwaptionShift):INDEX($FK$325:$ID$396,HO$169,SwaptionMonthsToGo+SwaptionShift),INDEX($FK$245:$ID$316,$FJ182-HO$169,73-HO$169+SwaptionShift):INDEX($FK$245:$ID$316,$FJ182-HO$169,72-HO$169+SwaptionMonthsToGo+SwaptionShift))/SQRT(SUM(INDEX($FK337:$ID337,1+SwaptionShift):INDEX($FK337:$ID337,SwaptionMonthsToGo+SwaptionShift))*SUM(INDEX($FK$325:$ID$396,HO$169,1+SwaptionShift):INDEX($FK$325:$ID$396,HO$169,SwaptionMonthsToGo+SwaptionShift))))))</f>
        <v/>
      </c>
      <c r="HP182" s="150" t="str">
        <f aca="false">IF(OR(HP$169&lt;SwaptionFirstMonthPosition+1,$FJ182&lt;SwaptionFirstMonthPosition+1,HP$169&gt;SwaptionFirstMonthPosition+SwaptionNumOfMonths+1,$FJ182&gt;SwaptionFirstMonthPosition+SwaptionNumOfMonths+1),"",IF($FJ182=HP$169,1,IF($FJ182&lt;HP$169,INDEX($FK$170:$ID$241,HP$169,$FJ182),SUMPRODUCT(INDEX($FK$325:$ID$396,HP$169,1+SwaptionShift):INDEX($FK$325:$ID$396,HP$169,SwaptionMonthsToGo+SwaptionShift),INDEX($FK$245:$ID$316,$FJ182-HP$169,73-HP$169+SwaptionShift):INDEX($FK$245:$ID$316,$FJ182-HP$169,72-HP$169+SwaptionMonthsToGo+SwaptionShift))/SQRT(SUM(INDEX($FK337:$ID337,1+SwaptionShift):INDEX($FK337:$ID337,SwaptionMonthsToGo+SwaptionShift))*SUM(INDEX($FK$325:$ID$396,HP$169,1+SwaptionShift):INDEX($FK$325:$ID$396,HP$169,SwaptionMonthsToGo+SwaptionShift))))))</f>
        <v/>
      </c>
      <c r="HQ182" s="150" t="str">
        <f aca="false">IF(OR(HQ$169&lt;SwaptionFirstMonthPosition+1,$FJ182&lt;SwaptionFirstMonthPosition+1,HQ$169&gt;SwaptionFirstMonthPosition+SwaptionNumOfMonths+1,$FJ182&gt;SwaptionFirstMonthPosition+SwaptionNumOfMonths+1),"",IF($FJ182=HQ$169,1,IF($FJ182&lt;HQ$169,INDEX($FK$170:$ID$241,HQ$169,$FJ182),SUMPRODUCT(INDEX($FK$325:$ID$396,HQ$169,1+SwaptionShift):INDEX($FK$325:$ID$396,HQ$169,SwaptionMonthsToGo+SwaptionShift),INDEX($FK$245:$ID$316,$FJ182-HQ$169,73-HQ$169+SwaptionShift):INDEX($FK$245:$ID$316,$FJ182-HQ$169,72-HQ$169+SwaptionMonthsToGo+SwaptionShift))/SQRT(SUM(INDEX($FK337:$ID337,1+SwaptionShift):INDEX($FK337:$ID337,SwaptionMonthsToGo+SwaptionShift))*SUM(INDEX($FK$325:$ID$396,HQ$169,1+SwaptionShift):INDEX($FK$325:$ID$396,HQ$169,SwaptionMonthsToGo+SwaptionShift))))))</f>
        <v/>
      </c>
      <c r="HR182" s="150" t="str">
        <f aca="false">IF(OR(HR$169&lt;SwaptionFirstMonthPosition+1,$FJ182&lt;SwaptionFirstMonthPosition+1,HR$169&gt;SwaptionFirstMonthPosition+SwaptionNumOfMonths+1,$FJ182&gt;SwaptionFirstMonthPosition+SwaptionNumOfMonths+1),"",IF($FJ182=HR$169,1,IF($FJ182&lt;HR$169,INDEX($FK$170:$ID$241,HR$169,$FJ182),SUMPRODUCT(INDEX($FK$325:$ID$396,HR$169,1+SwaptionShift):INDEX($FK$325:$ID$396,HR$169,SwaptionMonthsToGo+SwaptionShift),INDEX($FK$245:$ID$316,$FJ182-HR$169,73-HR$169+SwaptionShift):INDEX($FK$245:$ID$316,$FJ182-HR$169,72-HR$169+SwaptionMonthsToGo+SwaptionShift))/SQRT(SUM(INDEX($FK337:$ID337,1+SwaptionShift):INDEX($FK337:$ID337,SwaptionMonthsToGo+SwaptionShift))*SUM(INDEX($FK$325:$ID$396,HR$169,1+SwaptionShift):INDEX($FK$325:$ID$396,HR$169,SwaptionMonthsToGo+SwaptionShift))))))</f>
        <v/>
      </c>
      <c r="HS182" s="150" t="str">
        <f aca="false">IF(OR(HS$169&lt;SwaptionFirstMonthPosition+1,$FJ182&lt;SwaptionFirstMonthPosition+1,HS$169&gt;SwaptionFirstMonthPosition+SwaptionNumOfMonths+1,$FJ182&gt;SwaptionFirstMonthPosition+SwaptionNumOfMonths+1),"",IF($FJ182=HS$169,1,IF($FJ182&lt;HS$169,INDEX($FK$170:$ID$241,HS$169,$FJ182),SUMPRODUCT(INDEX($FK$325:$ID$396,HS$169,1+SwaptionShift):INDEX($FK$325:$ID$396,HS$169,SwaptionMonthsToGo+SwaptionShift),INDEX($FK$245:$ID$316,$FJ182-HS$169,73-HS$169+SwaptionShift):INDEX($FK$245:$ID$316,$FJ182-HS$169,72-HS$169+SwaptionMonthsToGo+SwaptionShift))/SQRT(SUM(INDEX($FK337:$ID337,1+SwaptionShift):INDEX($FK337:$ID337,SwaptionMonthsToGo+SwaptionShift))*SUM(INDEX($FK$325:$ID$396,HS$169,1+SwaptionShift):INDEX($FK$325:$ID$396,HS$169,SwaptionMonthsToGo+SwaptionShift))))))</f>
        <v/>
      </c>
      <c r="HT182" s="150" t="str">
        <f aca="false">IF(OR(HT$169&lt;SwaptionFirstMonthPosition+1,$FJ182&lt;SwaptionFirstMonthPosition+1,HT$169&gt;SwaptionFirstMonthPosition+SwaptionNumOfMonths+1,$FJ182&gt;SwaptionFirstMonthPosition+SwaptionNumOfMonths+1),"",IF($FJ182=HT$169,1,IF($FJ182&lt;HT$169,INDEX($FK$170:$ID$241,HT$169,$FJ182),SUMPRODUCT(INDEX($FK$325:$ID$396,HT$169,1+SwaptionShift):INDEX($FK$325:$ID$396,HT$169,SwaptionMonthsToGo+SwaptionShift),INDEX($FK$245:$ID$316,$FJ182-HT$169,73-HT$169+SwaptionShift):INDEX($FK$245:$ID$316,$FJ182-HT$169,72-HT$169+SwaptionMonthsToGo+SwaptionShift))/SQRT(SUM(INDEX($FK337:$ID337,1+SwaptionShift):INDEX($FK337:$ID337,SwaptionMonthsToGo+SwaptionShift))*SUM(INDEX($FK$325:$ID$396,HT$169,1+SwaptionShift):INDEX($FK$325:$ID$396,HT$169,SwaptionMonthsToGo+SwaptionShift))))))</f>
        <v/>
      </c>
      <c r="HU182" s="150" t="str">
        <f aca="false">IF(OR(HU$169&lt;SwaptionFirstMonthPosition+1,$FJ182&lt;SwaptionFirstMonthPosition+1,HU$169&gt;SwaptionFirstMonthPosition+SwaptionNumOfMonths+1,$FJ182&gt;SwaptionFirstMonthPosition+SwaptionNumOfMonths+1),"",IF($FJ182=HU$169,1,IF($FJ182&lt;HU$169,INDEX($FK$170:$ID$241,HU$169,$FJ182),SUMPRODUCT(INDEX($FK$325:$ID$396,HU$169,1+SwaptionShift):INDEX($FK$325:$ID$396,HU$169,SwaptionMonthsToGo+SwaptionShift),INDEX($FK$245:$ID$316,$FJ182-HU$169,73-HU$169+SwaptionShift):INDEX($FK$245:$ID$316,$FJ182-HU$169,72-HU$169+SwaptionMonthsToGo+SwaptionShift))/SQRT(SUM(INDEX($FK337:$ID337,1+SwaptionShift):INDEX($FK337:$ID337,SwaptionMonthsToGo+SwaptionShift))*SUM(INDEX($FK$325:$ID$396,HU$169,1+SwaptionShift):INDEX($FK$325:$ID$396,HU$169,SwaptionMonthsToGo+SwaptionShift))))))</f>
        <v/>
      </c>
      <c r="HV182" s="150" t="str">
        <f aca="false">IF(OR(HV$169&lt;SwaptionFirstMonthPosition+1,$FJ182&lt;SwaptionFirstMonthPosition+1,HV$169&gt;SwaptionFirstMonthPosition+SwaptionNumOfMonths+1,$FJ182&gt;SwaptionFirstMonthPosition+SwaptionNumOfMonths+1),"",IF($FJ182=HV$169,1,IF($FJ182&lt;HV$169,INDEX($FK$170:$ID$241,HV$169,$FJ182),SUMPRODUCT(INDEX($FK$325:$ID$396,HV$169,1+SwaptionShift):INDEX($FK$325:$ID$396,HV$169,SwaptionMonthsToGo+SwaptionShift),INDEX($FK$245:$ID$316,$FJ182-HV$169,73-HV$169+SwaptionShift):INDEX($FK$245:$ID$316,$FJ182-HV$169,72-HV$169+SwaptionMonthsToGo+SwaptionShift))/SQRT(SUM(INDEX($FK337:$ID337,1+SwaptionShift):INDEX($FK337:$ID337,SwaptionMonthsToGo+SwaptionShift))*SUM(INDEX($FK$325:$ID$396,HV$169,1+SwaptionShift):INDEX($FK$325:$ID$396,HV$169,SwaptionMonthsToGo+SwaptionShift))))))</f>
        <v/>
      </c>
      <c r="HW182" s="150" t="str">
        <f aca="false">IF(OR(HW$169&lt;SwaptionFirstMonthPosition+1,$FJ182&lt;SwaptionFirstMonthPosition+1,HW$169&gt;SwaptionFirstMonthPosition+SwaptionNumOfMonths+1,$FJ182&gt;SwaptionFirstMonthPosition+SwaptionNumOfMonths+1),"",IF($FJ182=HW$169,1,IF($FJ182&lt;HW$169,INDEX($FK$170:$ID$241,HW$169,$FJ182),SUMPRODUCT(INDEX($FK$325:$ID$396,HW$169,1+SwaptionShift):INDEX($FK$325:$ID$396,HW$169,SwaptionMonthsToGo+SwaptionShift),INDEX($FK$245:$ID$316,$FJ182-HW$169,73-HW$169+SwaptionShift):INDEX($FK$245:$ID$316,$FJ182-HW$169,72-HW$169+SwaptionMonthsToGo+SwaptionShift))/SQRT(SUM(INDEX($FK337:$ID337,1+SwaptionShift):INDEX($FK337:$ID337,SwaptionMonthsToGo+SwaptionShift))*SUM(INDEX($FK$325:$ID$396,HW$169,1+SwaptionShift):INDEX($FK$325:$ID$396,HW$169,SwaptionMonthsToGo+SwaptionShift))))))</f>
        <v/>
      </c>
      <c r="HX182" s="150" t="str">
        <f aca="false">IF(OR(HX$169&lt;SwaptionFirstMonthPosition+1,$FJ182&lt;SwaptionFirstMonthPosition+1,HX$169&gt;SwaptionFirstMonthPosition+SwaptionNumOfMonths+1,$FJ182&gt;SwaptionFirstMonthPosition+SwaptionNumOfMonths+1),"",IF($FJ182=HX$169,1,IF($FJ182&lt;HX$169,INDEX($FK$170:$ID$241,HX$169,$FJ182),SUMPRODUCT(INDEX($FK$325:$ID$396,HX$169,1+SwaptionShift):INDEX($FK$325:$ID$396,HX$169,SwaptionMonthsToGo+SwaptionShift),INDEX($FK$245:$ID$316,$FJ182-HX$169,73-HX$169+SwaptionShift):INDEX($FK$245:$ID$316,$FJ182-HX$169,72-HX$169+SwaptionMonthsToGo+SwaptionShift))/SQRT(SUM(INDEX($FK337:$ID337,1+SwaptionShift):INDEX($FK337:$ID337,SwaptionMonthsToGo+SwaptionShift))*SUM(INDEX($FK$325:$ID$396,HX$169,1+SwaptionShift):INDEX($FK$325:$ID$396,HX$169,SwaptionMonthsToGo+SwaptionShift))))))</f>
        <v/>
      </c>
      <c r="HY182" s="150" t="str">
        <f aca="false">IF(OR(HY$169&lt;SwaptionFirstMonthPosition+1,$FJ182&lt;SwaptionFirstMonthPosition+1,HY$169&gt;SwaptionFirstMonthPosition+SwaptionNumOfMonths+1,$FJ182&gt;SwaptionFirstMonthPosition+SwaptionNumOfMonths+1),"",IF($FJ182=HY$169,1,IF($FJ182&lt;HY$169,INDEX($FK$170:$ID$241,HY$169,$FJ182),SUMPRODUCT(INDEX($FK$325:$ID$396,HY$169,1+SwaptionShift):INDEX($FK$325:$ID$396,HY$169,SwaptionMonthsToGo+SwaptionShift),INDEX($FK$245:$ID$316,$FJ182-HY$169,73-HY$169+SwaptionShift):INDEX($FK$245:$ID$316,$FJ182-HY$169,72-HY$169+SwaptionMonthsToGo+SwaptionShift))/SQRT(SUM(INDEX($FK337:$ID337,1+SwaptionShift):INDEX($FK337:$ID337,SwaptionMonthsToGo+SwaptionShift))*SUM(INDEX($FK$325:$ID$396,HY$169,1+SwaptionShift):INDEX($FK$325:$ID$396,HY$169,SwaptionMonthsToGo+SwaptionShift))))))</f>
        <v/>
      </c>
      <c r="HZ182" s="150" t="str">
        <f aca="false">IF(OR(HZ$169&lt;SwaptionFirstMonthPosition+1,$FJ182&lt;SwaptionFirstMonthPosition+1,HZ$169&gt;SwaptionFirstMonthPosition+SwaptionNumOfMonths+1,$FJ182&gt;SwaptionFirstMonthPosition+SwaptionNumOfMonths+1),"",IF($FJ182=HZ$169,1,IF($FJ182&lt;HZ$169,INDEX($FK$170:$ID$241,HZ$169,$FJ182),SUMPRODUCT(INDEX($FK$325:$ID$396,HZ$169,1+SwaptionShift):INDEX($FK$325:$ID$396,HZ$169,SwaptionMonthsToGo+SwaptionShift),INDEX($FK$245:$ID$316,$FJ182-HZ$169,73-HZ$169+SwaptionShift):INDEX($FK$245:$ID$316,$FJ182-HZ$169,72-HZ$169+SwaptionMonthsToGo+SwaptionShift))/SQRT(SUM(INDEX($FK337:$ID337,1+SwaptionShift):INDEX($FK337:$ID337,SwaptionMonthsToGo+SwaptionShift))*SUM(INDEX($FK$325:$ID$396,HZ$169,1+SwaptionShift):INDEX($FK$325:$ID$396,HZ$169,SwaptionMonthsToGo+SwaptionShift))))))</f>
        <v/>
      </c>
      <c r="IA182" s="150" t="str">
        <f aca="false">IF(OR(IA$169&lt;SwaptionFirstMonthPosition+1,$FJ182&lt;SwaptionFirstMonthPosition+1,IA$169&gt;SwaptionFirstMonthPosition+SwaptionNumOfMonths+1,$FJ182&gt;SwaptionFirstMonthPosition+SwaptionNumOfMonths+1),"",IF($FJ182=IA$169,1,IF($FJ182&lt;IA$169,INDEX($FK$170:$ID$241,IA$169,$FJ182),SUMPRODUCT(INDEX($FK$325:$ID$396,IA$169,1+SwaptionShift):INDEX($FK$325:$ID$396,IA$169,SwaptionMonthsToGo+SwaptionShift),INDEX($FK$245:$ID$316,$FJ182-IA$169,73-IA$169+SwaptionShift):INDEX($FK$245:$ID$316,$FJ182-IA$169,72-IA$169+SwaptionMonthsToGo+SwaptionShift))/SQRT(SUM(INDEX($FK337:$ID337,1+SwaptionShift):INDEX($FK337:$ID337,SwaptionMonthsToGo+SwaptionShift))*SUM(INDEX($FK$325:$ID$396,IA$169,1+SwaptionShift):INDEX($FK$325:$ID$396,IA$169,SwaptionMonthsToGo+SwaptionShift))))))</f>
        <v/>
      </c>
      <c r="IB182" s="150" t="str">
        <f aca="false">IF(OR(IB$169&lt;SwaptionFirstMonthPosition+1,$FJ182&lt;SwaptionFirstMonthPosition+1,IB$169&gt;SwaptionFirstMonthPosition+SwaptionNumOfMonths+1,$FJ182&gt;SwaptionFirstMonthPosition+SwaptionNumOfMonths+1),"",IF($FJ182=IB$169,1,IF($FJ182&lt;IB$169,INDEX($FK$170:$ID$241,IB$169,$FJ182),SUMPRODUCT(INDEX($FK$325:$ID$396,IB$169,1+SwaptionShift):INDEX($FK$325:$ID$396,IB$169,SwaptionMonthsToGo+SwaptionShift),INDEX($FK$245:$ID$316,$FJ182-IB$169,73-IB$169+SwaptionShift):INDEX($FK$245:$ID$316,$FJ182-IB$169,72-IB$169+SwaptionMonthsToGo+SwaptionShift))/SQRT(SUM(INDEX($FK337:$ID337,1+SwaptionShift):INDEX($FK337:$ID337,SwaptionMonthsToGo+SwaptionShift))*SUM(INDEX($FK$325:$ID$396,IB$169,1+SwaptionShift):INDEX($FK$325:$ID$396,IB$169,SwaptionMonthsToGo+SwaptionShift))))))</f>
        <v/>
      </c>
      <c r="IC182" s="150" t="str">
        <f aca="false">IF(OR(IC$169&lt;SwaptionFirstMonthPosition+1,$FJ182&lt;SwaptionFirstMonthPosition+1,IC$169&gt;SwaptionFirstMonthPosition+SwaptionNumOfMonths+1,$FJ182&gt;SwaptionFirstMonthPosition+SwaptionNumOfMonths+1),"",IF($FJ182=IC$169,1,IF($FJ182&lt;IC$169,INDEX($FK$170:$ID$241,IC$169,$FJ182),SUMPRODUCT(INDEX($FK$325:$ID$396,IC$169,1+SwaptionShift):INDEX($FK$325:$ID$396,IC$169,SwaptionMonthsToGo+SwaptionShift),INDEX($FK$245:$ID$316,$FJ182-IC$169,73-IC$169+SwaptionShift):INDEX($FK$245:$ID$316,$FJ182-IC$169,72-IC$169+SwaptionMonthsToGo+SwaptionShift))/SQRT(SUM(INDEX($FK337:$ID337,1+SwaptionShift):INDEX($FK337:$ID337,SwaptionMonthsToGo+SwaptionShift))*SUM(INDEX($FK$325:$ID$396,IC$169,1+SwaptionShift):INDEX($FK$325:$ID$396,IC$169,SwaptionMonthsToGo+SwaptionShift))))))</f>
        <v/>
      </c>
      <c r="ID182" s="572" t="str">
        <f aca="false">IF(OR(ID$169&lt;SwaptionFirstMonthPosition+1,$FJ182&lt;SwaptionFirstMonthPosition+1,ID$169&gt;SwaptionFirstMonthPosition+SwaptionNumOfMonths+1,$FJ182&gt;SwaptionFirstMonthPosition+SwaptionNumOfMonths+1),"",IF($FJ182=ID$169,1,IF($FJ182&lt;ID$169,INDEX($FK$170:$ID$241,ID$169,$FJ182),SUMPRODUCT(INDEX($FK$325:$ID$396,ID$169,1+SwaptionShift):INDEX($FK$325:$ID$396,ID$169,SwaptionMonthsToGo+SwaptionShift),INDEX($FK$245:$ID$316,$FJ182-ID$169,73-ID$169+SwaptionShift):INDEX($FK$245:$ID$316,$FJ182-ID$169,72-ID$169+SwaptionMonthsToGo+SwaptionShift))/SQRT(SUM(INDEX($FK337:$ID337,1+SwaptionShift):INDEX($FK337:$ID337,SwaptionMonthsToGo+SwaptionShift))*SUM(INDEX($FK$325:$ID$396,ID$169,1+SwaptionShift):INDEX($FK$325:$ID$396,ID$169,SwaptionMonthsToGo+SwaptionShift))))))</f>
        <v/>
      </c>
      <c r="IE182" s="129"/>
    </row>
    <row r="183" customFormat="false" ht="12.75" hidden="false" customHeight="false" outlineLevel="0" collapsed="false">
      <c r="H183" s="219" t="n">
        <f aca="false">VLOOKUP(I183,$EJ$20:$EL$54,3)</f>
        <v>0</v>
      </c>
      <c r="I183" s="511" t="n">
        <f aca="false">EOMONTH(I182,0)+1</f>
        <v>41730</v>
      </c>
      <c r="J183" s="512"/>
      <c r="K183" s="513" t="s">
        <v>280</v>
      </c>
      <c r="L183" s="514" t="n">
        <f aca="false">IF(ISNUMBER(K183),J183+K183/100,IF(K183="extra",L182+VLOOKUP(BF183,PriceSpreadTable,2)/12,IF(K183="inter",interpolateprices($K$19:$L$200,ROW(K183)-ROW(FirstPricingMonth)+1),interpolatechanges($J$19:$K$200,ROW(K183)-ROW(FirstPricingMonth)+1))))</f>
        <v>3.26250000000001</v>
      </c>
      <c r="M183" s="515"/>
      <c r="N183" s="516" t="n">
        <v>0</v>
      </c>
      <c r="O183" s="515" t="n">
        <f aca="false">M183+N183</f>
        <v>0</v>
      </c>
      <c r="P183" s="512"/>
      <c r="Q183" s="513" t="s">
        <v>280</v>
      </c>
      <c r="R183" s="512" t="e">
        <f aca="false">IF(ISNUMBER(Q183),P183+Q183/100,IF(Q183="extra",(Z181*AL181-R182*AM181)/AN181,IF(Q183="inter",interpolateprices($Q$19:$R$260,ROW(Q183)-ROW(FirstPricingMonth)+1),interpolatechanges($P$19:$Q$260,ROW(Q183)-ROW(FirstPricingMonth)+1))))</f>
        <v>#VALUE!</v>
      </c>
      <c r="S183" s="597" t="n">
        <f aca="false">S$19+(S182-S$19)*S$18</f>
        <v>0.36</v>
      </c>
      <c r="T183" s="575" t="n">
        <f aca="false">SQRT((1-(1-T182^2/U182)*T$18)*U183)</f>
        <v>0.999999999999086</v>
      </c>
      <c r="U183" s="576" t="n">
        <f aca="false">1-(1-U182)*U$18</f>
        <v>1</v>
      </c>
      <c r="V183" s="521" t="n">
        <v>0</v>
      </c>
      <c r="W183" s="577" t="n">
        <f aca="false">(J184*AJ183+J185*AK183)/AI183</f>
        <v>0</v>
      </c>
      <c r="X183" s="578" t="n">
        <f aca="false">(L184*AJ183+L185*AK183)/AI183</f>
        <v>3.31363636363637</v>
      </c>
      <c r="Y183" s="579" t="n">
        <f aca="false">IF(Q185="extra",W183-AA183,(P184*AM183+P185*AN183)/AL183)</f>
        <v>-1.2915</v>
      </c>
      <c r="Z183" s="579" t="n">
        <f aca="false">IF(Q185="extra",X183-AB183,(R184*AM183+R185*AN183)/AL183)</f>
        <v>2.02213636363637</v>
      </c>
      <c r="AA183" s="523" t="n">
        <f aca="false">IF(Q185="extra",INDEX(BrentSeasonalityTable,INT((BG183-1)/3)+1)*VLOOKUP(MAX(BF183,$AB$4),PriceSpreadTable,3),W183-Y183)</f>
        <v>1.2915</v>
      </c>
      <c r="AB183" s="524" t="n">
        <f aca="false">IF(Q185="extra",INDEX(BrentSeasonalityTable,INT((BG183-1)/3)+1)*VLOOKUP(MAX(BF183,$AB$4),PriceSpreadTable,3),X183-Z183)</f>
        <v>1.2915</v>
      </c>
      <c r="AC183" s="646" t="n">
        <v>41718</v>
      </c>
      <c r="AD183" s="646" t="n">
        <v>41714</v>
      </c>
      <c r="AE183" s="646" t="n">
        <v>41713</v>
      </c>
      <c r="AF183" s="646" t="n">
        <v>41709</v>
      </c>
      <c r="AG183" s="438" t="s">
        <v>278</v>
      </c>
      <c r="AH183" s="439" t="s">
        <v>278</v>
      </c>
      <c r="AI183" s="528" t="n">
        <v>22</v>
      </c>
      <c r="AJ183" s="529" t="n">
        <v>14</v>
      </c>
      <c r="AK183" s="529" t="n">
        <v>8</v>
      </c>
      <c r="AL183" s="530" t="n">
        <v>22</v>
      </c>
      <c r="AM183" s="529" t="n">
        <v>10</v>
      </c>
      <c r="AN183" s="531" t="n">
        <v>12</v>
      </c>
      <c r="AO183" s="532"/>
      <c r="AP183" s="465" t="n">
        <f aca="false">(1+AO183/2)^(-2*BL183)</f>
        <v>1</v>
      </c>
      <c r="AQ183" s="532"/>
      <c r="AR183" s="465" t="n">
        <f aca="false">(1+AQ183/2)^(-2*BH183/365.25)</f>
        <v>1</v>
      </c>
      <c r="AS183" s="580" t="n">
        <f aca="false">(O184*AJ183+O185*AK183)/AI183</f>
        <v>0</v>
      </c>
      <c r="AT183" s="468" t="n">
        <f aca="false">O183*VLOOKUP(BF183,BrentVolTable,2)+VLOOKUP(BF183,BrentVolTable,3)</f>
        <v>0</v>
      </c>
      <c r="AU183" s="468" t="n">
        <f aca="false">(AT184*AM183+AT185*AN183)/AL183</f>
        <v>0</v>
      </c>
      <c r="AV183" s="595" t="n">
        <f aca="false">SQRT(MAX(0.000000000001,(O183^2*BH183-S183^2*(BH183-BH182))/BH182))</f>
        <v>0.0292583484737948</v>
      </c>
      <c r="AW183" s="451" t="n">
        <f aca="false">IF($I183-DateToday+15&gt;=$T$8,"",IF($I183-DateToday+15&lt;$T$5,1,MATCH($I183-DateToday+15,$T$5:$T$8)))</f>
        <v>1</v>
      </c>
      <c r="AX183" s="468" t="n">
        <f aca="false">IF($AW183="",AX182^2/AX181,INDEX(U$5:U$8,$AW183)^((INDEX($T$5:$T$8,$AW183+1)-($I183-DateToday+15))/(INDEX($T$5:$T$8,$AW183+1)-INDEX($T$5:$T$8,$AW183)))/INDEX(U$5:U$8,$AW183+1)^((INDEX($T$5:$T$8,$AW183)-($I183-DateToday+15))/(INDEX($T$5:$T$8,$AW183+1)-INDEX($T$5:$T$8,$AW183))))</f>
        <v>0.385119297446742</v>
      </c>
      <c r="AY183" s="468" t="n">
        <f aca="false">IF($AW183="",AY182^2/AY181,INDEX(V$5:V$8,$AW183)^((INDEX($T$5:$T$8,$AW183+1)-($I183-DateToday+15))/(INDEX($T$5:$T$8,$AW183+1)-INDEX($T$5:$T$8,$AW183)))/INDEX(V$5:V$8,$AW183+1)^((INDEX($T$5:$T$8,$AW183)-($I183-DateToday+15))/(INDEX($T$5:$T$8,$AW183+1)-INDEX($T$5:$T$8,$AW183))))</f>
        <v>5.44099823872197</v>
      </c>
      <c r="AZ183" s="468" t="n">
        <f aca="false">IF($AW183="",AZ182^2/AZ181,INDEX(W$5:W$8,$AW183)^((INDEX($T$5:$T$8,$AW183+1)-($I183-DateToday+15))/(INDEX($T$5:$T$8,$AW183+1)-INDEX($T$5:$T$8,$AW183)))/INDEX(W$5:W$8,$AW183+1)^((INDEX($T$5:$T$8,$AW183)-($I183-DateToday+15))/(INDEX($T$5:$T$8,$AW183+1)-INDEX($T$5:$T$8,$AW183))))</f>
        <v>1053.53716025324</v>
      </c>
      <c r="BA183" s="468" t="n">
        <f aca="false">IF($AW183="",BA182^2/BA181,INDEX(X$5:X$8,$AW183)^((INDEX($T$5:$T$8,$AW183+1)-($I183-DateToday+15))/(INDEX($T$5:$T$8,$AW183+1)-INDEX($T$5:$T$8,$AW183)))/INDEX(X$5:X$8,$AW183+1)^((INDEX($T$5:$T$8,$AW183)-($I183-DateToday+15))/(INDEX($T$5:$T$8,$AW183+1)-INDEX($T$5:$T$8,$AW183))))</f>
        <v>4226.43219782044</v>
      </c>
      <c r="BB183" s="468" t="n">
        <f aca="false">IF($AW183="",BB182^2/BB181,INDEX(Y$5:Y$8,$AW183)^((INDEX($T$5:$T$8,$AW183+1)-($I183-DateToday+15))/(INDEX($T$5:$T$8,$AW183+1)-INDEX($T$5:$T$8,$AW183)))/INDEX(Y$5:Y$8,$AW183+1)^((INDEX($T$5:$T$8,$AW183)-($I183-DateToday+15))/(INDEX($T$5:$T$8,$AW183+1)-INDEX($T$5:$T$8,$AW183))))</f>
        <v>23278.5646221495</v>
      </c>
      <c r="BC183" s="468" t="n">
        <f aca="false">IF($AW183="",BC182^2/BC181,INDEX(Z$5:Z$8,$AW183)^((INDEX($T$5:$T$8,$AW183+1)-($I183-DateToday+15))/(INDEX($T$5:$T$8,$AW183+1)-INDEX($T$5:$T$8,$AW183)))/INDEX(Z$5:Z$8,$AW183+1)^((INDEX($T$5:$T$8,$AW183)-($I183-DateToday+15))/(INDEX($T$5:$T$8,$AW183+1)-INDEX($T$5:$T$8,$AW183))))</f>
        <v>66002.8426463051</v>
      </c>
      <c r="BD183" s="535" t="n">
        <f aca="false">IF(OR(DateStart&gt;=I184,DateEnd&lt;I183),0,IF(VolumeOverrideFlag,V183,Volume))</f>
        <v>0</v>
      </c>
      <c r="BE183" s="536" t="n">
        <f aca="false">IF(OR(DateStart2&gt;=I184,DateEnd2&lt;I183),0,IF(VolumeOverrideFlag,V183,VolumeSwaption))</f>
        <v>0</v>
      </c>
      <c r="BF183" s="537" t="n">
        <f aca="false">YEAR(I183)</f>
        <v>2014</v>
      </c>
      <c r="BG183" s="538" t="n">
        <f aca="false">MONTH(I183)</f>
        <v>4</v>
      </c>
      <c r="BH183" s="539" t="n">
        <f aca="false">AD183-DateToday+1</f>
        <v>-4211</v>
      </c>
      <c r="BI183" s="540" t="n">
        <f aca="false">(I183-DateToday+1)/365.25</f>
        <v>-11.4852840520192</v>
      </c>
      <c r="BJ183" s="541" t="n">
        <f aca="false">BI183+(BL183-BI183)*CHOOSE(Underlying,AJ183/AI183,AM183/AL183)</f>
        <v>-11.4347582602203</v>
      </c>
      <c r="BK183" s="541" t="n">
        <f aca="false">BJ183+1/365.25</f>
        <v>-11.4320204094331</v>
      </c>
      <c r="BL183" s="541" t="n">
        <f aca="false">(I184-DateToday)/365.25</f>
        <v>-11.4058863791923</v>
      </c>
      <c r="BM183" s="542" t="e">
        <f aca="false">MAX(BI183-(BJ183-BI183)*(S184^2/O184^2-1),0)</f>
        <v>#DIV/0!</v>
      </c>
      <c r="BN183" s="541" t="e">
        <f aca="false">MAX(BL183+(BL183-BK183)*(S185^2/O185^2-1),0)</f>
        <v>#DIV/0!</v>
      </c>
      <c r="BO183" s="530" t="n">
        <f aca="false">CHOOSE(Underlying,AI183,AL183)</f>
        <v>22</v>
      </c>
      <c r="BP183" s="529" t="n">
        <f aca="false">CHOOSE(Underlying,AJ183,AM183)</f>
        <v>14</v>
      </c>
      <c r="BQ183" s="529" t="n">
        <f aca="false">CHOOSE(Underlying,AK183,AN183)</f>
        <v>8</v>
      </c>
      <c r="BR183" s="463" t="str">
        <f aca="false">IF(BD183,IF(Underlying=1,X183,Z183)+UnderlyingPriceAsian-SwapPriceCurve,"")</f>
        <v/>
      </c>
      <c r="BS183" s="463" t="str">
        <f aca="false">IF(BD183,Strike1/BR183-1,"")</f>
        <v/>
      </c>
      <c r="BT183" s="464" t="str">
        <f aca="false">IF(BD183,Strike2/BR183-1,"")</f>
        <v/>
      </c>
      <c r="BU183" s="465" t="str">
        <f aca="false">IF(BD183,IF(Underlying=1,L184,R184)+UnderlyingPriceAsian-SwapPriceCurve,"")</f>
        <v/>
      </c>
      <c r="BV183" s="465" t="str">
        <f aca="false">IF(BD183,IF(Underlying=1,L185,R185)+UnderlyingPriceAsian-SwapPriceCurve,"")</f>
        <v/>
      </c>
      <c r="BW183" s="466" t="str">
        <f aca="false">IF(BD183,IF(Underlying=1,O184,AT184),"")</f>
        <v/>
      </c>
      <c r="BX183" s="467" t="str">
        <f aca="false">IF(BD183,IF(Underlying=1,O185,AT185),"")</f>
        <v/>
      </c>
      <c r="BY183" s="466" t="str">
        <f aca="false">IF(BD183,IF(BS183&gt;0,IF(BS183&gt;0.2,BC183-BB183,IF(BS183&gt;0.1,BB183-BA183,BA183)),IF(BS183&lt;-0.2,AX183-AY183,IF(BS183&lt;-0.1,AY183-AZ183,AZ183))),"")</f>
        <v/>
      </c>
      <c r="BZ183" s="467" t="str">
        <f aca="false">IF(BD183,IF(BT183&gt;0,IF(BT183&gt;0.2,BC183-BB183,IF(BT183&gt;0.1,BB183-BA183,BA183)),IF(BT183&lt;-0.2,AX183-AY183,IF(BT183&lt;-0.1,AY183-AZ183,AZ183))),"")</f>
        <v/>
      </c>
      <c r="CA183" s="468" t="str">
        <f aca="false">IF($BD183,$BW183+IF(VolSkewFlag=1,IF(BS183&gt;0,$BA183*MIN(BS183/10%,1)+($BB183-$BA183)*MAX(0,MIN(BS183/10%-1,1))+($BC183-$BB183)*MAX(0,BS183/10%-2),$AZ183*MIN(-BS183/10%,1)+($AY183-$AZ183)*MAX(0,MIN(-BS183/10%-1,1))+($AX183-$AY183)*MAX(0,-BS183/10%-2)),0),"")</f>
        <v/>
      </c>
      <c r="CB183" s="468" t="str">
        <f aca="false">IF($BD183,$BX183+IF(VolSkewFlag=1,IF(BS183&gt;0,$BA183*MIN(BS183/10%,1)+($BB183-$BA183)*MAX(0,MIN(BS183/10%-1,1))+($BC183-$BB183)*MAX(0,BS183/10%-2),$AZ183*MIN(-BS183/10%,1)+($AY183-$AZ183)*MAX(0,MIN(-BS183/10%-1,1))+($AX183-$AY183)*MAX(0,-BS183/10%-2)),0),"")</f>
        <v/>
      </c>
      <c r="CC183" s="468" t="str">
        <f aca="false">IF($BD183,$BW183+IF(VolSkewFlag=1,IF(BT183&gt;0,$BA183*MIN(BT183/10%,1)+($BB183-$BA183)*MAX(0,MIN(BT183/10%-1,1))+($BC183-$BB183)*MAX(0,BT183/10%-2),$AZ183*MIN(-BT183/10%,1)+($AY183-$AZ183)*MAX(0,MIN(-BT183/10%-1,1))+($AX183-$AY183)*MAX(0,-BT183/10%-2)),0),"")</f>
        <v/>
      </c>
      <c r="CD183" s="468" t="str">
        <f aca="false">IF($BD183,$BX183+IF(VolSkewFlag=1,IF(BT183&gt;0,$BA183*MIN(BT183/10%,1)+($BB183-$BA183)*MAX(0,MIN(BT183/10%-1,1))+($BC183-$BB183)*MAX(0,BT183/10%-2),$AZ183*MIN(-BT183/10%,1)+($AY183-$AZ183)*MAX(0,MIN(-BT183/10%-1,1))+($AX183-$AY183)*MAX(0,-BT183/10%-2)),0),"")</f>
        <v/>
      </c>
      <c r="CE183" s="469" t="n">
        <v>1</v>
      </c>
      <c r="CF183" s="470" t="n">
        <f aca="false">IF(BD183,xCrudeAPO(BU183,BV183,CA183,CB183,S184,S185,BI183,BL183,BP183,BQ183,0,Strike1,AO183,CE183,0,BL183,IF(OptControl=4,0,1),0,1),0)</f>
        <v>0</v>
      </c>
      <c r="CG183" s="470" t="n">
        <f aca="false">IF(BD183,xCrudeAPO(BU183,BV183,CA183,CB183,S184,S185,BI183,BL183,BP183,BQ183,0,Strike1,AO183,CE183,0,BL183,IF(OptControl=4,0,1),1,1)+xCrudeAPO(BU183,BV183,CA183,CB183,S184,S185,BI183,BL183,BP183,BQ183,0,Strike1,AO183,CE183,0,BL183,IF(OptControl=4,0,1),1,2)+IF(OR(VolSkewFlag=2,ABS(BS183)&lt;0.0001),0,IF(BS183&gt;0,-1,1)*CH183*Strike1/BR183^2*BY183/10%),0)</f>
        <v>0</v>
      </c>
      <c r="CH183" s="470" t="n">
        <f aca="false">IF(BD183,(xCrudeAPO(BU183,BV183,CA183,CB183,S184,S185,BI183,BL183,BP183,BQ183,0,Strike1,AO183,CE183,0,BL183,IF(OptControl=4,0,1),3,1)+xCrudeAPO(BU183,BV183,CA183,CB183,S184,S185,BI183,BL183,BP183,BQ183,0,Strike1,AO183,CE183,0,BL183,IF(OptControl=4,0,1),3,2))/100,0)</f>
        <v>0</v>
      </c>
      <c r="CI183" s="470" t="n">
        <f aca="false">IF(BD183,xCrudeAPO(BU183,BV183,CA183,CB183,S184,S185,BI183-DaysForThetaCalculation/365.25,BL183-DaysForThetaCalculation/365.25,BP183,BQ183,0,Strike1,AO183,CE183,0,BL183,IF(OptControl=4,0,1),0,1)-xCrudeAPO(BU183,BV183,CA183,CB183,S184,S185,BI183,BL183,BP183,BQ183,0,Strike1,AO183,CE183,0,BL183,IF(OptControl=4,0,1),0,1),0)</f>
        <v>0</v>
      </c>
      <c r="CJ183" s="471" t="n">
        <f aca="false">IF(BD183,xCrudeAPO(BU183,BV183,CC183,CD183,S184,S185,BI183,BL183,BP183,BQ183,0,Strike2,AO183,CE183,0,BL183,IF(OptControl=3,1,0),0,1),0)</f>
        <v>0</v>
      </c>
      <c r="CK183" s="470" t="n">
        <f aca="false">IF(BD183,xCrudeAPO(BU183,BV183,CC183,CD183,S184,S185,BI183,BL183,BP183,BQ183,0,Strike2,AO183,CE183,0,BL183,IF(OptControl=3,1,0),1,1)+xCrudeAPO(BU183,BV183,CC183,CD183,S184,S185,BI183,BL183,BP183,BQ183,0,Strike2,AO183,CE183,0,BL183,IF(OptControl=3,1,0),1,2)+IF(OR(VolSkewFlag=2,ABS(BT183)&lt;0.0001),0,IF(BT183&gt;0,-1,1)*CL183*Strike2/BR183^2*BZ183/10%),0)</f>
        <v>0</v>
      </c>
      <c r="CL183" s="470" t="n">
        <f aca="false">IF(BD183,(xCrudeAPO(BU183,BV183,CC183,CD183,S184,S185,BI183,BL183,BP183,BQ183,0,Strike2,AO183,CE183,0,BL183,IF(OptControl=3,1,0),3,1)+xCrudeAPO(BU183,BV183,CC183,CD183,S184,S185,BI183,BL183,BP183,BQ183,0,Strike2,AO183,CE183,0,BL183,IF(OptControl=3,1,0),3,2))/100,0)</f>
        <v>0</v>
      </c>
      <c r="CM183" s="472" t="n">
        <f aca="false">IF(BD183,xCrudeAPO(BU183,BV183,CC183,CD183,S184,S185,BI183-DaysForThetaCalculation/365.25,BL183-DaysForThetaCalculation/365.25,BP183,BQ183,0,Strike2,AO183,CE183,0,BL183,IF(OptControl=3,1,0),0,1)-xCrudeAPO(BU183,BV183,CC183,CD183,S184,S185,BI183,BL183,BP183,BQ183,0,Strike2,AO183,CE183,0,BL183,IF(OptControl=3,1,0),0,1),0)</f>
        <v>0</v>
      </c>
      <c r="CN183" s="3"/>
      <c r="CO183" s="543" t="str">
        <f aca="false">IF(BD183,CHOOSE(Underlying,AD183,AF183)-DateToday+1,"")</f>
        <v/>
      </c>
      <c r="CP183" s="582" t="str">
        <f aca="false">IF(BD183,CHOOSE(Underlying,L183,R183),"")</f>
        <v/>
      </c>
      <c r="CQ183" s="544" t="str">
        <f aca="false">IF(BD183,Strike1/CP183-1,"")</f>
        <v/>
      </c>
      <c r="CR183" s="544" t="str">
        <f aca="false">IF(BD183,Strike2/CP183-1,"")</f>
        <v/>
      </c>
      <c r="CS183" s="544" t="str">
        <f aca="false">IF(BD183,IF(CQ183&gt;0,IF(CQ183&gt;0.2,BC182-BB182,IF(CQ183&gt;0.1,BB182-BA182,BA182)),IF(CQ183&lt;-0.2,AX182-AY182,IF(CQ183&lt;-0.1,AY182-AZ182,AZ182))),"")</f>
        <v/>
      </c>
      <c r="CT183" s="544" t="str">
        <f aca="false">IF(BD183,IF(CR183&gt;0,IF(CR183&gt;0.2,BC182-BB182,IF(CR183&gt;0.1,BB182-BA182,BA182)),IF(CR183&lt;-0.2,AX182-AY182,IF(CR183&lt;-0.1,AY182-AZ182,AZ182))),"")</f>
        <v/>
      </c>
      <c r="CU183" s="545" t="str">
        <f aca="false">IF(BD183,CHOOSE(Underlying,O183,AT183),"")</f>
        <v/>
      </c>
      <c r="CV183" s="545" t="str">
        <f aca="false">IF(BD183,CU183+IF(VolSkewFlag=1,IF(CQ183&gt;0,BA182*MIN(CQ183/10%,1)+(BB182-BA182)*MAX(0,MIN(CQ183/10%-1,1))+(BC182-BB182)*MAX(0,CQ183/10%-2),AZ182*MIN(-CQ183/10%,1)+(AY182-AZ182)*MAX(0,MIN(-CQ183/10%-1,1))+(AX182-AY182)*MAX(0,-CQ183/10%-2)),0),"")</f>
        <v/>
      </c>
      <c r="CW183" s="545" t="str">
        <f aca="false">IF(BD183,CU183+IF(VolSkewFlag=1,IF(CR183&gt;0,BA182*MIN(CR183/10%,1)+(BB182-BA182)*MAX(0,MIN(CR183/10%-1,1))+(BC182-BB182)*MAX(0,CR183/10%-2),AZ182*MIN(-CR183/10%,1)+(AY182-AZ182)*MAX(0,MIN(-CR183/10%-1,1))+(AX182-AY182)*MAX(0,-CR183/10%-2)),0),"")</f>
        <v/>
      </c>
      <c r="CX183" s="470" t="n">
        <f aca="false">IF(BD183,EURO(CP183,Strike1,AO183,AO183,CV183,CO183,IF(OptControl=4,0,1),0),0)</f>
        <v>0</v>
      </c>
      <c r="CY183" s="470" t="n">
        <f aca="false">IF(BD183,EURO(CP183,Strike1,AO183,AO183,CV183,CO183,IF(OptControl=4,0,1),1)+IF(OR(VolSkewFlag=2,ABS(CQ183)&lt;0.0001),0,IF(CQ183&gt;0,-1,1)*CZ183*100*Strike1/CP183^2*CS183/10%),0)</f>
        <v>0</v>
      </c>
      <c r="CZ183" s="470" t="n">
        <f aca="false">IF(BD183,EURO(CP183,Strike1,AO183,AO183,CV183,CO183,IF(OptControl=4,0,1),3)/100,0)</f>
        <v>0</v>
      </c>
      <c r="DA183" s="470" t="n">
        <f aca="false">IF(BD183,EURO(CP183,Strike1,AO183,AO183,CV183,CO183,IF(OptControl=4,0,1),0)-EURO(CP183,Strike1,AO183,AO183,CV183,CO183-1,IF(OptControl=4,0,1),0),0)</f>
        <v>0</v>
      </c>
      <c r="DB183" s="470" t="n">
        <f aca="false">IF(BD183,EURO(CP183,Strike2,AO183,AO183,CW183,CO183,IF(OptControl=3,1,0),0),0)</f>
        <v>0</v>
      </c>
      <c r="DC183" s="470" t="n">
        <f aca="false">IF(BD183,EURO(CP183,Strike2,AO183,AO183,CW183,CO183,IF(OptControl=3,1,0),1)+IF(OR(VolSkewFlag=2,ABS(CR183)&lt;0.0001),0,IF(CR183&gt;0,-1,1)*DD183*100*Strike2/CP183^2*CT183/10%),0)</f>
        <v>0</v>
      </c>
      <c r="DD183" s="470" t="n">
        <f aca="false">IF(BD183,EURO(CP183,Strike2,AO183,AO183,CW183,CO183,IF(OptControl=3,1,0),3)/100,0)</f>
        <v>0</v>
      </c>
      <c r="DE183" s="472" t="n">
        <f aca="false">IF(BD183,EURO(CP183,Strike2,AO183,AO183,CW183,CO183,IF(OptControl=3,1,0),0)-EURO(CP183,Strike2,AO183,AO183,CW183,CO183-1,IF(OptControl=3,1,0),0),0)</f>
        <v>0</v>
      </c>
      <c r="DG183" s="481" t="n">
        <f aca="false">EOMONTH(DG182,0)+1</f>
        <v>50649</v>
      </c>
      <c r="DH183" s="478" t="n">
        <v>22.3100000000001</v>
      </c>
      <c r="DI183" s="479" t="n">
        <v>22.3742857142858</v>
      </c>
      <c r="DJ183" s="480" t="n">
        <f aca="false">DG183</f>
        <v>50649</v>
      </c>
      <c r="DK183" s="478" t="n">
        <v>21.1246564284128</v>
      </c>
      <c r="DL183" s="479" t="n">
        <v>21.1073857142858</v>
      </c>
      <c r="DM183" s="481" t="n">
        <f aca="false">DG183</f>
        <v>50649</v>
      </c>
      <c r="DN183" s="482" t="n">
        <f aca="false">DK183+BrentPhyBrentSpread</f>
        <v>21.1746564284128</v>
      </c>
      <c r="DO183" s="481" t="n">
        <f aca="false">DG183</f>
        <v>50649</v>
      </c>
      <c r="DP183" s="483" t="n">
        <f aca="false">DL183+DQ183</f>
        <v>21.1073857142858</v>
      </c>
      <c r="DQ183" s="546" t="n">
        <v>0</v>
      </c>
      <c r="DR183" s="480" t="n">
        <f aca="false">DG183</f>
        <v>50649</v>
      </c>
      <c r="DS183" s="485" t="n">
        <v>0.126799999999998</v>
      </c>
      <c r="DT183" s="486" t="n">
        <v>0.12602857142857</v>
      </c>
      <c r="DU183" s="480" t="n">
        <f aca="false">DG183</f>
        <v>50649</v>
      </c>
      <c r="DV183" s="485" t="n">
        <v>0.126799999999998</v>
      </c>
      <c r="DW183" s="486" t="n">
        <v>0.12602857142857</v>
      </c>
      <c r="DX183" s="481" t="n">
        <f aca="false">DG183</f>
        <v>50649</v>
      </c>
      <c r="DY183" s="486" t="n">
        <v>0.35</v>
      </c>
      <c r="DZ183" s="481" t="n">
        <f aca="false">DR183</f>
        <v>50649</v>
      </c>
      <c r="EA183" s="486" t="n">
        <f aca="false">DT183</f>
        <v>0.12602857142857</v>
      </c>
      <c r="EB183" s="195"/>
      <c r="EC183" s="547" t="str">
        <f aca="false">IF(BD183,IF(Underlying=1,AS183,AU183),"")</f>
        <v/>
      </c>
      <c r="ED183" s="548" t="str">
        <f aca="false">IF($BD183,$EC183+IF(VolSkewFlag=1,IF(BS183&gt;0,$BA183*MIN(BS183/10%,1)+($BB183-$BA183)*MAX(0,MIN(BS183/10%-1,1))+($BC183-$BB183)*MAX(0,BS183/10%-2),$AZ183*MIN(-BS183/10%,1)+($AY183-$AZ183)*MAX(0,MIN(-BS183/10%-1,1))+($AX183-$AY183)*MAX(0,-BS183/10%-2)),0),"")</f>
        <v/>
      </c>
      <c r="EE183" s="549" t="str">
        <f aca="false">IF($BD183,$EC183+IF(VolSkewFlag=1,IF(BT183&gt;0,$BA183*MIN(BT183/10%,1)+($BB183-$BA183)*MAX(0,MIN(BT183/10%-1,1))+($BC183-$BB183)*MAX(0,BT183/10%-2),$AZ183*MIN(-BT183/10%,1)+($AY183-$AZ183)*MAX(0,MIN(-BT183/10%-1,1))+($AX183-$AY183)*MAX(0,-BT183/10%-2)),0),"")</f>
        <v/>
      </c>
      <c r="EF183" s="550" t="n">
        <f aca="false">IF(BD183,xASN(BR183,Strike1,AO183,ED183,0,BO183,0,BI183,BL183,IF(OptControl=4,0,1),0),0)</f>
        <v>0</v>
      </c>
      <c r="EG183" s="551" t="n">
        <f aca="false">IF(BD183,xASN(BR183,Strike2,AO183,EE183,0,BO183,0,BI183,BL183,IF(OptControl=3,1,0),0),0)</f>
        <v>0</v>
      </c>
      <c r="EL183" s="1"/>
      <c r="EM183" s="195"/>
      <c r="EN183" s="240"/>
      <c r="EO183" s="240"/>
      <c r="EP183" s="195"/>
      <c r="EQ183" s="407" t="s">
        <v>411</v>
      </c>
      <c r="ES183" s="130"/>
      <c r="ET183" s="19"/>
      <c r="EU183" s="672"/>
      <c r="EV183" s="478"/>
      <c r="EW183" s="131"/>
      <c r="EX183" s="131"/>
      <c r="EY183" s="129"/>
      <c r="EZ183" s="129"/>
      <c r="FA183" s="129"/>
      <c r="FB183" s="129"/>
      <c r="FC183" s="129"/>
      <c r="FD183" s="129"/>
      <c r="FE183" s="129"/>
      <c r="FF183" s="129"/>
      <c r="FG183" s="129"/>
      <c r="FH183" s="129"/>
      <c r="FI183" s="129"/>
      <c r="FJ183" s="571" t="n">
        <v>14</v>
      </c>
      <c r="FK183" s="150" t="str">
        <f aca="false">IF(OR(FK$169&lt;SwaptionFirstMonthPosition+1,$FJ183&lt;SwaptionFirstMonthPosition+1,FK$169&gt;SwaptionFirstMonthPosition+SwaptionNumOfMonths+1,$FJ183&gt;SwaptionFirstMonthPosition+SwaptionNumOfMonths+1),"",IF($FJ183=FK$169,1,IF($FJ183&lt;FK$169,INDEX($FK$170:$ID$241,FK$169,$FJ183),SUMPRODUCT(INDEX($FK$325:$ID$396,FK$169,1+SwaptionShift):INDEX($FK$325:$ID$396,FK$169,SwaptionMonthsToGo+SwaptionShift),INDEX($FK$245:$ID$316,$FJ183-FK$169,73-FK$169+SwaptionShift):INDEX($FK$245:$ID$316,$FJ183-FK$169,72-FK$169+SwaptionMonthsToGo+SwaptionShift))/SQRT(SUM(INDEX($FK338:$ID338,1+SwaptionShift):INDEX($FK338:$ID338,SwaptionMonthsToGo+SwaptionShift))*SUM(INDEX($FK$325:$ID$396,FK$169,1+SwaptionShift):INDEX($FK$325:$ID$396,FK$169,SwaptionMonthsToGo+SwaptionShift))))))</f>
        <v/>
      </c>
      <c r="FL183" s="150" t="str">
        <f aca="false">IF(OR(FL$169&lt;SwaptionFirstMonthPosition+1,$FJ183&lt;SwaptionFirstMonthPosition+1,FL$169&gt;SwaptionFirstMonthPosition+SwaptionNumOfMonths+1,$FJ183&gt;SwaptionFirstMonthPosition+SwaptionNumOfMonths+1),"",IF($FJ183=FL$169,1,IF($FJ183&lt;FL$169,INDEX($FK$170:$ID$241,FL$169,$FJ183),SUMPRODUCT(INDEX($FK$325:$ID$396,FL$169,1+SwaptionShift):INDEX($FK$325:$ID$396,FL$169,SwaptionMonthsToGo+SwaptionShift),INDEX($FK$245:$ID$316,$FJ183-FL$169,73-FL$169+SwaptionShift):INDEX($FK$245:$ID$316,$FJ183-FL$169,72-FL$169+SwaptionMonthsToGo+SwaptionShift))/SQRT(SUM(INDEX($FK338:$ID338,1+SwaptionShift):INDEX($FK338:$ID338,SwaptionMonthsToGo+SwaptionShift))*SUM(INDEX($FK$325:$ID$396,FL$169,1+SwaptionShift):INDEX($FK$325:$ID$396,FL$169,SwaptionMonthsToGo+SwaptionShift))))))</f>
        <v/>
      </c>
      <c r="FM183" s="150" t="str">
        <f aca="false">IF(OR(FM$169&lt;SwaptionFirstMonthPosition+1,$FJ183&lt;SwaptionFirstMonthPosition+1,FM$169&gt;SwaptionFirstMonthPosition+SwaptionNumOfMonths+1,$FJ183&gt;SwaptionFirstMonthPosition+SwaptionNumOfMonths+1),"",IF($FJ183=FM$169,1,IF($FJ183&lt;FM$169,INDEX($FK$170:$ID$241,FM$169,$FJ183),SUMPRODUCT(INDEX($FK$325:$ID$396,FM$169,1+SwaptionShift):INDEX($FK$325:$ID$396,FM$169,SwaptionMonthsToGo+SwaptionShift),INDEX($FK$245:$ID$316,$FJ183-FM$169,73-FM$169+SwaptionShift):INDEX($FK$245:$ID$316,$FJ183-FM$169,72-FM$169+SwaptionMonthsToGo+SwaptionShift))/SQRT(SUM(INDEX($FK338:$ID338,1+SwaptionShift):INDEX($FK338:$ID338,SwaptionMonthsToGo+SwaptionShift))*SUM(INDEX($FK$325:$ID$396,FM$169,1+SwaptionShift):INDEX($FK$325:$ID$396,FM$169,SwaptionMonthsToGo+SwaptionShift))))))</f>
        <v/>
      </c>
      <c r="FN183" s="150" t="str">
        <f aca="false">IF(OR(FN$169&lt;SwaptionFirstMonthPosition+1,$FJ183&lt;SwaptionFirstMonthPosition+1,FN$169&gt;SwaptionFirstMonthPosition+SwaptionNumOfMonths+1,$FJ183&gt;SwaptionFirstMonthPosition+SwaptionNumOfMonths+1),"",IF($FJ183=FN$169,1,IF($FJ183&lt;FN$169,INDEX($FK$170:$ID$241,FN$169,$FJ183),SUMPRODUCT(INDEX($FK$325:$ID$396,FN$169,1+SwaptionShift):INDEX($FK$325:$ID$396,FN$169,SwaptionMonthsToGo+SwaptionShift),INDEX($FK$245:$ID$316,$FJ183-FN$169,73-FN$169+SwaptionShift):INDEX($FK$245:$ID$316,$FJ183-FN$169,72-FN$169+SwaptionMonthsToGo+SwaptionShift))/SQRT(SUM(INDEX($FK338:$ID338,1+SwaptionShift):INDEX($FK338:$ID338,SwaptionMonthsToGo+SwaptionShift))*SUM(INDEX($FK$325:$ID$396,FN$169,1+SwaptionShift):INDEX($FK$325:$ID$396,FN$169,SwaptionMonthsToGo+SwaptionShift))))))</f>
        <v/>
      </c>
      <c r="FO183" s="150" t="str">
        <f aca="false">IF(OR(FO$169&lt;SwaptionFirstMonthPosition+1,$FJ183&lt;SwaptionFirstMonthPosition+1,FO$169&gt;SwaptionFirstMonthPosition+SwaptionNumOfMonths+1,$FJ183&gt;SwaptionFirstMonthPosition+SwaptionNumOfMonths+1),"",IF($FJ183=FO$169,1,IF($FJ183&lt;FO$169,INDEX($FK$170:$ID$241,FO$169,$FJ183),SUMPRODUCT(INDEX($FK$325:$ID$396,FO$169,1+SwaptionShift):INDEX($FK$325:$ID$396,FO$169,SwaptionMonthsToGo+SwaptionShift),INDEX($FK$245:$ID$316,$FJ183-FO$169,73-FO$169+SwaptionShift):INDEX($FK$245:$ID$316,$FJ183-FO$169,72-FO$169+SwaptionMonthsToGo+SwaptionShift))/SQRT(SUM(INDEX($FK338:$ID338,1+SwaptionShift):INDEX($FK338:$ID338,SwaptionMonthsToGo+SwaptionShift))*SUM(INDEX($FK$325:$ID$396,FO$169,1+SwaptionShift):INDEX($FK$325:$ID$396,FO$169,SwaptionMonthsToGo+SwaptionShift))))))</f>
        <v/>
      </c>
      <c r="FP183" s="150" t="e">
        <f aca="false">IF(OR(FP$169&lt;SwaptionFirstMonthPosition+1,$FJ183&lt;SwaptionFirstMonthPosition+1,FP$169&gt;SwaptionFirstMonthPosition+SwaptionNumOfMonths+1,$FJ183&gt;SwaptionFirstMonthPosition+SwaptionNumOfMonths+1),"",IF($FJ183=FP$169,1,IF($FJ183&lt;FP$169,INDEX($FK$170:$ID$241,FP$169,$FJ183),SUMPRODUCT(INDEX($FK$325:$ID$396,FP$169,1+SwaptionShift):INDEX($FK$325:$ID$396,FP$169,SwaptionMonthsToGo+SwaptionShift),INDEX($FK$245:$ID$316,$FJ183-FP$169,73-FP$169+SwaptionShift):INDEX($FK$245:$ID$316,$FJ183-FP$169,72-FP$169+SwaptionMonthsToGo+SwaptionShift))/SQRT(SUM(INDEX($FK338:$ID338,1+SwaptionShift):INDEX($FK338:$ID338,SwaptionMonthsToGo+SwaptionShift))*SUM(INDEX($FK$325:$ID$396,FP$169,1+SwaptionShift):INDEX($FK$325:$ID$396,FP$169,SwaptionMonthsToGo+SwaptionShift))))))</f>
        <v>#DIV/0!</v>
      </c>
      <c r="FQ183" s="150" t="e">
        <f aca="false">IF(OR(FQ$169&lt;SwaptionFirstMonthPosition+1,$FJ183&lt;SwaptionFirstMonthPosition+1,FQ$169&gt;SwaptionFirstMonthPosition+SwaptionNumOfMonths+1,$FJ183&gt;SwaptionFirstMonthPosition+SwaptionNumOfMonths+1),"",IF($FJ183=FQ$169,1,IF($FJ183&lt;FQ$169,INDEX($FK$170:$ID$241,FQ$169,$FJ183),SUMPRODUCT(INDEX($FK$325:$ID$396,FQ$169,1+SwaptionShift):INDEX($FK$325:$ID$396,FQ$169,SwaptionMonthsToGo+SwaptionShift),INDEX($FK$245:$ID$316,$FJ183-FQ$169,73-FQ$169+SwaptionShift):INDEX($FK$245:$ID$316,$FJ183-FQ$169,72-FQ$169+SwaptionMonthsToGo+SwaptionShift))/SQRT(SUM(INDEX($FK338:$ID338,1+SwaptionShift):INDEX($FK338:$ID338,SwaptionMonthsToGo+SwaptionShift))*SUM(INDEX($FK$325:$ID$396,FQ$169,1+SwaptionShift):INDEX($FK$325:$ID$396,FQ$169,SwaptionMonthsToGo+SwaptionShift))))))</f>
        <v>#DIV/0!</v>
      </c>
      <c r="FR183" s="150" t="e">
        <f aca="false">IF(OR(FR$169&lt;SwaptionFirstMonthPosition+1,$FJ183&lt;SwaptionFirstMonthPosition+1,FR$169&gt;SwaptionFirstMonthPosition+SwaptionNumOfMonths+1,$FJ183&gt;SwaptionFirstMonthPosition+SwaptionNumOfMonths+1),"",IF($FJ183=FR$169,1,IF($FJ183&lt;FR$169,INDEX($FK$170:$ID$241,FR$169,$FJ183),SUMPRODUCT(INDEX($FK$325:$ID$396,FR$169,1+SwaptionShift):INDEX($FK$325:$ID$396,FR$169,SwaptionMonthsToGo+SwaptionShift),INDEX($FK$245:$ID$316,$FJ183-FR$169,73-FR$169+SwaptionShift):INDEX($FK$245:$ID$316,$FJ183-FR$169,72-FR$169+SwaptionMonthsToGo+SwaptionShift))/SQRT(SUM(INDEX($FK338:$ID338,1+SwaptionShift):INDEX($FK338:$ID338,SwaptionMonthsToGo+SwaptionShift))*SUM(INDEX($FK$325:$ID$396,FR$169,1+SwaptionShift):INDEX($FK$325:$ID$396,FR$169,SwaptionMonthsToGo+SwaptionShift))))))</f>
        <v>#DIV/0!</v>
      </c>
      <c r="FS183" s="150" t="e">
        <f aca="false">IF(OR(FS$169&lt;SwaptionFirstMonthPosition+1,$FJ183&lt;SwaptionFirstMonthPosition+1,FS$169&gt;SwaptionFirstMonthPosition+SwaptionNumOfMonths+1,$FJ183&gt;SwaptionFirstMonthPosition+SwaptionNumOfMonths+1),"",IF($FJ183=FS$169,1,IF($FJ183&lt;FS$169,INDEX($FK$170:$ID$241,FS$169,$FJ183),SUMPRODUCT(INDEX($FK$325:$ID$396,FS$169,1+SwaptionShift):INDEX($FK$325:$ID$396,FS$169,SwaptionMonthsToGo+SwaptionShift),INDEX($FK$245:$ID$316,$FJ183-FS$169,73-FS$169+SwaptionShift):INDEX($FK$245:$ID$316,$FJ183-FS$169,72-FS$169+SwaptionMonthsToGo+SwaptionShift))/SQRT(SUM(INDEX($FK338:$ID338,1+SwaptionShift):INDEX($FK338:$ID338,SwaptionMonthsToGo+SwaptionShift))*SUM(INDEX($FK$325:$ID$396,FS$169,1+SwaptionShift):INDEX($FK$325:$ID$396,FS$169,SwaptionMonthsToGo+SwaptionShift))))))</f>
        <v>#DIV/0!</v>
      </c>
      <c r="FT183" s="150" t="e">
        <f aca="false">IF(OR(FT$169&lt;SwaptionFirstMonthPosition+1,$FJ183&lt;SwaptionFirstMonthPosition+1,FT$169&gt;SwaptionFirstMonthPosition+SwaptionNumOfMonths+1,$FJ183&gt;SwaptionFirstMonthPosition+SwaptionNumOfMonths+1),"",IF($FJ183=FT$169,1,IF($FJ183&lt;FT$169,INDEX($FK$170:$ID$241,FT$169,$FJ183),SUMPRODUCT(INDEX($FK$325:$ID$396,FT$169,1+SwaptionShift):INDEX($FK$325:$ID$396,FT$169,SwaptionMonthsToGo+SwaptionShift),INDEX($FK$245:$ID$316,$FJ183-FT$169,73-FT$169+SwaptionShift):INDEX($FK$245:$ID$316,$FJ183-FT$169,72-FT$169+SwaptionMonthsToGo+SwaptionShift))/SQRT(SUM(INDEX($FK338:$ID338,1+SwaptionShift):INDEX($FK338:$ID338,SwaptionMonthsToGo+SwaptionShift))*SUM(INDEX($FK$325:$ID$396,FT$169,1+SwaptionShift):INDEX($FK$325:$ID$396,FT$169,SwaptionMonthsToGo+SwaptionShift))))))</f>
        <v>#DIV/0!</v>
      </c>
      <c r="FU183" s="150" t="e">
        <f aca="false">IF(OR(FU$169&lt;SwaptionFirstMonthPosition+1,$FJ183&lt;SwaptionFirstMonthPosition+1,FU$169&gt;SwaptionFirstMonthPosition+SwaptionNumOfMonths+1,$FJ183&gt;SwaptionFirstMonthPosition+SwaptionNumOfMonths+1),"",IF($FJ183=FU$169,1,IF($FJ183&lt;FU$169,INDEX($FK$170:$ID$241,FU$169,$FJ183),SUMPRODUCT(INDEX($FK$325:$ID$396,FU$169,1+SwaptionShift):INDEX($FK$325:$ID$396,FU$169,SwaptionMonthsToGo+SwaptionShift),INDEX($FK$245:$ID$316,$FJ183-FU$169,73-FU$169+SwaptionShift):INDEX($FK$245:$ID$316,$FJ183-FU$169,72-FU$169+SwaptionMonthsToGo+SwaptionShift))/SQRT(SUM(INDEX($FK338:$ID338,1+SwaptionShift):INDEX($FK338:$ID338,SwaptionMonthsToGo+SwaptionShift))*SUM(INDEX($FK$325:$ID$396,FU$169,1+SwaptionShift):INDEX($FK$325:$ID$396,FU$169,SwaptionMonthsToGo+SwaptionShift))))))</f>
        <v>#DIV/0!</v>
      </c>
      <c r="FV183" s="150" t="e">
        <f aca="false">IF(OR(FV$169&lt;SwaptionFirstMonthPosition+1,$FJ183&lt;SwaptionFirstMonthPosition+1,FV$169&gt;SwaptionFirstMonthPosition+SwaptionNumOfMonths+1,$FJ183&gt;SwaptionFirstMonthPosition+SwaptionNumOfMonths+1),"",IF($FJ183=FV$169,1,IF($FJ183&lt;FV$169,INDEX($FK$170:$ID$241,FV$169,$FJ183),SUMPRODUCT(INDEX($FK$325:$ID$396,FV$169,1+SwaptionShift):INDEX($FK$325:$ID$396,FV$169,SwaptionMonthsToGo+SwaptionShift),INDEX($FK$245:$ID$316,$FJ183-FV$169,73-FV$169+SwaptionShift):INDEX($FK$245:$ID$316,$FJ183-FV$169,72-FV$169+SwaptionMonthsToGo+SwaptionShift))/SQRT(SUM(INDEX($FK338:$ID338,1+SwaptionShift):INDEX($FK338:$ID338,SwaptionMonthsToGo+SwaptionShift))*SUM(INDEX($FK$325:$ID$396,FV$169,1+SwaptionShift):INDEX($FK$325:$ID$396,FV$169,SwaptionMonthsToGo+SwaptionShift))))))</f>
        <v>#DIV/0!</v>
      </c>
      <c r="FW183" s="150" t="e">
        <f aca="false">IF(OR(FW$169&lt;SwaptionFirstMonthPosition+1,$FJ183&lt;SwaptionFirstMonthPosition+1,FW$169&gt;SwaptionFirstMonthPosition+SwaptionNumOfMonths+1,$FJ183&gt;SwaptionFirstMonthPosition+SwaptionNumOfMonths+1),"",IF($FJ183=FW$169,1,IF($FJ183&lt;FW$169,INDEX($FK$170:$ID$241,FW$169,$FJ183),SUMPRODUCT(INDEX($FK$325:$ID$396,FW$169,1+SwaptionShift):INDEX($FK$325:$ID$396,FW$169,SwaptionMonthsToGo+SwaptionShift),INDEX($FK$245:$ID$316,$FJ183-FW$169,73-FW$169+SwaptionShift):INDEX($FK$245:$ID$316,$FJ183-FW$169,72-FW$169+SwaptionMonthsToGo+SwaptionShift))/SQRT(SUM(INDEX($FK338:$ID338,1+SwaptionShift):INDEX($FK338:$ID338,SwaptionMonthsToGo+SwaptionShift))*SUM(INDEX($FK$325:$ID$396,FW$169,1+SwaptionShift):INDEX($FK$325:$ID$396,FW$169,SwaptionMonthsToGo+SwaptionShift))))))</f>
        <v>#DIV/0!</v>
      </c>
      <c r="FX183" s="150" t="n">
        <f aca="false">IF(OR(FX$169&lt;SwaptionFirstMonthPosition+1,$FJ183&lt;SwaptionFirstMonthPosition+1,FX$169&gt;SwaptionFirstMonthPosition+SwaptionNumOfMonths+1,$FJ183&gt;SwaptionFirstMonthPosition+SwaptionNumOfMonths+1),"",IF($FJ183=FX$169,1,IF($FJ183&lt;FX$169,INDEX($FK$170:$ID$241,FX$169,$FJ183),SUMPRODUCT(INDEX($FK$325:$ID$396,FX$169,1+SwaptionShift):INDEX($FK$325:$ID$396,FX$169,SwaptionMonthsToGo+SwaptionShift),INDEX($FK$245:$ID$316,$FJ183-FX$169,73-FX$169+SwaptionShift):INDEX($FK$245:$ID$316,$FJ183-FX$169,72-FX$169+SwaptionMonthsToGo+SwaptionShift))/SQRT(SUM(INDEX($FK338:$ID338,1+SwaptionShift):INDEX($FK338:$ID338,SwaptionMonthsToGo+SwaptionShift))*SUM(INDEX($FK$325:$ID$396,FX$169,1+SwaptionShift):INDEX($FK$325:$ID$396,FX$169,SwaptionMonthsToGo+SwaptionShift))))))</f>
        <v>1</v>
      </c>
      <c r="FY183" s="150" t="e">
        <f aca="false">IF(OR(FY$169&lt;SwaptionFirstMonthPosition+1,$FJ183&lt;SwaptionFirstMonthPosition+1,FY$169&gt;SwaptionFirstMonthPosition+SwaptionNumOfMonths+1,$FJ183&gt;SwaptionFirstMonthPosition+SwaptionNumOfMonths+1),"",IF($FJ183=FY$169,1,IF($FJ183&lt;FY$169,INDEX($FK$170:$ID$241,FY$169,$FJ183),SUMPRODUCT(INDEX($FK$325:$ID$396,FY$169,1+SwaptionShift):INDEX($FK$325:$ID$396,FY$169,SwaptionMonthsToGo+SwaptionShift),INDEX($FK$245:$ID$316,$FJ183-FY$169,73-FY$169+SwaptionShift):INDEX($FK$245:$ID$316,$FJ183-FY$169,72-FY$169+SwaptionMonthsToGo+SwaptionShift))/SQRT(SUM(INDEX($FK338:$ID338,1+SwaptionShift):INDEX($FK338:$ID338,SwaptionMonthsToGo+SwaptionShift))*SUM(INDEX($FK$325:$ID$396,FY$169,1+SwaptionShift):INDEX($FK$325:$ID$396,FY$169,SwaptionMonthsToGo+SwaptionShift))))))</f>
        <v>#DIV/0!</v>
      </c>
      <c r="FZ183" s="150" t="e">
        <f aca="false">IF(OR(FZ$169&lt;SwaptionFirstMonthPosition+1,$FJ183&lt;SwaptionFirstMonthPosition+1,FZ$169&gt;SwaptionFirstMonthPosition+SwaptionNumOfMonths+1,$FJ183&gt;SwaptionFirstMonthPosition+SwaptionNumOfMonths+1),"",IF($FJ183=FZ$169,1,IF($FJ183&lt;FZ$169,INDEX($FK$170:$ID$241,FZ$169,$FJ183),SUMPRODUCT(INDEX($FK$325:$ID$396,FZ$169,1+SwaptionShift):INDEX($FK$325:$ID$396,FZ$169,SwaptionMonthsToGo+SwaptionShift),INDEX($FK$245:$ID$316,$FJ183-FZ$169,73-FZ$169+SwaptionShift):INDEX($FK$245:$ID$316,$FJ183-FZ$169,72-FZ$169+SwaptionMonthsToGo+SwaptionShift))/SQRT(SUM(INDEX($FK338:$ID338,1+SwaptionShift):INDEX($FK338:$ID338,SwaptionMonthsToGo+SwaptionShift))*SUM(INDEX($FK$325:$ID$396,FZ$169,1+SwaptionShift):INDEX($FK$325:$ID$396,FZ$169,SwaptionMonthsToGo+SwaptionShift))))))</f>
        <v>#DIV/0!</v>
      </c>
      <c r="GA183" s="150" t="e">
        <f aca="false">IF(OR(GA$169&lt;SwaptionFirstMonthPosition+1,$FJ183&lt;SwaptionFirstMonthPosition+1,GA$169&gt;SwaptionFirstMonthPosition+SwaptionNumOfMonths+1,$FJ183&gt;SwaptionFirstMonthPosition+SwaptionNumOfMonths+1),"",IF($FJ183=GA$169,1,IF($FJ183&lt;GA$169,INDEX($FK$170:$ID$241,GA$169,$FJ183),SUMPRODUCT(INDEX($FK$325:$ID$396,GA$169,1+SwaptionShift):INDEX($FK$325:$ID$396,GA$169,SwaptionMonthsToGo+SwaptionShift),INDEX($FK$245:$ID$316,$FJ183-GA$169,73-GA$169+SwaptionShift):INDEX($FK$245:$ID$316,$FJ183-GA$169,72-GA$169+SwaptionMonthsToGo+SwaptionShift))/SQRT(SUM(INDEX($FK338:$ID338,1+SwaptionShift):INDEX($FK338:$ID338,SwaptionMonthsToGo+SwaptionShift))*SUM(INDEX($FK$325:$ID$396,GA$169,1+SwaptionShift):INDEX($FK$325:$ID$396,GA$169,SwaptionMonthsToGo+SwaptionShift))))))</f>
        <v>#DIV/0!</v>
      </c>
      <c r="GB183" s="150" t="e">
        <f aca="false">IF(OR(GB$169&lt;SwaptionFirstMonthPosition+1,$FJ183&lt;SwaptionFirstMonthPosition+1,GB$169&gt;SwaptionFirstMonthPosition+SwaptionNumOfMonths+1,$FJ183&gt;SwaptionFirstMonthPosition+SwaptionNumOfMonths+1),"",IF($FJ183=GB$169,1,IF($FJ183&lt;GB$169,INDEX($FK$170:$ID$241,GB$169,$FJ183),SUMPRODUCT(INDEX($FK$325:$ID$396,GB$169,1+SwaptionShift):INDEX($FK$325:$ID$396,GB$169,SwaptionMonthsToGo+SwaptionShift),INDEX($FK$245:$ID$316,$FJ183-GB$169,73-GB$169+SwaptionShift):INDEX($FK$245:$ID$316,$FJ183-GB$169,72-GB$169+SwaptionMonthsToGo+SwaptionShift))/SQRT(SUM(INDEX($FK338:$ID338,1+SwaptionShift):INDEX($FK338:$ID338,SwaptionMonthsToGo+SwaptionShift))*SUM(INDEX($FK$325:$ID$396,GB$169,1+SwaptionShift):INDEX($FK$325:$ID$396,GB$169,SwaptionMonthsToGo+SwaptionShift))))))</f>
        <v>#DIV/0!</v>
      </c>
      <c r="GC183" s="150" t="str">
        <f aca="false">IF(OR(GC$169&lt;SwaptionFirstMonthPosition+1,$FJ183&lt;SwaptionFirstMonthPosition+1,GC$169&gt;SwaptionFirstMonthPosition+SwaptionNumOfMonths+1,$FJ183&gt;SwaptionFirstMonthPosition+SwaptionNumOfMonths+1),"",IF($FJ183=GC$169,1,IF($FJ183&lt;GC$169,INDEX($FK$170:$ID$241,GC$169,$FJ183),SUMPRODUCT(INDEX($FK$325:$ID$396,GC$169,1+SwaptionShift):INDEX($FK$325:$ID$396,GC$169,SwaptionMonthsToGo+SwaptionShift),INDEX($FK$245:$ID$316,$FJ183-GC$169,73-GC$169+SwaptionShift):INDEX($FK$245:$ID$316,$FJ183-GC$169,72-GC$169+SwaptionMonthsToGo+SwaptionShift))/SQRT(SUM(INDEX($FK338:$ID338,1+SwaptionShift):INDEX($FK338:$ID338,SwaptionMonthsToGo+SwaptionShift))*SUM(INDEX($FK$325:$ID$396,GC$169,1+SwaptionShift):INDEX($FK$325:$ID$396,GC$169,SwaptionMonthsToGo+SwaptionShift))))))</f>
        <v/>
      </c>
      <c r="GD183" s="150" t="str">
        <f aca="false">IF(OR(GD$169&lt;SwaptionFirstMonthPosition+1,$FJ183&lt;SwaptionFirstMonthPosition+1,GD$169&gt;SwaptionFirstMonthPosition+SwaptionNumOfMonths+1,$FJ183&gt;SwaptionFirstMonthPosition+SwaptionNumOfMonths+1),"",IF($FJ183=GD$169,1,IF($FJ183&lt;GD$169,INDEX($FK$170:$ID$241,GD$169,$FJ183),SUMPRODUCT(INDEX($FK$325:$ID$396,GD$169,1+SwaptionShift):INDEX($FK$325:$ID$396,GD$169,SwaptionMonthsToGo+SwaptionShift),INDEX($FK$245:$ID$316,$FJ183-GD$169,73-GD$169+SwaptionShift):INDEX($FK$245:$ID$316,$FJ183-GD$169,72-GD$169+SwaptionMonthsToGo+SwaptionShift))/SQRT(SUM(INDEX($FK338:$ID338,1+SwaptionShift):INDEX($FK338:$ID338,SwaptionMonthsToGo+SwaptionShift))*SUM(INDEX($FK$325:$ID$396,GD$169,1+SwaptionShift):INDEX($FK$325:$ID$396,GD$169,SwaptionMonthsToGo+SwaptionShift))))))</f>
        <v/>
      </c>
      <c r="GE183" s="150" t="str">
        <f aca="false">IF(OR(GE$169&lt;SwaptionFirstMonthPosition+1,$FJ183&lt;SwaptionFirstMonthPosition+1,GE$169&gt;SwaptionFirstMonthPosition+SwaptionNumOfMonths+1,$FJ183&gt;SwaptionFirstMonthPosition+SwaptionNumOfMonths+1),"",IF($FJ183=GE$169,1,IF($FJ183&lt;GE$169,INDEX($FK$170:$ID$241,GE$169,$FJ183),SUMPRODUCT(INDEX($FK$325:$ID$396,GE$169,1+SwaptionShift):INDEX($FK$325:$ID$396,GE$169,SwaptionMonthsToGo+SwaptionShift),INDEX($FK$245:$ID$316,$FJ183-GE$169,73-GE$169+SwaptionShift):INDEX($FK$245:$ID$316,$FJ183-GE$169,72-GE$169+SwaptionMonthsToGo+SwaptionShift))/SQRT(SUM(INDEX($FK338:$ID338,1+SwaptionShift):INDEX($FK338:$ID338,SwaptionMonthsToGo+SwaptionShift))*SUM(INDEX($FK$325:$ID$396,GE$169,1+SwaptionShift):INDEX($FK$325:$ID$396,GE$169,SwaptionMonthsToGo+SwaptionShift))))))</f>
        <v/>
      </c>
      <c r="GF183" s="150" t="str">
        <f aca="false">IF(OR(GF$169&lt;SwaptionFirstMonthPosition+1,$FJ183&lt;SwaptionFirstMonthPosition+1,GF$169&gt;SwaptionFirstMonthPosition+SwaptionNumOfMonths+1,$FJ183&gt;SwaptionFirstMonthPosition+SwaptionNumOfMonths+1),"",IF($FJ183=GF$169,1,IF($FJ183&lt;GF$169,INDEX($FK$170:$ID$241,GF$169,$FJ183),SUMPRODUCT(INDEX($FK$325:$ID$396,GF$169,1+SwaptionShift):INDEX($FK$325:$ID$396,GF$169,SwaptionMonthsToGo+SwaptionShift),INDEX($FK$245:$ID$316,$FJ183-GF$169,73-GF$169+SwaptionShift):INDEX($FK$245:$ID$316,$FJ183-GF$169,72-GF$169+SwaptionMonthsToGo+SwaptionShift))/SQRT(SUM(INDEX($FK338:$ID338,1+SwaptionShift):INDEX($FK338:$ID338,SwaptionMonthsToGo+SwaptionShift))*SUM(INDEX($FK$325:$ID$396,GF$169,1+SwaptionShift):INDEX($FK$325:$ID$396,GF$169,SwaptionMonthsToGo+SwaptionShift))))))</f>
        <v/>
      </c>
      <c r="GG183" s="150" t="str">
        <f aca="false">IF(OR(GG$169&lt;SwaptionFirstMonthPosition+1,$FJ183&lt;SwaptionFirstMonthPosition+1,GG$169&gt;SwaptionFirstMonthPosition+SwaptionNumOfMonths+1,$FJ183&gt;SwaptionFirstMonthPosition+SwaptionNumOfMonths+1),"",IF($FJ183=GG$169,1,IF($FJ183&lt;GG$169,INDEX($FK$170:$ID$241,GG$169,$FJ183),SUMPRODUCT(INDEX($FK$325:$ID$396,GG$169,1+SwaptionShift):INDEX($FK$325:$ID$396,GG$169,SwaptionMonthsToGo+SwaptionShift),INDEX($FK$245:$ID$316,$FJ183-GG$169,73-GG$169+SwaptionShift):INDEX($FK$245:$ID$316,$FJ183-GG$169,72-GG$169+SwaptionMonthsToGo+SwaptionShift))/SQRT(SUM(INDEX($FK338:$ID338,1+SwaptionShift):INDEX($FK338:$ID338,SwaptionMonthsToGo+SwaptionShift))*SUM(INDEX($FK$325:$ID$396,GG$169,1+SwaptionShift):INDEX($FK$325:$ID$396,GG$169,SwaptionMonthsToGo+SwaptionShift))))))</f>
        <v/>
      </c>
      <c r="GH183" s="150" t="str">
        <f aca="false">IF(OR(GH$169&lt;SwaptionFirstMonthPosition+1,$FJ183&lt;SwaptionFirstMonthPosition+1,GH$169&gt;SwaptionFirstMonthPosition+SwaptionNumOfMonths+1,$FJ183&gt;SwaptionFirstMonthPosition+SwaptionNumOfMonths+1),"",IF($FJ183=GH$169,1,IF($FJ183&lt;GH$169,INDEX($FK$170:$ID$241,GH$169,$FJ183),SUMPRODUCT(INDEX($FK$325:$ID$396,GH$169,1+SwaptionShift):INDEX($FK$325:$ID$396,GH$169,SwaptionMonthsToGo+SwaptionShift),INDEX($FK$245:$ID$316,$FJ183-GH$169,73-GH$169+SwaptionShift):INDEX($FK$245:$ID$316,$FJ183-GH$169,72-GH$169+SwaptionMonthsToGo+SwaptionShift))/SQRT(SUM(INDEX($FK338:$ID338,1+SwaptionShift):INDEX($FK338:$ID338,SwaptionMonthsToGo+SwaptionShift))*SUM(INDEX($FK$325:$ID$396,GH$169,1+SwaptionShift):INDEX($FK$325:$ID$396,GH$169,SwaptionMonthsToGo+SwaptionShift))))))</f>
        <v/>
      </c>
      <c r="GI183" s="150" t="str">
        <f aca="false">IF(OR(GI$169&lt;SwaptionFirstMonthPosition+1,$FJ183&lt;SwaptionFirstMonthPosition+1,GI$169&gt;SwaptionFirstMonthPosition+SwaptionNumOfMonths+1,$FJ183&gt;SwaptionFirstMonthPosition+SwaptionNumOfMonths+1),"",IF($FJ183=GI$169,1,IF($FJ183&lt;GI$169,INDEX($FK$170:$ID$241,GI$169,$FJ183),SUMPRODUCT(INDEX($FK$325:$ID$396,GI$169,1+SwaptionShift):INDEX($FK$325:$ID$396,GI$169,SwaptionMonthsToGo+SwaptionShift),INDEX($FK$245:$ID$316,$FJ183-GI$169,73-GI$169+SwaptionShift):INDEX($FK$245:$ID$316,$FJ183-GI$169,72-GI$169+SwaptionMonthsToGo+SwaptionShift))/SQRT(SUM(INDEX($FK338:$ID338,1+SwaptionShift):INDEX($FK338:$ID338,SwaptionMonthsToGo+SwaptionShift))*SUM(INDEX($FK$325:$ID$396,GI$169,1+SwaptionShift):INDEX($FK$325:$ID$396,GI$169,SwaptionMonthsToGo+SwaptionShift))))))</f>
        <v/>
      </c>
      <c r="GJ183" s="150" t="str">
        <f aca="false">IF(OR(GJ$169&lt;SwaptionFirstMonthPosition+1,$FJ183&lt;SwaptionFirstMonthPosition+1,GJ$169&gt;SwaptionFirstMonthPosition+SwaptionNumOfMonths+1,$FJ183&gt;SwaptionFirstMonthPosition+SwaptionNumOfMonths+1),"",IF($FJ183=GJ$169,1,IF($FJ183&lt;GJ$169,INDEX($FK$170:$ID$241,GJ$169,$FJ183),SUMPRODUCT(INDEX($FK$325:$ID$396,GJ$169,1+SwaptionShift):INDEX($FK$325:$ID$396,GJ$169,SwaptionMonthsToGo+SwaptionShift),INDEX($FK$245:$ID$316,$FJ183-GJ$169,73-GJ$169+SwaptionShift):INDEX($FK$245:$ID$316,$FJ183-GJ$169,72-GJ$169+SwaptionMonthsToGo+SwaptionShift))/SQRT(SUM(INDEX($FK338:$ID338,1+SwaptionShift):INDEX($FK338:$ID338,SwaptionMonthsToGo+SwaptionShift))*SUM(INDEX($FK$325:$ID$396,GJ$169,1+SwaptionShift):INDEX($FK$325:$ID$396,GJ$169,SwaptionMonthsToGo+SwaptionShift))))))</f>
        <v/>
      </c>
      <c r="GK183" s="150" t="str">
        <f aca="false">IF(OR(GK$169&lt;SwaptionFirstMonthPosition+1,$FJ183&lt;SwaptionFirstMonthPosition+1,GK$169&gt;SwaptionFirstMonthPosition+SwaptionNumOfMonths+1,$FJ183&gt;SwaptionFirstMonthPosition+SwaptionNumOfMonths+1),"",IF($FJ183=GK$169,1,IF($FJ183&lt;GK$169,INDEX($FK$170:$ID$241,GK$169,$FJ183),SUMPRODUCT(INDEX($FK$325:$ID$396,GK$169,1+SwaptionShift):INDEX($FK$325:$ID$396,GK$169,SwaptionMonthsToGo+SwaptionShift),INDEX($FK$245:$ID$316,$FJ183-GK$169,73-GK$169+SwaptionShift):INDEX($FK$245:$ID$316,$FJ183-GK$169,72-GK$169+SwaptionMonthsToGo+SwaptionShift))/SQRT(SUM(INDEX($FK338:$ID338,1+SwaptionShift):INDEX($FK338:$ID338,SwaptionMonthsToGo+SwaptionShift))*SUM(INDEX($FK$325:$ID$396,GK$169,1+SwaptionShift):INDEX($FK$325:$ID$396,GK$169,SwaptionMonthsToGo+SwaptionShift))))))</f>
        <v/>
      </c>
      <c r="GL183" s="150" t="str">
        <f aca="false">IF(OR(GL$169&lt;SwaptionFirstMonthPosition+1,$FJ183&lt;SwaptionFirstMonthPosition+1,GL$169&gt;SwaptionFirstMonthPosition+SwaptionNumOfMonths+1,$FJ183&gt;SwaptionFirstMonthPosition+SwaptionNumOfMonths+1),"",IF($FJ183=GL$169,1,IF($FJ183&lt;GL$169,INDEX($FK$170:$ID$241,GL$169,$FJ183),SUMPRODUCT(INDEX($FK$325:$ID$396,GL$169,1+SwaptionShift):INDEX($FK$325:$ID$396,GL$169,SwaptionMonthsToGo+SwaptionShift),INDEX($FK$245:$ID$316,$FJ183-GL$169,73-GL$169+SwaptionShift):INDEX($FK$245:$ID$316,$FJ183-GL$169,72-GL$169+SwaptionMonthsToGo+SwaptionShift))/SQRT(SUM(INDEX($FK338:$ID338,1+SwaptionShift):INDEX($FK338:$ID338,SwaptionMonthsToGo+SwaptionShift))*SUM(INDEX($FK$325:$ID$396,GL$169,1+SwaptionShift):INDEX($FK$325:$ID$396,GL$169,SwaptionMonthsToGo+SwaptionShift))))))</f>
        <v/>
      </c>
      <c r="GM183" s="150" t="str">
        <f aca="false">IF(OR(GM$169&lt;SwaptionFirstMonthPosition+1,$FJ183&lt;SwaptionFirstMonthPosition+1,GM$169&gt;SwaptionFirstMonthPosition+SwaptionNumOfMonths+1,$FJ183&gt;SwaptionFirstMonthPosition+SwaptionNumOfMonths+1),"",IF($FJ183=GM$169,1,IF($FJ183&lt;GM$169,INDEX($FK$170:$ID$241,GM$169,$FJ183),SUMPRODUCT(INDEX($FK$325:$ID$396,GM$169,1+SwaptionShift):INDEX($FK$325:$ID$396,GM$169,SwaptionMonthsToGo+SwaptionShift),INDEX($FK$245:$ID$316,$FJ183-GM$169,73-GM$169+SwaptionShift):INDEX($FK$245:$ID$316,$FJ183-GM$169,72-GM$169+SwaptionMonthsToGo+SwaptionShift))/SQRT(SUM(INDEX($FK338:$ID338,1+SwaptionShift):INDEX($FK338:$ID338,SwaptionMonthsToGo+SwaptionShift))*SUM(INDEX($FK$325:$ID$396,GM$169,1+SwaptionShift):INDEX($FK$325:$ID$396,GM$169,SwaptionMonthsToGo+SwaptionShift))))))</f>
        <v/>
      </c>
      <c r="GN183" s="150" t="str">
        <f aca="false">IF(OR(GN$169&lt;SwaptionFirstMonthPosition+1,$FJ183&lt;SwaptionFirstMonthPosition+1,GN$169&gt;SwaptionFirstMonthPosition+SwaptionNumOfMonths+1,$FJ183&gt;SwaptionFirstMonthPosition+SwaptionNumOfMonths+1),"",IF($FJ183=GN$169,1,IF($FJ183&lt;GN$169,INDEX($FK$170:$ID$241,GN$169,$FJ183),SUMPRODUCT(INDEX($FK$325:$ID$396,GN$169,1+SwaptionShift):INDEX($FK$325:$ID$396,GN$169,SwaptionMonthsToGo+SwaptionShift),INDEX($FK$245:$ID$316,$FJ183-GN$169,73-GN$169+SwaptionShift):INDEX($FK$245:$ID$316,$FJ183-GN$169,72-GN$169+SwaptionMonthsToGo+SwaptionShift))/SQRT(SUM(INDEX($FK338:$ID338,1+SwaptionShift):INDEX($FK338:$ID338,SwaptionMonthsToGo+SwaptionShift))*SUM(INDEX($FK$325:$ID$396,GN$169,1+SwaptionShift):INDEX($FK$325:$ID$396,GN$169,SwaptionMonthsToGo+SwaptionShift))))))</f>
        <v/>
      </c>
      <c r="GO183" s="150" t="str">
        <f aca="false">IF(OR(GO$169&lt;SwaptionFirstMonthPosition+1,$FJ183&lt;SwaptionFirstMonthPosition+1,GO$169&gt;SwaptionFirstMonthPosition+SwaptionNumOfMonths+1,$FJ183&gt;SwaptionFirstMonthPosition+SwaptionNumOfMonths+1),"",IF($FJ183=GO$169,1,IF($FJ183&lt;GO$169,INDEX($FK$170:$ID$241,GO$169,$FJ183),SUMPRODUCT(INDEX($FK$325:$ID$396,GO$169,1+SwaptionShift):INDEX($FK$325:$ID$396,GO$169,SwaptionMonthsToGo+SwaptionShift),INDEX($FK$245:$ID$316,$FJ183-GO$169,73-GO$169+SwaptionShift):INDEX($FK$245:$ID$316,$FJ183-GO$169,72-GO$169+SwaptionMonthsToGo+SwaptionShift))/SQRT(SUM(INDEX($FK338:$ID338,1+SwaptionShift):INDEX($FK338:$ID338,SwaptionMonthsToGo+SwaptionShift))*SUM(INDEX($FK$325:$ID$396,GO$169,1+SwaptionShift):INDEX($FK$325:$ID$396,GO$169,SwaptionMonthsToGo+SwaptionShift))))))</f>
        <v/>
      </c>
      <c r="GP183" s="150" t="str">
        <f aca="false">IF(OR(GP$169&lt;SwaptionFirstMonthPosition+1,$FJ183&lt;SwaptionFirstMonthPosition+1,GP$169&gt;SwaptionFirstMonthPosition+SwaptionNumOfMonths+1,$FJ183&gt;SwaptionFirstMonthPosition+SwaptionNumOfMonths+1),"",IF($FJ183=GP$169,1,IF($FJ183&lt;GP$169,INDEX($FK$170:$ID$241,GP$169,$FJ183),SUMPRODUCT(INDEX($FK$325:$ID$396,GP$169,1+SwaptionShift):INDEX($FK$325:$ID$396,GP$169,SwaptionMonthsToGo+SwaptionShift),INDEX($FK$245:$ID$316,$FJ183-GP$169,73-GP$169+SwaptionShift):INDEX($FK$245:$ID$316,$FJ183-GP$169,72-GP$169+SwaptionMonthsToGo+SwaptionShift))/SQRT(SUM(INDEX($FK338:$ID338,1+SwaptionShift):INDEX($FK338:$ID338,SwaptionMonthsToGo+SwaptionShift))*SUM(INDEX($FK$325:$ID$396,GP$169,1+SwaptionShift):INDEX($FK$325:$ID$396,GP$169,SwaptionMonthsToGo+SwaptionShift))))))</f>
        <v/>
      </c>
      <c r="GQ183" s="150" t="str">
        <f aca="false">IF(OR(GQ$169&lt;SwaptionFirstMonthPosition+1,$FJ183&lt;SwaptionFirstMonthPosition+1,GQ$169&gt;SwaptionFirstMonthPosition+SwaptionNumOfMonths+1,$FJ183&gt;SwaptionFirstMonthPosition+SwaptionNumOfMonths+1),"",IF($FJ183=GQ$169,1,IF($FJ183&lt;GQ$169,INDEX($FK$170:$ID$241,GQ$169,$FJ183),SUMPRODUCT(INDEX($FK$325:$ID$396,GQ$169,1+SwaptionShift):INDEX($FK$325:$ID$396,GQ$169,SwaptionMonthsToGo+SwaptionShift),INDEX($FK$245:$ID$316,$FJ183-GQ$169,73-GQ$169+SwaptionShift):INDEX($FK$245:$ID$316,$FJ183-GQ$169,72-GQ$169+SwaptionMonthsToGo+SwaptionShift))/SQRT(SUM(INDEX($FK338:$ID338,1+SwaptionShift):INDEX($FK338:$ID338,SwaptionMonthsToGo+SwaptionShift))*SUM(INDEX($FK$325:$ID$396,GQ$169,1+SwaptionShift):INDEX($FK$325:$ID$396,GQ$169,SwaptionMonthsToGo+SwaptionShift))))))</f>
        <v/>
      </c>
      <c r="GR183" s="150" t="str">
        <f aca="false">IF(OR(GR$169&lt;SwaptionFirstMonthPosition+1,$FJ183&lt;SwaptionFirstMonthPosition+1,GR$169&gt;SwaptionFirstMonthPosition+SwaptionNumOfMonths+1,$FJ183&gt;SwaptionFirstMonthPosition+SwaptionNumOfMonths+1),"",IF($FJ183=GR$169,1,IF($FJ183&lt;GR$169,INDEX($FK$170:$ID$241,GR$169,$FJ183),SUMPRODUCT(INDEX($FK$325:$ID$396,GR$169,1+SwaptionShift):INDEX($FK$325:$ID$396,GR$169,SwaptionMonthsToGo+SwaptionShift),INDEX($FK$245:$ID$316,$FJ183-GR$169,73-GR$169+SwaptionShift):INDEX($FK$245:$ID$316,$FJ183-GR$169,72-GR$169+SwaptionMonthsToGo+SwaptionShift))/SQRT(SUM(INDEX($FK338:$ID338,1+SwaptionShift):INDEX($FK338:$ID338,SwaptionMonthsToGo+SwaptionShift))*SUM(INDEX($FK$325:$ID$396,GR$169,1+SwaptionShift):INDEX($FK$325:$ID$396,GR$169,SwaptionMonthsToGo+SwaptionShift))))))</f>
        <v/>
      </c>
      <c r="GS183" s="150" t="str">
        <f aca="false">IF(OR(GS$169&lt;SwaptionFirstMonthPosition+1,$FJ183&lt;SwaptionFirstMonthPosition+1,GS$169&gt;SwaptionFirstMonthPosition+SwaptionNumOfMonths+1,$FJ183&gt;SwaptionFirstMonthPosition+SwaptionNumOfMonths+1),"",IF($FJ183=GS$169,1,IF($FJ183&lt;GS$169,INDEX($FK$170:$ID$241,GS$169,$FJ183),SUMPRODUCT(INDEX($FK$325:$ID$396,GS$169,1+SwaptionShift):INDEX($FK$325:$ID$396,GS$169,SwaptionMonthsToGo+SwaptionShift),INDEX($FK$245:$ID$316,$FJ183-GS$169,73-GS$169+SwaptionShift):INDEX($FK$245:$ID$316,$FJ183-GS$169,72-GS$169+SwaptionMonthsToGo+SwaptionShift))/SQRT(SUM(INDEX($FK338:$ID338,1+SwaptionShift):INDEX($FK338:$ID338,SwaptionMonthsToGo+SwaptionShift))*SUM(INDEX($FK$325:$ID$396,GS$169,1+SwaptionShift):INDEX($FK$325:$ID$396,GS$169,SwaptionMonthsToGo+SwaptionShift))))))</f>
        <v/>
      </c>
      <c r="GT183" s="150" t="str">
        <f aca="false">IF(OR(GT$169&lt;SwaptionFirstMonthPosition+1,$FJ183&lt;SwaptionFirstMonthPosition+1,GT$169&gt;SwaptionFirstMonthPosition+SwaptionNumOfMonths+1,$FJ183&gt;SwaptionFirstMonthPosition+SwaptionNumOfMonths+1),"",IF($FJ183=GT$169,1,IF($FJ183&lt;GT$169,INDEX($FK$170:$ID$241,GT$169,$FJ183),SUMPRODUCT(INDEX($FK$325:$ID$396,GT$169,1+SwaptionShift):INDEX($FK$325:$ID$396,GT$169,SwaptionMonthsToGo+SwaptionShift),INDEX($FK$245:$ID$316,$FJ183-GT$169,73-GT$169+SwaptionShift):INDEX($FK$245:$ID$316,$FJ183-GT$169,72-GT$169+SwaptionMonthsToGo+SwaptionShift))/SQRT(SUM(INDEX($FK338:$ID338,1+SwaptionShift):INDEX($FK338:$ID338,SwaptionMonthsToGo+SwaptionShift))*SUM(INDEX($FK$325:$ID$396,GT$169,1+SwaptionShift):INDEX($FK$325:$ID$396,GT$169,SwaptionMonthsToGo+SwaptionShift))))))</f>
        <v/>
      </c>
      <c r="GU183" s="150" t="str">
        <f aca="false">IF(OR(GU$169&lt;SwaptionFirstMonthPosition+1,$FJ183&lt;SwaptionFirstMonthPosition+1,GU$169&gt;SwaptionFirstMonthPosition+SwaptionNumOfMonths+1,$FJ183&gt;SwaptionFirstMonthPosition+SwaptionNumOfMonths+1),"",IF($FJ183=GU$169,1,IF($FJ183&lt;GU$169,INDEX($FK$170:$ID$241,GU$169,$FJ183),SUMPRODUCT(INDEX($FK$325:$ID$396,GU$169,1+SwaptionShift):INDEX($FK$325:$ID$396,GU$169,SwaptionMonthsToGo+SwaptionShift),INDEX($FK$245:$ID$316,$FJ183-GU$169,73-GU$169+SwaptionShift):INDEX($FK$245:$ID$316,$FJ183-GU$169,72-GU$169+SwaptionMonthsToGo+SwaptionShift))/SQRT(SUM(INDEX($FK338:$ID338,1+SwaptionShift):INDEX($FK338:$ID338,SwaptionMonthsToGo+SwaptionShift))*SUM(INDEX($FK$325:$ID$396,GU$169,1+SwaptionShift):INDEX($FK$325:$ID$396,GU$169,SwaptionMonthsToGo+SwaptionShift))))))</f>
        <v/>
      </c>
      <c r="GV183" s="150" t="str">
        <f aca="false">IF(OR(GV$169&lt;SwaptionFirstMonthPosition+1,$FJ183&lt;SwaptionFirstMonthPosition+1,GV$169&gt;SwaptionFirstMonthPosition+SwaptionNumOfMonths+1,$FJ183&gt;SwaptionFirstMonthPosition+SwaptionNumOfMonths+1),"",IF($FJ183=GV$169,1,IF($FJ183&lt;GV$169,INDEX($FK$170:$ID$241,GV$169,$FJ183),SUMPRODUCT(INDEX($FK$325:$ID$396,GV$169,1+SwaptionShift):INDEX($FK$325:$ID$396,GV$169,SwaptionMonthsToGo+SwaptionShift),INDEX($FK$245:$ID$316,$FJ183-GV$169,73-GV$169+SwaptionShift):INDEX($FK$245:$ID$316,$FJ183-GV$169,72-GV$169+SwaptionMonthsToGo+SwaptionShift))/SQRT(SUM(INDEX($FK338:$ID338,1+SwaptionShift):INDEX($FK338:$ID338,SwaptionMonthsToGo+SwaptionShift))*SUM(INDEX($FK$325:$ID$396,GV$169,1+SwaptionShift):INDEX($FK$325:$ID$396,GV$169,SwaptionMonthsToGo+SwaptionShift))))))</f>
        <v/>
      </c>
      <c r="GW183" s="150" t="str">
        <f aca="false">IF(OR(GW$169&lt;SwaptionFirstMonthPosition+1,$FJ183&lt;SwaptionFirstMonthPosition+1,GW$169&gt;SwaptionFirstMonthPosition+SwaptionNumOfMonths+1,$FJ183&gt;SwaptionFirstMonthPosition+SwaptionNumOfMonths+1),"",IF($FJ183=GW$169,1,IF($FJ183&lt;GW$169,INDEX($FK$170:$ID$241,GW$169,$FJ183),SUMPRODUCT(INDEX($FK$325:$ID$396,GW$169,1+SwaptionShift):INDEX($FK$325:$ID$396,GW$169,SwaptionMonthsToGo+SwaptionShift),INDEX($FK$245:$ID$316,$FJ183-GW$169,73-GW$169+SwaptionShift):INDEX($FK$245:$ID$316,$FJ183-GW$169,72-GW$169+SwaptionMonthsToGo+SwaptionShift))/SQRT(SUM(INDEX($FK338:$ID338,1+SwaptionShift):INDEX($FK338:$ID338,SwaptionMonthsToGo+SwaptionShift))*SUM(INDEX($FK$325:$ID$396,GW$169,1+SwaptionShift):INDEX($FK$325:$ID$396,GW$169,SwaptionMonthsToGo+SwaptionShift))))))</f>
        <v/>
      </c>
      <c r="GX183" s="150" t="str">
        <f aca="false">IF(OR(GX$169&lt;SwaptionFirstMonthPosition+1,$FJ183&lt;SwaptionFirstMonthPosition+1,GX$169&gt;SwaptionFirstMonthPosition+SwaptionNumOfMonths+1,$FJ183&gt;SwaptionFirstMonthPosition+SwaptionNumOfMonths+1),"",IF($FJ183=GX$169,1,IF($FJ183&lt;GX$169,INDEX($FK$170:$ID$241,GX$169,$FJ183),SUMPRODUCT(INDEX($FK$325:$ID$396,GX$169,1+SwaptionShift):INDEX($FK$325:$ID$396,GX$169,SwaptionMonthsToGo+SwaptionShift),INDEX($FK$245:$ID$316,$FJ183-GX$169,73-GX$169+SwaptionShift):INDEX($FK$245:$ID$316,$FJ183-GX$169,72-GX$169+SwaptionMonthsToGo+SwaptionShift))/SQRT(SUM(INDEX($FK338:$ID338,1+SwaptionShift):INDEX($FK338:$ID338,SwaptionMonthsToGo+SwaptionShift))*SUM(INDEX($FK$325:$ID$396,GX$169,1+SwaptionShift):INDEX($FK$325:$ID$396,GX$169,SwaptionMonthsToGo+SwaptionShift))))))</f>
        <v/>
      </c>
      <c r="GY183" s="150" t="str">
        <f aca="false">IF(OR(GY$169&lt;SwaptionFirstMonthPosition+1,$FJ183&lt;SwaptionFirstMonthPosition+1,GY$169&gt;SwaptionFirstMonthPosition+SwaptionNumOfMonths+1,$FJ183&gt;SwaptionFirstMonthPosition+SwaptionNumOfMonths+1),"",IF($FJ183=GY$169,1,IF($FJ183&lt;GY$169,INDEX($FK$170:$ID$241,GY$169,$FJ183),SUMPRODUCT(INDEX($FK$325:$ID$396,GY$169,1+SwaptionShift):INDEX($FK$325:$ID$396,GY$169,SwaptionMonthsToGo+SwaptionShift),INDEX($FK$245:$ID$316,$FJ183-GY$169,73-GY$169+SwaptionShift):INDEX($FK$245:$ID$316,$FJ183-GY$169,72-GY$169+SwaptionMonthsToGo+SwaptionShift))/SQRT(SUM(INDEX($FK338:$ID338,1+SwaptionShift):INDEX($FK338:$ID338,SwaptionMonthsToGo+SwaptionShift))*SUM(INDEX($FK$325:$ID$396,GY$169,1+SwaptionShift):INDEX($FK$325:$ID$396,GY$169,SwaptionMonthsToGo+SwaptionShift))))))</f>
        <v/>
      </c>
      <c r="GZ183" s="150" t="str">
        <f aca="false">IF(OR(GZ$169&lt;SwaptionFirstMonthPosition+1,$FJ183&lt;SwaptionFirstMonthPosition+1,GZ$169&gt;SwaptionFirstMonthPosition+SwaptionNumOfMonths+1,$FJ183&gt;SwaptionFirstMonthPosition+SwaptionNumOfMonths+1),"",IF($FJ183=GZ$169,1,IF($FJ183&lt;GZ$169,INDEX($FK$170:$ID$241,GZ$169,$FJ183),SUMPRODUCT(INDEX($FK$325:$ID$396,GZ$169,1+SwaptionShift):INDEX($FK$325:$ID$396,GZ$169,SwaptionMonthsToGo+SwaptionShift),INDEX($FK$245:$ID$316,$FJ183-GZ$169,73-GZ$169+SwaptionShift):INDEX($FK$245:$ID$316,$FJ183-GZ$169,72-GZ$169+SwaptionMonthsToGo+SwaptionShift))/SQRT(SUM(INDEX($FK338:$ID338,1+SwaptionShift):INDEX($FK338:$ID338,SwaptionMonthsToGo+SwaptionShift))*SUM(INDEX($FK$325:$ID$396,GZ$169,1+SwaptionShift):INDEX($FK$325:$ID$396,GZ$169,SwaptionMonthsToGo+SwaptionShift))))))</f>
        <v/>
      </c>
      <c r="HA183" s="150" t="str">
        <f aca="false">IF(OR(HA$169&lt;SwaptionFirstMonthPosition+1,$FJ183&lt;SwaptionFirstMonthPosition+1,HA$169&gt;SwaptionFirstMonthPosition+SwaptionNumOfMonths+1,$FJ183&gt;SwaptionFirstMonthPosition+SwaptionNumOfMonths+1),"",IF($FJ183=HA$169,1,IF($FJ183&lt;HA$169,INDEX($FK$170:$ID$241,HA$169,$FJ183),SUMPRODUCT(INDEX($FK$325:$ID$396,HA$169,1+SwaptionShift):INDEX($FK$325:$ID$396,HA$169,SwaptionMonthsToGo+SwaptionShift),INDEX($FK$245:$ID$316,$FJ183-HA$169,73-HA$169+SwaptionShift):INDEX($FK$245:$ID$316,$FJ183-HA$169,72-HA$169+SwaptionMonthsToGo+SwaptionShift))/SQRT(SUM(INDEX($FK338:$ID338,1+SwaptionShift):INDEX($FK338:$ID338,SwaptionMonthsToGo+SwaptionShift))*SUM(INDEX($FK$325:$ID$396,HA$169,1+SwaptionShift):INDEX($FK$325:$ID$396,HA$169,SwaptionMonthsToGo+SwaptionShift))))))</f>
        <v/>
      </c>
      <c r="HB183" s="150" t="str">
        <f aca="false">IF(OR(HB$169&lt;SwaptionFirstMonthPosition+1,$FJ183&lt;SwaptionFirstMonthPosition+1,HB$169&gt;SwaptionFirstMonthPosition+SwaptionNumOfMonths+1,$FJ183&gt;SwaptionFirstMonthPosition+SwaptionNumOfMonths+1),"",IF($FJ183=HB$169,1,IF($FJ183&lt;HB$169,INDEX($FK$170:$ID$241,HB$169,$FJ183),SUMPRODUCT(INDEX($FK$325:$ID$396,HB$169,1+SwaptionShift):INDEX($FK$325:$ID$396,HB$169,SwaptionMonthsToGo+SwaptionShift),INDEX($FK$245:$ID$316,$FJ183-HB$169,73-HB$169+SwaptionShift):INDEX($FK$245:$ID$316,$FJ183-HB$169,72-HB$169+SwaptionMonthsToGo+SwaptionShift))/SQRT(SUM(INDEX($FK338:$ID338,1+SwaptionShift):INDEX($FK338:$ID338,SwaptionMonthsToGo+SwaptionShift))*SUM(INDEX($FK$325:$ID$396,HB$169,1+SwaptionShift):INDEX($FK$325:$ID$396,HB$169,SwaptionMonthsToGo+SwaptionShift))))))</f>
        <v/>
      </c>
      <c r="HC183" s="150" t="str">
        <f aca="false">IF(OR(HC$169&lt;SwaptionFirstMonthPosition+1,$FJ183&lt;SwaptionFirstMonthPosition+1,HC$169&gt;SwaptionFirstMonthPosition+SwaptionNumOfMonths+1,$FJ183&gt;SwaptionFirstMonthPosition+SwaptionNumOfMonths+1),"",IF($FJ183=HC$169,1,IF($FJ183&lt;HC$169,INDEX($FK$170:$ID$241,HC$169,$FJ183),SUMPRODUCT(INDEX($FK$325:$ID$396,HC$169,1+SwaptionShift):INDEX($FK$325:$ID$396,HC$169,SwaptionMonthsToGo+SwaptionShift),INDEX($FK$245:$ID$316,$FJ183-HC$169,73-HC$169+SwaptionShift):INDEX($FK$245:$ID$316,$FJ183-HC$169,72-HC$169+SwaptionMonthsToGo+SwaptionShift))/SQRT(SUM(INDEX($FK338:$ID338,1+SwaptionShift):INDEX($FK338:$ID338,SwaptionMonthsToGo+SwaptionShift))*SUM(INDEX($FK$325:$ID$396,HC$169,1+SwaptionShift):INDEX($FK$325:$ID$396,HC$169,SwaptionMonthsToGo+SwaptionShift))))))</f>
        <v/>
      </c>
      <c r="HD183" s="150" t="str">
        <f aca="false">IF(OR(HD$169&lt;SwaptionFirstMonthPosition+1,$FJ183&lt;SwaptionFirstMonthPosition+1,HD$169&gt;SwaptionFirstMonthPosition+SwaptionNumOfMonths+1,$FJ183&gt;SwaptionFirstMonthPosition+SwaptionNumOfMonths+1),"",IF($FJ183=HD$169,1,IF($FJ183&lt;HD$169,INDEX($FK$170:$ID$241,HD$169,$FJ183),SUMPRODUCT(INDEX($FK$325:$ID$396,HD$169,1+SwaptionShift):INDEX($FK$325:$ID$396,HD$169,SwaptionMonthsToGo+SwaptionShift),INDEX($FK$245:$ID$316,$FJ183-HD$169,73-HD$169+SwaptionShift):INDEX($FK$245:$ID$316,$FJ183-HD$169,72-HD$169+SwaptionMonthsToGo+SwaptionShift))/SQRT(SUM(INDEX($FK338:$ID338,1+SwaptionShift):INDEX($FK338:$ID338,SwaptionMonthsToGo+SwaptionShift))*SUM(INDEX($FK$325:$ID$396,HD$169,1+SwaptionShift):INDEX($FK$325:$ID$396,HD$169,SwaptionMonthsToGo+SwaptionShift))))))</f>
        <v/>
      </c>
      <c r="HE183" s="150" t="str">
        <f aca="false">IF(OR(HE$169&lt;SwaptionFirstMonthPosition+1,$FJ183&lt;SwaptionFirstMonthPosition+1,HE$169&gt;SwaptionFirstMonthPosition+SwaptionNumOfMonths+1,$FJ183&gt;SwaptionFirstMonthPosition+SwaptionNumOfMonths+1),"",IF($FJ183=HE$169,1,IF($FJ183&lt;HE$169,INDEX($FK$170:$ID$241,HE$169,$FJ183),SUMPRODUCT(INDEX($FK$325:$ID$396,HE$169,1+SwaptionShift):INDEX($FK$325:$ID$396,HE$169,SwaptionMonthsToGo+SwaptionShift),INDEX($FK$245:$ID$316,$FJ183-HE$169,73-HE$169+SwaptionShift):INDEX($FK$245:$ID$316,$FJ183-HE$169,72-HE$169+SwaptionMonthsToGo+SwaptionShift))/SQRT(SUM(INDEX($FK338:$ID338,1+SwaptionShift):INDEX($FK338:$ID338,SwaptionMonthsToGo+SwaptionShift))*SUM(INDEX($FK$325:$ID$396,HE$169,1+SwaptionShift):INDEX($FK$325:$ID$396,HE$169,SwaptionMonthsToGo+SwaptionShift))))))</f>
        <v/>
      </c>
      <c r="HF183" s="150" t="str">
        <f aca="false">IF(OR(HF$169&lt;SwaptionFirstMonthPosition+1,$FJ183&lt;SwaptionFirstMonthPosition+1,HF$169&gt;SwaptionFirstMonthPosition+SwaptionNumOfMonths+1,$FJ183&gt;SwaptionFirstMonthPosition+SwaptionNumOfMonths+1),"",IF($FJ183=HF$169,1,IF($FJ183&lt;HF$169,INDEX($FK$170:$ID$241,HF$169,$FJ183),SUMPRODUCT(INDEX($FK$325:$ID$396,HF$169,1+SwaptionShift):INDEX($FK$325:$ID$396,HF$169,SwaptionMonthsToGo+SwaptionShift),INDEX($FK$245:$ID$316,$FJ183-HF$169,73-HF$169+SwaptionShift):INDEX($FK$245:$ID$316,$FJ183-HF$169,72-HF$169+SwaptionMonthsToGo+SwaptionShift))/SQRT(SUM(INDEX($FK338:$ID338,1+SwaptionShift):INDEX($FK338:$ID338,SwaptionMonthsToGo+SwaptionShift))*SUM(INDEX($FK$325:$ID$396,HF$169,1+SwaptionShift):INDEX($FK$325:$ID$396,HF$169,SwaptionMonthsToGo+SwaptionShift))))))</f>
        <v/>
      </c>
      <c r="HG183" s="150" t="str">
        <f aca="false">IF(OR(HG$169&lt;SwaptionFirstMonthPosition+1,$FJ183&lt;SwaptionFirstMonthPosition+1,HG$169&gt;SwaptionFirstMonthPosition+SwaptionNumOfMonths+1,$FJ183&gt;SwaptionFirstMonthPosition+SwaptionNumOfMonths+1),"",IF($FJ183=HG$169,1,IF($FJ183&lt;HG$169,INDEX($FK$170:$ID$241,HG$169,$FJ183),SUMPRODUCT(INDEX($FK$325:$ID$396,HG$169,1+SwaptionShift):INDEX($FK$325:$ID$396,HG$169,SwaptionMonthsToGo+SwaptionShift),INDEX($FK$245:$ID$316,$FJ183-HG$169,73-HG$169+SwaptionShift):INDEX($FK$245:$ID$316,$FJ183-HG$169,72-HG$169+SwaptionMonthsToGo+SwaptionShift))/SQRT(SUM(INDEX($FK338:$ID338,1+SwaptionShift):INDEX($FK338:$ID338,SwaptionMonthsToGo+SwaptionShift))*SUM(INDEX($FK$325:$ID$396,HG$169,1+SwaptionShift):INDEX($FK$325:$ID$396,HG$169,SwaptionMonthsToGo+SwaptionShift))))))</f>
        <v/>
      </c>
      <c r="HH183" s="150" t="str">
        <f aca="false">IF(OR(HH$169&lt;SwaptionFirstMonthPosition+1,$FJ183&lt;SwaptionFirstMonthPosition+1,HH$169&gt;SwaptionFirstMonthPosition+SwaptionNumOfMonths+1,$FJ183&gt;SwaptionFirstMonthPosition+SwaptionNumOfMonths+1),"",IF($FJ183=HH$169,1,IF($FJ183&lt;HH$169,INDEX($FK$170:$ID$241,HH$169,$FJ183),SUMPRODUCT(INDEX($FK$325:$ID$396,HH$169,1+SwaptionShift):INDEX($FK$325:$ID$396,HH$169,SwaptionMonthsToGo+SwaptionShift),INDEX($FK$245:$ID$316,$FJ183-HH$169,73-HH$169+SwaptionShift):INDEX($FK$245:$ID$316,$FJ183-HH$169,72-HH$169+SwaptionMonthsToGo+SwaptionShift))/SQRT(SUM(INDEX($FK338:$ID338,1+SwaptionShift):INDEX($FK338:$ID338,SwaptionMonthsToGo+SwaptionShift))*SUM(INDEX($FK$325:$ID$396,HH$169,1+SwaptionShift):INDEX($FK$325:$ID$396,HH$169,SwaptionMonthsToGo+SwaptionShift))))))</f>
        <v/>
      </c>
      <c r="HI183" s="150" t="str">
        <f aca="false">IF(OR(HI$169&lt;SwaptionFirstMonthPosition+1,$FJ183&lt;SwaptionFirstMonthPosition+1,HI$169&gt;SwaptionFirstMonthPosition+SwaptionNumOfMonths+1,$FJ183&gt;SwaptionFirstMonthPosition+SwaptionNumOfMonths+1),"",IF($FJ183=HI$169,1,IF($FJ183&lt;HI$169,INDEX($FK$170:$ID$241,HI$169,$FJ183),SUMPRODUCT(INDEX($FK$325:$ID$396,HI$169,1+SwaptionShift):INDEX($FK$325:$ID$396,HI$169,SwaptionMonthsToGo+SwaptionShift),INDEX($FK$245:$ID$316,$FJ183-HI$169,73-HI$169+SwaptionShift):INDEX($FK$245:$ID$316,$FJ183-HI$169,72-HI$169+SwaptionMonthsToGo+SwaptionShift))/SQRT(SUM(INDEX($FK338:$ID338,1+SwaptionShift):INDEX($FK338:$ID338,SwaptionMonthsToGo+SwaptionShift))*SUM(INDEX($FK$325:$ID$396,HI$169,1+SwaptionShift):INDEX($FK$325:$ID$396,HI$169,SwaptionMonthsToGo+SwaptionShift))))))</f>
        <v/>
      </c>
      <c r="HJ183" s="150" t="str">
        <f aca="false">IF(OR(HJ$169&lt;SwaptionFirstMonthPosition+1,$FJ183&lt;SwaptionFirstMonthPosition+1,HJ$169&gt;SwaptionFirstMonthPosition+SwaptionNumOfMonths+1,$FJ183&gt;SwaptionFirstMonthPosition+SwaptionNumOfMonths+1),"",IF($FJ183=HJ$169,1,IF($FJ183&lt;HJ$169,INDEX($FK$170:$ID$241,HJ$169,$FJ183),SUMPRODUCT(INDEX($FK$325:$ID$396,HJ$169,1+SwaptionShift):INDEX($FK$325:$ID$396,HJ$169,SwaptionMonthsToGo+SwaptionShift),INDEX($FK$245:$ID$316,$FJ183-HJ$169,73-HJ$169+SwaptionShift):INDEX($FK$245:$ID$316,$FJ183-HJ$169,72-HJ$169+SwaptionMonthsToGo+SwaptionShift))/SQRT(SUM(INDEX($FK338:$ID338,1+SwaptionShift):INDEX($FK338:$ID338,SwaptionMonthsToGo+SwaptionShift))*SUM(INDEX($FK$325:$ID$396,HJ$169,1+SwaptionShift):INDEX($FK$325:$ID$396,HJ$169,SwaptionMonthsToGo+SwaptionShift))))))</f>
        <v/>
      </c>
      <c r="HK183" s="150" t="str">
        <f aca="false">IF(OR(HK$169&lt;SwaptionFirstMonthPosition+1,$FJ183&lt;SwaptionFirstMonthPosition+1,HK$169&gt;SwaptionFirstMonthPosition+SwaptionNumOfMonths+1,$FJ183&gt;SwaptionFirstMonthPosition+SwaptionNumOfMonths+1),"",IF($FJ183=HK$169,1,IF($FJ183&lt;HK$169,INDEX($FK$170:$ID$241,HK$169,$FJ183),SUMPRODUCT(INDEX($FK$325:$ID$396,HK$169,1+SwaptionShift):INDEX($FK$325:$ID$396,HK$169,SwaptionMonthsToGo+SwaptionShift),INDEX($FK$245:$ID$316,$FJ183-HK$169,73-HK$169+SwaptionShift):INDEX($FK$245:$ID$316,$FJ183-HK$169,72-HK$169+SwaptionMonthsToGo+SwaptionShift))/SQRT(SUM(INDEX($FK338:$ID338,1+SwaptionShift):INDEX($FK338:$ID338,SwaptionMonthsToGo+SwaptionShift))*SUM(INDEX($FK$325:$ID$396,HK$169,1+SwaptionShift):INDEX($FK$325:$ID$396,HK$169,SwaptionMonthsToGo+SwaptionShift))))))</f>
        <v/>
      </c>
      <c r="HL183" s="150" t="str">
        <f aca="false">IF(OR(HL$169&lt;SwaptionFirstMonthPosition+1,$FJ183&lt;SwaptionFirstMonthPosition+1,HL$169&gt;SwaptionFirstMonthPosition+SwaptionNumOfMonths+1,$FJ183&gt;SwaptionFirstMonthPosition+SwaptionNumOfMonths+1),"",IF($FJ183=HL$169,1,IF($FJ183&lt;HL$169,INDEX($FK$170:$ID$241,HL$169,$FJ183),SUMPRODUCT(INDEX($FK$325:$ID$396,HL$169,1+SwaptionShift):INDEX($FK$325:$ID$396,HL$169,SwaptionMonthsToGo+SwaptionShift),INDEX($FK$245:$ID$316,$FJ183-HL$169,73-HL$169+SwaptionShift):INDEX($FK$245:$ID$316,$FJ183-HL$169,72-HL$169+SwaptionMonthsToGo+SwaptionShift))/SQRT(SUM(INDEX($FK338:$ID338,1+SwaptionShift):INDEX($FK338:$ID338,SwaptionMonthsToGo+SwaptionShift))*SUM(INDEX($FK$325:$ID$396,HL$169,1+SwaptionShift):INDEX($FK$325:$ID$396,HL$169,SwaptionMonthsToGo+SwaptionShift))))))</f>
        <v/>
      </c>
      <c r="HM183" s="150" t="str">
        <f aca="false">IF(OR(HM$169&lt;SwaptionFirstMonthPosition+1,$FJ183&lt;SwaptionFirstMonthPosition+1,HM$169&gt;SwaptionFirstMonthPosition+SwaptionNumOfMonths+1,$FJ183&gt;SwaptionFirstMonthPosition+SwaptionNumOfMonths+1),"",IF($FJ183=HM$169,1,IF($FJ183&lt;HM$169,INDEX($FK$170:$ID$241,HM$169,$FJ183),SUMPRODUCT(INDEX($FK$325:$ID$396,HM$169,1+SwaptionShift):INDEX($FK$325:$ID$396,HM$169,SwaptionMonthsToGo+SwaptionShift),INDEX($FK$245:$ID$316,$FJ183-HM$169,73-HM$169+SwaptionShift):INDEX($FK$245:$ID$316,$FJ183-HM$169,72-HM$169+SwaptionMonthsToGo+SwaptionShift))/SQRT(SUM(INDEX($FK338:$ID338,1+SwaptionShift):INDEX($FK338:$ID338,SwaptionMonthsToGo+SwaptionShift))*SUM(INDEX($FK$325:$ID$396,HM$169,1+SwaptionShift):INDEX($FK$325:$ID$396,HM$169,SwaptionMonthsToGo+SwaptionShift))))))</f>
        <v/>
      </c>
      <c r="HN183" s="150" t="str">
        <f aca="false">IF(OR(HN$169&lt;SwaptionFirstMonthPosition+1,$FJ183&lt;SwaptionFirstMonthPosition+1,HN$169&gt;SwaptionFirstMonthPosition+SwaptionNumOfMonths+1,$FJ183&gt;SwaptionFirstMonthPosition+SwaptionNumOfMonths+1),"",IF($FJ183=HN$169,1,IF($FJ183&lt;HN$169,INDEX($FK$170:$ID$241,HN$169,$FJ183),SUMPRODUCT(INDEX($FK$325:$ID$396,HN$169,1+SwaptionShift):INDEX($FK$325:$ID$396,HN$169,SwaptionMonthsToGo+SwaptionShift),INDEX($FK$245:$ID$316,$FJ183-HN$169,73-HN$169+SwaptionShift):INDEX($FK$245:$ID$316,$FJ183-HN$169,72-HN$169+SwaptionMonthsToGo+SwaptionShift))/SQRT(SUM(INDEX($FK338:$ID338,1+SwaptionShift):INDEX($FK338:$ID338,SwaptionMonthsToGo+SwaptionShift))*SUM(INDEX($FK$325:$ID$396,HN$169,1+SwaptionShift):INDEX($FK$325:$ID$396,HN$169,SwaptionMonthsToGo+SwaptionShift))))))</f>
        <v/>
      </c>
      <c r="HO183" s="150" t="str">
        <f aca="false">IF(OR(HO$169&lt;SwaptionFirstMonthPosition+1,$FJ183&lt;SwaptionFirstMonthPosition+1,HO$169&gt;SwaptionFirstMonthPosition+SwaptionNumOfMonths+1,$FJ183&gt;SwaptionFirstMonthPosition+SwaptionNumOfMonths+1),"",IF($FJ183=HO$169,1,IF($FJ183&lt;HO$169,INDEX($FK$170:$ID$241,HO$169,$FJ183),SUMPRODUCT(INDEX($FK$325:$ID$396,HO$169,1+SwaptionShift):INDEX($FK$325:$ID$396,HO$169,SwaptionMonthsToGo+SwaptionShift),INDEX($FK$245:$ID$316,$FJ183-HO$169,73-HO$169+SwaptionShift):INDEX($FK$245:$ID$316,$FJ183-HO$169,72-HO$169+SwaptionMonthsToGo+SwaptionShift))/SQRT(SUM(INDEX($FK338:$ID338,1+SwaptionShift):INDEX($FK338:$ID338,SwaptionMonthsToGo+SwaptionShift))*SUM(INDEX($FK$325:$ID$396,HO$169,1+SwaptionShift):INDEX($FK$325:$ID$396,HO$169,SwaptionMonthsToGo+SwaptionShift))))))</f>
        <v/>
      </c>
      <c r="HP183" s="150" t="str">
        <f aca="false">IF(OR(HP$169&lt;SwaptionFirstMonthPosition+1,$FJ183&lt;SwaptionFirstMonthPosition+1,HP$169&gt;SwaptionFirstMonthPosition+SwaptionNumOfMonths+1,$FJ183&gt;SwaptionFirstMonthPosition+SwaptionNumOfMonths+1),"",IF($FJ183=HP$169,1,IF($FJ183&lt;HP$169,INDEX($FK$170:$ID$241,HP$169,$FJ183),SUMPRODUCT(INDEX($FK$325:$ID$396,HP$169,1+SwaptionShift):INDEX($FK$325:$ID$396,HP$169,SwaptionMonthsToGo+SwaptionShift),INDEX($FK$245:$ID$316,$FJ183-HP$169,73-HP$169+SwaptionShift):INDEX($FK$245:$ID$316,$FJ183-HP$169,72-HP$169+SwaptionMonthsToGo+SwaptionShift))/SQRT(SUM(INDEX($FK338:$ID338,1+SwaptionShift):INDEX($FK338:$ID338,SwaptionMonthsToGo+SwaptionShift))*SUM(INDEX($FK$325:$ID$396,HP$169,1+SwaptionShift):INDEX($FK$325:$ID$396,HP$169,SwaptionMonthsToGo+SwaptionShift))))))</f>
        <v/>
      </c>
      <c r="HQ183" s="150" t="str">
        <f aca="false">IF(OR(HQ$169&lt;SwaptionFirstMonthPosition+1,$FJ183&lt;SwaptionFirstMonthPosition+1,HQ$169&gt;SwaptionFirstMonthPosition+SwaptionNumOfMonths+1,$FJ183&gt;SwaptionFirstMonthPosition+SwaptionNumOfMonths+1),"",IF($FJ183=HQ$169,1,IF($FJ183&lt;HQ$169,INDEX($FK$170:$ID$241,HQ$169,$FJ183),SUMPRODUCT(INDEX($FK$325:$ID$396,HQ$169,1+SwaptionShift):INDEX($FK$325:$ID$396,HQ$169,SwaptionMonthsToGo+SwaptionShift),INDEX($FK$245:$ID$316,$FJ183-HQ$169,73-HQ$169+SwaptionShift):INDEX($FK$245:$ID$316,$FJ183-HQ$169,72-HQ$169+SwaptionMonthsToGo+SwaptionShift))/SQRT(SUM(INDEX($FK338:$ID338,1+SwaptionShift):INDEX($FK338:$ID338,SwaptionMonthsToGo+SwaptionShift))*SUM(INDEX($FK$325:$ID$396,HQ$169,1+SwaptionShift):INDEX($FK$325:$ID$396,HQ$169,SwaptionMonthsToGo+SwaptionShift))))))</f>
        <v/>
      </c>
      <c r="HR183" s="150" t="str">
        <f aca="false">IF(OR(HR$169&lt;SwaptionFirstMonthPosition+1,$FJ183&lt;SwaptionFirstMonthPosition+1,HR$169&gt;SwaptionFirstMonthPosition+SwaptionNumOfMonths+1,$FJ183&gt;SwaptionFirstMonthPosition+SwaptionNumOfMonths+1),"",IF($FJ183=HR$169,1,IF($FJ183&lt;HR$169,INDEX($FK$170:$ID$241,HR$169,$FJ183),SUMPRODUCT(INDEX($FK$325:$ID$396,HR$169,1+SwaptionShift):INDEX($FK$325:$ID$396,HR$169,SwaptionMonthsToGo+SwaptionShift),INDEX($FK$245:$ID$316,$FJ183-HR$169,73-HR$169+SwaptionShift):INDEX($FK$245:$ID$316,$FJ183-HR$169,72-HR$169+SwaptionMonthsToGo+SwaptionShift))/SQRT(SUM(INDEX($FK338:$ID338,1+SwaptionShift):INDEX($FK338:$ID338,SwaptionMonthsToGo+SwaptionShift))*SUM(INDEX($FK$325:$ID$396,HR$169,1+SwaptionShift):INDEX($FK$325:$ID$396,HR$169,SwaptionMonthsToGo+SwaptionShift))))))</f>
        <v/>
      </c>
      <c r="HS183" s="150" t="str">
        <f aca="false">IF(OR(HS$169&lt;SwaptionFirstMonthPosition+1,$FJ183&lt;SwaptionFirstMonthPosition+1,HS$169&gt;SwaptionFirstMonthPosition+SwaptionNumOfMonths+1,$FJ183&gt;SwaptionFirstMonthPosition+SwaptionNumOfMonths+1),"",IF($FJ183=HS$169,1,IF($FJ183&lt;HS$169,INDEX($FK$170:$ID$241,HS$169,$FJ183),SUMPRODUCT(INDEX($FK$325:$ID$396,HS$169,1+SwaptionShift):INDEX($FK$325:$ID$396,HS$169,SwaptionMonthsToGo+SwaptionShift),INDEX($FK$245:$ID$316,$FJ183-HS$169,73-HS$169+SwaptionShift):INDEX($FK$245:$ID$316,$FJ183-HS$169,72-HS$169+SwaptionMonthsToGo+SwaptionShift))/SQRT(SUM(INDEX($FK338:$ID338,1+SwaptionShift):INDEX($FK338:$ID338,SwaptionMonthsToGo+SwaptionShift))*SUM(INDEX($FK$325:$ID$396,HS$169,1+SwaptionShift):INDEX($FK$325:$ID$396,HS$169,SwaptionMonthsToGo+SwaptionShift))))))</f>
        <v/>
      </c>
      <c r="HT183" s="150" t="str">
        <f aca="false">IF(OR(HT$169&lt;SwaptionFirstMonthPosition+1,$FJ183&lt;SwaptionFirstMonthPosition+1,HT$169&gt;SwaptionFirstMonthPosition+SwaptionNumOfMonths+1,$FJ183&gt;SwaptionFirstMonthPosition+SwaptionNumOfMonths+1),"",IF($FJ183=HT$169,1,IF($FJ183&lt;HT$169,INDEX($FK$170:$ID$241,HT$169,$FJ183),SUMPRODUCT(INDEX($FK$325:$ID$396,HT$169,1+SwaptionShift):INDEX($FK$325:$ID$396,HT$169,SwaptionMonthsToGo+SwaptionShift),INDEX($FK$245:$ID$316,$FJ183-HT$169,73-HT$169+SwaptionShift):INDEX($FK$245:$ID$316,$FJ183-HT$169,72-HT$169+SwaptionMonthsToGo+SwaptionShift))/SQRT(SUM(INDEX($FK338:$ID338,1+SwaptionShift):INDEX($FK338:$ID338,SwaptionMonthsToGo+SwaptionShift))*SUM(INDEX($FK$325:$ID$396,HT$169,1+SwaptionShift):INDEX($FK$325:$ID$396,HT$169,SwaptionMonthsToGo+SwaptionShift))))))</f>
        <v/>
      </c>
      <c r="HU183" s="150" t="str">
        <f aca="false">IF(OR(HU$169&lt;SwaptionFirstMonthPosition+1,$FJ183&lt;SwaptionFirstMonthPosition+1,HU$169&gt;SwaptionFirstMonthPosition+SwaptionNumOfMonths+1,$FJ183&gt;SwaptionFirstMonthPosition+SwaptionNumOfMonths+1),"",IF($FJ183=HU$169,1,IF($FJ183&lt;HU$169,INDEX($FK$170:$ID$241,HU$169,$FJ183),SUMPRODUCT(INDEX($FK$325:$ID$396,HU$169,1+SwaptionShift):INDEX($FK$325:$ID$396,HU$169,SwaptionMonthsToGo+SwaptionShift),INDEX($FK$245:$ID$316,$FJ183-HU$169,73-HU$169+SwaptionShift):INDEX($FK$245:$ID$316,$FJ183-HU$169,72-HU$169+SwaptionMonthsToGo+SwaptionShift))/SQRT(SUM(INDEX($FK338:$ID338,1+SwaptionShift):INDEX($FK338:$ID338,SwaptionMonthsToGo+SwaptionShift))*SUM(INDEX($FK$325:$ID$396,HU$169,1+SwaptionShift):INDEX($FK$325:$ID$396,HU$169,SwaptionMonthsToGo+SwaptionShift))))))</f>
        <v/>
      </c>
      <c r="HV183" s="150" t="str">
        <f aca="false">IF(OR(HV$169&lt;SwaptionFirstMonthPosition+1,$FJ183&lt;SwaptionFirstMonthPosition+1,HV$169&gt;SwaptionFirstMonthPosition+SwaptionNumOfMonths+1,$FJ183&gt;SwaptionFirstMonthPosition+SwaptionNumOfMonths+1),"",IF($FJ183=HV$169,1,IF($FJ183&lt;HV$169,INDEX($FK$170:$ID$241,HV$169,$FJ183),SUMPRODUCT(INDEX($FK$325:$ID$396,HV$169,1+SwaptionShift):INDEX($FK$325:$ID$396,HV$169,SwaptionMonthsToGo+SwaptionShift),INDEX($FK$245:$ID$316,$FJ183-HV$169,73-HV$169+SwaptionShift):INDEX($FK$245:$ID$316,$FJ183-HV$169,72-HV$169+SwaptionMonthsToGo+SwaptionShift))/SQRT(SUM(INDEX($FK338:$ID338,1+SwaptionShift):INDEX($FK338:$ID338,SwaptionMonthsToGo+SwaptionShift))*SUM(INDEX($FK$325:$ID$396,HV$169,1+SwaptionShift):INDEX($FK$325:$ID$396,HV$169,SwaptionMonthsToGo+SwaptionShift))))))</f>
        <v/>
      </c>
      <c r="HW183" s="150" t="str">
        <f aca="false">IF(OR(HW$169&lt;SwaptionFirstMonthPosition+1,$FJ183&lt;SwaptionFirstMonthPosition+1,HW$169&gt;SwaptionFirstMonthPosition+SwaptionNumOfMonths+1,$FJ183&gt;SwaptionFirstMonthPosition+SwaptionNumOfMonths+1),"",IF($FJ183=HW$169,1,IF($FJ183&lt;HW$169,INDEX($FK$170:$ID$241,HW$169,$FJ183),SUMPRODUCT(INDEX($FK$325:$ID$396,HW$169,1+SwaptionShift):INDEX($FK$325:$ID$396,HW$169,SwaptionMonthsToGo+SwaptionShift),INDEX($FK$245:$ID$316,$FJ183-HW$169,73-HW$169+SwaptionShift):INDEX($FK$245:$ID$316,$FJ183-HW$169,72-HW$169+SwaptionMonthsToGo+SwaptionShift))/SQRT(SUM(INDEX($FK338:$ID338,1+SwaptionShift):INDEX($FK338:$ID338,SwaptionMonthsToGo+SwaptionShift))*SUM(INDEX($FK$325:$ID$396,HW$169,1+SwaptionShift):INDEX($FK$325:$ID$396,HW$169,SwaptionMonthsToGo+SwaptionShift))))))</f>
        <v/>
      </c>
      <c r="HX183" s="150" t="str">
        <f aca="false">IF(OR(HX$169&lt;SwaptionFirstMonthPosition+1,$FJ183&lt;SwaptionFirstMonthPosition+1,HX$169&gt;SwaptionFirstMonthPosition+SwaptionNumOfMonths+1,$FJ183&gt;SwaptionFirstMonthPosition+SwaptionNumOfMonths+1),"",IF($FJ183=HX$169,1,IF($FJ183&lt;HX$169,INDEX($FK$170:$ID$241,HX$169,$FJ183),SUMPRODUCT(INDEX($FK$325:$ID$396,HX$169,1+SwaptionShift):INDEX($FK$325:$ID$396,HX$169,SwaptionMonthsToGo+SwaptionShift),INDEX($FK$245:$ID$316,$FJ183-HX$169,73-HX$169+SwaptionShift):INDEX($FK$245:$ID$316,$FJ183-HX$169,72-HX$169+SwaptionMonthsToGo+SwaptionShift))/SQRT(SUM(INDEX($FK338:$ID338,1+SwaptionShift):INDEX($FK338:$ID338,SwaptionMonthsToGo+SwaptionShift))*SUM(INDEX($FK$325:$ID$396,HX$169,1+SwaptionShift):INDEX($FK$325:$ID$396,HX$169,SwaptionMonthsToGo+SwaptionShift))))))</f>
        <v/>
      </c>
      <c r="HY183" s="150" t="str">
        <f aca="false">IF(OR(HY$169&lt;SwaptionFirstMonthPosition+1,$FJ183&lt;SwaptionFirstMonthPosition+1,HY$169&gt;SwaptionFirstMonthPosition+SwaptionNumOfMonths+1,$FJ183&gt;SwaptionFirstMonthPosition+SwaptionNumOfMonths+1),"",IF($FJ183=HY$169,1,IF($FJ183&lt;HY$169,INDEX($FK$170:$ID$241,HY$169,$FJ183),SUMPRODUCT(INDEX($FK$325:$ID$396,HY$169,1+SwaptionShift):INDEX($FK$325:$ID$396,HY$169,SwaptionMonthsToGo+SwaptionShift),INDEX($FK$245:$ID$316,$FJ183-HY$169,73-HY$169+SwaptionShift):INDEX($FK$245:$ID$316,$FJ183-HY$169,72-HY$169+SwaptionMonthsToGo+SwaptionShift))/SQRT(SUM(INDEX($FK338:$ID338,1+SwaptionShift):INDEX($FK338:$ID338,SwaptionMonthsToGo+SwaptionShift))*SUM(INDEX($FK$325:$ID$396,HY$169,1+SwaptionShift):INDEX($FK$325:$ID$396,HY$169,SwaptionMonthsToGo+SwaptionShift))))))</f>
        <v/>
      </c>
      <c r="HZ183" s="150" t="str">
        <f aca="false">IF(OR(HZ$169&lt;SwaptionFirstMonthPosition+1,$FJ183&lt;SwaptionFirstMonthPosition+1,HZ$169&gt;SwaptionFirstMonthPosition+SwaptionNumOfMonths+1,$FJ183&gt;SwaptionFirstMonthPosition+SwaptionNumOfMonths+1),"",IF($FJ183=HZ$169,1,IF($FJ183&lt;HZ$169,INDEX($FK$170:$ID$241,HZ$169,$FJ183),SUMPRODUCT(INDEX($FK$325:$ID$396,HZ$169,1+SwaptionShift):INDEX($FK$325:$ID$396,HZ$169,SwaptionMonthsToGo+SwaptionShift),INDEX($FK$245:$ID$316,$FJ183-HZ$169,73-HZ$169+SwaptionShift):INDEX($FK$245:$ID$316,$FJ183-HZ$169,72-HZ$169+SwaptionMonthsToGo+SwaptionShift))/SQRT(SUM(INDEX($FK338:$ID338,1+SwaptionShift):INDEX($FK338:$ID338,SwaptionMonthsToGo+SwaptionShift))*SUM(INDEX($FK$325:$ID$396,HZ$169,1+SwaptionShift):INDEX($FK$325:$ID$396,HZ$169,SwaptionMonthsToGo+SwaptionShift))))))</f>
        <v/>
      </c>
      <c r="IA183" s="150" t="str">
        <f aca="false">IF(OR(IA$169&lt;SwaptionFirstMonthPosition+1,$FJ183&lt;SwaptionFirstMonthPosition+1,IA$169&gt;SwaptionFirstMonthPosition+SwaptionNumOfMonths+1,$FJ183&gt;SwaptionFirstMonthPosition+SwaptionNumOfMonths+1),"",IF($FJ183=IA$169,1,IF($FJ183&lt;IA$169,INDEX($FK$170:$ID$241,IA$169,$FJ183),SUMPRODUCT(INDEX($FK$325:$ID$396,IA$169,1+SwaptionShift):INDEX($FK$325:$ID$396,IA$169,SwaptionMonthsToGo+SwaptionShift),INDEX($FK$245:$ID$316,$FJ183-IA$169,73-IA$169+SwaptionShift):INDEX($FK$245:$ID$316,$FJ183-IA$169,72-IA$169+SwaptionMonthsToGo+SwaptionShift))/SQRT(SUM(INDEX($FK338:$ID338,1+SwaptionShift):INDEX($FK338:$ID338,SwaptionMonthsToGo+SwaptionShift))*SUM(INDEX($FK$325:$ID$396,IA$169,1+SwaptionShift):INDEX($FK$325:$ID$396,IA$169,SwaptionMonthsToGo+SwaptionShift))))))</f>
        <v/>
      </c>
      <c r="IB183" s="150" t="str">
        <f aca="false">IF(OR(IB$169&lt;SwaptionFirstMonthPosition+1,$FJ183&lt;SwaptionFirstMonthPosition+1,IB$169&gt;SwaptionFirstMonthPosition+SwaptionNumOfMonths+1,$FJ183&gt;SwaptionFirstMonthPosition+SwaptionNumOfMonths+1),"",IF($FJ183=IB$169,1,IF($FJ183&lt;IB$169,INDEX($FK$170:$ID$241,IB$169,$FJ183),SUMPRODUCT(INDEX($FK$325:$ID$396,IB$169,1+SwaptionShift):INDEX($FK$325:$ID$396,IB$169,SwaptionMonthsToGo+SwaptionShift),INDEX($FK$245:$ID$316,$FJ183-IB$169,73-IB$169+SwaptionShift):INDEX($FK$245:$ID$316,$FJ183-IB$169,72-IB$169+SwaptionMonthsToGo+SwaptionShift))/SQRT(SUM(INDEX($FK338:$ID338,1+SwaptionShift):INDEX($FK338:$ID338,SwaptionMonthsToGo+SwaptionShift))*SUM(INDEX($FK$325:$ID$396,IB$169,1+SwaptionShift):INDEX($FK$325:$ID$396,IB$169,SwaptionMonthsToGo+SwaptionShift))))))</f>
        <v/>
      </c>
      <c r="IC183" s="150" t="str">
        <f aca="false">IF(OR(IC$169&lt;SwaptionFirstMonthPosition+1,$FJ183&lt;SwaptionFirstMonthPosition+1,IC$169&gt;SwaptionFirstMonthPosition+SwaptionNumOfMonths+1,$FJ183&gt;SwaptionFirstMonthPosition+SwaptionNumOfMonths+1),"",IF($FJ183=IC$169,1,IF($FJ183&lt;IC$169,INDEX($FK$170:$ID$241,IC$169,$FJ183),SUMPRODUCT(INDEX($FK$325:$ID$396,IC$169,1+SwaptionShift):INDEX($FK$325:$ID$396,IC$169,SwaptionMonthsToGo+SwaptionShift),INDEX($FK$245:$ID$316,$FJ183-IC$169,73-IC$169+SwaptionShift):INDEX($FK$245:$ID$316,$FJ183-IC$169,72-IC$169+SwaptionMonthsToGo+SwaptionShift))/SQRT(SUM(INDEX($FK338:$ID338,1+SwaptionShift):INDEX($FK338:$ID338,SwaptionMonthsToGo+SwaptionShift))*SUM(INDEX($FK$325:$ID$396,IC$169,1+SwaptionShift):INDEX($FK$325:$ID$396,IC$169,SwaptionMonthsToGo+SwaptionShift))))))</f>
        <v/>
      </c>
      <c r="ID183" s="572" t="str">
        <f aca="false">IF(OR(ID$169&lt;SwaptionFirstMonthPosition+1,$FJ183&lt;SwaptionFirstMonthPosition+1,ID$169&gt;SwaptionFirstMonthPosition+SwaptionNumOfMonths+1,$FJ183&gt;SwaptionFirstMonthPosition+SwaptionNumOfMonths+1),"",IF($FJ183=ID$169,1,IF($FJ183&lt;ID$169,INDEX($FK$170:$ID$241,ID$169,$FJ183),SUMPRODUCT(INDEX($FK$325:$ID$396,ID$169,1+SwaptionShift):INDEX($FK$325:$ID$396,ID$169,SwaptionMonthsToGo+SwaptionShift),INDEX($FK$245:$ID$316,$FJ183-ID$169,73-ID$169+SwaptionShift):INDEX($FK$245:$ID$316,$FJ183-ID$169,72-ID$169+SwaptionMonthsToGo+SwaptionShift))/SQRT(SUM(INDEX($FK338:$ID338,1+SwaptionShift):INDEX($FK338:$ID338,SwaptionMonthsToGo+SwaptionShift))*SUM(INDEX($FK$325:$ID$396,ID$169,1+SwaptionShift):INDEX($FK$325:$ID$396,ID$169,SwaptionMonthsToGo+SwaptionShift))))))</f>
        <v/>
      </c>
      <c r="IE183" s="129"/>
    </row>
    <row r="184" customFormat="false" ht="12.75" hidden="false" customHeight="false" outlineLevel="0" collapsed="false">
      <c r="H184" s="219" t="n">
        <f aca="false">VLOOKUP(I184,$EJ$20:$EL$54,3)</f>
        <v>0</v>
      </c>
      <c r="I184" s="511" t="n">
        <f aca="false">EOMONTH(I183,0)+1</f>
        <v>41760</v>
      </c>
      <c r="J184" s="512"/>
      <c r="K184" s="513" t="s">
        <v>280</v>
      </c>
      <c r="L184" s="514" t="n">
        <f aca="false">IF(ISNUMBER(K184),J184+K184/100,IF(K184="extra",L183+VLOOKUP(BF184,PriceSpreadTable,2)/12,IF(K184="inter",interpolateprices($K$19:$L$200,ROW(K184)-ROW(FirstPricingMonth)+1),interpolatechanges($J$19:$K$200,ROW(K184)-ROW(FirstPricingMonth)+1))))</f>
        <v>3.30000000000001</v>
      </c>
      <c r="M184" s="515"/>
      <c r="N184" s="516" t="n">
        <v>0</v>
      </c>
      <c r="O184" s="515" t="n">
        <f aca="false">M184+N184</f>
        <v>0</v>
      </c>
      <c r="P184" s="512"/>
      <c r="Q184" s="513" t="s">
        <v>280</v>
      </c>
      <c r="R184" s="512" t="e">
        <f aca="false">IF(ISNUMBER(Q184),P184+Q184/100,IF(Q184="extra",(Z182*AL182-R183*AM182)/AN182,IF(Q184="inter",interpolateprices($Q$19:$R$260,ROW(Q184)-ROW(FirstPricingMonth)+1),interpolatechanges($P$19:$Q$260,ROW(Q184)-ROW(FirstPricingMonth)+1))))</f>
        <v>#VALUE!</v>
      </c>
      <c r="S184" s="597" t="n">
        <f aca="false">S$19+(S183-S$19)*S$18</f>
        <v>0.36</v>
      </c>
      <c r="T184" s="575" t="n">
        <f aca="false">SQRT((1-(1-T183^2/U183)*T$18)*U184)</f>
        <v>0.999999999999218</v>
      </c>
      <c r="U184" s="576" t="n">
        <f aca="false">1-(1-U183)*U$18</f>
        <v>1</v>
      </c>
      <c r="V184" s="521" t="n">
        <v>0</v>
      </c>
      <c r="W184" s="577" t="n">
        <f aca="false">(J185*AJ184+J186*AK184)/AI184</f>
        <v>0</v>
      </c>
      <c r="X184" s="578" t="n">
        <f aca="false">(L185*AJ184+L186*AK184)/AI184</f>
        <v>3.35113636363637</v>
      </c>
      <c r="Y184" s="579" t="n">
        <f aca="false">IF(Q186="extra",W184-AA184,(P185*AM184+P186*AN184)/AL184)</f>
        <v>-1.2915</v>
      </c>
      <c r="Z184" s="579" t="n">
        <f aca="false">IF(Q186="extra",X184-AB184,(R185*AM184+R186*AN184)/AL184)</f>
        <v>2.05963636363637</v>
      </c>
      <c r="AA184" s="523" t="n">
        <f aca="false">IF(Q186="extra",INDEX(BrentSeasonalityTable,INT((BG184-1)/3)+1)*VLOOKUP(MAX(BF184,$AB$4),PriceSpreadTable,3),W184-Y184)</f>
        <v>1.2915</v>
      </c>
      <c r="AB184" s="524" t="n">
        <f aca="false">IF(Q186="extra",INDEX(BrentSeasonalityTable,INT((BG184-1)/3)+1)*VLOOKUP(MAX(BF184,$AB$4),PriceSpreadTable,3),X184-Z184)</f>
        <v>1.2915</v>
      </c>
      <c r="AC184" s="646" t="n">
        <v>41749</v>
      </c>
      <c r="AD184" s="646" t="n">
        <v>41745</v>
      </c>
      <c r="AE184" s="646" t="n">
        <v>41744</v>
      </c>
      <c r="AF184" s="646" t="n">
        <v>41740</v>
      </c>
      <c r="AG184" s="438" t="s">
        <v>278</v>
      </c>
      <c r="AH184" s="439" t="s">
        <v>278</v>
      </c>
      <c r="AI184" s="528" t="n">
        <v>22</v>
      </c>
      <c r="AJ184" s="529" t="n">
        <v>14</v>
      </c>
      <c r="AK184" s="529" t="n">
        <v>8</v>
      </c>
      <c r="AL184" s="530" t="n">
        <v>22</v>
      </c>
      <c r="AM184" s="529" t="n">
        <v>10</v>
      </c>
      <c r="AN184" s="531" t="n">
        <v>12</v>
      </c>
      <c r="AO184" s="532"/>
      <c r="AP184" s="465" t="n">
        <f aca="false">(1+AO184/2)^(-2*BL184)</f>
        <v>1</v>
      </c>
      <c r="AQ184" s="532"/>
      <c r="AR184" s="465" t="n">
        <f aca="false">(1+AQ184/2)^(-2*BH184/365.25)</f>
        <v>1</v>
      </c>
      <c r="AS184" s="580" t="n">
        <f aca="false">(O185*AJ184+O186*AK184)/AI184</f>
        <v>0</v>
      </c>
      <c r="AT184" s="468" t="n">
        <f aca="false">O184*VLOOKUP(BF184,BrentVolTable,2)+VLOOKUP(BF184,BrentVolTable,3)</f>
        <v>0</v>
      </c>
      <c r="AU184" s="468" t="n">
        <f aca="false">(AT185*AM184+AT186*AN184)/AL184</f>
        <v>0</v>
      </c>
      <c r="AV184" s="595" t="n">
        <f aca="false">SQRT(MAX(0.000000000001,(O184^2*BH184-S184^2*(BH184-BH183))/BH183))</f>
        <v>0.030888066738224</v>
      </c>
      <c r="AW184" s="451" t="n">
        <f aca="false">IF($I184-DateToday+15&gt;=$T$8,"",IF($I184-DateToday+15&lt;$T$5,1,MATCH($I184-DateToday+15,$T$5:$T$8)))</f>
        <v>1</v>
      </c>
      <c r="AX184" s="468" t="n">
        <f aca="false">IF($AW184="",AX183^2/AX182,INDEX(U$5:U$8,$AW184)^((INDEX($T$5:$T$8,$AW184+1)-($I184-DateToday+15))/(INDEX($T$5:$T$8,$AW184+1)-INDEX($T$5:$T$8,$AW184)))/INDEX(U$5:U$8,$AW184+1)^((INDEX($T$5:$T$8,$AW184)-($I184-DateToday+15))/(INDEX($T$5:$T$8,$AW184+1)-INDEX($T$5:$T$8,$AW184))))</f>
        <v>0.377088929408588</v>
      </c>
      <c r="AY184" s="468" t="n">
        <f aca="false">IF($AW184="",AY183^2/AY182,INDEX(V$5:V$8,$AW184)^((INDEX($T$5:$T$8,$AW184+1)-($I184-DateToday+15))/(INDEX($T$5:$T$8,$AW184+1)-INDEX($T$5:$T$8,$AW184)))/INDEX(V$5:V$8,$AW184+1)^((INDEX($T$5:$T$8,$AW184)-($I184-DateToday+15))/(INDEX($T$5:$T$8,$AW184+1)-INDEX($T$5:$T$8,$AW184))))</f>
        <v>5.21967255418284</v>
      </c>
      <c r="AZ184" s="468" t="n">
        <f aca="false">IF($AW184="",AZ183^2/AZ182,INDEX(W$5:W$8,$AW184)^((INDEX($T$5:$T$8,$AW184+1)-($I184-DateToday+15))/(INDEX($T$5:$T$8,$AW184+1)-INDEX($T$5:$T$8,$AW184)))/INDEX(W$5:W$8,$AW184+1)^((INDEX($T$5:$T$8,$AW184)-($I184-DateToday+15))/(INDEX($T$5:$T$8,$AW184+1)-INDEX($T$5:$T$8,$AW184))))</f>
        <v>971.474950509506</v>
      </c>
      <c r="BA184" s="468" t="n">
        <f aca="false">IF($AW184="",BA183^2/BA182,INDEX(X$5:X$8,$AW184)^((INDEX($T$5:$T$8,$AW184+1)-($I184-DateToday+15))/(INDEX($T$5:$T$8,$AW184+1)-INDEX($T$5:$T$8,$AW184)))/INDEX(X$5:X$8,$AW184+1)^((INDEX($T$5:$T$8,$AW184)-($I184-DateToday+15))/(INDEX($T$5:$T$8,$AW184+1)-INDEX($T$5:$T$8,$AW184))))</f>
        <v>3815.9630107801</v>
      </c>
      <c r="BB184" s="468" t="n">
        <f aca="false">IF($AW184="",BB183^2/BB182,INDEX(Y$5:Y$8,$AW184)^((INDEX($T$5:$T$8,$AW184+1)-($I184-DateToday+15))/(INDEX($T$5:$T$8,$AW184+1)-INDEX($T$5:$T$8,$AW184)))/INDEX(Y$5:Y$8,$AW184+1)^((INDEX($T$5:$T$8,$AW184)-($I184-DateToday+15))/(INDEX($T$5:$T$8,$AW184+1)-INDEX($T$5:$T$8,$AW184))))</f>
        <v>20813.6663341782</v>
      </c>
      <c r="BC184" s="468" t="n">
        <f aca="false">IF($AW184="",BC183^2/BC182,INDEX(Z$5:Z$8,$AW184)^((INDEX($T$5:$T$8,$AW184+1)-($I184-DateToday+15))/(INDEX($T$5:$T$8,$AW184+1)-INDEX($T$5:$T$8,$AW184)))/INDEX(Z$5:Z$8,$AW184+1)^((INDEX($T$5:$T$8,$AW184)-($I184-DateToday+15))/(INDEX($T$5:$T$8,$AW184+1)-INDEX($T$5:$T$8,$AW184))))</f>
        <v>58682.4367518101</v>
      </c>
      <c r="BD184" s="535" t="n">
        <f aca="false">IF(OR(DateStart&gt;=I185,DateEnd&lt;I184),0,IF(VolumeOverrideFlag,V184,Volume))</f>
        <v>0</v>
      </c>
      <c r="BE184" s="536" t="n">
        <f aca="false">IF(OR(DateStart2&gt;=I185,DateEnd2&lt;I184),0,IF(VolumeOverrideFlag,V184,VolumeSwaption))</f>
        <v>0</v>
      </c>
      <c r="BF184" s="537" t="n">
        <f aca="false">YEAR(I184)</f>
        <v>2014</v>
      </c>
      <c r="BG184" s="538" t="n">
        <f aca="false">MONTH(I184)</f>
        <v>5</v>
      </c>
      <c r="BH184" s="539" t="n">
        <f aca="false">AD184-DateToday+1</f>
        <v>-4180</v>
      </c>
      <c r="BI184" s="540" t="n">
        <f aca="false">(I184-DateToday+1)/365.25</f>
        <v>-11.4031485284052</v>
      </c>
      <c r="BJ184" s="541" t="n">
        <f aca="false">BI184+(BL184-BI184)*CHOOSE(Underlying,AJ184/AI184,AM184/AL184)</f>
        <v>-11.3508804679236</v>
      </c>
      <c r="BK184" s="541" t="n">
        <f aca="false">BJ184+1/365.25</f>
        <v>-11.3481426171365</v>
      </c>
      <c r="BL184" s="541" t="n">
        <f aca="false">(I185-DateToday)/365.25</f>
        <v>-11.3210130047912</v>
      </c>
      <c r="BM184" s="542" t="e">
        <f aca="false">MAX(BI184-(BJ184-BI184)*(S185^2/O185^2-1),0)</f>
        <v>#DIV/0!</v>
      </c>
      <c r="BN184" s="541" t="e">
        <f aca="false">MAX(BL184+(BL184-BK184)*(S186^2/O186^2-1),0)</f>
        <v>#DIV/0!</v>
      </c>
      <c r="BO184" s="530" t="n">
        <f aca="false">CHOOSE(Underlying,AI184,AL184)</f>
        <v>22</v>
      </c>
      <c r="BP184" s="529" t="n">
        <f aca="false">CHOOSE(Underlying,AJ184,AM184)</f>
        <v>14</v>
      </c>
      <c r="BQ184" s="529" t="n">
        <f aca="false">CHOOSE(Underlying,AK184,AN184)</f>
        <v>8</v>
      </c>
      <c r="BR184" s="463" t="str">
        <f aca="false">IF(BD184,IF(Underlying=1,X184,Z184)+UnderlyingPriceAsian-SwapPriceCurve,"")</f>
        <v/>
      </c>
      <c r="BS184" s="463" t="str">
        <f aca="false">IF(BD184,Strike1/BR184-1,"")</f>
        <v/>
      </c>
      <c r="BT184" s="464" t="str">
        <f aca="false">IF(BD184,Strike2/BR184-1,"")</f>
        <v/>
      </c>
      <c r="BU184" s="465" t="str">
        <f aca="false">IF(BD184,IF(Underlying=1,L185,R185)+UnderlyingPriceAsian-SwapPriceCurve,"")</f>
        <v/>
      </c>
      <c r="BV184" s="465" t="str">
        <f aca="false">IF(BD184,IF(Underlying=1,L186,R186)+UnderlyingPriceAsian-SwapPriceCurve,"")</f>
        <v/>
      </c>
      <c r="BW184" s="466" t="str">
        <f aca="false">IF(BD184,IF(Underlying=1,O185,AT185),"")</f>
        <v/>
      </c>
      <c r="BX184" s="467" t="str">
        <f aca="false">IF(BD184,IF(Underlying=1,O186,AT186),"")</f>
        <v/>
      </c>
      <c r="BY184" s="466" t="str">
        <f aca="false">IF(BD184,IF(BS184&gt;0,IF(BS184&gt;0.2,BC184-BB184,IF(BS184&gt;0.1,BB184-BA184,BA184)),IF(BS184&lt;-0.2,AX184-AY184,IF(BS184&lt;-0.1,AY184-AZ184,AZ184))),"")</f>
        <v/>
      </c>
      <c r="BZ184" s="467" t="str">
        <f aca="false">IF(BD184,IF(BT184&gt;0,IF(BT184&gt;0.2,BC184-BB184,IF(BT184&gt;0.1,BB184-BA184,BA184)),IF(BT184&lt;-0.2,AX184-AY184,IF(BT184&lt;-0.1,AY184-AZ184,AZ184))),"")</f>
        <v/>
      </c>
      <c r="CA184" s="468" t="str">
        <f aca="false">IF($BD184,$BW184+IF(VolSkewFlag=1,IF(BS184&gt;0,$BA184*MIN(BS184/10%,1)+($BB184-$BA184)*MAX(0,MIN(BS184/10%-1,1))+($BC184-$BB184)*MAX(0,BS184/10%-2),$AZ184*MIN(-BS184/10%,1)+($AY184-$AZ184)*MAX(0,MIN(-BS184/10%-1,1))+($AX184-$AY184)*MAX(0,-BS184/10%-2)),0),"")</f>
        <v/>
      </c>
      <c r="CB184" s="468" t="str">
        <f aca="false">IF($BD184,$BX184+IF(VolSkewFlag=1,IF(BS184&gt;0,$BA184*MIN(BS184/10%,1)+($BB184-$BA184)*MAX(0,MIN(BS184/10%-1,1))+($BC184-$BB184)*MAX(0,BS184/10%-2),$AZ184*MIN(-BS184/10%,1)+($AY184-$AZ184)*MAX(0,MIN(-BS184/10%-1,1))+($AX184-$AY184)*MAX(0,-BS184/10%-2)),0),"")</f>
        <v/>
      </c>
      <c r="CC184" s="468" t="str">
        <f aca="false">IF($BD184,$BW184+IF(VolSkewFlag=1,IF(BT184&gt;0,$BA184*MIN(BT184/10%,1)+($BB184-$BA184)*MAX(0,MIN(BT184/10%-1,1))+($BC184-$BB184)*MAX(0,BT184/10%-2),$AZ184*MIN(-BT184/10%,1)+($AY184-$AZ184)*MAX(0,MIN(-BT184/10%-1,1))+($AX184-$AY184)*MAX(0,-BT184/10%-2)),0),"")</f>
        <v/>
      </c>
      <c r="CD184" s="468" t="str">
        <f aca="false">IF($BD184,$BX184+IF(VolSkewFlag=1,IF(BT184&gt;0,$BA184*MIN(BT184/10%,1)+($BB184-$BA184)*MAX(0,MIN(BT184/10%-1,1))+($BC184-$BB184)*MAX(0,BT184/10%-2),$AZ184*MIN(-BT184/10%,1)+($AY184-$AZ184)*MAX(0,MIN(-BT184/10%-1,1))+($AX184-$AY184)*MAX(0,-BT184/10%-2)),0),"")</f>
        <v/>
      </c>
      <c r="CE184" s="469" t="n">
        <v>1</v>
      </c>
      <c r="CF184" s="470" t="n">
        <f aca="false">IF(BD184,xCrudeAPO(BU184,BV184,CA184,CB184,S185,S186,BI184,BL184,BP184,BQ184,0,Strike1,AO184,CE184,0,BL184,IF(OptControl=4,0,1),0,1),0)</f>
        <v>0</v>
      </c>
      <c r="CG184" s="470" t="n">
        <f aca="false">IF(BD184,xCrudeAPO(BU184,BV184,CA184,CB184,S185,S186,BI184,BL184,BP184,BQ184,0,Strike1,AO184,CE184,0,BL184,IF(OptControl=4,0,1),1,1)+xCrudeAPO(BU184,BV184,CA184,CB184,S185,S186,BI184,BL184,BP184,BQ184,0,Strike1,AO184,CE184,0,BL184,IF(OptControl=4,0,1),1,2)+IF(OR(VolSkewFlag=2,ABS(BS184)&lt;0.0001),0,IF(BS184&gt;0,-1,1)*CH184*Strike1/BR184^2*BY184/10%),0)</f>
        <v>0</v>
      </c>
      <c r="CH184" s="470" t="n">
        <f aca="false">IF(BD184,(xCrudeAPO(BU184,BV184,CA184,CB184,S185,S186,BI184,BL184,BP184,BQ184,0,Strike1,AO184,CE184,0,BL184,IF(OptControl=4,0,1),3,1)+xCrudeAPO(BU184,BV184,CA184,CB184,S185,S186,BI184,BL184,BP184,BQ184,0,Strike1,AO184,CE184,0,BL184,IF(OptControl=4,0,1),3,2))/100,0)</f>
        <v>0</v>
      </c>
      <c r="CI184" s="470" t="n">
        <f aca="false">IF(BD184,xCrudeAPO(BU184,BV184,CA184,CB184,S185,S186,BI184-DaysForThetaCalculation/365.25,BL184-DaysForThetaCalculation/365.25,BP184,BQ184,0,Strike1,AO184,CE184,0,BL184,IF(OptControl=4,0,1),0,1)-xCrudeAPO(BU184,BV184,CA184,CB184,S185,S186,BI184,BL184,BP184,BQ184,0,Strike1,AO184,CE184,0,BL184,IF(OptControl=4,0,1),0,1),0)</f>
        <v>0</v>
      </c>
      <c r="CJ184" s="471" t="n">
        <f aca="false">IF(BD184,xCrudeAPO(BU184,BV184,CC184,CD184,S185,S186,BI184,BL184,BP184,BQ184,0,Strike2,AO184,CE184,0,BL184,IF(OptControl=3,1,0),0,1),0)</f>
        <v>0</v>
      </c>
      <c r="CK184" s="470" t="n">
        <f aca="false">IF(BD184,xCrudeAPO(BU184,BV184,CC184,CD184,S185,S186,BI184,BL184,BP184,BQ184,0,Strike2,AO184,CE184,0,BL184,IF(OptControl=3,1,0),1,1)+xCrudeAPO(BU184,BV184,CC184,CD184,S185,S186,BI184,BL184,BP184,BQ184,0,Strike2,AO184,CE184,0,BL184,IF(OptControl=3,1,0),1,2)+IF(OR(VolSkewFlag=2,ABS(BT184)&lt;0.0001),0,IF(BT184&gt;0,-1,1)*CL184*Strike2/BR184^2*BZ184/10%),0)</f>
        <v>0</v>
      </c>
      <c r="CL184" s="470" t="n">
        <f aca="false">IF(BD184,(xCrudeAPO(BU184,BV184,CC184,CD184,S185,S186,BI184,BL184,BP184,BQ184,0,Strike2,AO184,CE184,0,BL184,IF(OptControl=3,1,0),3,1)+xCrudeAPO(BU184,BV184,CC184,CD184,S185,S186,BI184,BL184,BP184,BQ184,0,Strike2,AO184,CE184,0,BL184,IF(OptControl=3,1,0),3,2))/100,0)</f>
        <v>0</v>
      </c>
      <c r="CM184" s="472" t="n">
        <f aca="false">IF(BD184,xCrudeAPO(BU184,BV184,CC184,CD184,S185,S186,BI184-DaysForThetaCalculation/365.25,BL184-DaysForThetaCalculation/365.25,BP184,BQ184,0,Strike2,AO184,CE184,0,BL184,IF(OptControl=3,1,0),0,1)-xCrudeAPO(BU184,BV184,CC184,CD184,S185,S186,BI184,BL184,BP184,BQ184,0,Strike2,AO184,CE184,0,BL184,IF(OptControl=3,1,0),0,1),0)</f>
        <v>0</v>
      </c>
      <c r="CN184" s="3"/>
      <c r="CO184" s="543" t="str">
        <f aca="false">IF(BD184,CHOOSE(Underlying,AD184,AF184)-DateToday+1,"")</f>
        <v/>
      </c>
      <c r="CP184" s="582" t="str">
        <f aca="false">IF(BD184,CHOOSE(Underlying,L184,R184),"")</f>
        <v/>
      </c>
      <c r="CQ184" s="544" t="str">
        <f aca="false">IF(BD184,Strike1/CP184-1,"")</f>
        <v/>
      </c>
      <c r="CR184" s="544" t="str">
        <f aca="false">IF(BD184,Strike2/CP184-1,"")</f>
        <v/>
      </c>
      <c r="CS184" s="544" t="str">
        <f aca="false">IF(BD184,IF(CQ184&gt;0,IF(CQ184&gt;0.2,BC183-BB183,IF(CQ184&gt;0.1,BB183-BA183,BA183)),IF(CQ184&lt;-0.2,AX183-AY183,IF(CQ184&lt;-0.1,AY183-AZ183,AZ183))),"")</f>
        <v/>
      </c>
      <c r="CT184" s="544" t="str">
        <f aca="false">IF(BD184,IF(CR184&gt;0,IF(CR184&gt;0.2,BC183-BB183,IF(CR184&gt;0.1,BB183-BA183,BA183)),IF(CR184&lt;-0.2,AX183-AY183,IF(CR184&lt;-0.1,AY183-AZ183,AZ183))),"")</f>
        <v/>
      </c>
      <c r="CU184" s="545" t="str">
        <f aca="false">IF(BD184,CHOOSE(Underlying,O184,AT184),"")</f>
        <v/>
      </c>
      <c r="CV184" s="545" t="str">
        <f aca="false">IF(BD184,CU184+IF(VolSkewFlag=1,IF(CQ184&gt;0,BA183*MIN(CQ184/10%,1)+(BB183-BA183)*MAX(0,MIN(CQ184/10%-1,1))+(BC183-BB183)*MAX(0,CQ184/10%-2),AZ183*MIN(-CQ184/10%,1)+(AY183-AZ183)*MAX(0,MIN(-CQ184/10%-1,1))+(AX183-AY183)*MAX(0,-CQ184/10%-2)),0),"")</f>
        <v/>
      </c>
      <c r="CW184" s="545" t="str">
        <f aca="false">IF(BD184,CU184+IF(VolSkewFlag=1,IF(CR184&gt;0,BA183*MIN(CR184/10%,1)+(BB183-BA183)*MAX(0,MIN(CR184/10%-1,1))+(BC183-BB183)*MAX(0,CR184/10%-2),AZ183*MIN(-CR184/10%,1)+(AY183-AZ183)*MAX(0,MIN(-CR184/10%-1,1))+(AX183-AY183)*MAX(0,-CR184/10%-2)),0),"")</f>
        <v/>
      </c>
      <c r="CX184" s="470" t="n">
        <f aca="false">IF(BD184,EURO(CP184,Strike1,AO184,AO184,CV184,CO184,IF(OptControl=4,0,1),0),0)</f>
        <v>0</v>
      </c>
      <c r="CY184" s="470" t="n">
        <f aca="false">IF(BD184,EURO(CP184,Strike1,AO184,AO184,CV184,CO184,IF(OptControl=4,0,1),1)+IF(OR(VolSkewFlag=2,ABS(CQ184)&lt;0.0001),0,IF(CQ184&gt;0,-1,1)*CZ184*100*Strike1/CP184^2*CS184/10%),0)</f>
        <v>0</v>
      </c>
      <c r="CZ184" s="470" t="n">
        <f aca="false">IF(BD184,EURO(CP184,Strike1,AO184,AO184,CV184,CO184,IF(OptControl=4,0,1),3)/100,0)</f>
        <v>0</v>
      </c>
      <c r="DA184" s="470" t="n">
        <f aca="false">IF(BD184,EURO(CP184,Strike1,AO184,AO184,CV184,CO184,IF(OptControl=4,0,1),0)-EURO(CP184,Strike1,AO184,AO184,CV184,CO184-1,IF(OptControl=4,0,1),0),0)</f>
        <v>0</v>
      </c>
      <c r="DB184" s="470" t="n">
        <f aca="false">IF(BD184,EURO(CP184,Strike2,AO184,AO184,CW184,CO184,IF(OptControl=3,1,0),0),0)</f>
        <v>0</v>
      </c>
      <c r="DC184" s="470" t="n">
        <f aca="false">IF(BD184,EURO(CP184,Strike2,AO184,AO184,CW184,CO184,IF(OptControl=3,1,0),1)+IF(OR(VolSkewFlag=2,ABS(CR184)&lt;0.0001),0,IF(CR184&gt;0,-1,1)*DD184*100*Strike2/CP184^2*CT184/10%),0)</f>
        <v>0</v>
      </c>
      <c r="DD184" s="470" t="n">
        <f aca="false">IF(BD184,EURO(CP184,Strike2,AO184,AO184,CW184,CO184,IF(OptControl=3,1,0),3)/100,0)</f>
        <v>0</v>
      </c>
      <c r="DE184" s="472" t="n">
        <f aca="false">IF(BD184,EURO(CP184,Strike2,AO184,AO184,CW184,CO184,IF(OptControl=3,1,0),0)-EURO(CP184,Strike2,AO184,AO184,CW184,CO184-1,IF(OptControl=3,1,0),0),0)</f>
        <v>0</v>
      </c>
      <c r="DG184" s="481" t="n">
        <f aca="false">EOMONTH(DG183,0)+1</f>
        <v>50679</v>
      </c>
      <c r="DH184" s="478" t="n">
        <v>22.3600000000001</v>
      </c>
      <c r="DI184" s="479" t="n">
        <v>22.4295652173914</v>
      </c>
      <c r="DJ184" s="480" t="n">
        <f aca="false">DG184</f>
        <v>50679</v>
      </c>
      <c r="DK184" s="478" t="n">
        <v>21.0084696429895</v>
      </c>
      <c r="DL184" s="479" t="n">
        <v>21.2364652173914</v>
      </c>
      <c r="DM184" s="481" t="n">
        <f aca="false">DG184</f>
        <v>50679</v>
      </c>
      <c r="DN184" s="482" t="n">
        <f aca="false">DK184+BrentPhyBrentSpread</f>
        <v>21.0584696429895</v>
      </c>
      <c r="DO184" s="481" t="n">
        <f aca="false">DG184</f>
        <v>50679</v>
      </c>
      <c r="DP184" s="483" t="n">
        <f aca="false">DL184+DQ184</f>
        <v>21.2364652173914</v>
      </c>
      <c r="DQ184" s="546" t="n">
        <v>0</v>
      </c>
      <c r="DR184" s="480" t="n">
        <f aca="false">DG184</f>
        <v>50679</v>
      </c>
      <c r="DS184" s="485" t="n">
        <v>0.126199999999998</v>
      </c>
      <c r="DT184" s="486" t="n">
        <v>0.125365217391302</v>
      </c>
      <c r="DU184" s="480" t="n">
        <f aca="false">DG184</f>
        <v>50679</v>
      </c>
      <c r="DV184" s="485" t="n">
        <v>0.126199999999998</v>
      </c>
      <c r="DW184" s="486" t="n">
        <v>0.125365217391302</v>
      </c>
      <c r="DX184" s="481" t="n">
        <f aca="false">DG184</f>
        <v>50679</v>
      </c>
      <c r="DY184" s="486" t="n">
        <v>0.35</v>
      </c>
      <c r="DZ184" s="481" t="n">
        <f aca="false">DR184</f>
        <v>50679</v>
      </c>
      <c r="EA184" s="486" t="n">
        <f aca="false">DT184</f>
        <v>0.125365217391302</v>
      </c>
      <c r="EB184" s="195"/>
      <c r="EC184" s="547" t="str">
        <f aca="false">IF(BD184,IF(Underlying=1,AS184,AU184),"")</f>
        <v/>
      </c>
      <c r="ED184" s="548" t="str">
        <f aca="false">IF($BD184,$EC184+IF(VolSkewFlag=1,IF(BS184&gt;0,$BA184*MIN(BS184/10%,1)+($BB184-$BA184)*MAX(0,MIN(BS184/10%-1,1))+($BC184-$BB184)*MAX(0,BS184/10%-2),$AZ184*MIN(-BS184/10%,1)+($AY184-$AZ184)*MAX(0,MIN(-BS184/10%-1,1))+($AX184-$AY184)*MAX(0,-BS184/10%-2)),0),"")</f>
        <v/>
      </c>
      <c r="EE184" s="549" t="str">
        <f aca="false">IF($BD184,$EC184+IF(VolSkewFlag=1,IF(BT184&gt;0,$BA184*MIN(BT184/10%,1)+($BB184-$BA184)*MAX(0,MIN(BT184/10%-1,1))+($BC184-$BB184)*MAX(0,BT184/10%-2),$AZ184*MIN(-BT184/10%,1)+($AY184-$AZ184)*MAX(0,MIN(-BT184/10%-1,1))+($AX184-$AY184)*MAX(0,-BT184/10%-2)),0),"")</f>
        <v/>
      </c>
      <c r="EF184" s="550" t="n">
        <f aca="false">IF(BD184,xASN(BR184,Strike1,AO184,ED184,0,BO184,0,BI184,BL184,IF(OptControl=4,0,1),0),0)</f>
        <v>0</v>
      </c>
      <c r="EG184" s="551" t="n">
        <f aca="false">IF(BD184,xASN(BR184,Strike2,AO184,EE184,0,BO184,0,BI184,BL184,IF(OptControl=3,1,0),0),0)</f>
        <v>0</v>
      </c>
      <c r="EL184" s="1"/>
      <c r="EM184" s="195"/>
      <c r="EN184" s="240"/>
      <c r="EO184" s="240"/>
      <c r="EP184" s="195"/>
      <c r="EQ184" s="407" t="s">
        <v>412</v>
      </c>
      <c r="ES184" s="130"/>
      <c r="ET184" s="19"/>
      <c r="EU184" s="672"/>
      <c r="EV184" s="478"/>
      <c r="EW184" s="131"/>
      <c r="EX184" s="131"/>
      <c r="EY184" s="129"/>
      <c r="EZ184" s="129"/>
      <c r="FA184" s="129"/>
      <c r="FB184" s="129"/>
      <c r="FC184" s="129"/>
      <c r="FD184" s="129"/>
      <c r="FE184" s="129"/>
      <c r="FF184" s="129"/>
      <c r="FG184" s="129"/>
      <c r="FH184" s="129"/>
      <c r="FI184" s="129"/>
      <c r="FJ184" s="571" t="n">
        <v>15</v>
      </c>
      <c r="FK184" s="150" t="str">
        <f aca="false">IF(OR(FK$169&lt;SwaptionFirstMonthPosition+1,$FJ184&lt;SwaptionFirstMonthPosition+1,FK$169&gt;SwaptionFirstMonthPosition+SwaptionNumOfMonths+1,$FJ184&gt;SwaptionFirstMonthPosition+SwaptionNumOfMonths+1),"",IF($FJ184=FK$169,1,IF($FJ184&lt;FK$169,INDEX($FK$170:$ID$241,FK$169,$FJ184),SUMPRODUCT(INDEX($FK$325:$ID$396,FK$169,1+SwaptionShift):INDEX($FK$325:$ID$396,FK$169,SwaptionMonthsToGo+SwaptionShift),INDEX($FK$245:$ID$316,$FJ184-FK$169,73-FK$169+SwaptionShift):INDEX($FK$245:$ID$316,$FJ184-FK$169,72-FK$169+SwaptionMonthsToGo+SwaptionShift))/SQRT(SUM(INDEX($FK339:$ID339,1+SwaptionShift):INDEX($FK339:$ID339,SwaptionMonthsToGo+SwaptionShift))*SUM(INDEX($FK$325:$ID$396,FK$169,1+SwaptionShift):INDEX($FK$325:$ID$396,FK$169,SwaptionMonthsToGo+SwaptionShift))))))</f>
        <v/>
      </c>
      <c r="FL184" s="150" t="str">
        <f aca="false">IF(OR(FL$169&lt;SwaptionFirstMonthPosition+1,$FJ184&lt;SwaptionFirstMonthPosition+1,FL$169&gt;SwaptionFirstMonthPosition+SwaptionNumOfMonths+1,$FJ184&gt;SwaptionFirstMonthPosition+SwaptionNumOfMonths+1),"",IF($FJ184=FL$169,1,IF($FJ184&lt;FL$169,INDEX($FK$170:$ID$241,FL$169,$FJ184),SUMPRODUCT(INDEX($FK$325:$ID$396,FL$169,1+SwaptionShift):INDEX($FK$325:$ID$396,FL$169,SwaptionMonthsToGo+SwaptionShift),INDEX($FK$245:$ID$316,$FJ184-FL$169,73-FL$169+SwaptionShift):INDEX($FK$245:$ID$316,$FJ184-FL$169,72-FL$169+SwaptionMonthsToGo+SwaptionShift))/SQRT(SUM(INDEX($FK339:$ID339,1+SwaptionShift):INDEX($FK339:$ID339,SwaptionMonthsToGo+SwaptionShift))*SUM(INDEX($FK$325:$ID$396,FL$169,1+SwaptionShift):INDEX($FK$325:$ID$396,FL$169,SwaptionMonthsToGo+SwaptionShift))))))</f>
        <v/>
      </c>
      <c r="FM184" s="150" t="str">
        <f aca="false">IF(OR(FM$169&lt;SwaptionFirstMonthPosition+1,$FJ184&lt;SwaptionFirstMonthPosition+1,FM$169&gt;SwaptionFirstMonthPosition+SwaptionNumOfMonths+1,$FJ184&gt;SwaptionFirstMonthPosition+SwaptionNumOfMonths+1),"",IF($FJ184=FM$169,1,IF($FJ184&lt;FM$169,INDEX($FK$170:$ID$241,FM$169,$FJ184),SUMPRODUCT(INDEX($FK$325:$ID$396,FM$169,1+SwaptionShift):INDEX($FK$325:$ID$396,FM$169,SwaptionMonthsToGo+SwaptionShift),INDEX($FK$245:$ID$316,$FJ184-FM$169,73-FM$169+SwaptionShift):INDEX($FK$245:$ID$316,$FJ184-FM$169,72-FM$169+SwaptionMonthsToGo+SwaptionShift))/SQRT(SUM(INDEX($FK339:$ID339,1+SwaptionShift):INDEX($FK339:$ID339,SwaptionMonthsToGo+SwaptionShift))*SUM(INDEX($FK$325:$ID$396,FM$169,1+SwaptionShift):INDEX($FK$325:$ID$396,FM$169,SwaptionMonthsToGo+SwaptionShift))))))</f>
        <v/>
      </c>
      <c r="FN184" s="150" t="str">
        <f aca="false">IF(OR(FN$169&lt;SwaptionFirstMonthPosition+1,$FJ184&lt;SwaptionFirstMonthPosition+1,FN$169&gt;SwaptionFirstMonthPosition+SwaptionNumOfMonths+1,$FJ184&gt;SwaptionFirstMonthPosition+SwaptionNumOfMonths+1),"",IF($FJ184=FN$169,1,IF($FJ184&lt;FN$169,INDEX($FK$170:$ID$241,FN$169,$FJ184),SUMPRODUCT(INDEX($FK$325:$ID$396,FN$169,1+SwaptionShift):INDEX($FK$325:$ID$396,FN$169,SwaptionMonthsToGo+SwaptionShift),INDEX($FK$245:$ID$316,$FJ184-FN$169,73-FN$169+SwaptionShift):INDEX($FK$245:$ID$316,$FJ184-FN$169,72-FN$169+SwaptionMonthsToGo+SwaptionShift))/SQRT(SUM(INDEX($FK339:$ID339,1+SwaptionShift):INDEX($FK339:$ID339,SwaptionMonthsToGo+SwaptionShift))*SUM(INDEX($FK$325:$ID$396,FN$169,1+SwaptionShift):INDEX($FK$325:$ID$396,FN$169,SwaptionMonthsToGo+SwaptionShift))))))</f>
        <v/>
      </c>
      <c r="FO184" s="150" t="str">
        <f aca="false">IF(OR(FO$169&lt;SwaptionFirstMonthPosition+1,$FJ184&lt;SwaptionFirstMonthPosition+1,FO$169&gt;SwaptionFirstMonthPosition+SwaptionNumOfMonths+1,$FJ184&gt;SwaptionFirstMonthPosition+SwaptionNumOfMonths+1),"",IF($FJ184=FO$169,1,IF($FJ184&lt;FO$169,INDEX($FK$170:$ID$241,FO$169,$FJ184),SUMPRODUCT(INDEX($FK$325:$ID$396,FO$169,1+SwaptionShift):INDEX($FK$325:$ID$396,FO$169,SwaptionMonthsToGo+SwaptionShift),INDEX($FK$245:$ID$316,$FJ184-FO$169,73-FO$169+SwaptionShift):INDEX($FK$245:$ID$316,$FJ184-FO$169,72-FO$169+SwaptionMonthsToGo+SwaptionShift))/SQRT(SUM(INDEX($FK339:$ID339,1+SwaptionShift):INDEX($FK339:$ID339,SwaptionMonthsToGo+SwaptionShift))*SUM(INDEX($FK$325:$ID$396,FO$169,1+SwaptionShift):INDEX($FK$325:$ID$396,FO$169,SwaptionMonthsToGo+SwaptionShift))))))</f>
        <v/>
      </c>
      <c r="FP184" s="150" t="e">
        <f aca="false">IF(OR(FP$169&lt;SwaptionFirstMonthPosition+1,$FJ184&lt;SwaptionFirstMonthPosition+1,FP$169&gt;SwaptionFirstMonthPosition+SwaptionNumOfMonths+1,$FJ184&gt;SwaptionFirstMonthPosition+SwaptionNumOfMonths+1),"",IF($FJ184=FP$169,1,IF($FJ184&lt;FP$169,INDEX($FK$170:$ID$241,FP$169,$FJ184),SUMPRODUCT(INDEX($FK$325:$ID$396,FP$169,1+SwaptionShift):INDEX($FK$325:$ID$396,FP$169,SwaptionMonthsToGo+SwaptionShift),INDEX($FK$245:$ID$316,$FJ184-FP$169,73-FP$169+SwaptionShift):INDEX($FK$245:$ID$316,$FJ184-FP$169,72-FP$169+SwaptionMonthsToGo+SwaptionShift))/SQRT(SUM(INDEX($FK339:$ID339,1+SwaptionShift):INDEX($FK339:$ID339,SwaptionMonthsToGo+SwaptionShift))*SUM(INDEX($FK$325:$ID$396,FP$169,1+SwaptionShift):INDEX($FK$325:$ID$396,FP$169,SwaptionMonthsToGo+SwaptionShift))))))</f>
        <v>#DIV/0!</v>
      </c>
      <c r="FQ184" s="150" t="e">
        <f aca="false">IF(OR(FQ$169&lt;SwaptionFirstMonthPosition+1,$FJ184&lt;SwaptionFirstMonthPosition+1,FQ$169&gt;SwaptionFirstMonthPosition+SwaptionNumOfMonths+1,$FJ184&gt;SwaptionFirstMonthPosition+SwaptionNumOfMonths+1),"",IF($FJ184=FQ$169,1,IF($FJ184&lt;FQ$169,INDEX($FK$170:$ID$241,FQ$169,$FJ184),SUMPRODUCT(INDEX($FK$325:$ID$396,FQ$169,1+SwaptionShift):INDEX($FK$325:$ID$396,FQ$169,SwaptionMonthsToGo+SwaptionShift),INDEX($FK$245:$ID$316,$FJ184-FQ$169,73-FQ$169+SwaptionShift):INDEX($FK$245:$ID$316,$FJ184-FQ$169,72-FQ$169+SwaptionMonthsToGo+SwaptionShift))/SQRT(SUM(INDEX($FK339:$ID339,1+SwaptionShift):INDEX($FK339:$ID339,SwaptionMonthsToGo+SwaptionShift))*SUM(INDEX($FK$325:$ID$396,FQ$169,1+SwaptionShift):INDEX($FK$325:$ID$396,FQ$169,SwaptionMonthsToGo+SwaptionShift))))))</f>
        <v>#DIV/0!</v>
      </c>
      <c r="FR184" s="150" t="e">
        <f aca="false">IF(OR(FR$169&lt;SwaptionFirstMonthPosition+1,$FJ184&lt;SwaptionFirstMonthPosition+1,FR$169&gt;SwaptionFirstMonthPosition+SwaptionNumOfMonths+1,$FJ184&gt;SwaptionFirstMonthPosition+SwaptionNumOfMonths+1),"",IF($FJ184=FR$169,1,IF($FJ184&lt;FR$169,INDEX($FK$170:$ID$241,FR$169,$FJ184),SUMPRODUCT(INDEX($FK$325:$ID$396,FR$169,1+SwaptionShift):INDEX($FK$325:$ID$396,FR$169,SwaptionMonthsToGo+SwaptionShift),INDEX($FK$245:$ID$316,$FJ184-FR$169,73-FR$169+SwaptionShift):INDEX($FK$245:$ID$316,$FJ184-FR$169,72-FR$169+SwaptionMonthsToGo+SwaptionShift))/SQRT(SUM(INDEX($FK339:$ID339,1+SwaptionShift):INDEX($FK339:$ID339,SwaptionMonthsToGo+SwaptionShift))*SUM(INDEX($FK$325:$ID$396,FR$169,1+SwaptionShift):INDEX($FK$325:$ID$396,FR$169,SwaptionMonthsToGo+SwaptionShift))))))</f>
        <v>#DIV/0!</v>
      </c>
      <c r="FS184" s="150" t="e">
        <f aca="false">IF(OR(FS$169&lt;SwaptionFirstMonthPosition+1,$FJ184&lt;SwaptionFirstMonthPosition+1,FS$169&gt;SwaptionFirstMonthPosition+SwaptionNumOfMonths+1,$FJ184&gt;SwaptionFirstMonthPosition+SwaptionNumOfMonths+1),"",IF($FJ184=FS$169,1,IF($FJ184&lt;FS$169,INDEX($FK$170:$ID$241,FS$169,$FJ184),SUMPRODUCT(INDEX($FK$325:$ID$396,FS$169,1+SwaptionShift):INDEX($FK$325:$ID$396,FS$169,SwaptionMonthsToGo+SwaptionShift),INDEX($FK$245:$ID$316,$FJ184-FS$169,73-FS$169+SwaptionShift):INDEX($FK$245:$ID$316,$FJ184-FS$169,72-FS$169+SwaptionMonthsToGo+SwaptionShift))/SQRT(SUM(INDEX($FK339:$ID339,1+SwaptionShift):INDEX($FK339:$ID339,SwaptionMonthsToGo+SwaptionShift))*SUM(INDEX($FK$325:$ID$396,FS$169,1+SwaptionShift):INDEX($FK$325:$ID$396,FS$169,SwaptionMonthsToGo+SwaptionShift))))))</f>
        <v>#DIV/0!</v>
      </c>
      <c r="FT184" s="150" t="e">
        <f aca="false">IF(OR(FT$169&lt;SwaptionFirstMonthPosition+1,$FJ184&lt;SwaptionFirstMonthPosition+1,FT$169&gt;SwaptionFirstMonthPosition+SwaptionNumOfMonths+1,$FJ184&gt;SwaptionFirstMonthPosition+SwaptionNumOfMonths+1),"",IF($FJ184=FT$169,1,IF($FJ184&lt;FT$169,INDEX($FK$170:$ID$241,FT$169,$FJ184),SUMPRODUCT(INDEX($FK$325:$ID$396,FT$169,1+SwaptionShift):INDEX($FK$325:$ID$396,FT$169,SwaptionMonthsToGo+SwaptionShift),INDEX($FK$245:$ID$316,$FJ184-FT$169,73-FT$169+SwaptionShift):INDEX($FK$245:$ID$316,$FJ184-FT$169,72-FT$169+SwaptionMonthsToGo+SwaptionShift))/SQRT(SUM(INDEX($FK339:$ID339,1+SwaptionShift):INDEX($FK339:$ID339,SwaptionMonthsToGo+SwaptionShift))*SUM(INDEX($FK$325:$ID$396,FT$169,1+SwaptionShift):INDEX($FK$325:$ID$396,FT$169,SwaptionMonthsToGo+SwaptionShift))))))</f>
        <v>#DIV/0!</v>
      </c>
      <c r="FU184" s="150" t="e">
        <f aca="false">IF(OR(FU$169&lt;SwaptionFirstMonthPosition+1,$FJ184&lt;SwaptionFirstMonthPosition+1,FU$169&gt;SwaptionFirstMonthPosition+SwaptionNumOfMonths+1,$FJ184&gt;SwaptionFirstMonthPosition+SwaptionNumOfMonths+1),"",IF($FJ184=FU$169,1,IF($FJ184&lt;FU$169,INDEX($FK$170:$ID$241,FU$169,$FJ184),SUMPRODUCT(INDEX($FK$325:$ID$396,FU$169,1+SwaptionShift):INDEX($FK$325:$ID$396,FU$169,SwaptionMonthsToGo+SwaptionShift),INDEX($FK$245:$ID$316,$FJ184-FU$169,73-FU$169+SwaptionShift):INDEX($FK$245:$ID$316,$FJ184-FU$169,72-FU$169+SwaptionMonthsToGo+SwaptionShift))/SQRT(SUM(INDEX($FK339:$ID339,1+SwaptionShift):INDEX($FK339:$ID339,SwaptionMonthsToGo+SwaptionShift))*SUM(INDEX($FK$325:$ID$396,FU$169,1+SwaptionShift):INDEX($FK$325:$ID$396,FU$169,SwaptionMonthsToGo+SwaptionShift))))))</f>
        <v>#DIV/0!</v>
      </c>
      <c r="FV184" s="150" t="e">
        <f aca="false">IF(OR(FV$169&lt;SwaptionFirstMonthPosition+1,$FJ184&lt;SwaptionFirstMonthPosition+1,FV$169&gt;SwaptionFirstMonthPosition+SwaptionNumOfMonths+1,$FJ184&gt;SwaptionFirstMonthPosition+SwaptionNumOfMonths+1),"",IF($FJ184=FV$169,1,IF($FJ184&lt;FV$169,INDEX($FK$170:$ID$241,FV$169,$FJ184),SUMPRODUCT(INDEX($FK$325:$ID$396,FV$169,1+SwaptionShift):INDEX($FK$325:$ID$396,FV$169,SwaptionMonthsToGo+SwaptionShift),INDEX($FK$245:$ID$316,$FJ184-FV$169,73-FV$169+SwaptionShift):INDEX($FK$245:$ID$316,$FJ184-FV$169,72-FV$169+SwaptionMonthsToGo+SwaptionShift))/SQRT(SUM(INDEX($FK339:$ID339,1+SwaptionShift):INDEX($FK339:$ID339,SwaptionMonthsToGo+SwaptionShift))*SUM(INDEX($FK$325:$ID$396,FV$169,1+SwaptionShift):INDEX($FK$325:$ID$396,FV$169,SwaptionMonthsToGo+SwaptionShift))))))</f>
        <v>#DIV/0!</v>
      </c>
      <c r="FW184" s="150" t="e">
        <f aca="false">IF(OR(FW$169&lt;SwaptionFirstMonthPosition+1,$FJ184&lt;SwaptionFirstMonthPosition+1,FW$169&gt;SwaptionFirstMonthPosition+SwaptionNumOfMonths+1,$FJ184&gt;SwaptionFirstMonthPosition+SwaptionNumOfMonths+1),"",IF($FJ184=FW$169,1,IF($FJ184&lt;FW$169,INDEX($FK$170:$ID$241,FW$169,$FJ184),SUMPRODUCT(INDEX($FK$325:$ID$396,FW$169,1+SwaptionShift):INDEX($FK$325:$ID$396,FW$169,SwaptionMonthsToGo+SwaptionShift),INDEX($FK$245:$ID$316,$FJ184-FW$169,73-FW$169+SwaptionShift):INDEX($FK$245:$ID$316,$FJ184-FW$169,72-FW$169+SwaptionMonthsToGo+SwaptionShift))/SQRT(SUM(INDEX($FK339:$ID339,1+SwaptionShift):INDEX($FK339:$ID339,SwaptionMonthsToGo+SwaptionShift))*SUM(INDEX($FK$325:$ID$396,FW$169,1+SwaptionShift):INDEX($FK$325:$ID$396,FW$169,SwaptionMonthsToGo+SwaptionShift))))))</f>
        <v>#DIV/0!</v>
      </c>
      <c r="FX184" s="150" t="e">
        <f aca="false">IF(OR(FX$169&lt;SwaptionFirstMonthPosition+1,$FJ184&lt;SwaptionFirstMonthPosition+1,FX$169&gt;SwaptionFirstMonthPosition+SwaptionNumOfMonths+1,$FJ184&gt;SwaptionFirstMonthPosition+SwaptionNumOfMonths+1),"",IF($FJ184=FX$169,1,IF($FJ184&lt;FX$169,INDEX($FK$170:$ID$241,FX$169,$FJ184),SUMPRODUCT(INDEX($FK$325:$ID$396,FX$169,1+SwaptionShift):INDEX($FK$325:$ID$396,FX$169,SwaptionMonthsToGo+SwaptionShift),INDEX($FK$245:$ID$316,$FJ184-FX$169,73-FX$169+SwaptionShift):INDEX($FK$245:$ID$316,$FJ184-FX$169,72-FX$169+SwaptionMonthsToGo+SwaptionShift))/SQRT(SUM(INDEX($FK339:$ID339,1+SwaptionShift):INDEX($FK339:$ID339,SwaptionMonthsToGo+SwaptionShift))*SUM(INDEX($FK$325:$ID$396,FX$169,1+SwaptionShift):INDEX($FK$325:$ID$396,FX$169,SwaptionMonthsToGo+SwaptionShift))))))</f>
        <v>#DIV/0!</v>
      </c>
      <c r="FY184" s="150" t="n">
        <f aca="false">IF(OR(FY$169&lt;SwaptionFirstMonthPosition+1,$FJ184&lt;SwaptionFirstMonthPosition+1,FY$169&gt;SwaptionFirstMonthPosition+SwaptionNumOfMonths+1,$FJ184&gt;SwaptionFirstMonthPosition+SwaptionNumOfMonths+1),"",IF($FJ184=FY$169,1,IF($FJ184&lt;FY$169,INDEX($FK$170:$ID$241,FY$169,$FJ184),SUMPRODUCT(INDEX($FK$325:$ID$396,FY$169,1+SwaptionShift):INDEX($FK$325:$ID$396,FY$169,SwaptionMonthsToGo+SwaptionShift),INDEX($FK$245:$ID$316,$FJ184-FY$169,73-FY$169+SwaptionShift):INDEX($FK$245:$ID$316,$FJ184-FY$169,72-FY$169+SwaptionMonthsToGo+SwaptionShift))/SQRT(SUM(INDEX($FK339:$ID339,1+SwaptionShift):INDEX($FK339:$ID339,SwaptionMonthsToGo+SwaptionShift))*SUM(INDEX($FK$325:$ID$396,FY$169,1+SwaptionShift):INDEX($FK$325:$ID$396,FY$169,SwaptionMonthsToGo+SwaptionShift))))))</f>
        <v>1</v>
      </c>
      <c r="FZ184" s="150" t="e">
        <f aca="false">IF(OR(FZ$169&lt;SwaptionFirstMonthPosition+1,$FJ184&lt;SwaptionFirstMonthPosition+1,FZ$169&gt;SwaptionFirstMonthPosition+SwaptionNumOfMonths+1,$FJ184&gt;SwaptionFirstMonthPosition+SwaptionNumOfMonths+1),"",IF($FJ184=FZ$169,1,IF($FJ184&lt;FZ$169,INDEX($FK$170:$ID$241,FZ$169,$FJ184),SUMPRODUCT(INDEX($FK$325:$ID$396,FZ$169,1+SwaptionShift):INDEX($FK$325:$ID$396,FZ$169,SwaptionMonthsToGo+SwaptionShift),INDEX($FK$245:$ID$316,$FJ184-FZ$169,73-FZ$169+SwaptionShift):INDEX($FK$245:$ID$316,$FJ184-FZ$169,72-FZ$169+SwaptionMonthsToGo+SwaptionShift))/SQRT(SUM(INDEX($FK339:$ID339,1+SwaptionShift):INDEX($FK339:$ID339,SwaptionMonthsToGo+SwaptionShift))*SUM(INDEX($FK$325:$ID$396,FZ$169,1+SwaptionShift):INDEX($FK$325:$ID$396,FZ$169,SwaptionMonthsToGo+SwaptionShift))))))</f>
        <v>#DIV/0!</v>
      </c>
      <c r="GA184" s="150" t="e">
        <f aca="false">IF(OR(GA$169&lt;SwaptionFirstMonthPosition+1,$FJ184&lt;SwaptionFirstMonthPosition+1,GA$169&gt;SwaptionFirstMonthPosition+SwaptionNumOfMonths+1,$FJ184&gt;SwaptionFirstMonthPosition+SwaptionNumOfMonths+1),"",IF($FJ184=GA$169,1,IF($FJ184&lt;GA$169,INDEX($FK$170:$ID$241,GA$169,$FJ184),SUMPRODUCT(INDEX($FK$325:$ID$396,GA$169,1+SwaptionShift):INDEX($FK$325:$ID$396,GA$169,SwaptionMonthsToGo+SwaptionShift),INDEX($FK$245:$ID$316,$FJ184-GA$169,73-GA$169+SwaptionShift):INDEX($FK$245:$ID$316,$FJ184-GA$169,72-GA$169+SwaptionMonthsToGo+SwaptionShift))/SQRT(SUM(INDEX($FK339:$ID339,1+SwaptionShift):INDEX($FK339:$ID339,SwaptionMonthsToGo+SwaptionShift))*SUM(INDEX($FK$325:$ID$396,GA$169,1+SwaptionShift):INDEX($FK$325:$ID$396,GA$169,SwaptionMonthsToGo+SwaptionShift))))))</f>
        <v>#DIV/0!</v>
      </c>
      <c r="GB184" s="150" t="e">
        <f aca="false">IF(OR(GB$169&lt;SwaptionFirstMonthPosition+1,$FJ184&lt;SwaptionFirstMonthPosition+1,GB$169&gt;SwaptionFirstMonthPosition+SwaptionNumOfMonths+1,$FJ184&gt;SwaptionFirstMonthPosition+SwaptionNumOfMonths+1),"",IF($FJ184=GB$169,1,IF($FJ184&lt;GB$169,INDEX($FK$170:$ID$241,GB$169,$FJ184),SUMPRODUCT(INDEX($FK$325:$ID$396,GB$169,1+SwaptionShift):INDEX($FK$325:$ID$396,GB$169,SwaptionMonthsToGo+SwaptionShift),INDEX($FK$245:$ID$316,$FJ184-GB$169,73-GB$169+SwaptionShift):INDEX($FK$245:$ID$316,$FJ184-GB$169,72-GB$169+SwaptionMonthsToGo+SwaptionShift))/SQRT(SUM(INDEX($FK339:$ID339,1+SwaptionShift):INDEX($FK339:$ID339,SwaptionMonthsToGo+SwaptionShift))*SUM(INDEX($FK$325:$ID$396,GB$169,1+SwaptionShift):INDEX($FK$325:$ID$396,GB$169,SwaptionMonthsToGo+SwaptionShift))))))</f>
        <v>#DIV/0!</v>
      </c>
      <c r="GC184" s="150" t="str">
        <f aca="false">IF(OR(GC$169&lt;SwaptionFirstMonthPosition+1,$FJ184&lt;SwaptionFirstMonthPosition+1,GC$169&gt;SwaptionFirstMonthPosition+SwaptionNumOfMonths+1,$FJ184&gt;SwaptionFirstMonthPosition+SwaptionNumOfMonths+1),"",IF($FJ184=GC$169,1,IF($FJ184&lt;GC$169,INDEX($FK$170:$ID$241,GC$169,$FJ184),SUMPRODUCT(INDEX($FK$325:$ID$396,GC$169,1+SwaptionShift):INDEX($FK$325:$ID$396,GC$169,SwaptionMonthsToGo+SwaptionShift),INDEX($FK$245:$ID$316,$FJ184-GC$169,73-GC$169+SwaptionShift):INDEX($FK$245:$ID$316,$FJ184-GC$169,72-GC$169+SwaptionMonthsToGo+SwaptionShift))/SQRT(SUM(INDEX($FK339:$ID339,1+SwaptionShift):INDEX($FK339:$ID339,SwaptionMonthsToGo+SwaptionShift))*SUM(INDEX($FK$325:$ID$396,GC$169,1+SwaptionShift):INDEX($FK$325:$ID$396,GC$169,SwaptionMonthsToGo+SwaptionShift))))))</f>
        <v/>
      </c>
      <c r="GD184" s="150" t="str">
        <f aca="false">IF(OR(GD$169&lt;SwaptionFirstMonthPosition+1,$FJ184&lt;SwaptionFirstMonthPosition+1,GD$169&gt;SwaptionFirstMonthPosition+SwaptionNumOfMonths+1,$FJ184&gt;SwaptionFirstMonthPosition+SwaptionNumOfMonths+1),"",IF($FJ184=GD$169,1,IF($FJ184&lt;GD$169,INDEX($FK$170:$ID$241,GD$169,$FJ184),SUMPRODUCT(INDEX($FK$325:$ID$396,GD$169,1+SwaptionShift):INDEX($FK$325:$ID$396,GD$169,SwaptionMonthsToGo+SwaptionShift),INDEX($FK$245:$ID$316,$FJ184-GD$169,73-GD$169+SwaptionShift):INDEX($FK$245:$ID$316,$FJ184-GD$169,72-GD$169+SwaptionMonthsToGo+SwaptionShift))/SQRT(SUM(INDEX($FK339:$ID339,1+SwaptionShift):INDEX($FK339:$ID339,SwaptionMonthsToGo+SwaptionShift))*SUM(INDEX($FK$325:$ID$396,GD$169,1+SwaptionShift):INDEX($FK$325:$ID$396,GD$169,SwaptionMonthsToGo+SwaptionShift))))))</f>
        <v/>
      </c>
      <c r="GE184" s="150" t="str">
        <f aca="false">IF(OR(GE$169&lt;SwaptionFirstMonthPosition+1,$FJ184&lt;SwaptionFirstMonthPosition+1,GE$169&gt;SwaptionFirstMonthPosition+SwaptionNumOfMonths+1,$FJ184&gt;SwaptionFirstMonthPosition+SwaptionNumOfMonths+1),"",IF($FJ184=GE$169,1,IF($FJ184&lt;GE$169,INDEX($FK$170:$ID$241,GE$169,$FJ184),SUMPRODUCT(INDEX($FK$325:$ID$396,GE$169,1+SwaptionShift):INDEX($FK$325:$ID$396,GE$169,SwaptionMonthsToGo+SwaptionShift),INDEX($FK$245:$ID$316,$FJ184-GE$169,73-GE$169+SwaptionShift):INDEX($FK$245:$ID$316,$FJ184-GE$169,72-GE$169+SwaptionMonthsToGo+SwaptionShift))/SQRT(SUM(INDEX($FK339:$ID339,1+SwaptionShift):INDEX($FK339:$ID339,SwaptionMonthsToGo+SwaptionShift))*SUM(INDEX($FK$325:$ID$396,GE$169,1+SwaptionShift):INDEX($FK$325:$ID$396,GE$169,SwaptionMonthsToGo+SwaptionShift))))))</f>
        <v/>
      </c>
      <c r="GF184" s="150" t="str">
        <f aca="false">IF(OR(GF$169&lt;SwaptionFirstMonthPosition+1,$FJ184&lt;SwaptionFirstMonthPosition+1,GF$169&gt;SwaptionFirstMonthPosition+SwaptionNumOfMonths+1,$FJ184&gt;SwaptionFirstMonthPosition+SwaptionNumOfMonths+1),"",IF($FJ184=GF$169,1,IF($FJ184&lt;GF$169,INDEX($FK$170:$ID$241,GF$169,$FJ184),SUMPRODUCT(INDEX($FK$325:$ID$396,GF$169,1+SwaptionShift):INDEX($FK$325:$ID$396,GF$169,SwaptionMonthsToGo+SwaptionShift),INDEX($FK$245:$ID$316,$FJ184-GF$169,73-GF$169+SwaptionShift):INDEX($FK$245:$ID$316,$FJ184-GF$169,72-GF$169+SwaptionMonthsToGo+SwaptionShift))/SQRT(SUM(INDEX($FK339:$ID339,1+SwaptionShift):INDEX($FK339:$ID339,SwaptionMonthsToGo+SwaptionShift))*SUM(INDEX($FK$325:$ID$396,GF$169,1+SwaptionShift):INDEX($FK$325:$ID$396,GF$169,SwaptionMonthsToGo+SwaptionShift))))))</f>
        <v/>
      </c>
      <c r="GG184" s="150" t="str">
        <f aca="false">IF(OR(GG$169&lt;SwaptionFirstMonthPosition+1,$FJ184&lt;SwaptionFirstMonthPosition+1,GG$169&gt;SwaptionFirstMonthPosition+SwaptionNumOfMonths+1,$FJ184&gt;SwaptionFirstMonthPosition+SwaptionNumOfMonths+1),"",IF($FJ184=GG$169,1,IF($FJ184&lt;GG$169,INDEX($FK$170:$ID$241,GG$169,$FJ184),SUMPRODUCT(INDEX($FK$325:$ID$396,GG$169,1+SwaptionShift):INDEX($FK$325:$ID$396,GG$169,SwaptionMonthsToGo+SwaptionShift),INDEX($FK$245:$ID$316,$FJ184-GG$169,73-GG$169+SwaptionShift):INDEX($FK$245:$ID$316,$FJ184-GG$169,72-GG$169+SwaptionMonthsToGo+SwaptionShift))/SQRT(SUM(INDEX($FK339:$ID339,1+SwaptionShift):INDEX($FK339:$ID339,SwaptionMonthsToGo+SwaptionShift))*SUM(INDEX($FK$325:$ID$396,GG$169,1+SwaptionShift):INDEX($FK$325:$ID$396,GG$169,SwaptionMonthsToGo+SwaptionShift))))))</f>
        <v/>
      </c>
      <c r="GH184" s="150" t="str">
        <f aca="false">IF(OR(GH$169&lt;SwaptionFirstMonthPosition+1,$FJ184&lt;SwaptionFirstMonthPosition+1,GH$169&gt;SwaptionFirstMonthPosition+SwaptionNumOfMonths+1,$FJ184&gt;SwaptionFirstMonthPosition+SwaptionNumOfMonths+1),"",IF($FJ184=GH$169,1,IF($FJ184&lt;GH$169,INDEX($FK$170:$ID$241,GH$169,$FJ184),SUMPRODUCT(INDEX($FK$325:$ID$396,GH$169,1+SwaptionShift):INDEX($FK$325:$ID$396,GH$169,SwaptionMonthsToGo+SwaptionShift),INDEX($FK$245:$ID$316,$FJ184-GH$169,73-GH$169+SwaptionShift):INDEX($FK$245:$ID$316,$FJ184-GH$169,72-GH$169+SwaptionMonthsToGo+SwaptionShift))/SQRT(SUM(INDEX($FK339:$ID339,1+SwaptionShift):INDEX($FK339:$ID339,SwaptionMonthsToGo+SwaptionShift))*SUM(INDEX($FK$325:$ID$396,GH$169,1+SwaptionShift):INDEX($FK$325:$ID$396,GH$169,SwaptionMonthsToGo+SwaptionShift))))))</f>
        <v/>
      </c>
      <c r="GI184" s="150" t="str">
        <f aca="false">IF(OR(GI$169&lt;SwaptionFirstMonthPosition+1,$FJ184&lt;SwaptionFirstMonthPosition+1,GI$169&gt;SwaptionFirstMonthPosition+SwaptionNumOfMonths+1,$FJ184&gt;SwaptionFirstMonthPosition+SwaptionNumOfMonths+1),"",IF($FJ184=GI$169,1,IF($FJ184&lt;GI$169,INDEX($FK$170:$ID$241,GI$169,$FJ184),SUMPRODUCT(INDEX($FK$325:$ID$396,GI$169,1+SwaptionShift):INDEX($FK$325:$ID$396,GI$169,SwaptionMonthsToGo+SwaptionShift),INDEX($FK$245:$ID$316,$FJ184-GI$169,73-GI$169+SwaptionShift):INDEX($FK$245:$ID$316,$FJ184-GI$169,72-GI$169+SwaptionMonthsToGo+SwaptionShift))/SQRT(SUM(INDEX($FK339:$ID339,1+SwaptionShift):INDEX($FK339:$ID339,SwaptionMonthsToGo+SwaptionShift))*SUM(INDEX($FK$325:$ID$396,GI$169,1+SwaptionShift):INDEX($FK$325:$ID$396,GI$169,SwaptionMonthsToGo+SwaptionShift))))))</f>
        <v/>
      </c>
      <c r="GJ184" s="150" t="str">
        <f aca="false">IF(OR(GJ$169&lt;SwaptionFirstMonthPosition+1,$FJ184&lt;SwaptionFirstMonthPosition+1,GJ$169&gt;SwaptionFirstMonthPosition+SwaptionNumOfMonths+1,$FJ184&gt;SwaptionFirstMonthPosition+SwaptionNumOfMonths+1),"",IF($FJ184=GJ$169,1,IF($FJ184&lt;GJ$169,INDEX($FK$170:$ID$241,GJ$169,$FJ184),SUMPRODUCT(INDEX($FK$325:$ID$396,GJ$169,1+SwaptionShift):INDEX($FK$325:$ID$396,GJ$169,SwaptionMonthsToGo+SwaptionShift),INDEX($FK$245:$ID$316,$FJ184-GJ$169,73-GJ$169+SwaptionShift):INDEX($FK$245:$ID$316,$FJ184-GJ$169,72-GJ$169+SwaptionMonthsToGo+SwaptionShift))/SQRT(SUM(INDEX($FK339:$ID339,1+SwaptionShift):INDEX($FK339:$ID339,SwaptionMonthsToGo+SwaptionShift))*SUM(INDEX($FK$325:$ID$396,GJ$169,1+SwaptionShift):INDEX($FK$325:$ID$396,GJ$169,SwaptionMonthsToGo+SwaptionShift))))))</f>
        <v/>
      </c>
      <c r="GK184" s="150" t="str">
        <f aca="false">IF(OR(GK$169&lt;SwaptionFirstMonthPosition+1,$FJ184&lt;SwaptionFirstMonthPosition+1,GK$169&gt;SwaptionFirstMonthPosition+SwaptionNumOfMonths+1,$FJ184&gt;SwaptionFirstMonthPosition+SwaptionNumOfMonths+1),"",IF($FJ184=GK$169,1,IF($FJ184&lt;GK$169,INDEX($FK$170:$ID$241,GK$169,$FJ184),SUMPRODUCT(INDEX($FK$325:$ID$396,GK$169,1+SwaptionShift):INDEX($FK$325:$ID$396,GK$169,SwaptionMonthsToGo+SwaptionShift),INDEX($FK$245:$ID$316,$FJ184-GK$169,73-GK$169+SwaptionShift):INDEX($FK$245:$ID$316,$FJ184-GK$169,72-GK$169+SwaptionMonthsToGo+SwaptionShift))/SQRT(SUM(INDEX($FK339:$ID339,1+SwaptionShift):INDEX($FK339:$ID339,SwaptionMonthsToGo+SwaptionShift))*SUM(INDEX($FK$325:$ID$396,GK$169,1+SwaptionShift):INDEX($FK$325:$ID$396,GK$169,SwaptionMonthsToGo+SwaptionShift))))))</f>
        <v/>
      </c>
      <c r="GL184" s="150" t="str">
        <f aca="false">IF(OR(GL$169&lt;SwaptionFirstMonthPosition+1,$FJ184&lt;SwaptionFirstMonthPosition+1,GL$169&gt;SwaptionFirstMonthPosition+SwaptionNumOfMonths+1,$FJ184&gt;SwaptionFirstMonthPosition+SwaptionNumOfMonths+1),"",IF($FJ184=GL$169,1,IF($FJ184&lt;GL$169,INDEX($FK$170:$ID$241,GL$169,$FJ184),SUMPRODUCT(INDEX($FK$325:$ID$396,GL$169,1+SwaptionShift):INDEX($FK$325:$ID$396,GL$169,SwaptionMonthsToGo+SwaptionShift),INDEX($FK$245:$ID$316,$FJ184-GL$169,73-GL$169+SwaptionShift):INDEX($FK$245:$ID$316,$FJ184-GL$169,72-GL$169+SwaptionMonthsToGo+SwaptionShift))/SQRT(SUM(INDEX($FK339:$ID339,1+SwaptionShift):INDEX($FK339:$ID339,SwaptionMonthsToGo+SwaptionShift))*SUM(INDEX($FK$325:$ID$396,GL$169,1+SwaptionShift):INDEX($FK$325:$ID$396,GL$169,SwaptionMonthsToGo+SwaptionShift))))))</f>
        <v/>
      </c>
      <c r="GM184" s="150" t="str">
        <f aca="false">IF(OR(GM$169&lt;SwaptionFirstMonthPosition+1,$FJ184&lt;SwaptionFirstMonthPosition+1,GM$169&gt;SwaptionFirstMonthPosition+SwaptionNumOfMonths+1,$FJ184&gt;SwaptionFirstMonthPosition+SwaptionNumOfMonths+1),"",IF($FJ184=GM$169,1,IF($FJ184&lt;GM$169,INDEX($FK$170:$ID$241,GM$169,$FJ184),SUMPRODUCT(INDEX($FK$325:$ID$396,GM$169,1+SwaptionShift):INDEX($FK$325:$ID$396,GM$169,SwaptionMonthsToGo+SwaptionShift),INDEX($FK$245:$ID$316,$FJ184-GM$169,73-GM$169+SwaptionShift):INDEX($FK$245:$ID$316,$FJ184-GM$169,72-GM$169+SwaptionMonthsToGo+SwaptionShift))/SQRT(SUM(INDEX($FK339:$ID339,1+SwaptionShift):INDEX($FK339:$ID339,SwaptionMonthsToGo+SwaptionShift))*SUM(INDEX($FK$325:$ID$396,GM$169,1+SwaptionShift):INDEX($FK$325:$ID$396,GM$169,SwaptionMonthsToGo+SwaptionShift))))))</f>
        <v/>
      </c>
      <c r="GN184" s="150" t="str">
        <f aca="false">IF(OR(GN$169&lt;SwaptionFirstMonthPosition+1,$FJ184&lt;SwaptionFirstMonthPosition+1,GN$169&gt;SwaptionFirstMonthPosition+SwaptionNumOfMonths+1,$FJ184&gt;SwaptionFirstMonthPosition+SwaptionNumOfMonths+1),"",IF($FJ184=GN$169,1,IF($FJ184&lt;GN$169,INDEX($FK$170:$ID$241,GN$169,$FJ184),SUMPRODUCT(INDEX($FK$325:$ID$396,GN$169,1+SwaptionShift):INDEX($FK$325:$ID$396,GN$169,SwaptionMonthsToGo+SwaptionShift),INDEX($FK$245:$ID$316,$FJ184-GN$169,73-GN$169+SwaptionShift):INDEX($FK$245:$ID$316,$FJ184-GN$169,72-GN$169+SwaptionMonthsToGo+SwaptionShift))/SQRT(SUM(INDEX($FK339:$ID339,1+SwaptionShift):INDEX($FK339:$ID339,SwaptionMonthsToGo+SwaptionShift))*SUM(INDEX($FK$325:$ID$396,GN$169,1+SwaptionShift):INDEX($FK$325:$ID$396,GN$169,SwaptionMonthsToGo+SwaptionShift))))))</f>
        <v/>
      </c>
      <c r="GO184" s="150" t="str">
        <f aca="false">IF(OR(GO$169&lt;SwaptionFirstMonthPosition+1,$FJ184&lt;SwaptionFirstMonthPosition+1,GO$169&gt;SwaptionFirstMonthPosition+SwaptionNumOfMonths+1,$FJ184&gt;SwaptionFirstMonthPosition+SwaptionNumOfMonths+1),"",IF($FJ184=GO$169,1,IF($FJ184&lt;GO$169,INDEX($FK$170:$ID$241,GO$169,$FJ184),SUMPRODUCT(INDEX($FK$325:$ID$396,GO$169,1+SwaptionShift):INDEX($FK$325:$ID$396,GO$169,SwaptionMonthsToGo+SwaptionShift),INDEX($FK$245:$ID$316,$FJ184-GO$169,73-GO$169+SwaptionShift):INDEX($FK$245:$ID$316,$FJ184-GO$169,72-GO$169+SwaptionMonthsToGo+SwaptionShift))/SQRT(SUM(INDEX($FK339:$ID339,1+SwaptionShift):INDEX($FK339:$ID339,SwaptionMonthsToGo+SwaptionShift))*SUM(INDEX($FK$325:$ID$396,GO$169,1+SwaptionShift):INDEX($FK$325:$ID$396,GO$169,SwaptionMonthsToGo+SwaptionShift))))))</f>
        <v/>
      </c>
      <c r="GP184" s="150" t="str">
        <f aca="false">IF(OR(GP$169&lt;SwaptionFirstMonthPosition+1,$FJ184&lt;SwaptionFirstMonthPosition+1,GP$169&gt;SwaptionFirstMonthPosition+SwaptionNumOfMonths+1,$FJ184&gt;SwaptionFirstMonthPosition+SwaptionNumOfMonths+1),"",IF($FJ184=GP$169,1,IF($FJ184&lt;GP$169,INDEX($FK$170:$ID$241,GP$169,$FJ184),SUMPRODUCT(INDEX($FK$325:$ID$396,GP$169,1+SwaptionShift):INDEX($FK$325:$ID$396,GP$169,SwaptionMonthsToGo+SwaptionShift),INDEX($FK$245:$ID$316,$FJ184-GP$169,73-GP$169+SwaptionShift):INDEX($FK$245:$ID$316,$FJ184-GP$169,72-GP$169+SwaptionMonthsToGo+SwaptionShift))/SQRT(SUM(INDEX($FK339:$ID339,1+SwaptionShift):INDEX($FK339:$ID339,SwaptionMonthsToGo+SwaptionShift))*SUM(INDEX($FK$325:$ID$396,GP$169,1+SwaptionShift):INDEX($FK$325:$ID$396,GP$169,SwaptionMonthsToGo+SwaptionShift))))))</f>
        <v/>
      </c>
      <c r="GQ184" s="150" t="str">
        <f aca="false">IF(OR(GQ$169&lt;SwaptionFirstMonthPosition+1,$FJ184&lt;SwaptionFirstMonthPosition+1,GQ$169&gt;SwaptionFirstMonthPosition+SwaptionNumOfMonths+1,$FJ184&gt;SwaptionFirstMonthPosition+SwaptionNumOfMonths+1),"",IF($FJ184=GQ$169,1,IF($FJ184&lt;GQ$169,INDEX($FK$170:$ID$241,GQ$169,$FJ184),SUMPRODUCT(INDEX($FK$325:$ID$396,GQ$169,1+SwaptionShift):INDEX($FK$325:$ID$396,GQ$169,SwaptionMonthsToGo+SwaptionShift),INDEX($FK$245:$ID$316,$FJ184-GQ$169,73-GQ$169+SwaptionShift):INDEX($FK$245:$ID$316,$FJ184-GQ$169,72-GQ$169+SwaptionMonthsToGo+SwaptionShift))/SQRT(SUM(INDEX($FK339:$ID339,1+SwaptionShift):INDEX($FK339:$ID339,SwaptionMonthsToGo+SwaptionShift))*SUM(INDEX($FK$325:$ID$396,GQ$169,1+SwaptionShift):INDEX($FK$325:$ID$396,GQ$169,SwaptionMonthsToGo+SwaptionShift))))))</f>
        <v/>
      </c>
      <c r="GR184" s="150" t="str">
        <f aca="false">IF(OR(GR$169&lt;SwaptionFirstMonthPosition+1,$FJ184&lt;SwaptionFirstMonthPosition+1,GR$169&gt;SwaptionFirstMonthPosition+SwaptionNumOfMonths+1,$FJ184&gt;SwaptionFirstMonthPosition+SwaptionNumOfMonths+1),"",IF($FJ184=GR$169,1,IF($FJ184&lt;GR$169,INDEX($FK$170:$ID$241,GR$169,$FJ184),SUMPRODUCT(INDEX($FK$325:$ID$396,GR$169,1+SwaptionShift):INDEX($FK$325:$ID$396,GR$169,SwaptionMonthsToGo+SwaptionShift),INDEX($FK$245:$ID$316,$FJ184-GR$169,73-GR$169+SwaptionShift):INDEX($FK$245:$ID$316,$FJ184-GR$169,72-GR$169+SwaptionMonthsToGo+SwaptionShift))/SQRT(SUM(INDEX($FK339:$ID339,1+SwaptionShift):INDEX($FK339:$ID339,SwaptionMonthsToGo+SwaptionShift))*SUM(INDEX($FK$325:$ID$396,GR$169,1+SwaptionShift):INDEX($FK$325:$ID$396,GR$169,SwaptionMonthsToGo+SwaptionShift))))))</f>
        <v/>
      </c>
      <c r="GS184" s="150" t="str">
        <f aca="false">IF(OR(GS$169&lt;SwaptionFirstMonthPosition+1,$FJ184&lt;SwaptionFirstMonthPosition+1,GS$169&gt;SwaptionFirstMonthPosition+SwaptionNumOfMonths+1,$FJ184&gt;SwaptionFirstMonthPosition+SwaptionNumOfMonths+1),"",IF($FJ184=GS$169,1,IF($FJ184&lt;GS$169,INDEX($FK$170:$ID$241,GS$169,$FJ184),SUMPRODUCT(INDEX($FK$325:$ID$396,GS$169,1+SwaptionShift):INDEX($FK$325:$ID$396,GS$169,SwaptionMonthsToGo+SwaptionShift),INDEX($FK$245:$ID$316,$FJ184-GS$169,73-GS$169+SwaptionShift):INDEX($FK$245:$ID$316,$FJ184-GS$169,72-GS$169+SwaptionMonthsToGo+SwaptionShift))/SQRT(SUM(INDEX($FK339:$ID339,1+SwaptionShift):INDEX($FK339:$ID339,SwaptionMonthsToGo+SwaptionShift))*SUM(INDEX($FK$325:$ID$396,GS$169,1+SwaptionShift):INDEX($FK$325:$ID$396,GS$169,SwaptionMonthsToGo+SwaptionShift))))))</f>
        <v/>
      </c>
      <c r="GT184" s="150" t="str">
        <f aca="false">IF(OR(GT$169&lt;SwaptionFirstMonthPosition+1,$FJ184&lt;SwaptionFirstMonthPosition+1,GT$169&gt;SwaptionFirstMonthPosition+SwaptionNumOfMonths+1,$FJ184&gt;SwaptionFirstMonthPosition+SwaptionNumOfMonths+1),"",IF($FJ184=GT$169,1,IF($FJ184&lt;GT$169,INDEX($FK$170:$ID$241,GT$169,$FJ184),SUMPRODUCT(INDEX($FK$325:$ID$396,GT$169,1+SwaptionShift):INDEX($FK$325:$ID$396,GT$169,SwaptionMonthsToGo+SwaptionShift),INDEX($FK$245:$ID$316,$FJ184-GT$169,73-GT$169+SwaptionShift):INDEX($FK$245:$ID$316,$FJ184-GT$169,72-GT$169+SwaptionMonthsToGo+SwaptionShift))/SQRT(SUM(INDEX($FK339:$ID339,1+SwaptionShift):INDEX($FK339:$ID339,SwaptionMonthsToGo+SwaptionShift))*SUM(INDEX($FK$325:$ID$396,GT$169,1+SwaptionShift):INDEX($FK$325:$ID$396,GT$169,SwaptionMonthsToGo+SwaptionShift))))))</f>
        <v/>
      </c>
      <c r="GU184" s="150" t="str">
        <f aca="false">IF(OR(GU$169&lt;SwaptionFirstMonthPosition+1,$FJ184&lt;SwaptionFirstMonthPosition+1,GU$169&gt;SwaptionFirstMonthPosition+SwaptionNumOfMonths+1,$FJ184&gt;SwaptionFirstMonthPosition+SwaptionNumOfMonths+1),"",IF($FJ184=GU$169,1,IF($FJ184&lt;GU$169,INDEX($FK$170:$ID$241,GU$169,$FJ184),SUMPRODUCT(INDEX($FK$325:$ID$396,GU$169,1+SwaptionShift):INDEX($FK$325:$ID$396,GU$169,SwaptionMonthsToGo+SwaptionShift),INDEX($FK$245:$ID$316,$FJ184-GU$169,73-GU$169+SwaptionShift):INDEX($FK$245:$ID$316,$FJ184-GU$169,72-GU$169+SwaptionMonthsToGo+SwaptionShift))/SQRT(SUM(INDEX($FK339:$ID339,1+SwaptionShift):INDEX($FK339:$ID339,SwaptionMonthsToGo+SwaptionShift))*SUM(INDEX($FK$325:$ID$396,GU$169,1+SwaptionShift):INDEX($FK$325:$ID$396,GU$169,SwaptionMonthsToGo+SwaptionShift))))))</f>
        <v/>
      </c>
      <c r="GV184" s="150" t="str">
        <f aca="false">IF(OR(GV$169&lt;SwaptionFirstMonthPosition+1,$FJ184&lt;SwaptionFirstMonthPosition+1,GV$169&gt;SwaptionFirstMonthPosition+SwaptionNumOfMonths+1,$FJ184&gt;SwaptionFirstMonthPosition+SwaptionNumOfMonths+1),"",IF($FJ184=GV$169,1,IF($FJ184&lt;GV$169,INDEX($FK$170:$ID$241,GV$169,$FJ184),SUMPRODUCT(INDEX($FK$325:$ID$396,GV$169,1+SwaptionShift):INDEX($FK$325:$ID$396,GV$169,SwaptionMonthsToGo+SwaptionShift),INDEX($FK$245:$ID$316,$FJ184-GV$169,73-GV$169+SwaptionShift):INDEX($FK$245:$ID$316,$FJ184-GV$169,72-GV$169+SwaptionMonthsToGo+SwaptionShift))/SQRT(SUM(INDEX($FK339:$ID339,1+SwaptionShift):INDEX($FK339:$ID339,SwaptionMonthsToGo+SwaptionShift))*SUM(INDEX($FK$325:$ID$396,GV$169,1+SwaptionShift):INDEX($FK$325:$ID$396,GV$169,SwaptionMonthsToGo+SwaptionShift))))))</f>
        <v/>
      </c>
      <c r="GW184" s="150" t="str">
        <f aca="false">IF(OR(GW$169&lt;SwaptionFirstMonthPosition+1,$FJ184&lt;SwaptionFirstMonthPosition+1,GW$169&gt;SwaptionFirstMonthPosition+SwaptionNumOfMonths+1,$FJ184&gt;SwaptionFirstMonthPosition+SwaptionNumOfMonths+1),"",IF($FJ184=GW$169,1,IF($FJ184&lt;GW$169,INDEX($FK$170:$ID$241,GW$169,$FJ184),SUMPRODUCT(INDEX($FK$325:$ID$396,GW$169,1+SwaptionShift):INDEX($FK$325:$ID$396,GW$169,SwaptionMonthsToGo+SwaptionShift),INDEX($FK$245:$ID$316,$FJ184-GW$169,73-GW$169+SwaptionShift):INDEX($FK$245:$ID$316,$FJ184-GW$169,72-GW$169+SwaptionMonthsToGo+SwaptionShift))/SQRT(SUM(INDEX($FK339:$ID339,1+SwaptionShift):INDEX($FK339:$ID339,SwaptionMonthsToGo+SwaptionShift))*SUM(INDEX($FK$325:$ID$396,GW$169,1+SwaptionShift):INDEX($FK$325:$ID$396,GW$169,SwaptionMonthsToGo+SwaptionShift))))))</f>
        <v/>
      </c>
      <c r="GX184" s="150" t="str">
        <f aca="false">IF(OR(GX$169&lt;SwaptionFirstMonthPosition+1,$FJ184&lt;SwaptionFirstMonthPosition+1,GX$169&gt;SwaptionFirstMonthPosition+SwaptionNumOfMonths+1,$FJ184&gt;SwaptionFirstMonthPosition+SwaptionNumOfMonths+1),"",IF($FJ184=GX$169,1,IF($FJ184&lt;GX$169,INDEX($FK$170:$ID$241,GX$169,$FJ184),SUMPRODUCT(INDEX($FK$325:$ID$396,GX$169,1+SwaptionShift):INDEX($FK$325:$ID$396,GX$169,SwaptionMonthsToGo+SwaptionShift),INDEX($FK$245:$ID$316,$FJ184-GX$169,73-GX$169+SwaptionShift):INDEX($FK$245:$ID$316,$FJ184-GX$169,72-GX$169+SwaptionMonthsToGo+SwaptionShift))/SQRT(SUM(INDEX($FK339:$ID339,1+SwaptionShift):INDEX($FK339:$ID339,SwaptionMonthsToGo+SwaptionShift))*SUM(INDEX($FK$325:$ID$396,GX$169,1+SwaptionShift):INDEX($FK$325:$ID$396,GX$169,SwaptionMonthsToGo+SwaptionShift))))))</f>
        <v/>
      </c>
      <c r="GY184" s="150" t="str">
        <f aca="false">IF(OR(GY$169&lt;SwaptionFirstMonthPosition+1,$FJ184&lt;SwaptionFirstMonthPosition+1,GY$169&gt;SwaptionFirstMonthPosition+SwaptionNumOfMonths+1,$FJ184&gt;SwaptionFirstMonthPosition+SwaptionNumOfMonths+1),"",IF($FJ184=GY$169,1,IF($FJ184&lt;GY$169,INDEX($FK$170:$ID$241,GY$169,$FJ184),SUMPRODUCT(INDEX($FK$325:$ID$396,GY$169,1+SwaptionShift):INDEX($FK$325:$ID$396,GY$169,SwaptionMonthsToGo+SwaptionShift),INDEX($FK$245:$ID$316,$FJ184-GY$169,73-GY$169+SwaptionShift):INDEX($FK$245:$ID$316,$FJ184-GY$169,72-GY$169+SwaptionMonthsToGo+SwaptionShift))/SQRT(SUM(INDEX($FK339:$ID339,1+SwaptionShift):INDEX($FK339:$ID339,SwaptionMonthsToGo+SwaptionShift))*SUM(INDEX($FK$325:$ID$396,GY$169,1+SwaptionShift):INDEX($FK$325:$ID$396,GY$169,SwaptionMonthsToGo+SwaptionShift))))))</f>
        <v/>
      </c>
      <c r="GZ184" s="150" t="str">
        <f aca="false">IF(OR(GZ$169&lt;SwaptionFirstMonthPosition+1,$FJ184&lt;SwaptionFirstMonthPosition+1,GZ$169&gt;SwaptionFirstMonthPosition+SwaptionNumOfMonths+1,$FJ184&gt;SwaptionFirstMonthPosition+SwaptionNumOfMonths+1),"",IF($FJ184=GZ$169,1,IF($FJ184&lt;GZ$169,INDEX($FK$170:$ID$241,GZ$169,$FJ184),SUMPRODUCT(INDEX($FK$325:$ID$396,GZ$169,1+SwaptionShift):INDEX($FK$325:$ID$396,GZ$169,SwaptionMonthsToGo+SwaptionShift),INDEX($FK$245:$ID$316,$FJ184-GZ$169,73-GZ$169+SwaptionShift):INDEX($FK$245:$ID$316,$FJ184-GZ$169,72-GZ$169+SwaptionMonthsToGo+SwaptionShift))/SQRT(SUM(INDEX($FK339:$ID339,1+SwaptionShift):INDEX($FK339:$ID339,SwaptionMonthsToGo+SwaptionShift))*SUM(INDEX($FK$325:$ID$396,GZ$169,1+SwaptionShift):INDEX($FK$325:$ID$396,GZ$169,SwaptionMonthsToGo+SwaptionShift))))))</f>
        <v/>
      </c>
      <c r="HA184" s="150" t="str">
        <f aca="false">IF(OR(HA$169&lt;SwaptionFirstMonthPosition+1,$FJ184&lt;SwaptionFirstMonthPosition+1,HA$169&gt;SwaptionFirstMonthPosition+SwaptionNumOfMonths+1,$FJ184&gt;SwaptionFirstMonthPosition+SwaptionNumOfMonths+1),"",IF($FJ184=HA$169,1,IF($FJ184&lt;HA$169,INDEX($FK$170:$ID$241,HA$169,$FJ184),SUMPRODUCT(INDEX($FK$325:$ID$396,HA$169,1+SwaptionShift):INDEX($FK$325:$ID$396,HA$169,SwaptionMonthsToGo+SwaptionShift),INDEX($FK$245:$ID$316,$FJ184-HA$169,73-HA$169+SwaptionShift):INDEX($FK$245:$ID$316,$FJ184-HA$169,72-HA$169+SwaptionMonthsToGo+SwaptionShift))/SQRT(SUM(INDEX($FK339:$ID339,1+SwaptionShift):INDEX($FK339:$ID339,SwaptionMonthsToGo+SwaptionShift))*SUM(INDEX($FK$325:$ID$396,HA$169,1+SwaptionShift):INDEX($FK$325:$ID$396,HA$169,SwaptionMonthsToGo+SwaptionShift))))))</f>
        <v/>
      </c>
      <c r="HB184" s="150" t="str">
        <f aca="false">IF(OR(HB$169&lt;SwaptionFirstMonthPosition+1,$FJ184&lt;SwaptionFirstMonthPosition+1,HB$169&gt;SwaptionFirstMonthPosition+SwaptionNumOfMonths+1,$FJ184&gt;SwaptionFirstMonthPosition+SwaptionNumOfMonths+1),"",IF($FJ184=HB$169,1,IF($FJ184&lt;HB$169,INDEX($FK$170:$ID$241,HB$169,$FJ184),SUMPRODUCT(INDEX($FK$325:$ID$396,HB$169,1+SwaptionShift):INDEX($FK$325:$ID$396,HB$169,SwaptionMonthsToGo+SwaptionShift),INDEX($FK$245:$ID$316,$FJ184-HB$169,73-HB$169+SwaptionShift):INDEX($FK$245:$ID$316,$FJ184-HB$169,72-HB$169+SwaptionMonthsToGo+SwaptionShift))/SQRT(SUM(INDEX($FK339:$ID339,1+SwaptionShift):INDEX($FK339:$ID339,SwaptionMonthsToGo+SwaptionShift))*SUM(INDEX($FK$325:$ID$396,HB$169,1+SwaptionShift):INDEX($FK$325:$ID$396,HB$169,SwaptionMonthsToGo+SwaptionShift))))))</f>
        <v/>
      </c>
      <c r="HC184" s="150" t="str">
        <f aca="false">IF(OR(HC$169&lt;SwaptionFirstMonthPosition+1,$FJ184&lt;SwaptionFirstMonthPosition+1,HC$169&gt;SwaptionFirstMonthPosition+SwaptionNumOfMonths+1,$FJ184&gt;SwaptionFirstMonthPosition+SwaptionNumOfMonths+1),"",IF($FJ184=HC$169,1,IF($FJ184&lt;HC$169,INDEX($FK$170:$ID$241,HC$169,$FJ184),SUMPRODUCT(INDEX($FK$325:$ID$396,HC$169,1+SwaptionShift):INDEX($FK$325:$ID$396,HC$169,SwaptionMonthsToGo+SwaptionShift),INDEX($FK$245:$ID$316,$FJ184-HC$169,73-HC$169+SwaptionShift):INDEX($FK$245:$ID$316,$FJ184-HC$169,72-HC$169+SwaptionMonthsToGo+SwaptionShift))/SQRT(SUM(INDEX($FK339:$ID339,1+SwaptionShift):INDEX($FK339:$ID339,SwaptionMonthsToGo+SwaptionShift))*SUM(INDEX($FK$325:$ID$396,HC$169,1+SwaptionShift):INDEX($FK$325:$ID$396,HC$169,SwaptionMonthsToGo+SwaptionShift))))))</f>
        <v/>
      </c>
      <c r="HD184" s="150" t="str">
        <f aca="false">IF(OR(HD$169&lt;SwaptionFirstMonthPosition+1,$FJ184&lt;SwaptionFirstMonthPosition+1,HD$169&gt;SwaptionFirstMonthPosition+SwaptionNumOfMonths+1,$FJ184&gt;SwaptionFirstMonthPosition+SwaptionNumOfMonths+1),"",IF($FJ184=HD$169,1,IF($FJ184&lt;HD$169,INDEX($FK$170:$ID$241,HD$169,$FJ184),SUMPRODUCT(INDEX($FK$325:$ID$396,HD$169,1+SwaptionShift):INDEX($FK$325:$ID$396,HD$169,SwaptionMonthsToGo+SwaptionShift),INDEX($FK$245:$ID$316,$FJ184-HD$169,73-HD$169+SwaptionShift):INDEX($FK$245:$ID$316,$FJ184-HD$169,72-HD$169+SwaptionMonthsToGo+SwaptionShift))/SQRT(SUM(INDEX($FK339:$ID339,1+SwaptionShift):INDEX($FK339:$ID339,SwaptionMonthsToGo+SwaptionShift))*SUM(INDEX($FK$325:$ID$396,HD$169,1+SwaptionShift):INDEX($FK$325:$ID$396,HD$169,SwaptionMonthsToGo+SwaptionShift))))))</f>
        <v/>
      </c>
      <c r="HE184" s="150" t="str">
        <f aca="false">IF(OR(HE$169&lt;SwaptionFirstMonthPosition+1,$FJ184&lt;SwaptionFirstMonthPosition+1,HE$169&gt;SwaptionFirstMonthPosition+SwaptionNumOfMonths+1,$FJ184&gt;SwaptionFirstMonthPosition+SwaptionNumOfMonths+1),"",IF($FJ184=HE$169,1,IF($FJ184&lt;HE$169,INDEX($FK$170:$ID$241,HE$169,$FJ184),SUMPRODUCT(INDEX($FK$325:$ID$396,HE$169,1+SwaptionShift):INDEX($FK$325:$ID$396,HE$169,SwaptionMonthsToGo+SwaptionShift),INDEX($FK$245:$ID$316,$FJ184-HE$169,73-HE$169+SwaptionShift):INDEX($FK$245:$ID$316,$FJ184-HE$169,72-HE$169+SwaptionMonthsToGo+SwaptionShift))/SQRT(SUM(INDEX($FK339:$ID339,1+SwaptionShift):INDEX($FK339:$ID339,SwaptionMonthsToGo+SwaptionShift))*SUM(INDEX($FK$325:$ID$396,HE$169,1+SwaptionShift):INDEX($FK$325:$ID$396,HE$169,SwaptionMonthsToGo+SwaptionShift))))))</f>
        <v/>
      </c>
      <c r="HF184" s="150" t="str">
        <f aca="false">IF(OR(HF$169&lt;SwaptionFirstMonthPosition+1,$FJ184&lt;SwaptionFirstMonthPosition+1,HF$169&gt;SwaptionFirstMonthPosition+SwaptionNumOfMonths+1,$FJ184&gt;SwaptionFirstMonthPosition+SwaptionNumOfMonths+1),"",IF($FJ184=HF$169,1,IF($FJ184&lt;HF$169,INDEX($FK$170:$ID$241,HF$169,$FJ184),SUMPRODUCT(INDEX($FK$325:$ID$396,HF$169,1+SwaptionShift):INDEX($FK$325:$ID$396,HF$169,SwaptionMonthsToGo+SwaptionShift),INDEX($FK$245:$ID$316,$FJ184-HF$169,73-HF$169+SwaptionShift):INDEX($FK$245:$ID$316,$FJ184-HF$169,72-HF$169+SwaptionMonthsToGo+SwaptionShift))/SQRT(SUM(INDEX($FK339:$ID339,1+SwaptionShift):INDEX($FK339:$ID339,SwaptionMonthsToGo+SwaptionShift))*SUM(INDEX($FK$325:$ID$396,HF$169,1+SwaptionShift):INDEX($FK$325:$ID$396,HF$169,SwaptionMonthsToGo+SwaptionShift))))))</f>
        <v/>
      </c>
      <c r="HG184" s="150" t="str">
        <f aca="false">IF(OR(HG$169&lt;SwaptionFirstMonthPosition+1,$FJ184&lt;SwaptionFirstMonthPosition+1,HG$169&gt;SwaptionFirstMonthPosition+SwaptionNumOfMonths+1,$FJ184&gt;SwaptionFirstMonthPosition+SwaptionNumOfMonths+1),"",IF($FJ184=HG$169,1,IF($FJ184&lt;HG$169,INDEX($FK$170:$ID$241,HG$169,$FJ184),SUMPRODUCT(INDEX($FK$325:$ID$396,HG$169,1+SwaptionShift):INDEX($FK$325:$ID$396,HG$169,SwaptionMonthsToGo+SwaptionShift),INDEX($FK$245:$ID$316,$FJ184-HG$169,73-HG$169+SwaptionShift):INDEX($FK$245:$ID$316,$FJ184-HG$169,72-HG$169+SwaptionMonthsToGo+SwaptionShift))/SQRT(SUM(INDEX($FK339:$ID339,1+SwaptionShift):INDEX($FK339:$ID339,SwaptionMonthsToGo+SwaptionShift))*SUM(INDEX($FK$325:$ID$396,HG$169,1+SwaptionShift):INDEX($FK$325:$ID$396,HG$169,SwaptionMonthsToGo+SwaptionShift))))))</f>
        <v/>
      </c>
      <c r="HH184" s="150" t="str">
        <f aca="false">IF(OR(HH$169&lt;SwaptionFirstMonthPosition+1,$FJ184&lt;SwaptionFirstMonthPosition+1,HH$169&gt;SwaptionFirstMonthPosition+SwaptionNumOfMonths+1,$FJ184&gt;SwaptionFirstMonthPosition+SwaptionNumOfMonths+1),"",IF($FJ184=HH$169,1,IF($FJ184&lt;HH$169,INDEX($FK$170:$ID$241,HH$169,$FJ184),SUMPRODUCT(INDEX($FK$325:$ID$396,HH$169,1+SwaptionShift):INDEX($FK$325:$ID$396,HH$169,SwaptionMonthsToGo+SwaptionShift),INDEX($FK$245:$ID$316,$FJ184-HH$169,73-HH$169+SwaptionShift):INDEX($FK$245:$ID$316,$FJ184-HH$169,72-HH$169+SwaptionMonthsToGo+SwaptionShift))/SQRT(SUM(INDEX($FK339:$ID339,1+SwaptionShift):INDEX($FK339:$ID339,SwaptionMonthsToGo+SwaptionShift))*SUM(INDEX($FK$325:$ID$396,HH$169,1+SwaptionShift):INDEX($FK$325:$ID$396,HH$169,SwaptionMonthsToGo+SwaptionShift))))))</f>
        <v/>
      </c>
      <c r="HI184" s="150" t="str">
        <f aca="false">IF(OR(HI$169&lt;SwaptionFirstMonthPosition+1,$FJ184&lt;SwaptionFirstMonthPosition+1,HI$169&gt;SwaptionFirstMonthPosition+SwaptionNumOfMonths+1,$FJ184&gt;SwaptionFirstMonthPosition+SwaptionNumOfMonths+1),"",IF($FJ184=HI$169,1,IF($FJ184&lt;HI$169,INDEX($FK$170:$ID$241,HI$169,$FJ184),SUMPRODUCT(INDEX($FK$325:$ID$396,HI$169,1+SwaptionShift):INDEX($FK$325:$ID$396,HI$169,SwaptionMonthsToGo+SwaptionShift),INDEX($FK$245:$ID$316,$FJ184-HI$169,73-HI$169+SwaptionShift):INDEX($FK$245:$ID$316,$FJ184-HI$169,72-HI$169+SwaptionMonthsToGo+SwaptionShift))/SQRT(SUM(INDEX($FK339:$ID339,1+SwaptionShift):INDEX($FK339:$ID339,SwaptionMonthsToGo+SwaptionShift))*SUM(INDEX($FK$325:$ID$396,HI$169,1+SwaptionShift):INDEX($FK$325:$ID$396,HI$169,SwaptionMonthsToGo+SwaptionShift))))))</f>
        <v/>
      </c>
      <c r="HJ184" s="150" t="str">
        <f aca="false">IF(OR(HJ$169&lt;SwaptionFirstMonthPosition+1,$FJ184&lt;SwaptionFirstMonthPosition+1,HJ$169&gt;SwaptionFirstMonthPosition+SwaptionNumOfMonths+1,$FJ184&gt;SwaptionFirstMonthPosition+SwaptionNumOfMonths+1),"",IF($FJ184=HJ$169,1,IF($FJ184&lt;HJ$169,INDEX($FK$170:$ID$241,HJ$169,$FJ184),SUMPRODUCT(INDEX($FK$325:$ID$396,HJ$169,1+SwaptionShift):INDEX($FK$325:$ID$396,HJ$169,SwaptionMonthsToGo+SwaptionShift),INDEX($FK$245:$ID$316,$FJ184-HJ$169,73-HJ$169+SwaptionShift):INDEX($FK$245:$ID$316,$FJ184-HJ$169,72-HJ$169+SwaptionMonthsToGo+SwaptionShift))/SQRT(SUM(INDEX($FK339:$ID339,1+SwaptionShift):INDEX($FK339:$ID339,SwaptionMonthsToGo+SwaptionShift))*SUM(INDEX($FK$325:$ID$396,HJ$169,1+SwaptionShift):INDEX($FK$325:$ID$396,HJ$169,SwaptionMonthsToGo+SwaptionShift))))))</f>
        <v/>
      </c>
      <c r="HK184" s="150" t="str">
        <f aca="false">IF(OR(HK$169&lt;SwaptionFirstMonthPosition+1,$FJ184&lt;SwaptionFirstMonthPosition+1,HK$169&gt;SwaptionFirstMonthPosition+SwaptionNumOfMonths+1,$FJ184&gt;SwaptionFirstMonthPosition+SwaptionNumOfMonths+1),"",IF($FJ184=HK$169,1,IF($FJ184&lt;HK$169,INDEX($FK$170:$ID$241,HK$169,$FJ184),SUMPRODUCT(INDEX($FK$325:$ID$396,HK$169,1+SwaptionShift):INDEX($FK$325:$ID$396,HK$169,SwaptionMonthsToGo+SwaptionShift),INDEX($FK$245:$ID$316,$FJ184-HK$169,73-HK$169+SwaptionShift):INDEX($FK$245:$ID$316,$FJ184-HK$169,72-HK$169+SwaptionMonthsToGo+SwaptionShift))/SQRT(SUM(INDEX($FK339:$ID339,1+SwaptionShift):INDEX($FK339:$ID339,SwaptionMonthsToGo+SwaptionShift))*SUM(INDEX($FK$325:$ID$396,HK$169,1+SwaptionShift):INDEX($FK$325:$ID$396,HK$169,SwaptionMonthsToGo+SwaptionShift))))))</f>
        <v/>
      </c>
      <c r="HL184" s="150" t="str">
        <f aca="false">IF(OR(HL$169&lt;SwaptionFirstMonthPosition+1,$FJ184&lt;SwaptionFirstMonthPosition+1,HL$169&gt;SwaptionFirstMonthPosition+SwaptionNumOfMonths+1,$FJ184&gt;SwaptionFirstMonthPosition+SwaptionNumOfMonths+1),"",IF($FJ184=HL$169,1,IF($FJ184&lt;HL$169,INDEX($FK$170:$ID$241,HL$169,$FJ184),SUMPRODUCT(INDEX($FK$325:$ID$396,HL$169,1+SwaptionShift):INDEX($FK$325:$ID$396,HL$169,SwaptionMonthsToGo+SwaptionShift),INDEX($FK$245:$ID$316,$FJ184-HL$169,73-HL$169+SwaptionShift):INDEX($FK$245:$ID$316,$FJ184-HL$169,72-HL$169+SwaptionMonthsToGo+SwaptionShift))/SQRT(SUM(INDEX($FK339:$ID339,1+SwaptionShift):INDEX($FK339:$ID339,SwaptionMonthsToGo+SwaptionShift))*SUM(INDEX($FK$325:$ID$396,HL$169,1+SwaptionShift):INDEX($FK$325:$ID$396,HL$169,SwaptionMonthsToGo+SwaptionShift))))))</f>
        <v/>
      </c>
      <c r="HM184" s="150" t="str">
        <f aca="false">IF(OR(HM$169&lt;SwaptionFirstMonthPosition+1,$FJ184&lt;SwaptionFirstMonthPosition+1,HM$169&gt;SwaptionFirstMonthPosition+SwaptionNumOfMonths+1,$FJ184&gt;SwaptionFirstMonthPosition+SwaptionNumOfMonths+1),"",IF($FJ184=HM$169,1,IF($FJ184&lt;HM$169,INDEX($FK$170:$ID$241,HM$169,$FJ184),SUMPRODUCT(INDEX($FK$325:$ID$396,HM$169,1+SwaptionShift):INDEX($FK$325:$ID$396,HM$169,SwaptionMonthsToGo+SwaptionShift),INDEX($FK$245:$ID$316,$FJ184-HM$169,73-HM$169+SwaptionShift):INDEX($FK$245:$ID$316,$FJ184-HM$169,72-HM$169+SwaptionMonthsToGo+SwaptionShift))/SQRT(SUM(INDEX($FK339:$ID339,1+SwaptionShift):INDEX($FK339:$ID339,SwaptionMonthsToGo+SwaptionShift))*SUM(INDEX($FK$325:$ID$396,HM$169,1+SwaptionShift):INDEX($FK$325:$ID$396,HM$169,SwaptionMonthsToGo+SwaptionShift))))))</f>
        <v/>
      </c>
      <c r="HN184" s="150" t="str">
        <f aca="false">IF(OR(HN$169&lt;SwaptionFirstMonthPosition+1,$FJ184&lt;SwaptionFirstMonthPosition+1,HN$169&gt;SwaptionFirstMonthPosition+SwaptionNumOfMonths+1,$FJ184&gt;SwaptionFirstMonthPosition+SwaptionNumOfMonths+1),"",IF($FJ184=HN$169,1,IF($FJ184&lt;HN$169,INDEX($FK$170:$ID$241,HN$169,$FJ184),SUMPRODUCT(INDEX($FK$325:$ID$396,HN$169,1+SwaptionShift):INDEX($FK$325:$ID$396,HN$169,SwaptionMonthsToGo+SwaptionShift),INDEX($FK$245:$ID$316,$FJ184-HN$169,73-HN$169+SwaptionShift):INDEX($FK$245:$ID$316,$FJ184-HN$169,72-HN$169+SwaptionMonthsToGo+SwaptionShift))/SQRT(SUM(INDEX($FK339:$ID339,1+SwaptionShift):INDEX($FK339:$ID339,SwaptionMonthsToGo+SwaptionShift))*SUM(INDEX($FK$325:$ID$396,HN$169,1+SwaptionShift):INDEX($FK$325:$ID$396,HN$169,SwaptionMonthsToGo+SwaptionShift))))))</f>
        <v/>
      </c>
      <c r="HO184" s="150" t="str">
        <f aca="false">IF(OR(HO$169&lt;SwaptionFirstMonthPosition+1,$FJ184&lt;SwaptionFirstMonthPosition+1,HO$169&gt;SwaptionFirstMonthPosition+SwaptionNumOfMonths+1,$FJ184&gt;SwaptionFirstMonthPosition+SwaptionNumOfMonths+1),"",IF($FJ184=HO$169,1,IF($FJ184&lt;HO$169,INDEX($FK$170:$ID$241,HO$169,$FJ184),SUMPRODUCT(INDEX($FK$325:$ID$396,HO$169,1+SwaptionShift):INDEX($FK$325:$ID$396,HO$169,SwaptionMonthsToGo+SwaptionShift),INDEX($FK$245:$ID$316,$FJ184-HO$169,73-HO$169+SwaptionShift):INDEX($FK$245:$ID$316,$FJ184-HO$169,72-HO$169+SwaptionMonthsToGo+SwaptionShift))/SQRT(SUM(INDEX($FK339:$ID339,1+SwaptionShift):INDEX($FK339:$ID339,SwaptionMonthsToGo+SwaptionShift))*SUM(INDEX($FK$325:$ID$396,HO$169,1+SwaptionShift):INDEX($FK$325:$ID$396,HO$169,SwaptionMonthsToGo+SwaptionShift))))))</f>
        <v/>
      </c>
      <c r="HP184" s="150" t="str">
        <f aca="false">IF(OR(HP$169&lt;SwaptionFirstMonthPosition+1,$FJ184&lt;SwaptionFirstMonthPosition+1,HP$169&gt;SwaptionFirstMonthPosition+SwaptionNumOfMonths+1,$FJ184&gt;SwaptionFirstMonthPosition+SwaptionNumOfMonths+1),"",IF($FJ184=HP$169,1,IF($FJ184&lt;HP$169,INDEX($FK$170:$ID$241,HP$169,$FJ184),SUMPRODUCT(INDEX($FK$325:$ID$396,HP$169,1+SwaptionShift):INDEX($FK$325:$ID$396,HP$169,SwaptionMonthsToGo+SwaptionShift),INDEX($FK$245:$ID$316,$FJ184-HP$169,73-HP$169+SwaptionShift):INDEX($FK$245:$ID$316,$FJ184-HP$169,72-HP$169+SwaptionMonthsToGo+SwaptionShift))/SQRT(SUM(INDEX($FK339:$ID339,1+SwaptionShift):INDEX($FK339:$ID339,SwaptionMonthsToGo+SwaptionShift))*SUM(INDEX($FK$325:$ID$396,HP$169,1+SwaptionShift):INDEX($FK$325:$ID$396,HP$169,SwaptionMonthsToGo+SwaptionShift))))))</f>
        <v/>
      </c>
      <c r="HQ184" s="150" t="str">
        <f aca="false">IF(OR(HQ$169&lt;SwaptionFirstMonthPosition+1,$FJ184&lt;SwaptionFirstMonthPosition+1,HQ$169&gt;SwaptionFirstMonthPosition+SwaptionNumOfMonths+1,$FJ184&gt;SwaptionFirstMonthPosition+SwaptionNumOfMonths+1),"",IF($FJ184=HQ$169,1,IF($FJ184&lt;HQ$169,INDEX($FK$170:$ID$241,HQ$169,$FJ184),SUMPRODUCT(INDEX($FK$325:$ID$396,HQ$169,1+SwaptionShift):INDEX($FK$325:$ID$396,HQ$169,SwaptionMonthsToGo+SwaptionShift),INDEX($FK$245:$ID$316,$FJ184-HQ$169,73-HQ$169+SwaptionShift):INDEX($FK$245:$ID$316,$FJ184-HQ$169,72-HQ$169+SwaptionMonthsToGo+SwaptionShift))/SQRT(SUM(INDEX($FK339:$ID339,1+SwaptionShift):INDEX($FK339:$ID339,SwaptionMonthsToGo+SwaptionShift))*SUM(INDEX($FK$325:$ID$396,HQ$169,1+SwaptionShift):INDEX($FK$325:$ID$396,HQ$169,SwaptionMonthsToGo+SwaptionShift))))))</f>
        <v/>
      </c>
      <c r="HR184" s="150" t="str">
        <f aca="false">IF(OR(HR$169&lt;SwaptionFirstMonthPosition+1,$FJ184&lt;SwaptionFirstMonthPosition+1,HR$169&gt;SwaptionFirstMonthPosition+SwaptionNumOfMonths+1,$FJ184&gt;SwaptionFirstMonthPosition+SwaptionNumOfMonths+1),"",IF($FJ184=HR$169,1,IF($FJ184&lt;HR$169,INDEX($FK$170:$ID$241,HR$169,$FJ184),SUMPRODUCT(INDEX($FK$325:$ID$396,HR$169,1+SwaptionShift):INDEX($FK$325:$ID$396,HR$169,SwaptionMonthsToGo+SwaptionShift),INDEX($FK$245:$ID$316,$FJ184-HR$169,73-HR$169+SwaptionShift):INDEX($FK$245:$ID$316,$FJ184-HR$169,72-HR$169+SwaptionMonthsToGo+SwaptionShift))/SQRT(SUM(INDEX($FK339:$ID339,1+SwaptionShift):INDEX($FK339:$ID339,SwaptionMonthsToGo+SwaptionShift))*SUM(INDEX($FK$325:$ID$396,HR$169,1+SwaptionShift):INDEX($FK$325:$ID$396,HR$169,SwaptionMonthsToGo+SwaptionShift))))))</f>
        <v/>
      </c>
      <c r="HS184" s="150" t="str">
        <f aca="false">IF(OR(HS$169&lt;SwaptionFirstMonthPosition+1,$FJ184&lt;SwaptionFirstMonthPosition+1,HS$169&gt;SwaptionFirstMonthPosition+SwaptionNumOfMonths+1,$FJ184&gt;SwaptionFirstMonthPosition+SwaptionNumOfMonths+1),"",IF($FJ184=HS$169,1,IF($FJ184&lt;HS$169,INDEX($FK$170:$ID$241,HS$169,$FJ184),SUMPRODUCT(INDEX($FK$325:$ID$396,HS$169,1+SwaptionShift):INDEX($FK$325:$ID$396,HS$169,SwaptionMonthsToGo+SwaptionShift),INDEX($FK$245:$ID$316,$FJ184-HS$169,73-HS$169+SwaptionShift):INDEX($FK$245:$ID$316,$FJ184-HS$169,72-HS$169+SwaptionMonthsToGo+SwaptionShift))/SQRT(SUM(INDEX($FK339:$ID339,1+SwaptionShift):INDEX($FK339:$ID339,SwaptionMonthsToGo+SwaptionShift))*SUM(INDEX($FK$325:$ID$396,HS$169,1+SwaptionShift):INDEX($FK$325:$ID$396,HS$169,SwaptionMonthsToGo+SwaptionShift))))))</f>
        <v/>
      </c>
      <c r="HT184" s="150" t="str">
        <f aca="false">IF(OR(HT$169&lt;SwaptionFirstMonthPosition+1,$FJ184&lt;SwaptionFirstMonthPosition+1,HT$169&gt;SwaptionFirstMonthPosition+SwaptionNumOfMonths+1,$FJ184&gt;SwaptionFirstMonthPosition+SwaptionNumOfMonths+1),"",IF($FJ184=HT$169,1,IF($FJ184&lt;HT$169,INDEX($FK$170:$ID$241,HT$169,$FJ184),SUMPRODUCT(INDEX($FK$325:$ID$396,HT$169,1+SwaptionShift):INDEX($FK$325:$ID$396,HT$169,SwaptionMonthsToGo+SwaptionShift),INDEX($FK$245:$ID$316,$FJ184-HT$169,73-HT$169+SwaptionShift):INDEX($FK$245:$ID$316,$FJ184-HT$169,72-HT$169+SwaptionMonthsToGo+SwaptionShift))/SQRT(SUM(INDEX($FK339:$ID339,1+SwaptionShift):INDEX($FK339:$ID339,SwaptionMonthsToGo+SwaptionShift))*SUM(INDEX($FK$325:$ID$396,HT$169,1+SwaptionShift):INDEX($FK$325:$ID$396,HT$169,SwaptionMonthsToGo+SwaptionShift))))))</f>
        <v/>
      </c>
      <c r="HU184" s="150" t="str">
        <f aca="false">IF(OR(HU$169&lt;SwaptionFirstMonthPosition+1,$FJ184&lt;SwaptionFirstMonthPosition+1,HU$169&gt;SwaptionFirstMonthPosition+SwaptionNumOfMonths+1,$FJ184&gt;SwaptionFirstMonthPosition+SwaptionNumOfMonths+1),"",IF($FJ184=HU$169,1,IF($FJ184&lt;HU$169,INDEX($FK$170:$ID$241,HU$169,$FJ184),SUMPRODUCT(INDEX($FK$325:$ID$396,HU$169,1+SwaptionShift):INDEX($FK$325:$ID$396,HU$169,SwaptionMonthsToGo+SwaptionShift),INDEX($FK$245:$ID$316,$FJ184-HU$169,73-HU$169+SwaptionShift):INDEX($FK$245:$ID$316,$FJ184-HU$169,72-HU$169+SwaptionMonthsToGo+SwaptionShift))/SQRT(SUM(INDEX($FK339:$ID339,1+SwaptionShift):INDEX($FK339:$ID339,SwaptionMonthsToGo+SwaptionShift))*SUM(INDEX($FK$325:$ID$396,HU$169,1+SwaptionShift):INDEX($FK$325:$ID$396,HU$169,SwaptionMonthsToGo+SwaptionShift))))))</f>
        <v/>
      </c>
      <c r="HV184" s="150" t="str">
        <f aca="false">IF(OR(HV$169&lt;SwaptionFirstMonthPosition+1,$FJ184&lt;SwaptionFirstMonthPosition+1,HV$169&gt;SwaptionFirstMonthPosition+SwaptionNumOfMonths+1,$FJ184&gt;SwaptionFirstMonthPosition+SwaptionNumOfMonths+1),"",IF($FJ184=HV$169,1,IF($FJ184&lt;HV$169,INDEX($FK$170:$ID$241,HV$169,$FJ184),SUMPRODUCT(INDEX($FK$325:$ID$396,HV$169,1+SwaptionShift):INDEX($FK$325:$ID$396,HV$169,SwaptionMonthsToGo+SwaptionShift),INDEX($FK$245:$ID$316,$FJ184-HV$169,73-HV$169+SwaptionShift):INDEX($FK$245:$ID$316,$FJ184-HV$169,72-HV$169+SwaptionMonthsToGo+SwaptionShift))/SQRT(SUM(INDEX($FK339:$ID339,1+SwaptionShift):INDEX($FK339:$ID339,SwaptionMonthsToGo+SwaptionShift))*SUM(INDEX($FK$325:$ID$396,HV$169,1+SwaptionShift):INDEX($FK$325:$ID$396,HV$169,SwaptionMonthsToGo+SwaptionShift))))))</f>
        <v/>
      </c>
      <c r="HW184" s="150" t="str">
        <f aca="false">IF(OR(HW$169&lt;SwaptionFirstMonthPosition+1,$FJ184&lt;SwaptionFirstMonthPosition+1,HW$169&gt;SwaptionFirstMonthPosition+SwaptionNumOfMonths+1,$FJ184&gt;SwaptionFirstMonthPosition+SwaptionNumOfMonths+1),"",IF($FJ184=HW$169,1,IF($FJ184&lt;HW$169,INDEX($FK$170:$ID$241,HW$169,$FJ184),SUMPRODUCT(INDEX($FK$325:$ID$396,HW$169,1+SwaptionShift):INDEX($FK$325:$ID$396,HW$169,SwaptionMonthsToGo+SwaptionShift),INDEX($FK$245:$ID$316,$FJ184-HW$169,73-HW$169+SwaptionShift):INDEX($FK$245:$ID$316,$FJ184-HW$169,72-HW$169+SwaptionMonthsToGo+SwaptionShift))/SQRT(SUM(INDEX($FK339:$ID339,1+SwaptionShift):INDEX($FK339:$ID339,SwaptionMonthsToGo+SwaptionShift))*SUM(INDEX($FK$325:$ID$396,HW$169,1+SwaptionShift):INDEX($FK$325:$ID$396,HW$169,SwaptionMonthsToGo+SwaptionShift))))))</f>
        <v/>
      </c>
      <c r="HX184" s="150" t="str">
        <f aca="false">IF(OR(HX$169&lt;SwaptionFirstMonthPosition+1,$FJ184&lt;SwaptionFirstMonthPosition+1,HX$169&gt;SwaptionFirstMonthPosition+SwaptionNumOfMonths+1,$FJ184&gt;SwaptionFirstMonthPosition+SwaptionNumOfMonths+1),"",IF($FJ184=HX$169,1,IF($FJ184&lt;HX$169,INDEX($FK$170:$ID$241,HX$169,$FJ184),SUMPRODUCT(INDEX($FK$325:$ID$396,HX$169,1+SwaptionShift):INDEX($FK$325:$ID$396,HX$169,SwaptionMonthsToGo+SwaptionShift),INDEX($FK$245:$ID$316,$FJ184-HX$169,73-HX$169+SwaptionShift):INDEX($FK$245:$ID$316,$FJ184-HX$169,72-HX$169+SwaptionMonthsToGo+SwaptionShift))/SQRT(SUM(INDEX($FK339:$ID339,1+SwaptionShift):INDEX($FK339:$ID339,SwaptionMonthsToGo+SwaptionShift))*SUM(INDEX($FK$325:$ID$396,HX$169,1+SwaptionShift):INDEX($FK$325:$ID$396,HX$169,SwaptionMonthsToGo+SwaptionShift))))))</f>
        <v/>
      </c>
      <c r="HY184" s="150" t="str">
        <f aca="false">IF(OR(HY$169&lt;SwaptionFirstMonthPosition+1,$FJ184&lt;SwaptionFirstMonthPosition+1,HY$169&gt;SwaptionFirstMonthPosition+SwaptionNumOfMonths+1,$FJ184&gt;SwaptionFirstMonthPosition+SwaptionNumOfMonths+1),"",IF($FJ184=HY$169,1,IF($FJ184&lt;HY$169,INDEX($FK$170:$ID$241,HY$169,$FJ184),SUMPRODUCT(INDEX($FK$325:$ID$396,HY$169,1+SwaptionShift):INDEX($FK$325:$ID$396,HY$169,SwaptionMonthsToGo+SwaptionShift),INDEX($FK$245:$ID$316,$FJ184-HY$169,73-HY$169+SwaptionShift):INDEX($FK$245:$ID$316,$FJ184-HY$169,72-HY$169+SwaptionMonthsToGo+SwaptionShift))/SQRT(SUM(INDEX($FK339:$ID339,1+SwaptionShift):INDEX($FK339:$ID339,SwaptionMonthsToGo+SwaptionShift))*SUM(INDEX($FK$325:$ID$396,HY$169,1+SwaptionShift):INDEX($FK$325:$ID$396,HY$169,SwaptionMonthsToGo+SwaptionShift))))))</f>
        <v/>
      </c>
      <c r="HZ184" s="150" t="str">
        <f aca="false">IF(OR(HZ$169&lt;SwaptionFirstMonthPosition+1,$FJ184&lt;SwaptionFirstMonthPosition+1,HZ$169&gt;SwaptionFirstMonthPosition+SwaptionNumOfMonths+1,$FJ184&gt;SwaptionFirstMonthPosition+SwaptionNumOfMonths+1),"",IF($FJ184=HZ$169,1,IF($FJ184&lt;HZ$169,INDEX($FK$170:$ID$241,HZ$169,$FJ184),SUMPRODUCT(INDEX($FK$325:$ID$396,HZ$169,1+SwaptionShift):INDEX($FK$325:$ID$396,HZ$169,SwaptionMonthsToGo+SwaptionShift),INDEX($FK$245:$ID$316,$FJ184-HZ$169,73-HZ$169+SwaptionShift):INDEX($FK$245:$ID$316,$FJ184-HZ$169,72-HZ$169+SwaptionMonthsToGo+SwaptionShift))/SQRT(SUM(INDEX($FK339:$ID339,1+SwaptionShift):INDEX($FK339:$ID339,SwaptionMonthsToGo+SwaptionShift))*SUM(INDEX($FK$325:$ID$396,HZ$169,1+SwaptionShift):INDEX($FK$325:$ID$396,HZ$169,SwaptionMonthsToGo+SwaptionShift))))))</f>
        <v/>
      </c>
      <c r="IA184" s="150" t="str">
        <f aca="false">IF(OR(IA$169&lt;SwaptionFirstMonthPosition+1,$FJ184&lt;SwaptionFirstMonthPosition+1,IA$169&gt;SwaptionFirstMonthPosition+SwaptionNumOfMonths+1,$FJ184&gt;SwaptionFirstMonthPosition+SwaptionNumOfMonths+1),"",IF($FJ184=IA$169,1,IF($FJ184&lt;IA$169,INDEX($FK$170:$ID$241,IA$169,$FJ184),SUMPRODUCT(INDEX($FK$325:$ID$396,IA$169,1+SwaptionShift):INDEX($FK$325:$ID$396,IA$169,SwaptionMonthsToGo+SwaptionShift),INDEX($FK$245:$ID$316,$FJ184-IA$169,73-IA$169+SwaptionShift):INDEX($FK$245:$ID$316,$FJ184-IA$169,72-IA$169+SwaptionMonthsToGo+SwaptionShift))/SQRT(SUM(INDEX($FK339:$ID339,1+SwaptionShift):INDEX($FK339:$ID339,SwaptionMonthsToGo+SwaptionShift))*SUM(INDEX($FK$325:$ID$396,IA$169,1+SwaptionShift):INDEX($FK$325:$ID$396,IA$169,SwaptionMonthsToGo+SwaptionShift))))))</f>
        <v/>
      </c>
      <c r="IB184" s="150" t="str">
        <f aca="false">IF(OR(IB$169&lt;SwaptionFirstMonthPosition+1,$FJ184&lt;SwaptionFirstMonthPosition+1,IB$169&gt;SwaptionFirstMonthPosition+SwaptionNumOfMonths+1,$FJ184&gt;SwaptionFirstMonthPosition+SwaptionNumOfMonths+1),"",IF($FJ184=IB$169,1,IF($FJ184&lt;IB$169,INDEX($FK$170:$ID$241,IB$169,$FJ184),SUMPRODUCT(INDEX($FK$325:$ID$396,IB$169,1+SwaptionShift):INDEX($FK$325:$ID$396,IB$169,SwaptionMonthsToGo+SwaptionShift),INDEX($FK$245:$ID$316,$FJ184-IB$169,73-IB$169+SwaptionShift):INDEX($FK$245:$ID$316,$FJ184-IB$169,72-IB$169+SwaptionMonthsToGo+SwaptionShift))/SQRT(SUM(INDEX($FK339:$ID339,1+SwaptionShift):INDEX($FK339:$ID339,SwaptionMonthsToGo+SwaptionShift))*SUM(INDEX($FK$325:$ID$396,IB$169,1+SwaptionShift):INDEX($FK$325:$ID$396,IB$169,SwaptionMonthsToGo+SwaptionShift))))))</f>
        <v/>
      </c>
      <c r="IC184" s="150" t="str">
        <f aca="false">IF(OR(IC$169&lt;SwaptionFirstMonthPosition+1,$FJ184&lt;SwaptionFirstMonthPosition+1,IC$169&gt;SwaptionFirstMonthPosition+SwaptionNumOfMonths+1,$FJ184&gt;SwaptionFirstMonthPosition+SwaptionNumOfMonths+1),"",IF($FJ184=IC$169,1,IF($FJ184&lt;IC$169,INDEX($FK$170:$ID$241,IC$169,$FJ184),SUMPRODUCT(INDEX($FK$325:$ID$396,IC$169,1+SwaptionShift):INDEX($FK$325:$ID$396,IC$169,SwaptionMonthsToGo+SwaptionShift),INDEX($FK$245:$ID$316,$FJ184-IC$169,73-IC$169+SwaptionShift):INDEX($FK$245:$ID$316,$FJ184-IC$169,72-IC$169+SwaptionMonthsToGo+SwaptionShift))/SQRT(SUM(INDEX($FK339:$ID339,1+SwaptionShift):INDEX($FK339:$ID339,SwaptionMonthsToGo+SwaptionShift))*SUM(INDEX($FK$325:$ID$396,IC$169,1+SwaptionShift):INDEX($FK$325:$ID$396,IC$169,SwaptionMonthsToGo+SwaptionShift))))))</f>
        <v/>
      </c>
      <c r="ID184" s="572" t="str">
        <f aca="false">IF(OR(ID$169&lt;SwaptionFirstMonthPosition+1,$FJ184&lt;SwaptionFirstMonthPosition+1,ID$169&gt;SwaptionFirstMonthPosition+SwaptionNumOfMonths+1,$FJ184&gt;SwaptionFirstMonthPosition+SwaptionNumOfMonths+1),"",IF($FJ184=ID$169,1,IF($FJ184&lt;ID$169,INDEX($FK$170:$ID$241,ID$169,$FJ184),SUMPRODUCT(INDEX($FK$325:$ID$396,ID$169,1+SwaptionShift):INDEX($FK$325:$ID$396,ID$169,SwaptionMonthsToGo+SwaptionShift),INDEX($FK$245:$ID$316,$FJ184-ID$169,73-ID$169+SwaptionShift):INDEX($FK$245:$ID$316,$FJ184-ID$169,72-ID$169+SwaptionMonthsToGo+SwaptionShift))/SQRT(SUM(INDEX($FK339:$ID339,1+SwaptionShift):INDEX($FK339:$ID339,SwaptionMonthsToGo+SwaptionShift))*SUM(INDEX($FK$325:$ID$396,ID$169,1+SwaptionShift):INDEX($FK$325:$ID$396,ID$169,SwaptionMonthsToGo+SwaptionShift))))))</f>
        <v/>
      </c>
      <c r="IE184" s="129"/>
    </row>
    <row r="185" customFormat="false" ht="12.75" hidden="false" customHeight="false" outlineLevel="0" collapsed="false">
      <c r="H185" s="219" t="n">
        <f aca="false">VLOOKUP(I185,$EJ$20:$EL$54,3)</f>
        <v>0</v>
      </c>
      <c r="I185" s="511" t="n">
        <f aca="false">EOMONTH(I184,0)+1</f>
        <v>41791</v>
      </c>
      <c r="J185" s="512"/>
      <c r="K185" s="513" t="s">
        <v>280</v>
      </c>
      <c r="L185" s="514" t="n">
        <f aca="false">IF(ISNUMBER(K185),J185+K185/100,IF(K185="extra",L184+VLOOKUP(BF185,PriceSpreadTable,2)/12,IF(K185="inter",interpolateprices($K$19:$L$200,ROW(K185)-ROW(FirstPricingMonth)+1),interpolatechanges($J$19:$K$200,ROW(K185)-ROW(FirstPricingMonth)+1))))</f>
        <v>3.33750000000001</v>
      </c>
      <c r="M185" s="515"/>
      <c r="N185" s="516" t="n">
        <v>0</v>
      </c>
      <c r="O185" s="515" t="n">
        <f aca="false">M185+N185</f>
        <v>0</v>
      </c>
      <c r="P185" s="512"/>
      <c r="Q185" s="513" t="s">
        <v>280</v>
      </c>
      <c r="R185" s="512" t="e">
        <f aca="false">IF(ISNUMBER(Q185),P185+Q185/100,IF(Q185="extra",(Z183*AL183-R184*AM183)/AN183,IF(Q185="inter",interpolateprices($Q$19:$R$260,ROW(Q185)-ROW(FirstPricingMonth)+1),interpolatechanges($P$19:$Q$260,ROW(Q185)-ROW(FirstPricingMonth)+1))))</f>
        <v>#VALUE!</v>
      </c>
      <c r="S185" s="597" t="n">
        <f aca="false">S$19+(S184-S$19)*S$18</f>
        <v>0.36</v>
      </c>
      <c r="T185" s="575" t="n">
        <f aca="false">SQRT((1-(1-T184^2/U184)*T$18)*U185)</f>
        <v>0.999999999999332</v>
      </c>
      <c r="U185" s="576" t="n">
        <f aca="false">1-(1-U184)*U$18</f>
        <v>1</v>
      </c>
      <c r="V185" s="521" t="n">
        <v>0</v>
      </c>
      <c r="W185" s="577" t="n">
        <f aca="false">(J186*AJ185+J187*AK185)/AI185</f>
        <v>0</v>
      </c>
      <c r="X185" s="578" t="n">
        <f aca="false">(L186*AJ185+L187*AK185)/AI185</f>
        <v>3.38571428571429</v>
      </c>
      <c r="Y185" s="579" t="n">
        <f aca="false">IF(Q187="extra",W185-AA185,(P186*AM185+P187*AN185)/AL185)</f>
        <v>-1.2915</v>
      </c>
      <c r="Z185" s="579" t="n">
        <f aca="false">IF(Q187="extra",X185-AB185,(R186*AM185+R187*AN185)/AL185)</f>
        <v>2.09421428571429</v>
      </c>
      <c r="AA185" s="523" t="n">
        <f aca="false">IF(Q187="extra",INDEX(BrentSeasonalityTable,INT((BG185-1)/3)+1)*VLOOKUP(MAX(BF185,$AB$4),PriceSpreadTable,3),W185-Y185)</f>
        <v>1.2915</v>
      </c>
      <c r="AB185" s="524" t="n">
        <f aca="false">IF(Q187="extra",INDEX(BrentSeasonalityTable,INT((BG185-1)/3)+1)*VLOOKUP(MAX(BF185,$AB$4),PriceSpreadTable,3),X185-Z185)</f>
        <v>1.2915</v>
      </c>
      <c r="AC185" s="646" t="n">
        <v>41779</v>
      </c>
      <c r="AD185" s="646" t="n">
        <v>41775</v>
      </c>
      <c r="AE185" s="646" t="n">
        <v>41774</v>
      </c>
      <c r="AF185" s="646" t="n">
        <v>41770</v>
      </c>
      <c r="AG185" s="438" t="s">
        <v>278</v>
      </c>
      <c r="AH185" s="439" t="s">
        <v>278</v>
      </c>
      <c r="AI185" s="528" t="n">
        <v>21</v>
      </c>
      <c r="AJ185" s="529" t="n">
        <v>15</v>
      </c>
      <c r="AK185" s="529" t="n">
        <v>6</v>
      </c>
      <c r="AL185" s="530" t="n">
        <v>21</v>
      </c>
      <c r="AM185" s="529" t="n">
        <v>10</v>
      </c>
      <c r="AN185" s="531" t="n">
        <v>11</v>
      </c>
      <c r="AO185" s="532"/>
      <c r="AP185" s="465" t="n">
        <f aca="false">(1+AO185/2)^(-2*BL185)</f>
        <v>1</v>
      </c>
      <c r="AQ185" s="532"/>
      <c r="AR185" s="465" t="n">
        <f aca="false">(1+AQ185/2)^(-2*BH185/365.25)</f>
        <v>1</v>
      </c>
      <c r="AS185" s="580" t="n">
        <f aca="false">(O186*AJ185+O187*AK185)/AI185</f>
        <v>0</v>
      </c>
      <c r="AT185" s="468" t="n">
        <f aca="false">O185*VLOOKUP(BF185,BrentVolTable,2)+VLOOKUP(BF185,BrentVolTable,3)</f>
        <v>0</v>
      </c>
      <c r="AU185" s="468" t="n">
        <f aca="false">(AT186*AM185+AT187*AN185)/AL185</f>
        <v>0</v>
      </c>
      <c r="AV185" s="595" t="n">
        <f aca="false">SQRT(MAX(0.000000000001,(O185^2*BH185-S185^2*(BH185-BH184))/BH184))</f>
        <v>0.0304982547151449</v>
      </c>
      <c r="AW185" s="451" t="n">
        <f aca="false">IF($I185-DateToday+15&gt;=$T$8,"",IF($I185-DateToday+15&lt;$T$5,1,MATCH($I185-DateToday+15,$T$5:$T$8)))</f>
        <v>1</v>
      </c>
      <c r="AX185" s="468" t="n">
        <f aca="false">IF($AW185="",AX184^2/AX183,INDEX(U$5:U$8,$AW185)^((INDEX($T$5:$T$8,$AW185+1)-($I185-DateToday+15))/(INDEX($T$5:$T$8,$AW185+1)-INDEX($T$5:$T$8,$AW185)))/INDEX(U$5:U$8,$AW185+1)^((INDEX($T$5:$T$8,$AW185)-($I185-DateToday+15))/(INDEX($T$5:$T$8,$AW185+1)-INDEX($T$5:$T$8,$AW185))))</f>
        <v>0.368966753139077</v>
      </c>
      <c r="AY185" s="468" t="n">
        <f aca="false">IF($AW185="",AY184^2/AY183,INDEX(V$5:V$8,$AW185)^((INDEX($T$5:$T$8,$AW185+1)-($I185-DateToday+15))/(INDEX($T$5:$T$8,$AW185+1)-INDEX($T$5:$T$8,$AW185)))/INDEX(V$5:V$8,$AW185+1)^((INDEX($T$5:$T$8,$AW185)-($I185-DateToday+15))/(INDEX($T$5:$T$8,$AW185+1)-INDEX($T$5:$T$8,$AW185))))</f>
        <v>5.00042313301136</v>
      </c>
      <c r="AZ185" s="468" t="n">
        <f aca="false">IF($AW185="",AZ184^2/AZ183,INDEX(W$5:W$8,$AW185)^((INDEX($T$5:$T$8,$AW185+1)-($I185-DateToday+15))/(INDEX($T$5:$T$8,$AW185+1)-INDEX($T$5:$T$8,$AW185)))/INDEX(W$5:W$8,$AW185+1)^((INDEX($T$5:$T$8,$AW185)-($I185-DateToday+15))/(INDEX($T$5:$T$8,$AW185+1)-INDEX($T$5:$T$8,$AW185))))</f>
        <v>893.386557004483</v>
      </c>
      <c r="BA185" s="468" t="n">
        <f aca="false">IF($AW185="",BA184^2/BA183,INDEX(X$5:X$8,$AW185)^((INDEX($T$5:$T$8,$AW185+1)-($I185-DateToday+15))/(INDEX($T$5:$T$8,$AW185+1)-INDEX($T$5:$T$8,$AW185)))/INDEX(X$5:X$8,$AW185+1)^((INDEX($T$5:$T$8,$AW185)-($I185-DateToday+15))/(INDEX($T$5:$T$8,$AW185+1)-INDEX($T$5:$T$8,$AW185))))</f>
        <v>3433.64517954211</v>
      </c>
      <c r="BB185" s="468" t="n">
        <f aca="false">IF($AW185="",BB184^2/BB183,INDEX(Y$5:Y$8,$AW185)^((INDEX($T$5:$T$8,$AW185+1)-($I185-DateToday+15))/(INDEX($T$5:$T$8,$AW185+1)-INDEX($T$5:$T$8,$AW185)))/INDEX(Y$5:Y$8,$AW185+1)^((INDEX($T$5:$T$8,$AW185)-($I185-DateToday+15))/(INDEX($T$5:$T$8,$AW185+1)-INDEX($T$5:$T$8,$AW185))))</f>
        <v>18540.4693758306</v>
      </c>
      <c r="BC185" s="468" t="n">
        <f aca="false">IF($AW185="",BC184^2/BC183,INDEX(Z$5:Z$8,$AW185)^((INDEX($T$5:$T$8,$AW185+1)-($I185-DateToday+15))/(INDEX($T$5:$T$8,$AW185+1)-INDEX($T$5:$T$8,$AW185)))/INDEX(Z$5:Z$8,$AW185+1)^((INDEX($T$5:$T$8,$AW185)-($I185-DateToday+15))/(INDEX($T$5:$T$8,$AW185+1)-INDEX($T$5:$T$8,$AW185))))</f>
        <v>51969.8928769621</v>
      </c>
      <c r="BD185" s="535" t="n">
        <f aca="false">IF(OR(DateStart&gt;=I186,DateEnd&lt;I185),0,IF(VolumeOverrideFlag,V185,Volume))</f>
        <v>0</v>
      </c>
      <c r="BE185" s="536" t="n">
        <f aca="false">IF(OR(DateStart2&gt;=I186,DateEnd2&lt;I185),0,IF(VolumeOverrideFlag,V185,VolumeSwaption))</f>
        <v>0</v>
      </c>
      <c r="BF185" s="537" t="n">
        <f aca="false">YEAR(I185)</f>
        <v>2014</v>
      </c>
      <c r="BG185" s="538" t="n">
        <f aca="false">MONTH(I185)</f>
        <v>6</v>
      </c>
      <c r="BH185" s="539" t="n">
        <f aca="false">AD185-DateToday+1</f>
        <v>-4150</v>
      </c>
      <c r="BI185" s="540" t="n">
        <f aca="false">(I185-DateToday+1)/365.25</f>
        <v>-11.3182751540041</v>
      </c>
      <c r="BJ185" s="541" t="n">
        <f aca="false">BI185+(BL185-BI185)*CHOOSE(Underlying,AJ185/AI185,AM185/AL185)</f>
        <v>-11.2615625305564</v>
      </c>
      <c r="BK185" s="541" t="n">
        <f aca="false">BJ185+1/365.25</f>
        <v>-11.2588246797692</v>
      </c>
      <c r="BL185" s="541" t="n">
        <f aca="false">(I186-DateToday)/365.25</f>
        <v>-11.2388774811773</v>
      </c>
      <c r="BM185" s="542" t="e">
        <f aca="false">MAX(BI185-(BJ185-BI185)*(S186^2/O186^2-1),0)</f>
        <v>#DIV/0!</v>
      </c>
      <c r="BN185" s="541" t="e">
        <f aca="false">MAX(BL185+(BL185-BK185)*(S187^2/O187^2-1),0)</f>
        <v>#DIV/0!</v>
      </c>
      <c r="BO185" s="530" t="n">
        <f aca="false">CHOOSE(Underlying,AI185,AL185)</f>
        <v>21</v>
      </c>
      <c r="BP185" s="529" t="n">
        <f aca="false">CHOOSE(Underlying,AJ185,AM185)</f>
        <v>15</v>
      </c>
      <c r="BQ185" s="529" t="n">
        <f aca="false">CHOOSE(Underlying,AK185,AN185)</f>
        <v>6</v>
      </c>
      <c r="BR185" s="463" t="str">
        <f aca="false">IF(BD185,IF(Underlying=1,X185,Z185)+UnderlyingPriceAsian-SwapPriceCurve,"")</f>
        <v/>
      </c>
      <c r="BS185" s="463" t="str">
        <f aca="false">IF(BD185,Strike1/BR185-1,"")</f>
        <v/>
      </c>
      <c r="BT185" s="464" t="str">
        <f aca="false">IF(BD185,Strike2/BR185-1,"")</f>
        <v/>
      </c>
      <c r="BU185" s="465" t="str">
        <f aca="false">IF(BD185,IF(Underlying=1,L186,R186)+UnderlyingPriceAsian-SwapPriceCurve,"")</f>
        <v/>
      </c>
      <c r="BV185" s="465" t="str">
        <f aca="false">IF(BD185,IF(Underlying=1,L187,R187)+UnderlyingPriceAsian-SwapPriceCurve,"")</f>
        <v/>
      </c>
      <c r="BW185" s="466" t="str">
        <f aca="false">IF(BD185,IF(Underlying=1,O186,AT186),"")</f>
        <v/>
      </c>
      <c r="BX185" s="467" t="str">
        <f aca="false">IF(BD185,IF(Underlying=1,O187,AT187),"")</f>
        <v/>
      </c>
      <c r="BY185" s="466" t="str">
        <f aca="false">IF(BD185,IF(BS185&gt;0,IF(BS185&gt;0.2,BC185-BB185,IF(BS185&gt;0.1,BB185-BA185,BA185)),IF(BS185&lt;-0.2,AX185-AY185,IF(BS185&lt;-0.1,AY185-AZ185,AZ185))),"")</f>
        <v/>
      </c>
      <c r="BZ185" s="467" t="str">
        <f aca="false">IF(BD185,IF(BT185&gt;0,IF(BT185&gt;0.2,BC185-BB185,IF(BT185&gt;0.1,BB185-BA185,BA185)),IF(BT185&lt;-0.2,AX185-AY185,IF(BT185&lt;-0.1,AY185-AZ185,AZ185))),"")</f>
        <v/>
      </c>
      <c r="CA185" s="468" t="str">
        <f aca="false">IF($BD185,$BW185+IF(VolSkewFlag=1,IF(BS185&gt;0,$BA185*MIN(BS185/10%,1)+($BB185-$BA185)*MAX(0,MIN(BS185/10%-1,1))+($BC185-$BB185)*MAX(0,BS185/10%-2),$AZ185*MIN(-BS185/10%,1)+($AY185-$AZ185)*MAX(0,MIN(-BS185/10%-1,1))+($AX185-$AY185)*MAX(0,-BS185/10%-2)),0),"")</f>
        <v/>
      </c>
      <c r="CB185" s="468" t="str">
        <f aca="false">IF($BD185,$BX185+IF(VolSkewFlag=1,IF(BS185&gt;0,$BA185*MIN(BS185/10%,1)+($BB185-$BA185)*MAX(0,MIN(BS185/10%-1,1))+($BC185-$BB185)*MAX(0,BS185/10%-2),$AZ185*MIN(-BS185/10%,1)+($AY185-$AZ185)*MAX(0,MIN(-BS185/10%-1,1))+($AX185-$AY185)*MAX(0,-BS185/10%-2)),0),"")</f>
        <v/>
      </c>
      <c r="CC185" s="468" t="str">
        <f aca="false">IF($BD185,$BW185+IF(VolSkewFlag=1,IF(BT185&gt;0,$BA185*MIN(BT185/10%,1)+($BB185-$BA185)*MAX(0,MIN(BT185/10%-1,1))+($BC185-$BB185)*MAX(0,BT185/10%-2),$AZ185*MIN(-BT185/10%,1)+($AY185-$AZ185)*MAX(0,MIN(-BT185/10%-1,1))+($AX185-$AY185)*MAX(0,-BT185/10%-2)),0),"")</f>
        <v/>
      </c>
      <c r="CD185" s="468" t="str">
        <f aca="false">IF($BD185,$BX185+IF(VolSkewFlag=1,IF(BT185&gt;0,$BA185*MIN(BT185/10%,1)+($BB185-$BA185)*MAX(0,MIN(BT185/10%-1,1))+($BC185-$BB185)*MAX(0,BT185/10%-2),$AZ185*MIN(-BT185/10%,1)+($AY185-$AZ185)*MAX(0,MIN(-BT185/10%-1,1))+($AX185-$AY185)*MAX(0,-BT185/10%-2)),0),"")</f>
        <v/>
      </c>
      <c r="CE185" s="469" t="n">
        <v>1</v>
      </c>
      <c r="CF185" s="470" t="n">
        <f aca="false">IF(BD185,xCrudeAPO(BU185,BV185,CA185,CB185,S186,S187,BI185,BL185,BP185,BQ185,0,Strike1,AO185,CE185,0,BL185,IF(OptControl=4,0,1),0,1),0)</f>
        <v>0</v>
      </c>
      <c r="CG185" s="470" t="n">
        <f aca="false">IF(BD185,xCrudeAPO(BU185,BV185,CA185,CB185,S186,S187,BI185,BL185,BP185,BQ185,0,Strike1,AO185,CE185,0,BL185,IF(OptControl=4,0,1),1,1)+xCrudeAPO(BU185,BV185,CA185,CB185,S186,S187,BI185,BL185,BP185,BQ185,0,Strike1,AO185,CE185,0,BL185,IF(OptControl=4,0,1),1,2)+IF(OR(VolSkewFlag=2,ABS(BS185)&lt;0.0001),0,IF(BS185&gt;0,-1,1)*CH185*Strike1/BR185^2*BY185/10%),0)</f>
        <v>0</v>
      </c>
      <c r="CH185" s="470" t="n">
        <f aca="false">IF(BD185,(xCrudeAPO(BU185,BV185,CA185,CB185,S186,S187,BI185,BL185,BP185,BQ185,0,Strike1,AO185,CE185,0,BL185,IF(OptControl=4,0,1),3,1)+xCrudeAPO(BU185,BV185,CA185,CB185,S186,S187,BI185,BL185,BP185,BQ185,0,Strike1,AO185,CE185,0,BL185,IF(OptControl=4,0,1),3,2))/100,0)</f>
        <v>0</v>
      </c>
      <c r="CI185" s="470" t="n">
        <f aca="false">IF(BD185,xCrudeAPO(BU185,BV185,CA185,CB185,S186,S187,BI185-DaysForThetaCalculation/365.25,BL185-DaysForThetaCalculation/365.25,BP185,BQ185,0,Strike1,AO185,CE185,0,BL185,IF(OptControl=4,0,1),0,1)-xCrudeAPO(BU185,BV185,CA185,CB185,S186,S187,BI185,BL185,BP185,BQ185,0,Strike1,AO185,CE185,0,BL185,IF(OptControl=4,0,1),0,1),0)</f>
        <v>0</v>
      </c>
      <c r="CJ185" s="471" t="n">
        <f aca="false">IF(BD185,xCrudeAPO(BU185,BV185,CC185,CD185,S186,S187,BI185,BL185,BP185,BQ185,0,Strike2,AO185,CE185,0,BL185,IF(OptControl=3,1,0),0,1),0)</f>
        <v>0</v>
      </c>
      <c r="CK185" s="470" t="n">
        <f aca="false">IF(BD185,xCrudeAPO(BU185,BV185,CC185,CD185,S186,S187,BI185,BL185,BP185,BQ185,0,Strike2,AO185,CE185,0,BL185,IF(OptControl=3,1,0),1,1)+xCrudeAPO(BU185,BV185,CC185,CD185,S186,S187,BI185,BL185,BP185,BQ185,0,Strike2,AO185,CE185,0,BL185,IF(OptControl=3,1,0),1,2)+IF(OR(VolSkewFlag=2,ABS(BT185)&lt;0.0001),0,IF(BT185&gt;0,-1,1)*CL185*Strike2/BR185^2*BZ185/10%),0)</f>
        <v>0</v>
      </c>
      <c r="CL185" s="470" t="n">
        <f aca="false">IF(BD185,(xCrudeAPO(BU185,BV185,CC185,CD185,S186,S187,BI185,BL185,BP185,BQ185,0,Strike2,AO185,CE185,0,BL185,IF(OptControl=3,1,0),3,1)+xCrudeAPO(BU185,BV185,CC185,CD185,S186,S187,BI185,BL185,BP185,BQ185,0,Strike2,AO185,CE185,0,BL185,IF(OptControl=3,1,0),3,2))/100,0)</f>
        <v>0</v>
      </c>
      <c r="CM185" s="472" t="n">
        <f aca="false">IF(BD185,xCrudeAPO(BU185,BV185,CC185,CD185,S186,S187,BI185-DaysForThetaCalculation/365.25,BL185-DaysForThetaCalculation/365.25,BP185,BQ185,0,Strike2,AO185,CE185,0,BL185,IF(OptControl=3,1,0),0,1)-xCrudeAPO(BU185,BV185,CC185,CD185,S186,S187,BI185,BL185,BP185,BQ185,0,Strike2,AO185,CE185,0,BL185,IF(OptControl=3,1,0),0,1),0)</f>
        <v>0</v>
      </c>
      <c r="CN185" s="3"/>
      <c r="CO185" s="543" t="str">
        <f aca="false">IF(BD185,CHOOSE(Underlying,AD185,AF185)-DateToday+1,"")</f>
        <v/>
      </c>
      <c r="CP185" s="582" t="str">
        <f aca="false">IF(BD185,CHOOSE(Underlying,L185,R185),"")</f>
        <v/>
      </c>
      <c r="CQ185" s="544" t="str">
        <f aca="false">IF(BD185,Strike1/CP185-1,"")</f>
        <v/>
      </c>
      <c r="CR185" s="544" t="str">
        <f aca="false">IF(BD185,Strike2/CP185-1,"")</f>
        <v/>
      </c>
      <c r="CS185" s="544" t="str">
        <f aca="false">IF(BD185,IF(CQ185&gt;0,IF(CQ185&gt;0.2,BC184-BB184,IF(CQ185&gt;0.1,BB184-BA184,BA184)),IF(CQ185&lt;-0.2,AX184-AY184,IF(CQ185&lt;-0.1,AY184-AZ184,AZ184))),"")</f>
        <v/>
      </c>
      <c r="CT185" s="544" t="str">
        <f aca="false">IF(BD185,IF(CR185&gt;0,IF(CR185&gt;0.2,BC184-BB184,IF(CR185&gt;0.1,BB184-BA184,BA184)),IF(CR185&lt;-0.2,AX184-AY184,IF(CR185&lt;-0.1,AY184-AZ184,AZ184))),"")</f>
        <v/>
      </c>
      <c r="CU185" s="545" t="str">
        <f aca="false">IF(BD185,CHOOSE(Underlying,O185,AT185),"")</f>
        <v/>
      </c>
      <c r="CV185" s="545" t="str">
        <f aca="false">IF(BD185,CU185+IF(VolSkewFlag=1,IF(CQ185&gt;0,BA184*MIN(CQ185/10%,1)+(BB184-BA184)*MAX(0,MIN(CQ185/10%-1,1))+(BC184-BB184)*MAX(0,CQ185/10%-2),AZ184*MIN(-CQ185/10%,1)+(AY184-AZ184)*MAX(0,MIN(-CQ185/10%-1,1))+(AX184-AY184)*MAX(0,-CQ185/10%-2)),0),"")</f>
        <v/>
      </c>
      <c r="CW185" s="545" t="str">
        <f aca="false">IF(BD185,CU185+IF(VolSkewFlag=1,IF(CR185&gt;0,BA184*MIN(CR185/10%,1)+(BB184-BA184)*MAX(0,MIN(CR185/10%-1,1))+(BC184-BB184)*MAX(0,CR185/10%-2),AZ184*MIN(-CR185/10%,1)+(AY184-AZ184)*MAX(0,MIN(-CR185/10%-1,1))+(AX184-AY184)*MAX(0,-CR185/10%-2)),0),"")</f>
        <v/>
      </c>
      <c r="CX185" s="470" t="n">
        <f aca="false">IF(BD185,EURO(CP185,Strike1,AO185,AO185,CV185,CO185,IF(OptControl=4,0,1),0),0)</f>
        <v>0</v>
      </c>
      <c r="CY185" s="470" t="n">
        <f aca="false">IF(BD185,EURO(CP185,Strike1,AO185,AO185,CV185,CO185,IF(OptControl=4,0,1),1)+IF(OR(VolSkewFlag=2,ABS(CQ185)&lt;0.0001),0,IF(CQ185&gt;0,-1,1)*CZ185*100*Strike1/CP185^2*CS185/10%),0)</f>
        <v>0</v>
      </c>
      <c r="CZ185" s="470" t="n">
        <f aca="false">IF(BD185,EURO(CP185,Strike1,AO185,AO185,CV185,CO185,IF(OptControl=4,0,1),3)/100,0)</f>
        <v>0</v>
      </c>
      <c r="DA185" s="470" t="n">
        <f aca="false">IF(BD185,EURO(CP185,Strike1,AO185,AO185,CV185,CO185,IF(OptControl=4,0,1),0)-EURO(CP185,Strike1,AO185,AO185,CV185,CO185-1,IF(OptControl=4,0,1),0),0)</f>
        <v>0</v>
      </c>
      <c r="DB185" s="470" t="n">
        <f aca="false">IF(BD185,EURO(CP185,Strike2,AO185,AO185,CW185,CO185,IF(OptControl=3,1,0),0),0)</f>
        <v>0</v>
      </c>
      <c r="DC185" s="470" t="n">
        <f aca="false">IF(BD185,EURO(CP185,Strike2,AO185,AO185,CW185,CO185,IF(OptControl=3,1,0),1)+IF(OR(VolSkewFlag=2,ABS(CR185)&lt;0.0001),0,IF(CR185&gt;0,-1,1)*DD185*100*Strike2/CP185^2*CT185/10%),0)</f>
        <v>0</v>
      </c>
      <c r="DD185" s="470" t="n">
        <f aca="false">IF(BD185,EURO(CP185,Strike2,AO185,AO185,CW185,CO185,IF(OptControl=3,1,0),3)/100,0)</f>
        <v>0</v>
      </c>
      <c r="DE185" s="472" t="n">
        <f aca="false">IF(BD185,EURO(CP185,Strike2,AO185,AO185,CW185,CO185,IF(OptControl=3,1,0),0)-EURO(CP185,Strike2,AO185,AO185,CW185,CO185-1,IF(OptControl=3,1,0),0),0)</f>
        <v>0</v>
      </c>
      <c r="DG185" s="481" t="n">
        <f aca="false">EOMONTH(DG184,0)+1</f>
        <v>50710</v>
      </c>
      <c r="DH185" s="478" t="n">
        <v>22.4100000000001</v>
      </c>
      <c r="DI185" s="479" t="n">
        <v>22.4766666666667</v>
      </c>
      <c r="DJ185" s="480" t="n">
        <f aca="false">DG185</f>
        <v>50710</v>
      </c>
      <c r="DK185" s="478" t="n">
        <v>21.1973094154643</v>
      </c>
      <c r="DL185" s="479" t="n">
        <v>21.2835666666667</v>
      </c>
      <c r="DM185" s="481" t="n">
        <f aca="false">DG185</f>
        <v>50710</v>
      </c>
      <c r="DN185" s="482" t="n">
        <f aca="false">DK185+BrentPhyBrentSpread</f>
        <v>21.2473094154643</v>
      </c>
      <c r="DO185" s="481" t="n">
        <f aca="false">DG185</f>
        <v>50710</v>
      </c>
      <c r="DP185" s="483" t="n">
        <f aca="false">DL185+DQ185</f>
        <v>21.2835666666667</v>
      </c>
      <c r="DQ185" s="546" t="n">
        <v>0</v>
      </c>
      <c r="DR185" s="480" t="n">
        <f aca="false">DG185</f>
        <v>50710</v>
      </c>
      <c r="DS185" s="485" t="n">
        <v>0.125599999999998</v>
      </c>
      <c r="DT185" s="486" t="n">
        <v>0.124799999999998</v>
      </c>
      <c r="DU185" s="480" t="n">
        <f aca="false">DG185</f>
        <v>50710</v>
      </c>
      <c r="DV185" s="485" t="n">
        <v>0.125599999999998</v>
      </c>
      <c r="DW185" s="486" t="n">
        <v>0.124799999999998</v>
      </c>
      <c r="DX185" s="481" t="n">
        <f aca="false">DG185</f>
        <v>50710</v>
      </c>
      <c r="DY185" s="486" t="n">
        <v>0.35</v>
      </c>
      <c r="DZ185" s="481" t="n">
        <f aca="false">DR185</f>
        <v>50710</v>
      </c>
      <c r="EA185" s="486" t="n">
        <f aca="false">DT185</f>
        <v>0.124799999999998</v>
      </c>
      <c r="EB185" s="195"/>
      <c r="EC185" s="547" t="str">
        <f aca="false">IF(BD185,IF(Underlying=1,AS185,AU185),"")</f>
        <v/>
      </c>
      <c r="ED185" s="548" t="str">
        <f aca="false">IF($BD185,$EC185+IF(VolSkewFlag=1,IF(BS185&gt;0,$BA185*MIN(BS185/10%,1)+($BB185-$BA185)*MAX(0,MIN(BS185/10%-1,1))+($BC185-$BB185)*MAX(0,BS185/10%-2),$AZ185*MIN(-BS185/10%,1)+($AY185-$AZ185)*MAX(0,MIN(-BS185/10%-1,1))+($AX185-$AY185)*MAX(0,-BS185/10%-2)),0),"")</f>
        <v/>
      </c>
      <c r="EE185" s="549" t="str">
        <f aca="false">IF($BD185,$EC185+IF(VolSkewFlag=1,IF(BT185&gt;0,$BA185*MIN(BT185/10%,1)+($BB185-$BA185)*MAX(0,MIN(BT185/10%-1,1))+($BC185-$BB185)*MAX(0,BT185/10%-2),$AZ185*MIN(-BT185/10%,1)+($AY185-$AZ185)*MAX(0,MIN(-BT185/10%-1,1))+($AX185-$AY185)*MAX(0,-BT185/10%-2)),0),"")</f>
        <v/>
      </c>
      <c r="EF185" s="550" t="n">
        <f aca="false">IF(BD185,xASN(BR185,Strike1,AO185,ED185,0,BO185,0,BI185,BL185,IF(OptControl=4,0,1),0),0)</f>
        <v>0</v>
      </c>
      <c r="EG185" s="551" t="n">
        <f aca="false">IF(BD185,xASN(BR185,Strike2,AO185,EE185,0,BO185,0,BI185,BL185,IF(OptControl=3,1,0),0),0)</f>
        <v>0</v>
      </c>
      <c r="EL185" s="1"/>
      <c r="EM185" s="195"/>
      <c r="EN185" s="240"/>
      <c r="EO185" s="240"/>
      <c r="EP185" s="195"/>
      <c r="EQ185" s="407" t="s">
        <v>413</v>
      </c>
      <c r="ES185" s="130"/>
      <c r="ET185" s="19"/>
      <c r="EU185" s="672"/>
      <c r="EV185" s="478"/>
      <c r="EW185" s="131"/>
      <c r="EX185" s="131"/>
      <c r="EY185" s="129"/>
      <c r="EZ185" s="129"/>
      <c r="FA185" s="129"/>
      <c r="FB185" s="129"/>
      <c r="FC185" s="129"/>
      <c r="FD185" s="129"/>
      <c r="FE185" s="129"/>
      <c r="FF185" s="129"/>
      <c r="FG185" s="129"/>
      <c r="FH185" s="129"/>
      <c r="FI185" s="129"/>
      <c r="FJ185" s="571" t="n">
        <v>16</v>
      </c>
      <c r="FK185" s="150" t="str">
        <f aca="false">IF(OR(FK$169&lt;SwaptionFirstMonthPosition+1,$FJ185&lt;SwaptionFirstMonthPosition+1,FK$169&gt;SwaptionFirstMonthPosition+SwaptionNumOfMonths+1,$FJ185&gt;SwaptionFirstMonthPosition+SwaptionNumOfMonths+1),"",IF($FJ185=FK$169,1,IF($FJ185&lt;FK$169,INDEX($FK$170:$ID$241,FK$169,$FJ185),SUMPRODUCT(INDEX($FK$325:$ID$396,FK$169,1+SwaptionShift):INDEX($FK$325:$ID$396,FK$169,SwaptionMonthsToGo+SwaptionShift),INDEX($FK$245:$ID$316,$FJ185-FK$169,73-FK$169+SwaptionShift):INDEX($FK$245:$ID$316,$FJ185-FK$169,72-FK$169+SwaptionMonthsToGo+SwaptionShift))/SQRT(SUM(INDEX($FK340:$ID340,1+SwaptionShift):INDEX($FK340:$ID340,SwaptionMonthsToGo+SwaptionShift))*SUM(INDEX($FK$325:$ID$396,FK$169,1+SwaptionShift):INDEX($FK$325:$ID$396,FK$169,SwaptionMonthsToGo+SwaptionShift))))))</f>
        <v/>
      </c>
      <c r="FL185" s="150" t="str">
        <f aca="false">IF(OR(FL$169&lt;SwaptionFirstMonthPosition+1,$FJ185&lt;SwaptionFirstMonthPosition+1,FL$169&gt;SwaptionFirstMonthPosition+SwaptionNumOfMonths+1,$FJ185&gt;SwaptionFirstMonthPosition+SwaptionNumOfMonths+1),"",IF($FJ185=FL$169,1,IF($FJ185&lt;FL$169,INDEX($FK$170:$ID$241,FL$169,$FJ185),SUMPRODUCT(INDEX($FK$325:$ID$396,FL$169,1+SwaptionShift):INDEX($FK$325:$ID$396,FL$169,SwaptionMonthsToGo+SwaptionShift),INDEX($FK$245:$ID$316,$FJ185-FL$169,73-FL$169+SwaptionShift):INDEX($FK$245:$ID$316,$FJ185-FL$169,72-FL$169+SwaptionMonthsToGo+SwaptionShift))/SQRT(SUM(INDEX($FK340:$ID340,1+SwaptionShift):INDEX($FK340:$ID340,SwaptionMonthsToGo+SwaptionShift))*SUM(INDEX($FK$325:$ID$396,FL$169,1+SwaptionShift):INDEX($FK$325:$ID$396,FL$169,SwaptionMonthsToGo+SwaptionShift))))))</f>
        <v/>
      </c>
      <c r="FM185" s="150" t="str">
        <f aca="false">IF(OR(FM$169&lt;SwaptionFirstMonthPosition+1,$FJ185&lt;SwaptionFirstMonthPosition+1,FM$169&gt;SwaptionFirstMonthPosition+SwaptionNumOfMonths+1,$FJ185&gt;SwaptionFirstMonthPosition+SwaptionNumOfMonths+1),"",IF($FJ185=FM$169,1,IF($FJ185&lt;FM$169,INDEX($FK$170:$ID$241,FM$169,$FJ185),SUMPRODUCT(INDEX($FK$325:$ID$396,FM$169,1+SwaptionShift):INDEX($FK$325:$ID$396,FM$169,SwaptionMonthsToGo+SwaptionShift),INDEX($FK$245:$ID$316,$FJ185-FM$169,73-FM$169+SwaptionShift):INDEX($FK$245:$ID$316,$FJ185-FM$169,72-FM$169+SwaptionMonthsToGo+SwaptionShift))/SQRT(SUM(INDEX($FK340:$ID340,1+SwaptionShift):INDEX($FK340:$ID340,SwaptionMonthsToGo+SwaptionShift))*SUM(INDEX($FK$325:$ID$396,FM$169,1+SwaptionShift):INDEX($FK$325:$ID$396,FM$169,SwaptionMonthsToGo+SwaptionShift))))))</f>
        <v/>
      </c>
      <c r="FN185" s="150" t="str">
        <f aca="false">IF(OR(FN$169&lt;SwaptionFirstMonthPosition+1,$FJ185&lt;SwaptionFirstMonthPosition+1,FN$169&gt;SwaptionFirstMonthPosition+SwaptionNumOfMonths+1,$FJ185&gt;SwaptionFirstMonthPosition+SwaptionNumOfMonths+1),"",IF($FJ185=FN$169,1,IF($FJ185&lt;FN$169,INDEX($FK$170:$ID$241,FN$169,$FJ185),SUMPRODUCT(INDEX($FK$325:$ID$396,FN$169,1+SwaptionShift):INDEX($FK$325:$ID$396,FN$169,SwaptionMonthsToGo+SwaptionShift),INDEX($FK$245:$ID$316,$FJ185-FN$169,73-FN$169+SwaptionShift):INDEX($FK$245:$ID$316,$FJ185-FN$169,72-FN$169+SwaptionMonthsToGo+SwaptionShift))/SQRT(SUM(INDEX($FK340:$ID340,1+SwaptionShift):INDEX($FK340:$ID340,SwaptionMonthsToGo+SwaptionShift))*SUM(INDEX($FK$325:$ID$396,FN$169,1+SwaptionShift):INDEX($FK$325:$ID$396,FN$169,SwaptionMonthsToGo+SwaptionShift))))))</f>
        <v/>
      </c>
      <c r="FO185" s="150" t="str">
        <f aca="false">IF(OR(FO$169&lt;SwaptionFirstMonthPosition+1,$FJ185&lt;SwaptionFirstMonthPosition+1,FO$169&gt;SwaptionFirstMonthPosition+SwaptionNumOfMonths+1,$FJ185&gt;SwaptionFirstMonthPosition+SwaptionNumOfMonths+1),"",IF($FJ185=FO$169,1,IF($FJ185&lt;FO$169,INDEX($FK$170:$ID$241,FO$169,$FJ185),SUMPRODUCT(INDEX($FK$325:$ID$396,FO$169,1+SwaptionShift):INDEX($FK$325:$ID$396,FO$169,SwaptionMonthsToGo+SwaptionShift),INDEX($FK$245:$ID$316,$FJ185-FO$169,73-FO$169+SwaptionShift):INDEX($FK$245:$ID$316,$FJ185-FO$169,72-FO$169+SwaptionMonthsToGo+SwaptionShift))/SQRT(SUM(INDEX($FK340:$ID340,1+SwaptionShift):INDEX($FK340:$ID340,SwaptionMonthsToGo+SwaptionShift))*SUM(INDEX($FK$325:$ID$396,FO$169,1+SwaptionShift):INDEX($FK$325:$ID$396,FO$169,SwaptionMonthsToGo+SwaptionShift))))))</f>
        <v/>
      </c>
      <c r="FP185" s="150" t="e">
        <f aca="false">IF(OR(FP$169&lt;SwaptionFirstMonthPosition+1,$FJ185&lt;SwaptionFirstMonthPosition+1,FP$169&gt;SwaptionFirstMonthPosition+SwaptionNumOfMonths+1,$FJ185&gt;SwaptionFirstMonthPosition+SwaptionNumOfMonths+1),"",IF($FJ185=FP$169,1,IF($FJ185&lt;FP$169,INDEX($FK$170:$ID$241,FP$169,$FJ185),SUMPRODUCT(INDEX($FK$325:$ID$396,FP$169,1+SwaptionShift):INDEX($FK$325:$ID$396,FP$169,SwaptionMonthsToGo+SwaptionShift),INDEX($FK$245:$ID$316,$FJ185-FP$169,73-FP$169+SwaptionShift):INDEX($FK$245:$ID$316,$FJ185-FP$169,72-FP$169+SwaptionMonthsToGo+SwaptionShift))/SQRT(SUM(INDEX($FK340:$ID340,1+SwaptionShift):INDEX($FK340:$ID340,SwaptionMonthsToGo+SwaptionShift))*SUM(INDEX($FK$325:$ID$396,FP$169,1+SwaptionShift):INDEX($FK$325:$ID$396,FP$169,SwaptionMonthsToGo+SwaptionShift))))))</f>
        <v>#DIV/0!</v>
      </c>
      <c r="FQ185" s="150" t="e">
        <f aca="false">IF(OR(FQ$169&lt;SwaptionFirstMonthPosition+1,$FJ185&lt;SwaptionFirstMonthPosition+1,FQ$169&gt;SwaptionFirstMonthPosition+SwaptionNumOfMonths+1,$FJ185&gt;SwaptionFirstMonthPosition+SwaptionNumOfMonths+1),"",IF($FJ185=FQ$169,1,IF($FJ185&lt;FQ$169,INDEX($FK$170:$ID$241,FQ$169,$FJ185),SUMPRODUCT(INDEX($FK$325:$ID$396,FQ$169,1+SwaptionShift):INDEX($FK$325:$ID$396,FQ$169,SwaptionMonthsToGo+SwaptionShift),INDEX($FK$245:$ID$316,$FJ185-FQ$169,73-FQ$169+SwaptionShift):INDEX($FK$245:$ID$316,$FJ185-FQ$169,72-FQ$169+SwaptionMonthsToGo+SwaptionShift))/SQRT(SUM(INDEX($FK340:$ID340,1+SwaptionShift):INDEX($FK340:$ID340,SwaptionMonthsToGo+SwaptionShift))*SUM(INDEX($FK$325:$ID$396,FQ$169,1+SwaptionShift):INDEX($FK$325:$ID$396,FQ$169,SwaptionMonthsToGo+SwaptionShift))))))</f>
        <v>#DIV/0!</v>
      </c>
      <c r="FR185" s="150" t="e">
        <f aca="false">IF(OR(FR$169&lt;SwaptionFirstMonthPosition+1,$FJ185&lt;SwaptionFirstMonthPosition+1,FR$169&gt;SwaptionFirstMonthPosition+SwaptionNumOfMonths+1,$FJ185&gt;SwaptionFirstMonthPosition+SwaptionNumOfMonths+1),"",IF($FJ185=FR$169,1,IF($FJ185&lt;FR$169,INDEX($FK$170:$ID$241,FR$169,$FJ185),SUMPRODUCT(INDEX($FK$325:$ID$396,FR$169,1+SwaptionShift):INDEX($FK$325:$ID$396,FR$169,SwaptionMonthsToGo+SwaptionShift),INDEX($FK$245:$ID$316,$FJ185-FR$169,73-FR$169+SwaptionShift):INDEX($FK$245:$ID$316,$FJ185-FR$169,72-FR$169+SwaptionMonthsToGo+SwaptionShift))/SQRT(SUM(INDEX($FK340:$ID340,1+SwaptionShift):INDEX($FK340:$ID340,SwaptionMonthsToGo+SwaptionShift))*SUM(INDEX($FK$325:$ID$396,FR$169,1+SwaptionShift):INDEX($FK$325:$ID$396,FR$169,SwaptionMonthsToGo+SwaptionShift))))))</f>
        <v>#DIV/0!</v>
      </c>
      <c r="FS185" s="150" t="e">
        <f aca="false">IF(OR(FS$169&lt;SwaptionFirstMonthPosition+1,$FJ185&lt;SwaptionFirstMonthPosition+1,FS$169&gt;SwaptionFirstMonthPosition+SwaptionNumOfMonths+1,$FJ185&gt;SwaptionFirstMonthPosition+SwaptionNumOfMonths+1),"",IF($FJ185=FS$169,1,IF($FJ185&lt;FS$169,INDEX($FK$170:$ID$241,FS$169,$FJ185),SUMPRODUCT(INDEX($FK$325:$ID$396,FS$169,1+SwaptionShift):INDEX($FK$325:$ID$396,FS$169,SwaptionMonthsToGo+SwaptionShift),INDEX($FK$245:$ID$316,$FJ185-FS$169,73-FS$169+SwaptionShift):INDEX($FK$245:$ID$316,$FJ185-FS$169,72-FS$169+SwaptionMonthsToGo+SwaptionShift))/SQRT(SUM(INDEX($FK340:$ID340,1+SwaptionShift):INDEX($FK340:$ID340,SwaptionMonthsToGo+SwaptionShift))*SUM(INDEX($FK$325:$ID$396,FS$169,1+SwaptionShift):INDEX($FK$325:$ID$396,FS$169,SwaptionMonthsToGo+SwaptionShift))))))</f>
        <v>#DIV/0!</v>
      </c>
      <c r="FT185" s="150" t="e">
        <f aca="false">IF(OR(FT$169&lt;SwaptionFirstMonthPosition+1,$FJ185&lt;SwaptionFirstMonthPosition+1,FT$169&gt;SwaptionFirstMonthPosition+SwaptionNumOfMonths+1,$FJ185&gt;SwaptionFirstMonthPosition+SwaptionNumOfMonths+1),"",IF($FJ185=FT$169,1,IF($FJ185&lt;FT$169,INDEX($FK$170:$ID$241,FT$169,$FJ185),SUMPRODUCT(INDEX($FK$325:$ID$396,FT$169,1+SwaptionShift):INDEX($FK$325:$ID$396,FT$169,SwaptionMonthsToGo+SwaptionShift),INDEX($FK$245:$ID$316,$FJ185-FT$169,73-FT$169+SwaptionShift):INDEX($FK$245:$ID$316,$FJ185-FT$169,72-FT$169+SwaptionMonthsToGo+SwaptionShift))/SQRT(SUM(INDEX($FK340:$ID340,1+SwaptionShift):INDEX($FK340:$ID340,SwaptionMonthsToGo+SwaptionShift))*SUM(INDEX($FK$325:$ID$396,FT$169,1+SwaptionShift):INDEX($FK$325:$ID$396,FT$169,SwaptionMonthsToGo+SwaptionShift))))))</f>
        <v>#DIV/0!</v>
      </c>
      <c r="FU185" s="150" t="e">
        <f aca="false">IF(OR(FU$169&lt;SwaptionFirstMonthPosition+1,$FJ185&lt;SwaptionFirstMonthPosition+1,FU$169&gt;SwaptionFirstMonthPosition+SwaptionNumOfMonths+1,$FJ185&gt;SwaptionFirstMonthPosition+SwaptionNumOfMonths+1),"",IF($FJ185=FU$169,1,IF($FJ185&lt;FU$169,INDEX($FK$170:$ID$241,FU$169,$FJ185),SUMPRODUCT(INDEX($FK$325:$ID$396,FU$169,1+SwaptionShift):INDEX($FK$325:$ID$396,FU$169,SwaptionMonthsToGo+SwaptionShift),INDEX($FK$245:$ID$316,$FJ185-FU$169,73-FU$169+SwaptionShift):INDEX($FK$245:$ID$316,$FJ185-FU$169,72-FU$169+SwaptionMonthsToGo+SwaptionShift))/SQRT(SUM(INDEX($FK340:$ID340,1+SwaptionShift):INDEX($FK340:$ID340,SwaptionMonthsToGo+SwaptionShift))*SUM(INDEX($FK$325:$ID$396,FU$169,1+SwaptionShift):INDEX($FK$325:$ID$396,FU$169,SwaptionMonthsToGo+SwaptionShift))))))</f>
        <v>#DIV/0!</v>
      </c>
      <c r="FV185" s="150" t="e">
        <f aca="false">IF(OR(FV$169&lt;SwaptionFirstMonthPosition+1,$FJ185&lt;SwaptionFirstMonthPosition+1,FV$169&gt;SwaptionFirstMonthPosition+SwaptionNumOfMonths+1,$FJ185&gt;SwaptionFirstMonthPosition+SwaptionNumOfMonths+1),"",IF($FJ185=FV$169,1,IF($FJ185&lt;FV$169,INDEX($FK$170:$ID$241,FV$169,$FJ185),SUMPRODUCT(INDEX($FK$325:$ID$396,FV$169,1+SwaptionShift):INDEX($FK$325:$ID$396,FV$169,SwaptionMonthsToGo+SwaptionShift),INDEX($FK$245:$ID$316,$FJ185-FV$169,73-FV$169+SwaptionShift):INDEX($FK$245:$ID$316,$FJ185-FV$169,72-FV$169+SwaptionMonthsToGo+SwaptionShift))/SQRT(SUM(INDEX($FK340:$ID340,1+SwaptionShift):INDEX($FK340:$ID340,SwaptionMonthsToGo+SwaptionShift))*SUM(INDEX($FK$325:$ID$396,FV$169,1+SwaptionShift):INDEX($FK$325:$ID$396,FV$169,SwaptionMonthsToGo+SwaptionShift))))))</f>
        <v>#DIV/0!</v>
      </c>
      <c r="FW185" s="150" t="e">
        <f aca="false">IF(OR(FW$169&lt;SwaptionFirstMonthPosition+1,$FJ185&lt;SwaptionFirstMonthPosition+1,FW$169&gt;SwaptionFirstMonthPosition+SwaptionNumOfMonths+1,$FJ185&gt;SwaptionFirstMonthPosition+SwaptionNumOfMonths+1),"",IF($FJ185=FW$169,1,IF($FJ185&lt;FW$169,INDEX($FK$170:$ID$241,FW$169,$FJ185),SUMPRODUCT(INDEX($FK$325:$ID$396,FW$169,1+SwaptionShift):INDEX($FK$325:$ID$396,FW$169,SwaptionMonthsToGo+SwaptionShift),INDEX($FK$245:$ID$316,$FJ185-FW$169,73-FW$169+SwaptionShift):INDEX($FK$245:$ID$316,$FJ185-FW$169,72-FW$169+SwaptionMonthsToGo+SwaptionShift))/SQRT(SUM(INDEX($FK340:$ID340,1+SwaptionShift):INDEX($FK340:$ID340,SwaptionMonthsToGo+SwaptionShift))*SUM(INDEX($FK$325:$ID$396,FW$169,1+SwaptionShift):INDEX($FK$325:$ID$396,FW$169,SwaptionMonthsToGo+SwaptionShift))))))</f>
        <v>#DIV/0!</v>
      </c>
      <c r="FX185" s="150" t="e">
        <f aca="false">IF(OR(FX$169&lt;SwaptionFirstMonthPosition+1,$FJ185&lt;SwaptionFirstMonthPosition+1,FX$169&gt;SwaptionFirstMonthPosition+SwaptionNumOfMonths+1,$FJ185&gt;SwaptionFirstMonthPosition+SwaptionNumOfMonths+1),"",IF($FJ185=FX$169,1,IF($FJ185&lt;FX$169,INDEX($FK$170:$ID$241,FX$169,$FJ185),SUMPRODUCT(INDEX($FK$325:$ID$396,FX$169,1+SwaptionShift):INDEX($FK$325:$ID$396,FX$169,SwaptionMonthsToGo+SwaptionShift),INDEX($FK$245:$ID$316,$FJ185-FX$169,73-FX$169+SwaptionShift):INDEX($FK$245:$ID$316,$FJ185-FX$169,72-FX$169+SwaptionMonthsToGo+SwaptionShift))/SQRT(SUM(INDEX($FK340:$ID340,1+SwaptionShift):INDEX($FK340:$ID340,SwaptionMonthsToGo+SwaptionShift))*SUM(INDEX($FK$325:$ID$396,FX$169,1+SwaptionShift):INDEX($FK$325:$ID$396,FX$169,SwaptionMonthsToGo+SwaptionShift))))))</f>
        <v>#DIV/0!</v>
      </c>
      <c r="FY185" s="150" t="e">
        <f aca="false">IF(OR(FY$169&lt;SwaptionFirstMonthPosition+1,$FJ185&lt;SwaptionFirstMonthPosition+1,FY$169&gt;SwaptionFirstMonthPosition+SwaptionNumOfMonths+1,$FJ185&gt;SwaptionFirstMonthPosition+SwaptionNumOfMonths+1),"",IF($FJ185=FY$169,1,IF($FJ185&lt;FY$169,INDEX($FK$170:$ID$241,FY$169,$FJ185),SUMPRODUCT(INDEX($FK$325:$ID$396,FY$169,1+SwaptionShift):INDEX($FK$325:$ID$396,FY$169,SwaptionMonthsToGo+SwaptionShift),INDEX($FK$245:$ID$316,$FJ185-FY$169,73-FY$169+SwaptionShift):INDEX($FK$245:$ID$316,$FJ185-FY$169,72-FY$169+SwaptionMonthsToGo+SwaptionShift))/SQRT(SUM(INDEX($FK340:$ID340,1+SwaptionShift):INDEX($FK340:$ID340,SwaptionMonthsToGo+SwaptionShift))*SUM(INDEX($FK$325:$ID$396,FY$169,1+SwaptionShift):INDEX($FK$325:$ID$396,FY$169,SwaptionMonthsToGo+SwaptionShift))))))</f>
        <v>#DIV/0!</v>
      </c>
      <c r="FZ185" s="150" t="n">
        <f aca="false">IF(OR(FZ$169&lt;SwaptionFirstMonthPosition+1,$FJ185&lt;SwaptionFirstMonthPosition+1,FZ$169&gt;SwaptionFirstMonthPosition+SwaptionNumOfMonths+1,$FJ185&gt;SwaptionFirstMonthPosition+SwaptionNumOfMonths+1),"",IF($FJ185=FZ$169,1,IF($FJ185&lt;FZ$169,INDEX($FK$170:$ID$241,FZ$169,$FJ185),SUMPRODUCT(INDEX($FK$325:$ID$396,FZ$169,1+SwaptionShift):INDEX($FK$325:$ID$396,FZ$169,SwaptionMonthsToGo+SwaptionShift),INDEX($FK$245:$ID$316,$FJ185-FZ$169,73-FZ$169+SwaptionShift):INDEX($FK$245:$ID$316,$FJ185-FZ$169,72-FZ$169+SwaptionMonthsToGo+SwaptionShift))/SQRT(SUM(INDEX($FK340:$ID340,1+SwaptionShift):INDEX($FK340:$ID340,SwaptionMonthsToGo+SwaptionShift))*SUM(INDEX($FK$325:$ID$396,FZ$169,1+SwaptionShift):INDEX($FK$325:$ID$396,FZ$169,SwaptionMonthsToGo+SwaptionShift))))))</f>
        <v>1</v>
      </c>
      <c r="GA185" s="150" t="e">
        <f aca="false">IF(OR(GA$169&lt;SwaptionFirstMonthPosition+1,$FJ185&lt;SwaptionFirstMonthPosition+1,GA$169&gt;SwaptionFirstMonthPosition+SwaptionNumOfMonths+1,$FJ185&gt;SwaptionFirstMonthPosition+SwaptionNumOfMonths+1),"",IF($FJ185=GA$169,1,IF($FJ185&lt;GA$169,INDEX($FK$170:$ID$241,GA$169,$FJ185),SUMPRODUCT(INDEX($FK$325:$ID$396,GA$169,1+SwaptionShift):INDEX($FK$325:$ID$396,GA$169,SwaptionMonthsToGo+SwaptionShift),INDEX($FK$245:$ID$316,$FJ185-GA$169,73-GA$169+SwaptionShift):INDEX($FK$245:$ID$316,$FJ185-GA$169,72-GA$169+SwaptionMonthsToGo+SwaptionShift))/SQRT(SUM(INDEX($FK340:$ID340,1+SwaptionShift):INDEX($FK340:$ID340,SwaptionMonthsToGo+SwaptionShift))*SUM(INDEX($FK$325:$ID$396,GA$169,1+SwaptionShift):INDEX($FK$325:$ID$396,GA$169,SwaptionMonthsToGo+SwaptionShift))))))</f>
        <v>#DIV/0!</v>
      </c>
      <c r="GB185" s="150" t="e">
        <f aca="false">IF(OR(GB$169&lt;SwaptionFirstMonthPosition+1,$FJ185&lt;SwaptionFirstMonthPosition+1,GB$169&gt;SwaptionFirstMonthPosition+SwaptionNumOfMonths+1,$FJ185&gt;SwaptionFirstMonthPosition+SwaptionNumOfMonths+1),"",IF($FJ185=GB$169,1,IF($FJ185&lt;GB$169,INDEX($FK$170:$ID$241,GB$169,$FJ185),SUMPRODUCT(INDEX($FK$325:$ID$396,GB$169,1+SwaptionShift):INDEX($FK$325:$ID$396,GB$169,SwaptionMonthsToGo+SwaptionShift),INDEX($FK$245:$ID$316,$FJ185-GB$169,73-GB$169+SwaptionShift):INDEX($FK$245:$ID$316,$FJ185-GB$169,72-GB$169+SwaptionMonthsToGo+SwaptionShift))/SQRT(SUM(INDEX($FK340:$ID340,1+SwaptionShift):INDEX($FK340:$ID340,SwaptionMonthsToGo+SwaptionShift))*SUM(INDEX($FK$325:$ID$396,GB$169,1+SwaptionShift):INDEX($FK$325:$ID$396,GB$169,SwaptionMonthsToGo+SwaptionShift))))))</f>
        <v>#DIV/0!</v>
      </c>
      <c r="GC185" s="150" t="str">
        <f aca="false">IF(OR(GC$169&lt;SwaptionFirstMonthPosition+1,$FJ185&lt;SwaptionFirstMonthPosition+1,GC$169&gt;SwaptionFirstMonthPosition+SwaptionNumOfMonths+1,$FJ185&gt;SwaptionFirstMonthPosition+SwaptionNumOfMonths+1),"",IF($FJ185=GC$169,1,IF($FJ185&lt;GC$169,INDEX($FK$170:$ID$241,GC$169,$FJ185),SUMPRODUCT(INDEX($FK$325:$ID$396,GC$169,1+SwaptionShift):INDEX($FK$325:$ID$396,GC$169,SwaptionMonthsToGo+SwaptionShift),INDEX($FK$245:$ID$316,$FJ185-GC$169,73-GC$169+SwaptionShift):INDEX($FK$245:$ID$316,$FJ185-GC$169,72-GC$169+SwaptionMonthsToGo+SwaptionShift))/SQRT(SUM(INDEX($FK340:$ID340,1+SwaptionShift):INDEX($FK340:$ID340,SwaptionMonthsToGo+SwaptionShift))*SUM(INDEX($FK$325:$ID$396,GC$169,1+SwaptionShift):INDEX($FK$325:$ID$396,GC$169,SwaptionMonthsToGo+SwaptionShift))))))</f>
        <v/>
      </c>
      <c r="GD185" s="150" t="str">
        <f aca="false">IF(OR(GD$169&lt;SwaptionFirstMonthPosition+1,$FJ185&lt;SwaptionFirstMonthPosition+1,GD$169&gt;SwaptionFirstMonthPosition+SwaptionNumOfMonths+1,$FJ185&gt;SwaptionFirstMonthPosition+SwaptionNumOfMonths+1),"",IF($FJ185=GD$169,1,IF($FJ185&lt;GD$169,INDEX($FK$170:$ID$241,GD$169,$FJ185),SUMPRODUCT(INDEX($FK$325:$ID$396,GD$169,1+SwaptionShift):INDEX($FK$325:$ID$396,GD$169,SwaptionMonthsToGo+SwaptionShift),INDEX($FK$245:$ID$316,$FJ185-GD$169,73-GD$169+SwaptionShift):INDEX($FK$245:$ID$316,$FJ185-GD$169,72-GD$169+SwaptionMonthsToGo+SwaptionShift))/SQRT(SUM(INDEX($FK340:$ID340,1+SwaptionShift):INDEX($FK340:$ID340,SwaptionMonthsToGo+SwaptionShift))*SUM(INDEX($FK$325:$ID$396,GD$169,1+SwaptionShift):INDEX($FK$325:$ID$396,GD$169,SwaptionMonthsToGo+SwaptionShift))))))</f>
        <v/>
      </c>
      <c r="GE185" s="150" t="str">
        <f aca="false">IF(OR(GE$169&lt;SwaptionFirstMonthPosition+1,$FJ185&lt;SwaptionFirstMonthPosition+1,GE$169&gt;SwaptionFirstMonthPosition+SwaptionNumOfMonths+1,$FJ185&gt;SwaptionFirstMonthPosition+SwaptionNumOfMonths+1),"",IF($FJ185=GE$169,1,IF($FJ185&lt;GE$169,INDEX($FK$170:$ID$241,GE$169,$FJ185),SUMPRODUCT(INDEX($FK$325:$ID$396,GE$169,1+SwaptionShift):INDEX($FK$325:$ID$396,GE$169,SwaptionMonthsToGo+SwaptionShift),INDEX($FK$245:$ID$316,$FJ185-GE$169,73-GE$169+SwaptionShift):INDEX($FK$245:$ID$316,$FJ185-GE$169,72-GE$169+SwaptionMonthsToGo+SwaptionShift))/SQRT(SUM(INDEX($FK340:$ID340,1+SwaptionShift):INDEX($FK340:$ID340,SwaptionMonthsToGo+SwaptionShift))*SUM(INDEX($FK$325:$ID$396,GE$169,1+SwaptionShift):INDEX($FK$325:$ID$396,GE$169,SwaptionMonthsToGo+SwaptionShift))))))</f>
        <v/>
      </c>
      <c r="GF185" s="150" t="str">
        <f aca="false">IF(OR(GF$169&lt;SwaptionFirstMonthPosition+1,$FJ185&lt;SwaptionFirstMonthPosition+1,GF$169&gt;SwaptionFirstMonthPosition+SwaptionNumOfMonths+1,$FJ185&gt;SwaptionFirstMonthPosition+SwaptionNumOfMonths+1),"",IF($FJ185=GF$169,1,IF($FJ185&lt;GF$169,INDEX($FK$170:$ID$241,GF$169,$FJ185),SUMPRODUCT(INDEX($FK$325:$ID$396,GF$169,1+SwaptionShift):INDEX($FK$325:$ID$396,GF$169,SwaptionMonthsToGo+SwaptionShift),INDEX($FK$245:$ID$316,$FJ185-GF$169,73-GF$169+SwaptionShift):INDEX($FK$245:$ID$316,$FJ185-GF$169,72-GF$169+SwaptionMonthsToGo+SwaptionShift))/SQRT(SUM(INDEX($FK340:$ID340,1+SwaptionShift):INDEX($FK340:$ID340,SwaptionMonthsToGo+SwaptionShift))*SUM(INDEX($FK$325:$ID$396,GF$169,1+SwaptionShift):INDEX($FK$325:$ID$396,GF$169,SwaptionMonthsToGo+SwaptionShift))))))</f>
        <v/>
      </c>
      <c r="GG185" s="150" t="str">
        <f aca="false">IF(OR(GG$169&lt;SwaptionFirstMonthPosition+1,$FJ185&lt;SwaptionFirstMonthPosition+1,GG$169&gt;SwaptionFirstMonthPosition+SwaptionNumOfMonths+1,$FJ185&gt;SwaptionFirstMonthPosition+SwaptionNumOfMonths+1),"",IF($FJ185=GG$169,1,IF($FJ185&lt;GG$169,INDEX($FK$170:$ID$241,GG$169,$FJ185),SUMPRODUCT(INDEX($FK$325:$ID$396,GG$169,1+SwaptionShift):INDEX($FK$325:$ID$396,GG$169,SwaptionMonthsToGo+SwaptionShift),INDEX($FK$245:$ID$316,$FJ185-GG$169,73-GG$169+SwaptionShift):INDEX($FK$245:$ID$316,$FJ185-GG$169,72-GG$169+SwaptionMonthsToGo+SwaptionShift))/SQRT(SUM(INDEX($FK340:$ID340,1+SwaptionShift):INDEX($FK340:$ID340,SwaptionMonthsToGo+SwaptionShift))*SUM(INDEX($FK$325:$ID$396,GG$169,1+SwaptionShift):INDEX($FK$325:$ID$396,GG$169,SwaptionMonthsToGo+SwaptionShift))))))</f>
        <v/>
      </c>
      <c r="GH185" s="150" t="str">
        <f aca="false">IF(OR(GH$169&lt;SwaptionFirstMonthPosition+1,$FJ185&lt;SwaptionFirstMonthPosition+1,GH$169&gt;SwaptionFirstMonthPosition+SwaptionNumOfMonths+1,$FJ185&gt;SwaptionFirstMonthPosition+SwaptionNumOfMonths+1),"",IF($FJ185=GH$169,1,IF($FJ185&lt;GH$169,INDEX($FK$170:$ID$241,GH$169,$FJ185),SUMPRODUCT(INDEX($FK$325:$ID$396,GH$169,1+SwaptionShift):INDEX($FK$325:$ID$396,GH$169,SwaptionMonthsToGo+SwaptionShift),INDEX($FK$245:$ID$316,$FJ185-GH$169,73-GH$169+SwaptionShift):INDEX($FK$245:$ID$316,$FJ185-GH$169,72-GH$169+SwaptionMonthsToGo+SwaptionShift))/SQRT(SUM(INDEX($FK340:$ID340,1+SwaptionShift):INDEX($FK340:$ID340,SwaptionMonthsToGo+SwaptionShift))*SUM(INDEX($FK$325:$ID$396,GH$169,1+SwaptionShift):INDEX($FK$325:$ID$396,GH$169,SwaptionMonthsToGo+SwaptionShift))))))</f>
        <v/>
      </c>
      <c r="GI185" s="150" t="str">
        <f aca="false">IF(OR(GI$169&lt;SwaptionFirstMonthPosition+1,$FJ185&lt;SwaptionFirstMonthPosition+1,GI$169&gt;SwaptionFirstMonthPosition+SwaptionNumOfMonths+1,$FJ185&gt;SwaptionFirstMonthPosition+SwaptionNumOfMonths+1),"",IF($FJ185=GI$169,1,IF($FJ185&lt;GI$169,INDEX($FK$170:$ID$241,GI$169,$FJ185),SUMPRODUCT(INDEX($FK$325:$ID$396,GI$169,1+SwaptionShift):INDEX($FK$325:$ID$396,GI$169,SwaptionMonthsToGo+SwaptionShift),INDEX($FK$245:$ID$316,$FJ185-GI$169,73-GI$169+SwaptionShift):INDEX($FK$245:$ID$316,$FJ185-GI$169,72-GI$169+SwaptionMonthsToGo+SwaptionShift))/SQRT(SUM(INDEX($FK340:$ID340,1+SwaptionShift):INDEX($FK340:$ID340,SwaptionMonthsToGo+SwaptionShift))*SUM(INDEX($FK$325:$ID$396,GI$169,1+SwaptionShift):INDEX($FK$325:$ID$396,GI$169,SwaptionMonthsToGo+SwaptionShift))))))</f>
        <v/>
      </c>
      <c r="GJ185" s="150" t="str">
        <f aca="false">IF(OR(GJ$169&lt;SwaptionFirstMonthPosition+1,$FJ185&lt;SwaptionFirstMonthPosition+1,GJ$169&gt;SwaptionFirstMonthPosition+SwaptionNumOfMonths+1,$FJ185&gt;SwaptionFirstMonthPosition+SwaptionNumOfMonths+1),"",IF($FJ185=GJ$169,1,IF($FJ185&lt;GJ$169,INDEX($FK$170:$ID$241,GJ$169,$FJ185),SUMPRODUCT(INDEX($FK$325:$ID$396,GJ$169,1+SwaptionShift):INDEX($FK$325:$ID$396,GJ$169,SwaptionMonthsToGo+SwaptionShift),INDEX($FK$245:$ID$316,$FJ185-GJ$169,73-GJ$169+SwaptionShift):INDEX($FK$245:$ID$316,$FJ185-GJ$169,72-GJ$169+SwaptionMonthsToGo+SwaptionShift))/SQRT(SUM(INDEX($FK340:$ID340,1+SwaptionShift):INDEX($FK340:$ID340,SwaptionMonthsToGo+SwaptionShift))*SUM(INDEX($FK$325:$ID$396,GJ$169,1+SwaptionShift):INDEX($FK$325:$ID$396,GJ$169,SwaptionMonthsToGo+SwaptionShift))))))</f>
        <v/>
      </c>
      <c r="GK185" s="150" t="str">
        <f aca="false">IF(OR(GK$169&lt;SwaptionFirstMonthPosition+1,$FJ185&lt;SwaptionFirstMonthPosition+1,GK$169&gt;SwaptionFirstMonthPosition+SwaptionNumOfMonths+1,$FJ185&gt;SwaptionFirstMonthPosition+SwaptionNumOfMonths+1),"",IF($FJ185=GK$169,1,IF($FJ185&lt;GK$169,INDEX($FK$170:$ID$241,GK$169,$FJ185),SUMPRODUCT(INDEX($FK$325:$ID$396,GK$169,1+SwaptionShift):INDEX($FK$325:$ID$396,GK$169,SwaptionMonthsToGo+SwaptionShift),INDEX($FK$245:$ID$316,$FJ185-GK$169,73-GK$169+SwaptionShift):INDEX($FK$245:$ID$316,$FJ185-GK$169,72-GK$169+SwaptionMonthsToGo+SwaptionShift))/SQRT(SUM(INDEX($FK340:$ID340,1+SwaptionShift):INDEX($FK340:$ID340,SwaptionMonthsToGo+SwaptionShift))*SUM(INDEX($FK$325:$ID$396,GK$169,1+SwaptionShift):INDEX($FK$325:$ID$396,GK$169,SwaptionMonthsToGo+SwaptionShift))))))</f>
        <v/>
      </c>
      <c r="GL185" s="150" t="str">
        <f aca="false">IF(OR(GL$169&lt;SwaptionFirstMonthPosition+1,$FJ185&lt;SwaptionFirstMonthPosition+1,GL$169&gt;SwaptionFirstMonthPosition+SwaptionNumOfMonths+1,$FJ185&gt;SwaptionFirstMonthPosition+SwaptionNumOfMonths+1),"",IF($FJ185=GL$169,1,IF($FJ185&lt;GL$169,INDEX($FK$170:$ID$241,GL$169,$FJ185),SUMPRODUCT(INDEX($FK$325:$ID$396,GL$169,1+SwaptionShift):INDEX($FK$325:$ID$396,GL$169,SwaptionMonthsToGo+SwaptionShift),INDEX($FK$245:$ID$316,$FJ185-GL$169,73-GL$169+SwaptionShift):INDEX($FK$245:$ID$316,$FJ185-GL$169,72-GL$169+SwaptionMonthsToGo+SwaptionShift))/SQRT(SUM(INDEX($FK340:$ID340,1+SwaptionShift):INDEX($FK340:$ID340,SwaptionMonthsToGo+SwaptionShift))*SUM(INDEX($FK$325:$ID$396,GL$169,1+SwaptionShift):INDEX($FK$325:$ID$396,GL$169,SwaptionMonthsToGo+SwaptionShift))))))</f>
        <v/>
      </c>
      <c r="GM185" s="150" t="str">
        <f aca="false">IF(OR(GM$169&lt;SwaptionFirstMonthPosition+1,$FJ185&lt;SwaptionFirstMonthPosition+1,GM$169&gt;SwaptionFirstMonthPosition+SwaptionNumOfMonths+1,$FJ185&gt;SwaptionFirstMonthPosition+SwaptionNumOfMonths+1),"",IF($FJ185=GM$169,1,IF($FJ185&lt;GM$169,INDEX($FK$170:$ID$241,GM$169,$FJ185),SUMPRODUCT(INDEX($FK$325:$ID$396,GM$169,1+SwaptionShift):INDEX($FK$325:$ID$396,GM$169,SwaptionMonthsToGo+SwaptionShift),INDEX($FK$245:$ID$316,$FJ185-GM$169,73-GM$169+SwaptionShift):INDEX($FK$245:$ID$316,$FJ185-GM$169,72-GM$169+SwaptionMonthsToGo+SwaptionShift))/SQRT(SUM(INDEX($FK340:$ID340,1+SwaptionShift):INDEX($FK340:$ID340,SwaptionMonthsToGo+SwaptionShift))*SUM(INDEX($FK$325:$ID$396,GM$169,1+SwaptionShift):INDEX($FK$325:$ID$396,GM$169,SwaptionMonthsToGo+SwaptionShift))))))</f>
        <v/>
      </c>
      <c r="GN185" s="150" t="str">
        <f aca="false">IF(OR(GN$169&lt;SwaptionFirstMonthPosition+1,$FJ185&lt;SwaptionFirstMonthPosition+1,GN$169&gt;SwaptionFirstMonthPosition+SwaptionNumOfMonths+1,$FJ185&gt;SwaptionFirstMonthPosition+SwaptionNumOfMonths+1),"",IF($FJ185=GN$169,1,IF($FJ185&lt;GN$169,INDEX($FK$170:$ID$241,GN$169,$FJ185),SUMPRODUCT(INDEX($FK$325:$ID$396,GN$169,1+SwaptionShift):INDEX($FK$325:$ID$396,GN$169,SwaptionMonthsToGo+SwaptionShift),INDEX($FK$245:$ID$316,$FJ185-GN$169,73-GN$169+SwaptionShift):INDEX($FK$245:$ID$316,$FJ185-GN$169,72-GN$169+SwaptionMonthsToGo+SwaptionShift))/SQRT(SUM(INDEX($FK340:$ID340,1+SwaptionShift):INDEX($FK340:$ID340,SwaptionMonthsToGo+SwaptionShift))*SUM(INDEX($FK$325:$ID$396,GN$169,1+SwaptionShift):INDEX($FK$325:$ID$396,GN$169,SwaptionMonthsToGo+SwaptionShift))))))</f>
        <v/>
      </c>
      <c r="GO185" s="150" t="str">
        <f aca="false">IF(OR(GO$169&lt;SwaptionFirstMonthPosition+1,$FJ185&lt;SwaptionFirstMonthPosition+1,GO$169&gt;SwaptionFirstMonthPosition+SwaptionNumOfMonths+1,$FJ185&gt;SwaptionFirstMonthPosition+SwaptionNumOfMonths+1),"",IF($FJ185=GO$169,1,IF($FJ185&lt;GO$169,INDEX($FK$170:$ID$241,GO$169,$FJ185),SUMPRODUCT(INDEX($FK$325:$ID$396,GO$169,1+SwaptionShift):INDEX($FK$325:$ID$396,GO$169,SwaptionMonthsToGo+SwaptionShift),INDEX($FK$245:$ID$316,$FJ185-GO$169,73-GO$169+SwaptionShift):INDEX($FK$245:$ID$316,$FJ185-GO$169,72-GO$169+SwaptionMonthsToGo+SwaptionShift))/SQRT(SUM(INDEX($FK340:$ID340,1+SwaptionShift):INDEX($FK340:$ID340,SwaptionMonthsToGo+SwaptionShift))*SUM(INDEX($FK$325:$ID$396,GO$169,1+SwaptionShift):INDEX($FK$325:$ID$396,GO$169,SwaptionMonthsToGo+SwaptionShift))))))</f>
        <v/>
      </c>
      <c r="GP185" s="150" t="str">
        <f aca="false">IF(OR(GP$169&lt;SwaptionFirstMonthPosition+1,$FJ185&lt;SwaptionFirstMonthPosition+1,GP$169&gt;SwaptionFirstMonthPosition+SwaptionNumOfMonths+1,$FJ185&gt;SwaptionFirstMonthPosition+SwaptionNumOfMonths+1),"",IF($FJ185=GP$169,1,IF($FJ185&lt;GP$169,INDEX($FK$170:$ID$241,GP$169,$FJ185),SUMPRODUCT(INDEX($FK$325:$ID$396,GP$169,1+SwaptionShift):INDEX($FK$325:$ID$396,GP$169,SwaptionMonthsToGo+SwaptionShift),INDEX($FK$245:$ID$316,$FJ185-GP$169,73-GP$169+SwaptionShift):INDEX($FK$245:$ID$316,$FJ185-GP$169,72-GP$169+SwaptionMonthsToGo+SwaptionShift))/SQRT(SUM(INDEX($FK340:$ID340,1+SwaptionShift):INDEX($FK340:$ID340,SwaptionMonthsToGo+SwaptionShift))*SUM(INDEX($FK$325:$ID$396,GP$169,1+SwaptionShift):INDEX($FK$325:$ID$396,GP$169,SwaptionMonthsToGo+SwaptionShift))))))</f>
        <v/>
      </c>
      <c r="GQ185" s="150" t="str">
        <f aca="false">IF(OR(GQ$169&lt;SwaptionFirstMonthPosition+1,$FJ185&lt;SwaptionFirstMonthPosition+1,GQ$169&gt;SwaptionFirstMonthPosition+SwaptionNumOfMonths+1,$FJ185&gt;SwaptionFirstMonthPosition+SwaptionNumOfMonths+1),"",IF($FJ185=GQ$169,1,IF($FJ185&lt;GQ$169,INDEX($FK$170:$ID$241,GQ$169,$FJ185),SUMPRODUCT(INDEX($FK$325:$ID$396,GQ$169,1+SwaptionShift):INDEX($FK$325:$ID$396,GQ$169,SwaptionMonthsToGo+SwaptionShift),INDEX($FK$245:$ID$316,$FJ185-GQ$169,73-GQ$169+SwaptionShift):INDEX($FK$245:$ID$316,$FJ185-GQ$169,72-GQ$169+SwaptionMonthsToGo+SwaptionShift))/SQRT(SUM(INDEX($FK340:$ID340,1+SwaptionShift):INDEX($FK340:$ID340,SwaptionMonthsToGo+SwaptionShift))*SUM(INDEX($FK$325:$ID$396,GQ$169,1+SwaptionShift):INDEX($FK$325:$ID$396,GQ$169,SwaptionMonthsToGo+SwaptionShift))))))</f>
        <v/>
      </c>
      <c r="GR185" s="150" t="str">
        <f aca="false">IF(OR(GR$169&lt;SwaptionFirstMonthPosition+1,$FJ185&lt;SwaptionFirstMonthPosition+1,GR$169&gt;SwaptionFirstMonthPosition+SwaptionNumOfMonths+1,$FJ185&gt;SwaptionFirstMonthPosition+SwaptionNumOfMonths+1),"",IF($FJ185=GR$169,1,IF($FJ185&lt;GR$169,INDEX($FK$170:$ID$241,GR$169,$FJ185),SUMPRODUCT(INDEX($FK$325:$ID$396,GR$169,1+SwaptionShift):INDEX($FK$325:$ID$396,GR$169,SwaptionMonthsToGo+SwaptionShift),INDEX($FK$245:$ID$316,$FJ185-GR$169,73-GR$169+SwaptionShift):INDEX($FK$245:$ID$316,$FJ185-GR$169,72-GR$169+SwaptionMonthsToGo+SwaptionShift))/SQRT(SUM(INDEX($FK340:$ID340,1+SwaptionShift):INDEX($FK340:$ID340,SwaptionMonthsToGo+SwaptionShift))*SUM(INDEX($FK$325:$ID$396,GR$169,1+SwaptionShift):INDEX($FK$325:$ID$396,GR$169,SwaptionMonthsToGo+SwaptionShift))))))</f>
        <v/>
      </c>
      <c r="GS185" s="150" t="str">
        <f aca="false">IF(OR(GS$169&lt;SwaptionFirstMonthPosition+1,$FJ185&lt;SwaptionFirstMonthPosition+1,GS$169&gt;SwaptionFirstMonthPosition+SwaptionNumOfMonths+1,$FJ185&gt;SwaptionFirstMonthPosition+SwaptionNumOfMonths+1),"",IF($FJ185=GS$169,1,IF($FJ185&lt;GS$169,INDEX($FK$170:$ID$241,GS$169,$FJ185),SUMPRODUCT(INDEX($FK$325:$ID$396,GS$169,1+SwaptionShift):INDEX($FK$325:$ID$396,GS$169,SwaptionMonthsToGo+SwaptionShift),INDEX($FK$245:$ID$316,$FJ185-GS$169,73-GS$169+SwaptionShift):INDEX($FK$245:$ID$316,$FJ185-GS$169,72-GS$169+SwaptionMonthsToGo+SwaptionShift))/SQRT(SUM(INDEX($FK340:$ID340,1+SwaptionShift):INDEX($FK340:$ID340,SwaptionMonthsToGo+SwaptionShift))*SUM(INDEX($FK$325:$ID$396,GS$169,1+SwaptionShift):INDEX($FK$325:$ID$396,GS$169,SwaptionMonthsToGo+SwaptionShift))))))</f>
        <v/>
      </c>
      <c r="GT185" s="150" t="str">
        <f aca="false">IF(OR(GT$169&lt;SwaptionFirstMonthPosition+1,$FJ185&lt;SwaptionFirstMonthPosition+1,GT$169&gt;SwaptionFirstMonthPosition+SwaptionNumOfMonths+1,$FJ185&gt;SwaptionFirstMonthPosition+SwaptionNumOfMonths+1),"",IF($FJ185=GT$169,1,IF($FJ185&lt;GT$169,INDEX($FK$170:$ID$241,GT$169,$FJ185),SUMPRODUCT(INDEX($FK$325:$ID$396,GT$169,1+SwaptionShift):INDEX($FK$325:$ID$396,GT$169,SwaptionMonthsToGo+SwaptionShift),INDEX($FK$245:$ID$316,$FJ185-GT$169,73-GT$169+SwaptionShift):INDEX($FK$245:$ID$316,$FJ185-GT$169,72-GT$169+SwaptionMonthsToGo+SwaptionShift))/SQRT(SUM(INDEX($FK340:$ID340,1+SwaptionShift):INDEX($FK340:$ID340,SwaptionMonthsToGo+SwaptionShift))*SUM(INDEX($FK$325:$ID$396,GT$169,1+SwaptionShift):INDEX($FK$325:$ID$396,GT$169,SwaptionMonthsToGo+SwaptionShift))))))</f>
        <v/>
      </c>
      <c r="GU185" s="150" t="str">
        <f aca="false">IF(OR(GU$169&lt;SwaptionFirstMonthPosition+1,$FJ185&lt;SwaptionFirstMonthPosition+1,GU$169&gt;SwaptionFirstMonthPosition+SwaptionNumOfMonths+1,$FJ185&gt;SwaptionFirstMonthPosition+SwaptionNumOfMonths+1),"",IF($FJ185=GU$169,1,IF($FJ185&lt;GU$169,INDEX($FK$170:$ID$241,GU$169,$FJ185),SUMPRODUCT(INDEX($FK$325:$ID$396,GU$169,1+SwaptionShift):INDEX($FK$325:$ID$396,GU$169,SwaptionMonthsToGo+SwaptionShift),INDEX($FK$245:$ID$316,$FJ185-GU$169,73-GU$169+SwaptionShift):INDEX($FK$245:$ID$316,$FJ185-GU$169,72-GU$169+SwaptionMonthsToGo+SwaptionShift))/SQRT(SUM(INDEX($FK340:$ID340,1+SwaptionShift):INDEX($FK340:$ID340,SwaptionMonthsToGo+SwaptionShift))*SUM(INDEX($FK$325:$ID$396,GU$169,1+SwaptionShift):INDEX($FK$325:$ID$396,GU$169,SwaptionMonthsToGo+SwaptionShift))))))</f>
        <v/>
      </c>
      <c r="GV185" s="150" t="str">
        <f aca="false">IF(OR(GV$169&lt;SwaptionFirstMonthPosition+1,$FJ185&lt;SwaptionFirstMonthPosition+1,GV$169&gt;SwaptionFirstMonthPosition+SwaptionNumOfMonths+1,$FJ185&gt;SwaptionFirstMonthPosition+SwaptionNumOfMonths+1),"",IF($FJ185=GV$169,1,IF($FJ185&lt;GV$169,INDEX($FK$170:$ID$241,GV$169,$FJ185),SUMPRODUCT(INDEX($FK$325:$ID$396,GV$169,1+SwaptionShift):INDEX($FK$325:$ID$396,GV$169,SwaptionMonthsToGo+SwaptionShift),INDEX($FK$245:$ID$316,$FJ185-GV$169,73-GV$169+SwaptionShift):INDEX($FK$245:$ID$316,$FJ185-GV$169,72-GV$169+SwaptionMonthsToGo+SwaptionShift))/SQRT(SUM(INDEX($FK340:$ID340,1+SwaptionShift):INDEX($FK340:$ID340,SwaptionMonthsToGo+SwaptionShift))*SUM(INDEX($FK$325:$ID$396,GV$169,1+SwaptionShift):INDEX($FK$325:$ID$396,GV$169,SwaptionMonthsToGo+SwaptionShift))))))</f>
        <v/>
      </c>
      <c r="GW185" s="150" t="str">
        <f aca="false">IF(OR(GW$169&lt;SwaptionFirstMonthPosition+1,$FJ185&lt;SwaptionFirstMonthPosition+1,GW$169&gt;SwaptionFirstMonthPosition+SwaptionNumOfMonths+1,$FJ185&gt;SwaptionFirstMonthPosition+SwaptionNumOfMonths+1),"",IF($FJ185=GW$169,1,IF($FJ185&lt;GW$169,INDEX($FK$170:$ID$241,GW$169,$FJ185),SUMPRODUCT(INDEX($FK$325:$ID$396,GW$169,1+SwaptionShift):INDEX($FK$325:$ID$396,GW$169,SwaptionMonthsToGo+SwaptionShift),INDEX($FK$245:$ID$316,$FJ185-GW$169,73-GW$169+SwaptionShift):INDEX($FK$245:$ID$316,$FJ185-GW$169,72-GW$169+SwaptionMonthsToGo+SwaptionShift))/SQRT(SUM(INDEX($FK340:$ID340,1+SwaptionShift):INDEX($FK340:$ID340,SwaptionMonthsToGo+SwaptionShift))*SUM(INDEX($FK$325:$ID$396,GW$169,1+SwaptionShift):INDEX($FK$325:$ID$396,GW$169,SwaptionMonthsToGo+SwaptionShift))))))</f>
        <v/>
      </c>
      <c r="GX185" s="150" t="str">
        <f aca="false">IF(OR(GX$169&lt;SwaptionFirstMonthPosition+1,$FJ185&lt;SwaptionFirstMonthPosition+1,GX$169&gt;SwaptionFirstMonthPosition+SwaptionNumOfMonths+1,$FJ185&gt;SwaptionFirstMonthPosition+SwaptionNumOfMonths+1),"",IF($FJ185=GX$169,1,IF($FJ185&lt;GX$169,INDEX($FK$170:$ID$241,GX$169,$FJ185),SUMPRODUCT(INDEX($FK$325:$ID$396,GX$169,1+SwaptionShift):INDEX($FK$325:$ID$396,GX$169,SwaptionMonthsToGo+SwaptionShift),INDEX($FK$245:$ID$316,$FJ185-GX$169,73-GX$169+SwaptionShift):INDEX($FK$245:$ID$316,$FJ185-GX$169,72-GX$169+SwaptionMonthsToGo+SwaptionShift))/SQRT(SUM(INDEX($FK340:$ID340,1+SwaptionShift):INDEX($FK340:$ID340,SwaptionMonthsToGo+SwaptionShift))*SUM(INDEX($FK$325:$ID$396,GX$169,1+SwaptionShift):INDEX($FK$325:$ID$396,GX$169,SwaptionMonthsToGo+SwaptionShift))))))</f>
        <v/>
      </c>
      <c r="GY185" s="150" t="str">
        <f aca="false">IF(OR(GY$169&lt;SwaptionFirstMonthPosition+1,$FJ185&lt;SwaptionFirstMonthPosition+1,GY$169&gt;SwaptionFirstMonthPosition+SwaptionNumOfMonths+1,$FJ185&gt;SwaptionFirstMonthPosition+SwaptionNumOfMonths+1),"",IF($FJ185=GY$169,1,IF($FJ185&lt;GY$169,INDEX($FK$170:$ID$241,GY$169,$FJ185),SUMPRODUCT(INDEX($FK$325:$ID$396,GY$169,1+SwaptionShift):INDEX($FK$325:$ID$396,GY$169,SwaptionMonthsToGo+SwaptionShift),INDEX($FK$245:$ID$316,$FJ185-GY$169,73-GY$169+SwaptionShift):INDEX($FK$245:$ID$316,$FJ185-GY$169,72-GY$169+SwaptionMonthsToGo+SwaptionShift))/SQRT(SUM(INDEX($FK340:$ID340,1+SwaptionShift):INDEX($FK340:$ID340,SwaptionMonthsToGo+SwaptionShift))*SUM(INDEX($FK$325:$ID$396,GY$169,1+SwaptionShift):INDEX($FK$325:$ID$396,GY$169,SwaptionMonthsToGo+SwaptionShift))))))</f>
        <v/>
      </c>
      <c r="GZ185" s="150" t="str">
        <f aca="false">IF(OR(GZ$169&lt;SwaptionFirstMonthPosition+1,$FJ185&lt;SwaptionFirstMonthPosition+1,GZ$169&gt;SwaptionFirstMonthPosition+SwaptionNumOfMonths+1,$FJ185&gt;SwaptionFirstMonthPosition+SwaptionNumOfMonths+1),"",IF($FJ185=GZ$169,1,IF($FJ185&lt;GZ$169,INDEX($FK$170:$ID$241,GZ$169,$FJ185),SUMPRODUCT(INDEX($FK$325:$ID$396,GZ$169,1+SwaptionShift):INDEX($FK$325:$ID$396,GZ$169,SwaptionMonthsToGo+SwaptionShift),INDEX($FK$245:$ID$316,$FJ185-GZ$169,73-GZ$169+SwaptionShift):INDEX($FK$245:$ID$316,$FJ185-GZ$169,72-GZ$169+SwaptionMonthsToGo+SwaptionShift))/SQRT(SUM(INDEX($FK340:$ID340,1+SwaptionShift):INDEX($FK340:$ID340,SwaptionMonthsToGo+SwaptionShift))*SUM(INDEX($FK$325:$ID$396,GZ$169,1+SwaptionShift):INDEX($FK$325:$ID$396,GZ$169,SwaptionMonthsToGo+SwaptionShift))))))</f>
        <v/>
      </c>
      <c r="HA185" s="150" t="str">
        <f aca="false">IF(OR(HA$169&lt;SwaptionFirstMonthPosition+1,$FJ185&lt;SwaptionFirstMonthPosition+1,HA$169&gt;SwaptionFirstMonthPosition+SwaptionNumOfMonths+1,$FJ185&gt;SwaptionFirstMonthPosition+SwaptionNumOfMonths+1),"",IF($FJ185=HA$169,1,IF($FJ185&lt;HA$169,INDEX($FK$170:$ID$241,HA$169,$FJ185),SUMPRODUCT(INDEX($FK$325:$ID$396,HA$169,1+SwaptionShift):INDEX($FK$325:$ID$396,HA$169,SwaptionMonthsToGo+SwaptionShift),INDEX($FK$245:$ID$316,$FJ185-HA$169,73-HA$169+SwaptionShift):INDEX($FK$245:$ID$316,$FJ185-HA$169,72-HA$169+SwaptionMonthsToGo+SwaptionShift))/SQRT(SUM(INDEX($FK340:$ID340,1+SwaptionShift):INDEX($FK340:$ID340,SwaptionMonthsToGo+SwaptionShift))*SUM(INDEX($FK$325:$ID$396,HA$169,1+SwaptionShift):INDEX($FK$325:$ID$396,HA$169,SwaptionMonthsToGo+SwaptionShift))))))</f>
        <v/>
      </c>
      <c r="HB185" s="150" t="str">
        <f aca="false">IF(OR(HB$169&lt;SwaptionFirstMonthPosition+1,$FJ185&lt;SwaptionFirstMonthPosition+1,HB$169&gt;SwaptionFirstMonthPosition+SwaptionNumOfMonths+1,$FJ185&gt;SwaptionFirstMonthPosition+SwaptionNumOfMonths+1),"",IF($FJ185=HB$169,1,IF($FJ185&lt;HB$169,INDEX($FK$170:$ID$241,HB$169,$FJ185),SUMPRODUCT(INDEX($FK$325:$ID$396,HB$169,1+SwaptionShift):INDEX($FK$325:$ID$396,HB$169,SwaptionMonthsToGo+SwaptionShift),INDEX($FK$245:$ID$316,$FJ185-HB$169,73-HB$169+SwaptionShift):INDEX($FK$245:$ID$316,$FJ185-HB$169,72-HB$169+SwaptionMonthsToGo+SwaptionShift))/SQRT(SUM(INDEX($FK340:$ID340,1+SwaptionShift):INDEX($FK340:$ID340,SwaptionMonthsToGo+SwaptionShift))*SUM(INDEX($FK$325:$ID$396,HB$169,1+SwaptionShift):INDEX($FK$325:$ID$396,HB$169,SwaptionMonthsToGo+SwaptionShift))))))</f>
        <v/>
      </c>
      <c r="HC185" s="150" t="str">
        <f aca="false">IF(OR(HC$169&lt;SwaptionFirstMonthPosition+1,$FJ185&lt;SwaptionFirstMonthPosition+1,HC$169&gt;SwaptionFirstMonthPosition+SwaptionNumOfMonths+1,$FJ185&gt;SwaptionFirstMonthPosition+SwaptionNumOfMonths+1),"",IF($FJ185=HC$169,1,IF($FJ185&lt;HC$169,INDEX($FK$170:$ID$241,HC$169,$FJ185),SUMPRODUCT(INDEX($FK$325:$ID$396,HC$169,1+SwaptionShift):INDEX($FK$325:$ID$396,HC$169,SwaptionMonthsToGo+SwaptionShift),INDEX($FK$245:$ID$316,$FJ185-HC$169,73-HC$169+SwaptionShift):INDEX($FK$245:$ID$316,$FJ185-HC$169,72-HC$169+SwaptionMonthsToGo+SwaptionShift))/SQRT(SUM(INDEX($FK340:$ID340,1+SwaptionShift):INDEX($FK340:$ID340,SwaptionMonthsToGo+SwaptionShift))*SUM(INDEX($FK$325:$ID$396,HC$169,1+SwaptionShift):INDEX($FK$325:$ID$396,HC$169,SwaptionMonthsToGo+SwaptionShift))))))</f>
        <v/>
      </c>
      <c r="HD185" s="150" t="str">
        <f aca="false">IF(OR(HD$169&lt;SwaptionFirstMonthPosition+1,$FJ185&lt;SwaptionFirstMonthPosition+1,HD$169&gt;SwaptionFirstMonthPosition+SwaptionNumOfMonths+1,$FJ185&gt;SwaptionFirstMonthPosition+SwaptionNumOfMonths+1),"",IF($FJ185=HD$169,1,IF($FJ185&lt;HD$169,INDEX($FK$170:$ID$241,HD$169,$FJ185),SUMPRODUCT(INDEX($FK$325:$ID$396,HD$169,1+SwaptionShift):INDEX($FK$325:$ID$396,HD$169,SwaptionMonthsToGo+SwaptionShift),INDEX($FK$245:$ID$316,$FJ185-HD$169,73-HD$169+SwaptionShift):INDEX($FK$245:$ID$316,$FJ185-HD$169,72-HD$169+SwaptionMonthsToGo+SwaptionShift))/SQRT(SUM(INDEX($FK340:$ID340,1+SwaptionShift):INDEX($FK340:$ID340,SwaptionMonthsToGo+SwaptionShift))*SUM(INDEX($FK$325:$ID$396,HD$169,1+SwaptionShift):INDEX($FK$325:$ID$396,HD$169,SwaptionMonthsToGo+SwaptionShift))))))</f>
        <v/>
      </c>
      <c r="HE185" s="150" t="str">
        <f aca="false">IF(OR(HE$169&lt;SwaptionFirstMonthPosition+1,$FJ185&lt;SwaptionFirstMonthPosition+1,HE$169&gt;SwaptionFirstMonthPosition+SwaptionNumOfMonths+1,$FJ185&gt;SwaptionFirstMonthPosition+SwaptionNumOfMonths+1),"",IF($FJ185=HE$169,1,IF($FJ185&lt;HE$169,INDEX($FK$170:$ID$241,HE$169,$FJ185),SUMPRODUCT(INDEX($FK$325:$ID$396,HE$169,1+SwaptionShift):INDEX($FK$325:$ID$396,HE$169,SwaptionMonthsToGo+SwaptionShift),INDEX($FK$245:$ID$316,$FJ185-HE$169,73-HE$169+SwaptionShift):INDEX($FK$245:$ID$316,$FJ185-HE$169,72-HE$169+SwaptionMonthsToGo+SwaptionShift))/SQRT(SUM(INDEX($FK340:$ID340,1+SwaptionShift):INDEX($FK340:$ID340,SwaptionMonthsToGo+SwaptionShift))*SUM(INDEX($FK$325:$ID$396,HE$169,1+SwaptionShift):INDEX($FK$325:$ID$396,HE$169,SwaptionMonthsToGo+SwaptionShift))))))</f>
        <v/>
      </c>
      <c r="HF185" s="150" t="str">
        <f aca="false">IF(OR(HF$169&lt;SwaptionFirstMonthPosition+1,$FJ185&lt;SwaptionFirstMonthPosition+1,HF$169&gt;SwaptionFirstMonthPosition+SwaptionNumOfMonths+1,$FJ185&gt;SwaptionFirstMonthPosition+SwaptionNumOfMonths+1),"",IF($FJ185=HF$169,1,IF($FJ185&lt;HF$169,INDEX($FK$170:$ID$241,HF$169,$FJ185),SUMPRODUCT(INDEX($FK$325:$ID$396,HF$169,1+SwaptionShift):INDEX($FK$325:$ID$396,HF$169,SwaptionMonthsToGo+SwaptionShift),INDEX($FK$245:$ID$316,$FJ185-HF$169,73-HF$169+SwaptionShift):INDEX($FK$245:$ID$316,$FJ185-HF$169,72-HF$169+SwaptionMonthsToGo+SwaptionShift))/SQRT(SUM(INDEX($FK340:$ID340,1+SwaptionShift):INDEX($FK340:$ID340,SwaptionMonthsToGo+SwaptionShift))*SUM(INDEX($FK$325:$ID$396,HF$169,1+SwaptionShift):INDEX($FK$325:$ID$396,HF$169,SwaptionMonthsToGo+SwaptionShift))))))</f>
        <v/>
      </c>
      <c r="HG185" s="150" t="str">
        <f aca="false">IF(OR(HG$169&lt;SwaptionFirstMonthPosition+1,$FJ185&lt;SwaptionFirstMonthPosition+1,HG$169&gt;SwaptionFirstMonthPosition+SwaptionNumOfMonths+1,$FJ185&gt;SwaptionFirstMonthPosition+SwaptionNumOfMonths+1),"",IF($FJ185=HG$169,1,IF($FJ185&lt;HG$169,INDEX($FK$170:$ID$241,HG$169,$FJ185),SUMPRODUCT(INDEX($FK$325:$ID$396,HG$169,1+SwaptionShift):INDEX($FK$325:$ID$396,HG$169,SwaptionMonthsToGo+SwaptionShift),INDEX($FK$245:$ID$316,$FJ185-HG$169,73-HG$169+SwaptionShift):INDEX($FK$245:$ID$316,$FJ185-HG$169,72-HG$169+SwaptionMonthsToGo+SwaptionShift))/SQRT(SUM(INDEX($FK340:$ID340,1+SwaptionShift):INDEX($FK340:$ID340,SwaptionMonthsToGo+SwaptionShift))*SUM(INDEX($FK$325:$ID$396,HG$169,1+SwaptionShift):INDEX($FK$325:$ID$396,HG$169,SwaptionMonthsToGo+SwaptionShift))))))</f>
        <v/>
      </c>
      <c r="HH185" s="150" t="str">
        <f aca="false">IF(OR(HH$169&lt;SwaptionFirstMonthPosition+1,$FJ185&lt;SwaptionFirstMonthPosition+1,HH$169&gt;SwaptionFirstMonthPosition+SwaptionNumOfMonths+1,$FJ185&gt;SwaptionFirstMonthPosition+SwaptionNumOfMonths+1),"",IF($FJ185=HH$169,1,IF($FJ185&lt;HH$169,INDEX($FK$170:$ID$241,HH$169,$FJ185),SUMPRODUCT(INDEX($FK$325:$ID$396,HH$169,1+SwaptionShift):INDEX($FK$325:$ID$396,HH$169,SwaptionMonthsToGo+SwaptionShift),INDEX($FK$245:$ID$316,$FJ185-HH$169,73-HH$169+SwaptionShift):INDEX($FK$245:$ID$316,$FJ185-HH$169,72-HH$169+SwaptionMonthsToGo+SwaptionShift))/SQRT(SUM(INDEX($FK340:$ID340,1+SwaptionShift):INDEX($FK340:$ID340,SwaptionMonthsToGo+SwaptionShift))*SUM(INDEX($FK$325:$ID$396,HH$169,1+SwaptionShift):INDEX($FK$325:$ID$396,HH$169,SwaptionMonthsToGo+SwaptionShift))))))</f>
        <v/>
      </c>
      <c r="HI185" s="150" t="str">
        <f aca="false">IF(OR(HI$169&lt;SwaptionFirstMonthPosition+1,$FJ185&lt;SwaptionFirstMonthPosition+1,HI$169&gt;SwaptionFirstMonthPosition+SwaptionNumOfMonths+1,$FJ185&gt;SwaptionFirstMonthPosition+SwaptionNumOfMonths+1),"",IF($FJ185=HI$169,1,IF($FJ185&lt;HI$169,INDEX($FK$170:$ID$241,HI$169,$FJ185),SUMPRODUCT(INDEX($FK$325:$ID$396,HI$169,1+SwaptionShift):INDEX($FK$325:$ID$396,HI$169,SwaptionMonthsToGo+SwaptionShift),INDEX($FK$245:$ID$316,$FJ185-HI$169,73-HI$169+SwaptionShift):INDEX($FK$245:$ID$316,$FJ185-HI$169,72-HI$169+SwaptionMonthsToGo+SwaptionShift))/SQRT(SUM(INDEX($FK340:$ID340,1+SwaptionShift):INDEX($FK340:$ID340,SwaptionMonthsToGo+SwaptionShift))*SUM(INDEX($FK$325:$ID$396,HI$169,1+SwaptionShift):INDEX($FK$325:$ID$396,HI$169,SwaptionMonthsToGo+SwaptionShift))))))</f>
        <v/>
      </c>
      <c r="HJ185" s="150" t="str">
        <f aca="false">IF(OR(HJ$169&lt;SwaptionFirstMonthPosition+1,$FJ185&lt;SwaptionFirstMonthPosition+1,HJ$169&gt;SwaptionFirstMonthPosition+SwaptionNumOfMonths+1,$FJ185&gt;SwaptionFirstMonthPosition+SwaptionNumOfMonths+1),"",IF($FJ185=HJ$169,1,IF($FJ185&lt;HJ$169,INDEX($FK$170:$ID$241,HJ$169,$FJ185),SUMPRODUCT(INDEX($FK$325:$ID$396,HJ$169,1+SwaptionShift):INDEX($FK$325:$ID$396,HJ$169,SwaptionMonthsToGo+SwaptionShift),INDEX($FK$245:$ID$316,$FJ185-HJ$169,73-HJ$169+SwaptionShift):INDEX($FK$245:$ID$316,$FJ185-HJ$169,72-HJ$169+SwaptionMonthsToGo+SwaptionShift))/SQRT(SUM(INDEX($FK340:$ID340,1+SwaptionShift):INDEX($FK340:$ID340,SwaptionMonthsToGo+SwaptionShift))*SUM(INDEX($FK$325:$ID$396,HJ$169,1+SwaptionShift):INDEX($FK$325:$ID$396,HJ$169,SwaptionMonthsToGo+SwaptionShift))))))</f>
        <v/>
      </c>
      <c r="HK185" s="150" t="str">
        <f aca="false">IF(OR(HK$169&lt;SwaptionFirstMonthPosition+1,$FJ185&lt;SwaptionFirstMonthPosition+1,HK$169&gt;SwaptionFirstMonthPosition+SwaptionNumOfMonths+1,$FJ185&gt;SwaptionFirstMonthPosition+SwaptionNumOfMonths+1),"",IF($FJ185=HK$169,1,IF($FJ185&lt;HK$169,INDEX($FK$170:$ID$241,HK$169,$FJ185),SUMPRODUCT(INDEX($FK$325:$ID$396,HK$169,1+SwaptionShift):INDEX($FK$325:$ID$396,HK$169,SwaptionMonthsToGo+SwaptionShift),INDEX($FK$245:$ID$316,$FJ185-HK$169,73-HK$169+SwaptionShift):INDEX($FK$245:$ID$316,$FJ185-HK$169,72-HK$169+SwaptionMonthsToGo+SwaptionShift))/SQRT(SUM(INDEX($FK340:$ID340,1+SwaptionShift):INDEX($FK340:$ID340,SwaptionMonthsToGo+SwaptionShift))*SUM(INDEX($FK$325:$ID$396,HK$169,1+SwaptionShift):INDEX($FK$325:$ID$396,HK$169,SwaptionMonthsToGo+SwaptionShift))))))</f>
        <v/>
      </c>
      <c r="HL185" s="150" t="str">
        <f aca="false">IF(OR(HL$169&lt;SwaptionFirstMonthPosition+1,$FJ185&lt;SwaptionFirstMonthPosition+1,HL$169&gt;SwaptionFirstMonthPosition+SwaptionNumOfMonths+1,$FJ185&gt;SwaptionFirstMonthPosition+SwaptionNumOfMonths+1),"",IF($FJ185=HL$169,1,IF($FJ185&lt;HL$169,INDEX($FK$170:$ID$241,HL$169,$FJ185),SUMPRODUCT(INDEX($FK$325:$ID$396,HL$169,1+SwaptionShift):INDEX($FK$325:$ID$396,HL$169,SwaptionMonthsToGo+SwaptionShift),INDEX($FK$245:$ID$316,$FJ185-HL$169,73-HL$169+SwaptionShift):INDEX($FK$245:$ID$316,$FJ185-HL$169,72-HL$169+SwaptionMonthsToGo+SwaptionShift))/SQRT(SUM(INDEX($FK340:$ID340,1+SwaptionShift):INDEX($FK340:$ID340,SwaptionMonthsToGo+SwaptionShift))*SUM(INDEX($FK$325:$ID$396,HL$169,1+SwaptionShift):INDEX($FK$325:$ID$396,HL$169,SwaptionMonthsToGo+SwaptionShift))))))</f>
        <v/>
      </c>
      <c r="HM185" s="150" t="str">
        <f aca="false">IF(OR(HM$169&lt;SwaptionFirstMonthPosition+1,$FJ185&lt;SwaptionFirstMonthPosition+1,HM$169&gt;SwaptionFirstMonthPosition+SwaptionNumOfMonths+1,$FJ185&gt;SwaptionFirstMonthPosition+SwaptionNumOfMonths+1),"",IF($FJ185=HM$169,1,IF($FJ185&lt;HM$169,INDEX($FK$170:$ID$241,HM$169,$FJ185),SUMPRODUCT(INDEX($FK$325:$ID$396,HM$169,1+SwaptionShift):INDEX($FK$325:$ID$396,HM$169,SwaptionMonthsToGo+SwaptionShift),INDEX($FK$245:$ID$316,$FJ185-HM$169,73-HM$169+SwaptionShift):INDEX($FK$245:$ID$316,$FJ185-HM$169,72-HM$169+SwaptionMonthsToGo+SwaptionShift))/SQRT(SUM(INDEX($FK340:$ID340,1+SwaptionShift):INDEX($FK340:$ID340,SwaptionMonthsToGo+SwaptionShift))*SUM(INDEX($FK$325:$ID$396,HM$169,1+SwaptionShift):INDEX($FK$325:$ID$396,HM$169,SwaptionMonthsToGo+SwaptionShift))))))</f>
        <v/>
      </c>
      <c r="HN185" s="150" t="str">
        <f aca="false">IF(OR(HN$169&lt;SwaptionFirstMonthPosition+1,$FJ185&lt;SwaptionFirstMonthPosition+1,HN$169&gt;SwaptionFirstMonthPosition+SwaptionNumOfMonths+1,$FJ185&gt;SwaptionFirstMonthPosition+SwaptionNumOfMonths+1),"",IF($FJ185=HN$169,1,IF($FJ185&lt;HN$169,INDEX($FK$170:$ID$241,HN$169,$FJ185),SUMPRODUCT(INDEX($FK$325:$ID$396,HN$169,1+SwaptionShift):INDEX($FK$325:$ID$396,HN$169,SwaptionMonthsToGo+SwaptionShift),INDEX($FK$245:$ID$316,$FJ185-HN$169,73-HN$169+SwaptionShift):INDEX($FK$245:$ID$316,$FJ185-HN$169,72-HN$169+SwaptionMonthsToGo+SwaptionShift))/SQRT(SUM(INDEX($FK340:$ID340,1+SwaptionShift):INDEX($FK340:$ID340,SwaptionMonthsToGo+SwaptionShift))*SUM(INDEX($FK$325:$ID$396,HN$169,1+SwaptionShift):INDEX($FK$325:$ID$396,HN$169,SwaptionMonthsToGo+SwaptionShift))))))</f>
        <v/>
      </c>
      <c r="HO185" s="150" t="str">
        <f aca="false">IF(OR(HO$169&lt;SwaptionFirstMonthPosition+1,$FJ185&lt;SwaptionFirstMonthPosition+1,HO$169&gt;SwaptionFirstMonthPosition+SwaptionNumOfMonths+1,$FJ185&gt;SwaptionFirstMonthPosition+SwaptionNumOfMonths+1),"",IF($FJ185=HO$169,1,IF($FJ185&lt;HO$169,INDEX($FK$170:$ID$241,HO$169,$FJ185),SUMPRODUCT(INDEX($FK$325:$ID$396,HO$169,1+SwaptionShift):INDEX($FK$325:$ID$396,HO$169,SwaptionMonthsToGo+SwaptionShift),INDEX($FK$245:$ID$316,$FJ185-HO$169,73-HO$169+SwaptionShift):INDEX($FK$245:$ID$316,$FJ185-HO$169,72-HO$169+SwaptionMonthsToGo+SwaptionShift))/SQRT(SUM(INDEX($FK340:$ID340,1+SwaptionShift):INDEX($FK340:$ID340,SwaptionMonthsToGo+SwaptionShift))*SUM(INDEX($FK$325:$ID$396,HO$169,1+SwaptionShift):INDEX($FK$325:$ID$396,HO$169,SwaptionMonthsToGo+SwaptionShift))))))</f>
        <v/>
      </c>
      <c r="HP185" s="150" t="str">
        <f aca="false">IF(OR(HP$169&lt;SwaptionFirstMonthPosition+1,$FJ185&lt;SwaptionFirstMonthPosition+1,HP$169&gt;SwaptionFirstMonthPosition+SwaptionNumOfMonths+1,$FJ185&gt;SwaptionFirstMonthPosition+SwaptionNumOfMonths+1),"",IF($FJ185=HP$169,1,IF($FJ185&lt;HP$169,INDEX($FK$170:$ID$241,HP$169,$FJ185),SUMPRODUCT(INDEX($FK$325:$ID$396,HP$169,1+SwaptionShift):INDEX($FK$325:$ID$396,HP$169,SwaptionMonthsToGo+SwaptionShift),INDEX($FK$245:$ID$316,$FJ185-HP$169,73-HP$169+SwaptionShift):INDEX($FK$245:$ID$316,$FJ185-HP$169,72-HP$169+SwaptionMonthsToGo+SwaptionShift))/SQRT(SUM(INDEX($FK340:$ID340,1+SwaptionShift):INDEX($FK340:$ID340,SwaptionMonthsToGo+SwaptionShift))*SUM(INDEX($FK$325:$ID$396,HP$169,1+SwaptionShift):INDEX($FK$325:$ID$396,HP$169,SwaptionMonthsToGo+SwaptionShift))))))</f>
        <v/>
      </c>
      <c r="HQ185" s="150" t="str">
        <f aca="false">IF(OR(HQ$169&lt;SwaptionFirstMonthPosition+1,$FJ185&lt;SwaptionFirstMonthPosition+1,HQ$169&gt;SwaptionFirstMonthPosition+SwaptionNumOfMonths+1,$FJ185&gt;SwaptionFirstMonthPosition+SwaptionNumOfMonths+1),"",IF($FJ185=HQ$169,1,IF($FJ185&lt;HQ$169,INDEX($FK$170:$ID$241,HQ$169,$FJ185),SUMPRODUCT(INDEX($FK$325:$ID$396,HQ$169,1+SwaptionShift):INDEX($FK$325:$ID$396,HQ$169,SwaptionMonthsToGo+SwaptionShift),INDEX($FK$245:$ID$316,$FJ185-HQ$169,73-HQ$169+SwaptionShift):INDEX($FK$245:$ID$316,$FJ185-HQ$169,72-HQ$169+SwaptionMonthsToGo+SwaptionShift))/SQRT(SUM(INDEX($FK340:$ID340,1+SwaptionShift):INDEX($FK340:$ID340,SwaptionMonthsToGo+SwaptionShift))*SUM(INDEX($FK$325:$ID$396,HQ$169,1+SwaptionShift):INDEX($FK$325:$ID$396,HQ$169,SwaptionMonthsToGo+SwaptionShift))))))</f>
        <v/>
      </c>
      <c r="HR185" s="150" t="str">
        <f aca="false">IF(OR(HR$169&lt;SwaptionFirstMonthPosition+1,$FJ185&lt;SwaptionFirstMonthPosition+1,HR$169&gt;SwaptionFirstMonthPosition+SwaptionNumOfMonths+1,$FJ185&gt;SwaptionFirstMonthPosition+SwaptionNumOfMonths+1),"",IF($FJ185=HR$169,1,IF($FJ185&lt;HR$169,INDEX($FK$170:$ID$241,HR$169,$FJ185),SUMPRODUCT(INDEX($FK$325:$ID$396,HR$169,1+SwaptionShift):INDEX($FK$325:$ID$396,HR$169,SwaptionMonthsToGo+SwaptionShift),INDEX($FK$245:$ID$316,$FJ185-HR$169,73-HR$169+SwaptionShift):INDEX($FK$245:$ID$316,$FJ185-HR$169,72-HR$169+SwaptionMonthsToGo+SwaptionShift))/SQRT(SUM(INDEX($FK340:$ID340,1+SwaptionShift):INDEX($FK340:$ID340,SwaptionMonthsToGo+SwaptionShift))*SUM(INDEX($FK$325:$ID$396,HR$169,1+SwaptionShift):INDEX($FK$325:$ID$396,HR$169,SwaptionMonthsToGo+SwaptionShift))))))</f>
        <v/>
      </c>
      <c r="HS185" s="150" t="str">
        <f aca="false">IF(OR(HS$169&lt;SwaptionFirstMonthPosition+1,$FJ185&lt;SwaptionFirstMonthPosition+1,HS$169&gt;SwaptionFirstMonthPosition+SwaptionNumOfMonths+1,$FJ185&gt;SwaptionFirstMonthPosition+SwaptionNumOfMonths+1),"",IF($FJ185=HS$169,1,IF($FJ185&lt;HS$169,INDEX($FK$170:$ID$241,HS$169,$FJ185),SUMPRODUCT(INDEX($FK$325:$ID$396,HS$169,1+SwaptionShift):INDEX($FK$325:$ID$396,HS$169,SwaptionMonthsToGo+SwaptionShift),INDEX($FK$245:$ID$316,$FJ185-HS$169,73-HS$169+SwaptionShift):INDEX($FK$245:$ID$316,$FJ185-HS$169,72-HS$169+SwaptionMonthsToGo+SwaptionShift))/SQRT(SUM(INDEX($FK340:$ID340,1+SwaptionShift):INDEX($FK340:$ID340,SwaptionMonthsToGo+SwaptionShift))*SUM(INDEX($FK$325:$ID$396,HS$169,1+SwaptionShift):INDEX($FK$325:$ID$396,HS$169,SwaptionMonthsToGo+SwaptionShift))))))</f>
        <v/>
      </c>
      <c r="HT185" s="150" t="str">
        <f aca="false">IF(OR(HT$169&lt;SwaptionFirstMonthPosition+1,$FJ185&lt;SwaptionFirstMonthPosition+1,HT$169&gt;SwaptionFirstMonthPosition+SwaptionNumOfMonths+1,$FJ185&gt;SwaptionFirstMonthPosition+SwaptionNumOfMonths+1),"",IF($FJ185=HT$169,1,IF($FJ185&lt;HT$169,INDEX($FK$170:$ID$241,HT$169,$FJ185),SUMPRODUCT(INDEX($FK$325:$ID$396,HT$169,1+SwaptionShift):INDEX($FK$325:$ID$396,HT$169,SwaptionMonthsToGo+SwaptionShift),INDEX($FK$245:$ID$316,$FJ185-HT$169,73-HT$169+SwaptionShift):INDEX($FK$245:$ID$316,$FJ185-HT$169,72-HT$169+SwaptionMonthsToGo+SwaptionShift))/SQRT(SUM(INDEX($FK340:$ID340,1+SwaptionShift):INDEX($FK340:$ID340,SwaptionMonthsToGo+SwaptionShift))*SUM(INDEX($FK$325:$ID$396,HT$169,1+SwaptionShift):INDEX($FK$325:$ID$396,HT$169,SwaptionMonthsToGo+SwaptionShift))))))</f>
        <v/>
      </c>
      <c r="HU185" s="150" t="str">
        <f aca="false">IF(OR(HU$169&lt;SwaptionFirstMonthPosition+1,$FJ185&lt;SwaptionFirstMonthPosition+1,HU$169&gt;SwaptionFirstMonthPosition+SwaptionNumOfMonths+1,$FJ185&gt;SwaptionFirstMonthPosition+SwaptionNumOfMonths+1),"",IF($FJ185=HU$169,1,IF($FJ185&lt;HU$169,INDEX($FK$170:$ID$241,HU$169,$FJ185),SUMPRODUCT(INDEX($FK$325:$ID$396,HU$169,1+SwaptionShift):INDEX($FK$325:$ID$396,HU$169,SwaptionMonthsToGo+SwaptionShift),INDEX($FK$245:$ID$316,$FJ185-HU$169,73-HU$169+SwaptionShift):INDEX($FK$245:$ID$316,$FJ185-HU$169,72-HU$169+SwaptionMonthsToGo+SwaptionShift))/SQRT(SUM(INDEX($FK340:$ID340,1+SwaptionShift):INDEX($FK340:$ID340,SwaptionMonthsToGo+SwaptionShift))*SUM(INDEX($FK$325:$ID$396,HU$169,1+SwaptionShift):INDEX($FK$325:$ID$396,HU$169,SwaptionMonthsToGo+SwaptionShift))))))</f>
        <v/>
      </c>
      <c r="HV185" s="150" t="str">
        <f aca="false">IF(OR(HV$169&lt;SwaptionFirstMonthPosition+1,$FJ185&lt;SwaptionFirstMonthPosition+1,HV$169&gt;SwaptionFirstMonthPosition+SwaptionNumOfMonths+1,$FJ185&gt;SwaptionFirstMonthPosition+SwaptionNumOfMonths+1),"",IF($FJ185=HV$169,1,IF($FJ185&lt;HV$169,INDEX($FK$170:$ID$241,HV$169,$FJ185),SUMPRODUCT(INDEX($FK$325:$ID$396,HV$169,1+SwaptionShift):INDEX($FK$325:$ID$396,HV$169,SwaptionMonthsToGo+SwaptionShift),INDEX($FK$245:$ID$316,$FJ185-HV$169,73-HV$169+SwaptionShift):INDEX($FK$245:$ID$316,$FJ185-HV$169,72-HV$169+SwaptionMonthsToGo+SwaptionShift))/SQRT(SUM(INDEX($FK340:$ID340,1+SwaptionShift):INDEX($FK340:$ID340,SwaptionMonthsToGo+SwaptionShift))*SUM(INDEX($FK$325:$ID$396,HV$169,1+SwaptionShift):INDEX($FK$325:$ID$396,HV$169,SwaptionMonthsToGo+SwaptionShift))))))</f>
        <v/>
      </c>
      <c r="HW185" s="150" t="str">
        <f aca="false">IF(OR(HW$169&lt;SwaptionFirstMonthPosition+1,$FJ185&lt;SwaptionFirstMonthPosition+1,HW$169&gt;SwaptionFirstMonthPosition+SwaptionNumOfMonths+1,$FJ185&gt;SwaptionFirstMonthPosition+SwaptionNumOfMonths+1),"",IF($FJ185=HW$169,1,IF($FJ185&lt;HW$169,INDEX($FK$170:$ID$241,HW$169,$FJ185),SUMPRODUCT(INDEX($FK$325:$ID$396,HW$169,1+SwaptionShift):INDEX($FK$325:$ID$396,HW$169,SwaptionMonthsToGo+SwaptionShift),INDEX($FK$245:$ID$316,$FJ185-HW$169,73-HW$169+SwaptionShift):INDEX($FK$245:$ID$316,$FJ185-HW$169,72-HW$169+SwaptionMonthsToGo+SwaptionShift))/SQRT(SUM(INDEX($FK340:$ID340,1+SwaptionShift):INDEX($FK340:$ID340,SwaptionMonthsToGo+SwaptionShift))*SUM(INDEX($FK$325:$ID$396,HW$169,1+SwaptionShift):INDEX($FK$325:$ID$396,HW$169,SwaptionMonthsToGo+SwaptionShift))))))</f>
        <v/>
      </c>
      <c r="HX185" s="150" t="str">
        <f aca="false">IF(OR(HX$169&lt;SwaptionFirstMonthPosition+1,$FJ185&lt;SwaptionFirstMonthPosition+1,HX$169&gt;SwaptionFirstMonthPosition+SwaptionNumOfMonths+1,$FJ185&gt;SwaptionFirstMonthPosition+SwaptionNumOfMonths+1),"",IF($FJ185=HX$169,1,IF($FJ185&lt;HX$169,INDEX($FK$170:$ID$241,HX$169,$FJ185),SUMPRODUCT(INDEX($FK$325:$ID$396,HX$169,1+SwaptionShift):INDEX($FK$325:$ID$396,HX$169,SwaptionMonthsToGo+SwaptionShift),INDEX($FK$245:$ID$316,$FJ185-HX$169,73-HX$169+SwaptionShift):INDEX($FK$245:$ID$316,$FJ185-HX$169,72-HX$169+SwaptionMonthsToGo+SwaptionShift))/SQRT(SUM(INDEX($FK340:$ID340,1+SwaptionShift):INDEX($FK340:$ID340,SwaptionMonthsToGo+SwaptionShift))*SUM(INDEX($FK$325:$ID$396,HX$169,1+SwaptionShift):INDEX($FK$325:$ID$396,HX$169,SwaptionMonthsToGo+SwaptionShift))))))</f>
        <v/>
      </c>
      <c r="HY185" s="150" t="str">
        <f aca="false">IF(OR(HY$169&lt;SwaptionFirstMonthPosition+1,$FJ185&lt;SwaptionFirstMonthPosition+1,HY$169&gt;SwaptionFirstMonthPosition+SwaptionNumOfMonths+1,$FJ185&gt;SwaptionFirstMonthPosition+SwaptionNumOfMonths+1),"",IF($FJ185=HY$169,1,IF($FJ185&lt;HY$169,INDEX($FK$170:$ID$241,HY$169,$FJ185),SUMPRODUCT(INDEX($FK$325:$ID$396,HY$169,1+SwaptionShift):INDEX($FK$325:$ID$396,HY$169,SwaptionMonthsToGo+SwaptionShift),INDEX($FK$245:$ID$316,$FJ185-HY$169,73-HY$169+SwaptionShift):INDEX($FK$245:$ID$316,$FJ185-HY$169,72-HY$169+SwaptionMonthsToGo+SwaptionShift))/SQRT(SUM(INDEX($FK340:$ID340,1+SwaptionShift):INDEX($FK340:$ID340,SwaptionMonthsToGo+SwaptionShift))*SUM(INDEX($FK$325:$ID$396,HY$169,1+SwaptionShift):INDEX($FK$325:$ID$396,HY$169,SwaptionMonthsToGo+SwaptionShift))))))</f>
        <v/>
      </c>
      <c r="HZ185" s="150" t="str">
        <f aca="false">IF(OR(HZ$169&lt;SwaptionFirstMonthPosition+1,$FJ185&lt;SwaptionFirstMonthPosition+1,HZ$169&gt;SwaptionFirstMonthPosition+SwaptionNumOfMonths+1,$FJ185&gt;SwaptionFirstMonthPosition+SwaptionNumOfMonths+1),"",IF($FJ185=HZ$169,1,IF($FJ185&lt;HZ$169,INDEX($FK$170:$ID$241,HZ$169,$FJ185),SUMPRODUCT(INDEX($FK$325:$ID$396,HZ$169,1+SwaptionShift):INDEX($FK$325:$ID$396,HZ$169,SwaptionMonthsToGo+SwaptionShift),INDEX($FK$245:$ID$316,$FJ185-HZ$169,73-HZ$169+SwaptionShift):INDEX($FK$245:$ID$316,$FJ185-HZ$169,72-HZ$169+SwaptionMonthsToGo+SwaptionShift))/SQRT(SUM(INDEX($FK340:$ID340,1+SwaptionShift):INDEX($FK340:$ID340,SwaptionMonthsToGo+SwaptionShift))*SUM(INDEX($FK$325:$ID$396,HZ$169,1+SwaptionShift):INDEX($FK$325:$ID$396,HZ$169,SwaptionMonthsToGo+SwaptionShift))))))</f>
        <v/>
      </c>
      <c r="IA185" s="150" t="str">
        <f aca="false">IF(OR(IA$169&lt;SwaptionFirstMonthPosition+1,$FJ185&lt;SwaptionFirstMonthPosition+1,IA$169&gt;SwaptionFirstMonthPosition+SwaptionNumOfMonths+1,$FJ185&gt;SwaptionFirstMonthPosition+SwaptionNumOfMonths+1),"",IF($FJ185=IA$169,1,IF($FJ185&lt;IA$169,INDEX($FK$170:$ID$241,IA$169,$FJ185),SUMPRODUCT(INDEX($FK$325:$ID$396,IA$169,1+SwaptionShift):INDEX($FK$325:$ID$396,IA$169,SwaptionMonthsToGo+SwaptionShift),INDEX($FK$245:$ID$316,$FJ185-IA$169,73-IA$169+SwaptionShift):INDEX($FK$245:$ID$316,$FJ185-IA$169,72-IA$169+SwaptionMonthsToGo+SwaptionShift))/SQRT(SUM(INDEX($FK340:$ID340,1+SwaptionShift):INDEX($FK340:$ID340,SwaptionMonthsToGo+SwaptionShift))*SUM(INDEX($FK$325:$ID$396,IA$169,1+SwaptionShift):INDEX($FK$325:$ID$396,IA$169,SwaptionMonthsToGo+SwaptionShift))))))</f>
        <v/>
      </c>
      <c r="IB185" s="150" t="str">
        <f aca="false">IF(OR(IB$169&lt;SwaptionFirstMonthPosition+1,$FJ185&lt;SwaptionFirstMonthPosition+1,IB$169&gt;SwaptionFirstMonthPosition+SwaptionNumOfMonths+1,$FJ185&gt;SwaptionFirstMonthPosition+SwaptionNumOfMonths+1),"",IF($FJ185=IB$169,1,IF($FJ185&lt;IB$169,INDEX($FK$170:$ID$241,IB$169,$FJ185),SUMPRODUCT(INDEX($FK$325:$ID$396,IB$169,1+SwaptionShift):INDEX($FK$325:$ID$396,IB$169,SwaptionMonthsToGo+SwaptionShift),INDEX($FK$245:$ID$316,$FJ185-IB$169,73-IB$169+SwaptionShift):INDEX($FK$245:$ID$316,$FJ185-IB$169,72-IB$169+SwaptionMonthsToGo+SwaptionShift))/SQRT(SUM(INDEX($FK340:$ID340,1+SwaptionShift):INDEX($FK340:$ID340,SwaptionMonthsToGo+SwaptionShift))*SUM(INDEX($FK$325:$ID$396,IB$169,1+SwaptionShift):INDEX($FK$325:$ID$396,IB$169,SwaptionMonthsToGo+SwaptionShift))))))</f>
        <v/>
      </c>
      <c r="IC185" s="150" t="str">
        <f aca="false">IF(OR(IC$169&lt;SwaptionFirstMonthPosition+1,$FJ185&lt;SwaptionFirstMonthPosition+1,IC$169&gt;SwaptionFirstMonthPosition+SwaptionNumOfMonths+1,$FJ185&gt;SwaptionFirstMonthPosition+SwaptionNumOfMonths+1),"",IF($FJ185=IC$169,1,IF($FJ185&lt;IC$169,INDEX($FK$170:$ID$241,IC$169,$FJ185),SUMPRODUCT(INDEX($FK$325:$ID$396,IC$169,1+SwaptionShift):INDEX($FK$325:$ID$396,IC$169,SwaptionMonthsToGo+SwaptionShift),INDEX($FK$245:$ID$316,$FJ185-IC$169,73-IC$169+SwaptionShift):INDEX($FK$245:$ID$316,$FJ185-IC$169,72-IC$169+SwaptionMonthsToGo+SwaptionShift))/SQRT(SUM(INDEX($FK340:$ID340,1+SwaptionShift):INDEX($FK340:$ID340,SwaptionMonthsToGo+SwaptionShift))*SUM(INDEX($FK$325:$ID$396,IC$169,1+SwaptionShift):INDEX($FK$325:$ID$396,IC$169,SwaptionMonthsToGo+SwaptionShift))))))</f>
        <v/>
      </c>
      <c r="ID185" s="572" t="str">
        <f aca="false">IF(OR(ID$169&lt;SwaptionFirstMonthPosition+1,$FJ185&lt;SwaptionFirstMonthPosition+1,ID$169&gt;SwaptionFirstMonthPosition+SwaptionNumOfMonths+1,$FJ185&gt;SwaptionFirstMonthPosition+SwaptionNumOfMonths+1),"",IF($FJ185=ID$169,1,IF($FJ185&lt;ID$169,INDEX($FK$170:$ID$241,ID$169,$FJ185),SUMPRODUCT(INDEX($FK$325:$ID$396,ID$169,1+SwaptionShift):INDEX($FK$325:$ID$396,ID$169,SwaptionMonthsToGo+SwaptionShift),INDEX($FK$245:$ID$316,$FJ185-ID$169,73-ID$169+SwaptionShift):INDEX($FK$245:$ID$316,$FJ185-ID$169,72-ID$169+SwaptionMonthsToGo+SwaptionShift))/SQRT(SUM(INDEX($FK340:$ID340,1+SwaptionShift):INDEX($FK340:$ID340,SwaptionMonthsToGo+SwaptionShift))*SUM(INDEX($FK$325:$ID$396,ID$169,1+SwaptionShift):INDEX($FK$325:$ID$396,ID$169,SwaptionMonthsToGo+SwaptionShift))))))</f>
        <v/>
      </c>
      <c r="IE185" s="129"/>
    </row>
    <row r="186" customFormat="false" ht="12.75" hidden="false" customHeight="false" outlineLevel="0" collapsed="false">
      <c r="H186" s="219" t="n">
        <f aca="false">VLOOKUP(I186,$EJ$20:$EL$54,3)</f>
        <v>0</v>
      </c>
      <c r="I186" s="511" t="n">
        <f aca="false">EOMONTH(I185,0)+1</f>
        <v>41821</v>
      </c>
      <c r="J186" s="512"/>
      <c r="K186" s="513" t="s">
        <v>280</v>
      </c>
      <c r="L186" s="514" t="n">
        <f aca="false">IF(ISNUMBER(K186),J186+K186/100,IF(K186="extra",L185+VLOOKUP(BF186,PriceSpreadTable,2)/12,IF(K186="inter",interpolateprices($K$19:$L$200,ROW(K186)-ROW(FirstPricingMonth)+1),interpolatechanges($J$19:$K$200,ROW(K186)-ROW(FirstPricingMonth)+1))))</f>
        <v>3.37500000000001</v>
      </c>
      <c r="M186" s="515"/>
      <c r="N186" s="516" t="n">
        <v>0</v>
      </c>
      <c r="O186" s="515" t="n">
        <f aca="false">M186+N186</f>
        <v>0</v>
      </c>
      <c r="P186" s="512"/>
      <c r="Q186" s="513" t="s">
        <v>280</v>
      </c>
      <c r="R186" s="512" t="e">
        <f aca="false">IF(ISNUMBER(Q186),P186+Q186/100,IF(Q186="extra",(Z184*AL184-R185*AM184)/AN184,IF(Q186="inter",interpolateprices($Q$19:$R$260,ROW(Q186)-ROW(FirstPricingMonth)+1),interpolatechanges($P$19:$Q$260,ROW(Q186)-ROW(FirstPricingMonth)+1))))</f>
        <v>#VALUE!</v>
      </c>
      <c r="S186" s="597" t="n">
        <f aca="false">S$19+(S185-S$19)*S$18</f>
        <v>0.36</v>
      </c>
      <c r="T186" s="575" t="n">
        <f aca="false">SQRT((1-(1-T185^2/U185)*T$18)*U186)</f>
        <v>0.999999999999429</v>
      </c>
      <c r="U186" s="576" t="n">
        <f aca="false">1-(1-U185)*U$18</f>
        <v>1</v>
      </c>
      <c r="V186" s="521" t="n">
        <v>0</v>
      </c>
      <c r="W186" s="577" t="n">
        <f aca="false">(J187*AJ186+J188*AK186)/AI186</f>
        <v>0</v>
      </c>
      <c r="X186" s="578" t="n">
        <f aca="false">(L187*AJ186+L188*AK186)/AI186</f>
        <v>3.42784090909091</v>
      </c>
      <c r="Y186" s="579" t="n">
        <f aca="false">IF(Q188="extra",W186-AA186,(P187*AM186+P188*AN186)/AL186)</f>
        <v>-1.2669</v>
      </c>
      <c r="Z186" s="579" t="n">
        <f aca="false">IF(Q188="extra",X186-AB186,(R187*AM186+R188*AN186)/AL186)</f>
        <v>2.16094090909091</v>
      </c>
      <c r="AA186" s="523" t="n">
        <f aca="false">IF(Q188="extra",INDEX(BrentSeasonalityTable,INT((BG186-1)/3)+1)*VLOOKUP(MAX(BF186,$AB$4),PriceSpreadTable,3),W186-Y186)</f>
        <v>1.2669</v>
      </c>
      <c r="AB186" s="524" t="n">
        <f aca="false">IF(Q188="extra",INDEX(BrentSeasonalityTable,INT((BG186-1)/3)+1)*VLOOKUP(MAX(BF186,$AB$4),PriceSpreadTable,3),X186-Z186)</f>
        <v>1.2669</v>
      </c>
      <c r="AC186" s="646" t="n">
        <v>41810</v>
      </c>
      <c r="AD186" s="646" t="n">
        <v>41806</v>
      </c>
      <c r="AE186" s="646" t="n">
        <v>41805</v>
      </c>
      <c r="AF186" s="646" t="n">
        <v>41801</v>
      </c>
      <c r="AG186" s="438" t="s">
        <v>278</v>
      </c>
      <c r="AH186" s="439" t="s">
        <v>278</v>
      </c>
      <c r="AI186" s="528" t="n">
        <v>22</v>
      </c>
      <c r="AJ186" s="529" t="n">
        <v>13</v>
      </c>
      <c r="AK186" s="529" t="n">
        <v>9</v>
      </c>
      <c r="AL186" s="530" t="n">
        <v>23</v>
      </c>
      <c r="AM186" s="529" t="n">
        <v>10</v>
      </c>
      <c r="AN186" s="531" t="n">
        <v>13</v>
      </c>
      <c r="AO186" s="532"/>
      <c r="AP186" s="465" t="n">
        <f aca="false">(1+AO186/2)^(-2*BL186)</f>
        <v>1</v>
      </c>
      <c r="AQ186" s="532"/>
      <c r="AR186" s="465" t="n">
        <f aca="false">(1+AQ186/2)^(-2*BH186/365.25)</f>
        <v>1</v>
      </c>
      <c r="AS186" s="580" t="n">
        <f aca="false">(O187*AJ186+O188*AK186)/AI186</f>
        <v>0</v>
      </c>
      <c r="AT186" s="468" t="n">
        <f aca="false">O186*VLOOKUP(BF186,BrentVolTable,2)+VLOOKUP(BF186,BrentVolTable,3)</f>
        <v>0</v>
      </c>
      <c r="AU186" s="468" t="n">
        <f aca="false">(AT187*AM186+AT188*AN186)/AL186</f>
        <v>0</v>
      </c>
      <c r="AV186" s="595" t="n">
        <f aca="false">SQRT(MAX(0.000000000001,(O186^2*BH186-S186^2*(BH186-BH185))/BH185))</f>
        <v>0.0311142473079804</v>
      </c>
      <c r="AW186" s="451" t="n">
        <f aca="false">IF($I186-DateToday+15&gt;=$T$8,"",IF($I186-DateToday+15&lt;$T$5,1,MATCH($I186-DateToday+15,$T$5:$T$8)))</f>
        <v>1</v>
      </c>
      <c r="AX186" s="468" t="n">
        <f aca="false">IF($AW186="",AX185^2/AX184,INDEX(U$5:U$8,$AW186)^((INDEX($T$5:$T$8,$AW186+1)-($I186-DateToday+15))/(INDEX($T$5:$T$8,$AW186+1)-INDEX($T$5:$T$8,$AW186)))/INDEX(U$5:U$8,$AW186+1)^((INDEX($T$5:$T$8,$AW186)-($I186-DateToday+15))/(INDEX($T$5:$T$8,$AW186+1)-INDEX($T$5:$T$8,$AW186))))</f>
        <v>0.361273192101774</v>
      </c>
      <c r="AY186" s="468" t="n">
        <f aca="false">IF($AW186="",AY185^2/AY184,INDEX(V$5:V$8,$AW186)^((INDEX($T$5:$T$8,$AW186+1)-($I186-DateToday+15))/(INDEX($T$5:$T$8,$AW186+1)-INDEX($T$5:$T$8,$AW186)))/INDEX(V$5:V$8,$AW186+1)^((INDEX($T$5:$T$8,$AW186)-($I186-DateToday+15))/(INDEX($T$5:$T$8,$AW186+1)-INDEX($T$5:$T$8,$AW186))))</f>
        <v>4.7970189001221</v>
      </c>
      <c r="AZ186" s="468" t="n">
        <f aca="false">IF($AW186="",AZ185^2/AZ184,INDEX(W$5:W$8,$AW186)^((INDEX($T$5:$T$8,$AW186+1)-($I186-DateToday+15))/(INDEX($T$5:$T$8,$AW186+1)-INDEX($T$5:$T$8,$AW186)))/INDEX(W$5:W$8,$AW186+1)^((INDEX($T$5:$T$8,$AW186)-($I186-DateToday+15))/(INDEX($T$5:$T$8,$AW186+1)-INDEX($T$5:$T$8,$AW186))))</f>
        <v>823.798812225254</v>
      </c>
      <c r="BA186" s="468" t="n">
        <f aca="false">IF($AW186="",BA185^2/BA184,INDEX(X$5:X$8,$AW186)^((INDEX($T$5:$T$8,$AW186+1)-($I186-DateToday+15))/(INDEX($T$5:$T$8,$AW186+1)-INDEX($T$5:$T$8,$AW186)))/INDEX(X$5:X$8,$AW186+1)^((INDEX($T$5:$T$8,$AW186)-($I186-DateToday+15))/(INDEX($T$5:$T$8,$AW186+1)-INDEX($T$5:$T$8,$AW186))))</f>
        <v>3100.17110981528</v>
      </c>
      <c r="BB186" s="468" t="n">
        <f aca="false">IF($AW186="",BB185^2/BB184,INDEX(Y$5:Y$8,$AW186)^((INDEX($T$5:$T$8,$AW186+1)-($I186-DateToday+15))/(INDEX($T$5:$T$8,$AW186+1)-INDEX($T$5:$T$8,$AW186)))/INDEX(Y$5:Y$8,$AW186+1)^((INDEX($T$5:$T$8,$AW186)-($I186-DateToday+15))/(INDEX($T$5:$T$8,$AW186+1)-INDEX($T$5:$T$8,$AW186))))</f>
        <v>16577.2739656125</v>
      </c>
      <c r="BC186" s="468" t="n">
        <f aca="false">IF($AW186="",BC185^2/BC184,INDEX(Z$5:Z$8,$AW186)^((INDEX($T$5:$T$8,$AW186+1)-($I186-DateToday+15))/(INDEX($T$5:$T$8,$AW186+1)-INDEX($T$5:$T$8,$AW186)))/INDEX(Z$5:Z$8,$AW186+1)^((INDEX($T$5:$T$8,$AW186)-($I186-DateToday+15))/(INDEX($T$5:$T$8,$AW186+1)-INDEX($T$5:$T$8,$AW186))))</f>
        <v>46205.8879508183</v>
      </c>
      <c r="BD186" s="535" t="n">
        <f aca="false">IF(OR(DateStart&gt;=I187,DateEnd&lt;I186),0,IF(VolumeOverrideFlag,V186,Volume))</f>
        <v>0</v>
      </c>
      <c r="BE186" s="536" t="n">
        <f aca="false">IF(OR(DateStart2&gt;=I187,DateEnd2&lt;I186),0,IF(VolumeOverrideFlag,V186,VolumeSwaption))</f>
        <v>0</v>
      </c>
      <c r="BF186" s="537" t="n">
        <f aca="false">YEAR(I186)</f>
        <v>2014</v>
      </c>
      <c r="BG186" s="538" t="n">
        <f aca="false">MONTH(I186)</f>
        <v>7</v>
      </c>
      <c r="BH186" s="539" t="n">
        <f aca="false">AD186-DateToday+1</f>
        <v>-4119</v>
      </c>
      <c r="BI186" s="540" t="n">
        <f aca="false">(I186-DateToday+1)/365.25</f>
        <v>-11.2361396303901</v>
      </c>
      <c r="BJ186" s="541" t="n">
        <f aca="false">BI186+(BL186-BI186)*CHOOSE(Underlying,AJ186/AI186,AM186/AL186)</f>
        <v>-11.1876050028001</v>
      </c>
      <c r="BK186" s="541" t="n">
        <f aca="false">BJ186+1/365.25</f>
        <v>-11.1848671520129</v>
      </c>
      <c r="BL186" s="541" t="n">
        <f aca="false">(I187-DateToday)/365.25</f>
        <v>-11.1540041067762</v>
      </c>
      <c r="BM186" s="542" t="e">
        <f aca="false">MAX(BI186-(BJ186-BI186)*(S187^2/O187^2-1),0)</f>
        <v>#DIV/0!</v>
      </c>
      <c r="BN186" s="541" t="e">
        <f aca="false">MAX(BL186+(BL186-BK186)*(S188^2/O188^2-1),0)</f>
        <v>#DIV/0!</v>
      </c>
      <c r="BO186" s="530" t="n">
        <f aca="false">CHOOSE(Underlying,AI186,AL186)</f>
        <v>22</v>
      </c>
      <c r="BP186" s="529" t="n">
        <f aca="false">CHOOSE(Underlying,AJ186,AM186)</f>
        <v>13</v>
      </c>
      <c r="BQ186" s="529" t="n">
        <f aca="false">CHOOSE(Underlying,AK186,AN186)</f>
        <v>9</v>
      </c>
      <c r="BR186" s="463" t="str">
        <f aca="false">IF(BD186,IF(Underlying=1,X186,Z186)+UnderlyingPriceAsian-SwapPriceCurve,"")</f>
        <v/>
      </c>
      <c r="BS186" s="463" t="str">
        <f aca="false">IF(BD186,Strike1/BR186-1,"")</f>
        <v/>
      </c>
      <c r="BT186" s="464" t="str">
        <f aca="false">IF(BD186,Strike2/BR186-1,"")</f>
        <v/>
      </c>
      <c r="BU186" s="465" t="str">
        <f aca="false">IF(BD186,IF(Underlying=1,L187,R187)+UnderlyingPriceAsian-SwapPriceCurve,"")</f>
        <v/>
      </c>
      <c r="BV186" s="465" t="str">
        <f aca="false">IF(BD186,IF(Underlying=1,L188,R188)+UnderlyingPriceAsian-SwapPriceCurve,"")</f>
        <v/>
      </c>
      <c r="BW186" s="466" t="str">
        <f aca="false">IF(BD186,IF(Underlying=1,O187,AT187),"")</f>
        <v/>
      </c>
      <c r="BX186" s="467" t="str">
        <f aca="false">IF(BD186,IF(Underlying=1,O188,AT188),"")</f>
        <v/>
      </c>
      <c r="BY186" s="466" t="str">
        <f aca="false">IF(BD186,IF(BS186&gt;0,IF(BS186&gt;0.2,BC186-BB186,IF(BS186&gt;0.1,BB186-BA186,BA186)),IF(BS186&lt;-0.2,AX186-AY186,IF(BS186&lt;-0.1,AY186-AZ186,AZ186))),"")</f>
        <v/>
      </c>
      <c r="BZ186" s="467" t="str">
        <f aca="false">IF(BD186,IF(BT186&gt;0,IF(BT186&gt;0.2,BC186-BB186,IF(BT186&gt;0.1,BB186-BA186,BA186)),IF(BT186&lt;-0.2,AX186-AY186,IF(BT186&lt;-0.1,AY186-AZ186,AZ186))),"")</f>
        <v/>
      </c>
      <c r="CA186" s="468" t="str">
        <f aca="false">IF($BD186,$BW186+IF(VolSkewFlag=1,IF(BS186&gt;0,$BA186*MIN(BS186/10%,1)+($BB186-$BA186)*MAX(0,MIN(BS186/10%-1,1))+($BC186-$BB186)*MAX(0,BS186/10%-2),$AZ186*MIN(-BS186/10%,1)+($AY186-$AZ186)*MAX(0,MIN(-BS186/10%-1,1))+($AX186-$AY186)*MAX(0,-BS186/10%-2)),0),"")</f>
        <v/>
      </c>
      <c r="CB186" s="468" t="str">
        <f aca="false">IF($BD186,$BX186+IF(VolSkewFlag=1,IF(BS186&gt;0,$BA186*MIN(BS186/10%,1)+($BB186-$BA186)*MAX(0,MIN(BS186/10%-1,1))+($BC186-$BB186)*MAX(0,BS186/10%-2),$AZ186*MIN(-BS186/10%,1)+($AY186-$AZ186)*MAX(0,MIN(-BS186/10%-1,1))+($AX186-$AY186)*MAX(0,-BS186/10%-2)),0),"")</f>
        <v/>
      </c>
      <c r="CC186" s="468" t="str">
        <f aca="false">IF($BD186,$BW186+IF(VolSkewFlag=1,IF(BT186&gt;0,$BA186*MIN(BT186/10%,1)+($BB186-$BA186)*MAX(0,MIN(BT186/10%-1,1))+($BC186-$BB186)*MAX(0,BT186/10%-2),$AZ186*MIN(-BT186/10%,1)+($AY186-$AZ186)*MAX(0,MIN(-BT186/10%-1,1))+($AX186-$AY186)*MAX(0,-BT186/10%-2)),0),"")</f>
        <v/>
      </c>
      <c r="CD186" s="468" t="str">
        <f aca="false">IF($BD186,$BX186+IF(VolSkewFlag=1,IF(BT186&gt;0,$BA186*MIN(BT186/10%,1)+($BB186-$BA186)*MAX(0,MIN(BT186/10%-1,1))+($BC186-$BB186)*MAX(0,BT186/10%-2),$AZ186*MIN(-BT186/10%,1)+($AY186-$AZ186)*MAX(0,MIN(-BT186/10%-1,1))+($AX186-$AY186)*MAX(0,-BT186/10%-2)),0),"")</f>
        <v/>
      </c>
      <c r="CE186" s="469" t="n">
        <v>1</v>
      </c>
      <c r="CF186" s="470" t="n">
        <f aca="false">IF(BD186,xCrudeAPO(BU186,BV186,CA186,CB186,S187,S188,BI186,BL186,BP186,BQ186,0,Strike1,AO186,CE186,0,BL186,IF(OptControl=4,0,1),0,1),0)</f>
        <v>0</v>
      </c>
      <c r="CG186" s="470" t="n">
        <f aca="false">IF(BD186,xCrudeAPO(BU186,BV186,CA186,CB186,S187,S188,BI186,BL186,BP186,BQ186,0,Strike1,AO186,CE186,0,BL186,IF(OptControl=4,0,1),1,1)+xCrudeAPO(BU186,BV186,CA186,CB186,S187,S188,BI186,BL186,BP186,BQ186,0,Strike1,AO186,CE186,0,BL186,IF(OptControl=4,0,1),1,2)+IF(OR(VolSkewFlag=2,ABS(BS186)&lt;0.0001),0,IF(BS186&gt;0,-1,1)*CH186*Strike1/BR186^2*BY186/10%),0)</f>
        <v>0</v>
      </c>
      <c r="CH186" s="470" t="n">
        <f aca="false">IF(BD186,(xCrudeAPO(BU186,BV186,CA186,CB186,S187,S188,BI186,BL186,BP186,BQ186,0,Strike1,AO186,CE186,0,BL186,IF(OptControl=4,0,1),3,1)+xCrudeAPO(BU186,BV186,CA186,CB186,S187,S188,BI186,BL186,BP186,BQ186,0,Strike1,AO186,CE186,0,BL186,IF(OptControl=4,0,1),3,2))/100,0)</f>
        <v>0</v>
      </c>
      <c r="CI186" s="470" t="n">
        <f aca="false">IF(BD186,xCrudeAPO(BU186,BV186,CA186,CB186,S187,S188,BI186-DaysForThetaCalculation/365.25,BL186-DaysForThetaCalculation/365.25,BP186,BQ186,0,Strike1,AO186,CE186,0,BL186,IF(OptControl=4,0,1),0,1)-xCrudeAPO(BU186,BV186,CA186,CB186,S187,S188,BI186,BL186,BP186,BQ186,0,Strike1,AO186,CE186,0,BL186,IF(OptControl=4,0,1),0,1),0)</f>
        <v>0</v>
      </c>
      <c r="CJ186" s="471" t="n">
        <f aca="false">IF(BD186,xCrudeAPO(BU186,BV186,CC186,CD186,S187,S188,BI186,BL186,BP186,BQ186,0,Strike2,AO186,CE186,0,BL186,IF(OptControl=3,1,0),0,1),0)</f>
        <v>0</v>
      </c>
      <c r="CK186" s="470" t="n">
        <f aca="false">IF(BD186,xCrudeAPO(BU186,BV186,CC186,CD186,S187,S188,BI186,BL186,BP186,BQ186,0,Strike2,AO186,CE186,0,BL186,IF(OptControl=3,1,0),1,1)+xCrudeAPO(BU186,BV186,CC186,CD186,S187,S188,BI186,BL186,BP186,BQ186,0,Strike2,AO186,CE186,0,BL186,IF(OptControl=3,1,0),1,2)+IF(OR(VolSkewFlag=2,ABS(BT186)&lt;0.0001),0,IF(BT186&gt;0,-1,1)*CL186*Strike2/BR186^2*BZ186/10%),0)</f>
        <v>0</v>
      </c>
      <c r="CL186" s="470" t="n">
        <f aca="false">IF(BD186,(xCrudeAPO(BU186,BV186,CC186,CD186,S187,S188,BI186,BL186,BP186,BQ186,0,Strike2,AO186,CE186,0,BL186,IF(OptControl=3,1,0),3,1)+xCrudeAPO(BU186,BV186,CC186,CD186,S187,S188,BI186,BL186,BP186,BQ186,0,Strike2,AO186,CE186,0,BL186,IF(OptControl=3,1,0),3,2))/100,0)</f>
        <v>0</v>
      </c>
      <c r="CM186" s="472" t="n">
        <f aca="false">IF(BD186,xCrudeAPO(BU186,BV186,CC186,CD186,S187,S188,BI186-DaysForThetaCalculation/365.25,BL186-DaysForThetaCalculation/365.25,BP186,BQ186,0,Strike2,AO186,CE186,0,BL186,IF(OptControl=3,1,0),0,1)-xCrudeAPO(BU186,BV186,CC186,CD186,S187,S188,BI186,BL186,BP186,BQ186,0,Strike2,AO186,CE186,0,BL186,IF(OptControl=3,1,0),0,1),0)</f>
        <v>0</v>
      </c>
      <c r="CN186" s="3"/>
      <c r="CO186" s="543" t="str">
        <f aca="false">IF(BD186,CHOOSE(Underlying,AD186,AF186)-DateToday+1,"")</f>
        <v/>
      </c>
      <c r="CP186" s="582" t="str">
        <f aca="false">IF(BD186,CHOOSE(Underlying,L186,R186),"")</f>
        <v/>
      </c>
      <c r="CQ186" s="544" t="str">
        <f aca="false">IF(BD186,Strike1/CP186-1,"")</f>
        <v/>
      </c>
      <c r="CR186" s="544" t="str">
        <f aca="false">IF(BD186,Strike2/CP186-1,"")</f>
        <v/>
      </c>
      <c r="CS186" s="544" t="str">
        <f aca="false">IF(BD186,IF(CQ186&gt;0,IF(CQ186&gt;0.2,BC185-BB185,IF(CQ186&gt;0.1,BB185-BA185,BA185)),IF(CQ186&lt;-0.2,AX185-AY185,IF(CQ186&lt;-0.1,AY185-AZ185,AZ185))),"")</f>
        <v/>
      </c>
      <c r="CT186" s="544" t="str">
        <f aca="false">IF(BD186,IF(CR186&gt;0,IF(CR186&gt;0.2,BC185-BB185,IF(CR186&gt;0.1,BB185-BA185,BA185)),IF(CR186&lt;-0.2,AX185-AY185,IF(CR186&lt;-0.1,AY185-AZ185,AZ185))),"")</f>
        <v/>
      </c>
      <c r="CU186" s="545" t="str">
        <f aca="false">IF(BD186,CHOOSE(Underlying,O186,AT186),"")</f>
        <v/>
      </c>
      <c r="CV186" s="545" t="str">
        <f aca="false">IF(BD186,CU186+IF(VolSkewFlag=1,IF(CQ186&gt;0,BA185*MIN(CQ186/10%,1)+(BB185-BA185)*MAX(0,MIN(CQ186/10%-1,1))+(BC185-BB185)*MAX(0,CQ186/10%-2),AZ185*MIN(-CQ186/10%,1)+(AY185-AZ185)*MAX(0,MIN(-CQ186/10%-1,1))+(AX185-AY185)*MAX(0,-CQ186/10%-2)),0),"")</f>
        <v/>
      </c>
      <c r="CW186" s="545" t="str">
        <f aca="false">IF(BD186,CU186+IF(VolSkewFlag=1,IF(CR186&gt;0,BA185*MIN(CR186/10%,1)+(BB185-BA185)*MAX(0,MIN(CR186/10%-1,1))+(BC185-BB185)*MAX(0,CR186/10%-2),AZ185*MIN(-CR186/10%,1)+(AY185-AZ185)*MAX(0,MIN(-CR186/10%-1,1))+(AX185-AY185)*MAX(0,-CR186/10%-2)),0),"")</f>
        <v/>
      </c>
      <c r="CX186" s="470" t="n">
        <f aca="false">IF(BD186,EURO(CP186,Strike1,AO186,AO186,CV186,CO186,IF(OptControl=4,0,1),0),0)</f>
        <v>0</v>
      </c>
      <c r="CY186" s="470" t="n">
        <f aca="false">IF(BD186,EURO(CP186,Strike1,AO186,AO186,CV186,CO186,IF(OptControl=4,0,1),1)+IF(OR(VolSkewFlag=2,ABS(CQ186)&lt;0.0001),0,IF(CQ186&gt;0,-1,1)*CZ186*100*Strike1/CP186^2*CS186/10%),0)</f>
        <v>0</v>
      </c>
      <c r="CZ186" s="470" t="n">
        <f aca="false">IF(BD186,EURO(CP186,Strike1,AO186,AO186,CV186,CO186,IF(OptControl=4,0,1),3)/100,0)</f>
        <v>0</v>
      </c>
      <c r="DA186" s="470" t="n">
        <f aca="false">IF(BD186,EURO(CP186,Strike1,AO186,AO186,CV186,CO186,IF(OptControl=4,0,1),0)-EURO(CP186,Strike1,AO186,AO186,CV186,CO186-1,IF(OptControl=4,0,1),0),0)</f>
        <v>0</v>
      </c>
      <c r="DB186" s="470" t="n">
        <f aca="false">IF(BD186,EURO(CP186,Strike2,AO186,AO186,CW186,CO186,IF(OptControl=3,1,0),0),0)</f>
        <v>0</v>
      </c>
      <c r="DC186" s="470" t="n">
        <f aca="false">IF(BD186,EURO(CP186,Strike2,AO186,AO186,CW186,CO186,IF(OptControl=3,1,0),1)+IF(OR(VolSkewFlag=2,ABS(CR186)&lt;0.0001),0,IF(CR186&gt;0,-1,1)*DD186*100*Strike2/CP186^2*CT186/10%),0)</f>
        <v>0</v>
      </c>
      <c r="DD186" s="470" t="n">
        <f aca="false">IF(BD186,EURO(CP186,Strike2,AO186,AO186,CW186,CO186,IF(OptControl=3,1,0),3)/100,0)</f>
        <v>0</v>
      </c>
      <c r="DE186" s="472" t="n">
        <f aca="false">IF(BD186,EURO(CP186,Strike2,AO186,AO186,CW186,CO186,IF(OptControl=3,1,0),0)-EURO(CP186,Strike2,AO186,AO186,CW186,CO186-1,IF(OptControl=3,1,0),0),0)</f>
        <v>0</v>
      </c>
      <c r="DG186" s="481" t="n">
        <f aca="false">EOMONTH(DG185,0)+1</f>
        <v>50740</v>
      </c>
      <c r="DH186" s="478" t="n">
        <v>22.4600000000001</v>
      </c>
      <c r="DI186" s="479" t="n">
        <v>22.5242857142858</v>
      </c>
      <c r="DJ186" s="480" t="n">
        <f aca="false">DG186</f>
        <v>50740</v>
      </c>
      <c r="DK186" s="478" t="n">
        <v>21.2665850650276</v>
      </c>
      <c r="DL186" s="479" t="n">
        <v>21.3311857142858</v>
      </c>
      <c r="DM186" s="481" t="n">
        <f aca="false">DG186</f>
        <v>50740</v>
      </c>
      <c r="DN186" s="482" t="n">
        <f aca="false">DK186+BrentPhyBrentSpread</f>
        <v>21.3165850650276</v>
      </c>
      <c r="DO186" s="481" t="n">
        <f aca="false">DG186</f>
        <v>50740</v>
      </c>
      <c r="DP186" s="483" t="n">
        <f aca="false">DL186+DQ186</f>
        <v>21.3311857142858</v>
      </c>
      <c r="DQ186" s="546" t="n">
        <v>0</v>
      </c>
      <c r="DR186" s="480" t="n">
        <f aca="false">DG186</f>
        <v>50740</v>
      </c>
      <c r="DS186" s="485" t="n">
        <v>0.124999999999998</v>
      </c>
      <c r="DT186" s="486" t="n">
        <v>0.124228571428569</v>
      </c>
      <c r="DU186" s="480" t="n">
        <f aca="false">DG186</f>
        <v>50740</v>
      </c>
      <c r="DV186" s="485" t="n">
        <v>0.124999999999998</v>
      </c>
      <c r="DW186" s="486" t="n">
        <v>0.124228571428569</v>
      </c>
      <c r="DX186" s="481" t="n">
        <f aca="false">DG186</f>
        <v>50740</v>
      </c>
      <c r="DY186" s="486" t="n">
        <v>0.35</v>
      </c>
      <c r="DZ186" s="481" t="n">
        <f aca="false">DR186</f>
        <v>50740</v>
      </c>
      <c r="EA186" s="486" t="n">
        <f aca="false">DT186</f>
        <v>0.124228571428569</v>
      </c>
      <c r="EB186" s="195"/>
      <c r="EC186" s="547" t="str">
        <f aca="false">IF(BD186,IF(Underlying=1,AS186,AU186),"")</f>
        <v/>
      </c>
      <c r="ED186" s="548" t="str">
        <f aca="false">IF($BD186,$EC186+IF(VolSkewFlag=1,IF(BS186&gt;0,$BA186*MIN(BS186/10%,1)+($BB186-$BA186)*MAX(0,MIN(BS186/10%-1,1))+($BC186-$BB186)*MAX(0,BS186/10%-2),$AZ186*MIN(-BS186/10%,1)+($AY186-$AZ186)*MAX(0,MIN(-BS186/10%-1,1))+($AX186-$AY186)*MAX(0,-BS186/10%-2)),0),"")</f>
        <v/>
      </c>
      <c r="EE186" s="549" t="str">
        <f aca="false">IF($BD186,$EC186+IF(VolSkewFlag=1,IF(BT186&gt;0,$BA186*MIN(BT186/10%,1)+($BB186-$BA186)*MAX(0,MIN(BT186/10%-1,1))+($BC186-$BB186)*MAX(0,BT186/10%-2),$AZ186*MIN(-BT186/10%,1)+($AY186-$AZ186)*MAX(0,MIN(-BT186/10%-1,1))+($AX186-$AY186)*MAX(0,-BT186/10%-2)),0),"")</f>
        <v/>
      </c>
      <c r="EF186" s="550" t="n">
        <f aca="false">IF(BD186,xASN(BR186,Strike1,AO186,ED186,0,BO186,0,BI186,BL186,IF(OptControl=4,0,1),0),0)</f>
        <v>0</v>
      </c>
      <c r="EG186" s="551" t="n">
        <f aca="false">IF(BD186,xASN(BR186,Strike2,AO186,EE186,0,BO186,0,BI186,BL186,IF(OptControl=3,1,0),0),0)</f>
        <v>0</v>
      </c>
      <c r="EL186" s="1"/>
      <c r="EM186" s="195"/>
      <c r="EN186" s="240"/>
      <c r="EO186" s="240"/>
      <c r="EP186" s="195"/>
      <c r="EQ186" s="407" t="s">
        <v>414</v>
      </c>
      <c r="ES186" s="130"/>
      <c r="ET186" s="19"/>
      <c r="EU186" s="672"/>
      <c r="EV186" s="478"/>
      <c r="EW186" s="131"/>
      <c r="EX186" s="131"/>
      <c r="EY186" s="129"/>
      <c r="EZ186" s="129"/>
      <c r="FA186" s="129"/>
      <c r="FB186" s="129"/>
      <c r="FC186" s="129"/>
      <c r="FD186" s="129"/>
      <c r="FE186" s="129"/>
      <c r="FF186" s="129"/>
      <c r="FG186" s="129"/>
      <c r="FH186" s="129"/>
      <c r="FI186" s="129"/>
      <c r="FJ186" s="571" t="n">
        <v>17</v>
      </c>
      <c r="FK186" s="150" t="str">
        <f aca="false">IF(OR(FK$169&lt;SwaptionFirstMonthPosition+1,$FJ186&lt;SwaptionFirstMonthPosition+1,FK$169&gt;SwaptionFirstMonthPosition+SwaptionNumOfMonths+1,$FJ186&gt;SwaptionFirstMonthPosition+SwaptionNumOfMonths+1),"",IF($FJ186=FK$169,1,IF($FJ186&lt;FK$169,INDEX($FK$170:$ID$241,FK$169,$FJ186),SUMPRODUCT(INDEX($FK$325:$ID$396,FK$169,1+SwaptionShift):INDEX($FK$325:$ID$396,FK$169,SwaptionMonthsToGo+SwaptionShift),INDEX($FK$245:$ID$316,$FJ186-FK$169,73-FK$169+SwaptionShift):INDEX($FK$245:$ID$316,$FJ186-FK$169,72-FK$169+SwaptionMonthsToGo+SwaptionShift))/SQRT(SUM(INDEX($FK341:$ID341,1+SwaptionShift):INDEX($FK341:$ID341,SwaptionMonthsToGo+SwaptionShift))*SUM(INDEX($FK$325:$ID$396,FK$169,1+SwaptionShift):INDEX($FK$325:$ID$396,FK$169,SwaptionMonthsToGo+SwaptionShift))))))</f>
        <v/>
      </c>
      <c r="FL186" s="150" t="str">
        <f aca="false">IF(OR(FL$169&lt;SwaptionFirstMonthPosition+1,$FJ186&lt;SwaptionFirstMonthPosition+1,FL$169&gt;SwaptionFirstMonthPosition+SwaptionNumOfMonths+1,$FJ186&gt;SwaptionFirstMonthPosition+SwaptionNumOfMonths+1),"",IF($FJ186=FL$169,1,IF($FJ186&lt;FL$169,INDEX($FK$170:$ID$241,FL$169,$FJ186),SUMPRODUCT(INDEX($FK$325:$ID$396,FL$169,1+SwaptionShift):INDEX($FK$325:$ID$396,FL$169,SwaptionMonthsToGo+SwaptionShift),INDEX($FK$245:$ID$316,$FJ186-FL$169,73-FL$169+SwaptionShift):INDEX($FK$245:$ID$316,$FJ186-FL$169,72-FL$169+SwaptionMonthsToGo+SwaptionShift))/SQRT(SUM(INDEX($FK341:$ID341,1+SwaptionShift):INDEX($FK341:$ID341,SwaptionMonthsToGo+SwaptionShift))*SUM(INDEX($FK$325:$ID$396,FL$169,1+SwaptionShift):INDEX($FK$325:$ID$396,FL$169,SwaptionMonthsToGo+SwaptionShift))))))</f>
        <v/>
      </c>
      <c r="FM186" s="150" t="str">
        <f aca="false">IF(OR(FM$169&lt;SwaptionFirstMonthPosition+1,$FJ186&lt;SwaptionFirstMonthPosition+1,FM$169&gt;SwaptionFirstMonthPosition+SwaptionNumOfMonths+1,$FJ186&gt;SwaptionFirstMonthPosition+SwaptionNumOfMonths+1),"",IF($FJ186=FM$169,1,IF($FJ186&lt;FM$169,INDEX($FK$170:$ID$241,FM$169,$FJ186),SUMPRODUCT(INDEX($FK$325:$ID$396,FM$169,1+SwaptionShift):INDEX($FK$325:$ID$396,FM$169,SwaptionMonthsToGo+SwaptionShift),INDEX($FK$245:$ID$316,$FJ186-FM$169,73-FM$169+SwaptionShift):INDEX($FK$245:$ID$316,$FJ186-FM$169,72-FM$169+SwaptionMonthsToGo+SwaptionShift))/SQRT(SUM(INDEX($FK341:$ID341,1+SwaptionShift):INDEX($FK341:$ID341,SwaptionMonthsToGo+SwaptionShift))*SUM(INDEX($FK$325:$ID$396,FM$169,1+SwaptionShift):INDEX($FK$325:$ID$396,FM$169,SwaptionMonthsToGo+SwaptionShift))))))</f>
        <v/>
      </c>
      <c r="FN186" s="150" t="str">
        <f aca="false">IF(OR(FN$169&lt;SwaptionFirstMonthPosition+1,$FJ186&lt;SwaptionFirstMonthPosition+1,FN$169&gt;SwaptionFirstMonthPosition+SwaptionNumOfMonths+1,$FJ186&gt;SwaptionFirstMonthPosition+SwaptionNumOfMonths+1),"",IF($FJ186=FN$169,1,IF($FJ186&lt;FN$169,INDEX($FK$170:$ID$241,FN$169,$FJ186),SUMPRODUCT(INDEX($FK$325:$ID$396,FN$169,1+SwaptionShift):INDEX($FK$325:$ID$396,FN$169,SwaptionMonthsToGo+SwaptionShift),INDEX($FK$245:$ID$316,$FJ186-FN$169,73-FN$169+SwaptionShift):INDEX($FK$245:$ID$316,$FJ186-FN$169,72-FN$169+SwaptionMonthsToGo+SwaptionShift))/SQRT(SUM(INDEX($FK341:$ID341,1+SwaptionShift):INDEX($FK341:$ID341,SwaptionMonthsToGo+SwaptionShift))*SUM(INDEX($FK$325:$ID$396,FN$169,1+SwaptionShift):INDEX($FK$325:$ID$396,FN$169,SwaptionMonthsToGo+SwaptionShift))))))</f>
        <v/>
      </c>
      <c r="FO186" s="150" t="str">
        <f aca="false">IF(OR(FO$169&lt;SwaptionFirstMonthPosition+1,$FJ186&lt;SwaptionFirstMonthPosition+1,FO$169&gt;SwaptionFirstMonthPosition+SwaptionNumOfMonths+1,$FJ186&gt;SwaptionFirstMonthPosition+SwaptionNumOfMonths+1),"",IF($FJ186=FO$169,1,IF($FJ186&lt;FO$169,INDEX($FK$170:$ID$241,FO$169,$FJ186),SUMPRODUCT(INDEX($FK$325:$ID$396,FO$169,1+SwaptionShift):INDEX($FK$325:$ID$396,FO$169,SwaptionMonthsToGo+SwaptionShift),INDEX($FK$245:$ID$316,$FJ186-FO$169,73-FO$169+SwaptionShift):INDEX($FK$245:$ID$316,$FJ186-FO$169,72-FO$169+SwaptionMonthsToGo+SwaptionShift))/SQRT(SUM(INDEX($FK341:$ID341,1+SwaptionShift):INDEX($FK341:$ID341,SwaptionMonthsToGo+SwaptionShift))*SUM(INDEX($FK$325:$ID$396,FO$169,1+SwaptionShift):INDEX($FK$325:$ID$396,FO$169,SwaptionMonthsToGo+SwaptionShift))))))</f>
        <v/>
      </c>
      <c r="FP186" s="150" t="e">
        <f aca="false">IF(OR(FP$169&lt;SwaptionFirstMonthPosition+1,$FJ186&lt;SwaptionFirstMonthPosition+1,FP$169&gt;SwaptionFirstMonthPosition+SwaptionNumOfMonths+1,$FJ186&gt;SwaptionFirstMonthPosition+SwaptionNumOfMonths+1),"",IF($FJ186=FP$169,1,IF($FJ186&lt;FP$169,INDEX($FK$170:$ID$241,FP$169,$FJ186),SUMPRODUCT(INDEX($FK$325:$ID$396,FP$169,1+SwaptionShift):INDEX($FK$325:$ID$396,FP$169,SwaptionMonthsToGo+SwaptionShift),INDEX($FK$245:$ID$316,$FJ186-FP$169,73-FP$169+SwaptionShift):INDEX($FK$245:$ID$316,$FJ186-FP$169,72-FP$169+SwaptionMonthsToGo+SwaptionShift))/SQRT(SUM(INDEX($FK341:$ID341,1+SwaptionShift):INDEX($FK341:$ID341,SwaptionMonthsToGo+SwaptionShift))*SUM(INDEX($FK$325:$ID$396,FP$169,1+SwaptionShift):INDEX($FK$325:$ID$396,FP$169,SwaptionMonthsToGo+SwaptionShift))))))</f>
        <v>#DIV/0!</v>
      </c>
      <c r="FQ186" s="150" t="e">
        <f aca="false">IF(OR(FQ$169&lt;SwaptionFirstMonthPosition+1,$FJ186&lt;SwaptionFirstMonthPosition+1,FQ$169&gt;SwaptionFirstMonthPosition+SwaptionNumOfMonths+1,$FJ186&gt;SwaptionFirstMonthPosition+SwaptionNumOfMonths+1),"",IF($FJ186=FQ$169,1,IF($FJ186&lt;FQ$169,INDEX($FK$170:$ID$241,FQ$169,$FJ186),SUMPRODUCT(INDEX($FK$325:$ID$396,FQ$169,1+SwaptionShift):INDEX($FK$325:$ID$396,FQ$169,SwaptionMonthsToGo+SwaptionShift),INDEX($FK$245:$ID$316,$FJ186-FQ$169,73-FQ$169+SwaptionShift):INDEX($FK$245:$ID$316,$FJ186-FQ$169,72-FQ$169+SwaptionMonthsToGo+SwaptionShift))/SQRT(SUM(INDEX($FK341:$ID341,1+SwaptionShift):INDEX($FK341:$ID341,SwaptionMonthsToGo+SwaptionShift))*SUM(INDEX($FK$325:$ID$396,FQ$169,1+SwaptionShift):INDEX($FK$325:$ID$396,FQ$169,SwaptionMonthsToGo+SwaptionShift))))))</f>
        <v>#DIV/0!</v>
      </c>
      <c r="FR186" s="150" t="e">
        <f aca="false">IF(OR(FR$169&lt;SwaptionFirstMonthPosition+1,$FJ186&lt;SwaptionFirstMonthPosition+1,FR$169&gt;SwaptionFirstMonthPosition+SwaptionNumOfMonths+1,$FJ186&gt;SwaptionFirstMonthPosition+SwaptionNumOfMonths+1),"",IF($FJ186=FR$169,1,IF($FJ186&lt;FR$169,INDEX($FK$170:$ID$241,FR$169,$FJ186),SUMPRODUCT(INDEX($FK$325:$ID$396,FR$169,1+SwaptionShift):INDEX($FK$325:$ID$396,FR$169,SwaptionMonthsToGo+SwaptionShift),INDEX($FK$245:$ID$316,$FJ186-FR$169,73-FR$169+SwaptionShift):INDEX($FK$245:$ID$316,$FJ186-FR$169,72-FR$169+SwaptionMonthsToGo+SwaptionShift))/SQRT(SUM(INDEX($FK341:$ID341,1+SwaptionShift):INDEX($FK341:$ID341,SwaptionMonthsToGo+SwaptionShift))*SUM(INDEX($FK$325:$ID$396,FR$169,1+SwaptionShift):INDEX($FK$325:$ID$396,FR$169,SwaptionMonthsToGo+SwaptionShift))))))</f>
        <v>#DIV/0!</v>
      </c>
      <c r="FS186" s="150" t="e">
        <f aca="false">IF(OR(FS$169&lt;SwaptionFirstMonthPosition+1,$FJ186&lt;SwaptionFirstMonthPosition+1,FS$169&gt;SwaptionFirstMonthPosition+SwaptionNumOfMonths+1,$FJ186&gt;SwaptionFirstMonthPosition+SwaptionNumOfMonths+1),"",IF($FJ186=FS$169,1,IF($FJ186&lt;FS$169,INDEX($FK$170:$ID$241,FS$169,$FJ186),SUMPRODUCT(INDEX($FK$325:$ID$396,FS$169,1+SwaptionShift):INDEX($FK$325:$ID$396,FS$169,SwaptionMonthsToGo+SwaptionShift),INDEX($FK$245:$ID$316,$FJ186-FS$169,73-FS$169+SwaptionShift):INDEX($FK$245:$ID$316,$FJ186-FS$169,72-FS$169+SwaptionMonthsToGo+SwaptionShift))/SQRT(SUM(INDEX($FK341:$ID341,1+SwaptionShift):INDEX($FK341:$ID341,SwaptionMonthsToGo+SwaptionShift))*SUM(INDEX($FK$325:$ID$396,FS$169,1+SwaptionShift):INDEX($FK$325:$ID$396,FS$169,SwaptionMonthsToGo+SwaptionShift))))))</f>
        <v>#DIV/0!</v>
      </c>
      <c r="FT186" s="150" t="e">
        <f aca="false">IF(OR(FT$169&lt;SwaptionFirstMonthPosition+1,$FJ186&lt;SwaptionFirstMonthPosition+1,FT$169&gt;SwaptionFirstMonthPosition+SwaptionNumOfMonths+1,$FJ186&gt;SwaptionFirstMonthPosition+SwaptionNumOfMonths+1),"",IF($FJ186=FT$169,1,IF($FJ186&lt;FT$169,INDEX($FK$170:$ID$241,FT$169,$FJ186),SUMPRODUCT(INDEX($FK$325:$ID$396,FT$169,1+SwaptionShift):INDEX($FK$325:$ID$396,FT$169,SwaptionMonthsToGo+SwaptionShift),INDEX($FK$245:$ID$316,$FJ186-FT$169,73-FT$169+SwaptionShift):INDEX($FK$245:$ID$316,$FJ186-FT$169,72-FT$169+SwaptionMonthsToGo+SwaptionShift))/SQRT(SUM(INDEX($FK341:$ID341,1+SwaptionShift):INDEX($FK341:$ID341,SwaptionMonthsToGo+SwaptionShift))*SUM(INDEX($FK$325:$ID$396,FT$169,1+SwaptionShift):INDEX($FK$325:$ID$396,FT$169,SwaptionMonthsToGo+SwaptionShift))))))</f>
        <v>#DIV/0!</v>
      </c>
      <c r="FU186" s="150" t="e">
        <f aca="false">IF(OR(FU$169&lt;SwaptionFirstMonthPosition+1,$FJ186&lt;SwaptionFirstMonthPosition+1,FU$169&gt;SwaptionFirstMonthPosition+SwaptionNumOfMonths+1,$FJ186&gt;SwaptionFirstMonthPosition+SwaptionNumOfMonths+1),"",IF($FJ186=FU$169,1,IF($FJ186&lt;FU$169,INDEX($FK$170:$ID$241,FU$169,$FJ186),SUMPRODUCT(INDEX($FK$325:$ID$396,FU$169,1+SwaptionShift):INDEX($FK$325:$ID$396,FU$169,SwaptionMonthsToGo+SwaptionShift),INDEX($FK$245:$ID$316,$FJ186-FU$169,73-FU$169+SwaptionShift):INDEX($FK$245:$ID$316,$FJ186-FU$169,72-FU$169+SwaptionMonthsToGo+SwaptionShift))/SQRT(SUM(INDEX($FK341:$ID341,1+SwaptionShift):INDEX($FK341:$ID341,SwaptionMonthsToGo+SwaptionShift))*SUM(INDEX($FK$325:$ID$396,FU$169,1+SwaptionShift):INDEX($FK$325:$ID$396,FU$169,SwaptionMonthsToGo+SwaptionShift))))))</f>
        <v>#DIV/0!</v>
      </c>
      <c r="FV186" s="150" t="e">
        <f aca="false">IF(OR(FV$169&lt;SwaptionFirstMonthPosition+1,$FJ186&lt;SwaptionFirstMonthPosition+1,FV$169&gt;SwaptionFirstMonthPosition+SwaptionNumOfMonths+1,$FJ186&gt;SwaptionFirstMonthPosition+SwaptionNumOfMonths+1),"",IF($FJ186=FV$169,1,IF($FJ186&lt;FV$169,INDEX($FK$170:$ID$241,FV$169,$FJ186),SUMPRODUCT(INDEX($FK$325:$ID$396,FV$169,1+SwaptionShift):INDEX($FK$325:$ID$396,FV$169,SwaptionMonthsToGo+SwaptionShift),INDEX($FK$245:$ID$316,$FJ186-FV$169,73-FV$169+SwaptionShift):INDEX($FK$245:$ID$316,$FJ186-FV$169,72-FV$169+SwaptionMonthsToGo+SwaptionShift))/SQRT(SUM(INDEX($FK341:$ID341,1+SwaptionShift):INDEX($FK341:$ID341,SwaptionMonthsToGo+SwaptionShift))*SUM(INDEX($FK$325:$ID$396,FV$169,1+SwaptionShift):INDEX($FK$325:$ID$396,FV$169,SwaptionMonthsToGo+SwaptionShift))))))</f>
        <v>#DIV/0!</v>
      </c>
      <c r="FW186" s="150" t="e">
        <f aca="false">IF(OR(FW$169&lt;SwaptionFirstMonthPosition+1,$FJ186&lt;SwaptionFirstMonthPosition+1,FW$169&gt;SwaptionFirstMonthPosition+SwaptionNumOfMonths+1,$FJ186&gt;SwaptionFirstMonthPosition+SwaptionNumOfMonths+1),"",IF($FJ186=FW$169,1,IF($FJ186&lt;FW$169,INDEX($FK$170:$ID$241,FW$169,$FJ186),SUMPRODUCT(INDEX($FK$325:$ID$396,FW$169,1+SwaptionShift):INDEX($FK$325:$ID$396,FW$169,SwaptionMonthsToGo+SwaptionShift),INDEX($FK$245:$ID$316,$FJ186-FW$169,73-FW$169+SwaptionShift):INDEX($FK$245:$ID$316,$FJ186-FW$169,72-FW$169+SwaptionMonthsToGo+SwaptionShift))/SQRT(SUM(INDEX($FK341:$ID341,1+SwaptionShift):INDEX($FK341:$ID341,SwaptionMonthsToGo+SwaptionShift))*SUM(INDEX($FK$325:$ID$396,FW$169,1+SwaptionShift):INDEX($FK$325:$ID$396,FW$169,SwaptionMonthsToGo+SwaptionShift))))))</f>
        <v>#DIV/0!</v>
      </c>
      <c r="FX186" s="150" t="e">
        <f aca="false">IF(OR(FX$169&lt;SwaptionFirstMonthPosition+1,$FJ186&lt;SwaptionFirstMonthPosition+1,FX$169&gt;SwaptionFirstMonthPosition+SwaptionNumOfMonths+1,$FJ186&gt;SwaptionFirstMonthPosition+SwaptionNumOfMonths+1),"",IF($FJ186=FX$169,1,IF($FJ186&lt;FX$169,INDEX($FK$170:$ID$241,FX$169,$FJ186),SUMPRODUCT(INDEX($FK$325:$ID$396,FX$169,1+SwaptionShift):INDEX($FK$325:$ID$396,FX$169,SwaptionMonthsToGo+SwaptionShift),INDEX($FK$245:$ID$316,$FJ186-FX$169,73-FX$169+SwaptionShift):INDEX($FK$245:$ID$316,$FJ186-FX$169,72-FX$169+SwaptionMonthsToGo+SwaptionShift))/SQRT(SUM(INDEX($FK341:$ID341,1+SwaptionShift):INDEX($FK341:$ID341,SwaptionMonthsToGo+SwaptionShift))*SUM(INDEX($FK$325:$ID$396,FX$169,1+SwaptionShift):INDEX($FK$325:$ID$396,FX$169,SwaptionMonthsToGo+SwaptionShift))))))</f>
        <v>#DIV/0!</v>
      </c>
      <c r="FY186" s="150" t="e">
        <f aca="false">IF(OR(FY$169&lt;SwaptionFirstMonthPosition+1,$FJ186&lt;SwaptionFirstMonthPosition+1,FY$169&gt;SwaptionFirstMonthPosition+SwaptionNumOfMonths+1,$FJ186&gt;SwaptionFirstMonthPosition+SwaptionNumOfMonths+1),"",IF($FJ186=FY$169,1,IF($FJ186&lt;FY$169,INDEX($FK$170:$ID$241,FY$169,$FJ186),SUMPRODUCT(INDEX($FK$325:$ID$396,FY$169,1+SwaptionShift):INDEX($FK$325:$ID$396,FY$169,SwaptionMonthsToGo+SwaptionShift),INDEX($FK$245:$ID$316,$FJ186-FY$169,73-FY$169+SwaptionShift):INDEX($FK$245:$ID$316,$FJ186-FY$169,72-FY$169+SwaptionMonthsToGo+SwaptionShift))/SQRT(SUM(INDEX($FK341:$ID341,1+SwaptionShift):INDEX($FK341:$ID341,SwaptionMonthsToGo+SwaptionShift))*SUM(INDEX($FK$325:$ID$396,FY$169,1+SwaptionShift):INDEX($FK$325:$ID$396,FY$169,SwaptionMonthsToGo+SwaptionShift))))))</f>
        <v>#DIV/0!</v>
      </c>
      <c r="FZ186" s="150" t="e">
        <f aca="false">IF(OR(FZ$169&lt;SwaptionFirstMonthPosition+1,$FJ186&lt;SwaptionFirstMonthPosition+1,FZ$169&gt;SwaptionFirstMonthPosition+SwaptionNumOfMonths+1,$FJ186&gt;SwaptionFirstMonthPosition+SwaptionNumOfMonths+1),"",IF($FJ186=FZ$169,1,IF($FJ186&lt;FZ$169,INDEX($FK$170:$ID$241,FZ$169,$FJ186),SUMPRODUCT(INDEX($FK$325:$ID$396,FZ$169,1+SwaptionShift):INDEX($FK$325:$ID$396,FZ$169,SwaptionMonthsToGo+SwaptionShift),INDEX($FK$245:$ID$316,$FJ186-FZ$169,73-FZ$169+SwaptionShift):INDEX($FK$245:$ID$316,$FJ186-FZ$169,72-FZ$169+SwaptionMonthsToGo+SwaptionShift))/SQRT(SUM(INDEX($FK341:$ID341,1+SwaptionShift):INDEX($FK341:$ID341,SwaptionMonthsToGo+SwaptionShift))*SUM(INDEX($FK$325:$ID$396,FZ$169,1+SwaptionShift):INDEX($FK$325:$ID$396,FZ$169,SwaptionMonthsToGo+SwaptionShift))))))</f>
        <v>#DIV/0!</v>
      </c>
      <c r="GA186" s="150" t="n">
        <f aca="false">IF(OR(GA$169&lt;SwaptionFirstMonthPosition+1,$FJ186&lt;SwaptionFirstMonthPosition+1,GA$169&gt;SwaptionFirstMonthPosition+SwaptionNumOfMonths+1,$FJ186&gt;SwaptionFirstMonthPosition+SwaptionNumOfMonths+1),"",IF($FJ186=GA$169,1,IF($FJ186&lt;GA$169,INDEX($FK$170:$ID$241,GA$169,$FJ186),SUMPRODUCT(INDEX($FK$325:$ID$396,GA$169,1+SwaptionShift):INDEX($FK$325:$ID$396,GA$169,SwaptionMonthsToGo+SwaptionShift),INDEX($FK$245:$ID$316,$FJ186-GA$169,73-GA$169+SwaptionShift):INDEX($FK$245:$ID$316,$FJ186-GA$169,72-GA$169+SwaptionMonthsToGo+SwaptionShift))/SQRT(SUM(INDEX($FK341:$ID341,1+SwaptionShift):INDEX($FK341:$ID341,SwaptionMonthsToGo+SwaptionShift))*SUM(INDEX($FK$325:$ID$396,GA$169,1+SwaptionShift):INDEX($FK$325:$ID$396,GA$169,SwaptionMonthsToGo+SwaptionShift))))))</f>
        <v>1</v>
      </c>
      <c r="GB186" s="150" t="e">
        <f aca="false">IF(OR(GB$169&lt;SwaptionFirstMonthPosition+1,$FJ186&lt;SwaptionFirstMonthPosition+1,GB$169&gt;SwaptionFirstMonthPosition+SwaptionNumOfMonths+1,$FJ186&gt;SwaptionFirstMonthPosition+SwaptionNumOfMonths+1),"",IF($FJ186=GB$169,1,IF($FJ186&lt;GB$169,INDEX($FK$170:$ID$241,GB$169,$FJ186),SUMPRODUCT(INDEX($FK$325:$ID$396,GB$169,1+SwaptionShift):INDEX($FK$325:$ID$396,GB$169,SwaptionMonthsToGo+SwaptionShift),INDEX($FK$245:$ID$316,$FJ186-GB$169,73-GB$169+SwaptionShift):INDEX($FK$245:$ID$316,$FJ186-GB$169,72-GB$169+SwaptionMonthsToGo+SwaptionShift))/SQRT(SUM(INDEX($FK341:$ID341,1+SwaptionShift):INDEX($FK341:$ID341,SwaptionMonthsToGo+SwaptionShift))*SUM(INDEX($FK$325:$ID$396,GB$169,1+SwaptionShift):INDEX($FK$325:$ID$396,GB$169,SwaptionMonthsToGo+SwaptionShift))))))</f>
        <v>#DIV/0!</v>
      </c>
      <c r="GC186" s="150" t="str">
        <f aca="false">IF(OR(GC$169&lt;SwaptionFirstMonthPosition+1,$FJ186&lt;SwaptionFirstMonthPosition+1,GC$169&gt;SwaptionFirstMonthPosition+SwaptionNumOfMonths+1,$FJ186&gt;SwaptionFirstMonthPosition+SwaptionNumOfMonths+1),"",IF($FJ186=GC$169,1,IF($FJ186&lt;GC$169,INDEX($FK$170:$ID$241,GC$169,$FJ186),SUMPRODUCT(INDEX($FK$325:$ID$396,GC$169,1+SwaptionShift):INDEX($FK$325:$ID$396,GC$169,SwaptionMonthsToGo+SwaptionShift),INDEX($FK$245:$ID$316,$FJ186-GC$169,73-GC$169+SwaptionShift):INDEX($FK$245:$ID$316,$FJ186-GC$169,72-GC$169+SwaptionMonthsToGo+SwaptionShift))/SQRT(SUM(INDEX($FK341:$ID341,1+SwaptionShift):INDEX($FK341:$ID341,SwaptionMonthsToGo+SwaptionShift))*SUM(INDEX($FK$325:$ID$396,GC$169,1+SwaptionShift):INDEX($FK$325:$ID$396,GC$169,SwaptionMonthsToGo+SwaptionShift))))))</f>
        <v/>
      </c>
      <c r="GD186" s="150" t="str">
        <f aca="false">IF(OR(GD$169&lt;SwaptionFirstMonthPosition+1,$FJ186&lt;SwaptionFirstMonthPosition+1,GD$169&gt;SwaptionFirstMonthPosition+SwaptionNumOfMonths+1,$FJ186&gt;SwaptionFirstMonthPosition+SwaptionNumOfMonths+1),"",IF($FJ186=GD$169,1,IF($FJ186&lt;GD$169,INDEX($FK$170:$ID$241,GD$169,$FJ186),SUMPRODUCT(INDEX($FK$325:$ID$396,GD$169,1+SwaptionShift):INDEX($FK$325:$ID$396,GD$169,SwaptionMonthsToGo+SwaptionShift),INDEX($FK$245:$ID$316,$FJ186-GD$169,73-GD$169+SwaptionShift):INDEX($FK$245:$ID$316,$FJ186-GD$169,72-GD$169+SwaptionMonthsToGo+SwaptionShift))/SQRT(SUM(INDEX($FK341:$ID341,1+SwaptionShift):INDEX($FK341:$ID341,SwaptionMonthsToGo+SwaptionShift))*SUM(INDEX($FK$325:$ID$396,GD$169,1+SwaptionShift):INDEX($FK$325:$ID$396,GD$169,SwaptionMonthsToGo+SwaptionShift))))))</f>
        <v/>
      </c>
      <c r="GE186" s="150" t="str">
        <f aca="false">IF(OR(GE$169&lt;SwaptionFirstMonthPosition+1,$FJ186&lt;SwaptionFirstMonthPosition+1,GE$169&gt;SwaptionFirstMonthPosition+SwaptionNumOfMonths+1,$FJ186&gt;SwaptionFirstMonthPosition+SwaptionNumOfMonths+1),"",IF($FJ186=GE$169,1,IF($FJ186&lt;GE$169,INDEX($FK$170:$ID$241,GE$169,$FJ186),SUMPRODUCT(INDEX($FK$325:$ID$396,GE$169,1+SwaptionShift):INDEX($FK$325:$ID$396,GE$169,SwaptionMonthsToGo+SwaptionShift),INDEX($FK$245:$ID$316,$FJ186-GE$169,73-GE$169+SwaptionShift):INDEX($FK$245:$ID$316,$FJ186-GE$169,72-GE$169+SwaptionMonthsToGo+SwaptionShift))/SQRT(SUM(INDEX($FK341:$ID341,1+SwaptionShift):INDEX($FK341:$ID341,SwaptionMonthsToGo+SwaptionShift))*SUM(INDEX($FK$325:$ID$396,GE$169,1+SwaptionShift):INDEX($FK$325:$ID$396,GE$169,SwaptionMonthsToGo+SwaptionShift))))))</f>
        <v/>
      </c>
      <c r="GF186" s="150" t="str">
        <f aca="false">IF(OR(GF$169&lt;SwaptionFirstMonthPosition+1,$FJ186&lt;SwaptionFirstMonthPosition+1,GF$169&gt;SwaptionFirstMonthPosition+SwaptionNumOfMonths+1,$FJ186&gt;SwaptionFirstMonthPosition+SwaptionNumOfMonths+1),"",IF($FJ186=GF$169,1,IF($FJ186&lt;GF$169,INDEX($FK$170:$ID$241,GF$169,$FJ186),SUMPRODUCT(INDEX($FK$325:$ID$396,GF$169,1+SwaptionShift):INDEX($FK$325:$ID$396,GF$169,SwaptionMonthsToGo+SwaptionShift),INDEX($FK$245:$ID$316,$FJ186-GF$169,73-GF$169+SwaptionShift):INDEX($FK$245:$ID$316,$FJ186-GF$169,72-GF$169+SwaptionMonthsToGo+SwaptionShift))/SQRT(SUM(INDEX($FK341:$ID341,1+SwaptionShift):INDEX($FK341:$ID341,SwaptionMonthsToGo+SwaptionShift))*SUM(INDEX($FK$325:$ID$396,GF$169,1+SwaptionShift):INDEX($FK$325:$ID$396,GF$169,SwaptionMonthsToGo+SwaptionShift))))))</f>
        <v/>
      </c>
      <c r="GG186" s="150" t="str">
        <f aca="false">IF(OR(GG$169&lt;SwaptionFirstMonthPosition+1,$FJ186&lt;SwaptionFirstMonthPosition+1,GG$169&gt;SwaptionFirstMonthPosition+SwaptionNumOfMonths+1,$FJ186&gt;SwaptionFirstMonthPosition+SwaptionNumOfMonths+1),"",IF($FJ186=GG$169,1,IF($FJ186&lt;GG$169,INDEX($FK$170:$ID$241,GG$169,$FJ186),SUMPRODUCT(INDEX($FK$325:$ID$396,GG$169,1+SwaptionShift):INDEX($FK$325:$ID$396,GG$169,SwaptionMonthsToGo+SwaptionShift),INDEX($FK$245:$ID$316,$FJ186-GG$169,73-GG$169+SwaptionShift):INDEX($FK$245:$ID$316,$FJ186-GG$169,72-GG$169+SwaptionMonthsToGo+SwaptionShift))/SQRT(SUM(INDEX($FK341:$ID341,1+SwaptionShift):INDEX($FK341:$ID341,SwaptionMonthsToGo+SwaptionShift))*SUM(INDEX($FK$325:$ID$396,GG$169,1+SwaptionShift):INDEX($FK$325:$ID$396,GG$169,SwaptionMonthsToGo+SwaptionShift))))))</f>
        <v/>
      </c>
      <c r="GH186" s="150" t="str">
        <f aca="false">IF(OR(GH$169&lt;SwaptionFirstMonthPosition+1,$FJ186&lt;SwaptionFirstMonthPosition+1,GH$169&gt;SwaptionFirstMonthPosition+SwaptionNumOfMonths+1,$FJ186&gt;SwaptionFirstMonthPosition+SwaptionNumOfMonths+1),"",IF($FJ186=GH$169,1,IF($FJ186&lt;GH$169,INDEX($FK$170:$ID$241,GH$169,$FJ186),SUMPRODUCT(INDEX($FK$325:$ID$396,GH$169,1+SwaptionShift):INDEX($FK$325:$ID$396,GH$169,SwaptionMonthsToGo+SwaptionShift),INDEX($FK$245:$ID$316,$FJ186-GH$169,73-GH$169+SwaptionShift):INDEX($FK$245:$ID$316,$FJ186-GH$169,72-GH$169+SwaptionMonthsToGo+SwaptionShift))/SQRT(SUM(INDEX($FK341:$ID341,1+SwaptionShift):INDEX($FK341:$ID341,SwaptionMonthsToGo+SwaptionShift))*SUM(INDEX($FK$325:$ID$396,GH$169,1+SwaptionShift):INDEX($FK$325:$ID$396,GH$169,SwaptionMonthsToGo+SwaptionShift))))))</f>
        <v/>
      </c>
      <c r="GI186" s="150" t="str">
        <f aca="false">IF(OR(GI$169&lt;SwaptionFirstMonthPosition+1,$FJ186&lt;SwaptionFirstMonthPosition+1,GI$169&gt;SwaptionFirstMonthPosition+SwaptionNumOfMonths+1,$FJ186&gt;SwaptionFirstMonthPosition+SwaptionNumOfMonths+1),"",IF($FJ186=GI$169,1,IF($FJ186&lt;GI$169,INDEX($FK$170:$ID$241,GI$169,$FJ186),SUMPRODUCT(INDEX($FK$325:$ID$396,GI$169,1+SwaptionShift):INDEX($FK$325:$ID$396,GI$169,SwaptionMonthsToGo+SwaptionShift),INDEX($FK$245:$ID$316,$FJ186-GI$169,73-GI$169+SwaptionShift):INDEX($FK$245:$ID$316,$FJ186-GI$169,72-GI$169+SwaptionMonthsToGo+SwaptionShift))/SQRT(SUM(INDEX($FK341:$ID341,1+SwaptionShift):INDEX($FK341:$ID341,SwaptionMonthsToGo+SwaptionShift))*SUM(INDEX($FK$325:$ID$396,GI$169,1+SwaptionShift):INDEX($FK$325:$ID$396,GI$169,SwaptionMonthsToGo+SwaptionShift))))))</f>
        <v/>
      </c>
      <c r="GJ186" s="150" t="str">
        <f aca="false">IF(OR(GJ$169&lt;SwaptionFirstMonthPosition+1,$FJ186&lt;SwaptionFirstMonthPosition+1,GJ$169&gt;SwaptionFirstMonthPosition+SwaptionNumOfMonths+1,$FJ186&gt;SwaptionFirstMonthPosition+SwaptionNumOfMonths+1),"",IF($FJ186=GJ$169,1,IF($FJ186&lt;GJ$169,INDEX($FK$170:$ID$241,GJ$169,$FJ186),SUMPRODUCT(INDEX($FK$325:$ID$396,GJ$169,1+SwaptionShift):INDEX($FK$325:$ID$396,GJ$169,SwaptionMonthsToGo+SwaptionShift),INDEX($FK$245:$ID$316,$FJ186-GJ$169,73-GJ$169+SwaptionShift):INDEX($FK$245:$ID$316,$FJ186-GJ$169,72-GJ$169+SwaptionMonthsToGo+SwaptionShift))/SQRT(SUM(INDEX($FK341:$ID341,1+SwaptionShift):INDEX($FK341:$ID341,SwaptionMonthsToGo+SwaptionShift))*SUM(INDEX($FK$325:$ID$396,GJ$169,1+SwaptionShift):INDEX($FK$325:$ID$396,GJ$169,SwaptionMonthsToGo+SwaptionShift))))))</f>
        <v/>
      </c>
      <c r="GK186" s="150" t="str">
        <f aca="false">IF(OR(GK$169&lt;SwaptionFirstMonthPosition+1,$FJ186&lt;SwaptionFirstMonthPosition+1,GK$169&gt;SwaptionFirstMonthPosition+SwaptionNumOfMonths+1,$FJ186&gt;SwaptionFirstMonthPosition+SwaptionNumOfMonths+1),"",IF($FJ186=GK$169,1,IF($FJ186&lt;GK$169,INDEX($FK$170:$ID$241,GK$169,$FJ186),SUMPRODUCT(INDEX($FK$325:$ID$396,GK$169,1+SwaptionShift):INDEX($FK$325:$ID$396,GK$169,SwaptionMonthsToGo+SwaptionShift),INDEX($FK$245:$ID$316,$FJ186-GK$169,73-GK$169+SwaptionShift):INDEX($FK$245:$ID$316,$FJ186-GK$169,72-GK$169+SwaptionMonthsToGo+SwaptionShift))/SQRT(SUM(INDEX($FK341:$ID341,1+SwaptionShift):INDEX($FK341:$ID341,SwaptionMonthsToGo+SwaptionShift))*SUM(INDEX($FK$325:$ID$396,GK$169,1+SwaptionShift):INDEX($FK$325:$ID$396,GK$169,SwaptionMonthsToGo+SwaptionShift))))))</f>
        <v/>
      </c>
      <c r="GL186" s="150" t="str">
        <f aca="false">IF(OR(GL$169&lt;SwaptionFirstMonthPosition+1,$FJ186&lt;SwaptionFirstMonthPosition+1,GL$169&gt;SwaptionFirstMonthPosition+SwaptionNumOfMonths+1,$FJ186&gt;SwaptionFirstMonthPosition+SwaptionNumOfMonths+1),"",IF($FJ186=GL$169,1,IF($FJ186&lt;GL$169,INDEX($FK$170:$ID$241,GL$169,$FJ186),SUMPRODUCT(INDEX($FK$325:$ID$396,GL$169,1+SwaptionShift):INDEX($FK$325:$ID$396,GL$169,SwaptionMonthsToGo+SwaptionShift),INDEX($FK$245:$ID$316,$FJ186-GL$169,73-GL$169+SwaptionShift):INDEX($FK$245:$ID$316,$FJ186-GL$169,72-GL$169+SwaptionMonthsToGo+SwaptionShift))/SQRT(SUM(INDEX($FK341:$ID341,1+SwaptionShift):INDEX($FK341:$ID341,SwaptionMonthsToGo+SwaptionShift))*SUM(INDEX($FK$325:$ID$396,GL$169,1+SwaptionShift):INDEX($FK$325:$ID$396,GL$169,SwaptionMonthsToGo+SwaptionShift))))))</f>
        <v/>
      </c>
      <c r="GM186" s="150" t="str">
        <f aca="false">IF(OR(GM$169&lt;SwaptionFirstMonthPosition+1,$FJ186&lt;SwaptionFirstMonthPosition+1,GM$169&gt;SwaptionFirstMonthPosition+SwaptionNumOfMonths+1,$FJ186&gt;SwaptionFirstMonthPosition+SwaptionNumOfMonths+1),"",IF($FJ186=GM$169,1,IF($FJ186&lt;GM$169,INDEX($FK$170:$ID$241,GM$169,$FJ186),SUMPRODUCT(INDEX($FK$325:$ID$396,GM$169,1+SwaptionShift):INDEX($FK$325:$ID$396,GM$169,SwaptionMonthsToGo+SwaptionShift),INDEX($FK$245:$ID$316,$FJ186-GM$169,73-GM$169+SwaptionShift):INDEX($FK$245:$ID$316,$FJ186-GM$169,72-GM$169+SwaptionMonthsToGo+SwaptionShift))/SQRT(SUM(INDEX($FK341:$ID341,1+SwaptionShift):INDEX($FK341:$ID341,SwaptionMonthsToGo+SwaptionShift))*SUM(INDEX($FK$325:$ID$396,GM$169,1+SwaptionShift):INDEX($FK$325:$ID$396,GM$169,SwaptionMonthsToGo+SwaptionShift))))))</f>
        <v/>
      </c>
      <c r="GN186" s="150" t="str">
        <f aca="false">IF(OR(GN$169&lt;SwaptionFirstMonthPosition+1,$FJ186&lt;SwaptionFirstMonthPosition+1,GN$169&gt;SwaptionFirstMonthPosition+SwaptionNumOfMonths+1,$FJ186&gt;SwaptionFirstMonthPosition+SwaptionNumOfMonths+1),"",IF($FJ186=GN$169,1,IF($FJ186&lt;GN$169,INDEX($FK$170:$ID$241,GN$169,$FJ186),SUMPRODUCT(INDEX($FK$325:$ID$396,GN$169,1+SwaptionShift):INDEX($FK$325:$ID$396,GN$169,SwaptionMonthsToGo+SwaptionShift),INDEX($FK$245:$ID$316,$FJ186-GN$169,73-GN$169+SwaptionShift):INDEX($FK$245:$ID$316,$FJ186-GN$169,72-GN$169+SwaptionMonthsToGo+SwaptionShift))/SQRT(SUM(INDEX($FK341:$ID341,1+SwaptionShift):INDEX($FK341:$ID341,SwaptionMonthsToGo+SwaptionShift))*SUM(INDEX($FK$325:$ID$396,GN$169,1+SwaptionShift):INDEX($FK$325:$ID$396,GN$169,SwaptionMonthsToGo+SwaptionShift))))))</f>
        <v/>
      </c>
      <c r="GO186" s="150" t="str">
        <f aca="false">IF(OR(GO$169&lt;SwaptionFirstMonthPosition+1,$FJ186&lt;SwaptionFirstMonthPosition+1,GO$169&gt;SwaptionFirstMonthPosition+SwaptionNumOfMonths+1,$FJ186&gt;SwaptionFirstMonthPosition+SwaptionNumOfMonths+1),"",IF($FJ186=GO$169,1,IF($FJ186&lt;GO$169,INDEX($FK$170:$ID$241,GO$169,$FJ186),SUMPRODUCT(INDEX($FK$325:$ID$396,GO$169,1+SwaptionShift):INDEX($FK$325:$ID$396,GO$169,SwaptionMonthsToGo+SwaptionShift),INDEX($FK$245:$ID$316,$FJ186-GO$169,73-GO$169+SwaptionShift):INDEX($FK$245:$ID$316,$FJ186-GO$169,72-GO$169+SwaptionMonthsToGo+SwaptionShift))/SQRT(SUM(INDEX($FK341:$ID341,1+SwaptionShift):INDEX($FK341:$ID341,SwaptionMonthsToGo+SwaptionShift))*SUM(INDEX($FK$325:$ID$396,GO$169,1+SwaptionShift):INDEX($FK$325:$ID$396,GO$169,SwaptionMonthsToGo+SwaptionShift))))))</f>
        <v/>
      </c>
      <c r="GP186" s="150" t="str">
        <f aca="false">IF(OR(GP$169&lt;SwaptionFirstMonthPosition+1,$FJ186&lt;SwaptionFirstMonthPosition+1,GP$169&gt;SwaptionFirstMonthPosition+SwaptionNumOfMonths+1,$FJ186&gt;SwaptionFirstMonthPosition+SwaptionNumOfMonths+1),"",IF($FJ186=GP$169,1,IF($FJ186&lt;GP$169,INDEX($FK$170:$ID$241,GP$169,$FJ186),SUMPRODUCT(INDEX($FK$325:$ID$396,GP$169,1+SwaptionShift):INDEX($FK$325:$ID$396,GP$169,SwaptionMonthsToGo+SwaptionShift),INDEX($FK$245:$ID$316,$FJ186-GP$169,73-GP$169+SwaptionShift):INDEX($FK$245:$ID$316,$FJ186-GP$169,72-GP$169+SwaptionMonthsToGo+SwaptionShift))/SQRT(SUM(INDEX($FK341:$ID341,1+SwaptionShift):INDEX($FK341:$ID341,SwaptionMonthsToGo+SwaptionShift))*SUM(INDEX($FK$325:$ID$396,GP$169,1+SwaptionShift):INDEX($FK$325:$ID$396,GP$169,SwaptionMonthsToGo+SwaptionShift))))))</f>
        <v/>
      </c>
      <c r="GQ186" s="150" t="str">
        <f aca="false">IF(OR(GQ$169&lt;SwaptionFirstMonthPosition+1,$FJ186&lt;SwaptionFirstMonthPosition+1,GQ$169&gt;SwaptionFirstMonthPosition+SwaptionNumOfMonths+1,$FJ186&gt;SwaptionFirstMonthPosition+SwaptionNumOfMonths+1),"",IF($FJ186=GQ$169,1,IF($FJ186&lt;GQ$169,INDEX($FK$170:$ID$241,GQ$169,$FJ186),SUMPRODUCT(INDEX($FK$325:$ID$396,GQ$169,1+SwaptionShift):INDEX($FK$325:$ID$396,GQ$169,SwaptionMonthsToGo+SwaptionShift),INDEX($FK$245:$ID$316,$FJ186-GQ$169,73-GQ$169+SwaptionShift):INDEX($FK$245:$ID$316,$FJ186-GQ$169,72-GQ$169+SwaptionMonthsToGo+SwaptionShift))/SQRT(SUM(INDEX($FK341:$ID341,1+SwaptionShift):INDEX($FK341:$ID341,SwaptionMonthsToGo+SwaptionShift))*SUM(INDEX($FK$325:$ID$396,GQ$169,1+SwaptionShift):INDEX($FK$325:$ID$396,GQ$169,SwaptionMonthsToGo+SwaptionShift))))))</f>
        <v/>
      </c>
      <c r="GR186" s="150" t="str">
        <f aca="false">IF(OR(GR$169&lt;SwaptionFirstMonthPosition+1,$FJ186&lt;SwaptionFirstMonthPosition+1,GR$169&gt;SwaptionFirstMonthPosition+SwaptionNumOfMonths+1,$FJ186&gt;SwaptionFirstMonthPosition+SwaptionNumOfMonths+1),"",IF($FJ186=GR$169,1,IF($FJ186&lt;GR$169,INDEX($FK$170:$ID$241,GR$169,$FJ186),SUMPRODUCT(INDEX($FK$325:$ID$396,GR$169,1+SwaptionShift):INDEX($FK$325:$ID$396,GR$169,SwaptionMonthsToGo+SwaptionShift),INDEX($FK$245:$ID$316,$FJ186-GR$169,73-GR$169+SwaptionShift):INDEX($FK$245:$ID$316,$FJ186-GR$169,72-GR$169+SwaptionMonthsToGo+SwaptionShift))/SQRT(SUM(INDEX($FK341:$ID341,1+SwaptionShift):INDEX($FK341:$ID341,SwaptionMonthsToGo+SwaptionShift))*SUM(INDEX($FK$325:$ID$396,GR$169,1+SwaptionShift):INDEX($FK$325:$ID$396,GR$169,SwaptionMonthsToGo+SwaptionShift))))))</f>
        <v/>
      </c>
      <c r="GS186" s="150" t="str">
        <f aca="false">IF(OR(GS$169&lt;SwaptionFirstMonthPosition+1,$FJ186&lt;SwaptionFirstMonthPosition+1,GS$169&gt;SwaptionFirstMonthPosition+SwaptionNumOfMonths+1,$FJ186&gt;SwaptionFirstMonthPosition+SwaptionNumOfMonths+1),"",IF($FJ186=GS$169,1,IF($FJ186&lt;GS$169,INDEX($FK$170:$ID$241,GS$169,$FJ186),SUMPRODUCT(INDEX($FK$325:$ID$396,GS$169,1+SwaptionShift):INDEX($FK$325:$ID$396,GS$169,SwaptionMonthsToGo+SwaptionShift),INDEX($FK$245:$ID$316,$FJ186-GS$169,73-GS$169+SwaptionShift):INDEX($FK$245:$ID$316,$FJ186-GS$169,72-GS$169+SwaptionMonthsToGo+SwaptionShift))/SQRT(SUM(INDEX($FK341:$ID341,1+SwaptionShift):INDEX($FK341:$ID341,SwaptionMonthsToGo+SwaptionShift))*SUM(INDEX($FK$325:$ID$396,GS$169,1+SwaptionShift):INDEX($FK$325:$ID$396,GS$169,SwaptionMonthsToGo+SwaptionShift))))))</f>
        <v/>
      </c>
      <c r="GT186" s="150" t="str">
        <f aca="false">IF(OR(GT$169&lt;SwaptionFirstMonthPosition+1,$FJ186&lt;SwaptionFirstMonthPosition+1,GT$169&gt;SwaptionFirstMonthPosition+SwaptionNumOfMonths+1,$FJ186&gt;SwaptionFirstMonthPosition+SwaptionNumOfMonths+1),"",IF($FJ186=GT$169,1,IF($FJ186&lt;GT$169,INDEX($FK$170:$ID$241,GT$169,$FJ186),SUMPRODUCT(INDEX($FK$325:$ID$396,GT$169,1+SwaptionShift):INDEX($FK$325:$ID$396,GT$169,SwaptionMonthsToGo+SwaptionShift),INDEX($FK$245:$ID$316,$FJ186-GT$169,73-GT$169+SwaptionShift):INDEX($FK$245:$ID$316,$FJ186-GT$169,72-GT$169+SwaptionMonthsToGo+SwaptionShift))/SQRT(SUM(INDEX($FK341:$ID341,1+SwaptionShift):INDEX($FK341:$ID341,SwaptionMonthsToGo+SwaptionShift))*SUM(INDEX($FK$325:$ID$396,GT$169,1+SwaptionShift):INDEX($FK$325:$ID$396,GT$169,SwaptionMonthsToGo+SwaptionShift))))))</f>
        <v/>
      </c>
      <c r="GU186" s="150" t="str">
        <f aca="false">IF(OR(GU$169&lt;SwaptionFirstMonthPosition+1,$FJ186&lt;SwaptionFirstMonthPosition+1,GU$169&gt;SwaptionFirstMonthPosition+SwaptionNumOfMonths+1,$FJ186&gt;SwaptionFirstMonthPosition+SwaptionNumOfMonths+1),"",IF($FJ186=GU$169,1,IF($FJ186&lt;GU$169,INDEX($FK$170:$ID$241,GU$169,$FJ186),SUMPRODUCT(INDEX($FK$325:$ID$396,GU$169,1+SwaptionShift):INDEX($FK$325:$ID$396,GU$169,SwaptionMonthsToGo+SwaptionShift),INDEX($FK$245:$ID$316,$FJ186-GU$169,73-GU$169+SwaptionShift):INDEX($FK$245:$ID$316,$FJ186-GU$169,72-GU$169+SwaptionMonthsToGo+SwaptionShift))/SQRT(SUM(INDEX($FK341:$ID341,1+SwaptionShift):INDEX($FK341:$ID341,SwaptionMonthsToGo+SwaptionShift))*SUM(INDEX($FK$325:$ID$396,GU$169,1+SwaptionShift):INDEX($FK$325:$ID$396,GU$169,SwaptionMonthsToGo+SwaptionShift))))))</f>
        <v/>
      </c>
      <c r="GV186" s="150" t="str">
        <f aca="false">IF(OR(GV$169&lt;SwaptionFirstMonthPosition+1,$FJ186&lt;SwaptionFirstMonthPosition+1,GV$169&gt;SwaptionFirstMonthPosition+SwaptionNumOfMonths+1,$FJ186&gt;SwaptionFirstMonthPosition+SwaptionNumOfMonths+1),"",IF($FJ186=GV$169,1,IF($FJ186&lt;GV$169,INDEX($FK$170:$ID$241,GV$169,$FJ186),SUMPRODUCT(INDEX($FK$325:$ID$396,GV$169,1+SwaptionShift):INDEX($FK$325:$ID$396,GV$169,SwaptionMonthsToGo+SwaptionShift),INDEX($FK$245:$ID$316,$FJ186-GV$169,73-GV$169+SwaptionShift):INDEX($FK$245:$ID$316,$FJ186-GV$169,72-GV$169+SwaptionMonthsToGo+SwaptionShift))/SQRT(SUM(INDEX($FK341:$ID341,1+SwaptionShift):INDEX($FK341:$ID341,SwaptionMonthsToGo+SwaptionShift))*SUM(INDEX($FK$325:$ID$396,GV$169,1+SwaptionShift):INDEX($FK$325:$ID$396,GV$169,SwaptionMonthsToGo+SwaptionShift))))))</f>
        <v/>
      </c>
      <c r="GW186" s="150" t="str">
        <f aca="false">IF(OR(GW$169&lt;SwaptionFirstMonthPosition+1,$FJ186&lt;SwaptionFirstMonthPosition+1,GW$169&gt;SwaptionFirstMonthPosition+SwaptionNumOfMonths+1,$FJ186&gt;SwaptionFirstMonthPosition+SwaptionNumOfMonths+1),"",IF($FJ186=GW$169,1,IF($FJ186&lt;GW$169,INDEX($FK$170:$ID$241,GW$169,$FJ186),SUMPRODUCT(INDEX($FK$325:$ID$396,GW$169,1+SwaptionShift):INDEX($FK$325:$ID$396,GW$169,SwaptionMonthsToGo+SwaptionShift),INDEX($FK$245:$ID$316,$FJ186-GW$169,73-GW$169+SwaptionShift):INDEX($FK$245:$ID$316,$FJ186-GW$169,72-GW$169+SwaptionMonthsToGo+SwaptionShift))/SQRT(SUM(INDEX($FK341:$ID341,1+SwaptionShift):INDEX($FK341:$ID341,SwaptionMonthsToGo+SwaptionShift))*SUM(INDEX($FK$325:$ID$396,GW$169,1+SwaptionShift):INDEX($FK$325:$ID$396,GW$169,SwaptionMonthsToGo+SwaptionShift))))))</f>
        <v/>
      </c>
      <c r="GX186" s="150" t="str">
        <f aca="false">IF(OR(GX$169&lt;SwaptionFirstMonthPosition+1,$FJ186&lt;SwaptionFirstMonthPosition+1,GX$169&gt;SwaptionFirstMonthPosition+SwaptionNumOfMonths+1,$FJ186&gt;SwaptionFirstMonthPosition+SwaptionNumOfMonths+1),"",IF($FJ186=GX$169,1,IF($FJ186&lt;GX$169,INDEX($FK$170:$ID$241,GX$169,$FJ186),SUMPRODUCT(INDEX($FK$325:$ID$396,GX$169,1+SwaptionShift):INDEX($FK$325:$ID$396,GX$169,SwaptionMonthsToGo+SwaptionShift),INDEX($FK$245:$ID$316,$FJ186-GX$169,73-GX$169+SwaptionShift):INDEX($FK$245:$ID$316,$FJ186-GX$169,72-GX$169+SwaptionMonthsToGo+SwaptionShift))/SQRT(SUM(INDEX($FK341:$ID341,1+SwaptionShift):INDEX($FK341:$ID341,SwaptionMonthsToGo+SwaptionShift))*SUM(INDEX($FK$325:$ID$396,GX$169,1+SwaptionShift):INDEX($FK$325:$ID$396,GX$169,SwaptionMonthsToGo+SwaptionShift))))))</f>
        <v/>
      </c>
      <c r="GY186" s="150" t="str">
        <f aca="false">IF(OR(GY$169&lt;SwaptionFirstMonthPosition+1,$FJ186&lt;SwaptionFirstMonthPosition+1,GY$169&gt;SwaptionFirstMonthPosition+SwaptionNumOfMonths+1,$FJ186&gt;SwaptionFirstMonthPosition+SwaptionNumOfMonths+1),"",IF($FJ186=GY$169,1,IF($FJ186&lt;GY$169,INDEX($FK$170:$ID$241,GY$169,$FJ186),SUMPRODUCT(INDEX($FK$325:$ID$396,GY$169,1+SwaptionShift):INDEX($FK$325:$ID$396,GY$169,SwaptionMonthsToGo+SwaptionShift),INDEX($FK$245:$ID$316,$FJ186-GY$169,73-GY$169+SwaptionShift):INDEX($FK$245:$ID$316,$FJ186-GY$169,72-GY$169+SwaptionMonthsToGo+SwaptionShift))/SQRT(SUM(INDEX($FK341:$ID341,1+SwaptionShift):INDEX($FK341:$ID341,SwaptionMonthsToGo+SwaptionShift))*SUM(INDEX($FK$325:$ID$396,GY$169,1+SwaptionShift):INDEX($FK$325:$ID$396,GY$169,SwaptionMonthsToGo+SwaptionShift))))))</f>
        <v/>
      </c>
      <c r="GZ186" s="150" t="str">
        <f aca="false">IF(OR(GZ$169&lt;SwaptionFirstMonthPosition+1,$FJ186&lt;SwaptionFirstMonthPosition+1,GZ$169&gt;SwaptionFirstMonthPosition+SwaptionNumOfMonths+1,$FJ186&gt;SwaptionFirstMonthPosition+SwaptionNumOfMonths+1),"",IF($FJ186=GZ$169,1,IF($FJ186&lt;GZ$169,INDEX($FK$170:$ID$241,GZ$169,$FJ186),SUMPRODUCT(INDEX($FK$325:$ID$396,GZ$169,1+SwaptionShift):INDEX($FK$325:$ID$396,GZ$169,SwaptionMonthsToGo+SwaptionShift),INDEX($FK$245:$ID$316,$FJ186-GZ$169,73-GZ$169+SwaptionShift):INDEX($FK$245:$ID$316,$FJ186-GZ$169,72-GZ$169+SwaptionMonthsToGo+SwaptionShift))/SQRT(SUM(INDEX($FK341:$ID341,1+SwaptionShift):INDEX($FK341:$ID341,SwaptionMonthsToGo+SwaptionShift))*SUM(INDEX($FK$325:$ID$396,GZ$169,1+SwaptionShift):INDEX($FK$325:$ID$396,GZ$169,SwaptionMonthsToGo+SwaptionShift))))))</f>
        <v/>
      </c>
      <c r="HA186" s="150" t="str">
        <f aca="false">IF(OR(HA$169&lt;SwaptionFirstMonthPosition+1,$FJ186&lt;SwaptionFirstMonthPosition+1,HA$169&gt;SwaptionFirstMonthPosition+SwaptionNumOfMonths+1,$FJ186&gt;SwaptionFirstMonthPosition+SwaptionNumOfMonths+1),"",IF($FJ186=HA$169,1,IF($FJ186&lt;HA$169,INDEX($FK$170:$ID$241,HA$169,$FJ186),SUMPRODUCT(INDEX($FK$325:$ID$396,HA$169,1+SwaptionShift):INDEX($FK$325:$ID$396,HA$169,SwaptionMonthsToGo+SwaptionShift),INDEX($FK$245:$ID$316,$FJ186-HA$169,73-HA$169+SwaptionShift):INDEX($FK$245:$ID$316,$FJ186-HA$169,72-HA$169+SwaptionMonthsToGo+SwaptionShift))/SQRT(SUM(INDEX($FK341:$ID341,1+SwaptionShift):INDEX($FK341:$ID341,SwaptionMonthsToGo+SwaptionShift))*SUM(INDEX($FK$325:$ID$396,HA$169,1+SwaptionShift):INDEX($FK$325:$ID$396,HA$169,SwaptionMonthsToGo+SwaptionShift))))))</f>
        <v/>
      </c>
      <c r="HB186" s="150" t="str">
        <f aca="false">IF(OR(HB$169&lt;SwaptionFirstMonthPosition+1,$FJ186&lt;SwaptionFirstMonthPosition+1,HB$169&gt;SwaptionFirstMonthPosition+SwaptionNumOfMonths+1,$FJ186&gt;SwaptionFirstMonthPosition+SwaptionNumOfMonths+1),"",IF($FJ186=HB$169,1,IF($FJ186&lt;HB$169,INDEX($FK$170:$ID$241,HB$169,$FJ186),SUMPRODUCT(INDEX($FK$325:$ID$396,HB$169,1+SwaptionShift):INDEX($FK$325:$ID$396,HB$169,SwaptionMonthsToGo+SwaptionShift),INDEX($FK$245:$ID$316,$FJ186-HB$169,73-HB$169+SwaptionShift):INDEX($FK$245:$ID$316,$FJ186-HB$169,72-HB$169+SwaptionMonthsToGo+SwaptionShift))/SQRT(SUM(INDEX($FK341:$ID341,1+SwaptionShift):INDEX($FK341:$ID341,SwaptionMonthsToGo+SwaptionShift))*SUM(INDEX($FK$325:$ID$396,HB$169,1+SwaptionShift):INDEX($FK$325:$ID$396,HB$169,SwaptionMonthsToGo+SwaptionShift))))))</f>
        <v/>
      </c>
      <c r="HC186" s="150" t="str">
        <f aca="false">IF(OR(HC$169&lt;SwaptionFirstMonthPosition+1,$FJ186&lt;SwaptionFirstMonthPosition+1,HC$169&gt;SwaptionFirstMonthPosition+SwaptionNumOfMonths+1,$FJ186&gt;SwaptionFirstMonthPosition+SwaptionNumOfMonths+1),"",IF($FJ186=HC$169,1,IF($FJ186&lt;HC$169,INDEX($FK$170:$ID$241,HC$169,$FJ186),SUMPRODUCT(INDEX($FK$325:$ID$396,HC$169,1+SwaptionShift):INDEX($FK$325:$ID$396,HC$169,SwaptionMonthsToGo+SwaptionShift),INDEX($FK$245:$ID$316,$FJ186-HC$169,73-HC$169+SwaptionShift):INDEX($FK$245:$ID$316,$FJ186-HC$169,72-HC$169+SwaptionMonthsToGo+SwaptionShift))/SQRT(SUM(INDEX($FK341:$ID341,1+SwaptionShift):INDEX($FK341:$ID341,SwaptionMonthsToGo+SwaptionShift))*SUM(INDEX($FK$325:$ID$396,HC$169,1+SwaptionShift):INDEX($FK$325:$ID$396,HC$169,SwaptionMonthsToGo+SwaptionShift))))))</f>
        <v/>
      </c>
      <c r="HD186" s="150" t="str">
        <f aca="false">IF(OR(HD$169&lt;SwaptionFirstMonthPosition+1,$FJ186&lt;SwaptionFirstMonthPosition+1,HD$169&gt;SwaptionFirstMonthPosition+SwaptionNumOfMonths+1,$FJ186&gt;SwaptionFirstMonthPosition+SwaptionNumOfMonths+1),"",IF($FJ186=HD$169,1,IF($FJ186&lt;HD$169,INDEX($FK$170:$ID$241,HD$169,$FJ186),SUMPRODUCT(INDEX($FK$325:$ID$396,HD$169,1+SwaptionShift):INDEX($FK$325:$ID$396,HD$169,SwaptionMonthsToGo+SwaptionShift),INDEX($FK$245:$ID$316,$FJ186-HD$169,73-HD$169+SwaptionShift):INDEX($FK$245:$ID$316,$FJ186-HD$169,72-HD$169+SwaptionMonthsToGo+SwaptionShift))/SQRT(SUM(INDEX($FK341:$ID341,1+SwaptionShift):INDEX($FK341:$ID341,SwaptionMonthsToGo+SwaptionShift))*SUM(INDEX($FK$325:$ID$396,HD$169,1+SwaptionShift):INDEX($FK$325:$ID$396,HD$169,SwaptionMonthsToGo+SwaptionShift))))))</f>
        <v/>
      </c>
      <c r="HE186" s="150" t="str">
        <f aca="false">IF(OR(HE$169&lt;SwaptionFirstMonthPosition+1,$FJ186&lt;SwaptionFirstMonthPosition+1,HE$169&gt;SwaptionFirstMonthPosition+SwaptionNumOfMonths+1,$FJ186&gt;SwaptionFirstMonthPosition+SwaptionNumOfMonths+1),"",IF($FJ186=HE$169,1,IF($FJ186&lt;HE$169,INDEX($FK$170:$ID$241,HE$169,$FJ186),SUMPRODUCT(INDEX($FK$325:$ID$396,HE$169,1+SwaptionShift):INDEX($FK$325:$ID$396,HE$169,SwaptionMonthsToGo+SwaptionShift),INDEX($FK$245:$ID$316,$FJ186-HE$169,73-HE$169+SwaptionShift):INDEX($FK$245:$ID$316,$FJ186-HE$169,72-HE$169+SwaptionMonthsToGo+SwaptionShift))/SQRT(SUM(INDEX($FK341:$ID341,1+SwaptionShift):INDEX($FK341:$ID341,SwaptionMonthsToGo+SwaptionShift))*SUM(INDEX($FK$325:$ID$396,HE$169,1+SwaptionShift):INDEX($FK$325:$ID$396,HE$169,SwaptionMonthsToGo+SwaptionShift))))))</f>
        <v/>
      </c>
      <c r="HF186" s="150" t="str">
        <f aca="false">IF(OR(HF$169&lt;SwaptionFirstMonthPosition+1,$FJ186&lt;SwaptionFirstMonthPosition+1,HF$169&gt;SwaptionFirstMonthPosition+SwaptionNumOfMonths+1,$FJ186&gt;SwaptionFirstMonthPosition+SwaptionNumOfMonths+1),"",IF($FJ186=HF$169,1,IF($FJ186&lt;HF$169,INDEX($FK$170:$ID$241,HF$169,$FJ186),SUMPRODUCT(INDEX($FK$325:$ID$396,HF$169,1+SwaptionShift):INDEX($FK$325:$ID$396,HF$169,SwaptionMonthsToGo+SwaptionShift),INDEX($FK$245:$ID$316,$FJ186-HF$169,73-HF$169+SwaptionShift):INDEX($FK$245:$ID$316,$FJ186-HF$169,72-HF$169+SwaptionMonthsToGo+SwaptionShift))/SQRT(SUM(INDEX($FK341:$ID341,1+SwaptionShift):INDEX($FK341:$ID341,SwaptionMonthsToGo+SwaptionShift))*SUM(INDEX($FK$325:$ID$396,HF$169,1+SwaptionShift):INDEX($FK$325:$ID$396,HF$169,SwaptionMonthsToGo+SwaptionShift))))))</f>
        <v/>
      </c>
      <c r="HG186" s="150" t="str">
        <f aca="false">IF(OR(HG$169&lt;SwaptionFirstMonthPosition+1,$FJ186&lt;SwaptionFirstMonthPosition+1,HG$169&gt;SwaptionFirstMonthPosition+SwaptionNumOfMonths+1,$FJ186&gt;SwaptionFirstMonthPosition+SwaptionNumOfMonths+1),"",IF($FJ186=HG$169,1,IF($FJ186&lt;HG$169,INDEX($FK$170:$ID$241,HG$169,$FJ186),SUMPRODUCT(INDEX($FK$325:$ID$396,HG$169,1+SwaptionShift):INDEX($FK$325:$ID$396,HG$169,SwaptionMonthsToGo+SwaptionShift),INDEX($FK$245:$ID$316,$FJ186-HG$169,73-HG$169+SwaptionShift):INDEX($FK$245:$ID$316,$FJ186-HG$169,72-HG$169+SwaptionMonthsToGo+SwaptionShift))/SQRT(SUM(INDEX($FK341:$ID341,1+SwaptionShift):INDEX($FK341:$ID341,SwaptionMonthsToGo+SwaptionShift))*SUM(INDEX($FK$325:$ID$396,HG$169,1+SwaptionShift):INDEX($FK$325:$ID$396,HG$169,SwaptionMonthsToGo+SwaptionShift))))))</f>
        <v/>
      </c>
      <c r="HH186" s="150" t="str">
        <f aca="false">IF(OR(HH$169&lt;SwaptionFirstMonthPosition+1,$FJ186&lt;SwaptionFirstMonthPosition+1,HH$169&gt;SwaptionFirstMonthPosition+SwaptionNumOfMonths+1,$FJ186&gt;SwaptionFirstMonthPosition+SwaptionNumOfMonths+1),"",IF($FJ186=HH$169,1,IF($FJ186&lt;HH$169,INDEX($FK$170:$ID$241,HH$169,$FJ186),SUMPRODUCT(INDEX($FK$325:$ID$396,HH$169,1+SwaptionShift):INDEX($FK$325:$ID$396,HH$169,SwaptionMonthsToGo+SwaptionShift),INDEX($FK$245:$ID$316,$FJ186-HH$169,73-HH$169+SwaptionShift):INDEX($FK$245:$ID$316,$FJ186-HH$169,72-HH$169+SwaptionMonthsToGo+SwaptionShift))/SQRT(SUM(INDEX($FK341:$ID341,1+SwaptionShift):INDEX($FK341:$ID341,SwaptionMonthsToGo+SwaptionShift))*SUM(INDEX($FK$325:$ID$396,HH$169,1+SwaptionShift):INDEX($FK$325:$ID$396,HH$169,SwaptionMonthsToGo+SwaptionShift))))))</f>
        <v/>
      </c>
      <c r="HI186" s="150" t="str">
        <f aca="false">IF(OR(HI$169&lt;SwaptionFirstMonthPosition+1,$FJ186&lt;SwaptionFirstMonthPosition+1,HI$169&gt;SwaptionFirstMonthPosition+SwaptionNumOfMonths+1,$FJ186&gt;SwaptionFirstMonthPosition+SwaptionNumOfMonths+1),"",IF($FJ186=HI$169,1,IF($FJ186&lt;HI$169,INDEX($FK$170:$ID$241,HI$169,$FJ186),SUMPRODUCT(INDEX($FK$325:$ID$396,HI$169,1+SwaptionShift):INDEX($FK$325:$ID$396,HI$169,SwaptionMonthsToGo+SwaptionShift),INDEX($FK$245:$ID$316,$FJ186-HI$169,73-HI$169+SwaptionShift):INDEX($FK$245:$ID$316,$FJ186-HI$169,72-HI$169+SwaptionMonthsToGo+SwaptionShift))/SQRT(SUM(INDEX($FK341:$ID341,1+SwaptionShift):INDEX($FK341:$ID341,SwaptionMonthsToGo+SwaptionShift))*SUM(INDEX($FK$325:$ID$396,HI$169,1+SwaptionShift):INDEX($FK$325:$ID$396,HI$169,SwaptionMonthsToGo+SwaptionShift))))))</f>
        <v/>
      </c>
      <c r="HJ186" s="150" t="str">
        <f aca="false">IF(OR(HJ$169&lt;SwaptionFirstMonthPosition+1,$FJ186&lt;SwaptionFirstMonthPosition+1,HJ$169&gt;SwaptionFirstMonthPosition+SwaptionNumOfMonths+1,$FJ186&gt;SwaptionFirstMonthPosition+SwaptionNumOfMonths+1),"",IF($FJ186=HJ$169,1,IF($FJ186&lt;HJ$169,INDEX($FK$170:$ID$241,HJ$169,$FJ186),SUMPRODUCT(INDEX($FK$325:$ID$396,HJ$169,1+SwaptionShift):INDEX($FK$325:$ID$396,HJ$169,SwaptionMonthsToGo+SwaptionShift),INDEX($FK$245:$ID$316,$FJ186-HJ$169,73-HJ$169+SwaptionShift):INDEX($FK$245:$ID$316,$FJ186-HJ$169,72-HJ$169+SwaptionMonthsToGo+SwaptionShift))/SQRT(SUM(INDEX($FK341:$ID341,1+SwaptionShift):INDEX($FK341:$ID341,SwaptionMonthsToGo+SwaptionShift))*SUM(INDEX($FK$325:$ID$396,HJ$169,1+SwaptionShift):INDEX($FK$325:$ID$396,HJ$169,SwaptionMonthsToGo+SwaptionShift))))))</f>
        <v/>
      </c>
      <c r="HK186" s="150" t="str">
        <f aca="false">IF(OR(HK$169&lt;SwaptionFirstMonthPosition+1,$FJ186&lt;SwaptionFirstMonthPosition+1,HK$169&gt;SwaptionFirstMonthPosition+SwaptionNumOfMonths+1,$FJ186&gt;SwaptionFirstMonthPosition+SwaptionNumOfMonths+1),"",IF($FJ186=HK$169,1,IF($FJ186&lt;HK$169,INDEX($FK$170:$ID$241,HK$169,$FJ186),SUMPRODUCT(INDEX($FK$325:$ID$396,HK$169,1+SwaptionShift):INDEX($FK$325:$ID$396,HK$169,SwaptionMonthsToGo+SwaptionShift),INDEX($FK$245:$ID$316,$FJ186-HK$169,73-HK$169+SwaptionShift):INDEX($FK$245:$ID$316,$FJ186-HK$169,72-HK$169+SwaptionMonthsToGo+SwaptionShift))/SQRT(SUM(INDEX($FK341:$ID341,1+SwaptionShift):INDEX($FK341:$ID341,SwaptionMonthsToGo+SwaptionShift))*SUM(INDEX($FK$325:$ID$396,HK$169,1+SwaptionShift):INDEX($FK$325:$ID$396,HK$169,SwaptionMonthsToGo+SwaptionShift))))))</f>
        <v/>
      </c>
      <c r="HL186" s="150" t="str">
        <f aca="false">IF(OR(HL$169&lt;SwaptionFirstMonthPosition+1,$FJ186&lt;SwaptionFirstMonthPosition+1,HL$169&gt;SwaptionFirstMonthPosition+SwaptionNumOfMonths+1,$FJ186&gt;SwaptionFirstMonthPosition+SwaptionNumOfMonths+1),"",IF($FJ186=HL$169,1,IF($FJ186&lt;HL$169,INDEX($FK$170:$ID$241,HL$169,$FJ186),SUMPRODUCT(INDEX($FK$325:$ID$396,HL$169,1+SwaptionShift):INDEX($FK$325:$ID$396,HL$169,SwaptionMonthsToGo+SwaptionShift),INDEX($FK$245:$ID$316,$FJ186-HL$169,73-HL$169+SwaptionShift):INDEX($FK$245:$ID$316,$FJ186-HL$169,72-HL$169+SwaptionMonthsToGo+SwaptionShift))/SQRT(SUM(INDEX($FK341:$ID341,1+SwaptionShift):INDEX($FK341:$ID341,SwaptionMonthsToGo+SwaptionShift))*SUM(INDEX($FK$325:$ID$396,HL$169,1+SwaptionShift):INDEX($FK$325:$ID$396,HL$169,SwaptionMonthsToGo+SwaptionShift))))))</f>
        <v/>
      </c>
      <c r="HM186" s="150" t="str">
        <f aca="false">IF(OR(HM$169&lt;SwaptionFirstMonthPosition+1,$FJ186&lt;SwaptionFirstMonthPosition+1,HM$169&gt;SwaptionFirstMonthPosition+SwaptionNumOfMonths+1,$FJ186&gt;SwaptionFirstMonthPosition+SwaptionNumOfMonths+1),"",IF($FJ186=HM$169,1,IF($FJ186&lt;HM$169,INDEX($FK$170:$ID$241,HM$169,$FJ186),SUMPRODUCT(INDEX($FK$325:$ID$396,HM$169,1+SwaptionShift):INDEX($FK$325:$ID$396,HM$169,SwaptionMonthsToGo+SwaptionShift),INDEX($FK$245:$ID$316,$FJ186-HM$169,73-HM$169+SwaptionShift):INDEX($FK$245:$ID$316,$FJ186-HM$169,72-HM$169+SwaptionMonthsToGo+SwaptionShift))/SQRT(SUM(INDEX($FK341:$ID341,1+SwaptionShift):INDEX($FK341:$ID341,SwaptionMonthsToGo+SwaptionShift))*SUM(INDEX($FK$325:$ID$396,HM$169,1+SwaptionShift):INDEX($FK$325:$ID$396,HM$169,SwaptionMonthsToGo+SwaptionShift))))))</f>
        <v/>
      </c>
      <c r="HN186" s="150" t="str">
        <f aca="false">IF(OR(HN$169&lt;SwaptionFirstMonthPosition+1,$FJ186&lt;SwaptionFirstMonthPosition+1,HN$169&gt;SwaptionFirstMonthPosition+SwaptionNumOfMonths+1,$FJ186&gt;SwaptionFirstMonthPosition+SwaptionNumOfMonths+1),"",IF($FJ186=HN$169,1,IF($FJ186&lt;HN$169,INDEX($FK$170:$ID$241,HN$169,$FJ186),SUMPRODUCT(INDEX($FK$325:$ID$396,HN$169,1+SwaptionShift):INDEX($FK$325:$ID$396,HN$169,SwaptionMonthsToGo+SwaptionShift),INDEX($FK$245:$ID$316,$FJ186-HN$169,73-HN$169+SwaptionShift):INDEX($FK$245:$ID$316,$FJ186-HN$169,72-HN$169+SwaptionMonthsToGo+SwaptionShift))/SQRT(SUM(INDEX($FK341:$ID341,1+SwaptionShift):INDEX($FK341:$ID341,SwaptionMonthsToGo+SwaptionShift))*SUM(INDEX($FK$325:$ID$396,HN$169,1+SwaptionShift):INDEX($FK$325:$ID$396,HN$169,SwaptionMonthsToGo+SwaptionShift))))))</f>
        <v/>
      </c>
      <c r="HO186" s="150" t="str">
        <f aca="false">IF(OR(HO$169&lt;SwaptionFirstMonthPosition+1,$FJ186&lt;SwaptionFirstMonthPosition+1,HO$169&gt;SwaptionFirstMonthPosition+SwaptionNumOfMonths+1,$FJ186&gt;SwaptionFirstMonthPosition+SwaptionNumOfMonths+1),"",IF($FJ186=HO$169,1,IF($FJ186&lt;HO$169,INDEX($FK$170:$ID$241,HO$169,$FJ186),SUMPRODUCT(INDEX($FK$325:$ID$396,HO$169,1+SwaptionShift):INDEX($FK$325:$ID$396,HO$169,SwaptionMonthsToGo+SwaptionShift),INDEX($FK$245:$ID$316,$FJ186-HO$169,73-HO$169+SwaptionShift):INDEX($FK$245:$ID$316,$FJ186-HO$169,72-HO$169+SwaptionMonthsToGo+SwaptionShift))/SQRT(SUM(INDEX($FK341:$ID341,1+SwaptionShift):INDEX($FK341:$ID341,SwaptionMonthsToGo+SwaptionShift))*SUM(INDEX($FK$325:$ID$396,HO$169,1+SwaptionShift):INDEX($FK$325:$ID$396,HO$169,SwaptionMonthsToGo+SwaptionShift))))))</f>
        <v/>
      </c>
      <c r="HP186" s="150" t="str">
        <f aca="false">IF(OR(HP$169&lt;SwaptionFirstMonthPosition+1,$FJ186&lt;SwaptionFirstMonthPosition+1,HP$169&gt;SwaptionFirstMonthPosition+SwaptionNumOfMonths+1,$FJ186&gt;SwaptionFirstMonthPosition+SwaptionNumOfMonths+1),"",IF($FJ186=HP$169,1,IF($FJ186&lt;HP$169,INDEX($FK$170:$ID$241,HP$169,$FJ186),SUMPRODUCT(INDEX($FK$325:$ID$396,HP$169,1+SwaptionShift):INDEX($FK$325:$ID$396,HP$169,SwaptionMonthsToGo+SwaptionShift),INDEX($FK$245:$ID$316,$FJ186-HP$169,73-HP$169+SwaptionShift):INDEX($FK$245:$ID$316,$FJ186-HP$169,72-HP$169+SwaptionMonthsToGo+SwaptionShift))/SQRT(SUM(INDEX($FK341:$ID341,1+SwaptionShift):INDEX($FK341:$ID341,SwaptionMonthsToGo+SwaptionShift))*SUM(INDEX($FK$325:$ID$396,HP$169,1+SwaptionShift):INDEX($FK$325:$ID$396,HP$169,SwaptionMonthsToGo+SwaptionShift))))))</f>
        <v/>
      </c>
      <c r="HQ186" s="150" t="str">
        <f aca="false">IF(OR(HQ$169&lt;SwaptionFirstMonthPosition+1,$FJ186&lt;SwaptionFirstMonthPosition+1,HQ$169&gt;SwaptionFirstMonthPosition+SwaptionNumOfMonths+1,$FJ186&gt;SwaptionFirstMonthPosition+SwaptionNumOfMonths+1),"",IF($FJ186=HQ$169,1,IF($FJ186&lt;HQ$169,INDEX($FK$170:$ID$241,HQ$169,$FJ186),SUMPRODUCT(INDEX($FK$325:$ID$396,HQ$169,1+SwaptionShift):INDEX($FK$325:$ID$396,HQ$169,SwaptionMonthsToGo+SwaptionShift),INDEX($FK$245:$ID$316,$FJ186-HQ$169,73-HQ$169+SwaptionShift):INDEX($FK$245:$ID$316,$FJ186-HQ$169,72-HQ$169+SwaptionMonthsToGo+SwaptionShift))/SQRT(SUM(INDEX($FK341:$ID341,1+SwaptionShift):INDEX($FK341:$ID341,SwaptionMonthsToGo+SwaptionShift))*SUM(INDEX($FK$325:$ID$396,HQ$169,1+SwaptionShift):INDEX($FK$325:$ID$396,HQ$169,SwaptionMonthsToGo+SwaptionShift))))))</f>
        <v/>
      </c>
      <c r="HR186" s="150" t="str">
        <f aca="false">IF(OR(HR$169&lt;SwaptionFirstMonthPosition+1,$FJ186&lt;SwaptionFirstMonthPosition+1,HR$169&gt;SwaptionFirstMonthPosition+SwaptionNumOfMonths+1,$FJ186&gt;SwaptionFirstMonthPosition+SwaptionNumOfMonths+1),"",IF($FJ186=HR$169,1,IF($FJ186&lt;HR$169,INDEX($FK$170:$ID$241,HR$169,$FJ186),SUMPRODUCT(INDEX($FK$325:$ID$396,HR$169,1+SwaptionShift):INDEX($FK$325:$ID$396,HR$169,SwaptionMonthsToGo+SwaptionShift),INDEX($FK$245:$ID$316,$FJ186-HR$169,73-HR$169+SwaptionShift):INDEX($FK$245:$ID$316,$FJ186-HR$169,72-HR$169+SwaptionMonthsToGo+SwaptionShift))/SQRT(SUM(INDEX($FK341:$ID341,1+SwaptionShift):INDEX($FK341:$ID341,SwaptionMonthsToGo+SwaptionShift))*SUM(INDEX($FK$325:$ID$396,HR$169,1+SwaptionShift):INDEX($FK$325:$ID$396,HR$169,SwaptionMonthsToGo+SwaptionShift))))))</f>
        <v/>
      </c>
      <c r="HS186" s="150" t="str">
        <f aca="false">IF(OR(HS$169&lt;SwaptionFirstMonthPosition+1,$FJ186&lt;SwaptionFirstMonthPosition+1,HS$169&gt;SwaptionFirstMonthPosition+SwaptionNumOfMonths+1,$FJ186&gt;SwaptionFirstMonthPosition+SwaptionNumOfMonths+1),"",IF($FJ186=HS$169,1,IF($FJ186&lt;HS$169,INDEX($FK$170:$ID$241,HS$169,$FJ186),SUMPRODUCT(INDEX($FK$325:$ID$396,HS$169,1+SwaptionShift):INDEX($FK$325:$ID$396,HS$169,SwaptionMonthsToGo+SwaptionShift),INDEX($FK$245:$ID$316,$FJ186-HS$169,73-HS$169+SwaptionShift):INDEX($FK$245:$ID$316,$FJ186-HS$169,72-HS$169+SwaptionMonthsToGo+SwaptionShift))/SQRT(SUM(INDEX($FK341:$ID341,1+SwaptionShift):INDEX($FK341:$ID341,SwaptionMonthsToGo+SwaptionShift))*SUM(INDEX($FK$325:$ID$396,HS$169,1+SwaptionShift):INDEX($FK$325:$ID$396,HS$169,SwaptionMonthsToGo+SwaptionShift))))))</f>
        <v/>
      </c>
      <c r="HT186" s="150" t="str">
        <f aca="false">IF(OR(HT$169&lt;SwaptionFirstMonthPosition+1,$FJ186&lt;SwaptionFirstMonthPosition+1,HT$169&gt;SwaptionFirstMonthPosition+SwaptionNumOfMonths+1,$FJ186&gt;SwaptionFirstMonthPosition+SwaptionNumOfMonths+1),"",IF($FJ186=HT$169,1,IF($FJ186&lt;HT$169,INDEX($FK$170:$ID$241,HT$169,$FJ186),SUMPRODUCT(INDEX($FK$325:$ID$396,HT$169,1+SwaptionShift):INDEX($FK$325:$ID$396,HT$169,SwaptionMonthsToGo+SwaptionShift),INDEX($FK$245:$ID$316,$FJ186-HT$169,73-HT$169+SwaptionShift):INDEX($FK$245:$ID$316,$FJ186-HT$169,72-HT$169+SwaptionMonthsToGo+SwaptionShift))/SQRT(SUM(INDEX($FK341:$ID341,1+SwaptionShift):INDEX($FK341:$ID341,SwaptionMonthsToGo+SwaptionShift))*SUM(INDEX($FK$325:$ID$396,HT$169,1+SwaptionShift):INDEX($FK$325:$ID$396,HT$169,SwaptionMonthsToGo+SwaptionShift))))))</f>
        <v/>
      </c>
      <c r="HU186" s="150" t="str">
        <f aca="false">IF(OR(HU$169&lt;SwaptionFirstMonthPosition+1,$FJ186&lt;SwaptionFirstMonthPosition+1,HU$169&gt;SwaptionFirstMonthPosition+SwaptionNumOfMonths+1,$FJ186&gt;SwaptionFirstMonthPosition+SwaptionNumOfMonths+1),"",IF($FJ186=HU$169,1,IF($FJ186&lt;HU$169,INDEX($FK$170:$ID$241,HU$169,$FJ186),SUMPRODUCT(INDEX($FK$325:$ID$396,HU$169,1+SwaptionShift):INDEX($FK$325:$ID$396,HU$169,SwaptionMonthsToGo+SwaptionShift),INDEX($FK$245:$ID$316,$FJ186-HU$169,73-HU$169+SwaptionShift):INDEX($FK$245:$ID$316,$FJ186-HU$169,72-HU$169+SwaptionMonthsToGo+SwaptionShift))/SQRT(SUM(INDEX($FK341:$ID341,1+SwaptionShift):INDEX($FK341:$ID341,SwaptionMonthsToGo+SwaptionShift))*SUM(INDEX($FK$325:$ID$396,HU$169,1+SwaptionShift):INDEX($FK$325:$ID$396,HU$169,SwaptionMonthsToGo+SwaptionShift))))))</f>
        <v/>
      </c>
      <c r="HV186" s="150" t="str">
        <f aca="false">IF(OR(HV$169&lt;SwaptionFirstMonthPosition+1,$FJ186&lt;SwaptionFirstMonthPosition+1,HV$169&gt;SwaptionFirstMonthPosition+SwaptionNumOfMonths+1,$FJ186&gt;SwaptionFirstMonthPosition+SwaptionNumOfMonths+1),"",IF($FJ186=HV$169,1,IF($FJ186&lt;HV$169,INDEX($FK$170:$ID$241,HV$169,$FJ186),SUMPRODUCT(INDEX($FK$325:$ID$396,HV$169,1+SwaptionShift):INDEX($FK$325:$ID$396,HV$169,SwaptionMonthsToGo+SwaptionShift),INDEX($FK$245:$ID$316,$FJ186-HV$169,73-HV$169+SwaptionShift):INDEX($FK$245:$ID$316,$FJ186-HV$169,72-HV$169+SwaptionMonthsToGo+SwaptionShift))/SQRT(SUM(INDEX($FK341:$ID341,1+SwaptionShift):INDEX($FK341:$ID341,SwaptionMonthsToGo+SwaptionShift))*SUM(INDEX($FK$325:$ID$396,HV$169,1+SwaptionShift):INDEX($FK$325:$ID$396,HV$169,SwaptionMonthsToGo+SwaptionShift))))))</f>
        <v/>
      </c>
      <c r="HW186" s="150" t="str">
        <f aca="false">IF(OR(HW$169&lt;SwaptionFirstMonthPosition+1,$FJ186&lt;SwaptionFirstMonthPosition+1,HW$169&gt;SwaptionFirstMonthPosition+SwaptionNumOfMonths+1,$FJ186&gt;SwaptionFirstMonthPosition+SwaptionNumOfMonths+1),"",IF($FJ186=HW$169,1,IF($FJ186&lt;HW$169,INDEX($FK$170:$ID$241,HW$169,$FJ186),SUMPRODUCT(INDEX($FK$325:$ID$396,HW$169,1+SwaptionShift):INDEX($FK$325:$ID$396,HW$169,SwaptionMonthsToGo+SwaptionShift),INDEX($FK$245:$ID$316,$FJ186-HW$169,73-HW$169+SwaptionShift):INDEX($FK$245:$ID$316,$FJ186-HW$169,72-HW$169+SwaptionMonthsToGo+SwaptionShift))/SQRT(SUM(INDEX($FK341:$ID341,1+SwaptionShift):INDEX($FK341:$ID341,SwaptionMonthsToGo+SwaptionShift))*SUM(INDEX($FK$325:$ID$396,HW$169,1+SwaptionShift):INDEX($FK$325:$ID$396,HW$169,SwaptionMonthsToGo+SwaptionShift))))))</f>
        <v/>
      </c>
      <c r="HX186" s="150" t="str">
        <f aca="false">IF(OR(HX$169&lt;SwaptionFirstMonthPosition+1,$FJ186&lt;SwaptionFirstMonthPosition+1,HX$169&gt;SwaptionFirstMonthPosition+SwaptionNumOfMonths+1,$FJ186&gt;SwaptionFirstMonthPosition+SwaptionNumOfMonths+1),"",IF($FJ186=HX$169,1,IF($FJ186&lt;HX$169,INDEX($FK$170:$ID$241,HX$169,$FJ186),SUMPRODUCT(INDEX($FK$325:$ID$396,HX$169,1+SwaptionShift):INDEX($FK$325:$ID$396,HX$169,SwaptionMonthsToGo+SwaptionShift),INDEX($FK$245:$ID$316,$FJ186-HX$169,73-HX$169+SwaptionShift):INDEX($FK$245:$ID$316,$FJ186-HX$169,72-HX$169+SwaptionMonthsToGo+SwaptionShift))/SQRT(SUM(INDEX($FK341:$ID341,1+SwaptionShift):INDEX($FK341:$ID341,SwaptionMonthsToGo+SwaptionShift))*SUM(INDEX($FK$325:$ID$396,HX$169,1+SwaptionShift):INDEX($FK$325:$ID$396,HX$169,SwaptionMonthsToGo+SwaptionShift))))))</f>
        <v/>
      </c>
      <c r="HY186" s="150" t="str">
        <f aca="false">IF(OR(HY$169&lt;SwaptionFirstMonthPosition+1,$FJ186&lt;SwaptionFirstMonthPosition+1,HY$169&gt;SwaptionFirstMonthPosition+SwaptionNumOfMonths+1,$FJ186&gt;SwaptionFirstMonthPosition+SwaptionNumOfMonths+1),"",IF($FJ186=HY$169,1,IF($FJ186&lt;HY$169,INDEX($FK$170:$ID$241,HY$169,$FJ186),SUMPRODUCT(INDEX($FK$325:$ID$396,HY$169,1+SwaptionShift):INDEX($FK$325:$ID$396,HY$169,SwaptionMonthsToGo+SwaptionShift),INDEX($FK$245:$ID$316,$FJ186-HY$169,73-HY$169+SwaptionShift):INDEX($FK$245:$ID$316,$FJ186-HY$169,72-HY$169+SwaptionMonthsToGo+SwaptionShift))/SQRT(SUM(INDEX($FK341:$ID341,1+SwaptionShift):INDEX($FK341:$ID341,SwaptionMonthsToGo+SwaptionShift))*SUM(INDEX($FK$325:$ID$396,HY$169,1+SwaptionShift):INDEX($FK$325:$ID$396,HY$169,SwaptionMonthsToGo+SwaptionShift))))))</f>
        <v/>
      </c>
      <c r="HZ186" s="150" t="str">
        <f aca="false">IF(OR(HZ$169&lt;SwaptionFirstMonthPosition+1,$FJ186&lt;SwaptionFirstMonthPosition+1,HZ$169&gt;SwaptionFirstMonthPosition+SwaptionNumOfMonths+1,$FJ186&gt;SwaptionFirstMonthPosition+SwaptionNumOfMonths+1),"",IF($FJ186=HZ$169,1,IF($FJ186&lt;HZ$169,INDEX($FK$170:$ID$241,HZ$169,$FJ186),SUMPRODUCT(INDEX($FK$325:$ID$396,HZ$169,1+SwaptionShift):INDEX($FK$325:$ID$396,HZ$169,SwaptionMonthsToGo+SwaptionShift),INDEX($FK$245:$ID$316,$FJ186-HZ$169,73-HZ$169+SwaptionShift):INDEX($FK$245:$ID$316,$FJ186-HZ$169,72-HZ$169+SwaptionMonthsToGo+SwaptionShift))/SQRT(SUM(INDEX($FK341:$ID341,1+SwaptionShift):INDEX($FK341:$ID341,SwaptionMonthsToGo+SwaptionShift))*SUM(INDEX($FK$325:$ID$396,HZ$169,1+SwaptionShift):INDEX($FK$325:$ID$396,HZ$169,SwaptionMonthsToGo+SwaptionShift))))))</f>
        <v/>
      </c>
      <c r="IA186" s="150" t="str">
        <f aca="false">IF(OR(IA$169&lt;SwaptionFirstMonthPosition+1,$FJ186&lt;SwaptionFirstMonthPosition+1,IA$169&gt;SwaptionFirstMonthPosition+SwaptionNumOfMonths+1,$FJ186&gt;SwaptionFirstMonthPosition+SwaptionNumOfMonths+1),"",IF($FJ186=IA$169,1,IF($FJ186&lt;IA$169,INDEX($FK$170:$ID$241,IA$169,$FJ186),SUMPRODUCT(INDEX($FK$325:$ID$396,IA$169,1+SwaptionShift):INDEX($FK$325:$ID$396,IA$169,SwaptionMonthsToGo+SwaptionShift),INDEX($FK$245:$ID$316,$FJ186-IA$169,73-IA$169+SwaptionShift):INDEX($FK$245:$ID$316,$FJ186-IA$169,72-IA$169+SwaptionMonthsToGo+SwaptionShift))/SQRT(SUM(INDEX($FK341:$ID341,1+SwaptionShift):INDEX($FK341:$ID341,SwaptionMonthsToGo+SwaptionShift))*SUM(INDEX($FK$325:$ID$396,IA$169,1+SwaptionShift):INDEX($FK$325:$ID$396,IA$169,SwaptionMonthsToGo+SwaptionShift))))))</f>
        <v/>
      </c>
      <c r="IB186" s="150" t="str">
        <f aca="false">IF(OR(IB$169&lt;SwaptionFirstMonthPosition+1,$FJ186&lt;SwaptionFirstMonthPosition+1,IB$169&gt;SwaptionFirstMonthPosition+SwaptionNumOfMonths+1,$FJ186&gt;SwaptionFirstMonthPosition+SwaptionNumOfMonths+1),"",IF($FJ186=IB$169,1,IF($FJ186&lt;IB$169,INDEX($FK$170:$ID$241,IB$169,$FJ186),SUMPRODUCT(INDEX($FK$325:$ID$396,IB$169,1+SwaptionShift):INDEX($FK$325:$ID$396,IB$169,SwaptionMonthsToGo+SwaptionShift),INDEX($FK$245:$ID$316,$FJ186-IB$169,73-IB$169+SwaptionShift):INDEX($FK$245:$ID$316,$FJ186-IB$169,72-IB$169+SwaptionMonthsToGo+SwaptionShift))/SQRT(SUM(INDEX($FK341:$ID341,1+SwaptionShift):INDEX($FK341:$ID341,SwaptionMonthsToGo+SwaptionShift))*SUM(INDEX($FK$325:$ID$396,IB$169,1+SwaptionShift):INDEX($FK$325:$ID$396,IB$169,SwaptionMonthsToGo+SwaptionShift))))))</f>
        <v/>
      </c>
      <c r="IC186" s="150" t="str">
        <f aca="false">IF(OR(IC$169&lt;SwaptionFirstMonthPosition+1,$FJ186&lt;SwaptionFirstMonthPosition+1,IC$169&gt;SwaptionFirstMonthPosition+SwaptionNumOfMonths+1,$FJ186&gt;SwaptionFirstMonthPosition+SwaptionNumOfMonths+1),"",IF($FJ186=IC$169,1,IF($FJ186&lt;IC$169,INDEX($FK$170:$ID$241,IC$169,$FJ186),SUMPRODUCT(INDEX($FK$325:$ID$396,IC$169,1+SwaptionShift):INDEX($FK$325:$ID$396,IC$169,SwaptionMonthsToGo+SwaptionShift),INDEX($FK$245:$ID$316,$FJ186-IC$169,73-IC$169+SwaptionShift):INDEX($FK$245:$ID$316,$FJ186-IC$169,72-IC$169+SwaptionMonthsToGo+SwaptionShift))/SQRT(SUM(INDEX($FK341:$ID341,1+SwaptionShift):INDEX($FK341:$ID341,SwaptionMonthsToGo+SwaptionShift))*SUM(INDEX($FK$325:$ID$396,IC$169,1+SwaptionShift):INDEX($FK$325:$ID$396,IC$169,SwaptionMonthsToGo+SwaptionShift))))))</f>
        <v/>
      </c>
      <c r="ID186" s="572" t="str">
        <f aca="false">IF(OR(ID$169&lt;SwaptionFirstMonthPosition+1,$FJ186&lt;SwaptionFirstMonthPosition+1,ID$169&gt;SwaptionFirstMonthPosition+SwaptionNumOfMonths+1,$FJ186&gt;SwaptionFirstMonthPosition+SwaptionNumOfMonths+1),"",IF($FJ186=ID$169,1,IF($FJ186&lt;ID$169,INDEX($FK$170:$ID$241,ID$169,$FJ186),SUMPRODUCT(INDEX($FK$325:$ID$396,ID$169,1+SwaptionShift):INDEX($FK$325:$ID$396,ID$169,SwaptionMonthsToGo+SwaptionShift),INDEX($FK$245:$ID$316,$FJ186-ID$169,73-ID$169+SwaptionShift):INDEX($FK$245:$ID$316,$FJ186-ID$169,72-ID$169+SwaptionMonthsToGo+SwaptionShift))/SQRT(SUM(INDEX($FK341:$ID341,1+SwaptionShift):INDEX($FK341:$ID341,SwaptionMonthsToGo+SwaptionShift))*SUM(INDEX($FK$325:$ID$396,ID$169,1+SwaptionShift):INDEX($FK$325:$ID$396,ID$169,SwaptionMonthsToGo+SwaptionShift))))))</f>
        <v/>
      </c>
      <c r="IE186" s="129"/>
    </row>
    <row r="187" customFormat="false" ht="12.75" hidden="false" customHeight="false" outlineLevel="0" collapsed="false">
      <c r="H187" s="219" t="n">
        <f aca="false">VLOOKUP(I187,$EJ$20:$EL$54,3)</f>
        <v>0</v>
      </c>
      <c r="I187" s="511" t="n">
        <f aca="false">EOMONTH(I186,0)+1</f>
        <v>41852</v>
      </c>
      <c r="J187" s="512"/>
      <c r="K187" s="513" t="s">
        <v>280</v>
      </c>
      <c r="L187" s="514" t="n">
        <f aca="false">IF(ISNUMBER(K187),J187+K187/100,IF(K187="extra",L186+VLOOKUP(BF187,PriceSpreadTable,2)/12,IF(K187="inter",interpolateprices($K$19:$L$200,ROW(K187)-ROW(FirstPricingMonth)+1),interpolatechanges($J$19:$K$200,ROW(K187)-ROW(FirstPricingMonth)+1))))</f>
        <v>3.41250000000001</v>
      </c>
      <c r="M187" s="515"/>
      <c r="N187" s="516" t="n">
        <v>0</v>
      </c>
      <c r="O187" s="515" t="n">
        <f aca="false">M187+N187</f>
        <v>0</v>
      </c>
      <c r="P187" s="512"/>
      <c r="Q187" s="513" t="s">
        <v>280</v>
      </c>
      <c r="R187" s="512" t="e">
        <f aca="false">IF(ISNUMBER(Q187),P187+Q187/100,IF(Q187="extra",(Z185*AL185-R186*AM185)/AN185,IF(Q187="inter",interpolateprices($Q$19:$R$260,ROW(Q187)-ROW(FirstPricingMonth)+1),interpolatechanges($P$19:$Q$260,ROW(Q187)-ROW(FirstPricingMonth)+1))))</f>
        <v>#VALUE!</v>
      </c>
      <c r="S187" s="597" t="n">
        <f aca="false">S$19+(S186-S$19)*S$18</f>
        <v>0.36</v>
      </c>
      <c r="T187" s="575" t="n">
        <f aca="false">SQRT((1-(1-T186^2/U186)*T$18)*U187)</f>
        <v>0.999999999999511</v>
      </c>
      <c r="U187" s="576" t="n">
        <f aca="false">1-(1-U186)*U$18</f>
        <v>1</v>
      </c>
      <c r="V187" s="521" t="n">
        <v>0</v>
      </c>
      <c r="W187" s="577" t="n">
        <f aca="false">(J188*AJ187+J189*AK187)/AI187</f>
        <v>0</v>
      </c>
      <c r="X187" s="578" t="n">
        <f aca="false">(L188*AJ187+L189*AK187)/AI187</f>
        <v>3.46250000000001</v>
      </c>
      <c r="Y187" s="579" t="n">
        <f aca="false">IF(Q189="extra",W187-AA187,(P188*AM187+P189*AN187)/AL187)</f>
        <v>-1.2669</v>
      </c>
      <c r="Z187" s="579" t="n">
        <f aca="false">IF(Q189="extra",X187-AB187,(R188*AM187+R189*AN187)/AL187)</f>
        <v>2.19560000000001</v>
      </c>
      <c r="AA187" s="523" t="n">
        <f aca="false">IF(Q189="extra",INDEX(BrentSeasonalityTable,INT((BG187-1)/3)+1)*VLOOKUP(MAX(BF187,$AB$4),PriceSpreadTable,3),W187-Y187)</f>
        <v>1.2669</v>
      </c>
      <c r="AB187" s="524" t="n">
        <f aca="false">IF(Q189="extra",INDEX(BrentSeasonalityTable,INT((BG187-1)/3)+1)*VLOOKUP(MAX(BF187,$AB$4),PriceSpreadTable,3),X187-Z187)</f>
        <v>1.2669</v>
      </c>
      <c r="AC187" s="646" t="n">
        <v>41840</v>
      </c>
      <c r="AD187" s="646" t="n">
        <v>41836</v>
      </c>
      <c r="AE187" s="646" t="n">
        <v>41835</v>
      </c>
      <c r="AF187" s="646" t="n">
        <v>41831</v>
      </c>
      <c r="AG187" s="438" t="s">
        <v>278</v>
      </c>
      <c r="AH187" s="439" t="s">
        <v>278</v>
      </c>
      <c r="AI187" s="528" t="n">
        <v>21</v>
      </c>
      <c r="AJ187" s="529" t="n">
        <v>14</v>
      </c>
      <c r="AK187" s="529" t="n">
        <v>7</v>
      </c>
      <c r="AL187" s="530" t="n">
        <v>21</v>
      </c>
      <c r="AM187" s="529" t="n">
        <v>10</v>
      </c>
      <c r="AN187" s="531" t="n">
        <v>11</v>
      </c>
      <c r="AO187" s="532"/>
      <c r="AP187" s="465" t="n">
        <f aca="false">(1+AO187/2)^(-2*BL187)</f>
        <v>1</v>
      </c>
      <c r="AQ187" s="532"/>
      <c r="AR187" s="465" t="n">
        <f aca="false">(1+AQ187/2)^(-2*BH187/365.25)</f>
        <v>1</v>
      </c>
      <c r="AS187" s="580" t="n">
        <f aca="false">(O188*AJ187+O189*AK187)/AI187</f>
        <v>0</v>
      </c>
      <c r="AT187" s="468" t="n">
        <f aca="false">O187*VLOOKUP(BF187,BrentVolTable,2)+VLOOKUP(BF187,BrentVolTable,3)</f>
        <v>0</v>
      </c>
      <c r="AU187" s="468" t="n">
        <f aca="false">(AT188*AM187+AT189*AN187)/AL187</f>
        <v>0</v>
      </c>
      <c r="AV187" s="595" t="n">
        <f aca="false">SQRT(MAX(0.000000000001,(O187^2*BH187-S187^2*(BH187-BH186))/BH186))</f>
        <v>0.0307232554720788</v>
      </c>
      <c r="AW187" s="451" t="n">
        <f aca="false">IF($I187-DateToday+15&gt;=$T$8,"",IF($I187-DateToday+15&lt;$T$5,1,MATCH($I187-DateToday+15,$T$5:$T$8)))</f>
        <v>1</v>
      </c>
      <c r="AX187" s="468" t="n">
        <f aca="false">IF($AW187="",AX186^2/AX185,INDEX(U$5:U$8,$AW187)^((INDEX($T$5:$T$8,$AW187+1)-($I187-DateToday+15))/(INDEX($T$5:$T$8,$AW187+1)-INDEX($T$5:$T$8,$AW187)))/INDEX(U$5:U$8,$AW187+1)^((INDEX($T$5:$T$8,$AW187)-($I187-DateToday+15))/(INDEX($T$5:$T$8,$AW187+1)-INDEX($T$5:$T$8,$AW187))))</f>
        <v>0.353491673423139</v>
      </c>
      <c r="AY187" s="468" t="n">
        <f aca="false">IF($AW187="",AY186^2/AY185,INDEX(V$5:V$8,$AW187)^((INDEX($T$5:$T$8,$AW187+1)-($I187-DateToday+15))/(INDEX($T$5:$T$8,$AW187+1)-INDEX($T$5:$T$8,$AW187)))/INDEX(V$5:V$8,$AW187+1)^((INDEX($T$5:$T$8,$AW187)-($I187-DateToday+15))/(INDEX($T$5:$T$8,$AW187+1)-INDEX($T$5:$T$8,$AW187))))</f>
        <v>4.59552280888597</v>
      </c>
      <c r="AZ187" s="468" t="n">
        <f aca="false">IF($AW187="",AZ186^2/AZ185,INDEX(W$5:W$8,$AW187)^((INDEX($T$5:$T$8,$AW187+1)-($I187-DateToday+15))/(INDEX($T$5:$T$8,$AW187+1)-INDEX($T$5:$T$8,$AW187)))/INDEX(W$5:W$8,$AW187+1)^((INDEX($T$5:$T$8,$AW187)-($I187-DateToday+15))/(INDEX($T$5:$T$8,$AW187+1)-INDEX($T$5:$T$8,$AW187))))</f>
        <v>757.580814752158</v>
      </c>
      <c r="BA187" s="468" t="n">
        <f aca="false">IF($AW187="",BA186^2/BA185,INDEX(X$5:X$8,$AW187)^((INDEX($T$5:$T$8,$AW187+1)-($I187-DateToday+15))/(INDEX($T$5:$T$8,$AW187+1)-INDEX($T$5:$T$8,$AW187)))/INDEX(X$5:X$8,$AW187+1)^((INDEX($T$5:$T$8,$AW187)-($I187-DateToday+15))/(INDEX($T$5:$T$8,$AW187+1)-INDEX($T$5:$T$8,$AW187))))</f>
        <v>2789.56781208338</v>
      </c>
      <c r="BB187" s="468" t="n">
        <f aca="false">IF($AW187="",BB186^2/BB185,INDEX(Y$5:Y$8,$AW187)^((INDEX($T$5:$T$8,$AW187+1)-($I187-DateToday+15))/(INDEX($T$5:$T$8,$AW187+1)-INDEX($T$5:$T$8,$AW187)))/INDEX(Y$5:Y$8,$AW187+1)^((INDEX($T$5:$T$8,$AW187)-($I187-DateToday+15))/(INDEX($T$5:$T$8,$AW187+1)-INDEX($T$5:$T$8,$AW187))))</f>
        <v>14766.7611923561</v>
      </c>
      <c r="BC187" s="468" t="n">
        <f aca="false">IF($AW187="",BC186^2/BC185,INDEX(Z$5:Z$8,$AW187)^((INDEX($T$5:$T$8,$AW187+1)-($I187-DateToday+15))/(INDEX($T$5:$T$8,$AW187+1)-INDEX($T$5:$T$8,$AW187)))/INDEX(Z$5:Z$8,$AW187+1)^((INDEX($T$5:$T$8,$AW187)-($I187-DateToday+15))/(INDEX($T$5:$T$8,$AW187+1)-INDEX($T$5:$T$8,$AW187))))</f>
        <v>40920.5067138743</v>
      </c>
      <c r="BD187" s="535" t="n">
        <f aca="false">IF(OR(DateStart&gt;=I188,DateEnd&lt;I187),0,IF(VolumeOverrideFlag,V187,Volume))</f>
        <v>0</v>
      </c>
      <c r="BE187" s="536" t="n">
        <f aca="false">IF(OR(DateStart2&gt;=I188,DateEnd2&lt;I187),0,IF(VolumeOverrideFlag,V187,VolumeSwaption))</f>
        <v>0</v>
      </c>
      <c r="BF187" s="537" t="n">
        <f aca="false">YEAR(I187)</f>
        <v>2014</v>
      </c>
      <c r="BG187" s="538" t="n">
        <f aca="false">MONTH(I187)</f>
        <v>8</v>
      </c>
      <c r="BH187" s="539" t="n">
        <f aca="false">AD187-DateToday+1</f>
        <v>-4089</v>
      </c>
      <c r="BI187" s="540" t="n">
        <f aca="false">(I187-DateToday+1)/365.25</f>
        <v>-11.151266255989</v>
      </c>
      <c r="BJ187" s="541" t="n">
        <f aca="false">BI187+(BL187-BI187)*CHOOSE(Underlying,AJ187/AI187,AM187/AL187)</f>
        <v>-11.0965092402464</v>
      </c>
      <c r="BK187" s="541" t="n">
        <f aca="false">BJ187+1/365.25</f>
        <v>-11.0937713894593</v>
      </c>
      <c r="BL187" s="541" t="n">
        <f aca="false">(I188-DateToday)/365.25</f>
        <v>-11.0691307323751</v>
      </c>
      <c r="BM187" s="542" t="e">
        <f aca="false">MAX(BI187-(BJ187-BI187)*(S188^2/O188^2-1),0)</f>
        <v>#DIV/0!</v>
      </c>
      <c r="BN187" s="541" t="e">
        <f aca="false">MAX(BL187+(BL187-BK187)*(S189^2/O189^2-1),0)</f>
        <v>#DIV/0!</v>
      </c>
      <c r="BO187" s="530" t="n">
        <f aca="false">CHOOSE(Underlying,AI187,AL187)</f>
        <v>21</v>
      </c>
      <c r="BP187" s="529" t="n">
        <f aca="false">CHOOSE(Underlying,AJ187,AM187)</f>
        <v>14</v>
      </c>
      <c r="BQ187" s="529" t="n">
        <f aca="false">CHOOSE(Underlying,AK187,AN187)</f>
        <v>7</v>
      </c>
      <c r="BR187" s="463" t="str">
        <f aca="false">IF(BD187,IF(Underlying=1,X187,Z187)+UnderlyingPriceAsian-SwapPriceCurve,"")</f>
        <v/>
      </c>
      <c r="BS187" s="463" t="str">
        <f aca="false">IF(BD187,Strike1/BR187-1,"")</f>
        <v/>
      </c>
      <c r="BT187" s="464" t="str">
        <f aca="false">IF(BD187,Strike2/BR187-1,"")</f>
        <v/>
      </c>
      <c r="BU187" s="465" t="str">
        <f aca="false">IF(BD187,IF(Underlying=1,L188,R188)+UnderlyingPriceAsian-SwapPriceCurve,"")</f>
        <v/>
      </c>
      <c r="BV187" s="465" t="str">
        <f aca="false">IF(BD187,IF(Underlying=1,L189,R189)+UnderlyingPriceAsian-SwapPriceCurve,"")</f>
        <v/>
      </c>
      <c r="BW187" s="466" t="str">
        <f aca="false">IF(BD187,IF(Underlying=1,O188,AT188),"")</f>
        <v/>
      </c>
      <c r="BX187" s="467" t="str">
        <f aca="false">IF(BD187,IF(Underlying=1,O189,AT189),"")</f>
        <v/>
      </c>
      <c r="BY187" s="466" t="str">
        <f aca="false">IF(BD187,IF(BS187&gt;0,IF(BS187&gt;0.2,BC187-BB187,IF(BS187&gt;0.1,BB187-BA187,BA187)),IF(BS187&lt;-0.2,AX187-AY187,IF(BS187&lt;-0.1,AY187-AZ187,AZ187))),"")</f>
        <v/>
      </c>
      <c r="BZ187" s="467" t="str">
        <f aca="false">IF(BD187,IF(BT187&gt;0,IF(BT187&gt;0.2,BC187-BB187,IF(BT187&gt;0.1,BB187-BA187,BA187)),IF(BT187&lt;-0.2,AX187-AY187,IF(BT187&lt;-0.1,AY187-AZ187,AZ187))),"")</f>
        <v/>
      </c>
      <c r="CA187" s="468" t="str">
        <f aca="false">IF($BD187,$BW187+IF(VolSkewFlag=1,IF(BS187&gt;0,$BA187*MIN(BS187/10%,1)+($BB187-$BA187)*MAX(0,MIN(BS187/10%-1,1))+($BC187-$BB187)*MAX(0,BS187/10%-2),$AZ187*MIN(-BS187/10%,1)+($AY187-$AZ187)*MAX(0,MIN(-BS187/10%-1,1))+($AX187-$AY187)*MAX(0,-BS187/10%-2)),0),"")</f>
        <v/>
      </c>
      <c r="CB187" s="468" t="str">
        <f aca="false">IF($BD187,$BX187+IF(VolSkewFlag=1,IF(BS187&gt;0,$BA187*MIN(BS187/10%,1)+($BB187-$BA187)*MAX(0,MIN(BS187/10%-1,1))+($BC187-$BB187)*MAX(0,BS187/10%-2),$AZ187*MIN(-BS187/10%,1)+($AY187-$AZ187)*MAX(0,MIN(-BS187/10%-1,1))+($AX187-$AY187)*MAX(0,-BS187/10%-2)),0),"")</f>
        <v/>
      </c>
      <c r="CC187" s="468" t="str">
        <f aca="false">IF($BD187,$BW187+IF(VolSkewFlag=1,IF(BT187&gt;0,$BA187*MIN(BT187/10%,1)+($BB187-$BA187)*MAX(0,MIN(BT187/10%-1,1))+($BC187-$BB187)*MAX(0,BT187/10%-2),$AZ187*MIN(-BT187/10%,1)+($AY187-$AZ187)*MAX(0,MIN(-BT187/10%-1,1))+($AX187-$AY187)*MAX(0,-BT187/10%-2)),0),"")</f>
        <v/>
      </c>
      <c r="CD187" s="468" t="str">
        <f aca="false">IF($BD187,$BX187+IF(VolSkewFlag=1,IF(BT187&gt;0,$BA187*MIN(BT187/10%,1)+($BB187-$BA187)*MAX(0,MIN(BT187/10%-1,1))+($BC187-$BB187)*MAX(0,BT187/10%-2),$AZ187*MIN(-BT187/10%,1)+($AY187-$AZ187)*MAX(0,MIN(-BT187/10%-1,1))+($AX187-$AY187)*MAX(0,-BT187/10%-2)),0),"")</f>
        <v/>
      </c>
      <c r="CE187" s="469" t="n">
        <v>1</v>
      </c>
      <c r="CF187" s="470" t="n">
        <f aca="false">IF(BD187,xCrudeAPO(BU187,BV187,CA187,CB187,S188,S189,BI187,BL187,BP187,BQ187,0,Strike1,AO187,CE187,0,BL187,IF(OptControl=4,0,1),0,1),0)</f>
        <v>0</v>
      </c>
      <c r="CG187" s="470" t="n">
        <f aca="false">IF(BD187,xCrudeAPO(BU187,BV187,CA187,CB187,S188,S189,BI187,BL187,BP187,BQ187,0,Strike1,AO187,CE187,0,BL187,IF(OptControl=4,0,1),1,1)+xCrudeAPO(BU187,BV187,CA187,CB187,S188,S189,BI187,BL187,BP187,BQ187,0,Strike1,AO187,CE187,0,BL187,IF(OptControl=4,0,1),1,2)+IF(OR(VolSkewFlag=2,ABS(BS187)&lt;0.0001),0,IF(BS187&gt;0,-1,1)*CH187*Strike1/BR187^2*BY187/10%),0)</f>
        <v>0</v>
      </c>
      <c r="CH187" s="470" t="n">
        <f aca="false">IF(BD187,(xCrudeAPO(BU187,BV187,CA187,CB187,S188,S189,BI187,BL187,BP187,BQ187,0,Strike1,AO187,CE187,0,BL187,IF(OptControl=4,0,1),3,1)+xCrudeAPO(BU187,BV187,CA187,CB187,S188,S189,BI187,BL187,BP187,BQ187,0,Strike1,AO187,CE187,0,BL187,IF(OptControl=4,0,1),3,2))/100,0)</f>
        <v>0</v>
      </c>
      <c r="CI187" s="470" t="n">
        <f aca="false">IF(BD187,xCrudeAPO(BU187,BV187,CA187,CB187,S188,S189,BI187-DaysForThetaCalculation/365.25,BL187-DaysForThetaCalculation/365.25,BP187,BQ187,0,Strike1,AO187,CE187,0,BL187,IF(OptControl=4,0,1),0,1)-xCrudeAPO(BU187,BV187,CA187,CB187,S188,S189,BI187,BL187,BP187,BQ187,0,Strike1,AO187,CE187,0,BL187,IF(OptControl=4,0,1),0,1),0)</f>
        <v>0</v>
      </c>
      <c r="CJ187" s="471" t="n">
        <f aca="false">IF(BD187,xCrudeAPO(BU187,BV187,CC187,CD187,S188,S189,BI187,BL187,BP187,BQ187,0,Strike2,AO187,CE187,0,BL187,IF(OptControl=3,1,0),0,1),0)</f>
        <v>0</v>
      </c>
      <c r="CK187" s="470" t="n">
        <f aca="false">IF(BD187,xCrudeAPO(BU187,BV187,CC187,CD187,S188,S189,BI187,BL187,BP187,BQ187,0,Strike2,AO187,CE187,0,BL187,IF(OptControl=3,1,0),1,1)+xCrudeAPO(BU187,BV187,CC187,CD187,S188,S189,BI187,BL187,BP187,BQ187,0,Strike2,AO187,CE187,0,BL187,IF(OptControl=3,1,0),1,2)+IF(OR(VolSkewFlag=2,ABS(BT187)&lt;0.0001),0,IF(BT187&gt;0,-1,1)*CL187*Strike2/BR187^2*BZ187/10%),0)</f>
        <v>0</v>
      </c>
      <c r="CL187" s="470" t="n">
        <f aca="false">IF(BD187,(xCrudeAPO(BU187,BV187,CC187,CD187,S188,S189,BI187,BL187,BP187,BQ187,0,Strike2,AO187,CE187,0,BL187,IF(OptControl=3,1,0),3,1)+xCrudeAPO(BU187,BV187,CC187,CD187,S188,S189,BI187,BL187,BP187,BQ187,0,Strike2,AO187,CE187,0,BL187,IF(OptControl=3,1,0),3,2))/100,0)</f>
        <v>0</v>
      </c>
      <c r="CM187" s="472" t="n">
        <f aca="false">IF(BD187,xCrudeAPO(BU187,BV187,CC187,CD187,S188,S189,BI187-DaysForThetaCalculation/365.25,BL187-DaysForThetaCalculation/365.25,BP187,BQ187,0,Strike2,AO187,CE187,0,BL187,IF(OptControl=3,1,0),0,1)-xCrudeAPO(BU187,BV187,CC187,CD187,S188,S189,BI187,BL187,BP187,BQ187,0,Strike2,AO187,CE187,0,BL187,IF(OptControl=3,1,0),0,1),0)</f>
        <v>0</v>
      </c>
      <c r="CN187" s="3"/>
      <c r="CO187" s="543" t="str">
        <f aca="false">IF(BD187,CHOOSE(Underlying,AD187,AF187)-DateToday+1,"")</f>
        <v/>
      </c>
      <c r="CP187" s="582" t="str">
        <f aca="false">IF(BD187,CHOOSE(Underlying,L187,R187),"")</f>
        <v/>
      </c>
      <c r="CQ187" s="544" t="str">
        <f aca="false">IF(BD187,Strike1/CP187-1,"")</f>
        <v/>
      </c>
      <c r="CR187" s="544" t="str">
        <f aca="false">IF(BD187,Strike2/CP187-1,"")</f>
        <v/>
      </c>
      <c r="CS187" s="544" t="str">
        <f aca="false">IF(BD187,IF(CQ187&gt;0,IF(CQ187&gt;0.2,BC186-BB186,IF(CQ187&gt;0.1,BB186-BA186,BA186)),IF(CQ187&lt;-0.2,AX186-AY186,IF(CQ187&lt;-0.1,AY186-AZ186,AZ186))),"")</f>
        <v/>
      </c>
      <c r="CT187" s="544" t="str">
        <f aca="false">IF(BD187,IF(CR187&gt;0,IF(CR187&gt;0.2,BC186-BB186,IF(CR187&gt;0.1,BB186-BA186,BA186)),IF(CR187&lt;-0.2,AX186-AY186,IF(CR187&lt;-0.1,AY186-AZ186,AZ186))),"")</f>
        <v/>
      </c>
      <c r="CU187" s="545" t="str">
        <f aca="false">IF(BD187,CHOOSE(Underlying,O187,AT187),"")</f>
        <v/>
      </c>
      <c r="CV187" s="545" t="str">
        <f aca="false">IF(BD187,CU187+IF(VolSkewFlag=1,IF(CQ187&gt;0,BA186*MIN(CQ187/10%,1)+(BB186-BA186)*MAX(0,MIN(CQ187/10%-1,1))+(BC186-BB186)*MAX(0,CQ187/10%-2),AZ186*MIN(-CQ187/10%,1)+(AY186-AZ186)*MAX(0,MIN(-CQ187/10%-1,1))+(AX186-AY186)*MAX(0,-CQ187/10%-2)),0),"")</f>
        <v/>
      </c>
      <c r="CW187" s="545" t="str">
        <f aca="false">IF(BD187,CU187+IF(VolSkewFlag=1,IF(CR187&gt;0,BA186*MIN(CR187/10%,1)+(BB186-BA186)*MAX(0,MIN(CR187/10%-1,1))+(BC186-BB186)*MAX(0,CR187/10%-2),AZ186*MIN(-CR187/10%,1)+(AY186-AZ186)*MAX(0,MIN(-CR187/10%-1,1))+(AX186-AY186)*MAX(0,-CR187/10%-2)),0),"")</f>
        <v/>
      </c>
      <c r="CX187" s="470" t="n">
        <f aca="false">IF(BD187,EURO(CP187,Strike1,AO187,AO187,CV187,CO187,IF(OptControl=4,0,1),0),0)</f>
        <v>0</v>
      </c>
      <c r="CY187" s="470" t="n">
        <f aca="false">IF(BD187,EURO(CP187,Strike1,AO187,AO187,CV187,CO187,IF(OptControl=4,0,1),1)+IF(OR(VolSkewFlag=2,ABS(CQ187)&lt;0.0001),0,IF(CQ187&gt;0,-1,1)*CZ187*100*Strike1/CP187^2*CS187/10%),0)</f>
        <v>0</v>
      </c>
      <c r="CZ187" s="470" t="n">
        <f aca="false">IF(BD187,EURO(CP187,Strike1,AO187,AO187,CV187,CO187,IF(OptControl=4,0,1),3)/100,0)</f>
        <v>0</v>
      </c>
      <c r="DA187" s="470" t="n">
        <f aca="false">IF(BD187,EURO(CP187,Strike1,AO187,AO187,CV187,CO187,IF(OptControl=4,0,1),0)-EURO(CP187,Strike1,AO187,AO187,CV187,CO187-1,IF(OptControl=4,0,1),0),0)</f>
        <v>0</v>
      </c>
      <c r="DB187" s="470" t="n">
        <f aca="false">IF(BD187,EURO(CP187,Strike2,AO187,AO187,CW187,CO187,IF(OptControl=3,1,0),0),0)</f>
        <v>0</v>
      </c>
      <c r="DC187" s="470" t="n">
        <f aca="false">IF(BD187,EURO(CP187,Strike2,AO187,AO187,CW187,CO187,IF(OptControl=3,1,0),1)+IF(OR(VolSkewFlag=2,ABS(CR187)&lt;0.0001),0,IF(CR187&gt;0,-1,1)*DD187*100*Strike2/CP187^2*CT187/10%),0)</f>
        <v>0</v>
      </c>
      <c r="DD187" s="470" t="n">
        <f aca="false">IF(BD187,EURO(CP187,Strike2,AO187,AO187,CW187,CO187,IF(OptControl=3,1,0),3)/100,0)</f>
        <v>0</v>
      </c>
      <c r="DE187" s="472" t="n">
        <f aca="false">IF(BD187,EURO(CP187,Strike2,AO187,AO187,CW187,CO187,IF(OptControl=3,1,0),0)-EURO(CP187,Strike2,AO187,AO187,CW187,CO187-1,IF(OptControl=3,1,0),0),0)</f>
        <v>0</v>
      </c>
      <c r="DG187" s="481" t="n">
        <f aca="false">EOMONTH(DG186,0)+1</f>
        <v>50771</v>
      </c>
      <c r="DH187" s="478" t="n">
        <v>22.5100000000001</v>
      </c>
      <c r="DI187" s="479" t="n">
        <v>22.5804545454546</v>
      </c>
      <c r="DJ187" s="480" t="n">
        <f aca="false">DG187</f>
        <v>50771</v>
      </c>
      <c r="DK187" s="478" t="n">
        <v>21.2990044863387</v>
      </c>
      <c r="DL187" s="479" t="n">
        <v>21.4119545454546</v>
      </c>
      <c r="DM187" s="481" t="n">
        <f aca="false">DG187</f>
        <v>50771</v>
      </c>
      <c r="DN187" s="482" t="n">
        <f aca="false">DK187+BrentPhyBrentSpread</f>
        <v>21.3490044863387</v>
      </c>
      <c r="DO187" s="481" t="n">
        <f aca="false">DG187</f>
        <v>50771</v>
      </c>
      <c r="DP187" s="483" t="n">
        <f aca="false">DL187+DQ187</f>
        <v>21.4119545454546</v>
      </c>
      <c r="DQ187" s="546" t="n">
        <v>0</v>
      </c>
      <c r="DR187" s="480" t="n">
        <f aca="false">DG187</f>
        <v>50771</v>
      </c>
      <c r="DS187" s="485" t="n">
        <v>0.124399999999998</v>
      </c>
      <c r="DT187" s="486" t="n">
        <v>0.123554545454543</v>
      </c>
      <c r="DU187" s="480" t="n">
        <f aca="false">DG187</f>
        <v>50771</v>
      </c>
      <c r="DV187" s="485" t="n">
        <v>0.124399999999998</v>
      </c>
      <c r="DW187" s="486" t="n">
        <v>0.123554545454543</v>
      </c>
      <c r="DX187" s="481" t="n">
        <f aca="false">DG187</f>
        <v>50771</v>
      </c>
      <c r="DY187" s="486" t="n">
        <v>0.35</v>
      </c>
      <c r="DZ187" s="481" t="n">
        <f aca="false">DR187</f>
        <v>50771</v>
      </c>
      <c r="EA187" s="486" t="n">
        <f aca="false">DT187</f>
        <v>0.123554545454543</v>
      </c>
      <c r="EB187" s="195"/>
      <c r="EC187" s="547" t="str">
        <f aca="false">IF(BD187,IF(Underlying=1,AS187,AU187),"")</f>
        <v/>
      </c>
      <c r="ED187" s="548" t="str">
        <f aca="false">IF($BD187,$EC187+IF(VolSkewFlag=1,IF(BS187&gt;0,$BA187*MIN(BS187/10%,1)+($BB187-$BA187)*MAX(0,MIN(BS187/10%-1,1))+($BC187-$BB187)*MAX(0,BS187/10%-2),$AZ187*MIN(-BS187/10%,1)+($AY187-$AZ187)*MAX(0,MIN(-BS187/10%-1,1))+($AX187-$AY187)*MAX(0,-BS187/10%-2)),0),"")</f>
        <v/>
      </c>
      <c r="EE187" s="549" t="str">
        <f aca="false">IF($BD187,$EC187+IF(VolSkewFlag=1,IF(BT187&gt;0,$BA187*MIN(BT187/10%,1)+($BB187-$BA187)*MAX(0,MIN(BT187/10%-1,1))+($BC187-$BB187)*MAX(0,BT187/10%-2),$AZ187*MIN(-BT187/10%,1)+($AY187-$AZ187)*MAX(0,MIN(-BT187/10%-1,1))+($AX187-$AY187)*MAX(0,-BT187/10%-2)),0),"")</f>
        <v/>
      </c>
      <c r="EF187" s="550" t="n">
        <f aca="false">IF(BD187,xASN(BR187,Strike1,AO187,ED187,0,BO187,0,BI187,BL187,IF(OptControl=4,0,1),0),0)</f>
        <v>0</v>
      </c>
      <c r="EG187" s="551" t="n">
        <f aca="false">IF(BD187,xASN(BR187,Strike2,AO187,EE187,0,BO187,0,BI187,BL187,IF(OptControl=3,1,0),0),0)</f>
        <v>0</v>
      </c>
      <c r="EL187" s="1"/>
      <c r="EM187" s="195"/>
      <c r="EN187" s="240"/>
      <c r="EO187" s="240"/>
      <c r="EP187" s="195"/>
      <c r="EQ187" s="407" t="s">
        <v>415</v>
      </c>
      <c r="ES187" s="130"/>
      <c r="ET187" s="19"/>
      <c r="EU187" s="672"/>
      <c r="EV187" s="478"/>
      <c r="EW187" s="131"/>
      <c r="EX187" s="131"/>
      <c r="EY187" s="129"/>
      <c r="EZ187" s="129"/>
      <c r="FA187" s="129"/>
      <c r="FB187" s="129"/>
      <c r="FC187" s="129"/>
      <c r="FD187" s="129"/>
      <c r="FE187" s="129"/>
      <c r="FF187" s="129"/>
      <c r="FG187" s="129"/>
      <c r="FH187" s="129"/>
      <c r="FI187" s="129"/>
      <c r="FJ187" s="571" t="n">
        <v>18</v>
      </c>
      <c r="FK187" s="150" t="str">
        <f aca="false">IF(OR(FK$169&lt;SwaptionFirstMonthPosition+1,$FJ187&lt;SwaptionFirstMonthPosition+1,FK$169&gt;SwaptionFirstMonthPosition+SwaptionNumOfMonths+1,$FJ187&gt;SwaptionFirstMonthPosition+SwaptionNumOfMonths+1),"",IF($FJ187=FK$169,1,IF($FJ187&lt;FK$169,INDEX($FK$170:$ID$241,FK$169,$FJ187),SUMPRODUCT(INDEX($FK$325:$ID$396,FK$169,1+SwaptionShift):INDEX($FK$325:$ID$396,FK$169,SwaptionMonthsToGo+SwaptionShift),INDEX($FK$245:$ID$316,$FJ187-FK$169,73-FK$169+SwaptionShift):INDEX($FK$245:$ID$316,$FJ187-FK$169,72-FK$169+SwaptionMonthsToGo+SwaptionShift))/SQRT(SUM(INDEX($FK342:$ID342,1+SwaptionShift):INDEX($FK342:$ID342,SwaptionMonthsToGo+SwaptionShift))*SUM(INDEX($FK$325:$ID$396,FK$169,1+SwaptionShift):INDEX($FK$325:$ID$396,FK$169,SwaptionMonthsToGo+SwaptionShift))))))</f>
        <v/>
      </c>
      <c r="FL187" s="150" t="str">
        <f aca="false">IF(OR(FL$169&lt;SwaptionFirstMonthPosition+1,$FJ187&lt;SwaptionFirstMonthPosition+1,FL$169&gt;SwaptionFirstMonthPosition+SwaptionNumOfMonths+1,$FJ187&gt;SwaptionFirstMonthPosition+SwaptionNumOfMonths+1),"",IF($FJ187=FL$169,1,IF($FJ187&lt;FL$169,INDEX($FK$170:$ID$241,FL$169,$FJ187),SUMPRODUCT(INDEX($FK$325:$ID$396,FL$169,1+SwaptionShift):INDEX($FK$325:$ID$396,FL$169,SwaptionMonthsToGo+SwaptionShift),INDEX($FK$245:$ID$316,$FJ187-FL$169,73-FL$169+SwaptionShift):INDEX($FK$245:$ID$316,$FJ187-FL$169,72-FL$169+SwaptionMonthsToGo+SwaptionShift))/SQRT(SUM(INDEX($FK342:$ID342,1+SwaptionShift):INDEX($FK342:$ID342,SwaptionMonthsToGo+SwaptionShift))*SUM(INDEX($FK$325:$ID$396,FL$169,1+SwaptionShift):INDEX($FK$325:$ID$396,FL$169,SwaptionMonthsToGo+SwaptionShift))))))</f>
        <v/>
      </c>
      <c r="FM187" s="150" t="str">
        <f aca="false">IF(OR(FM$169&lt;SwaptionFirstMonthPosition+1,$FJ187&lt;SwaptionFirstMonthPosition+1,FM$169&gt;SwaptionFirstMonthPosition+SwaptionNumOfMonths+1,$FJ187&gt;SwaptionFirstMonthPosition+SwaptionNumOfMonths+1),"",IF($FJ187=FM$169,1,IF($FJ187&lt;FM$169,INDEX($FK$170:$ID$241,FM$169,$FJ187),SUMPRODUCT(INDEX($FK$325:$ID$396,FM$169,1+SwaptionShift):INDEX($FK$325:$ID$396,FM$169,SwaptionMonthsToGo+SwaptionShift),INDEX($FK$245:$ID$316,$FJ187-FM$169,73-FM$169+SwaptionShift):INDEX($FK$245:$ID$316,$FJ187-FM$169,72-FM$169+SwaptionMonthsToGo+SwaptionShift))/SQRT(SUM(INDEX($FK342:$ID342,1+SwaptionShift):INDEX($FK342:$ID342,SwaptionMonthsToGo+SwaptionShift))*SUM(INDEX($FK$325:$ID$396,FM$169,1+SwaptionShift):INDEX($FK$325:$ID$396,FM$169,SwaptionMonthsToGo+SwaptionShift))))))</f>
        <v/>
      </c>
      <c r="FN187" s="150" t="str">
        <f aca="false">IF(OR(FN$169&lt;SwaptionFirstMonthPosition+1,$FJ187&lt;SwaptionFirstMonthPosition+1,FN$169&gt;SwaptionFirstMonthPosition+SwaptionNumOfMonths+1,$FJ187&gt;SwaptionFirstMonthPosition+SwaptionNumOfMonths+1),"",IF($FJ187=FN$169,1,IF($FJ187&lt;FN$169,INDEX($FK$170:$ID$241,FN$169,$FJ187),SUMPRODUCT(INDEX($FK$325:$ID$396,FN$169,1+SwaptionShift):INDEX($FK$325:$ID$396,FN$169,SwaptionMonthsToGo+SwaptionShift),INDEX($FK$245:$ID$316,$FJ187-FN$169,73-FN$169+SwaptionShift):INDEX($FK$245:$ID$316,$FJ187-FN$169,72-FN$169+SwaptionMonthsToGo+SwaptionShift))/SQRT(SUM(INDEX($FK342:$ID342,1+SwaptionShift):INDEX($FK342:$ID342,SwaptionMonthsToGo+SwaptionShift))*SUM(INDEX($FK$325:$ID$396,FN$169,1+SwaptionShift):INDEX($FK$325:$ID$396,FN$169,SwaptionMonthsToGo+SwaptionShift))))))</f>
        <v/>
      </c>
      <c r="FO187" s="150" t="str">
        <f aca="false">IF(OR(FO$169&lt;SwaptionFirstMonthPosition+1,$FJ187&lt;SwaptionFirstMonthPosition+1,FO$169&gt;SwaptionFirstMonthPosition+SwaptionNumOfMonths+1,$FJ187&gt;SwaptionFirstMonthPosition+SwaptionNumOfMonths+1),"",IF($FJ187=FO$169,1,IF($FJ187&lt;FO$169,INDEX($FK$170:$ID$241,FO$169,$FJ187),SUMPRODUCT(INDEX($FK$325:$ID$396,FO$169,1+SwaptionShift):INDEX($FK$325:$ID$396,FO$169,SwaptionMonthsToGo+SwaptionShift),INDEX($FK$245:$ID$316,$FJ187-FO$169,73-FO$169+SwaptionShift):INDEX($FK$245:$ID$316,$FJ187-FO$169,72-FO$169+SwaptionMonthsToGo+SwaptionShift))/SQRT(SUM(INDEX($FK342:$ID342,1+SwaptionShift):INDEX($FK342:$ID342,SwaptionMonthsToGo+SwaptionShift))*SUM(INDEX($FK$325:$ID$396,FO$169,1+SwaptionShift):INDEX($FK$325:$ID$396,FO$169,SwaptionMonthsToGo+SwaptionShift))))))</f>
        <v/>
      </c>
      <c r="FP187" s="150" t="e">
        <f aca="false">IF(OR(FP$169&lt;SwaptionFirstMonthPosition+1,$FJ187&lt;SwaptionFirstMonthPosition+1,FP$169&gt;SwaptionFirstMonthPosition+SwaptionNumOfMonths+1,$FJ187&gt;SwaptionFirstMonthPosition+SwaptionNumOfMonths+1),"",IF($FJ187=FP$169,1,IF($FJ187&lt;FP$169,INDEX($FK$170:$ID$241,FP$169,$FJ187),SUMPRODUCT(INDEX($FK$325:$ID$396,FP$169,1+SwaptionShift):INDEX($FK$325:$ID$396,FP$169,SwaptionMonthsToGo+SwaptionShift),INDEX($FK$245:$ID$316,$FJ187-FP$169,73-FP$169+SwaptionShift):INDEX($FK$245:$ID$316,$FJ187-FP$169,72-FP$169+SwaptionMonthsToGo+SwaptionShift))/SQRT(SUM(INDEX($FK342:$ID342,1+SwaptionShift):INDEX($FK342:$ID342,SwaptionMonthsToGo+SwaptionShift))*SUM(INDEX($FK$325:$ID$396,FP$169,1+SwaptionShift):INDEX($FK$325:$ID$396,FP$169,SwaptionMonthsToGo+SwaptionShift))))))</f>
        <v>#DIV/0!</v>
      </c>
      <c r="FQ187" s="150" t="e">
        <f aca="false">IF(OR(FQ$169&lt;SwaptionFirstMonthPosition+1,$FJ187&lt;SwaptionFirstMonthPosition+1,FQ$169&gt;SwaptionFirstMonthPosition+SwaptionNumOfMonths+1,$FJ187&gt;SwaptionFirstMonthPosition+SwaptionNumOfMonths+1),"",IF($FJ187=FQ$169,1,IF($FJ187&lt;FQ$169,INDEX($FK$170:$ID$241,FQ$169,$FJ187),SUMPRODUCT(INDEX($FK$325:$ID$396,FQ$169,1+SwaptionShift):INDEX($FK$325:$ID$396,FQ$169,SwaptionMonthsToGo+SwaptionShift),INDEX($FK$245:$ID$316,$FJ187-FQ$169,73-FQ$169+SwaptionShift):INDEX($FK$245:$ID$316,$FJ187-FQ$169,72-FQ$169+SwaptionMonthsToGo+SwaptionShift))/SQRT(SUM(INDEX($FK342:$ID342,1+SwaptionShift):INDEX($FK342:$ID342,SwaptionMonthsToGo+SwaptionShift))*SUM(INDEX($FK$325:$ID$396,FQ$169,1+SwaptionShift):INDEX($FK$325:$ID$396,FQ$169,SwaptionMonthsToGo+SwaptionShift))))))</f>
        <v>#DIV/0!</v>
      </c>
      <c r="FR187" s="150" t="e">
        <f aca="false">IF(OR(FR$169&lt;SwaptionFirstMonthPosition+1,$FJ187&lt;SwaptionFirstMonthPosition+1,FR$169&gt;SwaptionFirstMonthPosition+SwaptionNumOfMonths+1,$FJ187&gt;SwaptionFirstMonthPosition+SwaptionNumOfMonths+1),"",IF($FJ187=FR$169,1,IF($FJ187&lt;FR$169,INDEX($FK$170:$ID$241,FR$169,$FJ187),SUMPRODUCT(INDEX($FK$325:$ID$396,FR$169,1+SwaptionShift):INDEX($FK$325:$ID$396,FR$169,SwaptionMonthsToGo+SwaptionShift),INDEX($FK$245:$ID$316,$FJ187-FR$169,73-FR$169+SwaptionShift):INDEX($FK$245:$ID$316,$FJ187-FR$169,72-FR$169+SwaptionMonthsToGo+SwaptionShift))/SQRT(SUM(INDEX($FK342:$ID342,1+SwaptionShift):INDEX($FK342:$ID342,SwaptionMonthsToGo+SwaptionShift))*SUM(INDEX($FK$325:$ID$396,FR$169,1+SwaptionShift):INDEX($FK$325:$ID$396,FR$169,SwaptionMonthsToGo+SwaptionShift))))))</f>
        <v>#DIV/0!</v>
      </c>
      <c r="FS187" s="150" t="e">
        <f aca="false">IF(OR(FS$169&lt;SwaptionFirstMonthPosition+1,$FJ187&lt;SwaptionFirstMonthPosition+1,FS$169&gt;SwaptionFirstMonthPosition+SwaptionNumOfMonths+1,$FJ187&gt;SwaptionFirstMonthPosition+SwaptionNumOfMonths+1),"",IF($FJ187=FS$169,1,IF($FJ187&lt;FS$169,INDEX($FK$170:$ID$241,FS$169,$FJ187),SUMPRODUCT(INDEX($FK$325:$ID$396,FS$169,1+SwaptionShift):INDEX($FK$325:$ID$396,FS$169,SwaptionMonthsToGo+SwaptionShift),INDEX($FK$245:$ID$316,$FJ187-FS$169,73-FS$169+SwaptionShift):INDEX($FK$245:$ID$316,$FJ187-FS$169,72-FS$169+SwaptionMonthsToGo+SwaptionShift))/SQRT(SUM(INDEX($FK342:$ID342,1+SwaptionShift):INDEX($FK342:$ID342,SwaptionMonthsToGo+SwaptionShift))*SUM(INDEX($FK$325:$ID$396,FS$169,1+SwaptionShift):INDEX($FK$325:$ID$396,FS$169,SwaptionMonthsToGo+SwaptionShift))))))</f>
        <v>#DIV/0!</v>
      </c>
      <c r="FT187" s="150" t="e">
        <f aca="false">IF(OR(FT$169&lt;SwaptionFirstMonthPosition+1,$FJ187&lt;SwaptionFirstMonthPosition+1,FT$169&gt;SwaptionFirstMonthPosition+SwaptionNumOfMonths+1,$FJ187&gt;SwaptionFirstMonthPosition+SwaptionNumOfMonths+1),"",IF($FJ187=FT$169,1,IF($FJ187&lt;FT$169,INDEX($FK$170:$ID$241,FT$169,$FJ187),SUMPRODUCT(INDEX($FK$325:$ID$396,FT$169,1+SwaptionShift):INDEX($FK$325:$ID$396,FT$169,SwaptionMonthsToGo+SwaptionShift),INDEX($FK$245:$ID$316,$FJ187-FT$169,73-FT$169+SwaptionShift):INDEX($FK$245:$ID$316,$FJ187-FT$169,72-FT$169+SwaptionMonthsToGo+SwaptionShift))/SQRT(SUM(INDEX($FK342:$ID342,1+SwaptionShift):INDEX($FK342:$ID342,SwaptionMonthsToGo+SwaptionShift))*SUM(INDEX($FK$325:$ID$396,FT$169,1+SwaptionShift):INDEX($FK$325:$ID$396,FT$169,SwaptionMonthsToGo+SwaptionShift))))))</f>
        <v>#DIV/0!</v>
      </c>
      <c r="FU187" s="150" t="e">
        <f aca="false">IF(OR(FU$169&lt;SwaptionFirstMonthPosition+1,$FJ187&lt;SwaptionFirstMonthPosition+1,FU$169&gt;SwaptionFirstMonthPosition+SwaptionNumOfMonths+1,$FJ187&gt;SwaptionFirstMonthPosition+SwaptionNumOfMonths+1),"",IF($FJ187=FU$169,1,IF($FJ187&lt;FU$169,INDEX($FK$170:$ID$241,FU$169,$FJ187),SUMPRODUCT(INDEX($FK$325:$ID$396,FU$169,1+SwaptionShift):INDEX($FK$325:$ID$396,FU$169,SwaptionMonthsToGo+SwaptionShift),INDEX($FK$245:$ID$316,$FJ187-FU$169,73-FU$169+SwaptionShift):INDEX($FK$245:$ID$316,$FJ187-FU$169,72-FU$169+SwaptionMonthsToGo+SwaptionShift))/SQRT(SUM(INDEX($FK342:$ID342,1+SwaptionShift):INDEX($FK342:$ID342,SwaptionMonthsToGo+SwaptionShift))*SUM(INDEX($FK$325:$ID$396,FU$169,1+SwaptionShift):INDEX($FK$325:$ID$396,FU$169,SwaptionMonthsToGo+SwaptionShift))))))</f>
        <v>#DIV/0!</v>
      </c>
      <c r="FV187" s="150" t="e">
        <f aca="false">IF(OR(FV$169&lt;SwaptionFirstMonthPosition+1,$FJ187&lt;SwaptionFirstMonthPosition+1,FV$169&gt;SwaptionFirstMonthPosition+SwaptionNumOfMonths+1,$FJ187&gt;SwaptionFirstMonthPosition+SwaptionNumOfMonths+1),"",IF($FJ187=FV$169,1,IF($FJ187&lt;FV$169,INDEX($FK$170:$ID$241,FV$169,$FJ187),SUMPRODUCT(INDEX($FK$325:$ID$396,FV$169,1+SwaptionShift):INDEX($FK$325:$ID$396,FV$169,SwaptionMonthsToGo+SwaptionShift),INDEX($FK$245:$ID$316,$FJ187-FV$169,73-FV$169+SwaptionShift):INDEX($FK$245:$ID$316,$FJ187-FV$169,72-FV$169+SwaptionMonthsToGo+SwaptionShift))/SQRT(SUM(INDEX($FK342:$ID342,1+SwaptionShift):INDEX($FK342:$ID342,SwaptionMonthsToGo+SwaptionShift))*SUM(INDEX($FK$325:$ID$396,FV$169,1+SwaptionShift):INDEX($FK$325:$ID$396,FV$169,SwaptionMonthsToGo+SwaptionShift))))))</f>
        <v>#DIV/0!</v>
      </c>
      <c r="FW187" s="150" t="e">
        <f aca="false">IF(OR(FW$169&lt;SwaptionFirstMonthPosition+1,$FJ187&lt;SwaptionFirstMonthPosition+1,FW$169&gt;SwaptionFirstMonthPosition+SwaptionNumOfMonths+1,$FJ187&gt;SwaptionFirstMonthPosition+SwaptionNumOfMonths+1),"",IF($FJ187=FW$169,1,IF($FJ187&lt;FW$169,INDEX($FK$170:$ID$241,FW$169,$FJ187),SUMPRODUCT(INDEX($FK$325:$ID$396,FW$169,1+SwaptionShift):INDEX($FK$325:$ID$396,FW$169,SwaptionMonthsToGo+SwaptionShift),INDEX($FK$245:$ID$316,$FJ187-FW$169,73-FW$169+SwaptionShift):INDEX($FK$245:$ID$316,$FJ187-FW$169,72-FW$169+SwaptionMonthsToGo+SwaptionShift))/SQRT(SUM(INDEX($FK342:$ID342,1+SwaptionShift):INDEX($FK342:$ID342,SwaptionMonthsToGo+SwaptionShift))*SUM(INDEX($FK$325:$ID$396,FW$169,1+SwaptionShift):INDEX($FK$325:$ID$396,FW$169,SwaptionMonthsToGo+SwaptionShift))))))</f>
        <v>#DIV/0!</v>
      </c>
      <c r="FX187" s="150" t="e">
        <f aca="false">IF(OR(FX$169&lt;SwaptionFirstMonthPosition+1,$FJ187&lt;SwaptionFirstMonthPosition+1,FX$169&gt;SwaptionFirstMonthPosition+SwaptionNumOfMonths+1,$FJ187&gt;SwaptionFirstMonthPosition+SwaptionNumOfMonths+1),"",IF($FJ187=FX$169,1,IF($FJ187&lt;FX$169,INDEX($FK$170:$ID$241,FX$169,$FJ187),SUMPRODUCT(INDEX($FK$325:$ID$396,FX$169,1+SwaptionShift):INDEX($FK$325:$ID$396,FX$169,SwaptionMonthsToGo+SwaptionShift),INDEX($FK$245:$ID$316,$FJ187-FX$169,73-FX$169+SwaptionShift):INDEX($FK$245:$ID$316,$FJ187-FX$169,72-FX$169+SwaptionMonthsToGo+SwaptionShift))/SQRT(SUM(INDEX($FK342:$ID342,1+SwaptionShift):INDEX($FK342:$ID342,SwaptionMonthsToGo+SwaptionShift))*SUM(INDEX($FK$325:$ID$396,FX$169,1+SwaptionShift):INDEX($FK$325:$ID$396,FX$169,SwaptionMonthsToGo+SwaptionShift))))))</f>
        <v>#DIV/0!</v>
      </c>
      <c r="FY187" s="150" t="e">
        <f aca="false">IF(OR(FY$169&lt;SwaptionFirstMonthPosition+1,$FJ187&lt;SwaptionFirstMonthPosition+1,FY$169&gt;SwaptionFirstMonthPosition+SwaptionNumOfMonths+1,$FJ187&gt;SwaptionFirstMonthPosition+SwaptionNumOfMonths+1),"",IF($FJ187=FY$169,1,IF($FJ187&lt;FY$169,INDEX($FK$170:$ID$241,FY$169,$FJ187),SUMPRODUCT(INDEX($FK$325:$ID$396,FY$169,1+SwaptionShift):INDEX($FK$325:$ID$396,FY$169,SwaptionMonthsToGo+SwaptionShift),INDEX($FK$245:$ID$316,$FJ187-FY$169,73-FY$169+SwaptionShift):INDEX($FK$245:$ID$316,$FJ187-FY$169,72-FY$169+SwaptionMonthsToGo+SwaptionShift))/SQRT(SUM(INDEX($FK342:$ID342,1+SwaptionShift):INDEX($FK342:$ID342,SwaptionMonthsToGo+SwaptionShift))*SUM(INDEX($FK$325:$ID$396,FY$169,1+SwaptionShift):INDEX($FK$325:$ID$396,FY$169,SwaptionMonthsToGo+SwaptionShift))))))</f>
        <v>#DIV/0!</v>
      </c>
      <c r="FZ187" s="150" t="e">
        <f aca="false">IF(OR(FZ$169&lt;SwaptionFirstMonthPosition+1,$FJ187&lt;SwaptionFirstMonthPosition+1,FZ$169&gt;SwaptionFirstMonthPosition+SwaptionNumOfMonths+1,$FJ187&gt;SwaptionFirstMonthPosition+SwaptionNumOfMonths+1),"",IF($FJ187=FZ$169,1,IF($FJ187&lt;FZ$169,INDEX($FK$170:$ID$241,FZ$169,$FJ187),SUMPRODUCT(INDEX($FK$325:$ID$396,FZ$169,1+SwaptionShift):INDEX($FK$325:$ID$396,FZ$169,SwaptionMonthsToGo+SwaptionShift),INDEX($FK$245:$ID$316,$FJ187-FZ$169,73-FZ$169+SwaptionShift):INDEX($FK$245:$ID$316,$FJ187-FZ$169,72-FZ$169+SwaptionMonthsToGo+SwaptionShift))/SQRT(SUM(INDEX($FK342:$ID342,1+SwaptionShift):INDEX($FK342:$ID342,SwaptionMonthsToGo+SwaptionShift))*SUM(INDEX($FK$325:$ID$396,FZ$169,1+SwaptionShift):INDEX($FK$325:$ID$396,FZ$169,SwaptionMonthsToGo+SwaptionShift))))))</f>
        <v>#DIV/0!</v>
      </c>
      <c r="GA187" s="150" t="e">
        <f aca="false">IF(OR(GA$169&lt;SwaptionFirstMonthPosition+1,$FJ187&lt;SwaptionFirstMonthPosition+1,GA$169&gt;SwaptionFirstMonthPosition+SwaptionNumOfMonths+1,$FJ187&gt;SwaptionFirstMonthPosition+SwaptionNumOfMonths+1),"",IF($FJ187=GA$169,1,IF($FJ187&lt;GA$169,INDEX($FK$170:$ID$241,GA$169,$FJ187),SUMPRODUCT(INDEX($FK$325:$ID$396,GA$169,1+SwaptionShift):INDEX($FK$325:$ID$396,GA$169,SwaptionMonthsToGo+SwaptionShift),INDEX($FK$245:$ID$316,$FJ187-GA$169,73-GA$169+SwaptionShift):INDEX($FK$245:$ID$316,$FJ187-GA$169,72-GA$169+SwaptionMonthsToGo+SwaptionShift))/SQRT(SUM(INDEX($FK342:$ID342,1+SwaptionShift):INDEX($FK342:$ID342,SwaptionMonthsToGo+SwaptionShift))*SUM(INDEX($FK$325:$ID$396,GA$169,1+SwaptionShift):INDEX($FK$325:$ID$396,GA$169,SwaptionMonthsToGo+SwaptionShift))))))</f>
        <v>#DIV/0!</v>
      </c>
      <c r="GB187" s="150" t="n">
        <f aca="false">IF(OR(GB$169&lt;SwaptionFirstMonthPosition+1,$FJ187&lt;SwaptionFirstMonthPosition+1,GB$169&gt;SwaptionFirstMonthPosition+SwaptionNumOfMonths+1,$FJ187&gt;SwaptionFirstMonthPosition+SwaptionNumOfMonths+1),"",IF($FJ187=GB$169,1,IF($FJ187&lt;GB$169,INDEX($FK$170:$ID$241,GB$169,$FJ187),SUMPRODUCT(INDEX($FK$325:$ID$396,GB$169,1+SwaptionShift):INDEX($FK$325:$ID$396,GB$169,SwaptionMonthsToGo+SwaptionShift),INDEX($FK$245:$ID$316,$FJ187-GB$169,73-GB$169+SwaptionShift):INDEX($FK$245:$ID$316,$FJ187-GB$169,72-GB$169+SwaptionMonthsToGo+SwaptionShift))/SQRT(SUM(INDEX($FK342:$ID342,1+SwaptionShift):INDEX($FK342:$ID342,SwaptionMonthsToGo+SwaptionShift))*SUM(INDEX($FK$325:$ID$396,GB$169,1+SwaptionShift):INDEX($FK$325:$ID$396,GB$169,SwaptionMonthsToGo+SwaptionShift))))))</f>
        <v>1</v>
      </c>
      <c r="GC187" s="150" t="str">
        <f aca="false">IF(OR(GC$169&lt;SwaptionFirstMonthPosition+1,$FJ187&lt;SwaptionFirstMonthPosition+1,GC$169&gt;SwaptionFirstMonthPosition+SwaptionNumOfMonths+1,$FJ187&gt;SwaptionFirstMonthPosition+SwaptionNumOfMonths+1),"",IF($FJ187=GC$169,1,IF($FJ187&lt;GC$169,INDEX($FK$170:$ID$241,GC$169,$FJ187),SUMPRODUCT(INDEX($FK$325:$ID$396,GC$169,1+SwaptionShift):INDEX($FK$325:$ID$396,GC$169,SwaptionMonthsToGo+SwaptionShift),INDEX($FK$245:$ID$316,$FJ187-GC$169,73-GC$169+SwaptionShift):INDEX($FK$245:$ID$316,$FJ187-GC$169,72-GC$169+SwaptionMonthsToGo+SwaptionShift))/SQRT(SUM(INDEX($FK342:$ID342,1+SwaptionShift):INDEX($FK342:$ID342,SwaptionMonthsToGo+SwaptionShift))*SUM(INDEX($FK$325:$ID$396,GC$169,1+SwaptionShift):INDEX($FK$325:$ID$396,GC$169,SwaptionMonthsToGo+SwaptionShift))))))</f>
        <v/>
      </c>
      <c r="GD187" s="150" t="str">
        <f aca="false">IF(OR(GD$169&lt;SwaptionFirstMonthPosition+1,$FJ187&lt;SwaptionFirstMonthPosition+1,GD$169&gt;SwaptionFirstMonthPosition+SwaptionNumOfMonths+1,$FJ187&gt;SwaptionFirstMonthPosition+SwaptionNumOfMonths+1),"",IF($FJ187=GD$169,1,IF($FJ187&lt;GD$169,INDEX($FK$170:$ID$241,GD$169,$FJ187),SUMPRODUCT(INDEX($FK$325:$ID$396,GD$169,1+SwaptionShift):INDEX($FK$325:$ID$396,GD$169,SwaptionMonthsToGo+SwaptionShift),INDEX($FK$245:$ID$316,$FJ187-GD$169,73-GD$169+SwaptionShift):INDEX($FK$245:$ID$316,$FJ187-GD$169,72-GD$169+SwaptionMonthsToGo+SwaptionShift))/SQRT(SUM(INDEX($FK342:$ID342,1+SwaptionShift):INDEX($FK342:$ID342,SwaptionMonthsToGo+SwaptionShift))*SUM(INDEX($FK$325:$ID$396,GD$169,1+SwaptionShift):INDEX($FK$325:$ID$396,GD$169,SwaptionMonthsToGo+SwaptionShift))))))</f>
        <v/>
      </c>
      <c r="GE187" s="150" t="str">
        <f aca="false">IF(OR(GE$169&lt;SwaptionFirstMonthPosition+1,$FJ187&lt;SwaptionFirstMonthPosition+1,GE$169&gt;SwaptionFirstMonthPosition+SwaptionNumOfMonths+1,$FJ187&gt;SwaptionFirstMonthPosition+SwaptionNumOfMonths+1),"",IF($FJ187=GE$169,1,IF($FJ187&lt;GE$169,INDEX($FK$170:$ID$241,GE$169,$FJ187),SUMPRODUCT(INDEX($FK$325:$ID$396,GE$169,1+SwaptionShift):INDEX($FK$325:$ID$396,GE$169,SwaptionMonthsToGo+SwaptionShift),INDEX($FK$245:$ID$316,$FJ187-GE$169,73-GE$169+SwaptionShift):INDEX($FK$245:$ID$316,$FJ187-GE$169,72-GE$169+SwaptionMonthsToGo+SwaptionShift))/SQRT(SUM(INDEX($FK342:$ID342,1+SwaptionShift):INDEX($FK342:$ID342,SwaptionMonthsToGo+SwaptionShift))*SUM(INDEX($FK$325:$ID$396,GE$169,1+SwaptionShift):INDEX($FK$325:$ID$396,GE$169,SwaptionMonthsToGo+SwaptionShift))))))</f>
        <v/>
      </c>
      <c r="GF187" s="150" t="str">
        <f aca="false">IF(OR(GF$169&lt;SwaptionFirstMonthPosition+1,$FJ187&lt;SwaptionFirstMonthPosition+1,GF$169&gt;SwaptionFirstMonthPosition+SwaptionNumOfMonths+1,$FJ187&gt;SwaptionFirstMonthPosition+SwaptionNumOfMonths+1),"",IF($FJ187=GF$169,1,IF($FJ187&lt;GF$169,INDEX($FK$170:$ID$241,GF$169,$FJ187),SUMPRODUCT(INDEX($FK$325:$ID$396,GF$169,1+SwaptionShift):INDEX($FK$325:$ID$396,GF$169,SwaptionMonthsToGo+SwaptionShift),INDEX($FK$245:$ID$316,$FJ187-GF$169,73-GF$169+SwaptionShift):INDEX($FK$245:$ID$316,$FJ187-GF$169,72-GF$169+SwaptionMonthsToGo+SwaptionShift))/SQRT(SUM(INDEX($FK342:$ID342,1+SwaptionShift):INDEX($FK342:$ID342,SwaptionMonthsToGo+SwaptionShift))*SUM(INDEX($FK$325:$ID$396,GF$169,1+SwaptionShift):INDEX($FK$325:$ID$396,GF$169,SwaptionMonthsToGo+SwaptionShift))))))</f>
        <v/>
      </c>
      <c r="GG187" s="150" t="str">
        <f aca="false">IF(OR(GG$169&lt;SwaptionFirstMonthPosition+1,$FJ187&lt;SwaptionFirstMonthPosition+1,GG$169&gt;SwaptionFirstMonthPosition+SwaptionNumOfMonths+1,$FJ187&gt;SwaptionFirstMonthPosition+SwaptionNumOfMonths+1),"",IF($FJ187=GG$169,1,IF($FJ187&lt;GG$169,INDEX($FK$170:$ID$241,GG$169,$FJ187),SUMPRODUCT(INDEX($FK$325:$ID$396,GG$169,1+SwaptionShift):INDEX($FK$325:$ID$396,GG$169,SwaptionMonthsToGo+SwaptionShift),INDEX($FK$245:$ID$316,$FJ187-GG$169,73-GG$169+SwaptionShift):INDEX($FK$245:$ID$316,$FJ187-GG$169,72-GG$169+SwaptionMonthsToGo+SwaptionShift))/SQRT(SUM(INDEX($FK342:$ID342,1+SwaptionShift):INDEX($FK342:$ID342,SwaptionMonthsToGo+SwaptionShift))*SUM(INDEX($FK$325:$ID$396,GG$169,1+SwaptionShift):INDEX($FK$325:$ID$396,GG$169,SwaptionMonthsToGo+SwaptionShift))))))</f>
        <v/>
      </c>
      <c r="GH187" s="150" t="str">
        <f aca="false">IF(OR(GH$169&lt;SwaptionFirstMonthPosition+1,$FJ187&lt;SwaptionFirstMonthPosition+1,GH$169&gt;SwaptionFirstMonthPosition+SwaptionNumOfMonths+1,$FJ187&gt;SwaptionFirstMonthPosition+SwaptionNumOfMonths+1),"",IF($FJ187=GH$169,1,IF($FJ187&lt;GH$169,INDEX($FK$170:$ID$241,GH$169,$FJ187),SUMPRODUCT(INDEX($FK$325:$ID$396,GH$169,1+SwaptionShift):INDEX($FK$325:$ID$396,GH$169,SwaptionMonthsToGo+SwaptionShift),INDEX($FK$245:$ID$316,$FJ187-GH$169,73-GH$169+SwaptionShift):INDEX($FK$245:$ID$316,$FJ187-GH$169,72-GH$169+SwaptionMonthsToGo+SwaptionShift))/SQRT(SUM(INDEX($FK342:$ID342,1+SwaptionShift):INDEX($FK342:$ID342,SwaptionMonthsToGo+SwaptionShift))*SUM(INDEX($FK$325:$ID$396,GH$169,1+SwaptionShift):INDEX($FK$325:$ID$396,GH$169,SwaptionMonthsToGo+SwaptionShift))))))</f>
        <v/>
      </c>
      <c r="GI187" s="150" t="str">
        <f aca="false">IF(OR(GI$169&lt;SwaptionFirstMonthPosition+1,$FJ187&lt;SwaptionFirstMonthPosition+1,GI$169&gt;SwaptionFirstMonthPosition+SwaptionNumOfMonths+1,$FJ187&gt;SwaptionFirstMonthPosition+SwaptionNumOfMonths+1),"",IF($FJ187=GI$169,1,IF($FJ187&lt;GI$169,INDEX($FK$170:$ID$241,GI$169,$FJ187),SUMPRODUCT(INDEX($FK$325:$ID$396,GI$169,1+SwaptionShift):INDEX($FK$325:$ID$396,GI$169,SwaptionMonthsToGo+SwaptionShift),INDEX($FK$245:$ID$316,$FJ187-GI$169,73-GI$169+SwaptionShift):INDEX($FK$245:$ID$316,$FJ187-GI$169,72-GI$169+SwaptionMonthsToGo+SwaptionShift))/SQRT(SUM(INDEX($FK342:$ID342,1+SwaptionShift):INDEX($FK342:$ID342,SwaptionMonthsToGo+SwaptionShift))*SUM(INDEX($FK$325:$ID$396,GI$169,1+SwaptionShift):INDEX($FK$325:$ID$396,GI$169,SwaptionMonthsToGo+SwaptionShift))))))</f>
        <v/>
      </c>
      <c r="GJ187" s="150" t="str">
        <f aca="false">IF(OR(GJ$169&lt;SwaptionFirstMonthPosition+1,$FJ187&lt;SwaptionFirstMonthPosition+1,GJ$169&gt;SwaptionFirstMonthPosition+SwaptionNumOfMonths+1,$FJ187&gt;SwaptionFirstMonthPosition+SwaptionNumOfMonths+1),"",IF($FJ187=GJ$169,1,IF($FJ187&lt;GJ$169,INDEX($FK$170:$ID$241,GJ$169,$FJ187),SUMPRODUCT(INDEX($FK$325:$ID$396,GJ$169,1+SwaptionShift):INDEX($FK$325:$ID$396,GJ$169,SwaptionMonthsToGo+SwaptionShift),INDEX($FK$245:$ID$316,$FJ187-GJ$169,73-GJ$169+SwaptionShift):INDEX($FK$245:$ID$316,$FJ187-GJ$169,72-GJ$169+SwaptionMonthsToGo+SwaptionShift))/SQRT(SUM(INDEX($FK342:$ID342,1+SwaptionShift):INDEX($FK342:$ID342,SwaptionMonthsToGo+SwaptionShift))*SUM(INDEX($FK$325:$ID$396,GJ$169,1+SwaptionShift):INDEX($FK$325:$ID$396,GJ$169,SwaptionMonthsToGo+SwaptionShift))))))</f>
        <v/>
      </c>
      <c r="GK187" s="150" t="str">
        <f aca="false">IF(OR(GK$169&lt;SwaptionFirstMonthPosition+1,$FJ187&lt;SwaptionFirstMonthPosition+1,GK$169&gt;SwaptionFirstMonthPosition+SwaptionNumOfMonths+1,$FJ187&gt;SwaptionFirstMonthPosition+SwaptionNumOfMonths+1),"",IF($FJ187=GK$169,1,IF($FJ187&lt;GK$169,INDEX($FK$170:$ID$241,GK$169,$FJ187),SUMPRODUCT(INDEX($FK$325:$ID$396,GK$169,1+SwaptionShift):INDEX($FK$325:$ID$396,GK$169,SwaptionMonthsToGo+SwaptionShift),INDEX($FK$245:$ID$316,$FJ187-GK$169,73-GK$169+SwaptionShift):INDEX($FK$245:$ID$316,$FJ187-GK$169,72-GK$169+SwaptionMonthsToGo+SwaptionShift))/SQRT(SUM(INDEX($FK342:$ID342,1+SwaptionShift):INDEX($FK342:$ID342,SwaptionMonthsToGo+SwaptionShift))*SUM(INDEX($FK$325:$ID$396,GK$169,1+SwaptionShift):INDEX($FK$325:$ID$396,GK$169,SwaptionMonthsToGo+SwaptionShift))))))</f>
        <v/>
      </c>
      <c r="GL187" s="150" t="str">
        <f aca="false">IF(OR(GL$169&lt;SwaptionFirstMonthPosition+1,$FJ187&lt;SwaptionFirstMonthPosition+1,GL$169&gt;SwaptionFirstMonthPosition+SwaptionNumOfMonths+1,$FJ187&gt;SwaptionFirstMonthPosition+SwaptionNumOfMonths+1),"",IF($FJ187=GL$169,1,IF($FJ187&lt;GL$169,INDEX($FK$170:$ID$241,GL$169,$FJ187),SUMPRODUCT(INDEX($FK$325:$ID$396,GL$169,1+SwaptionShift):INDEX($FK$325:$ID$396,GL$169,SwaptionMonthsToGo+SwaptionShift),INDEX($FK$245:$ID$316,$FJ187-GL$169,73-GL$169+SwaptionShift):INDEX($FK$245:$ID$316,$FJ187-GL$169,72-GL$169+SwaptionMonthsToGo+SwaptionShift))/SQRT(SUM(INDEX($FK342:$ID342,1+SwaptionShift):INDEX($FK342:$ID342,SwaptionMonthsToGo+SwaptionShift))*SUM(INDEX($FK$325:$ID$396,GL$169,1+SwaptionShift):INDEX($FK$325:$ID$396,GL$169,SwaptionMonthsToGo+SwaptionShift))))))</f>
        <v/>
      </c>
      <c r="GM187" s="150" t="str">
        <f aca="false">IF(OR(GM$169&lt;SwaptionFirstMonthPosition+1,$FJ187&lt;SwaptionFirstMonthPosition+1,GM$169&gt;SwaptionFirstMonthPosition+SwaptionNumOfMonths+1,$FJ187&gt;SwaptionFirstMonthPosition+SwaptionNumOfMonths+1),"",IF($FJ187=GM$169,1,IF($FJ187&lt;GM$169,INDEX($FK$170:$ID$241,GM$169,$FJ187),SUMPRODUCT(INDEX($FK$325:$ID$396,GM$169,1+SwaptionShift):INDEX($FK$325:$ID$396,GM$169,SwaptionMonthsToGo+SwaptionShift),INDEX($FK$245:$ID$316,$FJ187-GM$169,73-GM$169+SwaptionShift):INDEX($FK$245:$ID$316,$FJ187-GM$169,72-GM$169+SwaptionMonthsToGo+SwaptionShift))/SQRT(SUM(INDEX($FK342:$ID342,1+SwaptionShift):INDEX($FK342:$ID342,SwaptionMonthsToGo+SwaptionShift))*SUM(INDEX($FK$325:$ID$396,GM$169,1+SwaptionShift):INDEX($FK$325:$ID$396,GM$169,SwaptionMonthsToGo+SwaptionShift))))))</f>
        <v/>
      </c>
      <c r="GN187" s="150" t="str">
        <f aca="false">IF(OR(GN$169&lt;SwaptionFirstMonthPosition+1,$FJ187&lt;SwaptionFirstMonthPosition+1,GN$169&gt;SwaptionFirstMonthPosition+SwaptionNumOfMonths+1,$FJ187&gt;SwaptionFirstMonthPosition+SwaptionNumOfMonths+1),"",IF($FJ187=GN$169,1,IF($FJ187&lt;GN$169,INDEX($FK$170:$ID$241,GN$169,$FJ187),SUMPRODUCT(INDEX($FK$325:$ID$396,GN$169,1+SwaptionShift):INDEX($FK$325:$ID$396,GN$169,SwaptionMonthsToGo+SwaptionShift),INDEX($FK$245:$ID$316,$FJ187-GN$169,73-GN$169+SwaptionShift):INDEX($FK$245:$ID$316,$FJ187-GN$169,72-GN$169+SwaptionMonthsToGo+SwaptionShift))/SQRT(SUM(INDEX($FK342:$ID342,1+SwaptionShift):INDEX($FK342:$ID342,SwaptionMonthsToGo+SwaptionShift))*SUM(INDEX($FK$325:$ID$396,GN$169,1+SwaptionShift):INDEX($FK$325:$ID$396,GN$169,SwaptionMonthsToGo+SwaptionShift))))))</f>
        <v/>
      </c>
      <c r="GO187" s="150" t="str">
        <f aca="false">IF(OR(GO$169&lt;SwaptionFirstMonthPosition+1,$FJ187&lt;SwaptionFirstMonthPosition+1,GO$169&gt;SwaptionFirstMonthPosition+SwaptionNumOfMonths+1,$FJ187&gt;SwaptionFirstMonthPosition+SwaptionNumOfMonths+1),"",IF($FJ187=GO$169,1,IF($FJ187&lt;GO$169,INDEX($FK$170:$ID$241,GO$169,$FJ187),SUMPRODUCT(INDEX($FK$325:$ID$396,GO$169,1+SwaptionShift):INDEX($FK$325:$ID$396,GO$169,SwaptionMonthsToGo+SwaptionShift),INDEX($FK$245:$ID$316,$FJ187-GO$169,73-GO$169+SwaptionShift):INDEX($FK$245:$ID$316,$FJ187-GO$169,72-GO$169+SwaptionMonthsToGo+SwaptionShift))/SQRT(SUM(INDEX($FK342:$ID342,1+SwaptionShift):INDEX($FK342:$ID342,SwaptionMonthsToGo+SwaptionShift))*SUM(INDEX($FK$325:$ID$396,GO$169,1+SwaptionShift):INDEX($FK$325:$ID$396,GO$169,SwaptionMonthsToGo+SwaptionShift))))))</f>
        <v/>
      </c>
      <c r="GP187" s="150" t="str">
        <f aca="false">IF(OR(GP$169&lt;SwaptionFirstMonthPosition+1,$FJ187&lt;SwaptionFirstMonthPosition+1,GP$169&gt;SwaptionFirstMonthPosition+SwaptionNumOfMonths+1,$FJ187&gt;SwaptionFirstMonthPosition+SwaptionNumOfMonths+1),"",IF($FJ187=GP$169,1,IF($FJ187&lt;GP$169,INDEX($FK$170:$ID$241,GP$169,$FJ187),SUMPRODUCT(INDEX($FK$325:$ID$396,GP$169,1+SwaptionShift):INDEX($FK$325:$ID$396,GP$169,SwaptionMonthsToGo+SwaptionShift),INDEX($FK$245:$ID$316,$FJ187-GP$169,73-GP$169+SwaptionShift):INDEX($FK$245:$ID$316,$FJ187-GP$169,72-GP$169+SwaptionMonthsToGo+SwaptionShift))/SQRT(SUM(INDEX($FK342:$ID342,1+SwaptionShift):INDEX($FK342:$ID342,SwaptionMonthsToGo+SwaptionShift))*SUM(INDEX($FK$325:$ID$396,GP$169,1+SwaptionShift):INDEX($FK$325:$ID$396,GP$169,SwaptionMonthsToGo+SwaptionShift))))))</f>
        <v/>
      </c>
      <c r="GQ187" s="150" t="str">
        <f aca="false">IF(OR(GQ$169&lt;SwaptionFirstMonthPosition+1,$FJ187&lt;SwaptionFirstMonthPosition+1,GQ$169&gt;SwaptionFirstMonthPosition+SwaptionNumOfMonths+1,$FJ187&gt;SwaptionFirstMonthPosition+SwaptionNumOfMonths+1),"",IF($FJ187=GQ$169,1,IF($FJ187&lt;GQ$169,INDEX($FK$170:$ID$241,GQ$169,$FJ187),SUMPRODUCT(INDEX($FK$325:$ID$396,GQ$169,1+SwaptionShift):INDEX($FK$325:$ID$396,GQ$169,SwaptionMonthsToGo+SwaptionShift),INDEX($FK$245:$ID$316,$FJ187-GQ$169,73-GQ$169+SwaptionShift):INDEX($FK$245:$ID$316,$FJ187-GQ$169,72-GQ$169+SwaptionMonthsToGo+SwaptionShift))/SQRT(SUM(INDEX($FK342:$ID342,1+SwaptionShift):INDEX($FK342:$ID342,SwaptionMonthsToGo+SwaptionShift))*SUM(INDEX($FK$325:$ID$396,GQ$169,1+SwaptionShift):INDEX($FK$325:$ID$396,GQ$169,SwaptionMonthsToGo+SwaptionShift))))))</f>
        <v/>
      </c>
      <c r="GR187" s="150" t="str">
        <f aca="false">IF(OR(GR$169&lt;SwaptionFirstMonthPosition+1,$FJ187&lt;SwaptionFirstMonthPosition+1,GR$169&gt;SwaptionFirstMonthPosition+SwaptionNumOfMonths+1,$FJ187&gt;SwaptionFirstMonthPosition+SwaptionNumOfMonths+1),"",IF($FJ187=GR$169,1,IF($FJ187&lt;GR$169,INDEX($FK$170:$ID$241,GR$169,$FJ187),SUMPRODUCT(INDEX($FK$325:$ID$396,GR$169,1+SwaptionShift):INDEX($FK$325:$ID$396,GR$169,SwaptionMonthsToGo+SwaptionShift),INDEX($FK$245:$ID$316,$FJ187-GR$169,73-GR$169+SwaptionShift):INDEX($FK$245:$ID$316,$FJ187-GR$169,72-GR$169+SwaptionMonthsToGo+SwaptionShift))/SQRT(SUM(INDEX($FK342:$ID342,1+SwaptionShift):INDEX($FK342:$ID342,SwaptionMonthsToGo+SwaptionShift))*SUM(INDEX($FK$325:$ID$396,GR$169,1+SwaptionShift):INDEX($FK$325:$ID$396,GR$169,SwaptionMonthsToGo+SwaptionShift))))))</f>
        <v/>
      </c>
      <c r="GS187" s="150" t="str">
        <f aca="false">IF(OR(GS$169&lt;SwaptionFirstMonthPosition+1,$FJ187&lt;SwaptionFirstMonthPosition+1,GS$169&gt;SwaptionFirstMonthPosition+SwaptionNumOfMonths+1,$FJ187&gt;SwaptionFirstMonthPosition+SwaptionNumOfMonths+1),"",IF($FJ187=GS$169,1,IF($FJ187&lt;GS$169,INDEX($FK$170:$ID$241,GS$169,$FJ187),SUMPRODUCT(INDEX($FK$325:$ID$396,GS$169,1+SwaptionShift):INDEX($FK$325:$ID$396,GS$169,SwaptionMonthsToGo+SwaptionShift),INDEX($FK$245:$ID$316,$FJ187-GS$169,73-GS$169+SwaptionShift):INDEX($FK$245:$ID$316,$FJ187-GS$169,72-GS$169+SwaptionMonthsToGo+SwaptionShift))/SQRT(SUM(INDEX($FK342:$ID342,1+SwaptionShift):INDEX($FK342:$ID342,SwaptionMonthsToGo+SwaptionShift))*SUM(INDEX($FK$325:$ID$396,GS$169,1+SwaptionShift):INDEX($FK$325:$ID$396,GS$169,SwaptionMonthsToGo+SwaptionShift))))))</f>
        <v/>
      </c>
      <c r="GT187" s="150" t="str">
        <f aca="false">IF(OR(GT$169&lt;SwaptionFirstMonthPosition+1,$FJ187&lt;SwaptionFirstMonthPosition+1,GT$169&gt;SwaptionFirstMonthPosition+SwaptionNumOfMonths+1,$FJ187&gt;SwaptionFirstMonthPosition+SwaptionNumOfMonths+1),"",IF($FJ187=GT$169,1,IF($FJ187&lt;GT$169,INDEX($FK$170:$ID$241,GT$169,$FJ187),SUMPRODUCT(INDEX($FK$325:$ID$396,GT$169,1+SwaptionShift):INDEX($FK$325:$ID$396,GT$169,SwaptionMonthsToGo+SwaptionShift),INDEX($FK$245:$ID$316,$FJ187-GT$169,73-GT$169+SwaptionShift):INDEX($FK$245:$ID$316,$FJ187-GT$169,72-GT$169+SwaptionMonthsToGo+SwaptionShift))/SQRT(SUM(INDEX($FK342:$ID342,1+SwaptionShift):INDEX($FK342:$ID342,SwaptionMonthsToGo+SwaptionShift))*SUM(INDEX($FK$325:$ID$396,GT$169,1+SwaptionShift):INDEX($FK$325:$ID$396,GT$169,SwaptionMonthsToGo+SwaptionShift))))))</f>
        <v/>
      </c>
      <c r="GU187" s="150" t="str">
        <f aca="false">IF(OR(GU$169&lt;SwaptionFirstMonthPosition+1,$FJ187&lt;SwaptionFirstMonthPosition+1,GU$169&gt;SwaptionFirstMonthPosition+SwaptionNumOfMonths+1,$FJ187&gt;SwaptionFirstMonthPosition+SwaptionNumOfMonths+1),"",IF($FJ187=GU$169,1,IF($FJ187&lt;GU$169,INDEX($FK$170:$ID$241,GU$169,$FJ187),SUMPRODUCT(INDEX($FK$325:$ID$396,GU$169,1+SwaptionShift):INDEX($FK$325:$ID$396,GU$169,SwaptionMonthsToGo+SwaptionShift),INDEX($FK$245:$ID$316,$FJ187-GU$169,73-GU$169+SwaptionShift):INDEX($FK$245:$ID$316,$FJ187-GU$169,72-GU$169+SwaptionMonthsToGo+SwaptionShift))/SQRT(SUM(INDEX($FK342:$ID342,1+SwaptionShift):INDEX($FK342:$ID342,SwaptionMonthsToGo+SwaptionShift))*SUM(INDEX($FK$325:$ID$396,GU$169,1+SwaptionShift):INDEX($FK$325:$ID$396,GU$169,SwaptionMonthsToGo+SwaptionShift))))))</f>
        <v/>
      </c>
      <c r="GV187" s="150" t="str">
        <f aca="false">IF(OR(GV$169&lt;SwaptionFirstMonthPosition+1,$FJ187&lt;SwaptionFirstMonthPosition+1,GV$169&gt;SwaptionFirstMonthPosition+SwaptionNumOfMonths+1,$FJ187&gt;SwaptionFirstMonthPosition+SwaptionNumOfMonths+1),"",IF($FJ187=GV$169,1,IF($FJ187&lt;GV$169,INDEX($FK$170:$ID$241,GV$169,$FJ187),SUMPRODUCT(INDEX($FK$325:$ID$396,GV$169,1+SwaptionShift):INDEX($FK$325:$ID$396,GV$169,SwaptionMonthsToGo+SwaptionShift),INDEX($FK$245:$ID$316,$FJ187-GV$169,73-GV$169+SwaptionShift):INDEX($FK$245:$ID$316,$FJ187-GV$169,72-GV$169+SwaptionMonthsToGo+SwaptionShift))/SQRT(SUM(INDEX($FK342:$ID342,1+SwaptionShift):INDEX($FK342:$ID342,SwaptionMonthsToGo+SwaptionShift))*SUM(INDEX($FK$325:$ID$396,GV$169,1+SwaptionShift):INDEX($FK$325:$ID$396,GV$169,SwaptionMonthsToGo+SwaptionShift))))))</f>
        <v/>
      </c>
      <c r="GW187" s="150" t="str">
        <f aca="false">IF(OR(GW$169&lt;SwaptionFirstMonthPosition+1,$FJ187&lt;SwaptionFirstMonthPosition+1,GW$169&gt;SwaptionFirstMonthPosition+SwaptionNumOfMonths+1,$FJ187&gt;SwaptionFirstMonthPosition+SwaptionNumOfMonths+1),"",IF($FJ187=GW$169,1,IF($FJ187&lt;GW$169,INDEX($FK$170:$ID$241,GW$169,$FJ187),SUMPRODUCT(INDEX($FK$325:$ID$396,GW$169,1+SwaptionShift):INDEX($FK$325:$ID$396,GW$169,SwaptionMonthsToGo+SwaptionShift),INDEX($FK$245:$ID$316,$FJ187-GW$169,73-GW$169+SwaptionShift):INDEX($FK$245:$ID$316,$FJ187-GW$169,72-GW$169+SwaptionMonthsToGo+SwaptionShift))/SQRT(SUM(INDEX($FK342:$ID342,1+SwaptionShift):INDEX($FK342:$ID342,SwaptionMonthsToGo+SwaptionShift))*SUM(INDEX($FK$325:$ID$396,GW$169,1+SwaptionShift):INDEX($FK$325:$ID$396,GW$169,SwaptionMonthsToGo+SwaptionShift))))))</f>
        <v/>
      </c>
      <c r="GX187" s="150" t="str">
        <f aca="false">IF(OR(GX$169&lt;SwaptionFirstMonthPosition+1,$FJ187&lt;SwaptionFirstMonthPosition+1,GX$169&gt;SwaptionFirstMonthPosition+SwaptionNumOfMonths+1,$FJ187&gt;SwaptionFirstMonthPosition+SwaptionNumOfMonths+1),"",IF($FJ187=GX$169,1,IF($FJ187&lt;GX$169,INDEX($FK$170:$ID$241,GX$169,$FJ187),SUMPRODUCT(INDEX($FK$325:$ID$396,GX$169,1+SwaptionShift):INDEX($FK$325:$ID$396,GX$169,SwaptionMonthsToGo+SwaptionShift),INDEX($FK$245:$ID$316,$FJ187-GX$169,73-GX$169+SwaptionShift):INDEX($FK$245:$ID$316,$FJ187-GX$169,72-GX$169+SwaptionMonthsToGo+SwaptionShift))/SQRT(SUM(INDEX($FK342:$ID342,1+SwaptionShift):INDEX($FK342:$ID342,SwaptionMonthsToGo+SwaptionShift))*SUM(INDEX($FK$325:$ID$396,GX$169,1+SwaptionShift):INDEX($FK$325:$ID$396,GX$169,SwaptionMonthsToGo+SwaptionShift))))))</f>
        <v/>
      </c>
      <c r="GY187" s="150" t="str">
        <f aca="false">IF(OR(GY$169&lt;SwaptionFirstMonthPosition+1,$FJ187&lt;SwaptionFirstMonthPosition+1,GY$169&gt;SwaptionFirstMonthPosition+SwaptionNumOfMonths+1,$FJ187&gt;SwaptionFirstMonthPosition+SwaptionNumOfMonths+1),"",IF($FJ187=GY$169,1,IF($FJ187&lt;GY$169,INDEX($FK$170:$ID$241,GY$169,$FJ187),SUMPRODUCT(INDEX($FK$325:$ID$396,GY$169,1+SwaptionShift):INDEX($FK$325:$ID$396,GY$169,SwaptionMonthsToGo+SwaptionShift),INDEX($FK$245:$ID$316,$FJ187-GY$169,73-GY$169+SwaptionShift):INDEX($FK$245:$ID$316,$FJ187-GY$169,72-GY$169+SwaptionMonthsToGo+SwaptionShift))/SQRT(SUM(INDEX($FK342:$ID342,1+SwaptionShift):INDEX($FK342:$ID342,SwaptionMonthsToGo+SwaptionShift))*SUM(INDEX($FK$325:$ID$396,GY$169,1+SwaptionShift):INDEX($FK$325:$ID$396,GY$169,SwaptionMonthsToGo+SwaptionShift))))))</f>
        <v/>
      </c>
      <c r="GZ187" s="150" t="str">
        <f aca="false">IF(OR(GZ$169&lt;SwaptionFirstMonthPosition+1,$FJ187&lt;SwaptionFirstMonthPosition+1,GZ$169&gt;SwaptionFirstMonthPosition+SwaptionNumOfMonths+1,$FJ187&gt;SwaptionFirstMonthPosition+SwaptionNumOfMonths+1),"",IF($FJ187=GZ$169,1,IF($FJ187&lt;GZ$169,INDEX($FK$170:$ID$241,GZ$169,$FJ187),SUMPRODUCT(INDEX($FK$325:$ID$396,GZ$169,1+SwaptionShift):INDEX($FK$325:$ID$396,GZ$169,SwaptionMonthsToGo+SwaptionShift),INDEX($FK$245:$ID$316,$FJ187-GZ$169,73-GZ$169+SwaptionShift):INDEX($FK$245:$ID$316,$FJ187-GZ$169,72-GZ$169+SwaptionMonthsToGo+SwaptionShift))/SQRT(SUM(INDEX($FK342:$ID342,1+SwaptionShift):INDEX($FK342:$ID342,SwaptionMonthsToGo+SwaptionShift))*SUM(INDEX($FK$325:$ID$396,GZ$169,1+SwaptionShift):INDEX($FK$325:$ID$396,GZ$169,SwaptionMonthsToGo+SwaptionShift))))))</f>
        <v/>
      </c>
      <c r="HA187" s="150" t="str">
        <f aca="false">IF(OR(HA$169&lt;SwaptionFirstMonthPosition+1,$FJ187&lt;SwaptionFirstMonthPosition+1,HA$169&gt;SwaptionFirstMonthPosition+SwaptionNumOfMonths+1,$FJ187&gt;SwaptionFirstMonthPosition+SwaptionNumOfMonths+1),"",IF($FJ187=HA$169,1,IF($FJ187&lt;HA$169,INDEX($FK$170:$ID$241,HA$169,$FJ187),SUMPRODUCT(INDEX($FK$325:$ID$396,HA$169,1+SwaptionShift):INDEX($FK$325:$ID$396,HA$169,SwaptionMonthsToGo+SwaptionShift),INDEX($FK$245:$ID$316,$FJ187-HA$169,73-HA$169+SwaptionShift):INDEX($FK$245:$ID$316,$FJ187-HA$169,72-HA$169+SwaptionMonthsToGo+SwaptionShift))/SQRT(SUM(INDEX($FK342:$ID342,1+SwaptionShift):INDEX($FK342:$ID342,SwaptionMonthsToGo+SwaptionShift))*SUM(INDEX($FK$325:$ID$396,HA$169,1+SwaptionShift):INDEX($FK$325:$ID$396,HA$169,SwaptionMonthsToGo+SwaptionShift))))))</f>
        <v/>
      </c>
      <c r="HB187" s="150" t="str">
        <f aca="false">IF(OR(HB$169&lt;SwaptionFirstMonthPosition+1,$FJ187&lt;SwaptionFirstMonthPosition+1,HB$169&gt;SwaptionFirstMonthPosition+SwaptionNumOfMonths+1,$FJ187&gt;SwaptionFirstMonthPosition+SwaptionNumOfMonths+1),"",IF($FJ187=HB$169,1,IF($FJ187&lt;HB$169,INDEX($FK$170:$ID$241,HB$169,$FJ187),SUMPRODUCT(INDEX($FK$325:$ID$396,HB$169,1+SwaptionShift):INDEX($FK$325:$ID$396,HB$169,SwaptionMonthsToGo+SwaptionShift),INDEX($FK$245:$ID$316,$FJ187-HB$169,73-HB$169+SwaptionShift):INDEX($FK$245:$ID$316,$FJ187-HB$169,72-HB$169+SwaptionMonthsToGo+SwaptionShift))/SQRT(SUM(INDEX($FK342:$ID342,1+SwaptionShift):INDEX($FK342:$ID342,SwaptionMonthsToGo+SwaptionShift))*SUM(INDEX($FK$325:$ID$396,HB$169,1+SwaptionShift):INDEX($FK$325:$ID$396,HB$169,SwaptionMonthsToGo+SwaptionShift))))))</f>
        <v/>
      </c>
      <c r="HC187" s="150" t="str">
        <f aca="false">IF(OR(HC$169&lt;SwaptionFirstMonthPosition+1,$FJ187&lt;SwaptionFirstMonthPosition+1,HC$169&gt;SwaptionFirstMonthPosition+SwaptionNumOfMonths+1,$FJ187&gt;SwaptionFirstMonthPosition+SwaptionNumOfMonths+1),"",IF($FJ187=HC$169,1,IF($FJ187&lt;HC$169,INDEX($FK$170:$ID$241,HC$169,$FJ187),SUMPRODUCT(INDEX($FK$325:$ID$396,HC$169,1+SwaptionShift):INDEX($FK$325:$ID$396,HC$169,SwaptionMonthsToGo+SwaptionShift),INDEX($FK$245:$ID$316,$FJ187-HC$169,73-HC$169+SwaptionShift):INDEX($FK$245:$ID$316,$FJ187-HC$169,72-HC$169+SwaptionMonthsToGo+SwaptionShift))/SQRT(SUM(INDEX($FK342:$ID342,1+SwaptionShift):INDEX($FK342:$ID342,SwaptionMonthsToGo+SwaptionShift))*SUM(INDEX($FK$325:$ID$396,HC$169,1+SwaptionShift):INDEX($FK$325:$ID$396,HC$169,SwaptionMonthsToGo+SwaptionShift))))))</f>
        <v/>
      </c>
      <c r="HD187" s="150" t="str">
        <f aca="false">IF(OR(HD$169&lt;SwaptionFirstMonthPosition+1,$FJ187&lt;SwaptionFirstMonthPosition+1,HD$169&gt;SwaptionFirstMonthPosition+SwaptionNumOfMonths+1,$FJ187&gt;SwaptionFirstMonthPosition+SwaptionNumOfMonths+1),"",IF($FJ187=HD$169,1,IF($FJ187&lt;HD$169,INDEX($FK$170:$ID$241,HD$169,$FJ187),SUMPRODUCT(INDEX($FK$325:$ID$396,HD$169,1+SwaptionShift):INDEX($FK$325:$ID$396,HD$169,SwaptionMonthsToGo+SwaptionShift),INDEX($FK$245:$ID$316,$FJ187-HD$169,73-HD$169+SwaptionShift):INDEX($FK$245:$ID$316,$FJ187-HD$169,72-HD$169+SwaptionMonthsToGo+SwaptionShift))/SQRT(SUM(INDEX($FK342:$ID342,1+SwaptionShift):INDEX($FK342:$ID342,SwaptionMonthsToGo+SwaptionShift))*SUM(INDEX($FK$325:$ID$396,HD$169,1+SwaptionShift):INDEX($FK$325:$ID$396,HD$169,SwaptionMonthsToGo+SwaptionShift))))))</f>
        <v/>
      </c>
      <c r="HE187" s="150" t="str">
        <f aca="false">IF(OR(HE$169&lt;SwaptionFirstMonthPosition+1,$FJ187&lt;SwaptionFirstMonthPosition+1,HE$169&gt;SwaptionFirstMonthPosition+SwaptionNumOfMonths+1,$FJ187&gt;SwaptionFirstMonthPosition+SwaptionNumOfMonths+1),"",IF($FJ187=HE$169,1,IF($FJ187&lt;HE$169,INDEX($FK$170:$ID$241,HE$169,$FJ187),SUMPRODUCT(INDEX($FK$325:$ID$396,HE$169,1+SwaptionShift):INDEX($FK$325:$ID$396,HE$169,SwaptionMonthsToGo+SwaptionShift),INDEX($FK$245:$ID$316,$FJ187-HE$169,73-HE$169+SwaptionShift):INDEX($FK$245:$ID$316,$FJ187-HE$169,72-HE$169+SwaptionMonthsToGo+SwaptionShift))/SQRT(SUM(INDEX($FK342:$ID342,1+SwaptionShift):INDEX($FK342:$ID342,SwaptionMonthsToGo+SwaptionShift))*SUM(INDEX($FK$325:$ID$396,HE$169,1+SwaptionShift):INDEX($FK$325:$ID$396,HE$169,SwaptionMonthsToGo+SwaptionShift))))))</f>
        <v/>
      </c>
      <c r="HF187" s="150" t="str">
        <f aca="false">IF(OR(HF$169&lt;SwaptionFirstMonthPosition+1,$FJ187&lt;SwaptionFirstMonthPosition+1,HF$169&gt;SwaptionFirstMonthPosition+SwaptionNumOfMonths+1,$FJ187&gt;SwaptionFirstMonthPosition+SwaptionNumOfMonths+1),"",IF($FJ187=HF$169,1,IF($FJ187&lt;HF$169,INDEX($FK$170:$ID$241,HF$169,$FJ187),SUMPRODUCT(INDEX($FK$325:$ID$396,HF$169,1+SwaptionShift):INDEX($FK$325:$ID$396,HF$169,SwaptionMonthsToGo+SwaptionShift),INDEX($FK$245:$ID$316,$FJ187-HF$169,73-HF$169+SwaptionShift):INDEX($FK$245:$ID$316,$FJ187-HF$169,72-HF$169+SwaptionMonthsToGo+SwaptionShift))/SQRT(SUM(INDEX($FK342:$ID342,1+SwaptionShift):INDEX($FK342:$ID342,SwaptionMonthsToGo+SwaptionShift))*SUM(INDEX($FK$325:$ID$396,HF$169,1+SwaptionShift):INDEX($FK$325:$ID$396,HF$169,SwaptionMonthsToGo+SwaptionShift))))))</f>
        <v/>
      </c>
      <c r="HG187" s="150" t="str">
        <f aca="false">IF(OR(HG$169&lt;SwaptionFirstMonthPosition+1,$FJ187&lt;SwaptionFirstMonthPosition+1,HG$169&gt;SwaptionFirstMonthPosition+SwaptionNumOfMonths+1,$FJ187&gt;SwaptionFirstMonthPosition+SwaptionNumOfMonths+1),"",IF($FJ187=HG$169,1,IF($FJ187&lt;HG$169,INDEX($FK$170:$ID$241,HG$169,$FJ187),SUMPRODUCT(INDEX($FK$325:$ID$396,HG$169,1+SwaptionShift):INDEX($FK$325:$ID$396,HG$169,SwaptionMonthsToGo+SwaptionShift),INDEX($FK$245:$ID$316,$FJ187-HG$169,73-HG$169+SwaptionShift):INDEX($FK$245:$ID$316,$FJ187-HG$169,72-HG$169+SwaptionMonthsToGo+SwaptionShift))/SQRT(SUM(INDEX($FK342:$ID342,1+SwaptionShift):INDEX($FK342:$ID342,SwaptionMonthsToGo+SwaptionShift))*SUM(INDEX($FK$325:$ID$396,HG$169,1+SwaptionShift):INDEX($FK$325:$ID$396,HG$169,SwaptionMonthsToGo+SwaptionShift))))))</f>
        <v/>
      </c>
      <c r="HH187" s="150" t="str">
        <f aca="false">IF(OR(HH$169&lt;SwaptionFirstMonthPosition+1,$FJ187&lt;SwaptionFirstMonthPosition+1,HH$169&gt;SwaptionFirstMonthPosition+SwaptionNumOfMonths+1,$FJ187&gt;SwaptionFirstMonthPosition+SwaptionNumOfMonths+1),"",IF($FJ187=HH$169,1,IF($FJ187&lt;HH$169,INDEX($FK$170:$ID$241,HH$169,$FJ187),SUMPRODUCT(INDEX($FK$325:$ID$396,HH$169,1+SwaptionShift):INDEX($FK$325:$ID$396,HH$169,SwaptionMonthsToGo+SwaptionShift),INDEX($FK$245:$ID$316,$FJ187-HH$169,73-HH$169+SwaptionShift):INDEX($FK$245:$ID$316,$FJ187-HH$169,72-HH$169+SwaptionMonthsToGo+SwaptionShift))/SQRT(SUM(INDEX($FK342:$ID342,1+SwaptionShift):INDEX($FK342:$ID342,SwaptionMonthsToGo+SwaptionShift))*SUM(INDEX($FK$325:$ID$396,HH$169,1+SwaptionShift):INDEX($FK$325:$ID$396,HH$169,SwaptionMonthsToGo+SwaptionShift))))))</f>
        <v/>
      </c>
      <c r="HI187" s="150" t="str">
        <f aca="false">IF(OR(HI$169&lt;SwaptionFirstMonthPosition+1,$FJ187&lt;SwaptionFirstMonthPosition+1,HI$169&gt;SwaptionFirstMonthPosition+SwaptionNumOfMonths+1,$FJ187&gt;SwaptionFirstMonthPosition+SwaptionNumOfMonths+1),"",IF($FJ187=HI$169,1,IF($FJ187&lt;HI$169,INDEX($FK$170:$ID$241,HI$169,$FJ187),SUMPRODUCT(INDEX($FK$325:$ID$396,HI$169,1+SwaptionShift):INDEX($FK$325:$ID$396,HI$169,SwaptionMonthsToGo+SwaptionShift),INDEX($FK$245:$ID$316,$FJ187-HI$169,73-HI$169+SwaptionShift):INDEX($FK$245:$ID$316,$FJ187-HI$169,72-HI$169+SwaptionMonthsToGo+SwaptionShift))/SQRT(SUM(INDEX($FK342:$ID342,1+SwaptionShift):INDEX($FK342:$ID342,SwaptionMonthsToGo+SwaptionShift))*SUM(INDEX($FK$325:$ID$396,HI$169,1+SwaptionShift):INDEX($FK$325:$ID$396,HI$169,SwaptionMonthsToGo+SwaptionShift))))))</f>
        <v/>
      </c>
      <c r="HJ187" s="150" t="str">
        <f aca="false">IF(OR(HJ$169&lt;SwaptionFirstMonthPosition+1,$FJ187&lt;SwaptionFirstMonthPosition+1,HJ$169&gt;SwaptionFirstMonthPosition+SwaptionNumOfMonths+1,$FJ187&gt;SwaptionFirstMonthPosition+SwaptionNumOfMonths+1),"",IF($FJ187=HJ$169,1,IF($FJ187&lt;HJ$169,INDEX($FK$170:$ID$241,HJ$169,$FJ187),SUMPRODUCT(INDEX($FK$325:$ID$396,HJ$169,1+SwaptionShift):INDEX($FK$325:$ID$396,HJ$169,SwaptionMonthsToGo+SwaptionShift),INDEX($FK$245:$ID$316,$FJ187-HJ$169,73-HJ$169+SwaptionShift):INDEX($FK$245:$ID$316,$FJ187-HJ$169,72-HJ$169+SwaptionMonthsToGo+SwaptionShift))/SQRT(SUM(INDEX($FK342:$ID342,1+SwaptionShift):INDEX($FK342:$ID342,SwaptionMonthsToGo+SwaptionShift))*SUM(INDEX($FK$325:$ID$396,HJ$169,1+SwaptionShift):INDEX($FK$325:$ID$396,HJ$169,SwaptionMonthsToGo+SwaptionShift))))))</f>
        <v/>
      </c>
      <c r="HK187" s="150" t="str">
        <f aca="false">IF(OR(HK$169&lt;SwaptionFirstMonthPosition+1,$FJ187&lt;SwaptionFirstMonthPosition+1,HK$169&gt;SwaptionFirstMonthPosition+SwaptionNumOfMonths+1,$FJ187&gt;SwaptionFirstMonthPosition+SwaptionNumOfMonths+1),"",IF($FJ187=HK$169,1,IF($FJ187&lt;HK$169,INDEX($FK$170:$ID$241,HK$169,$FJ187),SUMPRODUCT(INDEX($FK$325:$ID$396,HK$169,1+SwaptionShift):INDEX($FK$325:$ID$396,HK$169,SwaptionMonthsToGo+SwaptionShift),INDEX($FK$245:$ID$316,$FJ187-HK$169,73-HK$169+SwaptionShift):INDEX($FK$245:$ID$316,$FJ187-HK$169,72-HK$169+SwaptionMonthsToGo+SwaptionShift))/SQRT(SUM(INDEX($FK342:$ID342,1+SwaptionShift):INDEX($FK342:$ID342,SwaptionMonthsToGo+SwaptionShift))*SUM(INDEX($FK$325:$ID$396,HK$169,1+SwaptionShift):INDEX($FK$325:$ID$396,HK$169,SwaptionMonthsToGo+SwaptionShift))))))</f>
        <v/>
      </c>
      <c r="HL187" s="150" t="str">
        <f aca="false">IF(OR(HL$169&lt;SwaptionFirstMonthPosition+1,$FJ187&lt;SwaptionFirstMonthPosition+1,HL$169&gt;SwaptionFirstMonthPosition+SwaptionNumOfMonths+1,$FJ187&gt;SwaptionFirstMonthPosition+SwaptionNumOfMonths+1),"",IF($FJ187=HL$169,1,IF($FJ187&lt;HL$169,INDEX($FK$170:$ID$241,HL$169,$FJ187),SUMPRODUCT(INDEX($FK$325:$ID$396,HL$169,1+SwaptionShift):INDEX($FK$325:$ID$396,HL$169,SwaptionMonthsToGo+SwaptionShift),INDEX($FK$245:$ID$316,$FJ187-HL$169,73-HL$169+SwaptionShift):INDEX($FK$245:$ID$316,$FJ187-HL$169,72-HL$169+SwaptionMonthsToGo+SwaptionShift))/SQRT(SUM(INDEX($FK342:$ID342,1+SwaptionShift):INDEX($FK342:$ID342,SwaptionMonthsToGo+SwaptionShift))*SUM(INDEX($FK$325:$ID$396,HL$169,1+SwaptionShift):INDEX($FK$325:$ID$396,HL$169,SwaptionMonthsToGo+SwaptionShift))))))</f>
        <v/>
      </c>
      <c r="HM187" s="150" t="str">
        <f aca="false">IF(OR(HM$169&lt;SwaptionFirstMonthPosition+1,$FJ187&lt;SwaptionFirstMonthPosition+1,HM$169&gt;SwaptionFirstMonthPosition+SwaptionNumOfMonths+1,$FJ187&gt;SwaptionFirstMonthPosition+SwaptionNumOfMonths+1),"",IF($FJ187=HM$169,1,IF($FJ187&lt;HM$169,INDEX($FK$170:$ID$241,HM$169,$FJ187),SUMPRODUCT(INDEX($FK$325:$ID$396,HM$169,1+SwaptionShift):INDEX($FK$325:$ID$396,HM$169,SwaptionMonthsToGo+SwaptionShift),INDEX($FK$245:$ID$316,$FJ187-HM$169,73-HM$169+SwaptionShift):INDEX($FK$245:$ID$316,$FJ187-HM$169,72-HM$169+SwaptionMonthsToGo+SwaptionShift))/SQRT(SUM(INDEX($FK342:$ID342,1+SwaptionShift):INDEX($FK342:$ID342,SwaptionMonthsToGo+SwaptionShift))*SUM(INDEX($FK$325:$ID$396,HM$169,1+SwaptionShift):INDEX($FK$325:$ID$396,HM$169,SwaptionMonthsToGo+SwaptionShift))))))</f>
        <v/>
      </c>
      <c r="HN187" s="150" t="str">
        <f aca="false">IF(OR(HN$169&lt;SwaptionFirstMonthPosition+1,$FJ187&lt;SwaptionFirstMonthPosition+1,HN$169&gt;SwaptionFirstMonthPosition+SwaptionNumOfMonths+1,$FJ187&gt;SwaptionFirstMonthPosition+SwaptionNumOfMonths+1),"",IF($FJ187=HN$169,1,IF($FJ187&lt;HN$169,INDEX($FK$170:$ID$241,HN$169,$FJ187),SUMPRODUCT(INDEX($FK$325:$ID$396,HN$169,1+SwaptionShift):INDEX($FK$325:$ID$396,HN$169,SwaptionMonthsToGo+SwaptionShift),INDEX($FK$245:$ID$316,$FJ187-HN$169,73-HN$169+SwaptionShift):INDEX($FK$245:$ID$316,$FJ187-HN$169,72-HN$169+SwaptionMonthsToGo+SwaptionShift))/SQRT(SUM(INDEX($FK342:$ID342,1+SwaptionShift):INDEX($FK342:$ID342,SwaptionMonthsToGo+SwaptionShift))*SUM(INDEX($FK$325:$ID$396,HN$169,1+SwaptionShift):INDEX($FK$325:$ID$396,HN$169,SwaptionMonthsToGo+SwaptionShift))))))</f>
        <v/>
      </c>
      <c r="HO187" s="150" t="str">
        <f aca="false">IF(OR(HO$169&lt;SwaptionFirstMonthPosition+1,$FJ187&lt;SwaptionFirstMonthPosition+1,HO$169&gt;SwaptionFirstMonthPosition+SwaptionNumOfMonths+1,$FJ187&gt;SwaptionFirstMonthPosition+SwaptionNumOfMonths+1),"",IF($FJ187=HO$169,1,IF($FJ187&lt;HO$169,INDEX($FK$170:$ID$241,HO$169,$FJ187),SUMPRODUCT(INDEX($FK$325:$ID$396,HO$169,1+SwaptionShift):INDEX($FK$325:$ID$396,HO$169,SwaptionMonthsToGo+SwaptionShift),INDEX($FK$245:$ID$316,$FJ187-HO$169,73-HO$169+SwaptionShift):INDEX($FK$245:$ID$316,$FJ187-HO$169,72-HO$169+SwaptionMonthsToGo+SwaptionShift))/SQRT(SUM(INDEX($FK342:$ID342,1+SwaptionShift):INDEX($FK342:$ID342,SwaptionMonthsToGo+SwaptionShift))*SUM(INDEX($FK$325:$ID$396,HO$169,1+SwaptionShift):INDEX($FK$325:$ID$396,HO$169,SwaptionMonthsToGo+SwaptionShift))))))</f>
        <v/>
      </c>
      <c r="HP187" s="150" t="str">
        <f aca="false">IF(OR(HP$169&lt;SwaptionFirstMonthPosition+1,$FJ187&lt;SwaptionFirstMonthPosition+1,HP$169&gt;SwaptionFirstMonthPosition+SwaptionNumOfMonths+1,$FJ187&gt;SwaptionFirstMonthPosition+SwaptionNumOfMonths+1),"",IF($FJ187=HP$169,1,IF($FJ187&lt;HP$169,INDEX($FK$170:$ID$241,HP$169,$FJ187),SUMPRODUCT(INDEX($FK$325:$ID$396,HP$169,1+SwaptionShift):INDEX($FK$325:$ID$396,HP$169,SwaptionMonthsToGo+SwaptionShift),INDEX($FK$245:$ID$316,$FJ187-HP$169,73-HP$169+SwaptionShift):INDEX($FK$245:$ID$316,$FJ187-HP$169,72-HP$169+SwaptionMonthsToGo+SwaptionShift))/SQRT(SUM(INDEX($FK342:$ID342,1+SwaptionShift):INDEX($FK342:$ID342,SwaptionMonthsToGo+SwaptionShift))*SUM(INDEX($FK$325:$ID$396,HP$169,1+SwaptionShift):INDEX($FK$325:$ID$396,HP$169,SwaptionMonthsToGo+SwaptionShift))))))</f>
        <v/>
      </c>
      <c r="HQ187" s="150" t="str">
        <f aca="false">IF(OR(HQ$169&lt;SwaptionFirstMonthPosition+1,$FJ187&lt;SwaptionFirstMonthPosition+1,HQ$169&gt;SwaptionFirstMonthPosition+SwaptionNumOfMonths+1,$FJ187&gt;SwaptionFirstMonthPosition+SwaptionNumOfMonths+1),"",IF($FJ187=HQ$169,1,IF($FJ187&lt;HQ$169,INDEX($FK$170:$ID$241,HQ$169,$FJ187),SUMPRODUCT(INDEX($FK$325:$ID$396,HQ$169,1+SwaptionShift):INDEX($FK$325:$ID$396,HQ$169,SwaptionMonthsToGo+SwaptionShift),INDEX($FK$245:$ID$316,$FJ187-HQ$169,73-HQ$169+SwaptionShift):INDEX($FK$245:$ID$316,$FJ187-HQ$169,72-HQ$169+SwaptionMonthsToGo+SwaptionShift))/SQRT(SUM(INDEX($FK342:$ID342,1+SwaptionShift):INDEX($FK342:$ID342,SwaptionMonthsToGo+SwaptionShift))*SUM(INDEX($FK$325:$ID$396,HQ$169,1+SwaptionShift):INDEX($FK$325:$ID$396,HQ$169,SwaptionMonthsToGo+SwaptionShift))))))</f>
        <v/>
      </c>
      <c r="HR187" s="150" t="str">
        <f aca="false">IF(OR(HR$169&lt;SwaptionFirstMonthPosition+1,$FJ187&lt;SwaptionFirstMonthPosition+1,HR$169&gt;SwaptionFirstMonthPosition+SwaptionNumOfMonths+1,$FJ187&gt;SwaptionFirstMonthPosition+SwaptionNumOfMonths+1),"",IF($FJ187=HR$169,1,IF($FJ187&lt;HR$169,INDEX($FK$170:$ID$241,HR$169,$FJ187),SUMPRODUCT(INDEX($FK$325:$ID$396,HR$169,1+SwaptionShift):INDEX($FK$325:$ID$396,HR$169,SwaptionMonthsToGo+SwaptionShift),INDEX($FK$245:$ID$316,$FJ187-HR$169,73-HR$169+SwaptionShift):INDEX($FK$245:$ID$316,$FJ187-HR$169,72-HR$169+SwaptionMonthsToGo+SwaptionShift))/SQRT(SUM(INDEX($FK342:$ID342,1+SwaptionShift):INDEX($FK342:$ID342,SwaptionMonthsToGo+SwaptionShift))*SUM(INDEX($FK$325:$ID$396,HR$169,1+SwaptionShift):INDEX($FK$325:$ID$396,HR$169,SwaptionMonthsToGo+SwaptionShift))))))</f>
        <v/>
      </c>
      <c r="HS187" s="150" t="str">
        <f aca="false">IF(OR(HS$169&lt;SwaptionFirstMonthPosition+1,$FJ187&lt;SwaptionFirstMonthPosition+1,HS$169&gt;SwaptionFirstMonthPosition+SwaptionNumOfMonths+1,$FJ187&gt;SwaptionFirstMonthPosition+SwaptionNumOfMonths+1),"",IF($FJ187=HS$169,1,IF($FJ187&lt;HS$169,INDEX($FK$170:$ID$241,HS$169,$FJ187),SUMPRODUCT(INDEX($FK$325:$ID$396,HS$169,1+SwaptionShift):INDEX($FK$325:$ID$396,HS$169,SwaptionMonthsToGo+SwaptionShift),INDEX($FK$245:$ID$316,$FJ187-HS$169,73-HS$169+SwaptionShift):INDEX($FK$245:$ID$316,$FJ187-HS$169,72-HS$169+SwaptionMonthsToGo+SwaptionShift))/SQRT(SUM(INDEX($FK342:$ID342,1+SwaptionShift):INDEX($FK342:$ID342,SwaptionMonthsToGo+SwaptionShift))*SUM(INDEX($FK$325:$ID$396,HS$169,1+SwaptionShift):INDEX($FK$325:$ID$396,HS$169,SwaptionMonthsToGo+SwaptionShift))))))</f>
        <v/>
      </c>
      <c r="HT187" s="150" t="str">
        <f aca="false">IF(OR(HT$169&lt;SwaptionFirstMonthPosition+1,$FJ187&lt;SwaptionFirstMonthPosition+1,HT$169&gt;SwaptionFirstMonthPosition+SwaptionNumOfMonths+1,$FJ187&gt;SwaptionFirstMonthPosition+SwaptionNumOfMonths+1),"",IF($FJ187=HT$169,1,IF($FJ187&lt;HT$169,INDEX($FK$170:$ID$241,HT$169,$FJ187),SUMPRODUCT(INDEX($FK$325:$ID$396,HT$169,1+SwaptionShift):INDEX($FK$325:$ID$396,HT$169,SwaptionMonthsToGo+SwaptionShift),INDEX($FK$245:$ID$316,$FJ187-HT$169,73-HT$169+SwaptionShift):INDEX($FK$245:$ID$316,$FJ187-HT$169,72-HT$169+SwaptionMonthsToGo+SwaptionShift))/SQRT(SUM(INDEX($FK342:$ID342,1+SwaptionShift):INDEX($FK342:$ID342,SwaptionMonthsToGo+SwaptionShift))*SUM(INDEX($FK$325:$ID$396,HT$169,1+SwaptionShift):INDEX($FK$325:$ID$396,HT$169,SwaptionMonthsToGo+SwaptionShift))))))</f>
        <v/>
      </c>
      <c r="HU187" s="150" t="str">
        <f aca="false">IF(OR(HU$169&lt;SwaptionFirstMonthPosition+1,$FJ187&lt;SwaptionFirstMonthPosition+1,HU$169&gt;SwaptionFirstMonthPosition+SwaptionNumOfMonths+1,$FJ187&gt;SwaptionFirstMonthPosition+SwaptionNumOfMonths+1),"",IF($FJ187=HU$169,1,IF($FJ187&lt;HU$169,INDEX($FK$170:$ID$241,HU$169,$FJ187),SUMPRODUCT(INDEX($FK$325:$ID$396,HU$169,1+SwaptionShift):INDEX($FK$325:$ID$396,HU$169,SwaptionMonthsToGo+SwaptionShift),INDEX($FK$245:$ID$316,$FJ187-HU$169,73-HU$169+SwaptionShift):INDEX($FK$245:$ID$316,$FJ187-HU$169,72-HU$169+SwaptionMonthsToGo+SwaptionShift))/SQRT(SUM(INDEX($FK342:$ID342,1+SwaptionShift):INDEX($FK342:$ID342,SwaptionMonthsToGo+SwaptionShift))*SUM(INDEX($FK$325:$ID$396,HU$169,1+SwaptionShift):INDEX($FK$325:$ID$396,HU$169,SwaptionMonthsToGo+SwaptionShift))))))</f>
        <v/>
      </c>
      <c r="HV187" s="150" t="str">
        <f aca="false">IF(OR(HV$169&lt;SwaptionFirstMonthPosition+1,$FJ187&lt;SwaptionFirstMonthPosition+1,HV$169&gt;SwaptionFirstMonthPosition+SwaptionNumOfMonths+1,$FJ187&gt;SwaptionFirstMonthPosition+SwaptionNumOfMonths+1),"",IF($FJ187=HV$169,1,IF($FJ187&lt;HV$169,INDEX($FK$170:$ID$241,HV$169,$FJ187),SUMPRODUCT(INDEX($FK$325:$ID$396,HV$169,1+SwaptionShift):INDEX($FK$325:$ID$396,HV$169,SwaptionMonthsToGo+SwaptionShift),INDEX($FK$245:$ID$316,$FJ187-HV$169,73-HV$169+SwaptionShift):INDEX($FK$245:$ID$316,$FJ187-HV$169,72-HV$169+SwaptionMonthsToGo+SwaptionShift))/SQRT(SUM(INDEX($FK342:$ID342,1+SwaptionShift):INDEX($FK342:$ID342,SwaptionMonthsToGo+SwaptionShift))*SUM(INDEX($FK$325:$ID$396,HV$169,1+SwaptionShift):INDEX($FK$325:$ID$396,HV$169,SwaptionMonthsToGo+SwaptionShift))))))</f>
        <v/>
      </c>
      <c r="HW187" s="150" t="str">
        <f aca="false">IF(OR(HW$169&lt;SwaptionFirstMonthPosition+1,$FJ187&lt;SwaptionFirstMonthPosition+1,HW$169&gt;SwaptionFirstMonthPosition+SwaptionNumOfMonths+1,$FJ187&gt;SwaptionFirstMonthPosition+SwaptionNumOfMonths+1),"",IF($FJ187=HW$169,1,IF($FJ187&lt;HW$169,INDEX($FK$170:$ID$241,HW$169,$FJ187),SUMPRODUCT(INDEX($FK$325:$ID$396,HW$169,1+SwaptionShift):INDEX($FK$325:$ID$396,HW$169,SwaptionMonthsToGo+SwaptionShift),INDEX($FK$245:$ID$316,$FJ187-HW$169,73-HW$169+SwaptionShift):INDEX($FK$245:$ID$316,$FJ187-HW$169,72-HW$169+SwaptionMonthsToGo+SwaptionShift))/SQRT(SUM(INDEX($FK342:$ID342,1+SwaptionShift):INDEX($FK342:$ID342,SwaptionMonthsToGo+SwaptionShift))*SUM(INDEX($FK$325:$ID$396,HW$169,1+SwaptionShift):INDEX($FK$325:$ID$396,HW$169,SwaptionMonthsToGo+SwaptionShift))))))</f>
        <v/>
      </c>
      <c r="HX187" s="150" t="str">
        <f aca="false">IF(OR(HX$169&lt;SwaptionFirstMonthPosition+1,$FJ187&lt;SwaptionFirstMonthPosition+1,HX$169&gt;SwaptionFirstMonthPosition+SwaptionNumOfMonths+1,$FJ187&gt;SwaptionFirstMonthPosition+SwaptionNumOfMonths+1),"",IF($FJ187=HX$169,1,IF($FJ187&lt;HX$169,INDEX($FK$170:$ID$241,HX$169,$FJ187),SUMPRODUCT(INDEX($FK$325:$ID$396,HX$169,1+SwaptionShift):INDEX($FK$325:$ID$396,HX$169,SwaptionMonthsToGo+SwaptionShift),INDEX($FK$245:$ID$316,$FJ187-HX$169,73-HX$169+SwaptionShift):INDEX($FK$245:$ID$316,$FJ187-HX$169,72-HX$169+SwaptionMonthsToGo+SwaptionShift))/SQRT(SUM(INDEX($FK342:$ID342,1+SwaptionShift):INDEX($FK342:$ID342,SwaptionMonthsToGo+SwaptionShift))*SUM(INDEX($FK$325:$ID$396,HX$169,1+SwaptionShift):INDEX($FK$325:$ID$396,HX$169,SwaptionMonthsToGo+SwaptionShift))))))</f>
        <v/>
      </c>
      <c r="HY187" s="150" t="str">
        <f aca="false">IF(OR(HY$169&lt;SwaptionFirstMonthPosition+1,$FJ187&lt;SwaptionFirstMonthPosition+1,HY$169&gt;SwaptionFirstMonthPosition+SwaptionNumOfMonths+1,$FJ187&gt;SwaptionFirstMonthPosition+SwaptionNumOfMonths+1),"",IF($FJ187=HY$169,1,IF($FJ187&lt;HY$169,INDEX($FK$170:$ID$241,HY$169,$FJ187),SUMPRODUCT(INDEX($FK$325:$ID$396,HY$169,1+SwaptionShift):INDEX($FK$325:$ID$396,HY$169,SwaptionMonthsToGo+SwaptionShift),INDEX($FK$245:$ID$316,$FJ187-HY$169,73-HY$169+SwaptionShift):INDEX($FK$245:$ID$316,$FJ187-HY$169,72-HY$169+SwaptionMonthsToGo+SwaptionShift))/SQRT(SUM(INDEX($FK342:$ID342,1+SwaptionShift):INDEX($FK342:$ID342,SwaptionMonthsToGo+SwaptionShift))*SUM(INDEX($FK$325:$ID$396,HY$169,1+SwaptionShift):INDEX($FK$325:$ID$396,HY$169,SwaptionMonthsToGo+SwaptionShift))))))</f>
        <v/>
      </c>
      <c r="HZ187" s="150" t="str">
        <f aca="false">IF(OR(HZ$169&lt;SwaptionFirstMonthPosition+1,$FJ187&lt;SwaptionFirstMonthPosition+1,HZ$169&gt;SwaptionFirstMonthPosition+SwaptionNumOfMonths+1,$FJ187&gt;SwaptionFirstMonthPosition+SwaptionNumOfMonths+1),"",IF($FJ187=HZ$169,1,IF($FJ187&lt;HZ$169,INDEX($FK$170:$ID$241,HZ$169,$FJ187),SUMPRODUCT(INDEX($FK$325:$ID$396,HZ$169,1+SwaptionShift):INDEX($FK$325:$ID$396,HZ$169,SwaptionMonthsToGo+SwaptionShift),INDEX($FK$245:$ID$316,$FJ187-HZ$169,73-HZ$169+SwaptionShift):INDEX($FK$245:$ID$316,$FJ187-HZ$169,72-HZ$169+SwaptionMonthsToGo+SwaptionShift))/SQRT(SUM(INDEX($FK342:$ID342,1+SwaptionShift):INDEX($FK342:$ID342,SwaptionMonthsToGo+SwaptionShift))*SUM(INDEX($FK$325:$ID$396,HZ$169,1+SwaptionShift):INDEX($FK$325:$ID$396,HZ$169,SwaptionMonthsToGo+SwaptionShift))))))</f>
        <v/>
      </c>
      <c r="IA187" s="150" t="str">
        <f aca="false">IF(OR(IA$169&lt;SwaptionFirstMonthPosition+1,$FJ187&lt;SwaptionFirstMonthPosition+1,IA$169&gt;SwaptionFirstMonthPosition+SwaptionNumOfMonths+1,$FJ187&gt;SwaptionFirstMonthPosition+SwaptionNumOfMonths+1),"",IF($FJ187=IA$169,1,IF($FJ187&lt;IA$169,INDEX($FK$170:$ID$241,IA$169,$FJ187),SUMPRODUCT(INDEX($FK$325:$ID$396,IA$169,1+SwaptionShift):INDEX($FK$325:$ID$396,IA$169,SwaptionMonthsToGo+SwaptionShift),INDEX($FK$245:$ID$316,$FJ187-IA$169,73-IA$169+SwaptionShift):INDEX($FK$245:$ID$316,$FJ187-IA$169,72-IA$169+SwaptionMonthsToGo+SwaptionShift))/SQRT(SUM(INDEX($FK342:$ID342,1+SwaptionShift):INDEX($FK342:$ID342,SwaptionMonthsToGo+SwaptionShift))*SUM(INDEX($FK$325:$ID$396,IA$169,1+SwaptionShift):INDEX($FK$325:$ID$396,IA$169,SwaptionMonthsToGo+SwaptionShift))))))</f>
        <v/>
      </c>
      <c r="IB187" s="150" t="str">
        <f aca="false">IF(OR(IB$169&lt;SwaptionFirstMonthPosition+1,$FJ187&lt;SwaptionFirstMonthPosition+1,IB$169&gt;SwaptionFirstMonthPosition+SwaptionNumOfMonths+1,$FJ187&gt;SwaptionFirstMonthPosition+SwaptionNumOfMonths+1),"",IF($FJ187=IB$169,1,IF($FJ187&lt;IB$169,INDEX($FK$170:$ID$241,IB$169,$FJ187),SUMPRODUCT(INDEX($FK$325:$ID$396,IB$169,1+SwaptionShift):INDEX($FK$325:$ID$396,IB$169,SwaptionMonthsToGo+SwaptionShift),INDEX($FK$245:$ID$316,$FJ187-IB$169,73-IB$169+SwaptionShift):INDEX($FK$245:$ID$316,$FJ187-IB$169,72-IB$169+SwaptionMonthsToGo+SwaptionShift))/SQRT(SUM(INDEX($FK342:$ID342,1+SwaptionShift):INDEX($FK342:$ID342,SwaptionMonthsToGo+SwaptionShift))*SUM(INDEX($FK$325:$ID$396,IB$169,1+SwaptionShift):INDEX($FK$325:$ID$396,IB$169,SwaptionMonthsToGo+SwaptionShift))))))</f>
        <v/>
      </c>
      <c r="IC187" s="150" t="str">
        <f aca="false">IF(OR(IC$169&lt;SwaptionFirstMonthPosition+1,$FJ187&lt;SwaptionFirstMonthPosition+1,IC$169&gt;SwaptionFirstMonthPosition+SwaptionNumOfMonths+1,$FJ187&gt;SwaptionFirstMonthPosition+SwaptionNumOfMonths+1),"",IF($FJ187=IC$169,1,IF($FJ187&lt;IC$169,INDEX($FK$170:$ID$241,IC$169,$FJ187),SUMPRODUCT(INDEX($FK$325:$ID$396,IC$169,1+SwaptionShift):INDEX($FK$325:$ID$396,IC$169,SwaptionMonthsToGo+SwaptionShift),INDEX($FK$245:$ID$316,$FJ187-IC$169,73-IC$169+SwaptionShift):INDEX($FK$245:$ID$316,$FJ187-IC$169,72-IC$169+SwaptionMonthsToGo+SwaptionShift))/SQRT(SUM(INDEX($FK342:$ID342,1+SwaptionShift):INDEX($FK342:$ID342,SwaptionMonthsToGo+SwaptionShift))*SUM(INDEX($FK$325:$ID$396,IC$169,1+SwaptionShift):INDEX($FK$325:$ID$396,IC$169,SwaptionMonthsToGo+SwaptionShift))))))</f>
        <v/>
      </c>
      <c r="ID187" s="572" t="str">
        <f aca="false">IF(OR(ID$169&lt;SwaptionFirstMonthPosition+1,$FJ187&lt;SwaptionFirstMonthPosition+1,ID$169&gt;SwaptionFirstMonthPosition+SwaptionNumOfMonths+1,$FJ187&gt;SwaptionFirstMonthPosition+SwaptionNumOfMonths+1),"",IF($FJ187=ID$169,1,IF($FJ187&lt;ID$169,INDEX($FK$170:$ID$241,ID$169,$FJ187),SUMPRODUCT(INDEX($FK$325:$ID$396,ID$169,1+SwaptionShift):INDEX($FK$325:$ID$396,ID$169,SwaptionMonthsToGo+SwaptionShift),INDEX($FK$245:$ID$316,$FJ187-ID$169,73-ID$169+SwaptionShift):INDEX($FK$245:$ID$316,$FJ187-ID$169,72-ID$169+SwaptionMonthsToGo+SwaptionShift))/SQRT(SUM(INDEX($FK342:$ID342,1+SwaptionShift):INDEX($FK342:$ID342,SwaptionMonthsToGo+SwaptionShift))*SUM(INDEX($FK$325:$ID$396,ID$169,1+SwaptionShift):INDEX($FK$325:$ID$396,ID$169,SwaptionMonthsToGo+SwaptionShift))))))</f>
        <v/>
      </c>
      <c r="IE187" s="129"/>
    </row>
    <row r="188" customFormat="false" ht="12.75" hidden="false" customHeight="false" outlineLevel="0" collapsed="false">
      <c r="H188" s="219" t="n">
        <f aca="false">VLOOKUP(I188,$EJ$20:$EL$54,3)</f>
        <v>0</v>
      </c>
      <c r="I188" s="511" t="n">
        <f aca="false">EOMONTH(I187,0)+1</f>
        <v>41883</v>
      </c>
      <c r="J188" s="512"/>
      <c r="K188" s="513" t="s">
        <v>280</v>
      </c>
      <c r="L188" s="514" t="n">
        <f aca="false">IF(ISNUMBER(K188),J188+K188/100,IF(K188="extra",L187+VLOOKUP(BF188,PriceSpreadTable,2)/12,IF(K188="inter",interpolateprices($K$19:$L$200,ROW(K188)-ROW(FirstPricingMonth)+1),interpolatechanges($J$19:$K$200,ROW(K188)-ROW(FirstPricingMonth)+1))))</f>
        <v>3.45000000000001</v>
      </c>
      <c r="M188" s="515"/>
      <c r="N188" s="516" t="n">
        <v>0</v>
      </c>
      <c r="O188" s="515" t="n">
        <f aca="false">M188+N188</f>
        <v>0</v>
      </c>
      <c r="P188" s="512"/>
      <c r="Q188" s="513" t="s">
        <v>280</v>
      </c>
      <c r="R188" s="512" t="e">
        <f aca="false">IF(ISNUMBER(Q188),P188+Q188/100,IF(Q188="extra",(Z186*AL186-R187*AM186)/AN186,IF(Q188="inter",interpolateprices($Q$19:$R$260,ROW(Q188)-ROW(FirstPricingMonth)+1),interpolatechanges($P$19:$Q$260,ROW(Q188)-ROW(FirstPricingMonth)+1))))</f>
        <v>#VALUE!</v>
      </c>
      <c r="S188" s="597" t="n">
        <f aca="false">S$19+(S187-S$19)*S$18</f>
        <v>0.36</v>
      </c>
      <c r="T188" s="575" t="n">
        <f aca="false">SQRT((1-(1-T187^2/U187)*T$18)*U188)</f>
        <v>0.999999999999582</v>
      </c>
      <c r="U188" s="576" t="n">
        <f aca="false">1-(1-U187)*U$18</f>
        <v>1</v>
      </c>
      <c r="V188" s="521" t="n">
        <v>0</v>
      </c>
      <c r="W188" s="577" t="n">
        <f aca="false">(J189*AJ188+J190*AK188)/AI188</f>
        <v>0</v>
      </c>
      <c r="X188" s="578" t="n">
        <f aca="false">(L189*AJ188+L190*AK188)/AI188</f>
        <v>3.49943181818182</v>
      </c>
      <c r="Y188" s="579" t="n">
        <f aca="false">IF(Q190="extra",W188-AA188,(P189*AM188+P190*AN188)/AL188)</f>
        <v>-1.2669</v>
      </c>
      <c r="Z188" s="579" t="n">
        <f aca="false">IF(Q190="extra",X188-AB188,(R189*AM188+R190*AN188)/AL188)</f>
        <v>2.23253181818182</v>
      </c>
      <c r="AA188" s="523" t="n">
        <f aca="false">IF(Q190="extra",INDEX(BrentSeasonalityTable,INT((BG188-1)/3)+1)*VLOOKUP(MAX(BF188,$AB$4),PriceSpreadTable,3),W188-Y188)</f>
        <v>1.2669</v>
      </c>
      <c r="AB188" s="524" t="n">
        <f aca="false">IF(Q190="extra",INDEX(BrentSeasonalityTable,INT((BG188-1)/3)+1)*VLOOKUP(MAX(BF188,$AB$4),PriceSpreadTable,3),X188-Z188)</f>
        <v>1.2669</v>
      </c>
      <c r="AC188" s="646" t="n">
        <v>41871</v>
      </c>
      <c r="AD188" s="646" t="n">
        <v>41867</v>
      </c>
      <c r="AE188" s="646" t="n">
        <v>41866</v>
      </c>
      <c r="AF188" s="646" t="n">
        <v>41862</v>
      </c>
      <c r="AG188" s="438" t="s">
        <v>278</v>
      </c>
      <c r="AH188" s="439" t="s">
        <v>278</v>
      </c>
      <c r="AI188" s="528" t="n">
        <v>22</v>
      </c>
      <c r="AJ188" s="529" t="n">
        <v>15</v>
      </c>
      <c r="AK188" s="529" t="n">
        <v>7</v>
      </c>
      <c r="AL188" s="530" t="n">
        <v>22</v>
      </c>
      <c r="AM188" s="529" t="n">
        <v>10</v>
      </c>
      <c r="AN188" s="531" t="n">
        <v>12</v>
      </c>
      <c r="AO188" s="532"/>
      <c r="AP188" s="465" t="n">
        <f aca="false">(1+AO188/2)^(-2*BL188)</f>
        <v>1</v>
      </c>
      <c r="AQ188" s="532"/>
      <c r="AR188" s="465" t="n">
        <f aca="false">(1+AQ188/2)^(-2*BH188/365.25)</f>
        <v>1</v>
      </c>
      <c r="AS188" s="580" t="n">
        <f aca="false">(O189*AJ188+O190*AK188)/AI188</f>
        <v>0</v>
      </c>
      <c r="AT188" s="468" t="n">
        <f aca="false">O188*VLOOKUP(BF188,BrentVolTable,2)+VLOOKUP(BF188,BrentVolTable,3)</f>
        <v>0</v>
      </c>
      <c r="AU188" s="468" t="n">
        <f aca="false">(AT189*AM188+AT190*AN188)/AL188</f>
        <v>0</v>
      </c>
      <c r="AV188" s="595" t="n">
        <f aca="false">SQRT(MAX(0.000000000001,(O188^2*BH188-S188^2*(BH188-BH187))/BH187))</f>
        <v>0.0313454704538799</v>
      </c>
      <c r="AW188" s="451" t="n">
        <f aca="false">IF($I188-DateToday+15&gt;=$T$8,"",IF($I188-DateToday+15&lt;$T$5,1,MATCH($I188-DateToday+15,$T$5:$T$8)))</f>
        <v>1</v>
      </c>
      <c r="AX188" s="468" t="n">
        <f aca="false">IF($AW188="",AX187^2/AX186,INDEX(U$5:U$8,$AW188)^((INDEX($T$5:$T$8,$AW188+1)-($I188-DateToday+15))/(INDEX($T$5:$T$8,$AW188+1)-INDEX($T$5:$T$8,$AW188)))/INDEX(U$5:U$8,$AW188+1)^((INDEX($T$5:$T$8,$AW188)-($I188-DateToday+15))/(INDEX($T$5:$T$8,$AW188+1)-INDEX($T$5:$T$8,$AW188))))</f>
        <v>0.345877762068463</v>
      </c>
      <c r="AY188" s="468" t="n">
        <f aca="false">IF($AW188="",AY187^2/AY186,INDEX(V$5:V$8,$AW188)^((INDEX($T$5:$T$8,$AW188+1)-($I188-DateToday+15))/(INDEX($T$5:$T$8,$AW188+1)-INDEX($T$5:$T$8,$AW188)))/INDEX(V$5:V$8,$AW188+1)^((INDEX($T$5:$T$8,$AW188)-($I188-DateToday+15))/(INDEX($T$5:$T$8,$AW188+1)-INDEX($T$5:$T$8,$AW188))))</f>
        <v>4.4024904480684</v>
      </c>
      <c r="AZ188" s="468" t="n">
        <f aca="false">IF($AW188="",AZ187^2/AZ186,INDEX(W$5:W$8,$AW188)^((INDEX($T$5:$T$8,$AW188+1)-($I188-DateToday+15))/(INDEX($T$5:$T$8,$AW188+1)-INDEX($T$5:$T$8,$AW188)))/INDEX(W$5:W$8,$AW188+1)^((INDEX($T$5:$T$8,$AW188)-($I188-DateToday+15))/(INDEX($T$5:$T$8,$AW188+1)-INDEX($T$5:$T$8,$AW188))))</f>
        <v>696.685504231598</v>
      </c>
      <c r="BA188" s="468" t="n">
        <f aca="false">IF($AW188="",BA187^2/BA186,INDEX(X$5:X$8,$AW188)^((INDEX($T$5:$T$8,$AW188+1)-($I188-DateToday+15))/(INDEX($T$5:$T$8,$AW188+1)-INDEX($T$5:$T$8,$AW188)))/INDEX(X$5:X$8,$AW188+1)^((INDEX($T$5:$T$8,$AW188)-($I188-DateToday+15))/(INDEX($T$5:$T$8,$AW188+1)-INDEX($T$5:$T$8,$AW188))))</f>
        <v>2510.08357363711</v>
      </c>
      <c r="BB188" s="468" t="n">
        <f aca="false">IF($AW188="",BB187^2/BB186,INDEX(Y$5:Y$8,$AW188)^((INDEX($T$5:$T$8,$AW188+1)-($I188-DateToday+15))/(INDEX($T$5:$T$8,$AW188+1)-INDEX($T$5:$T$8,$AW188)))/INDEX(Y$5:Y$8,$AW188+1)^((INDEX($T$5:$T$8,$AW188)-($I188-DateToday+15))/(INDEX($T$5:$T$8,$AW188+1)-INDEX($T$5:$T$8,$AW188))))</f>
        <v>13153.9863891016</v>
      </c>
      <c r="BC188" s="468" t="n">
        <f aca="false">IF($AW188="",BC187^2/BC186,INDEX(Z$5:Z$8,$AW188)^((INDEX($T$5:$T$8,$AW188+1)-($I188-DateToday+15))/(INDEX($T$5:$T$8,$AW188+1)-INDEX($T$5:$T$8,$AW188)))/INDEX(Z$5:Z$8,$AW188+1)^((INDEX($T$5:$T$8,$AW188)-($I188-DateToday+15))/(INDEX($T$5:$T$8,$AW188+1)-INDEX($T$5:$T$8,$AW188))))</f>
        <v>36239.7076213005</v>
      </c>
      <c r="BD188" s="535" t="n">
        <f aca="false">IF(OR(DateStart&gt;=I189,DateEnd&lt;I188),0,IF(VolumeOverrideFlag,V188,Volume))</f>
        <v>0</v>
      </c>
      <c r="BE188" s="536" t="n">
        <f aca="false">IF(OR(DateStart2&gt;=I189,DateEnd2&lt;I188),0,IF(VolumeOverrideFlag,V188,VolumeSwaption))</f>
        <v>0</v>
      </c>
      <c r="BF188" s="537" t="n">
        <f aca="false">YEAR(I188)</f>
        <v>2014</v>
      </c>
      <c r="BG188" s="538" t="n">
        <f aca="false">MONTH(I188)</f>
        <v>9</v>
      </c>
      <c r="BH188" s="539" t="n">
        <f aca="false">AD188-DateToday+1</f>
        <v>-4058</v>
      </c>
      <c r="BI188" s="540" t="n">
        <f aca="false">(I188-DateToday+1)/365.25</f>
        <v>-11.066392881588</v>
      </c>
      <c r="BJ188" s="541" t="n">
        <f aca="false">BI188+(BL188-BI188)*CHOOSE(Underlying,AJ188/AI188,AM188/AL188)</f>
        <v>-11.0122581046606</v>
      </c>
      <c r="BK188" s="541" t="n">
        <f aca="false">BJ188+1/365.25</f>
        <v>-11.0095202538734</v>
      </c>
      <c r="BL188" s="541" t="n">
        <f aca="false">(I189-DateToday)/365.25</f>
        <v>-10.9869952087611</v>
      </c>
      <c r="BM188" s="542" t="e">
        <f aca="false">MAX(BI188-(BJ188-BI188)*(S189^2/O189^2-1),0)</f>
        <v>#DIV/0!</v>
      </c>
      <c r="BN188" s="541" t="e">
        <f aca="false">MAX(BL188+(BL188-BK188)*(S190^2/O190^2-1),0)</f>
        <v>#DIV/0!</v>
      </c>
      <c r="BO188" s="530" t="n">
        <f aca="false">CHOOSE(Underlying,AI188,AL188)</f>
        <v>22</v>
      </c>
      <c r="BP188" s="529" t="n">
        <f aca="false">CHOOSE(Underlying,AJ188,AM188)</f>
        <v>15</v>
      </c>
      <c r="BQ188" s="529" t="n">
        <f aca="false">CHOOSE(Underlying,AK188,AN188)</f>
        <v>7</v>
      </c>
      <c r="BR188" s="463" t="str">
        <f aca="false">IF(BD188,IF(Underlying=1,X188,Z188)+UnderlyingPriceAsian-SwapPriceCurve,"")</f>
        <v/>
      </c>
      <c r="BS188" s="463" t="str">
        <f aca="false">IF(BD188,Strike1/BR188-1,"")</f>
        <v/>
      </c>
      <c r="BT188" s="464" t="str">
        <f aca="false">IF(BD188,Strike2/BR188-1,"")</f>
        <v/>
      </c>
      <c r="BU188" s="465" t="str">
        <f aca="false">IF(BD188,IF(Underlying=1,L189,R189)+UnderlyingPriceAsian-SwapPriceCurve,"")</f>
        <v/>
      </c>
      <c r="BV188" s="465" t="str">
        <f aca="false">IF(BD188,IF(Underlying=1,L190,R190)+UnderlyingPriceAsian-SwapPriceCurve,"")</f>
        <v/>
      </c>
      <c r="BW188" s="466" t="str">
        <f aca="false">IF(BD188,IF(Underlying=1,O189,AT189),"")</f>
        <v/>
      </c>
      <c r="BX188" s="467" t="str">
        <f aca="false">IF(BD188,IF(Underlying=1,O190,AT190),"")</f>
        <v/>
      </c>
      <c r="BY188" s="466" t="str">
        <f aca="false">IF(BD188,IF(BS188&gt;0,IF(BS188&gt;0.2,BC188-BB188,IF(BS188&gt;0.1,BB188-BA188,BA188)),IF(BS188&lt;-0.2,AX188-AY188,IF(BS188&lt;-0.1,AY188-AZ188,AZ188))),"")</f>
        <v/>
      </c>
      <c r="BZ188" s="467" t="str">
        <f aca="false">IF(BD188,IF(BT188&gt;0,IF(BT188&gt;0.2,BC188-BB188,IF(BT188&gt;0.1,BB188-BA188,BA188)),IF(BT188&lt;-0.2,AX188-AY188,IF(BT188&lt;-0.1,AY188-AZ188,AZ188))),"")</f>
        <v/>
      </c>
      <c r="CA188" s="468" t="str">
        <f aca="false">IF($BD188,$BW188+IF(VolSkewFlag=1,IF(BS188&gt;0,$BA188*MIN(BS188/10%,1)+($BB188-$BA188)*MAX(0,MIN(BS188/10%-1,1))+($BC188-$BB188)*MAX(0,BS188/10%-2),$AZ188*MIN(-BS188/10%,1)+($AY188-$AZ188)*MAX(0,MIN(-BS188/10%-1,1))+($AX188-$AY188)*MAX(0,-BS188/10%-2)),0),"")</f>
        <v/>
      </c>
      <c r="CB188" s="468" t="str">
        <f aca="false">IF($BD188,$BX188+IF(VolSkewFlag=1,IF(BS188&gt;0,$BA188*MIN(BS188/10%,1)+($BB188-$BA188)*MAX(0,MIN(BS188/10%-1,1))+($BC188-$BB188)*MAX(0,BS188/10%-2),$AZ188*MIN(-BS188/10%,1)+($AY188-$AZ188)*MAX(0,MIN(-BS188/10%-1,1))+($AX188-$AY188)*MAX(0,-BS188/10%-2)),0),"")</f>
        <v/>
      </c>
      <c r="CC188" s="468" t="str">
        <f aca="false">IF($BD188,$BW188+IF(VolSkewFlag=1,IF(BT188&gt;0,$BA188*MIN(BT188/10%,1)+($BB188-$BA188)*MAX(0,MIN(BT188/10%-1,1))+($BC188-$BB188)*MAX(0,BT188/10%-2),$AZ188*MIN(-BT188/10%,1)+($AY188-$AZ188)*MAX(0,MIN(-BT188/10%-1,1))+($AX188-$AY188)*MAX(0,-BT188/10%-2)),0),"")</f>
        <v/>
      </c>
      <c r="CD188" s="468" t="str">
        <f aca="false">IF($BD188,$BX188+IF(VolSkewFlag=1,IF(BT188&gt;0,$BA188*MIN(BT188/10%,1)+($BB188-$BA188)*MAX(0,MIN(BT188/10%-1,1))+($BC188-$BB188)*MAX(0,BT188/10%-2),$AZ188*MIN(-BT188/10%,1)+($AY188-$AZ188)*MAX(0,MIN(-BT188/10%-1,1))+($AX188-$AY188)*MAX(0,-BT188/10%-2)),0),"")</f>
        <v/>
      </c>
      <c r="CE188" s="469" t="n">
        <v>1</v>
      </c>
      <c r="CF188" s="470" t="n">
        <f aca="false">IF(BD188,xCrudeAPO(BU188,BV188,CA188,CB188,S189,S190,BI188,BL188,BP188,BQ188,0,Strike1,AO188,CE188,0,BL188,IF(OptControl=4,0,1),0,1),0)</f>
        <v>0</v>
      </c>
      <c r="CG188" s="470" t="n">
        <f aca="false">IF(BD188,xCrudeAPO(BU188,BV188,CA188,CB188,S189,S190,BI188,BL188,BP188,BQ188,0,Strike1,AO188,CE188,0,BL188,IF(OptControl=4,0,1),1,1)+xCrudeAPO(BU188,BV188,CA188,CB188,S189,S190,BI188,BL188,BP188,BQ188,0,Strike1,AO188,CE188,0,BL188,IF(OptControl=4,0,1),1,2)+IF(OR(VolSkewFlag=2,ABS(BS188)&lt;0.0001),0,IF(BS188&gt;0,-1,1)*CH188*Strike1/BR188^2*BY188/10%),0)</f>
        <v>0</v>
      </c>
      <c r="CH188" s="470" t="n">
        <f aca="false">IF(BD188,(xCrudeAPO(BU188,BV188,CA188,CB188,S189,S190,BI188,BL188,BP188,BQ188,0,Strike1,AO188,CE188,0,BL188,IF(OptControl=4,0,1),3,1)+xCrudeAPO(BU188,BV188,CA188,CB188,S189,S190,BI188,BL188,BP188,BQ188,0,Strike1,AO188,CE188,0,BL188,IF(OptControl=4,0,1),3,2))/100,0)</f>
        <v>0</v>
      </c>
      <c r="CI188" s="470" t="n">
        <f aca="false">IF(BD188,xCrudeAPO(BU188,BV188,CA188,CB188,S189,S190,BI188-DaysForThetaCalculation/365.25,BL188-DaysForThetaCalculation/365.25,BP188,BQ188,0,Strike1,AO188,CE188,0,BL188,IF(OptControl=4,0,1),0,1)-xCrudeAPO(BU188,BV188,CA188,CB188,S189,S190,BI188,BL188,BP188,BQ188,0,Strike1,AO188,CE188,0,BL188,IF(OptControl=4,0,1),0,1),0)</f>
        <v>0</v>
      </c>
      <c r="CJ188" s="471" t="n">
        <f aca="false">IF(BD188,xCrudeAPO(BU188,BV188,CC188,CD188,S189,S190,BI188,BL188,BP188,BQ188,0,Strike2,AO188,CE188,0,BL188,IF(OptControl=3,1,0),0,1),0)</f>
        <v>0</v>
      </c>
      <c r="CK188" s="470" t="n">
        <f aca="false">IF(BD188,xCrudeAPO(BU188,BV188,CC188,CD188,S189,S190,BI188,BL188,BP188,BQ188,0,Strike2,AO188,CE188,0,BL188,IF(OptControl=3,1,0),1,1)+xCrudeAPO(BU188,BV188,CC188,CD188,S189,S190,BI188,BL188,BP188,BQ188,0,Strike2,AO188,CE188,0,BL188,IF(OptControl=3,1,0),1,2)+IF(OR(VolSkewFlag=2,ABS(BT188)&lt;0.0001),0,IF(BT188&gt;0,-1,1)*CL188*Strike2/BR188^2*BZ188/10%),0)</f>
        <v>0</v>
      </c>
      <c r="CL188" s="470" t="n">
        <f aca="false">IF(BD188,(xCrudeAPO(BU188,BV188,CC188,CD188,S189,S190,BI188,BL188,BP188,BQ188,0,Strike2,AO188,CE188,0,BL188,IF(OptControl=3,1,0),3,1)+xCrudeAPO(BU188,BV188,CC188,CD188,S189,S190,BI188,BL188,BP188,BQ188,0,Strike2,AO188,CE188,0,BL188,IF(OptControl=3,1,0),3,2))/100,0)</f>
        <v>0</v>
      </c>
      <c r="CM188" s="472" t="n">
        <f aca="false">IF(BD188,xCrudeAPO(BU188,BV188,CC188,CD188,S189,S190,BI188-DaysForThetaCalculation/365.25,BL188-DaysForThetaCalculation/365.25,BP188,BQ188,0,Strike2,AO188,CE188,0,BL188,IF(OptControl=3,1,0),0,1)-xCrudeAPO(BU188,BV188,CC188,CD188,S189,S190,BI188,BL188,BP188,BQ188,0,Strike2,AO188,CE188,0,BL188,IF(OptControl=3,1,0),0,1),0)</f>
        <v>0</v>
      </c>
      <c r="CN188" s="3"/>
      <c r="CO188" s="543" t="str">
        <f aca="false">IF(BD188,CHOOSE(Underlying,AD188,AF188)-DateToday+1,"")</f>
        <v/>
      </c>
      <c r="CP188" s="582" t="str">
        <f aca="false">IF(BD188,CHOOSE(Underlying,L188,R188),"")</f>
        <v/>
      </c>
      <c r="CQ188" s="544" t="str">
        <f aca="false">IF(BD188,Strike1/CP188-1,"")</f>
        <v/>
      </c>
      <c r="CR188" s="544" t="str">
        <f aca="false">IF(BD188,Strike2/CP188-1,"")</f>
        <v/>
      </c>
      <c r="CS188" s="544" t="str">
        <f aca="false">IF(BD188,IF(CQ188&gt;0,IF(CQ188&gt;0.2,BC187-BB187,IF(CQ188&gt;0.1,BB187-BA187,BA187)),IF(CQ188&lt;-0.2,AX187-AY187,IF(CQ188&lt;-0.1,AY187-AZ187,AZ187))),"")</f>
        <v/>
      </c>
      <c r="CT188" s="544" t="str">
        <f aca="false">IF(BD188,IF(CR188&gt;0,IF(CR188&gt;0.2,BC187-BB187,IF(CR188&gt;0.1,BB187-BA187,BA187)),IF(CR188&lt;-0.2,AX187-AY187,IF(CR188&lt;-0.1,AY187-AZ187,AZ187))),"")</f>
        <v/>
      </c>
      <c r="CU188" s="545" t="str">
        <f aca="false">IF(BD188,CHOOSE(Underlying,O188,AT188),"")</f>
        <v/>
      </c>
      <c r="CV188" s="545" t="str">
        <f aca="false">IF(BD188,CU188+IF(VolSkewFlag=1,IF(CQ188&gt;0,BA187*MIN(CQ188/10%,1)+(BB187-BA187)*MAX(0,MIN(CQ188/10%-1,1))+(BC187-BB187)*MAX(0,CQ188/10%-2),AZ187*MIN(-CQ188/10%,1)+(AY187-AZ187)*MAX(0,MIN(-CQ188/10%-1,1))+(AX187-AY187)*MAX(0,-CQ188/10%-2)),0),"")</f>
        <v/>
      </c>
      <c r="CW188" s="545" t="str">
        <f aca="false">IF(BD188,CU188+IF(VolSkewFlag=1,IF(CR188&gt;0,BA187*MIN(CR188/10%,1)+(BB187-BA187)*MAX(0,MIN(CR188/10%-1,1))+(BC187-BB187)*MAX(0,CR188/10%-2),AZ187*MIN(-CR188/10%,1)+(AY187-AZ187)*MAX(0,MIN(-CR188/10%-1,1))+(AX187-AY187)*MAX(0,-CR188/10%-2)),0),"")</f>
        <v/>
      </c>
      <c r="CX188" s="470" t="n">
        <f aca="false">IF(BD188,EURO(CP188,Strike1,AO188,AO188,CV188,CO188,IF(OptControl=4,0,1),0),0)</f>
        <v>0</v>
      </c>
      <c r="CY188" s="470" t="n">
        <f aca="false">IF(BD188,EURO(CP188,Strike1,AO188,AO188,CV188,CO188,IF(OptControl=4,0,1),1)+IF(OR(VolSkewFlag=2,ABS(CQ188)&lt;0.0001),0,IF(CQ188&gt;0,-1,1)*CZ188*100*Strike1/CP188^2*CS188/10%),0)</f>
        <v>0</v>
      </c>
      <c r="CZ188" s="470" t="n">
        <f aca="false">IF(BD188,EURO(CP188,Strike1,AO188,AO188,CV188,CO188,IF(OptControl=4,0,1),3)/100,0)</f>
        <v>0</v>
      </c>
      <c r="DA188" s="470" t="n">
        <f aca="false">IF(BD188,EURO(CP188,Strike1,AO188,AO188,CV188,CO188,IF(OptControl=4,0,1),0)-EURO(CP188,Strike1,AO188,AO188,CV188,CO188-1,IF(OptControl=4,0,1),0),0)</f>
        <v>0</v>
      </c>
      <c r="DB188" s="470" t="n">
        <f aca="false">IF(BD188,EURO(CP188,Strike2,AO188,AO188,CW188,CO188,IF(OptControl=3,1,0),0),0)</f>
        <v>0</v>
      </c>
      <c r="DC188" s="470" t="n">
        <f aca="false">IF(BD188,EURO(CP188,Strike2,AO188,AO188,CW188,CO188,IF(OptControl=3,1,0),1)+IF(OR(VolSkewFlag=2,ABS(CR188)&lt;0.0001),0,IF(CR188&gt;0,-1,1)*DD188*100*Strike2/CP188^2*CT188/10%),0)</f>
        <v>0</v>
      </c>
      <c r="DD188" s="470" t="n">
        <f aca="false">IF(BD188,EURO(CP188,Strike2,AO188,AO188,CW188,CO188,IF(OptControl=3,1,0),3)/100,0)</f>
        <v>0</v>
      </c>
      <c r="DE188" s="472" t="n">
        <f aca="false">IF(BD188,EURO(CP188,Strike2,AO188,AO188,CW188,CO188,IF(OptControl=3,1,0),0)-EURO(CP188,Strike2,AO188,AO188,CW188,CO188-1,IF(OptControl=3,1,0),0),0)</f>
        <v>0</v>
      </c>
      <c r="DG188" s="481" t="n">
        <f aca="false">EOMONTH(DG187,0)+1</f>
        <v>50802</v>
      </c>
      <c r="DH188" s="478" t="n">
        <v>22.5600000000001</v>
      </c>
      <c r="DI188" s="479" t="n">
        <v>22.6250000000001</v>
      </c>
      <c r="DJ188" s="480" t="n">
        <f aca="false">DG188</f>
        <v>50802</v>
      </c>
      <c r="DK188" s="478" t="n">
        <v>21.3604413760559</v>
      </c>
      <c r="DL188" s="479" t="n">
        <v>21.4565000000001</v>
      </c>
      <c r="DM188" s="481" t="n">
        <f aca="false">DG188</f>
        <v>50802</v>
      </c>
      <c r="DN188" s="482" t="n">
        <f aca="false">DK188+BrentPhyBrentSpread</f>
        <v>21.4104413760559</v>
      </c>
      <c r="DO188" s="481" t="n">
        <f aca="false">DG188</f>
        <v>50802</v>
      </c>
      <c r="DP188" s="483" t="n">
        <f aca="false">DL188+DQ188</f>
        <v>21.4565000000001</v>
      </c>
      <c r="DQ188" s="546" t="n">
        <v>0</v>
      </c>
      <c r="DR188" s="480" t="n">
        <f aca="false">DG188</f>
        <v>50802</v>
      </c>
      <c r="DS188" s="485" t="n">
        <v>0.123799999999998</v>
      </c>
      <c r="DT188" s="486" t="n">
        <v>0.123019999999998</v>
      </c>
      <c r="DU188" s="480" t="n">
        <f aca="false">DG188</f>
        <v>50802</v>
      </c>
      <c r="DV188" s="485" t="n">
        <v>0.123799999999998</v>
      </c>
      <c r="DW188" s="486" t="n">
        <v>0.123019999999998</v>
      </c>
      <c r="DX188" s="481" t="n">
        <f aca="false">DG188</f>
        <v>50802</v>
      </c>
      <c r="DY188" s="486" t="n">
        <v>0.35</v>
      </c>
      <c r="DZ188" s="481" t="n">
        <f aca="false">DR188</f>
        <v>50802</v>
      </c>
      <c r="EA188" s="486" t="n">
        <f aca="false">DT188</f>
        <v>0.123019999999998</v>
      </c>
      <c r="EB188" s="195"/>
      <c r="EC188" s="547" t="str">
        <f aca="false">IF(BD188,IF(Underlying=1,AS188,AU188),"")</f>
        <v/>
      </c>
      <c r="ED188" s="548" t="str">
        <f aca="false">IF($BD188,$EC188+IF(VolSkewFlag=1,IF(BS188&gt;0,$BA188*MIN(BS188/10%,1)+($BB188-$BA188)*MAX(0,MIN(BS188/10%-1,1))+($BC188-$BB188)*MAX(0,BS188/10%-2),$AZ188*MIN(-BS188/10%,1)+($AY188-$AZ188)*MAX(0,MIN(-BS188/10%-1,1))+($AX188-$AY188)*MAX(0,-BS188/10%-2)),0),"")</f>
        <v/>
      </c>
      <c r="EE188" s="549" t="str">
        <f aca="false">IF($BD188,$EC188+IF(VolSkewFlag=1,IF(BT188&gt;0,$BA188*MIN(BT188/10%,1)+($BB188-$BA188)*MAX(0,MIN(BT188/10%-1,1))+($BC188-$BB188)*MAX(0,BT188/10%-2),$AZ188*MIN(-BT188/10%,1)+($AY188-$AZ188)*MAX(0,MIN(-BT188/10%-1,1))+($AX188-$AY188)*MAX(0,-BT188/10%-2)),0),"")</f>
        <v/>
      </c>
      <c r="EF188" s="550" t="n">
        <f aca="false">IF(BD188,xASN(BR188,Strike1,AO188,ED188,0,BO188,0,BI188,BL188,IF(OptControl=4,0,1),0),0)</f>
        <v>0</v>
      </c>
      <c r="EG188" s="551" t="n">
        <f aca="false">IF(BD188,xASN(BR188,Strike2,AO188,EE188,0,BO188,0,BI188,BL188,IF(OptControl=3,1,0),0),0)</f>
        <v>0</v>
      </c>
      <c r="EL188" s="1"/>
      <c r="EM188" s="195"/>
      <c r="EN188" s="240"/>
      <c r="EO188" s="240"/>
      <c r="EP188" s="195"/>
      <c r="EQ188" s="407" t="s">
        <v>416</v>
      </c>
      <c r="ES188" s="130"/>
      <c r="ET188" s="19"/>
      <c r="EU188" s="672"/>
      <c r="EV188" s="478"/>
      <c r="EW188" s="131"/>
      <c r="EX188" s="131"/>
      <c r="EY188" s="129"/>
      <c r="EZ188" s="129"/>
      <c r="FA188" s="129"/>
      <c r="FB188" s="129"/>
      <c r="FC188" s="129"/>
      <c r="FD188" s="129"/>
      <c r="FE188" s="129"/>
      <c r="FF188" s="129"/>
      <c r="FG188" s="129"/>
      <c r="FH188" s="129"/>
      <c r="FI188" s="129"/>
      <c r="FJ188" s="571" t="n">
        <v>19</v>
      </c>
      <c r="FK188" s="150" t="str">
        <f aca="false">IF(OR(FK$169&lt;SwaptionFirstMonthPosition+1,$FJ188&lt;SwaptionFirstMonthPosition+1,FK$169&gt;SwaptionFirstMonthPosition+SwaptionNumOfMonths+1,$FJ188&gt;SwaptionFirstMonthPosition+SwaptionNumOfMonths+1),"",IF($FJ188=FK$169,1,IF($FJ188&lt;FK$169,INDEX($FK$170:$ID$241,FK$169,$FJ188),SUMPRODUCT(INDEX($FK$325:$ID$396,FK$169,1+SwaptionShift):INDEX($FK$325:$ID$396,FK$169,SwaptionMonthsToGo+SwaptionShift),INDEX($FK$245:$ID$316,$FJ188-FK$169,73-FK$169+SwaptionShift):INDEX($FK$245:$ID$316,$FJ188-FK$169,72-FK$169+SwaptionMonthsToGo+SwaptionShift))/SQRT(SUM(INDEX($FK343:$ID343,1+SwaptionShift):INDEX($FK343:$ID343,SwaptionMonthsToGo+SwaptionShift))*SUM(INDEX($FK$325:$ID$396,FK$169,1+SwaptionShift):INDEX($FK$325:$ID$396,FK$169,SwaptionMonthsToGo+SwaptionShift))))))</f>
        <v/>
      </c>
      <c r="FL188" s="150" t="str">
        <f aca="false">IF(OR(FL$169&lt;SwaptionFirstMonthPosition+1,$FJ188&lt;SwaptionFirstMonthPosition+1,FL$169&gt;SwaptionFirstMonthPosition+SwaptionNumOfMonths+1,$FJ188&gt;SwaptionFirstMonthPosition+SwaptionNumOfMonths+1),"",IF($FJ188=FL$169,1,IF($FJ188&lt;FL$169,INDEX($FK$170:$ID$241,FL$169,$FJ188),SUMPRODUCT(INDEX($FK$325:$ID$396,FL$169,1+SwaptionShift):INDEX($FK$325:$ID$396,FL$169,SwaptionMonthsToGo+SwaptionShift),INDEX($FK$245:$ID$316,$FJ188-FL$169,73-FL$169+SwaptionShift):INDEX($FK$245:$ID$316,$FJ188-FL$169,72-FL$169+SwaptionMonthsToGo+SwaptionShift))/SQRT(SUM(INDEX($FK343:$ID343,1+SwaptionShift):INDEX($FK343:$ID343,SwaptionMonthsToGo+SwaptionShift))*SUM(INDEX($FK$325:$ID$396,FL$169,1+SwaptionShift):INDEX($FK$325:$ID$396,FL$169,SwaptionMonthsToGo+SwaptionShift))))))</f>
        <v/>
      </c>
      <c r="FM188" s="150" t="str">
        <f aca="false">IF(OR(FM$169&lt;SwaptionFirstMonthPosition+1,$FJ188&lt;SwaptionFirstMonthPosition+1,FM$169&gt;SwaptionFirstMonthPosition+SwaptionNumOfMonths+1,$FJ188&gt;SwaptionFirstMonthPosition+SwaptionNumOfMonths+1),"",IF($FJ188=FM$169,1,IF($FJ188&lt;FM$169,INDEX($FK$170:$ID$241,FM$169,$FJ188),SUMPRODUCT(INDEX($FK$325:$ID$396,FM$169,1+SwaptionShift):INDEX($FK$325:$ID$396,FM$169,SwaptionMonthsToGo+SwaptionShift),INDEX($FK$245:$ID$316,$FJ188-FM$169,73-FM$169+SwaptionShift):INDEX($FK$245:$ID$316,$FJ188-FM$169,72-FM$169+SwaptionMonthsToGo+SwaptionShift))/SQRT(SUM(INDEX($FK343:$ID343,1+SwaptionShift):INDEX($FK343:$ID343,SwaptionMonthsToGo+SwaptionShift))*SUM(INDEX($FK$325:$ID$396,FM$169,1+SwaptionShift):INDEX($FK$325:$ID$396,FM$169,SwaptionMonthsToGo+SwaptionShift))))))</f>
        <v/>
      </c>
      <c r="FN188" s="150" t="str">
        <f aca="false">IF(OR(FN$169&lt;SwaptionFirstMonthPosition+1,$FJ188&lt;SwaptionFirstMonthPosition+1,FN$169&gt;SwaptionFirstMonthPosition+SwaptionNumOfMonths+1,$FJ188&gt;SwaptionFirstMonthPosition+SwaptionNumOfMonths+1),"",IF($FJ188=FN$169,1,IF($FJ188&lt;FN$169,INDEX($FK$170:$ID$241,FN$169,$FJ188),SUMPRODUCT(INDEX($FK$325:$ID$396,FN$169,1+SwaptionShift):INDEX($FK$325:$ID$396,FN$169,SwaptionMonthsToGo+SwaptionShift),INDEX($FK$245:$ID$316,$FJ188-FN$169,73-FN$169+SwaptionShift):INDEX($FK$245:$ID$316,$FJ188-FN$169,72-FN$169+SwaptionMonthsToGo+SwaptionShift))/SQRT(SUM(INDEX($FK343:$ID343,1+SwaptionShift):INDEX($FK343:$ID343,SwaptionMonthsToGo+SwaptionShift))*SUM(INDEX($FK$325:$ID$396,FN$169,1+SwaptionShift):INDEX($FK$325:$ID$396,FN$169,SwaptionMonthsToGo+SwaptionShift))))))</f>
        <v/>
      </c>
      <c r="FO188" s="150" t="str">
        <f aca="false">IF(OR(FO$169&lt;SwaptionFirstMonthPosition+1,$FJ188&lt;SwaptionFirstMonthPosition+1,FO$169&gt;SwaptionFirstMonthPosition+SwaptionNumOfMonths+1,$FJ188&gt;SwaptionFirstMonthPosition+SwaptionNumOfMonths+1),"",IF($FJ188=FO$169,1,IF($FJ188&lt;FO$169,INDEX($FK$170:$ID$241,FO$169,$FJ188),SUMPRODUCT(INDEX($FK$325:$ID$396,FO$169,1+SwaptionShift):INDEX($FK$325:$ID$396,FO$169,SwaptionMonthsToGo+SwaptionShift),INDEX($FK$245:$ID$316,$FJ188-FO$169,73-FO$169+SwaptionShift):INDEX($FK$245:$ID$316,$FJ188-FO$169,72-FO$169+SwaptionMonthsToGo+SwaptionShift))/SQRT(SUM(INDEX($FK343:$ID343,1+SwaptionShift):INDEX($FK343:$ID343,SwaptionMonthsToGo+SwaptionShift))*SUM(INDEX($FK$325:$ID$396,FO$169,1+SwaptionShift):INDEX($FK$325:$ID$396,FO$169,SwaptionMonthsToGo+SwaptionShift))))))</f>
        <v/>
      </c>
      <c r="FP188" s="150" t="str">
        <f aca="false">IF(OR(FP$169&lt;SwaptionFirstMonthPosition+1,$FJ188&lt;SwaptionFirstMonthPosition+1,FP$169&gt;SwaptionFirstMonthPosition+SwaptionNumOfMonths+1,$FJ188&gt;SwaptionFirstMonthPosition+SwaptionNumOfMonths+1),"",IF($FJ188=FP$169,1,IF($FJ188&lt;FP$169,INDEX($FK$170:$ID$241,FP$169,$FJ188),SUMPRODUCT(INDEX($FK$325:$ID$396,FP$169,1+SwaptionShift):INDEX($FK$325:$ID$396,FP$169,SwaptionMonthsToGo+SwaptionShift),INDEX($FK$245:$ID$316,$FJ188-FP$169,73-FP$169+SwaptionShift):INDEX($FK$245:$ID$316,$FJ188-FP$169,72-FP$169+SwaptionMonthsToGo+SwaptionShift))/SQRT(SUM(INDEX($FK343:$ID343,1+SwaptionShift):INDEX($FK343:$ID343,SwaptionMonthsToGo+SwaptionShift))*SUM(INDEX($FK$325:$ID$396,FP$169,1+SwaptionShift):INDEX($FK$325:$ID$396,FP$169,SwaptionMonthsToGo+SwaptionShift))))))</f>
        <v/>
      </c>
      <c r="FQ188" s="150" t="str">
        <f aca="false">IF(OR(FQ$169&lt;SwaptionFirstMonthPosition+1,$FJ188&lt;SwaptionFirstMonthPosition+1,FQ$169&gt;SwaptionFirstMonthPosition+SwaptionNumOfMonths+1,$FJ188&gt;SwaptionFirstMonthPosition+SwaptionNumOfMonths+1),"",IF($FJ188=FQ$169,1,IF($FJ188&lt;FQ$169,INDEX($FK$170:$ID$241,FQ$169,$FJ188),SUMPRODUCT(INDEX($FK$325:$ID$396,FQ$169,1+SwaptionShift):INDEX($FK$325:$ID$396,FQ$169,SwaptionMonthsToGo+SwaptionShift),INDEX($FK$245:$ID$316,$FJ188-FQ$169,73-FQ$169+SwaptionShift):INDEX($FK$245:$ID$316,$FJ188-FQ$169,72-FQ$169+SwaptionMonthsToGo+SwaptionShift))/SQRT(SUM(INDEX($FK343:$ID343,1+SwaptionShift):INDEX($FK343:$ID343,SwaptionMonthsToGo+SwaptionShift))*SUM(INDEX($FK$325:$ID$396,FQ$169,1+SwaptionShift):INDEX($FK$325:$ID$396,FQ$169,SwaptionMonthsToGo+SwaptionShift))))))</f>
        <v/>
      </c>
      <c r="FR188" s="150" t="str">
        <f aca="false">IF(OR(FR$169&lt;SwaptionFirstMonthPosition+1,$FJ188&lt;SwaptionFirstMonthPosition+1,FR$169&gt;SwaptionFirstMonthPosition+SwaptionNumOfMonths+1,$FJ188&gt;SwaptionFirstMonthPosition+SwaptionNumOfMonths+1),"",IF($FJ188=FR$169,1,IF($FJ188&lt;FR$169,INDEX($FK$170:$ID$241,FR$169,$FJ188),SUMPRODUCT(INDEX($FK$325:$ID$396,FR$169,1+SwaptionShift):INDEX($FK$325:$ID$396,FR$169,SwaptionMonthsToGo+SwaptionShift),INDEX($FK$245:$ID$316,$FJ188-FR$169,73-FR$169+SwaptionShift):INDEX($FK$245:$ID$316,$FJ188-FR$169,72-FR$169+SwaptionMonthsToGo+SwaptionShift))/SQRT(SUM(INDEX($FK343:$ID343,1+SwaptionShift):INDEX($FK343:$ID343,SwaptionMonthsToGo+SwaptionShift))*SUM(INDEX($FK$325:$ID$396,FR$169,1+SwaptionShift):INDEX($FK$325:$ID$396,FR$169,SwaptionMonthsToGo+SwaptionShift))))))</f>
        <v/>
      </c>
      <c r="FS188" s="150" t="str">
        <f aca="false">IF(OR(FS$169&lt;SwaptionFirstMonthPosition+1,$FJ188&lt;SwaptionFirstMonthPosition+1,FS$169&gt;SwaptionFirstMonthPosition+SwaptionNumOfMonths+1,$FJ188&gt;SwaptionFirstMonthPosition+SwaptionNumOfMonths+1),"",IF($FJ188=FS$169,1,IF($FJ188&lt;FS$169,INDEX($FK$170:$ID$241,FS$169,$FJ188),SUMPRODUCT(INDEX($FK$325:$ID$396,FS$169,1+SwaptionShift):INDEX($FK$325:$ID$396,FS$169,SwaptionMonthsToGo+SwaptionShift),INDEX($FK$245:$ID$316,$FJ188-FS$169,73-FS$169+SwaptionShift):INDEX($FK$245:$ID$316,$FJ188-FS$169,72-FS$169+SwaptionMonthsToGo+SwaptionShift))/SQRT(SUM(INDEX($FK343:$ID343,1+SwaptionShift):INDEX($FK343:$ID343,SwaptionMonthsToGo+SwaptionShift))*SUM(INDEX($FK$325:$ID$396,FS$169,1+SwaptionShift):INDEX($FK$325:$ID$396,FS$169,SwaptionMonthsToGo+SwaptionShift))))))</f>
        <v/>
      </c>
      <c r="FT188" s="150" t="str">
        <f aca="false">IF(OR(FT$169&lt;SwaptionFirstMonthPosition+1,$FJ188&lt;SwaptionFirstMonthPosition+1,FT$169&gt;SwaptionFirstMonthPosition+SwaptionNumOfMonths+1,$FJ188&gt;SwaptionFirstMonthPosition+SwaptionNumOfMonths+1),"",IF($FJ188=FT$169,1,IF($FJ188&lt;FT$169,INDEX($FK$170:$ID$241,FT$169,$FJ188),SUMPRODUCT(INDEX($FK$325:$ID$396,FT$169,1+SwaptionShift):INDEX($FK$325:$ID$396,FT$169,SwaptionMonthsToGo+SwaptionShift),INDEX($FK$245:$ID$316,$FJ188-FT$169,73-FT$169+SwaptionShift):INDEX($FK$245:$ID$316,$FJ188-FT$169,72-FT$169+SwaptionMonthsToGo+SwaptionShift))/SQRT(SUM(INDEX($FK343:$ID343,1+SwaptionShift):INDEX($FK343:$ID343,SwaptionMonthsToGo+SwaptionShift))*SUM(INDEX($FK$325:$ID$396,FT$169,1+SwaptionShift):INDEX($FK$325:$ID$396,FT$169,SwaptionMonthsToGo+SwaptionShift))))))</f>
        <v/>
      </c>
      <c r="FU188" s="150" t="str">
        <f aca="false">IF(OR(FU$169&lt;SwaptionFirstMonthPosition+1,$FJ188&lt;SwaptionFirstMonthPosition+1,FU$169&gt;SwaptionFirstMonthPosition+SwaptionNumOfMonths+1,$FJ188&gt;SwaptionFirstMonthPosition+SwaptionNumOfMonths+1),"",IF($FJ188=FU$169,1,IF($FJ188&lt;FU$169,INDEX($FK$170:$ID$241,FU$169,$FJ188),SUMPRODUCT(INDEX($FK$325:$ID$396,FU$169,1+SwaptionShift):INDEX($FK$325:$ID$396,FU$169,SwaptionMonthsToGo+SwaptionShift),INDEX($FK$245:$ID$316,$FJ188-FU$169,73-FU$169+SwaptionShift):INDEX($FK$245:$ID$316,$FJ188-FU$169,72-FU$169+SwaptionMonthsToGo+SwaptionShift))/SQRT(SUM(INDEX($FK343:$ID343,1+SwaptionShift):INDEX($FK343:$ID343,SwaptionMonthsToGo+SwaptionShift))*SUM(INDEX($FK$325:$ID$396,FU$169,1+SwaptionShift):INDEX($FK$325:$ID$396,FU$169,SwaptionMonthsToGo+SwaptionShift))))))</f>
        <v/>
      </c>
      <c r="FV188" s="150" t="str">
        <f aca="false">IF(OR(FV$169&lt;SwaptionFirstMonthPosition+1,$FJ188&lt;SwaptionFirstMonthPosition+1,FV$169&gt;SwaptionFirstMonthPosition+SwaptionNumOfMonths+1,$FJ188&gt;SwaptionFirstMonthPosition+SwaptionNumOfMonths+1),"",IF($FJ188=FV$169,1,IF($FJ188&lt;FV$169,INDEX($FK$170:$ID$241,FV$169,$FJ188),SUMPRODUCT(INDEX($FK$325:$ID$396,FV$169,1+SwaptionShift):INDEX($FK$325:$ID$396,FV$169,SwaptionMonthsToGo+SwaptionShift),INDEX($FK$245:$ID$316,$FJ188-FV$169,73-FV$169+SwaptionShift):INDEX($FK$245:$ID$316,$FJ188-FV$169,72-FV$169+SwaptionMonthsToGo+SwaptionShift))/SQRT(SUM(INDEX($FK343:$ID343,1+SwaptionShift):INDEX($FK343:$ID343,SwaptionMonthsToGo+SwaptionShift))*SUM(INDEX($FK$325:$ID$396,FV$169,1+SwaptionShift):INDEX($FK$325:$ID$396,FV$169,SwaptionMonthsToGo+SwaptionShift))))))</f>
        <v/>
      </c>
      <c r="FW188" s="150" t="str">
        <f aca="false">IF(OR(FW$169&lt;SwaptionFirstMonthPosition+1,$FJ188&lt;SwaptionFirstMonthPosition+1,FW$169&gt;SwaptionFirstMonthPosition+SwaptionNumOfMonths+1,$FJ188&gt;SwaptionFirstMonthPosition+SwaptionNumOfMonths+1),"",IF($FJ188=FW$169,1,IF($FJ188&lt;FW$169,INDEX($FK$170:$ID$241,FW$169,$FJ188),SUMPRODUCT(INDEX($FK$325:$ID$396,FW$169,1+SwaptionShift):INDEX($FK$325:$ID$396,FW$169,SwaptionMonthsToGo+SwaptionShift),INDEX($FK$245:$ID$316,$FJ188-FW$169,73-FW$169+SwaptionShift):INDEX($FK$245:$ID$316,$FJ188-FW$169,72-FW$169+SwaptionMonthsToGo+SwaptionShift))/SQRT(SUM(INDEX($FK343:$ID343,1+SwaptionShift):INDEX($FK343:$ID343,SwaptionMonthsToGo+SwaptionShift))*SUM(INDEX($FK$325:$ID$396,FW$169,1+SwaptionShift):INDEX($FK$325:$ID$396,FW$169,SwaptionMonthsToGo+SwaptionShift))))))</f>
        <v/>
      </c>
      <c r="FX188" s="150" t="str">
        <f aca="false">IF(OR(FX$169&lt;SwaptionFirstMonthPosition+1,$FJ188&lt;SwaptionFirstMonthPosition+1,FX$169&gt;SwaptionFirstMonthPosition+SwaptionNumOfMonths+1,$FJ188&gt;SwaptionFirstMonthPosition+SwaptionNumOfMonths+1),"",IF($FJ188=FX$169,1,IF($FJ188&lt;FX$169,INDEX($FK$170:$ID$241,FX$169,$FJ188),SUMPRODUCT(INDEX($FK$325:$ID$396,FX$169,1+SwaptionShift):INDEX($FK$325:$ID$396,FX$169,SwaptionMonthsToGo+SwaptionShift),INDEX($FK$245:$ID$316,$FJ188-FX$169,73-FX$169+SwaptionShift):INDEX($FK$245:$ID$316,$FJ188-FX$169,72-FX$169+SwaptionMonthsToGo+SwaptionShift))/SQRT(SUM(INDEX($FK343:$ID343,1+SwaptionShift):INDEX($FK343:$ID343,SwaptionMonthsToGo+SwaptionShift))*SUM(INDEX($FK$325:$ID$396,FX$169,1+SwaptionShift):INDEX($FK$325:$ID$396,FX$169,SwaptionMonthsToGo+SwaptionShift))))))</f>
        <v/>
      </c>
      <c r="FY188" s="150" t="str">
        <f aca="false">IF(OR(FY$169&lt;SwaptionFirstMonthPosition+1,$FJ188&lt;SwaptionFirstMonthPosition+1,FY$169&gt;SwaptionFirstMonthPosition+SwaptionNumOfMonths+1,$FJ188&gt;SwaptionFirstMonthPosition+SwaptionNumOfMonths+1),"",IF($FJ188=FY$169,1,IF($FJ188&lt;FY$169,INDEX($FK$170:$ID$241,FY$169,$FJ188),SUMPRODUCT(INDEX($FK$325:$ID$396,FY$169,1+SwaptionShift):INDEX($FK$325:$ID$396,FY$169,SwaptionMonthsToGo+SwaptionShift),INDEX($FK$245:$ID$316,$FJ188-FY$169,73-FY$169+SwaptionShift):INDEX($FK$245:$ID$316,$FJ188-FY$169,72-FY$169+SwaptionMonthsToGo+SwaptionShift))/SQRT(SUM(INDEX($FK343:$ID343,1+SwaptionShift):INDEX($FK343:$ID343,SwaptionMonthsToGo+SwaptionShift))*SUM(INDEX($FK$325:$ID$396,FY$169,1+SwaptionShift):INDEX($FK$325:$ID$396,FY$169,SwaptionMonthsToGo+SwaptionShift))))))</f>
        <v/>
      </c>
      <c r="FZ188" s="150" t="str">
        <f aca="false">IF(OR(FZ$169&lt;SwaptionFirstMonthPosition+1,$FJ188&lt;SwaptionFirstMonthPosition+1,FZ$169&gt;SwaptionFirstMonthPosition+SwaptionNumOfMonths+1,$FJ188&gt;SwaptionFirstMonthPosition+SwaptionNumOfMonths+1),"",IF($FJ188=FZ$169,1,IF($FJ188&lt;FZ$169,INDEX($FK$170:$ID$241,FZ$169,$FJ188),SUMPRODUCT(INDEX($FK$325:$ID$396,FZ$169,1+SwaptionShift):INDEX($FK$325:$ID$396,FZ$169,SwaptionMonthsToGo+SwaptionShift),INDEX($FK$245:$ID$316,$FJ188-FZ$169,73-FZ$169+SwaptionShift):INDEX($FK$245:$ID$316,$FJ188-FZ$169,72-FZ$169+SwaptionMonthsToGo+SwaptionShift))/SQRT(SUM(INDEX($FK343:$ID343,1+SwaptionShift):INDEX($FK343:$ID343,SwaptionMonthsToGo+SwaptionShift))*SUM(INDEX($FK$325:$ID$396,FZ$169,1+SwaptionShift):INDEX($FK$325:$ID$396,FZ$169,SwaptionMonthsToGo+SwaptionShift))))))</f>
        <v/>
      </c>
      <c r="GA188" s="150" t="str">
        <f aca="false">IF(OR(GA$169&lt;SwaptionFirstMonthPosition+1,$FJ188&lt;SwaptionFirstMonthPosition+1,GA$169&gt;SwaptionFirstMonthPosition+SwaptionNumOfMonths+1,$FJ188&gt;SwaptionFirstMonthPosition+SwaptionNumOfMonths+1),"",IF($FJ188=GA$169,1,IF($FJ188&lt;GA$169,INDEX($FK$170:$ID$241,GA$169,$FJ188),SUMPRODUCT(INDEX($FK$325:$ID$396,GA$169,1+SwaptionShift):INDEX($FK$325:$ID$396,GA$169,SwaptionMonthsToGo+SwaptionShift),INDEX($FK$245:$ID$316,$FJ188-GA$169,73-GA$169+SwaptionShift):INDEX($FK$245:$ID$316,$FJ188-GA$169,72-GA$169+SwaptionMonthsToGo+SwaptionShift))/SQRT(SUM(INDEX($FK343:$ID343,1+SwaptionShift):INDEX($FK343:$ID343,SwaptionMonthsToGo+SwaptionShift))*SUM(INDEX($FK$325:$ID$396,GA$169,1+SwaptionShift):INDEX($FK$325:$ID$396,GA$169,SwaptionMonthsToGo+SwaptionShift))))))</f>
        <v/>
      </c>
      <c r="GB188" s="150" t="str">
        <f aca="false">IF(OR(GB$169&lt;SwaptionFirstMonthPosition+1,$FJ188&lt;SwaptionFirstMonthPosition+1,GB$169&gt;SwaptionFirstMonthPosition+SwaptionNumOfMonths+1,$FJ188&gt;SwaptionFirstMonthPosition+SwaptionNumOfMonths+1),"",IF($FJ188=GB$169,1,IF($FJ188&lt;GB$169,INDEX($FK$170:$ID$241,GB$169,$FJ188),SUMPRODUCT(INDEX($FK$325:$ID$396,GB$169,1+SwaptionShift):INDEX($FK$325:$ID$396,GB$169,SwaptionMonthsToGo+SwaptionShift),INDEX($FK$245:$ID$316,$FJ188-GB$169,73-GB$169+SwaptionShift):INDEX($FK$245:$ID$316,$FJ188-GB$169,72-GB$169+SwaptionMonthsToGo+SwaptionShift))/SQRT(SUM(INDEX($FK343:$ID343,1+SwaptionShift):INDEX($FK343:$ID343,SwaptionMonthsToGo+SwaptionShift))*SUM(INDEX($FK$325:$ID$396,GB$169,1+SwaptionShift):INDEX($FK$325:$ID$396,GB$169,SwaptionMonthsToGo+SwaptionShift))))))</f>
        <v/>
      </c>
      <c r="GC188" s="150" t="str">
        <f aca="false">IF(OR(GC$169&lt;SwaptionFirstMonthPosition+1,$FJ188&lt;SwaptionFirstMonthPosition+1,GC$169&gt;SwaptionFirstMonthPosition+SwaptionNumOfMonths+1,$FJ188&gt;SwaptionFirstMonthPosition+SwaptionNumOfMonths+1),"",IF($FJ188=GC$169,1,IF($FJ188&lt;GC$169,INDEX($FK$170:$ID$241,GC$169,$FJ188),SUMPRODUCT(INDEX($FK$325:$ID$396,GC$169,1+SwaptionShift):INDEX($FK$325:$ID$396,GC$169,SwaptionMonthsToGo+SwaptionShift),INDEX($FK$245:$ID$316,$FJ188-GC$169,73-GC$169+SwaptionShift):INDEX($FK$245:$ID$316,$FJ188-GC$169,72-GC$169+SwaptionMonthsToGo+SwaptionShift))/SQRT(SUM(INDEX($FK343:$ID343,1+SwaptionShift):INDEX($FK343:$ID343,SwaptionMonthsToGo+SwaptionShift))*SUM(INDEX($FK$325:$ID$396,GC$169,1+SwaptionShift):INDEX($FK$325:$ID$396,GC$169,SwaptionMonthsToGo+SwaptionShift))))))</f>
        <v/>
      </c>
      <c r="GD188" s="150" t="str">
        <f aca="false">IF(OR(GD$169&lt;SwaptionFirstMonthPosition+1,$FJ188&lt;SwaptionFirstMonthPosition+1,GD$169&gt;SwaptionFirstMonthPosition+SwaptionNumOfMonths+1,$FJ188&gt;SwaptionFirstMonthPosition+SwaptionNumOfMonths+1),"",IF($FJ188=GD$169,1,IF($FJ188&lt;GD$169,INDEX($FK$170:$ID$241,GD$169,$FJ188),SUMPRODUCT(INDEX($FK$325:$ID$396,GD$169,1+SwaptionShift):INDEX($FK$325:$ID$396,GD$169,SwaptionMonthsToGo+SwaptionShift),INDEX($FK$245:$ID$316,$FJ188-GD$169,73-GD$169+SwaptionShift):INDEX($FK$245:$ID$316,$FJ188-GD$169,72-GD$169+SwaptionMonthsToGo+SwaptionShift))/SQRT(SUM(INDEX($FK343:$ID343,1+SwaptionShift):INDEX($FK343:$ID343,SwaptionMonthsToGo+SwaptionShift))*SUM(INDEX($FK$325:$ID$396,GD$169,1+SwaptionShift):INDEX($FK$325:$ID$396,GD$169,SwaptionMonthsToGo+SwaptionShift))))))</f>
        <v/>
      </c>
      <c r="GE188" s="150" t="str">
        <f aca="false">IF(OR(GE$169&lt;SwaptionFirstMonthPosition+1,$FJ188&lt;SwaptionFirstMonthPosition+1,GE$169&gt;SwaptionFirstMonthPosition+SwaptionNumOfMonths+1,$FJ188&gt;SwaptionFirstMonthPosition+SwaptionNumOfMonths+1),"",IF($FJ188=GE$169,1,IF($FJ188&lt;GE$169,INDEX($FK$170:$ID$241,GE$169,$FJ188),SUMPRODUCT(INDEX($FK$325:$ID$396,GE$169,1+SwaptionShift):INDEX($FK$325:$ID$396,GE$169,SwaptionMonthsToGo+SwaptionShift),INDEX($FK$245:$ID$316,$FJ188-GE$169,73-GE$169+SwaptionShift):INDEX($FK$245:$ID$316,$FJ188-GE$169,72-GE$169+SwaptionMonthsToGo+SwaptionShift))/SQRT(SUM(INDEX($FK343:$ID343,1+SwaptionShift):INDEX($FK343:$ID343,SwaptionMonthsToGo+SwaptionShift))*SUM(INDEX($FK$325:$ID$396,GE$169,1+SwaptionShift):INDEX($FK$325:$ID$396,GE$169,SwaptionMonthsToGo+SwaptionShift))))))</f>
        <v/>
      </c>
      <c r="GF188" s="150" t="str">
        <f aca="false">IF(OR(GF$169&lt;SwaptionFirstMonthPosition+1,$FJ188&lt;SwaptionFirstMonthPosition+1,GF$169&gt;SwaptionFirstMonthPosition+SwaptionNumOfMonths+1,$FJ188&gt;SwaptionFirstMonthPosition+SwaptionNumOfMonths+1),"",IF($FJ188=GF$169,1,IF($FJ188&lt;GF$169,INDEX($FK$170:$ID$241,GF$169,$FJ188),SUMPRODUCT(INDEX($FK$325:$ID$396,GF$169,1+SwaptionShift):INDEX($FK$325:$ID$396,GF$169,SwaptionMonthsToGo+SwaptionShift),INDEX($FK$245:$ID$316,$FJ188-GF$169,73-GF$169+SwaptionShift):INDEX($FK$245:$ID$316,$FJ188-GF$169,72-GF$169+SwaptionMonthsToGo+SwaptionShift))/SQRT(SUM(INDEX($FK343:$ID343,1+SwaptionShift):INDEX($FK343:$ID343,SwaptionMonthsToGo+SwaptionShift))*SUM(INDEX($FK$325:$ID$396,GF$169,1+SwaptionShift):INDEX($FK$325:$ID$396,GF$169,SwaptionMonthsToGo+SwaptionShift))))))</f>
        <v/>
      </c>
      <c r="GG188" s="150" t="str">
        <f aca="false">IF(OR(GG$169&lt;SwaptionFirstMonthPosition+1,$FJ188&lt;SwaptionFirstMonthPosition+1,GG$169&gt;SwaptionFirstMonthPosition+SwaptionNumOfMonths+1,$FJ188&gt;SwaptionFirstMonthPosition+SwaptionNumOfMonths+1),"",IF($FJ188=GG$169,1,IF($FJ188&lt;GG$169,INDEX($FK$170:$ID$241,GG$169,$FJ188),SUMPRODUCT(INDEX($FK$325:$ID$396,GG$169,1+SwaptionShift):INDEX($FK$325:$ID$396,GG$169,SwaptionMonthsToGo+SwaptionShift),INDEX($FK$245:$ID$316,$FJ188-GG$169,73-GG$169+SwaptionShift):INDEX($FK$245:$ID$316,$FJ188-GG$169,72-GG$169+SwaptionMonthsToGo+SwaptionShift))/SQRT(SUM(INDEX($FK343:$ID343,1+SwaptionShift):INDEX($FK343:$ID343,SwaptionMonthsToGo+SwaptionShift))*SUM(INDEX($FK$325:$ID$396,GG$169,1+SwaptionShift):INDEX($FK$325:$ID$396,GG$169,SwaptionMonthsToGo+SwaptionShift))))))</f>
        <v/>
      </c>
      <c r="GH188" s="150" t="str">
        <f aca="false">IF(OR(GH$169&lt;SwaptionFirstMonthPosition+1,$FJ188&lt;SwaptionFirstMonthPosition+1,GH$169&gt;SwaptionFirstMonthPosition+SwaptionNumOfMonths+1,$FJ188&gt;SwaptionFirstMonthPosition+SwaptionNumOfMonths+1),"",IF($FJ188=GH$169,1,IF($FJ188&lt;GH$169,INDEX($FK$170:$ID$241,GH$169,$FJ188),SUMPRODUCT(INDEX($FK$325:$ID$396,GH$169,1+SwaptionShift):INDEX($FK$325:$ID$396,GH$169,SwaptionMonthsToGo+SwaptionShift),INDEX($FK$245:$ID$316,$FJ188-GH$169,73-GH$169+SwaptionShift):INDEX($FK$245:$ID$316,$FJ188-GH$169,72-GH$169+SwaptionMonthsToGo+SwaptionShift))/SQRT(SUM(INDEX($FK343:$ID343,1+SwaptionShift):INDEX($FK343:$ID343,SwaptionMonthsToGo+SwaptionShift))*SUM(INDEX($FK$325:$ID$396,GH$169,1+SwaptionShift):INDEX($FK$325:$ID$396,GH$169,SwaptionMonthsToGo+SwaptionShift))))))</f>
        <v/>
      </c>
      <c r="GI188" s="150" t="str">
        <f aca="false">IF(OR(GI$169&lt;SwaptionFirstMonthPosition+1,$FJ188&lt;SwaptionFirstMonthPosition+1,GI$169&gt;SwaptionFirstMonthPosition+SwaptionNumOfMonths+1,$FJ188&gt;SwaptionFirstMonthPosition+SwaptionNumOfMonths+1),"",IF($FJ188=GI$169,1,IF($FJ188&lt;GI$169,INDEX($FK$170:$ID$241,GI$169,$FJ188),SUMPRODUCT(INDEX($FK$325:$ID$396,GI$169,1+SwaptionShift):INDEX($FK$325:$ID$396,GI$169,SwaptionMonthsToGo+SwaptionShift),INDEX($FK$245:$ID$316,$FJ188-GI$169,73-GI$169+SwaptionShift):INDEX($FK$245:$ID$316,$FJ188-GI$169,72-GI$169+SwaptionMonthsToGo+SwaptionShift))/SQRT(SUM(INDEX($FK343:$ID343,1+SwaptionShift):INDEX($FK343:$ID343,SwaptionMonthsToGo+SwaptionShift))*SUM(INDEX($FK$325:$ID$396,GI$169,1+SwaptionShift):INDEX($FK$325:$ID$396,GI$169,SwaptionMonthsToGo+SwaptionShift))))))</f>
        <v/>
      </c>
      <c r="GJ188" s="150" t="str">
        <f aca="false">IF(OR(GJ$169&lt;SwaptionFirstMonthPosition+1,$FJ188&lt;SwaptionFirstMonthPosition+1,GJ$169&gt;SwaptionFirstMonthPosition+SwaptionNumOfMonths+1,$FJ188&gt;SwaptionFirstMonthPosition+SwaptionNumOfMonths+1),"",IF($FJ188=GJ$169,1,IF($FJ188&lt;GJ$169,INDEX($FK$170:$ID$241,GJ$169,$FJ188),SUMPRODUCT(INDEX($FK$325:$ID$396,GJ$169,1+SwaptionShift):INDEX($FK$325:$ID$396,GJ$169,SwaptionMonthsToGo+SwaptionShift),INDEX($FK$245:$ID$316,$FJ188-GJ$169,73-GJ$169+SwaptionShift):INDEX($FK$245:$ID$316,$FJ188-GJ$169,72-GJ$169+SwaptionMonthsToGo+SwaptionShift))/SQRT(SUM(INDEX($FK343:$ID343,1+SwaptionShift):INDEX($FK343:$ID343,SwaptionMonthsToGo+SwaptionShift))*SUM(INDEX($FK$325:$ID$396,GJ$169,1+SwaptionShift):INDEX($FK$325:$ID$396,GJ$169,SwaptionMonthsToGo+SwaptionShift))))))</f>
        <v/>
      </c>
      <c r="GK188" s="150" t="str">
        <f aca="false">IF(OR(GK$169&lt;SwaptionFirstMonthPosition+1,$FJ188&lt;SwaptionFirstMonthPosition+1,GK$169&gt;SwaptionFirstMonthPosition+SwaptionNumOfMonths+1,$FJ188&gt;SwaptionFirstMonthPosition+SwaptionNumOfMonths+1),"",IF($FJ188=GK$169,1,IF($FJ188&lt;GK$169,INDEX($FK$170:$ID$241,GK$169,$FJ188),SUMPRODUCT(INDEX($FK$325:$ID$396,GK$169,1+SwaptionShift):INDEX($FK$325:$ID$396,GK$169,SwaptionMonthsToGo+SwaptionShift),INDEX($FK$245:$ID$316,$FJ188-GK$169,73-GK$169+SwaptionShift):INDEX($FK$245:$ID$316,$FJ188-GK$169,72-GK$169+SwaptionMonthsToGo+SwaptionShift))/SQRT(SUM(INDEX($FK343:$ID343,1+SwaptionShift):INDEX($FK343:$ID343,SwaptionMonthsToGo+SwaptionShift))*SUM(INDEX($FK$325:$ID$396,GK$169,1+SwaptionShift):INDEX($FK$325:$ID$396,GK$169,SwaptionMonthsToGo+SwaptionShift))))))</f>
        <v/>
      </c>
      <c r="GL188" s="150" t="str">
        <f aca="false">IF(OR(GL$169&lt;SwaptionFirstMonthPosition+1,$FJ188&lt;SwaptionFirstMonthPosition+1,GL$169&gt;SwaptionFirstMonthPosition+SwaptionNumOfMonths+1,$FJ188&gt;SwaptionFirstMonthPosition+SwaptionNumOfMonths+1),"",IF($FJ188=GL$169,1,IF($FJ188&lt;GL$169,INDEX($FK$170:$ID$241,GL$169,$FJ188),SUMPRODUCT(INDEX($FK$325:$ID$396,GL$169,1+SwaptionShift):INDEX($FK$325:$ID$396,GL$169,SwaptionMonthsToGo+SwaptionShift),INDEX($FK$245:$ID$316,$FJ188-GL$169,73-GL$169+SwaptionShift):INDEX($FK$245:$ID$316,$FJ188-GL$169,72-GL$169+SwaptionMonthsToGo+SwaptionShift))/SQRT(SUM(INDEX($FK343:$ID343,1+SwaptionShift):INDEX($FK343:$ID343,SwaptionMonthsToGo+SwaptionShift))*SUM(INDEX($FK$325:$ID$396,GL$169,1+SwaptionShift):INDEX($FK$325:$ID$396,GL$169,SwaptionMonthsToGo+SwaptionShift))))))</f>
        <v/>
      </c>
      <c r="GM188" s="150" t="str">
        <f aca="false">IF(OR(GM$169&lt;SwaptionFirstMonthPosition+1,$FJ188&lt;SwaptionFirstMonthPosition+1,GM$169&gt;SwaptionFirstMonthPosition+SwaptionNumOfMonths+1,$FJ188&gt;SwaptionFirstMonthPosition+SwaptionNumOfMonths+1),"",IF($FJ188=GM$169,1,IF($FJ188&lt;GM$169,INDEX($FK$170:$ID$241,GM$169,$FJ188),SUMPRODUCT(INDEX($FK$325:$ID$396,GM$169,1+SwaptionShift):INDEX($FK$325:$ID$396,GM$169,SwaptionMonthsToGo+SwaptionShift),INDEX($FK$245:$ID$316,$FJ188-GM$169,73-GM$169+SwaptionShift):INDEX($FK$245:$ID$316,$FJ188-GM$169,72-GM$169+SwaptionMonthsToGo+SwaptionShift))/SQRT(SUM(INDEX($FK343:$ID343,1+SwaptionShift):INDEX($FK343:$ID343,SwaptionMonthsToGo+SwaptionShift))*SUM(INDEX($FK$325:$ID$396,GM$169,1+SwaptionShift):INDEX($FK$325:$ID$396,GM$169,SwaptionMonthsToGo+SwaptionShift))))))</f>
        <v/>
      </c>
      <c r="GN188" s="150" t="str">
        <f aca="false">IF(OR(GN$169&lt;SwaptionFirstMonthPosition+1,$FJ188&lt;SwaptionFirstMonthPosition+1,GN$169&gt;SwaptionFirstMonthPosition+SwaptionNumOfMonths+1,$FJ188&gt;SwaptionFirstMonthPosition+SwaptionNumOfMonths+1),"",IF($FJ188=GN$169,1,IF($FJ188&lt;GN$169,INDEX($FK$170:$ID$241,GN$169,$FJ188),SUMPRODUCT(INDEX($FK$325:$ID$396,GN$169,1+SwaptionShift):INDEX($FK$325:$ID$396,GN$169,SwaptionMonthsToGo+SwaptionShift),INDEX($FK$245:$ID$316,$FJ188-GN$169,73-GN$169+SwaptionShift):INDEX($FK$245:$ID$316,$FJ188-GN$169,72-GN$169+SwaptionMonthsToGo+SwaptionShift))/SQRT(SUM(INDEX($FK343:$ID343,1+SwaptionShift):INDEX($FK343:$ID343,SwaptionMonthsToGo+SwaptionShift))*SUM(INDEX($FK$325:$ID$396,GN$169,1+SwaptionShift):INDEX($FK$325:$ID$396,GN$169,SwaptionMonthsToGo+SwaptionShift))))))</f>
        <v/>
      </c>
      <c r="GO188" s="150" t="str">
        <f aca="false">IF(OR(GO$169&lt;SwaptionFirstMonthPosition+1,$FJ188&lt;SwaptionFirstMonthPosition+1,GO$169&gt;SwaptionFirstMonthPosition+SwaptionNumOfMonths+1,$FJ188&gt;SwaptionFirstMonthPosition+SwaptionNumOfMonths+1),"",IF($FJ188=GO$169,1,IF($FJ188&lt;GO$169,INDEX($FK$170:$ID$241,GO$169,$FJ188),SUMPRODUCT(INDEX($FK$325:$ID$396,GO$169,1+SwaptionShift):INDEX($FK$325:$ID$396,GO$169,SwaptionMonthsToGo+SwaptionShift),INDEX($FK$245:$ID$316,$FJ188-GO$169,73-GO$169+SwaptionShift):INDEX($FK$245:$ID$316,$FJ188-GO$169,72-GO$169+SwaptionMonthsToGo+SwaptionShift))/SQRT(SUM(INDEX($FK343:$ID343,1+SwaptionShift):INDEX($FK343:$ID343,SwaptionMonthsToGo+SwaptionShift))*SUM(INDEX($FK$325:$ID$396,GO$169,1+SwaptionShift):INDEX($FK$325:$ID$396,GO$169,SwaptionMonthsToGo+SwaptionShift))))))</f>
        <v/>
      </c>
      <c r="GP188" s="150" t="str">
        <f aca="false">IF(OR(GP$169&lt;SwaptionFirstMonthPosition+1,$FJ188&lt;SwaptionFirstMonthPosition+1,GP$169&gt;SwaptionFirstMonthPosition+SwaptionNumOfMonths+1,$FJ188&gt;SwaptionFirstMonthPosition+SwaptionNumOfMonths+1),"",IF($FJ188=GP$169,1,IF($FJ188&lt;GP$169,INDEX($FK$170:$ID$241,GP$169,$FJ188),SUMPRODUCT(INDEX($FK$325:$ID$396,GP$169,1+SwaptionShift):INDEX($FK$325:$ID$396,GP$169,SwaptionMonthsToGo+SwaptionShift),INDEX($FK$245:$ID$316,$FJ188-GP$169,73-GP$169+SwaptionShift):INDEX($FK$245:$ID$316,$FJ188-GP$169,72-GP$169+SwaptionMonthsToGo+SwaptionShift))/SQRT(SUM(INDEX($FK343:$ID343,1+SwaptionShift):INDEX($FK343:$ID343,SwaptionMonthsToGo+SwaptionShift))*SUM(INDEX($FK$325:$ID$396,GP$169,1+SwaptionShift):INDEX($FK$325:$ID$396,GP$169,SwaptionMonthsToGo+SwaptionShift))))))</f>
        <v/>
      </c>
      <c r="GQ188" s="150" t="str">
        <f aca="false">IF(OR(GQ$169&lt;SwaptionFirstMonthPosition+1,$FJ188&lt;SwaptionFirstMonthPosition+1,GQ$169&gt;SwaptionFirstMonthPosition+SwaptionNumOfMonths+1,$FJ188&gt;SwaptionFirstMonthPosition+SwaptionNumOfMonths+1),"",IF($FJ188=GQ$169,1,IF($FJ188&lt;GQ$169,INDEX($FK$170:$ID$241,GQ$169,$FJ188),SUMPRODUCT(INDEX($FK$325:$ID$396,GQ$169,1+SwaptionShift):INDEX($FK$325:$ID$396,GQ$169,SwaptionMonthsToGo+SwaptionShift),INDEX($FK$245:$ID$316,$FJ188-GQ$169,73-GQ$169+SwaptionShift):INDEX($FK$245:$ID$316,$FJ188-GQ$169,72-GQ$169+SwaptionMonthsToGo+SwaptionShift))/SQRT(SUM(INDEX($FK343:$ID343,1+SwaptionShift):INDEX($FK343:$ID343,SwaptionMonthsToGo+SwaptionShift))*SUM(INDEX($FK$325:$ID$396,GQ$169,1+SwaptionShift):INDEX($FK$325:$ID$396,GQ$169,SwaptionMonthsToGo+SwaptionShift))))))</f>
        <v/>
      </c>
      <c r="GR188" s="150" t="str">
        <f aca="false">IF(OR(GR$169&lt;SwaptionFirstMonthPosition+1,$FJ188&lt;SwaptionFirstMonthPosition+1,GR$169&gt;SwaptionFirstMonthPosition+SwaptionNumOfMonths+1,$FJ188&gt;SwaptionFirstMonthPosition+SwaptionNumOfMonths+1),"",IF($FJ188=GR$169,1,IF($FJ188&lt;GR$169,INDEX($FK$170:$ID$241,GR$169,$FJ188),SUMPRODUCT(INDEX($FK$325:$ID$396,GR$169,1+SwaptionShift):INDEX($FK$325:$ID$396,GR$169,SwaptionMonthsToGo+SwaptionShift),INDEX($FK$245:$ID$316,$FJ188-GR$169,73-GR$169+SwaptionShift):INDEX($FK$245:$ID$316,$FJ188-GR$169,72-GR$169+SwaptionMonthsToGo+SwaptionShift))/SQRT(SUM(INDEX($FK343:$ID343,1+SwaptionShift):INDEX($FK343:$ID343,SwaptionMonthsToGo+SwaptionShift))*SUM(INDEX($FK$325:$ID$396,GR$169,1+SwaptionShift):INDEX($FK$325:$ID$396,GR$169,SwaptionMonthsToGo+SwaptionShift))))))</f>
        <v/>
      </c>
      <c r="GS188" s="150" t="str">
        <f aca="false">IF(OR(GS$169&lt;SwaptionFirstMonthPosition+1,$FJ188&lt;SwaptionFirstMonthPosition+1,GS$169&gt;SwaptionFirstMonthPosition+SwaptionNumOfMonths+1,$FJ188&gt;SwaptionFirstMonthPosition+SwaptionNumOfMonths+1),"",IF($FJ188=GS$169,1,IF($FJ188&lt;GS$169,INDEX($FK$170:$ID$241,GS$169,$FJ188),SUMPRODUCT(INDEX($FK$325:$ID$396,GS$169,1+SwaptionShift):INDEX($FK$325:$ID$396,GS$169,SwaptionMonthsToGo+SwaptionShift),INDEX($FK$245:$ID$316,$FJ188-GS$169,73-GS$169+SwaptionShift):INDEX($FK$245:$ID$316,$FJ188-GS$169,72-GS$169+SwaptionMonthsToGo+SwaptionShift))/SQRT(SUM(INDEX($FK343:$ID343,1+SwaptionShift):INDEX($FK343:$ID343,SwaptionMonthsToGo+SwaptionShift))*SUM(INDEX($FK$325:$ID$396,GS$169,1+SwaptionShift):INDEX($FK$325:$ID$396,GS$169,SwaptionMonthsToGo+SwaptionShift))))))</f>
        <v/>
      </c>
      <c r="GT188" s="150" t="str">
        <f aca="false">IF(OR(GT$169&lt;SwaptionFirstMonthPosition+1,$FJ188&lt;SwaptionFirstMonthPosition+1,GT$169&gt;SwaptionFirstMonthPosition+SwaptionNumOfMonths+1,$FJ188&gt;SwaptionFirstMonthPosition+SwaptionNumOfMonths+1),"",IF($FJ188=GT$169,1,IF($FJ188&lt;GT$169,INDEX($FK$170:$ID$241,GT$169,$FJ188),SUMPRODUCT(INDEX($FK$325:$ID$396,GT$169,1+SwaptionShift):INDEX($FK$325:$ID$396,GT$169,SwaptionMonthsToGo+SwaptionShift),INDEX($FK$245:$ID$316,$FJ188-GT$169,73-GT$169+SwaptionShift):INDEX($FK$245:$ID$316,$FJ188-GT$169,72-GT$169+SwaptionMonthsToGo+SwaptionShift))/SQRT(SUM(INDEX($FK343:$ID343,1+SwaptionShift):INDEX($FK343:$ID343,SwaptionMonthsToGo+SwaptionShift))*SUM(INDEX($FK$325:$ID$396,GT$169,1+SwaptionShift):INDEX($FK$325:$ID$396,GT$169,SwaptionMonthsToGo+SwaptionShift))))))</f>
        <v/>
      </c>
      <c r="GU188" s="150" t="str">
        <f aca="false">IF(OR(GU$169&lt;SwaptionFirstMonthPosition+1,$FJ188&lt;SwaptionFirstMonthPosition+1,GU$169&gt;SwaptionFirstMonthPosition+SwaptionNumOfMonths+1,$FJ188&gt;SwaptionFirstMonthPosition+SwaptionNumOfMonths+1),"",IF($FJ188=GU$169,1,IF($FJ188&lt;GU$169,INDEX($FK$170:$ID$241,GU$169,$FJ188),SUMPRODUCT(INDEX($FK$325:$ID$396,GU$169,1+SwaptionShift):INDEX($FK$325:$ID$396,GU$169,SwaptionMonthsToGo+SwaptionShift),INDEX($FK$245:$ID$316,$FJ188-GU$169,73-GU$169+SwaptionShift):INDEX($FK$245:$ID$316,$FJ188-GU$169,72-GU$169+SwaptionMonthsToGo+SwaptionShift))/SQRT(SUM(INDEX($FK343:$ID343,1+SwaptionShift):INDEX($FK343:$ID343,SwaptionMonthsToGo+SwaptionShift))*SUM(INDEX($FK$325:$ID$396,GU$169,1+SwaptionShift):INDEX($FK$325:$ID$396,GU$169,SwaptionMonthsToGo+SwaptionShift))))))</f>
        <v/>
      </c>
      <c r="GV188" s="150" t="str">
        <f aca="false">IF(OR(GV$169&lt;SwaptionFirstMonthPosition+1,$FJ188&lt;SwaptionFirstMonthPosition+1,GV$169&gt;SwaptionFirstMonthPosition+SwaptionNumOfMonths+1,$FJ188&gt;SwaptionFirstMonthPosition+SwaptionNumOfMonths+1),"",IF($FJ188=GV$169,1,IF($FJ188&lt;GV$169,INDEX($FK$170:$ID$241,GV$169,$FJ188),SUMPRODUCT(INDEX($FK$325:$ID$396,GV$169,1+SwaptionShift):INDEX($FK$325:$ID$396,GV$169,SwaptionMonthsToGo+SwaptionShift),INDEX($FK$245:$ID$316,$FJ188-GV$169,73-GV$169+SwaptionShift):INDEX($FK$245:$ID$316,$FJ188-GV$169,72-GV$169+SwaptionMonthsToGo+SwaptionShift))/SQRT(SUM(INDEX($FK343:$ID343,1+SwaptionShift):INDEX($FK343:$ID343,SwaptionMonthsToGo+SwaptionShift))*SUM(INDEX($FK$325:$ID$396,GV$169,1+SwaptionShift):INDEX($FK$325:$ID$396,GV$169,SwaptionMonthsToGo+SwaptionShift))))))</f>
        <v/>
      </c>
      <c r="GW188" s="150" t="str">
        <f aca="false">IF(OR(GW$169&lt;SwaptionFirstMonthPosition+1,$FJ188&lt;SwaptionFirstMonthPosition+1,GW$169&gt;SwaptionFirstMonthPosition+SwaptionNumOfMonths+1,$FJ188&gt;SwaptionFirstMonthPosition+SwaptionNumOfMonths+1),"",IF($FJ188=GW$169,1,IF($FJ188&lt;GW$169,INDEX($FK$170:$ID$241,GW$169,$FJ188),SUMPRODUCT(INDEX($FK$325:$ID$396,GW$169,1+SwaptionShift):INDEX($FK$325:$ID$396,GW$169,SwaptionMonthsToGo+SwaptionShift),INDEX($FK$245:$ID$316,$FJ188-GW$169,73-GW$169+SwaptionShift):INDEX($FK$245:$ID$316,$FJ188-GW$169,72-GW$169+SwaptionMonthsToGo+SwaptionShift))/SQRT(SUM(INDEX($FK343:$ID343,1+SwaptionShift):INDEX($FK343:$ID343,SwaptionMonthsToGo+SwaptionShift))*SUM(INDEX($FK$325:$ID$396,GW$169,1+SwaptionShift):INDEX($FK$325:$ID$396,GW$169,SwaptionMonthsToGo+SwaptionShift))))))</f>
        <v/>
      </c>
      <c r="GX188" s="150" t="str">
        <f aca="false">IF(OR(GX$169&lt;SwaptionFirstMonthPosition+1,$FJ188&lt;SwaptionFirstMonthPosition+1,GX$169&gt;SwaptionFirstMonthPosition+SwaptionNumOfMonths+1,$FJ188&gt;SwaptionFirstMonthPosition+SwaptionNumOfMonths+1),"",IF($FJ188=GX$169,1,IF($FJ188&lt;GX$169,INDEX($FK$170:$ID$241,GX$169,$FJ188),SUMPRODUCT(INDEX($FK$325:$ID$396,GX$169,1+SwaptionShift):INDEX($FK$325:$ID$396,GX$169,SwaptionMonthsToGo+SwaptionShift),INDEX($FK$245:$ID$316,$FJ188-GX$169,73-GX$169+SwaptionShift):INDEX($FK$245:$ID$316,$FJ188-GX$169,72-GX$169+SwaptionMonthsToGo+SwaptionShift))/SQRT(SUM(INDEX($FK343:$ID343,1+SwaptionShift):INDEX($FK343:$ID343,SwaptionMonthsToGo+SwaptionShift))*SUM(INDEX($FK$325:$ID$396,GX$169,1+SwaptionShift):INDEX($FK$325:$ID$396,GX$169,SwaptionMonthsToGo+SwaptionShift))))))</f>
        <v/>
      </c>
      <c r="GY188" s="150" t="str">
        <f aca="false">IF(OR(GY$169&lt;SwaptionFirstMonthPosition+1,$FJ188&lt;SwaptionFirstMonthPosition+1,GY$169&gt;SwaptionFirstMonthPosition+SwaptionNumOfMonths+1,$FJ188&gt;SwaptionFirstMonthPosition+SwaptionNumOfMonths+1),"",IF($FJ188=GY$169,1,IF($FJ188&lt;GY$169,INDEX($FK$170:$ID$241,GY$169,$FJ188),SUMPRODUCT(INDEX($FK$325:$ID$396,GY$169,1+SwaptionShift):INDEX($FK$325:$ID$396,GY$169,SwaptionMonthsToGo+SwaptionShift),INDEX($FK$245:$ID$316,$FJ188-GY$169,73-GY$169+SwaptionShift):INDEX($FK$245:$ID$316,$FJ188-GY$169,72-GY$169+SwaptionMonthsToGo+SwaptionShift))/SQRT(SUM(INDEX($FK343:$ID343,1+SwaptionShift):INDEX($FK343:$ID343,SwaptionMonthsToGo+SwaptionShift))*SUM(INDEX($FK$325:$ID$396,GY$169,1+SwaptionShift):INDEX($FK$325:$ID$396,GY$169,SwaptionMonthsToGo+SwaptionShift))))))</f>
        <v/>
      </c>
      <c r="GZ188" s="150" t="str">
        <f aca="false">IF(OR(GZ$169&lt;SwaptionFirstMonthPosition+1,$FJ188&lt;SwaptionFirstMonthPosition+1,GZ$169&gt;SwaptionFirstMonthPosition+SwaptionNumOfMonths+1,$FJ188&gt;SwaptionFirstMonthPosition+SwaptionNumOfMonths+1),"",IF($FJ188=GZ$169,1,IF($FJ188&lt;GZ$169,INDEX($FK$170:$ID$241,GZ$169,$FJ188),SUMPRODUCT(INDEX($FK$325:$ID$396,GZ$169,1+SwaptionShift):INDEX($FK$325:$ID$396,GZ$169,SwaptionMonthsToGo+SwaptionShift),INDEX($FK$245:$ID$316,$FJ188-GZ$169,73-GZ$169+SwaptionShift):INDEX($FK$245:$ID$316,$FJ188-GZ$169,72-GZ$169+SwaptionMonthsToGo+SwaptionShift))/SQRT(SUM(INDEX($FK343:$ID343,1+SwaptionShift):INDEX($FK343:$ID343,SwaptionMonthsToGo+SwaptionShift))*SUM(INDEX($FK$325:$ID$396,GZ$169,1+SwaptionShift):INDEX($FK$325:$ID$396,GZ$169,SwaptionMonthsToGo+SwaptionShift))))))</f>
        <v/>
      </c>
      <c r="HA188" s="150" t="str">
        <f aca="false">IF(OR(HA$169&lt;SwaptionFirstMonthPosition+1,$FJ188&lt;SwaptionFirstMonthPosition+1,HA$169&gt;SwaptionFirstMonthPosition+SwaptionNumOfMonths+1,$FJ188&gt;SwaptionFirstMonthPosition+SwaptionNumOfMonths+1),"",IF($FJ188=HA$169,1,IF($FJ188&lt;HA$169,INDEX($FK$170:$ID$241,HA$169,$FJ188),SUMPRODUCT(INDEX($FK$325:$ID$396,HA$169,1+SwaptionShift):INDEX($FK$325:$ID$396,HA$169,SwaptionMonthsToGo+SwaptionShift),INDEX($FK$245:$ID$316,$FJ188-HA$169,73-HA$169+SwaptionShift):INDEX($FK$245:$ID$316,$FJ188-HA$169,72-HA$169+SwaptionMonthsToGo+SwaptionShift))/SQRT(SUM(INDEX($FK343:$ID343,1+SwaptionShift):INDEX($FK343:$ID343,SwaptionMonthsToGo+SwaptionShift))*SUM(INDEX($FK$325:$ID$396,HA$169,1+SwaptionShift):INDEX($FK$325:$ID$396,HA$169,SwaptionMonthsToGo+SwaptionShift))))))</f>
        <v/>
      </c>
      <c r="HB188" s="150" t="str">
        <f aca="false">IF(OR(HB$169&lt;SwaptionFirstMonthPosition+1,$FJ188&lt;SwaptionFirstMonthPosition+1,HB$169&gt;SwaptionFirstMonthPosition+SwaptionNumOfMonths+1,$FJ188&gt;SwaptionFirstMonthPosition+SwaptionNumOfMonths+1),"",IF($FJ188=HB$169,1,IF($FJ188&lt;HB$169,INDEX($FK$170:$ID$241,HB$169,$FJ188),SUMPRODUCT(INDEX($FK$325:$ID$396,HB$169,1+SwaptionShift):INDEX($FK$325:$ID$396,HB$169,SwaptionMonthsToGo+SwaptionShift),INDEX($FK$245:$ID$316,$FJ188-HB$169,73-HB$169+SwaptionShift):INDEX($FK$245:$ID$316,$FJ188-HB$169,72-HB$169+SwaptionMonthsToGo+SwaptionShift))/SQRT(SUM(INDEX($FK343:$ID343,1+SwaptionShift):INDEX($FK343:$ID343,SwaptionMonthsToGo+SwaptionShift))*SUM(INDEX($FK$325:$ID$396,HB$169,1+SwaptionShift):INDEX($FK$325:$ID$396,HB$169,SwaptionMonthsToGo+SwaptionShift))))))</f>
        <v/>
      </c>
      <c r="HC188" s="150" t="str">
        <f aca="false">IF(OR(HC$169&lt;SwaptionFirstMonthPosition+1,$FJ188&lt;SwaptionFirstMonthPosition+1,HC$169&gt;SwaptionFirstMonthPosition+SwaptionNumOfMonths+1,$FJ188&gt;SwaptionFirstMonthPosition+SwaptionNumOfMonths+1),"",IF($FJ188=HC$169,1,IF($FJ188&lt;HC$169,INDEX($FK$170:$ID$241,HC$169,$FJ188),SUMPRODUCT(INDEX($FK$325:$ID$396,HC$169,1+SwaptionShift):INDEX($FK$325:$ID$396,HC$169,SwaptionMonthsToGo+SwaptionShift),INDEX($FK$245:$ID$316,$FJ188-HC$169,73-HC$169+SwaptionShift):INDEX($FK$245:$ID$316,$FJ188-HC$169,72-HC$169+SwaptionMonthsToGo+SwaptionShift))/SQRT(SUM(INDEX($FK343:$ID343,1+SwaptionShift):INDEX($FK343:$ID343,SwaptionMonthsToGo+SwaptionShift))*SUM(INDEX($FK$325:$ID$396,HC$169,1+SwaptionShift):INDEX($FK$325:$ID$396,HC$169,SwaptionMonthsToGo+SwaptionShift))))))</f>
        <v/>
      </c>
      <c r="HD188" s="150" t="str">
        <f aca="false">IF(OR(HD$169&lt;SwaptionFirstMonthPosition+1,$FJ188&lt;SwaptionFirstMonthPosition+1,HD$169&gt;SwaptionFirstMonthPosition+SwaptionNumOfMonths+1,$FJ188&gt;SwaptionFirstMonthPosition+SwaptionNumOfMonths+1),"",IF($FJ188=HD$169,1,IF($FJ188&lt;HD$169,INDEX($FK$170:$ID$241,HD$169,$FJ188),SUMPRODUCT(INDEX($FK$325:$ID$396,HD$169,1+SwaptionShift):INDEX($FK$325:$ID$396,HD$169,SwaptionMonthsToGo+SwaptionShift),INDEX($FK$245:$ID$316,$FJ188-HD$169,73-HD$169+SwaptionShift):INDEX($FK$245:$ID$316,$FJ188-HD$169,72-HD$169+SwaptionMonthsToGo+SwaptionShift))/SQRT(SUM(INDEX($FK343:$ID343,1+SwaptionShift):INDEX($FK343:$ID343,SwaptionMonthsToGo+SwaptionShift))*SUM(INDEX($FK$325:$ID$396,HD$169,1+SwaptionShift):INDEX($FK$325:$ID$396,HD$169,SwaptionMonthsToGo+SwaptionShift))))))</f>
        <v/>
      </c>
      <c r="HE188" s="150" t="str">
        <f aca="false">IF(OR(HE$169&lt;SwaptionFirstMonthPosition+1,$FJ188&lt;SwaptionFirstMonthPosition+1,HE$169&gt;SwaptionFirstMonthPosition+SwaptionNumOfMonths+1,$FJ188&gt;SwaptionFirstMonthPosition+SwaptionNumOfMonths+1),"",IF($FJ188=HE$169,1,IF($FJ188&lt;HE$169,INDEX($FK$170:$ID$241,HE$169,$FJ188),SUMPRODUCT(INDEX($FK$325:$ID$396,HE$169,1+SwaptionShift):INDEX($FK$325:$ID$396,HE$169,SwaptionMonthsToGo+SwaptionShift),INDEX($FK$245:$ID$316,$FJ188-HE$169,73-HE$169+SwaptionShift):INDEX($FK$245:$ID$316,$FJ188-HE$169,72-HE$169+SwaptionMonthsToGo+SwaptionShift))/SQRT(SUM(INDEX($FK343:$ID343,1+SwaptionShift):INDEX($FK343:$ID343,SwaptionMonthsToGo+SwaptionShift))*SUM(INDEX($FK$325:$ID$396,HE$169,1+SwaptionShift):INDEX($FK$325:$ID$396,HE$169,SwaptionMonthsToGo+SwaptionShift))))))</f>
        <v/>
      </c>
      <c r="HF188" s="150" t="str">
        <f aca="false">IF(OR(HF$169&lt;SwaptionFirstMonthPosition+1,$FJ188&lt;SwaptionFirstMonthPosition+1,HF$169&gt;SwaptionFirstMonthPosition+SwaptionNumOfMonths+1,$FJ188&gt;SwaptionFirstMonthPosition+SwaptionNumOfMonths+1),"",IF($FJ188=HF$169,1,IF($FJ188&lt;HF$169,INDEX($FK$170:$ID$241,HF$169,$FJ188),SUMPRODUCT(INDEX($FK$325:$ID$396,HF$169,1+SwaptionShift):INDEX($FK$325:$ID$396,HF$169,SwaptionMonthsToGo+SwaptionShift),INDEX($FK$245:$ID$316,$FJ188-HF$169,73-HF$169+SwaptionShift):INDEX($FK$245:$ID$316,$FJ188-HF$169,72-HF$169+SwaptionMonthsToGo+SwaptionShift))/SQRT(SUM(INDEX($FK343:$ID343,1+SwaptionShift):INDEX($FK343:$ID343,SwaptionMonthsToGo+SwaptionShift))*SUM(INDEX($FK$325:$ID$396,HF$169,1+SwaptionShift):INDEX($FK$325:$ID$396,HF$169,SwaptionMonthsToGo+SwaptionShift))))))</f>
        <v/>
      </c>
      <c r="HG188" s="150" t="str">
        <f aca="false">IF(OR(HG$169&lt;SwaptionFirstMonthPosition+1,$FJ188&lt;SwaptionFirstMonthPosition+1,HG$169&gt;SwaptionFirstMonthPosition+SwaptionNumOfMonths+1,$FJ188&gt;SwaptionFirstMonthPosition+SwaptionNumOfMonths+1),"",IF($FJ188=HG$169,1,IF($FJ188&lt;HG$169,INDEX($FK$170:$ID$241,HG$169,$FJ188),SUMPRODUCT(INDEX($FK$325:$ID$396,HG$169,1+SwaptionShift):INDEX($FK$325:$ID$396,HG$169,SwaptionMonthsToGo+SwaptionShift),INDEX($FK$245:$ID$316,$FJ188-HG$169,73-HG$169+SwaptionShift):INDEX($FK$245:$ID$316,$FJ188-HG$169,72-HG$169+SwaptionMonthsToGo+SwaptionShift))/SQRT(SUM(INDEX($FK343:$ID343,1+SwaptionShift):INDEX($FK343:$ID343,SwaptionMonthsToGo+SwaptionShift))*SUM(INDEX($FK$325:$ID$396,HG$169,1+SwaptionShift):INDEX($FK$325:$ID$396,HG$169,SwaptionMonthsToGo+SwaptionShift))))))</f>
        <v/>
      </c>
      <c r="HH188" s="150" t="str">
        <f aca="false">IF(OR(HH$169&lt;SwaptionFirstMonthPosition+1,$FJ188&lt;SwaptionFirstMonthPosition+1,HH$169&gt;SwaptionFirstMonthPosition+SwaptionNumOfMonths+1,$FJ188&gt;SwaptionFirstMonthPosition+SwaptionNumOfMonths+1),"",IF($FJ188=HH$169,1,IF($FJ188&lt;HH$169,INDEX($FK$170:$ID$241,HH$169,$FJ188),SUMPRODUCT(INDEX($FK$325:$ID$396,HH$169,1+SwaptionShift):INDEX($FK$325:$ID$396,HH$169,SwaptionMonthsToGo+SwaptionShift),INDEX($FK$245:$ID$316,$FJ188-HH$169,73-HH$169+SwaptionShift):INDEX($FK$245:$ID$316,$FJ188-HH$169,72-HH$169+SwaptionMonthsToGo+SwaptionShift))/SQRT(SUM(INDEX($FK343:$ID343,1+SwaptionShift):INDEX($FK343:$ID343,SwaptionMonthsToGo+SwaptionShift))*SUM(INDEX($FK$325:$ID$396,HH$169,1+SwaptionShift):INDEX($FK$325:$ID$396,HH$169,SwaptionMonthsToGo+SwaptionShift))))))</f>
        <v/>
      </c>
      <c r="HI188" s="150" t="str">
        <f aca="false">IF(OR(HI$169&lt;SwaptionFirstMonthPosition+1,$FJ188&lt;SwaptionFirstMonthPosition+1,HI$169&gt;SwaptionFirstMonthPosition+SwaptionNumOfMonths+1,$FJ188&gt;SwaptionFirstMonthPosition+SwaptionNumOfMonths+1),"",IF($FJ188=HI$169,1,IF($FJ188&lt;HI$169,INDEX($FK$170:$ID$241,HI$169,$FJ188),SUMPRODUCT(INDEX($FK$325:$ID$396,HI$169,1+SwaptionShift):INDEX($FK$325:$ID$396,HI$169,SwaptionMonthsToGo+SwaptionShift),INDEX($FK$245:$ID$316,$FJ188-HI$169,73-HI$169+SwaptionShift):INDEX($FK$245:$ID$316,$FJ188-HI$169,72-HI$169+SwaptionMonthsToGo+SwaptionShift))/SQRT(SUM(INDEX($FK343:$ID343,1+SwaptionShift):INDEX($FK343:$ID343,SwaptionMonthsToGo+SwaptionShift))*SUM(INDEX($FK$325:$ID$396,HI$169,1+SwaptionShift):INDEX($FK$325:$ID$396,HI$169,SwaptionMonthsToGo+SwaptionShift))))))</f>
        <v/>
      </c>
      <c r="HJ188" s="150" t="str">
        <f aca="false">IF(OR(HJ$169&lt;SwaptionFirstMonthPosition+1,$FJ188&lt;SwaptionFirstMonthPosition+1,HJ$169&gt;SwaptionFirstMonthPosition+SwaptionNumOfMonths+1,$FJ188&gt;SwaptionFirstMonthPosition+SwaptionNumOfMonths+1),"",IF($FJ188=HJ$169,1,IF($FJ188&lt;HJ$169,INDEX($FK$170:$ID$241,HJ$169,$FJ188),SUMPRODUCT(INDEX($FK$325:$ID$396,HJ$169,1+SwaptionShift):INDEX($FK$325:$ID$396,HJ$169,SwaptionMonthsToGo+SwaptionShift),INDEX($FK$245:$ID$316,$FJ188-HJ$169,73-HJ$169+SwaptionShift):INDEX($FK$245:$ID$316,$FJ188-HJ$169,72-HJ$169+SwaptionMonthsToGo+SwaptionShift))/SQRT(SUM(INDEX($FK343:$ID343,1+SwaptionShift):INDEX($FK343:$ID343,SwaptionMonthsToGo+SwaptionShift))*SUM(INDEX($FK$325:$ID$396,HJ$169,1+SwaptionShift):INDEX($FK$325:$ID$396,HJ$169,SwaptionMonthsToGo+SwaptionShift))))))</f>
        <v/>
      </c>
      <c r="HK188" s="150" t="str">
        <f aca="false">IF(OR(HK$169&lt;SwaptionFirstMonthPosition+1,$FJ188&lt;SwaptionFirstMonthPosition+1,HK$169&gt;SwaptionFirstMonthPosition+SwaptionNumOfMonths+1,$FJ188&gt;SwaptionFirstMonthPosition+SwaptionNumOfMonths+1),"",IF($FJ188=HK$169,1,IF($FJ188&lt;HK$169,INDEX($FK$170:$ID$241,HK$169,$FJ188),SUMPRODUCT(INDEX($FK$325:$ID$396,HK$169,1+SwaptionShift):INDEX($FK$325:$ID$396,HK$169,SwaptionMonthsToGo+SwaptionShift),INDEX($FK$245:$ID$316,$FJ188-HK$169,73-HK$169+SwaptionShift):INDEX($FK$245:$ID$316,$FJ188-HK$169,72-HK$169+SwaptionMonthsToGo+SwaptionShift))/SQRT(SUM(INDEX($FK343:$ID343,1+SwaptionShift):INDEX($FK343:$ID343,SwaptionMonthsToGo+SwaptionShift))*SUM(INDEX($FK$325:$ID$396,HK$169,1+SwaptionShift):INDEX($FK$325:$ID$396,HK$169,SwaptionMonthsToGo+SwaptionShift))))))</f>
        <v/>
      </c>
      <c r="HL188" s="150" t="str">
        <f aca="false">IF(OR(HL$169&lt;SwaptionFirstMonthPosition+1,$FJ188&lt;SwaptionFirstMonthPosition+1,HL$169&gt;SwaptionFirstMonthPosition+SwaptionNumOfMonths+1,$FJ188&gt;SwaptionFirstMonthPosition+SwaptionNumOfMonths+1),"",IF($FJ188=HL$169,1,IF($FJ188&lt;HL$169,INDEX($FK$170:$ID$241,HL$169,$FJ188),SUMPRODUCT(INDEX($FK$325:$ID$396,HL$169,1+SwaptionShift):INDEX($FK$325:$ID$396,HL$169,SwaptionMonthsToGo+SwaptionShift),INDEX($FK$245:$ID$316,$FJ188-HL$169,73-HL$169+SwaptionShift):INDEX($FK$245:$ID$316,$FJ188-HL$169,72-HL$169+SwaptionMonthsToGo+SwaptionShift))/SQRT(SUM(INDEX($FK343:$ID343,1+SwaptionShift):INDEX($FK343:$ID343,SwaptionMonthsToGo+SwaptionShift))*SUM(INDEX($FK$325:$ID$396,HL$169,1+SwaptionShift):INDEX($FK$325:$ID$396,HL$169,SwaptionMonthsToGo+SwaptionShift))))))</f>
        <v/>
      </c>
      <c r="HM188" s="150" t="str">
        <f aca="false">IF(OR(HM$169&lt;SwaptionFirstMonthPosition+1,$FJ188&lt;SwaptionFirstMonthPosition+1,HM$169&gt;SwaptionFirstMonthPosition+SwaptionNumOfMonths+1,$FJ188&gt;SwaptionFirstMonthPosition+SwaptionNumOfMonths+1),"",IF($FJ188=HM$169,1,IF($FJ188&lt;HM$169,INDEX($FK$170:$ID$241,HM$169,$FJ188),SUMPRODUCT(INDEX($FK$325:$ID$396,HM$169,1+SwaptionShift):INDEX($FK$325:$ID$396,HM$169,SwaptionMonthsToGo+SwaptionShift),INDEX($FK$245:$ID$316,$FJ188-HM$169,73-HM$169+SwaptionShift):INDEX($FK$245:$ID$316,$FJ188-HM$169,72-HM$169+SwaptionMonthsToGo+SwaptionShift))/SQRT(SUM(INDEX($FK343:$ID343,1+SwaptionShift):INDEX($FK343:$ID343,SwaptionMonthsToGo+SwaptionShift))*SUM(INDEX($FK$325:$ID$396,HM$169,1+SwaptionShift):INDEX($FK$325:$ID$396,HM$169,SwaptionMonthsToGo+SwaptionShift))))))</f>
        <v/>
      </c>
      <c r="HN188" s="150" t="str">
        <f aca="false">IF(OR(HN$169&lt;SwaptionFirstMonthPosition+1,$FJ188&lt;SwaptionFirstMonthPosition+1,HN$169&gt;SwaptionFirstMonthPosition+SwaptionNumOfMonths+1,$FJ188&gt;SwaptionFirstMonthPosition+SwaptionNumOfMonths+1),"",IF($FJ188=HN$169,1,IF($FJ188&lt;HN$169,INDEX($FK$170:$ID$241,HN$169,$FJ188),SUMPRODUCT(INDEX($FK$325:$ID$396,HN$169,1+SwaptionShift):INDEX($FK$325:$ID$396,HN$169,SwaptionMonthsToGo+SwaptionShift),INDEX($FK$245:$ID$316,$FJ188-HN$169,73-HN$169+SwaptionShift):INDEX($FK$245:$ID$316,$FJ188-HN$169,72-HN$169+SwaptionMonthsToGo+SwaptionShift))/SQRT(SUM(INDEX($FK343:$ID343,1+SwaptionShift):INDEX($FK343:$ID343,SwaptionMonthsToGo+SwaptionShift))*SUM(INDEX($FK$325:$ID$396,HN$169,1+SwaptionShift):INDEX($FK$325:$ID$396,HN$169,SwaptionMonthsToGo+SwaptionShift))))))</f>
        <v/>
      </c>
      <c r="HO188" s="150" t="str">
        <f aca="false">IF(OR(HO$169&lt;SwaptionFirstMonthPosition+1,$FJ188&lt;SwaptionFirstMonthPosition+1,HO$169&gt;SwaptionFirstMonthPosition+SwaptionNumOfMonths+1,$FJ188&gt;SwaptionFirstMonthPosition+SwaptionNumOfMonths+1),"",IF($FJ188=HO$169,1,IF($FJ188&lt;HO$169,INDEX($FK$170:$ID$241,HO$169,$FJ188),SUMPRODUCT(INDEX($FK$325:$ID$396,HO$169,1+SwaptionShift):INDEX($FK$325:$ID$396,HO$169,SwaptionMonthsToGo+SwaptionShift),INDEX($FK$245:$ID$316,$FJ188-HO$169,73-HO$169+SwaptionShift):INDEX($FK$245:$ID$316,$FJ188-HO$169,72-HO$169+SwaptionMonthsToGo+SwaptionShift))/SQRT(SUM(INDEX($FK343:$ID343,1+SwaptionShift):INDEX($FK343:$ID343,SwaptionMonthsToGo+SwaptionShift))*SUM(INDEX($FK$325:$ID$396,HO$169,1+SwaptionShift):INDEX($FK$325:$ID$396,HO$169,SwaptionMonthsToGo+SwaptionShift))))))</f>
        <v/>
      </c>
      <c r="HP188" s="150" t="str">
        <f aca="false">IF(OR(HP$169&lt;SwaptionFirstMonthPosition+1,$FJ188&lt;SwaptionFirstMonthPosition+1,HP$169&gt;SwaptionFirstMonthPosition+SwaptionNumOfMonths+1,$FJ188&gt;SwaptionFirstMonthPosition+SwaptionNumOfMonths+1),"",IF($FJ188=HP$169,1,IF($FJ188&lt;HP$169,INDEX($FK$170:$ID$241,HP$169,$FJ188),SUMPRODUCT(INDEX($FK$325:$ID$396,HP$169,1+SwaptionShift):INDEX($FK$325:$ID$396,HP$169,SwaptionMonthsToGo+SwaptionShift),INDEX($FK$245:$ID$316,$FJ188-HP$169,73-HP$169+SwaptionShift):INDEX($FK$245:$ID$316,$FJ188-HP$169,72-HP$169+SwaptionMonthsToGo+SwaptionShift))/SQRT(SUM(INDEX($FK343:$ID343,1+SwaptionShift):INDEX($FK343:$ID343,SwaptionMonthsToGo+SwaptionShift))*SUM(INDEX($FK$325:$ID$396,HP$169,1+SwaptionShift):INDEX($FK$325:$ID$396,HP$169,SwaptionMonthsToGo+SwaptionShift))))))</f>
        <v/>
      </c>
      <c r="HQ188" s="150" t="str">
        <f aca="false">IF(OR(HQ$169&lt;SwaptionFirstMonthPosition+1,$FJ188&lt;SwaptionFirstMonthPosition+1,HQ$169&gt;SwaptionFirstMonthPosition+SwaptionNumOfMonths+1,$FJ188&gt;SwaptionFirstMonthPosition+SwaptionNumOfMonths+1),"",IF($FJ188=HQ$169,1,IF($FJ188&lt;HQ$169,INDEX($FK$170:$ID$241,HQ$169,$FJ188),SUMPRODUCT(INDEX($FK$325:$ID$396,HQ$169,1+SwaptionShift):INDEX($FK$325:$ID$396,HQ$169,SwaptionMonthsToGo+SwaptionShift),INDEX($FK$245:$ID$316,$FJ188-HQ$169,73-HQ$169+SwaptionShift):INDEX($FK$245:$ID$316,$FJ188-HQ$169,72-HQ$169+SwaptionMonthsToGo+SwaptionShift))/SQRT(SUM(INDEX($FK343:$ID343,1+SwaptionShift):INDEX($FK343:$ID343,SwaptionMonthsToGo+SwaptionShift))*SUM(INDEX($FK$325:$ID$396,HQ$169,1+SwaptionShift):INDEX($FK$325:$ID$396,HQ$169,SwaptionMonthsToGo+SwaptionShift))))))</f>
        <v/>
      </c>
      <c r="HR188" s="150" t="str">
        <f aca="false">IF(OR(HR$169&lt;SwaptionFirstMonthPosition+1,$FJ188&lt;SwaptionFirstMonthPosition+1,HR$169&gt;SwaptionFirstMonthPosition+SwaptionNumOfMonths+1,$FJ188&gt;SwaptionFirstMonthPosition+SwaptionNumOfMonths+1),"",IF($FJ188=HR$169,1,IF($FJ188&lt;HR$169,INDEX($FK$170:$ID$241,HR$169,$FJ188),SUMPRODUCT(INDEX($FK$325:$ID$396,HR$169,1+SwaptionShift):INDEX($FK$325:$ID$396,HR$169,SwaptionMonthsToGo+SwaptionShift),INDEX($FK$245:$ID$316,$FJ188-HR$169,73-HR$169+SwaptionShift):INDEX($FK$245:$ID$316,$FJ188-HR$169,72-HR$169+SwaptionMonthsToGo+SwaptionShift))/SQRT(SUM(INDEX($FK343:$ID343,1+SwaptionShift):INDEX($FK343:$ID343,SwaptionMonthsToGo+SwaptionShift))*SUM(INDEX($FK$325:$ID$396,HR$169,1+SwaptionShift):INDEX($FK$325:$ID$396,HR$169,SwaptionMonthsToGo+SwaptionShift))))))</f>
        <v/>
      </c>
      <c r="HS188" s="150" t="str">
        <f aca="false">IF(OR(HS$169&lt;SwaptionFirstMonthPosition+1,$FJ188&lt;SwaptionFirstMonthPosition+1,HS$169&gt;SwaptionFirstMonthPosition+SwaptionNumOfMonths+1,$FJ188&gt;SwaptionFirstMonthPosition+SwaptionNumOfMonths+1),"",IF($FJ188=HS$169,1,IF($FJ188&lt;HS$169,INDEX($FK$170:$ID$241,HS$169,$FJ188),SUMPRODUCT(INDEX($FK$325:$ID$396,HS$169,1+SwaptionShift):INDEX($FK$325:$ID$396,HS$169,SwaptionMonthsToGo+SwaptionShift),INDEX($FK$245:$ID$316,$FJ188-HS$169,73-HS$169+SwaptionShift):INDEX($FK$245:$ID$316,$FJ188-HS$169,72-HS$169+SwaptionMonthsToGo+SwaptionShift))/SQRT(SUM(INDEX($FK343:$ID343,1+SwaptionShift):INDEX($FK343:$ID343,SwaptionMonthsToGo+SwaptionShift))*SUM(INDEX($FK$325:$ID$396,HS$169,1+SwaptionShift):INDEX($FK$325:$ID$396,HS$169,SwaptionMonthsToGo+SwaptionShift))))))</f>
        <v/>
      </c>
      <c r="HT188" s="150" t="str">
        <f aca="false">IF(OR(HT$169&lt;SwaptionFirstMonthPosition+1,$FJ188&lt;SwaptionFirstMonthPosition+1,HT$169&gt;SwaptionFirstMonthPosition+SwaptionNumOfMonths+1,$FJ188&gt;SwaptionFirstMonthPosition+SwaptionNumOfMonths+1),"",IF($FJ188=HT$169,1,IF($FJ188&lt;HT$169,INDEX($FK$170:$ID$241,HT$169,$FJ188),SUMPRODUCT(INDEX($FK$325:$ID$396,HT$169,1+SwaptionShift):INDEX($FK$325:$ID$396,HT$169,SwaptionMonthsToGo+SwaptionShift),INDEX($FK$245:$ID$316,$FJ188-HT$169,73-HT$169+SwaptionShift):INDEX($FK$245:$ID$316,$FJ188-HT$169,72-HT$169+SwaptionMonthsToGo+SwaptionShift))/SQRT(SUM(INDEX($FK343:$ID343,1+SwaptionShift):INDEX($FK343:$ID343,SwaptionMonthsToGo+SwaptionShift))*SUM(INDEX($FK$325:$ID$396,HT$169,1+SwaptionShift):INDEX($FK$325:$ID$396,HT$169,SwaptionMonthsToGo+SwaptionShift))))))</f>
        <v/>
      </c>
      <c r="HU188" s="150" t="str">
        <f aca="false">IF(OR(HU$169&lt;SwaptionFirstMonthPosition+1,$FJ188&lt;SwaptionFirstMonthPosition+1,HU$169&gt;SwaptionFirstMonthPosition+SwaptionNumOfMonths+1,$FJ188&gt;SwaptionFirstMonthPosition+SwaptionNumOfMonths+1),"",IF($FJ188=HU$169,1,IF($FJ188&lt;HU$169,INDEX($FK$170:$ID$241,HU$169,$FJ188),SUMPRODUCT(INDEX($FK$325:$ID$396,HU$169,1+SwaptionShift):INDEX($FK$325:$ID$396,HU$169,SwaptionMonthsToGo+SwaptionShift),INDEX($FK$245:$ID$316,$FJ188-HU$169,73-HU$169+SwaptionShift):INDEX($FK$245:$ID$316,$FJ188-HU$169,72-HU$169+SwaptionMonthsToGo+SwaptionShift))/SQRT(SUM(INDEX($FK343:$ID343,1+SwaptionShift):INDEX($FK343:$ID343,SwaptionMonthsToGo+SwaptionShift))*SUM(INDEX($FK$325:$ID$396,HU$169,1+SwaptionShift):INDEX($FK$325:$ID$396,HU$169,SwaptionMonthsToGo+SwaptionShift))))))</f>
        <v/>
      </c>
      <c r="HV188" s="150" t="str">
        <f aca="false">IF(OR(HV$169&lt;SwaptionFirstMonthPosition+1,$FJ188&lt;SwaptionFirstMonthPosition+1,HV$169&gt;SwaptionFirstMonthPosition+SwaptionNumOfMonths+1,$FJ188&gt;SwaptionFirstMonthPosition+SwaptionNumOfMonths+1),"",IF($FJ188=HV$169,1,IF($FJ188&lt;HV$169,INDEX($FK$170:$ID$241,HV$169,$FJ188),SUMPRODUCT(INDEX($FK$325:$ID$396,HV$169,1+SwaptionShift):INDEX($FK$325:$ID$396,HV$169,SwaptionMonthsToGo+SwaptionShift),INDEX($FK$245:$ID$316,$FJ188-HV$169,73-HV$169+SwaptionShift):INDEX($FK$245:$ID$316,$FJ188-HV$169,72-HV$169+SwaptionMonthsToGo+SwaptionShift))/SQRT(SUM(INDEX($FK343:$ID343,1+SwaptionShift):INDEX($FK343:$ID343,SwaptionMonthsToGo+SwaptionShift))*SUM(INDEX($FK$325:$ID$396,HV$169,1+SwaptionShift):INDEX($FK$325:$ID$396,HV$169,SwaptionMonthsToGo+SwaptionShift))))))</f>
        <v/>
      </c>
      <c r="HW188" s="150" t="str">
        <f aca="false">IF(OR(HW$169&lt;SwaptionFirstMonthPosition+1,$FJ188&lt;SwaptionFirstMonthPosition+1,HW$169&gt;SwaptionFirstMonthPosition+SwaptionNumOfMonths+1,$FJ188&gt;SwaptionFirstMonthPosition+SwaptionNumOfMonths+1),"",IF($FJ188=HW$169,1,IF($FJ188&lt;HW$169,INDEX($FK$170:$ID$241,HW$169,$FJ188),SUMPRODUCT(INDEX($FK$325:$ID$396,HW$169,1+SwaptionShift):INDEX($FK$325:$ID$396,HW$169,SwaptionMonthsToGo+SwaptionShift),INDEX($FK$245:$ID$316,$FJ188-HW$169,73-HW$169+SwaptionShift):INDEX($FK$245:$ID$316,$FJ188-HW$169,72-HW$169+SwaptionMonthsToGo+SwaptionShift))/SQRT(SUM(INDEX($FK343:$ID343,1+SwaptionShift):INDEX($FK343:$ID343,SwaptionMonthsToGo+SwaptionShift))*SUM(INDEX($FK$325:$ID$396,HW$169,1+SwaptionShift):INDEX($FK$325:$ID$396,HW$169,SwaptionMonthsToGo+SwaptionShift))))))</f>
        <v/>
      </c>
      <c r="HX188" s="150" t="str">
        <f aca="false">IF(OR(HX$169&lt;SwaptionFirstMonthPosition+1,$FJ188&lt;SwaptionFirstMonthPosition+1,HX$169&gt;SwaptionFirstMonthPosition+SwaptionNumOfMonths+1,$FJ188&gt;SwaptionFirstMonthPosition+SwaptionNumOfMonths+1),"",IF($FJ188=HX$169,1,IF($FJ188&lt;HX$169,INDEX($FK$170:$ID$241,HX$169,$FJ188),SUMPRODUCT(INDEX($FK$325:$ID$396,HX$169,1+SwaptionShift):INDEX($FK$325:$ID$396,HX$169,SwaptionMonthsToGo+SwaptionShift),INDEX($FK$245:$ID$316,$FJ188-HX$169,73-HX$169+SwaptionShift):INDEX($FK$245:$ID$316,$FJ188-HX$169,72-HX$169+SwaptionMonthsToGo+SwaptionShift))/SQRT(SUM(INDEX($FK343:$ID343,1+SwaptionShift):INDEX($FK343:$ID343,SwaptionMonthsToGo+SwaptionShift))*SUM(INDEX($FK$325:$ID$396,HX$169,1+SwaptionShift):INDEX($FK$325:$ID$396,HX$169,SwaptionMonthsToGo+SwaptionShift))))))</f>
        <v/>
      </c>
      <c r="HY188" s="150" t="str">
        <f aca="false">IF(OR(HY$169&lt;SwaptionFirstMonthPosition+1,$FJ188&lt;SwaptionFirstMonthPosition+1,HY$169&gt;SwaptionFirstMonthPosition+SwaptionNumOfMonths+1,$FJ188&gt;SwaptionFirstMonthPosition+SwaptionNumOfMonths+1),"",IF($FJ188=HY$169,1,IF($FJ188&lt;HY$169,INDEX($FK$170:$ID$241,HY$169,$FJ188),SUMPRODUCT(INDEX($FK$325:$ID$396,HY$169,1+SwaptionShift):INDEX($FK$325:$ID$396,HY$169,SwaptionMonthsToGo+SwaptionShift),INDEX($FK$245:$ID$316,$FJ188-HY$169,73-HY$169+SwaptionShift):INDEX($FK$245:$ID$316,$FJ188-HY$169,72-HY$169+SwaptionMonthsToGo+SwaptionShift))/SQRT(SUM(INDEX($FK343:$ID343,1+SwaptionShift):INDEX($FK343:$ID343,SwaptionMonthsToGo+SwaptionShift))*SUM(INDEX($FK$325:$ID$396,HY$169,1+SwaptionShift):INDEX($FK$325:$ID$396,HY$169,SwaptionMonthsToGo+SwaptionShift))))))</f>
        <v/>
      </c>
      <c r="HZ188" s="150" t="str">
        <f aca="false">IF(OR(HZ$169&lt;SwaptionFirstMonthPosition+1,$FJ188&lt;SwaptionFirstMonthPosition+1,HZ$169&gt;SwaptionFirstMonthPosition+SwaptionNumOfMonths+1,$FJ188&gt;SwaptionFirstMonthPosition+SwaptionNumOfMonths+1),"",IF($FJ188=HZ$169,1,IF($FJ188&lt;HZ$169,INDEX($FK$170:$ID$241,HZ$169,$FJ188),SUMPRODUCT(INDEX($FK$325:$ID$396,HZ$169,1+SwaptionShift):INDEX($FK$325:$ID$396,HZ$169,SwaptionMonthsToGo+SwaptionShift),INDEX($FK$245:$ID$316,$FJ188-HZ$169,73-HZ$169+SwaptionShift):INDEX($FK$245:$ID$316,$FJ188-HZ$169,72-HZ$169+SwaptionMonthsToGo+SwaptionShift))/SQRT(SUM(INDEX($FK343:$ID343,1+SwaptionShift):INDEX($FK343:$ID343,SwaptionMonthsToGo+SwaptionShift))*SUM(INDEX($FK$325:$ID$396,HZ$169,1+SwaptionShift):INDEX($FK$325:$ID$396,HZ$169,SwaptionMonthsToGo+SwaptionShift))))))</f>
        <v/>
      </c>
      <c r="IA188" s="150" t="str">
        <f aca="false">IF(OR(IA$169&lt;SwaptionFirstMonthPosition+1,$FJ188&lt;SwaptionFirstMonthPosition+1,IA$169&gt;SwaptionFirstMonthPosition+SwaptionNumOfMonths+1,$FJ188&gt;SwaptionFirstMonthPosition+SwaptionNumOfMonths+1),"",IF($FJ188=IA$169,1,IF($FJ188&lt;IA$169,INDEX($FK$170:$ID$241,IA$169,$FJ188),SUMPRODUCT(INDEX($FK$325:$ID$396,IA$169,1+SwaptionShift):INDEX($FK$325:$ID$396,IA$169,SwaptionMonthsToGo+SwaptionShift),INDEX($FK$245:$ID$316,$FJ188-IA$169,73-IA$169+SwaptionShift):INDEX($FK$245:$ID$316,$FJ188-IA$169,72-IA$169+SwaptionMonthsToGo+SwaptionShift))/SQRT(SUM(INDEX($FK343:$ID343,1+SwaptionShift):INDEX($FK343:$ID343,SwaptionMonthsToGo+SwaptionShift))*SUM(INDEX($FK$325:$ID$396,IA$169,1+SwaptionShift):INDEX($FK$325:$ID$396,IA$169,SwaptionMonthsToGo+SwaptionShift))))))</f>
        <v/>
      </c>
      <c r="IB188" s="150" t="str">
        <f aca="false">IF(OR(IB$169&lt;SwaptionFirstMonthPosition+1,$FJ188&lt;SwaptionFirstMonthPosition+1,IB$169&gt;SwaptionFirstMonthPosition+SwaptionNumOfMonths+1,$FJ188&gt;SwaptionFirstMonthPosition+SwaptionNumOfMonths+1),"",IF($FJ188=IB$169,1,IF($FJ188&lt;IB$169,INDEX($FK$170:$ID$241,IB$169,$FJ188),SUMPRODUCT(INDEX($FK$325:$ID$396,IB$169,1+SwaptionShift):INDEX($FK$325:$ID$396,IB$169,SwaptionMonthsToGo+SwaptionShift),INDEX($FK$245:$ID$316,$FJ188-IB$169,73-IB$169+SwaptionShift):INDEX($FK$245:$ID$316,$FJ188-IB$169,72-IB$169+SwaptionMonthsToGo+SwaptionShift))/SQRT(SUM(INDEX($FK343:$ID343,1+SwaptionShift):INDEX($FK343:$ID343,SwaptionMonthsToGo+SwaptionShift))*SUM(INDEX($FK$325:$ID$396,IB$169,1+SwaptionShift):INDEX($FK$325:$ID$396,IB$169,SwaptionMonthsToGo+SwaptionShift))))))</f>
        <v/>
      </c>
      <c r="IC188" s="150" t="str">
        <f aca="false">IF(OR(IC$169&lt;SwaptionFirstMonthPosition+1,$FJ188&lt;SwaptionFirstMonthPosition+1,IC$169&gt;SwaptionFirstMonthPosition+SwaptionNumOfMonths+1,$FJ188&gt;SwaptionFirstMonthPosition+SwaptionNumOfMonths+1),"",IF($FJ188=IC$169,1,IF($FJ188&lt;IC$169,INDEX($FK$170:$ID$241,IC$169,$FJ188),SUMPRODUCT(INDEX($FK$325:$ID$396,IC$169,1+SwaptionShift):INDEX($FK$325:$ID$396,IC$169,SwaptionMonthsToGo+SwaptionShift),INDEX($FK$245:$ID$316,$FJ188-IC$169,73-IC$169+SwaptionShift):INDEX($FK$245:$ID$316,$FJ188-IC$169,72-IC$169+SwaptionMonthsToGo+SwaptionShift))/SQRT(SUM(INDEX($FK343:$ID343,1+SwaptionShift):INDEX($FK343:$ID343,SwaptionMonthsToGo+SwaptionShift))*SUM(INDEX($FK$325:$ID$396,IC$169,1+SwaptionShift):INDEX($FK$325:$ID$396,IC$169,SwaptionMonthsToGo+SwaptionShift))))))</f>
        <v/>
      </c>
      <c r="ID188" s="572" t="str">
        <f aca="false">IF(OR(ID$169&lt;SwaptionFirstMonthPosition+1,$FJ188&lt;SwaptionFirstMonthPosition+1,ID$169&gt;SwaptionFirstMonthPosition+SwaptionNumOfMonths+1,$FJ188&gt;SwaptionFirstMonthPosition+SwaptionNumOfMonths+1),"",IF($FJ188=ID$169,1,IF($FJ188&lt;ID$169,INDEX($FK$170:$ID$241,ID$169,$FJ188),SUMPRODUCT(INDEX($FK$325:$ID$396,ID$169,1+SwaptionShift):INDEX($FK$325:$ID$396,ID$169,SwaptionMonthsToGo+SwaptionShift),INDEX($FK$245:$ID$316,$FJ188-ID$169,73-ID$169+SwaptionShift):INDEX($FK$245:$ID$316,$FJ188-ID$169,72-ID$169+SwaptionMonthsToGo+SwaptionShift))/SQRT(SUM(INDEX($FK343:$ID343,1+SwaptionShift):INDEX($FK343:$ID343,SwaptionMonthsToGo+SwaptionShift))*SUM(INDEX($FK$325:$ID$396,ID$169,1+SwaptionShift):INDEX($FK$325:$ID$396,ID$169,SwaptionMonthsToGo+SwaptionShift))))))</f>
        <v/>
      </c>
      <c r="IE188" s="129"/>
    </row>
    <row r="189" customFormat="false" ht="12.75" hidden="false" customHeight="false" outlineLevel="0" collapsed="false">
      <c r="H189" s="219" t="n">
        <f aca="false">VLOOKUP(I189,$EJ$20:$EL$54,3)</f>
        <v>0</v>
      </c>
      <c r="I189" s="511" t="n">
        <f aca="false">EOMONTH(I188,0)+1</f>
        <v>41913</v>
      </c>
      <c r="J189" s="512"/>
      <c r="K189" s="513" t="s">
        <v>280</v>
      </c>
      <c r="L189" s="514" t="n">
        <f aca="false">IF(ISNUMBER(K189),J189+K189/100,IF(K189="extra",L188+VLOOKUP(BF189,PriceSpreadTable,2)/12,IF(K189="inter",interpolateprices($K$19:$L$200,ROW(K189)-ROW(FirstPricingMonth)+1),interpolatechanges($J$19:$K$200,ROW(K189)-ROW(FirstPricingMonth)+1))))</f>
        <v>3.48750000000001</v>
      </c>
      <c r="M189" s="515"/>
      <c r="N189" s="516" t="n">
        <v>0</v>
      </c>
      <c r="O189" s="515" t="n">
        <f aca="false">M189+N189</f>
        <v>0</v>
      </c>
      <c r="P189" s="512"/>
      <c r="Q189" s="513" t="s">
        <v>280</v>
      </c>
      <c r="R189" s="512" t="e">
        <f aca="false">IF(ISNUMBER(Q189),P189+Q189/100,IF(Q189="extra",(Z187*AL187-R188*AM187)/AN187,IF(Q189="inter",interpolateprices($Q$19:$R$260,ROW(Q189)-ROW(FirstPricingMonth)+1),interpolatechanges($P$19:$Q$260,ROW(Q189)-ROW(FirstPricingMonth)+1))))</f>
        <v>#VALUE!</v>
      </c>
      <c r="S189" s="597" t="n">
        <f aca="false">S$19+(S188-S$19)*S$18</f>
        <v>0.36</v>
      </c>
      <c r="T189" s="575" t="n">
        <f aca="false">SQRT((1-(1-T188^2/U188)*T$18)*U189)</f>
        <v>0.999999999999643</v>
      </c>
      <c r="U189" s="576" t="n">
        <f aca="false">1-(1-U188)*U$18</f>
        <v>1</v>
      </c>
      <c r="V189" s="521" t="n">
        <v>0</v>
      </c>
      <c r="W189" s="577" t="n">
        <f aca="false">(J190*AJ189+J191*AK189)/AI189</f>
        <v>0</v>
      </c>
      <c r="X189" s="578" t="n">
        <f aca="false">(L190*AJ189+L191*AK189)/AI189</f>
        <v>3.53967391304348</v>
      </c>
      <c r="Y189" s="579" t="n">
        <f aca="false">IF(Q191="extra",W189-AA189,(P190*AM189+P191*AN189)/AL189)</f>
        <v>-1.1931</v>
      </c>
      <c r="Z189" s="579" t="n">
        <f aca="false">IF(Q191="extra",X189-AB189,(R190*AM189+R191*AN189)/AL189)</f>
        <v>2.34657391304348</v>
      </c>
      <c r="AA189" s="523" t="n">
        <f aca="false">IF(Q191="extra",INDEX(BrentSeasonalityTable,INT((BG189-1)/3)+1)*VLOOKUP(MAX(BF189,$AB$4),PriceSpreadTable,3),W189-Y189)</f>
        <v>1.1931</v>
      </c>
      <c r="AB189" s="524" t="n">
        <f aca="false">IF(Q191="extra",INDEX(BrentSeasonalityTable,INT((BG189-1)/3)+1)*VLOOKUP(MAX(BF189,$AB$4),PriceSpreadTable,3),X189-Z189)</f>
        <v>1.1931</v>
      </c>
      <c r="AC189" s="646" t="n">
        <v>41902</v>
      </c>
      <c r="AD189" s="646" t="n">
        <v>41898</v>
      </c>
      <c r="AE189" s="646" t="n">
        <v>41897</v>
      </c>
      <c r="AF189" s="646" t="n">
        <v>41893</v>
      </c>
      <c r="AG189" s="438" t="s">
        <v>278</v>
      </c>
      <c r="AH189" s="439" t="s">
        <v>278</v>
      </c>
      <c r="AI189" s="528" t="n">
        <v>23</v>
      </c>
      <c r="AJ189" s="529" t="n">
        <v>14</v>
      </c>
      <c r="AK189" s="529" t="n">
        <v>9</v>
      </c>
      <c r="AL189" s="530" t="n">
        <v>23</v>
      </c>
      <c r="AM189" s="529" t="n">
        <v>10</v>
      </c>
      <c r="AN189" s="531" t="n">
        <v>13</v>
      </c>
      <c r="AO189" s="532"/>
      <c r="AP189" s="465" t="n">
        <f aca="false">(1+AO189/2)^(-2*BL189)</f>
        <v>1</v>
      </c>
      <c r="AQ189" s="532"/>
      <c r="AR189" s="465" t="n">
        <f aca="false">(1+AQ189/2)^(-2*BH189/365.25)</f>
        <v>1</v>
      </c>
      <c r="AS189" s="580" t="n">
        <f aca="false">(O190*AJ189+O191*AK189)/AI189</f>
        <v>0</v>
      </c>
      <c r="AT189" s="468" t="n">
        <f aca="false">O189*VLOOKUP(BF189,BrentVolTable,2)+VLOOKUP(BF189,BrentVolTable,3)</f>
        <v>0</v>
      </c>
      <c r="AU189" s="468" t="n">
        <f aca="false">(AT190*AM189+AT191*AN189)/AL189</f>
        <v>0</v>
      </c>
      <c r="AV189" s="595" t="n">
        <f aca="false">SQRT(MAX(0.000000000001,(O189^2*BH189-S189^2*(BH189-BH188))/BH188))</f>
        <v>0.0314649703134458</v>
      </c>
      <c r="AW189" s="451" t="n">
        <f aca="false">IF($I189-DateToday+15&gt;=$T$8,"",IF($I189-DateToday+15&lt;$T$5,1,MATCH($I189-DateToday+15,$T$5:$T$8)))</f>
        <v>1</v>
      </c>
      <c r="AX189" s="468" t="n">
        <f aca="false">IF($AW189="",AX188^2/AX187,INDEX(U$5:U$8,$AW189)^((INDEX($T$5:$T$8,$AW189+1)-($I189-DateToday+15))/(INDEX($T$5:$T$8,$AW189+1)-INDEX($T$5:$T$8,$AW189)))/INDEX(U$5:U$8,$AW189+1)^((INDEX($T$5:$T$8,$AW189)-($I189-DateToday+15))/(INDEX($T$5:$T$8,$AW189+1)-INDEX($T$5:$T$8,$AW189))))</f>
        <v>0.338665644306415</v>
      </c>
      <c r="AY189" s="468" t="n">
        <f aca="false">IF($AW189="",AY188^2/AY187,INDEX(V$5:V$8,$AW189)^((INDEX($T$5:$T$8,$AW189+1)-($I189-DateToday+15))/(INDEX($T$5:$T$8,$AW189+1)-INDEX($T$5:$T$8,$AW189)))/INDEX(V$5:V$8,$AW189+1)^((INDEX($T$5:$T$8,$AW189)-($I189-DateToday+15))/(INDEX($T$5:$T$8,$AW189+1)-INDEX($T$5:$T$8,$AW189))))</f>
        <v>4.22340856468139</v>
      </c>
      <c r="AZ189" s="468" t="n">
        <f aca="false">IF($AW189="",AZ188^2/AZ187,INDEX(W$5:W$8,$AW189)^((INDEX($T$5:$T$8,$AW189+1)-($I189-DateToday+15))/(INDEX($T$5:$T$8,$AW189+1)-INDEX($T$5:$T$8,$AW189)))/INDEX(W$5:W$8,$AW189+1)^((INDEX($T$5:$T$8,$AW189)-($I189-DateToday+15))/(INDEX($T$5:$T$8,$AW189+1)-INDEX($T$5:$T$8,$AW189))))</f>
        <v>642.419215266592</v>
      </c>
      <c r="BA189" s="468" t="n">
        <f aca="false">IF($AW189="",BA188^2/BA187,INDEX(X$5:X$8,$AW189)^((INDEX($T$5:$T$8,$AW189+1)-($I189-DateToday+15))/(INDEX($T$5:$T$8,$AW189+1)-INDEX($T$5:$T$8,$AW189)))/INDEX(X$5:X$8,$AW189+1)^((INDEX($T$5:$T$8,$AW189)-($I189-DateToday+15))/(INDEX($T$5:$T$8,$AW189+1)-INDEX($T$5:$T$8,$AW189))))</f>
        <v>2266.30539013626</v>
      </c>
      <c r="BB189" s="468" t="n">
        <f aca="false">IF($AW189="",BB188^2/BB187,INDEX(Y$5:Y$8,$AW189)^((INDEX($T$5:$T$8,$AW189+1)-($I189-DateToday+15))/(INDEX($T$5:$T$8,$AW189+1)-INDEX($T$5:$T$8,$AW189)))/INDEX(Y$5:Y$8,$AW189+1)^((INDEX($T$5:$T$8,$AW189)-($I189-DateToday+15))/(INDEX($T$5:$T$8,$AW189+1)-INDEX($T$5:$T$8,$AW189))))</f>
        <v>11761.1497148144</v>
      </c>
      <c r="BC189" s="468" t="n">
        <f aca="false">IF($AW189="",BC188^2/BC187,INDEX(Z$5:Z$8,$AW189)^((INDEX($T$5:$T$8,$AW189+1)-($I189-DateToday+15))/(INDEX($T$5:$T$8,$AW189+1)-INDEX($T$5:$T$8,$AW189)))/INDEX(Z$5:Z$8,$AW189+1)^((INDEX($T$5:$T$8,$AW189)-($I189-DateToday+15))/(INDEX($T$5:$T$8,$AW189+1)-INDEX($T$5:$T$8,$AW189))))</f>
        <v>32220.3448385886</v>
      </c>
      <c r="BD189" s="535" t="n">
        <f aca="false">IF(OR(DateStart&gt;=I190,DateEnd&lt;I189),0,IF(VolumeOverrideFlag,V189,Volume))</f>
        <v>0</v>
      </c>
      <c r="BE189" s="536" t="n">
        <f aca="false">IF(OR(DateStart2&gt;=I190,DateEnd2&lt;I189),0,IF(VolumeOverrideFlag,V189,VolumeSwaption))</f>
        <v>0</v>
      </c>
      <c r="BF189" s="537" t="n">
        <f aca="false">YEAR(I189)</f>
        <v>2014</v>
      </c>
      <c r="BG189" s="538" t="n">
        <f aca="false">MONTH(I189)</f>
        <v>10</v>
      </c>
      <c r="BH189" s="539" t="n">
        <f aca="false">AD189-DateToday+1</f>
        <v>-4027</v>
      </c>
      <c r="BI189" s="540" t="n">
        <f aca="false">(I189-DateToday+1)/365.25</f>
        <v>-10.984257357974</v>
      </c>
      <c r="BJ189" s="541" t="n">
        <f aca="false">BI189+(BL189-BI189)*CHOOSE(Underlying,AJ189/AI189,AM189/AL189)</f>
        <v>-10.9342618218611</v>
      </c>
      <c r="BK189" s="541" t="n">
        <f aca="false">BJ189+1/365.25</f>
        <v>-10.931523971074</v>
      </c>
      <c r="BL189" s="541" t="n">
        <f aca="false">(I190-DateToday)/365.25</f>
        <v>-10.90212183436</v>
      </c>
      <c r="BM189" s="542" t="e">
        <f aca="false">MAX(BI189-(BJ189-BI189)*(S190^2/O190^2-1),0)</f>
        <v>#DIV/0!</v>
      </c>
      <c r="BN189" s="541" t="e">
        <f aca="false">MAX(BL189+(BL189-BK189)*(S191^2/O191^2-1),0)</f>
        <v>#DIV/0!</v>
      </c>
      <c r="BO189" s="530" t="n">
        <f aca="false">CHOOSE(Underlying,AI189,AL189)</f>
        <v>23</v>
      </c>
      <c r="BP189" s="529" t="n">
        <f aca="false">CHOOSE(Underlying,AJ189,AM189)</f>
        <v>14</v>
      </c>
      <c r="BQ189" s="529" t="n">
        <f aca="false">CHOOSE(Underlying,AK189,AN189)</f>
        <v>9</v>
      </c>
      <c r="BR189" s="463" t="str">
        <f aca="false">IF(BD189,IF(Underlying=1,X189,Z189)+UnderlyingPriceAsian-SwapPriceCurve,"")</f>
        <v/>
      </c>
      <c r="BS189" s="463" t="str">
        <f aca="false">IF(BD189,Strike1/BR189-1,"")</f>
        <v/>
      </c>
      <c r="BT189" s="464" t="str">
        <f aca="false">IF(BD189,Strike2/BR189-1,"")</f>
        <v/>
      </c>
      <c r="BU189" s="465" t="str">
        <f aca="false">IF(BD189,IF(Underlying=1,L190,R190)+UnderlyingPriceAsian-SwapPriceCurve,"")</f>
        <v/>
      </c>
      <c r="BV189" s="465" t="str">
        <f aca="false">IF(BD189,IF(Underlying=1,L191,R191)+UnderlyingPriceAsian-SwapPriceCurve,"")</f>
        <v/>
      </c>
      <c r="BW189" s="466" t="str">
        <f aca="false">IF(BD189,IF(Underlying=1,O190,AT190),"")</f>
        <v/>
      </c>
      <c r="BX189" s="467" t="str">
        <f aca="false">IF(BD189,IF(Underlying=1,O191,AT191),"")</f>
        <v/>
      </c>
      <c r="BY189" s="466" t="str">
        <f aca="false">IF(BD189,IF(BS189&gt;0,IF(BS189&gt;0.2,BC189-BB189,IF(BS189&gt;0.1,BB189-BA189,BA189)),IF(BS189&lt;-0.2,AX189-AY189,IF(BS189&lt;-0.1,AY189-AZ189,AZ189))),"")</f>
        <v/>
      </c>
      <c r="BZ189" s="467" t="str">
        <f aca="false">IF(BD189,IF(BT189&gt;0,IF(BT189&gt;0.2,BC189-BB189,IF(BT189&gt;0.1,BB189-BA189,BA189)),IF(BT189&lt;-0.2,AX189-AY189,IF(BT189&lt;-0.1,AY189-AZ189,AZ189))),"")</f>
        <v/>
      </c>
      <c r="CA189" s="468" t="str">
        <f aca="false">IF($BD189,$BW189+IF(VolSkewFlag=1,IF(BS189&gt;0,$BA189*MIN(BS189/10%,1)+($BB189-$BA189)*MAX(0,MIN(BS189/10%-1,1))+($BC189-$BB189)*MAX(0,BS189/10%-2),$AZ189*MIN(-BS189/10%,1)+($AY189-$AZ189)*MAX(0,MIN(-BS189/10%-1,1))+($AX189-$AY189)*MAX(0,-BS189/10%-2)),0),"")</f>
        <v/>
      </c>
      <c r="CB189" s="468" t="str">
        <f aca="false">IF($BD189,$BX189+IF(VolSkewFlag=1,IF(BS189&gt;0,$BA189*MIN(BS189/10%,1)+($BB189-$BA189)*MAX(0,MIN(BS189/10%-1,1))+($BC189-$BB189)*MAX(0,BS189/10%-2),$AZ189*MIN(-BS189/10%,1)+($AY189-$AZ189)*MAX(0,MIN(-BS189/10%-1,1))+($AX189-$AY189)*MAX(0,-BS189/10%-2)),0),"")</f>
        <v/>
      </c>
      <c r="CC189" s="468" t="str">
        <f aca="false">IF($BD189,$BW189+IF(VolSkewFlag=1,IF(BT189&gt;0,$BA189*MIN(BT189/10%,1)+($BB189-$BA189)*MAX(0,MIN(BT189/10%-1,1))+($BC189-$BB189)*MAX(0,BT189/10%-2),$AZ189*MIN(-BT189/10%,1)+($AY189-$AZ189)*MAX(0,MIN(-BT189/10%-1,1))+($AX189-$AY189)*MAX(0,-BT189/10%-2)),0),"")</f>
        <v/>
      </c>
      <c r="CD189" s="468" t="str">
        <f aca="false">IF($BD189,$BX189+IF(VolSkewFlag=1,IF(BT189&gt;0,$BA189*MIN(BT189/10%,1)+($BB189-$BA189)*MAX(0,MIN(BT189/10%-1,1))+($BC189-$BB189)*MAX(0,BT189/10%-2),$AZ189*MIN(-BT189/10%,1)+($AY189-$AZ189)*MAX(0,MIN(-BT189/10%-1,1))+($AX189-$AY189)*MAX(0,-BT189/10%-2)),0),"")</f>
        <v/>
      </c>
      <c r="CE189" s="469" t="n">
        <v>1</v>
      </c>
      <c r="CF189" s="470" t="n">
        <f aca="false">IF(BD189,xCrudeAPO(BU189,BV189,CA189,CB189,S190,S191,BI189,BL189,BP189,BQ189,0,Strike1,AO189,CE189,0,BL189,IF(OptControl=4,0,1),0,1),0)</f>
        <v>0</v>
      </c>
      <c r="CG189" s="470" t="n">
        <f aca="false">IF(BD189,xCrudeAPO(BU189,BV189,CA189,CB189,S190,S191,BI189,BL189,BP189,BQ189,0,Strike1,AO189,CE189,0,BL189,IF(OptControl=4,0,1),1,1)+xCrudeAPO(BU189,BV189,CA189,CB189,S190,S191,BI189,BL189,BP189,BQ189,0,Strike1,AO189,CE189,0,BL189,IF(OptControl=4,0,1),1,2)+IF(OR(VolSkewFlag=2,ABS(BS189)&lt;0.0001),0,IF(BS189&gt;0,-1,1)*CH189*Strike1/BR189^2*BY189/10%),0)</f>
        <v>0</v>
      </c>
      <c r="CH189" s="470" t="n">
        <f aca="false">IF(BD189,(xCrudeAPO(BU189,BV189,CA189,CB189,S190,S191,BI189,BL189,BP189,BQ189,0,Strike1,AO189,CE189,0,BL189,IF(OptControl=4,0,1),3,1)+xCrudeAPO(BU189,BV189,CA189,CB189,S190,S191,BI189,BL189,BP189,BQ189,0,Strike1,AO189,CE189,0,BL189,IF(OptControl=4,0,1),3,2))/100,0)</f>
        <v>0</v>
      </c>
      <c r="CI189" s="470" t="n">
        <f aca="false">IF(BD189,xCrudeAPO(BU189,BV189,CA189,CB189,S190,S191,BI189-DaysForThetaCalculation/365.25,BL189-DaysForThetaCalculation/365.25,BP189,BQ189,0,Strike1,AO189,CE189,0,BL189,IF(OptControl=4,0,1),0,1)-xCrudeAPO(BU189,BV189,CA189,CB189,S190,S191,BI189,BL189,BP189,BQ189,0,Strike1,AO189,CE189,0,BL189,IF(OptControl=4,0,1),0,1),0)</f>
        <v>0</v>
      </c>
      <c r="CJ189" s="471" t="n">
        <f aca="false">IF(BD189,xCrudeAPO(BU189,BV189,CC189,CD189,S190,S191,BI189,BL189,BP189,BQ189,0,Strike2,AO189,CE189,0,BL189,IF(OptControl=3,1,0),0,1),0)</f>
        <v>0</v>
      </c>
      <c r="CK189" s="470" t="n">
        <f aca="false">IF(BD189,xCrudeAPO(BU189,BV189,CC189,CD189,S190,S191,BI189,BL189,BP189,BQ189,0,Strike2,AO189,CE189,0,BL189,IF(OptControl=3,1,0),1,1)+xCrudeAPO(BU189,BV189,CC189,CD189,S190,S191,BI189,BL189,BP189,BQ189,0,Strike2,AO189,CE189,0,BL189,IF(OptControl=3,1,0),1,2)+IF(OR(VolSkewFlag=2,ABS(BT189)&lt;0.0001),0,IF(BT189&gt;0,-1,1)*CL189*Strike2/BR189^2*BZ189/10%),0)</f>
        <v>0</v>
      </c>
      <c r="CL189" s="470" t="n">
        <f aca="false">IF(BD189,(xCrudeAPO(BU189,BV189,CC189,CD189,S190,S191,BI189,BL189,BP189,BQ189,0,Strike2,AO189,CE189,0,BL189,IF(OptControl=3,1,0),3,1)+xCrudeAPO(BU189,BV189,CC189,CD189,S190,S191,BI189,BL189,BP189,BQ189,0,Strike2,AO189,CE189,0,BL189,IF(OptControl=3,1,0),3,2))/100,0)</f>
        <v>0</v>
      </c>
      <c r="CM189" s="472" t="n">
        <f aca="false">IF(BD189,xCrudeAPO(BU189,BV189,CC189,CD189,S190,S191,BI189-DaysForThetaCalculation/365.25,BL189-DaysForThetaCalculation/365.25,BP189,BQ189,0,Strike2,AO189,CE189,0,BL189,IF(OptControl=3,1,0),0,1)-xCrudeAPO(BU189,BV189,CC189,CD189,S190,S191,BI189,BL189,BP189,BQ189,0,Strike2,AO189,CE189,0,BL189,IF(OptControl=3,1,0),0,1),0)</f>
        <v>0</v>
      </c>
      <c r="CN189" s="3"/>
      <c r="CO189" s="543" t="str">
        <f aca="false">IF(BD189,CHOOSE(Underlying,AD189,AF189)-DateToday+1,"")</f>
        <v/>
      </c>
      <c r="CP189" s="582" t="str">
        <f aca="false">IF(BD189,CHOOSE(Underlying,L189,R189),"")</f>
        <v/>
      </c>
      <c r="CQ189" s="544" t="str">
        <f aca="false">IF(BD189,Strike1/CP189-1,"")</f>
        <v/>
      </c>
      <c r="CR189" s="544" t="str">
        <f aca="false">IF(BD189,Strike2/CP189-1,"")</f>
        <v/>
      </c>
      <c r="CS189" s="544" t="str">
        <f aca="false">IF(BD189,IF(CQ189&gt;0,IF(CQ189&gt;0.2,BC188-BB188,IF(CQ189&gt;0.1,BB188-BA188,BA188)),IF(CQ189&lt;-0.2,AX188-AY188,IF(CQ189&lt;-0.1,AY188-AZ188,AZ188))),"")</f>
        <v/>
      </c>
      <c r="CT189" s="544" t="str">
        <f aca="false">IF(BD189,IF(CR189&gt;0,IF(CR189&gt;0.2,BC188-BB188,IF(CR189&gt;0.1,BB188-BA188,BA188)),IF(CR189&lt;-0.2,AX188-AY188,IF(CR189&lt;-0.1,AY188-AZ188,AZ188))),"")</f>
        <v/>
      </c>
      <c r="CU189" s="545" t="str">
        <f aca="false">IF(BD189,CHOOSE(Underlying,O189,AT189),"")</f>
        <v/>
      </c>
      <c r="CV189" s="545" t="str">
        <f aca="false">IF(BD189,CU189+IF(VolSkewFlag=1,IF(CQ189&gt;0,BA188*MIN(CQ189/10%,1)+(BB188-BA188)*MAX(0,MIN(CQ189/10%-1,1))+(BC188-BB188)*MAX(0,CQ189/10%-2),AZ188*MIN(-CQ189/10%,1)+(AY188-AZ188)*MAX(0,MIN(-CQ189/10%-1,1))+(AX188-AY188)*MAX(0,-CQ189/10%-2)),0),"")</f>
        <v/>
      </c>
      <c r="CW189" s="545" t="str">
        <f aca="false">IF(BD189,CU189+IF(VolSkewFlag=1,IF(CR189&gt;0,BA188*MIN(CR189/10%,1)+(BB188-BA188)*MAX(0,MIN(CR189/10%-1,1))+(BC188-BB188)*MAX(0,CR189/10%-2),AZ188*MIN(-CR189/10%,1)+(AY188-AZ188)*MAX(0,MIN(-CR189/10%-1,1))+(AX188-AY188)*MAX(0,-CR189/10%-2)),0),"")</f>
        <v/>
      </c>
      <c r="CX189" s="470" t="n">
        <f aca="false">IF(BD189,EURO(CP189,Strike1,AO189,AO189,CV189,CO189,IF(OptControl=4,0,1),0),0)</f>
        <v>0</v>
      </c>
      <c r="CY189" s="470" t="n">
        <f aca="false">IF(BD189,EURO(CP189,Strike1,AO189,AO189,CV189,CO189,IF(OptControl=4,0,1),1)+IF(OR(VolSkewFlag=2,ABS(CQ189)&lt;0.0001),0,IF(CQ189&gt;0,-1,1)*CZ189*100*Strike1/CP189^2*CS189/10%),0)</f>
        <v>0</v>
      </c>
      <c r="CZ189" s="470" t="n">
        <f aca="false">IF(BD189,EURO(CP189,Strike1,AO189,AO189,CV189,CO189,IF(OptControl=4,0,1),3)/100,0)</f>
        <v>0</v>
      </c>
      <c r="DA189" s="470" t="n">
        <f aca="false">IF(BD189,EURO(CP189,Strike1,AO189,AO189,CV189,CO189,IF(OptControl=4,0,1),0)-EURO(CP189,Strike1,AO189,AO189,CV189,CO189-1,IF(OptControl=4,0,1),0),0)</f>
        <v>0</v>
      </c>
      <c r="DB189" s="470" t="n">
        <f aca="false">IF(BD189,EURO(CP189,Strike2,AO189,AO189,CW189,CO189,IF(OptControl=3,1,0),0),0)</f>
        <v>0</v>
      </c>
      <c r="DC189" s="470" t="n">
        <f aca="false">IF(BD189,EURO(CP189,Strike2,AO189,AO189,CW189,CO189,IF(OptControl=3,1,0),1)+IF(OR(VolSkewFlag=2,ABS(CR189)&lt;0.0001),0,IF(CR189&gt;0,-1,1)*DD189*100*Strike2/CP189^2*CT189/10%),0)</f>
        <v>0</v>
      </c>
      <c r="DD189" s="470" t="n">
        <f aca="false">IF(BD189,EURO(CP189,Strike2,AO189,AO189,CW189,CO189,IF(OptControl=3,1,0),3)/100,0)</f>
        <v>0</v>
      </c>
      <c r="DE189" s="472" t="n">
        <f aca="false">IF(BD189,EURO(CP189,Strike2,AO189,AO189,CW189,CO189,IF(OptControl=3,1,0),0)-EURO(CP189,Strike2,AO189,AO189,CW189,CO189-1,IF(OptControl=3,1,0),0),0)</f>
        <v>0</v>
      </c>
      <c r="DG189" s="481" t="n">
        <f aca="false">EOMONTH(DG188,0)+1</f>
        <v>50830</v>
      </c>
      <c r="DH189" s="478" t="n">
        <v>22.6100000000001</v>
      </c>
      <c r="DI189" s="479" t="n">
        <v>22.6766666666667</v>
      </c>
      <c r="DJ189" s="480" t="n">
        <f aca="false">DG189</f>
        <v>50830</v>
      </c>
      <c r="DK189" s="478" t="n">
        <v>21.4476175088845</v>
      </c>
      <c r="DL189" s="479" t="n">
        <v>21.5081666666667</v>
      </c>
      <c r="DM189" s="481" t="n">
        <f aca="false">DG189</f>
        <v>50830</v>
      </c>
      <c r="DN189" s="482" t="n">
        <f aca="false">DK189+BrentPhyBrentSpread</f>
        <v>21.4976175088845</v>
      </c>
      <c r="DO189" s="481" t="n">
        <f aca="false">DG189</f>
        <v>50830</v>
      </c>
      <c r="DP189" s="483" t="n">
        <f aca="false">DL189+DQ189</f>
        <v>21.5081666666667</v>
      </c>
      <c r="DQ189" s="546" t="n">
        <v>0</v>
      </c>
      <c r="DR189" s="480" t="n">
        <f aca="false">DG189</f>
        <v>50830</v>
      </c>
      <c r="DS189" s="485" t="n">
        <v>0.123199999999998</v>
      </c>
      <c r="DT189" s="486" t="n">
        <v>0.122399999999998</v>
      </c>
      <c r="DU189" s="480" t="n">
        <f aca="false">DG189</f>
        <v>50830</v>
      </c>
      <c r="DV189" s="485" t="n">
        <v>0.123199999999998</v>
      </c>
      <c r="DW189" s="486" t="n">
        <v>0.122399999999998</v>
      </c>
      <c r="DX189" s="481" t="n">
        <f aca="false">DG189</f>
        <v>50830</v>
      </c>
      <c r="DY189" s="486" t="n">
        <v>0.35</v>
      </c>
      <c r="DZ189" s="481" t="n">
        <f aca="false">DR189</f>
        <v>50830</v>
      </c>
      <c r="EA189" s="486" t="n">
        <f aca="false">DT189</f>
        <v>0.122399999999998</v>
      </c>
      <c r="EB189" s="195"/>
      <c r="EC189" s="547" t="str">
        <f aca="false">IF(BD189,IF(Underlying=1,AS189,AU189),"")</f>
        <v/>
      </c>
      <c r="ED189" s="548" t="str">
        <f aca="false">IF($BD189,$EC189+IF(VolSkewFlag=1,IF(BS189&gt;0,$BA189*MIN(BS189/10%,1)+($BB189-$BA189)*MAX(0,MIN(BS189/10%-1,1))+($BC189-$BB189)*MAX(0,BS189/10%-2),$AZ189*MIN(-BS189/10%,1)+($AY189-$AZ189)*MAX(0,MIN(-BS189/10%-1,1))+($AX189-$AY189)*MAX(0,-BS189/10%-2)),0),"")</f>
        <v/>
      </c>
      <c r="EE189" s="549" t="str">
        <f aca="false">IF($BD189,$EC189+IF(VolSkewFlag=1,IF(BT189&gt;0,$BA189*MIN(BT189/10%,1)+($BB189-$BA189)*MAX(0,MIN(BT189/10%-1,1))+($BC189-$BB189)*MAX(0,BT189/10%-2),$AZ189*MIN(-BT189/10%,1)+($AY189-$AZ189)*MAX(0,MIN(-BT189/10%-1,1))+($AX189-$AY189)*MAX(0,-BT189/10%-2)),0),"")</f>
        <v/>
      </c>
      <c r="EF189" s="550" t="n">
        <f aca="false">IF(BD189,xASN(BR189,Strike1,AO189,ED189,0,BO189,0,BI189,BL189,IF(OptControl=4,0,1),0),0)</f>
        <v>0</v>
      </c>
      <c r="EG189" s="551" t="n">
        <f aca="false">IF(BD189,xASN(BR189,Strike2,AO189,EE189,0,BO189,0,BI189,BL189,IF(OptControl=3,1,0),0),0)</f>
        <v>0</v>
      </c>
      <c r="EL189" s="1"/>
      <c r="EM189" s="195"/>
      <c r="EN189" s="240"/>
      <c r="EO189" s="240"/>
      <c r="EP189" s="195"/>
      <c r="EQ189" s="407" t="s">
        <v>417</v>
      </c>
      <c r="ES189" s="130"/>
      <c r="ET189" s="19"/>
      <c r="EU189" s="672"/>
      <c r="EV189" s="478"/>
      <c r="EW189" s="131"/>
      <c r="EX189" s="131"/>
      <c r="EY189" s="129"/>
      <c r="EZ189" s="129"/>
      <c r="FA189" s="129"/>
      <c r="FB189" s="129"/>
      <c r="FC189" s="129"/>
      <c r="FD189" s="129"/>
      <c r="FE189" s="129"/>
      <c r="FF189" s="129"/>
      <c r="FG189" s="129"/>
      <c r="FH189" s="129"/>
      <c r="FI189" s="129"/>
      <c r="FJ189" s="571" t="n">
        <v>20</v>
      </c>
      <c r="FK189" s="150" t="str">
        <f aca="false">IF(OR(FK$169&lt;SwaptionFirstMonthPosition+1,$FJ189&lt;SwaptionFirstMonthPosition+1,FK$169&gt;SwaptionFirstMonthPosition+SwaptionNumOfMonths+1,$FJ189&gt;SwaptionFirstMonthPosition+SwaptionNumOfMonths+1),"",IF($FJ189=FK$169,1,IF($FJ189&lt;FK$169,INDEX($FK$170:$ID$241,FK$169,$FJ189),SUMPRODUCT(INDEX($FK$325:$ID$396,FK$169,1+SwaptionShift):INDEX($FK$325:$ID$396,FK$169,SwaptionMonthsToGo+SwaptionShift),INDEX($FK$245:$ID$316,$FJ189-FK$169,73-FK$169+SwaptionShift):INDEX($FK$245:$ID$316,$FJ189-FK$169,72-FK$169+SwaptionMonthsToGo+SwaptionShift))/SQRT(SUM(INDEX($FK344:$ID344,1+SwaptionShift):INDEX($FK344:$ID344,SwaptionMonthsToGo+SwaptionShift))*SUM(INDEX($FK$325:$ID$396,FK$169,1+SwaptionShift):INDEX($FK$325:$ID$396,FK$169,SwaptionMonthsToGo+SwaptionShift))))))</f>
        <v/>
      </c>
      <c r="FL189" s="150" t="str">
        <f aca="false">IF(OR(FL$169&lt;SwaptionFirstMonthPosition+1,$FJ189&lt;SwaptionFirstMonthPosition+1,FL$169&gt;SwaptionFirstMonthPosition+SwaptionNumOfMonths+1,$FJ189&gt;SwaptionFirstMonthPosition+SwaptionNumOfMonths+1),"",IF($FJ189=FL$169,1,IF($FJ189&lt;FL$169,INDEX($FK$170:$ID$241,FL$169,$FJ189),SUMPRODUCT(INDEX($FK$325:$ID$396,FL$169,1+SwaptionShift):INDEX($FK$325:$ID$396,FL$169,SwaptionMonthsToGo+SwaptionShift),INDEX($FK$245:$ID$316,$FJ189-FL$169,73-FL$169+SwaptionShift):INDEX($FK$245:$ID$316,$FJ189-FL$169,72-FL$169+SwaptionMonthsToGo+SwaptionShift))/SQRT(SUM(INDEX($FK344:$ID344,1+SwaptionShift):INDEX($FK344:$ID344,SwaptionMonthsToGo+SwaptionShift))*SUM(INDEX($FK$325:$ID$396,FL$169,1+SwaptionShift):INDEX($FK$325:$ID$396,FL$169,SwaptionMonthsToGo+SwaptionShift))))))</f>
        <v/>
      </c>
      <c r="FM189" s="150" t="str">
        <f aca="false">IF(OR(FM$169&lt;SwaptionFirstMonthPosition+1,$FJ189&lt;SwaptionFirstMonthPosition+1,FM$169&gt;SwaptionFirstMonthPosition+SwaptionNumOfMonths+1,$FJ189&gt;SwaptionFirstMonthPosition+SwaptionNumOfMonths+1),"",IF($FJ189=FM$169,1,IF($FJ189&lt;FM$169,INDEX($FK$170:$ID$241,FM$169,$FJ189),SUMPRODUCT(INDEX($FK$325:$ID$396,FM$169,1+SwaptionShift):INDEX($FK$325:$ID$396,FM$169,SwaptionMonthsToGo+SwaptionShift),INDEX($FK$245:$ID$316,$FJ189-FM$169,73-FM$169+SwaptionShift):INDEX($FK$245:$ID$316,$FJ189-FM$169,72-FM$169+SwaptionMonthsToGo+SwaptionShift))/SQRT(SUM(INDEX($FK344:$ID344,1+SwaptionShift):INDEX($FK344:$ID344,SwaptionMonthsToGo+SwaptionShift))*SUM(INDEX($FK$325:$ID$396,FM$169,1+SwaptionShift):INDEX($FK$325:$ID$396,FM$169,SwaptionMonthsToGo+SwaptionShift))))))</f>
        <v/>
      </c>
      <c r="FN189" s="150" t="str">
        <f aca="false">IF(OR(FN$169&lt;SwaptionFirstMonthPosition+1,$FJ189&lt;SwaptionFirstMonthPosition+1,FN$169&gt;SwaptionFirstMonthPosition+SwaptionNumOfMonths+1,$FJ189&gt;SwaptionFirstMonthPosition+SwaptionNumOfMonths+1),"",IF($FJ189=FN$169,1,IF($FJ189&lt;FN$169,INDEX($FK$170:$ID$241,FN$169,$FJ189),SUMPRODUCT(INDEX($FK$325:$ID$396,FN$169,1+SwaptionShift):INDEX($FK$325:$ID$396,FN$169,SwaptionMonthsToGo+SwaptionShift),INDEX($FK$245:$ID$316,$FJ189-FN$169,73-FN$169+SwaptionShift):INDEX($FK$245:$ID$316,$FJ189-FN$169,72-FN$169+SwaptionMonthsToGo+SwaptionShift))/SQRT(SUM(INDEX($FK344:$ID344,1+SwaptionShift):INDEX($FK344:$ID344,SwaptionMonthsToGo+SwaptionShift))*SUM(INDEX($FK$325:$ID$396,FN$169,1+SwaptionShift):INDEX($FK$325:$ID$396,FN$169,SwaptionMonthsToGo+SwaptionShift))))))</f>
        <v/>
      </c>
      <c r="FO189" s="150" t="str">
        <f aca="false">IF(OR(FO$169&lt;SwaptionFirstMonthPosition+1,$FJ189&lt;SwaptionFirstMonthPosition+1,FO$169&gt;SwaptionFirstMonthPosition+SwaptionNumOfMonths+1,$FJ189&gt;SwaptionFirstMonthPosition+SwaptionNumOfMonths+1),"",IF($FJ189=FO$169,1,IF($FJ189&lt;FO$169,INDEX($FK$170:$ID$241,FO$169,$FJ189),SUMPRODUCT(INDEX($FK$325:$ID$396,FO$169,1+SwaptionShift):INDEX($FK$325:$ID$396,FO$169,SwaptionMonthsToGo+SwaptionShift),INDEX($FK$245:$ID$316,$FJ189-FO$169,73-FO$169+SwaptionShift):INDEX($FK$245:$ID$316,$FJ189-FO$169,72-FO$169+SwaptionMonthsToGo+SwaptionShift))/SQRT(SUM(INDEX($FK344:$ID344,1+SwaptionShift):INDEX($FK344:$ID344,SwaptionMonthsToGo+SwaptionShift))*SUM(INDEX($FK$325:$ID$396,FO$169,1+SwaptionShift):INDEX($FK$325:$ID$396,FO$169,SwaptionMonthsToGo+SwaptionShift))))))</f>
        <v/>
      </c>
      <c r="FP189" s="150" t="str">
        <f aca="false">IF(OR(FP$169&lt;SwaptionFirstMonthPosition+1,$FJ189&lt;SwaptionFirstMonthPosition+1,FP$169&gt;SwaptionFirstMonthPosition+SwaptionNumOfMonths+1,$FJ189&gt;SwaptionFirstMonthPosition+SwaptionNumOfMonths+1),"",IF($FJ189=FP$169,1,IF($FJ189&lt;FP$169,INDEX($FK$170:$ID$241,FP$169,$FJ189),SUMPRODUCT(INDEX($FK$325:$ID$396,FP$169,1+SwaptionShift):INDEX($FK$325:$ID$396,FP$169,SwaptionMonthsToGo+SwaptionShift),INDEX($FK$245:$ID$316,$FJ189-FP$169,73-FP$169+SwaptionShift):INDEX($FK$245:$ID$316,$FJ189-FP$169,72-FP$169+SwaptionMonthsToGo+SwaptionShift))/SQRT(SUM(INDEX($FK344:$ID344,1+SwaptionShift):INDEX($FK344:$ID344,SwaptionMonthsToGo+SwaptionShift))*SUM(INDEX($FK$325:$ID$396,FP$169,1+SwaptionShift):INDEX($FK$325:$ID$396,FP$169,SwaptionMonthsToGo+SwaptionShift))))))</f>
        <v/>
      </c>
      <c r="FQ189" s="150" t="str">
        <f aca="false">IF(OR(FQ$169&lt;SwaptionFirstMonthPosition+1,$FJ189&lt;SwaptionFirstMonthPosition+1,FQ$169&gt;SwaptionFirstMonthPosition+SwaptionNumOfMonths+1,$FJ189&gt;SwaptionFirstMonthPosition+SwaptionNumOfMonths+1),"",IF($FJ189=FQ$169,1,IF($FJ189&lt;FQ$169,INDEX($FK$170:$ID$241,FQ$169,$FJ189),SUMPRODUCT(INDEX($FK$325:$ID$396,FQ$169,1+SwaptionShift):INDEX($FK$325:$ID$396,FQ$169,SwaptionMonthsToGo+SwaptionShift),INDEX($FK$245:$ID$316,$FJ189-FQ$169,73-FQ$169+SwaptionShift):INDEX($FK$245:$ID$316,$FJ189-FQ$169,72-FQ$169+SwaptionMonthsToGo+SwaptionShift))/SQRT(SUM(INDEX($FK344:$ID344,1+SwaptionShift):INDEX($FK344:$ID344,SwaptionMonthsToGo+SwaptionShift))*SUM(INDEX($FK$325:$ID$396,FQ$169,1+SwaptionShift):INDEX($FK$325:$ID$396,FQ$169,SwaptionMonthsToGo+SwaptionShift))))))</f>
        <v/>
      </c>
      <c r="FR189" s="150" t="str">
        <f aca="false">IF(OR(FR$169&lt;SwaptionFirstMonthPosition+1,$FJ189&lt;SwaptionFirstMonthPosition+1,FR$169&gt;SwaptionFirstMonthPosition+SwaptionNumOfMonths+1,$FJ189&gt;SwaptionFirstMonthPosition+SwaptionNumOfMonths+1),"",IF($FJ189=FR$169,1,IF($FJ189&lt;FR$169,INDEX($FK$170:$ID$241,FR$169,$FJ189),SUMPRODUCT(INDEX($FK$325:$ID$396,FR$169,1+SwaptionShift):INDEX($FK$325:$ID$396,FR$169,SwaptionMonthsToGo+SwaptionShift),INDEX($FK$245:$ID$316,$FJ189-FR$169,73-FR$169+SwaptionShift):INDEX($FK$245:$ID$316,$FJ189-FR$169,72-FR$169+SwaptionMonthsToGo+SwaptionShift))/SQRT(SUM(INDEX($FK344:$ID344,1+SwaptionShift):INDEX($FK344:$ID344,SwaptionMonthsToGo+SwaptionShift))*SUM(INDEX($FK$325:$ID$396,FR$169,1+SwaptionShift):INDEX($FK$325:$ID$396,FR$169,SwaptionMonthsToGo+SwaptionShift))))))</f>
        <v/>
      </c>
      <c r="FS189" s="150" t="str">
        <f aca="false">IF(OR(FS$169&lt;SwaptionFirstMonthPosition+1,$FJ189&lt;SwaptionFirstMonthPosition+1,FS$169&gt;SwaptionFirstMonthPosition+SwaptionNumOfMonths+1,$FJ189&gt;SwaptionFirstMonthPosition+SwaptionNumOfMonths+1),"",IF($FJ189=FS$169,1,IF($FJ189&lt;FS$169,INDEX($FK$170:$ID$241,FS$169,$FJ189),SUMPRODUCT(INDEX($FK$325:$ID$396,FS$169,1+SwaptionShift):INDEX($FK$325:$ID$396,FS$169,SwaptionMonthsToGo+SwaptionShift),INDEX($FK$245:$ID$316,$FJ189-FS$169,73-FS$169+SwaptionShift):INDEX($FK$245:$ID$316,$FJ189-FS$169,72-FS$169+SwaptionMonthsToGo+SwaptionShift))/SQRT(SUM(INDEX($FK344:$ID344,1+SwaptionShift):INDEX($FK344:$ID344,SwaptionMonthsToGo+SwaptionShift))*SUM(INDEX($FK$325:$ID$396,FS$169,1+SwaptionShift):INDEX($FK$325:$ID$396,FS$169,SwaptionMonthsToGo+SwaptionShift))))))</f>
        <v/>
      </c>
      <c r="FT189" s="150" t="str">
        <f aca="false">IF(OR(FT$169&lt;SwaptionFirstMonthPosition+1,$FJ189&lt;SwaptionFirstMonthPosition+1,FT$169&gt;SwaptionFirstMonthPosition+SwaptionNumOfMonths+1,$FJ189&gt;SwaptionFirstMonthPosition+SwaptionNumOfMonths+1),"",IF($FJ189=FT$169,1,IF($FJ189&lt;FT$169,INDEX($FK$170:$ID$241,FT$169,$FJ189),SUMPRODUCT(INDEX($FK$325:$ID$396,FT$169,1+SwaptionShift):INDEX($FK$325:$ID$396,FT$169,SwaptionMonthsToGo+SwaptionShift),INDEX($FK$245:$ID$316,$FJ189-FT$169,73-FT$169+SwaptionShift):INDEX($FK$245:$ID$316,$FJ189-FT$169,72-FT$169+SwaptionMonthsToGo+SwaptionShift))/SQRT(SUM(INDEX($FK344:$ID344,1+SwaptionShift):INDEX($FK344:$ID344,SwaptionMonthsToGo+SwaptionShift))*SUM(INDEX($FK$325:$ID$396,FT$169,1+SwaptionShift):INDEX($FK$325:$ID$396,FT$169,SwaptionMonthsToGo+SwaptionShift))))))</f>
        <v/>
      </c>
      <c r="FU189" s="150" t="str">
        <f aca="false">IF(OR(FU$169&lt;SwaptionFirstMonthPosition+1,$FJ189&lt;SwaptionFirstMonthPosition+1,FU$169&gt;SwaptionFirstMonthPosition+SwaptionNumOfMonths+1,$FJ189&gt;SwaptionFirstMonthPosition+SwaptionNumOfMonths+1),"",IF($FJ189=FU$169,1,IF($FJ189&lt;FU$169,INDEX($FK$170:$ID$241,FU$169,$FJ189),SUMPRODUCT(INDEX($FK$325:$ID$396,FU$169,1+SwaptionShift):INDEX($FK$325:$ID$396,FU$169,SwaptionMonthsToGo+SwaptionShift),INDEX($FK$245:$ID$316,$FJ189-FU$169,73-FU$169+SwaptionShift):INDEX($FK$245:$ID$316,$FJ189-FU$169,72-FU$169+SwaptionMonthsToGo+SwaptionShift))/SQRT(SUM(INDEX($FK344:$ID344,1+SwaptionShift):INDEX($FK344:$ID344,SwaptionMonthsToGo+SwaptionShift))*SUM(INDEX($FK$325:$ID$396,FU$169,1+SwaptionShift):INDEX($FK$325:$ID$396,FU$169,SwaptionMonthsToGo+SwaptionShift))))))</f>
        <v/>
      </c>
      <c r="FV189" s="150" t="str">
        <f aca="false">IF(OR(FV$169&lt;SwaptionFirstMonthPosition+1,$FJ189&lt;SwaptionFirstMonthPosition+1,FV$169&gt;SwaptionFirstMonthPosition+SwaptionNumOfMonths+1,$FJ189&gt;SwaptionFirstMonthPosition+SwaptionNumOfMonths+1),"",IF($FJ189=FV$169,1,IF($FJ189&lt;FV$169,INDEX($FK$170:$ID$241,FV$169,$FJ189),SUMPRODUCT(INDEX($FK$325:$ID$396,FV$169,1+SwaptionShift):INDEX($FK$325:$ID$396,FV$169,SwaptionMonthsToGo+SwaptionShift),INDEX($FK$245:$ID$316,$FJ189-FV$169,73-FV$169+SwaptionShift):INDEX($FK$245:$ID$316,$FJ189-FV$169,72-FV$169+SwaptionMonthsToGo+SwaptionShift))/SQRT(SUM(INDEX($FK344:$ID344,1+SwaptionShift):INDEX($FK344:$ID344,SwaptionMonthsToGo+SwaptionShift))*SUM(INDEX($FK$325:$ID$396,FV$169,1+SwaptionShift):INDEX($FK$325:$ID$396,FV$169,SwaptionMonthsToGo+SwaptionShift))))))</f>
        <v/>
      </c>
      <c r="FW189" s="150" t="str">
        <f aca="false">IF(OR(FW$169&lt;SwaptionFirstMonthPosition+1,$FJ189&lt;SwaptionFirstMonthPosition+1,FW$169&gt;SwaptionFirstMonthPosition+SwaptionNumOfMonths+1,$FJ189&gt;SwaptionFirstMonthPosition+SwaptionNumOfMonths+1),"",IF($FJ189=FW$169,1,IF($FJ189&lt;FW$169,INDEX($FK$170:$ID$241,FW$169,$FJ189),SUMPRODUCT(INDEX($FK$325:$ID$396,FW$169,1+SwaptionShift):INDEX($FK$325:$ID$396,FW$169,SwaptionMonthsToGo+SwaptionShift),INDEX($FK$245:$ID$316,$FJ189-FW$169,73-FW$169+SwaptionShift):INDEX($FK$245:$ID$316,$FJ189-FW$169,72-FW$169+SwaptionMonthsToGo+SwaptionShift))/SQRT(SUM(INDEX($FK344:$ID344,1+SwaptionShift):INDEX($FK344:$ID344,SwaptionMonthsToGo+SwaptionShift))*SUM(INDEX($FK$325:$ID$396,FW$169,1+SwaptionShift):INDEX($FK$325:$ID$396,FW$169,SwaptionMonthsToGo+SwaptionShift))))))</f>
        <v/>
      </c>
      <c r="FX189" s="150" t="str">
        <f aca="false">IF(OR(FX$169&lt;SwaptionFirstMonthPosition+1,$FJ189&lt;SwaptionFirstMonthPosition+1,FX$169&gt;SwaptionFirstMonthPosition+SwaptionNumOfMonths+1,$FJ189&gt;SwaptionFirstMonthPosition+SwaptionNumOfMonths+1),"",IF($FJ189=FX$169,1,IF($FJ189&lt;FX$169,INDEX($FK$170:$ID$241,FX$169,$FJ189),SUMPRODUCT(INDEX($FK$325:$ID$396,FX$169,1+SwaptionShift):INDEX($FK$325:$ID$396,FX$169,SwaptionMonthsToGo+SwaptionShift),INDEX($FK$245:$ID$316,$FJ189-FX$169,73-FX$169+SwaptionShift):INDEX($FK$245:$ID$316,$FJ189-FX$169,72-FX$169+SwaptionMonthsToGo+SwaptionShift))/SQRT(SUM(INDEX($FK344:$ID344,1+SwaptionShift):INDEX($FK344:$ID344,SwaptionMonthsToGo+SwaptionShift))*SUM(INDEX($FK$325:$ID$396,FX$169,1+SwaptionShift):INDEX($FK$325:$ID$396,FX$169,SwaptionMonthsToGo+SwaptionShift))))))</f>
        <v/>
      </c>
      <c r="FY189" s="150" t="str">
        <f aca="false">IF(OR(FY$169&lt;SwaptionFirstMonthPosition+1,$FJ189&lt;SwaptionFirstMonthPosition+1,FY$169&gt;SwaptionFirstMonthPosition+SwaptionNumOfMonths+1,$FJ189&gt;SwaptionFirstMonthPosition+SwaptionNumOfMonths+1),"",IF($FJ189=FY$169,1,IF($FJ189&lt;FY$169,INDEX($FK$170:$ID$241,FY$169,$FJ189),SUMPRODUCT(INDEX($FK$325:$ID$396,FY$169,1+SwaptionShift):INDEX($FK$325:$ID$396,FY$169,SwaptionMonthsToGo+SwaptionShift),INDEX($FK$245:$ID$316,$FJ189-FY$169,73-FY$169+SwaptionShift):INDEX($FK$245:$ID$316,$FJ189-FY$169,72-FY$169+SwaptionMonthsToGo+SwaptionShift))/SQRT(SUM(INDEX($FK344:$ID344,1+SwaptionShift):INDEX($FK344:$ID344,SwaptionMonthsToGo+SwaptionShift))*SUM(INDEX($FK$325:$ID$396,FY$169,1+SwaptionShift):INDEX($FK$325:$ID$396,FY$169,SwaptionMonthsToGo+SwaptionShift))))))</f>
        <v/>
      </c>
      <c r="FZ189" s="150" t="str">
        <f aca="false">IF(OR(FZ$169&lt;SwaptionFirstMonthPosition+1,$FJ189&lt;SwaptionFirstMonthPosition+1,FZ$169&gt;SwaptionFirstMonthPosition+SwaptionNumOfMonths+1,$FJ189&gt;SwaptionFirstMonthPosition+SwaptionNumOfMonths+1),"",IF($FJ189=FZ$169,1,IF($FJ189&lt;FZ$169,INDEX($FK$170:$ID$241,FZ$169,$FJ189),SUMPRODUCT(INDEX($FK$325:$ID$396,FZ$169,1+SwaptionShift):INDEX($FK$325:$ID$396,FZ$169,SwaptionMonthsToGo+SwaptionShift),INDEX($FK$245:$ID$316,$FJ189-FZ$169,73-FZ$169+SwaptionShift):INDEX($FK$245:$ID$316,$FJ189-FZ$169,72-FZ$169+SwaptionMonthsToGo+SwaptionShift))/SQRT(SUM(INDEX($FK344:$ID344,1+SwaptionShift):INDEX($FK344:$ID344,SwaptionMonthsToGo+SwaptionShift))*SUM(INDEX($FK$325:$ID$396,FZ$169,1+SwaptionShift):INDEX($FK$325:$ID$396,FZ$169,SwaptionMonthsToGo+SwaptionShift))))))</f>
        <v/>
      </c>
      <c r="GA189" s="150" t="str">
        <f aca="false">IF(OR(GA$169&lt;SwaptionFirstMonthPosition+1,$FJ189&lt;SwaptionFirstMonthPosition+1,GA$169&gt;SwaptionFirstMonthPosition+SwaptionNumOfMonths+1,$FJ189&gt;SwaptionFirstMonthPosition+SwaptionNumOfMonths+1),"",IF($FJ189=GA$169,1,IF($FJ189&lt;GA$169,INDEX($FK$170:$ID$241,GA$169,$FJ189),SUMPRODUCT(INDEX($FK$325:$ID$396,GA$169,1+SwaptionShift):INDEX($FK$325:$ID$396,GA$169,SwaptionMonthsToGo+SwaptionShift),INDEX($FK$245:$ID$316,$FJ189-GA$169,73-GA$169+SwaptionShift):INDEX($FK$245:$ID$316,$FJ189-GA$169,72-GA$169+SwaptionMonthsToGo+SwaptionShift))/SQRT(SUM(INDEX($FK344:$ID344,1+SwaptionShift):INDEX($FK344:$ID344,SwaptionMonthsToGo+SwaptionShift))*SUM(INDEX($FK$325:$ID$396,GA$169,1+SwaptionShift):INDEX($FK$325:$ID$396,GA$169,SwaptionMonthsToGo+SwaptionShift))))))</f>
        <v/>
      </c>
      <c r="GB189" s="150" t="str">
        <f aca="false">IF(OR(GB$169&lt;SwaptionFirstMonthPosition+1,$FJ189&lt;SwaptionFirstMonthPosition+1,GB$169&gt;SwaptionFirstMonthPosition+SwaptionNumOfMonths+1,$FJ189&gt;SwaptionFirstMonthPosition+SwaptionNumOfMonths+1),"",IF($FJ189=GB$169,1,IF($FJ189&lt;GB$169,INDEX($FK$170:$ID$241,GB$169,$FJ189),SUMPRODUCT(INDEX($FK$325:$ID$396,GB$169,1+SwaptionShift):INDEX($FK$325:$ID$396,GB$169,SwaptionMonthsToGo+SwaptionShift),INDEX($FK$245:$ID$316,$FJ189-GB$169,73-GB$169+SwaptionShift):INDEX($FK$245:$ID$316,$FJ189-GB$169,72-GB$169+SwaptionMonthsToGo+SwaptionShift))/SQRT(SUM(INDEX($FK344:$ID344,1+SwaptionShift):INDEX($FK344:$ID344,SwaptionMonthsToGo+SwaptionShift))*SUM(INDEX($FK$325:$ID$396,GB$169,1+SwaptionShift):INDEX($FK$325:$ID$396,GB$169,SwaptionMonthsToGo+SwaptionShift))))))</f>
        <v/>
      </c>
      <c r="GC189" s="150" t="str">
        <f aca="false">IF(OR(GC$169&lt;SwaptionFirstMonthPosition+1,$FJ189&lt;SwaptionFirstMonthPosition+1,GC$169&gt;SwaptionFirstMonthPosition+SwaptionNumOfMonths+1,$FJ189&gt;SwaptionFirstMonthPosition+SwaptionNumOfMonths+1),"",IF($FJ189=GC$169,1,IF($FJ189&lt;GC$169,INDEX($FK$170:$ID$241,GC$169,$FJ189),SUMPRODUCT(INDEX($FK$325:$ID$396,GC$169,1+SwaptionShift):INDEX($FK$325:$ID$396,GC$169,SwaptionMonthsToGo+SwaptionShift),INDEX($FK$245:$ID$316,$FJ189-GC$169,73-GC$169+SwaptionShift):INDEX($FK$245:$ID$316,$FJ189-GC$169,72-GC$169+SwaptionMonthsToGo+SwaptionShift))/SQRT(SUM(INDEX($FK344:$ID344,1+SwaptionShift):INDEX($FK344:$ID344,SwaptionMonthsToGo+SwaptionShift))*SUM(INDEX($FK$325:$ID$396,GC$169,1+SwaptionShift):INDEX($FK$325:$ID$396,GC$169,SwaptionMonthsToGo+SwaptionShift))))))</f>
        <v/>
      </c>
      <c r="GD189" s="150" t="str">
        <f aca="false">IF(OR(GD$169&lt;SwaptionFirstMonthPosition+1,$FJ189&lt;SwaptionFirstMonthPosition+1,GD$169&gt;SwaptionFirstMonthPosition+SwaptionNumOfMonths+1,$FJ189&gt;SwaptionFirstMonthPosition+SwaptionNumOfMonths+1),"",IF($FJ189=GD$169,1,IF($FJ189&lt;GD$169,INDEX($FK$170:$ID$241,GD$169,$FJ189),SUMPRODUCT(INDEX($FK$325:$ID$396,GD$169,1+SwaptionShift):INDEX($FK$325:$ID$396,GD$169,SwaptionMonthsToGo+SwaptionShift),INDEX($FK$245:$ID$316,$FJ189-GD$169,73-GD$169+SwaptionShift):INDEX($FK$245:$ID$316,$FJ189-GD$169,72-GD$169+SwaptionMonthsToGo+SwaptionShift))/SQRT(SUM(INDEX($FK344:$ID344,1+SwaptionShift):INDEX($FK344:$ID344,SwaptionMonthsToGo+SwaptionShift))*SUM(INDEX($FK$325:$ID$396,GD$169,1+SwaptionShift):INDEX($FK$325:$ID$396,GD$169,SwaptionMonthsToGo+SwaptionShift))))))</f>
        <v/>
      </c>
      <c r="GE189" s="150" t="str">
        <f aca="false">IF(OR(GE$169&lt;SwaptionFirstMonthPosition+1,$FJ189&lt;SwaptionFirstMonthPosition+1,GE$169&gt;SwaptionFirstMonthPosition+SwaptionNumOfMonths+1,$FJ189&gt;SwaptionFirstMonthPosition+SwaptionNumOfMonths+1),"",IF($FJ189=GE$169,1,IF($FJ189&lt;GE$169,INDEX($FK$170:$ID$241,GE$169,$FJ189),SUMPRODUCT(INDEX($FK$325:$ID$396,GE$169,1+SwaptionShift):INDEX($FK$325:$ID$396,GE$169,SwaptionMonthsToGo+SwaptionShift),INDEX($FK$245:$ID$316,$FJ189-GE$169,73-GE$169+SwaptionShift):INDEX($FK$245:$ID$316,$FJ189-GE$169,72-GE$169+SwaptionMonthsToGo+SwaptionShift))/SQRT(SUM(INDEX($FK344:$ID344,1+SwaptionShift):INDEX($FK344:$ID344,SwaptionMonthsToGo+SwaptionShift))*SUM(INDEX($FK$325:$ID$396,GE$169,1+SwaptionShift):INDEX($FK$325:$ID$396,GE$169,SwaptionMonthsToGo+SwaptionShift))))))</f>
        <v/>
      </c>
      <c r="GF189" s="150" t="str">
        <f aca="false">IF(OR(GF$169&lt;SwaptionFirstMonthPosition+1,$FJ189&lt;SwaptionFirstMonthPosition+1,GF$169&gt;SwaptionFirstMonthPosition+SwaptionNumOfMonths+1,$FJ189&gt;SwaptionFirstMonthPosition+SwaptionNumOfMonths+1),"",IF($FJ189=GF$169,1,IF($FJ189&lt;GF$169,INDEX($FK$170:$ID$241,GF$169,$FJ189),SUMPRODUCT(INDEX($FK$325:$ID$396,GF$169,1+SwaptionShift):INDEX($FK$325:$ID$396,GF$169,SwaptionMonthsToGo+SwaptionShift),INDEX($FK$245:$ID$316,$FJ189-GF$169,73-GF$169+SwaptionShift):INDEX($FK$245:$ID$316,$FJ189-GF$169,72-GF$169+SwaptionMonthsToGo+SwaptionShift))/SQRT(SUM(INDEX($FK344:$ID344,1+SwaptionShift):INDEX($FK344:$ID344,SwaptionMonthsToGo+SwaptionShift))*SUM(INDEX($FK$325:$ID$396,GF$169,1+SwaptionShift):INDEX($FK$325:$ID$396,GF$169,SwaptionMonthsToGo+SwaptionShift))))))</f>
        <v/>
      </c>
      <c r="GG189" s="150" t="str">
        <f aca="false">IF(OR(GG$169&lt;SwaptionFirstMonthPosition+1,$FJ189&lt;SwaptionFirstMonthPosition+1,GG$169&gt;SwaptionFirstMonthPosition+SwaptionNumOfMonths+1,$FJ189&gt;SwaptionFirstMonthPosition+SwaptionNumOfMonths+1),"",IF($FJ189=GG$169,1,IF($FJ189&lt;GG$169,INDEX($FK$170:$ID$241,GG$169,$FJ189),SUMPRODUCT(INDEX($FK$325:$ID$396,GG$169,1+SwaptionShift):INDEX($FK$325:$ID$396,GG$169,SwaptionMonthsToGo+SwaptionShift),INDEX($FK$245:$ID$316,$FJ189-GG$169,73-GG$169+SwaptionShift):INDEX($FK$245:$ID$316,$FJ189-GG$169,72-GG$169+SwaptionMonthsToGo+SwaptionShift))/SQRT(SUM(INDEX($FK344:$ID344,1+SwaptionShift):INDEX($FK344:$ID344,SwaptionMonthsToGo+SwaptionShift))*SUM(INDEX($FK$325:$ID$396,GG$169,1+SwaptionShift):INDEX($FK$325:$ID$396,GG$169,SwaptionMonthsToGo+SwaptionShift))))))</f>
        <v/>
      </c>
      <c r="GH189" s="150" t="str">
        <f aca="false">IF(OR(GH$169&lt;SwaptionFirstMonthPosition+1,$FJ189&lt;SwaptionFirstMonthPosition+1,GH$169&gt;SwaptionFirstMonthPosition+SwaptionNumOfMonths+1,$FJ189&gt;SwaptionFirstMonthPosition+SwaptionNumOfMonths+1),"",IF($FJ189=GH$169,1,IF($FJ189&lt;GH$169,INDEX($FK$170:$ID$241,GH$169,$FJ189),SUMPRODUCT(INDEX($FK$325:$ID$396,GH$169,1+SwaptionShift):INDEX($FK$325:$ID$396,GH$169,SwaptionMonthsToGo+SwaptionShift),INDEX($FK$245:$ID$316,$FJ189-GH$169,73-GH$169+SwaptionShift):INDEX($FK$245:$ID$316,$FJ189-GH$169,72-GH$169+SwaptionMonthsToGo+SwaptionShift))/SQRT(SUM(INDEX($FK344:$ID344,1+SwaptionShift):INDEX($FK344:$ID344,SwaptionMonthsToGo+SwaptionShift))*SUM(INDEX($FK$325:$ID$396,GH$169,1+SwaptionShift):INDEX($FK$325:$ID$396,GH$169,SwaptionMonthsToGo+SwaptionShift))))))</f>
        <v/>
      </c>
      <c r="GI189" s="150" t="str">
        <f aca="false">IF(OR(GI$169&lt;SwaptionFirstMonthPosition+1,$FJ189&lt;SwaptionFirstMonthPosition+1,GI$169&gt;SwaptionFirstMonthPosition+SwaptionNumOfMonths+1,$FJ189&gt;SwaptionFirstMonthPosition+SwaptionNumOfMonths+1),"",IF($FJ189=GI$169,1,IF($FJ189&lt;GI$169,INDEX($FK$170:$ID$241,GI$169,$FJ189),SUMPRODUCT(INDEX($FK$325:$ID$396,GI$169,1+SwaptionShift):INDEX($FK$325:$ID$396,GI$169,SwaptionMonthsToGo+SwaptionShift),INDEX($FK$245:$ID$316,$FJ189-GI$169,73-GI$169+SwaptionShift):INDEX($FK$245:$ID$316,$FJ189-GI$169,72-GI$169+SwaptionMonthsToGo+SwaptionShift))/SQRT(SUM(INDEX($FK344:$ID344,1+SwaptionShift):INDEX($FK344:$ID344,SwaptionMonthsToGo+SwaptionShift))*SUM(INDEX($FK$325:$ID$396,GI$169,1+SwaptionShift):INDEX($FK$325:$ID$396,GI$169,SwaptionMonthsToGo+SwaptionShift))))))</f>
        <v/>
      </c>
      <c r="GJ189" s="150" t="str">
        <f aca="false">IF(OR(GJ$169&lt;SwaptionFirstMonthPosition+1,$FJ189&lt;SwaptionFirstMonthPosition+1,GJ$169&gt;SwaptionFirstMonthPosition+SwaptionNumOfMonths+1,$FJ189&gt;SwaptionFirstMonthPosition+SwaptionNumOfMonths+1),"",IF($FJ189=GJ$169,1,IF($FJ189&lt;GJ$169,INDEX($FK$170:$ID$241,GJ$169,$FJ189),SUMPRODUCT(INDEX($FK$325:$ID$396,GJ$169,1+SwaptionShift):INDEX($FK$325:$ID$396,GJ$169,SwaptionMonthsToGo+SwaptionShift),INDEX($FK$245:$ID$316,$FJ189-GJ$169,73-GJ$169+SwaptionShift):INDEX($FK$245:$ID$316,$FJ189-GJ$169,72-GJ$169+SwaptionMonthsToGo+SwaptionShift))/SQRT(SUM(INDEX($FK344:$ID344,1+SwaptionShift):INDEX($FK344:$ID344,SwaptionMonthsToGo+SwaptionShift))*SUM(INDEX($FK$325:$ID$396,GJ$169,1+SwaptionShift):INDEX($FK$325:$ID$396,GJ$169,SwaptionMonthsToGo+SwaptionShift))))))</f>
        <v/>
      </c>
      <c r="GK189" s="150" t="str">
        <f aca="false">IF(OR(GK$169&lt;SwaptionFirstMonthPosition+1,$FJ189&lt;SwaptionFirstMonthPosition+1,GK$169&gt;SwaptionFirstMonthPosition+SwaptionNumOfMonths+1,$FJ189&gt;SwaptionFirstMonthPosition+SwaptionNumOfMonths+1),"",IF($FJ189=GK$169,1,IF($FJ189&lt;GK$169,INDEX($FK$170:$ID$241,GK$169,$FJ189),SUMPRODUCT(INDEX($FK$325:$ID$396,GK$169,1+SwaptionShift):INDEX($FK$325:$ID$396,GK$169,SwaptionMonthsToGo+SwaptionShift),INDEX($FK$245:$ID$316,$FJ189-GK$169,73-GK$169+SwaptionShift):INDEX($FK$245:$ID$316,$FJ189-GK$169,72-GK$169+SwaptionMonthsToGo+SwaptionShift))/SQRT(SUM(INDEX($FK344:$ID344,1+SwaptionShift):INDEX($FK344:$ID344,SwaptionMonthsToGo+SwaptionShift))*SUM(INDEX($FK$325:$ID$396,GK$169,1+SwaptionShift):INDEX($FK$325:$ID$396,GK$169,SwaptionMonthsToGo+SwaptionShift))))))</f>
        <v/>
      </c>
      <c r="GL189" s="150" t="str">
        <f aca="false">IF(OR(GL$169&lt;SwaptionFirstMonthPosition+1,$FJ189&lt;SwaptionFirstMonthPosition+1,GL$169&gt;SwaptionFirstMonthPosition+SwaptionNumOfMonths+1,$FJ189&gt;SwaptionFirstMonthPosition+SwaptionNumOfMonths+1),"",IF($FJ189=GL$169,1,IF($FJ189&lt;GL$169,INDEX($FK$170:$ID$241,GL$169,$FJ189),SUMPRODUCT(INDEX($FK$325:$ID$396,GL$169,1+SwaptionShift):INDEX($FK$325:$ID$396,GL$169,SwaptionMonthsToGo+SwaptionShift),INDEX($FK$245:$ID$316,$FJ189-GL$169,73-GL$169+SwaptionShift):INDEX($FK$245:$ID$316,$FJ189-GL$169,72-GL$169+SwaptionMonthsToGo+SwaptionShift))/SQRT(SUM(INDEX($FK344:$ID344,1+SwaptionShift):INDEX($FK344:$ID344,SwaptionMonthsToGo+SwaptionShift))*SUM(INDEX($FK$325:$ID$396,GL$169,1+SwaptionShift):INDEX($FK$325:$ID$396,GL$169,SwaptionMonthsToGo+SwaptionShift))))))</f>
        <v/>
      </c>
      <c r="GM189" s="150" t="str">
        <f aca="false">IF(OR(GM$169&lt;SwaptionFirstMonthPosition+1,$FJ189&lt;SwaptionFirstMonthPosition+1,GM$169&gt;SwaptionFirstMonthPosition+SwaptionNumOfMonths+1,$FJ189&gt;SwaptionFirstMonthPosition+SwaptionNumOfMonths+1),"",IF($FJ189=GM$169,1,IF($FJ189&lt;GM$169,INDEX($FK$170:$ID$241,GM$169,$FJ189),SUMPRODUCT(INDEX($FK$325:$ID$396,GM$169,1+SwaptionShift):INDEX($FK$325:$ID$396,GM$169,SwaptionMonthsToGo+SwaptionShift),INDEX($FK$245:$ID$316,$FJ189-GM$169,73-GM$169+SwaptionShift):INDEX($FK$245:$ID$316,$FJ189-GM$169,72-GM$169+SwaptionMonthsToGo+SwaptionShift))/SQRT(SUM(INDEX($FK344:$ID344,1+SwaptionShift):INDEX($FK344:$ID344,SwaptionMonthsToGo+SwaptionShift))*SUM(INDEX($FK$325:$ID$396,GM$169,1+SwaptionShift):INDEX($FK$325:$ID$396,GM$169,SwaptionMonthsToGo+SwaptionShift))))))</f>
        <v/>
      </c>
      <c r="GN189" s="150" t="str">
        <f aca="false">IF(OR(GN$169&lt;SwaptionFirstMonthPosition+1,$FJ189&lt;SwaptionFirstMonthPosition+1,GN$169&gt;SwaptionFirstMonthPosition+SwaptionNumOfMonths+1,$FJ189&gt;SwaptionFirstMonthPosition+SwaptionNumOfMonths+1),"",IF($FJ189=GN$169,1,IF($FJ189&lt;GN$169,INDEX($FK$170:$ID$241,GN$169,$FJ189),SUMPRODUCT(INDEX($FK$325:$ID$396,GN$169,1+SwaptionShift):INDEX($FK$325:$ID$396,GN$169,SwaptionMonthsToGo+SwaptionShift),INDEX($FK$245:$ID$316,$FJ189-GN$169,73-GN$169+SwaptionShift):INDEX($FK$245:$ID$316,$FJ189-GN$169,72-GN$169+SwaptionMonthsToGo+SwaptionShift))/SQRT(SUM(INDEX($FK344:$ID344,1+SwaptionShift):INDEX($FK344:$ID344,SwaptionMonthsToGo+SwaptionShift))*SUM(INDEX($FK$325:$ID$396,GN$169,1+SwaptionShift):INDEX($FK$325:$ID$396,GN$169,SwaptionMonthsToGo+SwaptionShift))))))</f>
        <v/>
      </c>
      <c r="GO189" s="150" t="str">
        <f aca="false">IF(OR(GO$169&lt;SwaptionFirstMonthPosition+1,$FJ189&lt;SwaptionFirstMonthPosition+1,GO$169&gt;SwaptionFirstMonthPosition+SwaptionNumOfMonths+1,$FJ189&gt;SwaptionFirstMonthPosition+SwaptionNumOfMonths+1),"",IF($FJ189=GO$169,1,IF($FJ189&lt;GO$169,INDEX($FK$170:$ID$241,GO$169,$FJ189),SUMPRODUCT(INDEX($FK$325:$ID$396,GO$169,1+SwaptionShift):INDEX($FK$325:$ID$396,GO$169,SwaptionMonthsToGo+SwaptionShift),INDEX($FK$245:$ID$316,$FJ189-GO$169,73-GO$169+SwaptionShift):INDEX($FK$245:$ID$316,$FJ189-GO$169,72-GO$169+SwaptionMonthsToGo+SwaptionShift))/SQRT(SUM(INDEX($FK344:$ID344,1+SwaptionShift):INDEX($FK344:$ID344,SwaptionMonthsToGo+SwaptionShift))*SUM(INDEX($FK$325:$ID$396,GO$169,1+SwaptionShift):INDEX($FK$325:$ID$396,GO$169,SwaptionMonthsToGo+SwaptionShift))))))</f>
        <v/>
      </c>
      <c r="GP189" s="150" t="str">
        <f aca="false">IF(OR(GP$169&lt;SwaptionFirstMonthPosition+1,$FJ189&lt;SwaptionFirstMonthPosition+1,GP$169&gt;SwaptionFirstMonthPosition+SwaptionNumOfMonths+1,$FJ189&gt;SwaptionFirstMonthPosition+SwaptionNumOfMonths+1),"",IF($FJ189=GP$169,1,IF($FJ189&lt;GP$169,INDEX($FK$170:$ID$241,GP$169,$FJ189),SUMPRODUCT(INDEX($FK$325:$ID$396,GP$169,1+SwaptionShift):INDEX($FK$325:$ID$396,GP$169,SwaptionMonthsToGo+SwaptionShift),INDEX($FK$245:$ID$316,$FJ189-GP$169,73-GP$169+SwaptionShift):INDEX($FK$245:$ID$316,$FJ189-GP$169,72-GP$169+SwaptionMonthsToGo+SwaptionShift))/SQRT(SUM(INDEX($FK344:$ID344,1+SwaptionShift):INDEX($FK344:$ID344,SwaptionMonthsToGo+SwaptionShift))*SUM(INDEX($FK$325:$ID$396,GP$169,1+SwaptionShift):INDEX($FK$325:$ID$396,GP$169,SwaptionMonthsToGo+SwaptionShift))))))</f>
        <v/>
      </c>
      <c r="GQ189" s="150" t="str">
        <f aca="false">IF(OR(GQ$169&lt;SwaptionFirstMonthPosition+1,$FJ189&lt;SwaptionFirstMonthPosition+1,GQ$169&gt;SwaptionFirstMonthPosition+SwaptionNumOfMonths+1,$FJ189&gt;SwaptionFirstMonthPosition+SwaptionNumOfMonths+1),"",IF($FJ189=GQ$169,1,IF($FJ189&lt;GQ$169,INDEX($FK$170:$ID$241,GQ$169,$FJ189),SUMPRODUCT(INDEX($FK$325:$ID$396,GQ$169,1+SwaptionShift):INDEX($FK$325:$ID$396,GQ$169,SwaptionMonthsToGo+SwaptionShift),INDEX($FK$245:$ID$316,$FJ189-GQ$169,73-GQ$169+SwaptionShift):INDEX($FK$245:$ID$316,$FJ189-GQ$169,72-GQ$169+SwaptionMonthsToGo+SwaptionShift))/SQRT(SUM(INDEX($FK344:$ID344,1+SwaptionShift):INDEX($FK344:$ID344,SwaptionMonthsToGo+SwaptionShift))*SUM(INDEX($FK$325:$ID$396,GQ$169,1+SwaptionShift):INDEX($FK$325:$ID$396,GQ$169,SwaptionMonthsToGo+SwaptionShift))))))</f>
        <v/>
      </c>
      <c r="GR189" s="150" t="str">
        <f aca="false">IF(OR(GR$169&lt;SwaptionFirstMonthPosition+1,$FJ189&lt;SwaptionFirstMonthPosition+1,GR$169&gt;SwaptionFirstMonthPosition+SwaptionNumOfMonths+1,$FJ189&gt;SwaptionFirstMonthPosition+SwaptionNumOfMonths+1),"",IF($FJ189=GR$169,1,IF($FJ189&lt;GR$169,INDEX($FK$170:$ID$241,GR$169,$FJ189),SUMPRODUCT(INDEX($FK$325:$ID$396,GR$169,1+SwaptionShift):INDEX($FK$325:$ID$396,GR$169,SwaptionMonthsToGo+SwaptionShift),INDEX($FK$245:$ID$316,$FJ189-GR$169,73-GR$169+SwaptionShift):INDEX($FK$245:$ID$316,$FJ189-GR$169,72-GR$169+SwaptionMonthsToGo+SwaptionShift))/SQRT(SUM(INDEX($FK344:$ID344,1+SwaptionShift):INDEX($FK344:$ID344,SwaptionMonthsToGo+SwaptionShift))*SUM(INDEX($FK$325:$ID$396,GR$169,1+SwaptionShift):INDEX($FK$325:$ID$396,GR$169,SwaptionMonthsToGo+SwaptionShift))))))</f>
        <v/>
      </c>
      <c r="GS189" s="150" t="str">
        <f aca="false">IF(OR(GS$169&lt;SwaptionFirstMonthPosition+1,$FJ189&lt;SwaptionFirstMonthPosition+1,GS$169&gt;SwaptionFirstMonthPosition+SwaptionNumOfMonths+1,$FJ189&gt;SwaptionFirstMonthPosition+SwaptionNumOfMonths+1),"",IF($FJ189=GS$169,1,IF($FJ189&lt;GS$169,INDEX($FK$170:$ID$241,GS$169,$FJ189),SUMPRODUCT(INDEX($FK$325:$ID$396,GS$169,1+SwaptionShift):INDEX($FK$325:$ID$396,GS$169,SwaptionMonthsToGo+SwaptionShift),INDEX($FK$245:$ID$316,$FJ189-GS$169,73-GS$169+SwaptionShift):INDEX($FK$245:$ID$316,$FJ189-GS$169,72-GS$169+SwaptionMonthsToGo+SwaptionShift))/SQRT(SUM(INDEX($FK344:$ID344,1+SwaptionShift):INDEX($FK344:$ID344,SwaptionMonthsToGo+SwaptionShift))*SUM(INDEX($FK$325:$ID$396,GS$169,1+SwaptionShift):INDEX($FK$325:$ID$396,GS$169,SwaptionMonthsToGo+SwaptionShift))))))</f>
        <v/>
      </c>
      <c r="GT189" s="150" t="str">
        <f aca="false">IF(OR(GT$169&lt;SwaptionFirstMonthPosition+1,$FJ189&lt;SwaptionFirstMonthPosition+1,GT$169&gt;SwaptionFirstMonthPosition+SwaptionNumOfMonths+1,$FJ189&gt;SwaptionFirstMonthPosition+SwaptionNumOfMonths+1),"",IF($FJ189=GT$169,1,IF($FJ189&lt;GT$169,INDEX($FK$170:$ID$241,GT$169,$FJ189),SUMPRODUCT(INDEX($FK$325:$ID$396,GT$169,1+SwaptionShift):INDEX($FK$325:$ID$396,GT$169,SwaptionMonthsToGo+SwaptionShift),INDEX($FK$245:$ID$316,$FJ189-GT$169,73-GT$169+SwaptionShift):INDEX($FK$245:$ID$316,$FJ189-GT$169,72-GT$169+SwaptionMonthsToGo+SwaptionShift))/SQRT(SUM(INDEX($FK344:$ID344,1+SwaptionShift):INDEX($FK344:$ID344,SwaptionMonthsToGo+SwaptionShift))*SUM(INDEX($FK$325:$ID$396,GT$169,1+SwaptionShift):INDEX($FK$325:$ID$396,GT$169,SwaptionMonthsToGo+SwaptionShift))))))</f>
        <v/>
      </c>
      <c r="GU189" s="150" t="str">
        <f aca="false">IF(OR(GU$169&lt;SwaptionFirstMonthPosition+1,$FJ189&lt;SwaptionFirstMonthPosition+1,GU$169&gt;SwaptionFirstMonthPosition+SwaptionNumOfMonths+1,$FJ189&gt;SwaptionFirstMonthPosition+SwaptionNumOfMonths+1),"",IF($FJ189=GU$169,1,IF($FJ189&lt;GU$169,INDEX($FK$170:$ID$241,GU$169,$FJ189),SUMPRODUCT(INDEX($FK$325:$ID$396,GU$169,1+SwaptionShift):INDEX($FK$325:$ID$396,GU$169,SwaptionMonthsToGo+SwaptionShift),INDEX($FK$245:$ID$316,$FJ189-GU$169,73-GU$169+SwaptionShift):INDEX($FK$245:$ID$316,$FJ189-GU$169,72-GU$169+SwaptionMonthsToGo+SwaptionShift))/SQRT(SUM(INDEX($FK344:$ID344,1+SwaptionShift):INDEX($FK344:$ID344,SwaptionMonthsToGo+SwaptionShift))*SUM(INDEX($FK$325:$ID$396,GU$169,1+SwaptionShift):INDEX($FK$325:$ID$396,GU$169,SwaptionMonthsToGo+SwaptionShift))))))</f>
        <v/>
      </c>
      <c r="GV189" s="150" t="str">
        <f aca="false">IF(OR(GV$169&lt;SwaptionFirstMonthPosition+1,$FJ189&lt;SwaptionFirstMonthPosition+1,GV$169&gt;SwaptionFirstMonthPosition+SwaptionNumOfMonths+1,$FJ189&gt;SwaptionFirstMonthPosition+SwaptionNumOfMonths+1),"",IF($FJ189=GV$169,1,IF($FJ189&lt;GV$169,INDEX($FK$170:$ID$241,GV$169,$FJ189),SUMPRODUCT(INDEX($FK$325:$ID$396,GV$169,1+SwaptionShift):INDEX($FK$325:$ID$396,GV$169,SwaptionMonthsToGo+SwaptionShift),INDEX($FK$245:$ID$316,$FJ189-GV$169,73-GV$169+SwaptionShift):INDEX($FK$245:$ID$316,$FJ189-GV$169,72-GV$169+SwaptionMonthsToGo+SwaptionShift))/SQRT(SUM(INDEX($FK344:$ID344,1+SwaptionShift):INDEX($FK344:$ID344,SwaptionMonthsToGo+SwaptionShift))*SUM(INDEX($FK$325:$ID$396,GV$169,1+SwaptionShift):INDEX($FK$325:$ID$396,GV$169,SwaptionMonthsToGo+SwaptionShift))))))</f>
        <v/>
      </c>
      <c r="GW189" s="150" t="str">
        <f aca="false">IF(OR(GW$169&lt;SwaptionFirstMonthPosition+1,$FJ189&lt;SwaptionFirstMonthPosition+1,GW$169&gt;SwaptionFirstMonthPosition+SwaptionNumOfMonths+1,$FJ189&gt;SwaptionFirstMonthPosition+SwaptionNumOfMonths+1),"",IF($FJ189=GW$169,1,IF($FJ189&lt;GW$169,INDEX($FK$170:$ID$241,GW$169,$FJ189),SUMPRODUCT(INDEX($FK$325:$ID$396,GW$169,1+SwaptionShift):INDEX($FK$325:$ID$396,GW$169,SwaptionMonthsToGo+SwaptionShift),INDEX($FK$245:$ID$316,$FJ189-GW$169,73-GW$169+SwaptionShift):INDEX($FK$245:$ID$316,$FJ189-GW$169,72-GW$169+SwaptionMonthsToGo+SwaptionShift))/SQRT(SUM(INDEX($FK344:$ID344,1+SwaptionShift):INDEX($FK344:$ID344,SwaptionMonthsToGo+SwaptionShift))*SUM(INDEX($FK$325:$ID$396,GW$169,1+SwaptionShift):INDEX($FK$325:$ID$396,GW$169,SwaptionMonthsToGo+SwaptionShift))))))</f>
        <v/>
      </c>
      <c r="GX189" s="150" t="str">
        <f aca="false">IF(OR(GX$169&lt;SwaptionFirstMonthPosition+1,$FJ189&lt;SwaptionFirstMonthPosition+1,GX$169&gt;SwaptionFirstMonthPosition+SwaptionNumOfMonths+1,$FJ189&gt;SwaptionFirstMonthPosition+SwaptionNumOfMonths+1),"",IF($FJ189=GX$169,1,IF($FJ189&lt;GX$169,INDEX($FK$170:$ID$241,GX$169,$FJ189),SUMPRODUCT(INDEX($FK$325:$ID$396,GX$169,1+SwaptionShift):INDEX($FK$325:$ID$396,GX$169,SwaptionMonthsToGo+SwaptionShift),INDEX($FK$245:$ID$316,$FJ189-GX$169,73-GX$169+SwaptionShift):INDEX($FK$245:$ID$316,$FJ189-GX$169,72-GX$169+SwaptionMonthsToGo+SwaptionShift))/SQRT(SUM(INDEX($FK344:$ID344,1+SwaptionShift):INDEX($FK344:$ID344,SwaptionMonthsToGo+SwaptionShift))*SUM(INDEX($FK$325:$ID$396,GX$169,1+SwaptionShift):INDEX($FK$325:$ID$396,GX$169,SwaptionMonthsToGo+SwaptionShift))))))</f>
        <v/>
      </c>
      <c r="GY189" s="150" t="str">
        <f aca="false">IF(OR(GY$169&lt;SwaptionFirstMonthPosition+1,$FJ189&lt;SwaptionFirstMonthPosition+1,GY$169&gt;SwaptionFirstMonthPosition+SwaptionNumOfMonths+1,$FJ189&gt;SwaptionFirstMonthPosition+SwaptionNumOfMonths+1),"",IF($FJ189=GY$169,1,IF($FJ189&lt;GY$169,INDEX($FK$170:$ID$241,GY$169,$FJ189),SUMPRODUCT(INDEX($FK$325:$ID$396,GY$169,1+SwaptionShift):INDEX($FK$325:$ID$396,GY$169,SwaptionMonthsToGo+SwaptionShift),INDEX($FK$245:$ID$316,$FJ189-GY$169,73-GY$169+SwaptionShift):INDEX($FK$245:$ID$316,$FJ189-GY$169,72-GY$169+SwaptionMonthsToGo+SwaptionShift))/SQRT(SUM(INDEX($FK344:$ID344,1+SwaptionShift):INDEX($FK344:$ID344,SwaptionMonthsToGo+SwaptionShift))*SUM(INDEX($FK$325:$ID$396,GY$169,1+SwaptionShift):INDEX($FK$325:$ID$396,GY$169,SwaptionMonthsToGo+SwaptionShift))))))</f>
        <v/>
      </c>
      <c r="GZ189" s="150" t="str">
        <f aca="false">IF(OR(GZ$169&lt;SwaptionFirstMonthPosition+1,$FJ189&lt;SwaptionFirstMonthPosition+1,GZ$169&gt;SwaptionFirstMonthPosition+SwaptionNumOfMonths+1,$FJ189&gt;SwaptionFirstMonthPosition+SwaptionNumOfMonths+1),"",IF($FJ189=GZ$169,1,IF($FJ189&lt;GZ$169,INDEX($FK$170:$ID$241,GZ$169,$FJ189),SUMPRODUCT(INDEX($FK$325:$ID$396,GZ$169,1+SwaptionShift):INDEX($FK$325:$ID$396,GZ$169,SwaptionMonthsToGo+SwaptionShift),INDEX($FK$245:$ID$316,$FJ189-GZ$169,73-GZ$169+SwaptionShift):INDEX($FK$245:$ID$316,$FJ189-GZ$169,72-GZ$169+SwaptionMonthsToGo+SwaptionShift))/SQRT(SUM(INDEX($FK344:$ID344,1+SwaptionShift):INDEX($FK344:$ID344,SwaptionMonthsToGo+SwaptionShift))*SUM(INDEX($FK$325:$ID$396,GZ$169,1+SwaptionShift):INDEX($FK$325:$ID$396,GZ$169,SwaptionMonthsToGo+SwaptionShift))))))</f>
        <v/>
      </c>
      <c r="HA189" s="150" t="str">
        <f aca="false">IF(OR(HA$169&lt;SwaptionFirstMonthPosition+1,$FJ189&lt;SwaptionFirstMonthPosition+1,HA$169&gt;SwaptionFirstMonthPosition+SwaptionNumOfMonths+1,$FJ189&gt;SwaptionFirstMonthPosition+SwaptionNumOfMonths+1),"",IF($FJ189=HA$169,1,IF($FJ189&lt;HA$169,INDEX($FK$170:$ID$241,HA$169,$FJ189),SUMPRODUCT(INDEX($FK$325:$ID$396,HA$169,1+SwaptionShift):INDEX($FK$325:$ID$396,HA$169,SwaptionMonthsToGo+SwaptionShift),INDEX($FK$245:$ID$316,$FJ189-HA$169,73-HA$169+SwaptionShift):INDEX($FK$245:$ID$316,$FJ189-HA$169,72-HA$169+SwaptionMonthsToGo+SwaptionShift))/SQRT(SUM(INDEX($FK344:$ID344,1+SwaptionShift):INDEX($FK344:$ID344,SwaptionMonthsToGo+SwaptionShift))*SUM(INDEX($FK$325:$ID$396,HA$169,1+SwaptionShift):INDEX($FK$325:$ID$396,HA$169,SwaptionMonthsToGo+SwaptionShift))))))</f>
        <v/>
      </c>
      <c r="HB189" s="150" t="str">
        <f aca="false">IF(OR(HB$169&lt;SwaptionFirstMonthPosition+1,$FJ189&lt;SwaptionFirstMonthPosition+1,HB$169&gt;SwaptionFirstMonthPosition+SwaptionNumOfMonths+1,$FJ189&gt;SwaptionFirstMonthPosition+SwaptionNumOfMonths+1),"",IF($FJ189=HB$169,1,IF($FJ189&lt;HB$169,INDEX($FK$170:$ID$241,HB$169,$FJ189),SUMPRODUCT(INDEX($FK$325:$ID$396,HB$169,1+SwaptionShift):INDEX($FK$325:$ID$396,HB$169,SwaptionMonthsToGo+SwaptionShift),INDEX($FK$245:$ID$316,$FJ189-HB$169,73-HB$169+SwaptionShift):INDEX($FK$245:$ID$316,$FJ189-HB$169,72-HB$169+SwaptionMonthsToGo+SwaptionShift))/SQRT(SUM(INDEX($FK344:$ID344,1+SwaptionShift):INDEX($FK344:$ID344,SwaptionMonthsToGo+SwaptionShift))*SUM(INDEX($FK$325:$ID$396,HB$169,1+SwaptionShift):INDEX($FK$325:$ID$396,HB$169,SwaptionMonthsToGo+SwaptionShift))))))</f>
        <v/>
      </c>
      <c r="HC189" s="150" t="str">
        <f aca="false">IF(OR(HC$169&lt;SwaptionFirstMonthPosition+1,$FJ189&lt;SwaptionFirstMonthPosition+1,HC$169&gt;SwaptionFirstMonthPosition+SwaptionNumOfMonths+1,$FJ189&gt;SwaptionFirstMonthPosition+SwaptionNumOfMonths+1),"",IF($FJ189=HC$169,1,IF($FJ189&lt;HC$169,INDEX($FK$170:$ID$241,HC$169,$FJ189),SUMPRODUCT(INDEX($FK$325:$ID$396,HC$169,1+SwaptionShift):INDEX($FK$325:$ID$396,HC$169,SwaptionMonthsToGo+SwaptionShift),INDEX($FK$245:$ID$316,$FJ189-HC$169,73-HC$169+SwaptionShift):INDEX($FK$245:$ID$316,$FJ189-HC$169,72-HC$169+SwaptionMonthsToGo+SwaptionShift))/SQRT(SUM(INDEX($FK344:$ID344,1+SwaptionShift):INDEX($FK344:$ID344,SwaptionMonthsToGo+SwaptionShift))*SUM(INDEX($FK$325:$ID$396,HC$169,1+SwaptionShift):INDEX($FK$325:$ID$396,HC$169,SwaptionMonthsToGo+SwaptionShift))))))</f>
        <v/>
      </c>
      <c r="HD189" s="150" t="str">
        <f aca="false">IF(OR(HD$169&lt;SwaptionFirstMonthPosition+1,$FJ189&lt;SwaptionFirstMonthPosition+1,HD$169&gt;SwaptionFirstMonthPosition+SwaptionNumOfMonths+1,$FJ189&gt;SwaptionFirstMonthPosition+SwaptionNumOfMonths+1),"",IF($FJ189=HD$169,1,IF($FJ189&lt;HD$169,INDEX($FK$170:$ID$241,HD$169,$FJ189),SUMPRODUCT(INDEX($FK$325:$ID$396,HD$169,1+SwaptionShift):INDEX($FK$325:$ID$396,HD$169,SwaptionMonthsToGo+SwaptionShift),INDEX($FK$245:$ID$316,$FJ189-HD$169,73-HD$169+SwaptionShift):INDEX($FK$245:$ID$316,$FJ189-HD$169,72-HD$169+SwaptionMonthsToGo+SwaptionShift))/SQRT(SUM(INDEX($FK344:$ID344,1+SwaptionShift):INDEX($FK344:$ID344,SwaptionMonthsToGo+SwaptionShift))*SUM(INDEX($FK$325:$ID$396,HD$169,1+SwaptionShift):INDEX($FK$325:$ID$396,HD$169,SwaptionMonthsToGo+SwaptionShift))))))</f>
        <v/>
      </c>
      <c r="HE189" s="150" t="str">
        <f aca="false">IF(OR(HE$169&lt;SwaptionFirstMonthPosition+1,$FJ189&lt;SwaptionFirstMonthPosition+1,HE$169&gt;SwaptionFirstMonthPosition+SwaptionNumOfMonths+1,$FJ189&gt;SwaptionFirstMonthPosition+SwaptionNumOfMonths+1),"",IF($FJ189=HE$169,1,IF($FJ189&lt;HE$169,INDEX($FK$170:$ID$241,HE$169,$FJ189),SUMPRODUCT(INDEX($FK$325:$ID$396,HE$169,1+SwaptionShift):INDEX($FK$325:$ID$396,HE$169,SwaptionMonthsToGo+SwaptionShift),INDEX($FK$245:$ID$316,$FJ189-HE$169,73-HE$169+SwaptionShift):INDEX($FK$245:$ID$316,$FJ189-HE$169,72-HE$169+SwaptionMonthsToGo+SwaptionShift))/SQRT(SUM(INDEX($FK344:$ID344,1+SwaptionShift):INDEX($FK344:$ID344,SwaptionMonthsToGo+SwaptionShift))*SUM(INDEX($FK$325:$ID$396,HE$169,1+SwaptionShift):INDEX($FK$325:$ID$396,HE$169,SwaptionMonthsToGo+SwaptionShift))))))</f>
        <v/>
      </c>
      <c r="HF189" s="150" t="str">
        <f aca="false">IF(OR(HF$169&lt;SwaptionFirstMonthPosition+1,$FJ189&lt;SwaptionFirstMonthPosition+1,HF$169&gt;SwaptionFirstMonthPosition+SwaptionNumOfMonths+1,$FJ189&gt;SwaptionFirstMonthPosition+SwaptionNumOfMonths+1),"",IF($FJ189=HF$169,1,IF($FJ189&lt;HF$169,INDEX($FK$170:$ID$241,HF$169,$FJ189),SUMPRODUCT(INDEX($FK$325:$ID$396,HF$169,1+SwaptionShift):INDEX($FK$325:$ID$396,HF$169,SwaptionMonthsToGo+SwaptionShift),INDEX($FK$245:$ID$316,$FJ189-HF$169,73-HF$169+SwaptionShift):INDEX($FK$245:$ID$316,$FJ189-HF$169,72-HF$169+SwaptionMonthsToGo+SwaptionShift))/SQRT(SUM(INDEX($FK344:$ID344,1+SwaptionShift):INDEX($FK344:$ID344,SwaptionMonthsToGo+SwaptionShift))*SUM(INDEX($FK$325:$ID$396,HF$169,1+SwaptionShift):INDEX($FK$325:$ID$396,HF$169,SwaptionMonthsToGo+SwaptionShift))))))</f>
        <v/>
      </c>
      <c r="HG189" s="150" t="str">
        <f aca="false">IF(OR(HG$169&lt;SwaptionFirstMonthPosition+1,$FJ189&lt;SwaptionFirstMonthPosition+1,HG$169&gt;SwaptionFirstMonthPosition+SwaptionNumOfMonths+1,$FJ189&gt;SwaptionFirstMonthPosition+SwaptionNumOfMonths+1),"",IF($FJ189=HG$169,1,IF($FJ189&lt;HG$169,INDEX($FK$170:$ID$241,HG$169,$FJ189),SUMPRODUCT(INDEX($FK$325:$ID$396,HG$169,1+SwaptionShift):INDEX($FK$325:$ID$396,HG$169,SwaptionMonthsToGo+SwaptionShift),INDEX($FK$245:$ID$316,$FJ189-HG$169,73-HG$169+SwaptionShift):INDEX($FK$245:$ID$316,$FJ189-HG$169,72-HG$169+SwaptionMonthsToGo+SwaptionShift))/SQRT(SUM(INDEX($FK344:$ID344,1+SwaptionShift):INDEX($FK344:$ID344,SwaptionMonthsToGo+SwaptionShift))*SUM(INDEX($FK$325:$ID$396,HG$169,1+SwaptionShift):INDEX($FK$325:$ID$396,HG$169,SwaptionMonthsToGo+SwaptionShift))))))</f>
        <v/>
      </c>
      <c r="HH189" s="150" t="str">
        <f aca="false">IF(OR(HH$169&lt;SwaptionFirstMonthPosition+1,$FJ189&lt;SwaptionFirstMonthPosition+1,HH$169&gt;SwaptionFirstMonthPosition+SwaptionNumOfMonths+1,$FJ189&gt;SwaptionFirstMonthPosition+SwaptionNumOfMonths+1),"",IF($FJ189=HH$169,1,IF($FJ189&lt;HH$169,INDEX($FK$170:$ID$241,HH$169,$FJ189),SUMPRODUCT(INDEX($FK$325:$ID$396,HH$169,1+SwaptionShift):INDEX($FK$325:$ID$396,HH$169,SwaptionMonthsToGo+SwaptionShift),INDEX($FK$245:$ID$316,$FJ189-HH$169,73-HH$169+SwaptionShift):INDEX($FK$245:$ID$316,$FJ189-HH$169,72-HH$169+SwaptionMonthsToGo+SwaptionShift))/SQRT(SUM(INDEX($FK344:$ID344,1+SwaptionShift):INDEX($FK344:$ID344,SwaptionMonthsToGo+SwaptionShift))*SUM(INDEX($FK$325:$ID$396,HH$169,1+SwaptionShift):INDEX($FK$325:$ID$396,HH$169,SwaptionMonthsToGo+SwaptionShift))))))</f>
        <v/>
      </c>
      <c r="HI189" s="150" t="str">
        <f aca="false">IF(OR(HI$169&lt;SwaptionFirstMonthPosition+1,$FJ189&lt;SwaptionFirstMonthPosition+1,HI$169&gt;SwaptionFirstMonthPosition+SwaptionNumOfMonths+1,$FJ189&gt;SwaptionFirstMonthPosition+SwaptionNumOfMonths+1),"",IF($FJ189=HI$169,1,IF($FJ189&lt;HI$169,INDEX($FK$170:$ID$241,HI$169,$FJ189),SUMPRODUCT(INDEX($FK$325:$ID$396,HI$169,1+SwaptionShift):INDEX($FK$325:$ID$396,HI$169,SwaptionMonthsToGo+SwaptionShift),INDEX($FK$245:$ID$316,$FJ189-HI$169,73-HI$169+SwaptionShift):INDEX($FK$245:$ID$316,$FJ189-HI$169,72-HI$169+SwaptionMonthsToGo+SwaptionShift))/SQRT(SUM(INDEX($FK344:$ID344,1+SwaptionShift):INDEX($FK344:$ID344,SwaptionMonthsToGo+SwaptionShift))*SUM(INDEX($FK$325:$ID$396,HI$169,1+SwaptionShift):INDEX($FK$325:$ID$396,HI$169,SwaptionMonthsToGo+SwaptionShift))))))</f>
        <v/>
      </c>
      <c r="HJ189" s="150" t="str">
        <f aca="false">IF(OR(HJ$169&lt;SwaptionFirstMonthPosition+1,$FJ189&lt;SwaptionFirstMonthPosition+1,HJ$169&gt;SwaptionFirstMonthPosition+SwaptionNumOfMonths+1,$FJ189&gt;SwaptionFirstMonthPosition+SwaptionNumOfMonths+1),"",IF($FJ189=HJ$169,1,IF($FJ189&lt;HJ$169,INDEX($FK$170:$ID$241,HJ$169,$FJ189),SUMPRODUCT(INDEX($FK$325:$ID$396,HJ$169,1+SwaptionShift):INDEX($FK$325:$ID$396,HJ$169,SwaptionMonthsToGo+SwaptionShift),INDEX($FK$245:$ID$316,$FJ189-HJ$169,73-HJ$169+SwaptionShift):INDEX($FK$245:$ID$316,$FJ189-HJ$169,72-HJ$169+SwaptionMonthsToGo+SwaptionShift))/SQRT(SUM(INDEX($FK344:$ID344,1+SwaptionShift):INDEX($FK344:$ID344,SwaptionMonthsToGo+SwaptionShift))*SUM(INDEX($FK$325:$ID$396,HJ$169,1+SwaptionShift):INDEX($FK$325:$ID$396,HJ$169,SwaptionMonthsToGo+SwaptionShift))))))</f>
        <v/>
      </c>
      <c r="HK189" s="150" t="str">
        <f aca="false">IF(OR(HK$169&lt;SwaptionFirstMonthPosition+1,$FJ189&lt;SwaptionFirstMonthPosition+1,HK$169&gt;SwaptionFirstMonthPosition+SwaptionNumOfMonths+1,$FJ189&gt;SwaptionFirstMonthPosition+SwaptionNumOfMonths+1),"",IF($FJ189=HK$169,1,IF($FJ189&lt;HK$169,INDEX($FK$170:$ID$241,HK$169,$FJ189),SUMPRODUCT(INDEX($FK$325:$ID$396,HK$169,1+SwaptionShift):INDEX($FK$325:$ID$396,HK$169,SwaptionMonthsToGo+SwaptionShift),INDEX($FK$245:$ID$316,$FJ189-HK$169,73-HK$169+SwaptionShift):INDEX($FK$245:$ID$316,$FJ189-HK$169,72-HK$169+SwaptionMonthsToGo+SwaptionShift))/SQRT(SUM(INDEX($FK344:$ID344,1+SwaptionShift):INDEX($FK344:$ID344,SwaptionMonthsToGo+SwaptionShift))*SUM(INDEX($FK$325:$ID$396,HK$169,1+SwaptionShift):INDEX($FK$325:$ID$396,HK$169,SwaptionMonthsToGo+SwaptionShift))))))</f>
        <v/>
      </c>
      <c r="HL189" s="150" t="str">
        <f aca="false">IF(OR(HL$169&lt;SwaptionFirstMonthPosition+1,$FJ189&lt;SwaptionFirstMonthPosition+1,HL$169&gt;SwaptionFirstMonthPosition+SwaptionNumOfMonths+1,$FJ189&gt;SwaptionFirstMonthPosition+SwaptionNumOfMonths+1),"",IF($FJ189=HL$169,1,IF($FJ189&lt;HL$169,INDEX($FK$170:$ID$241,HL$169,$FJ189),SUMPRODUCT(INDEX($FK$325:$ID$396,HL$169,1+SwaptionShift):INDEX($FK$325:$ID$396,HL$169,SwaptionMonthsToGo+SwaptionShift),INDEX($FK$245:$ID$316,$FJ189-HL$169,73-HL$169+SwaptionShift):INDEX($FK$245:$ID$316,$FJ189-HL$169,72-HL$169+SwaptionMonthsToGo+SwaptionShift))/SQRT(SUM(INDEX($FK344:$ID344,1+SwaptionShift):INDEX($FK344:$ID344,SwaptionMonthsToGo+SwaptionShift))*SUM(INDEX($FK$325:$ID$396,HL$169,1+SwaptionShift):INDEX($FK$325:$ID$396,HL$169,SwaptionMonthsToGo+SwaptionShift))))))</f>
        <v/>
      </c>
      <c r="HM189" s="150" t="str">
        <f aca="false">IF(OR(HM$169&lt;SwaptionFirstMonthPosition+1,$FJ189&lt;SwaptionFirstMonthPosition+1,HM$169&gt;SwaptionFirstMonthPosition+SwaptionNumOfMonths+1,$FJ189&gt;SwaptionFirstMonthPosition+SwaptionNumOfMonths+1),"",IF($FJ189=HM$169,1,IF($FJ189&lt;HM$169,INDEX($FK$170:$ID$241,HM$169,$FJ189),SUMPRODUCT(INDEX($FK$325:$ID$396,HM$169,1+SwaptionShift):INDEX($FK$325:$ID$396,HM$169,SwaptionMonthsToGo+SwaptionShift),INDEX($FK$245:$ID$316,$FJ189-HM$169,73-HM$169+SwaptionShift):INDEX($FK$245:$ID$316,$FJ189-HM$169,72-HM$169+SwaptionMonthsToGo+SwaptionShift))/SQRT(SUM(INDEX($FK344:$ID344,1+SwaptionShift):INDEX($FK344:$ID344,SwaptionMonthsToGo+SwaptionShift))*SUM(INDEX($FK$325:$ID$396,HM$169,1+SwaptionShift):INDEX($FK$325:$ID$396,HM$169,SwaptionMonthsToGo+SwaptionShift))))))</f>
        <v/>
      </c>
      <c r="HN189" s="150" t="str">
        <f aca="false">IF(OR(HN$169&lt;SwaptionFirstMonthPosition+1,$FJ189&lt;SwaptionFirstMonthPosition+1,HN$169&gt;SwaptionFirstMonthPosition+SwaptionNumOfMonths+1,$FJ189&gt;SwaptionFirstMonthPosition+SwaptionNumOfMonths+1),"",IF($FJ189=HN$169,1,IF($FJ189&lt;HN$169,INDEX($FK$170:$ID$241,HN$169,$FJ189),SUMPRODUCT(INDEX($FK$325:$ID$396,HN$169,1+SwaptionShift):INDEX($FK$325:$ID$396,HN$169,SwaptionMonthsToGo+SwaptionShift),INDEX($FK$245:$ID$316,$FJ189-HN$169,73-HN$169+SwaptionShift):INDEX($FK$245:$ID$316,$FJ189-HN$169,72-HN$169+SwaptionMonthsToGo+SwaptionShift))/SQRT(SUM(INDEX($FK344:$ID344,1+SwaptionShift):INDEX($FK344:$ID344,SwaptionMonthsToGo+SwaptionShift))*SUM(INDEX($FK$325:$ID$396,HN$169,1+SwaptionShift):INDEX($FK$325:$ID$396,HN$169,SwaptionMonthsToGo+SwaptionShift))))))</f>
        <v/>
      </c>
      <c r="HO189" s="150" t="str">
        <f aca="false">IF(OR(HO$169&lt;SwaptionFirstMonthPosition+1,$FJ189&lt;SwaptionFirstMonthPosition+1,HO$169&gt;SwaptionFirstMonthPosition+SwaptionNumOfMonths+1,$FJ189&gt;SwaptionFirstMonthPosition+SwaptionNumOfMonths+1),"",IF($FJ189=HO$169,1,IF($FJ189&lt;HO$169,INDEX($FK$170:$ID$241,HO$169,$FJ189),SUMPRODUCT(INDEX($FK$325:$ID$396,HO$169,1+SwaptionShift):INDEX($FK$325:$ID$396,HO$169,SwaptionMonthsToGo+SwaptionShift),INDEX($FK$245:$ID$316,$FJ189-HO$169,73-HO$169+SwaptionShift):INDEX($FK$245:$ID$316,$FJ189-HO$169,72-HO$169+SwaptionMonthsToGo+SwaptionShift))/SQRT(SUM(INDEX($FK344:$ID344,1+SwaptionShift):INDEX($FK344:$ID344,SwaptionMonthsToGo+SwaptionShift))*SUM(INDEX($FK$325:$ID$396,HO$169,1+SwaptionShift):INDEX($FK$325:$ID$396,HO$169,SwaptionMonthsToGo+SwaptionShift))))))</f>
        <v/>
      </c>
      <c r="HP189" s="150" t="str">
        <f aca="false">IF(OR(HP$169&lt;SwaptionFirstMonthPosition+1,$FJ189&lt;SwaptionFirstMonthPosition+1,HP$169&gt;SwaptionFirstMonthPosition+SwaptionNumOfMonths+1,$FJ189&gt;SwaptionFirstMonthPosition+SwaptionNumOfMonths+1),"",IF($FJ189=HP$169,1,IF($FJ189&lt;HP$169,INDEX($FK$170:$ID$241,HP$169,$FJ189),SUMPRODUCT(INDEX($FK$325:$ID$396,HP$169,1+SwaptionShift):INDEX($FK$325:$ID$396,HP$169,SwaptionMonthsToGo+SwaptionShift),INDEX($FK$245:$ID$316,$FJ189-HP$169,73-HP$169+SwaptionShift):INDEX($FK$245:$ID$316,$FJ189-HP$169,72-HP$169+SwaptionMonthsToGo+SwaptionShift))/SQRT(SUM(INDEX($FK344:$ID344,1+SwaptionShift):INDEX($FK344:$ID344,SwaptionMonthsToGo+SwaptionShift))*SUM(INDEX($FK$325:$ID$396,HP$169,1+SwaptionShift):INDEX($FK$325:$ID$396,HP$169,SwaptionMonthsToGo+SwaptionShift))))))</f>
        <v/>
      </c>
      <c r="HQ189" s="150" t="str">
        <f aca="false">IF(OR(HQ$169&lt;SwaptionFirstMonthPosition+1,$FJ189&lt;SwaptionFirstMonthPosition+1,HQ$169&gt;SwaptionFirstMonthPosition+SwaptionNumOfMonths+1,$FJ189&gt;SwaptionFirstMonthPosition+SwaptionNumOfMonths+1),"",IF($FJ189=HQ$169,1,IF($FJ189&lt;HQ$169,INDEX($FK$170:$ID$241,HQ$169,$FJ189),SUMPRODUCT(INDEX($FK$325:$ID$396,HQ$169,1+SwaptionShift):INDEX($FK$325:$ID$396,HQ$169,SwaptionMonthsToGo+SwaptionShift),INDEX($FK$245:$ID$316,$FJ189-HQ$169,73-HQ$169+SwaptionShift):INDEX($FK$245:$ID$316,$FJ189-HQ$169,72-HQ$169+SwaptionMonthsToGo+SwaptionShift))/SQRT(SUM(INDEX($FK344:$ID344,1+SwaptionShift):INDEX($FK344:$ID344,SwaptionMonthsToGo+SwaptionShift))*SUM(INDEX($FK$325:$ID$396,HQ$169,1+SwaptionShift):INDEX($FK$325:$ID$396,HQ$169,SwaptionMonthsToGo+SwaptionShift))))))</f>
        <v/>
      </c>
      <c r="HR189" s="150" t="str">
        <f aca="false">IF(OR(HR$169&lt;SwaptionFirstMonthPosition+1,$FJ189&lt;SwaptionFirstMonthPosition+1,HR$169&gt;SwaptionFirstMonthPosition+SwaptionNumOfMonths+1,$FJ189&gt;SwaptionFirstMonthPosition+SwaptionNumOfMonths+1),"",IF($FJ189=HR$169,1,IF($FJ189&lt;HR$169,INDEX($FK$170:$ID$241,HR$169,$FJ189),SUMPRODUCT(INDEX($FK$325:$ID$396,HR$169,1+SwaptionShift):INDEX($FK$325:$ID$396,HR$169,SwaptionMonthsToGo+SwaptionShift),INDEX($FK$245:$ID$316,$FJ189-HR$169,73-HR$169+SwaptionShift):INDEX($FK$245:$ID$316,$FJ189-HR$169,72-HR$169+SwaptionMonthsToGo+SwaptionShift))/SQRT(SUM(INDEX($FK344:$ID344,1+SwaptionShift):INDEX($FK344:$ID344,SwaptionMonthsToGo+SwaptionShift))*SUM(INDEX($FK$325:$ID$396,HR$169,1+SwaptionShift):INDEX($FK$325:$ID$396,HR$169,SwaptionMonthsToGo+SwaptionShift))))))</f>
        <v/>
      </c>
      <c r="HS189" s="150" t="str">
        <f aca="false">IF(OR(HS$169&lt;SwaptionFirstMonthPosition+1,$FJ189&lt;SwaptionFirstMonthPosition+1,HS$169&gt;SwaptionFirstMonthPosition+SwaptionNumOfMonths+1,$FJ189&gt;SwaptionFirstMonthPosition+SwaptionNumOfMonths+1),"",IF($FJ189=HS$169,1,IF($FJ189&lt;HS$169,INDEX($FK$170:$ID$241,HS$169,$FJ189),SUMPRODUCT(INDEX($FK$325:$ID$396,HS$169,1+SwaptionShift):INDEX($FK$325:$ID$396,HS$169,SwaptionMonthsToGo+SwaptionShift),INDEX($FK$245:$ID$316,$FJ189-HS$169,73-HS$169+SwaptionShift):INDEX($FK$245:$ID$316,$FJ189-HS$169,72-HS$169+SwaptionMonthsToGo+SwaptionShift))/SQRT(SUM(INDEX($FK344:$ID344,1+SwaptionShift):INDEX($FK344:$ID344,SwaptionMonthsToGo+SwaptionShift))*SUM(INDEX($FK$325:$ID$396,HS$169,1+SwaptionShift):INDEX($FK$325:$ID$396,HS$169,SwaptionMonthsToGo+SwaptionShift))))))</f>
        <v/>
      </c>
      <c r="HT189" s="150" t="str">
        <f aca="false">IF(OR(HT$169&lt;SwaptionFirstMonthPosition+1,$FJ189&lt;SwaptionFirstMonthPosition+1,HT$169&gt;SwaptionFirstMonthPosition+SwaptionNumOfMonths+1,$FJ189&gt;SwaptionFirstMonthPosition+SwaptionNumOfMonths+1),"",IF($FJ189=HT$169,1,IF($FJ189&lt;HT$169,INDEX($FK$170:$ID$241,HT$169,$FJ189),SUMPRODUCT(INDEX($FK$325:$ID$396,HT$169,1+SwaptionShift):INDEX($FK$325:$ID$396,HT$169,SwaptionMonthsToGo+SwaptionShift),INDEX($FK$245:$ID$316,$FJ189-HT$169,73-HT$169+SwaptionShift):INDEX($FK$245:$ID$316,$FJ189-HT$169,72-HT$169+SwaptionMonthsToGo+SwaptionShift))/SQRT(SUM(INDEX($FK344:$ID344,1+SwaptionShift):INDEX($FK344:$ID344,SwaptionMonthsToGo+SwaptionShift))*SUM(INDEX($FK$325:$ID$396,HT$169,1+SwaptionShift):INDEX($FK$325:$ID$396,HT$169,SwaptionMonthsToGo+SwaptionShift))))))</f>
        <v/>
      </c>
      <c r="HU189" s="150" t="str">
        <f aca="false">IF(OR(HU$169&lt;SwaptionFirstMonthPosition+1,$FJ189&lt;SwaptionFirstMonthPosition+1,HU$169&gt;SwaptionFirstMonthPosition+SwaptionNumOfMonths+1,$FJ189&gt;SwaptionFirstMonthPosition+SwaptionNumOfMonths+1),"",IF($FJ189=HU$169,1,IF($FJ189&lt;HU$169,INDEX($FK$170:$ID$241,HU$169,$FJ189),SUMPRODUCT(INDEX($FK$325:$ID$396,HU$169,1+SwaptionShift):INDEX($FK$325:$ID$396,HU$169,SwaptionMonthsToGo+SwaptionShift),INDEX($FK$245:$ID$316,$FJ189-HU$169,73-HU$169+SwaptionShift):INDEX($FK$245:$ID$316,$FJ189-HU$169,72-HU$169+SwaptionMonthsToGo+SwaptionShift))/SQRT(SUM(INDEX($FK344:$ID344,1+SwaptionShift):INDEX($FK344:$ID344,SwaptionMonthsToGo+SwaptionShift))*SUM(INDEX($FK$325:$ID$396,HU$169,1+SwaptionShift):INDEX($FK$325:$ID$396,HU$169,SwaptionMonthsToGo+SwaptionShift))))))</f>
        <v/>
      </c>
      <c r="HV189" s="150" t="str">
        <f aca="false">IF(OR(HV$169&lt;SwaptionFirstMonthPosition+1,$FJ189&lt;SwaptionFirstMonthPosition+1,HV$169&gt;SwaptionFirstMonthPosition+SwaptionNumOfMonths+1,$FJ189&gt;SwaptionFirstMonthPosition+SwaptionNumOfMonths+1),"",IF($FJ189=HV$169,1,IF($FJ189&lt;HV$169,INDEX($FK$170:$ID$241,HV$169,$FJ189),SUMPRODUCT(INDEX($FK$325:$ID$396,HV$169,1+SwaptionShift):INDEX($FK$325:$ID$396,HV$169,SwaptionMonthsToGo+SwaptionShift),INDEX($FK$245:$ID$316,$FJ189-HV$169,73-HV$169+SwaptionShift):INDEX($FK$245:$ID$316,$FJ189-HV$169,72-HV$169+SwaptionMonthsToGo+SwaptionShift))/SQRT(SUM(INDEX($FK344:$ID344,1+SwaptionShift):INDEX($FK344:$ID344,SwaptionMonthsToGo+SwaptionShift))*SUM(INDEX($FK$325:$ID$396,HV$169,1+SwaptionShift):INDEX($FK$325:$ID$396,HV$169,SwaptionMonthsToGo+SwaptionShift))))))</f>
        <v/>
      </c>
      <c r="HW189" s="150" t="str">
        <f aca="false">IF(OR(HW$169&lt;SwaptionFirstMonthPosition+1,$FJ189&lt;SwaptionFirstMonthPosition+1,HW$169&gt;SwaptionFirstMonthPosition+SwaptionNumOfMonths+1,$FJ189&gt;SwaptionFirstMonthPosition+SwaptionNumOfMonths+1),"",IF($FJ189=HW$169,1,IF($FJ189&lt;HW$169,INDEX($FK$170:$ID$241,HW$169,$FJ189),SUMPRODUCT(INDEX($FK$325:$ID$396,HW$169,1+SwaptionShift):INDEX($FK$325:$ID$396,HW$169,SwaptionMonthsToGo+SwaptionShift),INDEX($FK$245:$ID$316,$FJ189-HW$169,73-HW$169+SwaptionShift):INDEX($FK$245:$ID$316,$FJ189-HW$169,72-HW$169+SwaptionMonthsToGo+SwaptionShift))/SQRT(SUM(INDEX($FK344:$ID344,1+SwaptionShift):INDEX($FK344:$ID344,SwaptionMonthsToGo+SwaptionShift))*SUM(INDEX($FK$325:$ID$396,HW$169,1+SwaptionShift):INDEX($FK$325:$ID$396,HW$169,SwaptionMonthsToGo+SwaptionShift))))))</f>
        <v/>
      </c>
      <c r="HX189" s="150" t="str">
        <f aca="false">IF(OR(HX$169&lt;SwaptionFirstMonthPosition+1,$FJ189&lt;SwaptionFirstMonthPosition+1,HX$169&gt;SwaptionFirstMonthPosition+SwaptionNumOfMonths+1,$FJ189&gt;SwaptionFirstMonthPosition+SwaptionNumOfMonths+1),"",IF($FJ189=HX$169,1,IF($FJ189&lt;HX$169,INDEX($FK$170:$ID$241,HX$169,$FJ189),SUMPRODUCT(INDEX($FK$325:$ID$396,HX$169,1+SwaptionShift):INDEX($FK$325:$ID$396,HX$169,SwaptionMonthsToGo+SwaptionShift),INDEX($FK$245:$ID$316,$FJ189-HX$169,73-HX$169+SwaptionShift):INDEX($FK$245:$ID$316,$FJ189-HX$169,72-HX$169+SwaptionMonthsToGo+SwaptionShift))/SQRT(SUM(INDEX($FK344:$ID344,1+SwaptionShift):INDEX($FK344:$ID344,SwaptionMonthsToGo+SwaptionShift))*SUM(INDEX($FK$325:$ID$396,HX$169,1+SwaptionShift):INDEX($FK$325:$ID$396,HX$169,SwaptionMonthsToGo+SwaptionShift))))))</f>
        <v/>
      </c>
      <c r="HY189" s="150" t="str">
        <f aca="false">IF(OR(HY$169&lt;SwaptionFirstMonthPosition+1,$FJ189&lt;SwaptionFirstMonthPosition+1,HY$169&gt;SwaptionFirstMonthPosition+SwaptionNumOfMonths+1,$FJ189&gt;SwaptionFirstMonthPosition+SwaptionNumOfMonths+1),"",IF($FJ189=HY$169,1,IF($FJ189&lt;HY$169,INDEX($FK$170:$ID$241,HY$169,$FJ189),SUMPRODUCT(INDEX($FK$325:$ID$396,HY$169,1+SwaptionShift):INDEX($FK$325:$ID$396,HY$169,SwaptionMonthsToGo+SwaptionShift),INDEX($FK$245:$ID$316,$FJ189-HY$169,73-HY$169+SwaptionShift):INDEX($FK$245:$ID$316,$FJ189-HY$169,72-HY$169+SwaptionMonthsToGo+SwaptionShift))/SQRT(SUM(INDEX($FK344:$ID344,1+SwaptionShift):INDEX($FK344:$ID344,SwaptionMonthsToGo+SwaptionShift))*SUM(INDEX($FK$325:$ID$396,HY$169,1+SwaptionShift):INDEX($FK$325:$ID$396,HY$169,SwaptionMonthsToGo+SwaptionShift))))))</f>
        <v/>
      </c>
      <c r="HZ189" s="150" t="str">
        <f aca="false">IF(OR(HZ$169&lt;SwaptionFirstMonthPosition+1,$FJ189&lt;SwaptionFirstMonthPosition+1,HZ$169&gt;SwaptionFirstMonthPosition+SwaptionNumOfMonths+1,$FJ189&gt;SwaptionFirstMonthPosition+SwaptionNumOfMonths+1),"",IF($FJ189=HZ$169,1,IF($FJ189&lt;HZ$169,INDEX($FK$170:$ID$241,HZ$169,$FJ189),SUMPRODUCT(INDEX($FK$325:$ID$396,HZ$169,1+SwaptionShift):INDEX($FK$325:$ID$396,HZ$169,SwaptionMonthsToGo+SwaptionShift),INDEX($FK$245:$ID$316,$FJ189-HZ$169,73-HZ$169+SwaptionShift):INDEX($FK$245:$ID$316,$FJ189-HZ$169,72-HZ$169+SwaptionMonthsToGo+SwaptionShift))/SQRT(SUM(INDEX($FK344:$ID344,1+SwaptionShift):INDEX($FK344:$ID344,SwaptionMonthsToGo+SwaptionShift))*SUM(INDEX($FK$325:$ID$396,HZ$169,1+SwaptionShift):INDEX($FK$325:$ID$396,HZ$169,SwaptionMonthsToGo+SwaptionShift))))))</f>
        <v/>
      </c>
      <c r="IA189" s="150" t="str">
        <f aca="false">IF(OR(IA$169&lt;SwaptionFirstMonthPosition+1,$FJ189&lt;SwaptionFirstMonthPosition+1,IA$169&gt;SwaptionFirstMonthPosition+SwaptionNumOfMonths+1,$FJ189&gt;SwaptionFirstMonthPosition+SwaptionNumOfMonths+1),"",IF($FJ189=IA$169,1,IF($FJ189&lt;IA$169,INDEX($FK$170:$ID$241,IA$169,$FJ189),SUMPRODUCT(INDEX($FK$325:$ID$396,IA$169,1+SwaptionShift):INDEX($FK$325:$ID$396,IA$169,SwaptionMonthsToGo+SwaptionShift),INDEX($FK$245:$ID$316,$FJ189-IA$169,73-IA$169+SwaptionShift):INDEX($FK$245:$ID$316,$FJ189-IA$169,72-IA$169+SwaptionMonthsToGo+SwaptionShift))/SQRT(SUM(INDEX($FK344:$ID344,1+SwaptionShift):INDEX($FK344:$ID344,SwaptionMonthsToGo+SwaptionShift))*SUM(INDEX($FK$325:$ID$396,IA$169,1+SwaptionShift):INDEX($FK$325:$ID$396,IA$169,SwaptionMonthsToGo+SwaptionShift))))))</f>
        <v/>
      </c>
      <c r="IB189" s="150" t="str">
        <f aca="false">IF(OR(IB$169&lt;SwaptionFirstMonthPosition+1,$FJ189&lt;SwaptionFirstMonthPosition+1,IB$169&gt;SwaptionFirstMonthPosition+SwaptionNumOfMonths+1,$FJ189&gt;SwaptionFirstMonthPosition+SwaptionNumOfMonths+1),"",IF($FJ189=IB$169,1,IF($FJ189&lt;IB$169,INDEX($FK$170:$ID$241,IB$169,$FJ189),SUMPRODUCT(INDEX($FK$325:$ID$396,IB$169,1+SwaptionShift):INDEX($FK$325:$ID$396,IB$169,SwaptionMonthsToGo+SwaptionShift),INDEX($FK$245:$ID$316,$FJ189-IB$169,73-IB$169+SwaptionShift):INDEX($FK$245:$ID$316,$FJ189-IB$169,72-IB$169+SwaptionMonthsToGo+SwaptionShift))/SQRT(SUM(INDEX($FK344:$ID344,1+SwaptionShift):INDEX($FK344:$ID344,SwaptionMonthsToGo+SwaptionShift))*SUM(INDEX($FK$325:$ID$396,IB$169,1+SwaptionShift):INDEX($FK$325:$ID$396,IB$169,SwaptionMonthsToGo+SwaptionShift))))))</f>
        <v/>
      </c>
      <c r="IC189" s="150" t="str">
        <f aca="false">IF(OR(IC$169&lt;SwaptionFirstMonthPosition+1,$FJ189&lt;SwaptionFirstMonthPosition+1,IC$169&gt;SwaptionFirstMonthPosition+SwaptionNumOfMonths+1,$FJ189&gt;SwaptionFirstMonthPosition+SwaptionNumOfMonths+1),"",IF($FJ189=IC$169,1,IF($FJ189&lt;IC$169,INDEX($FK$170:$ID$241,IC$169,$FJ189),SUMPRODUCT(INDEX($FK$325:$ID$396,IC$169,1+SwaptionShift):INDEX($FK$325:$ID$396,IC$169,SwaptionMonthsToGo+SwaptionShift),INDEX($FK$245:$ID$316,$FJ189-IC$169,73-IC$169+SwaptionShift):INDEX($FK$245:$ID$316,$FJ189-IC$169,72-IC$169+SwaptionMonthsToGo+SwaptionShift))/SQRT(SUM(INDEX($FK344:$ID344,1+SwaptionShift):INDEX($FK344:$ID344,SwaptionMonthsToGo+SwaptionShift))*SUM(INDEX($FK$325:$ID$396,IC$169,1+SwaptionShift):INDEX($FK$325:$ID$396,IC$169,SwaptionMonthsToGo+SwaptionShift))))))</f>
        <v/>
      </c>
      <c r="ID189" s="572" t="str">
        <f aca="false">IF(OR(ID$169&lt;SwaptionFirstMonthPosition+1,$FJ189&lt;SwaptionFirstMonthPosition+1,ID$169&gt;SwaptionFirstMonthPosition+SwaptionNumOfMonths+1,$FJ189&gt;SwaptionFirstMonthPosition+SwaptionNumOfMonths+1),"",IF($FJ189=ID$169,1,IF($FJ189&lt;ID$169,INDEX($FK$170:$ID$241,ID$169,$FJ189),SUMPRODUCT(INDEX($FK$325:$ID$396,ID$169,1+SwaptionShift):INDEX($FK$325:$ID$396,ID$169,SwaptionMonthsToGo+SwaptionShift),INDEX($FK$245:$ID$316,$FJ189-ID$169,73-ID$169+SwaptionShift):INDEX($FK$245:$ID$316,$FJ189-ID$169,72-ID$169+SwaptionMonthsToGo+SwaptionShift))/SQRT(SUM(INDEX($FK344:$ID344,1+SwaptionShift):INDEX($FK344:$ID344,SwaptionMonthsToGo+SwaptionShift))*SUM(INDEX($FK$325:$ID$396,ID$169,1+SwaptionShift):INDEX($FK$325:$ID$396,ID$169,SwaptionMonthsToGo+SwaptionShift))))))</f>
        <v/>
      </c>
      <c r="IE189" s="129"/>
    </row>
    <row r="190" customFormat="false" ht="12.75" hidden="false" customHeight="false" outlineLevel="0" collapsed="false">
      <c r="H190" s="219" t="n">
        <f aca="false">VLOOKUP(I190,$EJ$20:$EL$54,3)</f>
        <v>0</v>
      </c>
      <c r="I190" s="511" t="n">
        <f aca="false">EOMONTH(I189,0)+1</f>
        <v>41944</v>
      </c>
      <c r="J190" s="512"/>
      <c r="K190" s="513" t="s">
        <v>280</v>
      </c>
      <c r="L190" s="514" t="n">
        <f aca="false">IF(ISNUMBER(K190),J190+K190/100,IF(K190="extra",L189+VLOOKUP(BF190,PriceSpreadTable,2)/12,IF(K190="inter",interpolateprices($K$19:$L$200,ROW(K190)-ROW(FirstPricingMonth)+1),interpolatechanges($J$19:$K$200,ROW(K190)-ROW(FirstPricingMonth)+1))))</f>
        <v>3.52500000000001</v>
      </c>
      <c r="M190" s="515"/>
      <c r="N190" s="516" t="n">
        <v>0</v>
      </c>
      <c r="O190" s="515" t="n">
        <f aca="false">M190+N190</f>
        <v>0</v>
      </c>
      <c r="P190" s="512"/>
      <c r="Q190" s="513" t="s">
        <v>280</v>
      </c>
      <c r="R190" s="512" t="e">
        <f aca="false">IF(ISNUMBER(Q190),P190+Q190/100,IF(Q190="extra",(Z188*AL188-R189*AM188)/AN188,IF(Q190="inter",interpolateprices($Q$19:$R$260,ROW(Q190)-ROW(FirstPricingMonth)+1),interpolatechanges($P$19:$Q$260,ROW(Q190)-ROW(FirstPricingMonth)+1))))</f>
        <v>#VALUE!</v>
      </c>
      <c r="S190" s="597" t="n">
        <f aca="false">S$19+(S189-S$19)*S$18</f>
        <v>0.36</v>
      </c>
      <c r="T190" s="575" t="n">
        <f aca="false">SQRT((1-(1-T189^2/U189)*T$18)*U190)</f>
        <v>0.999999999999695</v>
      </c>
      <c r="U190" s="576" t="n">
        <f aca="false">1-(1-U189)*U$18</f>
        <v>1</v>
      </c>
      <c r="V190" s="521" t="n">
        <v>0</v>
      </c>
      <c r="W190" s="577" t="n">
        <f aca="false">(J191*AJ190+J192*AK190)/AI190</f>
        <v>0</v>
      </c>
      <c r="X190" s="578" t="n">
        <f aca="false">(L191*AJ190+L192*AK190)/AI190</f>
        <v>3.57375000000001</v>
      </c>
      <c r="Y190" s="579" t="n">
        <f aca="false">IF(Q192="extra",W190-AA190,(P191*AM190+P192*AN190)/AL190)</f>
        <v>-1.1931</v>
      </c>
      <c r="Z190" s="579" t="n">
        <f aca="false">IF(Q192="extra",X190-AB190,(R191*AM190+R192*AN190)/AL190)</f>
        <v>2.38065000000001</v>
      </c>
      <c r="AA190" s="523" t="n">
        <f aca="false">IF(Q192="extra",INDEX(BrentSeasonalityTable,INT((BG190-1)/3)+1)*VLOOKUP(MAX(BF190,$AB$4),PriceSpreadTable,3),W190-Y190)</f>
        <v>1.1931</v>
      </c>
      <c r="AB190" s="524" t="n">
        <f aca="false">IF(Q192="extra",INDEX(BrentSeasonalityTable,INT((BG190-1)/3)+1)*VLOOKUP(MAX(BF190,$AB$4),PriceSpreadTable,3),X190-Z190)</f>
        <v>1.1931</v>
      </c>
      <c r="AC190" s="646" t="n">
        <v>41932</v>
      </c>
      <c r="AD190" s="646" t="n">
        <v>41928</v>
      </c>
      <c r="AE190" s="646" t="n">
        <v>41927</v>
      </c>
      <c r="AF190" s="646" t="n">
        <v>41923</v>
      </c>
      <c r="AG190" s="438" t="s">
        <v>278</v>
      </c>
      <c r="AH190" s="439" t="s">
        <v>278</v>
      </c>
      <c r="AI190" s="528" t="n">
        <v>20</v>
      </c>
      <c r="AJ190" s="529" t="n">
        <v>14</v>
      </c>
      <c r="AK190" s="529" t="n">
        <v>6</v>
      </c>
      <c r="AL190" s="530" t="n">
        <v>20</v>
      </c>
      <c r="AM190" s="529" t="n">
        <v>10</v>
      </c>
      <c r="AN190" s="531" t="n">
        <v>10</v>
      </c>
      <c r="AO190" s="532"/>
      <c r="AP190" s="465" t="n">
        <f aca="false">(1+AO190/2)^(-2*BL190)</f>
        <v>1</v>
      </c>
      <c r="AQ190" s="532"/>
      <c r="AR190" s="465" t="n">
        <f aca="false">(1+AQ190/2)^(-2*BH190/365.25)</f>
        <v>1</v>
      </c>
      <c r="AS190" s="580" t="n">
        <f aca="false">(O191*AJ190+O192*AK190)/AI190</f>
        <v>0</v>
      </c>
      <c r="AT190" s="468" t="n">
        <f aca="false">O190*VLOOKUP(BF190,BrentVolTable,2)+VLOOKUP(BF190,BrentVolTable,3)</f>
        <v>0</v>
      </c>
      <c r="AU190" s="468" t="n">
        <f aca="false">(AT191*AM190+AT192*AN190)/AL190</f>
        <v>0</v>
      </c>
      <c r="AV190" s="595" t="n">
        <f aca="false">SQRT(MAX(0.000000000001,(O190^2*BH190-S190^2*(BH190-BH189))/BH189))</f>
        <v>0.0310722221577203</v>
      </c>
      <c r="AW190" s="451" t="n">
        <f aca="false">IF($I190-DateToday+15&gt;=$T$8,"",IF($I190-DateToday+15&lt;$T$5,1,MATCH($I190-DateToday+15,$T$5:$T$8)))</f>
        <v>1</v>
      </c>
      <c r="AX190" s="468" t="n">
        <f aca="false">IF($AW190="",AX189^2/AX188,INDEX(U$5:U$8,$AW190)^((INDEX($T$5:$T$8,$AW190+1)-($I190-DateToday+15))/(INDEX($T$5:$T$8,$AW190+1)-INDEX($T$5:$T$8,$AW190)))/INDEX(U$5:U$8,$AW190+1)^((INDEX($T$5:$T$8,$AW190)-($I190-DateToday+15))/(INDEX($T$5:$T$8,$AW190+1)-INDEX($T$5:$T$8,$AW190))))</f>
        <v>0.331371073066155</v>
      </c>
      <c r="AY190" s="468" t="n">
        <f aca="false">IF($AW190="",AY189^2/AY188,INDEX(V$5:V$8,$AW190)^((INDEX($T$5:$T$8,$AW190+1)-($I190-DateToday+15))/(INDEX($T$5:$T$8,$AW190+1)-INDEX($T$5:$T$8,$AW190)))/INDEX(V$5:V$8,$AW190+1)^((INDEX($T$5:$T$8,$AW190)-($I190-DateToday+15))/(INDEX($T$5:$T$8,$AW190+1)-INDEX($T$5:$T$8,$AW190))))</f>
        <v>4.04600665420427</v>
      </c>
      <c r="AZ190" s="468" t="n">
        <f aca="false">IF($AW190="",AZ189^2/AZ188,INDEX(W$5:W$8,$AW190)^((INDEX($T$5:$T$8,$AW190+1)-($I190-DateToday+15))/(INDEX($T$5:$T$8,$AW190+1)-INDEX($T$5:$T$8,$AW190)))/INDEX(W$5:W$8,$AW190+1)^((INDEX($T$5:$T$8,$AW190)-($I190-DateToday+15))/(INDEX($T$5:$T$8,$AW190+1)-INDEX($T$5:$T$8,$AW190))))</f>
        <v>590.780740748423</v>
      </c>
      <c r="BA190" s="468" t="n">
        <f aca="false">IF($AW190="",BA189^2/BA188,INDEX(X$5:X$8,$AW190)^((INDEX($T$5:$T$8,$AW190+1)-($I190-DateToday+15))/(INDEX($T$5:$T$8,$AW190+1)-INDEX($T$5:$T$8,$AW190)))/INDEX(X$5:X$8,$AW190+1)^((INDEX($T$5:$T$8,$AW190)-($I190-DateToday+15))/(INDEX($T$5:$T$8,$AW190+1)-INDEX($T$5:$T$8,$AW190))))</f>
        <v>2039.24633342315</v>
      </c>
      <c r="BB190" s="468" t="n">
        <f aca="false">IF($AW190="",BB189^2/BB188,INDEX(Y$5:Y$8,$AW190)^((INDEX($T$5:$T$8,$AW190+1)-($I190-DateToday+15))/(INDEX($T$5:$T$8,$AW190+1)-INDEX($T$5:$T$8,$AW190)))/INDEX(Y$5:Y$8,$AW190+1)^((INDEX($T$5:$T$8,$AW190)-($I190-DateToday+15))/(INDEX($T$5:$T$8,$AW190+1)-INDEX($T$5:$T$8,$AW190))))</f>
        <v>10476.6374463303</v>
      </c>
      <c r="BC190" s="468" t="n">
        <f aca="false">IF($AW190="",BC189^2/BC188,INDEX(Z$5:Z$8,$AW190)^((INDEX($T$5:$T$8,$AW190+1)-($I190-DateToday+15))/(INDEX($T$5:$T$8,$AW190+1)-INDEX($T$5:$T$8,$AW190)))/INDEX(Z$5:Z$8,$AW190+1)^((INDEX($T$5:$T$8,$AW190)-($I190-DateToday+15))/(INDEX($T$5:$T$8,$AW190+1)-INDEX($T$5:$T$8,$AW190))))</f>
        <v>28534.7364970931</v>
      </c>
      <c r="BD190" s="535" t="n">
        <f aca="false">IF(OR(DateStart&gt;=I191,DateEnd&lt;I190),0,IF(VolumeOverrideFlag,V190,Volume))</f>
        <v>0</v>
      </c>
      <c r="BE190" s="536" t="n">
        <f aca="false">IF(OR(DateStart2&gt;=I191,DateEnd2&lt;I190),0,IF(VolumeOverrideFlag,V190,VolumeSwaption))</f>
        <v>0</v>
      </c>
      <c r="BF190" s="537" t="n">
        <f aca="false">YEAR(I190)</f>
        <v>2014</v>
      </c>
      <c r="BG190" s="538" t="n">
        <f aca="false">MONTH(I190)</f>
        <v>11</v>
      </c>
      <c r="BH190" s="539" t="n">
        <f aca="false">AD190-DateToday+1</f>
        <v>-3997</v>
      </c>
      <c r="BI190" s="540" t="n">
        <f aca="false">(I190-DateToday+1)/365.25</f>
        <v>-10.8993839835729</v>
      </c>
      <c r="BJ190" s="541" t="n">
        <f aca="false">BI190+(BL190-BI190)*CHOOSE(Underlying,AJ190/AI190,AM190/AL190)</f>
        <v>-10.8438056125941</v>
      </c>
      <c r="BK190" s="541" t="n">
        <f aca="false">BJ190+1/365.25</f>
        <v>-10.841067761807</v>
      </c>
      <c r="BL190" s="541" t="n">
        <f aca="false">(I191-DateToday)/365.25</f>
        <v>-10.8199863107461</v>
      </c>
      <c r="BM190" s="542" t="e">
        <f aca="false">MAX(BI190-(BJ190-BI190)*(S191^2/O191^2-1),0)</f>
        <v>#DIV/0!</v>
      </c>
      <c r="BN190" s="541" t="e">
        <f aca="false">MAX(BL190+(BL190-BK190)*(S192^2/O192^2-1),0)</f>
        <v>#DIV/0!</v>
      </c>
      <c r="BO190" s="530" t="n">
        <f aca="false">CHOOSE(Underlying,AI190,AL190)</f>
        <v>20</v>
      </c>
      <c r="BP190" s="529" t="n">
        <f aca="false">CHOOSE(Underlying,AJ190,AM190)</f>
        <v>14</v>
      </c>
      <c r="BQ190" s="529" t="n">
        <f aca="false">CHOOSE(Underlying,AK190,AN190)</f>
        <v>6</v>
      </c>
      <c r="BR190" s="463" t="str">
        <f aca="false">IF(BD190,IF(Underlying=1,X190,Z190)+UnderlyingPriceAsian-SwapPriceCurve,"")</f>
        <v/>
      </c>
      <c r="BS190" s="463" t="str">
        <f aca="false">IF(BD190,Strike1/BR190-1,"")</f>
        <v/>
      </c>
      <c r="BT190" s="464" t="str">
        <f aca="false">IF(BD190,Strike2/BR190-1,"")</f>
        <v/>
      </c>
      <c r="BU190" s="465" t="str">
        <f aca="false">IF(BD190,IF(Underlying=1,L191,R191)+UnderlyingPriceAsian-SwapPriceCurve,"")</f>
        <v/>
      </c>
      <c r="BV190" s="465" t="str">
        <f aca="false">IF(BD190,IF(Underlying=1,L192,R192)+UnderlyingPriceAsian-SwapPriceCurve,"")</f>
        <v/>
      </c>
      <c r="BW190" s="466" t="str">
        <f aca="false">IF(BD190,IF(Underlying=1,O191,AT191),"")</f>
        <v/>
      </c>
      <c r="BX190" s="467" t="str">
        <f aca="false">IF(BD190,IF(Underlying=1,O192,AT192),"")</f>
        <v/>
      </c>
      <c r="BY190" s="466" t="str">
        <f aca="false">IF(BD190,IF(BS190&gt;0,IF(BS190&gt;0.2,BC190-BB190,IF(BS190&gt;0.1,BB190-BA190,BA190)),IF(BS190&lt;-0.2,AX190-AY190,IF(BS190&lt;-0.1,AY190-AZ190,AZ190))),"")</f>
        <v/>
      </c>
      <c r="BZ190" s="467" t="str">
        <f aca="false">IF(BD190,IF(BT190&gt;0,IF(BT190&gt;0.2,BC190-BB190,IF(BT190&gt;0.1,BB190-BA190,BA190)),IF(BT190&lt;-0.2,AX190-AY190,IF(BT190&lt;-0.1,AY190-AZ190,AZ190))),"")</f>
        <v/>
      </c>
      <c r="CA190" s="468" t="str">
        <f aca="false">IF($BD190,$BW190+IF(VolSkewFlag=1,IF(BS190&gt;0,$BA190*MIN(BS190/10%,1)+($BB190-$BA190)*MAX(0,MIN(BS190/10%-1,1))+($BC190-$BB190)*MAX(0,BS190/10%-2),$AZ190*MIN(-BS190/10%,1)+($AY190-$AZ190)*MAX(0,MIN(-BS190/10%-1,1))+($AX190-$AY190)*MAX(0,-BS190/10%-2)),0),"")</f>
        <v/>
      </c>
      <c r="CB190" s="468" t="str">
        <f aca="false">IF($BD190,$BX190+IF(VolSkewFlag=1,IF(BS190&gt;0,$BA190*MIN(BS190/10%,1)+($BB190-$BA190)*MAX(0,MIN(BS190/10%-1,1))+($BC190-$BB190)*MAX(0,BS190/10%-2),$AZ190*MIN(-BS190/10%,1)+($AY190-$AZ190)*MAX(0,MIN(-BS190/10%-1,1))+($AX190-$AY190)*MAX(0,-BS190/10%-2)),0),"")</f>
        <v/>
      </c>
      <c r="CC190" s="468" t="str">
        <f aca="false">IF($BD190,$BW190+IF(VolSkewFlag=1,IF(BT190&gt;0,$BA190*MIN(BT190/10%,1)+($BB190-$BA190)*MAX(0,MIN(BT190/10%-1,1))+($BC190-$BB190)*MAX(0,BT190/10%-2),$AZ190*MIN(-BT190/10%,1)+($AY190-$AZ190)*MAX(0,MIN(-BT190/10%-1,1))+($AX190-$AY190)*MAX(0,-BT190/10%-2)),0),"")</f>
        <v/>
      </c>
      <c r="CD190" s="468" t="str">
        <f aca="false">IF($BD190,$BX190+IF(VolSkewFlag=1,IF(BT190&gt;0,$BA190*MIN(BT190/10%,1)+($BB190-$BA190)*MAX(0,MIN(BT190/10%-1,1))+($BC190-$BB190)*MAX(0,BT190/10%-2),$AZ190*MIN(-BT190/10%,1)+($AY190-$AZ190)*MAX(0,MIN(-BT190/10%-1,1))+($AX190-$AY190)*MAX(0,-BT190/10%-2)),0),"")</f>
        <v/>
      </c>
      <c r="CE190" s="469" t="n">
        <v>1</v>
      </c>
      <c r="CF190" s="470" t="n">
        <f aca="false">IF(BD190,xCrudeAPO(BU190,BV190,CA190,CB190,S191,S192,BI190,BL190,BP190,BQ190,0,Strike1,AO190,CE190,0,BL190,IF(OptControl=4,0,1),0,1),0)</f>
        <v>0</v>
      </c>
      <c r="CG190" s="470" t="n">
        <f aca="false">IF(BD190,xCrudeAPO(BU190,BV190,CA190,CB190,S191,S192,BI190,BL190,BP190,BQ190,0,Strike1,AO190,CE190,0,BL190,IF(OptControl=4,0,1),1,1)+xCrudeAPO(BU190,BV190,CA190,CB190,S191,S192,BI190,BL190,BP190,BQ190,0,Strike1,AO190,CE190,0,BL190,IF(OptControl=4,0,1),1,2)+IF(OR(VolSkewFlag=2,ABS(BS190)&lt;0.0001),0,IF(BS190&gt;0,-1,1)*CH190*Strike1/BR190^2*BY190/10%),0)</f>
        <v>0</v>
      </c>
      <c r="CH190" s="470" t="n">
        <f aca="false">IF(BD190,(xCrudeAPO(BU190,BV190,CA190,CB190,S191,S192,BI190,BL190,BP190,BQ190,0,Strike1,AO190,CE190,0,BL190,IF(OptControl=4,0,1),3,1)+xCrudeAPO(BU190,BV190,CA190,CB190,S191,S192,BI190,BL190,BP190,BQ190,0,Strike1,AO190,CE190,0,BL190,IF(OptControl=4,0,1),3,2))/100,0)</f>
        <v>0</v>
      </c>
      <c r="CI190" s="470" t="n">
        <f aca="false">IF(BD190,xCrudeAPO(BU190,BV190,CA190,CB190,S191,S192,BI190-DaysForThetaCalculation/365.25,BL190-DaysForThetaCalculation/365.25,BP190,BQ190,0,Strike1,AO190,CE190,0,BL190,IF(OptControl=4,0,1),0,1)-xCrudeAPO(BU190,BV190,CA190,CB190,S191,S192,BI190,BL190,BP190,BQ190,0,Strike1,AO190,CE190,0,BL190,IF(OptControl=4,0,1),0,1),0)</f>
        <v>0</v>
      </c>
      <c r="CJ190" s="471" t="n">
        <f aca="false">IF(BD190,xCrudeAPO(BU190,BV190,CC190,CD190,S191,S192,BI190,BL190,BP190,BQ190,0,Strike2,AO190,CE190,0,BL190,IF(OptControl=3,1,0),0,1),0)</f>
        <v>0</v>
      </c>
      <c r="CK190" s="470" t="n">
        <f aca="false">IF(BD190,xCrudeAPO(BU190,BV190,CC190,CD190,S191,S192,BI190,BL190,BP190,BQ190,0,Strike2,AO190,CE190,0,BL190,IF(OptControl=3,1,0),1,1)+xCrudeAPO(BU190,BV190,CC190,CD190,S191,S192,BI190,BL190,BP190,BQ190,0,Strike2,AO190,CE190,0,BL190,IF(OptControl=3,1,0),1,2)+IF(OR(VolSkewFlag=2,ABS(BT190)&lt;0.0001),0,IF(BT190&gt;0,-1,1)*CL190*Strike2/BR190^2*BZ190/10%),0)</f>
        <v>0</v>
      </c>
      <c r="CL190" s="470" t="n">
        <f aca="false">IF(BD190,(xCrudeAPO(BU190,BV190,CC190,CD190,S191,S192,BI190,BL190,BP190,BQ190,0,Strike2,AO190,CE190,0,BL190,IF(OptControl=3,1,0),3,1)+xCrudeAPO(BU190,BV190,CC190,CD190,S191,S192,BI190,BL190,BP190,BQ190,0,Strike2,AO190,CE190,0,BL190,IF(OptControl=3,1,0),3,2))/100,0)</f>
        <v>0</v>
      </c>
      <c r="CM190" s="472" t="n">
        <f aca="false">IF(BD190,xCrudeAPO(BU190,BV190,CC190,CD190,S191,S192,BI190-DaysForThetaCalculation/365.25,BL190-DaysForThetaCalculation/365.25,BP190,BQ190,0,Strike2,AO190,CE190,0,BL190,IF(OptControl=3,1,0),0,1)-xCrudeAPO(BU190,BV190,CC190,CD190,S191,S192,BI190,BL190,BP190,BQ190,0,Strike2,AO190,CE190,0,BL190,IF(OptControl=3,1,0),0,1),0)</f>
        <v>0</v>
      </c>
      <c r="CN190" s="3"/>
      <c r="CO190" s="543" t="str">
        <f aca="false">IF(BD190,CHOOSE(Underlying,AD190,AF190)-DateToday+1,"")</f>
        <v/>
      </c>
      <c r="CP190" s="582" t="str">
        <f aca="false">IF(BD190,CHOOSE(Underlying,L190,R190),"")</f>
        <v/>
      </c>
      <c r="CQ190" s="544" t="str">
        <f aca="false">IF(BD190,Strike1/CP190-1,"")</f>
        <v/>
      </c>
      <c r="CR190" s="544" t="str">
        <f aca="false">IF(BD190,Strike2/CP190-1,"")</f>
        <v/>
      </c>
      <c r="CS190" s="544" t="str">
        <f aca="false">IF(BD190,IF(CQ190&gt;0,IF(CQ190&gt;0.2,BC189-BB189,IF(CQ190&gt;0.1,BB189-BA189,BA189)),IF(CQ190&lt;-0.2,AX189-AY189,IF(CQ190&lt;-0.1,AY189-AZ189,AZ189))),"")</f>
        <v/>
      </c>
      <c r="CT190" s="544" t="str">
        <f aca="false">IF(BD190,IF(CR190&gt;0,IF(CR190&gt;0.2,BC189-BB189,IF(CR190&gt;0.1,BB189-BA189,BA189)),IF(CR190&lt;-0.2,AX189-AY189,IF(CR190&lt;-0.1,AY189-AZ189,AZ189))),"")</f>
        <v/>
      </c>
      <c r="CU190" s="545" t="str">
        <f aca="false">IF(BD190,CHOOSE(Underlying,O190,AT190),"")</f>
        <v/>
      </c>
      <c r="CV190" s="545" t="str">
        <f aca="false">IF(BD190,CU190+IF(VolSkewFlag=1,IF(CQ190&gt;0,BA189*MIN(CQ190/10%,1)+(BB189-BA189)*MAX(0,MIN(CQ190/10%-1,1))+(BC189-BB189)*MAX(0,CQ190/10%-2),AZ189*MIN(-CQ190/10%,1)+(AY189-AZ189)*MAX(0,MIN(-CQ190/10%-1,1))+(AX189-AY189)*MAX(0,-CQ190/10%-2)),0),"")</f>
        <v/>
      </c>
      <c r="CW190" s="545" t="str">
        <f aca="false">IF(BD190,CU190+IF(VolSkewFlag=1,IF(CR190&gt;0,BA189*MIN(CR190/10%,1)+(BB189-BA189)*MAX(0,MIN(CR190/10%-1,1))+(BC189-BB189)*MAX(0,CR190/10%-2),AZ189*MIN(-CR190/10%,1)+(AY189-AZ189)*MAX(0,MIN(-CR190/10%-1,1))+(AX189-AY189)*MAX(0,-CR190/10%-2)),0),"")</f>
        <v/>
      </c>
      <c r="CX190" s="470" t="n">
        <f aca="false">IF(BD190,EURO(CP190,Strike1,AO190,AO190,CV190,CO190,IF(OptControl=4,0,1),0),0)</f>
        <v>0</v>
      </c>
      <c r="CY190" s="470" t="n">
        <f aca="false">IF(BD190,EURO(CP190,Strike1,AO190,AO190,CV190,CO190,IF(OptControl=4,0,1),1)+IF(OR(VolSkewFlag=2,ABS(CQ190)&lt;0.0001),0,IF(CQ190&gt;0,-1,1)*CZ190*100*Strike1/CP190^2*CS190/10%),0)</f>
        <v>0</v>
      </c>
      <c r="CZ190" s="470" t="n">
        <f aca="false">IF(BD190,EURO(CP190,Strike1,AO190,AO190,CV190,CO190,IF(OptControl=4,0,1),3)/100,0)</f>
        <v>0</v>
      </c>
      <c r="DA190" s="470" t="n">
        <f aca="false">IF(BD190,EURO(CP190,Strike1,AO190,AO190,CV190,CO190,IF(OptControl=4,0,1),0)-EURO(CP190,Strike1,AO190,AO190,CV190,CO190-1,IF(OptControl=4,0,1),0),0)</f>
        <v>0</v>
      </c>
      <c r="DB190" s="470" t="n">
        <f aca="false">IF(BD190,EURO(CP190,Strike2,AO190,AO190,CW190,CO190,IF(OptControl=3,1,0),0),0)</f>
        <v>0</v>
      </c>
      <c r="DC190" s="470" t="n">
        <f aca="false">IF(BD190,EURO(CP190,Strike2,AO190,AO190,CW190,CO190,IF(OptControl=3,1,0),1)+IF(OR(VolSkewFlag=2,ABS(CR190)&lt;0.0001),0,IF(CR190&gt;0,-1,1)*DD190*100*Strike2/CP190^2*CT190/10%),0)</f>
        <v>0</v>
      </c>
      <c r="DD190" s="470" t="n">
        <f aca="false">IF(BD190,EURO(CP190,Strike2,AO190,AO190,CW190,CO190,IF(OptControl=3,1,0),3)/100,0)</f>
        <v>0</v>
      </c>
      <c r="DE190" s="472" t="n">
        <f aca="false">IF(BD190,EURO(CP190,Strike2,AO190,AO190,CW190,CO190,IF(OptControl=3,1,0),0)-EURO(CP190,Strike2,AO190,AO190,CW190,CO190-1,IF(OptControl=3,1,0),0),0)</f>
        <v>0</v>
      </c>
      <c r="DG190" s="481" t="n">
        <f aca="false">EOMONTH(DG189,0)+1</f>
        <v>50861</v>
      </c>
      <c r="DH190" s="478" t="n">
        <v>22.6600000000001</v>
      </c>
      <c r="DI190" s="479" t="n">
        <v>22.7281818181819</v>
      </c>
      <c r="DJ190" s="480" t="n">
        <f aca="false">DG190</f>
        <v>50861</v>
      </c>
      <c r="DK190" s="478" t="n">
        <v>21.4653824911156</v>
      </c>
      <c r="DL190" s="479" t="n">
        <v>21.4366818181819</v>
      </c>
      <c r="DM190" s="481" t="n">
        <f aca="false">DG190</f>
        <v>50861</v>
      </c>
      <c r="DN190" s="482" t="n">
        <f aca="false">DK190+BrentPhyBrentSpread</f>
        <v>21.5153824911156</v>
      </c>
      <c r="DO190" s="481" t="n">
        <f aca="false">DG190</f>
        <v>50861</v>
      </c>
      <c r="DP190" s="483" t="n">
        <f aca="false">DL190+DQ190</f>
        <v>21.4366818181819</v>
      </c>
      <c r="DQ190" s="546" t="n">
        <v>0</v>
      </c>
      <c r="DR190" s="480" t="n">
        <f aca="false">DG190</f>
        <v>50861</v>
      </c>
      <c r="DS190" s="485" t="n">
        <v>0.122599999999998</v>
      </c>
      <c r="DT190" s="486" t="n">
        <v>0.121781818181816</v>
      </c>
      <c r="DU190" s="480" t="n">
        <f aca="false">DG190</f>
        <v>50861</v>
      </c>
      <c r="DV190" s="485" t="n">
        <v>0.122599999999998</v>
      </c>
      <c r="DW190" s="486" t="n">
        <v>0.121781818181816</v>
      </c>
      <c r="DX190" s="481" t="n">
        <f aca="false">DG190</f>
        <v>50861</v>
      </c>
      <c r="DY190" s="486" t="n">
        <v>0.35</v>
      </c>
      <c r="DZ190" s="481" t="n">
        <f aca="false">DR190</f>
        <v>50861</v>
      </c>
      <c r="EA190" s="486" t="n">
        <f aca="false">DT190</f>
        <v>0.121781818181816</v>
      </c>
      <c r="EB190" s="195"/>
      <c r="EC190" s="547" t="str">
        <f aca="false">IF(BD190,IF(Underlying=1,AS190,AU190),"")</f>
        <v/>
      </c>
      <c r="ED190" s="548" t="str">
        <f aca="false">IF($BD190,$EC190+IF(VolSkewFlag=1,IF(BS190&gt;0,$BA190*MIN(BS190/10%,1)+($BB190-$BA190)*MAX(0,MIN(BS190/10%-1,1))+($BC190-$BB190)*MAX(0,BS190/10%-2),$AZ190*MIN(-BS190/10%,1)+($AY190-$AZ190)*MAX(0,MIN(-BS190/10%-1,1))+($AX190-$AY190)*MAX(0,-BS190/10%-2)),0),"")</f>
        <v/>
      </c>
      <c r="EE190" s="549" t="str">
        <f aca="false">IF($BD190,$EC190+IF(VolSkewFlag=1,IF(BT190&gt;0,$BA190*MIN(BT190/10%,1)+($BB190-$BA190)*MAX(0,MIN(BT190/10%-1,1))+($BC190-$BB190)*MAX(0,BT190/10%-2),$AZ190*MIN(-BT190/10%,1)+($AY190-$AZ190)*MAX(0,MIN(-BT190/10%-1,1))+($AX190-$AY190)*MAX(0,-BT190/10%-2)),0),"")</f>
        <v/>
      </c>
      <c r="EF190" s="550" t="n">
        <f aca="false">IF(BD190,xASN(BR190,Strike1,AO190,ED190,0,BO190,0,BI190,BL190,IF(OptControl=4,0,1),0),0)</f>
        <v>0</v>
      </c>
      <c r="EG190" s="551" t="n">
        <f aca="false">IF(BD190,xASN(BR190,Strike2,AO190,EE190,0,BO190,0,BI190,BL190,IF(OptControl=3,1,0),0),0)</f>
        <v>0</v>
      </c>
      <c r="EL190" s="1"/>
      <c r="EM190" s="195"/>
      <c r="EN190" s="240"/>
      <c r="EO190" s="240"/>
      <c r="EP190" s="195"/>
      <c r="EQ190" s="407" t="s">
        <v>418</v>
      </c>
      <c r="ES190" s="130"/>
      <c r="ET190" s="19"/>
      <c r="EU190" s="672"/>
      <c r="EV190" s="478"/>
      <c r="EW190" s="131"/>
      <c r="EX190" s="131"/>
      <c r="EY190" s="129"/>
      <c r="EZ190" s="129"/>
      <c r="FA190" s="129"/>
      <c r="FB190" s="129"/>
      <c r="FC190" s="129"/>
      <c r="FD190" s="129"/>
      <c r="FE190" s="129"/>
      <c r="FF190" s="129"/>
      <c r="FG190" s="129"/>
      <c r="FH190" s="129"/>
      <c r="FI190" s="129"/>
      <c r="FJ190" s="571" t="n">
        <v>21</v>
      </c>
      <c r="FK190" s="150" t="str">
        <f aca="false">IF(OR(FK$169&lt;SwaptionFirstMonthPosition+1,$FJ190&lt;SwaptionFirstMonthPosition+1,FK$169&gt;SwaptionFirstMonthPosition+SwaptionNumOfMonths+1,$FJ190&gt;SwaptionFirstMonthPosition+SwaptionNumOfMonths+1),"",IF($FJ190=FK$169,1,IF($FJ190&lt;FK$169,INDEX($FK$170:$ID$241,FK$169,$FJ190),SUMPRODUCT(INDEX($FK$325:$ID$396,FK$169,1+SwaptionShift):INDEX($FK$325:$ID$396,FK$169,SwaptionMonthsToGo+SwaptionShift),INDEX($FK$245:$ID$316,$FJ190-FK$169,73-FK$169+SwaptionShift):INDEX($FK$245:$ID$316,$FJ190-FK$169,72-FK$169+SwaptionMonthsToGo+SwaptionShift))/SQRT(SUM(INDEX($FK345:$ID345,1+SwaptionShift):INDEX($FK345:$ID345,SwaptionMonthsToGo+SwaptionShift))*SUM(INDEX($FK$325:$ID$396,FK$169,1+SwaptionShift):INDEX($FK$325:$ID$396,FK$169,SwaptionMonthsToGo+SwaptionShift))))))</f>
        <v/>
      </c>
      <c r="FL190" s="150" t="str">
        <f aca="false">IF(OR(FL$169&lt;SwaptionFirstMonthPosition+1,$FJ190&lt;SwaptionFirstMonthPosition+1,FL$169&gt;SwaptionFirstMonthPosition+SwaptionNumOfMonths+1,$FJ190&gt;SwaptionFirstMonthPosition+SwaptionNumOfMonths+1),"",IF($FJ190=FL$169,1,IF($FJ190&lt;FL$169,INDEX($FK$170:$ID$241,FL$169,$FJ190),SUMPRODUCT(INDEX($FK$325:$ID$396,FL$169,1+SwaptionShift):INDEX($FK$325:$ID$396,FL$169,SwaptionMonthsToGo+SwaptionShift),INDEX($FK$245:$ID$316,$FJ190-FL$169,73-FL$169+SwaptionShift):INDEX($FK$245:$ID$316,$FJ190-FL$169,72-FL$169+SwaptionMonthsToGo+SwaptionShift))/SQRT(SUM(INDEX($FK345:$ID345,1+SwaptionShift):INDEX($FK345:$ID345,SwaptionMonthsToGo+SwaptionShift))*SUM(INDEX($FK$325:$ID$396,FL$169,1+SwaptionShift):INDEX($FK$325:$ID$396,FL$169,SwaptionMonthsToGo+SwaptionShift))))))</f>
        <v/>
      </c>
      <c r="FM190" s="150" t="str">
        <f aca="false">IF(OR(FM$169&lt;SwaptionFirstMonthPosition+1,$FJ190&lt;SwaptionFirstMonthPosition+1,FM$169&gt;SwaptionFirstMonthPosition+SwaptionNumOfMonths+1,$FJ190&gt;SwaptionFirstMonthPosition+SwaptionNumOfMonths+1),"",IF($FJ190=FM$169,1,IF($FJ190&lt;FM$169,INDEX($FK$170:$ID$241,FM$169,$FJ190),SUMPRODUCT(INDEX($FK$325:$ID$396,FM$169,1+SwaptionShift):INDEX($FK$325:$ID$396,FM$169,SwaptionMonthsToGo+SwaptionShift),INDEX($FK$245:$ID$316,$FJ190-FM$169,73-FM$169+SwaptionShift):INDEX($FK$245:$ID$316,$FJ190-FM$169,72-FM$169+SwaptionMonthsToGo+SwaptionShift))/SQRT(SUM(INDEX($FK345:$ID345,1+SwaptionShift):INDEX($FK345:$ID345,SwaptionMonthsToGo+SwaptionShift))*SUM(INDEX($FK$325:$ID$396,FM$169,1+SwaptionShift):INDEX($FK$325:$ID$396,FM$169,SwaptionMonthsToGo+SwaptionShift))))))</f>
        <v/>
      </c>
      <c r="FN190" s="150" t="str">
        <f aca="false">IF(OR(FN$169&lt;SwaptionFirstMonthPosition+1,$FJ190&lt;SwaptionFirstMonthPosition+1,FN$169&gt;SwaptionFirstMonthPosition+SwaptionNumOfMonths+1,$FJ190&gt;SwaptionFirstMonthPosition+SwaptionNumOfMonths+1),"",IF($FJ190=FN$169,1,IF($FJ190&lt;FN$169,INDEX($FK$170:$ID$241,FN$169,$FJ190),SUMPRODUCT(INDEX($FK$325:$ID$396,FN$169,1+SwaptionShift):INDEX($FK$325:$ID$396,FN$169,SwaptionMonthsToGo+SwaptionShift),INDEX($FK$245:$ID$316,$FJ190-FN$169,73-FN$169+SwaptionShift):INDEX($FK$245:$ID$316,$FJ190-FN$169,72-FN$169+SwaptionMonthsToGo+SwaptionShift))/SQRT(SUM(INDEX($FK345:$ID345,1+SwaptionShift):INDEX($FK345:$ID345,SwaptionMonthsToGo+SwaptionShift))*SUM(INDEX($FK$325:$ID$396,FN$169,1+SwaptionShift):INDEX($FK$325:$ID$396,FN$169,SwaptionMonthsToGo+SwaptionShift))))))</f>
        <v/>
      </c>
      <c r="FO190" s="150" t="str">
        <f aca="false">IF(OR(FO$169&lt;SwaptionFirstMonthPosition+1,$FJ190&lt;SwaptionFirstMonthPosition+1,FO$169&gt;SwaptionFirstMonthPosition+SwaptionNumOfMonths+1,$FJ190&gt;SwaptionFirstMonthPosition+SwaptionNumOfMonths+1),"",IF($FJ190=FO$169,1,IF($FJ190&lt;FO$169,INDEX($FK$170:$ID$241,FO$169,$FJ190),SUMPRODUCT(INDEX($FK$325:$ID$396,FO$169,1+SwaptionShift):INDEX($FK$325:$ID$396,FO$169,SwaptionMonthsToGo+SwaptionShift),INDEX($FK$245:$ID$316,$FJ190-FO$169,73-FO$169+SwaptionShift):INDEX($FK$245:$ID$316,$FJ190-FO$169,72-FO$169+SwaptionMonthsToGo+SwaptionShift))/SQRT(SUM(INDEX($FK345:$ID345,1+SwaptionShift):INDEX($FK345:$ID345,SwaptionMonthsToGo+SwaptionShift))*SUM(INDEX($FK$325:$ID$396,FO$169,1+SwaptionShift):INDEX($FK$325:$ID$396,FO$169,SwaptionMonthsToGo+SwaptionShift))))))</f>
        <v/>
      </c>
      <c r="FP190" s="150" t="str">
        <f aca="false">IF(OR(FP$169&lt;SwaptionFirstMonthPosition+1,$FJ190&lt;SwaptionFirstMonthPosition+1,FP$169&gt;SwaptionFirstMonthPosition+SwaptionNumOfMonths+1,$FJ190&gt;SwaptionFirstMonthPosition+SwaptionNumOfMonths+1),"",IF($FJ190=FP$169,1,IF($FJ190&lt;FP$169,INDEX($FK$170:$ID$241,FP$169,$FJ190),SUMPRODUCT(INDEX($FK$325:$ID$396,FP$169,1+SwaptionShift):INDEX($FK$325:$ID$396,FP$169,SwaptionMonthsToGo+SwaptionShift),INDEX($FK$245:$ID$316,$FJ190-FP$169,73-FP$169+SwaptionShift):INDEX($FK$245:$ID$316,$FJ190-FP$169,72-FP$169+SwaptionMonthsToGo+SwaptionShift))/SQRT(SUM(INDEX($FK345:$ID345,1+SwaptionShift):INDEX($FK345:$ID345,SwaptionMonthsToGo+SwaptionShift))*SUM(INDEX($FK$325:$ID$396,FP$169,1+SwaptionShift):INDEX($FK$325:$ID$396,FP$169,SwaptionMonthsToGo+SwaptionShift))))))</f>
        <v/>
      </c>
      <c r="FQ190" s="150" t="str">
        <f aca="false">IF(OR(FQ$169&lt;SwaptionFirstMonthPosition+1,$FJ190&lt;SwaptionFirstMonthPosition+1,FQ$169&gt;SwaptionFirstMonthPosition+SwaptionNumOfMonths+1,$FJ190&gt;SwaptionFirstMonthPosition+SwaptionNumOfMonths+1),"",IF($FJ190=FQ$169,1,IF($FJ190&lt;FQ$169,INDEX($FK$170:$ID$241,FQ$169,$FJ190),SUMPRODUCT(INDEX($FK$325:$ID$396,FQ$169,1+SwaptionShift):INDEX($FK$325:$ID$396,FQ$169,SwaptionMonthsToGo+SwaptionShift),INDEX($FK$245:$ID$316,$FJ190-FQ$169,73-FQ$169+SwaptionShift):INDEX($FK$245:$ID$316,$FJ190-FQ$169,72-FQ$169+SwaptionMonthsToGo+SwaptionShift))/SQRT(SUM(INDEX($FK345:$ID345,1+SwaptionShift):INDEX($FK345:$ID345,SwaptionMonthsToGo+SwaptionShift))*SUM(INDEX($FK$325:$ID$396,FQ$169,1+SwaptionShift):INDEX($FK$325:$ID$396,FQ$169,SwaptionMonthsToGo+SwaptionShift))))))</f>
        <v/>
      </c>
      <c r="FR190" s="150" t="str">
        <f aca="false">IF(OR(FR$169&lt;SwaptionFirstMonthPosition+1,$FJ190&lt;SwaptionFirstMonthPosition+1,FR$169&gt;SwaptionFirstMonthPosition+SwaptionNumOfMonths+1,$FJ190&gt;SwaptionFirstMonthPosition+SwaptionNumOfMonths+1),"",IF($FJ190=FR$169,1,IF($FJ190&lt;FR$169,INDEX($FK$170:$ID$241,FR$169,$FJ190),SUMPRODUCT(INDEX($FK$325:$ID$396,FR$169,1+SwaptionShift):INDEX($FK$325:$ID$396,FR$169,SwaptionMonthsToGo+SwaptionShift),INDEX($FK$245:$ID$316,$FJ190-FR$169,73-FR$169+SwaptionShift):INDEX($FK$245:$ID$316,$FJ190-FR$169,72-FR$169+SwaptionMonthsToGo+SwaptionShift))/SQRT(SUM(INDEX($FK345:$ID345,1+SwaptionShift):INDEX($FK345:$ID345,SwaptionMonthsToGo+SwaptionShift))*SUM(INDEX($FK$325:$ID$396,FR$169,1+SwaptionShift):INDEX($FK$325:$ID$396,FR$169,SwaptionMonthsToGo+SwaptionShift))))))</f>
        <v/>
      </c>
      <c r="FS190" s="150" t="str">
        <f aca="false">IF(OR(FS$169&lt;SwaptionFirstMonthPosition+1,$FJ190&lt;SwaptionFirstMonthPosition+1,FS$169&gt;SwaptionFirstMonthPosition+SwaptionNumOfMonths+1,$FJ190&gt;SwaptionFirstMonthPosition+SwaptionNumOfMonths+1),"",IF($FJ190=FS$169,1,IF($FJ190&lt;FS$169,INDEX($FK$170:$ID$241,FS$169,$FJ190),SUMPRODUCT(INDEX($FK$325:$ID$396,FS$169,1+SwaptionShift):INDEX($FK$325:$ID$396,FS$169,SwaptionMonthsToGo+SwaptionShift),INDEX($FK$245:$ID$316,$FJ190-FS$169,73-FS$169+SwaptionShift):INDEX($FK$245:$ID$316,$FJ190-FS$169,72-FS$169+SwaptionMonthsToGo+SwaptionShift))/SQRT(SUM(INDEX($FK345:$ID345,1+SwaptionShift):INDEX($FK345:$ID345,SwaptionMonthsToGo+SwaptionShift))*SUM(INDEX($FK$325:$ID$396,FS$169,1+SwaptionShift):INDEX($FK$325:$ID$396,FS$169,SwaptionMonthsToGo+SwaptionShift))))))</f>
        <v/>
      </c>
      <c r="FT190" s="150" t="str">
        <f aca="false">IF(OR(FT$169&lt;SwaptionFirstMonthPosition+1,$FJ190&lt;SwaptionFirstMonthPosition+1,FT$169&gt;SwaptionFirstMonthPosition+SwaptionNumOfMonths+1,$FJ190&gt;SwaptionFirstMonthPosition+SwaptionNumOfMonths+1),"",IF($FJ190=FT$169,1,IF($FJ190&lt;FT$169,INDEX($FK$170:$ID$241,FT$169,$FJ190),SUMPRODUCT(INDEX($FK$325:$ID$396,FT$169,1+SwaptionShift):INDEX($FK$325:$ID$396,FT$169,SwaptionMonthsToGo+SwaptionShift),INDEX($FK$245:$ID$316,$FJ190-FT$169,73-FT$169+SwaptionShift):INDEX($FK$245:$ID$316,$FJ190-FT$169,72-FT$169+SwaptionMonthsToGo+SwaptionShift))/SQRT(SUM(INDEX($FK345:$ID345,1+SwaptionShift):INDEX($FK345:$ID345,SwaptionMonthsToGo+SwaptionShift))*SUM(INDEX($FK$325:$ID$396,FT$169,1+SwaptionShift):INDEX($FK$325:$ID$396,FT$169,SwaptionMonthsToGo+SwaptionShift))))))</f>
        <v/>
      </c>
      <c r="FU190" s="150" t="str">
        <f aca="false">IF(OR(FU$169&lt;SwaptionFirstMonthPosition+1,$FJ190&lt;SwaptionFirstMonthPosition+1,FU$169&gt;SwaptionFirstMonthPosition+SwaptionNumOfMonths+1,$FJ190&gt;SwaptionFirstMonthPosition+SwaptionNumOfMonths+1),"",IF($FJ190=FU$169,1,IF($FJ190&lt;FU$169,INDEX($FK$170:$ID$241,FU$169,$FJ190),SUMPRODUCT(INDEX($FK$325:$ID$396,FU$169,1+SwaptionShift):INDEX($FK$325:$ID$396,FU$169,SwaptionMonthsToGo+SwaptionShift),INDEX($FK$245:$ID$316,$FJ190-FU$169,73-FU$169+SwaptionShift):INDEX($FK$245:$ID$316,$FJ190-FU$169,72-FU$169+SwaptionMonthsToGo+SwaptionShift))/SQRT(SUM(INDEX($FK345:$ID345,1+SwaptionShift):INDEX($FK345:$ID345,SwaptionMonthsToGo+SwaptionShift))*SUM(INDEX($FK$325:$ID$396,FU$169,1+SwaptionShift):INDEX($FK$325:$ID$396,FU$169,SwaptionMonthsToGo+SwaptionShift))))))</f>
        <v/>
      </c>
      <c r="FV190" s="150" t="str">
        <f aca="false">IF(OR(FV$169&lt;SwaptionFirstMonthPosition+1,$FJ190&lt;SwaptionFirstMonthPosition+1,FV$169&gt;SwaptionFirstMonthPosition+SwaptionNumOfMonths+1,$FJ190&gt;SwaptionFirstMonthPosition+SwaptionNumOfMonths+1),"",IF($FJ190=FV$169,1,IF($FJ190&lt;FV$169,INDEX($FK$170:$ID$241,FV$169,$FJ190),SUMPRODUCT(INDEX($FK$325:$ID$396,FV$169,1+SwaptionShift):INDEX($FK$325:$ID$396,FV$169,SwaptionMonthsToGo+SwaptionShift),INDEX($FK$245:$ID$316,$FJ190-FV$169,73-FV$169+SwaptionShift):INDEX($FK$245:$ID$316,$FJ190-FV$169,72-FV$169+SwaptionMonthsToGo+SwaptionShift))/SQRT(SUM(INDEX($FK345:$ID345,1+SwaptionShift):INDEX($FK345:$ID345,SwaptionMonthsToGo+SwaptionShift))*SUM(INDEX($FK$325:$ID$396,FV$169,1+SwaptionShift):INDEX($FK$325:$ID$396,FV$169,SwaptionMonthsToGo+SwaptionShift))))))</f>
        <v/>
      </c>
      <c r="FW190" s="150" t="str">
        <f aca="false">IF(OR(FW$169&lt;SwaptionFirstMonthPosition+1,$FJ190&lt;SwaptionFirstMonthPosition+1,FW$169&gt;SwaptionFirstMonthPosition+SwaptionNumOfMonths+1,$FJ190&gt;SwaptionFirstMonthPosition+SwaptionNumOfMonths+1),"",IF($FJ190=FW$169,1,IF($FJ190&lt;FW$169,INDEX($FK$170:$ID$241,FW$169,$FJ190),SUMPRODUCT(INDEX($FK$325:$ID$396,FW$169,1+SwaptionShift):INDEX($FK$325:$ID$396,FW$169,SwaptionMonthsToGo+SwaptionShift),INDEX($FK$245:$ID$316,$FJ190-FW$169,73-FW$169+SwaptionShift):INDEX($FK$245:$ID$316,$FJ190-FW$169,72-FW$169+SwaptionMonthsToGo+SwaptionShift))/SQRT(SUM(INDEX($FK345:$ID345,1+SwaptionShift):INDEX($FK345:$ID345,SwaptionMonthsToGo+SwaptionShift))*SUM(INDEX($FK$325:$ID$396,FW$169,1+SwaptionShift):INDEX($FK$325:$ID$396,FW$169,SwaptionMonthsToGo+SwaptionShift))))))</f>
        <v/>
      </c>
      <c r="FX190" s="150" t="str">
        <f aca="false">IF(OR(FX$169&lt;SwaptionFirstMonthPosition+1,$FJ190&lt;SwaptionFirstMonthPosition+1,FX$169&gt;SwaptionFirstMonthPosition+SwaptionNumOfMonths+1,$FJ190&gt;SwaptionFirstMonthPosition+SwaptionNumOfMonths+1),"",IF($FJ190=FX$169,1,IF($FJ190&lt;FX$169,INDEX($FK$170:$ID$241,FX$169,$FJ190),SUMPRODUCT(INDEX($FK$325:$ID$396,FX$169,1+SwaptionShift):INDEX($FK$325:$ID$396,FX$169,SwaptionMonthsToGo+SwaptionShift),INDEX($FK$245:$ID$316,$FJ190-FX$169,73-FX$169+SwaptionShift):INDEX($FK$245:$ID$316,$FJ190-FX$169,72-FX$169+SwaptionMonthsToGo+SwaptionShift))/SQRT(SUM(INDEX($FK345:$ID345,1+SwaptionShift):INDEX($FK345:$ID345,SwaptionMonthsToGo+SwaptionShift))*SUM(INDEX($FK$325:$ID$396,FX$169,1+SwaptionShift):INDEX($FK$325:$ID$396,FX$169,SwaptionMonthsToGo+SwaptionShift))))))</f>
        <v/>
      </c>
      <c r="FY190" s="150" t="str">
        <f aca="false">IF(OR(FY$169&lt;SwaptionFirstMonthPosition+1,$FJ190&lt;SwaptionFirstMonthPosition+1,FY$169&gt;SwaptionFirstMonthPosition+SwaptionNumOfMonths+1,$FJ190&gt;SwaptionFirstMonthPosition+SwaptionNumOfMonths+1),"",IF($FJ190=FY$169,1,IF($FJ190&lt;FY$169,INDEX($FK$170:$ID$241,FY$169,$FJ190),SUMPRODUCT(INDEX($FK$325:$ID$396,FY$169,1+SwaptionShift):INDEX($FK$325:$ID$396,FY$169,SwaptionMonthsToGo+SwaptionShift),INDEX($FK$245:$ID$316,$FJ190-FY$169,73-FY$169+SwaptionShift):INDEX($FK$245:$ID$316,$FJ190-FY$169,72-FY$169+SwaptionMonthsToGo+SwaptionShift))/SQRT(SUM(INDEX($FK345:$ID345,1+SwaptionShift):INDEX($FK345:$ID345,SwaptionMonthsToGo+SwaptionShift))*SUM(INDEX($FK$325:$ID$396,FY$169,1+SwaptionShift):INDEX($FK$325:$ID$396,FY$169,SwaptionMonthsToGo+SwaptionShift))))))</f>
        <v/>
      </c>
      <c r="FZ190" s="150" t="str">
        <f aca="false">IF(OR(FZ$169&lt;SwaptionFirstMonthPosition+1,$FJ190&lt;SwaptionFirstMonthPosition+1,FZ$169&gt;SwaptionFirstMonthPosition+SwaptionNumOfMonths+1,$FJ190&gt;SwaptionFirstMonthPosition+SwaptionNumOfMonths+1),"",IF($FJ190=FZ$169,1,IF($FJ190&lt;FZ$169,INDEX($FK$170:$ID$241,FZ$169,$FJ190),SUMPRODUCT(INDEX($FK$325:$ID$396,FZ$169,1+SwaptionShift):INDEX($FK$325:$ID$396,FZ$169,SwaptionMonthsToGo+SwaptionShift),INDEX($FK$245:$ID$316,$FJ190-FZ$169,73-FZ$169+SwaptionShift):INDEX($FK$245:$ID$316,$FJ190-FZ$169,72-FZ$169+SwaptionMonthsToGo+SwaptionShift))/SQRT(SUM(INDEX($FK345:$ID345,1+SwaptionShift):INDEX($FK345:$ID345,SwaptionMonthsToGo+SwaptionShift))*SUM(INDEX($FK$325:$ID$396,FZ$169,1+SwaptionShift):INDEX($FK$325:$ID$396,FZ$169,SwaptionMonthsToGo+SwaptionShift))))))</f>
        <v/>
      </c>
      <c r="GA190" s="150" t="str">
        <f aca="false">IF(OR(GA$169&lt;SwaptionFirstMonthPosition+1,$FJ190&lt;SwaptionFirstMonthPosition+1,GA$169&gt;SwaptionFirstMonthPosition+SwaptionNumOfMonths+1,$FJ190&gt;SwaptionFirstMonthPosition+SwaptionNumOfMonths+1),"",IF($FJ190=GA$169,1,IF($FJ190&lt;GA$169,INDEX($FK$170:$ID$241,GA$169,$FJ190),SUMPRODUCT(INDEX($FK$325:$ID$396,GA$169,1+SwaptionShift):INDEX($FK$325:$ID$396,GA$169,SwaptionMonthsToGo+SwaptionShift),INDEX($FK$245:$ID$316,$FJ190-GA$169,73-GA$169+SwaptionShift):INDEX($FK$245:$ID$316,$FJ190-GA$169,72-GA$169+SwaptionMonthsToGo+SwaptionShift))/SQRT(SUM(INDEX($FK345:$ID345,1+SwaptionShift):INDEX($FK345:$ID345,SwaptionMonthsToGo+SwaptionShift))*SUM(INDEX($FK$325:$ID$396,GA$169,1+SwaptionShift):INDEX($FK$325:$ID$396,GA$169,SwaptionMonthsToGo+SwaptionShift))))))</f>
        <v/>
      </c>
      <c r="GB190" s="150" t="str">
        <f aca="false">IF(OR(GB$169&lt;SwaptionFirstMonthPosition+1,$FJ190&lt;SwaptionFirstMonthPosition+1,GB$169&gt;SwaptionFirstMonthPosition+SwaptionNumOfMonths+1,$FJ190&gt;SwaptionFirstMonthPosition+SwaptionNumOfMonths+1),"",IF($FJ190=GB$169,1,IF($FJ190&lt;GB$169,INDEX($FK$170:$ID$241,GB$169,$FJ190),SUMPRODUCT(INDEX($FK$325:$ID$396,GB$169,1+SwaptionShift):INDEX($FK$325:$ID$396,GB$169,SwaptionMonthsToGo+SwaptionShift),INDEX($FK$245:$ID$316,$FJ190-GB$169,73-GB$169+SwaptionShift):INDEX($FK$245:$ID$316,$FJ190-GB$169,72-GB$169+SwaptionMonthsToGo+SwaptionShift))/SQRT(SUM(INDEX($FK345:$ID345,1+SwaptionShift):INDEX($FK345:$ID345,SwaptionMonthsToGo+SwaptionShift))*SUM(INDEX($FK$325:$ID$396,GB$169,1+SwaptionShift):INDEX($FK$325:$ID$396,GB$169,SwaptionMonthsToGo+SwaptionShift))))))</f>
        <v/>
      </c>
      <c r="GC190" s="150" t="str">
        <f aca="false">IF(OR(GC$169&lt;SwaptionFirstMonthPosition+1,$FJ190&lt;SwaptionFirstMonthPosition+1,GC$169&gt;SwaptionFirstMonthPosition+SwaptionNumOfMonths+1,$FJ190&gt;SwaptionFirstMonthPosition+SwaptionNumOfMonths+1),"",IF($FJ190=GC$169,1,IF($FJ190&lt;GC$169,INDEX($FK$170:$ID$241,GC$169,$FJ190),SUMPRODUCT(INDEX($FK$325:$ID$396,GC$169,1+SwaptionShift):INDEX($FK$325:$ID$396,GC$169,SwaptionMonthsToGo+SwaptionShift),INDEX($FK$245:$ID$316,$FJ190-GC$169,73-GC$169+SwaptionShift):INDEX($FK$245:$ID$316,$FJ190-GC$169,72-GC$169+SwaptionMonthsToGo+SwaptionShift))/SQRT(SUM(INDEX($FK345:$ID345,1+SwaptionShift):INDEX($FK345:$ID345,SwaptionMonthsToGo+SwaptionShift))*SUM(INDEX($FK$325:$ID$396,GC$169,1+SwaptionShift):INDEX($FK$325:$ID$396,GC$169,SwaptionMonthsToGo+SwaptionShift))))))</f>
        <v/>
      </c>
      <c r="GD190" s="150" t="str">
        <f aca="false">IF(OR(GD$169&lt;SwaptionFirstMonthPosition+1,$FJ190&lt;SwaptionFirstMonthPosition+1,GD$169&gt;SwaptionFirstMonthPosition+SwaptionNumOfMonths+1,$FJ190&gt;SwaptionFirstMonthPosition+SwaptionNumOfMonths+1),"",IF($FJ190=GD$169,1,IF($FJ190&lt;GD$169,INDEX($FK$170:$ID$241,GD$169,$FJ190),SUMPRODUCT(INDEX($FK$325:$ID$396,GD$169,1+SwaptionShift):INDEX($FK$325:$ID$396,GD$169,SwaptionMonthsToGo+SwaptionShift),INDEX($FK$245:$ID$316,$FJ190-GD$169,73-GD$169+SwaptionShift):INDEX($FK$245:$ID$316,$FJ190-GD$169,72-GD$169+SwaptionMonthsToGo+SwaptionShift))/SQRT(SUM(INDEX($FK345:$ID345,1+SwaptionShift):INDEX($FK345:$ID345,SwaptionMonthsToGo+SwaptionShift))*SUM(INDEX($FK$325:$ID$396,GD$169,1+SwaptionShift):INDEX($FK$325:$ID$396,GD$169,SwaptionMonthsToGo+SwaptionShift))))))</f>
        <v/>
      </c>
      <c r="GE190" s="150" t="str">
        <f aca="false">IF(OR(GE$169&lt;SwaptionFirstMonthPosition+1,$FJ190&lt;SwaptionFirstMonthPosition+1,GE$169&gt;SwaptionFirstMonthPosition+SwaptionNumOfMonths+1,$FJ190&gt;SwaptionFirstMonthPosition+SwaptionNumOfMonths+1),"",IF($FJ190=GE$169,1,IF($FJ190&lt;GE$169,INDEX($FK$170:$ID$241,GE$169,$FJ190),SUMPRODUCT(INDEX($FK$325:$ID$396,GE$169,1+SwaptionShift):INDEX($FK$325:$ID$396,GE$169,SwaptionMonthsToGo+SwaptionShift),INDEX($FK$245:$ID$316,$FJ190-GE$169,73-GE$169+SwaptionShift):INDEX($FK$245:$ID$316,$FJ190-GE$169,72-GE$169+SwaptionMonthsToGo+SwaptionShift))/SQRT(SUM(INDEX($FK345:$ID345,1+SwaptionShift):INDEX($FK345:$ID345,SwaptionMonthsToGo+SwaptionShift))*SUM(INDEX($FK$325:$ID$396,GE$169,1+SwaptionShift):INDEX($FK$325:$ID$396,GE$169,SwaptionMonthsToGo+SwaptionShift))))))</f>
        <v/>
      </c>
      <c r="GF190" s="150" t="str">
        <f aca="false">IF(OR(GF$169&lt;SwaptionFirstMonthPosition+1,$FJ190&lt;SwaptionFirstMonthPosition+1,GF$169&gt;SwaptionFirstMonthPosition+SwaptionNumOfMonths+1,$FJ190&gt;SwaptionFirstMonthPosition+SwaptionNumOfMonths+1),"",IF($FJ190=GF$169,1,IF($FJ190&lt;GF$169,INDEX($FK$170:$ID$241,GF$169,$FJ190),SUMPRODUCT(INDEX($FK$325:$ID$396,GF$169,1+SwaptionShift):INDEX($FK$325:$ID$396,GF$169,SwaptionMonthsToGo+SwaptionShift),INDEX($FK$245:$ID$316,$FJ190-GF$169,73-GF$169+SwaptionShift):INDEX($FK$245:$ID$316,$FJ190-GF$169,72-GF$169+SwaptionMonthsToGo+SwaptionShift))/SQRT(SUM(INDEX($FK345:$ID345,1+SwaptionShift):INDEX($FK345:$ID345,SwaptionMonthsToGo+SwaptionShift))*SUM(INDEX($FK$325:$ID$396,GF$169,1+SwaptionShift):INDEX($FK$325:$ID$396,GF$169,SwaptionMonthsToGo+SwaptionShift))))))</f>
        <v/>
      </c>
      <c r="GG190" s="150" t="str">
        <f aca="false">IF(OR(GG$169&lt;SwaptionFirstMonthPosition+1,$FJ190&lt;SwaptionFirstMonthPosition+1,GG$169&gt;SwaptionFirstMonthPosition+SwaptionNumOfMonths+1,$FJ190&gt;SwaptionFirstMonthPosition+SwaptionNumOfMonths+1),"",IF($FJ190=GG$169,1,IF($FJ190&lt;GG$169,INDEX($FK$170:$ID$241,GG$169,$FJ190),SUMPRODUCT(INDEX($FK$325:$ID$396,GG$169,1+SwaptionShift):INDEX($FK$325:$ID$396,GG$169,SwaptionMonthsToGo+SwaptionShift),INDEX($FK$245:$ID$316,$FJ190-GG$169,73-GG$169+SwaptionShift):INDEX($FK$245:$ID$316,$FJ190-GG$169,72-GG$169+SwaptionMonthsToGo+SwaptionShift))/SQRT(SUM(INDEX($FK345:$ID345,1+SwaptionShift):INDEX($FK345:$ID345,SwaptionMonthsToGo+SwaptionShift))*SUM(INDEX($FK$325:$ID$396,GG$169,1+SwaptionShift):INDEX($FK$325:$ID$396,GG$169,SwaptionMonthsToGo+SwaptionShift))))))</f>
        <v/>
      </c>
      <c r="GH190" s="150" t="str">
        <f aca="false">IF(OR(GH$169&lt;SwaptionFirstMonthPosition+1,$FJ190&lt;SwaptionFirstMonthPosition+1,GH$169&gt;SwaptionFirstMonthPosition+SwaptionNumOfMonths+1,$FJ190&gt;SwaptionFirstMonthPosition+SwaptionNumOfMonths+1),"",IF($FJ190=GH$169,1,IF($FJ190&lt;GH$169,INDEX($FK$170:$ID$241,GH$169,$FJ190),SUMPRODUCT(INDEX($FK$325:$ID$396,GH$169,1+SwaptionShift):INDEX($FK$325:$ID$396,GH$169,SwaptionMonthsToGo+SwaptionShift),INDEX($FK$245:$ID$316,$FJ190-GH$169,73-GH$169+SwaptionShift):INDEX($FK$245:$ID$316,$FJ190-GH$169,72-GH$169+SwaptionMonthsToGo+SwaptionShift))/SQRT(SUM(INDEX($FK345:$ID345,1+SwaptionShift):INDEX($FK345:$ID345,SwaptionMonthsToGo+SwaptionShift))*SUM(INDEX($FK$325:$ID$396,GH$169,1+SwaptionShift):INDEX($FK$325:$ID$396,GH$169,SwaptionMonthsToGo+SwaptionShift))))))</f>
        <v/>
      </c>
      <c r="GI190" s="150" t="str">
        <f aca="false">IF(OR(GI$169&lt;SwaptionFirstMonthPosition+1,$FJ190&lt;SwaptionFirstMonthPosition+1,GI$169&gt;SwaptionFirstMonthPosition+SwaptionNumOfMonths+1,$FJ190&gt;SwaptionFirstMonthPosition+SwaptionNumOfMonths+1),"",IF($FJ190=GI$169,1,IF($FJ190&lt;GI$169,INDEX($FK$170:$ID$241,GI$169,$FJ190),SUMPRODUCT(INDEX($FK$325:$ID$396,GI$169,1+SwaptionShift):INDEX($FK$325:$ID$396,GI$169,SwaptionMonthsToGo+SwaptionShift),INDEX($FK$245:$ID$316,$FJ190-GI$169,73-GI$169+SwaptionShift):INDEX($FK$245:$ID$316,$FJ190-GI$169,72-GI$169+SwaptionMonthsToGo+SwaptionShift))/SQRT(SUM(INDEX($FK345:$ID345,1+SwaptionShift):INDEX($FK345:$ID345,SwaptionMonthsToGo+SwaptionShift))*SUM(INDEX($FK$325:$ID$396,GI$169,1+SwaptionShift):INDEX($FK$325:$ID$396,GI$169,SwaptionMonthsToGo+SwaptionShift))))))</f>
        <v/>
      </c>
      <c r="GJ190" s="150" t="str">
        <f aca="false">IF(OR(GJ$169&lt;SwaptionFirstMonthPosition+1,$FJ190&lt;SwaptionFirstMonthPosition+1,GJ$169&gt;SwaptionFirstMonthPosition+SwaptionNumOfMonths+1,$FJ190&gt;SwaptionFirstMonthPosition+SwaptionNumOfMonths+1),"",IF($FJ190=GJ$169,1,IF($FJ190&lt;GJ$169,INDEX($FK$170:$ID$241,GJ$169,$FJ190),SUMPRODUCT(INDEX($FK$325:$ID$396,GJ$169,1+SwaptionShift):INDEX($FK$325:$ID$396,GJ$169,SwaptionMonthsToGo+SwaptionShift),INDEX($FK$245:$ID$316,$FJ190-GJ$169,73-GJ$169+SwaptionShift):INDEX($FK$245:$ID$316,$FJ190-GJ$169,72-GJ$169+SwaptionMonthsToGo+SwaptionShift))/SQRT(SUM(INDEX($FK345:$ID345,1+SwaptionShift):INDEX($FK345:$ID345,SwaptionMonthsToGo+SwaptionShift))*SUM(INDEX($FK$325:$ID$396,GJ$169,1+SwaptionShift):INDEX($FK$325:$ID$396,GJ$169,SwaptionMonthsToGo+SwaptionShift))))))</f>
        <v/>
      </c>
      <c r="GK190" s="150" t="str">
        <f aca="false">IF(OR(GK$169&lt;SwaptionFirstMonthPosition+1,$FJ190&lt;SwaptionFirstMonthPosition+1,GK$169&gt;SwaptionFirstMonthPosition+SwaptionNumOfMonths+1,$FJ190&gt;SwaptionFirstMonthPosition+SwaptionNumOfMonths+1),"",IF($FJ190=GK$169,1,IF($FJ190&lt;GK$169,INDEX($FK$170:$ID$241,GK$169,$FJ190),SUMPRODUCT(INDEX($FK$325:$ID$396,GK$169,1+SwaptionShift):INDEX($FK$325:$ID$396,GK$169,SwaptionMonthsToGo+SwaptionShift),INDEX($FK$245:$ID$316,$FJ190-GK$169,73-GK$169+SwaptionShift):INDEX($FK$245:$ID$316,$FJ190-GK$169,72-GK$169+SwaptionMonthsToGo+SwaptionShift))/SQRT(SUM(INDEX($FK345:$ID345,1+SwaptionShift):INDEX($FK345:$ID345,SwaptionMonthsToGo+SwaptionShift))*SUM(INDEX($FK$325:$ID$396,GK$169,1+SwaptionShift):INDEX($FK$325:$ID$396,GK$169,SwaptionMonthsToGo+SwaptionShift))))))</f>
        <v/>
      </c>
      <c r="GL190" s="150" t="str">
        <f aca="false">IF(OR(GL$169&lt;SwaptionFirstMonthPosition+1,$FJ190&lt;SwaptionFirstMonthPosition+1,GL$169&gt;SwaptionFirstMonthPosition+SwaptionNumOfMonths+1,$FJ190&gt;SwaptionFirstMonthPosition+SwaptionNumOfMonths+1),"",IF($FJ190=GL$169,1,IF($FJ190&lt;GL$169,INDEX($FK$170:$ID$241,GL$169,$FJ190),SUMPRODUCT(INDEX($FK$325:$ID$396,GL$169,1+SwaptionShift):INDEX($FK$325:$ID$396,GL$169,SwaptionMonthsToGo+SwaptionShift),INDEX($FK$245:$ID$316,$FJ190-GL$169,73-GL$169+SwaptionShift):INDEX($FK$245:$ID$316,$FJ190-GL$169,72-GL$169+SwaptionMonthsToGo+SwaptionShift))/SQRT(SUM(INDEX($FK345:$ID345,1+SwaptionShift):INDEX($FK345:$ID345,SwaptionMonthsToGo+SwaptionShift))*SUM(INDEX($FK$325:$ID$396,GL$169,1+SwaptionShift):INDEX($FK$325:$ID$396,GL$169,SwaptionMonthsToGo+SwaptionShift))))))</f>
        <v/>
      </c>
      <c r="GM190" s="150" t="str">
        <f aca="false">IF(OR(GM$169&lt;SwaptionFirstMonthPosition+1,$FJ190&lt;SwaptionFirstMonthPosition+1,GM$169&gt;SwaptionFirstMonthPosition+SwaptionNumOfMonths+1,$FJ190&gt;SwaptionFirstMonthPosition+SwaptionNumOfMonths+1),"",IF($FJ190=GM$169,1,IF($FJ190&lt;GM$169,INDEX($FK$170:$ID$241,GM$169,$FJ190),SUMPRODUCT(INDEX($FK$325:$ID$396,GM$169,1+SwaptionShift):INDEX($FK$325:$ID$396,GM$169,SwaptionMonthsToGo+SwaptionShift),INDEX($FK$245:$ID$316,$FJ190-GM$169,73-GM$169+SwaptionShift):INDEX($FK$245:$ID$316,$FJ190-GM$169,72-GM$169+SwaptionMonthsToGo+SwaptionShift))/SQRT(SUM(INDEX($FK345:$ID345,1+SwaptionShift):INDEX($FK345:$ID345,SwaptionMonthsToGo+SwaptionShift))*SUM(INDEX($FK$325:$ID$396,GM$169,1+SwaptionShift):INDEX($FK$325:$ID$396,GM$169,SwaptionMonthsToGo+SwaptionShift))))))</f>
        <v/>
      </c>
      <c r="GN190" s="150" t="str">
        <f aca="false">IF(OR(GN$169&lt;SwaptionFirstMonthPosition+1,$FJ190&lt;SwaptionFirstMonthPosition+1,GN$169&gt;SwaptionFirstMonthPosition+SwaptionNumOfMonths+1,$FJ190&gt;SwaptionFirstMonthPosition+SwaptionNumOfMonths+1),"",IF($FJ190=GN$169,1,IF($FJ190&lt;GN$169,INDEX($FK$170:$ID$241,GN$169,$FJ190),SUMPRODUCT(INDEX($FK$325:$ID$396,GN$169,1+SwaptionShift):INDEX($FK$325:$ID$396,GN$169,SwaptionMonthsToGo+SwaptionShift),INDEX($FK$245:$ID$316,$FJ190-GN$169,73-GN$169+SwaptionShift):INDEX($FK$245:$ID$316,$FJ190-GN$169,72-GN$169+SwaptionMonthsToGo+SwaptionShift))/SQRT(SUM(INDEX($FK345:$ID345,1+SwaptionShift):INDEX($FK345:$ID345,SwaptionMonthsToGo+SwaptionShift))*SUM(INDEX($FK$325:$ID$396,GN$169,1+SwaptionShift):INDEX($FK$325:$ID$396,GN$169,SwaptionMonthsToGo+SwaptionShift))))))</f>
        <v/>
      </c>
      <c r="GO190" s="150" t="str">
        <f aca="false">IF(OR(GO$169&lt;SwaptionFirstMonthPosition+1,$FJ190&lt;SwaptionFirstMonthPosition+1,GO$169&gt;SwaptionFirstMonthPosition+SwaptionNumOfMonths+1,$FJ190&gt;SwaptionFirstMonthPosition+SwaptionNumOfMonths+1),"",IF($FJ190=GO$169,1,IF($FJ190&lt;GO$169,INDEX($FK$170:$ID$241,GO$169,$FJ190),SUMPRODUCT(INDEX($FK$325:$ID$396,GO$169,1+SwaptionShift):INDEX($FK$325:$ID$396,GO$169,SwaptionMonthsToGo+SwaptionShift),INDEX($FK$245:$ID$316,$FJ190-GO$169,73-GO$169+SwaptionShift):INDEX($FK$245:$ID$316,$FJ190-GO$169,72-GO$169+SwaptionMonthsToGo+SwaptionShift))/SQRT(SUM(INDEX($FK345:$ID345,1+SwaptionShift):INDEX($FK345:$ID345,SwaptionMonthsToGo+SwaptionShift))*SUM(INDEX($FK$325:$ID$396,GO$169,1+SwaptionShift):INDEX($FK$325:$ID$396,GO$169,SwaptionMonthsToGo+SwaptionShift))))))</f>
        <v/>
      </c>
      <c r="GP190" s="150" t="str">
        <f aca="false">IF(OR(GP$169&lt;SwaptionFirstMonthPosition+1,$FJ190&lt;SwaptionFirstMonthPosition+1,GP$169&gt;SwaptionFirstMonthPosition+SwaptionNumOfMonths+1,$FJ190&gt;SwaptionFirstMonthPosition+SwaptionNumOfMonths+1),"",IF($FJ190=GP$169,1,IF($FJ190&lt;GP$169,INDEX($FK$170:$ID$241,GP$169,$FJ190),SUMPRODUCT(INDEX($FK$325:$ID$396,GP$169,1+SwaptionShift):INDEX($FK$325:$ID$396,GP$169,SwaptionMonthsToGo+SwaptionShift),INDEX($FK$245:$ID$316,$FJ190-GP$169,73-GP$169+SwaptionShift):INDEX($FK$245:$ID$316,$FJ190-GP$169,72-GP$169+SwaptionMonthsToGo+SwaptionShift))/SQRT(SUM(INDEX($FK345:$ID345,1+SwaptionShift):INDEX($FK345:$ID345,SwaptionMonthsToGo+SwaptionShift))*SUM(INDEX($FK$325:$ID$396,GP$169,1+SwaptionShift):INDEX($FK$325:$ID$396,GP$169,SwaptionMonthsToGo+SwaptionShift))))))</f>
        <v/>
      </c>
      <c r="GQ190" s="150" t="str">
        <f aca="false">IF(OR(GQ$169&lt;SwaptionFirstMonthPosition+1,$FJ190&lt;SwaptionFirstMonthPosition+1,GQ$169&gt;SwaptionFirstMonthPosition+SwaptionNumOfMonths+1,$FJ190&gt;SwaptionFirstMonthPosition+SwaptionNumOfMonths+1),"",IF($FJ190=GQ$169,1,IF($FJ190&lt;GQ$169,INDEX($FK$170:$ID$241,GQ$169,$FJ190),SUMPRODUCT(INDEX($FK$325:$ID$396,GQ$169,1+SwaptionShift):INDEX($FK$325:$ID$396,GQ$169,SwaptionMonthsToGo+SwaptionShift),INDEX($FK$245:$ID$316,$FJ190-GQ$169,73-GQ$169+SwaptionShift):INDEX($FK$245:$ID$316,$FJ190-GQ$169,72-GQ$169+SwaptionMonthsToGo+SwaptionShift))/SQRT(SUM(INDEX($FK345:$ID345,1+SwaptionShift):INDEX($FK345:$ID345,SwaptionMonthsToGo+SwaptionShift))*SUM(INDEX($FK$325:$ID$396,GQ$169,1+SwaptionShift):INDEX($FK$325:$ID$396,GQ$169,SwaptionMonthsToGo+SwaptionShift))))))</f>
        <v/>
      </c>
      <c r="GR190" s="150" t="str">
        <f aca="false">IF(OR(GR$169&lt;SwaptionFirstMonthPosition+1,$FJ190&lt;SwaptionFirstMonthPosition+1,GR$169&gt;SwaptionFirstMonthPosition+SwaptionNumOfMonths+1,$FJ190&gt;SwaptionFirstMonthPosition+SwaptionNumOfMonths+1),"",IF($FJ190=GR$169,1,IF($FJ190&lt;GR$169,INDEX($FK$170:$ID$241,GR$169,$FJ190),SUMPRODUCT(INDEX($FK$325:$ID$396,GR$169,1+SwaptionShift):INDEX($FK$325:$ID$396,GR$169,SwaptionMonthsToGo+SwaptionShift),INDEX($FK$245:$ID$316,$FJ190-GR$169,73-GR$169+SwaptionShift):INDEX($FK$245:$ID$316,$FJ190-GR$169,72-GR$169+SwaptionMonthsToGo+SwaptionShift))/SQRT(SUM(INDEX($FK345:$ID345,1+SwaptionShift):INDEX($FK345:$ID345,SwaptionMonthsToGo+SwaptionShift))*SUM(INDEX($FK$325:$ID$396,GR$169,1+SwaptionShift):INDEX($FK$325:$ID$396,GR$169,SwaptionMonthsToGo+SwaptionShift))))))</f>
        <v/>
      </c>
      <c r="GS190" s="150" t="str">
        <f aca="false">IF(OR(GS$169&lt;SwaptionFirstMonthPosition+1,$FJ190&lt;SwaptionFirstMonthPosition+1,GS$169&gt;SwaptionFirstMonthPosition+SwaptionNumOfMonths+1,$FJ190&gt;SwaptionFirstMonthPosition+SwaptionNumOfMonths+1),"",IF($FJ190=GS$169,1,IF($FJ190&lt;GS$169,INDEX($FK$170:$ID$241,GS$169,$FJ190),SUMPRODUCT(INDEX($FK$325:$ID$396,GS$169,1+SwaptionShift):INDEX($FK$325:$ID$396,GS$169,SwaptionMonthsToGo+SwaptionShift),INDEX($FK$245:$ID$316,$FJ190-GS$169,73-GS$169+SwaptionShift):INDEX($FK$245:$ID$316,$FJ190-GS$169,72-GS$169+SwaptionMonthsToGo+SwaptionShift))/SQRT(SUM(INDEX($FK345:$ID345,1+SwaptionShift):INDEX($FK345:$ID345,SwaptionMonthsToGo+SwaptionShift))*SUM(INDEX($FK$325:$ID$396,GS$169,1+SwaptionShift):INDEX($FK$325:$ID$396,GS$169,SwaptionMonthsToGo+SwaptionShift))))))</f>
        <v/>
      </c>
      <c r="GT190" s="150" t="str">
        <f aca="false">IF(OR(GT$169&lt;SwaptionFirstMonthPosition+1,$FJ190&lt;SwaptionFirstMonthPosition+1,GT$169&gt;SwaptionFirstMonthPosition+SwaptionNumOfMonths+1,$FJ190&gt;SwaptionFirstMonthPosition+SwaptionNumOfMonths+1),"",IF($FJ190=GT$169,1,IF($FJ190&lt;GT$169,INDEX($FK$170:$ID$241,GT$169,$FJ190),SUMPRODUCT(INDEX($FK$325:$ID$396,GT$169,1+SwaptionShift):INDEX($FK$325:$ID$396,GT$169,SwaptionMonthsToGo+SwaptionShift),INDEX($FK$245:$ID$316,$FJ190-GT$169,73-GT$169+SwaptionShift):INDEX($FK$245:$ID$316,$FJ190-GT$169,72-GT$169+SwaptionMonthsToGo+SwaptionShift))/SQRT(SUM(INDEX($FK345:$ID345,1+SwaptionShift):INDEX($FK345:$ID345,SwaptionMonthsToGo+SwaptionShift))*SUM(INDEX($FK$325:$ID$396,GT$169,1+SwaptionShift):INDEX($FK$325:$ID$396,GT$169,SwaptionMonthsToGo+SwaptionShift))))))</f>
        <v/>
      </c>
      <c r="GU190" s="150" t="str">
        <f aca="false">IF(OR(GU$169&lt;SwaptionFirstMonthPosition+1,$FJ190&lt;SwaptionFirstMonthPosition+1,GU$169&gt;SwaptionFirstMonthPosition+SwaptionNumOfMonths+1,$FJ190&gt;SwaptionFirstMonthPosition+SwaptionNumOfMonths+1),"",IF($FJ190=GU$169,1,IF($FJ190&lt;GU$169,INDEX($FK$170:$ID$241,GU$169,$FJ190),SUMPRODUCT(INDEX($FK$325:$ID$396,GU$169,1+SwaptionShift):INDEX($FK$325:$ID$396,GU$169,SwaptionMonthsToGo+SwaptionShift),INDEX($FK$245:$ID$316,$FJ190-GU$169,73-GU$169+SwaptionShift):INDEX($FK$245:$ID$316,$FJ190-GU$169,72-GU$169+SwaptionMonthsToGo+SwaptionShift))/SQRT(SUM(INDEX($FK345:$ID345,1+SwaptionShift):INDEX($FK345:$ID345,SwaptionMonthsToGo+SwaptionShift))*SUM(INDEX($FK$325:$ID$396,GU$169,1+SwaptionShift):INDEX($FK$325:$ID$396,GU$169,SwaptionMonthsToGo+SwaptionShift))))))</f>
        <v/>
      </c>
      <c r="GV190" s="150" t="str">
        <f aca="false">IF(OR(GV$169&lt;SwaptionFirstMonthPosition+1,$FJ190&lt;SwaptionFirstMonthPosition+1,GV$169&gt;SwaptionFirstMonthPosition+SwaptionNumOfMonths+1,$FJ190&gt;SwaptionFirstMonthPosition+SwaptionNumOfMonths+1),"",IF($FJ190=GV$169,1,IF($FJ190&lt;GV$169,INDEX($FK$170:$ID$241,GV$169,$FJ190),SUMPRODUCT(INDEX($FK$325:$ID$396,GV$169,1+SwaptionShift):INDEX($FK$325:$ID$396,GV$169,SwaptionMonthsToGo+SwaptionShift),INDEX($FK$245:$ID$316,$FJ190-GV$169,73-GV$169+SwaptionShift):INDEX($FK$245:$ID$316,$FJ190-GV$169,72-GV$169+SwaptionMonthsToGo+SwaptionShift))/SQRT(SUM(INDEX($FK345:$ID345,1+SwaptionShift):INDEX($FK345:$ID345,SwaptionMonthsToGo+SwaptionShift))*SUM(INDEX($FK$325:$ID$396,GV$169,1+SwaptionShift):INDEX($FK$325:$ID$396,GV$169,SwaptionMonthsToGo+SwaptionShift))))))</f>
        <v/>
      </c>
      <c r="GW190" s="150" t="str">
        <f aca="false">IF(OR(GW$169&lt;SwaptionFirstMonthPosition+1,$FJ190&lt;SwaptionFirstMonthPosition+1,GW$169&gt;SwaptionFirstMonthPosition+SwaptionNumOfMonths+1,$FJ190&gt;SwaptionFirstMonthPosition+SwaptionNumOfMonths+1),"",IF($FJ190=GW$169,1,IF($FJ190&lt;GW$169,INDEX($FK$170:$ID$241,GW$169,$FJ190),SUMPRODUCT(INDEX($FK$325:$ID$396,GW$169,1+SwaptionShift):INDEX($FK$325:$ID$396,GW$169,SwaptionMonthsToGo+SwaptionShift),INDEX($FK$245:$ID$316,$FJ190-GW$169,73-GW$169+SwaptionShift):INDEX($FK$245:$ID$316,$FJ190-GW$169,72-GW$169+SwaptionMonthsToGo+SwaptionShift))/SQRT(SUM(INDEX($FK345:$ID345,1+SwaptionShift):INDEX($FK345:$ID345,SwaptionMonthsToGo+SwaptionShift))*SUM(INDEX($FK$325:$ID$396,GW$169,1+SwaptionShift):INDEX($FK$325:$ID$396,GW$169,SwaptionMonthsToGo+SwaptionShift))))))</f>
        <v/>
      </c>
      <c r="GX190" s="150" t="str">
        <f aca="false">IF(OR(GX$169&lt;SwaptionFirstMonthPosition+1,$FJ190&lt;SwaptionFirstMonthPosition+1,GX$169&gt;SwaptionFirstMonthPosition+SwaptionNumOfMonths+1,$FJ190&gt;SwaptionFirstMonthPosition+SwaptionNumOfMonths+1),"",IF($FJ190=GX$169,1,IF($FJ190&lt;GX$169,INDEX($FK$170:$ID$241,GX$169,$FJ190),SUMPRODUCT(INDEX($FK$325:$ID$396,GX$169,1+SwaptionShift):INDEX($FK$325:$ID$396,GX$169,SwaptionMonthsToGo+SwaptionShift),INDEX($FK$245:$ID$316,$FJ190-GX$169,73-GX$169+SwaptionShift):INDEX($FK$245:$ID$316,$FJ190-GX$169,72-GX$169+SwaptionMonthsToGo+SwaptionShift))/SQRT(SUM(INDEX($FK345:$ID345,1+SwaptionShift):INDEX($FK345:$ID345,SwaptionMonthsToGo+SwaptionShift))*SUM(INDEX($FK$325:$ID$396,GX$169,1+SwaptionShift):INDEX($FK$325:$ID$396,GX$169,SwaptionMonthsToGo+SwaptionShift))))))</f>
        <v/>
      </c>
      <c r="GY190" s="150" t="str">
        <f aca="false">IF(OR(GY$169&lt;SwaptionFirstMonthPosition+1,$FJ190&lt;SwaptionFirstMonthPosition+1,GY$169&gt;SwaptionFirstMonthPosition+SwaptionNumOfMonths+1,$FJ190&gt;SwaptionFirstMonthPosition+SwaptionNumOfMonths+1),"",IF($FJ190=GY$169,1,IF($FJ190&lt;GY$169,INDEX($FK$170:$ID$241,GY$169,$FJ190),SUMPRODUCT(INDEX($FK$325:$ID$396,GY$169,1+SwaptionShift):INDEX($FK$325:$ID$396,GY$169,SwaptionMonthsToGo+SwaptionShift),INDEX($FK$245:$ID$316,$FJ190-GY$169,73-GY$169+SwaptionShift):INDEX($FK$245:$ID$316,$FJ190-GY$169,72-GY$169+SwaptionMonthsToGo+SwaptionShift))/SQRT(SUM(INDEX($FK345:$ID345,1+SwaptionShift):INDEX($FK345:$ID345,SwaptionMonthsToGo+SwaptionShift))*SUM(INDEX($FK$325:$ID$396,GY$169,1+SwaptionShift):INDEX($FK$325:$ID$396,GY$169,SwaptionMonthsToGo+SwaptionShift))))))</f>
        <v/>
      </c>
      <c r="GZ190" s="150" t="str">
        <f aca="false">IF(OR(GZ$169&lt;SwaptionFirstMonthPosition+1,$FJ190&lt;SwaptionFirstMonthPosition+1,GZ$169&gt;SwaptionFirstMonthPosition+SwaptionNumOfMonths+1,$FJ190&gt;SwaptionFirstMonthPosition+SwaptionNumOfMonths+1),"",IF($FJ190=GZ$169,1,IF($FJ190&lt;GZ$169,INDEX($FK$170:$ID$241,GZ$169,$FJ190),SUMPRODUCT(INDEX($FK$325:$ID$396,GZ$169,1+SwaptionShift):INDEX($FK$325:$ID$396,GZ$169,SwaptionMonthsToGo+SwaptionShift),INDEX($FK$245:$ID$316,$FJ190-GZ$169,73-GZ$169+SwaptionShift):INDEX($FK$245:$ID$316,$FJ190-GZ$169,72-GZ$169+SwaptionMonthsToGo+SwaptionShift))/SQRT(SUM(INDEX($FK345:$ID345,1+SwaptionShift):INDEX($FK345:$ID345,SwaptionMonthsToGo+SwaptionShift))*SUM(INDEX($FK$325:$ID$396,GZ$169,1+SwaptionShift):INDEX($FK$325:$ID$396,GZ$169,SwaptionMonthsToGo+SwaptionShift))))))</f>
        <v/>
      </c>
      <c r="HA190" s="150" t="str">
        <f aca="false">IF(OR(HA$169&lt;SwaptionFirstMonthPosition+1,$FJ190&lt;SwaptionFirstMonthPosition+1,HA$169&gt;SwaptionFirstMonthPosition+SwaptionNumOfMonths+1,$FJ190&gt;SwaptionFirstMonthPosition+SwaptionNumOfMonths+1),"",IF($FJ190=HA$169,1,IF($FJ190&lt;HA$169,INDEX($FK$170:$ID$241,HA$169,$FJ190),SUMPRODUCT(INDEX($FK$325:$ID$396,HA$169,1+SwaptionShift):INDEX($FK$325:$ID$396,HA$169,SwaptionMonthsToGo+SwaptionShift),INDEX($FK$245:$ID$316,$FJ190-HA$169,73-HA$169+SwaptionShift):INDEX($FK$245:$ID$316,$FJ190-HA$169,72-HA$169+SwaptionMonthsToGo+SwaptionShift))/SQRT(SUM(INDEX($FK345:$ID345,1+SwaptionShift):INDEX($FK345:$ID345,SwaptionMonthsToGo+SwaptionShift))*SUM(INDEX($FK$325:$ID$396,HA$169,1+SwaptionShift):INDEX($FK$325:$ID$396,HA$169,SwaptionMonthsToGo+SwaptionShift))))))</f>
        <v/>
      </c>
      <c r="HB190" s="150" t="str">
        <f aca="false">IF(OR(HB$169&lt;SwaptionFirstMonthPosition+1,$FJ190&lt;SwaptionFirstMonthPosition+1,HB$169&gt;SwaptionFirstMonthPosition+SwaptionNumOfMonths+1,$FJ190&gt;SwaptionFirstMonthPosition+SwaptionNumOfMonths+1),"",IF($FJ190=HB$169,1,IF($FJ190&lt;HB$169,INDEX($FK$170:$ID$241,HB$169,$FJ190),SUMPRODUCT(INDEX($FK$325:$ID$396,HB$169,1+SwaptionShift):INDEX($FK$325:$ID$396,HB$169,SwaptionMonthsToGo+SwaptionShift),INDEX($FK$245:$ID$316,$FJ190-HB$169,73-HB$169+SwaptionShift):INDEX($FK$245:$ID$316,$FJ190-HB$169,72-HB$169+SwaptionMonthsToGo+SwaptionShift))/SQRT(SUM(INDEX($FK345:$ID345,1+SwaptionShift):INDEX($FK345:$ID345,SwaptionMonthsToGo+SwaptionShift))*SUM(INDEX($FK$325:$ID$396,HB$169,1+SwaptionShift):INDEX($FK$325:$ID$396,HB$169,SwaptionMonthsToGo+SwaptionShift))))))</f>
        <v/>
      </c>
      <c r="HC190" s="150" t="str">
        <f aca="false">IF(OR(HC$169&lt;SwaptionFirstMonthPosition+1,$FJ190&lt;SwaptionFirstMonthPosition+1,HC$169&gt;SwaptionFirstMonthPosition+SwaptionNumOfMonths+1,$FJ190&gt;SwaptionFirstMonthPosition+SwaptionNumOfMonths+1),"",IF($FJ190=HC$169,1,IF($FJ190&lt;HC$169,INDEX($FK$170:$ID$241,HC$169,$FJ190),SUMPRODUCT(INDEX($FK$325:$ID$396,HC$169,1+SwaptionShift):INDEX($FK$325:$ID$396,HC$169,SwaptionMonthsToGo+SwaptionShift),INDEX($FK$245:$ID$316,$FJ190-HC$169,73-HC$169+SwaptionShift):INDEX($FK$245:$ID$316,$FJ190-HC$169,72-HC$169+SwaptionMonthsToGo+SwaptionShift))/SQRT(SUM(INDEX($FK345:$ID345,1+SwaptionShift):INDEX($FK345:$ID345,SwaptionMonthsToGo+SwaptionShift))*SUM(INDEX($FK$325:$ID$396,HC$169,1+SwaptionShift):INDEX($FK$325:$ID$396,HC$169,SwaptionMonthsToGo+SwaptionShift))))))</f>
        <v/>
      </c>
      <c r="HD190" s="150" t="str">
        <f aca="false">IF(OR(HD$169&lt;SwaptionFirstMonthPosition+1,$FJ190&lt;SwaptionFirstMonthPosition+1,HD$169&gt;SwaptionFirstMonthPosition+SwaptionNumOfMonths+1,$FJ190&gt;SwaptionFirstMonthPosition+SwaptionNumOfMonths+1),"",IF($FJ190=HD$169,1,IF($FJ190&lt;HD$169,INDEX($FK$170:$ID$241,HD$169,$FJ190),SUMPRODUCT(INDEX($FK$325:$ID$396,HD$169,1+SwaptionShift):INDEX($FK$325:$ID$396,HD$169,SwaptionMonthsToGo+SwaptionShift),INDEX($FK$245:$ID$316,$FJ190-HD$169,73-HD$169+SwaptionShift):INDEX($FK$245:$ID$316,$FJ190-HD$169,72-HD$169+SwaptionMonthsToGo+SwaptionShift))/SQRT(SUM(INDEX($FK345:$ID345,1+SwaptionShift):INDEX($FK345:$ID345,SwaptionMonthsToGo+SwaptionShift))*SUM(INDEX($FK$325:$ID$396,HD$169,1+SwaptionShift):INDEX($FK$325:$ID$396,HD$169,SwaptionMonthsToGo+SwaptionShift))))))</f>
        <v/>
      </c>
      <c r="HE190" s="150" t="str">
        <f aca="false">IF(OR(HE$169&lt;SwaptionFirstMonthPosition+1,$FJ190&lt;SwaptionFirstMonthPosition+1,HE$169&gt;SwaptionFirstMonthPosition+SwaptionNumOfMonths+1,$FJ190&gt;SwaptionFirstMonthPosition+SwaptionNumOfMonths+1),"",IF($FJ190=HE$169,1,IF($FJ190&lt;HE$169,INDEX($FK$170:$ID$241,HE$169,$FJ190),SUMPRODUCT(INDEX($FK$325:$ID$396,HE$169,1+SwaptionShift):INDEX($FK$325:$ID$396,HE$169,SwaptionMonthsToGo+SwaptionShift),INDEX($FK$245:$ID$316,$FJ190-HE$169,73-HE$169+SwaptionShift):INDEX($FK$245:$ID$316,$FJ190-HE$169,72-HE$169+SwaptionMonthsToGo+SwaptionShift))/SQRT(SUM(INDEX($FK345:$ID345,1+SwaptionShift):INDEX($FK345:$ID345,SwaptionMonthsToGo+SwaptionShift))*SUM(INDEX($FK$325:$ID$396,HE$169,1+SwaptionShift):INDEX($FK$325:$ID$396,HE$169,SwaptionMonthsToGo+SwaptionShift))))))</f>
        <v/>
      </c>
      <c r="HF190" s="150" t="str">
        <f aca="false">IF(OR(HF$169&lt;SwaptionFirstMonthPosition+1,$FJ190&lt;SwaptionFirstMonthPosition+1,HF$169&gt;SwaptionFirstMonthPosition+SwaptionNumOfMonths+1,$FJ190&gt;SwaptionFirstMonthPosition+SwaptionNumOfMonths+1),"",IF($FJ190=HF$169,1,IF($FJ190&lt;HF$169,INDEX($FK$170:$ID$241,HF$169,$FJ190),SUMPRODUCT(INDEX($FK$325:$ID$396,HF$169,1+SwaptionShift):INDEX($FK$325:$ID$396,HF$169,SwaptionMonthsToGo+SwaptionShift),INDEX($FK$245:$ID$316,$FJ190-HF$169,73-HF$169+SwaptionShift):INDEX($FK$245:$ID$316,$FJ190-HF$169,72-HF$169+SwaptionMonthsToGo+SwaptionShift))/SQRT(SUM(INDEX($FK345:$ID345,1+SwaptionShift):INDEX($FK345:$ID345,SwaptionMonthsToGo+SwaptionShift))*SUM(INDEX($FK$325:$ID$396,HF$169,1+SwaptionShift):INDEX($FK$325:$ID$396,HF$169,SwaptionMonthsToGo+SwaptionShift))))))</f>
        <v/>
      </c>
      <c r="HG190" s="150" t="str">
        <f aca="false">IF(OR(HG$169&lt;SwaptionFirstMonthPosition+1,$FJ190&lt;SwaptionFirstMonthPosition+1,HG$169&gt;SwaptionFirstMonthPosition+SwaptionNumOfMonths+1,$FJ190&gt;SwaptionFirstMonthPosition+SwaptionNumOfMonths+1),"",IF($FJ190=HG$169,1,IF($FJ190&lt;HG$169,INDEX($FK$170:$ID$241,HG$169,$FJ190),SUMPRODUCT(INDEX($FK$325:$ID$396,HG$169,1+SwaptionShift):INDEX($FK$325:$ID$396,HG$169,SwaptionMonthsToGo+SwaptionShift),INDEX($FK$245:$ID$316,$FJ190-HG$169,73-HG$169+SwaptionShift):INDEX($FK$245:$ID$316,$FJ190-HG$169,72-HG$169+SwaptionMonthsToGo+SwaptionShift))/SQRT(SUM(INDEX($FK345:$ID345,1+SwaptionShift):INDEX($FK345:$ID345,SwaptionMonthsToGo+SwaptionShift))*SUM(INDEX($FK$325:$ID$396,HG$169,1+SwaptionShift):INDEX($FK$325:$ID$396,HG$169,SwaptionMonthsToGo+SwaptionShift))))))</f>
        <v/>
      </c>
      <c r="HH190" s="150" t="str">
        <f aca="false">IF(OR(HH$169&lt;SwaptionFirstMonthPosition+1,$FJ190&lt;SwaptionFirstMonthPosition+1,HH$169&gt;SwaptionFirstMonthPosition+SwaptionNumOfMonths+1,$FJ190&gt;SwaptionFirstMonthPosition+SwaptionNumOfMonths+1),"",IF($FJ190=HH$169,1,IF($FJ190&lt;HH$169,INDEX($FK$170:$ID$241,HH$169,$FJ190),SUMPRODUCT(INDEX($FK$325:$ID$396,HH$169,1+SwaptionShift):INDEX($FK$325:$ID$396,HH$169,SwaptionMonthsToGo+SwaptionShift),INDEX($FK$245:$ID$316,$FJ190-HH$169,73-HH$169+SwaptionShift):INDEX($FK$245:$ID$316,$FJ190-HH$169,72-HH$169+SwaptionMonthsToGo+SwaptionShift))/SQRT(SUM(INDEX($FK345:$ID345,1+SwaptionShift):INDEX($FK345:$ID345,SwaptionMonthsToGo+SwaptionShift))*SUM(INDEX($FK$325:$ID$396,HH$169,1+SwaptionShift):INDEX($FK$325:$ID$396,HH$169,SwaptionMonthsToGo+SwaptionShift))))))</f>
        <v/>
      </c>
      <c r="HI190" s="150" t="str">
        <f aca="false">IF(OR(HI$169&lt;SwaptionFirstMonthPosition+1,$FJ190&lt;SwaptionFirstMonthPosition+1,HI$169&gt;SwaptionFirstMonthPosition+SwaptionNumOfMonths+1,$FJ190&gt;SwaptionFirstMonthPosition+SwaptionNumOfMonths+1),"",IF($FJ190=HI$169,1,IF($FJ190&lt;HI$169,INDEX($FK$170:$ID$241,HI$169,$FJ190),SUMPRODUCT(INDEX($FK$325:$ID$396,HI$169,1+SwaptionShift):INDEX($FK$325:$ID$396,HI$169,SwaptionMonthsToGo+SwaptionShift),INDEX($FK$245:$ID$316,$FJ190-HI$169,73-HI$169+SwaptionShift):INDEX($FK$245:$ID$316,$FJ190-HI$169,72-HI$169+SwaptionMonthsToGo+SwaptionShift))/SQRT(SUM(INDEX($FK345:$ID345,1+SwaptionShift):INDEX($FK345:$ID345,SwaptionMonthsToGo+SwaptionShift))*SUM(INDEX($FK$325:$ID$396,HI$169,1+SwaptionShift):INDEX($FK$325:$ID$396,HI$169,SwaptionMonthsToGo+SwaptionShift))))))</f>
        <v/>
      </c>
      <c r="HJ190" s="150" t="str">
        <f aca="false">IF(OR(HJ$169&lt;SwaptionFirstMonthPosition+1,$FJ190&lt;SwaptionFirstMonthPosition+1,HJ$169&gt;SwaptionFirstMonthPosition+SwaptionNumOfMonths+1,$FJ190&gt;SwaptionFirstMonthPosition+SwaptionNumOfMonths+1),"",IF($FJ190=HJ$169,1,IF($FJ190&lt;HJ$169,INDEX($FK$170:$ID$241,HJ$169,$FJ190),SUMPRODUCT(INDEX($FK$325:$ID$396,HJ$169,1+SwaptionShift):INDEX($FK$325:$ID$396,HJ$169,SwaptionMonthsToGo+SwaptionShift),INDEX($FK$245:$ID$316,$FJ190-HJ$169,73-HJ$169+SwaptionShift):INDEX($FK$245:$ID$316,$FJ190-HJ$169,72-HJ$169+SwaptionMonthsToGo+SwaptionShift))/SQRT(SUM(INDEX($FK345:$ID345,1+SwaptionShift):INDEX($FK345:$ID345,SwaptionMonthsToGo+SwaptionShift))*SUM(INDEX($FK$325:$ID$396,HJ$169,1+SwaptionShift):INDEX($FK$325:$ID$396,HJ$169,SwaptionMonthsToGo+SwaptionShift))))))</f>
        <v/>
      </c>
      <c r="HK190" s="150" t="str">
        <f aca="false">IF(OR(HK$169&lt;SwaptionFirstMonthPosition+1,$FJ190&lt;SwaptionFirstMonthPosition+1,HK$169&gt;SwaptionFirstMonthPosition+SwaptionNumOfMonths+1,$FJ190&gt;SwaptionFirstMonthPosition+SwaptionNumOfMonths+1),"",IF($FJ190=HK$169,1,IF($FJ190&lt;HK$169,INDEX($FK$170:$ID$241,HK$169,$FJ190),SUMPRODUCT(INDEX($FK$325:$ID$396,HK$169,1+SwaptionShift):INDEX($FK$325:$ID$396,HK$169,SwaptionMonthsToGo+SwaptionShift),INDEX($FK$245:$ID$316,$FJ190-HK$169,73-HK$169+SwaptionShift):INDEX($FK$245:$ID$316,$FJ190-HK$169,72-HK$169+SwaptionMonthsToGo+SwaptionShift))/SQRT(SUM(INDEX($FK345:$ID345,1+SwaptionShift):INDEX($FK345:$ID345,SwaptionMonthsToGo+SwaptionShift))*SUM(INDEX($FK$325:$ID$396,HK$169,1+SwaptionShift):INDEX($FK$325:$ID$396,HK$169,SwaptionMonthsToGo+SwaptionShift))))))</f>
        <v/>
      </c>
      <c r="HL190" s="150" t="str">
        <f aca="false">IF(OR(HL$169&lt;SwaptionFirstMonthPosition+1,$FJ190&lt;SwaptionFirstMonthPosition+1,HL$169&gt;SwaptionFirstMonthPosition+SwaptionNumOfMonths+1,$FJ190&gt;SwaptionFirstMonthPosition+SwaptionNumOfMonths+1),"",IF($FJ190=HL$169,1,IF($FJ190&lt;HL$169,INDEX($FK$170:$ID$241,HL$169,$FJ190),SUMPRODUCT(INDEX($FK$325:$ID$396,HL$169,1+SwaptionShift):INDEX($FK$325:$ID$396,HL$169,SwaptionMonthsToGo+SwaptionShift),INDEX($FK$245:$ID$316,$FJ190-HL$169,73-HL$169+SwaptionShift):INDEX($FK$245:$ID$316,$FJ190-HL$169,72-HL$169+SwaptionMonthsToGo+SwaptionShift))/SQRT(SUM(INDEX($FK345:$ID345,1+SwaptionShift):INDEX($FK345:$ID345,SwaptionMonthsToGo+SwaptionShift))*SUM(INDEX($FK$325:$ID$396,HL$169,1+SwaptionShift):INDEX($FK$325:$ID$396,HL$169,SwaptionMonthsToGo+SwaptionShift))))))</f>
        <v/>
      </c>
      <c r="HM190" s="150" t="str">
        <f aca="false">IF(OR(HM$169&lt;SwaptionFirstMonthPosition+1,$FJ190&lt;SwaptionFirstMonthPosition+1,HM$169&gt;SwaptionFirstMonthPosition+SwaptionNumOfMonths+1,$FJ190&gt;SwaptionFirstMonthPosition+SwaptionNumOfMonths+1),"",IF($FJ190=HM$169,1,IF($FJ190&lt;HM$169,INDEX($FK$170:$ID$241,HM$169,$FJ190),SUMPRODUCT(INDEX($FK$325:$ID$396,HM$169,1+SwaptionShift):INDEX($FK$325:$ID$396,HM$169,SwaptionMonthsToGo+SwaptionShift),INDEX($FK$245:$ID$316,$FJ190-HM$169,73-HM$169+SwaptionShift):INDEX($FK$245:$ID$316,$FJ190-HM$169,72-HM$169+SwaptionMonthsToGo+SwaptionShift))/SQRT(SUM(INDEX($FK345:$ID345,1+SwaptionShift):INDEX($FK345:$ID345,SwaptionMonthsToGo+SwaptionShift))*SUM(INDEX($FK$325:$ID$396,HM$169,1+SwaptionShift):INDEX($FK$325:$ID$396,HM$169,SwaptionMonthsToGo+SwaptionShift))))))</f>
        <v/>
      </c>
      <c r="HN190" s="150" t="str">
        <f aca="false">IF(OR(HN$169&lt;SwaptionFirstMonthPosition+1,$FJ190&lt;SwaptionFirstMonthPosition+1,HN$169&gt;SwaptionFirstMonthPosition+SwaptionNumOfMonths+1,$FJ190&gt;SwaptionFirstMonthPosition+SwaptionNumOfMonths+1),"",IF($FJ190=HN$169,1,IF($FJ190&lt;HN$169,INDEX($FK$170:$ID$241,HN$169,$FJ190),SUMPRODUCT(INDEX($FK$325:$ID$396,HN$169,1+SwaptionShift):INDEX($FK$325:$ID$396,HN$169,SwaptionMonthsToGo+SwaptionShift),INDEX($FK$245:$ID$316,$FJ190-HN$169,73-HN$169+SwaptionShift):INDEX($FK$245:$ID$316,$FJ190-HN$169,72-HN$169+SwaptionMonthsToGo+SwaptionShift))/SQRT(SUM(INDEX($FK345:$ID345,1+SwaptionShift):INDEX($FK345:$ID345,SwaptionMonthsToGo+SwaptionShift))*SUM(INDEX($FK$325:$ID$396,HN$169,1+SwaptionShift):INDEX($FK$325:$ID$396,HN$169,SwaptionMonthsToGo+SwaptionShift))))))</f>
        <v/>
      </c>
      <c r="HO190" s="150" t="str">
        <f aca="false">IF(OR(HO$169&lt;SwaptionFirstMonthPosition+1,$FJ190&lt;SwaptionFirstMonthPosition+1,HO$169&gt;SwaptionFirstMonthPosition+SwaptionNumOfMonths+1,$FJ190&gt;SwaptionFirstMonthPosition+SwaptionNumOfMonths+1),"",IF($FJ190=HO$169,1,IF($FJ190&lt;HO$169,INDEX($FK$170:$ID$241,HO$169,$FJ190),SUMPRODUCT(INDEX($FK$325:$ID$396,HO$169,1+SwaptionShift):INDEX($FK$325:$ID$396,HO$169,SwaptionMonthsToGo+SwaptionShift),INDEX($FK$245:$ID$316,$FJ190-HO$169,73-HO$169+SwaptionShift):INDEX($FK$245:$ID$316,$FJ190-HO$169,72-HO$169+SwaptionMonthsToGo+SwaptionShift))/SQRT(SUM(INDEX($FK345:$ID345,1+SwaptionShift):INDEX($FK345:$ID345,SwaptionMonthsToGo+SwaptionShift))*SUM(INDEX($FK$325:$ID$396,HO$169,1+SwaptionShift):INDEX($FK$325:$ID$396,HO$169,SwaptionMonthsToGo+SwaptionShift))))))</f>
        <v/>
      </c>
      <c r="HP190" s="150" t="str">
        <f aca="false">IF(OR(HP$169&lt;SwaptionFirstMonthPosition+1,$FJ190&lt;SwaptionFirstMonthPosition+1,HP$169&gt;SwaptionFirstMonthPosition+SwaptionNumOfMonths+1,$FJ190&gt;SwaptionFirstMonthPosition+SwaptionNumOfMonths+1),"",IF($FJ190=HP$169,1,IF($FJ190&lt;HP$169,INDEX($FK$170:$ID$241,HP$169,$FJ190),SUMPRODUCT(INDEX($FK$325:$ID$396,HP$169,1+SwaptionShift):INDEX($FK$325:$ID$396,HP$169,SwaptionMonthsToGo+SwaptionShift),INDEX($FK$245:$ID$316,$FJ190-HP$169,73-HP$169+SwaptionShift):INDEX($FK$245:$ID$316,$FJ190-HP$169,72-HP$169+SwaptionMonthsToGo+SwaptionShift))/SQRT(SUM(INDEX($FK345:$ID345,1+SwaptionShift):INDEX($FK345:$ID345,SwaptionMonthsToGo+SwaptionShift))*SUM(INDEX($FK$325:$ID$396,HP$169,1+SwaptionShift):INDEX($FK$325:$ID$396,HP$169,SwaptionMonthsToGo+SwaptionShift))))))</f>
        <v/>
      </c>
      <c r="HQ190" s="150" t="str">
        <f aca="false">IF(OR(HQ$169&lt;SwaptionFirstMonthPosition+1,$FJ190&lt;SwaptionFirstMonthPosition+1,HQ$169&gt;SwaptionFirstMonthPosition+SwaptionNumOfMonths+1,$FJ190&gt;SwaptionFirstMonthPosition+SwaptionNumOfMonths+1),"",IF($FJ190=HQ$169,1,IF($FJ190&lt;HQ$169,INDEX($FK$170:$ID$241,HQ$169,$FJ190),SUMPRODUCT(INDEX($FK$325:$ID$396,HQ$169,1+SwaptionShift):INDEX($FK$325:$ID$396,HQ$169,SwaptionMonthsToGo+SwaptionShift),INDEX($FK$245:$ID$316,$FJ190-HQ$169,73-HQ$169+SwaptionShift):INDEX($FK$245:$ID$316,$FJ190-HQ$169,72-HQ$169+SwaptionMonthsToGo+SwaptionShift))/SQRT(SUM(INDEX($FK345:$ID345,1+SwaptionShift):INDEX($FK345:$ID345,SwaptionMonthsToGo+SwaptionShift))*SUM(INDEX($FK$325:$ID$396,HQ$169,1+SwaptionShift):INDEX($FK$325:$ID$396,HQ$169,SwaptionMonthsToGo+SwaptionShift))))))</f>
        <v/>
      </c>
      <c r="HR190" s="150" t="str">
        <f aca="false">IF(OR(HR$169&lt;SwaptionFirstMonthPosition+1,$FJ190&lt;SwaptionFirstMonthPosition+1,HR$169&gt;SwaptionFirstMonthPosition+SwaptionNumOfMonths+1,$FJ190&gt;SwaptionFirstMonthPosition+SwaptionNumOfMonths+1),"",IF($FJ190=HR$169,1,IF($FJ190&lt;HR$169,INDEX($FK$170:$ID$241,HR$169,$FJ190),SUMPRODUCT(INDEX($FK$325:$ID$396,HR$169,1+SwaptionShift):INDEX($FK$325:$ID$396,HR$169,SwaptionMonthsToGo+SwaptionShift),INDEX($FK$245:$ID$316,$FJ190-HR$169,73-HR$169+SwaptionShift):INDEX($FK$245:$ID$316,$FJ190-HR$169,72-HR$169+SwaptionMonthsToGo+SwaptionShift))/SQRT(SUM(INDEX($FK345:$ID345,1+SwaptionShift):INDEX($FK345:$ID345,SwaptionMonthsToGo+SwaptionShift))*SUM(INDEX($FK$325:$ID$396,HR$169,1+SwaptionShift):INDEX($FK$325:$ID$396,HR$169,SwaptionMonthsToGo+SwaptionShift))))))</f>
        <v/>
      </c>
      <c r="HS190" s="150" t="str">
        <f aca="false">IF(OR(HS$169&lt;SwaptionFirstMonthPosition+1,$FJ190&lt;SwaptionFirstMonthPosition+1,HS$169&gt;SwaptionFirstMonthPosition+SwaptionNumOfMonths+1,$FJ190&gt;SwaptionFirstMonthPosition+SwaptionNumOfMonths+1),"",IF($FJ190=HS$169,1,IF($FJ190&lt;HS$169,INDEX($FK$170:$ID$241,HS$169,$FJ190),SUMPRODUCT(INDEX($FK$325:$ID$396,HS$169,1+SwaptionShift):INDEX($FK$325:$ID$396,HS$169,SwaptionMonthsToGo+SwaptionShift),INDEX($FK$245:$ID$316,$FJ190-HS$169,73-HS$169+SwaptionShift):INDEX($FK$245:$ID$316,$FJ190-HS$169,72-HS$169+SwaptionMonthsToGo+SwaptionShift))/SQRT(SUM(INDEX($FK345:$ID345,1+SwaptionShift):INDEX($FK345:$ID345,SwaptionMonthsToGo+SwaptionShift))*SUM(INDEX($FK$325:$ID$396,HS$169,1+SwaptionShift):INDEX($FK$325:$ID$396,HS$169,SwaptionMonthsToGo+SwaptionShift))))))</f>
        <v/>
      </c>
      <c r="HT190" s="150" t="str">
        <f aca="false">IF(OR(HT$169&lt;SwaptionFirstMonthPosition+1,$FJ190&lt;SwaptionFirstMonthPosition+1,HT$169&gt;SwaptionFirstMonthPosition+SwaptionNumOfMonths+1,$FJ190&gt;SwaptionFirstMonthPosition+SwaptionNumOfMonths+1),"",IF($FJ190=HT$169,1,IF($FJ190&lt;HT$169,INDEX($FK$170:$ID$241,HT$169,$FJ190),SUMPRODUCT(INDEX($FK$325:$ID$396,HT$169,1+SwaptionShift):INDEX($FK$325:$ID$396,HT$169,SwaptionMonthsToGo+SwaptionShift),INDEX($FK$245:$ID$316,$FJ190-HT$169,73-HT$169+SwaptionShift):INDEX($FK$245:$ID$316,$FJ190-HT$169,72-HT$169+SwaptionMonthsToGo+SwaptionShift))/SQRT(SUM(INDEX($FK345:$ID345,1+SwaptionShift):INDEX($FK345:$ID345,SwaptionMonthsToGo+SwaptionShift))*SUM(INDEX($FK$325:$ID$396,HT$169,1+SwaptionShift):INDEX($FK$325:$ID$396,HT$169,SwaptionMonthsToGo+SwaptionShift))))))</f>
        <v/>
      </c>
      <c r="HU190" s="150" t="str">
        <f aca="false">IF(OR(HU$169&lt;SwaptionFirstMonthPosition+1,$FJ190&lt;SwaptionFirstMonthPosition+1,HU$169&gt;SwaptionFirstMonthPosition+SwaptionNumOfMonths+1,$FJ190&gt;SwaptionFirstMonthPosition+SwaptionNumOfMonths+1),"",IF($FJ190=HU$169,1,IF($FJ190&lt;HU$169,INDEX($FK$170:$ID$241,HU$169,$FJ190),SUMPRODUCT(INDEX($FK$325:$ID$396,HU$169,1+SwaptionShift):INDEX($FK$325:$ID$396,HU$169,SwaptionMonthsToGo+SwaptionShift),INDEX($FK$245:$ID$316,$FJ190-HU$169,73-HU$169+SwaptionShift):INDEX($FK$245:$ID$316,$FJ190-HU$169,72-HU$169+SwaptionMonthsToGo+SwaptionShift))/SQRT(SUM(INDEX($FK345:$ID345,1+SwaptionShift):INDEX($FK345:$ID345,SwaptionMonthsToGo+SwaptionShift))*SUM(INDEX($FK$325:$ID$396,HU$169,1+SwaptionShift):INDEX($FK$325:$ID$396,HU$169,SwaptionMonthsToGo+SwaptionShift))))))</f>
        <v/>
      </c>
      <c r="HV190" s="150" t="str">
        <f aca="false">IF(OR(HV$169&lt;SwaptionFirstMonthPosition+1,$FJ190&lt;SwaptionFirstMonthPosition+1,HV$169&gt;SwaptionFirstMonthPosition+SwaptionNumOfMonths+1,$FJ190&gt;SwaptionFirstMonthPosition+SwaptionNumOfMonths+1),"",IF($FJ190=HV$169,1,IF($FJ190&lt;HV$169,INDEX($FK$170:$ID$241,HV$169,$FJ190),SUMPRODUCT(INDEX($FK$325:$ID$396,HV$169,1+SwaptionShift):INDEX($FK$325:$ID$396,HV$169,SwaptionMonthsToGo+SwaptionShift),INDEX($FK$245:$ID$316,$FJ190-HV$169,73-HV$169+SwaptionShift):INDEX($FK$245:$ID$316,$FJ190-HV$169,72-HV$169+SwaptionMonthsToGo+SwaptionShift))/SQRT(SUM(INDEX($FK345:$ID345,1+SwaptionShift):INDEX($FK345:$ID345,SwaptionMonthsToGo+SwaptionShift))*SUM(INDEX($FK$325:$ID$396,HV$169,1+SwaptionShift):INDEX($FK$325:$ID$396,HV$169,SwaptionMonthsToGo+SwaptionShift))))))</f>
        <v/>
      </c>
      <c r="HW190" s="150" t="str">
        <f aca="false">IF(OR(HW$169&lt;SwaptionFirstMonthPosition+1,$FJ190&lt;SwaptionFirstMonthPosition+1,HW$169&gt;SwaptionFirstMonthPosition+SwaptionNumOfMonths+1,$FJ190&gt;SwaptionFirstMonthPosition+SwaptionNumOfMonths+1),"",IF($FJ190=HW$169,1,IF($FJ190&lt;HW$169,INDEX($FK$170:$ID$241,HW$169,$FJ190),SUMPRODUCT(INDEX($FK$325:$ID$396,HW$169,1+SwaptionShift):INDEX($FK$325:$ID$396,HW$169,SwaptionMonthsToGo+SwaptionShift),INDEX($FK$245:$ID$316,$FJ190-HW$169,73-HW$169+SwaptionShift):INDEX($FK$245:$ID$316,$FJ190-HW$169,72-HW$169+SwaptionMonthsToGo+SwaptionShift))/SQRT(SUM(INDEX($FK345:$ID345,1+SwaptionShift):INDEX($FK345:$ID345,SwaptionMonthsToGo+SwaptionShift))*SUM(INDEX($FK$325:$ID$396,HW$169,1+SwaptionShift):INDEX($FK$325:$ID$396,HW$169,SwaptionMonthsToGo+SwaptionShift))))))</f>
        <v/>
      </c>
      <c r="HX190" s="150" t="str">
        <f aca="false">IF(OR(HX$169&lt;SwaptionFirstMonthPosition+1,$FJ190&lt;SwaptionFirstMonthPosition+1,HX$169&gt;SwaptionFirstMonthPosition+SwaptionNumOfMonths+1,$FJ190&gt;SwaptionFirstMonthPosition+SwaptionNumOfMonths+1),"",IF($FJ190=HX$169,1,IF($FJ190&lt;HX$169,INDEX($FK$170:$ID$241,HX$169,$FJ190),SUMPRODUCT(INDEX($FK$325:$ID$396,HX$169,1+SwaptionShift):INDEX($FK$325:$ID$396,HX$169,SwaptionMonthsToGo+SwaptionShift),INDEX($FK$245:$ID$316,$FJ190-HX$169,73-HX$169+SwaptionShift):INDEX($FK$245:$ID$316,$FJ190-HX$169,72-HX$169+SwaptionMonthsToGo+SwaptionShift))/SQRT(SUM(INDEX($FK345:$ID345,1+SwaptionShift):INDEX($FK345:$ID345,SwaptionMonthsToGo+SwaptionShift))*SUM(INDEX($FK$325:$ID$396,HX$169,1+SwaptionShift):INDEX($FK$325:$ID$396,HX$169,SwaptionMonthsToGo+SwaptionShift))))))</f>
        <v/>
      </c>
      <c r="HY190" s="150" t="str">
        <f aca="false">IF(OR(HY$169&lt;SwaptionFirstMonthPosition+1,$FJ190&lt;SwaptionFirstMonthPosition+1,HY$169&gt;SwaptionFirstMonthPosition+SwaptionNumOfMonths+1,$FJ190&gt;SwaptionFirstMonthPosition+SwaptionNumOfMonths+1),"",IF($FJ190=HY$169,1,IF($FJ190&lt;HY$169,INDEX($FK$170:$ID$241,HY$169,$FJ190),SUMPRODUCT(INDEX($FK$325:$ID$396,HY$169,1+SwaptionShift):INDEX($FK$325:$ID$396,HY$169,SwaptionMonthsToGo+SwaptionShift),INDEX($FK$245:$ID$316,$FJ190-HY$169,73-HY$169+SwaptionShift):INDEX($FK$245:$ID$316,$FJ190-HY$169,72-HY$169+SwaptionMonthsToGo+SwaptionShift))/SQRT(SUM(INDEX($FK345:$ID345,1+SwaptionShift):INDEX($FK345:$ID345,SwaptionMonthsToGo+SwaptionShift))*SUM(INDEX($FK$325:$ID$396,HY$169,1+SwaptionShift):INDEX($FK$325:$ID$396,HY$169,SwaptionMonthsToGo+SwaptionShift))))))</f>
        <v/>
      </c>
      <c r="HZ190" s="150" t="str">
        <f aca="false">IF(OR(HZ$169&lt;SwaptionFirstMonthPosition+1,$FJ190&lt;SwaptionFirstMonthPosition+1,HZ$169&gt;SwaptionFirstMonthPosition+SwaptionNumOfMonths+1,$FJ190&gt;SwaptionFirstMonthPosition+SwaptionNumOfMonths+1),"",IF($FJ190=HZ$169,1,IF($FJ190&lt;HZ$169,INDEX($FK$170:$ID$241,HZ$169,$FJ190),SUMPRODUCT(INDEX($FK$325:$ID$396,HZ$169,1+SwaptionShift):INDEX($FK$325:$ID$396,HZ$169,SwaptionMonthsToGo+SwaptionShift),INDEX($FK$245:$ID$316,$FJ190-HZ$169,73-HZ$169+SwaptionShift):INDEX($FK$245:$ID$316,$FJ190-HZ$169,72-HZ$169+SwaptionMonthsToGo+SwaptionShift))/SQRT(SUM(INDEX($FK345:$ID345,1+SwaptionShift):INDEX($FK345:$ID345,SwaptionMonthsToGo+SwaptionShift))*SUM(INDEX($FK$325:$ID$396,HZ$169,1+SwaptionShift):INDEX($FK$325:$ID$396,HZ$169,SwaptionMonthsToGo+SwaptionShift))))))</f>
        <v/>
      </c>
      <c r="IA190" s="150" t="str">
        <f aca="false">IF(OR(IA$169&lt;SwaptionFirstMonthPosition+1,$FJ190&lt;SwaptionFirstMonthPosition+1,IA$169&gt;SwaptionFirstMonthPosition+SwaptionNumOfMonths+1,$FJ190&gt;SwaptionFirstMonthPosition+SwaptionNumOfMonths+1),"",IF($FJ190=IA$169,1,IF($FJ190&lt;IA$169,INDEX($FK$170:$ID$241,IA$169,$FJ190),SUMPRODUCT(INDEX($FK$325:$ID$396,IA$169,1+SwaptionShift):INDEX($FK$325:$ID$396,IA$169,SwaptionMonthsToGo+SwaptionShift),INDEX($FK$245:$ID$316,$FJ190-IA$169,73-IA$169+SwaptionShift):INDEX($FK$245:$ID$316,$FJ190-IA$169,72-IA$169+SwaptionMonthsToGo+SwaptionShift))/SQRT(SUM(INDEX($FK345:$ID345,1+SwaptionShift):INDEX($FK345:$ID345,SwaptionMonthsToGo+SwaptionShift))*SUM(INDEX($FK$325:$ID$396,IA$169,1+SwaptionShift):INDEX($FK$325:$ID$396,IA$169,SwaptionMonthsToGo+SwaptionShift))))))</f>
        <v/>
      </c>
      <c r="IB190" s="150" t="str">
        <f aca="false">IF(OR(IB$169&lt;SwaptionFirstMonthPosition+1,$FJ190&lt;SwaptionFirstMonthPosition+1,IB$169&gt;SwaptionFirstMonthPosition+SwaptionNumOfMonths+1,$FJ190&gt;SwaptionFirstMonthPosition+SwaptionNumOfMonths+1),"",IF($FJ190=IB$169,1,IF($FJ190&lt;IB$169,INDEX($FK$170:$ID$241,IB$169,$FJ190),SUMPRODUCT(INDEX($FK$325:$ID$396,IB$169,1+SwaptionShift):INDEX($FK$325:$ID$396,IB$169,SwaptionMonthsToGo+SwaptionShift),INDEX($FK$245:$ID$316,$FJ190-IB$169,73-IB$169+SwaptionShift):INDEX($FK$245:$ID$316,$FJ190-IB$169,72-IB$169+SwaptionMonthsToGo+SwaptionShift))/SQRT(SUM(INDEX($FK345:$ID345,1+SwaptionShift):INDEX($FK345:$ID345,SwaptionMonthsToGo+SwaptionShift))*SUM(INDEX($FK$325:$ID$396,IB$169,1+SwaptionShift):INDEX($FK$325:$ID$396,IB$169,SwaptionMonthsToGo+SwaptionShift))))))</f>
        <v/>
      </c>
      <c r="IC190" s="150" t="str">
        <f aca="false">IF(OR(IC$169&lt;SwaptionFirstMonthPosition+1,$FJ190&lt;SwaptionFirstMonthPosition+1,IC$169&gt;SwaptionFirstMonthPosition+SwaptionNumOfMonths+1,$FJ190&gt;SwaptionFirstMonthPosition+SwaptionNumOfMonths+1),"",IF($FJ190=IC$169,1,IF($FJ190&lt;IC$169,INDEX($FK$170:$ID$241,IC$169,$FJ190),SUMPRODUCT(INDEX($FK$325:$ID$396,IC$169,1+SwaptionShift):INDEX($FK$325:$ID$396,IC$169,SwaptionMonthsToGo+SwaptionShift),INDEX($FK$245:$ID$316,$FJ190-IC$169,73-IC$169+SwaptionShift):INDEX($FK$245:$ID$316,$FJ190-IC$169,72-IC$169+SwaptionMonthsToGo+SwaptionShift))/SQRT(SUM(INDEX($FK345:$ID345,1+SwaptionShift):INDEX($FK345:$ID345,SwaptionMonthsToGo+SwaptionShift))*SUM(INDEX($FK$325:$ID$396,IC$169,1+SwaptionShift):INDEX($FK$325:$ID$396,IC$169,SwaptionMonthsToGo+SwaptionShift))))))</f>
        <v/>
      </c>
      <c r="ID190" s="572" t="str">
        <f aca="false">IF(OR(ID$169&lt;SwaptionFirstMonthPosition+1,$FJ190&lt;SwaptionFirstMonthPosition+1,ID$169&gt;SwaptionFirstMonthPosition+SwaptionNumOfMonths+1,$FJ190&gt;SwaptionFirstMonthPosition+SwaptionNumOfMonths+1),"",IF($FJ190=ID$169,1,IF($FJ190&lt;ID$169,INDEX($FK$170:$ID$241,ID$169,$FJ190),SUMPRODUCT(INDEX($FK$325:$ID$396,ID$169,1+SwaptionShift):INDEX($FK$325:$ID$396,ID$169,SwaptionMonthsToGo+SwaptionShift),INDEX($FK$245:$ID$316,$FJ190-ID$169,73-ID$169+SwaptionShift):INDEX($FK$245:$ID$316,$FJ190-ID$169,72-ID$169+SwaptionMonthsToGo+SwaptionShift))/SQRT(SUM(INDEX($FK345:$ID345,1+SwaptionShift):INDEX($FK345:$ID345,SwaptionMonthsToGo+SwaptionShift))*SUM(INDEX($FK$325:$ID$396,ID$169,1+SwaptionShift):INDEX($FK$325:$ID$396,ID$169,SwaptionMonthsToGo+SwaptionShift))))))</f>
        <v/>
      </c>
      <c r="IE190" s="129"/>
    </row>
    <row r="191" customFormat="false" ht="12.75" hidden="false" customHeight="false" outlineLevel="0" collapsed="false">
      <c r="H191" s="219" t="n">
        <f aca="false">VLOOKUP(I191,$EJ$20:$EL$54,3)</f>
        <v>0</v>
      </c>
      <c r="I191" s="511" t="n">
        <f aca="false">EOMONTH(I190,0)+1</f>
        <v>41974</v>
      </c>
      <c r="J191" s="512"/>
      <c r="K191" s="513" t="s">
        <v>280</v>
      </c>
      <c r="L191" s="514" t="n">
        <f aca="false">IF(ISNUMBER(K191),J191+K191/100,IF(K191="extra",L190+VLOOKUP(BF191,PriceSpreadTable,2)/12,IF(K191="inter",interpolateprices($K$19:$L$200,ROW(K191)-ROW(FirstPricingMonth)+1),interpolatechanges($J$19:$K$200,ROW(K191)-ROW(FirstPricingMonth)+1))))</f>
        <v>3.56250000000001</v>
      </c>
      <c r="M191" s="515"/>
      <c r="N191" s="516" t="n">
        <v>0</v>
      </c>
      <c r="O191" s="515" t="n">
        <f aca="false">M191+N191</f>
        <v>0</v>
      </c>
      <c r="P191" s="512"/>
      <c r="Q191" s="513" t="s">
        <v>280</v>
      </c>
      <c r="R191" s="512" t="e">
        <f aca="false">IF(ISNUMBER(Q191),P191+Q191/100,IF(Q191="extra",(Z189*AL189-R190*AM189)/AN189,IF(Q191="inter",interpolateprices($Q$19:$R$260,ROW(Q191)-ROW(FirstPricingMonth)+1),interpolatechanges($P$19:$Q$260,ROW(Q191)-ROW(FirstPricingMonth)+1))))</f>
        <v>#VALUE!</v>
      </c>
      <c r="S191" s="597" t="n">
        <f aca="false">S$19+(S190-S$19)*S$18</f>
        <v>0.36</v>
      </c>
      <c r="T191" s="575" t="n">
        <f aca="false">SQRT((1-(1-T190^2/U190)*T$18)*U191)</f>
        <v>0.999999999999739</v>
      </c>
      <c r="U191" s="576" t="n">
        <f aca="false">1-(1-U190)*U$18</f>
        <v>1</v>
      </c>
      <c r="V191" s="521" t="n">
        <v>0</v>
      </c>
      <c r="W191" s="577" t="n">
        <f aca="false">(J192*AJ191+J193*AK191)/AI191</f>
        <v>0</v>
      </c>
      <c r="X191" s="578" t="n">
        <f aca="false">(L192*AJ191+L193*AK191)/AI191</f>
        <v>3.61193181818182</v>
      </c>
      <c r="Y191" s="579" t="n">
        <f aca="false">IF(Q193="extra",W191-AA191,(P192*AM191+P193*AN191)/AL191)</f>
        <v>-1.1931</v>
      </c>
      <c r="Z191" s="579" t="n">
        <f aca="false">IF(Q193="extra",X191-AB191,(R192*AM191+R193*AN191)/AL191)</f>
        <v>2.41883181818182</v>
      </c>
      <c r="AA191" s="523" t="n">
        <f aca="false">IF(Q193="extra",INDEX(BrentSeasonalityTable,INT((BG191-1)/3)+1)*VLOOKUP(MAX(BF191,$AB$4),PriceSpreadTable,3),W191-Y191)</f>
        <v>1.1931</v>
      </c>
      <c r="AB191" s="524" t="n">
        <f aca="false">IF(Q193="extra",INDEX(BrentSeasonalityTable,INT((BG191-1)/3)+1)*VLOOKUP(MAX(BF191,$AB$4),PriceSpreadTable,3),X191-Z191)</f>
        <v>1.1931</v>
      </c>
      <c r="AC191" s="646" t="n">
        <v>41963</v>
      </c>
      <c r="AD191" s="646" t="n">
        <v>41959</v>
      </c>
      <c r="AE191" s="646" t="n">
        <v>41958</v>
      </c>
      <c r="AF191" s="646" t="n">
        <v>41954</v>
      </c>
      <c r="AG191" s="438" t="s">
        <v>278</v>
      </c>
      <c r="AH191" s="439" t="s">
        <v>278</v>
      </c>
      <c r="AI191" s="528" t="n">
        <v>22</v>
      </c>
      <c r="AJ191" s="529" t="n">
        <v>15</v>
      </c>
      <c r="AK191" s="529" t="n">
        <v>7</v>
      </c>
      <c r="AL191" s="530" t="n">
        <v>22</v>
      </c>
      <c r="AM191" s="529" t="n">
        <v>10</v>
      </c>
      <c r="AN191" s="531" t="n">
        <v>12</v>
      </c>
      <c r="AO191" s="532"/>
      <c r="AP191" s="465" t="n">
        <f aca="false">(1+AO191/2)^(-2*BL191)</f>
        <v>1</v>
      </c>
      <c r="AQ191" s="532"/>
      <c r="AR191" s="465" t="n">
        <f aca="false">(1+AQ191/2)^(-2*BH191/365.25)</f>
        <v>1</v>
      </c>
      <c r="AS191" s="580" t="n">
        <f aca="false">(O192*AJ191+O193*AK191)/AI191</f>
        <v>0</v>
      </c>
      <c r="AT191" s="468" t="n">
        <f aca="false">O191*VLOOKUP(BF191,BrentVolTable,2)+VLOOKUP(BF191,BrentVolTable,3)</f>
        <v>0</v>
      </c>
      <c r="AU191" s="468" t="n">
        <f aca="false">(AT192*AM191+AT193*AN191)/AL191</f>
        <v>0</v>
      </c>
      <c r="AV191" s="595" t="n">
        <f aca="false">SQRT(MAX(0.000000000001,(O191^2*BH191-S191^2*(BH191-BH190))/BH190))</f>
        <v>0.031704161641637</v>
      </c>
      <c r="AW191" s="451" t="n">
        <f aca="false">IF($I191-DateToday+15&gt;=$T$8,"",IF($I191-DateToday+15&lt;$T$5,1,MATCH($I191-DateToday+15,$T$5:$T$8)))</f>
        <v>1</v>
      </c>
      <c r="AX191" s="468" t="n">
        <f aca="false">IF($AW191="",AX190^2/AX189,INDEX(U$5:U$8,$AW191)^((INDEX($T$5:$T$8,$AW191+1)-($I191-DateToday+15))/(INDEX($T$5:$T$8,$AW191+1)-INDEX($T$5:$T$8,$AW191)))/INDEX(U$5:U$8,$AW191+1)^((INDEX($T$5:$T$8,$AW191)-($I191-DateToday+15))/(INDEX($T$5:$T$8,$AW191+1)-INDEX($T$5:$T$8,$AW191))))</f>
        <v>0.324461443526526</v>
      </c>
      <c r="AY191" s="468" t="n">
        <f aca="false">IF($AW191="",AY190^2/AY189,INDEX(V$5:V$8,$AW191)^((INDEX($T$5:$T$8,$AW191+1)-($I191-DateToday+15))/(INDEX($T$5:$T$8,$AW191+1)-INDEX($T$5:$T$8,$AW191)))/INDEX(V$5:V$8,$AW191+1)^((INDEX($T$5:$T$8,$AW191)-($I191-DateToday+15))/(INDEX($T$5:$T$8,$AW191+1)-INDEX($T$5:$T$8,$AW191))))</f>
        <v>3.88142560618651</v>
      </c>
      <c r="AZ191" s="468" t="n">
        <f aca="false">IF($AW191="",AZ190^2/AZ189,INDEX(W$5:W$8,$AW191)^((INDEX($T$5:$T$8,$AW191+1)-($I191-DateToday+15))/(INDEX($T$5:$T$8,$AW191+1)-INDEX($T$5:$T$8,$AW191)))/INDEX(W$5:W$8,$AW191+1)^((INDEX($T$5:$T$8,$AW191)-($I191-DateToday+15))/(INDEX($T$5:$T$8,$AW191+1)-INDEX($T$5:$T$8,$AW191))))</f>
        <v>544.763594995156</v>
      </c>
      <c r="BA191" s="468" t="n">
        <f aca="false">IF($AW191="",BA190^2/BA189,INDEX(X$5:X$8,$AW191)^((INDEX($T$5:$T$8,$AW191+1)-($I191-DateToday+15))/(INDEX($T$5:$T$8,$AW191+1)-INDEX($T$5:$T$8,$AW191)))/INDEX(X$5:X$8,$AW191+1)^((INDEX($T$5:$T$8,$AW191)-($I191-DateToday+15))/(INDEX($T$5:$T$8,$AW191+1)-INDEX($T$5:$T$8,$AW191))))</f>
        <v>1841.19565013362</v>
      </c>
      <c r="BB191" s="468" t="n">
        <f aca="false">IF($AW191="",BB190^2/BB189,INDEX(Y$5:Y$8,$AW191)^((INDEX($T$5:$T$8,$AW191+1)-($I191-DateToday+15))/(INDEX($T$5:$T$8,$AW191+1)-INDEX($T$5:$T$8,$AW191)))/INDEX(Y$5:Y$8,$AW191+1)^((INDEX($T$5:$T$8,$AW191)-($I191-DateToday+15))/(INDEX($T$5:$T$8,$AW191+1)-INDEX($T$5:$T$8,$AW191))))</f>
        <v>9367.29732487861</v>
      </c>
      <c r="BC191" s="468" t="n">
        <f aca="false">IF($AW191="",BC190^2/BC189,INDEX(Z$5:Z$8,$AW191)^((INDEX($T$5:$T$8,$AW191+1)-($I191-DateToday+15))/(INDEX($T$5:$T$8,$AW191+1)-INDEX($T$5:$T$8,$AW191)))/INDEX(Z$5:Z$8,$AW191+1)^((INDEX($T$5:$T$8,$AW191)-($I191-DateToday+15))/(INDEX($T$5:$T$8,$AW191+1)-INDEX($T$5:$T$8,$AW191))))</f>
        <v>25369.935635855</v>
      </c>
      <c r="BD191" s="535" t="n">
        <f aca="false">IF(OR(DateStart&gt;=I192,DateEnd&lt;I191),0,IF(VolumeOverrideFlag,V191,Volume))</f>
        <v>0</v>
      </c>
      <c r="BE191" s="536" t="n">
        <f aca="false">IF(OR(DateStart2&gt;=I192,DateEnd2&lt;I191),0,IF(VolumeOverrideFlag,V191,VolumeSwaption))</f>
        <v>0</v>
      </c>
      <c r="BF191" s="537" t="n">
        <f aca="false">YEAR(I191)</f>
        <v>2014</v>
      </c>
      <c r="BG191" s="538" t="n">
        <f aca="false">MONTH(I191)</f>
        <v>12</v>
      </c>
      <c r="BH191" s="539" t="n">
        <f aca="false">AD191-DateToday+1</f>
        <v>-3966</v>
      </c>
      <c r="BI191" s="540" t="n">
        <f aca="false">(I191-DateToday+1)/365.25</f>
        <v>-10.8172484599589</v>
      </c>
      <c r="BJ191" s="541" t="n">
        <f aca="false">BI191+(BL191-BI191)*CHOOSE(Underlying,AJ191/AI191,AM191/AL191)</f>
        <v>-10.7612469665858</v>
      </c>
      <c r="BK191" s="541" t="n">
        <f aca="false">BJ191+1/365.25</f>
        <v>-10.7585091157986</v>
      </c>
      <c r="BL191" s="541" t="n">
        <f aca="false">(I192-DateToday)/365.25</f>
        <v>-10.735112936345</v>
      </c>
      <c r="BM191" s="542" t="e">
        <f aca="false">MAX(BI191-(BJ191-BI191)*(S192^2/O192^2-1),0)</f>
        <v>#DIV/0!</v>
      </c>
      <c r="BN191" s="541" t="e">
        <f aca="false">MAX(BL191+(BL191-BK191)*(S193^2/O193^2-1),0)</f>
        <v>#DIV/0!</v>
      </c>
      <c r="BO191" s="530" t="n">
        <f aca="false">CHOOSE(Underlying,AI191,AL191)</f>
        <v>22</v>
      </c>
      <c r="BP191" s="529" t="n">
        <f aca="false">CHOOSE(Underlying,AJ191,AM191)</f>
        <v>15</v>
      </c>
      <c r="BQ191" s="529" t="n">
        <f aca="false">CHOOSE(Underlying,AK191,AN191)</f>
        <v>7</v>
      </c>
      <c r="BR191" s="463" t="str">
        <f aca="false">IF(BD191,IF(Underlying=1,X191,Z191)+UnderlyingPriceAsian-SwapPriceCurve,"")</f>
        <v/>
      </c>
      <c r="BS191" s="463" t="str">
        <f aca="false">IF(BD191,Strike1/BR191-1,"")</f>
        <v/>
      </c>
      <c r="BT191" s="464" t="str">
        <f aca="false">IF(BD191,Strike2/BR191-1,"")</f>
        <v/>
      </c>
      <c r="BU191" s="465" t="str">
        <f aca="false">IF(BD191,IF(Underlying=1,L192,R192)+UnderlyingPriceAsian-SwapPriceCurve,"")</f>
        <v/>
      </c>
      <c r="BV191" s="465" t="str">
        <f aca="false">IF(BD191,IF(Underlying=1,L193,R193)+UnderlyingPriceAsian-SwapPriceCurve,"")</f>
        <v/>
      </c>
      <c r="BW191" s="466" t="str">
        <f aca="false">IF(BD191,IF(Underlying=1,O192,AT192),"")</f>
        <v/>
      </c>
      <c r="BX191" s="467" t="str">
        <f aca="false">IF(BD191,IF(Underlying=1,O193,AT193),"")</f>
        <v/>
      </c>
      <c r="BY191" s="466" t="str">
        <f aca="false">IF(BD191,IF(BS191&gt;0,IF(BS191&gt;0.2,BC191-BB191,IF(BS191&gt;0.1,BB191-BA191,BA191)),IF(BS191&lt;-0.2,AX191-AY191,IF(BS191&lt;-0.1,AY191-AZ191,AZ191))),"")</f>
        <v/>
      </c>
      <c r="BZ191" s="467" t="str">
        <f aca="false">IF(BD191,IF(BT191&gt;0,IF(BT191&gt;0.2,BC191-BB191,IF(BT191&gt;0.1,BB191-BA191,BA191)),IF(BT191&lt;-0.2,AX191-AY191,IF(BT191&lt;-0.1,AY191-AZ191,AZ191))),"")</f>
        <v/>
      </c>
      <c r="CA191" s="468" t="str">
        <f aca="false">IF($BD191,$BW191+IF(VolSkewFlag=1,IF(BS191&gt;0,$BA191*MIN(BS191/10%,1)+($BB191-$BA191)*MAX(0,MIN(BS191/10%-1,1))+($BC191-$BB191)*MAX(0,BS191/10%-2),$AZ191*MIN(-BS191/10%,1)+($AY191-$AZ191)*MAX(0,MIN(-BS191/10%-1,1))+($AX191-$AY191)*MAX(0,-BS191/10%-2)),0),"")</f>
        <v/>
      </c>
      <c r="CB191" s="468" t="str">
        <f aca="false">IF($BD191,$BX191+IF(VolSkewFlag=1,IF(BS191&gt;0,$BA191*MIN(BS191/10%,1)+($BB191-$BA191)*MAX(0,MIN(BS191/10%-1,1))+($BC191-$BB191)*MAX(0,BS191/10%-2),$AZ191*MIN(-BS191/10%,1)+($AY191-$AZ191)*MAX(0,MIN(-BS191/10%-1,1))+($AX191-$AY191)*MAX(0,-BS191/10%-2)),0),"")</f>
        <v/>
      </c>
      <c r="CC191" s="468" t="str">
        <f aca="false">IF($BD191,$BW191+IF(VolSkewFlag=1,IF(BT191&gt;0,$BA191*MIN(BT191/10%,1)+($BB191-$BA191)*MAX(0,MIN(BT191/10%-1,1))+($BC191-$BB191)*MAX(0,BT191/10%-2),$AZ191*MIN(-BT191/10%,1)+($AY191-$AZ191)*MAX(0,MIN(-BT191/10%-1,1))+($AX191-$AY191)*MAX(0,-BT191/10%-2)),0),"")</f>
        <v/>
      </c>
      <c r="CD191" s="468" t="str">
        <f aca="false">IF($BD191,$BX191+IF(VolSkewFlag=1,IF(BT191&gt;0,$BA191*MIN(BT191/10%,1)+($BB191-$BA191)*MAX(0,MIN(BT191/10%-1,1))+($BC191-$BB191)*MAX(0,BT191/10%-2),$AZ191*MIN(-BT191/10%,1)+($AY191-$AZ191)*MAX(0,MIN(-BT191/10%-1,1))+($AX191-$AY191)*MAX(0,-BT191/10%-2)),0),"")</f>
        <v/>
      </c>
      <c r="CE191" s="469" t="n">
        <v>1</v>
      </c>
      <c r="CF191" s="470" t="n">
        <f aca="false">IF(BD191,xCrudeAPO(BU191,BV191,CA191,CB191,S192,S193,BI191,BL191,BP191,BQ191,0,Strike1,AO191,CE191,0,BL191,IF(OptControl=4,0,1),0,1),0)</f>
        <v>0</v>
      </c>
      <c r="CG191" s="470" t="n">
        <f aca="false">IF(BD191,xCrudeAPO(BU191,BV191,CA191,CB191,S192,S193,BI191,BL191,BP191,BQ191,0,Strike1,AO191,CE191,0,BL191,IF(OptControl=4,0,1),1,1)+xCrudeAPO(BU191,BV191,CA191,CB191,S192,S193,BI191,BL191,BP191,BQ191,0,Strike1,AO191,CE191,0,BL191,IF(OptControl=4,0,1),1,2)+IF(OR(VolSkewFlag=2,ABS(BS191)&lt;0.0001),0,IF(BS191&gt;0,-1,1)*CH191*Strike1/BR191^2*BY191/10%),0)</f>
        <v>0</v>
      </c>
      <c r="CH191" s="470" t="n">
        <f aca="false">IF(BD191,(xCrudeAPO(BU191,BV191,CA191,CB191,S192,S193,BI191,BL191,BP191,BQ191,0,Strike1,AO191,CE191,0,BL191,IF(OptControl=4,0,1),3,1)+xCrudeAPO(BU191,BV191,CA191,CB191,S192,S193,BI191,BL191,BP191,BQ191,0,Strike1,AO191,CE191,0,BL191,IF(OptControl=4,0,1),3,2))/100,0)</f>
        <v>0</v>
      </c>
      <c r="CI191" s="470" t="n">
        <f aca="false">IF(BD191,xCrudeAPO(BU191,BV191,CA191,CB191,S192,S193,BI191-DaysForThetaCalculation/365.25,BL191-DaysForThetaCalculation/365.25,BP191,BQ191,0,Strike1,AO191,CE191,0,BL191,IF(OptControl=4,0,1),0,1)-xCrudeAPO(BU191,BV191,CA191,CB191,S192,S193,BI191,BL191,BP191,BQ191,0,Strike1,AO191,CE191,0,BL191,IF(OptControl=4,0,1),0,1),0)</f>
        <v>0</v>
      </c>
      <c r="CJ191" s="471" t="n">
        <f aca="false">IF(BD191,xCrudeAPO(BU191,BV191,CC191,CD191,S192,S193,BI191,BL191,BP191,BQ191,0,Strike2,AO191,CE191,0,BL191,IF(OptControl=3,1,0),0,1),0)</f>
        <v>0</v>
      </c>
      <c r="CK191" s="470" t="n">
        <f aca="false">IF(BD191,xCrudeAPO(BU191,BV191,CC191,CD191,S192,S193,BI191,BL191,BP191,BQ191,0,Strike2,AO191,CE191,0,BL191,IF(OptControl=3,1,0),1,1)+xCrudeAPO(BU191,BV191,CC191,CD191,S192,S193,BI191,BL191,BP191,BQ191,0,Strike2,AO191,CE191,0,BL191,IF(OptControl=3,1,0),1,2)+IF(OR(VolSkewFlag=2,ABS(BT191)&lt;0.0001),0,IF(BT191&gt;0,-1,1)*CL191*Strike2/BR191^2*BZ191/10%),0)</f>
        <v>0</v>
      </c>
      <c r="CL191" s="470" t="n">
        <f aca="false">IF(BD191,(xCrudeAPO(BU191,BV191,CC191,CD191,S192,S193,BI191,BL191,BP191,BQ191,0,Strike2,AO191,CE191,0,BL191,IF(OptControl=3,1,0),3,1)+xCrudeAPO(BU191,BV191,CC191,CD191,S192,S193,BI191,BL191,BP191,BQ191,0,Strike2,AO191,CE191,0,BL191,IF(OptControl=3,1,0),3,2))/100,0)</f>
        <v>0</v>
      </c>
      <c r="CM191" s="472" t="n">
        <f aca="false">IF(BD191,xCrudeAPO(BU191,BV191,CC191,CD191,S192,S193,BI191-DaysForThetaCalculation/365.25,BL191-DaysForThetaCalculation/365.25,BP191,BQ191,0,Strike2,AO191,CE191,0,BL191,IF(OptControl=3,1,0),0,1)-xCrudeAPO(BU191,BV191,CC191,CD191,S192,S193,BI191,BL191,BP191,BQ191,0,Strike2,AO191,CE191,0,BL191,IF(OptControl=3,1,0),0,1),0)</f>
        <v>0</v>
      </c>
      <c r="CN191" s="3"/>
      <c r="CO191" s="543" t="str">
        <f aca="false">IF(BD191,CHOOSE(Underlying,AD191,AF191)-DateToday+1,"")</f>
        <v/>
      </c>
      <c r="CP191" s="582" t="str">
        <f aca="false">IF(BD191,CHOOSE(Underlying,L191,R191),"")</f>
        <v/>
      </c>
      <c r="CQ191" s="544" t="str">
        <f aca="false">IF(BD191,Strike1/CP191-1,"")</f>
        <v/>
      </c>
      <c r="CR191" s="544" t="str">
        <f aca="false">IF(BD191,Strike2/CP191-1,"")</f>
        <v/>
      </c>
      <c r="CS191" s="544" t="str">
        <f aca="false">IF(BD191,IF(CQ191&gt;0,IF(CQ191&gt;0.2,BC190-BB190,IF(CQ191&gt;0.1,BB190-BA190,BA190)),IF(CQ191&lt;-0.2,AX190-AY190,IF(CQ191&lt;-0.1,AY190-AZ190,AZ190))),"")</f>
        <v/>
      </c>
      <c r="CT191" s="544" t="str">
        <f aca="false">IF(BD191,IF(CR191&gt;0,IF(CR191&gt;0.2,BC190-BB190,IF(CR191&gt;0.1,BB190-BA190,BA190)),IF(CR191&lt;-0.2,AX190-AY190,IF(CR191&lt;-0.1,AY190-AZ190,AZ190))),"")</f>
        <v/>
      </c>
      <c r="CU191" s="545" t="str">
        <f aca="false">IF(BD191,CHOOSE(Underlying,O191,AT191),"")</f>
        <v/>
      </c>
      <c r="CV191" s="545" t="str">
        <f aca="false">IF(BD191,CU191+IF(VolSkewFlag=1,IF(CQ191&gt;0,BA190*MIN(CQ191/10%,1)+(BB190-BA190)*MAX(0,MIN(CQ191/10%-1,1))+(BC190-BB190)*MAX(0,CQ191/10%-2),AZ190*MIN(-CQ191/10%,1)+(AY190-AZ190)*MAX(0,MIN(-CQ191/10%-1,1))+(AX190-AY190)*MAX(0,-CQ191/10%-2)),0),"")</f>
        <v/>
      </c>
      <c r="CW191" s="545" t="str">
        <f aca="false">IF(BD191,CU191+IF(VolSkewFlag=1,IF(CR191&gt;0,BA190*MIN(CR191/10%,1)+(BB190-BA190)*MAX(0,MIN(CR191/10%-1,1))+(BC190-BB190)*MAX(0,CR191/10%-2),AZ190*MIN(-CR191/10%,1)+(AY190-AZ190)*MAX(0,MIN(-CR191/10%-1,1))+(AX190-AY190)*MAX(0,-CR191/10%-2)),0),"")</f>
        <v/>
      </c>
      <c r="CX191" s="470" t="n">
        <f aca="false">IF(BD191,EURO(CP191,Strike1,AO191,AO191,CV191,CO191,IF(OptControl=4,0,1),0),0)</f>
        <v>0</v>
      </c>
      <c r="CY191" s="470" t="n">
        <f aca="false">IF(BD191,EURO(CP191,Strike1,AO191,AO191,CV191,CO191,IF(OptControl=4,0,1),1)+IF(OR(VolSkewFlag=2,ABS(CQ191)&lt;0.0001),0,IF(CQ191&gt;0,-1,1)*CZ191*100*Strike1/CP191^2*CS191/10%),0)</f>
        <v>0</v>
      </c>
      <c r="CZ191" s="470" t="n">
        <f aca="false">IF(BD191,EURO(CP191,Strike1,AO191,AO191,CV191,CO191,IF(OptControl=4,0,1),3)/100,0)</f>
        <v>0</v>
      </c>
      <c r="DA191" s="470" t="n">
        <f aca="false">IF(BD191,EURO(CP191,Strike1,AO191,AO191,CV191,CO191,IF(OptControl=4,0,1),0)-EURO(CP191,Strike1,AO191,AO191,CV191,CO191-1,IF(OptControl=4,0,1),0),0)</f>
        <v>0</v>
      </c>
      <c r="DB191" s="470" t="n">
        <f aca="false">IF(BD191,EURO(CP191,Strike2,AO191,AO191,CW191,CO191,IF(OptControl=3,1,0),0),0)</f>
        <v>0</v>
      </c>
      <c r="DC191" s="470" t="n">
        <f aca="false">IF(BD191,EURO(CP191,Strike2,AO191,AO191,CW191,CO191,IF(OptControl=3,1,0),1)+IF(OR(VolSkewFlag=2,ABS(CR191)&lt;0.0001),0,IF(CR191&gt;0,-1,1)*DD191*100*Strike2/CP191^2*CT191/10%),0)</f>
        <v>0</v>
      </c>
      <c r="DD191" s="470" t="n">
        <f aca="false">IF(BD191,EURO(CP191,Strike2,AO191,AO191,CW191,CO191,IF(OptControl=3,1,0),3)/100,0)</f>
        <v>0</v>
      </c>
      <c r="DE191" s="472" t="n">
        <f aca="false">IF(BD191,EURO(CP191,Strike2,AO191,AO191,CW191,CO191,IF(OptControl=3,1,0),0)-EURO(CP191,Strike2,AO191,AO191,CW191,CO191-1,IF(OptControl=3,1,0),0),0)</f>
        <v>0</v>
      </c>
      <c r="DG191" s="481" t="n">
        <f aca="false">EOMONTH(DG190,0)+1</f>
        <v>50891</v>
      </c>
      <c r="DH191" s="478" t="n">
        <v>22.7100000000001</v>
      </c>
      <c r="DI191" s="479" t="n">
        <v>22.7781818181819</v>
      </c>
      <c r="DJ191" s="480" t="n">
        <f aca="false">DG191</f>
        <v>50891</v>
      </c>
      <c r="DK191" s="478" t="n">
        <v>21.5470613717132</v>
      </c>
      <c r="DL191" s="479" t="n">
        <v>21.4866818181819</v>
      </c>
      <c r="DM191" s="481" t="n">
        <f aca="false">DG191</f>
        <v>50891</v>
      </c>
      <c r="DN191" s="482" t="n">
        <f aca="false">DK191+BrentPhyBrentSpread</f>
        <v>21.5970613717132</v>
      </c>
      <c r="DO191" s="481" t="n">
        <f aca="false">DG191</f>
        <v>50891</v>
      </c>
      <c r="DP191" s="483" t="n">
        <f aca="false">DL191+DQ191</f>
        <v>21.4866818181819</v>
      </c>
      <c r="DQ191" s="546" t="n">
        <v>0</v>
      </c>
      <c r="DR191" s="480" t="n">
        <f aca="false">DG191</f>
        <v>50891</v>
      </c>
      <c r="DS191" s="485" t="n">
        <v>0.121999999999998</v>
      </c>
      <c r="DT191" s="486" t="n">
        <v>0.121181818181816</v>
      </c>
      <c r="DU191" s="480" t="n">
        <f aca="false">DG191</f>
        <v>50891</v>
      </c>
      <c r="DV191" s="485" t="n">
        <v>0.121999999999998</v>
      </c>
      <c r="DW191" s="486" t="n">
        <v>0.121181818181816</v>
      </c>
      <c r="DX191" s="481" t="n">
        <f aca="false">DG191</f>
        <v>50891</v>
      </c>
      <c r="DY191" s="486" t="n">
        <v>0.35</v>
      </c>
      <c r="DZ191" s="481" t="n">
        <f aca="false">DR191</f>
        <v>50891</v>
      </c>
      <c r="EA191" s="486" t="n">
        <f aca="false">DT191</f>
        <v>0.121181818181816</v>
      </c>
      <c r="EB191" s="195"/>
      <c r="EC191" s="547" t="str">
        <f aca="false">IF(BD191,IF(Underlying=1,AS191,AU191),"")</f>
        <v/>
      </c>
      <c r="ED191" s="548" t="str">
        <f aca="false">IF($BD191,$EC191+IF(VolSkewFlag=1,IF(BS191&gt;0,$BA191*MIN(BS191/10%,1)+($BB191-$BA191)*MAX(0,MIN(BS191/10%-1,1))+($BC191-$BB191)*MAX(0,BS191/10%-2),$AZ191*MIN(-BS191/10%,1)+($AY191-$AZ191)*MAX(0,MIN(-BS191/10%-1,1))+($AX191-$AY191)*MAX(0,-BS191/10%-2)),0),"")</f>
        <v/>
      </c>
      <c r="EE191" s="549" t="str">
        <f aca="false">IF($BD191,$EC191+IF(VolSkewFlag=1,IF(BT191&gt;0,$BA191*MIN(BT191/10%,1)+($BB191-$BA191)*MAX(0,MIN(BT191/10%-1,1))+($BC191-$BB191)*MAX(0,BT191/10%-2),$AZ191*MIN(-BT191/10%,1)+($AY191-$AZ191)*MAX(0,MIN(-BT191/10%-1,1))+($AX191-$AY191)*MAX(0,-BT191/10%-2)),0),"")</f>
        <v/>
      </c>
      <c r="EF191" s="550" t="n">
        <f aca="false">IF(BD191,xASN(BR191,Strike1,AO191,ED191,0,BO191,0,BI191,BL191,IF(OptControl=4,0,1),0),0)</f>
        <v>0</v>
      </c>
      <c r="EG191" s="551" t="n">
        <f aca="false">IF(BD191,xASN(BR191,Strike2,AO191,EE191,0,BO191,0,BI191,BL191,IF(OptControl=3,1,0),0),0)</f>
        <v>0</v>
      </c>
      <c r="EL191" s="1"/>
      <c r="EM191" s="195"/>
      <c r="EN191" s="240"/>
      <c r="EO191" s="240"/>
      <c r="EP191" s="195"/>
      <c r="EQ191" s="407" t="s">
        <v>419</v>
      </c>
      <c r="ES191" s="130"/>
      <c r="ET191" s="19"/>
      <c r="EU191" s="672"/>
      <c r="EV191" s="478"/>
      <c r="EW191" s="131"/>
      <c r="EX191" s="131"/>
      <c r="EY191" s="129"/>
      <c r="EZ191" s="129"/>
      <c r="FA191" s="129"/>
      <c r="FB191" s="129"/>
      <c r="FC191" s="129"/>
      <c r="FD191" s="129"/>
      <c r="FE191" s="129"/>
      <c r="FF191" s="129"/>
      <c r="FG191" s="129"/>
      <c r="FH191" s="129"/>
      <c r="FI191" s="129"/>
      <c r="FJ191" s="571" t="n">
        <v>22</v>
      </c>
      <c r="FK191" s="150" t="str">
        <f aca="false">IF(OR(FK$169&lt;SwaptionFirstMonthPosition+1,$FJ191&lt;SwaptionFirstMonthPosition+1,FK$169&gt;SwaptionFirstMonthPosition+SwaptionNumOfMonths+1,$FJ191&gt;SwaptionFirstMonthPosition+SwaptionNumOfMonths+1),"",IF($FJ191=FK$169,1,IF($FJ191&lt;FK$169,INDEX($FK$170:$ID$241,FK$169,$FJ191),SUMPRODUCT(INDEX($FK$325:$ID$396,FK$169,1+SwaptionShift):INDEX($FK$325:$ID$396,FK$169,SwaptionMonthsToGo+SwaptionShift),INDEX($FK$245:$ID$316,$FJ191-FK$169,73-FK$169+SwaptionShift):INDEX($FK$245:$ID$316,$FJ191-FK$169,72-FK$169+SwaptionMonthsToGo+SwaptionShift))/SQRT(SUM(INDEX($FK346:$ID346,1+SwaptionShift):INDEX($FK346:$ID346,SwaptionMonthsToGo+SwaptionShift))*SUM(INDEX($FK$325:$ID$396,FK$169,1+SwaptionShift):INDEX($FK$325:$ID$396,FK$169,SwaptionMonthsToGo+SwaptionShift))))))</f>
        <v/>
      </c>
      <c r="FL191" s="150" t="str">
        <f aca="false">IF(OR(FL$169&lt;SwaptionFirstMonthPosition+1,$FJ191&lt;SwaptionFirstMonthPosition+1,FL$169&gt;SwaptionFirstMonthPosition+SwaptionNumOfMonths+1,$FJ191&gt;SwaptionFirstMonthPosition+SwaptionNumOfMonths+1),"",IF($FJ191=FL$169,1,IF($FJ191&lt;FL$169,INDEX($FK$170:$ID$241,FL$169,$FJ191),SUMPRODUCT(INDEX($FK$325:$ID$396,FL$169,1+SwaptionShift):INDEX($FK$325:$ID$396,FL$169,SwaptionMonthsToGo+SwaptionShift),INDEX($FK$245:$ID$316,$FJ191-FL$169,73-FL$169+SwaptionShift):INDEX($FK$245:$ID$316,$FJ191-FL$169,72-FL$169+SwaptionMonthsToGo+SwaptionShift))/SQRT(SUM(INDEX($FK346:$ID346,1+SwaptionShift):INDEX($FK346:$ID346,SwaptionMonthsToGo+SwaptionShift))*SUM(INDEX($FK$325:$ID$396,FL$169,1+SwaptionShift):INDEX($FK$325:$ID$396,FL$169,SwaptionMonthsToGo+SwaptionShift))))))</f>
        <v/>
      </c>
      <c r="FM191" s="150" t="str">
        <f aca="false">IF(OR(FM$169&lt;SwaptionFirstMonthPosition+1,$FJ191&lt;SwaptionFirstMonthPosition+1,FM$169&gt;SwaptionFirstMonthPosition+SwaptionNumOfMonths+1,$FJ191&gt;SwaptionFirstMonthPosition+SwaptionNumOfMonths+1),"",IF($FJ191=FM$169,1,IF($FJ191&lt;FM$169,INDEX($FK$170:$ID$241,FM$169,$FJ191),SUMPRODUCT(INDEX($FK$325:$ID$396,FM$169,1+SwaptionShift):INDEX($FK$325:$ID$396,FM$169,SwaptionMonthsToGo+SwaptionShift),INDEX($FK$245:$ID$316,$FJ191-FM$169,73-FM$169+SwaptionShift):INDEX($FK$245:$ID$316,$FJ191-FM$169,72-FM$169+SwaptionMonthsToGo+SwaptionShift))/SQRT(SUM(INDEX($FK346:$ID346,1+SwaptionShift):INDEX($FK346:$ID346,SwaptionMonthsToGo+SwaptionShift))*SUM(INDEX($FK$325:$ID$396,FM$169,1+SwaptionShift):INDEX($FK$325:$ID$396,FM$169,SwaptionMonthsToGo+SwaptionShift))))))</f>
        <v/>
      </c>
      <c r="FN191" s="150" t="str">
        <f aca="false">IF(OR(FN$169&lt;SwaptionFirstMonthPosition+1,$FJ191&lt;SwaptionFirstMonthPosition+1,FN$169&gt;SwaptionFirstMonthPosition+SwaptionNumOfMonths+1,$FJ191&gt;SwaptionFirstMonthPosition+SwaptionNumOfMonths+1),"",IF($FJ191=FN$169,1,IF($FJ191&lt;FN$169,INDEX($FK$170:$ID$241,FN$169,$FJ191),SUMPRODUCT(INDEX($FK$325:$ID$396,FN$169,1+SwaptionShift):INDEX($FK$325:$ID$396,FN$169,SwaptionMonthsToGo+SwaptionShift),INDEX($FK$245:$ID$316,$FJ191-FN$169,73-FN$169+SwaptionShift):INDEX($FK$245:$ID$316,$FJ191-FN$169,72-FN$169+SwaptionMonthsToGo+SwaptionShift))/SQRT(SUM(INDEX($FK346:$ID346,1+SwaptionShift):INDEX($FK346:$ID346,SwaptionMonthsToGo+SwaptionShift))*SUM(INDEX($FK$325:$ID$396,FN$169,1+SwaptionShift):INDEX($FK$325:$ID$396,FN$169,SwaptionMonthsToGo+SwaptionShift))))))</f>
        <v/>
      </c>
      <c r="FO191" s="150" t="str">
        <f aca="false">IF(OR(FO$169&lt;SwaptionFirstMonthPosition+1,$FJ191&lt;SwaptionFirstMonthPosition+1,FO$169&gt;SwaptionFirstMonthPosition+SwaptionNumOfMonths+1,$FJ191&gt;SwaptionFirstMonthPosition+SwaptionNumOfMonths+1),"",IF($FJ191=FO$169,1,IF($FJ191&lt;FO$169,INDEX($FK$170:$ID$241,FO$169,$FJ191),SUMPRODUCT(INDEX($FK$325:$ID$396,FO$169,1+SwaptionShift):INDEX($FK$325:$ID$396,FO$169,SwaptionMonthsToGo+SwaptionShift),INDEX($FK$245:$ID$316,$FJ191-FO$169,73-FO$169+SwaptionShift):INDEX($FK$245:$ID$316,$FJ191-FO$169,72-FO$169+SwaptionMonthsToGo+SwaptionShift))/SQRT(SUM(INDEX($FK346:$ID346,1+SwaptionShift):INDEX($FK346:$ID346,SwaptionMonthsToGo+SwaptionShift))*SUM(INDEX($FK$325:$ID$396,FO$169,1+SwaptionShift):INDEX($FK$325:$ID$396,FO$169,SwaptionMonthsToGo+SwaptionShift))))))</f>
        <v/>
      </c>
      <c r="FP191" s="150" t="str">
        <f aca="false">IF(OR(FP$169&lt;SwaptionFirstMonthPosition+1,$FJ191&lt;SwaptionFirstMonthPosition+1,FP$169&gt;SwaptionFirstMonthPosition+SwaptionNumOfMonths+1,$FJ191&gt;SwaptionFirstMonthPosition+SwaptionNumOfMonths+1),"",IF($FJ191=FP$169,1,IF($FJ191&lt;FP$169,INDEX($FK$170:$ID$241,FP$169,$FJ191),SUMPRODUCT(INDEX($FK$325:$ID$396,FP$169,1+SwaptionShift):INDEX($FK$325:$ID$396,FP$169,SwaptionMonthsToGo+SwaptionShift),INDEX($FK$245:$ID$316,$FJ191-FP$169,73-FP$169+SwaptionShift):INDEX($FK$245:$ID$316,$FJ191-FP$169,72-FP$169+SwaptionMonthsToGo+SwaptionShift))/SQRT(SUM(INDEX($FK346:$ID346,1+SwaptionShift):INDEX($FK346:$ID346,SwaptionMonthsToGo+SwaptionShift))*SUM(INDEX($FK$325:$ID$396,FP$169,1+SwaptionShift):INDEX($FK$325:$ID$396,FP$169,SwaptionMonthsToGo+SwaptionShift))))))</f>
        <v/>
      </c>
      <c r="FQ191" s="150" t="str">
        <f aca="false">IF(OR(FQ$169&lt;SwaptionFirstMonthPosition+1,$FJ191&lt;SwaptionFirstMonthPosition+1,FQ$169&gt;SwaptionFirstMonthPosition+SwaptionNumOfMonths+1,$FJ191&gt;SwaptionFirstMonthPosition+SwaptionNumOfMonths+1),"",IF($FJ191=FQ$169,1,IF($FJ191&lt;FQ$169,INDEX($FK$170:$ID$241,FQ$169,$FJ191),SUMPRODUCT(INDEX($FK$325:$ID$396,FQ$169,1+SwaptionShift):INDEX($FK$325:$ID$396,FQ$169,SwaptionMonthsToGo+SwaptionShift),INDEX($FK$245:$ID$316,$FJ191-FQ$169,73-FQ$169+SwaptionShift):INDEX($FK$245:$ID$316,$FJ191-FQ$169,72-FQ$169+SwaptionMonthsToGo+SwaptionShift))/SQRT(SUM(INDEX($FK346:$ID346,1+SwaptionShift):INDEX($FK346:$ID346,SwaptionMonthsToGo+SwaptionShift))*SUM(INDEX($FK$325:$ID$396,FQ$169,1+SwaptionShift):INDEX($FK$325:$ID$396,FQ$169,SwaptionMonthsToGo+SwaptionShift))))))</f>
        <v/>
      </c>
      <c r="FR191" s="150" t="str">
        <f aca="false">IF(OR(FR$169&lt;SwaptionFirstMonthPosition+1,$FJ191&lt;SwaptionFirstMonthPosition+1,FR$169&gt;SwaptionFirstMonthPosition+SwaptionNumOfMonths+1,$FJ191&gt;SwaptionFirstMonthPosition+SwaptionNumOfMonths+1),"",IF($FJ191=FR$169,1,IF($FJ191&lt;FR$169,INDEX($FK$170:$ID$241,FR$169,$FJ191),SUMPRODUCT(INDEX($FK$325:$ID$396,FR$169,1+SwaptionShift):INDEX($FK$325:$ID$396,FR$169,SwaptionMonthsToGo+SwaptionShift),INDEX($FK$245:$ID$316,$FJ191-FR$169,73-FR$169+SwaptionShift):INDEX($FK$245:$ID$316,$FJ191-FR$169,72-FR$169+SwaptionMonthsToGo+SwaptionShift))/SQRT(SUM(INDEX($FK346:$ID346,1+SwaptionShift):INDEX($FK346:$ID346,SwaptionMonthsToGo+SwaptionShift))*SUM(INDEX($FK$325:$ID$396,FR$169,1+SwaptionShift):INDEX($FK$325:$ID$396,FR$169,SwaptionMonthsToGo+SwaptionShift))))))</f>
        <v/>
      </c>
      <c r="FS191" s="150" t="str">
        <f aca="false">IF(OR(FS$169&lt;SwaptionFirstMonthPosition+1,$FJ191&lt;SwaptionFirstMonthPosition+1,FS$169&gt;SwaptionFirstMonthPosition+SwaptionNumOfMonths+1,$FJ191&gt;SwaptionFirstMonthPosition+SwaptionNumOfMonths+1),"",IF($FJ191=FS$169,1,IF($FJ191&lt;FS$169,INDEX($FK$170:$ID$241,FS$169,$FJ191),SUMPRODUCT(INDEX($FK$325:$ID$396,FS$169,1+SwaptionShift):INDEX($FK$325:$ID$396,FS$169,SwaptionMonthsToGo+SwaptionShift),INDEX($FK$245:$ID$316,$FJ191-FS$169,73-FS$169+SwaptionShift):INDEX($FK$245:$ID$316,$FJ191-FS$169,72-FS$169+SwaptionMonthsToGo+SwaptionShift))/SQRT(SUM(INDEX($FK346:$ID346,1+SwaptionShift):INDEX($FK346:$ID346,SwaptionMonthsToGo+SwaptionShift))*SUM(INDEX($FK$325:$ID$396,FS$169,1+SwaptionShift):INDEX($FK$325:$ID$396,FS$169,SwaptionMonthsToGo+SwaptionShift))))))</f>
        <v/>
      </c>
      <c r="FT191" s="150" t="str">
        <f aca="false">IF(OR(FT$169&lt;SwaptionFirstMonthPosition+1,$FJ191&lt;SwaptionFirstMonthPosition+1,FT$169&gt;SwaptionFirstMonthPosition+SwaptionNumOfMonths+1,$FJ191&gt;SwaptionFirstMonthPosition+SwaptionNumOfMonths+1),"",IF($FJ191=FT$169,1,IF($FJ191&lt;FT$169,INDEX($FK$170:$ID$241,FT$169,$FJ191),SUMPRODUCT(INDEX($FK$325:$ID$396,FT$169,1+SwaptionShift):INDEX($FK$325:$ID$396,FT$169,SwaptionMonthsToGo+SwaptionShift),INDEX($FK$245:$ID$316,$FJ191-FT$169,73-FT$169+SwaptionShift):INDEX($FK$245:$ID$316,$FJ191-FT$169,72-FT$169+SwaptionMonthsToGo+SwaptionShift))/SQRT(SUM(INDEX($FK346:$ID346,1+SwaptionShift):INDEX($FK346:$ID346,SwaptionMonthsToGo+SwaptionShift))*SUM(INDEX($FK$325:$ID$396,FT$169,1+SwaptionShift):INDEX($FK$325:$ID$396,FT$169,SwaptionMonthsToGo+SwaptionShift))))))</f>
        <v/>
      </c>
      <c r="FU191" s="150" t="str">
        <f aca="false">IF(OR(FU$169&lt;SwaptionFirstMonthPosition+1,$FJ191&lt;SwaptionFirstMonthPosition+1,FU$169&gt;SwaptionFirstMonthPosition+SwaptionNumOfMonths+1,$FJ191&gt;SwaptionFirstMonthPosition+SwaptionNumOfMonths+1),"",IF($FJ191=FU$169,1,IF($FJ191&lt;FU$169,INDEX($FK$170:$ID$241,FU$169,$FJ191),SUMPRODUCT(INDEX($FK$325:$ID$396,FU$169,1+SwaptionShift):INDEX($FK$325:$ID$396,FU$169,SwaptionMonthsToGo+SwaptionShift),INDEX($FK$245:$ID$316,$FJ191-FU$169,73-FU$169+SwaptionShift):INDEX($FK$245:$ID$316,$FJ191-FU$169,72-FU$169+SwaptionMonthsToGo+SwaptionShift))/SQRT(SUM(INDEX($FK346:$ID346,1+SwaptionShift):INDEX($FK346:$ID346,SwaptionMonthsToGo+SwaptionShift))*SUM(INDEX($FK$325:$ID$396,FU$169,1+SwaptionShift):INDEX($FK$325:$ID$396,FU$169,SwaptionMonthsToGo+SwaptionShift))))))</f>
        <v/>
      </c>
      <c r="FV191" s="150" t="str">
        <f aca="false">IF(OR(FV$169&lt;SwaptionFirstMonthPosition+1,$FJ191&lt;SwaptionFirstMonthPosition+1,FV$169&gt;SwaptionFirstMonthPosition+SwaptionNumOfMonths+1,$FJ191&gt;SwaptionFirstMonthPosition+SwaptionNumOfMonths+1),"",IF($FJ191=FV$169,1,IF($FJ191&lt;FV$169,INDEX($FK$170:$ID$241,FV$169,$FJ191),SUMPRODUCT(INDEX($FK$325:$ID$396,FV$169,1+SwaptionShift):INDEX($FK$325:$ID$396,FV$169,SwaptionMonthsToGo+SwaptionShift),INDEX($FK$245:$ID$316,$FJ191-FV$169,73-FV$169+SwaptionShift):INDEX($FK$245:$ID$316,$FJ191-FV$169,72-FV$169+SwaptionMonthsToGo+SwaptionShift))/SQRT(SUM(INDEX($FK346:$ID346,1+SwaptionShift):INDEX($FK346:$ID346,SwaptionMonthsToGo+SwaptionShift))*SUM(INDEX($FK$325:$ID$396,FV$169,1+SwaptionShift):INDEX($FK$325:$ID$396,FV$169,SwaptionMonthsToGo+SwaptionShift))))))</f>
        <v/>
      </c>
      <c r="FW191" s="150" t="str">
        <f aca="false">IF(OR(FW$169&lt;SwaptionFirstMonthPosition+1,$FJ191&lt;SwaptionFirstMonthPosition+1,FW$169&gt;SwaptionFirstMonthPosition+SwaptionNumOfMonths+1,$FJ191&gt;SwaptionFirstMonthPosition+SwaptionNumOfMonths+1),"",IF($FJ191=FW$169,1,IF($FJ191&lt;FW$169,INDEX($FK$170:$ID$241,FW$169,$FJ191),SUMPRODUCT(INDEX($FK$325:$ID$396,FW$169,1+SwaptionShift):INDEX($FK$325:$ID$396,FW$169,SwaptionMonthsToGo+SwaptionShift),INDEX($FK$245:$ID$316,$FJ191-FW$169,73-FW$169+SwaptionShift):INDEX($FK$245:$ID$316,$FJ191-FW$169,72-FW$169+SwaptionMonthsToGo+SwaptionShift))/SQRT(SUM(INDEX($FK346:$ID346,1+SwaptionShift):INDEX($FK346:$ID346,SwaptionMonthsToGo+SwaptionShift))*SUM(INDEX($FK$325:$ID$396,FW$169,1+SwaptionShift):INDEX($FK$325:$ID$396,FW$169,SwaptionMonthsToGo+SwaptionShift))))))</f>
        <v/>
      </c>
      <c r="FX191" s="150" t="str">
        <f aca="false">IF(OR(FX$169&lt;SwaptionFirstMonthPosition+1,$FJ191&lt;SwaptionFirstMonthPosition+1,FX$169&gt;SwaptionFirstMonthPosition+SwaptionNumOfMonths+1,$FJ191&gt;SwaptionFirstMonthPosition+SwaptionNumOfMonths+1),"",IF($FJ191=FX$169,1,IF($FJ191&lt;FX$169,INDEX($FK$170:$ID$241,FX$169,$FJ191),SUMPRODUCT(INDEX($FK$325:$ID$396,FX$169,1+SwaptionShift):INDEX($FK$325:$ID$396,FX$169,SwaptionMonthsToGo+SwaptionShift),INDEX($FK$245:$ID$316,$FJ191-FX$169,73-FX$169+SwaptionShift):INDEX($FK$245:$ID$316,$FJ191-FX$169,72-FX$169+SwaptionMonthsToGo+SwaptionShift))/SQRT(SUM(INDEX($FK346:$ID346,1+SwaptionShift):INDEX($FK346:$ID346,SwaptionMonthsToGo+SwaptionShift))*SUM(INDEX($FK$325:$ID$396,FX$169,1+SwaptionShift):INDEX($FK$325:$ID$396,FX$169,SwaptionMonthsToGo+SwaptionShift))))))</f>
        <v/>
      </c>
      <c r="FY191" s="150" t="str">
        <f aca="false">IF(OR(FY$169&lt;SwaptionFirstMonthPosition+1,$FJ191&lt;SwaptionFirstMonthPosition+1,FY$169&gt;SwaptionFirstMonthPosition+SwaptionNumOfMonths+1,$FJ191&gt;SwaptionFirstMonthPosition+SwaptionNumOfMonths+1),"",IF($FJ191=FY$169,1,IF($FJ191&lt;FY$169,INDEX($FK$170:$ID$241,FY$169,$FJ191),SUMPRODUCT(INDEX($FK$325:$ID$396,FY$169,1+SwaptionShift):INDEX($FK$325:$ID$396,FY$169,SwaptionMonthsToGo+SwaptionShift),INDEX($FK$245:$ID$316,$FJ191-FY$169,73-FY$169+SwaptionShift):INDEX($FK$245:$ID$316,$FJ191-FY$169,72-FY$169+SwaptionMonthsToGo+SwaptionShift))/SQRT(SUM(INDEX($FK346:$ID346,1+SwaptionShift):INDEX($FK346:$ID346,SwaptionMonthsToGo+SwaptionShift))*SUM(INDEX($FK$325:$ID$396,FY$169,1+SwaptionShift):INDEX($FK$325:$ID$396,FY$169,SwaptionMonthsToGo+SwaptionShift))))))</f>
        <v/>
      </c>
      <c r="FZ191" s="150" t="str">
        <f aca="false">IF(OR(FZ$169&lt;SwaptionFirstMonthPosition+1,$FJ191&lt;SwaptionFirstMonthPosition+1,FZ$169&gt;SwaptionFirstMonthPosition+SwaptionNumOfMonths+1,$FJ191&gt;SwaptionFirstMonthPosition+SwaptionNumOfMonths+1),"",IF($FJ191=FZ$169,1,IF($FJ191&lt;FZ$169,INDEX($FK$170:$ID$241,FZ$169,$FJ191),SUMPRODUCT(INDEX($FK$325:$ID$396,FZ$169,1+SwaptionShift):INDEX($FK$325:$ID$396,FZ$169,SwaptionMonthsToGo+SwaptionShift),INDEX($FK$245:$ID$316,$FJ191-FZ$169,73-FZ$169+SwaptionShift):INDEX($FK$245:$ID$316,$FJ191-FZ$169,72-FZ$169+SwaptionMonthsToGo+SwaptionShift))/SQRT(SUM(INDEX($FK346:$ID346,1+SwaptionShift):INDEX($FK346:$ID346,SwaptionMonthsToGo+SwaptionShift))*SUM(INDEX($FK$325:$ID$396,FZ$169,1+SwaptionShift):INDEX($FK$325:$ID$396,FZ$169,SwaptionMonthsToGo+SwaptionShift))))))</f>
        <v/>
      </c>
      <c r="GA191" s="150" t="str">
        <f aca="false">IF(OR(GA$169&lt;SwaptionFirstMonthPosition+1,$FJ191&lt;SwaptionFirstMonthPosition+1,GA$169&gt;SwaptionFirstMonthPosition+SwaptionNumOfMonths+1,$FJ191&gt;SwaptionFirstMonthPosition+SwaptionNumOfMonths+1),"",IF($FJ191=GA$169,1,IF($FJ191&lt;GA$169,INDEX($FK$170:$ID$241,GA$169,$FJ191),SUMPRODUCT(INDEX($FK$325:$ID$396,GA$169,1+SwaptionShift):INDEX($FK$325:$ID$396,GA$169,SwaptionMonthsToGo+SwaptionShift),INDEX($FK$245:$ID$316,$FJ191-GA$169,73-GA$169+SwaptionShift):INDEX($FK$245:$ID$316,$FJ191-GA$169,72-GA$169+SwaptionMonthsToGo+SwaptionShift))/SQRT(SUM(INDEX($FK346:$ID346,1+SwaptionShift):INDEX($FK346:$ID346,SwaptionMonthsToGo+SwaptionShift))*SUM(INDEX($FK$325:$ID$396,GA$169,1+SwaptionShift):INDEX($FK$325:$ID$396,GA$169,SwaptionMonthsToGo+SwaptionShift))))))</f>
        <v/>
      </c>
      <c r="GB191" s="150" t="str">
        <f aca="false">IF(OR(GB$169&lt;SwaptionFirstMonthPosition+1,$FJ191&lt;SwaptionFirstMonthPosition+1,GB$169&gt;SwaptionFirstMonthPosition+SwaptionNumOfMonths+1,$FJ191&gt;SwaptionFirstMonthPosition+SwaptionNumOfMonths+1),"",IF($FJ191=GB$169,1,IF($FJ191&lt;GB$169,INDEX($FK$170:$ID$241,GB$169,$FJ191),SUMPRODUCT(INDEX($FK$325:$ID$396,GB$169,1+SwaptionShift):INDEX($FK$325:$ID$396,GB$169,SwaptionMonthsToGo+SwaptionShift),INDEX($FK$245:$ID$316,$FJ191-GB$169,73-GB$169+SwaptionShift):INDEX($FK$245:$ID$316,$FJ191-GB$169,72-GB$169+SwaptionMonthsToGo+SwaptionShift))/SQRT(SUM(INDEX($FK346:$ID346,1+SwaptionShift):INDEX($FK346:$ID346,SwaptionMonthsToGo+SwaptionShift))*SUM(INDEX($FK$325:$ID$396,GB$169,1+SwaptionShift):INDEX($FK$325:$ID$396,GB$169,SwaptionMonthsToGo+SwaptionShift))))))</f>
        <v/>
      </c>
      <c r="GC191" s="150" t="str">
        <f aca="false">IF(OR(GC$169&lt;SwaptionFirstMonthPosition+1,$FJ191&lt;SwaptionFirstMonthPosition+1,GC$169&gt;SwaptionFirstMonthPosition+SwaptionNumOfMonths+1,$FJ191&gt;SwaptionFirstMonthPosition+SwaptionNumOfMonths+1),"",IF($FJ191=GC$169,1,IF($FJ191&lt;GC$169,INDEX($FK$170:$ID$241,GC$169,$FJ191),SUMPRODUCT(INDEX($FK$325:$ID$396,GC$169,1+SwaptionShift):INDEX($FK$325:$ID$396,GC$169,SwaptionMonthsToGo+SwaptionShift),INDEX($FK$245:$ID$316,$FJ191-GC$169,73-GC$169+SwaptionShift):INDEX($FK$245:$ID$316,$FJ191-GC$169,72-GC$169+SwaptionMonthsToGo+SwaptionShift))/SQRT(SUM(INDEX($FK346:$ID346,1+SwaptionShift):INDEX($FK346:$ID346,SwaptionMonthsToGo+SwaptionShift))*SUM(INDEX($FK$325:$ID$396,GC$169,1+SwaptionShift):INDEX($FK$325:$ID$396,GC$169,SwaptionMonthsToGo+SwaptionShift))))))</f>
        <v/>
      </c>
      <c r="GD191" s="150" t="str">
        <f aca="false">IF(OR(GD$169&lt;SwaptionFirstMonthPosition+1,$FJ191&lt;SwaptionFirstMonthPosition+1,GD$169&gt;SwaptionFirstMonthPosition+SwaptionNumOfMonths+1,$FJ191&gt;SwaptionFirstMonthPosition+SwaptionNumOfMonths+1),"",IF($FJ191=GD$169,1,IF($FJ191&lt;GD$169,INDEX($FK$170:$ID$241,GD$169,$FJ191),SUMPRODUCT(INDEX($FK$325:$ID$396,GD$169,1+SwaptionShift):INDEX($FK$325:$ID$396,GD$169,SwaptionMonthsToGo+SwaptionShift),INDEX($FK$245:$ID$316,$FJ191-GD$169,73-GD$169+SwaptionShift):INDEX($FK$245:$ID$316,$FJ191-GD$169,72-GD$169+SwaptionMonthsToGo+SwaptionShift))/SQRT(SUM(INDEX($FK346:$ID346,1+SwaptionShift):INDEX($FK346:$ID346,SwaptionMonthsToGo+SwaptionShift))*SUM(INDEX($FK$325:$ID$396,GD$169,1+SwaptionShift):INDEX($FK$325:$ID$396,GD$169,SwaptionMonthsToGo+SwaptionShift))))))</f>
        <v/>
      </c>
      <c r="GE191" s="150" t="str">
        <f aca="false">IF(OR(GE$169&lt;SwaptionFirstMonthPosition+1,$FJ191&lt;SwaptionFirstMonthPosition+1,GE$169&gt;SwaptionFirstMonthPosition+SwaptionNumOfMonths+1,$FJ191&gt;SwaptionFirstMonthPosition+SwaptionNumOfMonths+1),"",IF($FJ191=GE$169,1,IF($FJ191&lt;GE$169,INDEX($FK$170:$ID$241,GE$169,$FJ191),SUMPRODUCT(INDEX($FK$325:$ID$396,GE$169,1+SwaptionShift):INDEX($FK$325:$ID$396,GE$169,SwaptionMonthsToGo+SwaptionShift),INDEX($FK$245:$ID$316,$FJ191-GE$169,73-GE$169+SwaptionShift):INDEX($FK$245:$ID$316,$FJ191-GE$169,72-GE$169+SwaptionMonthsToGo+SwaptionShift))/SQRT(SUM(INDEX($FK346:$ID346,1+SwaptionShift):INDEX($FK346:$ID346,SwaptionMonthsToGo+SwaptionShift))*SUM(INDEX($FK$325:$ID$396,GE$169,1+SwaptionShift):INDEX($FK$325:$ID$396,GE$169,SwaptionMonthsToGo+SwaptionShift))))))</f>
        <v/>
      </c>
      <c r="GF191" s="150" t="str">
        <f aca="false">IF(OR(GF$169&lt;SwaptionFirstMonthPosition+1,$FJ191&lt;SwaptionFirstMonthPosition+1,GF$169&gt;SwaptionFirstMonthPosition+SwaptionNumOfMonths+1,$FJ191&gt;SwaptionFirstMonthPosition+SwaptionNumOfMonths+1),"",IF($FJ191=GF$169,1,IF($FJ191&lt;GF$169,INDEX($FK$170:$ID$241,GF$169,$FJ191),SUMPRODUCT(INDEX($FK$325:$ID$396,GF$169,1+SwaptionShift):INDEX($FK$325:$ID$396,GF$169,SwaptionMonthsToGo+SwaptionShift),INDEX($FK$245:$ID$316,$FJ191-GF$169,73-GF$169+SwaptionShift):INDEX($FK$245:$ID$316,$FJ191-GF$169,72-GF$169+SwaptionMonthsToGo+SwaptionShift))/SQRT(SUM(INDEX($FK346:$ID346,1+SwaptionShift):INDEX($FK346:$ID346,SwaptionMonthsToGo+SwaptionShift))*SUM(INDEX($FK$325:$ID$396,GF$169,1+SwaptionShift):INDEX($FK$325:$ID$396,GF$169,SwaptionMonthsToGo+SwaptionShift))))))</f>
        <v/>
      </c>
      <c r="GG191" s="150" t="str">
        <f aca="false">IF(OR(GG$169&lt;SwaptionFirstMonthPosition+1,$FJ191&lt;SwaptionFirstMonthPosition+1,GG$169&gt;SwaptionFirstMonthPosition+SwaptionNumOfMonths+1,$FJ191&gt;SwaptionFirstMonthPosition+SwaptionNumOfMonths+1),"",IF($FJ191=GG$169,1,IF($FJ191&lt;GG$169,INDEX($FK$170:$ID$241,GG$169,$FJ191),SUMPRODUCT(INDEX($FK$325:$ID$396,GG$169,1+SwaptionShift):INDEX($FK$325:$ID$396,GG$169,SwaptionMonthsToGo+SwaptionShift),INDEX($FK$245:$ID$316,$FJ191-GG$169,73-GG$169+SwaptionShift):INDEX($FK$245:$ID$316,$FJ191-GG$169,72-GG$169+SwaptionMonthsToGo+SwaptionShift))/SQRT(SUM(INDEX($FK346:$ID346,1+SwaptionShift):INDEX($FK346:$ID346,SwaptionMonthsToGo+SwaptionShift))*SUM(INDEX($FK$325:$ID$396,GG$169,1+SwaptionShift):INDEX($FK$325:$ID$396,GG$169,SwaptionMonthsToGo+SwaptionShift))))))</f>
        <v/>
      </c>
      <c r="GH191" s="150" t="str">
        <f aca="false">IF(OR(GH$169&lt;SwaptionFirstMonthPosition+1,$FJ191&lt;SwaptionFirstMonthPosition+1,GH$169&gt;SwaptionFirstMonthPosition+SwaptionNumOfMonths+1,$FJ191&gt;SwaptionFirstMonthPosition+SwaptionNumOfMonths+1),"",IF($FJ191=GH$169,1,IF($FJ191&lt;GH$169,INDEX($FK$170:$ID$241,GH$169,$FJ191),SUMPRODUCT(INDEX($FK$325:$ID$396,GH$169,1+SwaptionShift):INDEX($FK$325:$ID$396,GH$169,SwaptionMonthsToGo+SwaptionShift),INDEX($FK$245:$ID$316,$FJ191-GH$169,73-GH$169+SwaptionShift):INDEX($FK$245:$ID$316,$FJ191-GH$169,72-GH$169+SwaptionMonthsToGo+SwaptionShift))/SQRT(SUM(INDEX($FK346:$ID346,1+SwaptionShift):INDEX($FK346:$ID346,SwaptionMonthsToGo+SwaptionShift))*SUM(INDEX($FK$325:$ID$396,GH$169,1+SwaptionShift):INDEX($FK$325:$ID$396,GH$169,SwaptionMonthsToGo+SwaptionShift))))))</f>
        <v/>
      </c>
      <c r="GI191" s="150" t="str">
        <f aca="false">IF(OR(GI$169&lt;SwaptionFirstMonthPosition+1,$FJ191&lt;SwaptionFirstMonthPosition+1,GI$169&gt;SwaptionFirstMonthPosition+SwaptionNumOfMonths+1,$FJ191&gt;SwaptionFirstMonthPosition+SwaptionNumOfMonths+1),"",IF($FJ191=GI$169,1,IF($FJ191&lt;GI$169,INDEX($FK$170:$ID$241,GI$169,$FJ191),SUMPRODUCT(INDEX($FK$325:$ID$396,GI$169,1+SwaptionShift):INDEX($FK$325:$ID$396,GI$169,SwaptionMonthsToGo+SwaptionShift),INDEX($FK$245:$ID$316,$FJ191-GI$169,73-GI$169+SwaptionShift):INDEX($FK$245:$ID$316,$FJ191-GI$169,72-GI$169+SwaptionMonthsToGo+SwaptionShift))/SQRT(SUM(INDEX($FK346:$ID346,1+SwaptionShift):INDEX($FK346:$ID346,SwaptionMonthsToGo+SwaptionShift))*SUM(INDEX($FK$325:$ID$396,GI$169,1+SwaptionShift):INDEX($FK$325:$ID$396,GI$169,SwaptionMonthsToGo+SwaptionShift))))))</f>
        <v/>
      </c>
      <c r="GJ191" s="150" t="str">
        <f aca="false">IF(OR(GJ$169&lt;SwaptionFirstMonthPosition+1,$FJ191&lt;SwaptionFirstMonthPosition+1,GJ$169&gt;SwaptionFirstMonthPosition+SwaptionNumOfMonths+1,$FJ191&gt;SwaptionFirstMonthPosition+SwaptionNumOfMonths+1),"",IF($FJ191=GJ$169,1,IF($FJ191&lt;GJ$169,INDEX($FK$170:$ID$241,GJ$169,$FJ191),SUMPRODUCT(INDEX($FK$325:$ID$396,GJ$169,1+SwaptionShift):INDEX($FK$325:$ID$396,GJ$169,SwaptionMonthsToGo+SwaptionShift),INDEX($FK$245:$ID$316,$FJ191-GJ$169,73-GJ$169+SwaptionShift):INDEX($FK$245:$ID$316,$FJ191-GJ$169,72-GJ$169+SwaptionMonthsToGo+SwaptionShift))/SQRT(SUM(INDEX($FK346:$ID346,1+SwaptionShift):INDEX($FK346:$ID346,SwaptionMonthsToGo+SwaptionShift))*SUM(INDEX($FK$325:$ID$396,GJ$169,1+SwaptionShift):INDEX($FK$325:$ID$396,GJ$169,SwaptionMonthsToGo+SwaptionShift))))))</f>
        <v/>
      </c>
      <c r="GK191" s="150" t="str">
        <f aca="false">IF(OR(GK$169&lt;SwaptionFirstMonthPosition+1,$FJ191&lt;SwaptionFirstMonthPosition+1,GK$169&gt;SwaptionFirstMonthPosition+SwaptionNumOfMonths+1,$FJ191&gt;SwaptionFirstMonthPosition+SwaptionNumOfMonths+1),"",IF($FJ191=GK$169,1,IF($FJ191&lt;GK$169,INDEX($FK$170:$ID$241,GK$169,$FJ191),SUMPRODUCT(INDEX($FK$325:$ID$396,GK$169,1+SwaptionShift):INDEX($FK$325:$ID$396,GK$169,SwaptionMonthsToGo+SwaptionShift),INDEX($FK$245:$ID$316,$FJ191-GK$169,73-GK$169+SwaptionShift):INDEX($FK$245:$ID$316,$FJ191-GK$169,72-GK$169+SwaptionMonthsToGo+SwaptionShift))/SQRT(SUM(INDEX($FK346:$ID346,1+SwaptionShift):INDEX($FK346:$ID346,SwaptionMonthsToGo+SwaptionShift))*SUM(INDEX($FK$325:$ID$396,GK$169,1+SwaptionShift):INDEX($FK$325:$ID$396,GK$169,SwaptionMonthsToGo+SwaptionShift))))))</f>
        <v/>
      </c>
      <c r="GL191" s="150" t="str">
        <f aca="false">IF(OR(GL$169&lt;SwaptionFirstMonthPosition+1,$FJ191&lt;SwaptionFirstMonthPosition+1,GL$169&gt;SwaptionFirstMonthPosition+SwaptionNumOfMonths+1,$FJ191&gt;SwaptionFirstMonthPosition+SwaptionNumOfMonths+1),"",IF($FJ191=GL$169,1,IF($FJ191&lt;GL$169,INDEX($FK$170:$ID$241,GL$169,$FJ191),SUMPRODUCT(INDEX($FK$325:$ID$396,GL$169,1+SwaptionShift):INDEX($FK$325:$ID$396,GL$169,SwaptionMonthsToGo+SwaptionShift),INDEX($FK$245:$ID$316,$FJ191-GL$169,73-GL$169+SwaptionShift):INDEX($FK$245:$ID$316,$FJ191-GL$169,72-GL$169+SwaptionMonthsToGo+SwaptionShift))/SQRT(SUM(INDEX($FK346:$ID346,1+SwaptionShift):INDEX($FK346:$ID346,SwaptionMonthsToGo+SwaptionShift))*SUM(INDEX($FK$325:$ID$396,GL$169,1+SwaptionShift):INDEX($FK$325:$ID$396,GL$169,SwaptionMonthsToGo+SwaptionShift))))))</f>
        <v/>
      </c>
      <c r="GM191" s="150" t="str">
        <f aca="false">IF(OR(GM$169&lt;SwaptionFirstMonthPosition+1,$FJ191&lt;SwaptionFirstMonthPosition+1,GM$169&gt;SwaptionFirstMonthPosition+SwaptionNumOfMonths+1,$FJ191&gt;SwaptionFirstMonthPosition+SwaptionNumOfMonths+1),"",IF($FJ191=GM$169,1,IF($FJ191&lt;GM$169,INDEX($FK$170:$ID$241,GM$169,$FJ191),SUMPRODUCT(INDEX($FK$325:$ID$396,GM$169,1+SwaptionShift):INDEX($FK$325:$ID$396,GM$169,SwaptionMonthsToGo+SwaptionShift),INDEX($FK$245:$ID$316,$FJ191-GM$169,73-GM$169+SwaptionShift):INDEX($FK$245:$ID$316,$FJ191-GM$169,72-GM$169+SwaptionMonthsToGo+SwaptionShift))/SQRT(SUM(INDEX($FK346:$ID346,1+SwaptionShift):INDEX($FK346:$ID346,SwaptionMonthsToGo+SwaptionShift))*SUM(INDEX($FK$325:$ID$396,GM$169,1+SwaptionShift):INDEX($FK$325:$ID$396,GM$169,SwaptionMonthsToGo+SwaptionShift))))))</f>
        <v/>
      </c>
      <c r="GN191" s="150" t="str">
        <f aca="false">IF(OR(GN$169&lt;SwaptionFirstMonthPosition+1,$FJ191&lt;SwaptionFirstMonthPosition+1,GN$169&gt;SwaptionFirstMonthPosition+SwaptionNumOfMonths+1,$FJ191&gt;SwaptionFirstMonthPosition+SwaptionNumOfMonths+1),"",IF($FJ191=GN$169,1,IF($FJ191&lt;GN$169,INDEX($FK$170:$ID$241,GN$169,$FJ191),SUMPRODUCT(INDEX($FK$325:$ID$396,GN$169,1+SwaptionShift):INDEX($FK$325:$ID$396,GN$169,SwaptionMonthsToGo+SwaptionShift),INDEX($FK$245:$ID$316,$FJ191-GN$169,73-GN$169+SwaptionShift):INDEX($FK$245:$ID$316,$FJ191-GN$169,72-GN$169+SwaptionMonthsToGo+SwaptionShift))/SQRT(SUM(INDEX($FK346:$ID346,1+SwaptionShift):INDEX($FK346:$ID346,SwaptionMonthsToGo+SwaptionShift))*SUM(INDEX($FK$325:$ID$396,GN$169,1+SwaptionShift):INDEX($FK$325:$ID$396,GN$169,SwaptionMonthsToGo+SwaptionShift))))))</f>
        <v/>
      </c>
      <c r="GO191" s="150" t="str">
        <f aca="false">IF(OR(GO$169&lt;SwaptionFirstMonthPosition+1,$FJ191&lt;SwaptionFirstMonthPosition+1,GO$169&gt;SwaptionFirstMonthPosition+SwaptionNumOfMonths+1,$FJ191&gt;SwaptionFirstMonthPosition+SwaptionNumOfMonths+1),"",IF($FJ191=GO$169,1,IF($FJ191&lt;GO$169,INDEX($FK$170:$ID$241,GO$169,$FJ191),SUMPRODUCT(INDEX($FK$325:$ID$396,GO$169,1+SwaptionShift):INDEX($FK$325:$ID$396,GO$169,SwaptionMonthsToGo+SwaptionShift),INDEX($FK$245:$ID$316,$FJ191-GO$169,73-GO$169+SwaptionShift):INDEX($FK$245:$ID$316,$FJ191-GO$169,72-GO$169+SwaptionMonthsToGo+SwaptionShift))/SQRT(SUM(INDEX($FK346:$ID346,1+SwaptionShift):INDEX($FK346:$ID346,SwaptionMonthsToGo+SwaptionShift))*SUM(INDEX($FK$325:$ID$396,GO$169,1+SwaptionShift):INDEX($FK$325:$ID$396,GO$169,SwaptionMonthsToGo+SwaptionShift))))))</f>
        <v/>
      </c>
      <c r="GP191" s="150" t="str">
        <f aca="false">IF(OR(GP$169&lt;SwaptionFirstMonthPosition+1,$FJ191&lt;SwaptionFirstMonthPosition+1,GP$169&gt;SwaptionFirstMonthPosition+SwaptionNumOfMonths+1,$FJ191&gt;SwaptionFirstMonthPosition+SwaptionNumOfMonths+1),"",IF($FJ191=GP$169,1,IF($FJ191&lt;GP$169,INDEX($FK$170:$ID$241,GP$169,$FJ191),SUMPRODUCT(INDEX($FK$325:$ID$396,GP$169,1+SwaptionShift):INDEX($FK$325:$ID$396,GP$169,SwaptionMonthsToGo+SwaptionShift),INDEX($FK$245:$ID$316,$FJ191-GP$169,73-GP$169+SwaptionShift):INDEX($FK$245:$ID$316,$FJ191-GP$169,72-GP$169+SwaptionMonthsToGo+SwaptionShift))/SQRT(SUM(INDEX($FK346:$ID346,1+SwaptionShift):INDEX($FK346:$ID346,SwaptionMonthsToGo+SwaptionShift))*SUM(INDEX($FK$325:$ID$396,GP$169,1+SwaptionShift):INDEX($FK$325:$ID$396,GP$169,SwaptionMonthsToGo+SwaptionShift))))))</f>
        <v/>
      </c>
      <c r="GQ191" s="150" t="str">
        <f aca="false">IF(OR(GQ$169&lt;SwaptionFirstMonthPosition+1,$FJ191&lt;SwaptionFirstMonthPosition+1,GQ$169&gt;SwaptionFirstMonthPosition+SwaptionNumOfMonths+1,$FJ191&gt;SwaptionFirstMonthPosition+SwaptionNumOfMonths+1),"",IF($FJ191=GQ$169,1,IF($FJ191&lt;GQ$169,INDEX($FK$170:$ID$241,GQ$169,$FJ191),SUMPRODUCT(INDEX($FK$325:$ID$396,GQ$169,1+SwaptionShift):INDEX($FK$325:$ID$396,GQ$169,SwaptionMonthsToGo+SwaptionShift),INDEX($FK$245:$ID$316,$FJ191-GQ$169,73-GQ$169+SwaptionShift):INDEX($FK$245:$ID$316,$FJ191-GQ$169,72-GQ$169+SwaptionMonthsToGo+SwaptionShift))/SQRT(SUM(INDEX($FK346:$ID346,1+SwaptionShift):INDEX($FK346:$ID346,SwaptionMonthsToGo+SwaptionShift))*SUM(INDEX($FK$325:$ID$396,GQ$169,1+SwaptionShift):INDEX($FK$325:$ID$396,GQ$169,SwaptionMonthsToGo+SwaptionShift))))))</f>
        <v/>
      </c>
      <c r="GR191" s="150" t="str">
        <f aca="false">IF(OR(GR$169&lt;SwaptionFirstMonthPosition+1,$FJ191&lt;SwaptionFirstMonthPosition+1,GR$169&gt;SwaptionFirstMonthPosition+SwaptionNumOfMonths+1,$FJ191&gt;SwaptionFirstMonthPosition+SwaptionNumOfMonths+1),"",IF($FJ191=GR$169,1,IF($FJ191&lt;GR$169,INDEX($FK$170:$ID$241,GR$169,$FJ191),SUMPRODUCT(INDEX($FK$325:$ID$396,GR$169,1+SwaptionShift):INDEX($FK$325:$ID$396,GR$169,SwaptionMonthsToGo+SwaptionShift),INDEX($FK$245:$ID$316,$FJ191-GR$169,73-GR$169+SwaptionShift):INDEX($FK$245:$ID$316,$FJ191-GR$169,72-GR$169+SwaptionMonthsToGo+SwaptionShift))/SQRT(SUM(INDEX($FK346:$ID346,1+SwaptionShift):INDEX($FK346:$ID346,SwaptionMonthsToGo+SwaptionShift))*SUM(INDEX($FK$325:$ID$396,GR$169,1+SwaptionShift):INDEX($FK$325:$ID$396,GR$169,SwaptionMonthsToGo+SwaptionShift))))))</f>
        <v/>
      </c>
      <c r="GS191" s="150" t="str">
        <f aca="false">IF(OR(GS$169&lt;SwaptionFirstMonthPosition+1,$FJ191&lt;SwaptionFirstMonthPosition+1,GS$169&gt;SwaptionFirstMonthPosition+SwaptionNumOfMonths+1,$FJ191&gt;SwaptionFirstMonthPosition+SwaptionNumOfMonths+1),"",IF($FJ191=GS$169,1,IF($FJ191&lt;GS$169,INDEX($FK$170:$ID$241,GS$169,$FJ191),SUMPRODUCT(INDEX($FK$325:$ID$396,GS$169,1+SwaptionShift):INDEX($FK$325:$ID$396,GS$169,SwaptionMonthsToGo+SwaptionShift),INDEX($FK$245:$ID$316,$FJ191-GS$169,73-GS$169+SwaptionShift):INDEX($FK$245:$ID$316,$FJ191-GS$169,72-GS$169+SwaptionMonthsToGo+SwaptionShift))/SQRT(SUM(INDEX($FK346:$ID346,1+SwaptionShift):INDEX($FK346:$ID346,SwaptionMonthsToGo+SwaptionShift))*SUM(INDEX($FK$325:$ID$396,GS$169,1+SwaptionShift):INDEX($FK$325:$ID$396,GS$169,SwaptionMonthsToGo+SwaptionShift))))))</f>
        <v/>
      </c>
      <c r="GT191" s="150" t="str">
        <f aca="false">IF(OR(GT$169&lt;SwaptionFirstMonthPosition+1,$FJ191&lt;SwaptionFirstMonthPosition+1,GT$169&gt;SwaptionFirstMonthPosition+SwaptionNumOfMonths+1,$FJ191&gt;SwaptionFirstMonthPosition+SwaptionNumOfMonths+1),"",IF($FJ191=GT$169,1,IF($FJ191&lt;GT$169,INDEX($FK$170:$ID$241,GT$169,$FJ191),SUMPRODUCT(INDEX($FK$325:$ID$396,GT$169,1+SwaptionShift):INDEX($FK$325:$ID$396,GT$169,SwaptionMonthsToGo+SwaptionShift),INDEX($FK$245:$ID$316,$FJ191-GT$169,73-GT$169+SwaptionShift):INDEX($FK$245:$ID$316,$FJ191-GT$169,72-GT$169+SwaptionMonthsToGo+SwaptionShift))/SQRT(SUM(INDEX($FK346:$ID346,1+SwaptionShift):INDEX($FK346:$ID346,SwaptionMonthsToGo+SwaptionShift))*SUM(INDEX($FK$325:$ID$396,GT$169,1+SwaptionShift):INDEX($FK$325:$ID$396,GT$169,SwaptionMonthsToGo+SwaptionShift))))))</f>
        <v/>
      </c>
      <c r="GU191" s="150" t="str">
        <f aca="false">IF(OR(GU$169&lt;SwaptionFirstMonthPosition+1,$FJ191&lt;SwaptionFirstMonthPosition+1,GU$169&gt;SwaptionFirstMonthPosition+SwaptionNumOfMonths+1,$FJ191&gt;SwaptionFirstMonthPosition+SwaptionNumOfMonths+1),"",IF($FJ191=GU$169,1,IF($FJ191&lt;GU$169,INDEX($FK$170:$ID$241,GU$169,$FJ191),SUMPRODUCT(INDEX($FK$325:$ID$396,GU$169,1+SwaptionShift):INDEX($FK$325:$ID$396,GU$169,SwaptionMonthsToGo+SwaptionShift),INDEX($FK$245:$ID$316,$FJ191-GU$169,73-GU$169+SwaptionShift):INDEX($FK$245:$ID$316,$FJ191-GU$169,72-GU$169+SwaptionMonthsToGo+SwaptionShift))/SQRT(SUM(INDEX($FK346:$ID346,1+SwaptionShift):INDEX($FK346:$ID346,SwaptionMonthsToGo+SwaptionShift))*SUM(INDEX($FK$325:$ID$396,GU$169,1+SwaptionShift):INDEX($FK$325:$ID$396,GU$169,SwaptionMonthsToGo+SwaptionShift))))))</f>
        <v/>
      </c>
      <c r="GV191" s="150" t="str">
        <f aca="false">IF(OR(GV$169&lt;SwaptionFirstMonthPosition+1,$FJ191&lt;SwaptionFirstMonthPosition+1,GV$169&gt;SwaptionFirstMonthPosition+SwaptionNumOfMonths+1,$FJ191&gt;SwaptionFirstMonthPosition+SwaptionNumOfMonths+1),"",IF($FJ191=GV$169,1,IF($FJ191&lt;GV$169,INDEX($FK$170:$ID$241,GV$169,$FJ191),SUMPRODUCT(INDEX($FK$325:$ID$396,GV$169,1+SwaptionShift):INDEX($FK$325:$ID$396,GV$169,SwaptionMonthsToGo+SwaptionShift),INDEX($FK$245:$ID$316,$FJ191-GV$169,73-GV$169+SwaptionShift):INDEX($FK$245:$ID$316,$FJ191-GV$169,72-GV$169+SwaptionMonthsToGo+SwaptionShift))/SQRT(SUM(INDEX($FK346:$ID346,1+SwaptionShift):INDEX($FK346:$ID346,SwaptionMonthsToGo+SwaptionShift))*SUM(INDEX($FK$325:$ID$396,GV$169,1+SwaptionShift):INDEX($FK$325:$ID$396,GV$169,SwaptionMonthsToGo+SwaptionShift))))))</f>
        <v/>
      </c>
      <c r="GW191" s="150" t="str">
        <f aca="false">IF(OR(GW$169&lt;SwaptionFirstMonthPosition+1,$FJ191&lt;SwaptionFirstMonthPosition+1,GW$169&gt;SwaptionFirstMonthPosition+SwaptionNumOfMonths+1,$FJ191&gt;SwaptionFirstMonthPosition+SwaptionNumOfMonths+1),"",IF($FJ191=GW$169,1,IF($FJ191&lt;GW$169,INDEX($FK$170:$ID$241,GW$169,$FJ191),SUMPRODUCT(INDEX($FK$325:$ID$396,GW$169,1+SwaptionShift):INDEX($FK$325:$ID$396,GW$169,SwaptionMonthsToGo+SwaptionShift),INDEX($FK$245:$ID$316,$FJ191-GW$169,73-GW$169+SwaptionShift):INDEX($FK$245:$ID$316,$FJ191-GW$169,72-GW$169+SwaptionMonthsToGo+SwaptionShift))/SQRT(SUM(INDEX($FK346:$ID346,1+SwaptionShift):INDEX($FK346:$ID346,SwaptionMonthsToGo+SwaptionShift))*SUM(INDEX($FK$325:$ID$396,GW$169,1+SwaptionShift):INDEX($FK$325:$ID$396,GW$169,SwaptionMonthsToGo+SwaptionShift))))))</f>
        <v/>
      </c>
      <c r="GX191" s="150" t="str">
        <f aca="false">IF(OR(GX$169&lt;SwaptionFirstMonthPosition+1,$FJ191&lt;SwaptionFirstMonthPosition+1,GX$169&gt;SwaptionFirstMonthPosition+SwaptionNumOfMonths+1,$FJ191&gt;SwaptionFirstMonthPosition+SwaptionNumOfMonths+1),"",IF($FJ191=GX$169,1,IF($FJ191&lt;GX$169,INDEX($FK$170:$ID$241,GX$169,$FJ191),SUMPRODUCT(INDEX($FK$325:$ID$396,GX$169,1+SwaptionShift):INDEX($FK$325:$ID$396,GX$169,SwaptionMonthsToGo+SwaptionShift),INDEX($FK$245:$ID$316,$FJ191-GX$169,73-GX$169+SwaptionShift):INDEX($FK$245:$ID$316,$FJ191-GX$169,72-GX$169+SwaptionMonthsToGo+SwaptionShift))/SQRT(SUM(INDEX($FK346:$ID346,1+SwaptionShift):INDEX($FK346:$ID346,SwaptionMonthsToGo+SwaptionShift))*SUM(INDEX($FK$325:$ID$396,GX$169,1+SwaptionShift):INDEX($FK$325:$ID$396,GX$169,SwaptionMonthsToGo+SwaptionShift))))))</f>
        <v/>
      </c>
      <c r="GY191" s="150" t="str">
        <f aca="false">IF(OR(GY$169&lt;SwaptionFirstMonthPosition+1,$FJ191&lt;SwaptionFirstMonthPosition+1,GY$169&gt;SwaptionFirstMonthPosition+SwaptionNumOfMonths+1,$FJ191&gt;SwaptionFirstMonthPosition+SwaptionNumOfMonths+1),"",IF($FJ191=GY$169,1,IF($FJ191&lt;GY$169,INDEX($FK$170:$ID$241,GY$169,$FJ191),SUMPRODUCT(INDEX($FK$325:$ID$396,GY$169,1+SwaptionShift):INDEX($FK$325:$ID$396,GY$169,SwaptionMonthsToGo+SwaptionShift),INDEX($FK$245:$ID$316,$FJ191-GY$169,73-GY$169+SwaptionShift):INDEX($FK$245:$ID$316,$FJ191-GY$169,72-GY$169+SwaptionMonthsToGo+SwaptionShift))/SQRT(SUM(INDEX($FK346:$ID346,1+SwaptionShift):INDEX($FK346:$ID346,SwaptionMonthsToGo+SwaptionShift))*SUM(INDEX($FK$325:$ID$396,GY$169,1+SwaptionShift):INDEX($FK$325:$ID$396,GY$169,SwaptionMonthsToGo+SwaptionShift))))))</f>
        <v/>
      </c>
      <c r="GZ191" s="150" t="str">
        <f aca="false">IF(OR(GZ$169&lt;SwaptionFirstMonthPosition+1,$FJ191&lt;SwaptionFirstMonthPosition+1,GZ$169&gt;SwaptionFirstMonthPosition+SwaptionNumOfMonths+1,$FJ191&gt;SwaptionFirstMonthPosition+SwaptionNumOfMonths+1),"",IF($FJ191=GZ$169,1,IF($FJ191&lt;GZ$169,INDEX($FK$170:$ID$241,GZ$169,$FJ191),SUMPRODUCT(INDEX($FK$325:$ID$396,GZ$169,1+SwaptionShift):INDEX($FK$325:$ID$396,GZ$169,SwaptionMonthsToGo+SwaptionShift),INDEX($FK$245:$ID$316,$FJ191-GZ$169,73-GZ$169+SwaptionShift):INDEX($FK$245:$ID$316,$FJ191-GZ$169,72-GZ$169+SwaptionMonthsToGo+SwaptionShift))/SQRT(SUM(INDEX($FK346:$ID346,1+SwaptionShift):INDEX($FK346:$ID346,SwaptionMonthsToGo+SwaptionShift))*SUM(INDEX($FK$325:$ID$396,GZ$169,1+SwaptionShift):INDEX($FK$325:$ID$396,GZ$169,SwaptionMonthsToGo+SwaptionShift))))))</f>
        <v/>
      </c>
      <c r="HA191" s="150" t="str">
        <f aca="false">IF(OR(HA$169&lt;SwaptionFirstMonthPosition+1,$FJ191&lt;SwaptionFirstMonthPosition+1,HA$169&gt;SwaptionFirstMonthPosition+SwaptionNumOfMonths+1,$FJ191&gt;SwaptionFirstMonthPosition+SwaptionNumOfMonths+1),"",IF($FJ191=HA$169,1,IF($FJ191&lt;HA$169,INDEX($FK$170:$ID$241,HA$169,$FJ191),SUMPRODUCT(INDEX($FK$325:$ID$396,HA$169,1+SwaptionShift):INDEX($FK$325:$ID$396,HA$169,SwaptionMonthsToGo+SwaptionShift),INDEX($FK$245:$ID$316,$FJ191-HA$169,73-HA$169+SwaptionShift):INDEX($FK$245:$ID$316,$FJ191-HA$169,72-HA$169+SwaptionMonthsToGo+SwaptionShift))/SQRT(SUM(INDEX($FK346:$ID346,1+SwaptionShift):INDEX($FK346:$ID346,SwaptionMonthsToGo+SwaptionShift))*SUM(INDEX($FK$325:$ID$396,HA$169,1+SwaptionShift):INDEX($FK$325:$ID$396,HA$169,SwaptionMonthsToGo+SwaptionShift))))))</f>
        <v/>
      </c>
      <c r="HB191" s="150" t="str">
        <f aca="false">IF(OR(HB$169&lt;SwaptionFirstMonthPosition+1,$FJ191&lt;SwaptionFirstMonthPosition+1,HB$169&gt;SwaptionFirstMonthPosition+SwaptionNumOfMonths+1,$FJ191&gt;SwaptionFirstMonthPosition+SwaptionNumOfMonths+1),"",IF($FJ191=HB$169,1,IF($FJ191&lt;HB$169,INDEX($FK$170:$ID$241,HB$169,$FJ191),SUMPRODUCT(INDEX($FK$325:$ID$396,HB$169,1+SwaptionShift):INDEX($FK$325:$ID$396,HB$169,SwaptionMonthsToGo+SwaptionShift),INDEX($FK$245:$ID$316,$FJ191-HB$169,73-HB$169+SwaptionShift):INDEX($FK$245:$ID$316,$FJ191-HB$169,72-HB$169+SwaptionMonthsToGo+SwaptionShift))/SQRT(SUM(INDEX($FK346:$ID346,1+SwaptionShift):INDEX($FK346:$ID346,SwaptionMonthsToGo+SwaptionShift))*SUM(INDEX($FK$325:$ID$396,HB$169,1+SwaptionShift):INDEX($FK$325:$ID$396,HB$169,SwaptionMonthsToGo+SwaptionShift))))))</f>
        <v/>
      </c>
      <c r="HC191" s="150" t="str">
        <f aca="false">IF(OR(HC$169&lt;SwaptionFirstMonthPosition+1,$FJ191&lt;SwaptionFirstMonthPosition+1,HC$169&gt;SwaptionFirstMonthPosition+SwaptionNumOfMonths+1,$FJ191&gt;SwaptionFirstMonthPosition+SwaptionNumOfMonths+1),"",IF($FJ191=HC$169,1,IF($FJ191&lt;HC$169,INDEX($FK$170:$ID$241,HC$169,$FJ191),SUMPRODUCT(INDEX($FK$325:$ID$396,HC$169,1+SwaptionShift):INDEX($FK$325:$ID$396,HC$169,SwaptionMonthsToGo+SwaptionShift),INDEX($FK$245:$ID$316,$FJ191-HC$169,73-HC$169+SwaptionShift):INDEX($FK$245:$ID$316,$FJ191-HC$169,72-HC$169+SwaptionMonthsToGo+SwaptionShift))/SQRT(SUM(INDEX($FK346:$ID346,1+SwaptionShift):INDEX($FK346:$ID346,SwaptionMonthsToGo+SwaptionShift))*SUM(INDEX($FK$325:$ID$396,HC$169,1+SwaptionShift):INDEX($FK$325:$ID$396,HC$169,SwaptionMonthsToGo+SwaptionShift))))))</f>
        <v/>
      </c>
      <c r="HD191" s="150" t="str">
        <f aca="false">IF(OR(HD$169&lt;SwaptionFirstMonthPosition+1,$FJ191&lt;SwaptionFirstMonthPosition+1,HD$169&gt;SwaptionFirstMonthPosition+SwaptionNumOfMonths+1,$FJ191&gt;SwaptionFirstMonthPosition+SwaptionNumOfMonths+1),"",IF($FJ191=HD$169,1,IF($FJ191&lt;HD$169,INDEX($FK$170:$ID$241,HD$169,$FJ191),SUMPRODUCT(INDEX($FK$325:$ID$396,HD$169,1+SwaptionShift):INDEX($FK$325:$ID$396,HD$169,SwaptionMonthsToGo+SwaptionShift),INDEX($FK$245:$ID$316,$FJ191-HD$169,73-HD$169+SwaptionShift):INDEX($FK$245:$ID$316,$FJ191-HD$169,72-HD$169+SwaptionMonthsToGo+SwaptionShift))/SQRT(SUM(INDEX($FK346:$ID346,1+SwaptionShift):INDEX($FK346:$ID346,SwaptionMonthsToGo+SwaptionShift))*SUM(INDEX($FK$325:$ID$396,HD$169,1+SwaptionShift):INDEX($FK$325:$ID$396,HD$169,SwaptionMonthsToGo+SwaptionShift))))))</f>
        <v/>
      </c>
      <c r="HE191" s="150" t="str">
        <f aca="false">IF(OR(HE$169&lt;SwaptionFirstMonthPosition+1,$FJ191&lt;SwaptionFirstMonthPosition+1,HE$169&gt;SwaptionFirstMonthPosition+SwaptionNumOfMonths+1,$FJ191&gt;SwaptionFirstMonthPosition+SwaptionNumOfMonths+1),"",IF($FJ191=HE$169,1,IF($FJ191&lt;HE$169,INDEX($FK$170:$ID$241,HE$169,$FJ191),SUMPRODUCT(INDEX($FK$325:$ID$396,HE$169,1+SwaptionShift):INDEX($FK$325:$ID$396,HE$169,SwaptionMonthsToGo+SwaptionShift),INDEX($FK$245:$ID$316,$FJ191-HE$169,73-HE$169+SwaptionShift):INDEX($FK$245:$ID$316,$FJ191-HE$169,72-HE$169+SwaptionMonthsToGo+SwaptionShift))/SQRT(SUM(INDEX($FK346:$ID346,1+SwaptionShift):INDEX($FK346:$ID346,SwaptionMonthsToGo+SwaptionShift))*SUM(INDEX($FK$325:$ID$396,HE$169,1+SwaptionShift):INDEX($FK$325:$ID$396,HE$169,SwaptionMonthsToGo+SwaptionShift))))))</f>
        <v/>
      </c>
      <c r="HF191" s="150" t="str">
        <f aca="false">IF(OR(HF$169&lt;SwaptionFirstMonthPosition+1,$FJ191&lt;SwaptionFirstMonthPosition+1,HF$169&gt;SwaptionFirstMonthPosition+SwaptionNumOfMonths+1,$FJ191&gt;SwaptionFirstMonthPosition+SwaptionNumOfMonths+1),"",IF($FJ191=HF$169,1,IF($FJ191&lt;HF$169,INDEX($FK$170:$ID$241,HF$169,$FJ191),SUMPRODUCT(INDEX($FK$325:$ID$396,HF$169,1+SwaptionShift):INDEX($FK$325:$ID$396,HF$169,SwaptionMonthsToGo+SwaptionShift),INDEX($FK$245:$ID$316,$FJ191-HF$169,73-HF$169+SwaptionShift):INDEX($FK$245:$ID$316,$FJ191-HF$169,72-HF$169+SwaptionMonthsToGo+SwaptionShift))/SQRT(SUM(INDEX($FK346:$ID346,1+SwaptionShift):INDEX($FK346:$ID346,SwaptionMonthsToGo+SwaptionShift))*SUM(INDEX($FK$325:$ID$396,HF$169,1+SwaptionShift):INDEX($FK$325:$ID$396,HF$169,SwaptionMonthsToGo+SwaptionShift))))))</f>
        <v/>
      </c>
      <c r="HG191" s="150" t="str">
        <f aca="false">IF(OR(HG$169&lt;SwaptionFirstMonthPosition+1,$FJ191&lt;SwaptionFirstMonthPosition+1,HG$169&gt;SwaptionFirstMonthPosition+SwaptionNumOfMonths+1,$FJ191&gt;SwaptionFirstMonthPosition+SwaptionNumOfMonths+1),"",IF($FJ191=HG$169,1,IF($FJ191&lt;HG$169,INDEX($FK$170:$ID$241,HG$169,$FJ191),SUMPRODUCT(INDEX($FK$325:$ID$396,HG$169,1+SwaptionShift):INDEX($FK$325:$ID$396,HG$169,SwaptionMonthsToGo+SwaptionShift),INDEX($FK$245:$ID$316,$FJ191-HG$169,73-HG$169+SwaptionShift):INDEX($FK$245:$ID$316,$FJ191-HG$169,72-HG$169+SwaptionMonthsToGo+SwaptionShift))/SQRT(SUM(INDEX($FK346:$ID346,1+SwaptionShift):INDEX($FK346:$ID346,SwaptionMonthsToGo+SwaptionShift))*SUM(INDEX($FK$325:$ID$396,HG$169,1+SwaptionShift):INDEX($FK$325:$ID$396,HG$169,SwaptionMonthsToGo+SwaptionShift))))))</f>
        <v/>
      </c>
      <c r="HH191" s="150" t="str">
        <f aca="false">IF(OR(HH$169&lt;SwaptionFirstMonthPosition+1,$FJ191&lt;SwaptionFirstMonthPosition+1,HH$169&gt;SwaptionFirstMonthPosition+SwaptionNumOfMonths+1,$FJ191&gt;SwaptionFirstMonthPosition+SwaptionNumOfMonths+1),"",IF($FJ191=HH$169,1,IF($FJ191&lt;HH$169,INDEX($FK$170:$ID$241,HH$169,$FJ191),SUMPRODUCT(INDEX($FK$325:$ID$396,HH$169,1+SwaptionShift):INDEX($FK$325:$ID$396,HH$169,SwaptionMonthsToGo+SwaptionShift),INDEX($FK$245:$ID$316,$FJ191-HH$169,73-HH$169+SwaptionShift):INDEX($FK$245:$ID$316,$FJ191-HH$169,72-HH$169+SwaptionMonthsToGo+SwaptionShift))/SQRT(SUM(INDEX($FK346:$ID346,1+SwaptionShift):INDEX($FK346:$ID346,SwaptionMonthsToGo+SwaptionShift))*SUM(INDEX($FK$325:$ID$396,HH$169,1+SwaptionShift):INDEX($FK$325:$ID$396,HH$169,SwaptionMonthsToGo+SwaptionShift))))))</f>
        <v/>
      </c>
      <c r="HI191" s="150" t="str">
        <f aca="false">IF(OR(HI$169&lt;SwaptionFirstMonthPosition+1,$FJ191&lt;SwaptionFirstMonthPosition+1,HI$169&gt;SwaptionFirstMonthPosition+SwaptionNumOfMonths+1,$FJ191&gt;SwaptionFirstMonthPosition+SwaptionNumOfMonths+1),"",IF($FJ191=HI$169,1,IF($FJ191&lt;HI$169,INDEX($FK$170:$ID$241,HI$169,$FJ191),SUMPRODUCT(INDEX($FK$325:$ID$396,HI$169,1+SwaptionShift):INDEX($FK$325:$ID$396,HI$169,SwaptionMonthsToGo+SwaptionShift),INDEX($FK$245:$ID$316,$FJ191-HI$169,73-HI$169+SwaptionShift):INDEX($FK$245:$ID$316,$FJ191-HI$169,72-HI$169+SwaptionMonthsToGo+SwaptionShift))/SQRT(SUM(INDEX($FK346:$ID346,1+SwaptionShift):INDEX($FK346:$ID346,SwaptionMonthsToGo+SwaptionShift))*SUM(INDEX($FK$325:$ID$396,HI$169,1+SwaptionShift):INDEX($FK$325:$ID$396,HI$169,SwaptionMonthsToGo+SwaptionShift))))))</f>
        <v/>
      </c>
      <c r="HJ191" s="150" t="str">
        <f aca="false">IF(OR(HJ$169&lt;SwaptionFirstMonthPosition+1,$FJ191&lt;SwaptionFirstMonthPosition+1,HJ$169&gt;SwaptionFirstMonthPosition+SwaptionNumOfMonths+1,$FJ191&gt;SwaptionFirstMonthPosition+SwaptionNumOfMonths+1),"",IF($FJ191=HJ$169,1,IF($FJ191&lt;HJ$169,INDEX($FK$170:$ID$241,HJ$169,$FJ191),SUMPRODUCT(INDEX($FK$325:$ID$396,HJ$169,1+SwaptionShift):INDEX($FK$325:$ID$396,HJ$169,SwaptionMonthsToGo+SwaptionShift),INDEX($FK$245:$ID$316,$FJ191-HJ$169,73-HJ$169+SwaptionShift):INDEX($FK$245:$ID$316,$FJ191-HJ$169,72-HJ$169+SwaptionMonthsToGo+SwaptionShift))/SQRT(SUM(INDEX($FK346:$ID346,1+SwaptionShift):INDEX($FK346:$ID346,SwaptionMonthsToGo+SwaptionShift))*SUM(INDEX($FK$325:$ID$396,HJ$169,1+SwaptionShift):INDEX($FK$325:$ID$396,HJ$169,SwaptionMonthsToGo+SwaptionShift))))))</f>
        <v/>
      </c>
      <c r="HK191" s="150" t="str">
        <f aca="false">IF(OR(HK$169&lt;SwaptionFirstMonthPosition+1,$FJ191&lt;SwaptionFirstMonthPosition+1,HK$169&gt;SwaptionFirstMonthPosition+SwaptionNumOfMonths+1,$FJ191&gt;SwaptionFirstMonthPosition+SwaptionNumOfMonths+1),"",IF($FJ191=HK$169,1,IF($FJ191&lt;HK$169,INDEX($FK$170:$ID$241,HK$169,$FJ191),SUMPRODUCT(INDEX($FK$325:$ID$396,HK$169,1+SwaptionShift):INDEX($FK$325:$ID$396,HK$169,SwaptionMonthsToGo+SwaptionShift),INDEX($FK$245:$ID$316,$FJ191-HK$169,73-HK$169+SwaptionShift):INDEX($FK$245:$ID$316,$FJ191-HK$169,72-HK$169+SwaptionMonthsToGo+SwaptionShift))/SQRT(SUM(INDEX($FK346:$ID346,1+SwaptionShift):INDEX($FK346:$ID346,SwaptionMonthsToGo+SwaptionShift))*SUM(INDEX($FK$325:$ID$396,HK$169,1+SwaptionShift):INDEX($FK$325:$ID$396,HK$169,SwaptionMonthsToGo+SwaptionShift))))))</f>
        <v/>
      </c>
      <c r="HL191" s="150" t="str">
        <f aca="false">IF(OR(HL$169&lt;SwaptionFirstMonthPosition+1,$FJ191&lt;SwaptionFirstMonthPosition+1,HL$169&gt;SwaptionFirstMonthPosition+SwaptionNumOfMonths+1,$FJ191&gt;SwaptionFirstMonthPosition+SwaptionNumOfMonths+1),"",IF($FJ191=HL$169,1,IF($FJ191&lt;HL$169,INDEX($FK$170:$ID$241,HL$169,$FJ191),SUMPRODUCT(INDEX($FK$325:$ID$396,HL$169,1+SwaptionShift):INDEX($FK$325:$ID$396,HL$169,SwaptionMonthsToGo+SwaptionShift),INDEX($FK$245:$ID$316,$FJ191-HL$169,73-HL$169+SwaptionShift):INDEX($FK$245:$ID$316,$FJ191-HL$169,72-HL$169+SwaptionMonthsToGo+SwaptionShift))/SQRT(SUM(INDEX($FK346:$ID346,1+SwaptionShift):INDEX($FK346:$ID346,SwaptionMonthsToGo+SwaptionShift))*SUM(INDEX($FK$325:$ID$396,HL$169,1+SwaptionShift):INDEX($FK$325:$ID$396,HL$169,SwaptionMonthsToGo+SwaptionShift))))))</f>
        <v/>
      </c>
      <c r="HM191" s="150" t="str">
        <f aca="false">IF(OR(HM$169&lt;SwaptionFirstMonthPosition+1,$FJ191&lt;SwaptionFirstMonthPosition+1,HM$169&gt;SwaptionFirstMonthPosition+SwaptionNumOfMonths+1,$FJ191&gt;SwaptionFirstMonthPosition+SwaptionNumOfMonths+1),"",IF($FJ191=HM$169,1,IF($FJ191&lt;HM$169,INDEX($FK$170:$ID$241,HM$169,$FJ191),SUMPRODUCT(INDEX($FK$325:$ID$396,HM$169,1+SwaptionShift):INDEX($FK$325:$ID$396,HM$169,SwaptionMonthsToGo+SwaptionShift),INDEX($FK$245:$ID$316,$FJ191-HM$169,73-HM$169+SwaptionShift):INDEX($FK$245:$ID$316,$FJ191-HM$169,72-HM$169+SwaptionMonthsToGo+SwaptionShift))/SQRT(SUM(INDEX($FK346:$ID346,1+SwaptionShift):INDEX($FK346:$ID346,SwaptionMonthsToGo+SwaptionShift))*SUM(INDEX($FK$325:$ID$396,HM$169,1+SwaptionShift):INDEX($FK$325:$ID$396,HM$169,SwaptionMonthsToGo+SwaptionShift))))))</f>
        <v/>
      </c>
      <c r="HN191" s="150" t="str">
        <f aca="false">IF(OR(HN$169&lt;SwaptionFirstMonthPosition+1,$FJ191&lt;SwaptionFirstMonthPosition+1,HN$169&gt;SwaptionFirstMonthPosition+SwaptionNumOfMonths+1,$FJ191&gt;SwaptionFirstMonthPosition+SwaptionNumOfMonths+1),"",IF($FJ191=HN$169,1,IF($FJ191&lt;HN$169,INDEX($FK$170:$ID$241,HN$169,$FJ191),SUMPRODUCT(INDEX($FK$325:$ID$396,HN$169,1+SwaptionShift):INDEX($FK$325:$ID$396,HN$169,SwaptionMonthsToGo+SwaptionShift),INDEX($FK$245:$ID$316,$FJ191-HN$169,73-HN$169+SwaptionShift):INDEX($FK$245:$ID$316,$FJ191-HN$169,72-HN$169+SwaptionMonthsToGo+SwaptionShift))/SQRT(SUM(INDEX($FK346:$ID346,1+SwaptionShift):INDEX($FK346:$ID346,SwaptionMonthsToGo+SwaptionShift))*SUM(INDEX($FK$325:$ID$396,HN$169,1+SwaptionShift):INDEX($FK$325:$ID$396,HN$169,SwaptionMonthsToGo+SwaptionShift))))))</f>
        <v/>
      </c>
      <c r="HO191" s="150" t="str">
        <f aca="false">IF(OR(HO$169&lt;SwaptionFirstMonthPosition+1,$FJ191&lt;SwaptionFirstMonthPosition+1,HO$169&gt;SwaptionFirstMonthPosition+SwaptionNumOfMonths+1,$FJ191&gt;SwaptionFirstMonthPosition+SwaptionNumOfMonths+1),"",IF($FJ191=HO$169,1,IF($FJ191&lt;HO$169,INDEX($FK$170:$ID$241,HO$169,$FJ191),SUMPRODUCT(INDEX($FK$325:$ID$396,HO$169,1+SwaptionShift):INDEX($FK$325:$ID$396,HO$169,SwaptionMonthsToGo+SwaptionShift),INDEX($FK$245:$ID$316,$FJ191-HO$169,73-HO$169+SwaptionShift):INDEX($FK$245:$ID$316,$FJ191-HO$169,72-HO$169+SwaptionMonthsToGo+SwaptionShift))/SQRT(SUM(INDEX($FK346:$ID346,1+SwaptionShift):INDEX($FK346:$ID346,SwaptionMonthsToGo+SwaptionShift))*SUM(INDEX($FK$325:$ID$396,HO$169,1+SwaptionShift):INDEX($FK$325:$ID$396,HO$169,SwaptionMonthsToGo+SwaptionShift))))))</f>
        <v/>
      </c>
      <c r="HP191" s="150" t="str">
        <f aca="false">IF(OR(HP$169&lt;SwaptionFirstMonthPosition+1,$FJ191&lt;SwaptionFirstMonthPosition+1,HP$169&gt;SwaptionFirstMonthPosition+SwaptionNumOfMonths+1,$FJ191&gt;SwaptionFirstMonthPosition+SwaptionNumOfMonths+1),"",IF($FJ191=HP$169,1,IF($FJ191&lt;HP$169,INDEX($FK$170:$ID$241,HP$169,$FJ191),SUMPRODUCT(INDEX($FK$325:$ID$396,HP$169,1+SwaptionShift):INDEX($FK$325:$ID$396,HP$169,SwaptionMonthsToGo+SwaptionShift),INDEX($FK$245:$ID$316,$FJ191-HP$169,73-HP$169+SwaptionShift):INDEX($FK$245:$ID$316,$FJ191-HP$169,72-HP$169+SwaptionMonthsToGo+SwaptionShift))/SQRT(SUM(INDEX($FK346:$ID346,1+SwaptionShift):INDEX($FK346:$ID346,SwaptionMonthsToGo+SwaptionShift))*SUM(INDEX($FK$325:$ID$396,HP$169,1+SwaptionShift):INDEX($FK$325:$ID$396,HP$169,SwaptionMonthsToGo+SwaptionShift))))))</f>
        <v/>
      </c>
      <c r="HQ191" s="150" t="str">
        <f aca="false">IF(OR(HQ$169&lt;SwaptionFirstMonthPosition+1,$FJ191&lt;SwaptionFirstMonthPosition+1,HQ$169&gt;SwaptionFirstMonthPosition+SwaptionNumOfMonths+1,$FJ191&gt;SwaptionFirstMonthPosition+SwaptionNumOfMonths+1),"",IF($FJ191=HQ$169,1,IF($FJ191&lt;HQ$169,INDEX($FK$170:$ID$241,HQ$169,$FJ191),SUMPRODUCT(INDEX($FK$325:$ID$396,HQ$169,1+SwaptionShift):INDEX($FK$325:$ID$396,HQ$169,SwaptionMonthsToGo+SwaptionShift),INDEX($FK$245:$ID$316,$FJ191-HQ$169,73-HQ$169+SwaptionShift):INDEX($FK$245:$ID$316,$FJ191-HQ$169,72-HQ$169+SwaptionMonthsToGo+SwaptionShift))/SQRT(SUM(INDEX($FK346:$ID346,1+SwaptionShift):INDEX($FK346:$ID346,SwaptionMonthsToGo+SwaptionShift))*SUM(INDEX($FK$325:$ID$396,HQ$169,1+SwaptionShift):INDEX($FK$325:$ID$396,HQ$169,SwaptionMonthsToGo+SwaptionShift))))))</f>
        <v/>
      </c>
      <c r="HR191" s="150" t="str">
        <f aca="false">IF(OR(HR$169&lt;SwaptionFirstMonthPosition+1,$FJ191&lt;SwaptionFirstMonthPosition+1,HR$169&gt;SwaptionFirstMonthPosition+SwaptionNumOfMonths+1,$FJ191&gt;SwaptionFirstMonthPosition+SwaptionNumOfMonths+1),"",IF($FJ191=HR$169,1,IF($FJ191&lt;HR$169,INDEX($FK$170:$ID$241,HR$169,$FJ191),SUMPRODUCT(INDEX($FK$325:$ID$396,HR$169,1+SwaptionShift):INDEX($FK$325:$ID$396,HR$169,SwaptionMonthsToGo+SwaptionShift),INDEX($FK$245:$ID$316,$FJ191-HR$169,73-HR$169+SwaptionShift):INDEX($FK$245:$ID$316,$FJ191-HR$169,72-HR$169+SwaptionMonthsToGo+SwaptionShift))/SQRT(SUM(INDEX($FK346:$ID346,1+SwaptionShift):INDEX($FK346:$ID346,SwaptionMonthsToGo+SwaptionShift))*SUM(INDEX($FK$325:$ID$396,HR$169,1+SwaptionShift):INDEX($FK$325:$ID$396,HR$169,SwaptionMonthsToGo+SwaptionShift))))))</f>
        <v/>
      </c>
      <c r="HS191" s="150" t="str">
        <f aca="false">IF(OR(HS$169&lt;SwaptionFirstMonthPosition+1,$FJ191&lt;SwaptionFirstMonthPosition+1,HS$169&gt;SwaptionFirstMonthPosition+SwaptionNumOfMonths+1,$FJ191&gt;SwaptionFirstMonthPosition+SwaptionNumOfMonths+1),"",IF($FJ191=HS$169,1,IF($FJ191&lt;HS$169,INDEX($FK$170:$ID$241,HS$169,$FJ191),SUMPRODUCT(INDEX($FK$325:$ID$396,HS$169,1+SwaptionShift):INDEX($FK$325:$ID$396,HS$169,SwaptionMonthsToGo+SwaptionShift),INDEX($FK$245:$ID$316,$FJ191-HS$169,73-HS$169+SwaptionShift):INDEX($FK$245:$ID$316,$FJ191-HS$169,72-HS$169+SwaptionMonthsToGo+SwaptionShift))/SQRT(SUM(INDEX($FK346:$ID346,1+SwaptionShift):INDEX($FK346:$ID346,SwaptionMonthsToGo+SwaptionShift))*SUM(INDEX($FK$325:$ID$396,HS$169,1+SwaptionShift):INDEX($FK$325:$ID$396,HS$169,SwaptionMonthsToGo+SwaptionShift))))))</f>
        <v/>
      </c>
      <c r="HT191" s="150" t="str">
        <f aca="false">IF(OR(HT$169&lt;SwaptionFirstMonthPosition+1,$FJ191&lt;SwaptionFirstMonthPosition+1,HT$169&gt;SwaptionFirstMonthPosition+SwaptionNumOfMonths+1,$FJ191&gt;SwaptionFirstMonthPosition+SwaptionNumOfMonths+1),"",IF($FJ191=HT$169,1,IF($FJ191&lt;HT$169,INDEX($FK$170:$ID$241,HT$169,$FJ191),SUMPRODUCT(INDEX($FK$325:$ID$396,HT$169,1+SwaptionShift):INDEX($FK$325:$ID$396,HT$169,SwaptionMonthsToGo+SwaptionShift),INDEX($FK$245:$ID$316,$FJ191-HT$169,73-HT$169+SwaptionShift):INDEX($FK$245:$ID$316,$FJ191-HT$169,72-HT$169+SwaptionMonthsToGo+SwaptionShift))/SQRT(SUM(INDEX($FK346:$ID346,1+SwaptionShift):INDEX($FK346:$ID346,SwaptionMonthsToGo+SwaptionShift))*SUM(INDEX($FK$325:$ID$396,HT$169,1+SwaptionShift):INDEX($FK$325:$ID$396,HT$169,SwaptionMonthsToGo+SwaptionShift))))))</f>
        <v/>
      </c>
      <c r="HU191" s="150" t="str">
        <f aca="false">IF(OR(HU$169&lt;SwaptionFirstMonthPosition+1,$FJ191&lt;SwaptionFirstMonthPosition+1,HU$169&gt;SwaptionFirstMonthPosition+SwaptionNumOfMonths+1,$FJ191&gt;SwaptionFirstMonthPosition+SwaptionNumOfMonths+1),"",IF($FJ191=HU$169,1,IF($FJ191&lt;HU$169,INDEX($FK$170:$ID$241,HU$169,$FJ191),SUMPRODUCT(INDEX($FK$325:$ID$396,HU$169,1+SwaptionShift):INDEX($FK$325:$ID$396,HU$169,SwaptionMonthsToGo+SwaptionShift),INDEX($FK$245:$ID$316,$FJ191-HU$169,73-HU$169+SwaptionShift):INDEX($FK$245:$ID$316,$FJ191-HU$169,72-HU$169+SwaptionMonthsToGo+SwaptionShift))/SQRT(SUM(INDEX($FK346:$ID346,1+SwaptionShift):INDEX($FK346:$ID346,SwaptionMonthsToGo+SwaptionShift))*SUM(INDEX($FK$325:$ID$396,HU$169,1+SwaptionShift):INDEX($FK$325:$ID$396,HU$169,SwaptionMonthsToGo+SwaptionShift))))))</f>
        <v/>
      </c>
      <c r="HV191" s="150" t="str">
        <f aca="false">IF(OR(HV$169&lt;SwaptionFirstMonthPosition+1,$FJ191&lt;SwaptionFirstMonthPosition+1,HV$169&gt;SwaptionFirstMonthPosition+SwaptionNumOfMonths+1,$FJ191&gt;SwaptionFirstMonthPosition+SwaptionNumOfMonths+1),"",IF($FJ191=HV$169,1,IF($FJ191&lt;HV$169,INDEX($FK$170:$ID$241,HV$169,$FJ191),SUMPRODUCT(INDEX($FK$325:$ID$396,HV$169,1+SwaptionShift):INDEX($FK$325:$ID$396,HV$169,SwaptionMonthsToGo+SwaptionShift),INDEX($FK$245:$ID$316,$FJ191-HV$169,73-HV$169+SwaptionShift):INDEX($FK$245:$ID$316,$FJ191-HV$169,72-HV$169+SwaptionMonthsToGo+SwaptionShift))/SQRT(SUM(INDEX($FK346:$ID346,1+SwaptionShift):INDEX($FK346:$ID346,SwaptionMonthsToGo+SwaptionShift))*SUM(INDEX($FK$325:$ID$396,HV$169,1+SwaptionShift):INDEX($FK$325:$ID$396,HV$169,SwaptionMonthsToGo+SwaptionShift))))))</f>
        <v/>
      </c>
      <c r="HW191" s="150" t="str">
        <f aca="false">IF(OR(HW$169&lt;SwaptionFirstMonthPosition+1,$FJ191&lt;SwaptionFirstMonthPosition+1,HW$169&gt;SwaptionFirstMonthPosition+SwaptionNumOfMonths+1,$FJ191&gt;SwaptionFirstMonthPosition+SwaptionNumOfMonths+1),"",IF($FJ191=HW$169,1,IF($FJ191&lt;HW$169,INDEX($FK$170:$ID$241,HW$169,$FJ191),SUMPRODUCT(INDEX($FK$325:$ID$396,HW$169,1+SwaptionShift):INDEX($FK$325:$ID$396,HW$169,SwaptionMonthsToGo+SwaptionShift),INDEX($FK$245:$ID$316,$FJ191-HW$169,73-HW$169+SwaptionShift):INDEX($FK$245:$ID$316,$FJ191-HW$169,72-HW$169+SwaptionMonthsToGo+SwaptionShift))/SQRT(SUM(INDEX($FK346:$ID346,1+SwaptionShift):INDEX($FK346:$ID346,SwaptionMonthsToGo+SwaptionShift))*SUM(INDEX($FK$325:$ID$396,HW$169,1+SwaptionShift):INDEX($FK$325:$ID$396,HW$169,SwaptionMonthsToGo+SwaptionShift))))))</f>
        <v/>
      </c>
      <c r="HX191" s="150" t="str">
        <f aca="false">IF(OR(HX$169&lt;SwaptionFirstMonthPosition+1,$FJ191&lt;SwaptionFirstMonthPosition+1,HX$169&gt;SwaptionFirstMonthPosition+SwaptionNumOfMonths+1,$FJ191&gt;SwaptionFirstMonthPosition+SwaptionNumOfMonths+1),"",IF($FJ191=HX$169,1,IF($FJ191&lt;HX$169,INDEX($FK$170:$ID$241,HX$169,$FJ191),SUMPRODUCT(INDEX($FK$325:$ID$396,HX$169,1+SwaptionShift):INDEX($FK$325:$ID$396,HX$169,SwaptionMonthsToGo+SwaptionShift),INDEX($FK$245:$ID$316,$FJ191-HX$169,73-HX$169+SwaptionShift):INDEX($FK$245:$ID$316,$FJ191-HX$169,72-HX$169+SwaptionMonthsToGo+SwaptionShift))/SQRT(SUM(INDEX($FK346:$ID346,1+SwaptionShift):INDEX($FK346:$ID346,SwaptionMonthsToGo+SwaptionShift))*SUM(INDEX($FK$325:$ID$396,HX$169,1+SwaptionShift):INDEX($FK$325:$ID$396,HX$169,SwaptionMonthsToGo+SwaptionShift))))))</f>
        <v/>
      </c>
      <c r="HY191" s="150" t="str">
        <f aca="false">IF(OR(HY$169&lt;SwaptionFirstMonthPosition+1,$FJ191&lt;SwaptionFirstMonthPosition+1,HY$169&gt;SwaptionFirstMonthPosition+SwaptionNumOfMonths+1,$FJ191&gt;SwaptionFirstMonthPosition+SwaptionNumOfMonths+1),"",IF($FJ191=HY$169,1,IF($FJ191&lt;HY$169,INDEX($FK$170:$ID$241,HY$169,$FJ191),SUMPRODUCT(INDEX($FK$325:$ID$396,HY$169,1+SwaptionShift):INDEX($FK$325:$ID$396,HY$169,SwaptionMonthsToGo+SwaptionShift),INDEX($FK$245:$ID$316,$FJ191-HY$169,73-HY$169+SwaptionShift):INDEX($FK$245:$ID$316,$FJ191-HY$169,72-HY$169+SwaptionMonthsToGo+SwaptionShift))/SQRT(SUM(INDEX($FK346:$ID346,1+SwaptionShift):INDEX($FK346:$ID346,SwaptionMonthsToGo+SwaptionShift))*SUM(INDEX($FK$325:$ID$396,HY$169,1+SwaptionShift):INDEX($FK$325:$ID$396,HY$169,SwaptionMonthsToGo+SwaptionShift))))))</f>
        <v/>
      </c>
      <c r="HZ191" s="150" t="str">
        <f aca="false">IF(OR(HZ$169&lt;SwaptionFirstMonthPosition+1,$FJ191&lt;SwaptionFirstMonthPosition+1,HZ$169&gt;SwaptionFirstMonthPosition+SwaptionNumOfMonths+1,$FJ191&gt;SwaptionFirstMonthPosition+SwaptionNumOfMonths+1),"",IF($FJ191=HZ$169,1,IF($FJ191&lt;HZ$169,INDEX($FK$170:$ID$241,HZ$169,$FJ191),SUMPRODUCT(INDEX($FK$325:$ID$396,HZ$169,1+SwaptionShift):INDEX($FK$325:$ID$396,HZ$169,SwaptionMonthsToGo+SwaptionShift),INDEX($FK$245:$ID$316,$FJ191-HZ$169,73-HZ$169+SwaptionShift):INDEX($FK$245:$ID$316,$FJ191-HZ$169,72-HZ$169+SwaptionMonthsToGo+SwaptionShift))/SQRT(SUM(INDEX($FK346:$ID346,1+SwaptionShift):INDEX($FK346:$ID346,SwaptionMonthsToGo+SwaptionShift))*SUM(INDEX($FK$325:$ID$396,HZ$169,1+SwaptionShift):INDEX($FK$325:$ID$396,HZ$169,SwaptionMonthsToGo+SwaptionShift))))))</f>
        <v/>
      </c>
      <c r="IA191" s="150" t="str">
        <f aca="false">IF(OR(IA$169&lt;SwaptionFirstMonthPosition+1,$FJ191&lt;SwaptionFirstMonthPosition+1,IA$169&gt;SwaptionFirstMonthPosition+SwaptionNumOfMonths+1,$FJ191&gt;SwaptionFirstMonthPosition+SwaptionNumOfMonths+1),"",IF($FJ191=IA$169,1,IF($FJ191&lt;IA$169,INDEX($FK$170:$ID$241,IA$169,$FJ191),SUMPRODUCT(INDEX($FK$325:$ID$396,IA$169,1+SwaptionShift):INDEX($FK$325:$ID$396,IA$169,SwaptionMonthsToGo+SwaptionShift),INDEX($FK$245:$ID$316,$FJ191-IA$169,73-IA$169+SwaptionShift):INDEX($FK$245:$ID$316,$FJ191-IA$169,72-IA$169+SwaptionMonthsToGo+SwaptionShift))/SQRT(SUM(INDEX($FK346:$ID346,1+SwaptionShift):INDEX($FK346:$ID346,SwaptionMonthsToGo+SwaptionShift))*SUM(INDEX($FK$325:$ID$396,IA$169,1+SwaptionShift):INDEX($FK$325:$ID$396,IA$169,SwaptionMonthsToGo+SwaptionShift))))))</f>
        <v/>
      </c>
      <c r="IB191" s="150" t="str">
        <f aca="false">IF(OR(IB$169&lt;SwaptionFirstMonthPosition+1,$FJ191&lt;SwaptionFirstMonthPosition+1,IB$169&gt;SwaptionFirstMonthPosition+SwaptionNumOfMonths+1,$FJ191&gt;SwaptionFirstMonthPosition+SwaptionNumOfMonths+1),"",IF($FJ191=IB$169,1,IF($FJ191&lt;IB$169,INDEX($FK$170:$ID$241,IB$169,$FJ191),SUMPRODUCT(INDEX($FK$325:$ID$396,IB$169,1+SwaptionShift):INDEX($FK$325:$ID$396,IB$169,SwaptionMonthsToGo+SwaptionShift),INDEX($FK$245:$ID$316,$FJ191-IB$169,73-IB$169+SwaptionShift):INDEX($FK$245:$ID$316,$FJ191-IB$169,72-IB$169+SwaptionMonthsToGo+SwaptionShift))/SQRT(SUM(INDEX($FK346:$ID346,1+SwaptionShift):INDEX($FK346:$ID346,SwaptionMonthsToGo+SwaptionShift))*SUM(INDEX($FK$325:$ID$396,IB$169,1+SwaptionShift):INDEX($FK$325:$ID$396,IB$169,SwaptionMonthsToGo+SwaptionShift))))))</f>
        <v/>
      </c>
      <c r="IC191" s="150" t="str">
        <f aca="false">IF(OR(IC$169&lt;SwaptionFirstMonthPosition+1,$FJ191&lt;SwaptionFirstMonthPosition+1,IC$169&gt;SwaptionFirstMonthPosition+SwaptionNumOfMonths+1,$FJ191&gt;SwaptionFirstMonthPosition+SwaptionNumOfMonths+1),"",IF($FJ191=IC$169,1,IF($FJ191&lt;IC$169,INDEX($FK$170:$ID$241,IC$169,$FJ191),SUMPRODUCT(INDEX($FK$325:$ID$396,IC$169,1+SwaptionShift):INDEX($FK$325:$ID$396,IC$169,SwaptionMonthsToGo+SwaptionShift),INDEX($FK$245:$ID$316,$FJ191-IC$169,73-IC$169+SwaptionShift):INDEX($FK$245:$ID$316,$FJ191-IC$169,72-IC$169+SwaptionMonthsToGo+SwaptionShift))/SQRT(SUM(INDEX($FK346:$ID346,1+SwaptionShift):INDEX($FK346:$ID346,SwaptionMonthsToGo+SwaptionShift))*SUM(INDEX($FK$325:$ID$396,IC$169,1+SwaptionShift):INDEX($FK$325:$ID$396,IC$169,SwaptionMonthsToGo+SwaptionShift))))))</f>
        <v/>
      </c>
      <c r="ID191" s="572" t="str">
        <f aca="false">IF(OR(ID$169&lt;SwaptionFirstMonthPosition+1,$FJ191&lt;SwaptionFirstMonthPosition+1,ID$169&gt;SwaptionFirstMonthPosition+SwaptionNumOfMonths+1,$FJ191&gt;SwaptionFirstMonthPosition+SwaptionNumOfMonths+1),"",IF($FJ191=ID$169,1,IF($FJ191&lt;ID$169,INDEX($FK$170:$ID$241,ID$169,$FJ191),SUMPRODUCT(INDEX($FK$325:$ID$396,ID$169,1+SwaptionShift):INDEX($FK$325:$ID$396,ID$169,SwaptionMonthsToGo+SwaptionShift),INDEX($FK$245:$ID$316,$FJ191-ID$169,73-ID$169+SwaptionShift):INDEX($FK$245:$ID$316,$FJ191-ID$169,72-ID$169+SwaptionMonthsToGo+SwaptionShift))/SQRT(SUM(INDEX($FK346:$ID346,1+SwaptionShift):INDEX($FK346:$ID346,SwaptionMonthsToGo+SwaptionShift))*SUM(INDEX($FK$325:$ID$396,ID$169,1+SwaptionShift):INDEX($FK$325:$ID$396,ID$169,SwaptionMonthsToGo+SwaptionShift))))))</f>
        <v/>
      </c>
      <c r="IE191" s="129"/>
    </row>
    <row r="192" customFormat="false" ht="12.75" hidden="false" customHeight="false" outlineLevel="0" collapsed="false">
      <c r="H192" s="219" t="n">
        <f aca="false">VLOOKUP(I192,$EJ$20:$EL$54,3)</f>
        <v>0</v>
      </c>
      <c r="I192" s="511" t="n">
        <f aca="false">EOMONTH(I191,0)+1</f>
        <v>42005</v>
      </c>
      <c r="J192" s="512"/>
      <c r="K192" s="513" t="s">
        <v>280</v>
      </c>
      <c r="L192" s="514" t="n">
        <f aca="false">IF(ISNUMBER(K192),J192+K192/100,IF(K192="extra",L191+VLOOKUP(BF192,PriceSpreadTable,2)/12,IF(K192="inter",interpolateprices($K$19:$L$200,ROW(K192)-ROW(FirstPricingMonth)+1),interpolatechanges($J$19:$K$200,ROW(K192)-ROW(FirstPricingMonth)+1))))</f>
        <v>3.60000000000001</v>
      </c>
      <c r="M192" s="515"/>
      <c r="N192" s="516" t="n">
        <v>0</v>
      </c>
      <c r="O192" s="515" t="n">
        <f aca="false">M192+N192</f>
        <v>0</v>
      </c>
      <c r="P192" s="512"/>
      <c r="Q192" s="513" t="s">
        <v>280</v>
      </c>
      <c r="R192" s="512" t="e">
        <f aca="false">IF(ISNUMBER(Q192),P192+Q192/100,IF(Q192="extra",(Z190*AL190-R191*AM190)/AN190,IF(Q192="inter",interpolateprices($Q$19:$R$260,ROW(Q192)-ROW(FirstPricingMonth)+1),interpolatechanges($P$19:$Q$260,ROW(Q192)-ROW(FirstPricingMonth)+1))))</f>
        <v>#VALUE!</v>
      </c>
      <c r="S192" s="597" t="n">
        <f aca="false">S$19+(S191-S$19)*S$18</f>
        <v>0.36</v>
      </c>
      <c r="T192" s="575" t="n">
        <f aca="false">SQRT((1-(1-T191^2/U191)*T$18)*U192)</f>
        <v>0.999999999999777</v>
      </c>
      <c r="U192" s="576" t="n">
        <f aca="false">1-(1-U191)*U$18</f>
        <v>1</v>
      </c>
      <c r="V192" s="521" t="n">
        <v>0</v>
      </c>
      <c r="W192" s="577" t="n">
        <f aca="false">(J193*AJ192+J194*AK192)/AI192</f>
        <v>0</v>
      </c>
      <c r="X192" s="578" t="n">
        <f aca="false">(L193*AJ192+L194*AK192)/AI192</f>
        <v>3.65178571428572</v>
      </c>
      <c r="Y192" s="579" t="n">
        <f aca="false">IF(Q194="extra",W192-AA192,(P193*AM192+P194*AN192)/AL192)</f>
        <v>-1.1685</v>
      </c>
      <c r="Z192" s="579" t="n">
        <f aca="false">IF(Q194="extra",X192-AB192,(R193*AM192+R194*AN192)/AL192)</f>
        <v>2.48328571428572</v>
      </c>
      <c r="AA192" s="523" t="n">
        <f aca="false">IF(Q194="extra",INDEX(BrentSeasonalityTable,INT((BG192-1)/3)+1)*VLOOKUP(MAX(BF192,$AB$4),PriceSpreadTable,3),W192-Y192)</f>
        <v>1.1685</v>
      </c>
      <c r="AB192" s="524" t="n">
        <f aca="false">IF(Q194="extra",INDEX(BrentSeasonalityTable,INT((BG192-1)/3)+1)*VLOOKUP(MAX(BF192,$AB$4),PriceSpreadTable,3),X192-Z192)</f>
        <v>1.1685</v>
      </c>
      <c r="AC192" s="646" t="n">
        <v>41993</v>
      </c>
      <c r="AD192" s="646" t="n">
        <v>41989</v>
      </c>
      <c r="AE192" s="646" t="n">
        <v>41988</v>
      </c>
      <c r="AF192" s="646" t="n">
        <v>41984</v>
      </c>
      <c r="AG192" s="438" t="s">
        <v>278</v>
      </c>
      <c r="AH192" s="439" t="s">
        <v>278</v>
      </c>
      <c r="AI192" s="528" t="n">
        <v>21</v>
      </c>
      <c r="AJ192" s="529" t="n">
        <v>13</v>
      </c>
      <c r="AK192" s="529" t="n">
        <v>8</v>
      </c>
      <c r="AL192" s="530" t="n">
        <v>21</v>
      </c>
      <c r="AM192" s="529" t="n">
        <v>9</v>
      </c>
      <c r="AN192" s="531" t="n">
        <v>12</v>
      </c>
      <c r="AO192" s="532"/>
      <c r="AP192" s="465" t="n">
        <f aca="false">(1+AO192/2)^(-2*BL192)</f>
        <v>1</v>
      </c>
      <c r="AQ192" s="532"/>
      <c r="AR192" s="465" t="n">
        <f aca="false">(1+AQ192/2)^(-2*BH192/365.25)</f>
        <v>1</v>
      </c>
      <c r="AS192" s="580" t="n">
        <f aca="false">(O193*AJ192+O194*AK192)/AI192</f>
        <v>0</v>
      </c>
      <c r="AT192" s="468" t="n">
        <f aca="false">O192*VLOOKUP(BF192,BrentVolTable,2)+VLOOKUP(BF192,BrentVolTable,3)</f>
        <v>0</v>
      </c>
      <c r="AU192" s="468" t="n">
        <f aca="false">(AT193*AM192+AT194*AN192)/AL192</f>
        <v>0</v>
      </c>
      <c r="AV192" s="595" t="n">
        <f aca="false">SQRT(MAX(0.000000000001,(O192^2*BH192-S192^2*(BH192-BH191))/BH191))</f>
        <v>0.0313102671506792</v>
      </c>
      <c r="AW192" s="451" t="n">
        <f aca="false">IF($I192-DateToday+15&gt;=$T$8,"",IF($I192-DateToday+15&lt;$T$5,1,MATCH($I192-DateToday+15,$T$5:$T$8)))</f>
        <v>1</v>
      </c>
      <c r="AX192" s="468" t="n">
        <f aca="false">IF($AW192="",AX191^2/AX190,INDEX(U$5:U$8,$AW192)^((INDEX($T$5:$T$8,$AW192+1)-($I192-DateToday+15))/(INDEX($T$5:$T$8,$AW192+1)-INDEX($T$5:$T$8,$AW192)))/INDEX(U$5:U$8,$AW192+1)^((INDEX($T$5:$T$8,$AW192)-($I192-DateToday+15))/(INDEX($T$5:$T$8,$AW192+1)-INDEX($T$5:$T$8,$AW192))))</f>
        <v>0.317472818744792</v>
      </c>
      <c r="AY192" s="468" t="n">
        <f aca="false">IF($AW192="",AY191^2/AY190,INDEX(V$5:V$8,$AW192)^((INDEX($T$5:$T$8,$AW192+1)-($I192-DateToday+15))/(INDEX($T$5:$T$8,$AW192+1)-INDEX($T$5:$T$8,$AW192)))/INDEX(V$5:V$8,$AW192+1)^((INDEX($T$5:$T$8,$AW192)-($I192-DateToday+15))/(INDEX($T$5:$T$8,$AW192+1)-INDEX($T$5:$T$8,$AW192))))</f>
        <v>3.71838849827548</v>
      </c>
      <c r="AZ192" s="468" t="n">
        <f aca="false">IF($AW192="",AZ191^2/AZ190,INDEX(W$5:W$8,$AW192)^((INDEX($T$5:$T$8,$AW192+1)-($I192-DateToday+15))/(INDEX($T$5:$T$8,$AW192+1)-INDEX($T$5:$T$8,$AW192)))/INDEX(W$5:W$8,$AW192+1)^((INDEX($T$5:$T$8,$AW192)-($I192-DateToday+15))/(INDEX($T$5:$T$8,$AW192+1)-INDEX($T$5:$T$8,$AW192))))</f>
        <v>500.974803579709</v>
      </c>
      <c r="BA192" s="468" t="n">
        <f aca="false">IF($AW192="",BA191^2/BA190,INDEX(X$5:X$8,$AW192)^((INDEX($T$5:$T$8,$AW192+1)-($I192-DateToday+15))/(INDEX($T$5:$T$8,$AW192+1)-INDEX($T$5:$T$8,$AW192)))/INDEX(X$5:X$8,$AW192+1)^((INDEX($T$5:$T$8,$AW192)-($I192-DateToday+15))/(INDEX($T$5:$T$8,$AW192+1)-INDEX($T$5:$T$8,$AW192))))</f>
        <v>1656.72794804758</v>
      </c>
      <c r="BB192" s="468" t="n">
        <f aca="false">IF($AW192="",BB191^2/BB190,INDEX(Y$5:Y$8,$AW192)^((INDEX($T$5:$T$8,$AW192+1)-($I192-DateToday+15))/(INDEX($T$5:$T$8,$AW192+1)-INDEX($T$5:$T$8,$AW192)))/INDEX(Y$5:Y$8,$AW192+1)^((INDEX($T$5:$T$8,$AW192)-($I192-DateToday+15))/(INDEX($T$5:$T$8,$AW192+1)-INDEX($T$5:$T$8,$AW192))))</f>
        <v>8344.23337040916</v>
      </c>
      <c r="BC192" s="468" t="n">
        <f aca="false">IF($AW192="",BC191^2/BC190,INDEX(Z$5:Z$8,$AW192)^((INDEX($T$5:$T$8,$AW192+1)-($I192-DateToday+15))/(INDEX($T$5:$T$8,$AW192+1)-INDEX($T$5:$T$8,$AW192)))/INDEX(Z$5:Z$8,$AW192+1)^((INDEX($T$5:$T$8,$AW192)-($I192-DateToday+15))/(INDEX($T$5:$T$8,$AW192+1)-INDEX($T$5:$T$8,$AW192))))</f>
        <v>22467.9292522756</v>
      </c>
      <c r="BD192" s="535" t="n">
        <f aca="false">IF(OR(DateStart&gt;=I193,DateEnd&lt;I192),0,IF(VolumeOverrideFlag,V192,Volume))</f>
        <v>0</v>
      </c>
      <c r="BE192" s="536" t="n">
        <f aca="false">IF(OR(DateStart2&gt;=I193,DateEnd2&lt;I192),0,IF(VolumeOverrideFlag,V192,VolumeSwaption))</f>
        <v>0</v>
      </c>
      <c r="BF192" s="537" t="n">
        <f aca="false">YEAR(I192)</f>
        <v>2015</v>
      </c>
      <c r="BG192" s="538" t="n">
        <f aca="false">MONTH(I192)</f>
        <v>1</v>
      </c>
      <c r="BH192" s="539" t="n">
        <f aca="false">AD192-DateToday+1</f>
        <v>-3936</v>
      </c>
      <c r="BI192" s="540" t="n">
        <f aca="false">(I192-DateToday+1)/365.25</f>
        <v>-10.7323750855578</v>
      </c>
      <c r="BJ192" s="541" t="n">
        <f aca="false">BI192+(BL192-BI192)*CHOOSE(Underlying,AJ192/AI192,AM192/AL192)</f>
        <v>-10.6815292852254</v>
      </c>
      <c r="BK192" s="541" t="n">
        <f aca="false">BJ192+1/365.25</f>
        <v>-10.6787914344383</v>
      </c>
      <c r="BL192" s="541" t="n">
        <f aca="false">(I193-DateToday)/365.25</f>
        <v>-10.6502395619439</v>
      </c>
      <c r="BM192" s="542" t="e">
        <f aca="false">MAX(BI192-(BJ192-BI192)*(S193^2/O193^2-1),0)</f>
        <v>#DIV/0!</v>
      </c>
      <c r="BN192" s="541" t="e">
        <f aca="false">MAX(BL192+(BL192-BK192)*(S194^2/O194^2-1),0)</f>
        <v>#DIV/0!</v>
      </c>
      <c r="BO192" s="530" t="n">
        <f aca="false">CHOOSE(Underlying,AI192,AL192)</f>
        <v>21</v>
      </c>
      <c r="BP192" s="529" t="n">
        <f aca="false">CHOOSE(Underlying,AJ192,AM192)</f>
        <v>13</v>
      </c>
      <c r="BQ192" s="529" t="n">
        <f aca="false">CHOOSE(Underlying,AK192,AN192)</f>
        <v>8</v>
      </c>
      <c r="BR192" s="463" t="str">
        <f aca="false">IF(BD192,IF(Underlying=1,X192,Z192)+UnderlyingPriceAsian-SwapPriceCurve,"")</f>
        <v/>
      </c>
      <c r="BS192" s="463" t="str">
        <f aca="false">IF(BD192,Strike1/BR192-1,"")</f>
        <v/>
      </c>
      <c r="BT192" s="464" t="str">
        <f aca="false">IF(BD192,Strike2/BR192-1,"")</f>
        <v/>
      </c>
      <c r="BU192" s="465" t="str">
        <f aca="false">IF(BD192,IF(Underlying=1,L193,R193)+UnderlyingPriceAsian-SwapPriceCurve,"")</f>
        <v/>
      </c>
      <c r="BV192" s="465" t="str">
        <f aca="false">IF(BD192,IF(Underlying=1,L194,R194)+UnderlyingPriceAsian-SwapPriceCurve,"")</f>
        <v/>
      </c>
      <c r="BW192" s="466" t="str">
        <f aca="false">IF(BD192,IF(Underlying=1,O193,AT193),"")</f>
        <v/>
      </c>
      <c r="BX192" s="467" t="str">
        <f aca="false">IF(BD192,IF(Underlying=1,O194,AT194),"")</f>
        <v/>
      </c>
      <c r="BY192" s="466" t="str">
        <f aca="false">IF(BD192,IF(BS192&gt;0,IF(BS192&gt;0.2,BC192-BB192,IF(BS192&gt;0.1,BB192-BA192,BA192)),IF(BS192&lt;-0.2,AX192-AY192,IF(BS192&lt;-0.1,AY192-AZ192,AZ192))),"")</f>
        <v/>
      </c>
      <c r="BZ192" s="467" t="str">
        <f aca="false">IF(BD192,IF(BT192&gt;0,IF(BT192&gt;0.2,BC192-BB192,IF(BT192&gt;0.1,BB192-BA192,BA192)),IF(BT192&lt;-0.2,AX192-AY192,IF(BT192&lt;-0.1,AY192-AZ192,AZ192))),"")</f>
        <v/>
      </c>
      <c r="CA192" s="468" t="str">
        <f aca="false">IF($BD192,$BW192+IF(VolSkewFlag=1,IF(BS192&gt;0,$BA192*MIN(BS192/10%,1)+($BB192-$BA192)*MAX(0,MIN(BS192/10%-1,1))+($BC192-$BB192)*MAX(0,BS192/10%-2),$AZ192*MIN(-BS192/10%,1)+($AY192-$AZ192)*MAX(0,MIN(-BS192/10%-1,1))+($AX192-$AY192)*MAX(0,-BS192/10%-2)),0),"")</f>
        <v/>
      </c>
      <c r="CB192" s="468" t="str">
        <f aca="false">IF($BD192,$BX192+IF(VolSkewFlag=1,IF(BS192&gt;0,$BA192*MIN(BS192/10%,1)+($BB192-$BA192)*MAX(0,MIN(BS192/10%-1,1))+($BC192-$BB192)*MAX(0,BS192/10%-2),$AZ192*MIN(-BS192/10%,1)+($AY192-$AZ192)*MAX(0,MIN(-BS192/10%-1,1))+($AX192-$AY192)*MAX(0,-BS192/10%-2)),0),"")</f>
        <v/>
      </c>
      <c r="CC192" s="468" t="str">
        <f aca="false">IF($BD192,$BW192+IF(VolSkewFlag=1,IF(BT192&gt;0,$BA192*MIN(BT192/10%,1)+($BB192-$BA192)*MAX(0,MIN(BT192/10%-1,1))+($BC192-$BB192)*MAX(0,BT192/10%-2),$AZ192*MIN(-BT192/10%,1)+($AY192-$AZ192)*MAX(0,MIN(-BT192/10%-1,1))+($AX192-$AY192)*MAX(0,-BT192/10%-2)),0),"")</f>
        <v/>
      </c>
      <c r="CD192" s="468" t="str">
        <f aca="false">IF($BD192,$BX192+IF(VolSkewFlag=1,IF(BT192&gt;0,$BA192*MIN(BT192/10%,1)+($BB192-$BA192)*MAX(0,MIN(BT192/10%-1,1))+($BC192-$BB192)*MAX(0,BT192/10%-2),$AZ192*MIN(-BT192/10%,1)+($AY192-$AZ192)*MAX(0,MIN(-BT192/10%-1,1))+($AX192-$AY192)*MAX(0,-BT192/10%-2)),0),"")</f>
        <v/>
      </c>
      <c r="CE192" s="469" t="n">
        <v>1</v>
      </c>
      <c r="CF192" s="470" t="n">
        <f aca="false">IF(BD192,xCrudeAPO(BU192,BV192,CA192,CB192,S193,S194,BI192,BL192,BP192,BQ192,0,Strike1,AO192,CE192,0,BL192,IF(OptControl=4,0,1),0,1),0)</f>
        <v>0</v>
      </c>
      <c r="CG192" s="470" t="n">
        <f aca="false">IF(BD192,xCrudeAPO(BU192,BV192,CA192,CB192,S193,S194,BI192,BL192,BP192,BQ192,0,Strike1,AO192,CE192,0,BL192,IF(OptControl=4,0,1),1,1)+xCrudeAPO(BU192,BV192,CA192,CB192,S193,S194,BI192,BL192,BP192,BQ192,0,Strike1,AO192,CE192,0,BL192,IF(OptControl=4,0,1),1,2)+IF(OR(VolSkewFlag=2,ABS(BS192)&lt;0.0001),0,IF(BS192&gt;0,-1,1)*CH192*Strike1/BR192^2*BY192/10%),0)</f>
        <v>0</v>
      </c>
      <c r="CH192" s="470" t="n">
        <f aca="false">IF(BD192,(xCrudeAPO(BU192,BV192,CA192,CB192,S193,S194,BI192,BL192,BP192,BQ192,0,Strike1,AO192,CE192,0,BL192,IF(OptControl=4,0,1),3,1)+xCrudeAPO(BU192,BV192,CA192,CB192,S193,S194,BI192,BL192,BP192,BQ192,0,Strike1,AO192,CE192,0,BL192,IF(OptControl=4,0,1),3,2))/100,0)</f>
        <v>0</v>
      </c>
      <c r="CI192" s="470" t="n">
        <f aca="false">IF(BD192,xCrudeAPO(BU192,BV192,CA192,CB192,S193,S194,BI192-DaysForThetaCalculation/365.25,BL192-DaysForThetaCalculation/365.25,BP192,BQ192,0,Strike1,AO192,CE192,0,BL192,IF(OptControl=4,0,1),0,1)-xCrudeAPO(BU192,BV192,CA192,CB192,S193,S194,BI192,BL192,BP192,BQ192,0,Strike1,AO192,CE192,0,BL192,IF(OptControl=4,0,1),0,1),0)</f>
        <v>0</v>
      </c>
      <c r="CJ192" s="471" t="n">
        <f aca="false">IF(BD192,xCrudeAPO(BU192,BV192,CC192,CD192,S193,S194,BI192,BL192,BP192,BQ192,0,Strike2,AO192,CE192,0,BL192,IF(OptControl=3,1,0),0,1),0)</f>
        <v>0</v>
      </c>
      <c r="CK192" s="470" t="n">
        <f aca="false">IF(BD192,xCrudeAPO(BU192,BV192,CC192,CD192,S193,S194,BI192,BL192,BP192,BQ192,0,Strike2,AO192,CE192,0,BL192,IF(OptControl=3,1,0),1,1)+xCrudeAPO(BU192,BV192,CC192,CD192,S193,S194,BI192,BL192,BP192,BQ192,0,Strike2,AO192,CE192,0,BL192,IF(OptControl=3,1,0),1,2)+IF(OR(VolSkewFlag=2,ABS(BT192)&lt;0.0001),0,IF(BT192&gt;0,-1,1)*CL192*Strike2/BR192^2*BZ192/10%),0)</f>
        <v>0</v>
      </c>
      <c r="CL192" s="470" t="n">
        <f aca="false">IF(BD192,(xCrudeAPO(BU192,BV192,CC192,CD192,S193,S194,BI192,BL192,BP192,BQ192,0,Strike2,AO192,CE192,0,BL192,IF(OptControl=3,1,0),3,1)+xCrudeAPO(BU192,BV192,CC192,CD192,S193,S194,BI192,BL192,BP192,BQ192,0,Strike2,AO192,CE192,0,BL192,IF(OptControl=3,1,0),3,2))/100,0)</f>
        <v>0</v>
      </c>
      <c r="CM192" s="472" t="n">
        <f aca="false">IF(BD192,xCrudeAPO(BU192,BV192,CC192,CD192,S193,S194,BI192-DaysForThetaCalculation/365.25,BL192-DaysForThetaCalculation/365.25,BP192,BQ192,0,Strike2,AO192,CE192,0,BL192,IF(OptControl=3,1,0),0,1)-xCrudeAPO(BU192,BV192,CC192,CD192,S193,S194,BI192,BL192,BP192,BQ192,0,Strike2,AO192,CE192,0,BL192,IF(OptControl=3,1,0),0,1),0)</f>
        <v>0</v>
      </c>
      <c r="CN192" s="3"/>
      <c r="CO192" s="543" t="str">
        <f aca="false">IF(BD192,CHOOSE(Underlying,AD192,AF192)-DateToday+1,"")</f>
        <v/>
      </c>
      <c r="CP192" s="582" t="str">
        <f aca="false">IF(BD192,CHOOSE(Underlying,L192,R192),"")</f>
        <v/>
      </c>
      <c r="CQ192" s="544" t="str">
        <f aca="false">IF(BD192,Strike1/CP192-1,"")</f>
        <v/>
      </c>
      <c r="CR192" s="544" t="str">
        <f aca="false">IF(BD192,Strike2/CP192-1,"")</f>
        <v/>
      </c>
      <c r="CS192" s="544" t="str">
        <f aca="false">IF(BD192,IF(CQ192&gt;0,IF(CQ192&gt;0.2,BC191-BB191,IF(CQ192&gt;0.1,BB191-BA191,BA191)),IF(CQ192&lt;-0.2,AX191-AY191,IF(CQ192&lt;-0.1,AY191-AZ191,AZ191))),"")</f>
        <v/>
      </c>
      <c r="CT192" s="544" t="str">
        <f aca="false">IF(BD192,IF(CR192&gt;0,IF(CR192&gt;0.2,BC191-BB191,IF(CR192&gt;0.1,BB191-BA191,BA191)),IF(CR192&lt;-0.2,AX191-AY191,IF(CR192&lt;-0.1,AY191-AZ191,AZ191))),"")</f>
        <v/>
      </c>
      <c r="CU192" s="545" t="str">
        <f aca="false">IF(BD192,CHOOSE(Underlying,O192,AT192),"")</f>
        <v/>
      </c>
      <c r="CV192" s="545" t="str">
        <f aca="false">IF(BD192,CU192+IF(VolSkewFlag=1,IF(CQ192&gt;0,BA191*MIN(CQ192/10%,1)+(BB191-BA191)*MAX(0,MIN(CQ192/10%-1,1))+(BC191-BB191)*MAX(0,CQ192/10%-2),AZ191*MIN(-CQ192/10%,1)+(AY191-AZ191)*MAX(0,MIN(-CQ192/10%-1,1))+(AX191-AY191)*MAX(0,-CQ192/10%-2)),0),"")</f>
        <v/>
      </c>
      <c r="CW192" s="545" t="str">
        <f aca="false">IF(BD192,CU192+IF(VolSkewFlag=1,IF(CR192&gt;0,BA191*MIN(CR192/10%,1)+(BB191-BA191)*MAX(0,MIN(CR192/10%-1,1))+(BC191-BB191)*MAX(0,CR192/10%-2),AZ191*MIN(-CR192/10%,1)+(AY191-AZ191)*MAX(0,MIN(-CR192/10%-1,1))+(AX191-AY191)*MAX(0,-CR192/10%-2)),0),"")</f>
        <v/>
      </c>
      <c r="CX192" s="470" t="n">
        <f aca="false">IF(BD192,EURO(CP192,Strike1,AO192,AO192,CV192,CO192,IF(OptControl=4,0,1),0),0)</f>
        <v>0</v>
      </c>
      <c r="CY192" s="470" t="n">
        <f aca="false">IF(BD192,EURO(CP192,Strike1,AO192,AO192,CV192,CO192,IF(OptControl=4,0,1),1)+IF(OR(VolSkewFlag=2,ABS(CQ192)&lt;0.0001),0,IF(CQ192&gt;0,-1,1)*CZ192*100*Strike1/CP192^2*CS192/10%),0)</f>
        <v>0</v>
      </c>
      <c r="CZ192" s="470" t="n">
        <f aca="false">IF(BD192,EURO(CP192,Strike1,AO192,AO192,CV192,CO192,IF(OptControl=4,0,1),3)/100,0)</f>
        <v>0</v>
      </c>
      <c r="DA192" s="470" t="n">
        <f aca="false">IF(BD192,EURO(CP192,Strike1,AO192,AO192,CV192,CO192,IF(OptControl=4,0,1),0)-EURO(CP192,Strike1,AO192,AO192,CV192,CO192-1,IF(OptControl=4,0,1),0),0)</f>
        <v>0</v>
      </c>
      <c r="DB192" s="470" t="n">
        <f aca="false">IF(BD192,EURO(CP192,Strike2,AO192,AO192,CW192,CO192,IF(OptControl=3,1,0),0),0)</f>
        <v>0</v>
      </c>
      <c r="DC192" s="470" t="n">
        <f aca="false">IF(BD192,EURO(CP192,Strike2,AO192,AO192,CW192,CO192,IF(OptControl=3,1,0),1)+IF(OR(VolSkewFlag=2,ABS(CR192)&lt;0.0001),0,IF(CR192&gt;0,-1,1)*DD192*100*Strike2/CP192^2*CT192/10%),0)</f>
        <v>0</v>
      </c>
      <c r="DD192" s="470" t="n">
        <f aca="false">IF(BD192,EURO(CP192,Strike2,AO192,AO192,CW192,CO192,IF(OptControl=3,1,0),3)/100,0)</f>
        <v>0</v>
      </c>
      <c r="DE192" s="472" t="n">
        <f aca="false">IF(BD192,EURO(CP192,Strike2,AO192,AO192,CW192,CO192,IF(OptControl=3,1,0),0)-EURO(CP192,Strike2,AO192,AO192,CW192,CO192-1,IF(OptControl=3,1,0),0),0)</f>
        <v>0</v>
      </c>
      <c r="DG192" s="481" t="n">
        <f aca="false">EOMONTH(DG191,0)+1</f>
        <v>50922</v>
      </c>
      <c r="DH192" s="478" t="n">
        <v>22.7600000000001</v>
      </c>
      <c r="DI192" s="479" t="n">
        <v>22.8242857142858</v>
      </c>
      <c r="DJ192" s="480" t="n">
        <f aca="false">DG192</f>
        <v>50922</v>
      </c>
      <c r="DK192" s="478" t="n">
        <v>21.3446988569058</v>
      </c>
      <c r="DL192" s="479" t="n">
        <v>21.5327857142858</v>
      </c>
      <c r="DM192" s="481" t="n">
        <f aca="false">DG192</f>
        <v>50922</v>
      </c>
      <c r="DN192" s="482" t="n">
        <f aca="false">DK192+BrentPhyBrentSpread</f>
        <v>21.3946988569058</v>
      </c>
      <c r="DO192" s="481" t="n">
        <f aca="false">DG192</f>
        <v>50922</v>
      </c>
      <c r="DP192" s="483" t="n">
        <f aca="false">DL192+DQ192</f>
        <v>21.5327857142858</v>
      </c>
      <c r="DQ192" s="546" t="n">
        <v>0</v>
      </c>
      <c r="DR192" s="480" t="n">
        <f aca="false">DG192</f>
        <v>50922</v>
      </c>
      <c r="DS192" s="485" t="n">
        <v>0.121399999999998</v>
      </c>
      <c r="DT192" s="486" t="n">
        <v>0.120628571428569</v>
      </c>
      <c r="DU192" s="480" t="n">
        <f aca="false">DG192</f>
        <v>50922</v>
      </c>
      <c r="DV192" s="485" t="n">
        <v>0.121399999999998</v>
      </c>
      <c r="DW192" s="486" t="n">
        <v>0.120628571428569</v>
      </c>
      <c r="DX192" s="481" t="n">
        <f aca="false">DG192</f>
        <v>50922</v>
      </c>
      <c r="DY192" s="486" t="n">
        <v>0.35</v>
      </c>
      <c r="DZ192" s="481" t="n">
        <f aca="false">DR192</f>
        <v>50922</v>
      </c>
      <c r="EA192" s="486" t="n">
        <f aca="false">DT192</f>
        <v>0.120628571428569</v>
      </c>
      <c r="EB192" s="195"/>
      <c r="EC192" s="547" t="str">
        <f aca="false">IF(BD192,IF(Underlying=1,AS192,AU192),"")</f>
        <v/>
      </c>
      <c r="ED192" s="548" t="str">
        <f aca="false">IF($BD192,$EC192+IF(VolSkewFlag=1,IF(BS192&gt;0,$BA192*MIN(BS192/10%,1)+($BB192-$BA192)*MAX(0,MIN(BS192/10%-1,1))+($BC192-$BB192)*MAX(0,BS192/10%-2),$AZ192*MIN(-BS192/10%,1)+($AY192-$AZ192)*MAX(0,MIN(-BS192/10%-1,1))+($AX192-$AY192)*MAX(0,-BS192/10%-2)),0),"")</f>
        <v/>
      </c>
      <c r="EE192" s="549" t="str">
        <f aca="false">IF($BD192,$EC192+IF(VolSkewFlag=1,IF(BT192&gt;0,$BA192*MIN(BT192/10%,1)+($BB192-$BA192)*MAX(0,MIN(BT192/10%-1,1))+($BC192-$BB192)*MAX(0,BT192/10%-2),$AZ192*MIN(-BT192/10%,1)+($AY192-$AZ192)*MAX(0,MIN(-BT192/10%-1,1))+($AX192-$AY192)*MAX(0,-BT192/10%-2)),0),"")</f>
        <v/>
      </c>
      <c r="EF192" s="550" t="n">
        <f aca="false">IF(BD192,xASN(BR192,Strike1,AO192,ED192,0,BO192,0,BI192,BL192,IF(OptControl=4,0,1),0),0)</f>
        <v>0</v>
      </c>
      <c r="EG192" s="551" t="n">
        <f aca="false">IF(BD192,xASN(BR192,Strike2,AO192,EE192,0,BO192,0,BI192,BL192,IF(OptControl=3,1,0),0),0)</f>
        <v>0</v>
      </c>
      <c r="EL192" s="1"/>
      <c r="EM192" s="195"/>
      <c r="EN192" s="240"/>
      <c r="EO192" s="240"/>
      <c r="EP192" s="195"/>
      <c r="EQ192" s="407" t="s">
        <v>420</v>
      </c>
      <c r="ES192" s="130"/>
      <c r="ET192" s="19"/>
      <c r="EU192" s="672"/>
      <c r="EV192" s="478"/>
      <c r="EW192" s="131"/>
      <c r="EX192" s="131"/>
      <c r="EY192" s="129"/>
      <c r="EZ192" s="129"/>
      <c r="FA192" s="129"/>
      <c r="FB192" s="129"/>
      <c r="FC192" s="129"/>
      <c r="FD192" s="129"/>
      <c r="FE192" s="129"/>
      <c r="FF192" s="129"/>
      <c r="FG192" s="129"/>
      <c r="FH192" s="129"/>
      <c r="FI192" s="129"/>
      <c r="FJ192" s="571" t="n">
        <v>23</v>
      </c>
      <c r="FK192" s="150" t="str">
        <f aca="false">IF(OR(FK$169&lt;SwaptionFirstMonthPosition+1,$FJ192&lt;SwaptionFirstMonthPosition+1,FK$169&gt;SwaptionFirstMonthPosition+SwaptionNumOfMonths+1,$FJ192&gt;SwaptionFirstMonthPosition+SwaptionNumOfMonths+1),"",IF($FJ192=FK$169,1,IF($FJ192&lt;FK$169,INDEX($FK$170:$ID$241,FK$169,$FJ192),SUMPRODUCT(INDEX($FK$325:$ID$396,FK$169,1+SwaptionShift):INDEX($FK$325:$ID$396,FK$169,SwaptionMonthsToGo+SwaptionShift),INDEX($FK$245:$ID$316,$FJ192-FK$169,73-FK$169+SwaptionShift):INDEX($FK$245:$ID$316,$FJ192-FK$169,72-FK$169+SwaptionMonthsToGo+SwaptionShift))/SQRT(SUM(INDEX($FK347:$ID347,1+SwaptionShift):INDEX($FK347:$ID347,SwaptionMonthsToGo+SwaptionShift))*SUM(INDEX($FK$325:$ID$396,FK$169,1+SwaptionShift):INDEX($FK$325:$ID$396,FK$169,SwaptionMonthsToGo+SwaptionShift))))))</f>
        <v/>
      </c>
      <c r="FL192" s="150" t="str">
        <f aca="false">IF(OR(FL$169&lt;SwaptionFirstMonthPosition+1,$FJ192&lt;SwaptionFirstMonthPosition+1,FL$169&gt;SwaptionFirstMonthPosition+SwaptionNumOfMonths+1,$FJ192&gt;SwaptionFirstMonthPosition+SwaptionNumOfMonths+1),"",IF($FJ192=FL$169,1,IF($FJ192&lt;FL$169,INDEX($FK$170:$ID$241,FL$169,$FJ192),SUMPRODUCT(INDEX($FK$325:$ID$396,FL$169,1+SwaptionShift):INDEX($FK$325:$ID$396,FL$169,SwaptionMonthsToGo+SwaptionShift),INDEX($FK$245:$ID$316,$FJ192-FL$169,73-FL$169+SwaptionShift):INDEX($FK$245:$ID$316,$FJ192-FL$169,72-FL$169+SwaptionMonthsToGo+SwaptionShift))/SQRT(SUM(INDEX($FK347:$ID347,1+SwaptionShift):INDEX($FK347:$ID347,SwaptionMonthsToGo+SwaptionShift))*SUM(INDEX($FK$325:$ID$396,FL$169,1+SwaptionShift):INDEX($FK$325:$ID$396,FL$169,SwaptionMonthsToGo+SwaptionShift))))))</f>
        <v/>
      </c>
      <c r="FM192" s="150" t="str">
        <f aca="false">IF(OR(FM$169&lt;SwaptionFirstMonthPosition+1,$FJ192&lt;SwaptionFirstMonthPosition+1,FM$169&gt;SwaptionFirstMonthPosition+SwaptionNumOfMonths+1,$FJ192&gt;SwaptionFirstMonthPosition+SwaptionNumOfMonths+1),"",IF($FJ192=FM$169,1,IF($FJ192&lt;FM$169,INDEX($FK$170:$ID$241,FM$169,$FJ192),SUMPRODUCT(INDEX($FK$325:$ID$396,FM$169,1+SwaptionShift):INDEX($FK$325:$ID$396,FM$169,SwaptionMonthsToGo+SwaptionShift),INDEX($FK$245:$ID$316,$FJ192-FM$169,73-FM$169+SwaptionShift):INDEX($FK$245:$ID$316,$FJ192-FM$169,72-FM$169+SwaptionMonthsToGo+SwaptionShift))/SQRT(SUM(INDEX($FK347:$ID347,1+SwaptionShift):INDEX($FK347:$ID347,SwaptionMonthsToGo+SwaptionShift))*SUM(INDEX($FK$325:$ID$396,FM$169,1+SwaptionShift):INDEX($FK$325:$ID$396,FM$169,SwaptionMonthsToGo+SwaptionShift))))))</f>
        <v/>
      </c>
      <c r="FN192" s="150" t="str">
        <f aca="false">IF(OR(FN$169&lt;SwaptionFirstMonthPosition+1,$FJ192&lt;SwaptionFirstMonthPosition+1,FN$169&gt;SwaptionFirstMonthPosition+SwaptionNumOfMonths+1,$FJ192&gt;SwaptionFirstMonthPosition+SwaptionNumOfMonths+1),"",IF($FJ192=FN$169,1,IF($FJ192&lt;FN$169,INDEX($FK$170:$ID$241,FN$169,$FJ192),SUMPRODUCT(INDEX($FK$325:$ID$396,FN$169,1+SwaptionShift):INDEX($FK$325:$ID$396,FN$169,SwaptionMonthsToGo+SwaptionShift),INDEX($FK$245:$ID$316,$FJ192-FN$169,73-FN$169+SwaptionShift):INDEX($FK$245:$ID$316,$FJ192-FN$169,72-FN$169+SwaptionMonthsToGo+SwaptionShift))/SQRT(SUM(INDEX($FK347:$ID347,1+SwaptionShift):INDEX($FK347:$ID347,SwaptionMonthsToGo+SwaptionShift))*SUM(INDEX($FK$325:$ID$396,FN$169,1+SwaptionShift):INDEX($FK$325:$ID$396,FN$169,SwaptionMonthsToGo+SwaptionShift))))))</f>
        <v/>
      </c>
      <c r="FO192" s="150" t="str">
        <f aca="false">IF(OR(FO$169&lt;SwaptionFirstMonthPosition+1,$FJ192&lt;SwaptionFirstMonthPosition+1,FO$169&gt;SwaptionFirstMonthPosition+SwaptionNumOfMonths+1,$FJ192&gt;SwaptionFirstMonthPosition+SwaptionNumOfMonths+1),"",IF($FJ192=FO$169,1,IF($FJ192&lt;FO$169,INDEX($FK$170:$ID$241,FO$169,$FJ192),SUMPRODUCT(INDEX($FK$325:$ID$396,FO$169,1+SwaptionShift):INDEX($FK$325:$ID$396,FO$169,SwaptionMonthsToGo+SwaptionShift),INDEX($FK$245:$ID$316,$FJ192-FO$169,73-FO$169+SwaptionShift):INDEX($FK$245:$ID$316,$FJ192-FO$169,72-FO$169+SwaptionMonthsToGo+SwaptionShift))/SQRT(SUM(INDEX($FK347:$ID347,1+SwaptionShift):INDEX($FK347:$ID347,SwaptionMonthsToGo+SwaptionShift))*SUM(INDEX($FK$325:$ID$396,FO$169,1+SwaptionShift):INDEX($FK$325:$ID$396,FO$169,SwaptionMonthsToGo+SwaptionShift))))))</f>
        <v/>
      </c>
      <c r="FP192" s="150" t="str">
        <f aca="false">IF(OR(FP$169&lt;SwaptionFirstMonthPosition+1,$FJ192&lt;SwaptionFirstMonthPosition+1,FP$169&gt;SwaptionFirstMonthPosition+SwaptionNumOfMonths+1,$FJ192&gt;SwaptionFirstMonthPosition+SwaptionNumOfMonths+1),"",IF($FJ192=FP$169,1,IF($FJ192&lt;FP$169,INDEX($FK$170:$ID$241,FP$169,$FJ192),SUMPRODUCT(INDEX($FK$325:$ID$396,FP$169,1+SwaptionShift):INDEX($FK$325:$ID$396,FP$169,SwaptionMonthsToGo+SwaptionShift),INDEX($FK$245:$ID$316,$FJ192-FP$169,73-FP$169+SwaptionShift):INDEX($FK$245:$ID$316,$FJ192-FP$169,72-FP$169+SwaptionMonthsToGo+SwaptionShift))/SQRT(SUM(INDEX($FK347:$ID347,1+SwaptionShift):INDEX($FK347:$ID347,SwaptionMonthsToGo+SwaptionShift))*SUM(INDEX($FK$325:$ID$396,FP$169,1+SwaptionShift):INDEX($FK$325:$ID$396,FP$169,SwaptionMonthsToGo+SwaptionShift))))))</f>
        <v/>
      </c>
      <c r="FQ192" s="150" t="str">
        <f aca="false">IF(OR(FQ$169&lt;SwaptionFirstMonthPosition+1,$FJ192&lt;SwaptionFirstMonthPosition+1,FQ$169&gt;SwaptionFirstMonthPosition+SwaptionNumOfMonths+1,$FJ192&gt;SwaptionFirstMonthPosition+SwaptionNumOfMonths+1),"",IF($FJ192=FQ$169,1,IF($FJ192&lt;FQ$169,INDEX($FK$170:$ID$241,FQ$169,$FJ192),SUMPRODUCT(INDEX($FK$325:$ID$396,FQ$169,1+SwaptionShift):INDEX($FK$325:$ID$396,FQ$169,SwaptionMonthsToGo+SwaptionShift),INDEX($FK$245:$ID$316,$FJ192-FQ$169,73-FQ$169+SwaptionShift):INDEX($FK$245:$ID$316,$FJ192-FQ$169,72-FQ$169+SwaptionMonthsToGo+SwaptionShift))/SQRT(SUM(INDEX($FK347:$ID347,1+SwaptionShift):INDEX($FK347:$ID347,SwaptionMonthsToGo+SwaptionShift))*SUM(INDEX($FK$325:$ID$396,FQ$169,1+SwaptionShift):INDEX($FK$325:$ID$396,FQ$169,SwaptionMonthsToGo+SwaptionShift))))))</f>
        <v/>
      </c>
      <c r="FR192" s="150" t="str">
        <f aca="false">IF(OR(FR$169&lt;SwaptionFirstMonthPosition+1,$FJ192&lt;SwaptionFirstMonthPosition+1,FR$169&gt;SwaptionFirstMonthPosition+SwaptionNumOfMonths+1,$FJ192&gt;SwaptionFirstMonthPosition+SwaptionNumOfMonths+1),"",IF($FJ192=FR$169,1,IF($FJ192&lt;FR$169,INDEX($FK$170:$ID$241,FR$169,$FJ192),SUMPRODUCT(INDEX($FK$325:$ID$396,FR$169,1+SwaptionShift):INDEX($FK$325:$ID$396,FR$169,SwaptionMonthsToGo+SwaptionShift),INDEX($FK$245:$ID$316,$FJ192-FR$169,73-FR$169+SwaptionShift):INDEX($FK$245:$ID$316,$FJ192-FR$169,72-FR$169+SwaptionMonthsToGo+SwaptionShift))/SQRT(SUM(INDEX($FK347:$ID347,1+SwaptionShift):INDEX($FK347:$ID347,SwaptionMonthsToGo+SwaptionShift))*SUM(INDEX($FK$325:$ID$396,FR$169,1+SwaptionShift):INDEX($FK$325:$ID$396,FR$169,SwaptionMonthsToGo+SwaptionShift))))))</f>
        <v/>
      </c>
      <c r="FS192" s="150" t="str">
        <f aca="false">IF(OR(FS$169&lt;SwaptionFirstMonthPosition+1,$FJ192&lt;SwaptionFirstMonthPosition+1,FS$169&gt;SwaptionFirstMonthPosition+SwaptionNumOfMonths+1,$FJ192&gt;SwaptionFirstMonthPosition+SwaptionNumOfMonths+1),"",IF($FJ192=FS$169,1,IF($FJ192&lt;FS$169,INDEX($FK$170:$ID$241,FS$169,$FJ192),SUMPRODUCT(INDEX($FK$325:$ID$396,FS$169,1+SwaptionShift):INDEX($FK$325:$ID$396,FS$169,SwaptionMonthsToGo+SwaptionShift),INDEX($FK$245:$ID$316,$FJ192-FS$169,73-FS$169+SwaptionShift):INDEX($FK$245:$ID$316,$FJ192-FS$169,72-FS$169+SwaptionMonthsToGo+SwaptionShift))/SQRT(SUM(INDEX($FK347:$ID347,1+SwaptionShift):INDEX($FK347:$ID347,SwaptionMonthsToGo+SwaptionShift))*SUM(INDEX($FK$325:$ID$396,FS$169,1+SwaptionShift):INDEX($FK$325:$ID$396,FS$169,SwaptionMonthsToGo+SwaptionShift))))))</f>
        <v/>
      </c>
      <c r="FT192" s="150" t="str">
        <f aca="false">IF(OR(FT$169&lt;SwaptionFirstMonthPosition+1,$FJ192&lt;SwaptionFirstMonthPosition+1,FT$169&gt;SwaptionFirstMonthPosition+SwaptionNumOfMonths+1,$FJ192&gt;SwaptionFirstMonthPosition+SwaptionNumOfMonths+1),"",IF($FJ192=FT$169,1,IF($FJ192&lt;FT$169,INDEX($FK$170:$ID$241,FT$169,$FJ192),SUMPRODUCT(INDEX($FK$325:$ID$396,FT$169,1+SwaptionShift):INDEX($FK$325:$ID$396,FT$169,SwaptionMonthsToGo+SwaptionShift),INDEX($FK$245:$ID$316,$FJ192-FT$169,73-FT$169+SwaptionShift):INDEX($FK$245:$ID$316,$FJ192-FT$169,72-FT$169+SwaptionMonthsToGo+SwaptionShift))/SQRT(SUM(INDEX($FK347:$ID347,1+SwaptionShift):INDEX($FK347:$ID347,SwaptionMonthsToGo+SwaptionShift))*SUM(INDEX($FK$325:$ID$396,FT$169,1+SwaptionShift):INDEX($FK$325:$ID$396,FT$169,SwaptionMonthsToGo+SwaptionShift))))))</f>
        <v/>
      </c>
      <c r="FU192" s="150" t="str">
        <f aca="false">IF(OR(FU$169&lt;SwaptionFirstMonthPosition+1,$FJ192&lt;SwaptionFirstMonthPosition+1,FU$169&gt;SwaptionFirstMonthPosition+SwaptionNumOfMonths+1,$FJ192&gt;SwaptionFirstMonthPosition+SwaptionNumOfMonths+1),"",IF($FJ192=FU$169,1,IF($FJ192&lt;FU$169,INDEX($FK$170:$ID$241,FU$169,$FJ192),SUMPRODUCT(INDEX($FK$325:$ID$396,FU$169,1+SwaptionShift):INDEX($FK$325:$ID$396,FU$169,SwaptionMonthsToGo+SwaptionShift),INDEX($FK$245:$ID$316,$FJ192-FU$169,73-FU$169+SwaptionShift):INDEX($FK$245:$ID$316,$FJ192-FU$169,72-FU$169+SwaptionMonthsToGo+SwaptionShift))/SQRT(SUM(INDEX($FK347:$ID347,1+SwaptionShift):INDEX($FK347:$ID347,SwaptionMonthsToGo+SwaptionShift))*SUM(INDEX($FK$325:$ID$396,FU$169,1+SwaptionShift):INDEX($FK$325:$ID$396,FU$169,SwaptionMonthsToGo+SwaptionShift))))))</f>
        <v/>
      </c>
      <c r="FV192" s="150" t="str">
        <f aca="false">IF(OR(FV$169&lt;SwaptionFirstMonthPosition+1,$FJ192&lt;SwaptionFirstMonthPosition+1,FV$169&gt;SwaptionFirstMonthPosition+SwaptionNumOfMonths+1,$FJ192&gt;SwaptionFirstMonthPosition+SwaptionNumOfMonths+1),"",IF($FJ192=FV$169,1,IF($FJ192&lt;FV$169,INDEX($FK$170:$ID$241,FV$169,$FJ192),SUMPRODUCT(INDEX($FK$325:$ID$396,FV$169,1+SwaptionShift):INDEX($FK$325:$ID$396,FV$169,SwaptionMonthsToGo+SwaptionShift),INDEX($FK$245:$ID$316,$FJ192-FV$169,73-FV$169+SwaptionShift):INDEX($FK$245:$ID$316,$FJ192-FV$169,72-FV$169+SwaptionMonthsToGo+SwaptionShift))/SQRT(SUM(INDEX($FK347:$ID347,1+SwaptionShift):INDEX($FK347:$ID347,SwaptionMonthsToGo+SwaptionShift))*SUM(INDEX($FK$325:$ID$396,FV$169,1+SwaptionShift):INDEX($FK$325:$ID$396,FV$169,SwaptionMonthsToGo+SwaptionShift))))))</f>
        <v/>
      </c>
      <c r="FW192" s="150" t="str">
        <f aca="false">IF(OR(FW$169&lt;SwaptionFirstMonthPosition+1,$FJ192&lt;SwaptionFirstMonthPosition+1,FW$169&gt;SwaptionFirstMonthPosition+SwaptionNumOfMonths+1,$FJ192&gt;SwaptionFirstMonthPosition+SwaptionNumOfMonths+1),"",IF($FJ192=FW$169,1,IF($FJ192&lt;FW$169,INDEX($FK$170:$ID$241,FW$169,$FJ192),SUMPRODUCT(INDEX($FK$325:$ID$396,FW$169,1+SwaptionShift):INDEX($FK$325:$ID$396,FW$169,SwaptionMonthsToGo+SwaptionShift),INDEX($FK$245:$ID$316,$FJ192-FW$169,73-FW$169+SwaptionShift):INDEX($FK$245:$ID$316,$FJ192-FW$169,72-FW$169+SwaptionMonthsToGo+SwaptionShift))/SQRT(SUM(INDEX($FK347:$ID347,1+SwaptionShift):INDEX($FK347:$ID347,SwaptionMonthsToGo+SwaptionShift))*SUM(INDEX($FK$325:$ID$396,FW$169,1+SwaptionShift):INDEX($FK$325:$ID$396,FW$169,SwaptionMonthsToGo+SwaptionShift))))))</f>
        <v/>
      </c>
      <c r="FX192" s="150" t="str">
        <f aca="false">IF(OR(FX$169&lt;SwaptionFirstMonthPosition+1,$FJ192&lt;SwaptionFirstMonthPosition+1,FX$169&gt;SwaptionFirstMonthPosition+SwaptionNumOfMonths+1,$FJ192&gt;SwaptionFirstMonthPosition+SwaptionNumOfMonths+1),"",IF($FJ192=FX$169,1,IF($FJ192&lt;FX$169,INDEX($FK$170:$ID$241,FX$169,$FJ192),SUMPRODUCT(INDEX($FK$325:$ID$396,FX$169,1+SwaptionShift):INDEX($FK$325:$ID$396,FX$169,SwaptionMonthsToGo+SwaptionShift),INDEX($FK$245:$ID$316,$FJ192-FX$169,73-FX$169+SwaptionShift):INDEX($FK$245:$ID$316,$FJ192-FX$169,72-FX$169+SwaptionMonthsToGo+SwaptionShift))/SQRT(SUM(INDEX($FK347:$ID347,1+SwaptionShift):INDEX($FK347:$ID347,SwaptionMonthsToGo+SwaptionShift))*SUM(INDEX($FK$325:$ID$396,FX$169,1+SwaptionShift):INDEX($FK$325:$ID$396,FX$169,SwaptionMonthsToGo+SwaptionShift))))))</f>
        <v/>
      </c>
      <c r="FY192" s="150" t="str">
        <f aca="false">IF(OR(FY$169&lt;SwaptionFirstMonthPosition+1,$FJ192&lt;SwaptionFirstMonthPosition+1,FY$169&gt;SwaptionFirstMonthPosition+SwaptionNumOfMonths+1,$FJ192&gt;SwaptionFirstMonthPosition+SwaptionNumOfMonths+1),"",IF($FJ192=FY$169,1,IF($FJ192&lt;FY$169,INDEX($FK$170:$ID$241,FY$169,$FJ192),SUMPRODUCT(INDEX($FK$325:$ID$396,FY$169,1+SwaptionShift):INDEX($FK$325:$ID$396,FY$169,SwaptionMonthsToGo+SwaptionShift),INDEX($FK$245:$ID$316,$FJ192-FY$169,73-FY$169+SwaptionShift):INDEX($FK$245:$ID$316,$FJ192-FY$169,72-FY$169+SwaptionMonthsToGo+SwaptionShift))/SQRT(SUM(INDEX($FK347:$ID347,1+SwaptionShift):INDEX($FK347:$ID347,SwaptionMonthsToGo+SwaptionShift))*SUM(INDEX($FK$325:$ID$396,FY$169,1+SwaptionShift):INDEX($FK$325:$ID$396,FY$169,SwaptionMonthsToGo+SwaptionShift))))))</f>
        <v/>
      </c>
      <c r="FZ192" s="150" t="str">
        <f aca="false">IF(OR(FZ$169&lt;SwaptionFirstMonthPosition+1,$FJ192&lt;SwaptionFirstMonthPosition+1,FZ$169&gt;SwaptionFirstMonthPosition+SwaptionNumOfMonths+1,$FJ192&gt;SwaptionFirstMonthPosition+SwaptionNumOfMonths+1),"",IF($FJ192=FZ$169,1,IF($FJ192&lt;FZ$169,INDEX($FK$170:$ID$241,FZ$169,$FJ192),SUMPRODUCT(INDEX($FK$325:$ID$396,FZ$169,1+SwaptionShift):INDEX($FK$325:$ID$396,FZ$169,SwaptionMonthsToGo+SwaptionShift),INDEX($FK$245:$ID$316,$FJ192-FZ$169,73-FZ$169+SwaptionShift):INDEX($FK$245:$ID$316,$FJ192-FZ$169,72-FZ$169+SwaptionMonthsToGo+SwaptionShift))/SQRT(SUM(INDEX($FK347:$ID347,1+SwaptionShift):INDEX($FK347:$ID347,SwaptionMonthsToGo+SwaptionShift))*SUM(INDEX($FK$325:$ID$396,FZ$169,1+SwaptionShift):INDEX($FK$325:$ID$396,FZ$169,SwaptionMonthsToGo+SwaptionShift))))))</f>
        <v/>
      </c>
      <c r="GA192" s="150" t="str">
        <f aca="false">IF(OR(GA$169&lt;SwaptionFirstMonthPosition+1,$FJ192&lt;SwaptionFirstMonthPosition+1,GA$169&gt;SwaptionFirstMonthPosition+SwaptionNumOfMonths+1,$FJ192&gt;SwaptionFirstMonthPosition+SwaptionNumOfMonths+1),"",IF($FJ192=GA$169,1,IF($FJ192&lt;GA$169,INDEX($FK$170:$ID$241,GA$169,$FJ192),SUMPRODUCT(INDEX($FK$325:$ID$396,GA$169,1+SwaptionShift):INDEX($FK$325:$ID$396,GA$169,SwaptionMonthsToGo+SwaptionShift),INDEX($FK$245:$ID$316,$FJ192-GA$169,73-GA$169+SwaptionShift):INDEX($FK$245:$ID$316,$FJ192-GA$169,72-GA$169+SwaptionMonthsToGo+SwaptionShift))/SQRT(SUM(INDEX($FK347:$ID347,1+SwaptionShift):INDEX($FK347:$ID347,SwaptionMonthsToGo+SwaptionShift))*SUM(INDEX($FK$325:$ID$396,GA$169,1+SwaptionShift):INDEX($FK$325:$ID$396,GA$169,SwaptionMonthsToGo+SwaptionShift))))))</f>
        <v/>
      </c>
      <c r="GB192" s="150" t="str">
        <f aca="false">IF(OR(GB$169&lt;SwaptionFirstMonthPosition+1,$FJ192&lt;SwaptionFirstMonthPosition+1,GB$169&gt;SwaptionFirstMonthPosition+SwaptionNumOfMonths+1,$FJ192&gt;SwaptionFirstMonthPosition+SwaptionNumOfMonths+1),"",IF($FJ192=GB$169,1,IF($FJ192&lt;GB$169,INDEX($FK$170:$ID$241,GB$169,$FJ192),SUMPRODUCT(INDEX($FK$325:$ID$396,GB$169,1+SwaptionShift):INDEX($FK$325:$ID$396,GB$169,SwaptionMonthsToGo+SwaptionShift),INDEX($FK$245:$ID$316,$FJ192-GB$169,73-GB$169+SwaptionShift):INDEX($FK$245:$ID$316,$FJ192-GB$169,72-GB$169+SwaptionMonthsToGo+SwaptionShift))/SQRT(SUM(INDEX($FK347:$ID347,1+SwaptionShift):INDEX($FK347:$ID347,SwaptionMonthsToGo+SwaptionShift))*SUM(INDEX($FK$325:$ID$396,GB$169,1+SwaptionShift):INDEX($FK$325:$ID$396,GB$169,SwaptionMonthsToGo+SwaptionShift))))))</f>
        <v/>
      </c>
      <c r="GC192" s="150" t="str">
        <f aca="false">IF(OR(GC$169&lt;SwaptionFirstMonthPosition+1,$FJ192&lt;SwaptionFirstMonthPosition+1,GC$169&gt;SwaptionFirstMonthPosition+SwaptionNumOfMonths+1,$FJ192&gt;SwaptionFirstMonthPosition+SwaptionNumOfMonths+1),"",IF($FJ192=GC$169,1,IF($FJ192&lt;GC$169,INDEX($FK$170:$ID$241,GC$169,$FJ192),SUMPRODUCT(INDEX($FK$325:$ID$396,GC$169,1+SwaptionShift):INDEX($FK$325:$ID$396,GC$169,SwaptionMonthsToGo+SwaptionShift),INDEX($FK$245:$ID$316,$FJ192-GC$169,73-GC$169+SwaptionShift):INDEX($FK$245:$ID$316,$FJ192-GC$169,72-GC$169+SwaptionMonthsToGo+SwaptionShift))/SQRT(SUM(INDEX($FK347:$ID347,1+SwaptionShift):INDEX($FK347:$ID347,SwaptionMonthsToGo+SwaptionShift))*SUM(INDEX($FK$325:$ID$396,GC$169,1+SwaptionShift):INDEX($FK$325:$ID$396,GC$169,SwaptionMonthsToGo+SwaptionShift))))))</f>
        <v/>
      </c>
      <c r="GD192" s="150" t="str">
        <f aca="false">IF(OR(GD$169&lt;SwaptionFirstMonthPosition+1,$FJ192&lt;SwaptionFirstMonthPosition+1,GD$169&gt;SwaptionFirstMonthPosition+SwaptionNumOfMonths+1,$FJ192&gt;SwaptionFirstMonthPosition+SwaptionNumOfMonths+1),"",IF($FJ192=GD$169,1,IF($FJ192&lt;GD$169,INDEX($FK$170:$ID$241,GD$169,$FJ192),SUMPRODUCT(INDEX($FK$325:$ID$396,GD$169,1+SwaptionShift):INDEX($FK$325:$ID$396,GD$169,SwaptionMonthsToGo+SwaptionShift),INDEX($FK$245:$ID$316,$FJ192-GD$169,73-GD$169+SwaptionShift):INDEX($FK$245:$ID$316,$FJ192-GD$169,72-GD$169+SwaptionMonthsToGo+SwaptionShift))/SQRT(SUM(INDEX($FK347:$ID347,1+SwaptionShift):INDEX($FK347:$ID347,SwaptionMonthsToGo+SwaptionShift))*SUM(INDEX($FK$325:$ID$396,GD$169,1+SwaptionShift):INDEX($FK$325:$ID$396,GD$169,SwaptionMonthsToGo+SwaptionShift))))))</f>
        <v/>
      </c>
      <c r="GE192" s="150" t="str">
        <f aca="false">IF(OR(GE$169&lt;SwaptionFirstMonthPosition+1,$FJ192&lt;SwaptionFirstMonthPosition+1,GE$169&gt;SwaptionFirstMonthPosition+SwaptionNumOfMonths+1,$FJ192&gt;SwaptionFirstMonthPosition+SwaptionNumOfMonths+1),"",IF($FJ192=GE$169,1,IF($FJ192&lt;GE$169,INDEX($FK$170:$ID$241,GE$169,$FJ192),SUMPRODUCT(INDEX($FK$325:$ID$396,GE$169,1+SwaptionShift):INDEX($FK$325:$ID$396,GE$169,SwaptionMonthsToGo+SwaptionShift),INDEX($FK$245:$ID$316,$FJ192-GE$169,73-GE$169+SwaptionShift):INDEX($FK$245:$ID$316,$FJ192-GE$169,72-GE$169+SwaptionMonthsToGo+SwaptionShift))/SQRT(SUM(INDEX($FK347:$ID347,1+SwaptionShift):INDEX($FK347:$ID347,SwaptionMonthsToGo+SwaptionShift))*SUM(INDEX($FK$325:$ID$396,GE$169,1+SwaptionShift):INDEX($FK$325:$ID$396,GE$169,SwaptionMonthsToGo+SwaptionShift))))))</f>
        <v/>
      </c>
      <c r="GF192" s="150" t="str">
        <f aca="false">IF(OR(GF$169&lt;SwaptionFirstMonthPosition+1,$FJ192&lt;SwaptionFirstMonthPosition+1,GF$169&gt;SwaptionFirstMonthPosition+SwaptionNumOfMonths+1,$FJ192&gt;SwaptionFirstMonthPosition+SwaptionNumOfMonths+1),"",IF($FJ192=GF$169,1,IF($FJ192&lt;GF$169,INDEX($FK$170:$ID$241,GF$169,$FJ192),SUMPRODUCT(INDEX($FK$325:$ID$396,GF$169,1+SwaptionShift):INDEX($FK$325:$ID$396,GF$169,SwaptionMonthsToGo+SwaptionShift),INDEX($FK$245:$ID$316,$FJ192-GF$169,73-GF$169+SwaptionShift):INDEX($FK$245:$ID$316,$FJ192-GF$169,72-GF$169+SwaptionMonthsToGo+SwaptionShift))/SQRT(SUM(INDEX($FK347:$ID347,1+SwaptionShift):INDEX($FK347:$ID347,SwaptionMonthsToGo+SwaptionShift))*SUM(INDEX($FK$325:$ID$396,GF$169,1+SwaptionShift):INDEX($FK$325:$ID$396,GF$169,SwaptionMonthsToGo+SwaptionShift))))))</f>
        <v/>
      </c>
      <c r="GG192" s="150" t="str">
        <f aca="false">IF(OR(GG$169&lt;SwaptionFirstMonthPosition+1,$FJ192&lt;SwaptionFirstMonthPosition+1,GG$169&gt;SwaptionFirstMonthPosition+SwaptionNumOfMonths+1,$FJ192&gt;SwaptionFirstMonthPosition+SwaptionNumOfMonths+1),"",IF($FJ192=GG$169,1,IF($FJ192&lt;GG$169,INDEX($FK$170:$ID$241,GG$169,$FJ192),SUMPRODUCT(INDEX($FK$325:$ID$396,GG$169,1+SwaptionShift):INDEX($FK$325:$ID$396,GG$169,SwaptionMonthsToGo+SwaptionShift),INDEX($FK$245:$ID$316,$FJ192-GG$169,73-GG$169+SwaptionShift):INDEX($FK$245:$ID$316,$FJ192-GG$169,72-GG$169+SwaptionMonthsToGo+SwaptionShift))/SQRT(SUM(INDEX($FK347:$ID347,1+SwaptionShift):INDEX($FK347:$ID347,SwaptionMonthsToGo+SwaptionShift))*SUM(INDEX($FK$325:$ID$396,GG$169,1+SwaptionShift):INDEX($FK$325:$ID$396,GG$169,SwaptionMonthsToGo+SwaptionShift))))))</f>
        <v/>
      </c>
      <c r="GH192" s="150" t="str">
        <f aca="false">IF(OR(GH$169&lt;SwaptionFirstMonthPosition+1,$FJ192&lt;SwaptionFirstMonthPosition+1,GH$169&gt;SwaptionFirstMonthPosition+SwaptionNumOfMonths+1,$FJ192&gt;SwaptionFirstMonthPosition+SwaptionNumOfMonths+1),"",IF($FJ192=GH$169,1,IF($FJ192&lt;GH$169,INDEX($FK$170:$ID$241,GH$169,$FJ192),SUMPRODUCT(INDEX($FK$325:$ID$396,GH$169,1+SwaptionShift):INDEX($FK$325:$ID$396,GH$169,SwaptionMonthsToGo+SwaptionShift),INDEX($FK$245:$ID$316,$FJ192-GH$169,73-GH$169+SwaptionShift):INDEX($FK$245:$ID$316,$FJ192-GH$169,72-GH$169+SwaptionMonthsToGo+SwaptionShift))/SQRT(SUM(INDEX($FK347:$ID347,1+SwaptionShift):INDEX($FK347:$ID347,SwaptionMonthsToGo+SwaptionShift))*SUM(INDEX($FK$325:$ID$396,GH$169,1+SwaptionShift):INDEX($FK$325:$ID$396,GH$169,SwaptionMonthsToGo+SwaptionShift))))))</f>
        <v/>
      </c>
      <c r="GI192" s="150" t="str">
        <f aca="false">IF(OR(GI$169&lt;SwaptionFirstMonthPosition+1,$FJ192&lt;SwaptionFirstMonthPosition+1,GI$169&gt;SwaptionFirstMonthPosition+SwaptionNumOfMonths+1,$FJ192&gt;SwaptionFirstMonthPosition+SwaptionNumOfMonths+1),"",IF($FJ192=GI$169,1,IF($FJ192&lt;GI$169,INDEX($FK$170:$ID$241,GI$169,$FJ192),SUMPRODUCT(INDEX($FK$325:$ID$396,GI$169,1+SwaptionShift):INDEX($FK$325:$ID$396,GI$169,SwaptionMonthsToGo+SwaptionShift),INDEX($FK$245:$ID$316,$FJ192-GI$169,73-GI$169+SwaptionShift):INDEX($FK$245:$ID$316,$FJ192-GI$169,72-GI$169+SwaptionMonthsToGo+SwaptionShift))/SQRT(SUM(INDEX($FK347:$ID347,1+SwaptionShift):INDEX($FK347:$ID347,SwaptionMonthsToGo+SwaptionShift))*SUM(INDEX($FK$325:$ID$396,GI$169,1+SwaptionShift):INDEX($FK$325:$ID$396,GI$169,SwaptionMonthsToGo+SwaptionShift))))))</f>
        <v/>
      </c>
      <c r="GJ192" s="150" t="str">
        <f aca="false">IF(OR(GJ$169&lt;SwaptionFirstMonthPosition+1,$FJ192&lt;SwaptionFirstMonthPosition+1,GJ$169&gt;SwaptionFirstMonthPosition+SwaptionNumOfMonths+1,$FJ192&gt;SwaptionFirstMonthPosition+SwaptionNumOfMonths+1),"",IF($FJ192=GJ$169,1,IF($FJ192&lt;GJ$169,INDEX($FK$170:$ID$241,GJ$169,$FJ192),SUMPRODUCT(INDEX($FK$325:$ID$396,GJ$169,1+SwaptionShift):INDEX($FK$325:$ID$396,GJ$169,SwaptionMonthsToGo+SwaptionShift),INDEX($FK$245:$ID$316,$FJ192-GJ$169,73-GJ$169+SwaptionShift):INDEX($FK$245:$ID$316,$FJ192-GJ$169,72-GJ$169+SwaptionMonthsToGo+SwaptionShift))/SQRT(SUM(INDEX($FK347:$ID347,1+SwaptionShift):INDEX($FK347:$ID347,SwaptionMonthsToGo+SwaptionShift))*SUM(INDEX($FK$325:$ID$396,GJ$169,1+SwaptionShift):INDEX($FK$325:$ID$396,GJ$169,SwaptionMonthsToGo+SwaptionShift))))))</f>
        <v/>
      </c>
      <c r="GK192" s="150" t="str">
        <f aca="false">IF(OR(GK$169&lt;SwaptionFirstMonthPosition+1,$FJ192&lt;SwaptionFirstMonthPosition+1,GK$169&gt;SwaptionFirstMonthPosition+SwaptionNumOfMonths+1,$FJ192&gt;SwaptionFirstMonthPosition+SwaptionNumOfMonths+1),"",IF($FJ192=GK$169,1,IF($FJ192&lt;GK$169,INDEX($FK$170:$ID$241,GK$169,$FJ192),SUMPRODUCT(INDEX($FK$325:$ID$396,GK$169,1+SwaptionShift):INDEX($FK$325:$ID$396,GK$169,SwaptionMonthsToGo+SwaptionShift),INDEX($FK$245:$ID$316,$FJ192-GK$169,73-GK$169+SwaptionShift):INDEX($FK$245:$ID$316,$FJ192-GK$169,72-GK$169+SwaptionMonthsToGo+SwaptionShift))/SQRT(SUM(INDEX($FK347:$ID347,1+SwaptionShift):INDEX($FK347:$ID347,SwaptionMonthsToGo+SwaptionShift))*SUM(INDEX($FK$325:$ID$396,GK$169,1+SwaptionShift):INDEX($FK$325:$ID$396,GK$169,SwaptionMonthsToGo+SwaptionShift))))))</f>
        <v/>
      </c>
      <c r="GL192" s="150" t="str">
        <f aca="false">IF(OR(GL$169&lt;SwaptionFirstMonthPosition+1,$FJ192&lt;SwaptionFirstMonthPosition+1,GL$169&gt;SwaptionFirstMonthPosition+SwaptionNumOfMonths+1,$FJ192&gt;SwaptionFirstMonthPosition+SwaptionNumOfMonths+1),"",IF($FJ192=GL$169,1,IF($FJ192&lt;GL$169,INDEX($FK$170:$ID$241,GL$169,$FJ192),SUMPRODUCT(INDEX($FK$325:$ID$396,GL$169,1+SwaptionShift):INDEX($FK$325:$ID$396,GL$169,SwaptionMonthsToGo+SwaptionShift),INDEX($FK$245:$ID$316,$FJ192-GL$169,73-GL$169+SwaptionShift):INDEX($FK$245:$ID$316,$FJ192-GL$169,72-GL$169+SwaptionMonthsToGo+SwaptionShift))/SQRT(SUM(INDEX($FK347:$ID347,1+SwaptionShift):INDEX($FK347:$ID347,SwaptionMonthsToGo+SwaptionShift))*SUM(INDEX($FK$325:$ID$396,GL$169,1+SwaptionShift):INDEX($FK$325:$ID$396,GL$169,SwaptionMonthsToGo+SwaptionShift))))))</f>
        <v/>
      </c>
      <c r="GM192" s="150" t="str">
        <f aca="false">IF(OR(GM$169&lt;SwaptionFirstMonthPosition+1,$FJ192&lt;SwaptionFirstMonthPosition+1,GM$169&gt;SwaptionFirstMonthPosition+SwaptionNumOfMonths+1,$FJ192&gt;SwaptionFirstMonthPosition+SwaptionNumOfMonths+1),"",IF($FJ192=GM$169,1,IF($FJ192&lt;GM$169,INDEX($FK$170:$ID$241,GM$169,$FJ192),SUMPRODUCT(INDEX($FK$325:$ID$396,GM$169,1+SwaptionShift):INDEX($FK$325:$ID$396,GM$169,SwaptionMonthsToGo+SwaptionShift),INDEX($FK$245:$ID$316,$FJ192-GM$169,73-GM$169+SwaptionShift):INDEX($FK$245:$ID$316,$FJ192-GM$169,72-GM$169+SwaptionMonthsToGo+SwaptionShift))/SQRT(SUM(INDEX($FK347:$ID347,1+SwaptionShift):INDEX($FK347:$ID347,SwaptionMonthsToGo+SwaptionShift))*SUM(INDEX($FK$325:$ID$396,GM$169,1+SwaptionShift):INDEX($FK$325:$ID$396,GM$169,SwaptionMonthsToGo+SwaptionShift))))))</f>
        <v/>
      </c>
      <c r="GN192" s="150" t="str">
        <f aca="false">IF(OR(GN$169&lt;SwaptionFirstMonthPosition+1,$FJ192&lt;SwaptionFirstMonthPosition+1,GN$169&gt;SwaptionFirstMonthPosition+SwaptionNumOfMonths+1,$FJ192&gt;SwaptionFirstMonthPosition+SwaptionNumOfMonths+1),"",IF($FJ192=GN$169,1,IF($FJ192&lt;GN$169,INDEX($FK$170:$ID$241,GN$169,$FJ192),SUMPRODUCT(INDEX($FK$325:$ID$396,GN$169,1+SwaptionShift):INDEX($FK$325:$ID$396,GN$169,SwaptionMonthsToGo+SwaptionShift),INDEX($FK$245:$ID$316,$FJ192-GN$169,73-GN$169+SwaptionShift):INDEX($FK$245:$ID$316,$FJ192-GN$169,72-GN$169+SwaptionMonthsToGo+SwaptionShift))/SQRT(SUM(INDEX($FK347:$ID347,1+SwaptionShift):INDEX($FK347:$ID347,SwaptionMonthsToGo+SwaptionShift))*SUM(INDEX($FK$325:$ID$396,GN$169,1+SwaptionShift):INDEX($FK$325:$ID$396,GN$169,SwaptionMonthsToGo+SwaptionShift))))))</f>
        <v/>
      </c>
      <c r="GO192" s="150" t="str">
        <f aca="false">IF(OR(GO$169&lt;SwaptionFirstMonthPosition+1,$FJ192&lt;SwaptionFirstMonthPosition+1,GO$169&gt;SwaptionFirstMonthPosition+SwaptionNumOfMonths+1,$FJ192&gt;SwaptionFirstMonthPosition+SwaptionNumOfMonths+1),"",IF($FJ192=GO$169,1,IF($FJ192&lt;GO$169,INDEX($FK$170:$ID$241,GO$169,$FJ192),SUMPRODUCT(INDEX($FK$325:$ID$396,GO$169,1+SwaptionShift):INDEX($FK$325:$ID$396,GO$169,SwaptionMonthsToGo+SwaptionShift),INDEX($FK$245:$ID$316,$FJ192-GO$169,73-GO$169+SwaptionShift):INDEX($FK$245:$ID$316,$FJ192-GO$169,72-GO$169+SwaptionMonthsToGo+SwaptionShift))/SQRT(SUM(INDEX($FK347:$ID347,1+SwaptionShift):INDEX($FK347:$ID347,SwaptionMonthsToGo+SwaptionShift))*SUM(INDEX($FK$325:$ID$396,GO$169,1+SwaptionShift):INDEX($FK$325:$ID$396,GO$169,SwaptionMonthsToGo+SwaptionShift))))))</f>
        <v/>
      </c>
      <c r="GP192" s="150" t="str">
        <f aca="false">IF(OR(GP$169&lt;SwaptionFirstMonthPosition+1,$FJ192&lt;SwaptionFirstMonthPosition+1,GP$169&gt;SwaptionFirstMonthPosition+SwaptionNumOfMonths+1,$FJ192&gt;SwaptionFirstMonthPosition+SwaptionNumOfMonths+1),"",IF($FJ192=GP$169,1,IF($FJ192&lt;GP$169,INDEX($FK$170:$ID$241,GP$169,$FJ192),SUMPRODUCT(INDEX($FK$325:$ID$396,GP$169,1+SwaptionShift):INDEX($FK$325:$ID$396,GP$169,SwaptionMonthsToGo+SwaptionShift),INDEX($FK$245:$ID$316,$FJ192-GP$169,73-GP$169+SwaptionShift):INDEX($FK$245:$ID$316,$FJ192-GP$169,72-GP$169+SwaptionMonthsToGo+SwaptionShift))/SQRT(SUM(INDEX($FK347:$ID347,1+SwaptionShift):INDEX($FK347:$ID347,SwaptionMonthsToGo+SwaptionShift))*SUM(INDEX($FK$325:$ID$396,GP$169,1+SwaptionShift):INDEX($FK$325:$ID$396,GP$169,SwaptionMonthsToGo+SwaptionShift))))))</f>
        <v/>
      </c>
      <c r="GQ192" s="150" t="str">
        <f aca="false">IF(OR(GQ$169&lt;SwaptionFirstMonthPosition+1,$FJ192&lt;SwaptionFirstMonthPosition+1,GQ$169&gt;SwaptionFirstMonthPosition+SwaptionNumOfMonths+1,$FJ192&gt;SwaptionFirstMonthPosition+SwaptionNumOfMonths+1),"",IF($FJ192=GQ$169,1,IF($FJ192&lt;GQ$169,INDEX($FK$170:$ID$241,GQ$169,$FJ192),SUMPRODUCT(INDEX($FK$325:$ID$396,GQ$169,1+SwaptionShift):INDEX($FK$325:$ID$396,GQ$169,SwaptionMonthsToGo+SwaptionShift),INDEX($FK$245:$ID$316,$FJ192-GQ$169,73-GQ$169+SwaptionShift):INDEX($FK$245:$ID$316,$FJ192-GQ$169,72-GQ$169+SwaptionMonthsToGo+SwaptionShift))/SQRT(SUM(INDEX($FK347:$ID347,1+SwaptionShift):INDEX($FK347:$ID347,SwaptionMonthsToGo+SwaptionShift))*SUM(INDEX($FK$325:$ID$396,GQ$169,1+SwaptionShift):INDEX($FK$325:$ID$396,GQ$169,SwaptionMonthsToGo+SwaptionShift))))))</f>
        <v/>
      </c>
      <c r="GR192" s="150" t="str">
        <f aca="false">IF(OR(GR$169&lt;SwaptionFirstMonthPosition+1,$FJ192&lt;SwaptionFirstMonthPosition+1,GR$169&gt;SwaptionFirstMonthPosition+SwaptionNumOfMonths+1,$FJ192&gt;SwaptionFirstMonthPosition+SwaptionNumOfMonths+1),"",IF($FJ192=GR$169,1,IF($FJ192&lt;GR$169,INDEX($FK$170:$ID$241,GR$169,$FJ192),SUMPRODUCT(INDEX($FK$325:$ID$396,GR$169,1+SwaptionShift):INDEX($FK$325:$ID$396,GR$169,SwaptionMonthsToGo+SwaptionShift),INDEX($FK$245:$ID$316,$FJ192-GR$169,73-GR$169+SwaptionShift):INDEX($FK$245:$ID$316,$FJ192-GR$169,72-GR$169+SwaptionMonthsToGo+SwaptionShift))/SQRT(SUM(INDEX($FK347:$ID347,1+SwaptionShift):INDEX($FK347:$ID347,SwaptionMonthsToGo+SwaptionShift))*SUM(INDEX($FK$325:$ID$396,GR$169,1+SwaptionShift):INDEX($FK$325:$ID$396,GR$169,SwaptionMonthsToGo+SwaptionShift))))))</f>
        <v/>
      </c>
      <c r="GS192" s="150" t="str">
        <f aca="false">IF(OR(GS$169&lt;SwaptionFirstMonthPosition+1,$FJ192&lt;SwaptionFirstMonthPosition+1,GS$169&gt;SwaptionFirstMonthPosition+SwaptionNumOfMonths+1,$FJ192&gt;SwaptionFirstMonthPosition+SwaptionNumOfMonths+1),"",IF($FJ192=GS$169,1,IF($FJ192&lt;GS$169,INDEX($FK$170:$ID$241,GS$169,$FJ192),SUMPRODUCT(INDEX($FK$325:$ID$396,GS$169,1+SwaptionShift):INDEX($FK$325:$ID$396,GS$169,SwaptionMonthsToGo+SwaptionShift),INDEX($FK$245:$ID$316,$FJ192-GS$169,73-GS$169+SwaptionShift):INDEX($FK$245:$ID$316,$FJ192-GS$169,72-GS$169+SwaptionMonthsToGo+SwaptionShift))/SQRT(SUM(INDEX($FK347:$ID347,1+SwaptionShift):INDEX($FK347:$ID347,SwaptionMonthsToGo+SwaptionShift))*SUM(INDEX($FK$325:$ID$396,GS$169,1+SwaptionShift):INDEX($FK$325:$ID$396,GS$169,SwaptionMonthsToGo+SwaptionShift))))))</f>
        <v/>
      </c>
      <c r="GT192" s="150" t="str">
        <f aca="false">IF(OR(GT$169&lt;SwaptionFirstMonthPosition+1,$FJ192&lt;SwaptionFirstMonthPosition+1,GT$169&gt;SwaptionFirstMonthPosition+SwaptionNumOfMonths+1,$FJ192&gt;SwaptionFirstMonthPosition+SwaptionNumOfMonths+1),"",IF($FJ192=GT$169,1,IF($FJ192&lt;GT$169,INDEX($FK$170:$ID$241,GT$169,$FJ192),SUMPRODUCT(INDEX($FK$325:$ID$396,GT$169,1+SwaptionShift):INDEX($FK$325:$ID$396,GT$169,SwaptionMonthsToGo+SwaptionShift),INDEX($FK$245:$ID$316,$FJ192-GT$169,73-GT$169+SwaptionShift):INDEX($FK$245:$ID$316,$FJ192-GT$169,72-GT$169+SwaptionMonthsToGo+SwaptionShift))/SQRT(SUM(INDEX($FK347:$ID347,1+SwaptionShift):INDEX($FK347:$ID347,SwaptionMonthsToGo+SwaptionShift))*SUM(INDEX($FK$325:$ID$396,GT$169,1+SwaptionShift):INDEX($FK$325:$ID$396,GT$169,SwaptionMonthsToGo+SwaptionShift))))))</f>
        <v/>
      </c>
      <c r="GU192" s="150" t="str">
        <f aca="false">IF(OR(GU$169&lt;SwaptionFirstMonthPosition+1,$FJ192&lt;SwaptionFirstMonthPosition+1,GU$169&gt;SwaptionFirstMonthPosition+SwaptionNumOfMonths+1,$FJ192&gt;SwaptionFirstMonthPosition+SwaptionNumOfMonths+1),"",IF($FJ192=GU$169,1,IF($FJ192&lt;GU$169,INDEX($FK$170:$ID$241,GU$169,$FJ192),SUMPRODUCT(INDEX($FK$325:$ID$396,GU$169,1+SwaptionShift):INDEX($FK$325:$ID$396,GU$169,SwaptionMonthsToGo+SwaptionShift),INDEX($FK$245:$ID$316,$FJ192-GU$169,73-GU$169+SwaptionShift):INDEX($FK$245:$ID$316,$FJ192-GU$169,72-GU$169+SwaptionMonthsToGo+SwaptionShift))/SQRT(SUM(INDEX($FK347:$ID347,1+SwaptionShift):INDEX($FK347:$ID347,SwaptionMonthsToGo+SwaptionShift))*SUM(INDEX($FK$325:$ID$396,GU$169,1+SwaptionShift):INDEX($FK$325:$ID$396,GU$169,SwaptionMonthsToGo+SwaptionShift))))))</f>
        <v/>
      </c>
      <c r="GV192" s="150" t="str">
        <f aca="false">IF(OR(GV$169&lt;SwaptionFirstMonthPosition+1,$FJ192&lt;SwaptionFirstMonthPosition+1,GV$169&gt;SwaptionFirstMonthPosition+SwaptionNumOfMonths+1,$FJ192&gt;SwaptionFirstMonthPosition+SwaptionNumOfMonths+1),"",IF($FJ192=GV$169,1,IF($FJ192&lt;GV$169,INDEX($FK$170:$ID$241,GV$169,$FJ192),SUMPRODUCT(INDEX($FK$325:$ID$396,GV$169,1+SwaptionShift):INDEX($FK$325:$ID$396,GV$169,SwaptionMonthsToGo+SwaptionShift),INDEX($FK$245:$ID$316,$FJ192-GV$169,73-GV$169+SwaptionShift):INDEX($FK$245:$ID$316,$FJ192-GV$169,72-GV$169+SwaptionMonthsToGo+SwaptionShift))/SQRT(SUM(INDEX($FK347:$ID347,1+SwaptionShift):INDEX($FK347:$ID347,SwaptionMonthsToGo+SwaptionShift))*SUM(INDEX($FK$325:$ID$396,GV$169,1+SwaptionShift):INDEX($FK$325:$ID$396,GV$169,SwaptionMonthsToGo+SwaptionShift))))))</f>
        <v/>
      </c>
      <c r="GW192" s="150" t="str">
        <f aca="false">IF(OR(GW$169&lt;SwaptionFirstMonthPosition+1,$FJ192&lt;SwaptionFirstMonthPosition+1,GW$169&gt;SwaptionFirstMonthPosition+SwaptionNumOfMonths+1,$FJ192&gt;SwaptionFirstMonthPosition+SwaptionNumOfMonths+1),"",IF($FJ192=GW$169,1,IF($FJ192&lt;GW$169,INDEX($FK$170:$ID$241,GW$169,$FJ192),SUMPRODUCT(INDEX($FK$325:$ID$396,GW$169,1+SwaptionShift):INDEX($FK$325:$ID$396,GW$169,SwaptionMonthsToGo+SwaptionShift),INDEX($FK$245:$ID$316,$FJ192-GW$169,73-GW$169+SwaptionShift):INDEX($FK$245:$ID$316,$FJ192-GW$169,72-GW$169+SwaptionMonthsToGo+SwaptionShift))/SQRT(SUM(INDEX($FK347:$ID347,1+SwaptionShift):INDEX($FK347:$ID347,SwaptionMonthsToGo+SwaptionShift))*SUM(INDEX($FK$325:$ID$396,GW$169,1+SwaptionShift):INDEX($FK$325:$ID$396,GW$169,SwaptionMonthsToGo+SwaptionShift))))))</f>
        <v/>
      </c>
      <c r="GX192" s="150" t="str">
        <f aca="false">IF(OR(GX$169&lt;SwaptionFirstMonthPosition+1,$FJ192&lt;SwaptionFirstMonthPosition+1,GX$169&gt;SwaptionFirstMonthPosition+SwaptionNumOfMonths+1,$FJ192&gt;SwaptionFirstMonthPosition+SwaptionNumOfMonths+1),"",IF($FJ192=GX$169,1,IF($FJ192&lt;GX$169,INDEX($FK$170:$ID$241,GX$169,$FJ192),SUMPRODUCT(INDEX($FK$325:$ID$396,GX$169,1+SwaptionShift):INDEX($FK$325:$ID$396,GX$169,SwaptionMonthsToGo+SwaptionShift),INDEX($FK$245:$ID$316,$FJ192-GX$169,73-GX$169+SwaptionShift):INDEX($FK$245:$ID$316,$FJ192-GX$169,72-GX$169+SwaptionMonthsToGo+SwaptionShift))/SQRT(SUM(INDEX($FK347:$ID347,1+SwaptionShift):INDEX($FK347:$ID347,SwaptionMonthsToGo+SwaptionShift))*SUM(INDEX($FK$325:$ID$396,GX$169,1+SwaptionShift):INDEX($FK$325:$ID$396,GX$169,SwaptionMonthsToGo+SwaptionShift))))))</f>
        <v/>
      </c>
      <c r="GY192" s="150" t="str">
        <f aca="false">IF(OR(GY$169&lt;SwaptionFirstMonthPosition+1,$FJ192&lt;SwaptionFirstMonthPosition+1,GY$169&gt;SwaptionFirstMonthPosition+SwaptionNumOfMonths+1,$FJ192&gt;SwaptionFirstMonthPosition+SwaptionNumOfMonths+1),"",IF($FJ192=GY$169,1,IF($FJ192&lt;GY$169,INDEX($FK$170:$ID$241,GY$169,$FJ192),SUMPRODUCT(INDEX($FK$325:$ID$396,GY$169,1+SwaptionShift):INDEX($FK$325:$ID$396,GY$169,SwaptionMonthsToGo+SwaptionShift),INDEX($FK$245:$ID$316,$FJ192-GY$169,73-GY$169+SwaptionShift):INDEX($FK$245:$ID$316,$FJ192-GY$169,72-GY$169+SwaptionMonthsToGo+SwaptionShift))/SQRT(SUM(INDEX($FK347:$ID347,1+SwaptionShift):INDEX($FK347:$ID347,SwaptionMonthsToGo+SwaptionShift))*SUM(INDEX($FK$325:$ID$396,GY$169,1+SwaptionShift):INDEX($FK$325:$ID$396,GY$169,SwaptionMonthsToGo+SwaptionShift))))))</f>
        <v/>
      </c>
      <c r="GZ192" s="150" t="str">
        <f aca="false">IF(OR(GZ$169&lt;SwaptionFirstMonthPosition+1,$FJ192&lt;SwaptionFirstMonthPosition+1,GZ$169&gt;SwaptionFirstMonthPosition+SwaptionNumOfMonths+1,$FJ192&gt;SwaptionFirstMonthPosition+SwaptionNumOfMonths+1),"",IF($FJ192=GZ$169,1,IF($FJ192&lt;GZ$169,INDEX($FK$170:$ID$241,GZ$169,$FJ192),SUMPRODUCT(INDEX($FK$325:$ID$396,GZ$169,1+SwaptionShift):INDEX($FK$325:$ID$396,GZ$169,SwaptionMonthsToGo+SwaptionShift),INDEX($FK$245:$ID$316,$FJ192-GZ$169,73-GZ$169+SwaptionShift):INDEX($FK$245:$ID$316,$FJ192-GZ$169,72-GZ$169+SwaptionMonthsToGo+SwaptionShift))/SQRT(SUM(INDEX($FK347:$ID347,1+SwaptionShift):INDEX($FK347:$ID347,SwaptionMonthsToGo+SwaptionShift))*SUM(INDEX($FK$325:$ID$396,GZ$169,1+SwaptionShift):INDEX($FK$325:$ID$396,GZ$169,SwaptionMonthsToGo+SwaptionShift))))))</f>
        <v/>
      </c>
      <c r="HA192" s="150" t="str">
        <f aca="false">IF(OR(HA$169&lt;SwaptionFirstMonthPosition+1,$FJ192&lt;SwaptionFirstMonthPosition+1,HA$169&gt;SwaptionFirstMonthPosition+SwaptionNumOfMonths+1,$FJ192&gt;SwaptionFirstMonthPosition+SwaptionNumOfMonths+1),"",IF($FJ192=HA$169,1,IF($FJ192&lt;HA$169,INDEX($FK$170:$ID$241,HA$169,$FJ192),SUMPRODUCT(INDEX($FK$325:$ID$396,HA$169,1+SwaptionShift):INDEX($FK$325:$ID$396,HA$169,SwaptionMonthsToGo+SwaptionShift),INDEX($FK$245:$ID$316,$FJ192-HA$169,73-HA$169+SwaptionShift):INDEX($FK$245:$ID$316,$FJ192-HA$169,72-HA$169+SwaptionMonthsToGo+SwaptionShift))/SQRT(SUM(INDEX($FK347:$ID347,1+SwaptionShift):INDEX($FK347:$ID347,SwaptionMonthsToGo+SwaptionShift))*SUM(INDEX($FK$325:$ID$396,HA$169,1+SwaptionShift):INDEX($FK$325:$ID$396,HA$169,SwaptionMonthsToGo+SwaptionShift))))))</f>
        <v/>
      </c>
      <c r="HB192" s="150" t="str">
        <f aca="false">IF(OR(HB$169&lt;SwaptionFirstMonthPosition+1,$FJ192&lt;SwaptionFirstMonthPosition+1,HB$169&gt;SwaptionFirstMonthPosition+SwaptionNumOfMonths+1,$FJ192&gt;SwaptionFirstMonthPosition+SwaptionNumOfMonths+1),"",IF($FJ192=HB$169,1,IF($FJ192&lt;HB$169,INDEX($FK$170:$ID$241,HB$169,$FJ192),SUMPRODUCT(INDEX($FK$325:$ID$396,HB$169,1+SwaptionShift):INDEX($FK$325:$ID$396,HB$169,SwaptionMonthsToGo+SwaptionShift),INDEX($FK$245:$ID$316,$FJ192-HB$169,73-HB$169+SwaptionShift):INDEX($FK$245:$ID$316,$FJ192-HB$169,72-HB$169+SwaptionMonthsToGo+SwaptionShift))/SQRT(SUM(INDEX($FK347:$ID347,1+SwaptionShift):INDEX($FK347:$ID347,SwaptionMonthsToGo+SwaptionShift))*SUM(INDEX($FK$325:$ID$396,HB$169,1+SwaptionShift):INDEX($FK$325:$ID$396,HB$169,SwaptionMonthsToGo+SwaptionShift))))))</f>
        <v/>
      </c>
      <c r="HC192" s="150" t="str">
        <f aca="false">IF(OR(HC$169&lt;SwaptionFirstMonthPosition+1,$FJ192&lt;SwaptionFirstMonthPosition+1,HC$169&gt;SwaptionFirstMonthPosition+SwaptionNumOfMonths+1,$FJ192&gt;SwaptionFirstMonthPosition+SwaptionNumOfMonths+1),"",IF($FJ192=HC$169,1,IF($FJ192&lt;HC$169,INDEX($FK$170:$ID$241,HC$169,$FJ192),SUMPRODUCT(INDEX($FK$325:$ID$396,HC$169,1+SwaptionShift):INDEX($FK$325:$ID$396,HC$169,SwaptionMonthsToGo+SwaptionShift),INDEX($FK$245:$ID$316,$FJ192-HC$169,73-HC$169+SwaptionShift):INDEX($FK$245:$ID$316,$FJ192-HC$169,72-HC$169+SwaptionMonthsToGo+SwaptionShift))/SQRT(SUM(INDEX($FK347:$ID347,1+SwaptionShift):INDEX($FK347:$ID347,SwaptionMonthsToGo+SwaptionShift))*SUM(INDEX($FK$325:$ID$396,HC$169,1+SwaptionShift):INDEX($FK$325:$ID$396,HC$169,SwaptionMonthsToGo+SwaptionShift))))))</f>
        <v/>
      </c>
      <c r="HD192" s="150" t="str">
        <f aca="false">IF(OR(HD$169&lt;SwaptionFirstMonthPosition+1,$FJ192&lt;SwaptionFirstMonthPosition+1,HD$169&gt;SwaptionFirstMonthPosition+SwaptionNumOfMonths+1,$FJ192&gt;SwaptionFirstMonthPosition+SwaptionNumOfMonths+1),"",IF($FJ192=HD$169,1,IF($FJ192&lt;HD$169,INDEX($FK$170:$ID$241,HD$169,$FJ192),SUMPRODUCT(INDEX($FK$325:$ID$396,HD$169,1+SwaptionShift):INDEX($FK$325:$ID$396,HD$169,SwaptionMonthsToGo+SwaptionShift),INDEX($FK$245:$ID$316,$FJ192-HD$169,73-HD$169+SwaptionShift):INDEX($FK$245:$ID$316,$FJ192-HD$169,72-HD$169+SwaptionMonthsToGo+SwaptionShift))/SQRT(SUM(INDEX($FK347:$ID347,1+SwaptionShift):INDEX($FK347:$ID347,SwaptionMonthsToGo+SwaptionShift))*SUM(INDEX($FK$325:$ID$396,HD$169,1+SwaptionShift):INDEX($FK$325:$ID$396,HD$169,SwaptionMonthsToGo+SwaptionShift))))))</f>
        <v/>
      </c>
      <c r="HE192" s="150" t="str">
        <f aca="false">IF(OR(HE$169&lt;SwaptionFirstMonthPosition+1,$FJ192&lt;SwaptionFirstMonthPosition+1,HE$169&gt;SwaptionFirstMonthPosition+SwaptionNumOfMonths+1,$FJ192&gt;SwaptionFirstMonthPosition+SwaptionNumOfMonths+1),"",IF($FJ192=HE$169,1,IF($FJ192&lt;HE$169,INDEX($FK$170:$ID$241,HE$169,$FJ192),SUMPRODUCT(INDEX($FK$325:$ID$396,HE$169,1+SwaptionShift):INDEX($FK$325:$ID$396,HE$169,SwaptionMonthsToGo+SwaptionShift),INDEX($FK$245:$ID$316,$FJ192-HE$169,73-HE$169+SwaptionShift):INDEX($FK$245:$ID$316,$FJ192-HE$169,72-HE$169+SwaptionMonthsToGo+SwaptionShift))/SQRT(SUM(INDEX($FK347:$ID347,1+SwaptionShift):INDEX($FK347:$ID347,SwaptionMonthsToGo+SwaptionShift))*SUM(INDEX($FK$325:$ID$396,HE$169,1+SwaptionShift):INDEX($FK$325:$ID$396,HE$169,SwaptionMonthsToGo+SwaptionShift))))))</f>
        <v/>
      </c>
      <c r="HF192" s="150" t="str">
        <f aca="false">IF(OR(HF$169&lt;SwaptionFirstMonthPosition+1,$FJ192&lt;SwaptionFirstMonthPosition+1,HF$169&gt;SwaptionFirstMonthPosition+SwaptionNumOfMonths+1,$FJ192&gt;SwaptionFirstMonthPosition+SwaptionNumOfMonths+1),"",IF($FJ192=HF$169,1,IF($FJ192&lt;HF$169,INDEX($FK$170:$ID$241,HF$169,$FJ192),SUMPRODUCT(INDEX($FK$325:$ID$396,HF$169,1+SwaptionShift):INDEX($FK$325:$ID$396,HF$169,SwaptionMonthsToGo+SwaptionShift),INDEX($FK$245:$ID$316,$FJ192-HF$169,73-HF$169+SwaptionShift):INDEX($FK$245:$ID$316,$FJ192-HF$169,72-HF$169+SwaptionMonthsToGo+SwaptionShift))/SQRT(SUM(INDEX($FK347:$ID347,1+SwaptionShift):INDEX($FK347:$ID347,SwaptionMonthsToGo+SwaptionShift))*SUM(INDEX($FK$325:$ID$396,HF$169,1+SwaptionShift):INDEX($FK$325:$ID$396,HF$169,SwaptionMonthsToGo+SwaptionShift))))))</f>
        <v/>
      </c>
      <c r="HG192" s="150" t="str">
        <f aca="false">IF(OR(HG$169&lt;SwaptionFirstMonthPosition+1,$FJ192&lt;SwaptionFirstMonthPosition+1,HG$169&gt;SwaptionFirstMonthPosition+SwaptionNumOfMonths+1,$FJ192&gt;SwaptionFirstMonthPosition+SwaptionNumOfMonths+1),"",IF($FJ192=HG$169,1,IF($FJ192&lt;HG$169,INDEX($FK$170:$ID$241,HG$169,$FJ192),SUMPRODUCT(INDEX($FK$325:$ID$396,HG$169,1+SwaptionShift):INDEX($FK$325:$ID$396,HG$169,SwaptionMonthsToGo+SwaptionShift),INDEX($FK$245:$ID$316,$FJ192-HG$169,73-HG$169+SwaptionShift):INDEX($FK$245:$ID$316,$FJ192-HG$169,72-HG$169+SwaptionMonthsToGo+SwaptionShift))/SQRT(SUM(INDEX($FK347:$ID347,1+SwaptionShift):INDEX($FK347:$ID347,SwaptionMonthsToGo+SwaptionShift))*SUM(INDEX($FK$325:$ID$396,HG$169,1+SwaptionShift):INDEX($FK$325:$ID$396,HG$169,SwaptionMonthsToGo+SwaptionShift))))))</f>
        <v/>
      </c>
      <c r="HH192" s="150" t="str">
        <f aca="false">IF(OR(HH$169&lt;SwaptionFirstMonthPosition+1,$FJ192&lt;SwaptionFirstMonthPosition+1,HH$169&gt;SwaptionFirstMonthPosition+SwaptionNumOfMonths+1,$FJ192&gt;SwaptionFirstMonthPosition+SwaptionNumOfMonths+1),"",IF($FJ192=HH$169,1,IF($FJ192&lt;HH$169,INDEX($FK$170:$ID$241,HH$169,$FJ192),SUMPRODUCT(INDEX($FK$325:$ID$396,HH$169,1+SwaptionShift):INDEX($FK$325:$ID$396,HH$169,SwaptionMonthsToGo+SwaptionShift),INDEX($FK$245:$ID$316,$FJ192-HH$169,73-HH$169+SwaptionShift):INDEX($FK$245:$ID$316,$FJ192-HH$169,72-HH$169+SwaptionMonthsToGo+SwaptionShift))/SQRT(SUM(INDEX($FK347:$ID347,1+SwaptionShift):INDEX($FK347:$ID347,SwaptionMonthsToGo+SwaptionShift))*SUM(INDEX($FK$325:$ID$396,HH$169,1+SwaptionShift):INDEX($FK$325:$ID$396,HH$169,SwaptionMonthsToGo+SwaptionShift))))))</f>
        <v/>
      </c>
      <c r="HI192" s="150" t="str">
        <f aca="false">IF(OR(HI$169&lt;SwaptionFirstMonthPosition+1,$FJ192&lt;SwaptionFirstMonthPosition+1,HI$169&gt;SwaptionFirstMonthPosition+SwaptionNumOfMonths+1,$FJ192&gt;SwaptionFirstMonthPosition+SwaptionNumOfMonths+1),"",IF($FJ192=HI$169,1,IF($FJ192&lt;HI$169,INDEX($FK$170:$ID$241,HI$169,$FJ192),SUMPRODUCT(INDEX($FK$325:$ID$396,HI$169,1+SwaptionShift):INDEX($FK$325:$ID$396,HI$169,SwaptionMonthsToGo+SwaptionShift),INDEX($FK$245:$ID$316,$FJ192-HI$169,73-HI$169+SwaptionShift):INDEX($FK$245:$ID$316,$FJ192-HI$169,72-HI$169+SwaptionMonthsToGo+SwaptionShift))/SQRT(SUM(INDEX($FK347:$ID347,1+SwaptionShift):INDEX($FK347:$ID347,SwaptionMonthsToGo+SwaptionShift))*SUM(INDEX($FK$325:$ID$396,HI$169,1+SwaptionShift):INDEX($FK$325:$ID$396,HI$169,SwaptionMonthsToGo+SwaptionShift))))))</f>
        <v/>
      </c>
      <c r="HJ192" s="150" t="str">
        <f aca="false">IF(OR(HJ$169&lt;SwaptionFirstMonthPosition+1,$FJ192&lt;SwaptionFirstMonthPosition+1,HJ$169&gt;SwaptionFirstMonthPosition+SwaptionNumOfMonths+1,$FJ192&gt;SwaptionFirstMonthPosition+SwaptionNumOfMonths+1),"",IF($FJ192=HJ$169,1,IF($FJ192&lt;HJ$169,INDEX($FK$170:$ID$241,HJ$169,$FJ192),SUMPRODUCT(INDEX($FK$325:$ID$396,HJ$169,1+SwaptionShift):INDEX($FK$325:$ID$396,HJ$169,SwaptionMonthsToGo+SwaptionShift),INDEX($FK$245:$ID$316,$FJ192-HJ$169,73-HJ$169+SwaptionShift):INDEX($FK$245:$ID$316,$FJ192-HJ$169,72-HJ$169+SwaptionMonthsToGo+SwaptionShift))/SQRT(SUM(INDEX($FK347:$ID347,1+SwaptionShift):INDEX($FK347:$ID347,SwaptionMonthsToGo+SwaptionShift))*SUM(INDEX($FK$325:$ID$396,HJ$169,1+SwaptionShift):INDEX($FK$325:$ID$396,HJ$169,SwaptionMonthsToGo+SwaptionShift))))))</f>
        <v/>
      </c>
      <c r="HK192" s="150" t="str">
        <f aca="false">IF(OR(HK$169&lt;SwaptionFirstMonthPosition+1,$FJ192&lt;SwaptionFirstMonthPosition+1,HK$169&gt;SwaptionFirstMonthPosition+SwaptionNumOfMonths+1,$FJ192&gt;SwaptionFirstMonthPosition+SwaptionNumOfMonths+1),"",IF($FJ192=HK$169,1,IF($FJ192&lt;HK$169,INDEX($FK$170:$ID$241,HK$169,$FJ192),SUMPRODUCT(INDEX($FK$325:$ID$396,HK$169,1+SwaptionShift):INDEX($FK$325:$ID$396,HK$169,SwaptionMonthsToGo+SwaptionShift),INDEX($FK$245:$ID$316,$FJ192-HK$169,73-HK$169+SwaptionShift):INDEX($FK$245:$ID$316,$FJ192-HK$169,72-HK$169+SwaptionMonthsToGo+SwaptionShift))/SQRT(SUM(INDEX($FK347:$ID347,1+SwaptionShift):INDEX($FK347:$ID347,SwaptionMonthsToGo+SwaptionShift))*SUM(INDEX($FK$325:$ID$396,HK$169,1+SwaptionShift):INDEX($FK$325:$ID$396,HK$169,SwaptionMonthsToGo+SwaptionShift))))))</f>
        <v/>
      </c>
      <c r="HL192" s="150" t="str">
        <f aca="false">IF(OR(HL$169&lt;SwaptionFirstMonthPosition+1,$FJ192&lt;SwaptionFirstMonthPosition+1,HL$169&gt;SwaptionFirstMonthPosition+SwaptionNumOfMonths+1,$FJ192&gt;SwaptionFirstMonthPosition+SwaptionNumOfMonths+1),"",IF($FJ192=HL$169,1,IF($FJ192&lt;HL$169,INDEX($FK$170:$ID$241,HL$169,$FJ192),SUMPRODUCT(INDEX($FK$325:$ID$396,HL$169,1+SwaptionShift):INDEX($FK$325:$ID$396,HL$169,SwaptionMonthsToGo+SwaptionShift),INDEX($FK$245:$ID$316,$FJ192-HL$169,73-HL$169+SwaptionShift):INDEX($FK$245:$ID$316,$FJ192-HL$169,72-HL$169+SwaptionMonthsToGo+SwaptionShift))/SQRT(SUM(INDEX($FK347:$ID347,1+SwaptionShift):INDEX($FK347:$ID347,SwaptionMonthsToGo+SwaptionShift))*SUM(INDEX($FK$325:$ID$396,HL$169,1+SwaptionShift):INDEX($FK$325:$ID$396,HL$169,SwaptionMonthsToGo+SwaptionShift))))))</f>
        <v/>
      </c>
      <c r="HM192" s="150" t="str">
        <f aca="false">IF(OR(HM$169&lt;SwaptionFirstMonthPosition+1,$FJ192&lt;SwaptionFirstMonthPosition+1,HM$169&gt;SwaptionFirstMonthPosition+SwaptionNumOfMonths+1,$FJ192&gt;SwaptionFirstMonthPosition+SwaptionNumOfMonths+1),"",IF($FJ192=HM$169,1,IF($FJ192&lt;HM$169,INDEX($FK$170:$ID$241,HM$169,$FJ192),SUMPRODUCT(INDEX($FK$325:$ID$396,HM$169,1+SwaptionShift):INDEX($FK$325:$ID$396,HM$169,SwaptionMonthsToGo+SwaptionShift),INDEX($FK$245:$ID$316,$FJ192-HM$169,73-HM$169+SwaptionShift):INDEX($FK$245:$ID$316,$FJ192-HM$169,72-HM$169+SwaptionMonthsToGo+SwaptionShift))/SQRT(SUM(INDEX($FK347:$ID347,1+SwaptionShift):INDEX($FK347:$ID347,SwaptionMonthsToGo+SwaptionShift))*SUM(INDEX($FK$325:$ID$396,HM$169,1+SwaptionShift):INDEX($FK$325:$ID$396,HM$169,SwaptionMonthsToGo+SwaptionShift))))))</f>
        <v/>
      </c>
      <c r="HN192" s="150" t="str">
        <f aca="false">IF(OR(HN$169&lt;SwaptionFirstMonthPosition+1,$FJ192&lt;SwaptionFirstMonthPosition+1,HN$169&gt;SwaptionFirstMonthPosition+SwaptionNumOfMonths+1,$FJ192&gt;SwaptionFirstMonthPosition+SwaptionNumOfMonths+1),"",IF($FJ192=HN$169,1,IF($FJ192&lt;HN$169,INDEX($FK$170:$ID$241,HN$169,$FJ192),SUMPRODUCT(INDEX($FK$325:$ID$396,HN$169,1+SwaptionShift):INDEX($FK$325:$ID$396,HN$169,SwaptionMonthsToGo+SwaptionShift),INDEX($FK$245:$ID$316,$FJ192-HN$169,73-HN$169+SwaptionShift):INDEX($FK$245:$ID$316,$FJ192-HN$169,72-HN$169+SwaptionMonthsToGo+SwaptionShift))/SQRT(SUM(INDEX($FK347:$ID347,1+SwaptionShift):INDEX($FK347:$ID347,SwaptionMonthsToGo+SwaptionShift))*SUM(INDEX($FK$325:$ID$396,HN$169,1+SwaptionShift):INDEX($FK$325:$ID$396,HN$169,SwaptionMonthsToGo+SwaptionShift))))))</f>
        <v/>
      </c>
      <c r="HO192" s="150" t="str">
        <f aca="false">IF(OR(HO$169&lt;SwaptionFirstMonthPosition+1,$FJ192&lt;SwaptionFirstMonthPosition+1,HO$169&gt;SwaptionFirstMonthPosition+SwaptionNumOfMonths+1,$FJ192&gt;SwaptionFirstMonthPosition+SwaptionNumOfMonths+1),"",IF($FJ192=HO$169,1,IF($FJ192&lt;HO$169,INDEX($FK$170:$ID$241,HO$169,$FJ192),SUMPRODUCT(INDEX($FK$325:$ID$396,HO$169,1+SwaptionShift):INDEX($FK$325:$ID$396,HO$169,SwaptionMonthsToGo+SwaptionShift),INDEX($FK$245:$ID$316,$FJ192-HO$169,73-HO$169+SwaptionShift):INDEX($FK$245:$ID$316,$FJ192-HO$169,72-HO$169+SwaptionMonthsToGo+SwaptionShift))/SQRT(SUM(INDEX($FK347:$ID347,1+SwaptionShift):INDEX($FK347:$ID347,SwaptionMonthsToGo+SwaptionShift))*SUM(INDEX($FK$325:$ID$396,HO$169,1+SwaptionShift):INDEX($FK$325:$ID$396,HO$169,SwaptionMonthsToGo+SwaptionShift))))))</f>
        <v/>
      </c>
      <c r="HP192" s="150" t="str">
        <f aca="false">IF(OR(HP$169&lt;SwaptionFirstMonthPosition+1,$FJ192&lt;SwaptionFirstMonthPosition+1,HP$169&gt;SwaptionFirstMonthPosition+SwaptionNumOfMonths+1,$FJ192&gt;SwaptionFirstMonthPosition+SwaptionNumOfMonths+1),"",IF($FJ192=HP$169,1,IF($FJ192&lt;HP$169,INDEX($FK$170:$ID$241,HP$169,$FJ192),SUMPRODUCT(INDEX($FK$325:$ID$396,HP$169,1+SwaptionShift):INDEX($FK$325:$ID$396,HP$169,SwaptionMonthsToGo+SwaptionShift),INDEX($FK$245:$ID$316,$FJ192-HP$169,73-HP$169+SwaptionShift):INDEX($FK$245:$ID$316,$FJ192-HP$169,72-HP$169+SwaptionMonthsToGo+SwaptionShift))/SQRT(SUM(INDEX($FK347:$ID347,1+SwaptionShift):INDEX($FK347:$ID347,SwaptionMonthsToGo+SwaptionShift))*SUM(INDEX($FK$325:$ID$396,HP$169,1+SwaptionShift):INDEX($FK$325:$ID$396,HP$169,SwaptionMonthsToGo+SwaptionShift))))))</f>
        <v/>
      </c>
      <c r="HQ192" s="150" t="str">
        <f aca="false">IF(OR(HQ$169&lt;SwaptionFirstMonthPosition+1,$FJ192&lt;SwaptionFirstMonthPosition+1,HQ$169&gt;SwaptionFirstMonthPosition+SwaptionNumOfMonths+1,$FJ192&gt;SwaptionFirstMonthPosition+SwaptionNumOfMonths+1),"",IF($FJ192=HQ$169,1,IF($FJ192&lt;HQ$169,INDEX($FK$170:$ID$241,HQ$169,$FJ192),SUMPRODUCT(INDEX($FK$325:$ID$396,HQ$169,1+SwaptionShift):INDEX($FK$325:$ID$396,HQ$169,SwaptionMonthsToGo+SwaptionShift),INDEX($FK$245:$ID$316,$FJ192-HQ$169,73-HQ$169+SwaptionShift):INDEX($FK$245:$ID$316,$FJ192-HQ$169,72-HQ$169+SwaptionMonthsToGo+SwaptionShift))/SQRT(SUM(INDEX($FK347:$ID347,1+SwaptionShift):INDEX($FK347:$ID347,SwaptionMonthsToGo+SwaptionShift))*SUM(INDEX($FK$325:$ID$396,HQ$169,1+SwaptionShift):INDEX($FK$325:$ID$396,HQ$169,SwaptionMonthsToGo+SwaptionShift))))))</f>
        <v/>
      </c>
      <c r="HR192" s="150" t="str">
        <f aca="false">IF(OR(HR$169&lt;SwaptionFirstMonthPosition+1,$FJ192&lt;SwaptionFirstMonthPosition+1,HR$169&gt;SwaptionFirstMonthPosition+SwaptionNumOfMonths+1,$FJ192&gt;SwaptionFirstMonthPosition+SwaptionNumOfMonths+1),"",IF($FJ192=HR$169,1,IF($FJ192&lt;HR$169,INDEX($FK$170:$ID$241,HR$169,$FJ192),SUMPRODUCT(INDEX($FK$325:$ID$396,HR$169,1+SwaptionShift):INDEX($FK$325:$ID$396,HR$169,SwaptionMonthsToGo+SwaptionShift),INDEX($FK$245:$ID$316,$FJ192-HR$169,73-HR$169+SwaptionShift):INDEX($FK$245:$ID$316,$FJ192-HR$169,72-HR$169+SwaptionMonthsToGo+SwaptionShift))/SQRT(SUM(INDEX($FK347:$ID347,1+SwaptionShift):INDEX($FK347:$ID347,SwaptionMonthsToGo+SwaptionShift))*SUM(INDEX($FK$325:$ID$396,HR$169,1+SwaptionShift):INDEX($FK$325:$ID$396,HR$169,SwaptionMonthsToGo+SwaptionShift))))))</f>
        <v/>
      </c>
      <c r="HS192" s="150" t="str">
        <f aca="false">IF(OR(HS$169&lt;SwaptionFirstMonthPosition+1,$FJ192&lt;SwaptionFirstMonthPosition+1,HS$169&gt;SwaptionFirstMonthPosition+SwaptionNumOfMonths+1,$FJ192&gt;SwaptionFirstMonthPosition+SwaptionNumOfMonths+1),"",IF($FJ192=HS$169,1,IF($FJ192&lt;HS$169,INDEX($FK$170:$ID$241,HS$169,$FJ192),SUMPRODUCT(INDEX($FK$325:$ID$396,HS$169,1+SwaptionShift):INDEX($FK$325:$ID$396,HS$169,SwaptionMonthsToGo+SwaptionShift),INDEX($FK$245:$ID$316,$FJ192-HS$169,73-HS$169+SwaptionShift):INDEX($FK$245:$ID$316,$FJ192-HS$169,72-HS$169+SwaptionMonthsToGo+SwaptionShift))/SQRT(SUM(INDEX($FK347:$ID347,1+SwaptionShift):INDEX($FK347:$ID347,SwaptionMonthsToGo+SwaptionShift))*SUM(INDEX($FK$325:$ID$396,HS$169,1+SwaptionShift):INDEX($FK$325:$ID$396,HS$169,SwaptionMonthsToGo+SwaptionShift))))))</f>
        <v/>
      </c>
      <c r="HT192" s="150" t="str">
        <f aca="false">IF(OR(HT$169&lt;SwaptionFirstMonthPosition+1,$FJ192&lt;SwaptionFirstMonthPosition+1,HT$169&gt;SwaptionFirstMonthPosition+SwaptionNumOfMonths+1,$FJ192&gt;SwaptionFirstMonthPosition+SwaptionNumOfMonths+1),"",IF($FJ192=HT$169,1,IF($FJ192&lt;HT$169,INDEX($FK$170:$ID$241,HT$169,$FJ192),SUMPRODUCT(INDEX($FK$325:$ID$396,HT$169,1+SwaptionShift):INDEX($FK$325:$ID$396,HT$169,SwaptionMonthsToGo+SwaptionShift),INDEX($FK$245:$ID$316,$FJ192-HT$169,73-HT$169+SwaptionShift):INDEX($FK$245:$ID$316,$FJ192-HT$169,72-HT$169+SwaptionMonthsToGo+SwaptionShift))/SQRT(SUM(INDEX($FK347:$ID347,1+SwaptionShift):INDEX($FK347:$ID347,SwaptionMonthsToGo+SwaptionShift))*SUM(INDEX($FK$325:$ID$396,HT$169,1+SwaptionShift):INDEX($FK$325:$ID$396,HT$169,SwaptionMonthsToGo+SwaptionShift))))))</f>
        <v/>
      </c>
      <c r="HU192" s="150" t="str">
        <f aca="false">IF(OR(HU$169&lt;SwaptionFirstMonthPosition+1,$FJ192&lt;SwaptionFirstMonthPosition+1,HU$169&gt;SwaptionFirstMonthPosition+SwaptionNumOfMonths+1,$FJ192&gt;SwaptionFirstMonthPosition+SwaptionNumOfMonths+1),"",IF($FJ192=HU$169,1,IF($FJ192&lt;HU$169,INDEX($FK$170:$ID$241,HU$169,$FJ192),SUMPRODUCT(INDEX($FK$325:$ID$396,HU$169,1+SwaptionShift):INDEX($FK$325:$ID$396,HU$169,SwaptionMonthsToGo+SwaptionShift),INDEX($FK$245:$ID$316,$FJ192-HU$169,73-HU$169+SwaptionShift):INDEX($FK$245:$ID$316,$FJ192-HU$169,72-HU$169+SwaptionMonthsToGo+SwaptionShift))/SQRT(SUM(INDEX($FK347:$ID347,1+SwaptionShift):INDEX($FK347:$ID347,SwaptionMonthsToGo+SwaptionShift))*SUM(INDEX($FK$325:$ID$396,HU$169,1+SwaptionShift):INDEX($FK$325:$ID$396,HU$169,SwaptionMonthsToGo+SwaptionShift))))))</f>
        <v/>
      </c>
      <c r="HV192" s="150" t="str">
        <f aca="false">IF(OR(HV$169&lt;SwaptionFirstMonthPosition+1,$FJ192&lt;SwaptionFirstMonthPosition+1,HV$169&gt;SwaptionFirstMonthPosition+SwaptionNumOfMonths+1,$FJ192&gt;SwaptionFirstMonthPosition+SwaptionNumOfMonths+1),"",IF($FJ192=HV$169,1,IF($FJ192&lt;HV$169,INDEX($FK$170:$ID$241,HV$169,$FJ192),SUMPRODUCT(INDEX($FK$325:$ID$396,HV$169,1+SwaptionShift):INDEX($FK$325:$ID$396,HV$169,SwaptionMonthsToGo+SwaptionShift),INDEX($FK$245:$ID$316,$FJ192-HV$169,73-HV$169+SwaptionShift):INDEX($FK$245:$ID$316,$FJ192-HV$169,72-HV$169+SwaptionMonthsToGo+SwaptionShift))/SQRT(SUM(INDEX($FK347:$ID347,1+SwaptionShift):INDEX($FK347:$ID347,SwaptionMonthsToGo+SwaptionShift))*SUM(INDEX($FK$325:$ID$396,HV$169,1+SwaptionShift):INDEX($FK$325:$ID$396,HV$169,SwaptionMonthsToGo+SwaptionShift))))))</f>
        <v/>
      </c>
      <c r="HW192" s="150" t="str">
        <f aca="false">IF(OR(HW$169&lt;SwaptionFirstMonthPosition+1,$FJ192&lt;SwaptionFirstMonthPosition+1,HW$169&gt;SwaptionFirstMonthPosition+SwaptionNumOfMonths+1,$FJ192&gt;SwaptionFirstMonthPosition+SwaptionNumOfMonths+1),"",IF($FJ192=HW$169,1,IF($FJ192&lt;HW$169,INDEX($FK$170:$ID$241,HW$169,$FJ192),SUMPRODUCT(INDEX($FK$325:$ID$396,HW$169,1+SwaptionShift):INDEX($FK$325:$ID$396,HW$169,SwaptionMonthsToGo+SwaptionShift),INDEX($FK$245:$ID$316,$FJ192-HW$169,73-HW$169+SwaptionShift):INDEX($FK$245:$ID$316,$FJ192-HW$169,72-HW$169+SwaptionMonthsToGo+SwaptionShift))/SQRT(SUM(INDEX($FK347:$ID347,1+SwaptionShift):INDEX($FK347:$ID347,SwaptionMonthsToGo+SwaptionShift))*SUM(INDEX($FK$325:$ID$396,HW$169,1+SwaptionShift):INDEX($FK$325:$ID$396,HW$169,SwaptionMonthsToGo+SwaptionShift))))))</f>
        <v/>
      </c>
      <c r="HX192" s="150" t="str">
        <f aca="false">IF(OR(HX$169&lt;SwaptionFirstMonthPosition+1,$FJ192&lt;SwaptionFirstMonthPosition+1,HX$169&gt;SwaptionFirstMonthPosition+SwaptionNumOfMonths+1,$FJ192&gt;SwaptionFirstMonthPosition+SwaptionNumOfMonths+1),"",IF($FJ192=HX$169,1,IF($FJ192&lt;HX$169,INDEX($FK$170:$ID$241,HX$169,$FJ192),SUMPRODUCT(INDEX($FK$325:$ID$396,HX$169,1+SwaptionShift):INDEX($FK$325:$ID$396,HX$169,SwaptionMonthsToGo+SwaptionShift),INDEX($FK$245:$ID$316,$FJ192-HX$169,73-HX$169+SwaptionShift):INDEX($FK$245:$ID$316,$FJ192-HX$169,72-HX$169+SwaptionMonthsToGo+SwaptionShift))/SQRT(SUM(INDEX($FK347:$ID347,1+SwaptionShift):INDEX($FK347:$ID347,SwaptionMonthsToGo+SwaptionShift))*SUM(INDEX($FK$325:$ID$396,HX$169,1+SwaptionShift):INDEX($FK$325:$ID$396,HX$169,SwaptionMonthsToGo+SwaptionShift))))))</f>
        <v/>
      </c>
      <c r="HY192" s="150" t="str">
        <f aca="false">IF(OR(HY$169&lt;SwaptionFirstMonthPosition+1,$FJ192&lt;SwaptionFirstMonthPosition+1,HY$169&gt;SwaptionFirstMonthPosition+SwaptionNumOfMonths+1,$FJ192&gt;SwaptionFirstMonthPosition+SwaptionNumOfMonths+1),"",IF($FJ192=HY$169,1,IF($FJ192&lt;HY$169,INDEX($FK$170:$ID$241,HY$169,$FJ192),SUMPRODUCT(INDEX($FK$325:$ID$396,HY$169,1+SwaptionShift):INDEX($FK$325:$ID$396,HY$169,SwaptionMonthsToGo+SwaptionShift),INDEX($FK$245:$ID$316,$FJ192-HY$169,73-HY$169+SwaptionShift):INDEX($FK$245:$ID$316,$FJ192-HY$169,72-HY$169+SwaptionMonthsToGo+SwaptionShift))/SQRT(SUM(INDEX($FK347:$ID347,1+SwaptionShift):INDEX($FK347:$ID347,SwaptionMonthsToGo+SwaptionShift))*SUM(INDEX($FK$325:$ID$396,HY$169,1+SwaptionShift):INDEX($FK$325:$ID$396,HY$169,SwaptionMonthsToGo+SwaptionShift))))))</f>
        <v/>
      </c>
      <c r="HZ192" s="150" t="str">
        <f aca="false">IF(OR(HZ$169&lt;SwaptionFirstMonthPosition+1,$FJ192&lt;SwaptionFirstMonthPosition+1,HZ$169&gt;SwaptionFirstMonthPosition+SwaptionNumOfMonths+1,$FJ192&gt;SwaptionFirstMonthPosition+SwaptionNumOfMonths+1),"",IF($FJ192=HZ$169,1,IF($FJ192&lt;HZ$169,INDEX($FK$170:$ID$241,HZ$169,$FJ192),SUMPRODUCT(INDEX($FK$325:$ID$396,HZ$169,1+SwaptionShift):INDEX($FK$325:$ID$396,HZ$169,SwaptionMonthsToGo+SwaptionShift),INDEX($FK$245:$ID$316,$FJ192-HZ$169,73-HZ$169+SwaptionShift):INDEX($FK$245:$ID$316,$FJ192-HZ$169,72-HZ$169+SwaptionMonthsToGo+SwaptionShift))/SQRT(SUM(INDEX($FK347:$ID347,1+SwaptionShift):INDEX($FK347:$ID347,SwaptionMonthsToGo+SwaptionShift))*SUM(INDEX($FK$325:$ID$396,HZ$169,1+SwaptionShift):INDEX($FK$325:$ID$396,HZ$169,SwaptionMonthsToGo+SwaptionShift))))))</f>
        <v/>
      </c>
      <c r="IA192" s="150" t="str">
        <f aca="false">IF(OR(IA$169&lt;SwaptionFirstMonthPosition+1,$FJ192&lt;SwaptionFirstMonthPosition+1,IA$169&gt;SwaptionFirstMonthPosition+SwaptionNumOfMonths+1,$FJ192&gt;SwaptionFirstMonthPosition+SwaptionNumOfMonths+1),"",IF($FJ192=IA$169,1,IF($FJ192&lt;IA$169,INDEX($FK$170:$ID$241,IA$169,$FJ192),SUMPRODUCT(INDEX($FK$325:$ID$396,IA$169,1+SwaptionShift):INDEX($FK$325:$ID$396,IA$169,SwaptionMonthsToGo+SwaptionShift),INDEX($FK$245:$ID$316,$FJ192-IA$169,73-IA$169+SwaptionShift):INDEX($FK$245:$ID$316,$FJ192-IA$169,72-IA$169+SwaptionMonthsToGo+SwaptionShift))/SQRT(SUM(INDEX($FK347:$ID347,1+SwaptionShift):INDEX($FK347:$ID347,SwaptionMonthsToGo+SwaptionShift))*SUM(INDEX($FK$325:$ID$396,IA$169,1+SwaptionShift):INDEX($FK$325:$ID$396,IA$169,SwaptionMonthsToGo+SwaptionShift))))))</f>
        <v/>
      </c>
      <c r="IB192" s="150" t="str">
        <f aca="false">IF(OR(IB$169&lt;SwaptionFirstMonthPosition+1,$FJ192&lt;SwaptionFirstMonthPosition+1,IB$169&gt;SwaptionFirstMonthPosition+SwaptionNumOfMonths+1,$FJ192&gt;SwaptionFirstMonthPosition+SwaptionNumOfMonths+1),"",IF($FJ192=IB$169,1,IF($FJ192&lt;IB$169,INDEX($FK$170:$ID$241,IB$169,$FJ192),SUMPRODUCT(INDEX($FK$325:$ID$396,IB$169,1+SwaptionShift):INDEX($FK$325:$ID$396,IB$169,SwaptionMonthsToGo+SwaptionShift),INDEX($FK$245:$ID$316,$FJ192-IB$169,73-IB$169+SwaptionShift):INDEX($FK$245:$ID$316,$FJ192-IB$169,72-IB$169+SwaptionMonthsToGo+SwaptionShift))/SQRT(SUM(INDEX($FK347:$ID347,1+SwaptionShift):INDEX($FK347:$ID347,SwaptionMonthsToGo+SwaptionShift))*SUM(INDEX($FK$325:$ID$396,IB$169,1+SwaptionShift):INDEX($FK$325:$ID$396,IB$169,SwaptionMonthsToGo+SwaptionShift))))))</f>
        <v/>
      </c>
      <c r="IC192" s="150" t="str">
        <f aca="false">IF(OR(IC$169&lt;SwaptionFirstMonthPosition+1,$FJ192&lt;SwaptionFirstMonthPosition+1,IC$169&gt;SwaptionFirstMonthPosition+SwaptionNumOfMonths+1,$FJ192&gt;SwaptionFirstMonthPosition+SwaptionNumOfMonths+1),"",IF($FJ192=IC$169,1,IF($FJ192&lt;IC$169,INDEX($FK$170:$ID$241,IC$169,$FJ192),SUMPRODUCT(INDEX($FK$325:$ID$396,IC$169,1+SwaptionShift):INDEX($FK$325:$ID$396,IC$169,SwaptionMonthsToGo+SwaptionShift),INDEX($FK$245:$ID$316,$FJ192-IC$169,73-IC$169+SwaptionShift):INDEX($FK$245:$ID$316,$FJ192-IC$169,72-IC$169+SwaptionMonthsToGo+SwaptionShift))/SQRT(SUM(INDEX($FK347:$ID347,1+SwaptionShift):INDEX($FK347:$ID347,SwaptionMonthsToGo+SwaptionShift))*SUM(INDEX($FK$325:$ID$396,IC$169,1+SwaptionShift):INDEX($FK$325:$ID$396,IC$169,SwaptionMonthsToGo+SwaptionShift))))))</f>
        <v/>
      </c>
      <c r="ID192" s="572" t="str">
        <f aca="false">IF(OR(ID$169&lt;SwaptionFirstMonthPosition+1,$FJ192&lt;SwaptionFirstMonthPosition+1,ID$169&gt;SwaptionFirstMonthPosition+SwaptionNumOfMonths+1,$FJ192&gt;SwaptionFirstMonthPosition+SwaptionNumOfMonths+1),"",IF($FJ192=ID$169,1,IF($FJ192&lt;ID$169,INDEX($FK$170:$ID$241,ID$169,$FJ192),SUMPRODUCT(INDEX($FK$325:$ID$396,ID$169,1+SwaptionShift):INDEX($FK$325:$ID$396,ID$169,SwaptionMonthsToGo+SwaptionShift),INDEX($FK$245:$ID$316,$FJ192-ID$169,73-ID$169+SwaptionShift):INDEX($FK$245:$ID$316,$FJ192-ID$169,72-ID$169+SwaptionMonthsToGo+SwaptionShift))/SQRT(SUM(INDEX($FK347:$ID347,1+SwaptionShift):INDEX($FK347:$ID347,SwaptionMonthsToGo+SwaptionShift))*SUM(INDEX($FK$325:$ID$396,ID$169,1+SwaptionShift):INDEX($FK$325:$ID$396,ID$169,SwaptionMonthsToGo+SwaptionShift))))))</f>
        <v/>
      </c>
      <c r="IE192" s="129"/>
    </row>
    <row r="193" customFormat="false" ht="12.75" hidden="false" customHeight="false" outlineLevel="0" collapsed="false">
      <c r="H193" s="219" t="n">
        <f aca="false">VLOOKUP(I193,$EJ$20:$EL$54,3)</f>
        <v>0</v>
      </c>
      <c r="I193" s="511" t="n">
        <f aca="false">EOMONTH(I192,0)+1</f>
        <v>42036</v>
      </c>
      <c r="J193" s="512"/>
      <c r="K193" s="513" t="s">
        <v>280</v>
      </c>
      <c r="L193" s="514" t="n">
        <f aca="false">IF(ISNUMBER(K193),J193+K193/100,IF(K193="extra",L192+VLOOKUP(BF193,PriceSpreadTable,2)/12,IF(K193="inter",interpolateprices($K$19:$L$200,ROW(K193)-ROW(FirstPricingMonth)+1),interpolatechanges($J$19:$K$200,ROW(K193)-ROW(FirstPricingMonth)+1))))</f>
        <v>3.63750000000001</v>
      </c>
      <c r="M193" s="515"/>
      <c r="N193" s="516" t="n">
        <v>0</v>
      </c>
      <c r="O193" s="515" t="n">
        <f aca="false">M193+N193</f>
        <v>0</v>
      </c>
      <c r="P193" s="512"/>
      <c r="Q193" s="513" t="s">
        <v>280</v>
      </c>
      <c r="R193" s="512" t="e">
        <f aca="false">IF(ISNUMBER(Q193),P193+Q193/100,IF(Q193="extra",(Z191*AL191-R192*AM191)/AN191,IF(Q193="inter",interpolateprices($Q$19:$R$260,ROW(Q193)-ROW(FirstPricingMonth)+1),interpolatechanges($P$19:$Q$260,ROW(Q193)-ROW(FirstPricingMonth)+1))))</f>
        <v>#VALUE!</v>
      </c>
      <c r="S193" s="597" t="n">
        <f aca="false">S$19+(S192-S$19)*S$18</f>
        <v>0.36</v>
      </c>
      <c r="T193" s="575" t="n">
        <f aca="false">SQRT((1-(1-T192^2/U192)*T$18)*U193)</f>
        <v>0.999999999999809</v>
      </c>
      <c r="U193" s="576" t="n">
        <f aca="false">1-(1-U192)*U$18</f>
        <v>1</v>
      </c>
      <c r="V193" s="521" t="n">
        <v>0</v>
      </c>
      <c r="W193" s="577" t="n">
        <f aca="false">(J194*AJ193+J195*AK193)/AI193</f>
        <v>0</v>
      </c>
      <c r="X193" s="578" t="n">
        <f aca="false">(L194*AJ193+L195*AK193)/AI193</f>
        <v>3.68437500000001</v>
      </c>
      <c r="Y193" s="579" t="n">
        <f aca="false">IF(Q195="extra",W193-AA193,(P194*AM193+P195*AN193)/AL193)</f>
        <v>-1.1685</v>
      </c>
      <c r="Z193" s="579" t="n">
        <f aca="false">IF(Q195="extra",X193-AB193,(R194*AM193+R195*AN193)/AL193)</f>
        <v>2.51587500000001</v>
      </c>
      <c r="AA193" s="523" t="n">
        <f aca="false">IF(Q195="extra",INDEX(BrentSeasonalityTable,INT((BG193-1)/3)+1)*VLOOKUP(MAX(BF193,$AB$4),PriceSpreadTable,3),W193-Y193)</f>
        <v>1.1685</v>
      </c>
      <c r="AB193" s="524" t="n">
        <f aca="false">IF(Q195="extra",INDEX(BrentSeasonalityTable,INT((BG193-1)/3)+1)*VLOOKUP(MAX(BF193,$AB$4),PriceSpreadTable,3),X193-Z193)</f>
        <v>1.1685</v>
      </c>
      <c r="AC193" s="646" t="n">
        <v>42024</v>
      </c>
      <c r="AD193" s="646" t="n">
        <v>42020</v>
      </c>
      <c r="AE193" s="646" t="n">
        <v>42019</v>
      </c>
      <c r="AF193" s="646" t="n">
        <v>42015</v>
      </c>
      <c r="AG193" s="438" t="s">
        <v>278</v>
      </c>
      <c r="AH193" s="439" t="s">
        <v>278</v>
      </c>
      <c r="AI193" s="528" t="n">
        <v>20</v>
      </c>
      <c r="AJ193" s="529" t="n">
        <v>15</v>
      </c>
      <c r="AK193" s="529" t="n">
        <v>5</v>
      </c>
      <c r="AL193" s="530" t="n">
        <v>20</v>
      </c>
      <c r="AM193" s="529" t="n">
        <v>10</v>
      </c>
      <c r="AN193" s="531" t="n">
        <v>10</v>
      </c>
      <c r="AO193" s="532"/>
      <c r="AP193" s="465" t="n">
        <f aca="false">(1+AO193/2)^(-2*BL193)</f>
        <v>1</v>
      </c>
      <c r="AQ193" s="532"/>
      <c r="AR193" s="465" t="n">
        <f aca="false">(1+AQ193/2)^(-2*BH193/365.25)</f>
        <v>1</v>
      </c>
      <c r="AS193" s="580" t="n">
        <f aca="false">(O194*AJ193+O195*AK193)/AI193</f>
        <v>0</v>
      </c>
      <c r="AT193" s="468" t="n">
        <f aca="false">O193*VLOOKUP(BF193,BrentVolTable,2)+VLOOKUP(BF193,BrentVolTable,3)</f>
        <v>0</v>
      </c>
      <c r="AU193" s="468" t="n">
        <f aca="false">(AT194*AM193+AT195*AN193)/AL193</f>
        <v>0</v>
      </c>
      <c r="AV193" s="595" t="n">
        <f aca="false">SQRT(MAX(0.000000000001,(O193^2*BH193-S193^2*(BH193-BH192))/BH192))</f>
        <v>0.0319488921140792</v>
      </c>
      <c r="AW193" s="451" t="n">
        <f aca="false">IF($I193-DateToday+15&gt;=$T$8,"",IF($I193-DateToday+15&lt;$T$5,1,MATCH($I193-DateToday+15,$T$5:$T$8)))</f>
        <v>1</v>
      </c>
      <c r="AX193" s="468" t="n">
        <f aca="false">IF($AW193="",AX192^2/AX191,INDEX(U$5:U$8,$AW193)^((INDEX($T$5:$T$8,$AW193+1)-($I193-DateToday+15))/(INDEX($T$5:$T$8,$AW193+1)-INDEX($T$5:$T$8,$AW193)))/INDEX(U$5:U$8,$AW193+1)^((INDEX($T$5:$T$8,$AW193)-($I193-DateToday+15))/(INDEX($T$5:$T$8,$AW193+1)-INDEX($T$5:$T$8,$AW193))))</f>
        <v>0.310634723023797</v>
      </c>
      <c r="AY193" s="468" t="n">
        <f aca="false">IF($AW193="",AY192^2/AY191,INDEX(V$5:V$8,$AW193)^((INDEX($T$5:$T$8,$AW193+1)-($I193-DateToday+15))/(INDEX($T$5:$T$8,$AW193+1)-INDEX($T$5:$T$8,$AW193)))/INDEX(V$5:V$8,$AW193+1)^((INDEX($T$5:$T$8,$AW193)-($I193-DateToday+15))/(INDEX($T$5:$T$8,$AW193+1)-INDEX($T$5:$T$8,$AW193))))</f>
        <v>3.56219967273618</v>
      </c>
      <c r="AZ193" s="468" t="n">
        <f aca="false">IF($AW193="",AZ192^2/AZ191,INDEX(W$5:W$8,$AW193)^((INDEX($T$5:$T$8,$AW193+1)-($I193-DateToday+15))/(INDEX($T$5:$T$8,$AW193+1)-INDEX($T$5:$T$8,$AW193)))/INDEX(W$5:W$8,$AW193+1)^((INDEX($T$5:$T$8,$AW193)-($I193-DateToday+15))/(INDEX($T$5:$T$8,$AW193+1)-INDEX($T$5:$T$8,$AW193))))</f>
        <v>460.705810974685</v>
      </c>
      <c r="BA193" s="468" t="n">
        <f aca="false">IF($AW193="",BA192^2/BA191,INDEX(X$5:X$8,$AW193)^((INDEX($T$5:$T$8,$AW193+1)-($I193-DateToday+15))/(INDEX($T$5:$T$8,$AW193+1)-INDEX($T$5:$T$8,$AW193)))/INDEX(X$5:X$8,$AW193+1)^((INDEX($T$5:$T$8,$AW193)-($I193-DateToday+15))/(INDEX($T$5:$T$8,$AW193+1)-INDEX($T$5:$T$8,$AW193))))</f>
        <v>1490.7418957039</v>
      </c>
      <c r="BB193" s="468" t="n">
        <f aca="false">IF($AW193="",BB192^2/BB191,INDEX(Y$5:Y$8,$AW193)^((INDEX($T$5:$T$8,$AW193+1)-($I193-DateToday+15))/(INDEX($T$5:$T$8,$AW193+1)-INDEX($T$5:$T$8,$AW193)))/INDEX(Y$5:Y$8,$AW193+1)^((INDEX($T$5:$T$8,$AW193)-($I193-DateToday+15))/(INDEX($T$5:$T$8,$AW193+1)-INDEX($T$5:$T$8,$AW193))))</f>
        <v>7432.90493779135</v>
      </c>
      <c r="BC193" s="468" t="n">
        <f aca="false">IF($AW193="",BC192^2/BC191,INDEX(Z$5:Z$8,$AW193)^((INDEX($T$5:$T$8,$AW193+1)-($I193-DateToday+15))/(INDEX($T$5:$T$8,$AW193+1)-INDEX($T$5:$T$8,$AW193)))/INDEX(Z$5:Z$8,$AW193+1)^((INDEX($T$5:$T$8,$AW193)-($I193-DateToday+15))/(INDEX($T$5:$T$8,$AW193+1)-INDEX($T$5:$T$8,$AW193))))</f>
        <v>19897.8764523086</v>
      </c>
      <c r="BD193" s="535" t="n">
        <f aca="false">IF(OR(DateStart&gt;=I194,DateEnd&lt;I193),0,IF(VolumeOverrideFlag,V193,Volume))</f>
        <v>0</v>
      </c>
      <c r="BE193" s="536" t="n">
        <f aca="false">IF(OR(DateStart2&gt;=I194,DateEnd2&lt;I193),0,IF(VolumeOverrideFlag,V193,VolumeSwaption))</f>
        <v>0</v>
      </c>
      <c r="BF193" s="537" t="n">
        <f aca="false">YEAR(I193)</f>
        <v>2015</v>
      </c>
      <c r="BG193" s="538" t="n">
        <f aca="false">MONTH(I193)</f>
        <v>2</v>
      </c>
      <c r="BH193" s="539" t="n">
        <f aca="false">AD193-DateToday+1</f>
        <v>-3905</v>
      </c>
      <c r="BI193" s="540" t="n">
        <f aca="false">(I193-DateToday+1)/365.25</f>
        <v>-10.6475017111567</v>
      </c>
      <c r="BJ193" s="541" t="n">
        <f aca="false">BI193+(BL193-BI193)*CHOOSE(Underlying,AJ193/AI193,AM193/AL193)</f>
        <v>-10.5920602327173</v>
      </c>
      <c r="BK193" s="541" t="n">
        <f aca="false">BJ193+1/365.25</f>
        <v>-10.5893223819302</v>
      </c>
      <c r="BL193" s="541" t="n">
        <f aca="false">(I194-DateToday)/365.25</f>
        <v>-10.5735797399042</v>
      </c>
      <c r="BM193" s="542" t="e">
        <f aca="false">MAX(BI193-(BJ193-BI193)*(S194^2/O194^2-1),0)</f>
        <v>#DIV/0!</v>
      </c>
      <c r="BN193" s="541" t="e">
        <f aca="false">MAX(BL193+(BL193-BK193)*(S195^2/O195^2-1),0)</f>
        <v>#DIV/0!</v>
      </c>
      <c r="BO193" s="530" t="n">
        <f aca="false">CHOOSE(Underlying,AI193,AL193)</f>
        <v>20</v>
      </c>
      <c r="BP193" s="529" t="n">
        <f aca="false">CHOOSE(Underlying,AJ193,AM193)</f>
        <v>15</v>
      </c>
      <c r="BQ193" s="529" t="n">
        <f aca="false">CHOOSE(Underlying,AK193,AN193)</f>
        <v>5</v>
      </c>
      <c r="BR193" s="463" t="str">
        <f aca="false">IF(BD193,IF(Underlying=1,X193,Z193)+UnderlyingPriceAsian-SwapPriceCurve,"")</f>
        <v/>
      </c>
      <c r="BS193" s="463" t="str">
        <f aca="false">IF(BD193,Strike1/BR193-1,"")</f>
        <v/>
      </c>
      <c r="BT193" s="464" t="str">
        <f aca="false">IF(BD193,Strike2/BR193-1,"")</f>
        <v/>
      </c>
      <c r="BU193" s="465" t="str">
        <f aca="false">IF(BD193,IF(Underlying=1,L194,R194)+UnderlyingPriceAsian-SwapPriceCurve,"")</f>
        <v/>
      </c>
      <c r="BV193" s="465" t="str">
        <f aca="false">IF(BD193,IF(Underlying=1,L195,R195)+UnderlyingPriceAsian-SwapPriceCurve,"")</f>
        <v/>
      </c>
      <c r="BW193" s="466" t="str">
        <f aca="false">IF(BD193,IF(Underlying=1,O194,AT194),"")</f>
        <v/>
      </c>
      <c r="BX193" s="467" t="str">
        <f aca="false">IF(BD193,IF(Underlying=1,O195,AT195),"")</f>
        <v/>
      </c>
      <c r="BY193" s="466" t="str">
        <f aca="false">IF(BD193,IF(BS193&gt;0,IF(BS193&gt;0.2,BC193-BB193,IF(BS193&gt;0.1,BB193-BA193,BA193)),IF(BS193&lt;-0.2,AX193-AY193,IF(BS193&lt;-0.1,AY193-AZ193,AZ193))),"")</f>
        <v/>
      </c>
      <c r="BZ193" s="467" t="str">
        <f aca="false">IF(BD193,IF(BT193&gt;0,IF(BT193&gt;0.2,BC193-BB193,IF(BT193&gt;0.1,BB193-BA193,BA193)),IF(BT193&lt;-0.2,AX193-AY193,IF(BT193&lt;-0.1,AY193-AZ193,AZ193))),"")</f>
        <v/>
      </c>
      <c r="CA193" s="468" t="str">
        <f aca="false">IF($BD193,$BW193+IF(VolSkewFlag=1,IF(BS193&gt;0,$BA193*MIN(BS193/10%,1)+($BB193-$BA193)*MAX(0,MIN(BS193/10%-1,1))+($BC193-$BB193)*MAX(0,BS193/10%-2),$AZ193*MIN(-BS193/10%,1)+($AY193-$AZ193)*MAX(0,MIN(-BS193/10%-1,1))+($AX193-$AY193)*MAX(0,-BS193/10%-2)),0),"")</f>
        <v/>
      </c>
      <c r="CB193" s="468" t="str">
        <f aca="false">IF($BD193,$BX193+IF(VolSkewFlag=1,IF(BS193&gt;0,$BA193*MIN(BS193/10%,1)+($BB193-$BA193)*MAX(0,MIN(BS193/10%-1,1))+($BC193-$BB193)*MAX(0,BS193/10%-2),$AZ193*MIN(-BS193/10%,1)+($AY193-$AZ193)*MAX(0,MIN(-BS193/10%-1,1))+($AX193-$AY193)*MAX(0,-BS193/10%-2)),0),"")</f>
        <v/>
      </c>
      <c r="CC193" s="468" t="str">
        <f aca="false">IF($BD193,$BW193+IF(VolSkewFlag=1,IF(BT193&gt;0,$BA193*MIN(BT193/10%,1)+($BB193-$BA193)*MAX(0,MIN(BT193/10%-1,1))+($BC193-$BB193)*MAX(0,BT193/10%-2),$AZ193*MIN(-BT193/10%,1)+($AY193-$AZ193)*MAX(0,MIN(-BT193/10%-1,1))+($AX193-$AY193)*MAX(0,-BT193/10%-2)),0),"")</f>
        <v/>
      </c>
      <c r="CD193" s="468" t="str">
        <f aca="false">IF($BD193,$BX193+IF(VolSkewFlag=1,IF(BT193&gt;0,$BA193*MIN(BT193/10%,1)+($BB193-$BA193)*MAX(0,MIN(BT193/10%-1,1))+($BC193-$BB193)*MAX(0,BT193/10%-2),$AZ193*MIN(-BT193/10%,1)+($AY193-$AZ193)*MAX(0,MIN(-BT193/10%-1,1))+($AX193-$AY193)*MAX(0,-BT193/10%-2)),0),"")</f>
        <v/>
      </c>
      <c r="CE193" s="469" t="n">
        <v>1</v>
      </c>
      <c r="CF193" s="470" t="n">
        <f aca="false">IF(BD193,xCrudeAPO(BU193,BV193,CA193,CB193,S194,S195,BI193,BL193,BP193,BQ193,0,Strike1,AO193,CE193,0,BL193,IF(OptControl=4,0,1),0,1),0)</f>
        <v>0</v>
      </c>
      <c r="CG193" s="470" t="n">
        <f aca="false">IF(BD193,xCrudeAPO(BU193,BV193,CA193,CB193,S194,S195,BI193,BL193,BP193,BQ193,0,Strike1,AO193,CE193,0,BL193,IF(OptControl=4,0,1),1,1)+xCrudeAPO(BU193,BV193,CA193,CB193,S194,S195,BI193,BL193,BP193,BQ193,0,Strike1,AO193,CE193,0,BL193,IF(OptControl=4,0,1),1,2)+IF(OR(VolSkewFlag=2,ABS(BS193)&lt;0.0001),0,IF(BS193&gt;0,-1,1)*CH193*Strike1/BR193^2*BY193/10%),0)</f>
        <v>0</v>
      </c>
      <c r="CH193" s="470" t="n">
        <f aca="false">IF(BD193,(xCrudeAPO(BU193,BV193,CA193,CB193,S194,S195,BI193,BL193,BP193,BQ193,0,Strike1,AO193,CE193,0,BL193,IF(OptControl=4,0,1),3,1)+xCrudeAPO(BU193,BV193,CA193,CB193,S194,S195,BI193,BL193,BP193,BQ193,0,Strike1,AO193,CE193,0,BL193,IF(OptControl=4,0,1),3,2))/100,0)</f>
        <v>0</v>
      </c>
      <c r="CI193" s="470" t="n">
        <f aca="false">IF(BD193,xCrudeAPO(BU193,BV193,CA193,CB193,S194,S195,BI193-DaysForThetaCalculation/365.25,BL193-DaysForThetaCalculation/365.25,BP193,BQ193,0,Strike1,AO193,CE193,0,BL193,IF(OptControl=4,0,1),0,1)-xCrudeAPO(BU193,BV193,CA193,CB193,S194,S195,BI193,BL193,BP193,BQ193,0,Strike1,AO193,CE193,0,BL193,IF(OptControl=4,0,1),0,1),0)</f>
        <v>0</v>
      </c>
      <c r="CJ193" s="471" t="n">
        <f aca="false">IF(BD193,xCrudeAPO(BU193,BV193,CC193,CD193,S194,S195,BI193,BL193,BP193,BQ193,0,Strike2,AO193,CE193,0,BL193,IF(OptControl=3,1,0),0,1),0)</f>
        <v>0</v>
      </c>
      <c r="CK193" s="470" t="n">
        <f aca="false">IF(BD193,xCrudeAPO(BU193,BV193,CC193,CD193,S194,S195,BI193,BL193,BP193,BQ193,0,Strike2,AO193,CE193,0,BL193,IF(OptControl=3,1,0),1,1)+xCrudeAPO(BU193,BV193,CC193,CD193,S194,S195,BI193,BL193,BP193,BQ193,0,Strike2,AO193,CE193,0,BL193,IF(OptControl=3,1,0),1,2)+IF(OR(VolSkewFlag=2,ABS(BT193)&lt;0.0001),0,IF(BT193&gt;0,-1,1)*CL193*Strike2/BR193^2*BZ193/10%),0)</f>
        <v>0</v>
      </c>
      <c r="CL193" s="470" t="n">
        <f aca="false">IF(BD193,(xCrudeAPO(BU193,BV193,CC193,CD193,S194,S195,BI193,BL193,BP193,BQ193,0,Strike2,AO193,CE193,0,BL193,IF(OptControl=3,1,0),3,1)+xCrudeAPO(BU193,BV193,CC193,CD193,S194,S195,BI193,BL193,BP193,BQ193,0,Strike2,AO193,CE193,0,BL193,IF(OptControl=3,1,0),3,2))/100,0)</f>
        <v>0</v>
      </c>
      <c r="CM193" s="472" t="n">
        <f aca="false">IF(BD193,xCrudeAPO(BU193,BV193,CC193,CD193,S194,S195,BI193-DaysForThetaCalculation/365.25,BL193-DaysForThetaCalculation/365.25,BP193,BQ193,0,Strike2,AO193,CE193,0,BL193,IF(OptControl=3,1,0),0,1)-xCrudeAPO(BU193,BV193,CC193,CD193,S194,S195,BI193,BL193,BP193,BQ193,0,Strike2,AO193,CE193,0,BL193,IF(OptControl=3,1,0),0,1),0)</f>
        <v>0</v>
      </c>
      <c r="CN193" s="3"/>
      <c r="CO193" s="543" t="str">
        <f aca="false">IF(BD193,CHOOSE(Underlying,AD193,AF193)-DateToday+1,"")</f>
        <v/>
      </c>
      <c r="CP193" s="582" t="str">
        <f aca="false">IF(BD193,CHOOSE(Underlying,L193,R193),"")</f>
        <v/>
      </c>
      <c r="CQ193" s="544" t="str">
        <f aca="false">IF(BD193,Strike1/CP193-1,"")</f>
        <v/>
      </c>
      <c r="CR193" s="544" t="str">
        <f aca="false">IF(BD193,Strike2/CP193-1,"")</f>
        <v/>
      </c>
      <c r="CS193" s="544" t="str">
        <f aca="false">IF(BD193,IF(CQ193&gt;0,IF(CQ193&gt;0.2,BC192-BB192,IF(CQ193&gt;0.1,BB192-BA192,BA192)),IF(CQ193&lt;-0.2,AX192-AY192,IF(CQ193&lt;-0.1,AY192-AZ192,AZ192))),"")</f>
        <v/>
      </c>
      <c r="CT193" s="544" t="str">
        <f aca="false">IF(BD193,IF(CR193&gt;0,IF(CR193&gt;0.2,BC192-BB192,IF(CR193&gt;0.1,BB192-BA192,BA192)),IF(CR193&lt;-0.2,AX192-AY192,IF(CR193&lt;-0.1,AY192-AZ192,AZ192))),"")</f>
        <v/>
      </c>
      <c r="CU193" s="545" t="str">
        <f aca="false">IF(BD193,CHOOSE(Underlying,O193,AT193),"")</f>
        <v/>
      </c>
      <c r="CV193" s="545" t="str">
        <f aca="false">IF(BD193,CU193+IF(VolSkewFlag=1,IF(CQ193&gt;0,BA192*MIN(CQ193/10%,1)+(BB192-BA192)*MAX(0,MIN(CQ193/10%-1,1))+(BC192-BB192)*MAX(0,CQ193/10%-2),AZ192*MIN(-CQ193/10%,1)+(AY192-AZ192)*MAX(0,MIN(-CQ193/10%-1,1))+(AX192-AY192)*MAX(0,-CQ193/10%-2)),0),"")</f>
        <v/>
      </c>
      <c r="CW193" s="545" t="str">
        <f aca="false">IF(BD193,CU193+IF(VolSkewFlag=1,IF(CR193&gt;0,BA192*MIN(CR193/10%,1)+(BB192-BA192)*MAX(0,MIN(CR193/10%-1,1))+(BC192-BB192)*MAX(0,CR193/10%-2),AZ192*MIN(-CR193/10%,1)+(AY192-AZ192)*MAX(0,MIN(-CR193/10%-1,1))+(AX192-AY192)*MAX(0,-CR193/10%-2)),0),"")</f>
        <v/>
      </c>
      <c r="CX193" s="470" t="n">
        <f aca="false">IF(BD193,EURO(CP193,Strike1,AO193,AO193,CV193,CO193,IF(OptControl=4,0,1),0),0)</f>
        <v>0</v>
      </c>
      <c r="CY193" s="470" t="n">
        <f aca="false">IF(BD193,EURO(CP193,Strike1,AO193,AO193,CV193,CO193,IF(OptControl=4,0,1),1)+IF(OR(VolSkewFlag=2,ABS(CQ193)&lt;0.0001),0,IF(CQ193&gt;0,-1,1)*CZ193*100*Strike1/CP193^2*CS193/10%),0)</f>
        <v>0</v>
      </c>
      <c r="CZ193" s="470" t="n">
        <f aca="false">IF(BD193,EURO(CP193,Strike1,AO193,AO193,CV193,CO193,IF(OptControl=4,0,1),3)/100,0)</f>
        <v>0</v>
      </c>
      <c r="DA193" s="470" t="n">
        <f aca="false">IF(BD193,EURO(CP193,Strike1,AO193,AO193,CV193,CO193,IF(OptControl=4,0,1),0)-EURO(CP193,Strike1,AO193,AO193,CV193,CO193-1,IF(OptControl=4,0,1),0),0)</f>
        <v>0</v>
      </c>
      <c r="DB193" s="470" t="n">
        <f aca="false">IF(BD193,EURO(CP193,Strike2,AO193,AO193,CW193,CO193,IF(OptControl=3,1,0),0),0)</f>
        <v>0</v>
      </c>
      <c r="DC193" s="470" t="n">
        <f aca="false">IF(BD193,EURO(CP193,Strike2,AO193,AO193,CW193,CO193,IF(OptControl=3,1,0),1)+IF(OR(VolSkewFlag=2,ABS(CR193)&lt;0.0001),0,IF(CR193&gt;0,-1,1)*DD193*100*Strike2/CP193^2*CT193/10%),0)</f>
        <v>0</v>
      </c>
      <c r="DD193" s="470" t="n">
        <f aca="false">IF(BD193,EURO(CP193,Strike2,AO193,AO193,CW193,CO193,IF(OptControl=3,1,0),3)/100,0)</f>
        <v>0</v>
      </c>
      <c r="DE193" s="472" t="n">
        <f aca="false">IF(BD193,EURO(CP193,Strike2,AO193,AO193,CW193,CO193,IF(OptControl=3,1,0),0)-EURO(CP193,Strike2,AO193,AO193,CW193,CO193-1,IF(OptControl=3,1,0),0),0)</f>
        <v>0</v>
      </c>
      <c r="DG193" s="481" t="n">
        <f aca="false">EOMONTH(DG192,0)+1</f>
        <v>50952</v>
      </c>
      <c r="DH193" s="478" t="n">
        <v>22.8100000000001</v>
      </c>
      <c r="DI193" s="479" t="n">
        <v>22.8804545454546</v>
      </c>
      <c r="DJ193" s="480" t="n">
        <f aca="false">DG193</f>
        <v>50952</v>
      </c>
      <c r="DK193" s="478" t="n">
        <v>21.6050009525786</v>
      </c>
      <c r="DL193" s="479" t="n">
        <v>21.6135545454546</v>
      </c>
      <c r="DM193" s="481" t="n">
        <f aca="false">DG193</f>
        <v>50952</v>
      </c>
      <c r="DN193" s="482" t="n">
        <f aca="false">DK193+BrentPhyBrentSpread</f>
        <v>21.6550009525786</v>
      </c>
      <c r="DO193" s="481" t="n">
        <f aca="false">DG193</f>
        <v>50952</v>
      </c>
      <c r="DP193" s="483" t="n">
        <f aca="false">DL193+DQ193</f>
        <v>21.6135545454546</v>
      </c>
      <c r="DQ193" s="546" t="n">
        <v>0</v>
      </c>
      <c r="DR193" s="480" t="n">
        <f aca="false">DG193</f>
        <v>50952</v>
      </c>
      <c r="DS193" s="485" t="n">
        <v>0.120799999999998</v>
      </c>
      <c r="DT193" s="486" t="n">
        <v>0.119954545454543</v>
      </c>
      <c r="DU193" s="480" t="n">
        <f aca="false">DG193</f>
        <v>50952</v>
      </c>
      <c r="DV193" s="485" t="n">
        <v>0.120799999999998</v>
      </c>
      <c r="DW193" s="486" t="n">
        <v>0.119954545454543</v>
      </c>
      <c r="DX193" s="481" t="n">
        <f aca="false">DG193</f>
        <v>50952</v>
      </c>
      <c r="DY193" s="486" t="n">
        <v>0.35</v>
      </c>
      <c r="DZ193" s="481" t="n">
        <f aca="false">DR193</f>
        <v>50952</v>
      </c>
      <c r="EA193" s="486" t="n">
        <f aca="false">DT193</f>
        <v>0.119954545454543</v>
      </c>
      <c r="EB193" s="195"/>
      <c r="EC193" s="547" t="str">
        <f aca="false">IF(BD193,IF(Underlying=1,AS193,AU193),"")</f>
        <v/>
      </c>
      <c r="ED193" s="548" t="str">
        <f aca="false">IF($BD193,$EC193+IF(VolSkewFlag=1,IF(BS193&gt;0,$BA193*MIN(BS193/10%,1)+($BB193-$BA193)*MAX(0,MIN(BS193/10%-1,1))+($BC193-$BB193)*MAX(0,BS193/10%-2),$AZ193*MIN(-BS193/10%,1)+($AY193-$AZ193)*MAX(0,MIN(-BS193/10%-1,1))+($AX193-$AY193)*MAX(0,-BS193/10%-2)),0),"")</f>
        <v/>
      </c>
      <c r="EE193" s="549" t="str">
        <f aca="false">IF($BD193,$EC193+IF(VolSkewFlag=1,IF(BT193&gt;0,$BA193*MIN(BT193/10%,1)+($BB193-$BA193)*MAX(0,MIN(BT193/10%-1,1))+($BC193-$BB193)*MAX(0,BT193/10%-2),$AZ193*MIN(-BT193/10%,1)+($AY193-$AZ193)*MAX(0,MIN(-BT193/10%-1,1))+($AX193-$AY193)*MAX(0,-BT193/10%-2)),0),"")</f>
        <v/>
      </c>
      <c r="EF193" s="550" t="n">
        <f aca="false">IF(BD193,xASN(BR193,Strike1,AO193,ED193,0,BO193,0,BI193,BL193,IF(OptControl=4,0,1),0),0)</f>
        <v>0</v>
      </c>
      <c r="EG193" s="551" t="n">
        <f aca="false">IF(BD193,xASN(BR193,Strike2,AO193,EE193,0,BO193,0,BI193,BL193,IF(OptControl=3,1,0),0),0)</f>
        <v>0</v>
      </c>
      <c r="EL193" s="1"/>
      <c r="EM193" s="195"/>
      <c r="EN193" s="240"/>
      <c r="EO193" s="240"/>
      <c r="EP193" s="195"/>
      <c r="EQ193" s="407" t="s">
        <v>421</v>
      </c>
      <c r="ES193" s="130"/>
      <c r="ET193" s="19"/>
      <c r="EU193" s="672"/>
      <c r="EV193" s="478"/>
      <c r="EW193" s="131"/>
      <c r="EX193" s="131"/>
      <c r="EY193" s="129"/>
      <c r="EZ193" s="129"/>
      <c r="FA193" s="129"/>
      <c r="FB193" s="129"/>
      <c r="FC193" s="129"/>
      <c r="FD193" s="129"/>
      <c r="FE193" s="129"/>
      <c r="FF193" s="129"/>
      <c r="FG193" s="129"/>
      <c r="FH193" s="129"/>
      <c r="FI193" s="129"/>
      <c r="FJ193" s="571" t="n">
        <v>24</v>
      </c>
      <c r="FK193" s="150" t="str">
        <f aca="false">IF(OR(FK$169&lt;SwaptionFirstMonthPosition+1,$FJ193&lt;SwaptionFirstMonthPosition+1,FK$169&gt;SwaptionFirstMonthPosition+SwaptionNumOfMonths+1,$FJ193&gt;SwaptionFirstMonthPosition+SwaptionNumOfMonths+1),"",IF($FJ193=FK$169,1,IF($FJ193&lt;FK$169,INDEX($FK$170:$ID$241,FK$169,$FJ193),SUMPRODUCT(INDEX($FK$325:$ID$396,FK$169,1+SwaptionShift):INDEX($FK$325:$ID$396,FK$169,SwaptionMonthsToGo+SwaptionShift),INDEX($FK$245:$ID$316,$FJ193-FK$169,73-FK$169+SwaptionShift):INDEX($FK$245:$ID$316,$FJ193-FK$169,72-FK$169+SwaptionMonthsToGo+SwaptionShift))/SQRT(SUM(INDEX($FK348:$ID348,1+SwaptionShift):INDEX($FK348:$ID348,SwaptionMonthsToGo+SwaptionShift))*SUM(INDEX($FK$325:$ID$396,FK$169,1+SwaptionShift):INDEX($FK$325:$ID$396,FK$169,SwaptionMonthsToGo+SwaptionShift))))))</f>
        <v/>
      </c>
      <c r="FL193" s="150" t="str">
        <f aca="false">IF(OR(FL$169&lt;SwaptionFirstMonthPosition+1,$FJ193&lt;SwaptionFirstMonthPosition+1,FL$169&gt;SwaptionFirstMonthPosition+SwaptionNumOfMonths+1,$FJ193&gt;SwaptionFirstMonthPosition+SwaptionNumOfMonths+1),"",IF($FJ193=FL$169,1,IF($FJ193&lt;FL$169,INDEX($FK$170:$ID$241,FL$169,$FJ193),SUMPRODUCT(INDEX($FK$325:$ID$396,FL$169,1+SwaptionShift):INDEX($FK$325:$ID$396,FL$169,SwaptionMonthsToGo+SwaptionShift),INDEX($FK$245:$ID$316,$FJ193-FL$169,73-FL$169+SwaptionShift):INDEX($FK$245:$ID$316,$FJ193-FL$169,72-FL$169+SwaptionMonthsToGo+SwaptionShift))/SQRT(SUM(INDEX($FK348:$ID348,1+SwaptionShift):INDEX($FK348:$ID348,SwaptionMonthsToGo+SwaptionShift))*SUM(INDEX($FK$325:$ID$396,FL$169,1+SwaptionShift):INDEX($FK$325:$ID$396,FL$169,SwaptionMonthsToGo+SwaptionShift))))))</f>
        <v/>
      </c>
      <c r="FM193" s="150" t="str">
        <f aca="false">IF(OR(FM$169&lt;SwaptionFirstMonthPosition+1,$FJ193&lt;SwaptionFirstMonthPosition+1,FM$169&gt;SwaptionFirstMonthPosition+SwaptionNumOfMonths+1,$FJ193&gt;SwaptionFirstMonthPosition+SwaptionNumOfMonths+1),"",IF($FJ193=FM$169,1,IF($FJ193&lt;FM$169,INDEX($FK$170:$ID$241,FM$169,$FJ193),SUMPRODUCT(INDEX($FK$325:$ID$396,FM$169,1+SwaptionShift):INDEX($FK$325:$ID$396,FM$169,SwaptionMonthsToGo+SwaptionShift),INDEX($FK$245:$ID$316,$FJ193-FM$169,73-FM$169+SwaptionShift):INDEX($FK$245:$ID$316,$FJ193-FM$169,72-FM$169+SwaptionMonthsToGo+SwaptionShift))/SQRT(SUM(INDEX($FK348:$ID348,1+SwaptionShift):INDEX($FK348:$ID348,SwaptionMonthsToGo+SwaptionShift))*SUM(INDEX($FK$325:$ID$396,FM$169,1+SwaptionShift):INDEX($FK$325:$ID$396,FM$169,SwaptionMonthsToGo+SwaptionShift))))))</f>
        <v/>
      </c>
      <c r="FN193" s="150" t="str">
        <f aca="false">IF(OR(FN$169&lt;SwaptionFirstMonthPosition+1,$FJ193&lt;SwaptionFirstMonthPosition+1,FN$169&gt;SwaptionFirstMonthPosition+SwaptionNumOfMonths+1,$FJ193&gt;SwaptionFirstMonthPosition+SwaptionNumOfMonths+1),"",IF($FJ193=FN$169,1,IF($FJ193&lt;FN$169,INDEX($FK$170:$ID$241,FN$169,$FJ193),SUMPRODUCT(INDEX($FK$325:$ID$396,FN$169,1+SwaptionShift):INDEX($FK$325:$ID$396,FN$169,SwaptionMonthsToGo+SwaptionShift),INDEX($FK$245:$ID$316,$FJ193-FN$169,73-FN$169+SwaptionShift):INDEX($FK$245:$ID$316,$FJ193-FN$169,72-FN$169+SwaptionMonthsToGo+SwaptionShift))/SQRT(SUM(INDEX($FK348:$ID348,1+SwaptionShift):INDEX($FK348:$ID348,SwaptionMonthsToGo+SwaptionShift))*SUM(INDEX($FK$325:$ID$396,FN$169,1+SwaptionShift):INDEX($FK$325:$ID$396,FN$169,SwaptionMonthsToGo+SwaptionShift))))))</f>
        <v/>
      </c>
      <c r="FO193" s="150" t="str">
        <f aca="false">IF(OR(FO$169&lt;SwaptionFirstMonthPosition+1,$FJ193&lt;SwaptionFirstMonthPosition+1,FO$169&gt;SwaptionFirstMonthPosition+SwaptionNumOfMonths+1,$FJ193&gt;SwaptionFirstMonthPosition+SwaptionNumOfMonths+1),"",IF($FJ193=FO$169,1,IF($FJ193&lt;FO$169,INDEX($FK$170:$ID$241,FO$169,$FJ193),SUMPRODUCT(INDEX($FK$325:$ID$396,FO$169,1+SwaptionShift):INDEX($FK$325:$ID$396,FO$169,SwaptionMonthsToGo+SwaptionShift),INDEX($FK$245:$ID$316,$FJ193-FO$169,73-FO$169+SwaptionShift):INDEX($FK$245:$ID$316,$FJ193-FO$169,72-FO$169+SwaptionMonthsToGo+SwaptionShift))/SQRT(SUM(INDEX($FK348:$ID348,1+SwaptionShift):INDEX($FK348:$ID348,SwaptionMonthsToGo+SwaptionShift))*SUM(INDEX($FK$325:$ID$396,FO$169,1+SwaptionShift):INDEX($FK$325:$ID$396,FO$169,SwaptionMonthsToGo+SwaptionShift))))))</f>
        <v/>
      </c>
      <c r="FP193" s="150" t="str">
        <f aca="false">IF(OR(FP$169&lt;SwaptionFirstMonthPosition+1,$FJ193&lt;SwaptionFirstMonthPosition+1,FP$169&gt;SwaptionFirstMonthPosition+SwaptionNumOfMonths+1,$FJ193&gt;SwaptionFirstMonthPosition+SwaptionNumOfMonths+1),"",IF($FJ193=FP$169,1,IF($FJ193&lt;FP$169,INDEX($FK$170:$ID$241,FP$169,$FJ193),SUMPRODUCT(INDEX($FK$325:$ID$396,FP$169,1+SwaptionShift):INDEX($FK$325:$ID$396,FP$169,SwaptionMonthsToGo+SwaptionShift),INDEX($FK$245:$ID$316,$FJ193-FP$169,73-FP$169+SwaptionShift):INDEX($FK$245:$ID$316,$FJ193-FP$169,72-FP$169+SwaptionMonthsToGo+SwaptionShift))/SQRT(SUM(INDEX($FK348:$ID348,1+SwaptionShift):INDEX($FK348:$ID348,SwaptionMonthsToGo+SwaptionShift))*SUM(INDEX($FK$325:$ID$396,FP$169,1+SwaptionShift):INDEX($FK$325:$ID$396,FP$169,SwaptionMonthsToGo+SwaptionShift))))))</f>
        <v/>
      </c>
      <c r="FQ193" s="150" t="str">
        <f aca="false">IF(OR(FQ$169&lt;SwaptionFirstMonthPosition+1,$FJ193&lt;SwaptionFirstMonthPosition+1,FQ$169&gt;SwaptionFirstMonthPosition+SwaptionNumOfMonths+1,$FJ193&gt;SwaptionFirstMonthPosition+SwaptionNumOfMonths+1),"",IF($FJ193=FQ$169,1,IF($FJ193&lt;FQ$169,INDEX($FK$170:$ID$241,FQ$169,$FJ193),SUMPRODUCT(INDEX($FK$325:$ID$396,FQ$169,1+SwaptionShift):INDEX($FK$325:$ID$396,FQ$169,SwaptionMonthsToGo+SwaptionShift),INDEX($FK$245:$ID$316,$FJ193-FQ$169,73-FQ$169+SwaptionShift):INDEX($FK$245:$ID$316,$FJ193-FQ$169,72-FQ$169+SwaptionMonthsToGo+SwaptionShift))/SQRT(SUM(INDEX($FK348:$ID348,1+SwaptionShift):INDEX($FK348:$ID348,SwaptionMonthsToGo+SwaptionShift))*SUM(INDEX($FK$325:$ID$396,FQ$169,1+SwaptionShift):INDEX($FK$325:$ID$396,FQ$169,SwaptionMonthsToGo+SwaptionShift))))))</f>
        <v/>
      </c>
      <c r="FR193" s="150" t="str">
        <f aca="false">IF(OR(FR$169&lt;SwaptionFirstMonthPosition+1,$FJ193&lt;SwaptionFirstMonthPosition+1,FR$169&gt;SwaptionFirstMonthPosition+SwaptionNumOfMonths+1,$FJ193&gt;SwaptionFirstMonthPosition+SwaptionNumOfMonths+1),"",IF($FJ193=FR$169,1,IF($FJ193&lt;FR$169,INDEX($FK$170:$ID$241,FR$169,$FJ193),SUMPRODUCT(INDEX($FK$325:$ID$396,FR$169,1+SwaptionShift):INDEX($FK$325:$ID$396,FR$169,SwaptionMonthsToGo+SwaptionShift),INDEX($FK$245:$ID$316,$FJ193-FR$169,73-FR$169+SwaptionShift):INDEX($FK$245:$ID$316,$FJ193-FR$169,72-FR$169+SwaptionMonthsToGo+SwaptionShift))/SQRT(SUM(INDEX($FK348:$ID348,1+SwaptionShift):INDEX($FK348:$ID348,SwaptionMonthsToGo+SwaptionShift))*SUM(INDEX($FK$325:$ID$396,FR$169,1+SwaptionShift):INDEX($FK$325:$ID$396,FR$169,SwaptionMonthsToGo+SwaptionShift))))))</f>
        <v/>
      </c>
      <c r="FS193" s="150" t="str">
        <f aca="false">IF(OR(FS$169&lt;SwaptionFirstMonthPosition+1,$FJ193&lt;SwaptionFirstMonthPosition+1,FS$169&gt;SwaptionFirstMonthPosition+SwaptionNumOfMonths+1,$FJ193&gt;SwaptionFirstMonthPosition+SwaptionNumOfMonths+1),"",IF($FJ193=FS$169,1,IF($FJ193&lt;FS$169,INDEX($FK$170:$ID$241,FS$169,$FJ193),SUMPRODUCT(INDEX($FK$325:$ID$396,FS$169,1+SwaptionShift):INDEX($FK$325:$ID$396,FS$169,SwaptionMonthsToGo+SwaptionShift),INDEX($FK$245:$ID$316,$FJ193-FS$169,73-FS$169+SwaptionShift):INDEX($FK$245:$ID$316,$FJ193-FS$169,72-FS$169+SwaptionMonthsToGo+SwaptionShift))/SQRT(SUM(INDEX($FK348:$ID348,1+SwaptionShift):INDEX($FK348:$ID348,SwaptionMonthsToGo+SwaptionShift))*SUM(INDEX($FK$325:$ID$396,FS$169,1+SwaptionShift):INDEX($FK$325:$ID$396,FS$169,SwaptionMonthsToGo+SwaptionShift))))))</f>
        <v/>
      </c>
      <c r="FT193" s="150" t="str">
        <f aca="false">IF(OR(FT$169&lt;SwaptionFirstMonthPosition+1,$FJ193&lt;SwaptionFirstMonthPosition+1,FT$169&gt;SwaptionFirstMonthPosition+SwaptionNumOfMonths+1,$FJ193&gt;SwaptionFirstMonthPosition+SwaptionNumOfMonths+1),"",IF($FJ193=FT$169,1,IF($FJ193&lt;FT$169,INDEX($FK$170:$ID$241,FT$169,$FJ193),SUMPRODUCT(INDEX($FK$325:$ID$396,FT$169,1+SwaptionShift):INDEX($FK$325:$ID$396,FT$169,SwaptionMonthsToGo+SwaptionShift),INDEX($FK$245:$ID$316,$FJ193-FT$169,73-FT$169+SwaptionShift):INDEX($FK$245:$ID$316,$FJ193-FT$169,72-FT$169+SwaptionMonthsToGo+SwaptionShift))/SQRT(SUM(INDEX($FK348:$ID348,1+SwaptionShift):INDEX($FK348:$ID348,SwaptionMonthsToGo+SwaptionShift))*SUM(INDEX($FK$325:$ID$396,FT$169,1+SwaptionShift):INDEX($FK$325:$ID$396,FT$169,SwaptionMonthsToGo+SwaptionShift))))))</f>
        <v/>
      </c>
      <c r="FU193" s="150" t="str">
        <f aca="false">IF(OR(FU$169&lt;SwaptionFirstMonthPosition+1,$FJ193&lt;SwaptionFirstMonthPosition+1,FU$169&gt;SwaptionFirstMonthPosition+SwaptionNumOfMonths+1,$FJ193&gt;SwaptionFirstMonthPosition+SwaptionNumOfMonths+1),"",IF($FJ193=FU$169,1,IF($FJ193&lt;FU$169,INDEX($FK$170:$ID$241,FU$169,$FJ193),SUMPRODUCT(INDEX($FK$325:$ID$396,FU$169,1+SwaptionShift):INDEX($FK$325:$ID$396,FU$169,SwaptionMonthsToGo+SwaptionShift),INDEX($FK$245:$ID$316,$FJ193-FU$169,73-FU$169+SwaptionShift):INDEX($FK$245:$ID$316,$FJ193-FU$169,72-FU$169+SwaptionMonthsToGo+SwaptionShift))/SQRT(SUM(INDEX($FK348:$ID348,1+SwaptionShift):INDEX($FK348:$ID348,SwaptionMonthsToGo+SwaptionShift))*SUM(INDEX($FK$325:$ID$396,FU$169,1+SwaptionShift):INDEX($FK$325:$ID$396,FU$169,SwaptionMonthsToGo+SwaptionShift))))))</f>
        <v/>
      </c>
      <c r="FV193" s="150" t="str">
        <f aca="false">IF(OR(FV$169&lt;SwaptionFirstMonthPosition+1,$FJ193&lt;SwaptionFirstMonthPosition+1,FV$169&gt;SwaptionFirstMonthPosition+SwaptionNumOfMonths+1,$FJ193&gt;SwaptionFirstMonthPosition+SwaptionNumOfMonths+1),"",IF($FJ193=FV$169,1,IF($FJ193&lt;FV$169,INDEX($FK$170:$ID$241,FV$169,$FJ193),SUMPRODUCT(INDEX($FK$325:$ID$396,FV$169,1+SwaptionShift):INDEX($FK$325:$ID$396,FV$169,SwaptionMonthsToGo+SwaptionShift),INDEX($FK$245:$ID$316,$FJ193-FV$169,73-FV$169+SwaptionShift):INDEX($FK$245:$ID$316,$FJ193-FV$169,72-FV$169+SwaptionMonthsToGo+SwaptionShift))/SQRT(SUM(INDEX($FK348:$ID348,1+SwaptionShift):INDEX($FK348:$ID348,SwaptionMonthsToGo+SwaptionShift))*SUM(INDEX($FK$325:$ID$396,FV$169,1+SwaptionShift):INDEX($FK$325:$ID$396,FV$169,SwaptionMonthsToGo+SwaptionShift))))))</f>
        <v/>
      </c>
      <c r="FW193" s="150" t="str">
        <f aca="false">IF(OR(FW$169&lt;SwaptionFirstMonthPosition+1,$FJ193&lt;SwaptionFirstMonthPosition+1,FW$169&gt;SwaptionFirstMonthPosition+SwaptionNumOfMonths+1,$FJ193&gt;SwaptionFirstMonthPosition+SwaptionNumOfMonths+1),"",IF($FJ193=FW$169,1,IF($FJ193&lt;FW$169,INDEX($FK$170:$ID$241,FW$169,$FJ193),SUMPRODUCT(INDEX($FK$325:$ID$396,FW$169,1+SwaptionShift):INDEX($FK$325:$ID$396,FW$169,SwaptionMonthsToGo+SwaptionShift),INDEX($FK$245:$ID$316,$FJ193-FW$169,73-FW$169+SwaptionShift):INDEX($FK$245:$ID$316,$FJ193-FW$169,72-FW$169+SwaptionMonthsToGo+SwaptionShift))/SQRT(SUM(INDEX($FK348:$ID348,1+SwaptionShift):INDEX($FK348:$ID348,SwaptionMonthsToGo+SwaptionShift))*SUM(INDEX($FK$325:$ID$396,FW$169,1+SwaptionShift):INDEX($FK$325:$ID$396,FW$169,SwaptionMonthsToGo+SwaptionShift))))))</f>
        <v/>
      </c>
      <c r="FX193" s="150" t="str">
        <f aca="false">IF(OR(FX$169&lt;SwaptionFirstMonthPosition+1,$FJ193&lt;SwaptionFirstMonthPosition+1,FX$169&gt;SwaptionFirstMonthPosition+SwaptionNumOfMonths+1,$FJ193&gt;SwaptionFirstMonthPosition+SwaptionNumOfMonths+1),"",IF($FJ193=FX$169,1,IF($FJ193&lt;FX$169,INDEX($FK$170:$ID$241,FX$169,$FJ193),SUMPRODUCT(INDEX($FK$325:$ID$396,FX$169,1+SwaptionShift):INDEX($FK$325:$ID$396,FX$169,SwaptionMonthsToGo+SwaptionShift),INDEX($FK$245:$ID$316,$FJ193-FX$169,73-FX$169+SwaptionShift):INDEX($FK$245:$ID$316,$FJ193-FX$169,72-FX$169+SwaptionMonthsToGo+SwaptionShift))/SQRT(SUM(INDEX($FK348:$ID348,1+SwaptionShift):INDEX($FK348:$ID348,SwaptionMonthsToGo+SwaptionShift))*SUM(INDEX($FK$325:$ID$396,FX$169,1+SwaptionShift):INDEX($FK$325:$ID$396,FX$169,SwaptionMonthsToGo+SwaptionShift))))))</f>
        <v/>
      </c>
      <c r="FY193" s="150" t="str">
        <f aca="false">IF(OR(FY$169&lt;SwaptionFirstMonthPosition+1,$FJ193&lt;SwaptionFirstMonthPosition+1,FY$169&gt;SwaptionFirstMonthPosition+SwaptionNumOfMonths+1,$FJ193&gt;SwaptionFirstMonthPosition+SwaptionNumOfMonths+1),"",IF($FJ193=FY$169,1,IF($FJ193&lt;FY$169,INDEX($FK$170:$ID$241,FY$169,$FJ193),SUMPRODUCT(INDEX($FK$325:$ID$396,FY$169,1+SwaptionShift):INDEX($FK$325:$ID$396,FY$169,SwaptionMonthsToGo+SwaptionShift),INDEX($FK$245:$ID$316,$FJ193-FY$169,73-FY$169+SwaptionShift):INDEX($FK$245:$ID$316,$FJ193-FY$169,72-FY$169+SwaptionMonthsToGo+SwaptionShift))/SQRT(SUM(INDEX($FK348:$ID348,1+SwaptionShift):INDEX($FK348:$ID348,SwaptionMonthsToGo+SwaptionShift))*SUM(INDEX($FK$325:$ID$396,FY$169,1+SwaptionShift):INDEX($FK$325:$ID$396,FY$169,SwaptionMonthsToGo+SwaptionShift))))))</f>
        <v/>
      </c>
      <c r="FZ193" s="150" t="str">
        <f aca="false">IF(OR(FZ$169&lt;SwaptionFirstMonthPosition+1,$FJ193&lt;SwaptionFirstMonthPosition+1,FZ$169&gt;SwaptionFirstMonthPosition+SwaptionNumOfMonths+1,$FJ193&gt;SwaptionFirstMonthPosition+SwaptionNumOfMonths+1),"",IF($FJ193=FZ$169,1,IF($FJ193&lt;FZ$169,INDEX($FK$170:$ID$241,FZ$169,$FJ193),SUMPRODUCT(INDEX($FK$325:$ID$396,FZ$169,1+SwaptionShift):INDEX($FK$325:$ID$396,FZ$169,SwaptionMonthsToGo+SwaptionShift),INDEX($FK$245:$ID$316,$FJ193-FZ$169,73-FZ$169+SwaptionShift):INDEX($FK$245:$ID$316,$FJ193-FZ$169,72-FZ$169+SwaptionMonthsToGo+SwaptionShift))/SQRT(SUM(INDEX($FK348:$ID348,1+SwaptionShift):INDEX($FK348:$ID348,SwaptionMonthsToGo+SwaptionShift))*SUM(INDEX($FK$325:$ID$396,FZ$169,1+SwaptionShift):INDEX($FK$325:$ID$396,FZ$169,SwaptionMonthsToGo+SwaptionShift))))))</f>
        <v/>
      </c>
      <c r="GA193" s="150" t="str">
        <f aca="false">IF(OR(GA$169&lt;SwaptionFirstMonthPosition+1,$FJ193&lt;SwaptionFirstMonthPosition+1,GA$169&gt;SwaptionFirstMonthPosition+SwaptionNumOfMonths+1,$FJ193&gt;SwaptionFirstMonthPosition+SwaptionNumOfMonths+1),"",IF($FJ193=GA$169,1,IF($FJ193&lt;GA$169,INDEX($FK$170:$ID$241,GA$169,$FJ193),SUMPRODUCT(INDEX($FK$325:$ID$396,GA$169,1+SwaptionShift):INDEX($FK$325:$ID$396,GA$169,SwaptionMonthsToGo+SwaptionShift),INDEX($FK$245:$ID$316,$FJ193-GA$169,73-GA$169+SwaptionShift):INDEX($FK$245:$ID$316,$FJ193-GA$169,72-GA$169+SwaptionMonthsToGo+SwaptionShift))/SQRT(SUM(INDEX($FK348:$ID348,1+SwaptionShift):INDEX($FK348:$ID348,SwaptionMonthsToGo+SwaptionShift))*SUM(INDEX($FK$325:$ID$396,GA$169,1+SwaptionShift):INDEX($FK$325:$ID$396,GA$169,SwaptionMonthsToGo+SwaptionShift))))))</f>
        <v/>
      </c>
      <c r="GB193" s="150" t="str">
        <f aca="false">IF(OR(GB$169&lt;SwaptionFirstMonthPosition+1,$FJ193&lt;SwaptionFirstMonthPosition+1,GB$169&gt;SwaptionFirstMonthPosition+SwaptionNumOfMonths+1,$FJ193&gt;SwaptionFirstMonthPosition+SwaptionNumOfMonths+1),"",IF($FJ193=GB$169,1,IF($FJ193&lt;GB$169,INDEX($FK$170:$ID$241,GB$169,$FJ193),SUMPRODUCT(INDEX($FK$325:$ID$396,GB$169,1+SwaptionShift):INDEX($FK$325:$ID$396,GB$169,SwaptionMonthsToGo+SwaptionShift),INDEX($FK$245:$ID$316,$FJ193-GB$169,73-GB$169+SwaptionShift):INDEX($FK$245:$ID$316,$FJ193-GB$169,72-GB$169+SwaptionMonthsToGo+SwaptionShift))/SQRT(SUM(INDEX($FK348:$ID348,1+SwaptionShift):INDEX($FK348:$ID348,SwaptionMonthsToGo+SwaptionShift))*SUM(INDEX($FK$325:$ID$396,GB$169,1+SwaptionShift):INDEX($FK$325:$ID$396,GB$169,SwaptionMonthsToGo+SwaptionShift))))))</f>
        <v/>
      </c>
      <c r="GC193" s="150" t="str">
        <f aca="false">IF(OR(GC$169&lt;SwaptionFirstMonthPosition+1,$FJ193&lt;SwaptionFirstMonthPosition+1,GC$169&gt;SwaptionFirstMonthPosition+SwaptionNumOfMonths+1,$FJ193&gt;SwaptionFirstMonthPosition+SwaptionNumOfMonths+1),"",IF($FJ193=GC$169,1,IF($FJ193&lt;GC$169,INDEX($FK$170:$ID$241,GC$169,$FJ193),SUMPRODUCT(INDEX($FK$325:$ID$396,GC$169,1+SwaptionShift):INDEX($FK$325:$ID$396,GC$169,SwaptionMonthsToGo+SwaptionShift),INDEX($FK$245:$ID$316,$FJ193-GC$169,73-GC$169+SwaptionShift):INDEX($FK$245:$ID$316,$FJ193-GC$169,72-GC$169+SwaptionMonthsToGo+SwaptionShift))/SQRT(SUM(INDEX($FK348:$ID348,1+SwaptionShift):INDEX($FK348:$ID348,SwaptionMonthsToGo+SwaptionShift))*SUM(INDEX($FK$325:$ID$396,GC$169,1+SwaptionShift):INDEX($FK$325:$ID$396,GC$169,SwaptionMonthsToGo+SwaptionShift))))))</f>
        <v/>
      </c>
      <c r="GD193" s="150" t="str">
        <f aca="false">IF(OR(GD$169&lt;SwaptionFirstMonthPosition+1,$FJ193&lt;SwaptionFirstMonthPosition+1,GD$169&gt;SwaptionFirstMonthPosition+SwaptionNumOfMonths+1,$FJ193&gt;SwaptionFirstMonthPosition+SwaptionNumOfMonths+1),"",IF($FJ193=GD$169,1,IF($FJ193&lt;GD$169,INDEX($FK$170:$ID$241,GD$169,$FJ193),SUMPRODUCT(INDEX($FK$325:$ID$396,GD$169,1+SwaptionShift):INDEX($FK$325:$ID$396,GD$169,SwaptionMonthsToGo+SwaptionShift),INDEX($FK$245:$ID$316,$FJ193-GD$169,73-GD$169+SwaptionShift):INDEX($FK$245:$ID$316,$FJ193-GD$169,72-GD$169+SwaptionMonthsToGo+SwaptionShift))/SQRT(SUM(INDEX($FK348:$ID348,1+SwaptionShift):INDEX($FK348:$ID348,SwaptionMonthsToGo+SwaptionShift))*SUM(INDEX($FK$325:$ID$396,GD$169,1+SwaptionShift):INDEX($FK$325:$ID$396,GD$169,SwaptionMonthsToGo+SwaptionShift))))))</f>
        <v/>
      </c>
      <c r="GE193" s="150" t="str">
        <f aca="false">IF(OR(GE$169&lt;SwaptionFirstMonthPosition+1,$FJ193&lt;SwaptionFirstMonthPosition+1,GE$169&gt;SwaptionFirstMonthPosition+SwaptionNumOfMonths+1,$FJ193&gt;SwaptionFirstMonthPosition+SwaptionNumOfMonths+1),"",IF($FJ193=GE$169,1,IF($FJ193&lt;GE$169,INDEX($FK$170:$ID$241,GE$169,$FJ193),SUMPRODUCT(INDEX($FK$325:$ID$396,GE$169,1+SwaptionShift):INDEX($FK$325:$ID$396,GE$169,SwaptionMonthsToGo+SwaptionShift),INDEX($FK$245:$ID$316,$FJ193-GE$169,73-GE$169+SwaptionShift):INDEX($FK$245:$ID$316,$FJ193-GE$169,72-GE$169+SwaptionMonthsToGo+SwaptionShift))/SQRT(SUM(INDEX($FK348:$ID348,1+SwaptionShift):INDEX($FK348:$ID348,SwaptionMonthsToGo+SwaptionShift))*SUM(INDEX($FK$325:$ID$396,GE$169,1+SwaptionShift):INDEX($FK$325:$ID$396,GE$169,SwaptionMonthsToGo+SwaptionShift))))))</f>
        <v/>
      </c>
      <c r="GF193" s="150" t="str">
        <f aca="false">IF(OR(GF$169&lt;SwaptionFirstMonthPosition+1,$FJ193&lt;SwaptionFirstMonthPosition+1,GF$169&gt;SwaptionFirstMonthPosition+SwaptionNumOfMonths+1,$FJ193&gt;SwaptionFirstMonthPosition+SwaptionNumOfMonths+1),"",IF($FJ193=GF$169,1,IF($FJ193&lt;GF$169,INDEX($FK$170:$ID$241,GF$169,$FJ193),SUMPRODUCT(INDEX($FK$325:$ID$396,GF$169,1+SwaptionShift):INDEX($FK$325:$ID$396,GF$169,SwaptionMonthsToGo+SwaptionShift),INDEX($FK$245:$ID$316,$FJ193-GF$169,73-GF$169+SwaptionShift):INDEX($FK$245:$ID$316,$FJ193-GF$169,72-GF$169+SwaptionMonthsToGo+SwaptionShift))/SQRT(SUM(INDEX($FK348:$ID348,1+SwaptionShift):INDEX($FK348:$ID348,SwaptionMonthsToGo+SwaptionShift))*SUM(INDEX($FK$325:$ID$396,GF$169,1+SwaptionShift):INDEX($FK$325:$ID$396,GF$169,SwaptionMonthsToGo+SwaptionShift))))))</f>
        <v/>
      </c>
      <c r="GG193" s="150" t="str">
        <f aca="false">IF(OR(GG$169&lt;SwaptionFirstMonthPosition+1,$FJ193&lt;SwaptionFirstMonthPosition+1,GG$169&gt;SwaptionFirstMonthPosition+SwaptionNumOfMonths+1,$FJ193&gt;SwaptionFirstMonthPosition+SwaptionNumOfMonths+1),"",IF($FJ193=GG$169,1,IF($FJ193&lt;GG$169,INDEX($FK$170:$ID$241,GG$169,$FJ193),SUMPRODUCT(INDEX($FK$325:$ID$396,GG$169,1+SwaptionShift):INDEX($FK$325:$ID$396,GG$169,SwaptionMonthsToGo+SwaptionShift),INDEX($FK$245:$ID$316,$FJ193-GG$169,73-GG$169+SwaptionShift):INDEX($FK$245:$ID$316,$FJ193-GG$169,72-GG$169+SwaptionMonthsToGo+SwaptionShift))/SQRT(SUM(INDEX($FK348:$ID348,1+SwaptionShift):INDEX($FK348:$ID348,SwaptionMonthsToGo+SwaptionShift))*SUM(INDEX($FK$325:$ID$396,GG$169,1+SwaptionShift):INDEX($FK$325:$ID$396,GG$169,SwaptionMonthsToGo+SwaptionShift))))))</f>
        <v/>
      </c>
      <c r="GH193" s="150" t="str">
        <f aca="false">IF(OR(GH$169&lt;SwaptionFirstMonthPosition+1,$FJ193&lt;SwaptionFirstMonthPosition+1,GH$169&gt;SwaptionFirstMonthPosition+SwaptionNumOfMonths+1,$FJ193&gt;SwaptionFirstMonthPosition+SwaptionNumOfMonths+1),"",IF($FJ193=GH$169,1,IF($FJ193&lt;GH$169,INDEX($FK$170:$ID$241,GH$169,$FJ193),SUMPRODUCT(INDEX($FK$325:$ID$396,GH$169,1+SwaptionShift):INDEX($FK$325:$ID$396,GH$169,SwaptionMonthsToGo+SwaptionShift),INDEX($FK$245:$ID$316,$FJ193-GH$169,73-GH$169+SwaptionShift):INDEX($FK$245:$ID$316,$FJ193-GH$169,72-GH$169+SwaptionMonthsToGo+SwaptionShift))/SQRT(SUM(INDEX($FK348:$ID348,1+SwaptionShift):INDEX($FK348:$ID348,SwaptionMonthsToGo+SwaptionShift))*SUM(INDEX($FK$325:$ID$396,GH$169,1+SwaptionShift):INDEX($FK$325:$ID$396,GH$169,SwaptionMonthsToGo+SwaptionShift))))))</f>
        <v/>
      </c>
      <c r="GI193" s="150" t="str">
        <f aca="false">IF(OR(GI$169&lt;SwaptionFirstMonthPosition+1,$FJ193&lt;SwaptionFirstMonthPosition+1,GI$169&gt;SwaptionFirstMonthPosition+SwaptionNumOfMonths+1,$FJ193&gt;SwaptionFirstMonthPosition+SwaptionNumOfMonths+1),"",IF($FJ193=GI$169,1,IF($FJ193&lt;GI$169,INDEX($FK$170:$ID$241,GI$169,$FJ193),SUMPRODUCT(INDEX($FK$325:$ID$396,GI$169,1+SwaptionShift):INDEX($FK$325:$ID$396,GI$169,SwaptionMonthsToGo+SwaptionShift),INDEX($FK$245:$ID$316,$FJ193-GI$169,73-GI$169+SwaptionShift):INDEX($FK$245:$ID$316,$FJ193-GI$169,72-GI$169+SwaptionMonthsToGo+SwaptionShift))/SQRT(SUM(INDEX($FK348:$ID348,1+SwaptionShift):INDEX($FK348:$ID348,SwaptionMonthsToGo+SwaptionShift))*SUM(INDEX($FK$325:$ID$396,GI$169,1+SwaptionShift):INDEX($FK$325:$ID$396,GI$169,SwaptionMonthsToGo+SwaptionShift))))))</f>
        <v/>
      </c>
      <c r="GJ193" s="150" t="str">
        <f aca="false">IF(OR(GJ$169&lt;SwaptionFirstMonthPosition+1,$FJ193&lt;SwaptionFirstMonthPosition+1,GJ$169&gt;SwaptionFirstMonthPosition+SwaptionNumOfMonths+1,$FJ193&gt;SwaptionFirstMonthPosition+SwaptionNumOfMonths+1),"",IF($FJ193=GJ$169,1,IF($FJ193&lt;GJ$169,INDEX($FK$170:$ID$241,GJ$169,$FJ193),SUMPRODUCT(INDEX($FK$325:$ID$396,GJ$169,1+SwaptionShift):INDEX($FK$325:$ID$396,GJ$169,SwaptionMonthsToGo+SwaptionShift),INDEX($FK$245:$ID$316,$FJ193-GJ$169,73-GJ$169+SwaptionShift):INDEX($FK$245:$ID$316,$FJ193-GJ$169,72-GJ$169+SwaptionMonthsToGo+SwaptionShift))/SQRT(SUM(INDEX($FK348:$ID348,1+SwaptionShift):INDEX($FK348:$ID348,SwaptionMonthsToGo+SwaptionShift))*SUM(INDEX($FK$325:$ID$396,GJ$169,1+SwaptionShift):INDEX($FK$325:$ID$396,GJ$169,SwaptionMonthsToGo+SwaptionShift))))))</f>
        <v/>
      </c>
      <c r="GK193" s="150" t="str">
        <f aca="false">IF(OR(GK$169&lt;SwaptionFirstMonthPosition+1,$FJ193&lt;SwaptionFirstMonthPosition+1,GK$169&gt;SwaptionFirstMonthPosition+SwaptionNumOfMonths+1,$FJ193&gt;SwaptionFirstMonthPosition+SwaptionNumOfMonths+1),"",IF($FJ193=GK$169,1,IF($FJ193&lt;GK$169,INDEX($FK$170:$ID$241,GK$169,$FJ193),SUMPRODUCT(INDEX($FK$325:$ID$396,GK$169,1+SwaptionShift):INDEX($FK$325:$ID$396,GK$169,SwaptionMonthsToGo+SwaptionShift),INDEX($FK$245:$ID$316,$FJ193-GK$169,73-GK$169+SwaptionShift):INDEX($FK$245:$ID$316,$FJ193-GK$169,72-GK$169+SwaptionMonthsToGo+SwaptionShift))/SQRT(SUM(INDEX($FK348:$ID348,1+SwaptionShift):INDEX($FK348:$ID348,SwaptionMonthsToGo+SwaptionShift))*SUM(INDEX($FK$325:$ID$396,GK$169,1+SwaptionShift):INDEX($FK$325:$ID$396,GK$169,SwaptionMonthsToGo+SwaptionShift))))))</f>
        <v/>
      </c>
      <c r="GL193" s="150" t="str">
        <f aca="false">IF(OR(GL$169&lt;SwaptionFirstMonthPosition+1,$FJ193&lt;SwaptionFirstMonthPosition+1,GL$169&gt;SwaptionFirstMonthPosition+SwaptionNumOfMonths+1,$FJ193&gt;SwaptionFirstMonthPosition+SwaptionNumOfMonths+1),"",IF($FJ193=GL$169,1,IF($FJ193&lt;GL$169,INDEX($FK$170:$ID$241,GL$169,$FJ193),SUMPRODUCT(INDEX($FK$325:$ID$396,GL$169,1+SwaptionShift):INDEX($FK$325:$ID$396,GL$169,SwaptionMonthsToGo+SwaptionShift),INDEX($FK$245:$ID$316,$FJ193-GL$169,73-GL$169+SwaptionShift):INDEX($FK$245:$ID$316,$FJ193-GL$169,72-GL$169+SwaptionMonthsToGo+SwaptionShift))/SQRT(SUM(INDEX($FK348:$ID348,1+SwaptionShift):INDEX($FK348:$ID348,SwaptionMonthsToGo+SwaptionShift))*SUM(INDEX($FK$325:$ID$396,GL$169,1+SwaptionShift):INDEX($FK$325:$ID$396,GL$169,SwaptionMonthsToGo+SwaptionShift))))))</f>
        <v/>
      </c>
      <c r="GM193" s="150" t="str">
        <f aca="false">IF(OR(GM$169&lt;SwaptionFirstMonthPosition+1,$FJ193&lt;SwaptionFirstMonthPosition+1,GM$169&gt;SwaptionFirstMonthPosition+SwaptionNumOfMonths+1,$FJ193&gt;SwaptionFirstMonthPosition+SwaptionNumOfMonths+1),"",IF($FJ193=GM$169,1,IF($FJ193&lt;GM$169,INDEX($FK$170:$ID$241,GM$169,$FJ193),SUMPRODUCT(INDEX($FK$325:$ID$396,GM$169,1+SwaptionShift):INDEX($FK$325:$ID$396,GM$169,SwaptionMonthsToGo+SwaptionShift),INDEX($FK$245:$ID$316,$FJ193-GM$169,73-GM$169+SwaptionShift):INDEX($FK$245:$ID$316,$FJ193-GM$169,72-GM$169+SwaptionMonthsToGo+SwaptionShift))/SQRT(SUM(INDEX($FK348:$ID348,1+SwaptionShift):INDEX($FK348:$ID348,SwaptionMonthsToGo+SwaptionShift))*SUM(INDEX($FK$325:$ID$396,GM$169,1+SwaptionShift):INDEX($FK$325:$ID$396,GM$169,SwaptionMonthsToGo+SwaptionShift))))))</f>
        <v/>
      </c>
      <c r="GN193" s="150" t="str">
        <f aca="false">IF(OR(GN$169&lt;SwaptionFirstMonthPosition+1,$FJ193&lt;SwaptionFirstMonthPosition+1,GN$169&gt;SwaptionFirstMonthPosition+SwaptionNumOfMonths+1,$FJ193&gt;SwaptionFirstMonthPosition+SwaptionNumOfMonths+1),"",IF($FJ193=GN$169,1,IF($FJ193&lt;GN$169,INDEX($FK$170:$ID$241,GN$169,$FJ193),SUMPRODUCT(INDEX($FK$325:$ID$396,GN$169,1+SwaptionShift):INDEX($FK$325:$ID$396,GN$169,SwaptionMonthsToGo+SwaptionShift),INDEX($FK$245:$ID$316,$FJ193-GN$169,73-GN$169+SwaptionShift):INDEX($FK$245:$ID$316,$FJ193-GN$169,72-GN$169+SwaptionMonthsToGo+SwaptionShift))/SQRT(SUM(INDEX($FK348:$ID348,1+SwaptionShift):INDEX($FK348:$ID348,SwaptionMonthsToGo+SwaptionShift))*SUM(INDEX($FK$325:$ID$396,GN$169,1+SwaptionShift):INDEX($FK$325:$ID$396,GN$169,SwaptionMonthsToGo+SwaptionShift))))))</f>
        <v/>
      </c>
      <c r="GO193" s="150" t="str">
        <f aca="false">IF(OR(GO$169&lt;SwaptionFirstMonthPosition+1,$FJ193&lt;SwaptionFirstMonthPosition+1,GO$169&gt;SwaptionFirstMonthPosition+SwaptionNumOfMonths+1,$FJ193&gt;SwaptionFirstMonthPosition+SwaptionNumOfMonths+1),"",IF($FJ193=GO$169,1,IF($FJ193&lt;GO$169,INDEX($FK$170:$ID$241,GO$169,$FJ193),SUMPRODUCT(INDEX($FK$325:$ID$396,GO$169,1+SwaptionShift):INDEX($FK$325:$ID$396,GO$169,SwaptionMonthsToGo+SwaptionShift),INDEX($FK$245:$ID$316,$FJ193-GO$169,73-GO$169+SwaptionShift):INDEX($FK$245:$ID$316,$FJ193-GO$169,72-GO$169+SwaptionMonthsToGo+SwaptionShift))/SQRT(SUM(INDEX($FK348:$ID348,1+SwaptionShift):INDEX($FK348:$ID348,SwaptionMonthsToGo+SwaptionShift))*SUM(INDEX($FK$325:$ID$396,GO$169,1+SwaptionShift):INDEX($FK$325:$ID$396,GO$169,SwaptionMonthsToGo+SwaptionShift))))))</f>
        <v/>
      </c>
      <c r="GP193" s="150" t="str">
        <f aca="false">IF(OR(GP$169&lt;SwaptionFirstMonthPosition+1,$FJ193&lt;SwaptionFirstMonthPosition+1,GP$169&gt;SwaptionFirstMonthPosition+SwaptionNumOfMonths+1,$FJ193&gt;SwaptionFirstMonthPosition+SwaptionNumOfMonths+1),"",IF($FJ193=GP$169,1,IF($FJ193&lt;GP$169,INDEX($FK$170:$ID$241,GP$169,$FJ193),SUMPRODUCT(INDEX($FK$325:$ID$396,GP$169,1+SwaptionShift):INDEX($FK$325:$ID$396,GP$169,SwaptionMonthsToGo+SwaptionShift),INDEX($FK$245:$ID$316,$FJ193-GP$169,73-GP$169+SwaptionShift):INDEX($FK$245:$ID$316,$FJ193-GP$169,72-GP$169+SwaptionMonthsToGo+SwaptionShift))/SQRT(SUM(INDEX($FK348:$ID348,1+SwaptionShift):INDEX($FK348:$ID348,SwaptionMonthsToGo+SwaptionShift))*SUM(INDEX($FK$325:$ID$396,GP$169,1+SwaptionShift):INDEX($FK$325:$ID$396,GP$169,SwaptionMonthsToGo+SwaptionShift))))))</f>
        <v/>
      </c>
      <c r="GQ193" s="150" t="str">
        <f aca="false">IF(OR(GQ$169&lt;SwaptionFirstMonthPosition+1,$FJ193&lt;SwaptionFirstMonthPosition+1,GQ$169&gt;SwaptionFirstMonthPosition+SwaptionNumOfMonths+1,$FJ193&gt;SwaptionFirstMonthPosition+SwaptionNumOfMonths+1),"",IF($FJ193=GQ$169,1,IF($FJ193&lt;GQ$169,INDEX($FK$170:$ID$241,GQ$169,$FJ193),SUMPRODUCT(INDEX($FK$325:$ID$396,GQ$169,1+SwaptionShift):INDEX($FK$325:$ID$396,GQ$169,SwaptionMonthsToGo+SwaptionShift),INDEX($FK$245:$ID$316,$FJ193-GQ$169,73-GQ$169+SwaptionShift):INDEX($FK$245:$ID$316,$FJ193-GQ$169,72-GQ$169+SwaptionMonthsToGo+SwaptionShift))/SQRT(SUM(INDEX($FK348:$ID348,1+SwaptionShift):INDEX($FK348:$ID348,SwaptionMonthsToGo+SwaptionShift))*SUM(INDEX($FK$325:$ID$396,GQ$169,1+SwaptionShift):INDEX($FK$325:$ID$396,GQ$169,SwaptionMonthsToGo+SwaptionShift))))))</f>
        <v/>
      </c>
      <c r="GR193" s="150" t="str">
        <f aca="false">IF(OR(GR$169&lt;SwaptionFirstMonthPosition+1,$FJ193&lt;SwaptionFirstMonthPosition+1,GR$169&gt;SwaptionFirstMonthPosition+SwaptionNumOfMonths+1,$FJ193&gt;SwaptionFirstMonthPosition+SwaptionNumOfMonths+1),"",IF($FJ193=GR$169,1,IF($FJ193&lt;GR$169,INDEX($FK$170:$ID$241,GR$169,$FJ193),SUMPRODUCT(INDEX($FK$325:$ID$396,GR$169,1+SwaptionShift):INDEX($FK$325:$ID$396,GR$169,SwaptionMonthsToGo+SwaptionShift),INDEX($FK$245:$ID$316,$FJ193-GR$169,73-GR$169+SwaptionShift):INDEX($FK$245:$ID$316,$FJ193-GR$169,72-GR$169+SwaptionMonthsToGo+SwaptionShift))/SQRT(SUM(INDEX($FK348:$ID348,1+SwaptionShift):INDEX($FK348:$ID348,SwaptionMonthsToGo+SwaptionShift))*SUM(INDEX($FK$325:$ID$396,GR$169,1+SwaptionShift):INDEX($FK$325:$ID$396,GR$169,SwaptionMonthsToGo+SwaptionShift))))))</f>
        <v/>
      </c>
      <c r="GS193" s="150" t="str">
        <f aca="false">IF(OR(GS$169&lt;SwaptionFirstMonthPosition+1,$FJ193&lt;SwaptionFirstMonthPosition+1,GS$169&gt;SwaptionFirstMonthPosition+SwaptionNumOfMonths+1,$FJ193&gt;SwaptionFirstMonthPosition+SwaptionNumOfMonths+1),"",IF($FJ193=GS$169,1,IF($FJ193&lt;GS$169,INDEX($FK$170:$ID$241,GS$169,$FJ193),SUMPRODUCT(INDEX($FK$325:$ID$396,GS$169,1+SwaptionShift):INDEX($FK$325:$ID$396,GS$169,SwaptionMonthsToGo+SwaptionShift),INDEX($FK$245:$ID$316,$FJ193-GS$169,73-GS$169+SwaptionShift):INDEX($FK$245:$ID$316,$FJ193-GS$169,72-GS$169+SwaptionMonthsToGo+SwaptionShift))/SQRT(SUM(INDEX($FK348:$ID348,1+SwaptionShift):INDEX($FK348:$ID348,SwaptionMonthsToGo+SwaptionShift))*SUM(INDEX($FK$325:$ID$396,GS$169,1+SwaptionShift):INDEX($FK$325:$ID$396,GS$169,SwaptionMonthsToGo+SwaptionShift))))))</f>
        <v/>
      </c>
      <c r="GT193" s="150" t="str">
        <f aca="false">IF(OR(GT$169&lt;SwaptionFirstMonthPosition+1,$FJ193&lt;SwaptionFirstMonthPosition+1,GT$169&gt;SwaptionFirstMonthPosition+SwaptionNumOfMonths+1,$FJ193&gt;SwaptionFirstMonthPosition+SwaptionNumOfMonths+1),"",IF($FJ193=GT$169,1,IF($FJ193&lt;GT$169,INDEX($FK$170:$ID$241,GT$169,$FJ193),SUMPRODUCT(INDEX($FK$325:$ID$396,GT$169,1+SwaptionShift):INDEX($FK$325:$ID$396,GT$169,SwaptionMonthsToGo+SwaptionShift),INDEX($FK$245:$ID$316,$FJ193-GT$169,73-GT$169+SwaptionShift):INDEX($FK$245:$ID$316,$FJ193-GT$169,72-GT$169+SwaptionMonthsToGo+SwaptionShift))/SQRT(SUM(INDEX($FK348:$ID348,1+SwaptionShift):INDEX($FK348:$ID348,SwaptionMonthsToGo+SwaptionShift))*SUM(INDEX($FK$325:$ID$396,GT$169,1+SwaptionShift):INDEX($FK$325:$ID$396,GT$169,SwaptionMonthsToGo+SwaptionShift))))))</f>
        <v/>
      </c>
      <c r="GU193" s="150" t="str">
        <f aca="false">IF(OR(GU$169&lt;SwaptionFirstMonthPosition+1,$FJ193&lt;SwaptionFirstMonthPosition+1,GU$169&gt;SwaptionFirstMonthPosition+SwaptionNumOfMonths+1,$FJ193&gt;SwaptionFirstMonthPosition+SwaptionNumOfMonths+1),"",IF($FJ193=GU$169,1,IF($FJ193&lt;GU$169,INDEX($FK$170:$ID$241,GU$169,$FJ193),SUMPRODUCT(INDEX($FK$325:$ID$396,GU$169,1+SwaptionShift):INDEX($FK$325:$ID$396,GU$169,SwaptionMonthsToGo+SwaptionShift),INDEX($FK$245:$ID$316,$FJ193-GU$169,73-GU$169+SwaptionShift):INDEX($FK$245:$ID$316,$FJ193-GU$169,72-GU$169+SwaptionMonthsToGo+SwaptionShift))/SQRT(SUM(INDEX($FK348:$ID348,1+SwaptionShift):INDEX($FK348:$ID348,SwaptionMonthsToGo+SwaptionShift))*SUM(INDEX($FK$325:$ID$396,GU$169,1+SwaptionShift):INDEX($FK$325:$ID$396,GU$169,SwaptionMonthsToGo+SwaptionShift))))))</f>
        <v/>
      </c>
      <c r="GV193" s="150" t="str">
        <f aca="false">IF(OR(GV$169&lt;SwaptionFirstMonthPosition+1,$FJ193&lt;SwaptionFirstMonthPosition+1,GV$169&gt;SwaptionFirstMonthPosition+SwaptionNumOfMonths+1,$FJ193&gt;SwaptionFirstMonthPosition+SwaptionNumOfMonths+1),"",IF($FJ193=GV$169,1,IF($FJ193&lt;GV$169,INDEX($FK$170:$ID$241,GV$169,$FJ193),SUMPRODUCT(INDEX($FK$325:$ID$396,GV$169,1+SwaptionShift):INDEX($FK$325:$ID$396,GV$169,SwaptionMonthsToGo+SwaptionShift),INDEX($FK$245:$ID$316,$FJ193-GV$169,73-GV$169+SwaptionShift):INDEX($FK$245:$ID$316,$FJ193-GV$169,72-GV$169+SwaptionMonthsToGo+SwaptionShift))/SQRT(SUM(INDEX($FK348:$ID348,1+SwaptionShift):INDEX($FK348:$ID348,SwaptionMonthsToGo+SwaptionShift))*SUM(INDEX($FK$325:$ID$396,GV$169,1+SwaptionShift):INDEX($FK$325:$ID$396,GV$169,SwaptionMonthsToGo+SwaptionShift))))))</f>
        <v/>
      </c>
      <c r="GW193" s="150" t="str">
        <f aca="false">IF(OR(GW$169&lt;SwaptionFirstMonthPosition+1,$FJ193&lt;SwaptionFirstMonthPosition+1,GW$169&gt;SwaptionFirstMonthPosition+SwaptionNumOfMonths+1,$FJ193&gt;SwaptionFirstMonthPosition+SwaptionNumOfMonths+1),"",IF($FJ193=GW$169,1,IF($FJ193&lt;GW$169,INDEX($FK$170:$ID$241,GW$169,$FJ193),SUMPRODUCT(INDEX($FK$325:$ID$396,GW$169,1+SwaptionShift):INDEX($FK$325:$ID$396,GW$169,SwaptionMonthsToGo+SwaptionShift),INDEX($FK$245:$ID$316,$FJ193-GW$169,73-GW$169+SwaptionShift):INDEX($FK$245:$ID$316,$FJ193-GW$169,72-GW$169+SwaptionMonthsToGo+SwaptionShift))/SQRT(SUM(INDEX($FK348:$ID348,1+SwaptionShift):INDEX($FK348:$ID348,SwaptionMonthsToGo+SwaptionShift))*SUM(INDEX($FK$325:$ID$396,GW$169,1+SwaptionShift):INDEX($FK$325:$ID$396,GW$169,SwaptionMonthsToGo+SwaptionShift))))))</f>
        <v/>
      </c>
      <c r="GX193" s="150" t="str">
        <f aca="false">IF(OR(GX$169&lt;SwaptionFirstMonthPosition+1,$FJ193&lt;SwaptionFirstMonthPosition+1,GX$169&gt;SwaptionFirstMonthPosition+SwaptionNumOfMonths+1,$FJ193&gt;SwaptionFirstMonthPosition+SwaptionNumOfMonths+1),"",IF($FJ193=GX$169,1,IF($FJ193&lt;GX$169,INDEX($FK$170:$ID$241,GX$169,$FJ193),SUMPRODUCT(INDEX($FK$325:$ID$396,GX$169,1+SwaptionShift):INDEX($FK$325:$ID$396,GX$169,SwaptionMonthsToGo+SwaptionShift),INDEX($FK$245:$ID$316,$FJ193-GX$169,73-GX$169+SwaptionShift):INDEX($FK$245:$ID$316,$FJ193-GX$169,72-GX$169+SwaptionMonthsToGo+SwaptionShift))/SQRT(SUM(INDEX($FK348:$ID348,1+SwaptionShift):INDEX($FK348:$ID348,SwaptionMonthsToGo+SwaptionShift))*SUM(INDEX($FK$325:$ID$396,GX$169,1+SwaptionShift):INDEX($FK$325:$ID$396,GX$169,SwaptionMonthsToGo+SwaptionShift))))))</f>
        <v/>
      </c>
      <c r="GY193" s="150" t="str">
        <f aca="false">IF(OR(GY$169&lt;SwaptionFirstMonthPosition+1,$FJ193&lt;SwaptionFirstMonthPosition+1,GY$169&gt;SwaptionFirstMonthPosition+SwaptionNumOfMonths+1,$FJ193&gt;SwaptionFirstMonthPosition+SwaptionNumOfMonths+1),"",IF($FJ193=GY$169,1,IF($FJ193&lt;GY$169,INDEX($FK$170:$ID$241,GY$169,$FJ193),SUMPRODUCT(INDEX($FK$325:$ID$396,GY$169,1+SwaptionShift):INDEX($FK$325:$ID$396,GY$169,SwaptionMonthsToGo+SwaptionShift),INDEX($FK$245:$ID$316,$FJ193-GY$169,73-GY$169+SwaptionShift):INDEX($FK$245:$ID$316,$FJ193-GY$169,72-GY$169+SwaptionMonthsToGo+SwaptionShift))/SQRT(SUM(INDEX($FK348:$ID348,1+SwaptionShift):INDEX($FK348:$ID348,SwaptionMonthsToGo+SwaptionShift))*SUM(INDEX($FK$325:$ID$396,GY$169,1+SwaptionShift):INDEX($FK$325:$ID$396,GY$169,SwaptionMonthsToGo+SwaptionShift))))))</f>
        <v/>
      </c>
      <c r="GZ193" s="150" t="str">
        <f aca="false">IF(OR(GZ$169&lt;SwaptionFirstMonthPosition+1,$FJ193&lt;SwaptionFirstMonthPosition+1,GZ$169&gt;SwaptionFirstMonthPosition+SwaptionNumOfMonths+1,$FJ193&gt;SwaptionFirstMonthPosition+SwaptionNumOfMonths+1),"",IF($FJ193=GZ$169,1,IF($FJ193&lt;GZ$169,INDEX($FK$170:$ID$241,GZ$169,$FJ193),SUMPRODUCT(INDEX($FK$325:$ID$396,GZ$169,1+SwaptionShift):INDEX($FK$325:$ID$396,GZ$169,SwaptionMonthsToGo+SwaptionShift),INDEX($FK$245:$ID$316,$FJ193-GZ$169,73-GZ$169+SwaptionShift):INDEX($FK$245:$ID$316,$FJ193-GZ$169,72-GZ$169+SwaptionMonthsToGo+SwaptionShift))/SQRT(SUM(INDEX($FK348:$ID348,1+SwaptionShift):INDEX($FK348:$ID348,SwaptionMonthsToGo+SwaptionShift))*SUM(INDEX($FK$325:$ID$396,GZ$169,1+SwaptionShift):INDEX($FK$325:$ID$396,GZ$169,SwaptionMonthsToGo+SwaptionShift))))))</f>
        <v/>
      </c>
      <c r="HA193" s="150" t="str">
        <f aca="false">IF(OR(HA$169&lt;SwaptionFirstMonthPosition+1,$FJ193&lt;SwaptionFirstMonthPosition+1,HA$169&gt;SwaptionFirstMonthPosition+SwaptionNumOfMonths+1,$FJ193&gt;SwaptionFirstMonthPosition+SwaptionNumOfMonths+1),"",IF($FJ193=HA$169,1,IF($FJ193&lt;HA$169,INDEX($FK$170:$ID$241,HA$169,$FJ193),SUMPRODUCT(INDEX($FK$325:$ID$396,HA$169,1+SwaptionShift):INDEX($FK$325:$ID$396,HA$169,SwaptionMonthsToGo+SwaptionShift),INDEX($FK$245:$ID$316,$FJ193-HA$169,73-HA$169+SwaptionShift):INDEX($FK$245:$ID$316,$FJ193-HA$169,72-HA$169+SwaptionMonthsToGo+SwaptionShift))/SQRT(SUM(INDEX($FK348:$ID348,1+SwaptionShift):INDEX($FK348:$ID348,SwaptionMonthsToGo+SwaptionShift))*SUM(INDEX($FK$325:$ID$396,HA$169,1+SwaptionShift):INDEX($FK$325:$ID$396,HA$169,SwaptionMonthsToGo+SwaptionShift))))))</f>
        <v/>
      </c>
      <c r="HB193" s="150" t="str">
        <f aca="false">IF(OR(HB$169&lt;SwaptionFirstMonthPosition+1,$FJ193&lt;SwaptionFirstMonthPosition+1,HB$169&gt;SwaptionFirstMonthPosition+SwaptionNumOfMonths+1,$FJ193&gt;SwaptionFirstMonthPosition+SwaptionNumOfMonths+1),"",IF($FJ193=HB$169,1,IF($FJ193&lt;HB$169,INDEX($FK$170:$ID$241,HB$169,$FJ193),SUMPRODUCT(INDEX($FK$325:$ID$396,HB$169,1+SwaptionShift):INDEX($FK$325:$ID$396,HB$169,SwaptionMonthsToGo+SwaptionShift),INDEX($FK$245:$ID$316,$FJ193-HB$169,73-HB$169+SwaptionShift):INDEX($FK$245:$ID$316,$FJ193-HB$169,72-HB$169+SwaptionMonthsToGo+SwaptionShift))/SQRT(SUM(INDEX($FK348:$ID348,1+SwaptionShift):INDEX($FK348:$ID348,SwaptionMonthsToGo+SwaptionShift))*SUM(INDEX($FK$325:$ID$396,HB$169,1+SwaptionShift):INDEX($FK$325:$ID$396,HB$169,SwaptionMonthsToGo+SwaptionShift))))))</f>
        <v/>
      </c>
      <c r="HC193" s="150" t="str">
        <f aca="false">IF(OR(HC$169&lt;SwaptionFirstMonthPosition+1,$FJ193&lt;SwaptionFirstMonthPosition+1,HC$169&gt;SwaptionFirstMonthPosition+SwaptionNumOfMonths+1,$FJ193&gt;SwaptionFirstMonthPosition+SwaptionNumOfMonths+1),"",IF($FJ193=HC$169,1,IF($FJ193&lt;HC$169,INDEX($FK$170:$ID$241,HC$169,$FJ193),SUMPRODUCT(INDEX($FK$325:$ID$396,HC$169,1+SwaptionShift):INDEX($FK$325:$ID$396,HC$169,SwaptionMonthsToGo+SwaptionShift),INDEX($FK$245:$ID$316,$FJ193-HC$169,73-HC$169+SwaptionShift):INDEX($FK$245:$ID$316,$FJ193-HC$169,72-HC$169+SwaptionMonthsToGo+SwaptionShift))/SQRT(SUM(INDEX($FK348:$ID348,1+SwaptionShift):INDEX($FK348:$ID348,SwaptionMonthsToGo+SwaptionShift))*SUM(INDEX($FK$325:$ID$396,HC$169,1+SwaptionShift):INDEX($FK$325:$ID$396,HC$169,SwaptionMonthsToGo+SwaptionShift))))))</f>
        <v/>
      </c>
      <c r="HD193" s="150" t="str">
        <f aca="false">IF(OR(HD$169&lt;SwaptionFirstMonthPosition+1,$FJ193&lt;SwaptionFirstMonthPosition+1,HD$169&gt;SwaptionFirstMonthPosition+SwaptionNumOfMonths+1,$FJ193&gt;SwaptionFirstMonthPosition+SwaptionNumOfMonths+1),"",IF($FJ193=HD$169,1,IF($FJ193&lt;HD$169,INDEX($FK$170:$ID$241,HD$169,$FJ193),SUMPRODUCT(INDEX($FK$325:$ID$396,HD$169,1+SwaptionShift):INDEX($FK$325:$ID$396,HD$169,SwaptionMonthsToGo+SwaptionShift),INDEX($FK$245:$ID$316,$FJ193-HD$169,73-HD$169+SwaptionShift):INDEX($FK$245:$ID$316,$FJ193-HD$169,72-HD$169+SwaptionMonthsToGo+SwaptionShift))/SQRT(SUM(INDEX($FK348:$ID348,1+SwaptionShift):INDEX($FK348:$ID348,SwaptionMonthsToGo+SwaptionShift))*SUM(INDEX($FK$325:$ID$396,HD$169,1+SwaptionShift):INDEX($FK$325:$ID$396,HD$169,SwaptionMonthsToGo+SwaptionShift))))))</f>
        <v/>
      </c>
      <c r="HE193" s="150" t="str">
        <f aca="false">IF(OR(HE$169&lt;SwaptionFirstMonthPosition+1,$FJ193&lt;SwaptionFirstMonthPosition+1,HE$169&gt;SwaptionFirstMonthPosition+SwaptionNumOfMonths+1,$FJ193&gt;SwaptionFirstMonthPosition+SwaptionNumOfMonths+1),"",IF($FJ193=HE$169,1,IF($FJ193&lt;HE$169,INDEX($FK$170:$ID$241,HE$169,$FJ193),SUMPRODUCT(INDEX($FK$325:$ID$396,HE$169,1+SwaptionShift):INDEX($FK$325:$ID$396,HE$169,SwaptionMonthsToGo+SwaptionShift),INDEX($FK$245:$ID$316,$FJ193-HE$169,73-HE$169+SwaptionShift):INDEX($FK$245:$ID$316,$FJ193-HE$169,72-HE$169+SwaptionMonthsToGo+SwaptionShift))/SQRT(SUM(INDEX($FK348:$ID348,1+SwaptionShift):INDEX($FK348:$ID348,SwaptionMonthsToGo+SwaptionShift))*SUM(INDEX($FK$325:$ID$396,HE$169,1+SwaptionShift):INDEX($FK$325:$ID$396,HE$169,SwaptionMonthsToGo+SwaptionShift))))))</f>
        <v/>
      </c>
      <c r="HF193" s="150" t="str">
        <f aca="false">IF(OR(HF$169&lt;SwaptionFirstMonthPosition+1,$FJ193&lt;SwaptionFirstMonthPosition+1,HF$169&gt;SwaptionFirstMonthPosition+SwaptionNumOfMonths+1,$FJ193&gt;SwaptionFirstMonthPosition+SwaptionNumOfMonths+1),"",IF($FJ193=HF$169,1,IF($FJ193&lt;HF$169,INDEX($FK$170:$ID$241,HF$169,$FJ193),SUMPRODUCT(INDEX($FK$325:$ID$396,HF$169,1+SwaptionShift):INDEX($FK$325:$ID$396,HF$169,SwaptionMonthsToGo+SwaptionShift),INDEX($FK$245:$ID$316,$FJ193-HF$169,73-HF$169+SwaptionShift):INDEX($FK$245:$ID$316,$FJ193-HF$169,72-HF$169+SwaptionMonthsToGo+SwaptionShift))/SQRT(SUM(INDEX($FK348:$ID348,1+SwaptionShift):INDEX($FK348:$ID348,SwaptionMonthsToGo+SwaptionShift))*SUM(INDEX($FK$325:$ID$396,HF$169,1+SwaptionShift):INDEX($FK$325:$ID$396,HF$169,SwaptionMonthsToGo+SwaptionShift))))))</f>
        <v/>
      </c>
      <c r="HG193" s="150" t="str">
        <f aca="false">IF(OR(HG$169&lt;SwaptionFirstMonthPosition+1,$FJ193&lt;SwaptionFirstMonthPosition+1,HG$169&gt;SwaptionFirstMonthPosition+SwaptionNumOfMonths+1,$FJ193&gt;SwaptionFirstMonthPosition+SwaptionNumOfMonths+1),"",IF($FJ193=HG$169,1,IF($FJ193&lt;HG$169,INDEX($FK$170:$ID$241,HG$169,$FJ193),SUMPRODUCT(INDEX($FK$325:$ID$396,HG$169,1+SwaptionShift):INDEX($FK$325:$ID$396,HG$169,SwaptionMonthsToGo+SwaptionShift),INDEX($FK$245:$ID$316,$FJ193-HG$169,73-HG$169+SwaptionShift):INDEX($FK$245:$ID$316,$FJ193-HG$169,72-HG$169+SwaptionMonthsToGo+SwaptionShift))/SQRT(SUM(INDEX($FK348:$ID348,1+SwaptionShift):INDEX($FK348:$ID348,SwaptionMonthsToGo+SwaptionShift))*SUM(INDEX($FK$325:$ID$396,HG$169,1+SwaptionShift):INDEX($FK$325:$ID$396,HG$169,SwaptionMonthsToGo+SwaptionShift))))))</f>
        <v/>
      </c>
      <c r="HH193" s="150" t="str">
        <f aca="false">IF(OR(HH$169&lt;SwaptionFirstMonthPosition+1,$FJ193&lt;SwaptionFirstMonthPosition+1,HH$169&gt;SwaptionFirstMonthPosition+SwaptionNumOfMonths+1,$FJ193&gt;SwaptionFirstMonthPosition+SwaptionNumOfMonths+1),"",IF($FJ193=HH$169,1,IF($FJ193&lt;HH$169,INDEX($FK$170:$ID$241,HH$169,$FJ193),SUMPRODUCT(INDEX($FK$325:$ID$396,HH$169,1+SwaptionShift):INDEX($FK$325:$ID$396,HH$169,SwaptionMonthsToGo+SwaptionShift),INDEX($FK$245:$ID$316,$FJ193-HH$169,73-HH$169+SwaptionShift):INDEX($FK$245:$ID$316,$FJ193-HH$169,72-HH$169+SwaptionMonthsToGo+SwaptionShift))/SQRT(SUM(INDEX($FK348:$ID348,1+SwaptionShift):INDEX($FK348:$ID348,SwaptionMonthsToGo+SwaptionShift))*SUM(INDEX($FK$325:$ID$396,HH$169,1+SwaptionShift):INDEX($FK$325:$ID$396,HH$169,SwaptionMonthsToGo+SwaptionShift))))))</f>
        <v/>
      </c>
      <c r="HI193" s="150" t="str">
        <f aca="false">IF(OR(HI$169&lt;SwaptionFirstMonthPosition+1,$FJ193&lt;SwaptionFirstMonthPosition+1,HI$169&gt;SwaptionFirstMonthPosition+SwaptionNumOfMonths+1,$FJ193&gt;SwaptionFirstMonthPosition+SwaptionNumOfMonths+1),"",IF($FJ193=HI$169,1,IF($FJ193&lt;HI$169,INDEX($FK$170:$ID$241,HI$169,$FJ193),SUMPRODUCT(INDEX($FK$325:$ID$396,HI$169,1+SwaptionShift):INDEX($FK$325:$ID$396,HI$169,SwaptionMonthsToGo+SwaptionShift),INDEX($FK$245:$ID$316,$FJ193-HI$169,73-HI$169+SwaptionShift):INDEX($FK$245:$ID$316,$FJ193-HI$169,72-HI$169+SwaptionMonthsToGo+SwaptionShift))/SQRT(SUM(INDEX($FK348:$ID348,1+SwaptionShift):INDEX($FK348:$ID348,SwaptionMonthsToGo+SwaptionShift))*SUM(INDEX($FK$325:$ID$396,HI$169,1+SwaptionShift):INDEX($FK$325:$ID$396,HI$169,SwaptionMonthsToGo+SwaptionShift))))))</f>
        <v/>
      </c>
      <c r="HJ193" s="150" t="str">
        <f aca="false">IF(OR(HJ$169&lt;SwaptionFirstMonthPosition+1,$FJ193&lt;SwaptionFirstMonthPosition+1,HJ$169&gt;SwaptionFirstMonthPosition+SwaptionNumOfMonths+1,$FJ193&gt;SwaptionFirstMonthPosition+SwaptionNumOfMonths+1),"",IF($FJ193=HJ$169,1,IF($FJ193&lt;HJ$169,INDEX($FK$170:$ID$241,HJ$169,$FJ193),SUMPRODUCT(INDEX($FK$325:$ID$396,HJ$169,1+SwaptionShift):INDEX($FK$325:$ID$396,HJ$169,SwaptionMonthsToGo+SwaptionShift),INDEX($FK$245:$ID$316,$FJ193-HJ$169,73-HJ$169+SwaptionShift):INDEX($FK$245:$ID$316,$FJ193-HJ$169,72-HJ$169+SwaptionMonthsToGo+SwaptionShift))/SQRT(SUM(INDEX($FK348:$ID348,1+SwaptionShift):INDEX($FK348:$ID348,SwaptionMonthsToGo+SwaptionShift))*SUM(INDEX($FK$325:$ID$396,HJ$169,1+SwaptionShift):INDEX($FK$325:$ID$396,HJ$169,SwaptionMonthsToGo+SwaptionShift))))))</f>
        <v/>
      </c>
      <c r="HK193" s="150" t="str">
        <f aca="false">IF(OR(HK$169&lt;SwaptionFirstMonthPosition+1,$FJ193&lt;SwaptionFirstMonthPosition+1,HK$169&gt;SwaptionFirstMonthPosition+SwaptionNumOfMonths+1,$FJ193&gt;SwaptionFirstMonthPosition+SwaptionNumOfMonths+1),"",IF($FJ193=HK$169,1,IF($FJ193&lt;HK$169,INDEX($FK$170:$ID$241,HK$169,$FJ193),SUMPRODUCT(INDEX($FK$325:$ID$396,HK$169,1+SwaptionShift):INDEX($FK$325:$ID$396,HK$169,SwaptionMonthsToGo+SwaptionShift),INDEX($FK$245:$ID$316,$FJ193-HK$169,73-HK$169+SwaptionShift):INDEX($FK$245:$ID$316,$FJ193-HK$169,72-HK$169+SwaptionMonthsToGo+SwaptionShift))/SQRT(SUM(INDEX($FK348:$ID348,1+SwaptionShift):INDEX($FK348:$ID348,SwaptionMonthsToGo+SwaptionShift))*SUM(INDEX($FK$325:$ID$396,HK$169,1+SwaptionShift):INDEX($FK$325:$ID$396,HK$169,SwaptionMonthsToGo+SwaptionShift))))))</f>
        <v/>
      </c>
      <c r="HL193" s="150" t="str">
        <f aca="false">IF(OR(HL$169&lt;SwaptionFirstMonthPosition+1,$FJ193&lt;SwaptionFirstMonthPosition+1,HL$169&gt;SwaptionFirstMonthPosition+SwaptionNumOfMonths+1,$FJ193&gt;SwaptionFirstMonthPosition+SwaptionNumOfMonths+1),"",IF($FJ193=HL$169,1,IF($FJ193&lt;HL$169,INDEX($FK$170:$ID$241,HL$169,$FJ193),SUMPRODUCT(INDEX($FK$325:$ID$396,HL$169,1+SwaptionShift):INDEX($FK$325:$ID$396,HL$169,SwaptionMonthsToGo+SwaptionShift),INDEX($FK$245:$ID$316,$FJ193-HL$169,73-HL$169+SwaptionShift):INDEX($FK$245:$ID$316,$FJ193-HL$169,72-HL$169+SwaptionMonthsToGo+SwaptionShift))/SQRT(SUM(INDEX($FK348:$ID348,1+SwaptionShift):INDEX($FK348:$ID348,SwaptionMonthsToGo+SwaptionShift))*SUM(INDEX($FK$325:$ID$396,HL$169,1+SwaptionShift):INDEX($FK$325:$ID$396,HL$169,SwaptionMonthsToGo+SwaptionShift))))))</f>
        <v/>
      </c>
      <c r="HM193" s="150" t="str">
        <f aca="false">IF(OR(HM$169&lt;SwaptionFirstMonthPosition+1,$FJ193&lt;SwaptionFirstMonthPosition+1,HM$169&gt;SwaptionFirstMonthPosition+SwaptionNumOfMonths+1,$FJ193&gt;SwaptionFirstMonthPosition+SwaptionNumOfMonths+1),"",IF($FJ193=HM$169,1,IF($FJ193&lt;HM$169,INDEX($FK$170:$ID$241,HM$169,$FJ193),SUMPRODUCT(INDEX($FK$325:$ID$396,HM$169,1+SwaptionShift):INDEX($FK$325:$ID$396,HM$169,SwaptionMonthsToGo+SwaptionShift),INDEX($FK$245:$ID$316,$FJ193-HM$169,73-HM$169+SwaptionShift):INDEX($FK$245:$ID$316,$FJ193-HM$169,72-HM$169+SwaptionMonthsToGo+SwaptionShift))/SQRT(SUM(INDEX($FK348:$ID348,1+SwaptionShift):INDEX($FK348:$ID348,SwaptionMonthsToGo+SwaptionShift))*SUM(INDEX($FK$325:$ID$396,HM$169,1+SwaptionShift):INDEX($FK$325:$ID$396,HM$169,SwaptionMonthsToGo+SwaptionShift))))))</f>
        <v/>
      </c>
      <c r="HN193" s="150" t="str">
        <f aca="false">IF(OR(HN$169&lt;SwaptionFirstMonthPosition+1,$FJ193&lt;SwaptionFirstMonthPosition+1,HN$169&gt;SwaptionFirstMonthPosition+SwaptionNumOfMonths+1,$FJ193&gt;SwaptionFirstMonthPosition+SwaptionNumOfMonths+1),"",IF($FJ193=HN$169,1,IF($FJ193&lt;HN$169,INDEX($FK$170:$ID$241,HN$169,$FJ193),SUMPRODUCT(INDEX($FK$325:$ID$396,HN$169,1+SwaptionShift):INDEX($FK$325:$ID$396,HN$169,SwaptionMonthsToGo+SwaptionShift),INDEX($FK$245:$ID$316,$FJ193-HN$169,73-HN$169+SwaptionShift):INDEX($FK$245:$ID$316,$FJ193-HN$169,72-HN$169+SwaptionMonthsToGo+SwaptionShift))/SQRT(SUM(INDEX($FK348:$ID348,1+SwaptionShift):INDEX($FK348:$ID348,SwaptionMonthsToGo+SwaptionShift))*SUM(INDEX($FK$325:$ID$396,HN$169,1+SwaptionShift):INDEX($FK$325:$ID$396,HN$169,SwaptionMonthsToGo+SwaptionShift))))))</f>
        <v/>
      </c>
      <c r="HO193" s="150" t="str">
        <f aca="false">IF(OR(HO$169&lt;SwaptionFirstMonthPosition+1,$FJ193&lt;SwaptionFirstMonthPosition+1,HO$169&gt;SwaptionFirstMonthPosition+SwaptionNumOfMonths+1,$FJ193&gt;SwaptionFirstMonthPosition+SwaptionNumOfMonths+1),"",IF($FJ193=HO$169,1,IF($FJ193&lt;HO$169,INDEX($FK$170:$ID$241,HO$169,$FJ193),SUMPRODUCT(INDEX($FK$325:$ID$396,HO$169,1+SwaptionShift):INDEX($FK$325:$ID$396,HO$169,SwaptionMonthsToGo+SwaptionShift),INDEX($FK$245:$ID$316,$FJ193-HO$169,73-HO$169+SwaptionShift):INDEX($FK$245:$ID$316,$FJ193-HO$169,72-HO$169+SwaptionMonthsToGo+SwaptionShift))/SQRT(SUM(INDEX($FK348:$ID348,1+SwaptionShift):INDEX($FK348:$ID348,SwaptionMonthsToGo+SwaptionShift))*SUM(INDEX($FK$325:$ID$396,HO$169,1+SwaptionShift):INDEX($FK$325:$ID$396,HO$169,SwaptionMonthsToGo+SwaptionShift))))))</f>
        <v/>
      </c>
      <c r="HP193" s="150" t="str">
        <f aca="false">IF(OR(HP$169&lt;SwaptionFirstMonthPosition+1,$FJ193&lt;SwaptionFirstMonthPosition+1,HP$169&gt;SwaptionFirstMonthPosition+SwaptionNumOfMonths+1,$FJ193&gt;SwaptionFirstMonthPosition+SwaptionNumOfMonths+1),"",IF($FJ193=HP$169,1,IF($FJ193&lt;HP$169,INDEX($FK$170:$ID$241,HP$169,$FJ193),SUMPRODUCT(INDEX($FK$325:$ID$396,HP$169,1+SwaptionShift):INDEX($FK$325:$ID$396,HP$169,SwaptionMonthsToGo+SwaptionShift),INDEX($FK$245:$ID$316,$FJ193-HP$169,73-HP$169+SwaptionShift):INDEX($FK$245:$ID$316,$FJ193-HP$169,72-HP$169+SwaptionMonthsToGo+SwaptionShift))/SQRT(SUM(INDEX($FK348:$ID348,1+SwaptionShift):INDEX($FK348:$ID348,SwaptionMonthsToGo+SwaptionShift))*SUM(INDEX($FK$325:$ID$396,HP$169,1+SwaptionShift):INDEX($FK$325:$ID$396,HP$169,SwaptionMonthsToGo+SwaptionShift))))))</f>
        <v/>
      </c>
      <c r="HQ193" s="150" t="str">
        <f aca="false">IF(OR(HQ$169&lt;SwaptionFirstMonthPosition+1,$FJ193&lt;SwaptionFirstMonthPosition+1,HQ$169&gt;SwaptionFirstMonthPosition+SwaptionNumOfMonths+1,$FJ193&gt;SwaptionFirstMonthPosition+SwaptionNumOfMonths+1),"",IF($FJ193=HQ$169,1,IF($FJ193&lt;HQ$169,INDEX($FK$170:$ID$241,HQ$169,$FJ193),SUMPRODUCT(INDEX($FK$325:$ID$396,HQ$169,1+SwaptionShift):INDEX($FK$325:$ID$396,HQ$169,SwaptionMonthsToGo+SwaptionShift),INDEX($FK$245:$ID$316,$FJ193-HQ$169,73-HQ$169+SwaptionShift):INDEX($FK$245:$ID$316,$FJ193-HQ$169,72-HQ$169+SwaptionMonthsToGo+SwaptionShift))/SQRT(SUM(INDEX($FK348:$ID348,1+SwaptionShift):INDEX($FK348:$ID348,SwaptionMonthsToGo+SwaptionShift))*SUM(INDEX($FK$325:$ID$396,HQ$169,1+SwaptionShift):INDEX($FK$325:$ID$396,HQ$169,SwaptionMonthsToGo+SwaptionShift))))))</f>
        <v/>
      </c>
      <c r="HR193" s="150" t="str">
        <f aca="false">IF(OR(HR$169&lt;SwaptionFirstMonthPosition+1,$FJ193&lt;SwaptionFirstMonthPosition+1,HR$169&gt;SwaptionFirstMonthPosition+SwaptionNumOfMonths+1,$FJ193&gt;SwaptionFirstMonthPosition+SwaptionNumOfMonths+1),"",IF($FJ193=HR$169,1,IF($FJ193&lt;HR$169,INDEX($FK$170:$ID$241,HR$169,$FJ193),SUMPRODUCT(INDEX($FK$325:$ID$396,HR$169,1+SwaptionShift):INDEX($FK$325:$ID$396,HR$169,SwaptionMonthsToGo+SwaptionShift),INDEX($FK$245:$ID$316,$FJ193-HR$169,73-HR$169+SwaptionShift):INDEX($FK$245:$ID$316,$FJ193-HR$169,72-HR$169+SwaptionMonthsToGo+SwaptionShift))/SQRT(SUM(INDEX($FK348:$ID348,1+SwaptionShift):INDEX($FK348:$ID348,SwaptionMonthsToGo+SwaptionShift))*SUM(INDEX($FK$325:$ID$396,HR$169,1+SwaptionShift):INDEX($FK$325:$ID$396,HR$169,SwaptionMonthsToGo+SwaptionShift))))))</f>
        <v/>
      </c>
      <c r="HS193" s="150" t="str">
        <f aca="false">IF(OR(HS$169&lt;SwaptionFirstMonthPosition+1,$FJ193&lt;SwaptionFirstMonthPosition+1,HS$169&gt;SwaptionFirstMonthPosition+SwaptionNumOfMonths+1,$FJ193&gt;SwaptionFirstMonthPosition+SwaptionNumOfMonths+1),"",IF($FJ193=HS$169,1,IF($FJ193&lt;HS$169,INDEX($FK$170:$ID$241,HS$169,$FJ193),SUMPRODUCT(INDEX($FK$325:$ID$396,HS$169,1+SwaptionShift):INDEX($FK$325:$ID$396,HS$169,SwaptionMonthsToGo+SwaptionShift),INDEX($FK$245:$ID$316,$FJ193-HS$169,73-HS$169+SwaptionShift):INDEX($FK$245:$ID$316,$FJ193-HS$169,72-HS$169+SwaptionMonthsToGo+SwaptionShift))/SQRT(SUM(INDEX($FK348:$ID348,1+SwaptionShift):INDEX($FK348:$ID348,SwaptionMonthsToGo+SwaptionShift))*SUM(INDEX($FK$325:$ID$396,HS$169,1+SwaptionShift):INDEX($FK$325:$ID$396,HS$169,SwaptionMonthsToGo+SwaptionShift))))))</f>
        <v/>
      </c>
      <c r="HT193" s="150" t="str">
        <f aca="false">IF(OR(HT$169&lt;SwaptionFirstMonthPosition+1,$FJ193&lt;SwaptionFirstMonthPosition+1,HT$169&gt;SwaptionFirstMonthPosition+SwaptionNumOfMonths+1,$FJ193&gt;SwaptionFirstMonthPosition+SwaptionNumOfMonths+1),"",IF($FJ193=HT$169,1,IF($FJ193&lt;HT$169,INDEX($FK$170:$ID$241,HT$169,$FJ193),SUMPRODUCT(INDEX($FK$325:$ID$396,HT$169,1+SwaptionShift):INDEX($FK$325:$ID$396,HT$169,SwaptionMonthsToGo+SwaptionShift),INDEX($FK$245:$ID$316,$FJ193-HT$169,73-HT$169+SwaptionShift):INDEX($FK$245:$ID$316,$FJ193-HT$169,72-HT$169+SwaptionMonthsToGo+SwaptionShift))/SQRT(SUM(INDEX($FK348:$ID348,1+SwaptionShift):INDEX($FK348:$ID348,SwaptionMonthsToGo+SwaptionShift))*SUM(INDEX($FK$325:$ID$396,HT$169,1+SwaptionShift):INDEX($FK$325:$ID$396,HT$169,SwaptionMonthsToGo+SwaptionShift))))))</f>
        <v/>
      </c>
      <c r="HU193" s="150" t="str">
        <f aca="false">IF(OR(HU$169&lt;SwaptionFirstMonthPosition+1,$FJ193&lt;SwaptionFirstMonthPosition+1,HU$169&gt;SwaptionFirstMonthPosition+SwaptionNumOfMonths+1,$FJ193&gt;SwaptionFirstMonthPosition+SwaptionNumOfMonths+1),"",IF($FJ193=HU$169,1,IF($FJ193&lt;HU$169,INDEX($FK$170:$ID$241,HU$169,$FJ193),SUMPRODUCT(INDEX($FK$325:$ID$396,HU$169,1+SwaptionShift):INDEX($FK$325:$ID$396,HU$169,SwaptionMonthsToGo+SwaptionShift),INDEX($FK$245:$ID$316,$FJ193-HU$169,73-HU$169+SwaptionShift):INDEX($FK$245:$ID$316,$FJ193-HU$169,72-HU$169+SwaptionMonthsToGo+SwaptionShift))/SQRT(SUM(INDEX($FK348:$ID348,1+SwaptionShift):INDEX($FK348:$ID348,SwaptionMonthsToGo+SwaptionShift))*SUM(INDEX($FK$325:$ID$396,HU$169,1+SwaptionShift):INDEX($FK$325:$ID$396,HU$169,SwaptionMonthsToGo+SwaptionShift))))))</f>
        <v/>
      </c>
      <c r="HV193" s="150" t="str">
        <f aca="false">IF(OR(HV$169&lt;SwaptionFirstMonthPosition+1,$FJ193&lt;SwaptionFirstMonthPosition+1,HV$169&gt;SwaptionFirstMonthPosition+SwaptionNumOfMonths+1,$FJ193&gt;SwaptionFirstMonthPosition+SwaptionNumOfMonths+1),"",IF($FJ193=HV$169,1,IF($FJ193&lt;HV$169,INDEX($FK$170:$ID$241,HV$169,$FJ193),SUMPRODUCT(INDEX($FK$325:$ID$396,HV$169,1+SwaptionShift):INDEX($FK$325:$ID$396,HV$169,SwaptionMonthsToGo+SwaptionShift),INDEX($FK$245:$ID$316,$FJ193-HV$169,73-HV$169+SwaptionShift):INDEX($FK$245:$ID$316,$FJ193-HV$169,72-HV$169+SwaptionMonthsToGo+SwaptionShift))/SQRT(SUM(INDEX($FK348:$ID348,1+SwaptionShift):INDEX($FK348:$ID348,SwaptionMonthsToGo+SwaptionShift))*SUM(INDEX($FK$325:$ID$396,HV$169,1+SwaptionShift):INDEX($FK$325:$ID$396,HV$169,SwaptionMonthsToGo+SwaptionShift))))))</f>
        <v/>
      </c>
      <c r="HW193" s="150" t="str">
        <f aca="false">IF(OR(HW$169&lt;SwaptionFirstMonthPosition+1,$FJ193&lt;SwaptionFirstMonthPosition+1,HW$169&gt;SwaptionFirstMonthPosition+SwaptionNumOfMonths+1,$FJ193&gt;SwaptionFirstMonthPosition+SwaptionNumOfMonths+1),"",IF($FJ193=HW$169,1,IF($FJ193&lt;HW$169,INDEX($FK$170:$ID$241,HW$169,$FJ193),SUMPRODUCT(INDEX($FK$325:$ID$396,HW$169,1+SwaptionShift):INDEX($FK$325:$ID$396,HW$169,SwaptionMonthsToGo+SwaptionShift),INDEX($FK$245:$ID$316,$FJ193-HW$169,73-HW$169+SwaptionShift):INDEX($FK$245:$ID$316,$FJ193-HW$169,72-HW$169+SwaptionMonthsToGo+SwaptionShift))/SQRT(SUM(INDEX($FK348:$ID348,1+SwaptionShift):INDEX($FK348:$ID348,SwaptionMonthsToGo+SwaptionShift))*SUM(INDEX($FK$325:$ID$396,HW$169,1+SwaptionShift):INDEX($FK$325:$ID$396,HW$169,SwaptionMonthsToGo+SwaptionShift))))))</f>
        <v/>
      </c>
      <c r="HX193" s="150" t="str">
        <f aca="false">IF(OR(HX$169&lt;SwaptionFirstMonthPosition+1,$FJ193&lt;SwaptionFirstMonthPosition+1,HX$169&gt;SwaptionFirstMonthPosition+SwaptionNumOfMonths+1,$FJ193&gt;SwaptionFirstMonthPosition+SwaptionNumOfMonths+1),"",IF($FJ193=HX$169,1,IF($FJ193&lt;HX$169,INDEX($FK$170:$ID$241,HX$169,$FJ193),SUMPRODUCT(INDEX($FK$325:$ID$396,HX$169,1+SwaptionShift):INDEX($FK$325:$ID$396,HX$169,SwaptionMonthsToGo+SwaptionShift),INDEX($FK$245:$ID$316,$FJ193-HX$169,73-HX$169+SwaptionShift):INDEX($FK$245:$ID$316,$FJ193-HX$169,72-HX$169+SwaptionMonthsToGo+SwaptionShift))/SQRT(SUM(INDEX($FK348:$ID348,1+SwaptionShift):INDEX($FK348:$ID348,SwaptionMonthsToGo+SwaptionShift))*SUM(INDEX($FK$325:$ID$396,HX$169,1+SwaptionShift):INDEX($FK$325:$ID$396,HX$169,SwaptionMonthsToGo+SwaptionShift))))))</f>
        <v/>
      </c>
      <c r="HY193" s="150" t="str">
        <f aca="false">IF(OR(HY$169&lt;SwaptionFirstMonthPosition+1,$FJ193&lt;SwaptionFirstMonthPosition+1,HY$169&gt;SwaptionFirstMonthPosition+SwaptionNumOfMonths+1,$FJ193&gt;SwaptionFirstMonthPosition+SwaptionNumOfMonths+1),"",IF($FJ193=HY$169,1,IF($FJ193&lt;HY$169,INDEX($FK$170:$ID$241,HY$169,$FJ193),SUMPRODUCT(INDEX($FK$325:$ID$396,HY$169,1+SwaptionShift):INDEX($FK$325:$ID$396,HY$169,SwaptionMonthsToGo+SwaptionShift),INDEX($FK$245:$ID$316,$FJ193-HY$169,73-HY$169+SwaptionShift):INDEX($FK$245:$ID$316,$FJ193-HY$169,72-HY$169+SwaptionMonthsToGo+SwaptionShift))/SQRT(SUM(INDEX($FK348:$ID348,1+SwaptionShift):INDEX($FK348:$ID348,SwaptionMonthsToGo+SwaptionShift))*SUM(INDEX($FK$325:$ID$396,HY$169,1+SwaptionShift):INDEX($FK$325:$ID$396,HY$169,SwaptionMonthsToGo+SwaptionShift))))))</f>
        <v/>
      </c>
      <c r="HZ193" s="150" t="str">
        <f aca="false">IF(OR(HZ$169&lt;SwaptionFirstMonthPosition+1,$FJ193&lt;SwaptionFirstMonthPosition+1,HZ$169&gt;SwaptionFirstMonthPosition+SwaptionNumOfMonths+1,$FJ193&gt;SwaptionFirstMonthPosition+SwaptionNumOfMonths+1),"",IF($FJ193=HZ$169,1,IF($FJ193&lt;HZ$169,INDEX($FK$170:$ID$241,HZ$169,$FJ193),SUMPRODUCT(INDEX($FK$325:$ID$396,HZ$169,1+SwaptionShift):INDEX($FK$325:$ID$396,HZ$169,SwaptionMonthsToGo+SwaptionShift),INDEX($FK$245:$ID$316,$FJ193-HZ$169,73-HZ$169+SwaptionShift):INDEX($FK$245:$ID$316,$FJ193-HZ$169,72-HZ$169+SwaptionMonthsToGo+SwaptionShift))/SQRT(SUM(INDEX($FK348:$ID348,1+SwaptionShift):INDEX($FK348:$ID348,SwaptionMonthsToGo+SwaptionShift))*SUM(INDEX($FK$325:$ID$396,HZ$169,1+SwaptionShift):INDEX($FK$325:$ID$396,HZ$169,SwaptionMonthsToGo+SwaptionShift))))))</f>
        <v/>
      </c>
      <c r="IA193" s="150" t="str">
        <f aca="false">IF(OR(IA$169&lt;SwaptionFirstMonthPosition+1,$FJ193&lt;SwaptionFirstMonthPosition+1,IA$169&gt;SwaptionFirstMonthPosition+SwaptionNumOfMonths+1,$FJ193&gt;SwaptionFirstMonthPosition+SwaptionNumOfMonths+1),"",IF($FJ193=IA$169,1,IF($FJ193&lt;IA$169,INDEX($FK$170:$ID$241,IA$169,$FJ193),SUMPRODUCT(INDEX($FK$325:$ID$396,IA$169,1+SwaptionShift):INDEX($FK$325:$ID$396,IA$169,SwaptionMonthsToGo+SwaptionShift),INDEX($FK$245:$ID$316,$FJ193-IA$169,73-IA$169+SwaptionShift):INDEX($FK$245:$ID$316,$FJ193-IA$169,72-IA$169+SwaptionMonthsToGo+SwaptionShift))/SQRT(SUM(INDEX($FK348:$ID348,1+SwaptionShift):INDEX($FK348:$ID348,SwaptionMonthsToGo+SwaptionShift))*SUM(INDEX($FK$325:$ID$396,IA$169,1+SwaptionShift):INDEX($FK$325:$ID$396,IA$169,SwaptionMonthsToGo+SwaptionShift))))))</f>
        <v/>
      </c>
      <c r="IB193" s="150" t="str">
        <f aca="false">IF(OR(IB$169&lt;SwaptionFirstMonthPosition+1,$FJ193&lt;SwaptionFirstMonthPosition+1,IB$169&gt;SwaptionFirstMonthPosition+SwaptionNumOfMonths+1,$FJ193&gt;SwaptionFirstMonthPosition+SwaptionNumOfMonths+1),"",IF($FJ193=IB$169,1,IF($FJ193&lt;IB$169,INDEX($FK$170:$ID$241,IB$169,$FJ193),SUMPRODUCT(INDEX($FK$325:$ID$396,IB$169,1+SwaptionShift):INDEX($FK$325:$ID$396,IB$169,SwaptionMonthsToGo+SwaptionShift),INDEX($FK$245:$ID$316,$FJ193-IB$169,73-IB$169+SwaptionShift):INDEX($FK$245:$ID$316,$FJ193-IB$169,72-IB$169+SwaptionMonthsToGo+SwaptionShift))/SQRT(SUM(INDEX($FK348:$ID348,1+SwaptionShift):INDEX($FK348:$ID348,SwaptionMonthsToGo+SwaptionShift))*SUM(INDEX($FK$325:$ID$396,IB$169,1+SwaptionShift):INDEX($FK$325:$ID$396,IB$169,SwaptionMonthsToGo+SwaptionShift))))))</f>
        <v/>
      </c>
      <c r="IC193" s="150" t="str">
        <f aca="false">IF(OR(IC$169&lt;SwaptionFirstMonthPosition+1,$FJ193&lt;SwaptionFirstMonthPosition+1,IC$169&gt;SwaptionFirstMonthPosition+SwaptionNumOfMonths+1,$FJ193&gt;SwaptionFirstMonthPosition+SwaptionNumOfMonths+1),"",IF($FJ193=IC$169,1,IF($FJ193&lt;IC$169,INDEX($FK$170:$ID$241,IC$169,$FJ193),SUMPRODUCT(INDEX($FK$325:$ID$396,IC$169,1+SwaptionShift):INDEX($FK$325:$ID$396,IC$169,SwaptionMonthsToGo+SwaptionShift),INDEX($FK$245:$ID$316,$FJ193-IC$169,73-IC$169+SwaptionShift):INDEX($FK$245:$ID$316,$FJ193-IC$169,72-IC$169+SwaptionMonthsToGo+SwaptionShift))/SQRT(SUM(INDEX($FK348:$ID348,1+SwaptionShift):INDEX($FK348:$ID348,SwaptionMonthsToGo+SwaptionShift))*SUM(INDEX($FK$325:$ID$396,IC$169,1+SwaptionShift):INDEX($FK$325:$ID$396,IC$169,SwaptionMonthsToGo+SwaptionShift))))))</f>
        <v/>
      </c>
      <c r="ID193" s="572" t="str">
        <f aca="false">IF(OR(ID$169&lt;SwaptionFirstMonthPosition+1,$FJ193&lt;SwaptionFirstMonthPosition+1,ID$169&gt;SwaptionFirstMonthPosition+SwaptionNumOfMonths+1,$FJ193&gt;SwaptionFirstMonthPosition+SwaptionNumOfMonths+1),"",IF($FJ193=ID$169,1,IF($FJ193&lt;ID$169,INDEX($FK$170:$ID$241,ID$169,$FJ193),SUMPRODUCT(INDEX($FK$325:$ID$396,ID$169,1+SwaptionShift):INDEX($FK$325:$ID$396,ID$169,SwaptionMonthsToGo+SwaptionShift),INDEX($FK$245:$ID$316,$FJ193-ID$169,73-ID$169+SwaptionShift):INDEX($FK$245:$ID$316,$FJ193-ID$169,72-ID$169+SwaptionMonthsToGo+SwaptionShift))/SQRT(SUM(INDEX($FK348:$ID348,1+SwaptionShift):INDEX($FK348:$ID348,SwaptionMonthsToGo+SwaptionShift))*SUM(INDEX($FK$325:$ID$396,ID$169,1+SwaptionShift):INDEX($FK$325:$ID$396,ID$169,SwaptionMonthsToGo+SwaptionShift))))))</f>
        <v/>
      </c>
      <c r="IE193" s="129"/>
    </row>
    <row r="194" customFormat="false" ht="12.75" hidden="false" customHeight="false" outlineLevel="0" collapsed="false">
      <c r="H194" s="219" t="n">
        <f aca="false">VLOOKUP(I194,$EJ$20:$EL$54,3)</f>
        <v>0</v>
      </c>
      <c r="I194" s="511" t="n">
        <f aca="false">EOMONTH(I193,0)+1</f>
        <v>42064</v>
      </c>
      <c r="J194" s="512"/>
      <c r="K194" s="513" t="s">
        <v>280</v>
      </c>
      <c r="L194" s="514" t="n">
        <f aca="false">IF(ISNUMBER(K194),J194+K194/100,IF(K194="extra",L193+VLOOKUP(BF194,PriceSpreadTable,2)/12,IF(K194="inter",interpolateprices($K$19:$L$200,ROW(K194)-ROW(FirstPricingMonth)+1),interpolatechanges($J$19:$K$200,ROW(K194)-ROW(FirstPricingMonth)+1))))</f>
        <v>3.67500000000001</v>
      </c>
      <c r="M194" s="515"/>
      <c r="N194" s="516" t="n">
        <v>0</v>
      </c>
      <c r="O194" s="515" t="n">
        <f aca="false">M194+N194</f>
        <v>0</v>
      </c>
      <c r="P194" s="512"/>
      <c r="Q194" s="513" t="s">
        <v>280</v>
      </c>
      <c r="R194" s="512" t="e">
        <f aca="false">IF(ISNUMBER(Q194),P194+Q194/100,IF(Q194="extra",(Z192*AL192-R193*AM192)/AN192,IF(Q194="inter",interpolateprices($Q$19:$R$260,ROW(Q194)-ROW(FirstPricingMonth)+1),interpolatechanges($P$19:$Q$260,ROW(Q194)-ROW(FirstPricingMonth)+1))))</f>
        <v>#VALUE!</v>
      </c>
      <c r="S194" s="597" t="n">
        <f aca="false">S$19+(S193-S$19)*S$18</f>
        <v>0.36</v>
      </c>
      <c r="T194" s="575" t="n">
        <f aca="false">SQRT((1-(1-T193^2/U193)*T$18)*U194)</f>
        <v>0.999999999999837</v>
      </c>
      <c r="U194" s="576" t="n">
        <f aca="false">1-(1-U193)*U$18</f>
        <v>1</v>
      </c>
      <c r="V194" s="521" t="n">
        <v>0</v>
      </c>
      <c r="W194" s="577" t="n">
        <f aca="false">(J195*AJ194+J196*AK194)/AI194</f>
        <v>0</v>
      </c>
      <c r="X194" s="578" t="n">
        <f aca="false">(L195*AJ194+L196*AK194)/AI194</f>
        <v>3.72443181818182</v>
      </c>
      <c r="Y194" s="579" t="n">
        <f aca="false">IF(Q196="extra",W194-AA194,(P195*AM194+P196*AN194)/AL194)</f>
        <v>-1.1685</v>
      </c>
      <c r="Z194" s="579" t="n">
        <f aca="false">IF(Q196="extra",X194-AB194,(R195*AM194+R196*AN194)/AL194)</f>
        <v>2.55593181818182</v>
      </c>
      <c r="AA194" s="523" t="n">
        <f aca="false">IF(Q196="extra",INDEX(BrentSeasonalityTable,INT((BG194-1)/3)+1)*VLOOKUP(MAX(BF194,$AB$4),PriceSpreadTable,3),W194-Y194)</f>
        <v>1.1685</v>
      </c>
      <c r="AB194" s="524" t="n">
        <f aca="false">IF(Q196="extra",INDEX(BrentSeasonalityTable,INT((BG194-1)/3)+1)*VLOOKUP(MAX(BF194,$AB$4),PriceSpreadTable,3),X194-Z194)</f>
        <v>1.1685</v>
      </c>
      <c r="AC194" s="646" t="n">
        <v>42055</v>
      </c>
      <c r="AD194" s="646" t="n">
        <v>42051</v>
      </c>
      <c r="AE194" s="646" t="n">
        <v>42050</v>
      </c>
      <c r="AF194" s="646" t="n">
        <v>42046</v>
      </c>
      <c r="AG194" s="438" t="s">
        <v>278</v>
      </c>
      <c r="AH194" s="439" t="s">
        <v>278</v>
      </c>
      <c r="AI194" s="528" t="n">
        <v>22</v>
      </c>
      <c r="AJ194" s="529" t="n">
        <v>15</v>
      </c>
      <c r="AK194" s="529" t="n">
        <v>7</v>
      </c>
      <c r="AL194" s="530" t="n">
        <v>22</v>
      </c>
      <c r="AM194" s="529" t="n">
        <v>10</v>
      </c>
      <c r="AN194" s="531" t="n">
        <v>12</v>
      </c>
      <c r="AO194" s="532"/>
      <c r="AP194" s="465" t="n">
        <f aca="false">(1+AO194/2)^(-2*BL194)</f>
        <v>1</v>
      </c>
      <c r="AQ194" s="532"/>
      <c r="AR194" s="465" t="n">
        <f aca="false">(1+AQ194/2)^(-2*BH194/365.25)</f>
        <v>1</v>
      </c>
      <c r="AS194" s="580" t="n">
        <f aca="false">(O195*AJ194+O196*AK194)/AI194</f>
        <v>0</v>
      </c>
      <c r="AT194" s="468" t="n">
        <f aca="false">O194*VLOOKUP(BF194,BrentVolTable,2)+VLOOKUP(BF194,BrentVolTable,3)</f>
        <v>0</v>
      </c>
      <c r="AU194" s="468" t="n">
        <f aca="false">(AT195*AM194+AT196*AN194)/AL194</f>
        <v>0</v>
      </c>
      <c r="AV194" s="595" t="n">
        <f aca="false">SQRT(MAX(0.000000000001,(O194^2*BH194-S194^2*(BH194-BH193))/BH193))</f>
        <v>0.0320754552133666</v>
      </c>
      <c r="AW194" s="451" t="n">
        <f aca="false">IF($I194-DateToday+15&gt;=$T$8,"",IF($I194-DateToday+15&lt;$T$5,1,MATCH($I194-DateToday+15,$T$5:$T$8)))</f>
        <v>1</v>
      </c>
      <c r="AX194" s="468" t="n">
        <f aca="false">IF($AW194="",AX193^2/AX192,INDEX(U$5:U$8,$AW194)^((INDEX($T$5:$T$8,$AW194+1)-($I194-DateToday+15))/(INDEX($T$5:$T$8,$AW194+1)-INDEX($T$5:$T$8,$AW194)))/INDEX(U$5:U$8,$AW194+1)^((INDEX($T$5:$T$8,$AW194)-($I194-DateToday+15))/(INDEX($T$5:$T$8,$AW194+1)-INDEX($T$5:$T$8,$AW194))))</f>
        <v>0.304585063126104</v>
      </c>
      <c r="AY194" s="468" t="n">
        <f aca="false">IF($AW194="",AY193^2/AY192,INDEX(V$5:V$8,$AW194)^((INDEX($T$5:$T$8,$AW194+1)-($I194-DateToday+15))/(INDEX($T$5:$T$8,$AW194+1)-INDEX($T$5:$T$8,$AW194)))/INDEX(V$5:V$8,$AW194+1)^((INDEX($T$5:$T$8,$AW194)-($I194-DateToday+15))/(INDEX($T$5:$T$8,$AW194+1)-INDEX($T$5:$T$8,$AW194))))</f>
        <v>3.42677262152487</v>
      </c>
      <c r="AZ194" s="468" t="n">
        <f aca="false">IF($AW194="",AZ193^2/AZ192,INDEX(W$5:W$8,$AW194)^((INDEX($T$5:$T$8,$AW194+1)-($I194-DateToday+15))/(INDEX($T$5:$T$8,$AW194+1)-INDEX($T$5:$T$8,$AW194)))/INDEX(W$5:W$8,$AW194+1)^((INDEX($T$5:$T$8,$AW194)-($I194-DateToday+15))/(INDEX($T$5:$T$8,$AW194+1)-INDEX($T$5:$T$8,$AW194))))</f>
        <v>427.123357539287</v>
      </c>
      <c r="BA194" s="468" t="n">
        <f aca="false">IF($AW194="",BA193^2/BA192,INDEX(X$5:X$8,$AW194)^((INDEX($T$5:$T$8,$AW194+1)-($I194-DateToday+15))/(INDEX($T$5:$T$8,$AW194+1)-INDEX($T$5:$T$8,$AW194)))/INDEX(X$5:X$8,$AW194+1)^((INDEX($T$5:$T$8,$AW194)-($I194-DateToday+15))/(INDEX($T$5:$T$8,$AW194+1)-INDEX($T$5:$T$8,$AW194))))</f>
        <v>1355.16036269518</v>
      </c>
      <c r="BB194" s="468" t="n">
        <f aca="false">IF($AW194="",BB193^2/BB192,INDEX(Y$5:Y$8,$AW194)^((INDEX($T$5:$T$8,$AW194+1)-($I194-DateToday+15))/(INDEX($T$5:$T$8,$AW194+1)-INDEX($T$5:$T$8,$AW194)))/INDEX(Y$5:Y$8,$AW194+1)^((INDEX($T$5:$T$8,$AW194)-($I194-DateToday+15))/(INDEX($T$5:$T$8,$AW194+1)-INDEX($T$5:$T$8,$AW194))))</f>
        <v>6695.63045470897</v>
      </c>
      <c r="BC194" s="468" t="n">
        <f aca="false">IF($AW194="",BC193^2/BC192,INDEX(Z$5:Z$8,$AW194)^((INDEX($T$5:$T$8,$AW194+1)-($I194-DateToday+15))/(INDEX($T$5:$T$8,$AW194+1)-INDEX($T$5:$T$8,$AW194)))/INDEX(Z$5:Z$8,$AW194+1)^((INDEX($T$5:$T$8,$AW194)-($I194-DateToday+15))/(INDEX($T$5:$T$8,$AW194+1)-INDEX($T$5:$T$8,$AW194))))</f>
        <v>17830.1855359107</v>
      </c>
      <c r="BD194" s="535" t="n">
        <f aca="false">IF(OR(DateStart&gt;=I195,DateEnd&lt;I194),0,IF(VolumeOverrideFlag,V194,Volume))</f>
        <v>0</v>
      </c>
      <c r="BE194" s="536" t="n">
        <f aca="false">IF(OR(DateStart2&gt;=I195,DateEnd2&lt;I194),0,IF(VolumeOverrideFlag,V194,VolumeSwaption))</f>
        <v>0</v>
      </c>
      <c r="BF194" s="537" t="n">
        <f aca="false">YEAR(I194)</f>
        <v>2015</v>
      </c>
      <c r="BG194" s="538" t="n">
        <f aca="false">MONTH(I194)</f>
        <v>3</v>
      </c>
      <c r="BH194" s="539" t="n">
        <f aca="false">AD194-DateToday+1</f>
        <v>-3874</v>
      </c>
      <c r="BI194" s="540" t="n">
        <f aca="false">(I194-DateToday+1)/365.25</f>
        <v>-10.570841889117</v>
      </c>
      <c r="BJ194" s="541" t="n">
        <f aca="false">BI194+(BL194-BI194)*CHOOSE(Underlying,AJ194/AI194,AM194/AL194)</f>
        <v>-10.5148403957439</v>
      </c>
      <c r="BK194" s="541" t="n">
        <f aca="false">BJ194+1/365.25</f>
        <v>-10.5121025449568</v>
      </c>
      <c r="BL194" s="541" t="n">
        <f aca="false">(I195-DateToday)/365.25</f>
        <v>-10.4887063655031</v>
      </c>
      <c r="BM194" s="542" t="e">
        <f aca="false">MAX(BI194-(BJ194-BI194)*(S195^2/O195^2-1),0)</f>
        <v>#DIV/0!</v>
      </c>
      <c r="BN194" s="541" t="e">
        <f aca="false">MAX(BL194+(BL194-BK194)*(S196^2/O196^2-1),0)</f>
        <v>#DIV/0!</v>
      </c>
      <c r="BO194" s="530" t="n">
        <f aca="false">CHOOSE(Underlying,AI194,AL194)</f>
        <v>22</v>
      </c>
      <c r="BP194" s="529" t="n">
        <f aca="false">CHOOSE(Underlying,AJ194,AM194)</f>
        <v>15</v>
      </c>
      <c r="BQ194" s="529" t="n">
        <f aca="false">CHOOSE(Underlying,AK194,AN194)</f>
        <v>7</v>
      </c>
      <c r="BR194" s="463" t="str">
        <f aca="false">IF(BD194,IF(Underlying=1,X194,Z194)+UnderlyingPriceAsian-SwapPriceCurve,"")</f>
        <v/>
      </c>
      <c r="BS194" s="463" t="str">
        <f aca="false">IF(BD194,Strike1/BR194-1,"")</f>
        <v/>
      </c>
      <c r="BT194" s="464" t="str">
        <f aca="false">IF(BD194,Strike2/BR194-1,"")</f>
        <v/>
      </c>
      <c r="BU194" s="465" t="str">
        <f aca="false">IF(BD194,IF(Underlying=1,L195,R195)+UnderlyingPriceAsian-SwapPriceCurve,"")</f>
        <v/>
      </c>
      <c r="BV194" s="465" t="str">
        <f aca="false">IF(BD194,IF(Underlying=1,L196,R196)+UnderlyingPriceAsian-SwapPriceCurve,"")</f>
        <v/>
      </c>
      <c r="BW194" s="466" t="str">
        <f aca="false">IF(BD194,IF(Underlying=1,O195,AT195),"")</f>
        <v/>
      </c>
      <c r="BX194" s="467" t="str">
        <f aca="false">IF(BD194,IF(Underlying=1,O196,AT196),"")</f>
        <v/>
      </c>
      <c r="BY194" s="466" t="str">
        <f aca="false">IF(BD194,IF(BS194&gt;0,IF(BS194&gt;0.2,BC194-BB194,IF(BS194&gt;0.1,BB194-BA194,BA194)),IF(BS194&lt;-0.2,AX194-AY194,IF(BS194&lt;-0.1,AY194-AZ194,AZ194))),"")</f>
        <v/>
      </c>
      <c r="BZ194" s="467" t="str">
        <f aca="false">IF(BD194,IF(BT194&gt;0,IF(BT194&gt;0.2,BC194-BB194,IF(BT194&gt;0.1,BB194-BA194,BA194)),IF(BT194&lt;-0.2,AX194-AY194,IF(BT194&lt;-0.1,AY194-AZ194,AZ194))),"")</f>
        <v/>
      </c>
      <c r="CA194" s="468" t="str">
        <f aca="false">IF($BD194,$BW194+IF(VolSkewFlag=1,IF(BS194&gt;0,$BA194*MIN(BS194/10%,1)+($BB194-$BA194)*MAX(0,MIN(BS194/10%-1,1))+($BC194-$BB194)*MAX(0,BS194/10%-2),$AZ194*MIN(-BS194/10%,1)+($AY194-$AZ194)*MAX(0,MIN(-BS194/10%-1,1))+($AX194-$AY194)*MAX(0,-BS194/10%-2)),0),"")</f>
        <v/>
      </c>
      <c r="CB194" s="468" t="str">
        <f aca="false">IF($BD194,$BX194+IF(VolSkewFlag=1,IF(BS194&gt;0,$BA194*MIN(BS194/10%,1)+($BB194-$BA194)*MAX(0,MIN(BS194/10%-1,1))+($BC194-$BB194)*MAX(0,BS194/10%-2),$AZ194*MIN(-BS194/10%,1)+($AY194-$AZ194)*MAX(0,MIN(-BS194/10%-1,1))+($AX194-$AY194)*MAX(0,-BS194/10%-2)),0),"")</f>
        <v/>
      </c>
      <c r="CC194" s="468" t="str">
        <f aca="false">IF($BD194,$BW194+IF(VolSkewFlag=1,IF(BT194&gt;0,$BA194*MIN(BT194/10%,1)+($BB194-$BA194)*MAX(0,MIN(BT194/10%-1,1))+($BC194-$BB194)*MAX(0,BT194/10%-2),$AZ194*MIN(-BT194/10%,1)+($AY194-$AZ194)*MAX(0,MIN(-BT194/10%-1,1))+($AX194-$AY194)*MAX(0,-BT194/10%-2)),0),"")</f>
        <v/>
      </c>
      <c r="CD194" s="468" t="str">
        <f aca="false">IF($BD194,$BX194+IF(VolSkewFlag=1,IF(BT194&gt;0,$BA194*MIN(BT194/10%,1)+($BB194-$BA194)*MAX(0,MIN(BT194/10%-1,1))+($BC194-$BB194)*MAX(0,BT194/10%-2),$AZ194*MIN(-BT194/10%,1)+($AY194-$AZ194)*MAX(0,MIN(-BT194/10%-1,1))+($AX194-$AY194)*MAX(0,-BT194/10%-2)),0),"")</f>
        <v/>
      </c>
      <c r="CE194" s="469" t="n">
        <v>1</v>
      </c>
      <c r="CF194" s="470" t="n">
        <f aca="false">IF(BD194,xCrudeAPO(BU194,BV194,CA194,CB194,S195,S196,BI194,BL194,BP194,BQ194,0,Strike1,AO194,CE194,0,BL194,IF(OptControl=4,0,1),0,1),0)</f>
        <v>0</v>
      </c>
      <c r="CG194" s="470" t="n">
        <f aca="false">IF(BD194,xCrudeAPO(BU194,BV194,CA194,CB194,S195,S196,BI194,BL194,BP194,BQ194,0,Strike1,AO194,CE194,0,BL194,IF(OptControl=4,0,1),1,1)+xCrudeAPO(BU194,BV194,CA194,CB194,S195,S196,BI194,BL194,BP194,BQ194,0,Strike1,AO194,CE194,0,BL194,IF(OptControl=4,0,1),1,2)+IF(OR(VolSkewFlag=2,ABS(BS194)&lt;0.0001),0,IF(BS194&gt;0,-1,1)*CH194*Strike1/BR194^2*BY194/10%),0)</f>
        <v>0</v>
      </c>
      <c r="CH194" s="470" t="n">
        <f aca="false">IF(BD194,(xCrudeAPO(BU194,BV194,CA194,CB194,S195,S196,BI194,BL194,BP194,BQ194,0,Strike1,AO194,CE194,0,BL194,IF(OptControl=4,0,1),3,1)+xCrudeAPO(BU194,BV194,CA194,CB194,S195,S196,BI194,BL194,BP194,BQ194,0,Strike1,AO194,CE194,0,BL194,IF(OptControl=4,0,1),3,2))/100,0)</f>
        <v>0</v>
      </c>
      <c r="CI194" s="470" t="n">
        <f aca="false">IF(BD194,xCrudeAPO(BU194,BV194,CA194,CB194,S195,S196,BI194-DaysForThetaCalculation/365.25,BL194-DaysForThetaCalculation/365.25,BP194,BQ194,0,Strike1,AO194,CE194,0,BL194,IF(OptControl=4,0,1),0,1)-xCrudeAPO(BU194,BV194,CA194,CB194,S195,S196,BI194,BL194,BP194,BQ194,0,Strike1,AO194,CE194,0,BL194,IF(OptControl=4,0,1),0,1),0)</f>
        <v>0</v>
      </c>
      <c r="CJ194" s="471" t="n">
        <f aca="false">IF(BD194,xCrudeAPO(BU194,BV194,CC194,CD194,S195,S196,BI194,BL194,BP194,BQ194,0,Strike2,AO194,CE194,0,BL194,IF(OptControl=3,1,0),0,1),0)</f>
        <v>0</v>
      </c>
      <c r="CK194" s="470" t="n">
        <f aca="false">IF(BD194,xCrudeAPO(BU194,BV194,CC194,CD194,S195,S196,BI194,BL194,BP194,BQ194,0,Strike2,AO194,CE194,0,BL194,IF(OptControl=3,1,0),1,1)+xCrudeAPO(BU194,BV194,CC194,CD194,S195,S196,BI194,BL194,BP194,BQ194,0,Strike2,AO194,CE194,0,BL194,IF(OptControl=3,1,0),1,2)+IF(OR(VolSkewFlag=2,ABS(BT194)&lt;0.0001),0,IF(BT194&gt;0,-1,1)*CL194*Strike2/BR194^2*BZ194/10%),0)</f>
        <v>0</v>
      </c>
      <c r="CL194" s="470" t="n">
        <f aca="false">IF(BD194,(xCrudeAPO(BU194,BV194,CC194,CD194,S195,S196,BI194,BL194,BP194,BQ194,0,Strike2,AO194,CE194,0,BL194,IF(OptControl=3,1,0),3,1)+xCrudeAPO(BU194,BV194,CC194,CD194,S195,S196,BI194,BL194,BP194,BQ194,0,Strike2,AO194,CE194,0,BL194,IF(OptControl=3,1,0),3,2))/100,0)</f>
        <v>0</v>
      </c>
      <c r="CM194" s="472" t="n">
        <f aca="false">IF(BD194,xCrudeAPO(BU194,BV194,CC194,CD194,S195,S196,BI194-DaysForThetaCalculation/365.25,BL194-DaysForThetaCalculation/365.25,BP194,BQ194,0,Strike2,AO194,CE194,0,BL194,IF(OptControl=3,1,0),0,1)-xCrudeAPO(BU194,BV194,CC194,CD194,S195,S196,BI194,BL194,BP194,BQ194,0,Strike2,AO194,CE194,0,BL194,IF(OptControl=3,1,0),0,1),0)</f>
        <v>0</v>
      </c>
      <c r="CN194" s="3"/>
      <c r="CO194" s="543" t="str">
        <f aca="false">IF(BD194,CHOOSE(Underlying,AD194,AF194)-DateToday+1,"")</f>
        <v/>
      </c>
      <c r="CP194" s="582" t="str">
        <f aca="false">IF(BD194,CHOOSE(Underlying,L194,R194),"")</f>
        <v/>
      </c>
      <c r="CQ194" s="544" t="str">
        <f aca="false">IF(BD194,Strike1/CP194-1,"")</f>
        <v/>
      </c>
      <c r="CR194" s="544" t="str">
        <f aca="false">IF(BD194,Strike2/CP194-1,"")</f>
        <v/>
      </c>
      <c r="CS194" s="544" t="str">
        <f aca="false">IF(BD194,IF(CQ194&gt;0,IF(CQ194&gt;0.2,BC193-BB193,IF(CQ194&gt;0.1,BB193-BA193,BA193)),IF(CQ194&lt;-0.2,AX193-AY193,IF(CQ194&lt;-0.1,AY193-AZ193,AZ193))),"")</f>
        <v/>
      </c>
      <c r="CT194" s="544" t="str">
        <f aca="false">IF(BD194,IF(CR194&gt;0,IF(CR194&gt;0.2,BC193-BB193,IF(CR194&gt;0.1,BB193-BA193,BA193)),IF(CR194&lt;-0.2,AX193-AY193,IF(CR194&lt;-0.1,AY193-AZ193,AZ193))),"")</f>
        <v/>
      </c>
      <c r="CU194" s="545" t="str">
        <f aca="false">IF(BD194,CHOOSE(Underlying,O194,AT194),"")</f>
        <v/>
      </c>
      <c r="CV194" s="545" t="str">
        <f aca="false">IF(BD194,CU194+IF(VolSkewFlag=1,IF(CQ194&gt;0,BA193*MIN(CQ194/10%,1)+(BB193-BA193)*MAX(0,MIN(CQ194/10%-1,1))+(BC193-BB193)*MAX(0,CQ194/10%-2),AZ193*MIN(-CQ194/10%,1)+(AY193-AZ193)*MAX(0,MIN(-CQ194/10%-1,1))+(AX193-AY193)*MAX(0,-CQ194/10%-2)),0),"")</f>
        <v/>
      </c>
      <c r="CW194" s="545" t="str">
        <f aca="false">IF(BD194,CU194+IF(VolSkewFlag=1,IF(CR194&gt;0,BA193*MIN(CR194/10%,1)+(BB193-BA193)*MAX(0,MIN(CR194/10%-1,1))+(BC193-BB193)*MAX(0,CR194/10%-2),AZ193*MIN(-CR194/10%,1)+(AY193-AZ193)*MAX(0,MIN(-CR194/10%-1,1))+(AX193-AY193)*MAX(0,-CR194/10%-2)),0),"")</f>
        <v/>
      </c>
      <c r="CX194" s="470" t="n">
        <f aca="false">IF(BD194,EURO(CP194,Strike1,AO194,AO194,CV194,CO194,IF(OptControl=4,0,1),0),0)</f>
        <v>0</v>
      </c>
      <c r="CY194" s="470" t="n">
        <f aca="false">IF(BD194,EURO(CP194,Strike1,AO194,AO194,CV194,CO194,IF(OptControl=4,0,1),1)+IF(OR(VolSkewFlag=2,ABS(CQ194)&lt;0.0001),0,IF(CQ194&gt;0,-1,1)*CZ194*100*Strike1/CP194^2*CS194/10%),0)</f>
        <v>0</v>
      </c>
      <c r="CZ194" s="470" t="n">
        <f aca="false">IF(BD194,EURO(CP194,Strike1,AO194,AO194,CV194,CO194,IF(OptControl=4,0,1),3)/100,0)</f>
        <v>0</v>
      </c>
      <c r="DA194" s="470" t="n">
        <f aca="false">IF(BD194,EURO(CP194,Strike1,AO194,AO194,CV194,CO194,IF(OptControl=4,0,1),0)-EURO(CP194,Strike1,AO194,AO194,CV194,CO194-1,IF(OptControl=4,0,1),0),0)</f>
        <v>0</v>
      </c>
      <c r="DB194" s="470" t="n">
        <f aca="false">IF(BD194,EURO(CP194,Strike2,AO194,AO194,CW194,CO194,IF(OptControl=3,1,0),0),0)</f>
        <v>0</v>
      </c>
      <c r="DC194" s="470" t="n">
        <f aca="false">IF(BD194,EURO(CP194,Strike2,AO194,AO194,CW194,CO194,IF(OptControl=3,1,0),1)+IF(OR(VolSkewFlag=2,ABS(CR194)&lt;0.0001),0,IF(CR194&gt;0,-1,1)*DD194*100*Strike2/CP194^2*CT194/10%),0)</f>
        <v>0</v>
      </c>
      <c r="DD194" s="470" t="n">
        <f aca="false">IF(BD194,EURO(CP194,Strike2,AO194,AO194,CW194,CO194,IF(OptControl=3,1,0),3)/100,0)</f>
        <v>0</v>
      </c>
      <c r="DE194" s="472" t="n">
        <f aca="false">IF(BD194,EURO(CP194,Strike2,AO194,AO194,CW194,CO194,IF(OptControl=3,1,0),0)-EURO(CP194,Strike2,AO194,AO194,CW194,CO194-1,IF(OptControl=3,1,0),0),0)</f>
        <v>0</v>
      </c>
      <c r="DG194" s="481" t="n">
        <f aca="false">EOMONTH(DG193,0)+1</f>
        <v>50983</v>
      </c>
      <c r="DH194" s="478" t="n">
        <v>22.8600000000001</v>
      </c>
      <c r="DI194" s="479" t="n">
        <v>22.9266666666667</v>
      </c>
      <c r="DJ194" s="480" t="n">
        <f aca="false">DG194</f>
        <v>50983</v>
      </c>
      <c r="DK194" s="478" t="n">
        <v>21.467135497656</v>
      </c>
      <c r="DL194" s="479" t="n">
        <v>21.6597666666667</v>
      </c>
      <c r="DM194" s="481" t="n">
        <f aca="false">DG194</f>
        <v>50983</v>
      </c>
      <c r="DN194" s="482" t="n">
        <f aca="false">DK194+BrentPhyBrentSpread</f>
        <v>21.517135497656</v>
      </c>
      <c r="DO194" s="481" t="n">
        <f aca="false">DG194</f>
        <v>50983</v>
      </c>
      <c r="DP194" s="483" t="n">
        <f aca="false">DL194+DQ194</f>
        <v>21.6597666666667</v>
      </c>
      <c r="DQ194" s="546" t="n">
        <v>0</v>
      </c>
      <c r="DR194" s="480" t="n">
        <f aca="false">DG194</f>
        <v>50983</v>
      </c>
      <c r="DS194" s="485" t="n">
        <v>0.120199999999998</v>
      </c>
      <c r="DT194" s="486" t="n">
        <v>0.119399999999998</v>
      </c>
      <c r="DU194" s="480" t="n">
        <f aca="false">DG194</f>
        <v>50983</v>
      </c>
      <c r="DV194" s="485" t="n">
        <v>0.120199999999998</v>
      </c>
      <c r="DW194" s="486" t="n">
        <v>0.119399999999998</v>
      </c>
      <c r="DX194" s="481" t="n">
        <f aca="false">DG194</f>
        <v>50983</v>
      </c>
      <c r="DY194" s="486" t="n">
        <v>0.35</v>
      </c>
      <c r="DZ194" s="481" t="n">
        <f aca="false">DR194</f>
        <v>50983</v>
      </c>
      <c r="EA194" s="486" t="n">
        <f aca="false">DT194</f>
        <v>0.119399999999998</v>
      </c>
      <c r="EB194" s="195"/>
      <c r="EC194" s="547" t="str">
        <f aca="false">IF(BD194,IF(Underlying=1,AS194,AU194),"")</f>
        <v/>
      </c>
      <c r="ED194" s="548" t="str">
        <f aca="false">IF($BD194,$EC194+IF(VolSkewFlag=1,IF(BS194&gt;0,$BA194*MIN(BS194/10%,1)+($BB194-$BA194)*MAX(0,MIN(BS194/10%-1,1))+($BC194-$BB194)*MAX(0,BS194/10%-2),$AZ194*MIN(-BS194/10%,1)+($AY194-$AZ194)*MAX(0,MIN(-BS194/10%-1,1))+($AX194-$AY194)*MAX(0,-BS194/10%-2)),0),"")</f>
        <v/>
      </c>
      <c r="EE194" s="549" t="str">
        <f aca="false">IF($BD194,$EC194+IF(VolSkewFlag=1,IF(BT194&gt;0,$BA194*MIN(BT194/10%,1)+($BB194-$BA194)*MAX(0,MIN(BT194/10%-1,1))+($BC194-$BB194)*MAX(0,BT194/10%-2),$AZ194*MIN(-BT194/10%,1)+($AY194-$AZ194)*MAX(0,MIN(-BT194/10%-1,1))+($AX194-$AY194)*MAX(0,-BT194/10%-2)),0),"")</f>
        <v/>
      </c>
      <c r="EF194" s="550" t="n">
        <f aca="false">IF(BD194,xASN(BR194,Strike1,AO194,ED194,0,BO194,0,BI194,BL194,IF(OptControl=4,0,1),0),0)</f>
        <v>0</v>
      </c>
      <c r="EG194" s="551" t="n">
        <f aca="false">IF(BD194,xASN(BR194,Strike2,AO194,EE194,0,BO194,0,BI194,BL194,IF(OptControl=3,1,0),0),0)</f>
        <v>0</v>
      </c>
      <c r="EL194" s="1"/>
      <c r="EM194" s="195"/>
      <c r="EN194" s="240"/>
      <c r="EO194" s="240"/>
      <c r="EP194" s="195"/>
      <c r="EQ194" s="407" t="s">
        <v>422</v>
      </c>
      <c r="ES194" s="130"/>
      <c r="ET194" s="19"/>
      <c r="EU194" s="672"/>
      <c r="EV194" s="478"/>
      <c r="EW194" s="131"/>
      <c r="EX194" s="131"/>
      <c r="EY194" s="129"/>
      <c r="EZ194" s="129"/>
      <c r="FA194" s="129"/>
      <c r="FB194" s="129"/>
      <c r="FC194" s="129"/>
      <c r="FD194" s="129"/>
      <c r="FE194" s="129"/>
      <c r="FF194" s="129"/>
      <c r="FG194" s="129"/>
      <c r="FH194" s="129"/>
      <c r="FI194" s="129"/>
      <c r="FJ194" s="571" t="n">
        <v>25</v>
      </c>
      <c r="FK194" s="150" t="str">
        <f aca="false">IF(OR(FK$169&lt;SwaptionFirstMonthPosition+1,$FJ194&lt;SwaptionFirstMonthPosition+1,FK$169&gt;SwaptionFirstMonthPosition+SwaptionNumOfMonths+1,$FJ194&gt;SwaptionFirstMonthPosition+SwaptionNumOfMonths+1),"",IF($FJ194=FK$169,1,IF($FJ194&lt;FK$169,INDEX($FK$170:$ID$241,FK$169,$FJ194),SUMPRODUCT(INDEX($FK$325:$ID$396,FK$169,1+SwaptionShift):INDEX($FK$325:$ID$396,FK$169,SwaptionMonthsToGo+SwaptionShift),INDEX($FK$245:$ID$316,$FJ194-FK$169,73-FK$169+SwaptionShift):INDEX($FK$245:$ID$316,$FJ194-FK$169,72-FK$169+SwaptionMonthsToGo+SwaptionShift))/SQRT(SUM(INDEX($FK349:$ID349,1+SwaptionShift):INDEX($FK349:$ID349,SwaptionMonthsToGo+SwaptionShift))*SUM(INDEX($FK$325:$ID$396,FK$169,1+SwaptionShift):INDEX($FK$325:$ID$396,FK$169,SwaptionMonthsToGo+SwaptionShift))))))</f>
        <v/>
      </c>
      <c r="FL194" s="150" t="str">
        <f aca="false">IF(OR(FL$169&lt;SwaptionFirstMonthPosition+1,$FJ194&lt;SwaptionFirstMonthPosition+1,FL$169&gt;SwaptionFirstMonthPosition+SwaptionNumOfMonths+1,$FJ194&gt;SwaptionFirstMonthPosition+SwaptionNumOfMonths+1),"",IF($FJ194=FL$169,1,IF($FJ194&lt;FL$169,INDEX($FK$170:$ID$241,FL$169,$FJ194),SUMPRODUCT(INDEX($FK$325:$ID$396,FL$169,1+SwaptionShift):INDEX($FK$325:$ID$396,FL$169,SwaptionMonthsToGo+SwaptionShift),INDEX($FK$245:$ID$316,$FJ194-FL$169,73-FL$169+SwaptionShift):INDEX($FK$245:$ID$316,$FJ194-FL$169,72-FL$169+SwaptionMonthsToGo+SwaptionShift))/SQRT(SUM(INDEX($FK349:$ID349,1+SwaptionShift):INDEX($FK349:$ID349,SwaptionMonthsToGo+SwaptionShift))*SUM(INDEX($FK$325:$ID$396,FL$169,1+SwaptionShift):INDEX($FK$325:$ID$396,FL$169,SwaptionMonthsToGo+SwaptionShift))))))</f>
        <v/>
      </c>
      <c r="FM194" s="150" t="str">
        <f aca="false">IF(OR(FM$169&lt;SwaptionFirstMonthPosition+1,$FJ194&lt;SwaptionFirstMonthPosition+1,FM$169&gt;SwaptionFirstMonthPosition+SwaptionNumOfMonths+1,$FJ194&gt;SwaptionFirstMonthPosition+SwaptionNumOfMonths+1),"",IF($FJ194=FM$169,1,IF($FJ194&lt;FM$169,INDEX($FK$170:$ID$241,FM$169,$FJ194),SUMPRODUCT(INDEX($FK$325:$ID$396,FM$169,1+SwaptionShift):INDEX($FK$325:$ID$396,FM$169,SwaptionMonthsToGo+SwaptionShift),INDEX($FK$245:$ID$316,$FJ194-FM$169,73-FM$169+SwaptionShift):INDEX($FK$245:$ID$316,$FJ194-FM$169,72-FM$169+SwaptionMonthsToGo+SwaptionShift))/SQRT(SUM(INDEX($FK349:$ID349,1+SwaptionShift):INDEX($FK349:$ID349,SwaptionMonthsToGo+SwaptionShift))*SUM(INDEX($FK$325:$ID$396,FM$169,1+SwaptionShift):INDEX($FK$325:$ID$396,FM$169,SwaptionMonthsToGo+SwaptionShift))))))</f>
        <v/>
      </c>
      <c r="FN194" s="150" t="str">
        <f aca="false">IF(OR(FN$169&lt;SwaptionFirstMonthPosition+1,$FJ194&lt;SwaptionFirstMonthPosition+1,FN$169&gt;SwaptionFirstMonthPosition+SwaptionNumOfMonths+1,$FJ194&gt;SwaptionFirstMonthPosition+SwaptionNumOfMonths+1),"",IF($FJ194=FN$169,1,IF($FJ194&lt;FN$169,INDEX($FK$170:$ID$241,FN$169,$FJ194),SUMPRODUCT(INDEX($FK$325:$ID$396,FN$169,1+SwaptionShift):INDEX($FK$325:$ID$396,FN$169,SwaptionMonthsToGo+SwaptionShift),INDEX($FK$245:$ID$316,$FJ194-FN$169,73-FN$169+SwaptionShift):INDEX($FK$245:$ID$316,$FJ194-FN$169,72-FN$169+SwaptionMonthsToGo+SwaptionShift))/SQRT(SUM(INDEX($FK349:$ID349,1+SwaptionShift):INDEX($FK349:$ID349,SwaptionMonthsToGo+SwaptionShift))*SUM(INDEX($FK$325:$ID$396,FN$169,1+SwaptionShift):INDEX($FK$325:$ID$396,FN$169,SwaptionMonthsToGo+SwaptionShift))))))</f>
        <v/>
      </c>
      <c r="FO194" s="150" t="str">
        <f aca="false">IF(OR(FO$169&lt;SwaptionFirstMonthPosition+1,$FJ194&lt;SwaptionFirstMonthPosition+1,FO$169&gt;SwaptionFirstMonthPosition+SwaptionNumOfMonths+1,$FJ194&gt;SwaptionFirstMonthPosition+SwaptionNumOfMonths+1),"",IF($FJ194=FO$169,1,IF($FJ194&lt;FO$169,INDEX($FK$170:$ID$241,FO$169,$FJ194),SUMPRODUCT(INDEX($FK$325:$ID$396,FO$169,1+SwaptionShift):INDEX($FK$325:$ID$396,FO$169,SwaptionMonthsToGo+SwaptionShift),INDEX($FK$245:$ID$316,$FJ194-FO$169,73-FO$169+SwaptionShift):INDEX($FK$245:$ID$316,$FJ194-FO$169,72-FO$169+SwaptionMonthsToGo+SwaptionShift))/SQRT(SUM(INDEX($FK349:$ID349,1+SwaptionShift):INDEX($FK349:$ID349,SwaptionMonthsToGo+SwaptionShift))*SUM(INDEX($FK$325:$ID$396,FO$169,1+SwaptionShift):INDEX($FK$325:$ID$396,FO$169,SwaptionMonthsToGo+SwaptionShift))))))</f>
        <v/>
      </c>
      <c r="FP194" s="150" t="str">
        <f aca="false">IF(OR(FP$169&lt;SwaptionFirstMonthPosition+1,$FJ194&lt;SwaptionFirstMonthPosition+1,FP$169&gt;SwaptionFirstMonthPosition+SwaptionNumOfMonths+1,$FJ194&gt;SwaptionFirstMonthPosition+SwaptionNumOfMonths+1),"",IF($FJ194=FP$169,1,IF($FJ194&lt;FP$169,INDEX($FK$170:$ID$241,FP$169,$FJ194),SUMPRODUCT(INDEX($FK$325:$ID$396,FP$169,1+SwaptionShift):INDEX($FK$325:$ID$396,FP$169,SwaptionMonthsToGo+SwaptionShift),INDEX($FK$245:$ID$316,$FJ194-FP$169,73-FP$169+SwaptionShift):INDEX($FK$245:$ID$316,$FJ194-FP$169,72-FP$169+SwaptionMonthsToGo+SwaptionShift))/SQRT(SUM(INDEX($FK349:$ID349,1+SwaptionShift):INDEX($FK349:$ID349,SwaptionMonthsToGo+SwaptionShift))*SUM(INDEX($FK$325:$ID$396,FP$169,1+SwaptionShift):INDEX($FK$325:$ID$396,FP$169,SwaptionMonthsToGo+SwaptionShift))))))</f>
        <v/>
      </c>
      <c r="FQ194" s="150" t="str">
        <f aca="false">IF(OR(FQ$169&lt;SwaptionFirstMonthPosition+1,$FJ194&lt;SwaptionFirstMonthPosition+1,FQ$169&gt;SwaptionFirstMonthPosition+SwaptionNumOfMonths+1,$FJ194&gt;SwaptionFirstMonthPosition+SwaptionNumOfMonths+1),"",IF($FJ194=FQ$169,1,IF($FJ194&lt;FQ$169,INDEX($FK$170:$ID$241,FQ$169,$FJ194),SUMPRODUCT(INDEX($FK$325:$ID$396,FQ$169,1+SwaptionShift):INDEX($FK$325:$ID$396,FQ$169,SwaptionMonthsToGo+SwaptionShift),INDEX($FK$245:$ID$316,$FJ194-FQ$169,73-FQ$169+SwaptionShift):INDEX($FK$245:$ID$316,$FJ194-FQ$169,72-FQ$169+SwaptionMonthsToGo+SwaptionShift))/SQRT(SUM(INDEX($FK349:$ID349,1+SwaptionShift):INDEX($FK349:$ID349,SwaptionMonthsToGo+SwaptionShift))*SUM(INDEX($FK$325:$ID$396,FQ$169,1+SwaptionShift):INDEX($FK$325:$ID$396,FQ$169,SwaptionMonthsToGo+SwaptionShift))))))</f>
        <v/>
      </c>
      <c r="FR194" s="150" t="str">
        <f aca="false">IF(OR(FR$169&lt;SwaptionFirstMonthPosition+1,$FJ194&lt;SwaptionFirstMonthPosition+1,FR$169&gt;SwaptionFirstMonthPosition+SwaptionNumOfMonths+1,$FJ194&gt;SwaptionFirstMonthPosition+SwaptionNumOfMonths+1),"",IF($FJ194=FR$169,1,IF($FJ194&lt;FR$169,INDEX($FK$170:$ID$241,FR$169,$FJ194),SUMPRODUCT(INDEX($FK$325:$ID$396,FR$169,1+SwaptionShift):INDEX($FK$325:$ID$396,FR$169,SwaptionMonthsToGo+SwaptionShift),INDEX($FK$245:$ID$316,$FJ194-FR$169,73-FR$169+SwaptionShift):INDEX($FK$245:$ID$316,$FJ194-FR$169,72-FR$169+SwaptionMonthsToGo+SwaptionShift))/SQRT(SUM(INDEX($FK349:$ID349,1+SwaptionShift):INDEX($FK349:$ID349,SwaptionMonthsToGo+SwaptionShift))*SUM(INDEX($FK$325:$ID$396,FR$169,1+SwaptionShift):INDEX($FK$325:$ID$396,FR$169,SwaptionMonthsToGo+SwaptionShift))))))</f>
        <v/>
      </c>
      <c r="FS194" s="150" t="str">
        <f aca="false">IF(OR(FS$169&lt;SwaptionFirstMonthPosition+1,$FJ194&lt;SwaptionFirstMonthPosition+1,FS$169&gt;SwaptionFirstMonthPosition+SwaptionNumOfMonths+1,$FJ194&gt;SwaptionFirstMonthPosition+SwaptionNumOfMonths+1),"",IF($FJ194=FS$169,1,IF($FJ194&lt;FS$169,INDEX($FK$170:$ID$241,FS$169,$FJ194),SUMPRODUCT(INDEX($FK$325:$ID$396,FS$169,1+SwaptionShift):INDEX($FK$325:$ID$396,FS$169,SwaptionMonthsToGo+SwaptionShift),INDEX($FK$245:$ID$316,$FJ194-FS$169,73-FS$169+SwaptionShift):INDEX($FK$245:$ID$316,$FJ194-FS$169,72-FS$169+SwaptionMonthsToGo+SwaptionShift))/SQRT(SUM(INDEX($FK349:$ID349,1+SwaptionShift):INDEX($FK349:$ID349,SwaptionMonthsToGo+SwaptionShift))*SUM(INDEX($FK$325:$ID$396,FS$169,1+SwaptionShift):INDEX($FK$325:$ID$396,FS$169,SwaptionMonthsToGo+SwaptionShift))))))</f>
        <v/>
      </c>
      <c r="FT194" s="150" t="str">
        <f aca="false">IF(OR(FT$169&lt;SwaptionFirstMonthPosition+1,$FJ194&lt;SwaptionFirstMonthPosition+1,FT$169&gt;SwaptionFirstMonthPosition+SwaptionNumOfMonths+1,$FJ194&gt;SwaptionFirstMonthPosition+SwaptionNumOfMonths+1),"",IF($FJ194=FT$169,1,IF($FJ194&lt;FT$169,INDEX($FK$170:$ID$241,FT$169,$FJ194),SUMPRODUCT(INDEX($FK$325:$ID$396,FT$169,1+SwaptionShift):INDEX($FK$325:$ID$396,FT$169,SwaptionMonthsToGo+SwaptionShift),INDEX($FK$245:$ID$316,$FJ194-FT$169,73-FT$169+SwaptionShift):INDEX($FK$245:$ID$316,$FJ194-FT$169,72-FT$169+SwaptionMonthsToGo+SwaptionShift))/SQRT(SUM(INDEX($FK349:$ID349,1+SwaptionShift):INDEX($FK349:$ID349,SwaptionMonthsToGo+SwaptionShift))*SUM(INDEX($FK$325:$ID$396,FT$169,1+SwaptionShift):INDEX($FK$325:$ID$396,FT$169,SwaptionMonthsToGo+SwaptionShift))))))</f>
        <v/>
      </c>
      <c r="FU194" s="150" t="str">
        <f aca="false">IF(OR(FU$169&lt;SwaptionFirstMonthPosition+1,$FJ194&lt;SwaptionFirstMonthPosition+1,FU$169&gt;SwaptionFirstMonthPosition+SwaptionNumOfMonths+1,$FJ194&gt;SwaptionFirstMonthPosition+SwaptionNumOfMonths+1),"",IF($FJ194=FU$169,1,IF($FJ194&lt;FU$169,INDEX($FK$170:$ID$241,FU$169,$FJ194),SUMPRODUCT(INDEX($FK$325:$ID$396,FU$169,1+SwaptionShift):INDEX($FK$325:$ID$396,FU$169,SwaptionMonthsToGo+SwaptionShift),INDEX($FK$245:$ID$316,$FJ194-FU$169,73-FU$169+SwaptionShift):INDEX($FK$245:$ID$316,$FJ194-FU$169,72-FU$169+SwaptionMonthsToGo+SwaptionShift))/SQRT(SUM(INDEX($FK349:$ID349,1+SwaptionShift):INDEX($FK349:$ID349,SwaptionMonthsToGo+SwaptionShift))*SUM(INDEX($FK$325:$ID$396,FU$169,1+SwaptionShift):INDEX($FK$325:$ID$396,FU$169,SwaptionMonthsToGo+SwaptionShift))))))</f>
        <v/>
      </c>
      <c r="FV194" s="150" t="str">
        <f aca="false">IF(OR(FV$169&lt;SwaptionFirstMonthPosition+1,$FJ194&lt;SwaptionFirstMonthPosition+1,FV$169&gt;SwaptionFirstMonthPosition+SwaptionNumOfMonths+1,$FJ194&gt;SwaptionFirstMonthPosition+SwaptionNumOfMonths+1),"",IF($FJ194=FV$169,1,IF($FJ194&lt;FV$169,INDEX($FK$170:$ID$241,FV$169,$FJ194),SUMPRODUCT(INDEX($FK$325:$ID$396,FV$169,1+SwaptionShift):INDEX($FK$325:$ID$396,FV$169,SwaptionMonthsToGo+SwaptionShift),INDEX($FK$245:$ID$316,$FJ194-FV$169,73-FV$169+SwaptionShift):INDEX($FK$245:$ID$316,$FJ194-FV$169,72-FV$169+SwaptionMonthsToGo+SwaptionShift))/SQRT(SUM(INDEX($FK349:$ID349,1+SwaptionShift):INDEX($FK349:$ID349,SwaptionMonthsToGo+SwaptionShift))*SUM(INDEX($FK$325:$ID$396,FV$169,1+SwaptionShift):INDEX($FK$325:$ID$396,FV$169,SwaptionMonthsToGo+SwaptionShift))))))</f>
        <v/>
      </c>
      <c r="FW194" s="150" t="str">
        <f aca="false">IF(OR(FW$169&lt;SwaptionFirstMonthPosition+1,$FJ194&lt;SwaptionFirstMonthPosition+1,FW$169&gt;SwaptionFirstMonthPosition+SwaptionNumOfMonths+1,$FJ194&gt;SwaptionFirstMonthPosition+SwaptionNumOfMonths+1),"",IF($FJ194=FW$169,1,IF($FJ194&lt;FW$169,INDEX($FK$170:$ID$241,FW$169,$FJ194),SUMPRODUCT(INDEX($FK$325:$ID$396,FW$169,1+SwaptionShift):INDEX($FK$325:$ID$396,FW$169,SwaptionMonthsToGo+SwaptionShift),INDEX($FK$245:$ID$316,$FJ194-FW$169,73-FW$169+SwaptionShift):INDEX($FK$245:$ID$316,$FJ194-FW$169,72-FW$169+SwaptionMonthsToGo+SwaptionShift))/SQRT(SUM(INDEX($FK349:$ID349,1+SwaptionShift):INDEX($FK349:$ID349,SwaptionMonthsToGo+SwaptionShift))*SUM(INDEX($FK$325:$ID$396,FW$169,1+SwaptionShift):INDEX($FK$325:$ID$396,FW$169,SwaptionMonthsToGo+SwaptionShift))))))</f>
        <v/>
      </c>
      <c r="FX194" s="150" t="str">
        <f aca="false">IF(OR(FX$169&lt;SwaptionFirstMonthPosition+1,$FJ194&lt;SwaptionFirstMonthPosition+1,FX$169&gt;SwaptionFirstMonthPosition+SwaptionNumOfMonths+1,$FJ194&gt;SwaptionFirstMonthPosition+SwaptionNumOfMonths+1),"",IF($FJ194=FX$169,1,IF($FJ194&lt;FX$169,INDEX($FK$170:$ID$241,FX$169,$FJ194),SUMPRODUCT(INDEX($FK$325:$ID$396,FX$169,1+SwaptionShift):INDEX($FK$325:$ID$396,FX$169,SwaptionMonthsToGo+SwaptionShift),INDEX($FK$245:$ID$316,$FJ194-FX$169,73-FX$169+SwaptionShift):INDEX($FK$245:$ID$316,$FJ194-FX$169,72-FX$169+SwaptionMonthsToGo+SwaptionShift))/SQRT(SUM(INDEX($FK349:$ID349,1+SwaptionShift):INDEX($FK349:$ID349,SwaptionMonthsToGo+SwaptionShift))*SUM(INDEX($FK$325:$ID$396,FX$169,1+SwaptionShift):INDEX($FK$325:$ID$396,FX$169,SwaptionMonthsToGo+SwaptionShift))))))</f>
        <v/>
      </c>
      <c r="FY194" s="150" t="str">
        <f aca="false">IF(OR(FY$169&lt;SwaptionFirstMonthPosition+1,$FJ194&lt;SwaptionFirstMonthPosition+1,FY$169&gt;SwaptionFirstMonthPosition+SwaptionNumOfMonths+1,$FJ194&gt;SwaptionFirstMonthPosition+SwaptionNumOfMonths+1),"",IF($FJ194=FY$169,1,IF($FJ194&lt;FY$169,INDEX($FK$170:$ID$241,FY$169,$FJ194),SUMPRODUCT(INDEX($FK$325:$ID$396,FY$169,1+SwaptionShift):INDEX($FK$325:$ID$396,FY$169,SwaptionMonthsToGo+SwaptionShift),INDEX($FK$245:$ID$316,$FJ194-FY$169,73-FY$169+SwaptionShift):INDEX($FK$245:$ID$316,$FJ194-FY$169,72-FY$169+SwaptionMonthsToGo+SwaptionShift))/SQRT(SUM(INDEX($FK349:$ID349,1+SwaptionShift):INDEX($FK349:$ID349,SwaptionMonthsToGo+SwaptionShift))*SUM(INDEX($FK$325:$ID$396,FY$169,1+SwaptionShift):INDEX($FK$325:$ID$396,FY$169,SwaptionMonthsToGo+SwaptionShift))))))</f>
        <v/>
      </c>
      <c r="FZ194" s="150" t="str">
        <f aca="false">IF(OR(FZ$169&lt;SwaptionFirstMonthPosition+1,$FJ194&lt;SwaptionFirstMonthPosition+1,FZ$169&gt;SwaptionFirstMonthPosition+SwaptionNumOfMonths+1,$FJ194&gt;SwaptionFirstMonthPosition+SwaptionNumOfMonths+1),"",IF($FJ194=FZ$169,1,IF($FJ194&lt;FZ$169,INDEX($FK$170:$ID$241,FZ$169,$FJ194),SUMPRODUCT(INDEX($FK$325:$ID$396,FZ$169,1+SwaptionShift):INDEX($FK$325:$ID$396,FZ$169,SwaptionMonthsToGo+SwaptionShift),INDEX($FK$245:$ID$316,$FJ194-FZ$169,73-FZ$169+SwaptionShift):INDEX($FK$245:$ID$316,$FJ194-FZ$169,72-FZ$169+SwaptionMonthsToGo+SwaptionShift))/SQRT(SUM(INDEX($FK349:$ID349,1+SwaptionShift):INDEX($FK349:$ID349,SwaptionMonthsToGo+SwaptionShift))*SUM(INDEX($FK$325:$ID$396,FZ$169,1+SwaptionShift):INDEX($FK$325:$ID$396,FZ$169,SwaptionMonthsToGo+SwaptionShift))))))</f>
        <v/>
      </c>
      <c r="GA194" s="150" t="str">
        <f aca="false">IF(OR(GA$169&lt;SwaptionFirstMonthPosition+1,$FJ194&lt;SwaptionFirstMonthPosition+1,GA$169&gt;SwaptionFirstMonthPosition+SwaptionNumOfMonths+1,$FJ194&gt;SwaptionFirstMonthPosition+SwaptionNumOfMonths+1),"",IF($FJ194=GA$169,1,IF($FJ194&lt;GA$169,INDEX($FK$170:$ID$241,GA$169,$FJ194),SUMPRODUCT(INDEX($FK$325:$ID$396,GA$169,1+SwaptionShift):INDEX($FK$325:$ID$396,GA$169,SwaptionMonthsToGo+SwaptionShift),INDEX($FK$245:$ID$316,$FJ194-GA$169,73-GA$169+SwaptionShift):INDEX($FK$245:$ID$316,$FJ194-GA$169,72-GA$169+SwaptionMonthsToGo+SwaptionShift))/SQRT(SUM(INDEX($FK349:$ID349,1+SwaptionShift):INDEX($FK349:$ID349,SwaptionMonthsToGo+SwaptionShift))*SUM(INDEX($FK$325:$ID$396,GA$169,1+SwaptionShift):INDEX($FK$325:$ID$396,GA$169,SwaptionMonthsToGo+SwaptionShift))))))</f>
        <v/>
      </c>
      <c r="GB194" s="150" t="str">
        <f aca="false">IF(OR(GB$169&lt;SwaptionFirstMonthPosition+1,$FJ194&lt;SwaptionFirstMonthPosition+1,GB$169&gt;SwaptionFirstMonthPosition+SwaptionNumOfMonths+1,$FJ194&gt;SwaptionFirstMonthPosition+SwaptionNumOfMonths+1),"",IF($FJ194=GB$169,1,IF($FJ194&lt;GB$169,INDEX($FK$170:$ID$241,GB$169,$FJ194),SUMPRODUCT(INDEX($FK$325:$ID$396,GB$169,1+SwaptionShift):INDEX($FK$325:$ID$396,GB$169,SwaptionMonthsToGo+SwaptionShift),INDEX($FK$245:$ID$316,$FJ194-GB$169,73-GB$169+SwaptionShift):INDEX($FK$245:$ID$316,$FJ194-GB$169,72-GB$169+SwaptionMonthsToGo+SwaptionShift))/SQRT(SUM(INDEX($FK349:$ID349,1+SwaptionShift):INDEX($FK349:$ID349,SwaptionMonthsToGo+SwaptionShift))*SUM(INDEX($FK$325:$ID$396,GB$169,1+SwaptionShift):INDEX($FK$325:$ID$396,GB$169,SwaptionMonthsToGo+SwaptionShift))))))</f>
        <v/>
      </c>
      <c r="GC194" s="150" t="str">
        <f aca="false">IF(OR(GC$169&lt;SwaptionFirstMonthPosition+1,$FJ194&lt;SwaptionFirstMonthPosition+1,GC$169&gt;SwaptionFirstMonthPosition+SwaptionNumOfMonths+1,$FJ194&gt;SwaptionFirstMonthPosition+SwaptionNumOfMonths+1),"",IF($FJ194=GC$169,1,IF($FJ194&lt;GC$169,INDEX($FK$170:$ID$241,GC$169,$FJ194),SUMPRODUCT(INDEX($FK$325:$ID$396,GC$169,1+SwaptionShift):INDEX($FK$325:$ID$396,GC$169,SwaptionMonthsToGo+SwaptionShift),INDEX($FK$245:$ID$316,$FJ194-GC$169,73-GC$169+SwaptionShift):INDEX($FK$245:$ID$316,$FJ194-GC$169,72-GC$169+SwaptionMonthsToGo+SwaptionShift))/SQRT(SUM(INDEX($FK349:$ID349,1+SwaptionShift):INDEX($FK349:$ID349,SwaptionMonthsToGo+SwaptionShift))*SUM(INDEX($FK$325:$ID$396,GC$169,1+SwaptionShift):INDEX($FK$325:$ID$396,GC$169,SwaptionMonthsToGo+SwaptionShift))))))</f>
        <v/>
      </c>
      <c r="GD194" s="150" t="str">
        <f aca="false">IF(OR(GD$169&lt;SwaptionFirstMonthPosition+1,$FJ194&lt;SwaptionFirstMonthPosition+1,GD$169&gt;SwaptionFirstMonthPosition+SwaptionNumOfMonths+1,$FJ194&gt;SwaptionFirstMonthPosition+SwaptionNumOfMonths+1),"",IF($FJ194=GD$169,1,IF($FJ194&lt;GD$169,INDEX($FK$170:$ID$241,GD$169,$FJ194),SUMPRODUCT(INDEX($FK$325:$ID$396,GD$169,1+SwaptionShift):INDEX($FK$325:$ID$396,GD$169,SwaptionMonthsToGo+SwaptionShift),INDEX($FK$245:$ID$316,$FJ194-GD$169,73-GD$169+SwaptionShift):INDEX($FK$245:$ID$316,$FJ194-GD$169,72-GD$169+SwaptionMonthsToGo+SwaptionShift))/SQRT(SUM(INDEX($FK349:$ID349,1+SwaptionShift):INDEX($FK349:$ID349,SwaptionMonthsToGo+SwaptionShift))*SUM(INDEX($FK$325:$ID$396,GD$169,1+SwaptionShift):INDEX($FK$325:$ID$396,GD$169,SwaptionMonthsToGo+SwaptionShift))))))</f>
        <v/>
      </c>
      <c r="GE194" s="150" t="str">
        <f aca="false">IF(OR(GE$169&lt;SwaptionFirstMonthPosition+1,$FJ194&lt;SwaptionFirstMonthPosition+1,GE$169&gt;SwaptionFirstMonthPosition+SwaptionNumOfMonths+1,$FJ194&gt;SwaptionFirstMonthPosition+SwaptionNumOfMonths+1),"",IF($FJ194=GE$169,1,IF($FJ194&lt;GE$169,INDEX($FK$170:$ID$241,GE$169,$FJ194),SUMPRODUCT(INDEX($FK$325:$ID$396,GE$169,1+SwaptionShift):INDEX($FK$325:$ID$396,GE$169,SwaptionMonthsToGo+SwaptionShift),INDEX($FK$245:$ID$316,$FJ194-GE$169,73-GE$169+SwaptionShift):INDEX($FK$245:$ID$316,$FJ194-GE$169,72-GE$169+SwaptionMonthsToGo+SwaptionShift))/SQRT(SUM(INDEX($FK349:$ID349,1+SwaptionShift):INDEX($FK349:$ID349,SwaptionMonthsToGo+SwaptionShift))*SUM(INDEX($FK$325:$ID$396,GE$169,1+SwaptionShift):INDEX($FK$325:$ID$396,GE$169,SwaptionMonthsToGo+SwaptionShift))))))</f>
        <v/>
      </c>
      <c r="GF194" s="150" t="str">
        <f aca="false">IF(OR(GF$169&lt;SwaptionFirstMonthPosition+1,$FJ194&lt;SwaptionFirstMonthPosition+1,GF$169&gt;SwaptionFirstMonthPosition+SwaptionNumOfMonths+1,$FJ194&gt;SwaptionFirstMonthPosition+SwaptionNumOfMonths+1),"",IF($FJ194=GF$169,1,IF($FJ194&lt;GF$169,INDEX($FK$170:$ID$241,GF$169,$FJ194),SUMPRODUCT(INDEX($FK$325:$ID$396,GF$169,1+SwaptionShift):INDEX($FK$325:$ID$396,GF$169,SwaptionMonthsToGo+SwaptionShift),INDEX($FK$245:$ID$316,$FJ194-GF$169,73-GF$169+SwaptionShift):INDEX($FK$245:$ID$316,$FJ194-GF$169,72-GF$169+SwaptionMonthsToGo+SwaptionShift))/SQRT(SUM(INDEX($FK349:$ID349,1+SwaptionShift):INDEX($FK349:$ID349,SwaptionMonthsToGo+SwaptionShift))*SUM(INDEX($FK$325:$ID$396,GF$169,1+SwaptionShift):INDEX($FK$325:$ID$396,GF$169,SwaptionMonthsToGo+SwaptionShift))))))</f>
        <v/>
      </c>
      <c r="GG194" s="150" t="str">
        <f aca="false">IF(OR(GG$169&lt;SwaptionFirstMonthPosition+1,$FJ194&lt;SwaptionFirstMonthPosition+1,GG$169&gt;SwaptionFirstMonthPosition+SwaptionNumOfMonths+1,$FJ194&gt;SwaptionFirstMonthPosition+SwaptionNumOfMonths+1),"",IF($FJ194=GG$169,1,IF($FJ194&lt;GG$169,INDEX($FK$170:$ID$241,GG$169,$FJ194),SUMPRODUCT(INDEX($FK$325:$ID$396,GG$169,1+SwaptionShift):INDEX($FK$325:$ID$396,GG$169,SwaptionMonthsToGo+SwaptionShift),INDEX($FK$245:$ID$316,$FJ194-GG$169,73-GG$169+SwaptionShift):INDEX($FK$245:$ID$316,$FJ194-GG$169,72-GG$169+SwaptionMonthsToGo+SwaptionShift))/SQRT(SUM(INDEX($FK349:$ID349,1+SwaptionShift):INDEX($FK349:$ID349,SwaptionMonthsToGo+SwaptionShift))*SUM(INDEX($FK$325:$ID$396,GG$169,1+SwaptionShift):INDEX($FK$325:$ID$396,GG$169,SwaptionMonthsToGo+SwaptionShift))))))</f>
        <v/>
      </c>
      <c r="GH194" s="150" t="str">
        <f aca="false">IF(OR(GH$169&lt;SwaptionFirstMonthPosition+1,$FJ194&lt;SwaptionFirstMonthPosition+1,GH$169&gt;SwaptionFirstMonthPosition+SwaptionNumOfMonths+1,$FJ194&gt;SwaptionFirstMonthPosition+SwaptionNumOfMonths+1),"",IF($FJ194=GH$169,1,IF($FJ194&lt;GH$169,INDEX($FK$170:$ID$241,GH$169,$FJ194),SUMPRODUCT(INDEX($FK$325:$ID$396,GH$169,1+SwaptionShift):INDEX($FK$325:$ID$396,GH$169,SwaptionMonthsToGo+SwaptionShift),INDEX($FK$245:$ID$316,$FJ194-GH$169,73-GH$169+SwaptionShift):INDEX($FK$245:$ID$316,$FJ194-GH$169,72-GH$169+SwaptionMonthsToGo+SwaptionShift))/SQRT(SUM(INDEX($FK349:$ID349,1+SwaptionShift):INDEX($FK349:$ID349,SwaptionMonthsToGo+SwaptionShift))*SUM(INDEX($FK$325:$ID$396,GH$169,1+SwaptionShift):INDEX($FK$325:$ID$396,GH$169,SwaptionMonthsToGo+SwaptionShift))))))</f>
        <v/>
      </c>
      <c r="GI194" s="150" t="str">
        <f aca="false">IF(OR(GI$169&lt;SwaptionFirstMonthPosition+1,$FJ194&lt;SwaptionFirstMonthPosition+1,GI$169&gt;SwaptionFirstMonthPosition+SwaptionNumOfMonths+1,$FJ194&gt;SwaptionFirstMonthPosition+SwaptionNumOfMonths+1),"",IF($FJ194=GI$169,1,IF($FJ194&lt;GI$169,INDEX($FK$170:$ID$241,GI$169,$FJ194),SUMPRODUCT(INDEX($FK$325:$ID$396,GI$169,1+SwaptionShift):INDEX($FK$325:$ID$396,GI$169,SwaptionMonthsToGo+SwaptionShift),INDEX($FK$245:$ID$316,$FJ194-GI$169,73-GI$169+SwaptionShift):INDEX($FK$245:$ID$316,$FJ194-GI$169,72-GI$169+SwaptionMonthsToGo+SwaptionShift))/SQRT(SUM(INDEX($FK349:$ID349,1+SwaptionShift):INDEX($FK349:$ID349,SwaptionMonthsToGo+SwaptionShift))*SUM(INDEX($FK$325:$ID$396,GI$169,1+SwaptionShift):INDEX($FK$325:$ID$396,GI$169,SwaptionMonthsToGo+SwaptionShift))))))</f>
        <v/>
      </c>
      <c r="GJ194" s="150" t="str">
        <f aca="false">IF(OR(GJ$169&lt;SwaptionFirstMonthPosition+1,$FJ194&lt;SwaptionFirstMonthPosition+1,GJ$169&gt;SwaptionFirstMonthPosition+SwaptionNumOfMonths+1,$FJ194&gt;SwaptionFirstMonthPosition+SwaptionNumOfMonths+1),"",IF($FJ194=GJ$169,1,IF($FJ194&lt;GJ$169,INDEX($FK$170:$ID$241,GJ$169,$FJ194),SUMPRODUCT(INDEX($FK$325:$ID$396,GJ$169,1+SwaptionShift):INDEX($FK$325:$ID$396,GJ$169,SwaptionMonthsToGo+SwaptionShift),INDEX($FK$245:$ID$316,$FJ194-GJ$169,73-GJ$169+SwaptionShift):INDEX($FK$245:$ID$316,$FJ194-GJ$169,72-GJ$169+SwaptionMonthsToGo+SwaptionShift))/SQRT(SUM(INDEX($FK349:$ID349,1+SwaptionShift):INDEX($FK349:$ID349,SwaptionMonthsToGo+SwaptionShift))*SUM(INDEX($FK$325:$ID$396,GJ$169,1+SwaptionShift):INDEX($FK$325:$ID$396,GJ$169,SwaptionMonthsToGo+SwaptionShift))))))</f>
        <v/>
      </c>
      <c r="GK194" s="150" t="str">
        <f aca="false">IF(OR(GK$169&lt;SwaptionFirstMonthPosition+1,$FJ194&lt;SwaptionFirstMonthPosition+1,GK$169&gt;SwaptionFirstMonthPosition+SwaptionNumOfMonths+1,$FJ194&gt;SwaptionFirstMonthPosition+SwaptionNumOfMonths+1),"",IF($FJ194=GK$169,1,IF($FJ194&lt;GK$169,INDEX($FK$170:$ID$241,GK$169,$FJ194),SUMPRODUCT(INDEX($FK$325:$ID$396,GK$169,1+SwaptionShift):INDEX($FK$325:$ID$396,GK$169,SwaptionMonthsToGo+SwaptionShift),INDEX($FK$245:$ID$316,$FJ194-GK$169,73-GK$169+SwaptionShift):INDEX($FK$245:$ID$316,$FJ194-GK$169,72-GK$169+SwaptionMonthsToGo+SwaptionShift))/SQRT(SUM(INDEX($FK349:$ID349,1+SwaptionShift):INDEX($FK349:$ID349,SwaptionMonthsToGo+SwaptionShift))*SUM(INDEX($FK$325:$ID$396,GK$169,1+SwaptionShift):INDEX($FK$325:$ID$396,GK$169,SwaptionMonthsToGo+SwaptionShift))))))</f>
        <v/>
      </c>
      <c r="GL194" s="150" t="str">
        <f aca="false">IF(OR(GL$169&lt;SwaptionFirstMonthPosition+1,$FJ194&lt;SwaptionFirstMonthPosition+1,GL$169&gt;SwaptionFirstMonthPosition+SwaptionNumOfMonths+1,$FJ194&gt;SwaptionFirstMonthPosition+SwaptionNumOfMonths+1),"",IF($FJ194=GL$169,1,IF($FJ194&lt;GL$169,INDEX($FK$170:$ID$241,GL$169,$FJ194),SUMPRODUCT(INDEX($FK$325:$ID$396,GL$169,1+SwaptionShift):INDEX($FK$325:$ID$396,GL$169,SwaptionMonthsToGo+SwaptionShift),INDEX($FK$245:$ID$316,$FJ194-GL$169,73-GL$169+SwaptionShift):INDEX($FK$245:$ID$316,$FJ194-GL$169,72-GL$169+SwaptionMonthsToGo+SwaptionShift))/SQRT(SUM(INDEX($FK349:$ID349,1+SwaptionShift):INDEX($FK349:$ID349,SwaptionMonthsToGo+SwaptionShift))*SUM(INDEX($FK$325:$ID$396,GL$169,1+SwaptionShift):INDEX($FK$325:$ID$396,GL$169,SwaptionMonthsToGo+SwaptionShift))))))</f>
        <v/>
      </c>
      <c r="GM194" s="150" t="str">
        <f aca="false">IF(OR(GM$169&lt;SwaptionFirstMonthPosition+1,$FJ194&lt;SwaptionFirstMonthPosition+1,GM$169&gt;SwaptionFirstMonthPosition+SwaptionNumOfMonths+1,$FJ194&gt;SwaptionFirstMonthPosition+SwaptionNumOfMonths+1),"",IF($FJ194=GM$169,1,IF($FJ194&lt;GM$169,INDEX($FK$170:$ID$241,GM$169,$FJ194),SUMPRODUCT(INDEX($FK$325:$ID$396,GM$169,1+SwaptionShift):INDEX($FK$325:$ID$396,GM$169,SwaptionMonthsToGo+SwaptionShift),INDEX($FK$245:$ID$316,$FJ194-GM$169,73-GM$169+SwaptionShift):INDEX($FK$245:$ID$316,$FJ194-GM$169,72-GM$169+SwaptionMonthsToGo+SwaptionShift))/SQRT(SUM(INDEX($FK349:$ID349,1+SwaptionShift):INDEX($FK349:$ID349,SwaptionMonthsToGo+SwaptionShift))*SUM(INDEX($FK$325:$ID$396,GM$169,1+SwaptionShift):INDEX($FK$325:$ID$396,GM$169,SwaptionMonthsToGo+SwaptionShift))))))</f>
        <v/>
      </c>
      <c r="GN194" s="150" t="str">
        <f aca="false">IF(OR(GN$169&lt;SwaptionFirstMonthPosition+1,$FJ194&lt;SwaptionFirstMonthPosition+1,GN$169&gt;SwaptionFirstMonthPosition+SwaptionNumOfMonths+1,$FJ194&gt;SwaptionFirstMonthPosition+SwaptionNumOfMonths+1),"",IF($FJ194=GN$169,1,IF($FJ194&lt;GN$169,INDEX($FK$170:$ID$241,GN$169,$FJ194),SUMPRODUCT(INDEX($FK$325:$ID$396,GN$169,1+SwaptionShift):INDEX($FK$325:$ID$396,GN$169,SwaptionMonthsToGo+SwaptionShift),INDEX($FK$245:$ID$316,$FJ194-GN$169,73-GN$169+SwaptionShift):INDEX($FK$245:$ID$316,$FJ194-GN$169,72-GN$169+SwaptionMonthsToGo+SwaptionShift))/SQRT(SUM(INDEX($FK349:$ID349,1+SwaptionShift):INDEX($FK349:$ID349,SwaptionMonthsToGo+SwaptionShift))*SUM(INDEX($FK$325:$ID$396,GN$169,1+SwaptionShift):INDEX($FK$325:$ID$396,GN$169,SwaptionMonthsToGo+SwaptionShift))))))</f>
        <v/>
      </c>
      <c r="GO194" s="150" t="str">
        <f aca="false">IF(OR(GO$169&lt;SwaptionFirstMonthPosition+1,$FJ194&lt;SwaptionFirstMonthPosition+1,GO$169&gt;SwaptionFirstMonthPosition+SwaptionNumOfMonths+1,$FJ194&gt;SwaptionFirstMonthPosition+SwaptionNumOfMonths+1),"",IF($FJ194=GO$169,1,IF($FJ194&lt;GO$169,INDEX($FK$170:$ID$241,GO$169,$FJ194),SUMPRODUCT(INDEX($FK$325:$ID$396,GO$169,1+SwaptionShift):INDEX($FK$325:$ID$396,GO$169,SwaptionMonthsToGo+SwaptionShift),INDEX($FK$245:$ID$316,$FJ194-GO$169,73-GO$169+SwaptionShift):INDEX($FK$245:$ID$316,$FJ194-GO$169,72-GO$169+SwaptionMonthsToGo+SwaptionShift))/SQRT(SUM(INDEX($FK349:$ID349,1+SwaptionShift):INDEX($FK349:$ID349,SwaptionMonthsToGo+SwaptionShift))*SUM(INDEX($FK$325:$ID$396,GO$169,1+SwaptionShift):INDEX($FK$325:$ID$396,GO$169,SwaptionMonthsToGo+SwaptionShift))))))</f>
        <v/>
      </c>
      <c r="GP194" s="150" t="str">
        <f aca="false">IF(OR(GP$169&lt;SwaptionFirstMonthPosition+1,$FJ194&lt;SwaptionFirstMonthPosition+1,GP$169&gt;SwaptionFirstMonthPosition+SwaptionNumOfMonths+1,$FJ194&gt;SwaptionFirstMonthPosition+SwaptionNumOfMonths+1),"",IF($FJ194=GP$169,1,IF($FJ194&lt;GP$169,INDEX($FK$170:$ID$241,GP$169,$FJ194),SUMPRODUCT(INDEX($FK$325:$ID$396,GP$169,1+SwaptionShift):INDEX($FK$325:$ID$396,GP$169,SwaptionMonthsToGo+SwaptionShift),INDEX($FK$245:$ID$316,$FJ194-GP$169,73-GP$169+SwaptionShift):INDEX($FK$245:$ID$316,$FJ194-GP$169,72-GP$169+SwaptionMonthsToGo+SwaptionShift))/SQRT(SUM(INDEX($FK349:$ID349,1+SwaptionShift):INDEX($FK349:$ID349,SwaptionMonthsToGo+SwaptionShift))*SUM(INDEX($FK$325:$ID$396,GP$169,1+SwaptionShift):INDEX($FK$325:$ID$396,GP$169,SwaptionMonthsToGo+SwaptionShift))))))</f>
        <v/>
      </c>
      <c r="GQ194" s="150" t="str">
        <f aca="false">IF(OR(GQ$169&lt;SwaptionFirstMonthPosition+1,$FJ194&lt;SwaptionFirstMonthPosition+1,GQ$169&gt;SwaptionFirstMonthPosition+SwaptionNumOfMonths+1,$FJ194&gt;SwaptionFirstMonthPosition+SwaptionNumOfMonths+1),"",IF($FJ194=GQ$169,1,IF($FJ194&lt;GQ$169,INDEX($FK$170:$ID$241,GQ$169,$FJ194),SUMPRODUCT(INDEX($FK$325:$ID$396,GQ$169,1+SwaptionShift):INDEX($FK$325:$ID$396,GQ$169,SwaptionMonthsToGo+SwaptionShift),INDEX($FK$245:$ID$316,$FJ194-GQ$169,73-GQ$169+SwaptionShift):INDEX($FK$245:$ID$316,$FJ194-GQ$169,72-GQ$169+SwaptionMonthsToGo+SwaptionShift))/SQRT(SUM(INDEX($FK349:$ID349,1+SwaptionShift):INDEX($FK349:$ID349,SwaptionMonthsToGo+SwaptionShift))*SUM(INDEX($FK$325:$ID$396,GQ$169,1+SwaptionShift):INDEX($FK$325:$ID$396,GQ$169,SwaptionMonthsToGo+SwaptionShift))))))</f>
        <v/>
      </c>
      <c r="GR194" s="150" t="str">
        <f aca="false">IF(OR(GR$169&lt;SwaptionFirstMonthPosition+1,$FJ194&lt;SwaptionFirstMonthPosition+1,GR$169&gt;SwaptionFirstMonthPosition+SwaptionNumOfMonths+1,$FJ194&gt;SwaptionFirstMonthPosition+SwaptionNumOfMonths+1),"",IF($FJ194=GR$169,1,IF($FJ194&lt;GR$169,INDEX($FK$170:$ID$241,GR$169,$FJ194),SUMPRODUCT(INDEX($FK$325:$ID$396,GR$169,1+SwaptionShift):INDEX($FK$325:$ID$396,GR$169,SwaptionMonthsToGo+SwaptionShift),INDEX($FK$245:$ID$316,$FJ194-GR$169,73-GR$169+SwaptionShift):INDEX($FK$245:$ID$316,$FJ194-GR$169,72-GR$169+SwaptionMonthsToGo+SwaptionShift))/SQRT(SUM(INDEX($FK349:$ID349,1+SwaptionShift):INDEX($FK349:$ID349,SwaptionMonthsToGo+SwaptionShift))*SUM(INDEX($FK$325:$ID$396,GR$169,1+SwaptionShift):INDEX($FK$325:$ID$396,GR$169,SwaptionMonthsToGo+SwaptionShift))))))</f>
        <v/>
      </c>
      <c r="GS194" s="150" t="str">
        <f aca="false">IF(OR(GS$169&lt;SwaptionFirstMonthPosition+1,$FJ194&lt;SwaptionFirstMonthPosition+1,GS$169&gt;SwaptionFirstMonthPosition+SwaptionNumOfMonths+1,$FJ194&gt;SwaptionFirstMonthPosition+SwaptionNumOfMonths+1),"",IF($FJ194=GS$169,1,IF($FJ194&lt;GS$169,INDEX($FK$170:$ID$241,GS$169,$FJ194),SUMPRODUCT(INDEX($FK$325:$ID$396,GS$169,1+SwaptionShift):INDEX($FK$325:$ID$396,GS$169,SwaptionMonthsToGo+SwaptionShift),INDEX($FK$245:$ID$316,$FJ194-GS$169,73-GS$169+SwaptionShift):INDEX($FK$245:$ID$316,$FJ194-GS$169,72-GS$169+SwaptionMonthsToGo+SwaptionShift))/SQRT(SUM(INDEX($FK349:$ID349,1+SwaptionShift):INDEX($FK349:$ID349,SwaptionMonthsToGo+SwaptionShift))*SUM(INDEX($FK$325:$ID$396,GS$169,1+SwaptionShift):INDEX($FK$325:$ID$396,GS$169,SwaptionMonthsToGo+SwaptionShift))))))</f>
        <v/>
      </c>
      <c r="GT194" s="150" t="str">
        <f aca="false">IF(OR(GT$169&lt;SwaptionFirstMonthPosition+1,$FJ194&lt;SwaptionFirstMonthPosition+1,GT$169&gt;SwaptionFirstMonthPosition+SwaptionNumOfMonths+1,$FJ194&gt;SwaptionFirstMonthPosition+SwaptionNumOfMonths+1),"",IF($FJ194=GT$169,1,IF($FJ194&lt;GT$169,INDEX($FK$170:$ID$241,GT$169,$FJ194),SUMPRODUCT(INDEX($FK$325:$ID$396,GT$169,1+SwaptionShift):INDEX($FK$325:$ID$396,GT$169,SwaptionMonthsToGo+SwaptionShift),INDEX($FK$245:$ID$316,$FJ194-GT$169,73-GT$169+SwaptionShift):INDEX($FK$245:$ID$316,$FJ194-GT$169,72-GT$169+SwaptionMonthsToGo+SwaptionShift))/SQRT(SUM(INDEX($FK349:$ID349,1+SwaptionShift):INDEX($FK349:$ID349,SwaptionMonthsToGo+SwaptionShift))*SUM(INDEX($FK$325:$ID$396,GT$169,1+SwaptionShift):INDEX($FK$325:$ID$396,GT$169,SwaptionMonthsToGo+SwaptionShift))))))</f>
        <v/>
      </c>
      <c r="GU194" s="150" t="str">
        <f aca="false">IF(OR(GU$169&lt;SwaptionFirstMonthPosition+1,$FJ194&lt;SwaptionFirstMonthPosition+1,GU$169&gt;SwaptionFirstMonthPosition+SwaptionNumOfMonths+1,$FJ194&gt;SwaptionFirstMonthPosition+SwaptionNumOfMonths+1),"",IF($FJ194=GU$169,1,IF($FJ194&lt;GU$169,INDEX($FK$170:$ID$241,GU$169,$FJ194),SUMPRODUCT(INDEX($FK$325:$ID$396,GU$169,1+SwaptionShift):INDEX($FK$325:$ID$396,GU$169,SwaptionMonthsToGo+SwaptionShift),INDEX($FK$245:$ID$316,$FJ194-GU$169,73-GU$169+SwaptionShift):INDEX($FK$245:$ID$316,$FJ194-GU$169,72-GU$169+SwaptionMonthsToGo+SwaptionShift))/SQRT(SUM(INDEX($FK349:$ID349,1+SwaptionShift):INDEX($FK349:$ID349,SwaptionMonthsToGo+SwaptionShift))*SUM(INDEX($FK$325:$ID$396,GU$169,1+SwaptionShift):INDEX($FK$325:$ID$396,GU$169,SwaptionMonthsToGo+SwaptionShift))))))</f>
        <v/>
      </c>
      <c r="GV194" s="150" t="str">
        <f aca="false">IF(OR(GV$169&lt;SwaptionFirstMonthPosition+1,$FJ194&lt;SwaptionFirstMonthPosition+1,GV$169&gt;SwaptionFirstMonthPosition+SwaptionNumOfMonths+1,$FJ194&gt;SwaptionFirstMonthPosition+SwaptionNumOfMonths+1),"",IF($FJ194=GV$169,1,IF($FJ194&lt;GV$169,INDEX($FK$170:$ID$241,GV$169,$FJ194),SUMPRODUCT(INDEX($FK$325:$ID$396,GV$169,1+SwaptionShift):INDEX($FK$325:$ID$396,GV$169,SwaptionMonthsToGo+SwaptionShift),INDEX($FK$245:$ID$316,$FJ194-GV$169,73-GV$169+SwaptionShift):INDEX($FK$245:$ID$316,$FJ194-GV$169,72-GV$169+SwaptionMonthsToGo+SwaptionShift))/SQRT(SUM(INDEX($FK349:$ID349,1+SwaptionShift):INDEX($FK349:$ID349,SwaptionMonthsToGo+SwaptionShift))*SUM(INDEX($FK$325:$ID$396,GV$169,1+SwaptionShift):INDEX($FK$325:$ID$396,GV$169,SwaptionMonthsToGo+SwaptionShift))))))</f>
        <v/>
      </c>
      <c r="GW194" s="150" t="str">
        <f aca="false">IF(OR(GW$169&lt;SwaptionFirstMonthPosition+1,$FJ194&lt;SwaptionFirstMonthPosition+1,GW$169&gt;SwaptionFirstMonthPosition+SwaptionNumOfMonths+1,$FJ194&gt;SwaptionFirstMonthPosition+SwaptionNumOfMonths+1),"",IF($FJ194=GW$169,1,IF($FJ194&lt;GW$169,INDEX($FK$170:$ID$241,GW$169,$FJ194),SUMPRODUCT(INDEX($FK$325:$ID$396,GW$169,1+SwaptionShift):INDEX($FK$325:$ID$396,GW$169,SwaptionMonthsToGo+SwaptionShift),INDEX($FK$245:$ID$316,$FJ194-GW$169,73-GW$169+SwaptionShift):INDEX($FK$245:$ID$316,$FJ194-GW$169,72-GW$169+SwaptionMonthsToGo+SwaptionShift))/SQRT(SUM(INDEX($FK349:$ID349,1+SwaptionShift):INDEX($FK349:$ID349,SwaptionMonthsToGo+SwaptionShift))*SUM(INDEX($FK$325:$ID$396,GW$169,1+SwaptionShift):INDEX($FK$325:$ID$396,GW$169,SwaptionMonthsToGo+SwaptionShift))))))</f>
        <v/>
      </c>
      <c r="GX194" s="150" t="str">
        <f aca="false">IF(OR(GX$169&lt;SwaptionFirstMonthPosition+1,$FJ194&lt;SwaptionFirstMonthPosition+1,GX$169&gt;SwaptionFirstMonthPosition+SwaptionNumOfMonths+1,$FJ194&gt;SwaptionFirstMonthPosition+SwaptionNumOfMonths+1),"",IF($FJ194=GX$169,1,IF($FJ194&lt;GX$169,INDEX($FK$170:$ID$241,GX$169,$FJ194),SUMPRODUCT(INDEX($FK$325:$ID$396,GX$169,1+SwaptionShift):INDEX($FK$325:$ID$396,GX$169,SwaptionMonthsToGo+SwaptionShift),INDEX($FK$245:$ID$316,$FJ194-GX$169,73-GX$169+SwaptionShift):INDEX($FK$245:$ID$316,$FJ194-GX$169,72-GX$169+SwaptionMonthsToGo+SwaptionShift))/SQRT(SUM(INDEX($FK349:$ID349,1+SwaptionShift):INDEX($FK349:$ID349,SwaptionMonthsToGo+SwaptionShift))*SUM(INDEX($FK$325:$ID$396,GX$169,1+SwaptionShift):INDEX($FK$325:$ID$396,GX$169,SwaptionMonthsToGo+SwaptionShift))))))</f>
        <v/>
      </c>
      <c r="GY194" s="150" t="str">
        <f aca="false">IF(OR(GY$169&lt;SwaptionFirstMonthPosition+1,$FJ194&lt;SwaptionFirstMonthPosition+1,GY$169&gt;SwaptionFirstMonthPosition+SwaptionNumOfMonths+1,$FJ194&gt;SwaptionFirstMonthPosition+SwaptionNumOfMonths+1),"",IF($FJ194=GY$169,1,IF($FJ194&lt;GY$169,INDEX($FK$170:$ID$241,GY$169,$FJ194),SUMPRODUCT(INDEX($FK$325:$ID$396,GY$169,1+SwaptionShift):INDEX($FK$325:$ID$396,GY$169,SwaptionMonthsToGo+SwaptionShift),INDEX($FK$245:$ID$316,$FJ194-GY$169,73-GY$169+SwaptionShift):INDEX($FK$245:$ID$316,$FJ194-GY$169,72-GY$169+SwaptionMonthsToGo+SwaptionShift))/SQRT(SUM(INDEX($FK349:$ID349,1+SwaptionShift):INDEX($FK349:$ID349,SwaptionMonthsToGo+SwaptionShift))*SUM(INDEX($FK$325:$ID$396,GY$169,1+SwaptionShift):INDEX($FK$325:$ID$396,GY$169,SwaptionMonthsToGo+SwaptionShift))))))</f>
        <v/>
      </c>
      <c r="GZ194" s="150" t="str">
        <f aca="false">IF(OR(GZ$169&lt;SwaptionFirstMonthPosition+1,$FJ194&lt;SwaptionFirstMonthPosition+1,GZ$169&gt;SwaptionFirstMonthPosition+SwaptionNumOfMonths+1,$FJ194&gt;SwaptionFirstMonthPosition+SwaptionNumOfMonths+1),"",IF($FJ194=GZ$169,1,IF($FJ194&lt;GZ$169,INDEX($FK$170:$ID$241,GZ$169,$FJ194),SUMPRODUCT(INDEX($FK$325:$ID$396,GZ$169,1+SwaptionShift):INDEX($FK$325:$ID$396,GZ$169,SwaptionMonthsToGo+SwaptionShift),INDEX($FK$245:$ID$316,$FJ194-GZ$169,73-GZ$169+SwaptionShift):INDEX($FK$245:$ID$316,$FJ194-GZ$169,72-GZ$169+SwaptionMonthsToGo+SwaptionShift))/SQRT(SUM(INDEX($FK349:$ID349,1+SwaptionShift):INDEX($FK349:$ID349,SwaptionMonthsToGo+SwaptionShift))*SUM(INDEX($FK$325:$ID$396,GZ$169,1+SwaptionShift):INDEX($FK$325:$ID$396,GZ$169,SwaptionMonthsToGo+SwaptionShift))))))</f>
        <v/>
      </c>
      <c r="HA194" s="150" t="str">
        <f aca="false">IF(OR(HA$169&lt;SwaptionFirstMonthPosition+1,$FJ194&lt;SwaptionFirstMonthPosition+1,HA$169&gt;SwaptionFirstMonthPosition+SwaptionNumOfMonths+1,$FJ194&gt;SwaptionFirstMonthPosition+SwaptionNumOfMonths+1),"",IF($FJ194=HA$169,1,IF($FJ194&lt;HA$169,INDEX($FK$170:$ID$241,HA$169,$FJ194),SUMPRODUCT(INDEX($FK$325:$ID$396,HA$169,1+SwaptionShift):INDEX($FK$325:$ID$396,HA$169,SwaptionMonthsToGo+SwaptionShift),INDEX($FK$245:$ID$316,$FJ194-HA$169,73-HA$169+SwaptionShift):INDEX($FK$245:$ID$316,$FJ194-HA$169,72-HA$169+SwaptionMonthsToGo+SwaptionShift))/SQRT(SUM(INDEX($FK349:$ID349,1+SwaptionShift):INDEX($FK349:$ID349,SwaptionMonthsToGo+SwaptionShift))*SUM(INDEX($FK$325:$ID$396,HA$169,1+SwaptionShift):INDEX($FK$325:$ID$396,HA$169,SwaptionMonthsToGo+SwaptionShift))))))</f>
        <v/>
      </c>
      <c r="HB194" s="150" t="str">
        <f aca="false">IF(OR(HB$169&lt;SwaptionFirstMonthPosition+1,$FJ194&lt;SwaptionFirstMonthPosition+1,HB$169&gt;SwaptionFirstMonthPosition+SwaptionNumOfMonths+1,$FJ194&gt;SwaptionFirstMonthPosition+SwaptionNumOfMonths+1),"",IF($FJ194=HB$169,1,IF($FJ194&lt;HB$169,INDEX($FK$170:$ID$241,HB$169,$FJ194),SUMPRODUCT(INDEX($FK$325:$ID$396,HB$169,1+SwaptionShift):INDEX($FK$325:$ID$396,HB$169,SwaptionMonthsToGo+SwaptionShift),INDEX($FK$245:$ID$316,$FJ194-HB$169,73-HB$169+SwaptionShift):INDEX($FK$245:$ID$316,$FJ194-HB$169,72-HB$169+SwaptionMonthsToGo+SwaptionShift))/SQRT(SUM(INDEX($FK349:$ID349,1+SwaptionShift):INDEX($FK349:$ID349,SwaptionMonthsToGo+SwaptionShift))*SUM(INDEX($FK$325:$ID$396,HB$169,1+SwaptionShift):INDEX($FK$325:$ID$396,HB$169,SwaptionMonthsToGo+SwaptionShift))))))</f>
        <v/>
      </c>
      <c r="HC194" s="150" t="str">
        <f aca="false">IF(OR(HC$169&lt;SwaptionFirstMonthPosition+1,$FJ194&lt;SwaptionFirstMonthPosition+1,HC$169&gt;SwaptionFirstMonthPosition+SwaptionNumOfMonths+1,$FJ194&gt;SwaptionFirstMonthPosition+SwaptionNumOfMonths+1),"",IF($FJ194=HC$169,1,IF($FJ194&lt;HC$169,INDEX($FK$170:$ID$241,HC$169,$FJ194),SUMPRODUCT(INDEX($FK$325:$ID$396,HC$169,1+SwaptionShift):INDEX($FK$325:$ID$396,HC$169,SwaptionMonthsToGo+SwaptionShift),INDEX($FK$245:$ID$316,$FJ194-HC$169,73-HC$169+SwaptionShift):INDEX($FK$245:$ID$316,$FJ194-HC$169,72-HC$169+SwaptionMonthsToGo+SwaptionShift))/SQRT(SUM(INDEX($FK349:$ID349,1+SwaptionShift):INDEX($FK349:$ID349,SwaptionMonthsToGo+SwaptionShift))*SUM(INDEX($FK$325:$ID$396,HC$169,1+SwaptionShift):INDEX($FK$325:$ID$396,HC$169,SwaptionMonthsToGo+SwaptionShift))))))</f>
        <v/>
      </c>
      <c r="HD194" s="150" t="str">
        <f aca="false">IF(OR(HD$169&lt;SwaptionFirstMonthPosition+1,$FJ194&lt;SwaptionFirstMonthPosition+1,HD$169&gt;SwaptionFirstMonthPosition+SwaptionNumOfMonths+1,$FJ194&gt;SwaptionFirstMonthPosition+SwaptionNumOfMonths+1),"",IF($FJ194=HD$169,1,IF($FJ194&lt;HD$169,INDEX($FK$170:$ID$241,HD$169,$FJ194),SUMPRODUCT(INDEX($FK$325:$ID$396,HD$169,1+SwaptionShift):INDEX($FK$325:$ID$396,HD$169,SwaptionMonthsToGo+SwaptionShift),INDEX($FK$245:$ID$316,$FJ194-HD$169,73-HD$169+SwaptionShift):INDEX($FK$245:$ID$316,$FJ194-HD$169,72-HD$169+SwaptionMonthsToGo+SwaptionShift))/SQRT(SUM(INDEX($FK349:$ID349,1+SwaptionShift):INDEX($FK349:$ID349,SwaptionMonthsToGo+SwaptionShift))*SUM(INDEX($FK$325:$ID$396,HD$169,1+SwaptionShift):INDEX($FK$325:$ID$396,HD$169,SwaptionMonthsToGo+SwaptionShift))))))</f>
        <v/>
      </c>
      <c r="HE194" s="150" t="str">
        <f aca="false">IF(OR(HE$169&lt;SwaptionFirstMonthPosition+1,$FJ194&lt;SwaptionFirstMonthPosition+1,HE$169&gt;SwaptionFirstMonthPosition+SwaptionNumOfMonths+1,$FJ194&gt;SwaptionFirstMonthPosition+SwaptionNumOfMonths+1),"",IF($FJ194=HE$169,1,IF($FJ194&lt;HE$169,INDEX($FK$170:$ID$241,HE$169,$FJ194),SUMPRODUCT(INDEX($FK$325:$ID$396,HE$169,1+SwaptionShift):INDEX($FK$325:$ID$396,HE$169,SwaptionMonthsToGo+SwaptionShift),INDEX($FK$245:$ID$316,$FJ194-HE$169,73-HE$169+SwaptionShift):INDEX($FK$245:$ID$316,$FJ194-HE$169,72-HE$169+SwaptionMonthsToGo+SwaptionShift))/SQRT(SUM(INDEX($FK349:$ID349,1+SwaptionShift):INDEX($FK349:$ID349,SwaptionMonthsToGo+SwaptionShift))*SUM(INDEX($FK$325:$ID$396,HE$169,1+SwaptionShift):INDEX($FK$325:$ID$396,HE$169,SwaptionMonthsToGo+SwaptionShift))))))</f>
        <v/>
      </c>
      <c r="HF194" s="150" t="str">
        <f aca="false">IF(OR(HF$169&lt;SwaptionFirstMonthPosition+1,$FJ194&lt;SwaptionFirstMonthPosition+1,HF$169&gt;SwaptionFirstMonthPosition+SwaptionNumOfMonths+1,$FJ194&gt;SwaptionFirstMonthPosition+SwaptionNumOfMonths+1),"",IF($FJ194=HF$169,1,IF($FJ194&lt;HF$169,INDEX($FK$170:$ID$241,HF$169,$FJ194),SUMPRODUCT(INDEX($FK$325:$ID$396,HF$169,1+SwaptionShift):INDEX($FK$325:$ID$396,HF$169,SwaptionMonthsToGo+SwaptionShift),INDEX($FK$245:$ID$316,$FJ194-HF$169,73-HF$169+SwaptionShift):INDEX($FK$245:$ID$316,$FJ194-HF$169,72-HF$169+SwaptionMonthsToGo+SwaptionShift))/SQRT(SUM(INDEX($FK349:$ID349,1+SwaptionShift):INDEX($FK349:$ID349,SwaptionMonthsToGo+SwaptionShift))*SUM(INDEX($FK$325:$ID$396,HF$169,1+SwaptionShift):INDEX($FK$325:$ID$396,HF$169,SwaptionMonthsToGo+SwaptionShift))))))</f>
        <v/>
      </c>
      <c r="HG194" s="150" t="str">
        <f aca="false">IF(OR(HG$169&lt;SwaptionFirstMonthPosition+1,$FJ194&lt;SwaptionFirstMonthPosition+1,HG$169&gt;SwaptionFirstMonthPosition+SwaptionNumOfMonths+1,$FJ194&gt;SwaptionFirstMonthPosition+SwaptionNumOfMonths+1),"",IF($FJ194=HG$169,1,IF($FJ194&lt;HG$169,INDEX($FK$170:$ID$241,HG$169,$FJ194),SUMPRODUCT(INDEX($FK$325:$ID$396,HG$169,1+SwaptionShift):INDEX($FK$325:$ID$396,HG$169,SwaptionMonthsToGo+SwaptionShift),INDEX($FK$245:$ID$316,$FJ194-HG$169,73-HG$169+SwaptionShift):INDEX($FK$245:$ID$316,$FJ194-HG$169,72-HG$169+SwaptionMonthsToGo+SwaptionShift))/SQRT(SUM(INDEX($FK349:$ID349,1+SwaptionShift):INDEX($FK349:$ID349,SwaptionMonthsToGo+SwaptionShift))*SUM(INDEX($FK$325:$ID$396,HG$169,1+SwaptionShift):INDEX($FK$325:$ID$396,HG$169,SwaptionMonthsToGo+SwaptionShift))))))</f>
        <v/>
      </c>
      <c r="HH194" s="150" t="str">
        <f aca="false">IF(OR(HH$169&lt;SwaptionFirstMonthPosition+1,$FJ194&lt;SwaptionFirstMonthPosition+1,HH$169&gt;SwaptionFirstMonthPosition+SwaptionNumOfMonths+1,$FJ194&gt;SwaptionFirstMonthPosition+SwaptionNumOfMonths+1),"",IF($FJ194=HH$169,1,IF($FJ194&lt;HH$169,INDEX($FK$170:$ID$241,HH$169,$FJ194),SUMPRODUCT(INDEX($FK$325:$ID$396,HH$169,1+SwaptionShift):INDEX($FK$325:$ID$396,HH$169,SwaptionMonthsToGo+SwaptionShift),INDEX($FK$245:$ID$316,$FJ194-HH$169,73-HH$169+SwaptionShift):INDEX($FK$245:$ID$316,$FJ194-HH$169,72-HH$169+SwaptionMonthsToGo+SwaptionShift))/SQRT(SUM(INDEX($FK349:$ID349,1+SwaptionShift):INDEX($FK349:$ID349,SwaptionMonthsToGo+SwaptionShift))*SUM(INDEX($FK$325:$ID$396,HH$169,1+SwaptionShift):INDEX($FK$325:$ID$396,HH$169,SwaptionMonthsToGo+SwaptionShift))))))</f>
        <v/>
      </c>
      <c r="HI194" s="150" t="str">
        <f aca="false">IF(OR(HI$169&lt;SwaptionFirstMonthPosition+1,$FJ194&lt;SwaptionFirstMonthPosition+1,HI$169&gt;SwaptionFirstMonthPosition+SwaptionNumOfMonths+1,$FJ194&gt;SwaptionFirstMonthPosition+SwaptionNumOfMonths+1),"",IF($FJ194=HI$169,1,IF($FJ194&lt;HI$169,INDEX($FK$170:$ID$241,HI$169,$FJ194),SUMPRODUCT(INDEX($FK$325:$ID$396,HI$169,1+SwaptionShift):INDEX($FK$325:$ID$396,HI$169,SwaptionMonthsToGo+SwaptionShift),INDEX($FK$245:$ID$316,$FJ194-HI$169,73-HI$169+SwaptionShift):INDEX($FK$245:$ID$316,$FJ194-HI$169,72-HI$169+SwaptionMonthsToGo+SwaptionShift))/SQRT(SUM(INDEX($FK349:$ID349,1+SwaptionShift):INDEX($FK349:$ID349,SwaptionMonthsToGo+SwaptionShift))*SUM(INDEX($FK$325:$ID$396,HI$169,1+SwaptionShift):INDEX($FK$325:$ID$396,HI$169,SwaptionMonthsToGo+SwaptionShift))))))</f>
        <v/>
      </c>
      <c r="HJ194" s="150" t="str">
        <f aca="false">IF(OR(HJ$169&lt;SwaptionFirstMonthPosition+1,$FJ194&lt;SwaptionFirstMonthPosition+1,HJ$169&gt;SwaptionFirstMonthPosition+SwaptionNumOfMonths+1,$FJ194&gt;SwaptionFirstMonthPosition+SwaptionNumOfMonths+1),"",IF($FJ194=HJ$169,1,IF($FJ194&lt;HJ$169,INDEX($FK$170:$ID$241,HJ$169,$FJ194),SUMPRODUCT(INDEX($FK$325:$ID$396,HJ$169,1+SwaptionShift):INDEX($FK$325:$ID$396,HJ$169,SwaptionMonthsToGo+SwaptionShift),INDEX($FK$245:$ID$316,$FJ194-HJ$169,73-HJ$169+SwaptionShift):INDEX($FK$245:$ID$316,$FJ194-HJ$169,72-HJ$169+SwaptionMonthsToGo+SwaptionShift))/SQRT(SUM(INDEX($FK349:$ID349,1+SwaptionShift):INDEX($FK349:$ID349,SwaptionMonthsToGo+SwaptionShift))*SUM(INDEX($FK$325:$ID$396,HJ$169,1+SwaptionShift):INDEX($FK$325:$ID$396,HJ$169,SwaptionMonthsToGo+SwaptionShift))))))</f>
        <v/>
      </c>
      <c r="HK194" s="150" t="str">
        <f aca="false">IF(OR(HK$169&lt;SwaptionFirstMonthPosition+1,$FJ194&lt;SwaptionFirstMonthPosition+1,HK$169&gt;SwaptionFirstMonthPosition+SwaptionNumOfMonths+1,$FJ194&gt;SwaptionFirstMonthPosition+SwaptionNumOfMonths+1),"",IF($FJ194=HK$169,1,IF($FJ194&lt;HK$169,INDEX($FK$170:$ID$241,HK$169,$FJ194),SUMPRODUCT(INDEX($FK$325:$ID$396,HK$169,1+SwaptionShift):INDEX($FK$325:$ID$396,HK$169,SwaptionMonthsToGo+SwaptionShift),INDEX($FK$245:$ID$316,$FJ194-HK$169,73-HK$169+SwaptionShift):INDEX($FK$245:$ID$316,$FJ194-HK$169,72-HK$169+SwaptionMonthsToGo+SwaptionShift))/SQRT(SUM(INDEX($FK349:$ID349,1+SwaptionShift):INDEX($FK349:$ID349,SwaptionMonthsToGo+SwaptionShift))*SUM(INDEX($FK$325:$ID$396,HK$169,1+SwaptionShift):INDEX($FK$325:$ID$396,HK$169,SwaptionMonthsToGo+SwaptionShift))))))</f>
        <v/>
      </c>
      <c r="HL194" s="150" t="str">
        <f aca="false">IF(OR(HL$169&lt;SwaptionFirstMonthPosition+1,$FJ194&lt;SwaptionFirstMonthPosition+1,HL$169&gt;SwaptionFirstMonthPosition+SwaptionNumOfMonths+1,$FJ194&gt;SwaptionFirstMonthPosition+SwaptionNumOfMonths+1),"",IF($FJ194=HL$169,1,IF($FJ194&lt;HL$169,INDEX($FK$170:$ID$241,HL$169,$FJ194),SUMPRODUCT(INDEX($FK$325:$ID$396,HL$169,1+SwaptionShift):INDEX($FK$325:$ID$396,HL$169,SwaptionMonthsToGo+SwaptionShift),INDEX($FK$245:$ID$316,$FJ194-HL$169,73-HL$169+SwaptionShift):INDEX($FK$245:$ID$316,$FJ194-HL$169,72-HL$169+SwaptionMonthsToGo+SwaptionShift))/SQRT(SUM(INDEX($FK349:$ID349,1+SwaptionShift):INDEX($FK349:$ID349,SwaptionMonthsToGo+SwaptionShift))*SUM(INDEX($FK$325:$ID$396,HL$169,1+SwaptionShift):INDEX($FK$325:$ID$396,HL$169,SwaptionMonthsToGo+SwaptionShift))))))</f>
        <v/>
      </c>
      <c r="HM194" s="150" t="str">
        <f aca="false">IF(OR(HM$169&lt;SwaptionFirstMonthPosition+1,$FJ194&lt;SwaptionFirstMonthPosition+1,HM$169&gt;SwaptionFirstMonthPosition+SwaptionNumOfMonths+1,$FJ194&gt;SwaptionFirstMonthPosition+SwaptionNumOfMonths+1),"",IF($FJ194=HM$169,1,IF($FJ194&lt;HM$169,INDEX($FK$170:$ID$241,HM$169,$FJ194),SUMPRODUCT(INDEX($FK$325:$ID$396,HM$169,1+SwaptionShift):INDEX($FK$325:$ID$396,HM$169,SwaptionMonthsToGo+SwaptionShift),INDEX($FK$245:$ID$316,$FJ194-HM$169,73-HM$169+SwaptionShift):INDEX($FK$245:$ID$316,$FJ194-HM$169,72-HM$169+SwaptionMonthsToGo+SwaptionShift))/SQRT(SUM(INDEX($FK349:$ID349,1+SwaptionShift):INDEX($FK349:$ID349,SwaptionMonthsToGo+SwaptionShift))*SUM(INDEX($FK$325:$ID$396,HM$169,1+SwaptionShift):INDEX($FK$325:$ID$396,HM$169,SwaptionMonthsToGo+SwaptionShift))))))</f>
        <v/>
      </c>
      <c r="HN194" s="150" t="str">
        <f aca="false">IF(OR(HN$169&lt;SwaptionFirstMonthPosition+1,$FJ194&lt;SwaptionFirstMonthPosition+1,HN$169&gt;SwaptionFirstMonthPosition+SwaptionNumOfMonths+1,$FJ194&gt;SwaptionFirstMonthPosition+SwaptionNumOfMonths+1),"",IF($FJ194=HN$169,1,IF($FJ194&lt;HN$169,INDEX($FK$170:$ID$241,HN$169,$FJ194),SUMPRODUCT(INDEX($FK$325:$ID$396,HN$169,1+SwaptionShift):INDEX($FK$325:$ID$396,HN$169,SwaptionMonthsToGo+SwaptionShift),INDEX($FK$245:$ID$316,$FJ194-HN$169,73-HN$169+SwaptionShift):INDEX($FK$245:$ID$316,$FJ194-HN$169,72-HN$169+SwaptionMonthsToGo+SwaptionShift))/SQRT(SUM(INDEX($FK349:$ID349,1+SwaptionShift):INDEX($FK349:$ID349,SwaptionMonthsToGo+SwaptionShift))*SUM(INDEX($FK$325:$ID$396,HN$169,1+SwaptionShift):INDEX($FK$325:$ID$396,HN$169,SwaptionMonthsToGo+SwaptionShift))))))</f>
        <v/>
      </c>
      <c r="HO194" s="150" t="str">
        <f aca="false">IF(OR(HO$169&lt;SwaptionFirstMonthPosition+1,$FJ194&lt;SwaptionFirstMonthPosition+1,HO$169&gt;SwaptionFirstMonthPosition+SwaptionNumOfMonths+1,$FJ194&gt;SwaptionFirstMonthPosition+SwaptionNumOfMonths+1),"",IF($FJ194=HO$169,1,IF($FJ194&lt;HO$169,INDEX($FK$170:$ID$241,HO$169,$FJ194),SUMPRODUCT(INDEX($FK$325:$ID$396,HO$169,1+SwaptionShift):INDEX($FK$325:$ID$396,HO$169,SwaptionMonthsToGo+SwaptionShift),INDEX($FK$245:$ID$316,$FJ194-HO$169,73-HO$169+SwaptionShift):INDEX($FK$245:$ID$316,$FJ194-HO$169,72-HO$169+SwaptionMonthsToGo+SwaptionShift))/SQRT(SUM(INDEX($FK349:$ID349,1+SwaptionShift):INDEX($FK349:$ID349,SwaptionMonthsToGo+SwaptionShift))*SUM(INDEX($FK$325:$ID$396,HO$169,1+SwaptionShift):INDEX($FK$325:$ID$396,HO$169,SwaptionMonthsToGo+SwaptionShift))))))</f>
        <v/>
      </c>
      <c r="HP194" s="150" t="str">
        <f aca="false">IF(OR(HP$169&lt;SwaptionFirstMonthPosition+1,$FJ194&lt;SwaptionFirstMonthPosition+1,HP$169&gt;SwaptionFirstMonthPosition+SwaptionNumOfMonths+1,$FJ194&gt;SwaptionFirstMonthPosition+SwaptionNumOfMonths+1),"",IF($FJ194=HP$169,1,IF($FJ194&lt;HP$169,INDEX($FK$170:$ID$241,HP$169,$FJ194),SUMPRODUCT(INDEX($FK$325:$ID$396,HP$169,1+SwaptionShift):INDEX($FK$325:$ID$396,HP$169,SwaptionMonthsToGo+SwaptionShift),INDEX($FK$245:$ID$316,$FJ194-HP$169,73-HP$169+SwaptionShift):INDEX($FK$245:$ID$316,$FJ194-HP$169,72-HP$169+SwaptionMonthsToGo+SwaptionShift))/SQRT(SUM(INDEX($FK349:$ID349,1+SwaptionShift):INDEX($FK349:$ID349,SwaptionMonthsToGo+SwaptionShift))*SUM(INDEX($FK$325:$ID$396,HP$169,1+SwaptionShift):INDEX($FK$325:$ID$396,HP$169,SwaptionMonthsToGo+SwaptionShift))))))</f>
        <v/>
      </c>
      <c r="HQ194" s="150" t="str">
        <f aca="false">IF(OR(HQ$169&lt;SwaptionFirstMonthPosition+1,$FJ194&lt;SwaptionFirstMonthPosition+1,HQ$169&gt;SwaptionFirstMonthPosition+SwaptionNumOfMonths+1,$FJ194&gt;SwaptionFirstMonthPosition+SwaptionNumOfMonths+1),"",IF($FJ194=HQ$169,1,IF($FJ194&lt;HQ$169,INDEX($FK$170:$ID$241,HQ$169,$FJ194),SUMPRODUCT(INDEX($FK$325:$ID$396,HQ$169,1+SwaptionShift):INDEX($FK$325:$ID$396,HQ$169,SwaptionMonthsToGo+SwaptionShift),INDEX($FK$245:$ID$316,$FJ194-HQ$169,73-HQ$169+SwaptionShift):INDEX($FK$245:$ID$316,$FJ194-HQ$169,72-HQ$169+SwaptionMonthsToGo+SwaptionShift))/SQRT(SUM(INDEX($FK349:$ID349,1+SwaptionShift):INDEX($FK349:$ID349,SwaptionMonthsToGo+SwaptionShift))*SUM(INDEX($FK$325:$ID$396,HQ$169,1+SwaptionShift):INDEX($FK$325:$ID$396,HQ$169,SwaptionMonthsToGo+SwaptionShift))))))</f>
        <v/>
      </c>
      <c r="HR194" s="150" t="str">
        <f aca="false">IF(OR(HR$169&lt;SwaptionFirstMonthPosition+1,$FJ194&lt;SwaptionFirstMonthPosition+1,HR$169&gt;SwaptionFirstMonthPosition+SwaptionNumOfMonths+1,$FJ194&gt;SwaptionFirstMonthPosition+SwaptionNumOfMonths+1),"",IF($FJ194=HR$169,1,IF($FJ194&lt;HR$169,INDEX($FK$170:$ID$241,HR$169,$FJ194),SUMPRODUCT(INDEX($FK$325:$ID$396,HR$169,1+SwaptionShift):INDEX($FK$325:$ID$396,HR$169,SwaptionMonthsToGo+SwaptionShift),INDEX($FK$245:$ID$316,$FJ194-HR$169,73-HR$169+SwaptionShift):INDEX($FK$245:$ID$316,$FJ194-HR$169,72-HR$169+SwaptionMonthsToGo+SwaptionShift))/SQRT(SUM(INDEX($FK349:$ID349,1+SwaptionShift):INDEX($FK349:$ID349,SwaptionMonthsToGo+SwaptionShift))*SUM(INDEX($FK$325:$ID$396,HR$169,1+SwaptionShift):INDEX($FK$325:$ID$396,HR$169,SwaptionMonthsToGo+SwaptionShift))))))</f>
        <v/>
      </c>
      <c r="HS194" s="150" t="str">
        <f aca="false">IF(OR(HS$169&lt;SwaptionFirstMonthPosition+1,$FJ194&lt;SwaptionFirstMonthPosition+1,HS$169&gt;SwaptionFirstMonthPosition+SwaptionNumOfMonths+1,$FJ194&gt;SwaptionFirstMonthPosition+SwaptionNumOfMonths+1),"",IF($FJ194=HS$169,1,IF($FJ194&lt;HS$169,INDEX($FK$170:$ID$241,HS$169,$FJ194),SUMPRODUCT(INDEX($FK$325:$ID$396,HS$169,1+SwaptionShift):INDEX($FK$325:$ID$396,HS$169,SwaptionMonthsToGo+SwaptionShift),INDEX($FK$245:$ID$316,$FJ194-HS$169,73-HS$169+SwaptionShift):INDEX($FK$245:$ID$316,$FJ194-HS$169,72-HS$169+SwaptionMonthsToGo+SwaptionShift))/SQRT(SUM(INDEX($FK349:$ID349,1+SwaptionShift):INDEX($FK349:$ID349,SwaptionMonthsToGo+SwaptionShift))*SUM(INDEX($FK$325:$ID$396,HS$169,1+SwaptionShift):INDEX($FK$325:$ID$396,HS$169,SwaptionMonthsToGo+SwaptionShift))))))</f>
        <v/>
      </c>
      <c r="HT194" s="150" t="str">
        <f aca="false">IF(OR(HT$169&lt;SwaptionFirstMonthPosition+1,$FJ194&lt;SwaptionFirstMonthPosition+1,HT$169&gt;SwaptionFirstMonthPosition+SwaptionNumOfMonths+1,$FJ194&gt;SwaptionFirstMonthPosition+SwaptionNumOfMonths+1),"",IF($FJ194=HT$169,1,IF($FJ194&lt;HT$169,INDEX($FK$170:$ID$241,HT$169,$FJ194),SUMPRODUCT(INDEX($FK$325:$ID$396,HT$169,1+SwaptionShift):INDEX($FK$325:$ID$396,HT$169,SwaptionMonthsToGo+SwaptionShift),INDEX($FK$245:$ID$316,$FJ194-HT$169,73-HT$169+SwaptionShift):INDEX($FK$245:$ID$316,$FJ194-HT$169,72-HT$169+SwaptionMonthsToGo+SwaptionShift))/SQRT(SUM(INDEX($FK349:$ID349,1+SwaptionShift):INDEX($FK349:$ID349,SwaptionMonthsToGo+SwaptionShift))*SUM(INDEX($FK$325:$ID$396,HT$169,1+SwaptionShift):INDEX($FK$325:$ID$396,HT$169,SwaptionMonthsToGo+SwaptionShift))))))</f>
        <v/>
      </c>
      <c r="HU194" s="150" t="str">
        <f aca="false">IF(OR(HU$169&lt;SwaptionFirstMonthPosition+1,$FJ194&lt;SwaptionFirstMonthPosition+1,HU$169&gt;SwaptionFirstMonthPosition+SwaptionNumOfMonths+1,$FJ194&gt;SwaptionFirstMonthPosition+SwaptionNumOfMonths+1),"",IF($FJ194=HU$169,1,IF($FJ194&lt;HU$169,INDEX($FK$170:$ID$241,HU$169,$FJ194),SUMPRODUCT(INDEX($FK$325:$ID$396,HU$169,1+SwaptionShift):INDEX($FK$325:$ID$396,HU$169,SwaptionMonthsToGo+SwaptionShift),INDEX($FK$245:$ID$316,$FJ194-HU$169,73-HU$169+SwaptionShift):INDEX($FK$245:$ID$316,$FJ194-HU$169,72-HU$169+SwaptionMonthsToGo+SwaptionShift))/SQRT(SUM(INDEX($FK349:$ID349,1+SwaptionShift):INDEX($FK349:$ID349,SwaptionMonthsToGo+SwaptionShift))*SUM(INDEX($FK$325:$ID$396,HU$169,1+SwaptionShift):INDEX($FK$325:$ID$396,HU$169,SwaptionMonthsToGo+SwaptionShift))))))</f>
        <v/>
      </c>
      <c r="HV194" s="150" t="str">
        <f aca="false">IF(OR(HV$169&lt;SwaptionFirstMonthPosition+1,$FJ194&lt;SwaptionFirstMonthPosition+1,HV$169&gt;SwaptionFirstMonthPosition+SwaptionNumOfMonths+1,$FJ194&gt;SwaptionFirstMonthPosition+SwaptionNumOfMonths+1),"",IF($FJ194=HV$169,1,IF($FJ194&lt;HV$169,INDEX($FK$170:$ID$241,HV$169,$FJ194),SUMPRODUCT(INDEX($FK$325:$ID$396,HV$169,1+SwaptionShift):INDEX($FK$325:$ID$396,HV$169,SwaptionMonthsToGo+SwaptionShift),INDEX($FK$245:$ID$316,$FJ194-HV$169,73-HV$169+SwaptionShift):INDEX($FK$245:$ID$316,$FJ194-HV$169,72-HV$169+SwaptionMonthsToGo+SwaptionShift))/SQRT(SUM(INDEX($FK349:$ID349,1+SwaptionShift):INDEX($FK349:$ID349,SwaptionMonthsToGo+SwaptionShift))*SUM(INDEX($FK$325:$ID$396,HV$169,1+SwaptionShift):INDEX($FK$325:$ID$396,HV$169,SwaptionMonthsToGo+SwaptionShift))))))</f>
        <v/>
      </c>
      <c r="HW194" s="150" t="str">
        <f aca="false">IF(OR(HW$169&lt;SwaptionFirstMonthPosition+1,$FJ194&lt;SwaptionFirstMonthPosition+1,HW$169&gt;SwaptionFirstMonthPosition+SwaptionNumOfMonths+1,$FJ194&gt;SwaptionFirstMonthPosition+SwaptionNumOfMonths+1),"",IF($FJ194=HW$169,1,IF($FJ194&lt;HW$169,INDEX($FK$170:$ID$241,HW$169,$FJ194),SUMPRODUCT(INDEX($FK$325:$ID$396,HW$169,1+SwaptionShift):INDEX($FK$325:$ID$396,HW$169,SwaptionMonthsToGo+SwaptionShift),INDEX($FK$245:$ID$316,$FJ194-HW$169,73-HW$169+SwaptionShift):INDEX($FK$245:$ID$316,$FJ194-HW$169,72-HW$169+SwaptionMonthsToGo+SwaptionShift))/SQRT(SUM(INDEX($FK349:$ID349,1+SwaptionShift):INDEX($FK349:$ID349,SwaptionMonthsToGo+SwaptionShift))*SUM(INDEX($FK$325:$ID$396,HW$169,1+SwaptionShift):INDEX($FK$325:$ID$396,HW$169,SwaptionMonthsToGo+SwaptionShift))))))</f>
        <v/>
      </c>
      <c r="HX194" s="150" t="str">
        <f aca="false">IF(OR(HX$169&lt;SwaptionFirstMonthPosition+1,$FJ194&lt;SwaptionFirstMonthPosition+1,HX$169&gt;SwaptionFirstMonthPosition+SwaptionNumOfMonths+1,$FJ194&gt;SwaptionFirstMonthPosition+SwaptionNumOfMonths+1),"",IF($FJ194=HX$169,1,IF($FJ194&lt;HX$169,INDEX($FK$170:$ID$241,HX$169,$FJ194),SUMPRODUCT(INDEX($FK$325:$ID$396,HX$169,1+SwaptionShift):INDEX($FK$325:$ID$396,HX$169,SwaptionMonthsToGo+SwaptionShift),INDEX($FK$245:$ID$316,$FJ194-HX$169,73-HX$169+SwaptionShift):INDEX($FK$245:$ID$316,$FJ194-HX$169,72-HX$169+SwaptionMonthsToGo+SwaptionShift))/SQRT(SUM(INDEX($FK349:$ID349,1+SwaptionShift):INDEX($FK349:$ID349,SwaptionMonthsToGo+SwaptionShift))*SUM(INDEX($FK$325:$ID$396,HX$169,1+SwaptionShift):INDEX($FK$325:$ID$396,HX$169,SwaptionMonthsToGo+SwaptionShift))))))</f>
        <v/>
      </c>
      <c r="HY194" s="150" t="str">
        <f aca="false">IF(OR(HY$169&lt;SwaptionFirstMonthPosition+1,$FJ194&lt;SwaptionFirstMonthPosition+1,HY$169&gt;SwaptionFirstMonthPosition+SwaptionNumOfMonths+1,$FJ194&gt;SwaptionFirstMonthPosition+SwaptionNumOfMonths+1),"",IF($FJ194=HY$169,1,IF($FJ194&lt;HY$169,INDEX($FK$170:$ID$241,HY$169,$FJ194),SUMPRODUCT(INDEX($FK$325:$ID$396,HY$169,1+SwaptionShift):INDEX($FK$325:$ID$396,HY$169,SwaptionMonthsToGo+SwaptionShift),INDEX($FK$245:$ID$316,$FJ194-HY$169,73-HY$169+SwaptionShift):INDEX($FK$245:$ID$316,$FJ194-HY$169,72-HY$169+SwaptionMonthsToGo+SwaptionShift))/SQRT(SUM(INDEX($FK349:$ID349,1+SwaptionShift):INDEX($FK349:$ID349,SwaptionMonthsToGo+SwaptionShift))*SUM(INDEX($FK$325:$ID$396,HY$169,1+SwaptionShift):INDEX($FK$325:$ID$396,HY$169,SwaptionMonthsToGo+SwaptionShift))))))</f>
        <v/>
      </c>
      <c r="HZ194" s="150" t="str">
        <f aca="false">IF(OR(HZ$169&lt;SwaptionFirstMonthPosition+1,$FJ194&lt;SwaptionFirstMonthPosition+1,HZ$169&gt;SwaptionFirstMonthPosition+SwaptionNumOfMonths+1,$FJ194&gt;SwaptionFirstMonthPosition+SwaptionNumOfMonths+1),"",IF($FJ194=HZ$169,1,IF($FJ194&lt;HZ$169,INDEX($FK$170:$ID$241,HZ$169,$FJ194),SUMPRODUCT(INDEX($FK$325:$ID$396,HZ$169,1+SwaptionShift):INDEX($FK$325:$ID$396,HZ$169,SwaptionMonthsToGo+SwaptionShift),INDEX($FK$245:$ID$316,$FJ194-HZ$169,73-HZ$169+SwaptionShift):INDEX($FK$245:$ID$316,$FJ194-HZ$169,72-HZ$169+SwaptionMonthsToGo+SwaptionShift))/SQRT(SUM(INDEX($FK349:$ID349,1+SwaptionShift):INDEX($FK349:$ID349,SwaptionMonthsToGo+SwaptionShift))*SUM(INDEX($FK$325:$ID$396,HZ$169,1+SwaptionShift):INDEX($FK$325:$ID$396,HZ$169,SwaptionMonthsToGo+SwaptionShift))))))</f>
        <v/>
      </c>
      <c r="IA194" s="150" t="str">
        <f aca="false">IF(OR(IA$169&lt;SwaptionFirstMonthPosition+1,$FJ194&lt;SwaptionFirstMonthPosition+1,IA$169&gt;SwaptionFirstMonthPosition+SwaptionNumOfMonths+1,$FJ194&gt;SwaptionFirstMonthPosition+SwaptionNumOfMonths+1),"",IF($FJ194=IA$169,1,IF($FJ194&lt;IA$169,INDEX($FK$170:$ID$241,IA$169,$FJ194),SUMPRODUCT(INDEX($FK$325:$ID$396,IA$169,1+SwaptionShift):INDEX($FK$325:$ID$396,IA$169,SwaptionMonthsToGo+SwaptionShift),INDEX($FK$245:$ID$316,$FJ194-IA$169,73-IA$169+SwaptionShift):INDEX($FK$245:$ID$316,$FJ194-IA$169,72-IA$169+SwaptionMonthsToGo+SwaptionShift))/SQRT(SUM(INDEX($FK349:$ID349,1+SwaptionShift):INDEX($FK349:$ID349,SwaptionMonthsToGo+SwaptionShift))*SUM(INDEX($FK$325:$ID$396,IA$169,1+SwaptionShift):INDEX($FK$325:$ID$396,IA$169,SwaptionMonthsToGo+SwaptionShift))))))</f>
        <v/>
      </c>
      <c r="IB194" s="150" t="str">
        <f aca="false">IF(OR(IB$169&lt;SwaptionFirstMonthPosition+1,$FJ194&lt;SwaptionFirstMonthPosition+1,IB$169&gt;SwaptionFirstMonthPosition+SwaptionNumOfMonths+1,$FJ194&gt;SwaptionFirstMonthPosition+SwaptionNumOfMonths+1),"",IF($FJ194=IB$169,1,IF($FJ194&lt;IB$169,INDEX($FK$170:$ID$241,IB$169,$FJ194),SUMPRODUCT(INDEX($FK$325:$ID$396,IB$169,1+SwaptionShift):INDEX($FK$325:$ID$396,IB$169,SwaptionMonthsToGo+SwaptionShift),INDEX($FK$245:$ID$316,$FJ194-IB$169,73-IB$169+SwaptionShift):INDEX($FK$245:$ID$316,$FJ194-IB$169,72-IB$169+SwaptionMonthsToGo+SwaptionShift))/SQRT(SUM(INDEX($FK349:$ID349,1+SwaptionShift):INDEX($FK349:$ID349,SwaptionMonthsToGo+SwaptionShift))*SUM(INDEX($FK$325:$ID$396,IB$169,1+SwaptionShift):INDEX($FK$325:$ID$396,IB$169,SwaptionMonthsToGo+SwaptionShift))))))</f>
        <v/>
      </c>
      <c r="IC194" s="150" t="str">
        <f aca="false">IF(OR(IC$169&lt;SwaptionFirstMonthPosition+1,$FJ194&lt;SwaptionFirstMonthPosition+1,IC$169&gt;SwaptionFirstMonthPosition+SwaptionNumOfMonths+1,$FJ194&gt;SwaptionFirstMonthPosition+SwaptionNumOfMonths+1),"",IF($FJ194=IC$169,1,IF($FJ194&lt;IC$169,INDEX($FK$170:$ID$241,IC$169,$FJ194),SUMPRODUCT(INDEX($FK$325:$ID$396,IC$169,1+SwaptionShift):INDEX($FK$325:$ID$396,IC$169,SwaptionMonthsToGo+SwaptionShift),INDEX($FK$245:$ID$316,$FJ194-IC$169,73-IC$169+SwaptionShift):INDEX($FK$245:$ID$316,$FJ194-IC$169,72-IC$169+SwaptionMonthsToGo+SwaptionShift))/SQRT(SUM(INDEX($FK349:$ID349,1+SwaptionShift):INDEX($FK349:$ID349,SwaptionMonthsToGo+SwaptionShift))*SUM(INDEX($FK$325:$ID$396,IC$169,1+SwaptionShift):INDEX($FK$325:$ID$396,IC$169,SwaptionMonthsToGo+SwaptionShift))))))</f>
        <v/>
      </c>
      <c r="ID194" s="572" t="str">
        <f aca="false">IF(OR(ID$169&lt;SwaptionFirstMonthPosition+1,$FJ194&lt;SwaptionFirstMonthPosition+1,ID$169&gt;SwaptionFirstMonthPosition+SwaptionNumOfMonths+1,$FJ194&gt;SwaptionFirstMonthPosition+SwaptionNumOfMonths+1),"",IF($FJ194=ID$169,1,IF($FJ194&lt;ID$169,INDEX($FK$170:$ID$241,ID$169,$FJ194),SUMPRODUCT(INDEX($FK$325:$ID$396,ID$169,1+SwaptionShift):INDEX($FK$325:$ID$396,ID$169,SwaptionMonthsToGo+SwaptionShift),INDEX($FK$245:$ID$316,$FJ194-ID$169,73-ID$169+SwaptionShift):INDEX($FK$245:$ID$316,$FJ194-ID$169,72-ID$169+SwaptionMonthsToGo+SwaptionShift))/SQRT(SUM(INDEX($FK349:$ID349,1+SwaptionShift):INDEX($FK349:$ID349,SwaptionMonthsToGo+SwaptionShift))*SUM(INDEX($FK$325:$ID$396,ID$169,1+SwaptionShift):INDEX($FK$325:$ID$396,ID$169,SwaptionMonthsToGo+SwaptionShift))))))</f>
        <v/>
      </c>
      <c r="IE194" s="129"/>
    </row>
    <row r="195" customFormat="false" ht="12.75" hidden="false" customHeight="false" outlineLevel="0" collapsed="false">
      <c r="H195" s="219" t="n">
        <f aca="false">VLOOKUP(I195,$EJ$20:$EL$54,3)</f>
        <v>0</v>
      </c>
      <c r="I195" s="511" t="n">
        <f aca="false">EOMONTH(I194,0)+1</f>
        <v>42095</v>
      </c>
      <c r="J195" s="512"/>
      <c r="K195" s="513" t="s">
        <v>280</v>
      </c>
      <c r="L195" s="514" t="n">
        <f aca="false">IF(ISNUMBER(K195),J195+K195/100,IF(K195="extra",L194+VLOOKUP(BF195,PriceSpreadTable,2)/12,IF(K195="inter",interpolateprices($K$19:$L$200,ROW(K195)-ROW(FirstPricingMonth)+1),interpolatechanges($J$19:$K$200,ROW(K195)-ROW(FirstPricingMonth)+1))))</f>
        <v>3.71250000000001</v>
      </c>
      <c r="M195" s="515"/>
      <c r="N195" s="516" t="n">
        <v>0</v>
      </c>
      <c r="O195" s="515" t="n">
        <f aca="false">M195+N195</f>
        <v>0</v>
      </c>
      <c r="P195" s="512"/>
      <c r="Q195" s="513" t="s">
        <v>280</v>
      </c>
      <c r="R195" s="512" t="e">
        <f aca="false">IF(ISNUMBER(Q195),P195+Q195/100,IF(Q195="extra",(Z193*AL193-R194*AM193)/AN193,IF(Q195="inter",interpolateprices($Q$19:$R$260,ROW(Q195)-ROW(FirstPricingMonth)+1),interpolatechanges($P$19:$Q$260,ROW(Q195)-ROW(FirstPricingMonth)+1))))</f>
        <v>#VALUE!</v>
      </c>
      <c r="S195" s="597" t="n">
        <f aca="false">S$19+(S194-S$19)*S$18</f>
        <v>0.36</v>
      </c>
      <c r="T195" s="575" t="n">
        <f aca="false">SQRT((1-(1-T194^2/U194)*T$18)*U195)</f>
        <v>0.99999999999986</v>
      </c>
      <c r="U195" s="576" t="n">
        <f aca="false">1-(1-U194)*U$18</f>
        <v>1</v>
      </c>
      <c r="V195" s="521" t="n">
        <v>0</v>
      </c>
      <c r="W195" s="577" t="n">
        <f aca="false">(J196*AJ195+J197*AK195)/AI195</f>
        <v>0</v>
      </c>
      <c r="X195" s="578" t="n">
        <f aca="false">(L196*AJ195+L197*AK195)/AI195</f>
        <v>3.76363636363637</v>
      </c>
      <c r="Y195" s="579" t="n">
        <f aca="false">IF(Q197="extra",W195-AA195,(P196*AM195+P197*AN195)/AL195)</f>
        <v>-1.2915</v>
      </c>
      <c r="Z195" s="579" t="n">
        <f aca="false">IF(Q197="extra",X195-AB195,(R196*AM195+R197*AN195)/AL195)</f>
        <v>2.47213636363637</v>
      </c>
      <c r="AA195" s="523" t="n">
        <f aca="false">IF(Q197="extra",INDEX(BrentSeasonalityTable,INT((BG195-1)/3)+1)*VLOOKUP(MAX(BF195,$AB$4),PriceSpreadTable,3),W195-Y195)</f>
        <v>1.2915</v>
      </c>
      <c r="AB195" s="524" t="n">
        <f aca="false">IF(Q197="extra",INDEX(BrentSeasonalityTable,INT((BG195-1)/3)+1)*VLOOKUP(MAX(BF195,$AB$4),PriceSpreadTable,3),X195-Z195)</f>
        <v>1.2915</v>
      </c>
      <c r="AC195" s="646" t="n">
        <v>42083</v>
      </c>
      <c r="AD195" s="646" t="n">
        <v>42079</v>
      </c>
      <c r="AE195" s="646" t="n">
        <v>42078</v>
      </c>
      <c r="AF195" s="646" t="n">
        <v>42074</v>
      </c>
      <c r="AG195" s="438" t="s">
        <v>278</v>
      </c>
      <c r="AH195" s="439" t="s">
        <v>278</v>
      </c>
      <c r="AI195" s="528" t="n">
        <v>22</v>
      </c>
      <c r="AJ195" s="529" t="n">
        <v>14</v>
      </c>
      <c r="AK195" s="529" t="n">
        <v>8</v>
      </c>
      <c r="AL195" s="530" t="n">
        <v>22</v>
      </c>
      <c r="AM195" s="529" t="n">
        <v>10</v>
      </c>
      <c r="AN195" s="531" t="n">
        <v>12</v>
      </c>
      <c r="AO195" s="532"/>
      <c r="AP195" s="465" t="n">
        <f aca="false">(1+AO195/2)^(-2*BL195)</f>
        <v>1</v>
      </c>
      <c r="AQ195" s="532"/>
      <c r="AR195" s="465" t="n">
        <f aca="false">(1+AQ195/2)^(-2*BH195/365.25)</f>
        <v>1</v>
      </c>
      <c r="AS195" s="580" t="n">
        <f aca="false">(O196*AJ195+O197*AK195)/AI195</f>
        <v>0</v>
      </c>
      <c r="AT195" s="468" t="n">
        <f aca="false">O195*VLOOKUP(BF195,BrentVolTable,2)+VLOOKUP(BF195,BrentVolTable,3)</f>
        <v>0</v>
      </c>
      <c r="AU195" s="468" t="n">
        <f aca="false">(AT196*AM195+AT197*AN195)/AL195</f>
        <v>0</v>
      </c>
      <c r="AV195" s="595" t="n">
        <f aca="false">SQRT(MAX(0.000000000001,(O195^2*BH195-S195^2*(BH195-BH194))/BH194))</f>
        <v>0.0306056571040937</v>
      </c>
      <c r="AW195" s="451" t="n">
        <f aca="false">IF($I195-DateToday+15&gt;=$T$8,"",IF($I195-DateToday+15&lt;$T$5,1,MATCH($I195-DateToday+15,$T$5:$T$8)))</f>
        <v>1</v>
      </c>
      <c r="AX195" s="468" t="n">
        <f aca="false">IF($AW195="",AX194^2/AX193,INDEX(U$5:U$8,$AW195)^((INDEX($T$5:$T$8,$AW195+1)-($I195-DateToday+15))/(INDEX($T$5:$T$8,$AW195+1)-INDEX($T$5:$T$8,$AW195)))/INDEX(U$5:U$8,$AW195+1)^((INDEX($T$5:$T$8,$AW195)-($I195-DateToday+15))/(INDEX($T$5:$T$8,$AW195+1)-INDEX($T$5:$T$8,$AW195))))</f>
        <v>0.298024558749457</v>
      </c>
      <c r="AY195" s="468" t="n">
        <f aca="false">IF($AW195="",AY194^2/AY193,INDEX(V$5:V$8,$AW195)^((INDEX($T$5:$T$8,$AW195+1)-($I195-DateToday+15))/(INDEX($T$5:$T$8,$AW195+1)-INDEX($T$5:$T$8,$AW195)))/INDEX(V$5:V$8,$AW195+1)^((INDEX($T$5:$T$8,$AW195)-($I195-DateToday+15))/(INDEX($T$5:$T$8,$AW195+1)-INDEX($T$5:$T$8,$AW195))))</f>
        <v>3.28283295750255</v>
      </c>
      <c r="AZ195" s="468" t="n">
        <f aca="false">IF($AW195="",AZ194^2/AZ193,INDEX(W$5:W$8,$AW195)^((INDEX($T$5:$T$8,$AW195+1)-($I195-DateToday+15))/(INDEX($T$5:$T$8,$AW195+1)-INDEX($T$5:$T$8,$AW195)))/INDEX(W$5:W$8,$AW195+1)^((INDEX($T$5:$T$8,$AW195)-($I195-DateToday+15))/(INDEX($T$5:$T$8,$AW195+1)-INDEX($T$5:$T$8,$AW195))))</f>
        <v>392.790638202343</v>
      </c>
      <c r="BA195" s="468" t="n">
        <f aca="false">IF($AW195="",BA194^2/BA193,INDEX(X$5:X$8,$AW195)^((INDEX($T$5:$T$8,$AW195+1)-($I195-DateToday+15))/(INDEX($T$5:$T$8,$AW195+1)-INDEX($T$5:$T$8,$AW195)))/INDEX(X$5:X$8,$AW195+1)^((INDEX($T$5:$T$8,$AW195)-($I195-DateToday+15))/(INDEX($T$5:$T$8,$AW195+1)-INDEX($T$5:$T$8,$AW195))))</f>
        <v>1219.38808990803</v>
      </c>
      <c r="BB195" s="468" t="n">
        <f aca="false">IF($AW195="",BB194^2/BB193,INDEX(Y$5:Y$8,$AW195)^((INDEX($T$5:$T$8,$AW195+1)-($I195-DateToday+15))/(INDEX($T$5:$T$8,$AW195+1)-INDEX($T$5:$T$8,$AW195)))/INDEX(Y$5:Y$8,$AW195+1)^((INDEX($T$5:$T$8,$AW195)-($I195-DateToday+15))/(INDEX($T$5:$T$8,$AW195+1)-INDEX($T$5:$T$8,$AW195))))</f>
        <v>5964.35675504027</v>
      </c>
      <c r="BC195" s="468" t="n">
        <f aca="false">IF($AW195="",BC194^2/BC193,INDEX(Z$5:Z$8,$AW195)^((INDEX($T$5:$T$8,$AW195+1)-($I195-DateToday+15))/(INDEX($T$5:$T$8,$AW195+1)-INDEX($T$5:$T$8,$AW195)))/INDEX(Z$5:Z$8,$AW195+1)^((INDEX($T$5:$T$8,$AW195)-($I195-DateToday+15))/(INDEX($T$5:$T$8,$AW195+1)-INDEX($T$5:$T$8,$AW195))))</f>
        <v>15790.6331701377</v>
      </c>
      <c r="BD195" s="535" t="n">
        <f aca="false">IF(OR(DateStart&gt;=I196,DateEnd&lt;I195),0,IF(VolumeOverrideFlag,V195,Volume))</f>
        <v>0</v>
      </c>
      <c r="BE195" s="536" t="n">
        <f aca="false">IF(OR(DateStart2&gt;=I196,DateEnd2&lt;I195),0,IF(VolumeOverrideFlag,V195,VolumeSwaption))</f>
        <v>0</v>
      </c>
      <c r="BF195" s="537" t="n">
        <f aca="false">YEAR(I195)</f>
        <v>2015</v>
      </c>
      <c r="BG195" s="538" t="n">
        <f aca="false">MONTH(I195)</f>
        <v>4</v>
      </c>
      <c r="BH195" s="539" t="n">
        <f aca="false">AD195-DateToday+1</f>
        <v>-3846</v>
      </c>
      <c r="BI195" s="540" t="n">
        <f aca="false">(I195-DateToday+1)/365.25</f>
        <v>-10.4859685147159</v>
      </c>
      <c r="BJ195" s="541" t="n">
        <f aca="false">BI195+(BL195-BI195)*CHOOSE(Underlying,AJ195/AI195,AM195/AL195)</f>
        <v>-10.4354427229171</v>
      </c>
      <c r="BK195" s="541" t="n">
        <f aca="false">BJ195+1/365.25</f>
        <v>-10.4327048721299</v>
      </c>
      <c r="BL195" s="541" t="n">
        <f aca="false">(I196-DateToday)/365.25</f>
        <v>-10.4065708418891</v>
      </c>
      <c r="BM195" s="542" t="e">
        <f aca="false">MAX(BI195-(BJ195-BI195)*(S196^2/O196^2-1),0)</f>
        <v>#DIV/0!</v>
      </c>
      <c r="BN195" s="541" t="e">
        <f aca="false">MAX(BL195+(BL195-BK195)*(S197^2/O197^2-1),0)</f>
        <v>#DIV/0!</v>
      </c>
      <c r="BO195" s="530" t="n">
        <f aca="false">CHOOSE(Underlying,AI195,AL195)</f>
        <v>22</v>
      </c>
      <c r="BP195" s="529" t="n">
        <f aca="false">CHOOSE(Underlying,AJ195,AM195)</f>
        <v>14</v>
      </c>
      <c r="BQ195" s="529" t="n">
        <f aca="false">CHOOSE(Underlying,AK195,AN195)</f>
        <v>8</v>
      </c>
      <c r="BR195" s="463" t="str">
        <f aca="false">IF(BD195,IF(Underlying=1,X195,Z195)+UnderlyingPriceAsian-SwapPriceCurve,"")</f>
        <v/>
      </c>
      <c r="BS195" s="463" t="str">
        <f aca="false">IF(BD195,Strike1/BR195-1,"")</f>
        <v/>
      </c>
      <c r="BT195" s="464" t="str">
        <f aca="false">IF(BD195,Strike2/BR195-1,"")</f>
        <v/>
      </c>
      <c r="BU195" s="465" t="str">
        <f aca="false">IF(BD195,IF(Underlying=1,L196,R196)+UnderlyingPriceAsian-SwapPriceCurve,"")</f>
        <v/>
      </c>
      <c r="BV195" s="465" t="str">
        <f aca="false">IF(BD195,IF(Underlying=1,L197,R197)+UnderlyingPriceAsian-SwapPriceCurve,"")</f>
        <v/>
      </c>
      <c r="BW195" s="466" t="str">
        <f aca="false">IF(BD195,IF(Underlying=1,O196,AT196),"")</f>
        <v/>
      </c>
      <c r="BX195" s="467" t="str">
        <f aca="false">IF(BD195,IF(Underlying=1,O197,AT197),"")</f>
        <v/>
      </c>
      <c r="BY195" s="466" t="str">
        <f aca="false">IF(BD195,IF(BS195&gt;0,IF(BS195&gt;0.2,BC195-BB195,IF(BS195&gt;0.1,BB195-BA195,BA195)),IF(BS195&lt;-0.2,AX195-AY195,IF(BS195&lt;-0.1,AY195-AZ195,AZ195))),"")</f>
        <v/>
      </c>
      <c r="BZ195" s="467" t="str">
        <f aca="false">IF(BD195,IF(BT195&gt;0,IF(BT195&gt;0.2,BC195-BB195,IF(BT195&gt;0.1,BB195-BA195,BA195)),IF(BT195&lt;-0.2,AX195-AY195,IF(BT195&lt;-0.1,AY195-AZ195,AZ195))),"")</f>
        <v/>
      </c>
      <c r="CA195" s="468" t="str">
        <f aca="false">IF($BD195,$BW195+IF(VolSkewFlag=1,IF(BS195&gt;0,$BA195*MIN(BS195/10%,1)+($BB195-$BA195)*MAX(0,MIN(BS195/10%-1,1))+($BC195-$BB195)*MAX(0,BS195/10%-2),$AZ195*MIN(-BS195/10%,1)+($AY195-$AZ195)*MAX(0,MIN(-BS195/10%-1,1))+($AX195-$AY195)*MAX(0,-BS195/10%-2)),0),"")</f>
        <v/>
      </c>
      <c r="CB195" s="468" t="str">
        <f aca="false">IF($BD195,$BX195+IF(VolSkewFlag=1,IF(BS195&gt;0,$BA195*MIN(BS195/10%,1)+($BB195-$BA195)*MAX(0,MIN(BS195/10%-1,1))+($BC195-$BB195)*MAX(0,BS195/10%-2),$AZ195*MIN(-BS195/10%,1)+($AY195-$AZ195)*MAX(0,MIN(-BS195/10%-1,1))+($AX195-$AY195)*MAX(0,-BS195/10%-2)),0),"")</f>
        <v/>
      </c>
      <c r="CC195" s="468" t="str">
        <f aca="false">IF($BD195,$BW195+IF(VolSkewFlag=1,IF(BT195&gt;0,$BA195*MIN(BT195/10%,1)+($BB195-$BA195)*MAX(0,MIN(BT195/10%-1,1))+($BC195-$BB195)*MAX(0,BT195/10%-2),$AZ195*MIN(-BT195/10%,1)+($AY195-$AZ195)*MAX(0,MIN(-BT195/10%-1,1))+($AX195-$AY195)*MAX(0,-BT195/10%-2)),0),"")</f>
        <v/>
      </c>
      <c r="CD195" s="468" t="str">
        <f aca="false">IF($BD195,$BX195+IF(VolSkewFlag=1,IF(BT195&gt;0,$BA195*MIN(BT195/10%,1)+($BB195-$BA195)*MAX(0,MIN(BT195/10%-1,1))+($BC195-$BB195)*MAX(0,BT195/10%-2),$AZ195*MIN(-BT195/10%,1)+($AY195-$AZ195)*MAX(0,MIN(-BT195/10%-1,1))+($AX195-$AY195)*MAX(0,-BT195/10%-2)),0),"")</f>
        <v/>
      </c>
      <c r="CE195" s="469" t="n">
        <v>1</v>
      </c>
      <c r="CF195" s="470" t="n">
        <f aca="false">IF(BD195,xCrudeAPO(BU195,BV195,CA195,CB195,S196,S197,BI195,BL195,BP195,BQ195,0,Strike1,AO195,CE195,0,BL195,IF(OptControl=4,0,1),0,1),0)</f>
        <v>0</v>
      </c>
      <c r="CG195" s="470" t="n">
        <f aca="false">IF(BD195,xCrudeAPO(BU195,BV195,CA195,CB195,S196,S197,BI195,BL195,BP195,BQ195,0,Strike1,AO195,CE195,0,BL195,IF(OptControl=4,0,1),1,1)+xCrudeAPO(BU195,BV195,CA195,CB195,S196,S197,BI195,BL195,BP195,BQ195,0,Strike1,AO195,CE195,0,BL195,IF(OptControl=4,0,1),1,2)+IF(OR(VolSkewFlag=2,ABS(BS195)&lt;0.0001),0,IF(BS195&gt;0,-1,1)*CH195*Strike1/BR195^2*BY195/10%),0)</f>
        <v>0</v>
      </c>
      <c r="CH195" s="470" t="n">
        <f aca="false">IF(BD195,(xCrudeAPO(BU195,BV195,CA195,CB195,S196,S197,BI195,BL195,BP195,BQ195,0,Strike1,AO195,CE195,0,BL195,IF(OptControl=4,0,1),3,1)+xCrudeAPO(BU195,BV195,CA195,CB195,S196,S197,BI195,BL195,BP195,BQ195,0,Strike1,AO195,CE195,0,BL195,IF(OptControl=4,0,1),3,2))/100,0)</f>
        <v>0</v>
      </c>
      <c r="CI195" s="470" t="n">
        <f aca="false">IF(BD195,xCrudeAPO(BU195,BV195,CA195,CB195,S196,S197,BI195-DaysForThetaCalculation/365.25,BL195-DaysForThetaCalculation/365.25,BP195,BQ195,0,Strike1,AO195,CE195,0,BL195,IF(OptControl=4,0,1),0,1)-xCrudeAPO(BU195,BV195,CA195,CB195,S196,S197,BI195,BL195,BP195,BQ195,0,Strike1,AO195,CE195,0,BL195,IF(OptControl=4,0,1),0,1),0)</f>
        <v>0</v>
      </c>
      <c r="CJ195" s="471" t="n">
        <f aca="false">IF(BD195,xCrudeAPO(BU195,BV195,CC195,CD195,S196,S197,BI195,BL195,BP195,BQ195,0,Strike2,AO195,CE195,0,BL195,IF(OptControl=3,1,0),0,1),0)</f>
        <v>0</v>
      </c>
      <c r="CK195" s="470" t="n">
        <f aca="false">IF(BD195,xCrudeAPO(BU195,BV195,CC195,CD195,S196,S197,BI195,BL195,BP195,BQ195,0,Strike2,AO195,CE195,0,BL195,IF(OptControl=3,1,0),1,1)+xCrudeAPO(BU195,BV195,CC195,CD195,S196,S197,BI195,BL195,BP195,BQ195,0,Strike2,AO195,CE195,0,BL195,IF(OptControl=3,1,0),1,2)+IF(OR(VolSkewFlag=2,ABS(BT195)&lt;0.0001),0,IF(BT195&gt;0,-1,1)*CL195*Strike2/BR195^2*BZ195/10%),0)</f>
        <v>0</v>
      </c>
      <c r="CL195" s="470" t="n">
        <f aca="false">IF(BD195,(xCrudeAPO(BU195,BV195,CC195,CD195,S196,S197,BI195,BL195,BP195,BQ195,0,Strike2,AO195,CE195,0,BL195,IF(OptControl=3,1,0),3,1)+xCrudeAPO(BU195,BV195,CC195,CD195,S196,S197,BI195,BL195,BP195,BQ195,0,Strike2,AO195,CE195,0,BL195,IF(OptControl=3,1,0),3,2))/100,0)</f>
        <v>0</v>
      </c>
      <c r="CM195" s="472" t="n">
        <f aca="false">IF(BD195,xCrudeAPO(BU195,BV195,CC195,CD195,S196,S197,BI195-DaysForThetaCalculation/365.25,BL195-DaysForThetaCalculation/365.25,BP195,BQ195,0,Strike2,AO195,CE195,0,BL195,IF(OptControl=3,1,0),0,1)-xCrudeAPO(BU195,BV195,CC195,CD195,S196,S197,BI195,BL195,BP195,BQ195,0,Strike2,AO195,CE195,0,BL195,IF(OptControl=3,1,0),0,1),0)</f>
        <v>0</v>
      </c>
      <c r="CN195" s="3"/>
      <c r="CO195" s="543" t="str">
        <f aca="false">IF(BD195,CHOOSE(Underlying,AD195,AF195)-DateToday+1,"")</f>
        <v/>
      </c>
      <c r="CP195" s="582" t="str">
        <f aca="false">IF(BD195,CHOOSE(Underlying,L195,R195),"")</f>
        <v/>
      </c>
      <c r="CQ195" s="544" t="str">
        <f aca="false">IF(BD195,Strike1/CP195-1,"")</f>
        <v/>
      </c>
      <c r="CR195" s="544" t="str">
        <f aca="false">IF(BD195,Strike2/CP195-1,"")</f>
        <v/>
      </c>
      <c r="CS195" s="544" t="str">
        <f aca="false">IF(BD195,IF(CQ195&gt;0,IF(CQ195&gt;0.2,BC194-BB194,IF(CQ195&gt;0.1,BB194-BA194,BA194)),IF(CQ195&lt;-0.2,AX194-AY194,IF(CQ195&lt;-0.1,AY194-AZ194,AZ194))),"")</f>
        <v/>
      </c>
      <c r="CT195" s="544" t="str">
        <f aca="false">IF(BD195,IF(CR195&gt;0,IF(CR195&gt;0.2,BC194-BB194,IF(CR195&gt;0.1,BB194-BA194,BA194)),IF(CR195&lt;-0.2,AX194-AY194,IF(CR195&lt;-0.1,AY194-AZ194,AZ194))),"")</f>
        <v/>
      </c>
      <c r="CU195" s="545" t="str">
        <f aca="false">IF(BD195,CHOOSE(Underlying,O195,AT195),"")</f>
        <v/>
      </c>
      <c r="CV195" s="545" t="str">
        <f aca="false">IF(BD195,CU195+IF(VolSkewFlag=1,IF(CQ195&gt;0,BA194*MIN(CQ195/10%,1)+(BB194-BA194)*MAX(0,MIN(CQ195/10%-1,1))+(BC194-BB194)*MAX(0,CQ195/10%-2),AZ194*MIN(-CQ195/10%,1)+(AY194-AZ194)*MAX(0,MIN(-CQ195/10%-1,1))+(AX194-AY194)*MAX(0,-CQ195/10%-2)),0),"")</f>
        <v/>
      </c>
      <c r="CW195" s="545" t="str">
        <f aca="false">IF(BD195,CU195+IF(VolSkewFlag=1,IF(CR195&gt;0,BA194*MIN(CR195/10%,1)+(BB194-BA194)*MAX(0,MIN(CR195/10%-1,1))+(BC194-BB194)*MAX(0,CR195/10%-2),AZ194*MIN(-CR195/10%,1)+(AY194-AZ194)*MAX(0,MIN(-CR195/10%-1,1))+(AX194-AY194)*MAX(0,-CR195/10%-2)),0),"")</f>
        <v/>
      </c>
      <c r="CX195" s="470" t="n">
        <f aca="false">IF(BD195,EURO(CP195,Strike1,AO195,AO195,CV195,CO195,IF(OptControl=4,0,1),0),0)</f>
        <v>0</v>
      </c>
      <c r="CY195" s="470" t="n">
        <f aca="false">IF(BD195,EURO(CP195,Strike1,AO195,AO195,CV195,CO195,IF(OptControl=4,0,1),1)+IF(OR(VolSkewFlag=2,ABS(CQ195)&lt;0.0001),0,IF(CQ195&gt;0,-1,1)*CZ195*100*Strike1/CP195^2*CS195/10%),0)</f>
        <v>0</v>
      </c>
      <c r="CZ195" s="470" t="n">
        <f aca="false">IF(BD195,EURO(CP195,Strike1,AO195,AO195,CV195,CO195,IF(OptControl=4,0,1),3)/100,0)</f>
        <v>0</v>
      </c>
      <c r="DA195" s="470" t="n">
        <f aca="false">IF(BD195,EURO(CP195,Strike1,AO195,AO195,CV195,CO195,IF(OptControl=4,0,1),0)-EURO(CP195,Strike1,AO195,AO195,CV195,CO195-1,IF(OptControl=4,0,1),0),0)</f>
        <v>0</v>
      </c>
      <c r="DB195" s="470" t="n">
        <f aca="false">IF(BD195,EURO(CP195,Strike2,AO195,AO195,CW195,CO195,IF(OptControl=3,1,0),0),0)</f>
        <v>0</v>
      </c>
      <c r="DC195" s="470" t="n">
        <f aca="false">IF(BD195,EURO(CP195,Strike2,AO195,AO195,CW195,CO195,IF(OptControl=3,1,0),1)+IF(OR(VolSkewFlag=2,ABS(CR195)&lt;0.0001),0,IF(CR195&gt;0,-1,1)*DD195*100*Strike2/CP195^2*CT195/10%),0)</f>
        <v>0</v>
      </c>
      <c r="DD195" s="470" t="n">
        <f aca="false">IF(BD195,EURO(CP195,Strike2,AO195,AO195,CW195,CO195,IF(OptControl=3,1,0),3)/100,0)</f>
        <v>0</v>
      </c>
      <c r="DE195" s="472" t="n">
        <f aca="false">IF(BD195,EURO(CP195,Strike2,AO195,AO195,CW195,CO195,IF(OptControl=3,1,0),0)-EURO(CP195,Strike2,AO195,AO195,CW195,CO195-1,IF(OptControl=3,1,0),0),0)</f>
        <v>0</v>
      </c>
      <c r="DG195" s="481" t="n">
        <f aca="false">EOMONTH(DG194,0)+1</f>
        <v>51014</v>
      </c>
      <c r="DH195" s="478" t="n">
        <v>22.9100000000001</v>
      </c>
      <c r="DI195" s="479" t="n">
        <v>22.9759090909092</v>
      </c>
      <c r="DJ195" s="480" t="n">
        <f aca="false">DG195</f>
        <v>51014</v>
      </c>
      <c r="DK195" s="478" t="n">
        <v>21.7261845822228</v>
      </c>
      <c r="DL195" s="479" t="n">
        <v>21.7090090909092</v>
      </c>
      <c r="DM195" s="481" t="n">
        <f aca="false">DG195</f>
        <v>51014</v>
      </c>
      <c r="DN195" s="482" t="n">
        <f aca="false">DK195+BrentPhyBrentSpread</f>
        <v>21.7761845822228</v>
      </c>
      <c r="DO195" s="481" t="n">
        <f aca="false">DG195</f>
        <v>51014</v>
      </c>
      <c r="DP195" s="483" t="n">
        <f aca="false">DL195+DQ195</f>
        <v>21.7090090909092</v>
      </c>
      <c r="DQ195" s="546" t="n">
        <v>0</v>
      </c>
      <c r="DR195" s="480" t="n">
        <f aca="false">DG195</f>
        <v>51014</v>
      </c>
      <c r="DS195" s="485" t="n">
        <v>0.119599999999998</v>
      </c>
      <c r="DT195" s="486" t="n">
        <v>0.118809090909089</v>
      </c>
      <c r="DU195" s="480" t="n">
        <f aca="false">DG195</f>
        <v>51014</v>
      </c>
      <c r="DV195" s="485" t="n">
        <v>0.119599999999998</v>
      </c>
      <c r="DW195" s="486" t="n">
        <v>0.118809090909089</v>
      </c>
      <c r="DX195" s="481" t="n">
        <f aca="false">DG195</f>
        <v>51014</v>
      </c>
      <c r="DY195" s="486" t="n">
        <v>0.35</v>
      </c>
      <c r="DZ195" s="481" t="n">
        <f aca="false">DR195</f>
        <v>51014</v>
      </c>
      <c r="EA195" s="486" t="n">
        <f aca="false">DT195</f>
        <v>0.118809090909089</v>
      </c>
      <c r="EB195" s="195"/>
      <c r="EC195" s="547" t="str">
        <f aca="false">IF(BD195,IF(Underlying=1,AS195,AU195),"")</f>
        <v/>
      </c>
      <c r="ED195" s="548" t="str">
        <f aca="false">IF($BD195,$EC195+IF(VolSkewFlag=1,IF(BS195&gt;0,$BA195*MIN(BS195/10%,1)+($BB195-$BA195)*MAX(0,MIN(BS195/10%-1,1))+($BC195-$BB195)*MAX(0,BS195/10%-2),$AZ195*MIN(-BS195/10%,1)+($AY195-$AZ195)*MAX(0,MIN(-BS195/10%-1,1))+($AX195-$AY195)*MAX(0,-BS195/10%-2)),0),"")</f>
        <v/>
      </c>
      <c r="EE195" s="549" t="str">
        <f aca="false">IF($BD195,$EC195+IF(VolSkewFlag=1,IF(BT195&gt;0,$BA195*MIN(BT195/10%,1)+($BB195-$BA195)*MAX(0,MIN(BT195/10%-1,1))+($BC195-$BB195)*MAX(0,BT195/10%-2),$AZ195*MIN(-BT195/10%,1)+($AY195-$AZ195)*MAX(0,MIN(-BT195/10%-1,1))+($AX195-$AY195)*MAX(0,-BT195/10%-2)),0),"")</f>
        <v/>
      </c>
      <c r="EF195" s="550" t="n">
        <f aca="false">IF(BD195,xASN(BR195,Strike1,AO195,ED195,0,BO195,0,BI195,BL195,IF(OptControl=4,0,1),0),0)</f>
        <v>0</v>
      </c>
      <c r="EG195" s="551" t="n">
        <f aca="false">IF(BD195,xASN(BR195,Strike2,AO195,EE195,0,BO195,0,BI195,BL195,IF(OptControl=3,1,0),0),0)</f>
        <v>0</v>
      </c>
      <c r="EL195" s="1"/>
      <c r="EM195" s="195"/>
      <c r="EN195" s="240"/>
      <c r="EO195" s="240"/>
      <c r="EP195" s="195"/>
      <c r="EQ195" s="407" t="s">
        <v>423</v>
      </c>
      <c r="ES195" s="130"/>
      <c r="ET195" s="19"/>
      <c r="EU195" s="672"/>
      <c r="EV195" s="478"/>
      <c r="EW195" s="131"/>
      <c r="EX195" s="131"/>
      <c r="EY195" s="129"/>
      <c r="EZ195" s="129"/>
      <c r="FA195" s="129"/>
      <c r="FB195" s="129"/>
      <c r="FC195" s="129"/>
      <c r="FD195" s="129"/>
      <c r="FE195" s="129"/>
      <c r="FF195" s="129"/>
      <c r="FG195" s="129"/>
      <c r="FH195" s="129"/>
      <c r="FI195" s="129"/>
      <c r="FJ195" s="571" t="n">
        <v>26</v>
      </c>
      <c r="FK195" s="150" t="str">
        <f aca="false">IF(OR(FK$169&lt;SwaptionFirstMonthPosition+1,$FJ195&lt;SwaptionFirstMonthPosition+1,FK$169&gt;SwaptionFirstMonthPosition+SwaptionNumOfMonths+1,$FJ195&gt;SwaptionFirstMonthPosition+SwaptionNumOfMonths+1),"",IF($FJ195=FK$169,1,IF($FJ195&lt;FK$169,INDEX($FK$170:$ID$241,FK$169,$FJ195),SUMPRODUCT(INDEX($FK$325:$ID$396,FK$169,1+SwaptionShift):INDEX($FK$325:$ID$396,FK$169,SwaptionMonthsToGo+SwaptionShift),INDEX($FK$245:$ID$316,$FJ195-FK$169,73-FK$169+SwaptionShift):INDEX($FK$245:$ID$316,$FJ195-FK$169,72-FK$169+SwaptionMonthsToGo+SwaptionShift))/SQRT(SUM(INDEX($FK350:$ID350,1+SwaptionShift):INDEX($FK350:$ID350,SwaptionMonthsToGo+SwaptionShift))*SUM(INDEX($FK$325:$ID$396,FK$169,1+SwaptionShift):INDEX($FK$325:$ID$396,FK$169,SwaptionMonthsToGo+SwaptionShift))))))</f>
        <v/>
      </c>
      <c r="FL195" s="150" t="str">
        <f aca="false">IF(OR(FL$169&lt;SwaptionFirstMonthPosition+1,$FJ195&lt;SwaptionFirstMonthPosition+1,FL$169&gt;SwaptionFirstMonthPosition+SwaptionNumOfMonths+1,$FJ195&gt;SwaptionFirstMonthPosition+SwaptionNumOfMonths+1),"",IF($FJ195=FL$169,1,IF($FJ195&lt;FL$169,INDEX($FK$170:$ID$241,FL$169,$FJ195),SUMPRODUCT(INDEX($FK$325:$ID$396,FL$169,1+SwaptionShift):INDEX($FK$325:$ID$396,FL$169,SwaptionMonthsToGo+SwaptionShift),INDEX($FK$245:$ID$316,$FJ195-FL$169,73-FL$169+SwaptionShift):INDEX($FK$245:$ID$316,$FJ195-FL$169,72-FL$169+SwaptionMonthsToGo+SwaptionShift))/SQRT(SUM(INDEX($FK350:$ID350,1+SwaptionShift):INDEX($FK350:$ID350,SwaptionMonthsToGo+SwaptionShift))*SUM(INDEX($FK$325:$ID$396,FL$169,1+SwaptionShift):INDEX($FK$325:$ID$396,FL$169,SwaptionMonthsToGo+SwaptionShift))))))</f>
        <v/>
      </c>
      <c r="FM195" s="150" t="str">
        <f aca="false">IF(OR(FM$169&lt;SwaptionFirstMonthPosition+1,$FJ195&lt;SwaptionFirstMonthPosition+1,FM$169&gt;SwaptionFirstMonthPosition+SwaptionNumOfMonths+1,$FJ195&gt;SwaptionFirstMonthPosition+SwaptionNumOfMonths+1),"",IF($FJ195=FM$169,1,IF($FJ195&lt;FM$169,INDEX($FK$170:$ID$241,FM$169,$FJ195),SUMPRODUCT(INDEX($FK$325:$ID$396,FM$169,1+SwaptionShift):INDEX($FK$325:$ID$396,FM$169,SwaptionMonthsToGo+SwaptionShift),INDEX($FK$245:$ID$316,$FJ195-FM$169,73-FM$169+SwaptionShift):INDEX($FK$245:$ID$316,$FJ195-FM$169,72-FM$169+SwaptionMonthsToGo+SwaptionShift))/SQRT(SUM(INDEX($FK350:$ID350,1+SwaptionShift):INDEX($FK350:$ID350,SwaptionMonthsToGo+SwaptionShift))*SUM(INDEX($FK$325:$ID$396,FM$169,1+SwaptionShift):INDEX($FK$325:$ID$396,FM$169,SwaptionMonthsToGo+SwaptionShift))))))</f>
        <v/>
      </c>
      <c r="FN195" s="150" t="str">
        <f aca="false">IF(OR(FN$169&lt;SwaptionFirstMonthPosition+1,$FJ195&lt;SwaptionFirstMonthPosition+1,FN$169&gt;SwaptionFirstMonthPosition+SwaptionNumOfMonths+1,$FJ195&gt;SwaptionFirstMonthPosition+SwaptionNumOfMonths+1),"",IF($FJ195=FN$169,1,IF($FJ195&lt;FN$169,INDEX($FK$170:$ID$241,FN$169,$FJ195),SUMPRODUCT(INDEX($FK$325:$ID$396,FN$169,1+SwaptionShift):INDEX($FK$325:$ID$396,FN$169,SwaptionMonthsToGo+SwaptionShift),INDEX($FK$245:$ID$316,$FJ195-FN$169,73-FN$169+SwaptionShift):INDEX($FK$245:$ID$316,$FJ195-FN$169,72-FN$169+SwaptionMonthsToGo+SwaptionShift))/SQRT(SUM(INDEX($FK350:$ID350,1+SwaptionShift):INDEX($FK350:$ID350,SwaptionMonthsToGo+SwaptionShift))*SUM(INDEX($FK$325:$ID$396,FN$169,1+SwaptionShift):INDEX($FK$325:$ID$396,FN$169,SwaptionMonthsToGo+SwaptionShift))))))</f>
        <v/>
      </c>
      <c r="FO195" s="150" t="str">
        <f aca="false">IF(OR(FO$169&lt;SwaptionFirstMonthPosition+1,$FJ195&lt;SwaptionFirstMonthPosition+1,FO$169&gt;SwaptionFirstMonthPosition+SwaptionNumOfMonths+1,$FJ195&gt;SwaptionFirstMonthPosition+SwaptionNumOfMonths+1),"",IF($FJ195=FO$169,1,IF($FJ195&lt;FO$169,INDEX($FK$170:$ID$241,FO$169,$FJ195),SUMPRODUCT(INDEX($FK$325:$ID$396,FO$169,1+SwaptionShift):INDEX($FK$325:$ID$396,FO$169,SwaptionMonthsToGo+SwaptionShift),INDEX($FK$245:$ID$316,$FJ195-FO$169,73-FO$169+SwaptionShift):INDEX($FK$245:$ID$316,$FJ195-FO$169,72-FO$169+SwaptionMonthsToGo+SwaptionShift))/SQRT(SUM(INDEX($FK350:$ID350,1+SwaptionShift):INDEX($FK350:$ID350,SwaptionMonthsToGo+SwaptionShift))*SUM(INDEX($FK$325:$ID$396,FO$169,1+SwaptionShift):INDEX($FK$325:$ID$396,FO$169,SwaptionMonthsToGo+SwaptionShift))))))</f>
        <v/>
      </c>
      <c r="FP195" s="150" t="str">
        <f aca="false">IF(OR(FP$169&lt;SwaptionFirstMonthPosition+1,$FJ195&lt;SwaptionFirstMonthPosition+1,FP$169&gt;SwaptionFirstMonthPosition+SwaptionNumOfMonths+1,$FJ195&gt;SwaptionFirstMonthPosition+SwaptionNumOfMonths+1),"",IF($FJ195=FP$169,1,IF($FJ195&lt;FP$169,INDEX($FK$170:$ID$241,FP$169,$FJ195),SUMPRODUCT(INDEX($FK$325:$ID$396,FP$169,1+SwaptionShift):INDEX($FK$325:$ID$396,FP$169,SwaptionMonthsToGo+SwaptionShift),INDEX($FK$245:$ID$316,$FJ195-FP$169,73-FP$169+SwaptionShift):INDEX($FK$245:$ID$316,$FJ195-FP$169,72-FP$169+SwaptionMonthsToGo+SwaptionShift))/SQRT(SUM(INDEX($FK350:$ID350,1+SwaptionShift):INDEX($FK350:$ID350,SwaptionMonthsToGo+SwaptionShift))*SUM(INDEX($FK$325:$ID$396,FP$169,1+SwaptionShift):INDEX($FK$325:$ID$396,FP$169,SwaptionMonthsToGo+SwaptionShift))))))</f>
        <v/>
      </c>
      <c r="FQ195" s="150" t="str">
        <f aca="false">IF(OR(FQ$169&lt;SwaptionFirstMonthPosition+1,$FJ195&lt;SwaptionFirstMonthPosition+1,FQ$169&gt;SwaptionFirstMonthPosition+SwaptionNumOfMonths+1,$FJ195&gt;SwaptionFirstMonthPosition+SwaptionNumOfMonths+1),"",IF($FJ195=FQ$169,1,IF($FJ195&lt;FQ$169,INDEX($FK$170:$ID$241,FQ$169,$FJ195),SUMPRODUCT(INDEX($FK$325:$ID$396,FQ$169,1+SwaptionShift):INDEX($FK$325:$ID$396,FQ$169,SwaptionMonthsToGo+SwaptionShift),INDEX($FK$245:$ID$316,$FJ195-FQ$169,73-FQ$169+SwaptionShift):INDEX($FK$245:$ID$316,$FJ195-FQ$169,72-FQ$169+SwaptionMonthsToGo+SwaptionShift))/SQRT(SUM(INDEX($FK350:$ID350,1+SwaptionShift):INDEX($FK350:$ID350,SwaptionMonthsToGo+SwaptionShift))*SUM(INDEX($FK$325:$ID$396,FQ$169,1+SwaptionShift):INDEX($FK$325:$ID$396,FQ$169,SwaptionMonthsToGo+SwaptionShift))))))</f>
        <v/>
      </c>
      <c r="FR195" s="150" t="str">
        <f aca="false">IF(OR(FR$169&lt;SwaptionFirstMonthPosition+1,$FJ195&lt;SwaptionFirstMonthPosition+1,FR$169&gt;SwaptionFirstMonthPosition+SwaptionNumOfMonths+1,$FJ195&gt;SwaptionFirstMonthPosition+SwaptionNumOfMonths+1),"",IF($FJ195=FR$169,1,IF($FJ195&lt;FR$169,INDEX($FK$170:$ID$241,FR$169,$FJ195),SUMPRODUCT(INDEX($FK$325:$ID$396,FR$169,1+SwaptionShift):INDEX($FK$325:$ID$396,FR$169,SwaptionMonthsToGo+SwaptionShift),INDEX($FK$245:$ID$316,$FJ195-FR$169,73-FR$169+SwaptionShift):INDEX($FK$245:$ID$316,$FJ195-FR$169,72-FR$169+SwaptionMonthsToGo+SwaptionShift))/SQRT(SUM(INDEX($FK350:$ID350,1+SwaptionShift):INDEX($FK350:$ID350,SwaptionMonthsToGo+SwaptionShift))*SUM(INDEX($FK$325:$ID$396,FR$169,1+SwaptionShift):INDEX($FK$325:$ID$396,FR$169,SwaptionMonthsToGo+SwaptionShift))))))</f>
        <v/>
      </c>
      <c r="FS195" s="150" t="str">
        <f aca="false">IF(OR(FS$169&lt;SwaptionFirstMonthPosition+1,$FJ195&lt;SwaptionFirstMonthPosition+1,FS$169&gt;SwaptionFirstMonthPosition+SwaptionNumOfMonths+1,$FJ195&gt;SwaptionFirstMonthPosition+SwaptionNumOfMonths+1),"",IF($FJ195=FS$169,1,IF($FJ195&lt;FS$169,INDEX($FK$170:$ID$241,FS$169,$FJ195),SUMPRODUCT(INDEX($FK$325:$ID$396,FS$169,1+SwaptionShift):INDEX($FK$325:$ID$396,FS$169,SwaptionMonthsToGo+SwaptionShift),INDEX($FK$245:$ID$316,$FJ195-FS$169,73-FS$169+SwaptionShift):INDEX($FK$245:$ID$316,$FJ195-FS$169,72-FS$169+SwaptionMonthsToGo+SwaptionShift))/SQRT(SUM(INDEX($FK350:$ID350,1+SwaptionShift):INDEX($FK350:$ID350,SwaptionMonthsToGo+SwaptionShift))*SUM(INDEX($FK$325:$ID$396,FS$169,1+SwaptionShift):INDEX($FK$325:$ID$396,FS$169,SwaptionMonthsToGo+SwaptionShift))))))</f>
        <v/>
      </c>
      <c r="FT195" s="150" t="str">
        <f aca="false">IF(OR(FT$169&lt;SwaptionFirstMonthPosition+1,$FJ195&lt;SwaptionFirstMonthPosition+1,FT$169&gt;SwaptionFirstMonthPosition+SwaptionNumOfMonths+1,$FJ195&gt;SwaptionFirstMonthPosition+SwaptionNumOfMonths+1),"",IF($FJ195=FT$169,1,IF($FJ195&lt;FT$169,INDEX($FK$170:$ID$241,FT$169,$FJ195),SUMPRODUCT(INDEX($FK$325:$ID$396,FT$169,1+SwaptionShift):INDEX($FK$325:$ID$396,FT$169,SwaptionMonthsToGo+SwaptionShift),INDEX($FK$245:$ID$316,$FJ195-FT$169,73-FT$169+SwaptionShift):INDEX($FK$245:$ID$316,$FJ195-FT$169,72-FT$169+SwaptionMonthsToGo+SwaptionShift))/SQRT(SUM(INDEX($FK350:$ID350,1+SwaptionShift):INDEX($FK350:$ID350,SwaptionMonthsToGo+SwaptionShift))*SUM(INDEX($FK$325:$ID$396,FT$169,1+SwaptionShift):INDEX($FK$325:$ID$396,FT$169,SwaptionMonthsToGo+SwaptionShift))))))</f>
        <v/>
      </c>
      <c r="FU195" s="150" t="str">
        <f aca="false">IF(OR(FU$169&lt;SwaptionFirstMonthPosition+1,$FJ195&lt;SwaptionFirstMonthPosition+1,FU$169&gt;SwaptionFirstMonthPosition+SwaptionNumOfMonths+1,$FJ195&gt;SwaptionFirstMonthPosition+SwaptionNumOfMonths+1),"",IF($FJ195=FU$169,1,IF($FJ195&lt;FU$169,INDEX($FK$170:$ID$241,FU$169,$FJ195),SUMPRODUCT(INDEX($FK$325:$ID$396,FU$169,1+SwaptionShift):INDEX($FK$325:$ID$396,FU$169,SwaptionMonthsToGo+SwaptionShift),INDEX($FK$245:$ID$316,$FJ195-FU$169,73-FU$169+SwaptionShift):INDEX($FK$245:$ID$316,$FJ195-FU$169,72-FU$169+SwaptionMonthsToGo+SwaptionShift))/SQRT(SUM(INDEX($FK350:$ID350,1+SwaptionShift):INDEX($FK350:$ID350,SwaptionMonthsToGo+SwaptionShift))*SUM(INDEX($FK$325:$ID$396,FU$169,1+SwaptionShift):INDEX($FK$325:$ID$396,FU$169,SwaptionMonthsToGo+SwaptionShift))))))</f>
        <v/>
      </c>
      <c r="FV195" s="150" t="str">
        <f aca="false">IF(OR(FV$169&lt;SwaptionFirstMonthPosition+1,$FJ195&lt;SwaptionFirstMonthPosition+1,FV$169&gt;SwaptionFirstMonthPosition+SwaptionNumOfMonths+1,$FJ195&gt;SwaptionFirstMonthPosition+SwaptionNumOfMonths+1),"",IF($FJ195=FV$169,1,IF($FJ195&lt;FV$169,INDEX($FK$170:$ID$241,FV$169,$FJ195),SUMPRODUCT(INDEX($FK$325:$ID$396,FV$169,1+SwaptionShift):INDEX($FK$325:$ID$396,FV$169,SwaptionMonthsToGo+SwaptionShift),INDEX($FK$245:$ID$316,$FJ195-FV$169,73-FV$169+SwaptionShift):INDEX($FK$245:$ID$316,$FJ195-FV$169,72-FV$169+SwaptionMonthsToGo+SwaptionShift))/SQRT(SUM(INDEX($FK350:$ID350,1+SwaptionShift):INDEX($FK350:$ID350,SwaptionMonthsToGo+SwaptionShift))*SUM(INDEX($FK$325:$ID$396,FV$169,1+SwaptionShift):INDEX($FK$325:$ID$396,FV$169,SwaptionMonthsToGo+SwaptionShift))))))</f>
        <v/>
      </c>
      <c r="FW195" s="150" t="str">
        <f aca="false">IF(OR(FW$169&lt;SwaptionFirstMonthPosition+1,$FJ195&lt;SwaptionFirstMonthPosition+1,FW$169&gt;SwaptionFirstMonthPosition+SwaptionNumOfMonths+1,$FJ195&gt;SwaptionFirstMonthPosition+SwaptionNumOfMonths+1),"",IF($FJ195=FW$169,1,IF($FJ195&lt;FW$169,INDEX($FK$170:$ID$241,FW$169,$FJ195),SUMPRODUCT(INDEX($FK$325:$ID$396,FW$169,1+SwaptionShift):INDEX($FK$325:$ID$396,FW$169,SwaptionMonthsToGo+SwaptionShift),INDEX($FK$245:$ID$316,$FJ195-FW$169,73-FW$169+SwaptionShift):INDEX($FK$245:$ID$316,$FJ195-FW$169,72-FW$169+SwaptionMonthsToGo+SwaptionShift))/SQRT(SUM(INDEX($FK350:$ID350,1+SwaptionShift):INDEX($FK350:$ID350,SwaptionMonthsToGo+SwaptionShift))*SUM(INDEX($FK$325:$ID$396,FW$169,1+SwaptionShift):INDEX($FK$325:$ID$396,FW$169,SwaptionMonthsToGo+SwaptionShift))))))</f>
        <v/>
      </c>
      <c r="FX195" s="150" t="str">
        <f aca="false">IF(OR(FX$169&lt;SwaptionFirstMonthPosition+1,$FJ195&lt;SwaptionFirstMonthPosition+1,FX$169&gt;SwaptionFirstMonthPosition+SwaptionNumOfMonths+1,$FJ195&gt;SwaptionFirstMonthPosition+SwaptionNumOfMonths+1),"",IF($FJ195=FX$169,1,IF($FJ195&lt;FX$169,INDEX($FK$170:$ID$241,FX$169,$FJ195),SUMPRODUCT(INDEX($FK$325:$ID$396,FX$169,1+SwaptionShift):INDEX($FK$325:$ID$396,FX$169,SwaptionMonthsToGo+SwaptionShift),INDEX($FK$245:$ID$316,$FJ195-FX$169,73-FX$169+SwaptionShift):INDEX($FK$245:$ID$316,$FJ195-FX$169,72-FX$169+SwaptionMonthsToGo+SwaptionShift))/SQRT(SUM(INDEX($FK350:$ID350,1+SwaptionShift):INDEX($FK350:$ID350,SwaptionMonthsToGo+SwaptionShift))*SUM(INDEX($FK$325:$ID$396,FX$169,1+SwaptionShift):INDEX($FK$325:$ID$396,FX$169,SwaptionMonthsToGo+SwaptionShift))))))</f>
        <v/>
      </c>
      <c r="FY195" s="150" t="str">
        <f aca="false">IF(OR(FY$169&lt;SwaptionFirstMonthPosition+1,$FJ195&lt;SwaptionFirstMonthPosition+1,FY$169&gt;SwaptionFirstMonthPosition+SwaptionNumOfMonths+1,$FJ195&gt;SwaptionFirstMonthPosition+SwaptionNumOfMonths+1),"",IF($FJ195=FY$169,1,IF($FJ195&lt;FY$169,INDEX($FK$170:$ID$241,FY$169,$FJ195),SUMPRODUCT(INDEX($FK$325:$ID$396,FY$169,1+SwaptionShift):INDEX($FK$325:$ID$396,FY$169,SwaptionMonthsToGo+SwaptionShift),INDEX($FK$245:$ID$316,$FJ195-FY$169,73-FY$169+SwaptionShift):INDEX($FK$245:$ID$316,$FJ195-FY$169,72-FY$169+SwaptionMonthsToGo+SwaptionShift))/SQRT(SUM(INDEX($FK350:$ID350,1+SwaptionShift):INDEX($FK350:$ID350,SwaptionMonthsToGo+SwaptionShift))*SUM(INDEX($FK$325:$ID$396,FY$169,1+SwaptionShift):INDEX($FK$325:$ID$396,FY$169,SwaptionMonthsToGo+SwaptionShift))))))</f>
        <v/>
      </c>
      <c r="FZ195" s="150" t="str">
        <f aca="false">IF(OR(FZ$169&lt;SwaptionFirstMonthPosition+1,$FJ195&lt;SwaptionFirstMonthPosition+1,FZ$169&gt;SwaptionFirstMonthPosition+SwaptionNumOfMonths+1,$FJ195&gt;SwaptionFirstMonthPosition+SwaptionNumOfMonths+1),"",IF($FJ195=FZ$169,1,IF($FJ195&lt;FZ$169,INDEX($FK$170:$ID$241,FZ$169,$FJ195),SUMPRODUCT(INDEX($FK$325:$ID$396,FZ$169,1+SwaptionShift):INDEX($FK$325:$ID$396,FZ$169,SwaptionMonthsToGo+SwaptionShift),INDEX($FK$245:$ID$316,$FJ195-FZ$169,73-FZ$169+SwaptionShift):INDEX($FK$245:$ID$316,$FJ195-FZ$169,72-FZ$169+SwaptionMonthsToGo+SwaptionShift))/SQRT(SUM(INDEX($FK350:$ID350,1+SwaptionShift):INDEX($FK350:$ID350,SwaptionMonthsToGo+SwaptionShift))*SUM(INDEX($FK$325:$ID$396,FZ$169,1+SwaptionShift):INDEX($FK$325:$ID$396,FZ$169,SwaptionMonthsToGo+SwaptionShift))))))</f>
        <v/>
      </c>
      <c r="GA195" s="150" t="str">
        <f aca="false">IF(OR(GA$169&lt;SwaptionFirstMonthPosition+1,$FJ195&lt;SwaptionFirstMonthPosition+1,GA$169&gt;SwaptionFirstMonthPosition+SwaptionNumOfMonths+1,$FJ195&gt;SwaptionFirstMonthPosition+SwaptionNumOfMonths+1),"",IF($FJ195=GA$169,1,IF($FJ195&lt;GA$169,INDEX($FK$170:$ID$241,GA$169,$FJ195),SUMPRODUCT(INDEX($FK$325:$ID$396,GA$169,1+SwaptionShift):INDEX($FK$325:$ID$396,GA$169,SwaptionMonthsToGo+SwaptionShift),INDEX($FK$245:$ID$316,$FJ195-GA$169,73-GA$169+SwaptionShift):INDEX($FK$245:$ID$316,$FJ195-GA$169,72-GA$169+SwaptionMonthsToGo+SwaptionShift))/SQRT(SUM(INDEX($FK350:$ID350,1+SwaptionShift):INDEX($FK350:$ID350,SwaptionMonthsToGo+SwaptionShift))*SUM(INDEX($FK$325:$ID$396,GA$169,1+SwaptionShift):INDEX($FK$325:$ID$396,GA$169,SwaptionMonthsToGo+SwaptionShift))))))</f>
        <v/>
      </c>
      <c r="GB195" s="150" t="str">
        <f aca="false">IF(OR(GB$169&lt;SwaptionFirstMonthPosition+1,$FJ195&lt;SwaptionFirstMonthPosition+1,GB$169&gt;SwaptionFirstMonthPosition+SwaptionNumOfMonths+1,$FJ195&gt;SwaptionFirstMonthPosition+SwaptionNumOfMonths+1),"",IF($FJ195=GB$169,1,IF($FJ195&lt;GB$169,INDEX($FK$170:$ID$241,GB$169,$FJ195),SUMPRODUCT(INDEX($FK$325:$ID$396,GB$169,1+SwaptionShift):INDEX($FK$325:$ID$396,GB$169,SwaptionMonthsToGo+SwaptionShift),INDEX($FK$245:$ID$316,$FJ195-GB$169,73-GB$169+SwaptionShift):INDEX($FK$245:$ID$316,$FJ195-GB$169,72-GB$169+SwaptionMonthsToGo+SwaptionShift))/SQRT(SUM(INDEX($FK350:$ID350,1+SwaptionShift):INDEX($FK350:$ID350,SwaptionMonthsToGo+SwaptionShift))*SUM(INDEX($FK$325:$ID$396,GB$169,1+SwaptionShift):INDEX($FK$325:$ID$396,GB$169,SwaptionMonthsToGo+SwaptionShift))))))</f>
        <v/>
      </c>
      <c r="GC195" s="150" t="str">
        <f aca="false">IF(OR(GC$169&lt;SwaptionFirstMonthPosition+1,$FJ195&lt;SwaptionFirstMonthPosition+1,GC$169&gt;SwaptionFirstMonthPosition+SwaptionNumOfMonths+1,$FJ195&gt;SwaptionFirstMonthPosition+SwaptionNumOfMonths+1),"",IF($FJ195=GC$169,1,IF($FJ195&lt;GC$169,INDEX($FK$170:$ID$241,GC$169,$FJ195),SUMPRODUCT(INDEX($FK$325:$ID$396,GC$169,1+SwaptionShift):INDEX($FK$325:$ID$396,GC$169,SwaptionMonthsToGo+SwaptionShift),INDEX($FK$245:$ID$316,$FJ195-GC$169,73-GC$169+SwaptionShift):INDEX($FK$245:$ID$316,$FJ195-GC$169,72-GC$169+SwaptionMonthsToGo+SwaptionShift))/SQRT(SUM(INDEX($FK350:$ID350,1+SwaptionShift):INDEX($FK350:$ID350,SwaptionMonthsToGo+SwaptionShift))*SUM(INDEX($FK$325:$ID$396,GC$169,1+SwaptionShift):INDEX($FK$325:$ID$396,GC$169,SwaptionMonthsToGo+SwaptionShift))))))</f>
        <v/>
      </c>
      <c r="GD195" s="150" t="str">
        <f aca="false">IF(OR(GD$169&lt;SwaptionFirstMonthPosition+1,$FJ195&lt;SwaptionFirstMonthPosition+1,GD$169&gt;SwaptionFirstMonthPosition+SwaptionNumOfMonths+1,$FJ195&gt;SwaptionFirstMonthPosition+SwaptionNumOfMonths+1),"",IF($FJ195=GD$169,1,IF($FJ195&lt;GD$169,INDEX($FK$170:$ID$241,GD$169,$FJ195),SUMPRODUCT(INDEX($FK$325:$ID$396,GD$169,1+SwaptionShift):INDEX($FK$325:$ID$396,GD$169,SwaptionMonthsToGo+SwaptionShift),INDEX($FK$245:$ID$316,$FJ195-GD$169,73-GD$169+SwaptionShift):INDEX($FK$245:$ID$316,$FJ195-GD$169,72-GD$169+SwaptionMonthsToGo+SwaptionShift))/SQRT(SUM(INDEX($FK350:$ID350,1+SwaptionShift):INDEX($FK350:$ID350,SwaptionMonthsToGo+SwaptionShift))*SUM(INDEX($FK$325:$ID$396,GD$169,1+SwaptionShift):INDEX($FK$325:$ID$396,GD$169,SwaptionMonthsToGo+SwaptionShift))))))</f>
        <v/>
      </c>
      <c r="GE195" s="150" t="str">
        <f aca="false">IF(OR(GE$169&lt;SwaptionFirstMonthPosition+1,$FJ195&lt;SwaptionFirstMonthPosition+1,GE$169&gt;SwaptionFirstMonthPosition+SwaptionNumOfMonths+1,$FJ195&gt;SwaptionFirstMonthPosition+SwaptionNumOfMonths+1),"",IF($FJ195=GE$169,1,IF($FJ195&lt;GE$169,INDEX($FK$170:$ID$241,GE$169,$FJ195),SUMPRODUCT(INDEX($FK$325:$ID$396,GE$169,1+SwaptionShift):INDEX($FK$325:$ID$396,GE$169,SwaptionMonthsToGo+SwaptionShift),INDEX($FK$245:$ID$316,$FJ195-GE$169,73-GE$169+SwaptionShift):INDEX($FK$245:$ID$316,$FJ195-GE$169,72-GE$169+SwaptionMonthsToGo+SwaptionShift))/SQRT(SUM(INDEX($FK350:$ID350,1+SwaptionShift):INDEX($FK350:$ID350,SwaptionMonthsToGo+SwaptionShift))*SUM(INDEX($FK$325:$ID$396,GE$169,1+SwaptionShift):INDEX($FK$325:$ID$396,GE$169,SwaptionMonthsToGo+SwaptionShift))))))</f>
        <v/>
      </c>
      <c r="GF195" s="150" t="str">
        <f aca="false">IF(OR(GF$169&lt;SwaptionFirstMonthPosition+1,$FJ195&lt;SwaptionFirstMonthPosition+1,GF$169&gt;SwaptionFirstMonthPosition+SwaptionNumOfMonths+1,$FJ195&gt;SwaptionFirstMonthPosition+SwaptionNumOfMonths+1),"",IF($FJ195=GF$169,1,IF($FJ195&lt;GF$169,INDEX($FK$170:$ID$241,GF$169,$FJ195),SUMPRODUCT(INDEX($FK$325:$ID$396,GF$169,1+SwaptionShift):INDEX($FK$325:$ID$396,GF$169,SwaptionMonthsToGo+SwaptionShift),INDEX($FK$245:$ID$316,$FJ195-GF$169,73-GF$169+SwaptionShift):INDEX($FK$245:$ID$316,$FJ195-GF$169,72-GF$169+SwaptionMonthsToGo+SwaptionShift))/SQRT(SUM(INDEX($FK350:$ID350,1+SwaptionShift):INDEX($FK350:$ID350,SwaptionMonthsToGo+SwaptionShift))*SUM(INDEX($FK$325:$ID$396,GF$169,1+SwaptionShift):INDEX($FK$325:$ID$396,GF$169,SwaptionMonthsToGo+SwaptionShift))))))</f>
        <v/>
      </c>
      <c r="GG195" s="150" t="str">
        <f aca="false">IF(OR(GG$169&lt;SwaptionFirstMonthPosition+1,$FJ195&lt;SwaptionFirstMonthPosition+1,GG$169&gt;SwaptionFirstMonthPosition+SwaptionNumOfMonths+1,$FJ195&gt;SwaptionFirstMonthPosition+SwaptionNumOfMonths+1),"",IF($FJ195=GG$169,1,IF($FJ195&lt;GG$169,INDEX($FK$170:$ID$241,GG$169,$FJ195),SUMPRODUCT(INDEX($FK$325:$ID$396,GG$169,1+SwaptionShift):INDEX($FK$325:$ID$396,GG$169,SwaptionMonthsToGo+SwaptionShift),INDEX($FK$245:$ID$316,$FJ195-GG$169,73-GG$169+SwaptionShift):INDEX($FK$245:$ID$316,$FJ195-GG$169,72-GG$169+SwaptionMonthsToGo+SwaptionShift))/SQRT(SUM(INDEX($FK350:$ID350,1+SwaptionShift):INDEX($FK350:$ID350,SwaptionMonthsToGo+SwaptionShift))*SUM(INDEX($FK$325:$ID$396,GG$169,1+SwaptionShift):INDEX($FK$325:$ID$396,GG$169,SwaptionMonthsToGo+SwaptionShift))))))</f>
        <v/>
      </c>
      <c r="GH195" s="150" t="str">
        <f aca="false">IF(OR(GH$169&lt;SwaptionFirstMonthPosition+1,$FJ195&lt;SwaptionFirstMonthPosition+1,GH$169&gt;SwaptionFirstMonthPosition+SwaptionNumOfMonths+1,$FJ195&gt;SwaptionFirstMonthPosition+SwaptionNumOfMonths+1),"",IF($FJ195=GH$169,1,IF($FJ195&lt;GH$169,INDEX($FK$170:$ID$241,GH$169,$FJ195),SUMPRODUCT(INDEX($FK$325:$ID$396,GH$169,1+SwaptionShift):INDEX($FK$325:$ID$396,GH$169,SwaptionMonthsToGo+SwaptionShift),INDEX($FK$245:$ID$316,$FJ195-GH$169,73-GH$169+SwaptionShift):INDEX($FK$245:$ID$316,$FJ195-GH$169,72-GH$169+SwaptionMonthsToGo+SwaptionShift))/SQRT(SUM(INDEX($FK350:$ID350,1+SwaptionShift):INDEX($FK350:$ID350,SwaptionMonthsToGo+SwaptionShift))*SUM(INDEX($FK$325:$ID$396,GH$169,1+SwaptionShift):INDEX($FK$325:$ID$396,GH$169,SwaptionMonthsToGo+SwaptionShift))))))</f>
        <v/>
      </c>
      <c r="GI195" s="150" t="str">
        <f aca="false">IF(OR(GI$169&lt;SwaptionFirstMonthPosition+1,$FJ195&lt;SwaptionFirstMonthPosition+1,GI$169&gt;SwaptionFirstMonthPosition+SwaptionNumOfMonths+1,$FJ195&gt;SwaptionFirstMonthPosition+SwaptionNumOfMonths+1),"",IF($FJ195=GI$169,1,IF($FJ195&lt;GI$169,INDEX($FK$170:$ID$241,GI$169,$FJ195),SUMPRODUCT(INDEX($FK$325:$ID$396,GI$169,1+SwaptionShift):INDEX($FK$325:$ID$396,GI$169,SwaptionMonthsToGo+SwaptionShift),INDEX($FK$245:$ID$316,$FJ195-GI$169,73-GI$169+SwaptionShift):INDEX($FK$245:$ID$316,$FJ195-GI$169,72-GI$169+SwaptionMonthsToGo+SwaptionShift))/SQRT(SUM(INDEX($FK350:$ID350,1+SwaptionShift):INDEX($FK350:$ID350,SwaptionMonthsToGo+SwaptionShift))*SUM(INDEX($FK$325:$ID$396,GI$169,1+SwaptionShift):INDEX($FK$325:$ID$396,GI$169,SwaptionMonthsToGo+SwaptionShift))))))</f>
        <v/>
      </c>
      <c r="GJ195" s="150" t="str">
        <f aca="false">IF(OR(GJ$169&lt;SwaptionFirstMonthPosition+1,$FJ195&lt;SwaptionFirstMonthPosition+1,GJ$169&gt;SwaptionFirstMonthPosition+SwaptionNumOfMonths+1,$FJ195&gt;SwaptionFirstMonthPosition+SwaptionNumOfMonths+1),"",IF($FJ195=GJ$169,1,IF($FJ195&lt;GJ$169,INDEX($FK$170:$ID$241,GJ$169,$FJ195),SUMPRODUCT(INDEX($FK$325:$ID$396,GJ$169,1+SwaptionShift):INDEX($FK$325:$ID$396,GJ$169,SwaptionMonthsToGo+SwaptionShift),INDEX($FK$245:$ID$316,$FJ195-GJ$169,73-GJ$169+SwaptionShift):INDEX($FK$245:$ID$316,$FJ195-GJ$169,72-GJ$169+SwaptionMonthsToGo+SwaptionShift))/SQRT(SUM(INDEX($FK350:$ID350,1+SwaptionShift):INDEX($FK350:$ID350,SwaptionMonthsToGo+SwaptionShift))*SUM(INDEX($FK$325:$ID$396,GJ$169,1+SwaptionShift):INDEX($FK$325:$ID$396,GJ$169,SwaptionMonthsToGo+SwaptionShift))))))</f>
        <v/>
      </c>
      <c r="GK195" s="150" t="str">
        <f aca="false">IF(OR(GK$169&lt;SwaptionFirstMonthPosition+1,$FJ195&lt;SwaptionFirstMonthPosition+1,GK$169&gt;SwaptionFirstMonthPosition+SwaptionNumOfMonths+1,$FJ195&gt;SwaptionFirstMonthPosition+SwaptionNumOfMonths+1),"",IF($FJ195=GK$169,1,IF($FJ195&lt;GK$169,INDEX($FK$170:$ID$241,GK$169,$FJ195),SUMPRODUCT(INDEX($FK$325:$ID$396,GK$169,1+SwaptionShift):INDEX($FK$325:$ID$396,GK$169,SwaptionMonthsToGo+SwaptionShift),INDEX($FK$245:$ID$316,$FJ195-GK$169,73-GK$169+SwaptionShift):INDEX($FK$245:$ID$316,$FJ195-GK$169,72-GK$169+SwaptionMonthsToGo+SwaptionShift))/SQRT(SUM(INDEX($FK350:$ID350,1+SwaptionShift):INDEX($FK350:$ID350,SwaptionMonthsToGo+SwaptionShift))*SUM(INDEX($FK$325:$ID$396,GK$169,1+SwaptionShift):INDEX($FK$325:$ID$396,GK$169,SwaptionMonthsToGo+SwaptionShift))))))</f>
        <v/>
      </c>
      <c r="GL195" s="150" t="str">
        <f aca="false">IF(OR(GL$169&lt;SwaptionFirstMonthPosition+1,$FJ195&lt;SwaptionFirstMonthPosition+1,GL$169&gt;SwaptionFirstMonthPosition+SwaptionNumOfMonths+1,$FJ195&gt;SwaptionFirstMonthPosition+SwaptionNumOfMonths+1),"",IF($FJ195=GL$169,1,IF($FJ195&lt;GL$169,INDEX($FK$170:$ID$241,GL$169,$FJ195),SUMPRODUCT(INDEX($FK$325:$ID$396,GL$169,1+SwaptionShift):INDEX($FK$325:$ID$396,GL$169,SwaptionMonthsToGo+SwaptionShift),INDEX($FK$245:$ID$316,$FJ195-GL$169,73-GL$169+SwaptionShift):INDEX($FK$245:$ID$316,$FJ195-GL$169,72-GL$169+SwaptionMonthsToGo+SwaptionShift))/SQRT(SUM(INDEX($FK350:$ID350,1+SwaptionShift):INDEX($FK350:$ID350,SwaptionMonthsToGo+SwaptionShift))*SUM(INDEX($FK$325:$ID$396,GL$169,1+SwaptionShift):INDEX($FK$325:$ID$396,GL$169,SwaptionMonthsToGo+SwaptionShift))))))</f>
        <v/>
      </c>
      <c r="GM195" s="150" t="str">
        <f aca="false">IF(OR(GM$169&lt;SwaptionFirstMonthPosition+1,$FJ195&lt;SwaptionFirstMonthPosition+1,GM$169&gt;SwaptionFirstMonthPosition+SwaptionNumOfMonths+1,$FJ195&gt;SwaptionFirstMonthPosition+SwaptionNumOfMonths+1),"",IF($FJ195=GM$169,1,IF($FJ195&lt;GM$169,INDEX($FK$170:$ID$241,GM$169,$FJ195),SUMPRODUCT(INDEX($FK$325:$ID$396,GM$169,1+SwaptionShift):INDEX($FK$325:$ID$396,GM$169,SwaptionMonthsToGo+SwaptionShift),INDEX($FK$245:$ID$316,$FJ195-GM$169,73-GM$169+SwaptionShift):INDEX($FK$245:$ID$316,$FJ195-GM$169,72-GM$169+SwaptionMonthsToGo+SwaptionShift))/SQRT(SUM(INDEX($FK350:$ID350,1+SwaptionShift):INDEX($FK350:$ID350,SwaptionMonthsToGo+SwaptionShift))*SUM(INDEX($FK$325:$ID$396,GM$169,1+SwaptionShift):INDEX($FK$325:$ID$396,GM$169,SwaptionMonthsToGo+SwaptionShift))))))</f>
        <v/>
      </c>
      <c r="GN195" s="150" t="str">
        <f aca="false">IF(OR(GN$169&lt;SwaptionFirstMonthPosition+1,$FJ195&lt;SwaptionFirstMonthPosition+1,GN$169&gt;SwaptionFirstMonthPosition+SwaptionNumOfMonths+1,$FJ195&gt;SwaptionFirstMonthPosition+SwaptionNumOfMonths+1),"",IF($FJ195=GN$169,1,IF($FJ195&lt;GN$169,INDEX($FK$170:$ID$241,GN$169,$FJ195),SUMPRODUCT(INDEX($FK$325:$ID$396,GN$169,1+SwaptionShift):INDEX($FK$325:$ID$396,GN$169,SwaptionMonthsToGo+SwaptionShift),INDEX($FK$245:$ID$316,$FJ195-GN$169,73-GN$169+SwaptionShift):INDEX($FK$245:$ID$316,$FJ195-GN$169,72-GN$169+SwaptionMonthsToGo+SwaptionShift))/SQRT(SUM(INDEX($FK350:$ID350,1+SwaptionShift):INDEX($FK350:$ID350,SwaptionMonthsToGo+SwaptionShift))*SUM(INDEX($FK$325:$ID$396,GN$169,1+SwaptionShift):INDEX($FK$325:$ID$396,GN$169,SwaptionMonthsToGo+SwaptionShift))))))</f>
        <v/>
      </c>
      <c r="GO195" s="150" t="str">
        <f aca="false">IF(OR(GO$169&lt;SwaptionFirstMonthPosition+1,$FJ195&lt;SwaptionFirstMonthPosition+1,GO$169&gt;SwaptionFirstMonthPosition+SwaptionNumOfMonths+1,$FJ195&gt;SwaptionFirstMonthPosition+SwaptionNumOfMonths+1),"",IF($FJ195=GO$169,1,IF($FJ195&lt;GO$169,INDEX($FK$170:$ID$241,GO$169,$FJ195),SUMPRODUCT(INDEX($FK$325:$ID$396,GO$169,1+SwaptionShift):INDEX($FK$325:$ID$396,GO$169,SwaptionMonthsToGo+SwaptionShift),INDEX($FK$245:$ID$316,$FJ195-GO$169,73-GO$169+SwaptionShift):INDEX($FK$245:$ID$316,$FJ195-GO$169,72-GO$169+SwaptionMonthsToGo+SwaptionShift))/SQRT(SUM(INDEX($FK350:$ID350,1+SwaptionShift):INDEX($FK350:$ID350,SwaptionMonthsToGo+SwaptionShift))*SUM(INDEX($FK$325:$ID$396,GO$169,1+SwaptionShift):INDEX($FK$325:$ID$396,GO$169,SwaptionMonthsToGo+SwaptionShift))))))</f>
        <v/>
      </c>
      <c r="GP195" s="150" t="str">
        <f aca="false">IF(OR(GP$169&lt;SwaptionFirstMonthPosition+1,$FJ195&lt;SwaptionFirstMonthPosition+1,GP$169&gt;SwaptionFirstMonthPosition+SwaptionNumOfMonths+1,$FJ195&gt;SwaptionFirstMonthPosition+SwaptionNumOfMonths+1),"",IF($FJ195=GP$169,1,IF($FJ195&lt;GP$169,INDEX($FK$170:$ID$241,GP$169,$FJ195),SUMPRODUCT(INDEX($FK$325:$ID$396,GP$169,1+SwaptionShift):INDEX($FK$325:$ID$396,GP$169,SwaptionMonthsToGo+SwaptionShift),INDEX($FK$245:$ID$316,$FJ195-GP$169,73-GP$169+SwaptionShift):INDEX($FK$245:$ID$316,$FJ195-GP$169,72-GP$169+SwaptionMonthsToGo+SwaptionShift))/SQRT(SUM(INDEX($FK350:$ID350,1+SwaptionShift):INDEX($FK350:$ID350,SwaptionMonthsToGo+SwaptionShift))*SUM(INDEX($FK$325:$ID$396,GP$169,1+SwaptionShift):INDEX($FK$325:$ID$396,GP$169,SwaptionMonthsToGo+SwaptionShift))))))</f>
        <v/>
      </c>
      <c r="GQ195" s="150" t="str">
        <f aca="false">IF(OR(GQ$169&lt;SwaptionFirstMonthPosition+1,$FJ195&lt;SwaptionFirstMonthPosition+1,GQ$169&gt;SwaptionFirstMonthPosition+SwaptionNumOfMonths+1,$FJ195&gt;SwaptionFirstMonthPosition+SwaptionNumOfMonths+1),"",IF($FJ195=GQ$169,1,IF($FJ195&lt;GQ$169,INDEX($FK$170:$ID$241,GQ$169,$FJ195),SUMPRODUCT(INDEX($FK$325:$ID$396,GQ$169,1+SwaptionShift):INDEX($FK$325:$ID$396,GQ$169,SwaptionMonthsToGo+SwaptionShift),INDEX($FK$245:$ID$316,$FJ195-GQ$169,73-GQ$169+SwaptionShift):INDEX($FK$245:$ID$316,$FJ195-GQ$169,72-GQ$169+SwaptionMonthsToGo+SwaptionShift))/SQRT(SUM(INDEX($FK350:$ID350,1+SwaptionShift):INDEX($FK350:$ID350,SwaptionMonthsToGo+SwaptionShift))*SUM(INDEX($FK$325:$ID$396,GQ$169,1+SwaptionShift):INDEX($FK$325:$ID$396,GQ$169,SwaptionMonthsToGo+SwaptionShift))))))</f>
        <v/>
      </c>
      <c r="GR195" s="150" t="str">
        <f aca="false">IF(OR(GR$169&lt;SwaptionFirstMonthPosition+1,$FJ195&lt;SwaptionFirstMonthPosition+1,GR$169&gt;SwaptionFirstMonthPosition+SwaptionNumOfMonths+1,$FJ195&gt;SwaptionFirstMonthPosition+SwaptionNumOfMonths+1),"",IF($FJ195=GR$169,1,IF($FJ195&lt;GR$169,INDEX($FK$170:$ID$241,GR$169,$FJ195),SUMPRODUCT(INDEX($FK$325:$ID$396,GR$169,1+SwaptionShift):INDEX($FK$325:$ID$396,GR$169,SwaptionMonthsToGo+SwaptionShift),INDEX($FK$245:$ID$316,$FJ195-GR$169,73-GR$169+SwaptionShift):INDEX($FK$245:$ID$316,$FJ195-GR$169,72-GR$169+SwaptionMonthsToGo+SwaptionShift))/SQRT(SUM(INDEX($FK350:$ID350,1+SwaptionShift):INDEX($FK350:$ID350,SwaptionMonthsToGo+SwaptionShift))*SUM(INDEX($FK$325:$ID$396,GR$169,1+SwaptionShift):INDEX($FK$325:$ID$396,GR$169,SwaptionMonthsToGo+SwaptionShift))))))</f>
        <v/>
      </c>
      <c r="GS195" s="150" t="str">
        <f aca="false">IF(OR(GS$169&lt;SwaptionFirstMonthPosition+1,$FJ195&lt;SwaptionFirstMonthPosition+1,GS$169&gt;SwaptionFirstMonthPosition+SwaptionNumOfMonths+1,$FJ195&gt;SwaptionFirstMonthPosition+SwaptionNumOfMonths+1),"",IF($FJ195=GS$169,1,IF($FJ195&lt;GS$169,INDEX($FK$170:$ID$241,GS$169,$FJ195),SUMPRODUCT(INDEX($FK$325:$ID$396,GS$169,1+SwaptionShift):INDEX($FK$325:$ID$396,GS$169,SwaptionMonthsToGo+SwaptionShift),INDEX($FK$245:$ID$316,$FJ195-GS$169,73-GS$169+SwaptionShift):INDEX($FK$245:$ID$316,$FJ195-GS$169,72-GS$169+SwaptionMonthsToGo+SwaptionShift))/SQRT(SUM(INDEX($FK350:$ID350,1+SwaptionShift):INDEX($FK350:$ID350,SwaptionMonthsToGo+SwaptionShift))*SUM(INDEX($FK$325:$ID$396,GS$169,1+SwaptionShift):INDEX($FK$325:$ID$396,GS$169,SwaptionMonthsToGo+SwaptionShift))))))</f>
        <v/>
      </c>
      <c r="GT195" s="150" t="str">
        <f aca="false">IF(OR(GT$169&lt;SwaptionFirstMonthPosition+1,$FJ195&lt;SwaptionFirstMonthPosition+1,GT$169&gt;SwaptionFirstMonthPosition+SwaptionNumOfMonths+1,$FJ195&gt;SwaptionFirstMonthPosition+SwaptionNumOfMonths+1),"",IF($FJ195=GT$169,1,IF($FJ195&lt;GT$169,INDEX($FK$170:$ID$241,GT$169,$FJ195),SUMPRODUCT(INDEX($FK$325:$ID$396,GT$169,1+SwaptionShift):INDEX($FK$325:$ID$396,GT$169,SwaptionMonthsToGo+SwaptionShift),INDEX($FK$245:$ID$316,$FJ195-GT$169,73-GT$169+SwaptionShift):INDEX($FK$245:$ID$316,$FJ195-GT$169,72-GT$169+SwaptionMonthsToGo+SwaptionShift))/SQRT(SUM(INDEX($FK350:$ID350,1+SwaptionShift):INDEX($FK350:$ID350,SwaptionMonthsToGo+SwaptionShift))*SUM(INDEX($FK$325:$ID$396,GT$169,1+SwaptionShift):INDEX($FK$325:$ID$396,GT$169,SwaptionMonthsToGo+SwaptionShift))))))</f>
        <v/>
      </c>
      <c r="GU195" s="150" t="str">
        <f aca="false">IF(OR(GU$169&lt;SwaptionFirstMonthPosition+1,$FJ195&lt;SwaptionFirstMonthPosition+1,GU$169&gt;SwaptionFirstMonthPosition+SwaptionNumOfMonths+1,$FJ195&gt;SwaptionFirstMonthPosition+SwaptionNumOfMonths+1),"",IF($FJ195=GU$169,1,IF($FJ195&lt;GU$169,INDEX($FK$170:$ID$241,GU$169,$FJ195),SUMPRODUCT(INDEX($FK$325:$ID$396,GU$169,1+SwaptionShift):INDEX($FK$325:$ID$396,GU$169,SwaptionMonthsToGo+SwaptionShift),INDEX($FK$245:$ID$316,$FJ195-GU$169,73-GU$169+SwaptionShift):INDEX($FK$245:$ID$316,$FJ195-GU$169,72-GU$169+SwaptionMonthsToGo+SwaptionShift))/SQRT(SUM(INDEX($FK350:$ID350,1+SwaptionShift):INDEX($FK350:$ID350,SwaptionMonthsToGo+SwaptionShift))*SUM(INDEX($FK$325:$ID$396,GU$169,1+SwaptionShift):INDEX($FK$325:$ID$396,GU$169,SwaptionMonthsToGo+SwaptionShift))))))</f>
        <v/>
      </c>
      <c r="GV195" s="150" t="str">
        <f aca="false">IF(OR(GV$169&lt;SwaptionFirstMonthPosition+1,$FJ195&lt;SwaptionFirstMonthPosition+1,GV$169&gt;SwaptionFirstMonthPosition+SwaptionNumOfMonths+1,$FJ195&gt;SwaptionFirstMonthPosition+SwaptionNumOfMonths+1),"",IF($FJ195=GV$169,1,IF($FJ195&lt;GV$169,INDEX($FK$170:$ID$241,GV$169,$FJ195),SUMPRODUCT(INDEX($FK$325:$ID$396,GV$169,1+SwaptionShift):INDEX($FK$325:$ID$396,GV$169,SwaptionMonthsToGo+SwaptionShift),INDEX($FK$245:$ID$316,$FJ195-GV$169,73-GV$169+SwaptionShift):INDEX($FK$245:$ID$316,$FJ195-GV$169,72-GV$169+SwaptionMonthsToGo+SwaptionShift))/SQRT(SUM(INDEX($FK350:$ID350,1+SwaptionShift):INDEX($FK350:$ID350,SwaptionMonthsToGo+SwaptionShift))*SUM(INDEX($FK$325:$ID$396,GV$169,1+SwaptionShift):INDEX($FK$325:$ID$396,GV$169,SwaptionMonthsToGo+SwaptionShift))))))</f>
        <v/>
      </c>
      <c r="GW195" s="150" t="str">
        <f aca="false">IF(OR(GW$169&lt;SwaptionFirstMonthPosition+1,$FJ195&lt;SwaptionFirstMonthPosition+1,GW$169&gt;SwaptionFirstMonthPosition+SwaptionNumOfMonths+1,$FJ195&gt;SwaptionFirstMonthPosition+SwaptionNumOfMonths+1),"",IF($FJ195=GW$169,1,IF($FJ195&lt;GW$169,INDEX($FK$170:$ID$241,GW$169,$FJ195),SUMPRODUCT(INDEX($FK$325:$ID$396,GW$169,1+SwaptionShift):INDEX($FK$325:$ID$396,GW$169,SwaptionMonthsToGo+SwaptionShift),INDEX($FK$245:$ID$316,$FJ195-GW$169,73-GW$169+SwaptionShift):INDEX($FK$245:$ID$316,$FJ195-GW$169,72-GW$169+SwaptionMonthsToGo+SwaptionShift))/SQRT(SUM(INDEX($FK350:$ID350,1+SwaptionShift):INDEX($FK350:$ID350,SwaptionMonthsToGo+SwaptionShift))*SUM(INDEX($FK$325:$ID$396,GW$169,1+SwaptionShift):INDEX($FK$325:$ID$396,GW$169,SwaptionMonthsToGo+SwaptionShift))))))</f>
        <v/>
      </c>
      <c r="GX195" s="150" t="str">
        <f aca="false">IF(OR(GX$169&lt;SwaptionFirstMonthPosition+1,$FJ195&lt;SwaptionFirstMonthPosition+1,GX$169&gt;SwaptionFirstMonthPosition+SwaptionNumOfMonths+1,$FJ195&gt;SwaptionFirstMonthPosition+SwaptionNumOfMonths+1),"",IF($FJ195=GX$169,1,IF($FJ195&lt;GX$169,INDEX($FK$170:$ID$241,GX$169,$FJ195),SUMPRODUCT(INDEX($FK$325:$ID$396,GX$169,1+SwaptionShift):INDEX($FK$325:$ID$396,GX$169,SwaptionMonthsToGo+SwaptionShift),INDEX($FK$245:$ID$316,$FJ195-GX$169,73-GX$169+SwaptionShift):INDEX($FK$245:$ID$316,$FJ195-GX$169,72-GX$169+SwaptionMonthsToGo+SwaptionShift))/SQRT(SUM(INDEX($FK350:$ID350,1+SwaptionShift):INDEX($FK350:$ID350,SwaptionMonthsToGo+SwaptionShift))*SUM(INDEX($FK$325:$ID$396,GX$169,1+SwaptionShift):INDEX($FK$325:$ID$396,GX$169,SwaptionMonthsToGo+SwaptionShift))))))</f>
        <v/>
      </c>
      <c r="GY195" s="150" t="str">
        <f aca="false">IF(OR(GY$169&lt;SwaptionFirstMonthPosition+1,$FJ195&lt;SwaptionFirstMonthPosition+1,GY$169&gt;SwaptionFirstMonthPosition+SwaptionNumOfMonths+1,$FJ195&gt;SwaptionFirstMonthPosition+SwaptionNumOfMonths+1),"",IF($FJ195=GY$169,1,IF($FJ195&lt;GY$169,INDEX($FK$170:$ID$241,GY$169,$FJ195),SUMPRODUCT(INDEX($FK$325:$ID$396,GY$169,1+SwaptionShift):INDEX($FK$325:$ID$396,GY$169,SwaptionMonthsToGo+SwaptionShift),INDEX($FK$245:$ID$316,$FJ195-GY$169,73-GY$169+SwaptionShift):INDEX($FK$245:$ID$316,$FJ195-GY$169,72-GY$169+SwaptionMonthsToGo+SwaptionShift))/SQRT(SUM(INDEX($FK350:$ID350,1+SwaptionShift):INDEX($FK350:$ID350,SwaptionMonthsToGo+SwaptionShift))*SUM(INDEX($FK$325:$ID$396,GY$169,1+SwaptionShift):INDEX($FK$325:$ID$396,GY$169,SwaptionMonthsToGo+SwaptionShift))))))</f>
        <v/>
      </c>
      <c r="GZ195" s="150" t="str">
        <f aca="false">IF(OR(GZ$169&lt;SwaptionFirstMonthPosition+1,$FJ195&lt;SwaptionFirstMonthPosition+1,GZ$169&gt;SwaptionFirstMonthPosition+SwaptionNumOfMonths+1,$FJ195&gt;SwaptionFirstMonthPosition+SwaptionNumOfMonths+1),"",IF($FJ195=GZ$169,1,IF($FJ195&lt;GZ$169,INDEX($FK$170:$ID$241,GZ$169,$FJ195),SUMPRODUCT(INDEX($FK$325:$ID$396,GZ$169,1+SwaptionShift):INDEX($FK$325:$ID$396,GZ$169,SwaptionMonthsToGo+SwaptionShift),INDEX($FK$245:$ID$316,$FJ195-GZ$169,73-GZ$169+SwaptionShift):INDEX($FK$245:$ID$316,$FJ195-GZ$169,72-GZ$169+SwaptionMonthsToGo+SwaptionShift))/SQRT(SUM(INDEX($FK350:$ID350,1+SwaptionShift):INDEX($FK350:$ID350,SwaptionMonthsToGo+SwaptionShift))*SUM(INDEX($FK$325:$ID$396,GZ$169,1+SwaptionShift):INDEX($FK$325:$ID$396,GZ$169,SwaptionMonthsToGo+SwaptionShift))))))</f>
        <v/>
      </c>
      <c r="HA195" s="150" t="str">
        <f aca="false">IF(OR(HA$169&lt;SwaptionFirstMonthPosition+1,$FJ195&lt;SwaptionFirstMonthPosition+1,HA$169&gt;SwaptionFirstMonthPosition+SwaptionNumOfMonths+1,$FJ195&gt;SwaptionFirstMonthPosition+SwaptionNumOfMonths+1),"",IF($FJ195=HA$169,1,IF($FJ195&lt;HA$169,INDEX($FK$170:$ID$241,HA$169,$FJ195),SUMPRODUCT(INDEX($FK$325:$ID$396,HA$169,1+SwaptionShift):INDEX($FK$325:$ID$396,HA$169,SwaptionMonthsToGo+SwaptionShift),INDEX($FK$245:$ID$316,$FJ195-HA$169,73-HA$169+SwaptionShift):INDEX($FK$245:$ID$316,$FJ195-HA$169,72-HA$169+SwaptionMonthsToGo+SwaptionShift))/SQRT(SUM(INDEX($FK350:$ID350,1+SwaptionShift):INDEX($FK350:$ID350,SwaptionMonthsToGo+SwaptionShift))*SUM(INDEX($FK$325:$ID$396,HA$169,1+SwaptionShift):INDEX($FK$325:$ID$396,HA$169,SwaptionMonthsToGo+SwaptionShift))))))</f>
        <v/>
      </c>
      <c r="HB195" s="150" t="str">
        <f aca="false">IF(OR(HB$169&lt;SwaptionFirstMonthPosition+1,$FJ195&lt;SwaptionFirstMonthPosition+1,HB$169&gt;SwaptionFirstMonthPosition+SwaptionNumOfMonths+1,$FJ195&gt;SwaptionFirstMonthPosition+SwaptionNumOfMonths+1),"",IF($FJ195=HB$169,1,IF($FJ195&lt;HB$169,INDEX($FK$170:$ID$241,HB$169,$FJ195),SUMPRODUCT(INDEX($FK$325:$ID$396,HB$169,1+SwaptionShift):INDEX($FK$325:$ID$396,HB$169,SwaptionMonthsToGo+SwaptionShift),INDEX($FK$245:$ID$316,$FJ195-HB$169,73-HB$169+SwaptionShift):INDEX($FK$245:$ID$316,$FJ195-HB$169,72-HB$169+SwaptionMonthsToGo+SwaptionShift))/SQRT(SUM(INDEX($FK350:$ID350,1+SwaptionShift):INDEX($FK350:$ID350,SwaptionMonthsToGo+SwaptionShift))*SUM(INDEX($FK$325:$ID$396,HB$169,1+SwaptionShift):INDEX($FK$325:$ID$396,HB$169,SwaptionMonthsToGo+SwaptionShift))))))</f>
        <v/>
      </c>
      <c r="HC195" s="150" t="str">
        <f aca="false">IF(OR(HC$169&lt;SwaptionFirstMonthPosition+1,$FJ195&lt;SwaptionFirstMonthPosition+1,HC$169&gt;SwaptionFirstMonthPosition+SwaptionNumOfMonths+1,$FJ195&gt;SwaptionFirstMonthPosition+SwaptionNumOfMonths+1),"",IF($FJ195=HC$169,1,IF($FJ195&lt;HC$169,INDEX($FK$170:$ID$241,HC$169,$FJ195),SUMPRODUCT(INDEX($FK$325:$ID$396,HC$169,1+SwaptionShift):INDEX($FK$325:$ID$396,HC$169,SwaptionMonthsToGo+SwaptionShift),INDEX($FK$245:$ID$316,$FJ195-HC$169,73-HC$169+SwaptionShift):INDEX($FK$245:$ID$316,$FJ195-HC$169,72-HC$169+SwaptionMonthsToGo+SwaptionShift))/SQRT(SUM(INDEX($FK350:$ID350,1+SwaptionShift):INDEX($FK350:$ID350,SwaptionMonthsToGo+SwaptionShift))*SUM(INDEX($FK$325:$ID$396,HC$169,1+SwaptionShift):INDEX($FK$325:$ID$396,HC$169,SwaptionMonthsToGo+SwaptionShift))))))</f>
        <v/>
      </c>
      <c r="HD195" s="150" t="str">
        <f aca="false">IF(OR(HD$169&lt;SwaptionFirstMonthPosition+1,$FJ195&lt;SwaptionFirstMonthPosition+1,HD$169&gt;SwaptionFirstMonthPosition+SwaptionNumOfMonths+1,$FJ195&gt;SwaptionFirstMonthPosition+SwaptionNumOfMonths+1),"",IF($FJ195=HD$169,1,IF($FJ195&lt;HD$169,INDEX($FK$170:$ID$241,HD$169,$FJ195),SUMPRODUCT(INDEX($FK$325:$ID$396,HD$169,1+SwaptionShift):INDEX($FK$325:$ID$396,HD$169,SwaptionMonthsToGo+SwaptionShift),INDEX($FK$245:$ID$316,$FJ195-HD$169,73-HD$169+SwaptionShift):INDEX($FK$245:$ID$316,$FJ195-HD$169,72-HD$169+SwaptionMonthsToGo+SwaptionShift))/SQRT(SUM(INDEX($FK350:$ID350,1+SwaptionShift):INDEX($FK350:$ID350,SwaptionMonthsToGo+SwaptionShift))*SUM(INDEX($FK$325:$ID$396,HD$169,1+SwaptionShift):INDEX($FK$325:$ID$396,HD$169,SwaptionMonthsToGo+SwaptionShift))))))</f>
        <v/>
      </c>
      <c r="HE195" s="150" t="str">
        <f aca="false">IF(OR(HE$169&lt;SwaptionFirstMonthPosition+1,$FJ195&lt;SwaptionFirstMonthPosition+1,HE$169&gt;SwaptionFirstMonthPosition+SwaptionNumOfMonths+1,$FJ195&gt;SwaptionFirstMonthPosition+SwaptionNumOfMonths+1),"",IF($FJ195=HE$169,1,IF($FJ195&lt;HE$169,INDEX($FK$170:$ID$241,HE$169,$FJ195),SUMPRODUCT(INDEX($FK$325:$ID$396,HE$169,1+SwaptionShift):INDEX($FK$325:$ID$396,HE$169,SwaptionMonthsToGo+SwaptionShift),INDEX($FK$245:$ID$316,$FJ195-HE$169,73-HE$169+SwaptionShift):INDEX($FK$245:$ID$316,$FJ195-HE$169,72-HE$169+SwaptionMonthsToGo+SwaptionShift))/SQRT(SUM(INDEX($FK350:$ID350,1+SwaptionShift):INDEX($FK350:$ID350,SwaptionMonthsToGo+SwaptionShift))*SUM(INDEX($FK$325:$ID$396,HE$169,1+SwaptionShift):INDEX($FK$325:$ID$396,HE$169,SwaptionMonthsToGo+SwaptionShift))))))</f>
        <v/>
      </c>
      <c r="HF195" s="150" t="str">
        <f aca="false">IF(OR(HF$169&lt;SwaptionFirstMonthPosition+1,$FJ195&lt;SwaptionFirstMonthPosition+1,HF$169&gt;SwaptionFirstMonthPosition+SwaptionNumOfMonths+1,$FJ195&gt;SwaptionFirstMonthPosition+SwaptionNumOfMonths+1),"",IF($FJ195=HF$169,1,IF($FJ195&lt;HF$169,INDEX($FK$170:$ID$241,HF$169,$FJ195),SUMPRODUCT(INDEX($FK$325:$ID$396,HF$169,1+SwaptionShift):INDEX($FK$325:$ID$396,HF$169,SwaptionMonthsToGo+SwaptionShift),INDEX($FK$245:$ID$316,$FJ195-HF$169,73-HF$169+SwaptionShift):INDEX($FK$245:$ID$316,$FJ195-HF$169,72-HF$169+SwaptionMonthsToGo+SwaptionShift))/SQRT(SUM(INDEX($FK350:$ID350,1+SwaptionShift):INDEX($FK350:$ID350,SwaptionMonthsToGo+SwaptionShift))*SUM(INDEX($FK$325:$ID$396,HF$169,1+SwaptionShift):INDEX($FK$325:$ID$396,HF$169,SwaptionMonthsToGo+SwaptionShift))))))</f>
        <v/>
      </c>
      <c r="HG195" s="150" t="str">
        <f aca="false">IF(OR(HG$169&lt;SwaptionFirstMonthPosition+1,$FJ195&lt;SwaptionFirstMonthPosition+1,HG$169&gt;SwaptionFirstMonthPosition+SwaptionNumOfMonths+1,$FJ195&gt;SwaptionFirstMonthPosition+SwaptionNumOfMonths+1),"",IF($FJ195=HG$169,1,IF($FJ195&lt;HG$169,INDEX($FK$170:$ID$241,HG$169,$FJ195),SUMPRODUCT(INDEX($FK$325:$ID$396,HG$169,1+SwaptionShift):INDEX($FK$325:$ID$396,HG$169,SwaptionMonthsToGo+SwaptionShift),INDEX($FK$245:$ID$316,$FJ195-HG$169,73-HG$169+SwaptionShift):INDEX($FK$245:$ID$316,$FJ195-HG$169,72-HG$169+SwaptionMonthsToGo+SwaptionShift))/SQRT(SUM(INDEX($FK350:$ID350,1+SwaptionShift):INDEX($FK350:$ID350,SwaptionMonthsToGo+SwaptionShift))*SUM(INDEX($FK$325:$ID$396,HG$169,1+SwaptionShift):INDEX($FK$325:$ID$396,HG$169,SwaptionMonthsToGo+SwaptionShift))))))</f>
        <v/>
      </c>
      <c r="HH195" s="150" t="str">
        <f aca="false">IF(OR(HH$169&lt;SwaptionFirstMonthPosition+1,$FJ195&lt;SwaptionFirstMonthPosition+1,HH$169&gt;SwaptionFirstMonthPosition+SwaptionNumOfMonths+1,$FJ195&gt;SwaptionFirstMonthPosition+SwaptionNumOfMonths+1),"",IF($FJ195=HH$169,1,IF($FJ195&lt;HH$169,INDEX($FK$170:$ID$241,HH$169,$FJ195),SUMPRODUCT(INDEX($FK$325:$ID$396,HH$169,1+SwaptionShift):INDEX($FK$325:$ID$396,HH$169,SwaptionMonthsToGo+SwaptionShift),INDEX($FK$245:$ID$316,$FJ195-HH$169,73-HH$169+SwaptionShift):INDEX($FK$245:$ID$316,$FJ195-HH$169,72-HH$169+SwaptionMonthsToGo+SwaptionShift))/SQRT(SUM(INDEX($FK350:$ID350,1+SwaptionShift):INDEX($FK350:$ID350,SwaptionMonthsToGo+SwaptionShift))*SUM(INDEX($FK$325:$ID$396,HH$169,1+SwaptionShift):INDEX($FK$325:$ID$396,HH$169,SwaptionMonthsToGo+SwaptionShift))))))</f>
        <v/>
      </c>
      <c r="HI195" s="150" t="str">
        <f aca="false">IF(OR(HI$169&lt;SwaptionFirstMonthPosition+1,$FJ195&lt;SwaptionFirstMonthPosition+1,HI$169&gt;SwaptionFirstMonthPosition+SwaptionNumOfMonths+1,$FJ195&gt;SwaptionFirstMonthPosition+SwaptionNumOfMonths+1),"",IF($FJ195=HI$169,1,IF($FJ195&lt;HI$169,INDEX($FK$170:$ID$241,HI$169,$FJ195),SUMPRODUCT(INDEX($FK$325:$ID$396,HI$169,1+SwaptionShift):INDEX($FK$325:$ID$396,HI$169,SwaptionMonthsToGo+SwaptionShift),INDEX($FK$245:$ID$316,$FJ195-HI$169,73-HI$169+SwaptionShift):INDEX($FK$245:$ID$316,$FJ195-HI$169,72-HI$169+SwaptionMonthsToGo+SwaptionShift))/SQRT(SUM(INDEX($FK350:$ID350,1+SwaptionShift):INDEX($FK350:$ID350,SwaptionMonthsToGo+SwaptionShift))*SUM(INDEX($FK$325:$ID$396,HI$169,1+SwaptionShift):INDEX($FK$325:$ID$396,HI$169,SwaptionMonthsToGo+SwaptionShift))))))</f>
        <v/>
      </c>
      <c r="HJ195" s="150" t="str">
        <f aca="false">IF(OR(HJ$169&lt;SwaptionFirstMonthPosition+1,$FJ195&lt;SwaptionFirstMonthPosition+1,HJ$169&gt;SwaptionFirstMonthPosition+SwaptionNumOfMonths+1,$FJ195&gt;SwaptionFirstMonthPosition+SwaptionNumOfMonths+1),"",IF($FJ195=HJ$169,1,IF($FJ195&lt;HJ$169,INDEX($FK$170:$ID$241,HJ$169,$FJ195),SUMPRODUCT(INDEX($FK$325:$ID$396,HJ$169,1+SwaptionShift):INDEX($FK$325:$ID$396,HJ$169,SwaptionMonthsToGo+SwaptionShift),INDEX($FK$245:$ID$316,$FJ195-HJ$169,73-HJ$169+SwaptionShift):INDEX($FK$245:$ID$316,$FJ195-HJ$169,72-HJ$169+SwaptionMonthsToGo+SwaptionShift))/SQRT(SUM(INDEX($FK350:$ID350,1+SwaptionShift):INDEX($FK350:$ID350,SwaptionMonthsToGo+SwaptionShift))*SUM(INDEX($FK$325:$ID$396,HJ$169,1+SwaptionShift):INDEX($FK$325:$ID$396,HJ$169,SwaptionMonthsToGo+SwaptionShift))))))</f>
        <v/>
      </c>
      <c r="HK195" s="150" t="str">
        <f aca="false">IF(OR(HK$169&lt;SwaptionFirstMonthPosition+1,$FJ195&lt;SwaptionFirstMonthPosition+1,HK$169&gt;SwaptionFirstMonthPosition+SwaptionNumOfMonths+1,$FJ195&gt;SwaptionFirstMonthPosition+SwaptionNumOfMonths+1),"",IF($FJ195=HK$169,1,IF($FJ195&lt;HK$169,INDEX($FK$170:$ID$241,HK$169,$FJ195),SUMPRODUCT(INDEX($FK$325:$ID$396,HK$169,1+SwaptionShift):INDEX($FK$325:$ID$396,HK$169,SwaptionMonthsToGo+SwaptionShift),INDEX($FK$245:$ID$316,$FJ195-HK$169,73-HK$169+SwaptionShift):INDEX($FK$245:$ID$316,$FJ195-HK$169,72-HK$169+SwaptionMonthsToGo+SwaptionShift))/SQRT(SUM(INDEX($FK350:$ID350,1+SwaptionShift):INDEX($FK350:$ID350,SwaptionMonthsToGo+SwaptionShift))*SUM(INDEX($FK$325:$ID$396,HK$169,1+SwaptionShift):INDEX($FK$325:$ID$396,HK$169,SwaptionMonthsToGo+SwaptionShift))))))</f>
        <v/>
      </c>
      <c r="HL195" s="150" t="str">
        <f aca="false">IF(OR(HL$169&lt;SwaptionFirstMonthPosition+1,$FJ195&lt;SwaptionFirstMonthPosition+1,HL$169&gt;SwaptionFirstMonthPosition+SwaptionNumOfMonths+1,$FJ195&gt;SwaptionFirstMonthPosition+SwaptionNumOfMonths+1),"",IF($FJ195=HL$169,1,IF($FJ195&lt;HL$169,INDEX($FK$170:$ID$241,HL$169,$FJ195),SUMPRODUCT(INDEX($FK$325:$ID$396,HL$169,1+SwaptionShift):INDEX($FK$325:$ID$396,HL$169,SwaptionMonthsToGo+SwaptionShift),INDEX($FK$245:$ID$316,$FJ195-HL$169,73-HL$169+SwaptionShift):INDEX($FK$245:$ID$316,$FJ195-HL$169,72-HL$169+SwaptionMonthsToGo+SwaptionShift))/SQRT(SUM(INDEX($FK350:$ID350,1+SwaptionShift):INDEX($FK350:$ID350,SwaptionMonthsToGo+SwaptionShift))*SUM(INDEX($FK$325:$ID$396,HL$169,1+SwaptionShift):INDEX($FK$325:$ID$396,HL$169,SwaptionMonthsToGo+SwaptionShift))))))</f>
        <v/>
      </c>
      <c r="HM195" s="150" t="str">
        <f aca="false">IF(OR(HM$169&lt;SwaptionFirstMonthPosition+1,$FJ195&lt;SwaptionFirstMonthPosition+1,HM$169&gt;SwaptionFirstMonthPosition+SwaptionNumOfMonths+1,$FJ195&gt;SwaptionFirstMonthPosition+SwaptionNumOfMonths+1),"",IF($FJ195=HM$169,1,IF($FJ195&lt;HM$169,INDEX($FK$170:$ID$241,HM$169,$FJ195),SUMPRODUCT(INDEX($FK$325:$ID$396,HM$169,1+SwaptionShift):INDEX($FK$325:$ID$396,HM$169,SwaptionMonthsToGo+SwaptionShift),INDEX($FK$245:$ID$316,$FJ195-HM$169,73-HM$169+SwaptionShift):INDEX($FK$245:$ID$316,$FJ195-HM$169,72-HM$169+SwaptionMonthsToGo+SwaptionShift))/SQRT(SUM(INDEX($FK350:$ID350,1+SwaptionShift):INDEX($FK350:$ID350,SwaptionMonthsToGo+SwaptionShift))*SUM(INDEX($FK$325:$ID$396,HM$169,1+SwaptionShift):INDEX($FK$325:$ID$396,HM$169,SwaptionMonthsToGo+SwaptionShift))))))</f>
        <v/>
      </c>
      <c r="HN195" s="150" t="str">
        <f aca="false">IF(OR(HN$169&lt;SwaptionFirstMonthPosition+1,$FJ195&lt;SwaptionFirstMonthPosition+1,HN$169&gt;SwaptionFirstMonthPosition+SwaptionNumOfMonths+1,$FJ195&gt;SwaptionFirstMonthPosition+SwaptionNumOfMonths+1),"",IF($FJ195=HN$169,1,IF($FJ195&lt;HN$169,INDEX($FK$170:$ID$241,HN$169,$FJ195),SUMPRODUCT(INDEX($FK$325:$ID$396,HN$169,1+SwaptionShift):INDEX($FK$325:$ID$396,HN$169,SwaptionMonthsToGo+SwaptionShift),INDEX($FK$245:$ID$316,$FJ195-HN$169,73-HN$169+SwaptionShift):INDEX($FK$245:$ID$316,$FJ195-HN$169,72-HN$169+SwaptionMonthsToGo+SwaptionShift))/SQRT(SUM(INDEX($FK350:$ID350,1+SwaptionShift):INDEX($FK350:$ID350,SwaptionMonthsToGo+SwaptionShift))*SUM(INDEX($FK$325:$ID$396,HN$169,1+SwaptionShift):INDEX($FK$325:$ID$396,HN$169,SwaptionMonthsToGo+SwaptionShift))))))</f>
        <v/>
      </c>
      <c r="HO195" s="150" t="str">
        <f aca="false">IF(OR(HO$169&lt;SwaptionFirstMonthPosition+1,$FJ195&lt;SwaptionFirstMonthPosition+1,HO$169&gt;SwaptionFirstMonthPosition+SwaptionNumOfMonths+1,$FJ195&gt;SwaptionFirstMonthPosition+SwaptionNumOfMonths+1),"",IF($FJ195=HO$169,1,IF($FJ195&lt;HO$169,INDEX($FK$170:$ID$241,HO$169,$FJ195),SUMPRODUCT(INDEX($FK$325:$ID$396,HO$169,1+SwaptionShift):INDEX($FK$325:$ID$396,HO$169,SwaptionMonthsToGo+SwaptionShift),INDEX($FK$245:$ID$316,$FJ195-HO$169,73-HO$169+SwaptionShift):INDEX($FK$245:$ID$316,$FJ195-HO$169,72-HO$169+SwaptionMonthsToGo+SwaptionShift))/SQRT(SUM(INDEX($FK350:$ID350,1+SwaptionShift):INDEX($FK350:$ID350,SwaptionMonthsToGo+SwaptionShift))*SUM(INDEX($FK$325:$ID$396,HO$169,1+SwaptionShift):INDEX($FK$325:$ID$396,HO$169,SwaptionMonthsToGo+SwaptionShift))))))</f>
        <v/>
      </c>
      <c r="HP195" s="150" t="str">
        <f aca="false">IF(OR(HP$169&lt;SwaptionFirstMonthPosition+1,$FJ195&lt;SwaptionFirstMonthPosition+1,HP$169&gt;SwaptionFirstMonthPosition+SwaptionNumOfMonths+1,$FJ195&gt;SwaptionFirstMonthPosition+SwaptionNumOfMonths+1),"",IF($FJ195=HP$169,1,IF($FJ195&lt;HP$169,INDEX($FK$170:$ID$241,HP$169,$FJ195),SUMPRODUCT(INDEX($FK$325:$ID$396,HP$169,1+SwaptionShift):INDEX($FK$325:$ID$396,HP$169,SwaptionMonthsToGo+SwaptionShift),INDEX($FK$245:$ID$316,$FJ195-HP$169,73-HP$169+SwaptionShift):INDEX($FK$245:$ID$316,$FJ195-HP$169,72-HP$169+SwaptionMonthsToGo+SwaptionShift))/SQRT(SUM(INDEX($FK350:$ID350,1+SwaptionShift):INDEX($FK350:$ID350,SwaptionMonthsToGo+SwaptionShift))*SUM(INDEX($FK$325:$ID$396,HP$169,1+SwaptionShift):INDEX($FK$325:$ID$396,HP$169,SwaptionMonthsToGo+SwaptionShift))))))</f>
        <v/>
      </c>
      <c r="HQ195" s="150" t="str">
        <f aca="false">IF(OR(HQ$169&lt;SwaptionFirstMonthPosition+1,$FJ195&lt;SwaptionFirstMonthPosition+1,HQ$169&gt;SwaptionFirstMonthPosition+SwaptionNumOfMonths+1,$FJ195&gt;SwaptionFirstMonthPosition+SwaptionNumOfMonths+1),"",IF($FJ195=HQ$169,1,IF($FJ195&lt;HQ$169,INDEX($FK$170:$ID$241,HQ$169,$FJ195),SUMPRODUCT(INDEX($FK$325:$ID$396,HQ$169,1+SwaptionShift):INDEX($FK$325:$ID$396,HQ$169,SwaptionMonthsToGo+SwaptionShift),INDEX($FK$245:$ID$316,$FJ195-HQ$169,73-HQ$169+SwaptionShift):INDEX($FK$245:$ID$316,$FJ195-HQ$169,72-HQ$169+SwaptionMonthsToGo+SwaptionShift))/SQRT(SUM(INDEX($FK350:$ID350,1+SwaptionShift):INDEX($FK350:$ID350,SwaptionMonthsToGo+SwaptionShift))*SUM(INDEX($FK$325:$ID$396,HQ$169,1+SwaptionShift):INDEX($FK$325:$ID$396,HQ$169,SwaptionMonthsToGo+SwaptionShift))))))</f>
        <v/>
      </c>
      <c r="HR195" s="150" t="str">
        <f aca="false">IF(OR(HR$169&lt;SwaptionFirstMonthPosition+1,$FJ195&lt;SwaptionFirstMonthPosition+1,HR$169&gt;SwaptionFirstMonthPosition+SwaptionNumOfMonths+1,$FJ195&gt;SwaptionFirstMonthPosition+SwaptionNumOfMonths+1),"",IF($FJ195=HR$169,1,IF($FJ195&lt;HR$169,INDEX($FK$170:$ID$241,HR$169,$FJ195),SUMPRODUCT(INDEX($FK$325:$ID$396,HR$169,1+SwaptionShift):INDEX($FK$325:$ID$396,HR$169,SwaptionMonthsToGo+SwaptionShift),INDEX($FK$245:$ID$316,$FJ195-HR$169,73-HR$169+SwaptionShift):INDEX($FK$245:$ID$316,$FJ195-HR$169,72-HR$169+SwaptionMonthsToGo+SwaptionShift))/SQRT(SUM(INDEX($FK350:$ID350,1+SwaptionShift):INDEX($FK350:$ID350,SwaptionMonthsToGo+SwaptionShift))*SUM(INDEX($FK$325:$ID$396,HR$169,1+SwaptionShift):INDEX($FK$325:$ID$396,HR$169,SwaptionMonthsToGo+SwaptionShift))))))</f>
        <v/>
      </c>
      <c r="HS195" s="150" t="str">
        <f aca="false">IF(OR(HS$169&lt;SwaptionFirstMonthPosition+1,$FJ195&lt;SwaptionFirstMonthPosition+1,HS$169&gt;SwaptionFirstMonthPosition+SwaptionNumOfMonths+1,$FJ195&gt;SwaptionFirstMonthPosition+SwaptionNumOfMonths+1),"",IF($FJ195=HS$169,1,IF($FJ195&lt;HS$169,INDEX($FK$170:$ID$241,HS$169,$FJ195),SUMPRODUCT(INDEX($FK$325:$ID$396,HS$169,1+SwaptionShift):INDEX($FK$325:$ID$396,HS$169,SwaptionMonthsToGo+SwaptionShift),INDEX($FK$245:$ID$316,$FJ195-HS$169,73-HS$169+SwaptionShift):INDEX($FK$245:$ID$316,$FJ195-HS$169,72-HS$169+SwaptionMonthsToGo+SwaptionShift))/SQRT(SUM(INDEX($FK350:$ID350,1+SwaptionShift):INDEX($FK350:$ID350,SwaptionMonthsToGo+SwaptionShift))*SUM(INDEX($FK$325:$ID$396,HS$169,1+SwaptionShift):INDEX($FK$325:$ID$396,HS$169,SwaptionMonthsToGo+SwaptionShift))))))</f>
        <v/>
      </c>
      <c r="HT195" s="150" t="str">
        <f aca="false">IF(OR(HT$169&lt;SwaptionFirstMonthPosition+1,$FJ195&lt;SwaptionFirstMonthPosition+1,HT$169&gt;SwaptionFirstMonthPosition+SwaptionNumOfMonths+1,$FJ195&gt;SwaptionFirstMonthPosition+SwaptionNumOfMonths+1),"",IF($FJ195=HT$169,1,IF($FJ195&lt;HT$169,INDEX($FK$170:$ID$241,HT$169,$FJ195),SUMPRODUCT(INDEX($FK$325:$ID$396,HT$169,1+SwaptionShift):INDEX($FK$325:$ID$396,HT$169,SwaptionMonthsToGo+SwaptionShift),INDEX($FK$245:$ID$316,$FJ195-HT$169,73-HT$169+SwaptionShift):INDEX($FK$245:$ID$316,$FJ195-HT$169,72-HT$169+SwaptionMonthsToGo+SwaptionShift))/SQRT(SUM(INDEX($FK350:$ID350,1+SwaptionShift):INDEX($FK350:$ID350,SwaptionMonthsToGo+SwaptionShift))*SUM(INDEX($FK$325:$ID$396,HT$169,1+SwaptionShift):INDEX($FK$325:$ID$396,HT$169,SwaptionMonthsToGo+SwaptionShift))))))</f>
        <v/>
      </c>
      <c r="HU195" s="150" t="str">
        <f aca="false">IF(OR(HU$169&lt;SwaptionFirstMonthPosition+1,$FJ195&lt;SwaptionFirstMonthPosition+1,HU$169&gt;SwaptionFirstMonthPosition+SwaptionNumOfMonths+1,$FJ195&gt;SwaptionFirstMonthPosition+SwaptionNumOfMonths+1),"",IF($FJ195=HU$169,1,IF($FJ195&lt;HU$169,INDEX($FK$170:$ID$241,HU$169,$FJ195),SUMPRODUCT(INDEX($FK$325:$ID$396,HU$169,1+SwaptionShift):INDEX($FK$325:$ID$396,HU$169,SwaptionMonthsToGo+SwaptionShift),INDEX($FK$245:$ID$316,$FJ195-HU$169,73-HU$169+SwaptionShift):INDEX($FK$245:$ID$316,$FJ195-HU$169,72-HU$169+SwaptionMonthsToGo+SwaptionShift))/SQRT(SUM(INDEX($FK350:$ID350,1+SwaptionShift):INDEX($FK350:$ID350,SwaptionMonthsToGo+SwaptionShift))*SUM(INDEX($FK$325:$ID$396,HU$169,1+SwaptionShift):INDEX($FK$325:$ID$396,HU$169,SwaptionMonthsToGo+SwaptionShift))))))</f>
        <v/>
      </c>
      <c r="HV195" s="150" t="str">
        <f aca="false">IF(OR(HV$169&lt;SwaptionFirstMonthPosition+1,$FJ195&lt;SwaptionFirstMonthPosition+1,HV$169&gt;SwaptionFirstMonthPosition+SwaptionNumOfMonths+1,$FJ195&gt;SwaptionFirstMonthPosition+SwaptionNumOfMonths+1),"",IF($FJ195=HV$169,1,IF($FJ195&lt;HV$169,INDEX($FK$170:$ID$241,HV$169,$FJ195),SUMPRODUCT(INDEX($FK$325:$ID$396,HV$169,1+SwaptionShift):INDEX($FK$325:$ID$396,HV$169,SwaptionMonthsToGo+SwaptionShift),INDEX($FK$245:$ID$316,$FJ195-HV$169,73-HV$169+SwaptionShift):INDEX($FK$245:$ID$316,$FJ195-HV$169,72-HV$169+SwaptionMonthsToGo+SwaptionShift))/SQRT(SUM(INDEX($FK350:$ID350,1+SwaptionShift):INDEX($FK350:$ID350,SwaptionMonthsToGo+SwaptionShift))*SUM(INDEX($FK$325:$ID$396,HV$169,1+SwaptionShift):INDEX($FK$325:$ID$396,HV$169,SwaptionMonthsToGo+SwaptionShift))))))</f>
        <v/>
      </c>
      <c r="HW195" s="150" t="str">
        <f aca="false">IF(OR(HW$169&lt;SwaptionFirstMonthPosition+1,$FJ195&lt;SwaptionFirstMonthPosition+1,HW$169&gt;SwaptionFirstMonthPosition+SwaptionNumOfMonths+1,$FJ195&gt;SwaptionFirstMonthPosition+SwaptionNumOfMonths+1),"",IF($FJ195=HW$169,1,IF($FJ195&lt;HW$169,INDEX($FK$170:$ID$241,HW$169,$FJ195),SUMPRODUCT(INDEX($FK$325:$ID$396,HW$169,1+SwaptionShift):INDEX($FK$325:$ID$396,HW$169,SwaptionMonthsToGo+SwaptionShift),INDEX($FK$245:$ID$316,$FJ195-HW$169,73-HW$169+SwaptionShift):INDEX($FK$245:$ID$316,$FJ195-HW$169,72-HW$169+SwaptionMonthsToGo+SwaptionShift))/SQRT(SUM(INDEX($FK350:$ID350,1+SwaptionShift):INDEX($FK350:$ID350,SwaptionMonthsToGo+SwaptionShift))*SUM(INDEX($FK$325:$ID$396,HW$169,1+SwaptionShift):INDEX($FK$325:$ID$396,HW$169,SwaptionMonthsToGo+SwaptionShift))))))</f>
        <v/>
      </c>
      <c r="HX195" s="150" t="str">
        <f aca="false">IF(OR(HX$169&lt;SwaptionFirstMonthPosition+1,$FJ195&lt;SwaptionFirstMonthPosition+1,HX$169&gt;SwaptionFirstMonthPosition+SwaptionNumOfMonths+1,$FJ195&gt;SwaptionFirstMonthPosition+SwaptionNumOfMonths+1),"",IF($FJ195=HX$169,1,IF($FJ195&lt;HX$169,INDEX($FK$170:$ID$241,HX$169,$FJ195),SUMPRODUCT(INDEX($FK$325:$ID$396,HX$169,1+SwaptionShift):INDEX($FK$325:$ID$396,HX$169,SwaptionMonthsToGo+SwaptionShift),INDEX($FK$245:$ID$316,$FJ195-HX$169,73-HX$169+SwaptionShift):INDEX($FK$245:$ID$316,$FJ195-HX$169,72-HX$169+SwaptionMonthsToGo+SwaptionShift))/SQRT(SUM(INDEX($FK350:$ID350,1+SwaptionShift):INDEX($FK350:$ID350,SwaptionMonthsToGo+SwaptionShift))*SUM(INDEX($FK$325:$ID$396,HX$169,1+SwaptionShift):INDEX($FK$325:$ID$396,HX$169,SwaptionMonthsToGo+SwaptionShift))))))</f>
        <v/>
      </c>
      <c r="HY195" s="150" t="str">
        <f aca="false">IF(OR(HY$169&lt;SwaptionFirstMonthPosition+1,$FJ195&lt;SwaptionFirstMonthPosition+1,HY$169&gt;SwaptionFirstMonthPosition+SwaptionNumOfMonths+1,$FJ195&gt;SwaptionFirstMonthPosition+SwaptionNumOfMonths+1),"",IF($FJ195=HY$169,1,IF($FJ195&lt;HY$169,INDEX($FK$170:$ID$241,HY$169,$FJ195),SUMPRODUCT(INDEX($FK$325:$ID$396,HY$169,1+SwaptionShift):INDEX($FK$325:$ID$396,HY$169,SwaptionMonthsToGo+SwaptionShift),INDEX($FK$245:$ID$316,$FJ195-HY$169,73-HY$169+SwaptionShift):INDEX($FK$245:$ID$316,$FJ195-HY$169,72-HY$169+SwaptionMonthsToGo+SwaptionShift))/SQRT(SUM(INDEX($FK350:$ID350,1+SwaptionShift):INDEX($FK350:$ID350,SwaptionMonthsToGo+SwaptionShift))*SUM(INDEX($FK$325:$ID$396,HY$169,1+SwaptionShift):INDEX($FK$325:$ID$396,HY$169,SwaptionMonthsToGo+SwaptionShift))))))</f>
        <v/>
      </c>
      <c r="HZ195" s="150" t="str">
        <f aca="false">IF(OR(HZ$169&lt;SwaptionFirstMonthPosition+1,$FJ195&lt;SwaptionFirstMonthPosition+1,HZ$169&gt;SwaptionFirstMonthPosition+SwaptionNumOfMonths+1,$FJ195&gt;SwaptionFirstMonthPosition+SwaptionNumOfMonths+1),"",IF($FJ195=HZ$169,1,IF($FJ195&lt;HZ$169,INDEX($FK$170:$ID$241,HZ$169,$FJ195),SUMPRODUCT(INDEX($FK$325:$ID$396,HZ$169,1+SwaptionShift):INDEX($FK$325:$ID$396,HZ$169,SwaptionMonthsToGo+SwaptionShift),INDEX($FK$245:$ID$316,$FJ195-HZ$169,73-HZ$169+SwaptionShift):INDEX($FK$245:$ID$316,$FJ195-HZ$169,72-HZ$169+SwaptionMonthsToGo+SwaptionShift))/SQRT(SUM(INDEX($FK350:$ID350,1+SwaptionShift):INDEX($FK350:$ID350,SwaptionMonthsToGo+SwaptionShift))*SUM(INDEX($FK$325:$ID$396,HZ$169,1+SwaptionShift):INDEX($FK$325:$ID$396,HZ$169,SwaptionMonthsToGo+SwaptionShift))))))</f>
        <v/>
      </c>
      <c r="IA195" s="150" t="str">
        <f aca="false">IF(OR(IA$169&lt;SwaptionFirstMonthPosition+1,$FJ195&lt;SwaptionFirstMonthPosition+1,IA$169&gt;SwaptionFirstMonthPosition+SwaptionNumOfMonths+1,$FJ195&gt;SwaptionFirstMonthPosition+SwaptionNumOfMonths+1),"",IF($FJ195=IA$169,1,IF($FJ195&lt;IA$169,INDEX($FK$170:$ID$241,IA$169,$FJ195),SUMPRODUCT(INDEX($FK$325:$ID$396,IA$169,1+SwaptionShift):INDEX($FK$325:$ID$396,IA$169,SwaptionMonthsToGo+SwaptionShift),INDEX($FK$245:$ID$316,$FJ195-IA$169,73-IA$169+SwaptionShift):INDEX($FK$245:$ID$316,$FJ195-IA$169,72-IA$169+SwaptionMonthsToGo+SwaptionShift))/SQRT(SUM(INDEX($FK350:$ID350,1+SwaptionShift):INDEX($FK350:$ID350,SwaptionMonthsToGo+SwaptionShift))*SUM(INDEX($FK$325:$ID$396,IA$169,1+SwaptionShift):INDEX($FK$325:$ID$396,IA$169,SwaptionMonthsToGo+SwaptionShift))))))</f>
        <v/>
      </c>
      <c r="IB195" s="150" t="str">
        <f aca="false">IF(OR(IB$169&lt;SwaptionFirstMonthPosition+1,$FJ195&lt;SwaptionFirstMonthPosition+1,IB$169&gt;SwaptionFirstMonthPosition+SwaptionNumOfMonths+1,$FJ195&gt;SwaptionFirstMonthPosition+SwaptionNumOfMonths+1),"",IF($FJ195=IB$169,1,IF($FJ195&lt;IB$169,INDEX($FK$170:$ID$241,IB$169,$FJ195),SUMPRODUCT(INDEX($FK$325:$ID$396,IB$169,1+SwaptionShift):INDEX($FK$325:$ID$396,IB$169,SwaptionMonthsToGo+SwaptionShift),INDEX($FK$245:$ID$316,$FJ195-IB$169,73-IB$169+SwaptionShift):INDEX($FK$245:$ID$316,$FJ195-IB$169,72-IB$169+SwaptionMonthsToGo+SwaptionShift))/SQRT(SUM(INDEX($FK350:$ID350,1+SwaptionShift):INDEX($FK350:$ID350,SwaptionMonthsToGo+SwaptionShift))*SUM(INDEX($FK$325:$ID$396,IB$169,1+SwaptionShift):INDEX($FK$325:$ID$396,IB$169,SwaptionMonthsToGo+SwaptionShift))))))</f>
        <v/>
      </c>
      <c r="IC195" s="150" t="str">
        <f aca="false">IF(OR(IC$169&lt;SwaptionFirstMonthPosition+1,$FJ195&lt;SwaptionFirstMonthPosition+1,IC$169&gt;SwaptionFirstMonthPosition+SwaptionNumOfMonths+1,$FJ195&gt;SwaptionFirstMonthPosition+SwaptionNumOfMonths+1),"",IF($FJ195=IC$169,1,IF($FJ195&lt;IC$169,INDEX($FK$170:$ID$241,IC$169,$FJ195),SUMPRODUCT(INDEX($FK$325:$ID$396,IC$169,1+SwaptionShift):INDEX($FK$325:$ID$396,IC$169,SwaptionMonthsToGo+SwaptionShift),INDEX($FK$245:$ID$316,$FJ195-IC$169,73-IC$169+SwaptionShift):INDEX($FK$245:$ID$316,$FJ195-IC$169,72-IC$169+SwaptionMonthsToGo+SwaptionShift))/SQRT(SUM(INDEX($FK350:$ID350,1+SwaptionShift):INDEX($FK350:$ID350,SwaptionMonthsToGo+SwaptionShift))*SUM(INDEX($FK$325:$ID$396,IC$169,1+SwaptionShift):INDEX($FK$325:$ID$396,IC$169,SwaptionMonthsToGo+SwaptionShift))))))</f>
        <v/>
      </c>
      <c r="ID195" s="572" t="str">
        <f aca="false">IF(OR(ID$169&lt;SwaptionFirstMonthPosition+1,$FJ195&lt;SwaptionFirstMonthPosition+1,ID$169&gt;SwaptionFirstMonthPosition+SwaptionNumOfMonths+1,$FJ195&gt;SwaptionFirstMonthPosition+SwaptionNumOfMonths+1),"",IF($FJ195=ID$169,1,IF($FJ195&lt;ID$169,INDEX($FK$170:$ID$241,ID$169,$FJ195),SUMPRODUCT(INDEX($FK$325:$ID$396,ID$169,1+SwaptionShift):INDEX($FK$325:$ID$396,ID$169,SwaptionMonthsToGo+SwaptionShift),INDEX($FK$245:$ID$316,$FJ195-ID$169,73-ID$169+SwaptionShift):INDEX($FK$245:$ID$316,$FJ195-ID$169,72-ID$169+SwaptionMonthsToGo+SwaptionShift))/SQRT(SUM(INDEX($FK350:$ID350,1+SwaptionShift):INDEX($FK350:$ID350,SwaptionMonthsToGo+SwaptionShift))*SUM(INDEX($FK$325:$ID$396,ID$169,1+SwaptionShift):INDEX($FK$325:$ID$396,ID$169,SwaptionMonthsToGo+SwaptionShift))))))</f>
        <v/>
      </c>
      <c r="IE195" s="129"/>
    </row>
    <row r="196" customFormat="false" ht="12.75" hidden="false" customHeight="false" outlineLevel="0" collapsed="false">
      <c r="H196" s="219" t="n">
        <f aca="false">VLOOKUP(I196,$EJ$20:$EL$54,3)</f>
        <v>0</v>
      </c>
      <c r="I196" s="511" t="n">
        <f aca="false">EOMONTH(I195,0)+1</f>
        <v>42125</v>
      </c>
      <c r="J196" s="512"/>
      <c r="K196" s="513" t="s">
        <v>280</v>
      </c>
      <c r="L196" s="514" t="n">
        <f aca="false">IF(ISNUMBER(K196),J196+K196/100,IF(K196="extra",L195+VLOOKUP(BF196,PriceSpreadTable,2)/12,IF(K196="inter",interpolateprices($K$19:$L$200,ROW(K196)-ROW(FirstPricingMonth)+1),interpolatechanges($J$19:$K$200,ROW(K196)-ROW(FirstPricingMonth)+1))))</f>
        <v>3.75000000000001</v>
      </c>
      <c r="M196" s="515"/>
      <c r="N196" s="516" t="n">
        <v>0</v>
      </c>
      <c r="O196" s="515" t="n">
        <f aca="false">M196+N196</f>
        <v>0</v>
      </c>
      <c r="P196" s="512"/>
      <c r="Q196" s="513" t="s">
        <v>280</v>
      </c>
      <c r="R196" s="512" t="e">
        <f aca="false">IF(ISNUMBER(Q196),P196+Q196/100,IF(Q196="extra",(Z194*AL194-R195*AM194)/AN194,IF(Q196="inter",interpolateprices($Q$19:$R$260,ROW(Q196)-ROW(FirstPricingMonth)+1),interpolatechanges($P$19:$Q$260,ROW(Q196)-ROW(FirstPricingMonth)+1))))</f>
        <v>#VALUE!</v>
      </c>
      <c r="S196" s="597" t="n">
        <f aca="false">S$19+(S195-S$19)*S$18</f>
        <v>0.36</v>
      </c>
      <c r="T196" s="575" t="n">
        <f aca="false">SQRT((1-(1-T195^2/U195)*T$18)*U196)</f>
        <v>0.99999999999988</v>
      </c>
      <c r="U196" s="576" t="n">
        <f aca="false">1-(1-U195)*U$18</f>
        <v>1</v>
      </c>
      <c r="V196" s="521" t="n">
        <v>0</v>
      </c>
      <c r="W196" s="577" t="n">
        <f aca="false">(J197*AJ196+J198*AK196)/AI196</f>
        <v>0</v>
      </c>
      <c r="X196" s="578" t="n">
        <f aca="false">(L197*AJ196+L198*AK196)/AI196</f>
        <v>3.80000000000001</v>
      </c>
      <c r="Y196" s="579" t="n">
        <f aca="false">IF(Q198="extra",W196-AA196,(P197*AM196+P198*AN196)/AL196)</f>
        <v>-1.2915</v>
      </c>
      <c r="Z196" s="579" t="n">
        <f aca="false">IF(Q198="extra",X196-AB196,(R197*AM196+R198*AN196)/AL196)</f>
        <v>2.50850000000001</v>
      </c>
      <c r="AA196" s="523" t="n">
        <f aca="false">IF(Q198="extra",INDEX(BrentSeasonalityTable,INT((BG196-1)/3)+1)*VLOOKUP(MAX(BF196,$AB$4),PriceSpreadTable,3),W196-Y196)</f>
        <v>1.2915</v>
      </c>
      <c r="AB196" s="524" t="n">
        <f aca="false">IF(Q198="extra",INDEX(BrentSeasonalityTable,INT((BG196-1)/3)+1)*VLOOKUP(MAX(BF196,$AB$4),PriceSpreadTable,3),X196-Z196)</f>
        <v>1.2915</v>
      </c>
      <c r="AC196" s="646" t="n">
        <v>42114</v>
      </c>
      <c r="AD196" s="646" t="n">
        <v>42110</v>
      </c>
      <c r="AE196" s="646" t="n">
        <v>42109</v>
      </c>
      <c r="AF196" s="646" t="n">
        <v>42105</v>
      </c>
      <c r="AG196" s="438" t="s">
        <v>278</v>
      </c>
      <c r="AH196" s="439" t="s">
        <v>278</v>
      </c>
      <c r="AI196" s="528" t="n">
        <v>21</v>
      </c>
      <c r="AJ196" s="529" t="n">
        <v>14</v>
      </c>
      <c r="AK196" s="529" t="n">
        <v>7</v>
      </c>
      <c r="AL196" s="530" t="n">
        <v>21</v>
      </c>
      <c r="AM196" s="529" t="n">
        <v>10</v>
      </c>
      <c r="AN196" s="531" t="n">
        <v>11</v>
      </c>
      <c r="AO196" s="532"/>
      <c r="AP196" s="465" t="n">
        <f aca="false">(1+AO196/2)^(-2*BL196)</f>
        <v>1</v>
      </c>
      <c r="AQ196" s="532"/>
      <c r="AR196" s="465" t="n">
        <f aca="false">(1+AQ196/2)^(-2*BH196/365.25)</f>
        <v>1</v>
      </c>
      <c r="AS196" s="580" t="n">
        <f aca="false">(O197*AJ196+O198*AK196)/AI196</f>
        <v>0</v>
      </c>
      <c r="AT196" s="468" t="n">
        <f aca="false">O196*VLOOKUP(BF196,BrentVolTable,2)+VLOOKUP(BF196,BrentVolTable,3)</f>
        <v>0</v>
      </c>
      <c r="AU196" s="468" t="n">
        <f aca="false">(AT197*AM196+AT198*AN196)/AL196</f>
        <v>0</v>
      </c>
      <c r="AV196" s="595" t="n">
        <f aca="false">SQRT(MAX(0.000000000001,(O196^2*BH196-S196^2*(BH196-BH195))/BH195))</f>
        <v>0.0323205474073597</v>
      </c>
      <c r="AW196" s="451" t="n">
        <f aca="false">IF($I196-DateToday+15&gt;=$T$8,"",IF($I196-DateToday+15&lt;$T$5,1,MATCH($I196-DateToday+15,$T$5:$T$8)))</f>
        <v>1</v>
      </c>
      <c r="AX196" s="468" t="n">
        <f aca="false">IF($AW196="",AX195^2/AX194,INDEX(U$5:U$8,$AW196)^((INDEX($T$5:$T$8,$AW196+1)-($I196-DateToday+15))/(INDEX($T$5:$T$8,$AW196+1)-INDEX($T$5:$T$8,$AW196)))/INDEX(U$5:U$8,$AW196+1)^((INDEX($T$5:$T$8,$AW196)-($I196-DateToday+15))/(INDEX($T$5:$T$8,$AW196+1)-INDEX($T$5:$T$8,$AW196))))</f>
        <v>0.291810258642884</v>
      </c>
      <c r="AY196" s="468" t="n">
        <f aca="false">IF($AW196="",AY195^2/AY194,INDEX(V$5:V$8,$AW196)^((INDEX($T$5:$T$8,$AW196+1)-($I196-DateToday+15))/(INDEX($T$5:$T$8,$AW196+1)-INDEX($T$5:$T$8,$AW196)))/INDEX(V$5:V$8,$AW196+1)^((INDEX($T$5:$T$8,$AW196)-($I196-DateToday+15))/(INDEX($T$5:$T$8,$AW196+1)-INDEX($T$5:$T$8,$AW196))))</f>
        <v>3.14929583441068</v>
      </c>
      <c r="AZ196" s="468" t="n">
        <f aca="false">IF($AW196="",AZ195^2/AZ194,INDEX(W$5:W$8,$AW196)^((INDEX($T$5:$T$8,$AW196+1)-($I196-DateToday+15))/(INDEX($T$5:$T$8,$AW196+1)-INDEX($T$5:$T$8,$AW196)))/INDEX(W$5:W$8,$AW196+1)^((INDEX($T$5:$T$8,$AW196)-($I196-DateToday+15))/(INDEX($T$5:$T$8,$AW196+1)-INDEX($T$5:$T$8,$AW196))))</f>
        <v>362.195355042338</v>
      </c>
      <c r="BA196" s="468" t="n">
        <f aca="false">IF($AW196="",BA195^2/BA194,INDEX(X$5:X$8,$AW196)^((INDEX($T$5:$T$8,$AW196+1)-($I196-DateToday+15))/(INDEX($T$5:$T$8,$AW196+1)-INDEX($T$5:$T$8,$AW196)))/INDEX(X$5:X$8,$AW196+1)^((INDEX($T$5:$T$8,$AW196)-($I196-DateToday+15))/(INDEX($T$5:$T$8,$AW196+1)-INDEX($T$5:$T$8,$AW196))))</f>
        <v>1100.96166910579</v>
      </c>
      <c r="BB196" s="468" t="n">
        <f aca="false">IF($AW196="",BB195^2/BB194,INDEX(Y$5:Y$8,$AW196)^((INDEX($T$5:$T$8,$AW196+1)-($I196-DateToday+15))/(INDEX($T$5:$T$8,$AW196+1)-INDEX($T$5:$T$8,$AW196)))/INDEX(Y$5:Y$8,$AW196+1)^((INDEX($T$5:$T$8,$AW196)-($I196-DateToday+15))/(INDEX($T$5:$T$8,$AW196+1)-INDEX($T$5:$T$8,$AW196))))</f>
        <v>5332.80867666949</v>
      </c>
      <c r="BC196" s="468" t="n">
        <f aca="false">IF($AW196="",BC195^2/BC194,INDEX(Z$5:Z$8,$AW196)^((INDEX($T$5:$T$8,$AW196+1)-($I196-DateToday+15))/(INDEX($T$5:$T$8,$AW196+1)-INDEX($T$5:$T$8,$AW196)))/INDEX(Z$5:Z$8,$AW196+1)^((INDEX($T$5:$T$8,$AW196)-($I196-DateToday+15))/(INDEX($T$5:$T$8,$AW196+1)-INDEX($T$5:$T$8,$AW196))))</f>
        <v>14039.2867204715</v>
      </c>
      <c r="BD196" s="535" t="n">
        <f aca="false">IF(OR(DateStart&gt;=I197,DateEnd&lt;I196),0,IF(VolumeOverrideFlag,V196,Volume))</f>
        <v>0</v>
      </c>
      <c r="BE196" s="536" t="n">
        <f aca="false">IF(OR(DateStart2&gt;=I197,DateEnd2&lt;I196),0,IF(VolumeOverrideFlag,V196,VolumeSwaption))</f>
        <v>0</v>
      </c>
      <c r="BF196" s="537" t="n">
        <f aca="false">YEAR(I196)</f>
        <v>2015</v>
      </c>
      <c r="BG196" s="538" t="n">
        <f aca="false">MONTH(I196)</f>
        <v>5</v>
      </c>
      <c r="BH196" s="539" t="n">
        <f aca="false">AD196-DateToday+1</f>
        <v>-3815</v>
      </c>
      <c r="BI196" s="540" t="n">
        <f aca="false">(I196-DateToday+1)/365.25</f>
        <v>-10.403832991102</v>
      </c>
      <c r="BJ196" s="541" t="n">
        <f aca="false">BI196+(BL196-BI196)*CHOOSE(Underlying,AJ196/AI196,AM196/AL196)</f>
        <v>-10.3490759753593</v>
      </c>
      <c r="BK196" s="541" t="n">
        <f aca="false">BJ196+1/365.25</f>
        <v>-10.3463381245722</v>
      </c>
      <c r="BL196" s="541" t="n">
        <f aca="false">(I197-DateToday)/365.25</f>
        <v>-10.321697467488</v>
      </c>
      <c r="BM196" s="542" t="e">
        <f aca="false">MAX(BI196-(BJ196-BI196)*(S197^2/O197^2-1),0)</f>
        <v>#DIV/0!</v>
      </c>
      <c r="BN196" s="541" t="e">
        <f aca="false">MAX(BL196+(BL196-BK196)*(S198^2/O198^2-1),0)</f>
        <v>#DIV/0!</v>
      </c>
      <c r="BO196" s="530" t="n">
        <f aca="false">CHOOSE(Underlying,AI196,AL196)</f>
        <v>21</v>
      </c>
      <c r="BP196" s="529" t="n">
        <f aca="false">CHOOSE(Underlying,AJ196,AM196)</f>
        <v>14</v>
      </c>
      <c r="BQ196" s="529" t="n">
        <f aca="false">CHOOSE(Underlying,AK196,AN196)</f>
        <v>7</v>
      </c>
      <c r="BR196" s="463" t="str">
        <f aca="false">IF(BD196,IF(Underlying=1,X196,Z196)+UnderlyingPriceAsian-SwapPriceCurve,"")</f>
        <v/>
      </c>
      <c r="BS196" s="463" t="str">
        <f aca="false">IF(BD196,Strike1/BR196-1,"")</f>
        <v/>
      </c>
      <c r="BT196" s="464" t="str">
        <f aca="false">IF(BD196,Strike2/BR196-1,"")</f>
        <v/>
      </c>
      <c r="BU196" s="465" t="str">
        <f aca="false">IF(BD196,IF(Underlying=1,L197,R197)+UnderlyingPriceAsian-SwapPriceCurve,"")</f>
        <v/>
      </c>
      <c r="BV196" s="465" t="str">
        <f aca="false">IF(BD196,IF(Underlying=1,L198,R198)+UnderlyingPriceAsian-SwapPriceCurve,"")</f>
        <v/>
      </c>
      <c r="BW196" s="466" t="str">
        <f aca="false">IF(BD196,IF(Underlying=1,O197,AT197),"")</f>
        <v/>
      </c>
      <c r="BX196" s="467" t="str">
        <f aca="false">IF(BD196,IF(Underlying=1,O198,AT198),"")</f>
        <v/>
      </c>
      <c r="BY196" s="466" t="str">
        <f aca="false">IF(BD196,IF(BS196&gt;0,IF(BS196&gt;0.2,BC196-BB196,IF(BS196&gt;0.1,BB196-BA196,BA196)),IF(BS196&lt;-0.2,AX196-AY196,IF(BS196&lt;-0.1,AY196-AZ196,AZ196))),"")</f>
        <v/>
      </c>
      <c r="BZ196" s="467" t="str">
        <f aca="false">IF(BD196,IF(BT196&gt;0,IF(BT196&gt;0.2,BC196-BB196,IF(BT196&gt;0.1,BB196-BA196,BA196)),IF(BT196&lt;-0.2,AX196-AY196,IF(BT196&lt;-0.1,AY196-AZ196,AZ196))),"")</f>
        <v/>
      </c>
      <c r="CA196" s="468" t="str">
        <f aca="false">IF($BD196,$BW196+IF(VolSkewFlag=1,IF(BS196&gt;0,$BA196*MIN(BS196/10%,1)+($BB196-$BA196)*MAX(0,MIN(BS196/10%-1,1))+($BC196-$BB196)*MAX(0,BS196/10%-2),$AZ196*MIN(-BS196/10%,1)+($AY196-$AZ196)*MAX(0,MIN(-BS196/10%-1,1))+($AX196-$AY196)*MAX(0,-BS196/10%-2)),0),"")</f>
        <v/>
      </c>
      <c r="CB196" s="468" t="str">
        <f aca="false">IF($BD196,$BX196+IF(VolSkewFlag=1,IF(BS196&gt;0,$BA196*MIN(BS196/10%,1)+($BB196-$BA196)*MAX(0,MIN(BS196/10%-1,1))+($BC196-$BB196)*MAX(0,BS196/10%-2),$AZ196*MIN(-BS196/10%,1)+($AY196-$AZ196)*MAX(0,MIN(-BS196/10%-1,1))+($AX196-$AY196)*MAX(0,-BS196/10%-2)),0),"")</f>
        <v/>
      </c>
      <c r="CC196" s="468" t="str">
        <f aca="false">IF($BD196,$BW196+IF(VolSkewFlag=1,IF(BT196&gt;0,$BA196*MIN(BT196/10%,1)+($BB196-$BA196)*MAX(0,MIN(BT196/10%-1,1))+($BC196-$BB196)*MAX(0,BT196/10%-2),$AZ196*MIN(-BT196/10%,1)+($AY196-$AZ196)*MAX(0,MIN(-BT196/10%-1,1))+($AX196-$AY196)*MAX(0,-BT196/10%-2)),0),"")</f>
        <v/>
      </c>
      <c r="CD196" s="468" t="str">
        <f aca="false">IF($BD196,$BX196+IF(VolSkewFlag=1,IF(BT196&gt;0,$BA196*MIN(BT196/10%,1)+($BB196-$BA196)*MAX(0,MIN(BT196/10%-1,1))+($BC196-$BB196)*MAX(0,BT196/10%-2),$AZ196*MIN(-BT196/10%,1)+($AY196-$AZ196)*MAX(0,MIN(-BT196/10%-1,1))+($AX196-$AY196)*MAX(0,-BT196/10%-2)),0),"")</f>
        <v/>
      </c>
      <c r="CE196" s="469" t="n">
        <v>1</v>
      </c>
      <c r="CF196" s="470" t="n">
        <f aca="false">IF(BD196,xCrudeAPO(BU196,BV196,CA196,CB196,S197,S198,BI196,BL196,BP196,BQ196,0,Strike1,AO196,CE196,0,BL196,IF(OptControl=4,0,1),0,1),0)</f>
        <v>0</v>
      </c>
      <c r="CG196" s="470" t="n">
        <f aca="false">IF(BD196,xCrudeAPO(BU196,BV196,CA196,CB196,S197,S198,BI196,BL196,BP196,BQ196,0,Strike1,AO196,CE196,0,BL196,IF(OptControl=4,0,1),1,1)+xCrudeAPO(BU196,BV196,CA196,CB196,S197,S198,BI196,BL196,BP196,BQ196,0,Strike1,AO196,CE196,0,BL196,IF(OptControl=4,0,1),1,2)+IF(OR(VolSkewFlag=2,ABS(BS196)&lt;0.0001),0,IF(BS196&gt;0,-1,1)*CH196*Strike1/BR196^2*BY196/10%),0)</f>
        <v>0</v>
      </c>
      <c r="CH196" s="470" t="n">
        <f aca="false">IF(BD196,(xCrudeAPO(BU196,BV196,CA196,CB196,S197,S198,BI196,BL196,BP196,BQ196,0,Strike1,AO196,CE196,0,BL196,IF(OptControl=4,0,1),3,1)+xCrudeAPO(BU196,BV196,CA196,CB196,S197,S198,BI196,BL196,BP196,BQ196,0,Strike1,AO196,CE196,0,BL196,IF(OptControl=4,0,1),3,2))/100,0)</f>
        <v>0</v>
      </c>
      <c r="CI196" s="470" t="n">
        <f aca="false">IF(BD196,xCrudeAPO(BU196,BV196,CA196,CB196,S197,S198,BI196-DaysForThetaCalculation/365.25,BL196-DaysForThetaCalculation/365.25,BP196,BQ196,0,Strike1,AO196,CE196,0,BL196,IF(OptControl=4,0,1),0,1)-xCrudeAPO(BU196,BV196,CA196,CB196,S197,S198,BI196,BL196,BP196,BQ196,0,Strike1,AO196,CE196,0,BL196,IF(OptControl=4,0,1),0,1),0)</f>
        <v>0</v>
      </c>
      <c r="CJ196" s="471" t="n">
        <f aca="false">IF(BD196,xCrudeAPO(BU196,BV196,CC196,CD196,S197,S198,BI196,BL196,BP196,BQ196,0,Strike2,AO196,CE196,0,BL196,IF(OptControl=3,1,0),0,1),0)</f>
        <v>0</v>
      </c>
      <c r="CK196" s="470" t="n">
        <f aca="false">IF(BD196,xCrudeAPO(BU196,BV196,CC196,CD196,S197,S198,BI196,BL196,BP196,BQ196,0,Strike2,AO196,CE196,0,BL196,IF(OptControl=3,1,0),1,1)+xCrudeAPO(BU196,BV196,CC196,CD196,S197,S198,BI196,BL196,BP196,BQ196,0,Strike2,AO196,CE196,0,BL196,IF(OptControl=3,1,0),1,2)+IF(OR(VolSkewFlag=2,ABS(BT196)&lt;0.0001),0,IF(BT196&gt;0,-1,1)*CL196*Strike2/BR196^2*BZ196/10%),0)</f>
        <v>0</v>
      </c>
      <c r="CL196" s="470" t="n">
        <f aca="false">IF(BD196,(xCrudeAPO(BU196,BV196,CC196,CD196,S197,S198,BI196,BL196,BP196,BQ196,0,Strike2,AO196,CE196,0,BL196,IF(OptControl=3,1,0),3,1)+xCrudeAPO(BU196,BV196,CC196,CD196,S197,S198,BI196,BL196,BP196,BQ196,0,Strike2,AO196,CE196,0,BL196,IF(OptControl=3,1,0),3,2))/100,0)</f>
        <v>0</v>
      </c>
      <c r="CM196" s="472" t="n">
        <f aca="false">IF(BD196,xCrudeAPO(BU196,BV196,CC196,CD196,S197,S198,BI196-DaysForThetaCalculation/365.25,BL196-DaysForThetaCalculation/365.25,BP196,BQ196,0,Strike2,AO196,CE196,0,BL196,IF(OptControl=3,1,0),0,1)-xCrudeAPO(BU196,BV196,CC196,CD196,S197,S198,BI196,BL196,BP196,BQ196,0,Strike2,AO196,CE196,0,BL196,IF(OptControl=3,1,0),0,1),0)</f>
        <v>0</v>
      </c>
      <c r="CN196" s="3"/>
      <c r="CO196" s="543" t="str">
        <f aca="false">IF(BD196,CHOOSE(Underlying,AD196,AF196)-DateToday+1,"")</f>
        <v/>
      </c>
      <c r="CP196" s="582" t="str">
        <f aca="false">IF(BD196,CHOOSE(Underlying,L196,R196),"")</f>
        <v/>
      </c>
      <c r="CQ196" s="544" t="str">
        <f aca="false">IF(BD196,Strike1/CP196-1,"")</f>
        <v/>
      </c>
      <c r="CR196" s="544" t="str">
        <f aca="false">IF(BD196,Strike2/CP196-1,"")</f>
        <v/>
      </c>
      <c r="CS196" s="544" t="str">
        <f aca="false">IF(BD196,IF(CQ196&gt;0,IF(CQ196&gt;0.2,BC195-BB195,IF(CQ196&gt;0.1,BB195-BA195,BA195)),IF(CQ196&lt;-0.2,AX195-AY195,IF(CQ196&lt;-0.1,AY195-AZ195,AZ195))),"")</f>
        <v/>
      </c>
      <c r="CT196" s="544" t="str">
        <f aca="false">IF(BD196,IF(CR196&gt;0,IF(CR196&gt;0.2,BC195-BB195,IF(CR196&gt;0.1,BB195-BA195,BA195)),IF(CR196&lt;-0.2,AX195-AY195,IF(CR196&lt;-0.1,AY195-AZ195,AZ195))),"")</f>
        <v/>
      </c>
      <c r="CU196" s="545" t="str">
        <f aca="false">IF(BD196,CHOOSE(Underlying,O196,AT196),"")</f>
        <v/>
      </c>
      <c r="CV196" s="545" t="str">
        <f aca="false">IF(BD196,CU196+IF(VolSkewFlag=1,IF(CQ196&gt;0,BA195*MIN(CQ196/10%,1)+(BB195-BA195)*MAX(0,MIN(CQ196/10%-1,1))+(BC195-BB195)*MAX(0,CQ196/10%-2),AZ195*MIN(-CQ196/10%,1)+(AY195-AZ195)*MAX(0,MIN(-CQ196/10%-1,1))+(AX195-AY195)*MAX(0,-CQ196/10%-2)),0),"")</f>
        <v/>
      </c>
      <c r="CW196" s="545" t="str">
        <f aca="false">IF(BD196,CU196+IF(VolSkewFlag=1,IF(CR196&gt;0,BA195*MIN(CR196/10%,1)+(BB195-BA195)*MAX(0,MIN(CR196/10%-1,1))+(BC195-BB195)*MAX(0,CR196/10%-2),AZ195*MIN(-CR196/10%,1)+(AY195-AZ195)*MAX(0,MIN(-CR196/10%-1,1))+(AX195-AY195)*MAX(0,-CR196/10%-2)),0),"")</f>
        <v/>
      </c>
      <c r="CX196" s="470" t="n">
        <f aca="false">IF(BD196,EURO(CP196,Strike1,AO196,AO196,CV196,CO196,IF(OptControl=4,0,1),0),0)</f>
        <v>0</v>
      </c>
      <c r="CY196" s="470" t="n">
        <f aca="false">IF(BD196,EURO(CP196,Strike1,AO196,AO196,CV196,CO196,IF(OptControl=4,0,1),1)+IF(OR(VolSkewFlag=2,ABS(CQ196)&lt;0.0001),0,IF(CQ196&gt;0,-1,1)*CZ196*100*Strike1/CP196^2*CS196/10%),0)</f>
        <v>0</v>
      </c>
      <c r="CZ196" s="470" t="n">
        <f aca="false">IF(BD196,EURO(CP196,Strike1,AO196,AO196,CV196,CO196,IF(OptControl=4,0,1),3)/100,0)</f>
        <v>0</v>
      </c>
      <c r="DA196" s="470" t="n">
        <f aca="false">IF(BD196,EURO(CP196,Strike1,AO196,AO196,CV196,CO196,IF(OptControl=4,0,1),0)-EURO(CP196,Strike1,AO196,AO196,CV196,CO196-1,IF(OptControl=4,0,1),0),0)</f>
        <v>0</v>
      </c>
      <c r="DB196" s="470" t="n">
        <f aca="false">IF(BD196,EURO(CP196,Strike2,AO196,AO196,CW196,CO196,IF(OptControl=3,1,0),0),0)</f>
        <v>0</v>
      </c>
      <c r="DC196" s="470" t="n">
        <f aca="false">IF(BD196,EURO(CP196,Strike2,AO196,AO196,CW196,CO196,IF(OptControl=3,1,0),1)+IF(OR(VolSkewFlag=2,ABS(CR196)&lt;0.0001),0,IF(CR196&gt;0,-1,1)*DD196*100*Strike2/CP196^2*CT196/10%),0)</f>
        <v>0</v>
      </c>
      <c r="DD196" s="470" t="n">
        <f aca="false">IF(BD196,EURO(CP196,Strike2,AO196,AO196,CW196,CO196,IF(OptControl=3,1,0),3)/100,0)</f>
        <v>0</v>
      </c>
      <c r="DE196" s="472" t="n">
        <f aca="false">IF(BD196,EURO(CP196,Strike2,AO196,AO196,CW196,CO196,IF(OptControl=3,1,0),0)-EURO(CP196,Strike2,AO196,AO196,CW196,CO196-1,IF(OptControl=3,1,0),0),0)</f>
        <v>0</v>
      </c>
      <c r="DG196" s="481" t="n">
        <f aca="false">EOMONTH(DG195,0)+1</f>
        <v>51044</v>
      </c>
      <c r="DH196" s="478" t="n">
        <v>22.9600000000001</v>
      </c>
      <c r="DI196" s="479" t="n">
        <v>23.0295652173914</v>
      </c>
      <c r="DJ196" s="480" t="n">
        <f aca="false">DG196</f>
        <v>51044</v>
      </c>
      <c r="DK196" s="478" t="n">
        <v>21.5993867434339</v>
      </c>
      <c r="DL196" s="479" t="n">
        <v>21.8364652173914</v>
      </c>
      <c r="DM196" s="481" t="n">
        <f aca="false">DG196</f>
        <v>51044</v>
      </c>
      <c r="DN196" s="482" t="n">
        <f aca="false">DK196+BrentPhyBrentSpread</f>
        <v>21.6493867434339</v>
      </c>
      <c r="DO196" s="481" t="n">
        <f aca="false">DG196</f>
        <v>51044</v>
      </c>
      <c r="DP196" s="483" t="n">
        <f aca="false">DL196+DQ196</f>
        <v>21.8364652173914</v>
      </c>
      <c r="DQ196" s="546" t="n">
        <v>0</v>
      </c>
      <c r="DR196" s="480" t="n">
        <f aca="false">DG196</f>
        <v>51044</v>
      </c>
      <c r="DS196" s="485" t="n">
        <v>0.118999999999998</v>
      </c>
      <c r="DT196" s="486" t="n">
        <v>0.118165217391302</v>
      </c>
      <c r="DU196" s="480" t="n">
        <f aca="false">DG196</f>
        <v>51044</v>
      </c>
      <c r="DV196" s="485" t="n">
        <v>0.118999999999998</v>
      </c>
      <c r="DW196" s="486" t="n">
        <v>0.118165217391302</v>
      </c>
      <c r="DX196" s="481" t="n">
        <f aca="false">DG196</f>
        <v>51044</v>
      </c>
      <c r="DY196" s="486" t="n">
        <v>0.35</v>
      </c>
      <c r="DZ196" s="481" t="n">
        <f aca="false">DR196</f>
        <v>51044</v>
      </c>
      <c r="EA196" s="486" t="n">
        <f aca="false">DT196</f>
        <v>0.118165217391302</v>
      </c>
      <c r="EB196" s="195"/>
      <c r="EC196" s="547" t="str">
        <f aca="false">IF(BD196,IF(Underlying=1,AS196,AU196),"")</f>
        <v/>
      </c>
      <c r="ED196" s="548" t="str">
        <f aca="false">IF($BD196,$EC196+IF(VolSkewFlag=1,IF(BS196&gt;0,$BA196*MIN(BS196/10%,1)+($BB196-$BA196)*MAX(0,MIN(BS196/10%-1,1))+($BC196-$BB196)*MAX(0,BS196/10%-2),$AZ196*MIN(-BS196/10%,1)+($AY196-$AZ196)*MAX(0,MIN(-BS196/10%-1,1))+($AX196-$AY196)*MAX(0,-BS196/10%-2)),0),"")</f>
        <v/>
      </c>
      <c r="EE196" s="549" t="str">
        <f aca="false">IF($BD196,$EC196+IF(VolSkewFlag=1,IF(BT196&gt;0,$BA196*MIN(BT196/10%,1)+($BB196-$BA196)*MAX(0,MIN(BT196/10%-1,1))+($BC196-$BB196)*MAX(0,BT196/10%-2),$AZ196*MIN(-BT196/10%,1)+($AY196-$AZ196)*MAX(0,MIN(-BT196/10%-1,1))+($AX196-$AY196)*MAX(0,-BT196/10%-2)),0),"")</f>
        <v/>
      </c>
      <c r="EF196" s="550" t="n">
        <f aca="false">IF(BD196,xASN(BR196,Strike1,AO196,ED196,0,BO196,0,BI196,BL196,IF(OptControl=4,0,1),0),0)</f>
        <v>0</v>
      </c>
      <c r="EG196" s="551" t="n">
        <f aca="false">IF(BD196,xASN(BR196,Strike2,AO196,EE196,0,BO196,0,BI196,BL196,IF(OptControl=3,1,0),0),0)</f>
        <v>0</v>
      </c>
      <c r="EL196" s="1"/>
      <c r="EM196" s="195"/>
      <c r="EN196" s="240"/>
      <c r="EO196" s="240"/>
      <c r="EP196" s="195"/>
      <c r="EQ196" s="407" t="s">
        <v>424</v>
      </c>
      <c r="ES196" s="130"/>
      <c r="ET196" s="19"/>
      <c r="EU196" s="672"/>
      <c r="EV196" s="478"/>
      <c r="EW196" s="131"/>
      <c r="EX196" s="131"/>
      <c r="EY196" s="129"/>
      <c r="EZ196" s="129"/>
      <c r="FA196" s="129"/>
      <c r="FB196" s="129"/>
      <c r="FC196" s="129"/>
      <c r="FD196" s="129"/>
      <c r="FE196" s="129"/>
      <c r="FF196" s="129"/>
      <c r="FG196" s="129"/>
      <c r="FH196" s="129"/>
      <c r="FI196" s="129"/>
      <c r="FJ196" s="571" t="n">
        <v>27</v>
      </c>
      <c r="FK196" s="150" t="str">
        <f aca="false">IF(OR(FK$169&lt;SwaptionFirstMonthPosition+1,$FJ196&lt;SwaptionFirstMonthPosition+1,FK$169&gt;SwaptionFirstMonthPosition+SwaptionNumOfMonths+1,$FJ196&gt;SwaptionFirstMonthPosition+SwaptionNumOfMonths+1),"",IF($FJ196=FK$169,1,IF($FJ196&lt;FK$169,INDEX($FK$170:$ID$241,FK$169,$FJ196),SUMPRODUCT(INDEX($FK$325:$ID$396,FK$169,1+SwaptionShift):INDEX($FK$325:$ID$396,FK$169,SwaptionMonthsToGo+SwaptionShift),INDEX($FK$245:$ID$316,$FJ196-FK$169,73-FK$169+SwaptionShift):INDEX($FK$245:$ID$316,$FJ196-FK$169,72-FK$169+SwaptionMonthsToGo+SwaptionShift))/SQRT(SUM(INDEX($FK351:$ID351,1+SwaptionShift):INDEX($FK351:$ID351,SwaptionMonthsToGo+SwaptionShift))*SUM(INDEX($FK$325:$ID$396,FK$169,1+SwaptionShift):INDEX($FK$325:$ID$396,FK$169,SwaptionMonthsToGo+SwaptionShift))))))</f>
        <v/>
      </c>
      <c r="FL196" s="150" t="str">
        <f aca="false">IF(OR(FL$169&lt;SwaptionFirstMonthPosition+1,$FJ196&lt;SwaptionFirstMonthPosition+1,FL$169&gt;SwaptionFirstMonthPosition+SwaptionNumOfMonths+1,$FJ196&gt;SwaptionFirstMonthPosition+SwaptionNumOfMonths+1),"",IF($FJ196=FL$169,1,IF($FJ196&lt;FL$169,INDEX($FK$170:$ID$241,FL$169,$FJ196),SUMPRODUCT(INDEX($FK$325:$ID$396,FL$169,1+SwaptionShift):INDEX($FK$325:$ID$396,FL$169,SwaptionMonthsToGo+SwaptionShift),INDEX($FK$245:$ID$316,$FJ196-FL$169,73-FL$169+SwaptionShift):INDEX($FK$245:$ID$316,$FJ196-FL$169,72-FL$169+SwaptionMonthsToGo+SwaptionShift))/SQRT(SUM(INDEX($FK351:$ID351,1+SwaptionShift):INDEX($FK351:$ID351,SwaptionMonthsToGo+SwaptionShift))*SUM(INDEX($FK$325:$ID$396,FL$169,1+SwaptionShift):INDEX($FK$325:$ID$396,FL$169,SwaptionMonthsToGo+SwaptionShift))))))</f>
        <v/>
      </c>
      <c r="FM196" s="150" t="str">
        <f aca="false">IF(OR(FM$169&lt;SwaptionFirstMonthPosition+1,$FJ196&lt;SwaptionFirstMonthPosition+1,FM$169&gt;SwaptionFirstMonthPosition+SwaptionNumOfMonths+1,$FJ196&gt;SwaptionFirstMonthPosition+SwaptionNumOfMonths+1),"",IF($FJ196=FM$169,1,IF($FJ196&lt;FM$169,INDEX($FK$170:$ID$241,FM$169,$FJ196),SUMPRODUCT(INDEX($FK$325:$ID$396,FM$169,1+SwaptionShift):INDEX($FK$325:$ID$396,FM$169,SwaptionMonthsToGo+SwaptionShift),INDEX($FK$245:$ID$316,$FJ196-FM$169,73-FM$169+SwaptionShift):INDEX($FK$245:$ID$316,$FJ196-FM$169,72-FM$169+SwaptionMonthsToGo+SwaptionShift))/SQRT(SUM(INDEX($FK351:$ID351,1+SwaptionShift):INDEX($FK351:$ID351,SwaptionMonthsToGo+SwaptionShift))*SUM(INDEX($FK$325:$ID$396,FM$169,1+SwaptionShift):INDEX($FK$325:$ID$396,FM$169,SwaptionMonthsToGo+SwaptionShift))))))</f>
        <v/>
      </c>
      <c r="FN196" s="150" t="str">
        <f aca="false">IF(OR(FN$169&lt;SwaptionFirstMonthPosition+1,$FJ196&lt;SwaptionFirstMonthPosition+1,FN$169&gt;SwaptionFirstMonthPosition+SwaptionNumOfMonths+1,$FJ196&gt;SwaptionFirstMonthPosition+SwaptionNumOfMonths+1),"",IF($FJ196=FN$169,1,IF($FJ196&lt;FN$169,INDEX($FK$170:$ID$241,FN$169,$FJ196),SUMPRODUCT(INDEX($FK$325:$ID$396,FN$169,1+SwaptionShift):INDEX($FK$325:$ID$396,FN$169,SwaptionMonthsToGo+SwaptionShift),INDEX($FK$245:$ID$316,$FJ196-FN$169,73-FN$169+SwaptionShift):INDEX($FK$245:$ID$316,$FJ196-FN$169,72-FN$169+SwaptionMonthsToGo+SwaptionShift))/SQRT(SUM(INDEX($FK351:$ID351,1+SwaptionShift):INDEX($FK351:$ID351,SwaptionMonthsToGo+SwaptionShift))*SUM(INDEX($FK$325:$ID$396,FN$169,1+SwaptionShift):INDEX($FK$325:$ID$396,FN$169,SwaptionMonthsToGo+SwaptionShift))))))</f>
        <v/>
      </c>
      <c r="FO196" s="150" t="str">
        <f aca="false">IF(OR(FO$169&lt;SwaptionFirstMonthPosition+1,$FJ196&lt;SwaptionFirstMonthPosition+1,FO$169&gt;SwaptionFirstMonthPosition+SwaptionNumOfMonths+1,$FJ196&gt;SwaptionFirstMonthPosition+SwaptionNumOfMonths+1),"",IF($FJ196=FO$169,1,IF($FJ196&lt;FO$169,INDEX($FK$170:$ID$241,FO$169,$FJ196),SUMPRODUCT(INDEX($FK$325:$ID$396,FO$169,1+SwaptionShift):INDEX($FK$325:$ID$396,FO$169,SwaptionMonthsToGo+SwaptionShift),INDEX($FK$245:$ID$316,$FJ196-FO$169,73-FO$169+SwaptionShift):INDEX($FK$245:$ID$316,$FJ196-FO$169,72-FO$169+SwaptionMonthsToGo+SwaptionShift))/SQRT(SUM(INDEX($FK351:$ID351,1+SwaptionShift):INDEX($FK351:$ID351,SwaptionMonthsToGo+SwaptionShift))*SUM(INDEX($FK$325:$ID$396,FO$169,1+SwaptionShift):INDEX($FK$325:$ID$396,FO$169,SwaptionMonthsToGo+SwaptionShift))))))</f>
        <v/>
      </c>
      <c r="FP196" s="150" t="str">
        <f aca="false">IF(OR(FP$169&lt;SwaptionFirstMonthPosition+1,$FJ196&lt;SwaptionFirstMonthPosition+1,FP$169&gt;SwaptionFirstMonthPosition+SwaptionNumOfMonths+1,$FJ196&gt;SwaptionFirstMonthPosition+SwaptionNumOfMonths+1),"",IF($FJ196=FP$169,1,IF($FJ196&lt;FP$169,INDEX($FK$170:$ID$241,FP$169,$FJ196),SUMPRODUCT(INDEX($FK$325:$ID$396,FP$169,1+SwaptionShift):INDEX($FK$325:$ID$396,FP$169,SwaptionMonthsToGo+SwaptionShift),INDEX($FK$245:$ID$316,$FJ196-FP$169,73-FP$169+SwaptionShift):INDEX($FK$245:$ID$316,$FJ196-FP$169,72-FP$169+SwaptionMonthsToGo+SwaptionShift))/SQRT(SUM(INDEX($FK351:$ID351,1+SwaptionShift):INDEX($FK351:$ID351,SwaptionMonthsToGo+SwaptionShift))*SUM(INDEX($FK$325:$ID$396,FP$169,1+SwaptionShift):INDEX($FK$325:$ID$396,FP$169,SwaptionMonthsToGo+SwaptionShift))))))</f>
        <v/>
      </c>
      <c r="FQ196" s="150" t="str">
        <f aca="false">IF(OR(FQ$169&lt;SwaptionFirstMonthPosition+1,$FJ196&lt;SwaptionFirstMonthPosition+1,FQ$169&gt;SwaptionFirstMonthPosition+SwaptionNumOfMonths+1,$FJ196&gt;SwaptionFirstMonthPosition+SwaptionNumOfMonths+1),"",IF($FJ196=FQ$169,1,IF($FJ196&lt;FQ$169,INDEX($FK$170:$ID$241,FQ$169,$FJ196),SUMPRODUCT(INDEX($FK$325:$ID$396,FQ$169,1+SwaptionShift):INDEX($FK$325:$ID$396,FQ$169,SwaptionMonthsToGo+SwaptionShift),INDEX($FK$245:$ID$316,$FJ196-FQ$169,73-FQ$169+SwaptionShift):INDEX($FK$245:$ID$316,$FJ196-FQ$169,72-FQ$169+SwaptionMonthsToGo+SwaptionShift))/SQRT(SUM(INDEX($FK351:$ID351,1+SwaptionShift):INDEX($FK351:$ID351,SwaptionMonthsToGo+SwaptionShift))*SUM(INDEX($FK$325:$ID$396,FQ$169,1+SwaptionShift):INDEX($FK$325:$ID$396,FQ$169,SwaptionMonthsToGo+SwaptionShift))))))</f>
        <v/>
      </c>
      <c r="FR196" s="150" t="str">
        <f aca="false">IF(OR(FR$169&lt;SwaptionFirstMonthPosition+1,$FJ196&lt;SwaptionFirstMonthPosition+1,FR$169&gt;SwaptionFirstMonthPosition+SwaptionNumOfMonths+1,$FJ196&gt;SwaptionFirstMonthPosition+SwaptionNumOfMonths+1),"",IF($FJ196=FR$169,1,IF($FJ196&lt;FR$169,INDEX($FK$170:$ID$241,FR$169,$FJ196),SUMPRODUCT(INDEX($FK$325:$ID$396,FR$169,1+SwaptionShift):INDEX($FK$325:$ID$396,FR$169,SwaptionMonthsToGo+SwaptionShift),INDEX($FK$245:$ID$316,$FJ196-FR$169,73-FR$169+SwaptionShift):INDEX($FK$245:$ID$316,$FJ196-FR$169,72-FR$169+SwaptionMonthsToGo+SwaptionShift))/SQRT(SUM(INDEX($FK351:$ID351,1+SwaptionShift):INDEX($FK351:$ID351,SwaptionMonthsToGo+SwaptionShift))*SUM(INDEX($FK$325:$ID$396,FR$169,1+SwaptionShift):INDEX($FK$325:$ID$396,FR$169,SwaptionMonthsToGo+SwaptionShift))))))</f>
        <v/>
      </c>
      <c r="FS196" s="150" t="str">
        <f aca="false">IF(OR(FS$169&lt;SwaptionFirstMonthPosition+1,$FJ196&lt;SwaptionFirstMonthPosition+1,FS$169&gt;SwaptionFirstMonthPosition+SwaptionNumOfMonths+1,$FJ196&gt;SwaptionFirstMonthPosition+SwaptionNumOfMonths+1),"",IF($FJ196=FS$169,1,IF($FJ196&lt;FS$169,INDEX($FK$170:$ID$241,FS$169,$FJ196),SUMPRODUCT(INDEX($FK$325:$ID$396,FS$169,1+SwaptionShift):INDEX($FK$325:$ID$396,FS$169,SwaptionMonthsToGo+SwaptionShift),INDEX($FK$245:$ID$316,$FJ196-FS$169,73-FS$169+SwaptionShift):INDEX($FK$245:$ID$316,$FJ196-FS$169,72-FS$169+SwaptionMonthsToGo+SwaptionShift))/SQRT(SUM(INDEX($FK351:$ID351,1+SwaptionShift):INDEX($FK351:$ID351,SwaptionMonthsToGo+SwaptionShift))*SUM(INDEX($FK$325:$ID$396,FS$169,1+SwaptionShift):INDEX($FK$325:$ID$396,FS$169,SwaptionMonthsToGo+SwaptionShift))))))</f>
        <v/>
      </c>
      <c r="FT196" s="150" t="str">
        <f aca="false">IF(OR(FT$169&lt;SwaptionFirstMonthPosition+1,$FJ196&lt;SwaptionFirstMonthPosition+1,FT$169&gt;SwaptionFirstMonthPosition+SwaptionNumOfMonths+1,$FJ196&gt;SwaptionFirstMonthPosition+SwaptionNumOfMonths+1),"",IF($FJ196=FT$169,1,IF($FJ196&lt;FT$169,INDEX($FK$170:$ID$241,FT$169,$FJ196),SUMPRODUCT(INDEX($FK$325:$ID$396,FT$169,1+SwaptionShift):INDEX($FK$325:$ID$396,FT$169,SwaptionMonthsToGo+SwaptionShift),INDEX($FK$245:$ID$316,$FJ196-FT$169,73-FT$169+SwaptionShift):INDEX($FK$245:$ID$316,$FJ196-FT$169,72-FT$169+SwaptionMonthsToGo+SwaptionShift))/SQRT(SUM(INDEX($FK351:$ID351,1+SwaptionShift):INDEX($FK351:$ID351,SwaptionMonthsToGo+SwaptionShift))*SUM(INDEX($FK$325:$ID$396,FT$169,1+SwaptionShift):INDEX($FK$325:$ID$396,FT$169,SwaptionMonthsToGo+SwaptionShift))))))</f>
        <v/>
      </c>
      <c r="FU196" s="150" t="str">
        <f aca="false">IF(OR(FU$169&lt;SwaptionFirstMonthPosition+1,$FJ196&lt;SwaptionFirstMonthPosition+1,FU$169&gt;SwaptionFirstMonthPosition+SwaptionNumOfMonths+1,$FJ196&gt;SwaptionFirstMonthPosition+SwaptionNumOfMonths+1),"",IF($FJ196=FU$169,1,IF($FJ196&lt;FU$169,INDEX($FK$170:$ID$241,FU$169,$FJ196),SUMPRODUCT(INDEX($FK$325:$ID$396,FU$169,1+SwaptionShift):INDEX($FK$325:$ID$396,FU$169,SwaptionMonthsToGo+SwaptionShift),INDEX($FK$245:$ID$316,$FJ196-FU$169,73-FU$169+SwaptionShift):INDEX($FK$245:$ID$316,$FJ196-FU$169,72-FU$169+SwaptionMonthsToGo+SwaptionShift))/SQRT(SUM(INDEX($FK351:$ID351,1+SwaptionShift):INDEX($FK351:$ID351,SwaptionMonthsToGo+SwaptionShift))*SUM(INDEX($FK$325:$ID$396,FU$169,1+SwaptionShift):INDEX($FK$325:$ID$396,FU$169,SwaptionMonthsToGo+SwaptionShift))))))</f>
        <v/>
      </c>
      <c r="FV196" s="150" t="str">
        <f aca="false">IF(OR(FV$169&lt;SwaptionFirstMonthPosition+1,$FJ196&lt;SwaptionFirstMonthPosition+1,FV$169&gt;SwaptionFirstMonthPosition+SwaptionNumOfMonths+1,$FJ196&gt;SwaptionFirstMonthPosition+SwaptionNumOfMonths+1),"",IF($FJ196=FV$169,1,IF($FJ196&lt;FV$169,INDEX($FK$170:$ID$241,FV$169,$FJ196),SUMPRODUCT(INDEX($FK$325:$ID$396,FV$169,1+SwaptionShift):INDEX($FK$325:$ID$396,FV$169,SwaptionMonthsToGo+SwaptionShift),INDEX($FK$245:$ID$316,$FJ196-FV$169,73-FV$169+SwaptionShift):INDEX($FK$245:$ID$316,$FJ196-FV$169,72-FV$169+SwaptionMonthsToGo+SwaptionShift))/SQRT(SUM(INDEX($FK351:$ID351,1+SwaptionShift):INDEX($FK351:$ID351,SwaptionMonthsToGo+SwaptionShift))*SUM(INDEX($FK$325:$ID$396,FV$169,1+SwaptionShift):INDEX($FK$325:$ID$396,FV$169,SwaptionMonthsToGo+SwaptionShift))))))</f>
        <v/>
      </c>
      <c r="FW196" s="150" t="str">
        <f aca="false">IF(OR(FW$169&lt;SwaptionFirstMonthPosition+1,$FJ196&lt;SwaptionFirstMonthPosition+1,FW$169&gt;SwaptionFirstMonthPosition+SwaptionNumOfMonths+1,$FJ196&gt;SwaptionFirstMonthPosition+SwaptionNumOfMonths+1),"",IF($FJ196=FW$169,1,IF($FJ196&lt;FW$169,INDEX($FK$170:$ID$241,FW$169,$FJ196),SUMPRODUCT(INDEX($FK$325:$ID$396,FW$169,1+SwaptionShift):INDEX($FK$325:$ID$396,FW$169,SwaptionMonthsToGo+SwaptionShift),INDEX($FK$245:$ID$316,$FJ196-FW$169,73-FW$169+SwaptionShift):INDEX($FK$245:$ID$316,$FJ196-FW$169,72-FW$169+SwaptionMonthsToGo+SwaptionShift))/SQRT(SUM(INDEX($FK351:$ID351,1+SwaptionShift):INDEX($FK351:$ID351,SwaptionMonthsToGo+SwaptionShift))*SUM(INDEX($FK$325:$ID$396,FW$169,1+SwaptionShift):INDEX($FK$325:$ID$396,FW$169,SwaptionMonthsToGo+SwaptionShift))))))</f>
        <v/>
      </c>
      <c r="FX196" s="150" t="str">
        <f aca="false">IF(OR(FX$169&lt;SwaptionFirstMonthPosition+1,$FJ196&lt;SwaptionFirstMonthPosition+1,FX$169&gt;SwaptionFirstMonthPosition+SwaptionNumOfMonths+1,$FJ196&gt;SwaptionFirstMonthPosition+SwaptionNumOfMonths+1),"",IF($FJ196=FX$169,1,IF($FJ196&lt;FX$169,INDEX($FK$170:$ID$241,FX$169,$FJ196),SUMPRODUCT(INDEX($FK$325:$ID$396,FX$169,1+SwaptionShift):INDEX($FK$325:$ID$396,FX$169,SwaptionMonthsToGo+SwaptionShift),INDEX($FK$245:$ID$316,$FJ196-FX$169,73-FX$169+SwaptionShift):INDEX($FK$245:$ID$316,$FJ196-FX$169,72-FX$169+SwaptionMonthsToGo+SwaptionShift))/SQRT(SUM(INDEX($FK351:$ID351,1+SwaptionShift):INDEX($FK351:$ID351,SwaptionMonthsToGo+SwaptionShift))*SUM(INDEX($FK$325:$ID$396,FX$169,1+SwaptionShift):INDEX($FK$325:$ID$396,FX$169,SwaptionMonthsToGo+SwaptionShift))))))</f>
        <v/>
      </c>
      <c r="FY196" s="150" t="str">
        <f aca="false">IF(OR(FY$169&lt;SwaptionFirstMonthPosition+1,$FJ196&lt;SwaptionFirstMonthPosition+1,FY$169&gt;SwaptionFirstMonthPosition+SwaptionNumOfMonths+1,$FJ196&gt;SwaptionFirstMonthPosition+SwaptionNumOfMonths+1),"",IF($FJ196=FY$169,1,IF($FJ196&lt;FY$169,INDEX($FK$170:$ID$241,FY$169,$FJ196),SUMPRODUCT(INDEX($FK$325:$ID$396,FY$169,1+SwaptionShift):INDEX($FK$325:$ID$396,FY$169,SwaptionMonthsToGo+SwaptionShift),INDEX($FK$245:$ID$316,$FJ196-FY$169,73-FY$169+SwaptionShift):INDEX($FK$245:$ID$316,$FJ196-FY$169,72-FY$169+SwaptionMonthsToGo+SwaptionShift))/SQRT(SUM(INDEX($FK351:$ID351,1+SwaptionShift):INDEX($FK351:$ID351,SwaptionMonthsToGo+SwaptionShift))*SUM(INDEX($FK$325:$ID$396,FY$169,1+SwaptionShift):INDEX($FK$325:$ID$396,FY$169,SwaptionMonthsToGo+SwaptionShift))))))</f>
        <v/>
      </c>
      <c r="FZ196" s="150" t="str">
        <f aca="false">IF(OR(FZ$169&lt;SwaptionFirstMonthPosition+1,$FJ196&lt;SwaptionFirstMonthPosition+1,FZ$169&gt;SwaptionFirstMonthPosition+SwaptionNumOfMonths+1,$FJ196&gt;SwaptionFirstMonthPosition+SwaptionNumOfMonths+1),"",IF($FJ196=FZ$169,1,IF($FJ196&lt;FZ$169,INDEX($FK$170:$ID$241,FZ$169,$FJ196),SUMPRODUCT(INDEX($FK$325:$ID$396,FZ$169,1+SwaptionShift):INDEX($FK$325:$ID$396,FZ$169,SwaptionMonthsToGo+SwaptionShift),INDEX($FK$245:$ID$316,$FJ196-FZ$169,73-FZ$169+SwaptionShift):INDEX($FK$245:$ID$316,$FJ196-FZ$169,72-FZ$169+SwaptionMonthsToGo+SwaptionShift))/SQRT(SUM(INDEX($FK351:$ID351,1+SwaptionShift):INDEX($FK351:$ID351,SwaptionMonthsToGo+SwaptionShift))*SUM(INDEX($FK$325:$ID$396,FZ$169,1+SwaptionShift):INDEX($FK$325:$ID$396,FZ$169,SwaptionMonthsToGo+SwaptionShift))))))</f>
        <v/>
      </c>
      <c r="GA196" s="150" t="str">
        <f aca="false">IF(OR(GA$169&lt;SwaptionFirstMonthPosition+1,$FJ196&lt;SwaptionFirstMonthPosition+1,GA$169&gt;SwaptionFirstMonthPosition+SwaptionNumOfMonths+1,$FJ196&gt;SwaptionFirstMonthPosition+SwaptionNumOfMonths+1),"",IF($FJ196=GA$169,1,IF($FJ196&lt;GA$169,INDEX($FK$170:$ID$241,GA$169,$FJ196),SUMPRODUCT(INDEX($FK$325:$ID$396,GA$169,1+SwaptionShift):INDEX($FK$325:$ID$396,GA$169,SwaptionMonthsToGo+SwaptionShift),INDEX($FK$245:$ID$316,$FJ196-GA$169,73-GA$169+SwaptionShift):INDEX($FK$245:$ID$316,$FJ196-GA$169,72-GA$169+SwaptionMonthsToGo+SwaptionShift))/SQRT(SUM(INDEX($FK351:$ID351,1+SwaptionShift):INDEX($FK351:$ID351,SwaptionMonthsToGo+SwaptionShift))*SUM(INDEX($FK$325:$ID$396,GA$169,1+SwaptionShift):INDEX($FK$325:$ID$396,GA$169,SwaptionMonthsToGo+SwaptionShift))))))</f>
        <v/>
      </c>
      <c r="GB196" s="150" t="str">
        <f aca="false">IF(OR(GB$169&lt;SwaptionFirstMonthPosition+1,$FJ196&lt;SwaptionFirstMonthPosition+1,GB$169&gt;SwaptionFirstMonthPosition+SwaptionNumOfMonths+1,$FJ196&gt;SwaptionFirstMonthPosition+SwaptionNumOfMonths+1),"",IF($FJ196=GB$169,1,IF($FJ196&lt;GB$169,INDEX($FK$170:$ID$241,GB$169,$FJ196),SUMPRODUCT(INDEX($FK$325:$ID$396,GB$169,1+SwaptionShift):INDEX($FK$325:$ID$396,GB$169,SwaptionMonthsToGo+SwaptionShift),INDEX($FK$245:$ID$316,$FJ196-GB$169,73-GB$169+SwaptionShift):INDEX($FK$245:$ID$316,$FJ196-GB$169,72-GB$169+SwaptionMonthsToGo+SwaptionShift))/SQRT(SUM(INDEX($FK351:$ID351,1+SwaptionShift):INDEX($FK351:$ID351,SwaptionMonthsToGo+SwaptionShift))*SUM(INDEX($FK$325:$ID$396,GB$169,1+SwaptionShift):INDEX($FK$325:$ID$396,GB$169,SwaptionMonthsToGo+SwaptionShift))))))</f>
        <v/>
      </c>
      <c r="GC196" s="150" t="str">
        <f aca="false">IF(OR(GC$169&lt;SwaptionFirstMonthPosition+1,$FJ196&lt;SwaptionFirstMonthPosition+1,GC$169&gt;SwaptionFirstMonthPosition+SwaptionNumOfMonths+1,$FJ196&gt;SwaptionFirstMonthPosition+SwaptionNumOfMonths+1),"",IF($FJ196=GC$169,1,IF($FJ196&lt;GC$169,INDEX($FK$170:$ID$241,GC$169,$FJ196),SUMPRODUCT(INDEX($FK$325:$ID$396,GC$169,1+SwaptionShift):INDEX($FK$325:$ID$396,GC$169,SwaptionMonthsToGo+SwaptionShift),INDEX($FK$245:$ID$316,$FJ196-GC$169,73-GC$169+SwaptionShift):INDEX($FK$245:$ID$316,$FJ196-GC$169,72-GC$169+SwaptionMonthsToGo+SwaptionShift))/SQRT(SUM(INDEX($FK351:$ID351,1+SwaptionShift):INDEX($FK351:$ID351,SwaptionMonthsToGo+SwaptionShift))*SUM(INDEX($FK$325:$ID$396,GC$169,1+SwaptionShift):INDEX($FK$325:$ID$396,GC$169,SwaptionMonthsToGo+SwaptionShift))))))</f>
        <v/>
      </c>
      <c r="GD196" s="150" t="str">
        <f aca="false">IF(OR(GD$169&lt;SwaptionFirstMonthPosition+1,$FJ196&lt;SwaptionFirstMonthPosition+1,GD$169&gt;SwaptionFirstMonthPosition+SwaptionNumOfMonths+1,$FJ196&gt;SwaptionFirstMonthPosition+SwaptionNumOfMonths+1),"",IF($FJ196=GD$169,1,IF($FJ196&lt;GD$169,INDEX($FK$170:$ID$241,GD$169,$FJ196),SUMPRODUCT(INDEX($FK$325:$ID$396,GD$169,1+SwaptionShift):INDEX($FK$325:$ID$396,GD$169,SwaptionMonthsToGo+SwaptionShift),INDEX($FK$245:$ID$316,$FJ196-GD$169,73-GD$169+SwaptionShift):INDEX($FK$245:$ID$316,$FJ196-GD$169,72-GD$169+SwaptionMonthsToGo+SwaptionShift))/SQRT(SUM(INDEX($FK351:$ID351,1+SwaptionShift):INDEX($FK351:$ID351,SwaptionMonthsToGo+SwaptionShift))*SUM(INDEX($FK$325:$ID$396,GD$169,1+SwaptionShift):INDEX($FK$325:$ID$396,GD$169,SwaptionMonthsToGo+SwaptionShift))))))</f>
        <v/>
      </c>
      <c r="GE196" s="150" t="str">
        <f aca="false">IF(OR(GE$169&lt;SwaptionFirstMonthPosition+1,$FJ196&lt;SwaptionFirstMonthPosition+1,GE$169&gt;SwaptionFirstMonthPosition+SwaptionNumOfMonths+1,$FJ196&gt;SwaptionFirstMonthPosition+SwaptionNumOfMonths+1),"",IF($FJ196=GE$169,1,IF($FJ196&lt;GE$169,INDEX($FK$170:$ID$241,GE$169,$FJ196),SUMPRODUCT(INDEX($FK$325:$ID$396,GE$169,1+SwaptionShift):INDEX($FK$325:$ID$396,GE$169,SwaptionMonthsToGo+SwaptionShift),INDEX($FK$245:$ID$316,$FJ196-GE$169,73-GE$169+SwaptionShift):INDEX($FK$245:$ID$316,$FJ196-GE$169,72-GE$169+SwaptionMonthsToGo+SwaptionShift))/SQRT(SUM(INDEX($FK351:$ID351,1+SwaptionShift):INDEX($FK351:$ID351,SwaptionMonthsToGo+SwaptionShift))*SUM(INDEX($FK$325:$ID$396,GE$169,1+SwaptionShift):INDEX($FK$325:$ID$396,GE$169,SwaptionMonthsToGo+SwaptionShift))))))</f>
        <v/>
      </c>
      <c r="GF196" s="150" t="str">
        <f aca="false">IF(OR(GF$169&lt;SwaptionFirstMonthPosition+1,$FJ196&lt;SwaptionFirstMonthPosition+1,GF$169&gt;SwaptionFirstMonthPosition+SwaptionNumOfMonths+1,$FJ196&gt;SwaptionFirstMonthPosition+SwaptionNumOfMonths+1),"",IF($FJ196=GF$169,1,IF($FJ196&lt;GF$169,INDEX($FK$170:$ID$241,GF$169,$FJ196),SUMPRODUCT(INDEX($FK$325:$ID$396,GF$169,1+SwaptionShift):INDEX($FK$325:$ID$396,GF$169,SwaptionMonthsToGo+SwaptionShift),INDEX($FK$245:$ID$316,$FJ196-GF$169,73-GF$169+SwaptionShift):INDEX($FK$245:$ID$316,$FJ196-GF$169,72-GF$169+SwaptionMonthsToGo+SwaptionShift))/SQRT(SUM(INDEX($FK351:$ID351,1+SwaptionShift):INDEX($FK351:$ID351,SwaptionMonthsToGo+SwaptionShift))*SUM(INDEX($FK$325:$ID$396,GF$169,1+SwaptionShift):INDEX($FK$325:$ID$396,GF$169,SwaptionMonthsToGo+SwaptionShift))))))</f>
        <v/>
      </c>
      <c r="GG196" s="150" t="str">
        <f aca="false">IF(OR(GG$169&lt;SwaptionFirstMonthPosition+1,$FJ196&lt;SwaptionFirstMonthPosition+1,GG$169&gt;SwaptionFirstMonthPosition+SwaptionNumOfMonths+1,$FJ196&gt;SwaptionFirstMonthPosition+SwaptionNumOfMonths+1),"",IF($FJ196=GG$169,1,IF($FJ196&lt;GG$169,INDEX($FK$170:$ID$241,GG$169,$FJ196),SUMPRODUCT(INDEX($FK$325:$ID$396,GG$169,1+SwaptionShift):INDEX($FK$325:$ID$396,GG$169,SwaptionMonthsToGo+SwaptionShift),INDEX($FK$245:$ID$316,$FJ196-GG$169,73-GG$169+SwaptionShift):INDEX($FK$245:$ID$316,$FJ196-GG$169,72-GG$169+SwaptionMonthsToGo+SwaptionShift))/SQRT(SUM(INDEX($FK351:$ID351,1+SwaptionShift):INDEX($FK351:$ID351,SwaptionMonthsToGo+SwaptionShift))*SUM(INDEX($FK$325:$ID$396,GG$169,1+SwaptionShift):INDEX($FK$325:$ID$396,GG$169,SwaptionMonthsToGo+SwaptionShift))))))</f>
        <v/>
      </c>
      <c r="GH196" s="150" t="str">
        <f aca="false">IF(OR(GH$169&lt;SwaptionFirstMonthPosition+1,$FJ196&lt;SwaptionFirstMonthPosition+1,GH$169&gt;SwaptionFirstMonthPosition+SwaptionNumOfMonths+1,$FJ196&gt;SwaptionFirstMonthPosition+SwaptionNumOfMonths+1),"",IF($FJ196=GH$169,1,IF($FJ196&lt;GH$169,INDEX($FK$170:$ID$241,GH$169,$FJ196),SUMPRODUCT(INDEX($FK$325:$ID$396,GH$169,1+SwaptionShift):INDEX($FK$325:$ID$396,GH$169,SwaptionMonthsToGo+SwaptionShift),INDEX($FK$245:$ID$316,$FJ196-GH$169,73-GH$169+SwaptionShift):INDEX($FK$245:$ID$316,$FJ196-GH$169,72-GH$169+SwaptionMonthsToGo+SwaptionShift))/SQRT(SUM(INDEX($FK351:$ID351,1+SwaptionShift):INDEX($FK351:$ID351,SwaptionMonthsToGo+SwaptionShift))*SUM(INDEX($FK$325:$ID$396,GH$169,1+SwaptionShift):INDEX($FK$325:$ID$396,GH$169,SwaptionMonthsToGo+SwaptionShift))))))</f>
        <v/>
      </c>
      <c r="GI196" s="150" t="str">
        <f aca="false">IF(OR(GI$169&lt;SwaptionFirstMonthPosition+1,$FJ196&lt;SwaptionFirstMonthPosition+1,GI$169&gt;SwaptionFirstMonthPosition+SwaptionNumOfMonths+1,$FJ196&gt;SwaptionFirstMonthPosition+SwaptionNumOfMonths+1),"",IF($FJ196=GI$169,1,IF($FJ196&lt;GI$169,INDEX($FK$170:$ID$241,GI$169,$FJ196),SUMPRODUCT(INDEX($FK$325:$ID$396,GI$169,1+SwaptionShift):INDEX($FK$325:$ID$396,GI$169,SwaptionMonthsToGo+SwaptionShift),INDEX($FK$245:$ID$316,$FJ196-GI$169,73-GI$169+SwaptionShift):INDEX($FK$245:$ID$316,$FJ196-GI$169,72-GI$169+SwaptionMonthsToGo+SwaptionShift))/SQRT(SUM(INDEX($FK351:$ID351,1+SwaptionShift):INDEX($FK351:$ID351,SwaptionMonthsToGo+SwaptionShift))*SUM(INDEX($FK$325:$ID$396,GI$169,1+SwaptionShift):INDEX($FK$325:$ID$396,GI$169,SwaptionMonthsToGo+SwaptionShift))))))</f>
        <v/>
      </c>
      <c r="GJ196" s="150" t="str">
        <f aca="false">IF(OR(GJ$169&lt;SwaptionFirstMonthPosition+1,$FJ196&lt;SwaptionFirstMonthPosition+1,GJ$169&gt;SwaptionFirstMonthPosition+SwaptionNumOfMonths+1,$FJ196&gt;SwaptionFirstMonthPosition+SwaptionNumOfMonths+1),"",IF($FJ196=GJ$169,1,IF($FJ196&lt;GJ$169,INDEX($FK$170:$ID$241,GJ$169,$FJ196),SUMPRODUCT(INDEX($FK$325:$ID$396,GJ$169,1+SwaptionShift):INDEX($FK$325:$ID$396,GJ$169,SwaptionMonthsToGo+SwaptionShift),INDEX($FK$245:$ID$316,$FJ196-GJ$169,73-GJ$169+SwaptionShift):INDEX($FK$245:$ID$316,$FJ196-GJ$169,72-GJ$169+SwaptionMonthsToGo+SwaptionShift))/SQRT(SUM(INDEX($FK351:$ID351,1+SwaptionShift):INDEX($FK351:$ID351,SwaptionMonthsToGo+SwaptionShift))*SUM(INDEX($FK$325:$ID$396,GJ$169,1+SwaptionShift):INDEX($FK$325:$ID$396,GJ$169,SwaptionMonthsToGo+SwaptionShift))))))</f>
        <v/>
      </c>
      <c r="GK196" s="150" t="str">
        <f aca="false">IF(OR(GK$169&lt;SwaptionFirstMonthPosition+1,$FJ196&lt;SwaptionFirstMonthPosition+1,GK$169&gt;SwaptionFirstMonthPosition+SwaptionNumOfMonths+1,$FJ196&gt;SwaptionFirstMonthPosition+SwaptionNumOfMonths+1),"",IF($FJ196=GK$169,1,IF($FJ196&lt;GK$169,INDEX($FK$170:$ID$241,GK$169,$FJ196),SUMPRODUCT(INDEX($FK$325:$ID$396,GK$169,1+SwaptionShift):INDEX($FK$325:$ID$396,GK$169,SwaptionMonthsToGo+SwaptionShift),INDEX($FK$245:$ID$316,$FJ196-GK$169,73-GK$169+SwaptionShift):INDEX($FK$245:$ID$316,$FJ196-GK$169,72-GK$169+SwaptionMonthsToGo+SwaptionShift))/SQRT(SUM(INDEX($FK351:$ID351,1+SwaptionShift):INDEX($FK351:$ID351,SwaptionMonthsToGo+SwaptionShift))*SUM(INDEX($FK$325:$ID$396,GK$169,1+SwaptionShift):INDEX($FK$325:$ID$396,GK$169,SwaptionMonthsToGo+SwaptionShift))))))</f>
        <v/>
      </c>
      <c r="GL196" s="150" t="str">
        <f aca="false">IF(OR(GL$169&lt;SwaptionFirstMonthPosition+1,$FJ196&lt;SwaptionFirstMonthPosition+1,GL$169&gt;SwaptionFirstMonthPosition+SwaptionNumOfMonths+1,$FJ196&gt;SwaptionFirstMonthPosition+SwaptionNumOfMonths+1),"",IF($FJ196=GL$169,1,IF($FJ196&lt;GL$169,INDEX($FK$170:$ID$241,GL$169,$FJ196),SUMPRODUCT(INDEX($FK$325:$ID$396,GL$169,1+SwaptionShift):INDEX($FK$325:$ID$396,GL$169,SwaptionMonthsToGo+SwaptionShift),INDEX($FK$245:$ID$316,$FJ196-GL$169,73-GL$169+SwaptionShift):INDEX($FK$245:$ID$316,$FJ196-GL$169,72-GL$169+SwaptionMonthsToGo+SwaptionShift))/SQRT(SUM(INDEX($FK351:$ID351,1+SwaptionShift):INDEX($FK351:$ID351,SwaptionMonthsToGo+SwaptionShift))*SUM(INDEX($FK$325:$ID$396,GL$169,1+SwaptionShift):INDEX($FK$325:$ID$396,GL$169,SwaptionMonthsToGo+SwaptionShift))))))</f>
        <v/>
      </c>
      <c r="GM196" s="150" t="str">
        <f aca="false">IF(OR(GM$169&lt;SwaptionFirstMonthPosition+1,$FJ196&lt;SwaptionFirstMonthPosition+1,GM$169&gt;SwaptionFirstMonthPosition+SwaptionNumOfMonths+1,$FJ196&gt;SwaptionFirstMonthPosition+SwaptionNumOfMonths+1),"",IF($FJ196=GM$169,1,IF($FJ196&lt;GM$169,INDEX($FK$170:$ID$241,GM$169,$FJ196),SUMPRODUCT(INDEX($FK$325:$ID$396,GM$169,1+SwaptionShift):INDEX($FK$325:$ID$396,GM$169,SwaptionMonthsToGo+SwaptionShift),INDEX($FK$245:$ID$316,$FJ196-GM$169,73-GM$169+SwaptionShift):INDEX($FK$245:$ID$316,$FJ196-GM$169,72-GM$169+SwaptionMonthsToGo+SwaptionShift))/SQRT(SUM(INDEX($FK351:$ID351,1+SwaptionShift):INDEX($FK351:$ID351,SwaptionMonthsToGo+SwaptionShift))*SUM(INDEX($FK$325:$ID$396,GM$169,1+SwaptionShift):INDEX($FK$325:$ID$396,GM$169,SwaptionMonthsToGo+SwaptionShift))))))</f>
        <v/>
      </c>
      <c r="GN196" s="150" t="str">
        <f aca="false">IF(OR(GN$169&lt;SwaptionFirstMonthPosition+1,$FJ196&lt;SwaptionFirstMonthPosition+1,GN$169&gt;SwaptionFirstMonthPosition+SwaptionNumOfMonths+1,$FJ196&gt;SwaptionFirstMonthPosition+SwaptionNumOfMonths+1),"",IF($FJ196=GN$169,1,IF($FJ196&lt;GN$169,INDEX($FK$170:$ID$241,GN$169,$FJ196),SUMPRODUCT(INDEX($FK$325:$ID$396,GN$169,1+SwaptionShift):INDEX($FK$325:$ID$396,GN$169,SwaptionMonthsToGo+SwaptionShift),INDEX($FK$245:$ID$316,$FJ196-GN$169,73-GN$169+SwaptionShift):INDEX($FK$245:$ID$316,$FJ196-GN$169,72-GN$169+SwaptionMonthsToGo+SwaptionShift))/SQRT(SUM(INDEX($FK351:$ID351,1+SwaptionShift):INDEX($FK351:$ID351,SwaptionMonthsToGo+SwaptionShift))*SUM(INDEX($FK$325:$ID$396,GN$169,1+SwaptionShift):INDEX($FK$325:$ID$396,GN$169,SwaptionMonthsToGo+SwaptionShift))))))</f>
        <v/>
      </c>
      <c r="GO196" s="150" t="str">
        <f aca="false">IF(OR(GO$169&lt;SwaptionFirstMonthPosition+1,$FJ196&lt;SwaptionFirstMonthPosition+1,GO$169&gt;SwaptionFirstMonthPosition+SwaptionNumOfMonths+1,$FJ196&gt;SwaptionFirstMonthPosition+SwaptionNumOfMonths+1),"",IF($FJ196=GO$169,1,IF($FJ196&lt;GO$169,INDEX($FK$170:$ID$241,GO$169,$FJ196),SUMPRODUCT(INDEX($FK$325:$ID$396,GO$169,1+SwaptionShift):INDEX($FK$325:$ID$396,GO$169,SwaptionMonthsToGo+SwaptionShift),INDEX($FK$245:$ID$316,$FJ196-GO$169,73-GO$169+SwaptionShift):INDEX($FK$245:$ID$316,$FJ196-GO$169,72-GO$169+SwaptionMonthsToGo+SwaptionShift))/SQRT(SUM(INDEX($FK351:$ID351,1+SwaptionShift):INDEX($FK351:$ID351,SwaptionMonthsToGo+SwaptionShift))*SUM(INDEX($FK$325:$ID$396,GO$169,1+SwaptionShift):INDEX($FK$325:$ID$396,GO$169,SwaptionMonthsToGo+SwaptionShift))))))</f>
        <v/>
      </c>
      <c r="GP196" s="150" t="str">
        <f aca="false">IF(OR(GP$169&lt;SwaptionFirstMonthPosition+1,$FJ196&lt;SwaptionFirstMonthPosition+1,GP$169&gt;SwaptionFirstMonthPosition+SwaptionNumOfMonths+1,$FJ196&gt;SwaptionFirstMonthPosition+SwaptionNumOfMonths+1),"",IF($FJ196=GP$169,1,IF($FJ196&lt;GP$169,INDEX($FK$170:$ID$241,GP$169,$FJ196),SUMPRODUCT(INDEX($FK$325:$ID$396,GP$169,1+SwaptionShift):INDEX($FK$325:$ID$396,GP$169,SwaptionMonthsToGo+SwaptionShift),INDEX($FK$245:$ID$316,$FJ196-GP$169,73-GP$169+SwaptionShift):INDEX($FK$245:$ID$316,$FJ196-GP$169,72-GP$169+SwaptionMonthsToGo+SwaptionShift))/SQRT(SUM(INDEX($FK351:$ID351,1+SwaptionShift):INDEX($FK351:$ID351,SwaptionMonthsToGo+SwaptionShift))*SUM(INDEX($FK$325:$ID$396,GP$169,1+SwaptionShift):INDEX($FK$325:$ID$396,GP$169,SwaptionMonthsToGo+SwaptionShift))))))</f>
        <v/>
      </c>
      <c r="GQ196" s="150" t="str">
        <f aca="false">IF(OR(GQ$169&lt;SwaptionFirstMonthPosition+1,$FJ196&lt;SwaptionFirstMonthPosition+1,GQ$169&gt;SwaptionFirstMonthPosition+SwaptionNumOfMonths+1,$FJ196&gt;SwaptionFirstMonthPosition+SwaptionNumOfMonths+1),"",IF($FJ196=GQ$169,1,IF($FJ196&lt;GQ$169,INDEX($FK$170:$ID$241,GQ$169,$FJ196),SUMPRODUCT(INDEX($FK$325:$ID$396,GQ$169,1+SwaptionShift):INDEX($FK$325:$ID$396,GQ$169,SwaptionMonthsToGo+SwaptionShift),INDEX($FK$245:$ID$316,$FJ196-GQ$169,73-GQ$169+SwaptionShift):INDEX($FK$245:$ID$316,$FJ196-GQ$169,72-GQ$169+SwaptionMonthsToGo+SwaptionShift))/SQRT(SUM(INDEX($FK351:$ID351,1+SwaptionShift):INDEX($FK351:$ID351,SwaptionMonthsToGo+SwaptionShift))*SUM(INDEX($FK$325:$ID$396,GQ$169,1+SwaptionShift):INDEX($FK$325:$ID$396,GQ$169,SwaptionMonthsToGo+SwaptionShift))))))</f>
        <v/>
      </c>
      <c r="GR196" s="150" t="str">
        <f aca="false">IF(OR(GR$169&lt;SwaptionFirstMonthPosition+1,$FJ196&lt;SwaptionFirstMonthPosition+1,GR$169&gt;SwaptionFirstMonthPosition+SwaptionNumOfMonths+1,$FJ196&gt;SwaptionFirstMonthPosition+SwaptionNumOfMonths+1),"",IF($FJ196=GR$169,1,IF($FJ196&lt;GR$169,INDEX($FK$170:$ID$241,GR$169,$FJ196),SUMPRODUCT(INDEX($FK$325:$ID$396,GR$169,1+SwaptionShift):INDEX($FK$325:$ID$396,GR$169,SwaptionMonthsToGo+SwaptionShift),INDEX($FK$245:$ID$316,$FJ196-GR$169,73-GR$169+SwaptionShift):INDEX($FK$245:$ID$316,$FJ196-GR$169,72-GR$169+SwaptionMonthsToGo+SwaptionShift))/SQRT(SUM(INDEX($FK351:$ID351,1+SwaptionShift):INDEX($FK351:$ID351,SwaptionMonthsToGo+SwaptionShift))*SUM(INDEX($FK$325:$ID$396,GR$169,1+SwaptionShift):INDEX($FK$325:$ID$396,GR$169,SwaptionMonthsToGo+SwaptionShift))))))</f>
        <v/>
      </c>
      <c r="GS196" s="150" t="str">
        <f aca="false">IF(OR(GS$169&lt;SwaptionFirstMonthPosition+1,$FJ196&lt;SwaptionFirstMonthPosition+1,GS$169&gt;SwaptionFirstMonthPosition+SwaptionNumOfMonths+1,$FJ196&gt;SwaptionFirstMonthPosition+SwaptionNumOfMonths+1),"",IF($FJ196=GS$169,1,IF($FJ196&lt;GS$169,INDEX($FK$170:$ID$241,GS$169,$FJ196),SUMPRODUCT(INDEX($FK$325:$ID$396,GS$169,1+SwaptionShift):INDEX($FK$325:$ID$396,GS$169,SwaptionMonthsToGo+SwaptionShift),INDEX($FK$245:$ID$316,$FJ196-GS$169,73-GS$169+SwaptionShift):INDEX($FK$245:$ID$316,$FJ196-GS$169,72-GS$169+SwaptionMonthsToGo+SwaptionShift))/SQRT(SUM(INDEX($FK351:$ID351,1+SwaptionShift):INDEX($FK351:$ID351,SwaptionMonthsToGo+SwaptionShift))*SUM(INDEX($FK$325:$ID$396,GS$169,1+SwaptionShift):INDEX($FK$325:$ID$396,GS$169,SwaptionMonthsToGo+SwaptionShift))))))</f>
        <v/>
      </c>
      <c r="GT196" s="150" t="str">
        <f aca="false">IF(OR(GT$169&lt;SwaptionFirstMonthPosition+1,$FJ196&lt;SwaptionFirstMonthPosition+1,GT$169&gt;SwaptionFirstMonthPosition+SwaptionNumOfMonths+1,$FJ196&gt;SwaptionFirstMonthPosition+SwaptionNumOfMonths+1),"",IF($FJ196=GT$169,1,IF($FJ196&lt;GT$169,INDEX($FK$170:$ID$241,GT$169,$FJ196),SUMPRODUCT(INDEX($FK$325:$ID$396,GT$169,1+SwaptionShift):INDEX($FK$325:$ID$396,GT$169,SwaptionMonthsToGo+SwaptionShift),INDEX($FK$245:$ID$316,$FJ196-GT$169,73-GT$169+SwaptionShift):INDEX($FK$245:$ID$316,$FJ196-GT$169,72-GT$169+SwaptionMonthsToGo+SwaptionShift))/SQRT(SUM(INDEX($FK351:$ID351,1+SwaptionShift):INDEX($FK351:$ID351,SwaptionMonthsToGo+SwaptionShift))*SUM(INDEX($FK$325:$ID$396,GT$169,1+SwaptionShift):INDEX($FK$325:$ID$396,GT$169,SwaptionMonthsToGo+SwaptionShift))))))</f>
        <v/>
      </c>
      <c r="GU196" s="150" t="str">
        <f aca="false">IF(OR(GU$169&lt;SwaptionFirstMonthPosition+1,$FJ196&lt;SwaptionFirstMonthPosition+1,GU$169&gt;SwaptionFirstMonthPosition+SwaptionNumOfMonths+1,$FJ196&gt;SwaptionFirstMonthPosition+SwaptionNumOfMonths+1),"",IF($FJ196=GU$169,1,IF($FJ196&lt;GU$169,INDEX($FK$170:$ID$241,GU$169,$FJ196),SUMPRODUCT(INDEX($FK$325:$ID$396,GU$169,1+SwaptionShift):INDEX($FK$325:$ID$396,GU$169,SwaptionMonthsToGo+SwaptionShift),INDEX($FK$245:$ID$316,$FJ196-GU$169,73-GU$169+SwaptionShift):INDEX($FK$245:$ID$316,$FJ196-GU$169,72-GU$169+SwaptionMonthsToGo+SwaptionShift))/SQRT(SUM(INDEX($FK351:$ID351,1+SwaptionShift):INDEX($FK351:$ID351,SwaptionMonthsToGo+SwaptionShift))*SUM(INDEX($FK$325:$ID$396,GU$169,1+SwaptionShift):INDEX($FK$325:$ID$396,GU$169,SwaptionMonthsToGo+SwaptionShift))))))</f>
        <v/>
      </c>
      <c r="GV196" s="150" t="str">
        <f aca="false">IF(OR(GV$169&lt;SwaptionFirstMonthPosition+1,$FJ196&lt;SwaptionFirstMonthPosition+1,GV$169&gt;SwaptionFirstMonthPosition+SwaptionNumOfMonths+1,$FJ196&gt;SwaptionFirstMonthPosition+SwaptionNumOfMonths+1),"",IF($FJ196=GV$169,1,IF($FJ196&lt;GV$169,INDEX($FK$170:$ID$241,GV$169,$FJ196),SUMPRODUCT(INDEX($FK$325:$ID$396,GV$169,1+SwaptionShift):INDEX($FK$325:$ID$396,GV$169,SwaptionMonthsToGo+SwaptionShift),INDEX($FK$245:$ID$316,$FJ196-GV$169,73-GV$169+SwaptionShift):INDEX($FK$245:$ID$316,$FJ196-GV$169,72-GV$169+SwaptionMonthsToGo+SwaptionShift))/SQRT(SUM(INDEX($FK351:$ID351,1+SwaptionShift):INDEX($FK351:$ID351,SwaptionMonthsToGo+SwaptionShift))*SUM(INDEX($FK$325:$ID$396,GV$169,1+SwaptionShift):INDEX($FK$325:$ID$396,GV$169,SwaptionMonthsToGo+SwaptionShift))))))</f>
        <v/>
      </c>
      <c r="GW196" s="150" t="str">
        <f aca="false">IF(OR(GW$169&lt;SwaptionFirstMonthPosition+1,$FJ196&lt;SwaptionFirstMonthPosition+1,GW$169&gt;SwaptionFirstMonthPosition+SwaptionNumOfMonths+1,$FJ196&gt;SwaptionFirstMonthPosition+SwaptionNumOfMonths+1),"",IF($FJ196=GW$169,1,IF($FJ196&lt;GW$169,INDEX($FK$170:$ID$241,GW$169,$FJ196),SUMPRODUCT(INDEX($FK$325:$ID$396,GW$169,1+SwaptionShift):INDEX($FK$325:$ID$396,GW$169,SwaptionMonthsToGo+SwaptionShift),INDEX($FK$245:$ID$316,$FJ196-GW$169,73-GW$169+SwaptionShift):INDEX($FK$245:$ID$316,$FJ196-GW$169,72-GW$169+SwaptionMonthsToGo+SwaptionShift))/SQRT(SUM(INDEX($FK351:$ID351,1+SwaptionShift):INDEX($FK351:$ID351,SwaptionMonthsToGo+SwaptionShift))*SUM(INDEX($FK$325:$ID$396,GW$169,1+SwaptionShift):INDEX($FK$325:$ID$396,GW$169,SwaptionMonthsToGo+SwaptionShift))))))</f>
        <v/>
      </c>
      <c r="GX196" s="150" t="str">
        <f aca="false">IF(OR(GX$169&lt;SwaptionFirstMonthPosition+1,$FJ196&lt;SwaptionFirstMonthPosition+1,GX$169&gt;SwaptionFirstMonthPosition+SwaptionNumOfMonths+1,$FJ196&gt;SwaptionFirstMonthPosition+SwaptionNumOfMonths+1),"",IF($FJ196=GX$169,1,IF($FJ196&lt;GX$169,INDEX($FK$170:$ID$241,GX$169,$FJ196),SUMPRODUCT(INDEX($FK$325:$ID$396,GX$169,1+SwaptionShift):INDEX($FK$325:$ID$396,GX$169,SwaptionMonthsToGo+SwaptionShift),INDEX($FK$245:$ID$316,$FJ196-GX$169,73-GX$169+SwaptionShift):INDEX($FK$245:$ID$316,$FJ196-GX$169,72-GX$169+SwaptionMonthsToGo+SwaptionShift))/SQRT(SUM(INDEX($FK351:$ID351,1+SwaptionShift):INDEX($FK351:$ID351,SwaptionMonthsToGo+SwaptionShift))*SUM(INDEX($FK$325:$ID$396,GX$169,1+SwaptionShift):INDEX($FK$325:$ID$396,GX$169,SwaptionMonthsToGo+SwaptionShift))))))</f>
        <v/>
      </c>
      <c r="GY196" s="150" t="str">
        <f aca="false">IF(OR(GY$169&lt;SwaptionFirstMonthPosition+1,$FJ196&lt;SwaptionFirstMonthPosition+1,GY$169&gt;SwaptionFirstMonthPosition+SwaptionNumOfMonths+1,$FJ196&gt;SwaptionFirstMonthPosition+SwaptionNumOfMonths+1),"",IF($FJ196=GY$169,1,IF($FJ196&lt;GY$169,INDEX($FK$170:$ID$241,GY$169,$FJ196),SUMPRODUCT(INDEX($FK$325:$ID$396,GY$169,1+SwaptionShift):INDEX($FK$325:$ID$396,GY$169,SwaptionMonthsToGo+SwaptionShift),INDEX($FK$245:$ID$316,$FJ196-GY$169,73-GY$169+SwaptionShift):INDEX($FK$245:$ID$316,$FJ196-GY$169,72-GY$169+SwaptionMonthsToGo+SwaptionShift))/SQRT(SUM(INDEX($FK351:$ID351,1+SwaptionShift):INDEX($FK351:$ID351,SwaptionMonthsToGo+SwaptionShift))*SUM(INDEX($FK$325:$ID$396,GY$169,1+SwaptionShift):INDEX($FK$325:$ID$396,GY$169,SwaptionMonthsToGo+SwaptionShift))))))</f>
        <v/>
      </c>
      <c r="GZ196" s="150" t="str">
        <f aca="false">IF(OR(GZ$169&lt;SwaptionFirstMonthPosition+1,$FJ196&lt;SwaptionFirstMonthPosition+1,GZ$169&gt;SwaptionFirstMonthPosition+SwaptionNumOfMonths+1,$FJ196&gt;SwaptionFirstMonthPosition+SwaptionNumOfMonths+1),"",IF($FJ196=GZ$169,1,IF($FJ196&lt;GZ$169,INDEX($FK$170:$ID$241,GZ$169,$FJ196),SUMPRODUCT(INDEX($FK$325:$ID$396,GZ$169,1+SwaptionShift):INDEX($FK$325:$ID$396,GZ$169,SwaptionMonthsToGo+SwaptionShift),INDEX($FK$245:$ID$316,$FJ196-GZ$169,73-GZ$169+SwaptionShift):INDEX($FK$245:$ID$316,$FJ196-GZ$169,72-GZ$169+SwaptionMonthsToGo+SwaptionShift))/SQRT(SUM(INDEX($FK351:$ID351,1+SwaptionShift):INDEX($FK351:$ID351,SwaptionMonthsToGo+SwaptionShift))*SUM(INDEX($FK$325:$ID$396,GZ$169,1+SwaptionShift):INDEX($FK$325:$ID$396,GZ$169,SwaptionMonthsToGo+SwaptionShift))))))</f>
        <v/>
      </c>
      <c r="HA196" s="150" t="str">
        <f aca="false">IF(OR(HA$169&lt;SwaptionFirstMonthPosition+1,$FJ196&lt;SwaptionFirstMonthPosition+1,HA$169&gt;SwaptionFirstMonthPosition+SwaptionNumOfMonths+1,$FJ196&gt;SwaptionFirstMonthPosition+SwaptionNumOfMonths+1),"",IF($FJ196=HA$169,1,IF($FJ196&lt;HA$169,INDEX($FK$170:$ID$241,HA$169,$FJ196),SUMPRODUCT(INDEX($FK$325:$ID$396,HA$169,1+SwaptionShift):INDEX($FK$325:$ID$396,HA$169,SwaptionMonthsToGo+SwaptionShift),INDEX($FK$245:$ID$316,$FJ196-HA$169,73-HA$169+SwaptionShift):INDEX($FK$245:$ID$316,$FJ196-HA$169,72-HA$169+SwaptionMonthsToGo+SwaptionShift))/SQRT(SUM(INDEX($FK351:$ID351,1+SwaptionShift):INDEX($FK351:$ID351,SwaptionMonthsToGo+SwaptionShift))*SUM(INDEX($FK$325:$ID$396,HA$169,1+SwaptionShift):INDEX($FK$325:$ID$396,HA$169,SwaptionMonthsToGo+SwaptionShift))))))</f>
        <v/>
      </c>
      <c r="HB196" s="150" t="str">
        <f aca="false">IF(OR(HB$169&lt;SwaptionFirstMonthPosition+1,$FJ196&lt;SwaptionFirstMonthPosition+1,HB$169&gt;SwaptionFirstMonthPosition+SwaptionNumOfMonths+1,$FJ196&gt;SwaptionFirstMonthPosition+SwaptionNumOfMonths+1),"",IF($FJ196=HB$169,1,IF($FJ196&lt;HB$169,INDEX($FK$170:$ID$241,HB$169,$FJ196),SUMPRODUCT(INDEX($FK$325:$ID$396,HB$169,1+SwaptionShift):INDEX($FK$325:$ID$396,HB$169,SwaptionMonthsToGo+SwaptionShift),INDEX($FK$245:$ID$316,$FJ196-HB$169,73-HB$169+SwaptionShift):INDEX($FK$245:$ID$316,$FJ196-HB$169,72-HB$169+SwaptionMonthsToGo+SwaptionShift))/SQRT(SUM(INDEX($FK351:$ID351,1+SwaptionShift):INDEX($FK351:$ID351,SwaptionMonthsToGo+SwaptionShift))*SUM(INDEX($FK$325:$ID$396,HB$169,1+SwaptionShift):INDEX($FK$325:$ID$396,HB$169,SwaptionMonthsToGo+SwaptionShift))))))</f>
        <v/>
      </c>
      <c r="HC196" s="150" t="str">
        <f aca="false">IF(OR(HC$169&lt;SwaptionFirstMonthPosition+1,$FJ196&lt;SwaptionFirstMonthPosition+1,HC$169&gt;SwaptionFirstMonthPosition+SwaptionNumOfMonths+1,$FJ196&gt;SwaptionFirstMonthPosition+SwaptionNumOfMonths+1),"",IF($FJ196=HC$169,1,IF($FJ196&lt;HC$169,INDEX($FK$170:$ID$241,HC$169,$FJ196),SUMPRODUCT(INDEX($FK$325:$ID$396,HC$169,1+SwaptionShift):INDEX($FK$325:$ID$396,HC$169,SwaptionMonthsToGo+SwaptionShift),INDEX($FK$245:$ID$316,$FJ196-HC$169,73-HC$169+SwaptionShift):INDEX($FK$245:$ID$316,$FJ196-HC$169,72-HC$169+SwaptionMonthsToGo+SwaptionShift))/SQRT(SUM(INDEX($FK351:$ID351,1+SwaptionShift):INDEX($FK351:$ID351,SwaptionMonthsToGo+SwaptionShift))*SUM(INDEX($FK$325:$ID$396,HC$169,1+SwaptionShift):INDEX($FK$325:$ID$396,HC$169,SwaptionMonthsToGo+SwaptionShift))))))</f>
        <v/>
      </c>
      <c r="HD196" s="150" t="str">
        <f aca="false">IF(OR(HD$169&lt;SwaptionFirstMonthPosition+1,$FJ196&lt;SwaptionFirstMonthPosition+1,HD$169&gt;SwaptionFirstMonthPosition+SwaptionNumOfMonths+1,$FJ196&gt;SwaptionFirstMonthPosition+SwaptionNumOfMonths+1),"",IF($FJ196=HD$169,1,IF($FJ196&lt;HD$169,INDEX($FK$170:$ID$241,HD$169,$FJ196),SUMPRODUCT(INDEX($FK$325:$ID$396,HD$169,1+SwaptionShift):INDEX($FK$325:$ID$396,HD$169,SwaptionMonthsToGo+SwaptionShift),INDEX($FK$245:$ID$316,$FJ196-HD$169,73-HD$169+SwaptionShift):INDEX($FK$245:$ID$316,$FJ196-HD$169,72-HD$169+SwaptionMonthsToGo+SwaptionShift))/SQRT(SUM(INDEX($FK351:$ID351,1+SwaptionShift):INDEX($FK351:$ID351,SwaptionMonthsToGo+SwaptionShift))*SUM(INDEX($FK$325:$ID$396,HD$169,1+SwaptionShift):INDEX($FK$325:$ID$396,HD$169,SwaptionMonthsToGo+SwaptionShift))))))</f>
        <v/>
      </c>
      <c r="HE196" s="150" t="str">
        <f aca="false">IF(OR(HE$169&lt;SwaptionFirstMonthPosition+1,$FJ196&lt;SwaptionFirstMonthPosition+1,HE$169&gt;SwaptionFirstMonthPosition+SwaptionNumOfMonths+1,$FJ196&gt;SwaptionFirstMonthPosition+SwaptionNumOfMonths+1),"",IF($FJ196=HE$169,1,IF($FJ196&lt;HE$169,INDEX($FK$170:$ID$241,HE$169,$FJ196),SUMPRODUCT(INDEX($FK$325:$ID$396,HE$169,1+SwaptionShift):INDEX($FK$325:$ID$396,HE$169,SwaptionMonthsToGo+SwaptionShift),INDEX($FK$245:$ID$316,$FJ196-HE$169,73-HE$169+SwaptionShift):INDEX($FK$245:$ID$316,$FJ196-HE$169,72-HE$169+SwaptionMonthsToGo+SwaptionShift))/SQRT(SUM(INDEX($FK351:$ID351,1+SwaptionShift):INDEX($FK351:$ID351,SwaptionMonthsToGo+SwaptionShift))*SUM(INDEX($FK$325:$ID$396,HE$169,1+SwaptionShift):INDEX($FK$325:$ID$396,HE$169,SwaptionMonthsToGo+SwaptionShift))))))</f>
        <v/>
      </c>
      <c r="HF196" s="150" t="str">
        <f aca="false">IF(OR(HF$169&lt;SwaptionFirstMonthPosition+1,$FJ196&lt;SwaptionFirstMonthPosition+1,HF$169&gt;SwaptionFirstMonthPosition+SwaptionNumOfMonths+1,$FJ196&gt;SwaptionFirstMonthPosition+SwaptionNumOfMonths+1),"",IF($FJ196=HF$169,1,IF($FJ196&lt;HF$169,INDEX($FK$170:$ID$241,HF$169,$FJ196),SUMPRODUCT(INDEX($FK$325:$ID$396,HF$169,1+SwaptionShift):INDEX($FK$325:$ID$396,HF$169,SwaptionMonthsToGo+SwaptionShift),INDEX($FK$245:$ID$316,$FJ196-HF$169,73-HF$169+SwaptionShift):INDEX($FK$245:$ID$316,$FJ196-HF$169,72-HF$169+SwaptionMonthsToGo+SwaptionShift))/SQRT(SUM(INDEX($FK351:$ID351,1+SwaptionShift):INDEX($FK351:$ID351,SwaptionMonthsToGo+SwaptionShift))*SUM(INDEX($FK$325:$ID$396,HF$169,1+SwaptionShift):INDEX($FK$325:$ID$396,HF$169,SwaptionMonthsToGo+SwaptionShift))))))</f>
        <v/>
      </c>
      <c r="HG196" s="150" t="str">
        <f aca="false">IF(OR(HG$169&lt;SwaptionFirstMonthPosition+1,$FJ196&lt;SwaptionFirstMonthPosition+1,HG$169&gt;SwaptionFirstMonthPosition+SwaptionNumOfMonths+1,$FJ196&gt;SwaptionFirstMonthPosition+SwaptionNumOfMonths+1),"",IF($FJ196=HG$169,1,IF($FJ196&lt;HG$169,INDEX($FK$170:$ID$241,HG$169,$FJ196),SUMPRODUCT(INDEX($FK$325:$ID$396,HG$169,1+SwaptionShift):INDEX($FK$325:$ID$396,HG$169,SwaptionMonthsToGo+SwaptionShift),INDEX($FK$245:$ID$316,$FJ196-HG$169,73-HG$169+SwaptionShift):INDEX($FK$245:$ID$316,$FJ196-HG$169,72-HG$169+SwaptionMonthsToGo+SwaptionShift))/SQRT(SUM(INDEX($FK351:$ID351,1+SwaptionShift):INDEX($FK351:$ID351,SwaptionMonthsToGo+SwaptionShift))*SUM(INDEX($FK$325:$ID$396,HG$169,1+SwaptionShift):INDEX($FK$325:$ID$396,HG$169,SwaptionMonthsToGo+SwaptionShift))))))</f>
        <v/>
      </c>
      <c r="HH196" s="150" t="str">
        <f aca="false">IF(OR(HH$169&lt;SwaptionFirstMonthPosition+1,$FJ196&lt;SwaptionFirstMonthPosition+1,HH$169&gt;SwaptionFirstMonthPosition+SwaptionNumOfMonths+1,$FJ196&gt;SwaptionFirstMonthPosition+SwaptionNumOfMonths+1),"",IF($FJ196=HH$169,1,IF($FJ196&lt;HH$169,INDEX($FK$170:$ID$241,HH$169,$FJ196),SUMPRODUCT(INDEX($FK$325:$ID$396,HH$169,1+SwaptionShift):INDEX($FK$325:$ID$396,HH$169,SwaptionMonthsToGo+SwaptionShift),INDEX($FK$245:$ID$316,$FJ196-HH$169,73-HH$169+SwaptionShift):INDEX($FK$245:$ID$316,$FJ196-HH$169,72-HH$169+SwaptionMonthsToGo+SwaptionShift))/SQRT(SUM(INDEX($FK351:$ID351,1+SwaptionShift):INDEX($FK351:$ID351,SwaptionMonthsToGo+SwaptionShift))*SUM(INDEX($FK$325:$ID$396,HH$169,1+SwaptionShift):INDEX($FK$325:$ID$396,HH$169,SwaptionMonthsToGo+SwaptionShift))))))</f>
        <v/>
      </c>
      <c r="HI196" s="150" t="str">
        <f aca="false">IF(OR(HI$169&lt;SwaptionFirstMonthPosition+1,$FJ196&lt;SwaptionFirstMonthPosition+1,HI$169&gt;SwaptionFirstMonthPosition+SwaptionNumOfMonths+1,$FJ196&gt;SwaptionFirstMonthPosition+SwaptionNumOfMonths+1),"",IF($FJ196=HI$169,1,IF($FJ196&lt;HI$169,INDEX($FK$170:$ID$241,HI$169,$FJ196),SUMPRODUCT(INDEX($FK$325:$ID$396,HI$169,1+SwaptionShift):INDEX($FK$325:$ID$396,HI$169,SwaptionMonthsToGo+SwaptionShift),INDEX($FK$245:$ID$316,$FJ196-HI$169,73-HI$169+SwaptionShift):INDEX($FK$245:$ID$316,$FJ196-HI$169,72-HI$169+SwaptionMonthsToGo+SwaptionShift))/SQRT(SUM(INDEX($FK351:$ID351,1+SwaptionShift):INDEX($FK351:$ID351,SwaptionMonthsToGo+SwaptionShift))*SUM(INDEX($FK$325:$ID$396,HI$169,1+SwaptionShift):INDEX($FK$325:$ID$396,HI$169,SwaptionMonthsToGo+SwaptionShift))))))</f>
        <v/>
      </c>
      <c r="HJ196" s="150" t="str">
        <f aca="false">IF(OR(HJ$169&lt;SwaptionFirstMonthPosition+1,$FJ196&lt;SwaptionFirstMonthPosition+1,HJ$169&gt;SwaptionFirstMonthPosition+SwaptionNumOfMonths+1,$FJ196&gt;SwaptionFirstMonthPosition+SwaptionNumOfMonths+1),"",IF($FJ196=HJ$169,1,IF($FJ196&lt;HJ$169,INDEX($FK$170:$ID$241,HJ$169,$FJ196),SUMPRODUCT(INDEX($FK$325:$ID$396,HJ$169,1+SwaptionShift):INDEX($FK$325:$ID$396,HJ$169,SwaptionMonthsToGo+SwaptionShift),INDEX($FK$245:$ID$316,$FJ196-HJ$169,73-HJ$169+SwaptionShift):INDEX($FK$245:$ID$316,$FJ196-HJ$169,72-HJ$169+SwaptionMonthsToGo+SwaptionShift))/SQRT(SUM(INDEX($FK351:$ID351,1+SwaptionShift):INDEX($FK351:$ID351,SwaptionMonthsToGo+SwaptionShift))*SUM(INDEX($FK$325:$ID$396,HJ$169,1+SwaptionShift):INDEX($FK$325:$ID$396,HJ$169,SwaptionMonthsToGo+SwaptionShift))))))</f>
        <v/>
      </c>
      <c r="HK196" s="150" t="str">
        <f aca="false">IF(OR(HK$169&lt;SwaptionFirstMonthPosition+1,$FJ196&lt;SwaptionFirstMonthPosition+1,HK$169&gt;SwaptionFirstMonthPosition+SwaptionNumOfMonths+1,$FJ196&gt;SwaptionFirstMonthPosition+SwaptionNumOfMonths+1),"",IF($FJ196=HK$169,1,IF($FJ196&lt;HK$169,INDEX($FK$170:$ID$241,HK$169,$FJ196),SUMPRODUCT(INDEX($FK$325:$ID$396,HK$169,1+SwaptionShift):INDEX($FK$325:$ID$396,HK$169,SwaptionMonthsToGo+SwaptionShift),INDEX($FK$245:$ID$316,$FJ196-HK$169,73-HK$169+SwaptionShift):INDEX($FK$245:$ID$316,$FJ196-HK$169,72-HK$169+SwaptionMonthsToGo+SwaptionShift))/SQRT(SUM(INDEX($FK351:$ID351,1+SwaptionShift):INDEX($FK351:$ID351,SwaptionMonthsToGo+SwaptionShift))*SUM(INDEX($FK$325:$ID$396,HK$169,1+SwaptionShift):INDEX($FK$325:$ID$396,HK$169,SwaptionMonthsToGo+SwaptionShift))))))</f>
        <v/>
      </c>
      <c r="HL196" s="150" t="str">
        <f aca="false">IF(OR(HL$169&lt;SwaptionFirstMonthPosition+1,$FJ196&lt;SwaptionFirstMonthPosition+1,HL$169&gt;SwaptionFirstMonthPosition+SwaptionNumOfMonths+1,$FJ196&gt;SwaptionFirstMonthPosition+SwaptionNumOfMonths+1),"",IF($FJ196=HL$169,1,IF($FJ196&lt;HL$169,INDEX($FK$170:$ID$241,HL$169,$FJ196),SUMPRODUCT(INDEX($FK$325:$ID$396,HL$169,1+SwaptionShift):INDEX($FK$325:$ID$396,HL$169,SwaptionMonthsToGo+SwaptionShift),INDEX($FK$245:$ID$316,$FJ196-HL$169,73-HL$169+SwaptionShift):INDEX($FK$245:$ID$316,$FJ196-HL$169,72-HL$169+SwaptionMonthsToGo+SwaptionShift))/SQRT(SUM(INDEX($FK351:$ID351,1+SwaptionShift):INDEX($FK351:$ID351,SwaptionMonthsToGo+SwaptionShift))*SUM(INDEX($FK$325:$ID$396,HL$169,1+SwaptionShift):INDEX($FK$325:$ID$396,HL$169,SwaptionMonthsToGo+SwaptionShift))))))</f>
        <v/>
      </c>
      <c r="HM196" s="150" t="str">
        <f aca="false">IF(OR(HM$169&lt;SwaptionFirstMonthPosition+1,$FJ196&lt;SwaptionFirstMonthPosition+1,HM$169&gt;SwaptionFirstMonthPosition+SwaptionNumOfMonths+1,$FJ196&gt;SwaptionFirstMonthPosition+SwaptionNumOfMonths+1),"",IF($FJ196=HM$169,1,IF($FJ196&lt;HM$169,INDEX($FK$170:$ID$241,HM$169,$FJ196),SUMPRODUCT(INDEX($FK$325:$ID$396,HM$169,1+SwaptionShift):INDEX($FK$325:$ID$396,HM$169,SwaptionMonthsToGo+SwaptionShift),INDEX($FK$245:$ID$316,$FJ196-HM$169,73-HM$169+SwaptionShift):INDEX($FK$245:$ID$316,$FJ196-HM$169,72-HM$169+SwaptionMonthsToGo+SwaptionShift))/SQRT(SUM(INDEX($FK351:$ID351,1+SwaptionShift):INDEX($FK351:$ID351,SwaptionMonthsToGo+SwaptionShift))*SUM(INDEX($FK$325:$ID$396,HM$169,1+SwaptionShift):INDEX($FK$325:$ID$396,HM$169,SwaptionMonthsToGo+SwaptionShift))))))</f>
        <v/>
      </c>
      <c r="HN196" s="150" t="str">
        <f aca="false">IF(OR(HN$169&lt;SwaptionFirstMonthPosition+1,$FJ196&lt;SwaptionFirstMonthPosition+1,HN$169&gt;SwaptionFirstMonthPosition+SwaptionNumOfMonths+1,$FJ196&gt;SwaptionFirstMonthPosition+SwaptionNumOfMonths+1),"",IF($FJ196=HN$169,1,IF($FJ196&lt;HN$169,INDEX($FK$170:$ID$241,HN$169,$FJ196),SUMPRODUCT(INDEX($FK$325:$ID$396,HN$169,1+SwaptionShift):INDEX($FK$325:$ID$396,HN$169,SwaptionMonthsToGo+SwaptionShift),INDEX($FK$245:$ID$316,$FJ196-HN$169,73-HN$169+SwaptionShift):INDEX($FK$245:$ID$316,$FJ196-HN$169,72-HN$169+SwaptionMonthsToGo+SwaptionShift))/SQRT(SUM(INDEX($FK351:$ID351,1+SwaptionShift):INDEX($FK351:$ID351,SwaptionMonthsToGo+SwaptionShift))*SUM(INDEX($FK$325:$ID$396,HN$169,1+SwaptionShift):INDEX($FK$325:$ID$396,HN$169,SwaptionMonthsToGo+SwaptionShift))))))</f>
        <v/>
      </c>
      <c r="HO196" s="150" t="str">
        <f aca="false">IF(OR(HO$169&lt;SwaptionFirstMonthPosition+1,$FJ196&lt;SwaptionFirstMonthPosition+1,HO$169&gt;SwaptionFirstMonthPosition+SwaptionNumOfMonths+1,$FJ196&gt;SwaptionFirstMonthPosition+SwaptionNumOfMonths+1),"",IF($FJ196=HO$169,1,IF($FJ196&lt;HO$169,INDEX($FK$170:$ID$241,HO$169,$FJ196),SUMPRODUCT(INDEX($FK$325:$ID$396,HO$169,1+SwaptionShift):INDEX($FK$325:$ID$396,HO$169,SwaptionMonthsToGo+SwaptionShift),INDEX($FK$245:$ID$316,$FJ196-HO$169,73-HO$169+SwaptionShift):INDEX($FK$245:$ID$316,$FJ196-HO$169,72-HO$169+SwaptionMonthsToGo+SwaptionShift))/SQRT(SUM(INDEX($FK351:$ID351,1+SwaptionShift):INDEX($FK351:$ID351,SwaptionMonthsToGo+SwaptionShift))*SUM(INDEX($FK$325:$ID$396,HO$169,1+SwaptionShift):INDEX($FK$325:$ID$396,HO$169,SwaptionMonthsToGo+SwaptionShift))))))</f>
        <v/>
      </c>
      <c r="HP196" s="150" t="str">
        <f aca="false">IF(OR(HP$169&lt;SwaptionFirstMonthPosition+1,$FJ196&lt;SwaptionFirstMonthPosition+1,HP$169&gt;SwaptionFirstMonthPosition+SwaptionNumOfMonths+1,$FJ196&gt;SwaptionFirstMonthPosition+SwaptionNumOfMonths+1),"",IF($FJ196=HP$169,1,IF($FJ196&lt;HP$169,INDEX($FK$170:$ID$241,HP$169,$FJ196),SUMPRODUCT(INDEX($FK$325:$ID$396,HP$169,1+SwaptionShift):INDEX($FK$325:$ID$396,HP$169,SwaptionMonthsToGo+SwaptionShift),INDEX($FK$245:$ID$316,$FJ196-HP$169,73-HP$169+SwaptionShift):INDEX($FK$245:$ID$316,$FJ196-HP$169,72-HP$169+SwaptionMonthsToGo+SwaptionShift))/SQRT(SUM(INDEX($FK351:$ID351,1+SwaptionShift):INDEX($FK351:$ID351,SwaptionMonthsToGo+SwaptionShift))*SUM(INDEX($FK$325:$ID$396,HP$169,1+SwaptionShift):INDEX($FK$325:$ID$396,HP$169,SwaptionMonthsToGo+SwaptionShift))))))</f>
        <v/>
      </c>
      <c r="HQ196" s="150" t="str">
        <f aca="false">IF(OR(HQ$169&lt;SwaptionFirstMonthPosition+1,$FJ196&lt;SwaptionFirstMonthPosition+1,HQ$169&gt;SwaptionFirstMonthPosition+SwaptionNumOfMonths+1,$FJ196&gt;SwaptionFirstMonthPosition+SwaptionNumOfMonths+1),"",IF($FJ196=HQ$169,1,IF($FJ196&lt;HQ$169,INDEX($FK$170:$ID$241,HQ$169,$FJ196),SUMPRODUCT(INDEX($FK$325:$ID$396,HQ$169,1+SwaptionShift):INDEX($FK$325:$ID$396,HQ$169,SwaptionMonthsToGo+SwaptionShift),INDEX($FK$245:$ID$316,$FJ196-HQ$169,73-HQ$169+SwaptionShift):INDEX($FK$245:$ID$316,$FJ196-HQ$169,72-HQ$169+SwaptionMonthsToGo+SwaptionShift))/SQRT(SUM(INDEX($FK351:$ID351,1+SwaptionShift):INDEX($FK351:$ID351,SwaptionMonthsToGo+SwaptionShift))*SUM(INDEX($FK$325:$ID$396,HQ$169,1+SwaptionShift):INDEX($FK$325:$ID$396,HQ$169,SwaptionMonthsToGo+SwaptionShift))))))</f>
        <v/>
      </c>
      <c r="HR196" s="150" t="str">
        <f aca="false">IF(OR(HR$169&lt;SwaptionFirstMonthPosition+1,$FJ196&lt;SwaptionFirstMonthPosition+1,HR$169&gt;SwaptionFirstMonthPosition+SwaptionNumOfMonths+1,$FJ196&gt;SwaptionFirstMonthPosition+SwaptionNumOfMonths+1),"",IF($FJ196=HR$169,1,IF($FJ196&lt;HR$169,INDEX($FK$170:$ID$241,HR$169,$FJ196),SUMPRODUCT(INDEX($FK$325:$ID$396,HR$169,1+SwaptionShift):INDEX($FK$325:$ID$396,HR$169,SwaptionMonthsToGo+SwaptionShift),INDEX($FK$245:$ID$316,$FJ196-HR$169,73-HR$169+SwaptionShift):INDEX($FK$245:$ID$316,$FJ196-HR$169,72-HR$169+SwaptionMonthsToGo+SwaptionShift))/SQRT(SUM(INDEX($FK351:$ID351,1+SwaptionShift):INDEX($FK351:$ID351,SwaptionMonthsToGo+SwaptionShift))*SUM(INDEX($FK$325:$ID$396,HR$169,1+SwaptionShift):INDEX($FK$325:$ID$396,HR$169,SwaptionMonthsToGo+SwaptionShift))))))</f>
        <v/>
      </c>
      <c r="HS196" s="150" t="str">
        <f aca="false">IF(OR(HS$169&lt;SwaptionFirstMonthPosition+1,$FJ196&lt;SwaptionFirstMonthPosition+1,HS$169&gt;SwaptionFirstMonthPosition+SwaptionNumOfMonths+1,$FJ196&gt;SwaptionFirstMonthPosition+SwaptionNumOfMonths+1),"",IF($FJ196=HS$169,1,IF($FJ196&lt;HS$169,INDEX($FK$170:$ID$241,HS$169,$FJ196),SUMPRODUCT(INDEX($FK$325:$ID$396,HS$169,1+SwaptionShift):INDEX($FK$325:$ID$396,HS$169,SwaptionMonthsToGo+SwaptionShift),INDEX($FK$245:$ID$316,$FJ196-HS$169,73-HS$169+SwaptionShift):INDEX($FK$245:$ID$316,$FJ196-HS$169,72-HS$169+SwaptionMonthsToGo+SwaptionShift))/SQRT(SUM(INDEX($FK351:$ID351,1+SwaptionShift):INDEX($FK351:$ID351,SwaptionMonthsToGo+SwaptionShift))*SUM(INDEX($FK$325:$ID$396,HS$169,1+SwaptionShift):INDEX($FK$325:$ID$396,HS$169,SwaptionMonthsToGo+SwaptionShift))))))</f>
        <v/>
      </c>
      <c r="HT196" s="150" t="str">
        <f aca="false">IF(OR(HT$169&lt;SwaptionFirstMonthPosition+1,$FJ196&lt;SwaptionFirstMonthPosition+1,HT$169&gt;SwaptionFirstMonthPosition+SwaptionNumOfMonths+1,$FJ196&gt;SwaptionFirstMonthPosition+SwaptionNumOfMonths+1),"",IF($FJ196=HT$169,1,IF($FJ196&lt;HT$169,INDEX($FK$170:$ID$241,HT$169,$FJ196),SUMPRODUCT(INDEX($FK$325:$ID$396,HT$169,1+SwaptionShift):INDEX($FK$325:$ID$396,HT$169,SwaptionMonthsToGo+SwaptionShift),INDEX($FK$245:$ID$316,$FJ196-HT$169,73-HT$169+SwaptionShift):INDEX($FK$245:$ID$316,$FJ196-HT$169,72-HT$169+SwaptionMonthsToGo+SwaptionShift))/SQRT(SUM(INDEX($FK351:$ID351,1+SwaptionShift):INDEX($FK351:$ID351,SwaptionMonthsToGo+SwaptionShift))*SUM(INDEX($FK$325:$ID$396,HT$169,1+SwaptionShift):INDEX($FK$325:$ID$396,HT$169,SwaptionMonthsToGo+SwaptionShift))))))</f>
        <v/>
      </c>
      <c r="HU196" s="150" t="str">
        <f aca="false">IF(OR(HU$169&lt;SwaptionFirstMonthPosition+1,$FJ196&lt;SwaptionFirstMonthPosition+1,HU$169&gt;SwaptionFirstMonthPosition+SwaptionNumOfMonths+1,$FJ196&gt;SwaptionFirstMonthPosition+SwaptionNumOfMonths+1),"",IF($FJ196=HU$169,1,IF($FJ196&lt;HU$169,INDEX($FK$170:$ID$241,HU$169,$FJ196),SUMPRODUCT(INDEX($FK$325:$ID$396,HU$169,1+SwaptionShift):INDEX($FK$325:$ID$396,HU$169,SwaptionMonthsToGo+SwaptionShift),INDEX($FK$245:$ID$316,$FJ196-HU$169,73-HU$169+SwaptionShift):INDEX($FK$245:$ID$316,$FJ196-HU$169,72-HU$169+SwaptionMonthsToGo+SwaptionShift))/SQRT(SUM(INDEX($FK351:$ID351,1+SwaptionShift):INDEX($FK351:$ID351,SwaptionMonthsToGo+SwaptionShift))*SUM(INDEX($FK$325:$ID$396,HU$169,1+SwaptionShift):INDEX($FK$325:$ID$396,HU$169,SwaptionMonthsToGo+SwaptionShift))))))</f>
        <v/>
      </c>
      <c r="HV196" s="150" t="str">
        <f aca="false">IF(OR(HV$169&lt;SwaptionFirstMonthPosition+1,$FJ196&lt;SwaptionFirstMonthPosition+1,HV$169&gt;SwaptionFirstMonthPosition+SwaptionNumOfMonths+1,$FJ196&gt;SwaptionFirstMonthPosition+SwaptionNumOfMonths+1),"",IF($FJ196=HV$169,1,IF($FJ196&lt;HV$169,INDEX($FK$170:$ID$241,HV$169,$FJ196),SUMPRODUCT(INDEX($FK$325:$ID$396,HV$169,1+SwaptionShift):INDEX($FK$325:$ID$396,HV$169,SwaptionMonthsToGo+SwaptionShift),INDEX($FK$245:$ID$316,$FJ196-HV$169,73-HV$169+SwaptionShift):INDEX($FK$245:$ID$316,$FJ196-HV$169,72-HV$169+SwaptionMonthsToGo+SwaptionShift))/SQRT(SUM(INDEX($FK351:$ID351,1+SwaptionShift):INDEX($FK351:$ID351,SwaptionMonthsToGo+SwaptionShift))*SUM(INDEX($FK$325:$ID$396,HV$169,1+SwaptionShift):INDEX($FK$325:$ID$396,HV$169,SwaptionMonthsToGo+SwaptionShift))))))</f>
        <v/>
      </c>
      <c r="HW196" s="150" t="str">
        <f aca="false">IF(OR(HW$169&lt;SwaptionFirstMonthPosition+1,$FJ196&lt;SwaptionFirstMonthPosition+1,HW$169&gt;SwaptionFirstMonthPosition+SwaptionNumOfMonths+1,$FJ196&gt;SwaptionFirstMonthPosition+SwaptionNumOfMonths+1),"",IF($FJ196=HW$169,1,IF($FJ196&lt;HW$169,INDEX($FK$170:$ID$241,HW$169,$FJ196),SUMPRODUCT(INDEX($FK$325:$ID$396,HW$169,1+SwaptionShift):INDEX($FK$325:$ID$396,HW$169,SwaptionMonthsToGo+SwaptionShift),INDEX($FK$245:$ID$316,$FJ196-HW$169,73-HW$169+SwaptionShift):INDEX($FK$245:$ID$316,$FJ196-HW$169,72-HW$169+SwaptionMonthsToGo+SwaptionShift))/SQRT(SUM(INDEX($FK351:$ID351,1+SwaptionShift):INDEX($FK351:$ID351,SwaptionMonthsToGo+SwaptionShift))*SUM(INDEX($FK$325:$ID$396,HW$169,1+SwaptionShift):INDEX($FK$325:$ID$396,HW$169,SwaptionMonthsToGo+SwaptionShift))))))</f>
        <v/>
      </c>
      <c r="HX196" s="150" t="str">
        <f aca="false">IF(OR(HX$169&lt;SwaptionFirstMonthPosition+1,$FJ196&lt;SwaptionFirstMonthPosition+1,HX$169&gt;SwaptionFirstMonthPosition+SwaptionNumOfMonths+1,$FJ196&gt;SwaptionFirstMonthPosition+SwaptionNumOfMonths+1),"",IF($FJ196=HX$169,1,IF($FJ196&lt;HX$169,INDEX($FK$170:$ID$241,HX$169,$FJ196),SUMPRODUCT(INDEX($FK$325:$ID$396,HX$169,1+SwaptionShift):INDEX($FK$325:$ID$396,HX$169,SwaptionMonthsToGo+SwaptionShift),INDEX($FK$245:$ID$316,$FJ196-HX$169,73-HX$169+SwaptionShift):INDEX($FK$245:$ID$316,$FJ196-HX$169,72-HX$169+SwaptionMonthsToGo+SwaptionShift))/SQRT(SUM(INDEX($FK351:$ID351,1+SwaptionShift):INDEX($FK351:$ID351,SwaptionMonthsToGo+SwaptionShift))*SUM(INDEX($FK$325:$ID$396,HX$169,1+SwaptionShift):INDEX($FK$325:$ID$396,HX$169,SwaptionMonthsToGo+SwaptionShift))))))</f>
        <v/>
      </c>
      <c r="HY196" s="150" t="str">
        <f aca="false">IF(OR(HY$169&lt;SwaptionFirstMonthPosition+1,$FJ196&lt;SwaptionFirstMonthPosition+1,HY$169&gt;SwaptionFirstMonthPosition+SwaptionNumOfMonths+1,$FJ196&gt;SwaptionFirstMonthPosition+SwaptionNumOfMonths+1),"",IF($FJ196=HY$169,1,IF($FJ196&lt;HY$169,INDEX($FK$170:$ID$241,HY$169,$FJ196),SUMPRODUCT(INDEX($FK$325:$ID$396,HY$169,1+SwaptionShift):INDEX($FK$325:$ID$396,HY$169,SwaptionMonthsToGo+SwaptionShift),INDEX($FK$245:$ID$316,$FJ196-HY$169,73-HY$169+SwaptionShift):INDEX($FK$245:$ID$316,$FJ196-HY$169,72-HY$169+SwaptionMonthsToGo+SwaptionShift))/SQRT(SUM(INDEX($FK351:$ID351,1+SwaptionShift):INDEX($FK351:$ID351,SwaptionMonthsToGo+SwaptionShift))*SUM(INDEX($FK$325:$ID$396,HY$169,1+SwaptionShift):INDEX($FK$325:$ID$396,HY$169,SwaptionMonthsToGo+SwaptionShift))))))</f>
        <v/>
      </c>
      <c r="HZ196" s="150" t="str">
        <f aca="false">IF(OR(HZ$169&lt;SwaptionFirstMonthPosition+1,$FJ196&lt;SwaptionFirstMonthPosition+1,HZ$169&gt;SwaptionFirstMonthPosition+SwaptionNumOfMonths+1,$FJ196&gt;SwaptionFirstMonthPosition+SwaptionNumOfMonths+1),"",IF($FJ196=HZ$169,1,IF($FJ196&lt;HZ$169,INDEX($FK$170:$ID$241,HZ$169,$FJ196),SUMPRODUCT(INDEX($FK$325:$ID$396,HZ$169,1+SwaptionShift):INDEX($FK$325:$ID$396,HZ$169,SwaptionMonthsToGo+SwaptionShift),INDEX($FK$245:$ID$316,$FJ196-HZ$169,73-HZ$169+SwaptionShift):INDEX($FK$245:$ID$316,$FJ196-HZ$169,72-HZ$169+SwaptionMonthsToGo+SwaptionShift))/SQRT(SUM(INDEX($FK351:$ID351,1+SwaptionShift):INDEX($FK351:$ID351,SwaptionMonthsToGo+SwaptionShift))*SUM(INDEX($FK$325:$ID$396,HZ$169,1+SwaptionShift):INDEX($FK$325:$ID$396,HZ$169,SwaptionMonthsToGo+SwaptionShift))))))</f>
        <v/>
      </c>
      <c r="IA196" s="150" t="str">
        <f aca="false">IF(OR(IA$169&lt;SwaptionFirstMonthPosition+1,$FJ196&lt;SwaptionFirstMonthPosition+1,IA$169&gt;SwaptionFirstMonthPosition+SwaptionNumOfMonths+1,$FJ196&gt;SwaptionFirstMonthPosition+SwaptionNumOfMonths+1),"",IF($FJ196=IA$169,1,IF($FJ196&lt;IA$169,INDEX($FK$170:$ID$241,IA$169,$FJ196),SUMPRODUCT(INDEX($FK$325:$ID$396,IA$169,1+SwaptionShift):INDEX($FK$325:$ID$396,IA$169,SwaptionMonthsToGo+SwaptionShift),INDEX($FK$245:$ID$316,$FJ196-IA$169,73-IA$169+SwaptionShift):INDEX($FK$245:$ID$316,$FJ196-IA$169,72-IA$169+SwaptionMonthsToGo+SwaptionShift))/SQRT(SUM(INDEX($FK351:$ID351,1+SwaptionShift):INDEX($FK351:$ID351,SwaptionMonthsToGo+SwaptionShift))*SUM(INDEX($FK$325:$ID$396,IA$169,1+SwaptionShift):INDEX($FK$325:$ID$396,IA$169,SwaptionMonthsToGo+SwaptionShift))))))</f>
        <v/>
      </c>
      <c r="IB196" s="150" t="str">
        <f aca="false">IF(OR(IB$169&lt;SwaptionFirstMonthPosition+1,$FJ196&lt;SwaptionFirstMonthPosition+1,IB$169&gt;SwaptionFirstMonthPosition+SwaptionNumOfMonths+1,$FJ196&gt;SwaptionFirstMonthPosition+SwaptionNumOfMonths+1),"",IF($FJ196=IB$169,1,IF($FJ196&lt;IB$169,INDEX($FK$170:$ID$241,IB$169,$FJ196),SUMPRODUCT(INDEX($FK$325:$ID$396,IB$169,1+SwaptionShift):INDEX($FK$325:$ID$396,IB$169,SwaptionMonthsToGo+SwaptionShift),INDEX($FK$245:$ID$316,$FJ196-IB$169,73-IB$169+SwaptionShift):INDEX($FK$245:$ID$316,$FJ196-IB$169,72-IB$169+SwaptionMonthsToGo+SwaptionShift))/SQRT(SUM(INDEX($FK351:$ID351,1+SwaptionShift):INDEX($FK351:$ID351,SwaptionMonthsToGo+SwaptionShift))*SUM(INDEX($FK$325:$ID$396,IB$169,1+SwaptionShift):INDEX($FK$325:$ID$396,IB$169,SwaptionMonthsToGo+SwaptionShift))))))</f>
        <v/>
      </c>
      <c r="IC196" s="150" t="str">
        <f aca="false">IF(OR(IC$169&lt;SwaptionFirstMonthPosition+1,$FJ196&lt;SwaptionFirstMonthPosition+1,IC$169&gt;SwaptionFirstMonthPosition+SwaptionNumOfMonths+1,$FJ196&gt;SwaptionFirstMonthPosition+SwaptionNumOfMonths+1),"",IF($FJ196=IC$169,1,IF($FJ196&lt;IC$169,INDEX($FK$170:$ID$241,IC$169,$FJ196),SUMPRODUCT(INDEX($FK$325:$ID$396,IC$169,1+SwaptionShift):INDEX($FK$325:$ID$396,IC$169,SwaptionMonthsToGo+SwaptionShift),INDEX($FK$245:$ID$316,$FJ196-IC$169,73-IC$169+SwaptionShift):INDEX($FK$245:$ID$316,$FJ196-IC$169,72-IC$169+SwaptionMonthsToGo+SwaptionShift))/SQRT(SUM(INDEX($FK351:$ID351,1+SwaptionShift):INDEX($FK351:$ID351,SwaptionMonthsToGo+SwaptionShift))*SUM(INDEX($FK$325:$ID$396,IC$169,1+SwaptionShift):INDEX($FK$325:$ID$396,IC$169,SwaptionMonthsToGo+SwaptionShift))))))</f>
        <v/>
      </c>
      <c r="ID196" s="572" t="str">
        <f aca="false">IF(OR(ID$169&lt;SwaptionFirstMonthPosition+1,$FJ196&lt;SwaptionFirstMonthPosition+1,ID$169&gt;SwaptionFirstMonthPosition+SwaptionNumOfMonths+1,$FJ196&gt;SwaptionFirstMonthPosition+SwaptionNumOfMonths+1),"",IF($FJ196=ID$169,1,IF($FJ196&lt;ID$169,INDEX($FK$170:$ID$241,ID$169,$FJ196),SUMPRODUCT(INDEX($FK$325:$ID$396,ID$169,1+SwaptionShift):INDEX($FK$325:$ID$396,ID$169,SwaptionMonthsToGo+SwaptionShift),INDEX($FK$245:$ID$316,$FJ196-ID$169,73-ID$169+SwaptionShift):INDEX($FK$245:$ID$316,$FJ196-ID$169,72-ID$169+SwaptionMonthsToGo+SwaptionShift))/SQRT(SUM(INDEX($FK351:$ID351,1+SwaptionShift):INDEX($FK351:$ID351,SwaptionMonthsToGo+SwaptionShift))*SUM(INDEX($FK$325:$ID$396,ID$169,1+SwaptionShift):INDEX($FK$325:$ID$396,ID$169,SwaptionMonthsToGo+SwaptionShift))))))</f>
        <v/>
      </c>
      <c r="IE196" s="129"/>
    </row>
    <row r="197" customFormat="false" ht="12.75" hidden="false" customHeight="false" outlineLevel="0" collapsed="false">
      <c r="H197" s="219" t="n">
        <f aca="false">VLOOKUP(I197,$EJ$20:$EL$54,3)</f>
        <v>0</v>
      </c>
      <c r="I197" s="511" t="n">
        <f aca="false">EOMONTH(I196,0)+1</f>
        <v>42156</v>
      </c>
      <c r="J197" s="512"/>
      <c r="K197" s="513" t="s">
        <v>280</v>
      </c>
      <c r="L197" s="514" t="n">
        <f aca="false">IF(ISNUMBER(K197),J197+K197/100,IF(K197="extra",L196+VLOOKUP(BF197,PriceSpreadTable,2)/12,IF(K197="inter",interpolateprices($K$19:$L$200,ROW(K197)-ROW(FirstPricingMonth)+1),interpolatechanges($J$19:$K$200,ROW(K197)-ROW(FirstPricingMonth)+1))))</f>
        <v>3.78750000000001</v>
      </c>
      <c r="M197" s="515"/>
      <c r="N197" s="516" t="n">
        <v>0</v>
      </c>
      <c r="O197" s="515" t="n">
        <f aca="false">M197+N197</f>
        <v>0</v>
      </c>
      <c r="P197" s="512"/>
      <c r="Q197" s="513" t="s">
        <v>280</v>
      </c>
      <c r="R197" s="512" t="e">
        <f aca="false">IF(ISNUMBER(Q197),P197+Q197/100,IF(Q197="extra",(Z195*AL195-R196*AM195)/AN195,IF(Q197="inter",interpolateprices($Q$19:$R$260,ROW(Q197)-ROW(FirstPricingMonth)+1),interpolatechanges($P$19:$Q$260,ROW(Q197)-ROW(FirstPricingMonth)+1))))</f>
        <v>#VALUE!</v>
      </c>
      <c r="S197" s="597" t="n">
        <f aca="false">S$19+(S196-S$19)*S$18</f>
        <v>0.36</v>
      </c>
      <c r="T197" s="575" t="n">
        <f aca="false">SQRT((1-(1-T196^2/U196)*T$18)*U197)</f>
        <v>0.999999999999898</v>
      </c>
      <c r="U197" s="576" t="n">
        <f aca="false">1-(1-U196)*U$18</f>
        <v>1</v>
      </c>
      <c r="V197" s="521" t="n">
        <v>0</v>
      </c>
      <c r="W197" s="577" t="n">
        <f aca="false">(J198*AJ197+J199*AK197)/AI197</f>
        <v>0</v>
      </c>
      <c r="X197" s="578" t="n">
        <f aca="false">(L198*AJ197+L199*AK197)/AI197</f>
        <v>3.83693181818182</v>
      </c>
      <c r="Y197" s="579" t="n">
        <f aca="false">IF(Q199="extra",W197-AA197,(P198*AM197+P199*AN197)/AL197)</f>
        <v>-1.2915</v>
      </c>
      <c r="Z197" s="579" t="n">
        <f aca="false">IF(Q199="extra",X197-AB197,(R198*AM197+R199*AN197)/AL197)</f>
        <v>2.54543181818182</v>
      </c>
      <c r="AA197" s="523" t="n">
        <f aca="false">IF(Q199="extra",INDEX(BrentSeasonalityTable,INT((BG197-1)/3)+1)*VLOOKUP(MAX(BF197,$AB$4),PriceSpreadTable,3),W197-Y197)</f>
        <v>1.2915</v>
      </c>
      <c r="AB197" s="524" t="n">
        <f aca="false">IF(Q199="extra",INDEX(BrentSeasonalityTable,INT((BG197-1)/3)+1)*VLOOKUP(MAX(BF197,$AB$4),PriceSpreadTable,3),X197-Z197)</f>
        <v>1.2915</v>
      </c>
      <c r="AC197" s="646" t="n">
        <v>42144</v>
      </c>
      <c r="AD197" s="646" t="n">
        <v>42140</v>
      </c>
      <c r="AE197" s="646" t="n">
        <v>42139</v>
      </c>
      <c r="AF197" s="646" t="n">
        <v>42135</v>
      </c>
      <c r="AG197" s="438" t="s">
        <v>278</v>
      </c>
      <c r="AH197" s="439" t="s">
        <v>278</v>
      </c>
      <c r="AI197" s="528" t="n">
        <v>22</v>
      </c>
      <c r="AJ197" s="529" t="n">
        <v>15</v>
      </c>
      <c r="AK197" s="529" t="n">
        <v>7</v>
      </c>
      <c r="AL197" s="530" t="n">
        <v>22</v>
      </c>
      <c r="AM197" s="529" t="n">
        <v>10</v>
      </c>
      <c r="AN197" s="531" t="n">
        <v>12</v>
      </c>
      <c r="AO197" s="532"/>
      <c r="AP197" s="465" t="n">
        <f aca="false">(1+AO197/2)^(-2*BL197)</f>
        <v>1</v>
      </c>
      <c r="AQ197" s="532"/>
      <c r="AR197" s="465" t="n">
        <f aca="false">(1+AQ197/2)^(-2*BH197/365.25)</f>
        <v>1</v>
      </c>
      <c r="AS197" s="580" t="n">
        <f aca="false">(O198*AJ197+O199*AK197)/AI197</f>
        <v>0</v>
      </c>
      <c r="AT197" s="468" t="n">
        <f aca="false">O197*VLOOKUP(BF197,BrentVolTable,2)+VLOOKUP(BF197,BrentVolTable,3)</f>
        <v>0</v>
      </c>
      <c r="AU197" s="468" t="n">
        <f aca="false">(AT198*AM197+AT199*AN197)/AL197</f>
        <v>0</v>
      </c>
      <c r="AV197" s="595" t="n">
        <f aca="false">SQRT(MAX(0.000000000001,(O197^2*BH197-S197^2*(BH197-BH196))/BH196))</f>
        <v>0.0319238937701359</v>
      </c>
      <c r="AW197" s="451" t="n">
        <f aca="false">IF($I197-DateToday+15&gt;=$T$8,"",IF($I197-DateToday+15&lt;$T$5,1,MATCH($I197-DateToday+15,$T$5:$T$8)))</f>
        <v>1</v>
      </c>
      <c r="AX197" s="468" t="n">
        <f aca="false">IF($AW197="",AX196^2/AX195,INDEX(U$5:U$8,$AW197)^((INDEX($T$5:$T$8,$AW197+1)-($I197-DateToday+15))/(INDEX($T$5:$T$8,$AW197+1)-INDEX($T$5:$T$8,$AW197)))/INDEX(U$5:U$8,$AW197+1)^((INDEX($T$5:$T$8,$AW197)-($I197-DateToday+15))/(INDEX($T$5:$T$8,$AW197+1)-INDEX($T$5:$T$8,$AW197))))</f>
        <v>0.285524912738759</v>
      </c>
      <c r="AY197" s="468" t="n">
        <f aca="false">IF($AW197="",AY196^2/AY195,INDEX(V$5:V$8,$AW197)^((INDEX($T$5:$T$8,$AW197+1)-($I197-DateToday+15))/(INDEX($T$5:$T$8,$AW197+1)-INDEX($T$5:$T$8,$AW197)))/INDEX(V$5:V$8,$AW197+1)^((INDEX($T$5:$T$8,$AW197)-($I197-DateToday+15))/(INDEX($T$5:$T$8,$AW197+1)-INDEX($T$5:$T$8,$AW197))))</f>
        <v>3.017011427367</v>
      </c>
      <c r="AZ197" s="468" t="n">
        <f aca="false">IF($AW197="",AZ196^2/AZ195,INDEX(W$5:W$8,$AW197)^((INDEX($T$5:$T$8,$AW197+1)-($I197-DateToday+15))/(INDEX($T$5:$T$8,$AW197+1)-INDEX($T$5:$T$8,$AW197)))/INDEX(W$5:W$8,$AW197+1)^((INDEX($T$5:$T$8,$AW197)-($I197-DateToday+15))/(INDEX($T$5:$T$8,$AW197+1)-INDEX($T$5:$T$8,$AW197))))</f>
        <v>333.081631219192</v>
      </c>
      <c r="BA197" s="468" t="n">
        <f aca="false">IF($AW197="",BA196^2/BA195,INDEX(X$5:X$8,$AW197)^((INDEX($T$5:$T$8,$AW197+1)-($I197-DateToday+15))/(INDEX($T$5:$T$8,$AW197+1)-INDEX($T$5:$T$8,$AW197)))/INDEX(X$5:X$8,$AW197+1)^((INDEX($T$5:$T$8,$AW197)-($I197-DateToday+15))/(INDEX($T$5:$T$8,$AW197+1)-INDEX($T$5:$T$8,$AW197))))</f>
        <v>990.657330091075</v>
      </c>
      <c r="BB197" s="468" t="n">
        <f aca="false">IF($AW197="",BB196^2/BB195,INDEX(Y$5:Y$8,$AW197)^((INDEX($T$5:$T$8,$AW197+1)-($I197-DateToday+15))/(INDEX($T$5:$T$8,$AW197+1)-INDEX($T$5:$T$8,$AW197)))/INDEX(Y$5:Y$8,$AW197+1)^((INDEX($T$5:$T$8,$AW197)-($I197-DateToday+15))/(INDEX($T$5:$T$8,$AW197+1)-INDEX($T$5:$T$8,$AW197))))</f>
        <v>4750.37767827549</v>
      </c>
      <c r="BC197" s="468" t="n">
        <f aca="false">IF($AW197="",BC196^2/BC195,INDEX(Z$5:Z$8,$AW197)^((INDEX($T$5:$T$8,$AW197+1)-($I197-DateToday+15))/(INDEX($T$5:$T$8,$AW197+1)-INDEX($T$5:$T$8,$AW197)))/INDEX(Z$5:Z$8,$AW197+1)^((INDEX($T$5:$T$8,$AW197)-($I197-DateToday+15))/(INDEX($T$5:$T$8,$AW197+1)-INDEX($T$5:$T$8,$AW197))))</f>
        <v>12433.3662219532</v>
      </c>
      <c r="BD197" s="535" t="n">
        <f aca="false">IF(OR(DateStart&gt;=I198,DateEnd&lt;I197),0,IF(VolumeOverrideFlag,V197,Volume))</f>
        <v>0</v>
      </c>
      <c r="BE197" s="536" t="n">
        <f aca="false">IF(OR(DateStart2&gt;=I198,DateEnd2&lt;I197),0,IF(VolumeOverrideFlag,V197,VolumeSwaption))</f>
        <v>0</v>
      </c>
      <c r="BF197" s="537" t="n">
        <f aca="false">YEAR(I197)</f>
        <v>2015</v>
      </c>
      <c r="BG197" s="538" t="n">
        <f aca="false">MONTH(I197)</f>
        <v>6</v>
      </c>
      <c r="BH197" s="539" t="n">
        <f aca="false">AD197-DateToday+1</f>
        <v>-3785</v>
      </c>
      <c r="BI197" s="540" t="n">
        <f aca="false">(I197-DateToday+1)/365.25</f>
        <v>-10.3189596167009</v>
      </c>
      <c r="BJ197" s="541" t="n">
        <f aca="false">BI197+(BL197-BI197)*CHOOSE(Underlying,AJ197/AI197,AM197/AL197)</f>
        <v>-10.2648248397735</v>
      </c>
      <c r="BK197" s="541" t="n">
        <f aca="false">BJ197+1/365.25</f>
        <v>-10.2620869889864</v>
      </c>
      <c r="BL197" s="541" t="n">
        <f aca="false">(I198-DateToday)/365.25</f>
        <v>-10.2395619438741</v>
      </c>
      <c r="BM197" s="542" t="e">
        <f aca="false">MAX(BI197-(BJ197-BI197)*(S198^2/O198^2-1),0)</f>
        <v>#DIV/0!</v>
      </c>
      <c r="BN197" s="541" t="e">
        <f aca="false">MAX(BL197+(BL197-BK197)*(S199^2/O199^2-1),0)</f>
        <v>#DIV/0!</v>
      </c>
      <c r="BO197" s="530" t="n">
        <f aca="false">CHOOSE(Underlying,AI197,AL197)</f>
        <v>22</v>
      </c>
      <c r="BP197" s="529" t="n">
        <f aca="false">CHOOSE(Underlying,AJ197,AM197)</f>
        <v>15</v>
      </c>
      <c r="BQ197" s="529" t="n">
        <f aca="false">CHOOSE(Underlying,AK197,AN197)</f>
        <v>7</v>
      </c>
      <c r="BR197" s="463" t="str">
        <f aca="false">IF(BD197,IF(Underlying=1,X197,Z197)+UnderlyingPriceAsian-SwapPriceCurve,"")</f>
        <v/>
      </c>
      <c r="BS197" s="463" t="str">
        <f aca="false">IF(BD197,Strike1/BR197-1,"")</f>
        <v/>
      </c>
      <c r="BT197" s="464" t="str">
        <f aca="false">IF(BD197,Strike2/BR197-1,"")</f>
        <v/>
      </c>
      <c r="BU197" s="465" t="str">
        <f aca="false">IF(BD197,IF(Underlying=1,L198,R198)+UnderlyingPriceAsian-SwapPriceCurve,"")</f>
        <v/>
      </c>
      <c r="BV197" s="465" t="str">
        <f aca="false">IF(BD197,IF(Underlying=1,L199,R199)+UnderlyingPriceAsian-SwapPriceCurve,"")</f>
        <v/>
      </c>
      <c r="BW197" s="466" t="str">
        <f aca="false">IF(BD197,IF(Underlying=1,O198,AT198),"")</f>
        <v/>
      </c>
      <c r="BX197" s="467" t="str">
        <f aca="false">IF(BD197,IF(Underlying=1,O199,AT199),"")</f>
        <v/>
      </c>
      <c r="BY197" s="466" t="str">
        <f aca="false">IF(BD197,IF(BS197&gt;0,IF(BS197&gt;0.2,BC197-BB197,IF(BS197&gt;0.1,BB197-BA197,BA197)),IF(BS197&lt;-0.2,AX197-AY197,IF(BS197&lt;-0.1,AY197-AZ197,AZ197))),"")</f>
        <v/>
      </c>
      <c r="BZ197" s="467" t="str">
        <f aca="false">IF(BD197,IF(BT197&gt;0,IF(BT197&gt;0.2,BC197-BB197,IF(BT197&gt;0.1,BB197-BA197,BA197)),IF(BT197&lt;-0.2,AX197-AY197,IF(BT197&lt;-0.1,AY197-AZ197,AZ197))),"")</f>
        <v/>
      </c>
      <c r="CA197" s="468" t="str">
        <f aca="false">IF($BD197,$BW197+IF(VolSkewFlag=1,IF(BS197&gt;0,$BA197*MIN(BS197/10%,1)+($BB197-$BA197)*MAX(0,MIN(BS197/10%-1,1))+($BC197-$BB197)*MAX(0,BS197/10%-2),$AZ197*MIN(-BS197/10%,1)+($AY197-$AZ197)*MAX(0,MIN(-BS197/10%-1,1))+($AX197-$AY197)*MAX(0,-BS197/10%-2)),0),"")</f>
        <v/>
      </c>
      <c r="CB197" s="468" t="str">
        <f aca="false">IF($BD197,$BX197+IF(VolSkewFlag=1,IF(BS197&gt;0,$BA197*MIN(BS197/10%,1)+($BB197-$BA197)*MAX(0,MIN(BS197/10%-1,1))+($BC197-$BB197)*MAX(0,BS197/10%-2),$AZ197*MIN(-BS197/10%,1)+($AY197-$AZ197)*MAX(0,MIN(-BS197/10%-1,1))+($AX197-$AY197)*MAX(0,-BS197/10%-2)),0),"")</f>
        <v/>
      </c>
      <c r="CC197" s="468" t="str">
        <f aca="false">IF($BD197,$BW197+IF(VolSkewFlag=1,IF(BT197&gt;0,$BA197*MIN(BT197/10%,1)+($BB197-$BA197)*MAX(0,MIN(BT197/10%-1,1))+($BC197-$BB197)*MAX(0,BT197/10%-2),$AZ197*MIN(-BT197/10%,1)+($AY197-$AZ197)*MAX(0,MIN(-BT197/10%-1,1))+($AX197-$AY197)*MAX(0,-BT197/10%-2)),0),"")</f>
        <v/>
      </c>
      <c r="CD197" s="468" t="str">
        <f aca="false">IF($BD197,$BX197+IF(VolSkewFlag=1,IF(BT197&gt;0,$BA197*MIN(BT197/10%,1)+($BB197-$BA197)*MAX(0,MIN(BT197/10%-1,1))+($BC197-$BB197)*MAX(0,BT197/10%-2),$AZ197*MIN(-BT197/10%,1)+($AY197-$AZ197)*MAX(0,MIN(-BT197/10%-1,1))+($AX197-$AY197)*MAX(0,-BT197/10%-2)),0),"")</f>
        <v/>
      </c>
      <c r="CE197" s="469" t="n">
        <v>1</v>
      </c>
      <c r="CF197" s="470" t="n">
        <f aca="false">IF(BD197,xCrudeAPO(BU197,BV197,CA197,CB197,S198,S199,BI197,BL197,BP197,BQ197,0,Strike1,AO197,CE197,0,BL197,IF(OptControl=4,0,1),0,1),0)</f>
        <v>0</v>
      </c>
      <c r="CG197" s="470" t="n">
        <f aca="false">IF(BD197,xCrudeAPO(BU197,BV197,CA197,CB197,S198,S199,BI197,BL197,BP197,BQ197,0,Strike1,AO197,CE197,0,BL197,IF(OptControl=4,0,1),1,1)+xCrudeAPO(BU197,BV197,CA197,CB197,S198,S199,BI197,BL197,BP197,BQ197,0,Strike1,AO197,CE197,0,BL197,IF(OptControl=4,0,1),1,2)+IF(OR(VolSkewFlag=2,ABS(BS197)&lt;0.0001),0,IF(BS197&gt;0,-1,1)*CH197*Strike1/BR197^2*BY197/10%),0)</f>
        <v>0</v>
      </c>
      <c r="CH197" s="470" t="n">
        <f aca="false">IF(BD197,(xCrudeAPO(BU197,BV197,CA197,CB197,S198,S199,BI197,BL197,BP197,BQ197,0,Strike1,AO197,CE197,0,BL197,IF(OptControl=4,0,1),3,1)+xCrudeAPO(BU197,BV197,CA197,CB197,S198,S199,BI197,BL197,BP197,BQ197,0,Strike1,AO197,CE197,0,BL197,IF(OptControl=4,0,1),3,2))/100,0)</f>
        <v>0</v>
      </c>
      <c r="CI197" s="470" t="n">
        <f aca="false">IF(BD197,xCrudeAPO(BU197,BV197,CA197,CB197,S198,S199,BI197-DaysForThetaCalculation/365.25,BL197-DaysForThetaCalculation/365.25,BP197,BQ197,0,Strike1,AO197,CE197,0,BL197,IF(OptControl=4,0,1),0,1)-xCrudeAPO(BU197,BV197,CA197,CB197,S198,S199,BI197,BL197,BP197,BQ197,0,Strike1,AO197,CE197,0,BL197,IF(OptControl=4,0,1),0,1),0)</f>
        <v>0</v>
      </c>
      <c r="CJ197" s="471" t="n">
        <f aca="false">IF(BD197,xCrudeAPO(BU197,BV197,CC197,CD197,S198,S199,BI197,BL197,BP197,BQ197,0,Strike2,AO197,CE197,0,BL197,IF(OptControl=3,1,0),0,1),0)</f>
        <v>0</v>
      </c>
      <c r="CK197" s="470" t="n">
        <f aca="false">IF(BD197,xCrudeAPO(BU197,BV197,CC197,CD197,S198,S199,BI197,BL197,BP197,BQ197,0,Strike2,AO197,CE197,0,BL197,IF(OptControl=3,1,0),1,1)+xCrudeAPO(BU197,BV197,CC197,CD197,S198,S199,BI197,BL197,BP197,BQ197,0,Strike2,AO197,CE197,0,BL197,IF(OptControl=3,1,0),1,2)+IF(OR(VolSkewFlag=2,ABS(BT197)&lt;0.0001),0,IF(BT197&gt;0,-1,1)*CL197*Strike2/BR197^2*BZ197/10%),0)</f>
        <v>0</v>
      </c>
      <c r="CL197" s="470" t="n">
        <f aca="false">IF(BD197,(xCrudeAPO(BU197,BV197,CC197,CD197,S198,S199,BI197,BL197,BP197,BQ197,0,Strike2,AO197,CE197,0,BL197,IF(OptControl=3,1,0),3,1)+xCrudeAPO(BU197,BV197,CC197,CD197,S198,S199,BI197,BL197,BP197,BQ197,0,Strike2,AO197,CE197,0,BL197,IF(OptControl=3,1,0),3,2))/100,0)</f>
        <v>0</v>
      </c>
      <c r="CM197" s="472" t="n">
        <f aca="false">IF(BD197,xCrudeAPO(BU197,BV197,CC197,CD197,S198,S199,BI197-DaysForThetaCalculation/365.25,BL197-DaysForThetaCalculation/365.25,BP197,BQ197,0,Strike2,AO197,CE197,0,BL197,IF(OptControl=3,1,0),0,1)-xCrudeAPO(BU197,BV197,CC197,CD197,S198,S199,BI197,BL197,BP197,BQ197,0,Strike2,AO197,CE197,0,BL197,IF(OptControl=3,1,0),0,1),0)</f>
        <v>0</v>
      </c>
      <c r="CN197" s="3"/>
      <c r="CO197" s="543" t="str">
        <f aca="false">IF(BD197,CHOOSE(Underlying,AD197,AF197)-DateToday+1,"")</f>
        <v/>
      </c>
      <c r="CP197" s="582" t="str">
        <f aca="false">IF(BD197,CHOOSE(Underlying,L197,R197),"")</f>
        <v/>
      </c>
      <c r="CQ197" s="544" t="str">
        <f aca="false">IF(BD197,Strike1/CP197-1,"")</f>
        <v/>
      </c>
      <c r="CR197" s="544" t="str">
        <f aca="false">IF(BD197,Strike2/CP197-1,"")</f>
        <v/>
      </c>
      <c r="CS197" s="544" t="str">
        <f aca="false">IF(BD197,IF(CQ197&gt;0,IF(CQ197&gt;0.2,BC196-BB196,IF(CQ197&gt;0.1,BB196-BA196,BA196)),IF(CQ197&lt;-0.2,AX196-AY196,IF(CQ197&lt;-0.1,AY196-AZ196,AZ196))),"")</f>
        <v/>
      </c>
      <c r="CT197" s="544" t="str">
        <f aca="false">IF(BD197,IF(CR197&gt;0,IF(CR197&gt;0.2,BC196-BB196,IF(CR197&gt;0.1,BB196-BA196,BA196)),IF(CR197&lt;-0.2,AX196-AY196,IF(CR197&lt;-0.1,AY196-AZ196,AZ196))),"")</f>
        <v/>
      </c>
      <c r="CU197" s="545" t="str">
        <f aca="false">IF(BD197,CHOOSE(Underlying,O197,AT197),"")</f>
        <v/>
      </c>
      <c r="CV197" s="545" t="str">
        <f aca="false">IF(BD197,CU197+IF(VolSkewFlag=1,IF(CQ197&gt;0,BA196*MIN(CQ197/10%,1)+(BB196-BA196)*MAX(0,MIN(CQ197/10%-1,1))+(BC196-BB196)*MAX(0,CQ197/10%-2),AZ196*MIN(-CQ197/10%,1)+(AY196-AZ196)*MAX(0,MIN(-CQ197/10%-1,1))+(AX196-AY196)*MAX(0,-CQ197/10%-2)),0),"")</f>
        <v/>
      </c>
      <c r="CW197" s="545" t="str">
        <f aca="false">IF(BD197,CU197+IF(VolSkewFlag=1,IF(CR197&gt;0,BA196*MIN(CR197/10%,1)+(BB196-BA196)*MAX(0,MIN(CR197/10%-1,1))+(BC196-BB196)*MAX(0,CR197/10%-2),AZ196*MIN(-CR197/10%,1)+(AY196-AZ196)*MAX(0,MIN(-CR197/10%-1,1))+(AX196-AY196)*MAX(0,-CR197/10%-2)),0),"")</f>
        <v/>
      </c>
      <c r="CX197" s="470" t="n">
        <f aca="false">IF(BD197,EURO(CP197,Strike1,AO197,AO197,CV197,CO197,IF(OptControl=4,0,1),0),0)</f>
        <v>0</v>
      </c>
      <c r="CY197" s="470" t="n">
        <f aca="false">IF(BD197,EURO(CP197,Strike1,AO197,AO197,CV197,CO197,IF(OptControl=4,0,1),1)+IF(OR(VolSkewFlag=2,ABS(CQ197)&lt;0.0001),0,IF(CQ197&gt;0,-1,1)*CZ197*100*Strike1/CP197^2*CS197/10%),0)</f>
        <v>0</v>
      </c>
      <c r="CZ197" s="470" t="n">
        <f aca="false">IF(BD197,EURO(CP197,Strike1,AO197,AO197,CV197,CO197,IF(OptControl=4,0,1),3)/100,0)</f>
        <v>0</v>
      </c>
      <c r="DA197" s="470" t="n">
        <f aca="false">IF(BD197,EURO(CP197,Strike1,AO197,AO197,CV197,CO197,IF(OptControl=4,0,1),0)-EURO(CP197,Strike1,AO197,AO197,CV197,CO197-1,IF(OptControl=4,0,1),0),0)</f>
        <v>0</v>
      </c>
      <c r="DB197" s="470" t="n">
        <f aca="false">IF(BD197,EURO(CP197,Strike2,AO197,AO197,CW197,CO197,IF(OptControl=3,1,0),0),0)</f>
        <v>0</v>
      </c>
      <c r="DC197" s="470" t="n">
        <f aca="false">IF(BD197,EURO(CP197,Strike2,AO197,AO197,CW197,CO197,IF(OptControl=3,1,0),1)+IF(OR(VolSkewFlag=2,ABS(CR197)&lt;0.0001),0,IF(CR197&gt;0,-1,1)*DD197*100*Strike2/CP197^2*CT197/10%),0)</f>
        <v>0</v>
      </c>
      <c r="DD197" s="470" t="n">
        <f aca="false">IF(BD197,EURO(CP197,Strike2,AO197,AO197,CW197,CO197,IF(OptControl=3,1,0),3)/100,0)</f>
        <v>0</v>
      </c>
      <c r="DE197" s="472" t="n">
        <f aca="false">IF(BD197,EURO(CP197,Strike2,AO197,AO197,CW197,CO197,IF(OptControl=3,1,0),0)-EURO(CP197,Strike2,AO197,AO197,CW197,CO197-1,IF(OptControl=3,1,0),0),0)</f>
        <v>0</v>
      </c>
      <c r="DG197" s="481" t="n">
        <f aca="false">EOMONTH(DG196,0)+1</f>
        <v>51075</v>
      </c>
      <c r="DH197" s="478" t="n">
        <v>23.0100000000001</v>
      </c>
      <c r="DI197" s="479" t="n">
        <v>23.0750000000001</v>
      </c>
      <c r="DJ197" s="480" t="n">
        <f aca="false">DG197</f>
        <v>51075</v>
      </c>
      <c r="DK197" s="478" t="n">
        <v>21.8003610471385</v>
      </c>
      <c r="DL197" s="479" t="n">
        <v>21.8819000000001</v>
      </c>
      <c r="DM197" s="481" t="n">
        <f aca="false">DG197</f>
        <v>51075</v>
      </c>
      <c r="DN197" s="482" t="n">
        <f aca="false">DK197+BrentPhyBrentSpread</f>
        <v>21.8503610471385</v>
      </c>
      <c r="DO197" s="481" t="n">
        <f aca="false">DG197</f>
        <v>51075</v>
      </c>
      <c r="DP197" s="483" t="n">
        <f aca="false">DL197+DQ197</f>
        <v>21.8819000000001</v>
      </c>
      <c r="DQ197" s="546" t="n">
        <v>0</v>
      </c>
      <c r="DR197" s="480" t="n">
        <f aca="false">DG197</f>
        <v>51075</v>
      </c>
      <c r="DS197" s="485" t="n">
        <v>0.118399999999998</v>
      </c>
      <c r="DT197" s="486" t="n">
        <v>0.117619999999998</v>
      </c>
      <c r="DU197" s="480" t="n">
        <f aca="false">DG197</f>
        <v>51075</v>
      </c>
      <c r="DV197" s="485" t="n">
        <v>0.118399999999998</v>
      </c>
      <c r="DW197" s="486" t="n">
        <v>0.117619999999998</v>
      </c>
      <c r="DX197" s="481" t="n">
        <f aca="false">DG197</f>
        <v>51075</v>
      </c>
      <c r="DY197" s="486" t="n">
        <v>0.35</v>
      </c>
      <c r="DZ197" s="481" t="n">
        <f aca="false">DR197</f>
        <v>51075</v>
      </c>
      <c r="EA197" s="486" t="n">
        <f aca="false">DT197</f>
        <v>0.117619999999998</v>
      </c>
      <c r="EB197" s="195"/>
      <c r="EC197" s="547" t="str">
        <f aca="false">IF(BD197,IF(Underlying=1,AS197,AU197),"")</f>
        <v/>
      </c>
      <c r="ED197" s="548" t="str">
        <f aca="false">IF($BD197,$EC197+IF(VolSkewFlag=1,IF(BS197&gt;0,$BA197*MIN(BS197/10%,1)+($BB197-$BA197)*MAX(0,MIN(BS197/10%-1,1))+($BC197-$BB197)*MAX(0,BS197/10%-2),$AZ197*MIN(-BS197/10%,1)+($AY197-$AZ197)*MAX(0,MIN(-BS197/10%-1,1))+($AX197-$AY197)*MAX(0,-BS197/10%-2)),0),"")</f>
        <v/>
      </c>
      <c r="EE197" s="549" t="str">
        <f aca="false">IF($BD197,$EC197+IF(VolSkewFlag=1,IF(BT197&gt;0,$BA197*MIN(BT197/10%,1)+($BB197-$BA197)*MAX(0,MIN(BT197/10%-1,1))+($BC197-$BB197)*MAX(0,BT197/10%-2),$AZ197*MIN(-BT197/10%,1)+($AY197-$AZ197)*MAX(0,MIN(-BT197/10%-1,1))+($AX197-$AY197)*MAX(0,-BT197/10%-2)),0),"")</f>
        <v/>
      </c>
      <c r="EF197" s="550" t="n">
        <f aca="false">IF(BD197,xASN(BR197,Strike1,AO197,ED197,0,BO197,0,BI197,BL197,IF(OptControl=4,0,1),0),0)</f>
        <v>0</v>
      </c>
      <c r="EG197" s="551" t="n">
        <f aca="false">IF(BD197,xASN(BR197,Strike2,AO197,EE197,0,BO197,0,BI197,BL197,IF(OptControl=3,1,0),0),0)</f>
        <v>0</v>
      </c>
      <c r="EL197" s="1"/>
      <c r="EM197" s="195"/>
      <c r="EN197" s="240"/>
      <c r="EO197" s="240"/>
      <c r="EP197" s="195"/>
      <c r="EQ197" s="407" t="s">
        <v>425</v>
      </c>
      <c r="ES197" s="130"/>
      <c r="ET197" s="19"/>
      <c r="EU197" s="672"/>
      <c r="EV197" s="478"/>
      <c r="EW197" s="131"/>
      <c r="EX197" s="131"/>
      <c r="EY197" s="129"/>
      <c r="EZ197" s="129"/>
      <c r="FA197" s="129"/>
      <c r="FB197" s="129"/>
      <c r="FC197" s="129"/>
      <c r="FD197" s="129"/>
      <c r="FE197" s="129"/>
      <c r="FF197" s="129"/>
      <c r="FG197" s="129"/>
      <c r="FH197" s="129"/>
      <c r="FI197" s="129"/>
      <c r="FJ197" s="571" t="n">
        <v>28</v>
      </c>
      <c r="FK197" s="150" t="str">
        <f aca="false">IF(OR(FK$169&lt;SwaptionFirstMonthPosition+1,$FJ197&lt;SwaptionFirstMonthPosition+1,FK$169&gt;SwaptionFirstMonthPosition+SwaptionNumOfMonths+1,$FJ197&gt;SwaptionFirstMonthPosition+SwaptionNumOfMonths+1),"",IF($FJ197=FK$169,1,IF($FJ197&lt;FK$169,INDEX($FK$170:$ID$241,FK$169,$FJ197),SUMPRODUCT(INDEX($FK$325:$ID$396,FK$169,1+SwaptionShift):INDEX($FK$325:$ID$396,FK$169,SwaptionMonthsToGo+SwaptionShift),INDEX($FK$245:$ID$316,$FJ197-FK$169,73-FK$169+SwaptionShift):INDEX($FK$245:$ID$316,$FJ197-FK$169,72-FK$169+SwaptionMonthsToGo+SwaptionShift))/SQRT(SUM(INDEX($FK352:$ID352,1+SwaptionShift):INDEX($FK352:$ID352,SwaptionMonthsToGo+SwaptionShift))*SUM(INDEX($FK$325:$ID$396,FK$169,1+SwaptionShift):INDEX($FK$325:$ID$396,FK$169,SwaptionMonthsToGo+SwaptionShift))))))</f>
        <v/>
      </c>
      <c r="FL197" s="150" t="str">
        <f aca="false">IF(OR(FL$169&lt;SwaptionFirstMonthPosition+1,$FJ197&lt;SwaptionFirstMonthPosition+1,FL$169&gt;SwaptionFirstMonthPosition+SwaptionNumOfMonths+1,$FJ197&gt;SwaptionFirstMonthPosition+SwaptionNumOfMonths+1),"",IF($FJ197=FL$169,1,IF($FJ197&lt;FL$169,INDEX($FK$170:$ID$241,FL$169,$FJ197),SUMPRODUCT(INDEX($FK$325:$ID$396,FL$169,1+SwaptionShift):INDEX($FK$325:$ID$396,FL$169,SwaptionMonthsToGo+SwaptionShift),INDEX($FK$245:$ID$316,$FJ197-FL$169,73-FL$169+SwaptionShift):INDEX($FK$245:$ID$316,$FJ197-FL$169,72-FL$169+SwaptionMonthsToGo+SwaptionShift))/SQRT(SUM(INDEX($FK352:$ID352,1+SwaptionShift):INDEX($FK352:$ID352,SwaptionMonthsToGo+SwaptionShift))*SUM(INDEX($FK$325:$ID$396,FL$169,1+SwaptionShift):INDEX($FK$325:$ID$396,FL$169,SwaptionMonthsToGo+SwaptionShift))))))</f>
        <v/>
      </c>
      <c r="FM197" s="150" t="str">
        <f aca="false">IF(OR(FM$169&lt;SwaptionFirstMonthPosition+1,$FJ197&lt;SwaptionFirstMonthPosition+1,FM$169&gt;SwaptionFirstMonthPosition+SwaptionNumOfMonths+1,$FJ197&gt;SwaptionFirstMonthPosition+SwaptionNumOfMonths+1),"",IF($FJ197=FM$169,1,IF($FJ197&lt;FM$169,INDEX($FK$170:$ID$241,FM$169,$FJ197),SUMPRODUCT(INDEX($FK$325:$ID$396,FM$169,1+SwaptionShift):INDEX($FK$325:$ID$396,FM$169,SwaptionMonthsToGo+SwaptionShift),INDEX($FK$245:$ID$316,$FJ197-FM$169,73-FM$169+SwaptionShift):INDEX($FK$245:$ID$316,$FJ197-FM$169,72-FM$169+SwaptionMonthsToGo+SwaptionShift))/SQRT(SUM(INDEX($FK352:$ID352,1+SwaptionShift):INDEX($FK352:$ID352,SwaptionMonthsToGo+SwaptionShift))*SUM(INDEX($FK$325:$ID$396,FM$169,1+SwaptionShift):INDEX($FK$325:$ID$396,FM$169,SwaptionMonthsToGo+SwaptionShift))))))</f>
        <v/>
      </c>
      <c r="FN197" s="150" t="str">
        <f aca="false">IF(OR(FN$169&lt;SwaptionFirstMonthPosition+1,$FJ197&lt;SwaptionFirstMonthPosition+1,FN$169&gt;SwaptionFirstMonthPosition+SwaptionNumOfMonths+1,$FJ197&gt;SwaptionFirstMonthPosition+SwaptionNumOfMonths+1),"",IF($FJ197=FN$169,1,IF($FJ197&lt;FN$169,INDEX($FK$170:$ID$241,FN$169,$FJ197),SUMPRODUCT(INDEX($FK$325:$ID$396,FN$169,1+SwaptionShift):INDEX($FK$325:$ID$396,FN$169,SwaptionMonthsToGo+SwaptionShift),INDEX($FK$245:$ID$316,$FJ197-FN$169,73-FN$169+SwaptionShift):INDEX($FK$245:$ID$316,$FJ197-FN$169,72-FN$169+SwaptionMonthsToGo+SwaptionShift))/SQRT(SUM(INDEX($FK352:$ID352,1+SwaptionShift):INDEX($FK352:$ID352,SwaptionMonthsToGo+SwaptionShift))*SUM(INDEX($FK$325:$ID$396,FN$169,1+SwaptionShift):INDEX($FK$325:$ID$396,FN$169,SwaptionMonthsToGo+SwaptionShift))))))</f>
        <v/>
      </c>
      <c r="FO197" s="150" t="str">
        <f aca="false">IF(OR(FO$169&lt;SwaptionFirstMonthPosition+1,$FJ197&lt;SwaptionFirstMonthPosition+1,FO$169&gt;SwaptionFirstMonthPosition+SwaptionNumOfMonths+1,$FJ197&gt;SwaptionFirstMonthPosition+SwaptionNumOfMonths+1),"",IF($FJ197=FO$169,1,IF($FJ197&lt;FO$169,INDEX($FK$170:$ID$241,FO$169,$FJ197),SUMPRODUCT(INDEX($FK$325:$ID$396,FO$169,1+SwaptionShift):INDEX($FK$325:$ID$396,FO$169,SwaptionMonthsToGo+SwaptionShift),INDEX($FK$245:$ID$316,$FJ197-FO$169,73-FO$169+SwaptionShift):INDEX($FK$245:$ID$316,$FJ197-FO$169,72-FO$169+SwaptionMonthsToGo+SwaptionShift))/SQRT(SUM(INDEX($FK352:$ID352,1+SwaptionShift):INDEX($FK352:$ID352,SwaptionMonthsToGo+SwaptionShift))*SUM(INDEX($FK$325:$ID$396,FO$169,1+SwaptionShift):INDEX($FK$325:$ID$396,FO$169,SwaptionMonthsToGo+SwaptionShift))))))</f>
        <v/>
      </c>
      <c r="FP197" s="150" t="str">
        <f aca="false">IF(OR(FP$169&lt;SwaptionFirstMonthPosition+1,$FJ197&lt;SwaptionFirstMonthPosition+1,FP$169&gt;SwaptionFirstMonthPosition+SwaptionNumOfMonths+1,$FJ197&gt;SwaptionFirstMonthPosition+SwaptionNumOfMonths+1),"",IF($FJ197=FP$169,1,IF($FJ197&lt;FP$169,INDEX($FK$170:$ID$241,FP$169,$FJ197),SUMPRODUCT(INDEX($FK$325:$ID$396,FP$169,1+SwaptionShift):INDEX($FK$325:$ID$396,FP$169,SwaptionMonthsToGo+SwaptionShift),INDEX($FK$245:$ID$316,$FJ197-FP$169,73-FP$169+SwaptionShift):INDEX($FK$245:$ID$316,$FJ197-FP$169,72-FP$169+SwaptionMonthsToGo+SwaptionShift))/SQRT(SUM(INDEX($FK352:$ID352,1+SwaptionShift):INDEX($FK352:$ID352,SwaptionMonthsToGo+SwaptionShift))*SUM(INDEX($FK$325:$ID$396,FP$169,1+SwaptionShift):INDEX($FK$325:$ID$396,FP$169,SwaptionMonthsToGo+SwaptionShift))))))</f>
        <v/>
      </c>
      <c r="FQ197" s="150" t="str">
        <f aca="false">IF(OR(FQ$169&lt;SwaptionFirstMonthPosition+1,$FJ197&lt;SwaptionFirstMonthPosition+1,FQ$169&gt;SwaptionFirstMonthPosition+SwaptionNumOfMonths+1,$FJ197&gt;SwaptionFirstMonthPosition+SwaptionNumOfMonths+1),"",IF($FJ197=FQ$169,1,IF($FJ197&lt;FQ$169,INDEX($FK$170:$ID$241,FQ$169,$FJ197),SUMPRODUCT(INDEX($FK$325:$ID$396,FQ$169,1+SwaptionShift):INDEX($FK$325:$ID$396,FQ$169,SwaptionMonthsToGo+SwaptionShift),INDEX($FK$245:$ID$316,$FJ197-FQ$169,73-FQ$169+SwaptionShift):INDEX($FK$245:$ID$316,$FJ197-FQ$169,72-FQ$169+SwaptionMonthsToGo+SwaptionShift))/SQRT(SUM(INDEX($FK352:$ID352,1+SwaptionShift):INDEX($FK352:$ID352,SwaptionMonthsToGo+SwaptionShift))*SUM(INDEX($FK$325:$ID$396,FQ$169,1+SwaptionShift):INDEX($FK$325:$ID$396,FQ$169,SwaptionMonthsToGo+SwaptionShift))))))</f>
        <v/>
      </c>
      <c r="FR197" s="150" t="str">
        <f aca="false">IF(OR(FR$169&lt;SwaptionFirstMonthPosition+1,$FJ197&lt;SwaptionFirstMonthPosition+1,FR$169&gt;SwaptionFirstMonthPosition+SwaptionNumOfMonths+1,$FJ197&gt;SwaptionFirstMonthPosition+SwaptionNumOfMonths+1),"",IF($FJ197=FR$169,1,IF($FJ197&lt;FR$169,INDEX($FK$170:$ID$241,FR$169,$FJ197),SUMPRODUCT(INDEX($FK$325:$ID$396,FR$169,1+SwaptionShift):INDEX($FK$325:$ID$396,FR$169,SwaptionMonthsToGo+SwaptionShift),INDEX($FK$245:$ID$316,$FJ197-FR$169,73-FR$169+SwaptionShift):INDEX($FK$245:$ID$316,$FJ197-FR$169,72-FR$169+SwaptionMonthsToGo+SwaptionShift))/SQRT(SUM(INDEX($FK352:$ID352,1+SwaptionShift):INDEX($FK352:$ID352,SwaptionMonthsToGo+SwaptionShift))*SUM(INDEX($FK$325:$ID$396,FR$169,1+SwaptionShift):INDEX($FK$325:$ID$396,FR$169,SwaptionMonthsToGo+SwaptionShift))))))</f>
        <v/>
      </c>
      <c r="FS197" s="150" t="str">
        <f aca="false">IF(OR(FS$169&lt;SwaptionFirstMonthPosition+1,$FJ197&lt;SwaptionFirstMonthPosition+1,FS$169&gt;SwaptionFirstMonthPosition+SwaptionNumOfMonths+1,$FJ197&gt;SwaptionFirstMonthPosition+SwaptionNumOfMonths+1),"",IF($FJ197=FS$169,1,IF($FJ197&lt;FS$169,INDEX($FK$170:$ID$241,FS$169,$FJ197),SUMPRODUCT(INDEX($FK$325:$ID$396,FS$169,1+SwaptionShift):INDEX($FK$325:$ID$396,FS$169,SwaptionMonthsToGo+SwaptionShift),INDEX($FK$245:$ID$316,$FJ197-FS$169,73-FS$169+SwaptionShift):INDEX($FK$245:$ID$316,$FJ197-FS$169,72-FS$169+SwaptionMonthsToGo+SwaptionShift))/SQRT(SUM(INDEX($FK352:$ID352,1+SwaptionShift):INDEX($FK352:$ID352,SwaptionMonthsToGo+SwaptionShift))*SUM(INDEX($FK$325:$ID$396,FS$169,1+SwaptionShift):INDEX($FK$325:$ID$396,FS$169,SwaptionMonthsToGo+SwaptionShift))))))</f>
        <v/>
      </c>
      <c r="FT197" s="150" t="str">
        <f aca="false">IF(OR(FT$169&lt;SwaptionFirstMonthPosition+1,$FJ197&lt;SwaptionFirstMonthPosition+1,FT$169&gt;SwaptionFirstMonthPosition+SwaptionNumOfMonths+1,$FJ197&gt;SwaptionFirstMonthPosition+SwaptionNumOfMonths+1),"",IF($FJ197=FT$169,1,IF($FJ197&lt;FT$169,INDEX($FK$170:$ID$241,FT$169,$FJ197),SUMPRODUCT(INDEX($FK$325:$ID$396,FT$169,1+SwaptionShift):INDEX($FK$325:$ID$396,FT$169,SwaptionMonthsToGo+SwaptionShift),INDEX($FK$245:$ID$316,$FJ197-FT$169,73-FT$169+SwaptionShift):INDEX($FK$245:$ID$316,$FJ197-FT$169,72-FT$169+SwaptionMonthsToGo+SwaptionShift))/SQRT(SUM(INDEX($FK352:$ID352,1+SwaptionShift):INDEX($FK352:$ID352,SwaptionMonthsToGo+SwaptionShift))*SUM(INDEX($FK$325:$ID$396,FT$169,1+SwaptionShift):INDEX($FK$325:$ID$396,FT$169,SwaptionMonthsToGo+SwaptionShift))))))</f>
        <v/>
      </c>
      <c r="FU197" s="150" t="str">
        <f aca="false">IF(OR(FU$169&lt;SwaptionFirstMonthPosition+1,$FJ197&lt;SwaptionFirstMonthPosition+1,FU$169&gt;SwaptionFirstMonthPosition+SwaptionNumOfMonths+1,$FJ197&gt;SwaptionFirstMonthPosition+SwaptionNumOfMonths+1),"",IF($FJ197=FU$169,1,IF($FJ197&lt;FU$169,INDEX($FK$170:$ID$241,FU$169,$FJ197),SUMPRODUCT(INDEX($FK$325:$ID$396,FU$169,1+SwaptionShift):INDEX($FK$325:$ID$396,FU$169,SwaptionMonthsToGo+SwaptionShift),INDEX($FK$245:$ID$316,$FJ197-FU$169,73-FU$169+SwaptionShift):INDEX($FK$245:$ID$316,$FJ197-FU$169,72-FU$169+SwaptionMonthsToGo+SwaptionShift))/SQRT(SUM(INDEX($FK352:$ID352,1+SwaptionShift):INDEX($FK352:$ID352,SwaptionMonthsToGo+SwaptionShift))*SUM(INDEX($FK$325:$ID$396,FU$169,1+SwaptionShift):INDEX($FK$325:$ID$396,FU$169,SwaptionMonthsToGo+SwaptionShift))))))</f>
        <v/>
      </c>
      <c r="FV197" s="150" t="str">
        <f aca="false">IF(OR(FV$169&lt;SwaptionFirstMonthPosition+1,$FJ197&lt;SwaptionFirstMonthPosition+1,FV$169&gt;SwaptionFirstMonthPosition+SwaptionNumOfMonths+1,$FJ197&gt;SwaptionFirstMonthPosition+SwaptionNumOfMonths+1),"",IF($FJ197=FV$169,1,IF($FJ197&lt;FV$169,INDEX($FK$170:$ID$241,FV$169,$FJ197),SUMPRODUCT(INDEX($FK$325:$ID$396,FV$169,1+SwaptionShift):INDEX($FK$325:$ID$396,FV$169,SwaptionMonthsToGo+SwaptionShift),INDEX($FK$245:$ID$316,$FJ197-FV$169,73-FV$169+SwaptionShift):INDEX($FK$245:$ID$316,$FJ197-FV$169,72-FV$169+SwaptionMonthsToGo+SwaptionShift))/SQRT(SUM(INDEX($FK352:$ID352,1+SwaptionShift):INDEX($FK352:$ID352,SwaptionMonthsToGo+SwaptionShift))*SUM(INDEX($FK$325:$ID$396,FV$169,1+SwaptionShift):INDEX($FK$325:$ID$396,FV$169,SwaptionMonthsToGo+SwaptionShift))))))</f>
        <v/>
      </c>
      <c r="FW197" s="150" t="str">
        <f aca="false">IF(OR(FW$169&lt;SwaptionFirstMonthPosition+1,$FJ197&lt;SwaptionFirstMonthPosition+1,FW$169&gt;SwaptionFirstMonthPosition+SwaptionNumOfMonths+1,$FJ197&gt;SwaptionFirstMonthPosition+SwaptionNumOfMonths+1),"",IF($FJ197=FW$169,1,IF($FJ197&lt;FW$169,INDEX($FK$170:$ID$241,FW$169,$FJ197),SUMPRODUCT(INDEX($FK$325:$ID$396,FW$169,1+SwaptionShift):INDEX($FK$325:$ID$396,FW$169,SwaptionMonthsToGo+SwaptionShift),INDEX($FK$245:$ID$316,$FJ197-FW$169,73-FW$169+SwaptionShift):INDEX($FK$245:$ID$316,$FJ197-FW$169,72-FW$169+SwaptionMonthsToGo+SwaptionShift))/SQRT(SUM(INDEX($FK352:$ID352,1+SwaptionShift):INDEX($FK352:$ID352,SwaptionMonthsToGo+SwaptionShift))*SUM(INDEX($FK$325:$ID$396,FW$169,1+SwaptionShift):INDEX($FK$325:$ID$396,FW$169,SwaptionMonthsToGo+SwaptionShift))))))</f>
        <v/>
      </c>
      <c r="FX197" s="150" t="str">
        <f aca="false">IF(OR(FX$169&lt;SwaptionFirstMonthPosition+1,$FJ197&lt;SwaptionFirstMonthPosition+1,FX$169&gt;SwaptionFirstMonthPosition+SwaptionNumOfMonths+1,$FJ197&gt;SwaptionFirstMonthPosition+SwaptionNumOfMonths+1),"",IF($FJ197=FX$169,1,IF($FJ197&lt;FX$169,INDEX($FK$170:$ID$241,FX$169,$FJ197),SUMPRODUCT(INDEX($FK$325:$ID$396,FX$169,1+SwaptionShift):INDEX($FK$325:$ID$396,FX$169,SwaptionMonthsToGo+SwaptionShift),INDEX($FK$245:$ID$316,$FJ197-FX$169,73-FX$169+SwaptionShift):INDEX($FK$245:$ID$316,$FJ197-FX$169,72-FX$169+SwaptionMonthsToGo+SwaptionShift))/SQRT(SUM(INDEX($FK352:$ID352,1+SwaptionShift):INDEX($FK352:$ID352,SwaptionMonthsToGo+SwaptionShift))*SUM(INDEX($FK$325:$ID$396,FX$169,1+SwaptionShift):INDEX($FK$325:$ID$396,FX$169,SwaptionMonthsToGo+SwaptionShift))))))</f>
        <v/>
      </c>
      <c r="FY197" s="150" t="str">
        <f aca="false">IF(OR(FY$169&lt;SwaptionFirstMonthPosition+1,$FJ197&lt;SwaptionFirstMonthPosition+1,FY$169&gt;SwaptionFirstMonthPosition+SwaptionNumOfMonths+1,$FJ197&gt;SwaptionFirstMonthPosition+SwaptionNumOfMonths+1),"",IF($FJ197=FY$169,1,IF($FJ197&lt;FY$169,INDEX($FK$170:$ID$241,FY$169,$FJ197),SUMPRODUCT(INDEX($FK$325:$ID$396,FY$169,1+SwaptionShift):INDEX($FK$325:$ID$396,FY$169,SwaptionMonthsToGo+SwaptionShift),INDEX($FK$245:$ID$316,$FJ197-FY$169,73-FY$169+SwaptionShift):INDEX($FK$245:$ID$316,$FJ197-FY$169,72-FY$169+SwaptionMonthsToGo+SwaptionShift))/SQRT(SUM(INDEX($FK352:$ID352,1+SwaptionShift):INDEX($FK352:$ID352,SwaptionMonthsToGo+SwaptionShift))*SUM(INDEX($FK$325:$ID$396,FY$169,1+SwaptionShift):INDEX($FK$325:$ID$396,FY$169,SwaptionMonthsToGo+SwaptionShift))))))</f>
        <v/>
      </c>
      <c r="FZ197" s="150" t="str">
        <f aca="false">IF(OR(FZ$169&lt;SwaptionFirstMonthPosition+1,$FJ197&lt;SwaptionFirstMonthPosition+1,FZ$169&gt;SwaptionFirstMonthPosition+SwaptionNumOfMonths+1,$FJ197&gt;SwaptionFirstMonthPosition+SwaptionNumOfMonths+1),"",IF($FJ197=FZ$169,1,IF($FJ197&lt;FZ$169,INDEX($FK$170:$ID$241,FZ$169,$FJ197),SUMPRODUCT(INDEX($FK$325:$ID$396,FZ$169,1+SwaptionShift):INDEX($FK$325:$ID$396,FZ$169,SwaptionMonthsToGo+SwaptionShift),INDEX($FK$245:$ID$316,$FJ197-FZ$169,73-FZ$169+SwaptionShift):INDEX($FK$245:$ID$316,$FJ197-FZ$169,72-FZ$169+SwaptionMonthsToGo+SwaptionShift))/SQRT(SUM(INDEX($FK352:$ID352,1+SwaptionShift):INDEX($FK352:$ID352,SwaptionMonthsToGo+SwaptionShift))*SUM(INDEX($FK$325:$ID$396,FZ$169,1+SwaptionShift):INDEX($FK$325:$ID$396,FZ$169,SwaptionMonthsToGo+SwaptionShift))))))</f>
        <v/>
      </c>
      <c r="GA197" s="150" t="str">
        <f aca="false">IF(OR(GA$169&lt;SwaptionFirstMonthPosition+1,$FJ197&lt;SwaptionFirstMonthPosition+1,GA$169&gt;SwaptionFirstMonthPosition+SwaptionNumOfMonths+1,$FJ197&gt;SwaptionFirstMonthPosition+SwaptionNumOfMonths+1),"",IF($FJ197=GA$169,1,IF($FJ197&lt;GA$169,INDEX($FK$170:$ID$241,GA$169,$FJ197),SUMPRODUCT(INDEX($FK$325:$ID$396,GA$169,1+SwaptionShift):INDEX($FK$325:$ID$396,GA$169,SwaptionMonthsToGo+SwaptionShift),INDEX($FK$245:$ID$316,$FJ197-GA$169,73-GA$169+SwaptionShift):INDEX($FK$245:$ID$316,$FJ197-GA$169,72-GA$169+SwaptionMonthsToGo+SwaptionShift))/SQRT(SUM(INDEX($FK352:$ID352,1+SwaptionShift):INDEX($FK352:$ID352,SwaptionMonthsToGo+SwaptionShift))*SUM(INDEX($FK$325:$ID$396,GA$169,1+SwaptionShift):INDEX($FK$325:$ID$396,GA$169,SwaptionMonthsToGo+SwaptionShift))))))</f>
        <v/>
      </c>
      <c r="GB197" s="150" t="str">
        <f aca="false">IF(OR(GB$169&lt;SwaptionFirstMonthPosition+1,$FJ197&lt;SwaptionFirstMonthPosition+1,GB$169&gt;SwaptionFirstMonthPosition+SwaptionNumOfMonths+1,$FJ197&gt;SwaptionFirstMonthPosition+SwaptionNumOfMonths+1),"",IF($FJ197=GB$169,1,IF($FJ197&lt;GB$169,INDEX($FK$170:$ID$241,GB$169,$FJ197),SUMPRODUCT(INDEX($FK$325:$ID$396,GB$169,1+SwaptionShift):INDEX($FK$325:$ID$396,GB$169,SwaptionMonthsToGo+SwaptionShift),INDEX($FK$245:$ID$316,$FJ197-GB$169,73-GB$169+SwaptionShift):INDEX($FK$245:$ID$316,$FJ197-GB$169,72-GB$169+SwaptionMonthsToGo+SwaptionShift))/SQRT(SUM(INDEX($FK352:$ID352,1+SwaptionShift):INDEX($FK352:$ID352,SwaptionMonthsToGo+SwaptionShift))*SUM(INDEX($FK$325:$ID$396,GB$169,1+SwaptionShift):INDEX($FK$325:$ID$396,GB$169,SwaptionMonthsToGo+SwaptionShift))))))</f>
        <v/>
      </c>
      <c r="GC197" s="150" t="str">
        <f aca="false">IF(OR(GC$169&lt;SwaptionFirstMonthPosition+1,$FJ197&lt;SwaptionFirstMonthPosition+1,GC$169&gt;SwaptionFirstMonthPosition+SwaptionNumOfMonths+1,$FJ197&gt;SwaptionFirstMonthPosition+SwaptionNumOfMonths+1),"",IF($FJ197=GC$169,1,IF($FJ197&lt;GC$169,INDEX($FK$170:$ID$241,GC$169,$FJ197),SUMPRODUCT(INDEX($FK$325:$ID$396,GC$169,1+SwaptionShift):INDEX($FK$325:$ID$396,GC$169,SwaptionMonthsToGo+SwaptionShift),INDEX($FK$245:$ID$316,$FJ197-GC$169,73-GC$169+SwaptionShift):INDEX($FK$245:$ID$316,$FJ197-GC$169,72-GC$169+SwaptionMonthsToGo+SwaptionShift))/SQRT(SUM(INDEX($FK352:$ID352,1+SwaptionShift):INDEX($FK352:$ID352,SwaptionMonthsToGo+SwaptionShift))*SUM(INDEX($FK$325:$ID$396,GC$169,1+SwaptionShift):INDEX($FK$325:$ID$396,GC$169,SwaptionMonthsToGo+SwaptionShift))))))</f>
        <v/>
      </c>
      <c r="GD197" s="150" t="str">
        <f aca="false">IF(OR(GD$169&lt;SwaptionFirstMonthPosition+1,$FJ197&lt;SwaptionFirstMonthPosition+1,GD$169&gt;SwaptionFirstMonthPosition+SwaptionNumOfMonths+1,$FJ197&gt;SwaptionFirstMonthPosition+SwaptionNumOfMonths+1),"",IF($FJ197=GD$169,1,IF($FJ197&lt;GD$169,INDEX($FK$170:$ID$241,GD$169,$FJ197),SUMPRODUCT(INDEX($FK$325:$ID$396,GD$169,1+SwaptionShift):INDEX($FK$325:$ID$396,GD$169,SwaptionMonthsToGo+SwaptionShift),INDEX($FK$245:$ID$316,$FJ197-GD$169,73-GD$169+SwaptionShift):INDEX($FK$245:$ID$316,$FJ197-GD$169,72-GD$169+SwaptionMonthsToGo+SwaptionShift))/SQRT(SUM(INDEX($FK352:$ID352,1+SwaptionShift):INDEX($FK352:$ID352,SwaptionMonthsToGo+SwaptionShift))*SUM(INDEX($FK$325:$ID$396,GD$169,1+SwaptionShift):INDEX($FK$325:$ID$396,GD$169,SwaptionMonthsToGo+SwaptionShift))))))</f>
        <v/>
      </c>
      <c r="GE197" s="150" t="str">
        <f aca="false">IF(OR(GE$169&lt;SwaptionFirstMonthPosition+1,$FJ197&lt;SwaptionFirstMonthPosition+1,GE$169&gt;SwaptionFirstMonthPosition+SwaptionNumOfMonths+1,$FJ197&gt;SwaptionFirstMonthPosition+SwaptionNumOfMonths+1),"",IF($FJ197=GE$169,1,IF($FJ197&lt;GE$169,INDEX($FK$170:$ID$241,GE$169,$FJ197),SUMPRODUCT(INDEX($FK$325:$ID$396,GE$169,1+SwaptionShift):INDEX($FK$325:$ID$396,GE$169,SwaptionMonthsToGo+SwaptionShift),INDEX($FK$245:$ID$316,$FJ197-GE$169,73-GE$169+SwaptionShift):INDEX($FK$245:$ID$316,$FJ197-GE$169,72-GE$169+SwaptionMonthsToGo+SwaptionShift))/SQRT(SUM(INDEX($FK352:$ID352,1+SwaptionShift):INDEX($FK352:$ID352,SwaptionMonthsToGo+SwaptionShift))*SUM(INDEX($FK$325:$ID$396,GE$169,1+SwaptionShift):INDEX($FK$325:$ID$396,GE$169,SwaptionMonthsToGo+SwaptionShift))))))</f>
        <v/>
      </c>
      <c r="GF197" s="150" t="str">
        <f aca="false">IF(OR(GF$169&lt;SwaptionFirstMonthPosition+1,$FJ197&lt;SwaptionFirstMonthPosition+1,GF$169&gt;SwaptionFirstMonthPosition+SwaptionNumOfMonths+1,$FJ197&gt;SwaptionFirstMonthPosition+SwaptionNumOfMonths+1),"",IF($FJ197=GF$169,1,IF($FJ197&lt;GF$169,INDEX($FK$170:$ID$241,GF$169,$FJ197),SUMPRODUCT(INDEX($FK$325:$ID$396,GF$169,1+SwaptionShift):INDEX($FK$325:$ID$396,GF$169,SwaptionMonthsToGo+SwaptionShift),INDEX($FK$245:$ID$316,$FJ197-GF$169,73-GF$169+SwaptionShift):INDEX($FK$245:$ID$316,$FJ197-GF$169,72-GF$169+SwaptionMonthsToGo+SwaptionShift))/SQRT(SUM(INDEX($FK352:$ID352,1+SwaptionShift):INDEX($FK352:$ID352,SwaptionMonthsToGo+SwaptionShift))*SUM(INDEX($FK$325:$ID$396,GF$169,1+SwaptionShift):INDEX($FK$325:$ID$396,GF$169,SwaptionMonthsToGo+SwaptionShift))))))</f>
        <v/>
      </c>
      <c r="GG197" s="150" t="str">
        <f aca="false">IF(OR(GG$169&lt;SwaptionFirstMonthPosition+1,$FJ197&lt;SwaptionFirstMonthPosition+1,GG$169&gt;SwaptionFirstMonthPosition+SwaptionNumOfMonths+1,$FJ197&gt;SwaptionFirstMonthPosition+SwaptionNumOfMonths+1),"",IF($FJ197=GG$169,1,IF($FJ197&lt;GG$169,INDEX($FK$170:$ID$241,GG$169,$FJ197),SUMPRODUCT(INDEX($FK$325:$ID$396,GG$169,1+SwaptionShift):INDEX($FK$325:$ID$396,GG$169,SwaptionMonthsToGo+SwaptionShift),INDEX($FK$245:$ID$316,$FJ197-GG$169,73-GG$169+SwaptionShift):INDEX($FK$245:$ID$316,$FJ197-GG$169,72-GG$169+SwaptionMonthsToGo+SwaptionShift))/SQRT(SUM(INDEX($FK352:$ID352,1+SwaptionShift):INDEX($FK352:$ID352,SwaptionMonthsToGo+SwaptionShift))*SUM(INDEX($FK$325:$ID$396,GG$169,1+SwaptionShift):INDEX($FK$325:$ID$396,GG$169,SwaptionMonthsToGo+SwaptionShift))))))</f>
        <v/>
      </c>
      <c r="GH197" s="150" t="str">
        <f aca="false">IF(OR(GH$169&lt;SwaptionFirstMonthPosition+1,$FJ197&lt;SwaptionFirstMonthPosition+1,GH$169&gt;SwaptionFirstMonthPosition+SwaptionNumOfMonths+1,$FJ197&gt;SwaptionFirstMonthPosition+SwaptionNumOfMonths+1),"",IF($FJ197=GH$169,1,IF($FJ197&lt;GH$169,INDEX($FK$170:$ID$241,GH$169,$FJ197),SUMPRODUCT(INDEX($FK$325:$ID$396,GH$169,1+SwaptionShift):INDEX($FK$325:$ID$396,GH$169,SwaptionMonthsToGo+SwaptionShift),INDEX($FK$245:$ID$316,$FJ197-GH$169,73-GH$169+SwaptionShift):INDEX($FK$245:$ID$316,$FJ197-GH$169,72-GH$169+SwaptionMonthsToGo+SwaptionShift))/SQRT(SUM(INDEX($FK352:$ID352,1+SwaptionShift):INDEX($FK352:$ID352,SwaptionMonthsToGo+SwaptionShift))*SUM(INDEX($FK$325:$ID$396,GH$169,1+SwaptionShift):INDEX($FK$325:$ID$396,GH$169,SwaptionMonthsToGo+SwaptionShift))))))</f>
        <v/>
      </c>
      <c r="GI197" s="150" t="str">
        <f aca="false">IF(OR(GI$169&lt;SwaptionFirstMonthPosition+1,$FJ197&lt;SwaptionFirstMonthPosition+1,GI$169&gt;SwaptionFirstMonthPosition+SwaptionNumOfMonths+1,$FJ197&gt;SwaptionFirstMonthPosition+SwaptionNumOfMonths+1),"",IF($FJ197=GI$169,1,IF($FJ197&lt;GI$169,INDEX($FK$170:$ID$241,GI$169,$FJ197),SUMPRODUCT(INDEX($FK$325:$ID$396,GI$169,1+SwaptionShift):INDEX($FK$325:$ID$396,GI$169,SwaptionMonthsToGo+SwaptionShift),INDEX($FK$245:$ID$316,$FJ197-GI$169,73-GI$169+SwaptionShift):INDEX($FK$245:$ID$316,$FJ197-GI$169,72-GI$169+SwaptionMonthsToGo+SwaptionShift))/SQRT(SUM(INDEX($FK352:$ID352,1+SwaptionShift):INDEX($FK352:$ID352,SwaptionMonthsToGo+SwaptionShift))*SUM(INDEX($FK$325:$ID$396,GI$169,1+SwaptionShift):INDEX($FK$325:$ID$396,GI$169,SwaptionMonthsToGo+SwaptionShift))))))</f>
        <v/>
      </c>
      <c r="GJ197" s="150" t="str">
        <f aca="false">IF(OR(GJ$169&lt;SwaptionFirstMonthPosition+1,$FJ197&lt;SwaptionFirstMonthPosition+1,GJ$169&gt;SwaptionFirstMonthPosition+SwaptionNumOfMonths+1,$FJ197&gt;SwaptionFirstMonthPosition+SwaptionNumOfMonths+1),"",IF($FJ197=GJ$169,1,IF($FJ197&lt;GJ$169,INDEX($FK$170:$ID$241,GJ$169,$FJ197),SUMPRODUCT(INDEX($FK$325:$ID$396,GJ$169,1+SwaptionShift):INDEX($FK$325:$ID$396,GJ$169,SwaptionMonthsToGo+SwaptionShift),INDEX($FK$245:$ID$316,$FJ197-GJ$169,73-GJ$169+SwaptionShift):INDEX($FK$245:$ID$316,$FJ197-GJ$169,72-GJ$169+SwaptionMonthsToGo+SwaptionShift))/SQRT(SUM(INDEX($FK352:$ID352,1+SwaptionShift):INDEX($FK352:$ID352,SwaptionMonthsToGo+SwaptionShift))*SUM(INDEX($FK$325:$ID$396,GJ$169,1+SwaptionShift):INDEX($FK$325:$ID$396,GJ$169,SwaptionMonthsToGo+SwaptionShift))))))</f>
        <v/>
      </c>
      <c r="GK197" s="150" t="str">
        <f aca="false">IF(OR(GK$169&lt;SwaptionFirstMonthPosition+1,$FJ197&lt;SwaptionFirstMonthPosition+1,GK$169&gt;SwaptionFirstMonthPosition+SwaptionNumOfMonths+1,$FJ197&gt;SwaptionFirstMonthPosition+SwaptionNumOfMonths+1),"",IF($FJ197=GK$169,1,IF($FJ197&lt;GK$169,INDEX($FK$170:$ID$241,GK$169,$FJ197),SUMPRODUCT(INDEX($FK$325:$ID$396,GK$169,1+SwaptionShift):INDEX($FK$325:$ID$396,GK$169,SwaptionMonthsToGo+SwaptionShift),INDEX($FK$245:$ID$316,$FJ197-GK$169,73-GK$169+SwaptionShift):INDEX($FK$245:$ID$316,$FJ197-GK$169,72-GK$169+SwaptionMonthsToGo+SwaptionShift))/SQRT(SUM(INDEX($FK352:$ID352,1+SwaptionShift):INDEX($FK352:$ID352,SwaptionMonthsToGo+SwaptionShift))*SUM(INDEX($FK$325:$ID$396,GK$169,1+SwaptionShift):INDEX($FK$325:$ID$396,GK$169,SwaptionMonthsToGo+SwaptionShift))))))</f>
        <v/>
      </c>
      <c r="GL197" s="150" t="str">
        <f aca="false">IF(OR(GL$169&lt;SwaptionFirstMonthPosition+1,$FJ197&lt;SwaptionFirstMonthPosition+1,GL$169&gt;SwaptionFirstMonthPosition+SwaptionNumOfMonths+1,$FJ197&gt;SwaptionFirstMonthPosition+SwaptionNumOfMonths+1),"",IF($FJ197=GL$169,1,IF($FJ197&lt;GL$169,INDEX($FK$170:$ID$241,GL$169,$FJ197),SUMPRODUCT(INDEX($FK$325:$ID$396,GL$169,1+SwaptionShift):INDEX($FK$325:$ID$396,GL$169,SwaptionMonthsToGo+SwaptionShift),INDEX($FK$245:$ID$316,$FJ197-GL$169,73-GL$169+SwaptionShift):INDEX($FK$245:$ID$316,$FJ197-GL$169,72-GL$169+SwaptionMonthsToGo+SwaptionShift))/SQRT(SUM(INDEX($FK352:$ID352,1+SwaptionShift):INDEX($FK352:$ID352,SwaptionMonthsToGo+SwaptionShift))*SUM(INDEX($FK$325:$ID$396,GL$169,1+SwaptionShift):INDEX($FK$325:$ID$396,GL$169,SwaptionMonthsToGo+SwaptionShift))))))</f>
        <v/>
      </c>
      <c r="GM197" s="150" t="str">
        <f aca="false">IF(OR(GM$169&lt;SwaptionFirstMonthPosition+1,$FJ197&lt;SwaptionFirstMonthPosition+1,GM$169&gt;SwaptionFirstMonthPosition+SwaptionNumOfMonths+1,$FJ197&gt;SwaptionFirstMonthPosition+SwaptionNumOfMonths+1),"",IF($FJ197=GM$169,1,IF($FJ197&lt;GM$169,INDEX($FK$170:$ID$241,GM$169,$FJ197),SUMPRODUCT(INDEX($FK$325:$ID$396,GM$169,1+SwaptionShift):INDEX($FK$325:$ID$396,GM$169,SwaptionMonthsToGo+SwaptionShift),INDEX($FK$245:$ID$316,$FJ197-GM$169,73-GM$169+SwaptionShift):INDEX($FK$245:$ID$316,$FJ197-GM$169,72-GM$169+SwaptionMonthsToGo+SwaptionShift))/SQRT(SUM(INDEX($FK352:$ID352,1+SwaptionShift):INDEX($FK352:$ID352,SwaptionMonthsToGo+SwaptionShift))*SUM(INDEX($FK$325:$ID$396,GM$169,1+SwaptionShift):INDEX($FK$325:$ID$396,GM$169,SwaptionMonthsToGo+SwaptionShift))))))</f>
        <v/>
      </c>
      <c r="GN197" s="150" t="str">
        <f aca="false">IF(OR(GN$169&lt;SwaptionFirstMonthPosition+1,$FJ197&lt;SwaptionFirstMonthPosition+1,GN$169&gt;SwaptionFirstMonthPosition+SwaptionNumOfMonths+1,$FJ197&gt;SwaptionFirstMonthPosition+SwaptionNumOfMonths+1),"",IF($FJ197=GN$169,1,IF($FJ197&lt;GN$169,INDEX($FK$170:$ID$241,GN$169,$FJ197),SUMPRODUCT(INDEX($FK$325:$ID$396,GN$169,1+SwaptionShift):INDEX($FK$325:$ID$396,GN$169,SwaptionMonthsToGo+SwaptionShift),INDEX($FK$245:$ID$316,$FJ197-GN$169,73-GN$169+SwaptionShift):INDEX($FK$245:$ID$316,$FJ197-GN$169,72-GN$169+SwaptionMonthsToGo+SwaptionShift))/SQRT(SUM(INDEX($FK352:$ID352,1+SwaptionShift):INDEX($FK352:$ID352,SwaptionMonthsToGo+SwaptionShift))*SUM(INDEX($FK$325:$ID$396,GN$169,1+SwaptionShift):INDEX($FK$325:$ID$396,GN$169,SwaptionMonthsToGo+SwaptionShift))))))</f>
        <v/>
      </c>
      <c r="GO197" s="150" t="str">
        <f aca="false">IF(OR(GO$169&lt;SwaptionFirstMonthPosition+1,$FJ197&lt;SwaptionFirstMonthPosition+1,GO$169&gt;SwaptionFirstMonthPosition+SwaptionNumOfMonths+1,$FJ197&gt;SwaptionFirstMonthPosition+SwaptionNumOfMonths+1),"",IF($FJ197=GO$169,1,IF($FJ197&lt;GO$169,INDEX($FK$170:$ID$241,GO$169,$FJ197),SUMPRODUCT(INDEX($FK$325:$ID$396,GO$169,1+SwaptionShift):INDEX($FK$325:$ID$396,GO$169,SwaptionMonthsToGo+SwaptionShift),INDEX($FK$245:$ID$316,$FJ197-GO$169,73-GO$169+SwaptionShift):INDEX($FK$245:$ID$316,$FJ197-GO$169,72-GO$169+SwaptionMonthsToGo+SwaptionShift))/SQRT(SUM(INDEX($FK352:$ID352,1+SwaptionShift):INDEX($FK352:$ID352,SwaptionMonthsToGo+SwaptionShift))*SUM(INDEX($FK$325:$ID$396,GO$169,1+SwaptionShift):INDEX($FK$325:$ID$396,GO$169,SwaptionMonthsToGo+SwaptionShift))))))</f>
        <v/>
      </c>
      <c r="GP197" s="150" t="str">
        <f aca="false">IF(OR(GP$169&lt;SwaptionFirstMonthPosition+1,$FJ197&lt;SwaptionFirstMonthPosition+1,GP$169&gt;SwaptionFirstMonthPosition+SwaptionNumOfMonths+1,$FJ197&gt;SwaptionFirstMonthPosition+SwaptionNumOfMonths+1),"",IF($FJ197=GP$169,1,IF($FJ197&lt;GP$169,INDEX($FK$170:$ID$241,GP$169,$FJ197),SUMPRODUCT(INDEX($FK$325:$ID$396,GP$169,1+SwaptionShift):INDEX($FK$325:$ID$396,GP$169,SwaptionMonthsToGo+SwaptionShift),INDEX($FK$245:$ID$316,$FJ197-GP$169,73-GP$169+SwaptionShift):INDEX($FK$245:$ID$316,$FJ197-GP$169,72-GP$169+SwaptionMonthsToGo+SwaptionShift))/SQRT(SUM(INDEX($FK352:$ID352,1+SwaptionShift):INDEX($FK352:$ID352,SwaptionMonthsToGo+SwaptionShift))*SUM(INDEX($FK$325:$ID$396,GP$169,1+SwaptionShift):INDEX($FK$325:$ID$396,GP$169,SwaptionMonthsToGo+SwaptionShift))))))</f>
        <v/>
      </c>
      <c r="GQ197" s="150" t="str">
        <f aca="false">IF(OR(GQ$169&lt;SwaptionFirstMonthPosition+1,$FJ197&lt;SwaptionFirstMonthPosition+1,GQ$169&gt;SwaptionFirstMonthPosition+SwaptionNumOfMonths+1,$FJ197&gt;SwaptionFirstMonthPosition+SwaptionNumOfMonths+1),"",IF($FJ197=GQ$169,1,IF($FJ197&lt;GQ$169,INDEX($FK$170:$ID$241,GQ$169,$FJ197),SUMPRODUCT(INDEX($FK$325:$ID$396,GQ$169,1+SwaptionShift):INDEX($FK$325:$ID$396,GQ$169,SwaptionMonthsToGo+SwaptionShift),INDEX($FK$245:$ID$316,$FJ197-GQ$169,73-GQ$169+SwaptionShift):INDEX($FK$245:$ID$316,$FJ197-GQ$169,72-GQ$169+SwaptionMonthsToGo+SwaptionShift))/SQRT(SUM(INDEX($FK352:$ID352,1+SwaptionShift):INDEX($FK352:$ID352,SwaptionMonthsToGo+SwaptionShift))*SUM(INDEX($FK$325:$ID$396,GQ$169,1+SwaptionShift):INDEX($FK$325:$ID$396,GQ$169,SwaptionMonthsToGo+SwaptionShift))))))</f>
        <v/>
      </c>
      <c r="GR197" s="150" t="str">
        <f aca="false">IF(OR(GR$169&lt;SwaptionFirstMonthPosition+1,$FJ197&lt;SwaptionFirstMonthPosition+1,GR$169&gt;SwaptionFirstMonthPosition+SwaptionNumOfMonths+1,$FJ197&gt;SwaptionFirstMonthPosition+SwaptionNumOfMonths+1),"",IF($FJ197=GR$169,1,IF($FJ197&lt;GR$169,INDEX($FK$170:$ID$241,GR$169,$FJ197),SUMPRODUCT(INDEX($FK$325:$ID$396,GR$169,1+SwaptionShift):INDEX($FK$325:$ID$396,GR$169,SwaptionMonthsToGo+SwaptionShift),INDEX($FK$245:$ID$316,$FJ197-GR$169,73-GR$169+SwaptionShift):INDEX($FK$245:$ID$316,$FJ197-GR$169,72-GR$169+SwaptionMonthsToGo+SwaptionShift))/SQRT(SUM(INDEX($FK352:$ID352,1+SwaptionShift):INDEX($FK352:$ID352,SwaptionMonthsToGo+SwaptionShift))*SUM(INDEX($FK$325:$ID$396,GR$169,1+SwaptionShift):INDEX($FK$325:$ID$396,GR$169,SwaptionMonthsToGo+SwaptionShift))))))</f>
        <v/>
      </c>
      <c r="GS197" s="150" t="str">
        <f aca="false">IF(OR(GS$169&lt;SwaptionFirstMonthPosition+1,$FJ197&lt;SwaptionFirstMonthPosition+1,GS$169&gt;SwaptionFirstMonthPosition+SwaptionNumOfMonths+1,$FJ197&gt;SwaptionFirstMonthPosition+SwaptionNumOfMonths+1),"",IF($FJ197=GS$169,1,IF($FJ197&lt;GS$169,INDEX($FK$170:$ID$241,GS$169,$FJ197),SUMPRODUCT(INDEX($FK$325:$ID$396,GS$169,1+SwaptionShift):INDEX($FK$325:$ID$396,GS$169,SwaptionMonthsToGo+SwaptionShift),INDEX($FK$245:$ID$316,$FJ197-GS$169,73-GS$169+SwaptionShift):INDEX($FK$245:$ID$316,$FJ197-GS$169,72-GS$169+SwaptionMonthsToGo+SwaptionShift))/SQRT(SUM(INDEX($FK352:$ID352,1+SwaptionShift):INDEX($FK352:$ID352,SwaptionMonthsToGo+SwaptionShift))*SUM(INDEX($FK$325:$ID$396,GS$169,1+SwaptionShift):INDEX($FK$325:$ID$396,GS$169,SwaptionMonthsToGo+SwaptionShift))))))</f>
        <v/>
      </c>
      <c r="GT197" s="150" t="str">
        <f aca="false">IF(OR(GT$169&lt;SwaptionFirstMonthPosition+1,$FJ197&lt;SwaptionFirstMonthPosition+1,GT$169&gt;SwaptionFirstMonthPosition+SwaptionNumOfMonths+1,$FJ197&gt;SwaptionFirstMonthPosition+SwaptionNumOfMonths+1),"",IF($FJ197=GT$169,1,IF($FJ197&lt;GT$169,INDEX($FK$170:$ID$241,GT$169,$FJ197),SUMPRODUCT(INDEX($FK$325:$ID$396,GT$169,1+SwaptionShift):INDEX($FK$325:$ID$396,GT$169,SwaptionMonthsToGo+SwaptionShift),INDEX($FK$245:$ID$316,$FJ197-GT$169,73-GT$169+SwaptionShift):INDEX($FK$245:$ID$316,$FJ197-GT$169,72-GT$169+SwaptionMonthsToGo+SwaptionShift))/SQRT(SUM(INDEX($FK352:$ID352,1+SwaptionShift):INDEX($FK352:$ID352,SwaptionMonthsToGo+SwaptionShift))*SUM(INDEX($FK$325:$ID$396,GT$169,1+SwaptionShift):INDEX($FK$325:$ID$396,GT$169,SwaptionMonthsToGo+SwaptionShift))))))</f>
        <v/>
      </c>
      <c r="GU197" s="150" t="str">
        <f aca="false">IF(OR(GU$169&lt;SwaptionFirstMonthPosition+1,$FJ197&lt;SwaptionFirstMonthPosition+1,GU$169&gt;SwaptionFirstMonthPosition+SwaptionNumOfMonths+1,$FJ197&gt;SwaptionFirstMonthPosition+SwaptionNumOfMonths+1),"",IF($FJ197=GU$169,1,IF($FJ197&lt;GU$169,INDEX($FK$170:$ID$241,GU$169,$FJ197),SUMPRODUCT(INDEX($FK$325:$ID$396,GU$169,1+SwaptionShift):INDEX($FK$325:$ID$396,GU$169,SwaptionMonthsToGo+SwaptionShift),INDEX($FK$245:$ID$316,$FJ197-GU$169,73-GU$169+SwaptionShift):INDEX($FK$245:$ID$316,$FJ197-GU$169,72-GU$169+SwaptionMonthsToGo+SwaptionShift))/SQRT(SUM(INDEX($FK352:$ID352,1+SwaptionShift):INDEX($FK352:$ID352,SwaptionMonthsToGo+SwaptionShift))*SUM(INDEX($FK$325:$ID$396,GU$169,1+SwaptionShift):INDEX($FK$325:$ID$396,GU$169,SwaptionMonthsToGo+SwaptionShift))))))</f>
        <v/>
      </c>
      <c r="GV197" s="150" t="str">
        <f aca="false">IF(OR(GV$169&lt;SwaptionFirstMonthPosition+1,$FJ197&lt;SwaptionFirstMonthPosition+1,GV$169&gt;SwaptionFirstMonthPosition+SwaptionNumOfMonths+1,$FJ197&gt;SwaptionFirstMonthPosition+SwaptionNumOfMonths+1),"",IF($FJ197=GV$169,1,IF($FJ197&lt;GV$169,INDEX($FK$170:$ID$241,GV$169,$FJ197),SUMPRODUCT(INDEX($FK$325:$ID$396,GV$169,1+SwaptionShift):INDEX($FK$325:$ID$396,GV$169,SwaptionMonthsToGo+SwaptionShift),INDEX($FK$245:$ID$316,$FJ197-GV$169,73-GV$169+SwaptionShift):INDEX($FK$245:$ID$316,$FJ197-GV$169,72-GV$169+SwaptionMonthsToGo+SwaptionShift))/SQRT(SUM(INDEX($FK352:$ID352,1+SwaptionShift):INDEX($FK352:$ID352,SwaptionMonthsToGo+SwaptionShift))*SUM(INDEX($FK$325:$ID$396,GV$169,1+SwaptionShift):INDEX($FK$325:$ID$396,GV$169,SwaptionMonthsToGo+SwaptionShift))))))</f>
        <v/>
      </c>
      <c r="GW197" s="150" t="str">
        <f aca="false">IF(OR(GW$169&lt;SwaptionFirstMonthPosition+1,$FJ197&lt;SwaptionFirstMonthPosition+1,GW$169&gt;SwaptionFirstMonthPosition+SwaptionNumOfMonths+1,$FJ197&gt;SwaptionFirstMonthPosition+SwaptionNumOfMonths+1),"",IF($FJ197=GW$169,1,IF($FJ197&lt;GW$169,INDEX($FK$170:$ID$241,GW$169,$FJ197),SUMPRODUCT(INDEX($FK$325:$ID$396,GW$169,1+SwaptionShift):INDEX($FK$325:$ID$396,GW$169,SwaptionMonthsToGo+SwaptionShift),INDEX($FK$245:$ID$316,$FJ197-GW$169,73-GW$169+SwaptionShift):INDEX($FK$245:$ID$316,$FJ197-GW$169,72-GW$169+SwaptionMonthsToGo+SwaptionShift))/SQRT(SUM(INDEX($FK352:$ID352,1+SwaptionShift):INDEX($FK352:$ID352,SwaptionMonthsToGo+SwaptionShift))*SUM(INDEX($FK$325:$ID$396,GW$169,1+SwaptionShift):INDEX($FK$325:$ID$396,GW$169,SwaptionMonthsToGo+SwaptionShift))))))</f>
        <v/>
      </c>
      <c r="GX197" s="150" t="str">
        <f aca="false">IF(OR(GX$169&lt;SwaptionFirstMonthPosition+1,$FJ197&lt;SwaptionFirstMonthPosition+1,GX$169&gt;SwaptionFirstMonthPosition+SwaptionNumOfMonths+1,$FJ197&gt;SwaptionFirstMonthPosition+SwaptionNumOfMonths+1),"",IF($FJ197=GX$169,1,IF($FJ197&lt;GX$169,INDEX($FK$170:$ID$241,GX$169,$FJ197),SUMPRODUCT(INDEX($FK$325:$ID$396,GX$169,1+SwaptionShift):INDEX($FK$325:$ID$396,GX$169,SwaptionMonthsToGo+SwaptionShift),INDEX($FK$245:$ID$316,$FJ197-GX$169,73-GX$169+SwaptionShift):INDEX($FK$245:$ID$316,$FJ197-GX$169,72-GX$169+SwaptionMonthsToGo+SwaptionShift))/SQRT(SUM(INDEX($FK352:$ID352,1+SwaptionShift):INDEX($FK352:$ID352,SwaptionMonthsToGo+SwaptionShift))*SUM(INDEX($FK$325:$ID$396,GX$169,1+SwaptionShift):INDEX($FK$325:$ID$396,GX$169,SwaptionMonthsToGo+SwaptionShift))))))</f>
        <v/>
      </c>
      <c r="GY197" s="150" t="str">
        <f aca="false">IF(OR(GY$169&lt;SwaptionFirstMonthPosition+1,$FJ197&lt;SwaptionFirstMonthPosition+1,GY$169&gt;SwaptionFirstMonthPosition+SwaptionNumOfMonths+1,$FJ197&gt;SwaptionFirstMonthPosition+SwaptionNumOfMonths+1),"",IF($FJ197=GY$169,1,IF($FJ197&lt;GY$169,INDEX($FK$170:$ID$241,GY$169,$FJ197),SUMPRODUCT(INDEX($FK$325:$ID$396,GY$169,1+SwaptionShift):INDEX($FK$325:$ID$396,GY$169,SwaptionMonthsToGo+SwaptionShift),INDEX($FK$245:$ID$316,$FJ197-GY$169,73-GY$169+SwaptionShift):INDEX($FK$245:$ID$316,$FJ197-GY$169,72-GY$169+SwaptionMonthsToGo+SwaptionShift))/SQRT(SUM(INDEX($FK352:$ID352,1+SwaptionShift):INDEX($FK352:$ID352,SwaptionMonthsToGo+SwaptionShift))*SUM(INDEX($FK$325:$ID$396,GY$169,1+SwaptionShift):INDEX($FK$325:$ID$396,GY$169,SwaptionMonthsToGo+SwaptionShift))))))</f>
        <v/>
      </c>
      <c r="GZ197" s="150" t="str">
        <f aca="false">IF(OR(GZ$169&lt;SwaptionFirstMonthPosition+1,$FJ197&lt;SwaptionFirstMonthPosition+1,GZ$169&gt;SwaptionFirstMonthPosition+SwaptionNumOfMonths+1,$FJ197&gt;SwaptionFirstMonthPosition+SwaptionNumOfMonths+1),"",IF($FJ197=GZ$169,1,IF($FJ197&lt;GZ$169,INDEX($FK$170:$ID$241,GZ$169,$FJ197),SUMPRODUCT(INDEX($FK$325:$ID$396,GZ$169,1+SwaptionShift):INDEX($FK$325:$ID$396,GZ$169,SwaptionMonthsToGo+SwaptionShift),INDEX($FK$245:$ID$316,$FJ197-GZ$169,73-GZ$169+SwaptionShift):INDEX($FK$245:$ID$316,$FJ197-GZ$169,72-GZ$169+SwaptionMonthsToGo+SwaptionShift))/SQRT(SUM(INDEX($FK352:$ID352,1+SwaptionShift):INDEX($FK352:$ID352,SwaptionMonthsToGo+SwaptionShift))*SUM(INDEX($FK$325:$ID$396,GZ$169,1+SwaptionShift):INDEX($FK$325:$ID$396,GZ$169,SwaptionMonthsToGo+SwaptionShift))))))</f>
        <v/>
      </c>
      <c r="HA197" s="150" t="str">
        <f aca="false">IF(OR(HA$169&lt;SwaptionFirstMonthPosition+1,$FJ197&lt;SwaptionFirstMonthPosition+1,HA$169&gt;SwaptionFirstMonthPosition+SwaptionNumOfMonths+1,$FJ197&gt;SwaptionFirstMonthPosition+SwaptionNumOfMonths+1),"",IF($FJ197=HA$169,1,IF($FJ197&lt;HA$169,INDEX($FK$170:$ID$241,HA$169,$FJ197),SUMPRODUCT(INDEX($FK$325:$ID$396,HA$169,1+SwaptionShift):INDEX($FK$325:$ID$396,HA$169,SwaptionMonthsToGo+SwaptionShift),INDEX($FK$245:$ID$316,$FJ197-HA$169,73-HA$169+SwaptionShift):INDEX($FK$245:$ID$316,$FJ197-HA$169,72-HA$169+SwaptionMonthsToGo+SwaptionShift))/SQRT(SUM(INDEX($FK352:$ID352,1+SwaptionShift):INDEX($FK352:$ID352,SwaptionMonthsToGo+SwaptionShift))*SUM(INDEX($FK$325:$ID$396,HA$169,1+SwaptionShift):INDEX($FK$325:$ID$396,HA$169,SwaptionMonthsToGo+SwaptionShift))))))</f>
        <v/>
      </c>
      <c r="HB197" s="150" t="str">
        <f aca="false">IF(OR(HB$169&lt;SwaptionFirstMonthPosition+1,$FJ197&lt;SwaptionFirstMonthPosition+1,HB$169&gt;SwaptionFirstMonthPosition+SwaptionNumOfMonths+1,$FJ197&gt;SwaptionFirstMonthPosition+SwaptionNumOfMonths+1),"",IF($FJ197=HB$169,1,IF($FJ197&lt;HB$169,INDEX($FK$170:$ID$241,HB$169,$FJ197),SUMPRODUCT(INDEX($FK$325:$ID$396,HB$169,1+SwaptionShift):INDEX($FK$325:$ID$396,HB$169,SwaptionMonthsToGo+SwaptionShift),INDEX($FK$245:$ID$316,$FJ197-HB$169,73-HB$169+SwaptionShift):INDEX($FK$245:$ID$316,$FJ197-HB$169,72-HB$169+SwaptionMonthsToGo+SwaptionShift))/SQRT(SUM(INDEX($FK352:$ID352,1+SwaptionShift):INDEX($FK352:$ID352,SwaptionMonthsToGo+SwaptionShift))*SUM(INDEX($FK$325:$ID$396,HB$169,1+SwaptionShift):INDEX($FK$325:$ID$396,HB$169,SwaptionMonthsToGo+SwaptionShift))))))</f>
        <v/>
      </c>
      <c r="HC197" s="150" t="str">
        <f aca="false">IF(OR(HC$169&lt;SwaptionFirstMonthPosition+1,$FJ197&lt;SwaptionFirstMonthPosition+1,HC$169&gt;SwaptionFirstMonthPosition+SwaptionNumOfMonths+1,$FJ197&gt;SwaptionFirstMonthPosition+SwaptionNumOfMonths+1),"",IF($FJ197=HC$169,1,IF($FJ197&lt;HC$169,INDEX($FK$170:$ID$241,HC$169,$FJ197),SUMPRODUCT(INDEX($FK$325:$ID$396,HC$169,1+SwaptionShift):INDEX($FK$325:$ID$396,HC$169,SwaptionMonthsToGo+SwaptionShift),INDEX($FK$245:$ID$316,$FJ197-HC$169,73-HC$169+SwaptionShift):INDEX($FK$245:$ID$316,$FJ197-HC$169,72-HC$169+SwaptionMonthsToGo+SwaptionShift))/SQRT(SUM(INDEX($FK352:$ID352,1+SwaptionShift):INDEX($FK352:$ID352,SwaptionMonthsToGo+SwaptionShift))*SUM(INDEX($FK$325:$ID$396,HC$169,1+SwaptionShift):INDEX($FK$325:$ID$396,HC$169,SwaptionMonthsToGo+SwaptionShift))))))</f>
        <v/>
      </c>
      <c r="HD197" s="150" t="str">
        <f aca="false">IF(OR(HD$169&lt;SwaptionFirstMonthPosition+1,$FJ197&lt;SwaptionFirstMonthPosition+1,HD$169&gt;SwaptionFirstMonthPosition+SwaptionNumOfMonths+1,$FJ197&gt;SwaptionFirstMonthPosition+SwaptionNumOfMonths+1),"",IF($FJ197=HD$169,1,IF($FJ197&lt;HD$169,INDEX($FK$170:$ID$241,HD$169,$FJ197),SUMPRODUCT(INDEX($FK$325:$ID$396,HD$169,1+SwaptionShift):INDEX($FK$325:$ID$396,HD$169,SwaptionMonthsToGo+SwaptionShift),INDEX($FK$245:$ID$316,$FJ197-HD$169,73-HD$169+SwaptionShift):INDEX($FK$245:$ID$316,$FJ197-HD$169,72-HD$169+SwaptionMonthsToGo+SwaptionShift))/SQRT(SUM(INDEX($FK352:$ID352,1+SwaptionShift):INDEX($FK352:$ID352,SwaptionMonthsToGo+SwaptionShift))*SUM(INDEX($FK$325:$ID$396,HD$169,1+SwaptionShift):INDEX($FK$325:$ID$396,HD$169,SwaptionMonthsToGo+SwaptionShift))))))</f>
        <v/>
      </c>
      <c r="HE197" s="150" t="str">
        <f aca="false">IF(OR(HE$169&lt;SwaptionFirstMonthPosition+1,$FJ197&lt;SwaptionFirstMonthPosition+1,HE$169&gt;SwaptionFirstMonthPosition+SwaptionNumOfMonths+1,$FJ197&gt;SwaptionFirstMonthPosition+SwaptionNumOfMonths+1),"",IF($FJ197=HE$169,1,IF($FJ197&lt;HE$169,INDEX($FK$170:$ID$241,HE$169,$FJ197),SUMPRODUCT(INDEX($FK$325:$ID$396,HE$169,1+SwaptionShift):INDEX($FK$325:$ID$396,HE$169,SwaptionMonthsToGo+SwaptionShift),INDEX($FK$245:$ID$316,$FJ197-HE$169,73-HE$169+SwaptionShift):INDEX($FK$245:$ID$316,$FJ197-HE$169,72-HE$169+SwaptionMonthsToGo+SwaptionShift))/SQRT(SUM(INDEX($FK352:$ID352,1+SwaptionShift):INDEX($FK352:$ID352,SwaptionMonthsToGo+SwaptionShift))*SUM(INDEX($FK$325:$ID$396,HE$169,1+SwaptionShift):INDEX($FK$325:$ID$396,HE$169,SwaptionMonthsToGo+SwaptionShift))))))</f>
        <v/>
      </c>
      <c r="HF197" s="150" t="str">
        <f aca="false">IF(OR(HF$169&lt;SwaptionFirstMonthPosition+1,$FJ197&lt;SwaptionFirstMonthPosition+1,HF$169&gt;SwaptionFirstMonthPosition+SwaptionNumOfMonths+1,$FJ197&gt;SwaptionFirstMonthPosition+SwaptionNumOfMonths+1),"",IF($FJ197=HF$169,1,IF($FJ197&lt;HF$169,INDEX($FK$170:$ID$241,HF$169,$FJ197),SUMPRODUCT(INDEX($FK$325:$ID$396,HF$169,1+SwaptionShift):INDEX($FK$325:$ID$396,HF$169,SwaptionMonthsToGo+SwaptionShift),INDEX($FK$245:$ID$316,$FJ197-HF$169,73-HF$169+SwaptionShift):INDEX($FK$245:$ID$316,$FJ197-HF$169,72-HF$169+SwaptionMonthsToGo+SwaptionShift))/SQRT(SUM(INDEX($FK352:$ID352,1+SwaptionShift):INDEX($FK352:$ID352,SwaptionMonthsToGo+SwaptionShift))*SUM(INDEX($FK$325:$ID$396,HF$169,1+SwaptionShift):INDEX($FK$325:$ID$396,HF$169,SwaptionMonthsToGo+SwaptionShift))))))</f>
        <v/>
      </c>
      <c r="HG197" s="150" t="str">
        <f aca="false">IF(OR(HG$169&lt;SwaptionFirstMonthPosition+1,$FJ197&lt;SwaptionFirstMonthPosition+1,HG$169&gt;SwaptionFirstMonthPosition+SwaptionNumOfMonths+1,$FJ197&gt;SwaptionFirstMonthPosition+SwaptionNumOfMonths+1),"",IF($FJ197=HG$169,1,IF($FJ197&lt;HG$169,INDEX($FK$170:$ID$241,HG$169,$FJ197),SUMPRODUCT(INDEX($FK$325:$ID$396,HG$169,1+SwaptionShift):INDEX($FK$325:$ID$396,HG$169,SwaptionMonthsToGo+SwaptionShift),INDEX($FK$245:$ID$316,$FJ197-HG$169,73-HG$169+SwaptionShift):INDEX($FK$245:$ID$316,$FJ197-HG$169,72-HG$169+SwaptionMonthsToGo+SwaptionShift))/SQRT(SUM(INDEX($FK352:$ID352,1+SwaptionShift):INDEX($FK352:$ID352,SwaptionMonthsToGo+SwaptionShift))*SUM(INDEX($FK$325:$ID$396,HG$169,1+SwaptionShift):INDEX($FK$325:$ID$396,HG$169,SwaptionMonthsToGo+SwaptionShift))))))</f>
        <v/>
      </c>
      <c r="HH197" s="150" t="str">
        <f aca="false">IF(OR(HH$169&lt;SwaptionFirstMonthPosition+1,$FJ197&lt;SwaptionFirstMonthPosition+1,HH$169&gt;SwaptionFirstMonthPosition+SwaptionNumOfMonths+1,$FJ197&gt;SwaptionFirstMonthPosition+SwaptionNumOfMonths+1),"",IF($FJ197=HH$169,1,IF($FJ197&lt;HH$169,INDEX($FK$170:$ID$241,HH$169,$FJ197),SUMPRODUCT(INDEX($FK$325:$ID$396,HH$169,1+SwaptionShift):INDEX($FK$325:$ID$396,HH$169,SwaptionMonthsToGo+SwaptionShift),INDEX($FK$245:$ID$316,$FJ197-HH$169,73-HH$169+SwaptionShift):INDEX($FK$245:$ID$316,$FJ197-HH$169,72-HH$169+SwaptionMonthsToGo+SwaptionShift))/SQRT(SUM(INDEX($FK352:$ID352,1+SwaptionShift):INDEX($FK352:$ID352,SwaptionMonthsToGo+SwaptionShift))*SUM(INDEX($FK$325:$ID$396,HH$169,1+SwaptionShift):INDEX($FK$325:$ID$396,HH$169,SwaptionMonthsToGo+SwaptionShift))))))</f>
        <v/>
      </c>
      <c r="HI197" s="150" t="str">
        <f aca="false">IF(OR(HI$169&lt;SwaptionFirstMonthPosition+1,$FJ197&lt;SwaptionFirstMonthPosition+1,HI$169&gt;SwaptionFirstMonthPosition+SwaptionNumOfMonths+1,$FJ197&gt;SwaptionFirstMonthPosition+SwaptionNumOfMonths+1),"",IF($FJ197=HI$169,1,IF($FJ197&lt;HI$169,INDEX($FK$170:$ID$241,HI$169,$FJ197),SUMPRODUCT(INDEX($FK$325:$ID$396,HI$169,1+SwaptionShift):INDEX($FK$325:$ID$396,HI$169,SwaptionMonthsToGo+SwaptionShift),INDEX($FK$245:$ID$316,$FJ197-HI$169,73-HI$169+SwaptionShift):INDEX($FK$245:$ID$316,$FJ197-HI$169,72-HI$169+SwaptionMonthsToGo+SwaptionShift))/SQRT(SUM(INDEX($FK352:$ID352,1+SwaptionShift):INDEX($FK352:$ID352,SwaptionMonthsToGo+SwaptionShift))*SUM(INDEX($FK$325:$ID$396,HI$169,1+SwaptionShift):INDEX($FK$325:$ID$396,HI$169,SwaptionMonthsToGo+SwaptionShift))))))</f>
        <v/>
      </c>
      <c r="HJ197" s="150" t="str">
        <f aca="false">IF(OR(HJ$169&lt;SwaptionFirstMonthPosition+1,$FJ197&lt;SwaptionFirstMonthPosition+1,HJ$169&gt;SwaptionFirstMonthPosition+SwaptionNumOfMonths+1,$FJ197&gt;SwaptionFirstMonthPosition+SwaptionNumOfMonths+1),"",IF($FJ197=HJ$169,1,IF($FJ197&lt;HJ$169,INDEX($FK$170:$ID$241,HJ$169,$FJ197),SUMPRODUCT(INDEX($FK$325:$ID$396,HJ$169,1+SwaptionShift):INDEX($FK$325:$ID$396,HJ$169,SwaptionMonthsToGo+SwaptionShift),INDEX($FK$245:$ID$316,$FJ197-HJ$169,73-HJ$169+SwaptionShift):INDEX($FK$245:$ID$316,$FJ197-HJ$169,72-HJ$169+SwaptionMonthsToGo+SwaptionShift))/SQRT(SUM(INDEX($FK352:$ID352,1+SwaptionShift):INDEX($FK352:$ID352,SwaptionMonthsToGo+SwaptionShift))*SUM(INDEX($FK$325:$ID$396,HJ$169,1+SwaptionShift):INDEX($FK$325:$ID$396,HJ$169,SwaptionMonthsToGo+SwaptionShift))))))</f>
        <v/>
      </c>
      <c r="HK197" s="150" t="str">
        <f aca="false">IF(OR(HK$169&lt;SwaptionFirstMonthPosition+1,$FJ197&lt;SwaptionFirstMonthPosition+1,HK$169&gt;SwaptionFirstMonthPosition+SwaptionNumOfMonths+1,$FJ197&gt;SwaptionFirstMonthPosition+SwaptionNumOfMonths+1),"",IF($FJ197=HK$169,1,IF($FJ197&lt;HK$169,INDEX($FK$170:$ID$241,HK$169,$FJ197),SUMPRODUCT(INDEX($FK$325:$ID$396,HK$169,1+SwaptionShift):INDEX($FK$325:$ID$396,HK$169,SwaptionMonthsToGo+SwaptionShift),INDEX($FK$245:$ID$316,$FJ197-HK$169,73-HK$169+SwaptionShift):INDEX($FK$245:$ID$316,$FJ197-HK$169,72-HK$169+SwaptionMonthsToGo+SwaptionShift))/SQRT(SUM(INDEX($FK352:$ID352,1+SwaptionShift):INDEX($FK352:$ID352,SwaptionMonthsToGo+SwaptionShift))*SUM(INDEX($FK$325:$ID$396,HK$169,1+SwaptionShift):INDEX($FK$325:$ID$396,HK$169,SwaptionMonthsToGo+SwaptionShift))))))</f>
        <v/>
      </c>
      <c r="HL197" s="150" t="str">
        <f aca="false">IF(OR(HL$169&lt;SwaptionFirstMonthPosition+1,$FJ197&lt;SwaptionFirstMonthPosition+1,HL$169&gt;SwaptionFirstMonthPosition+SwaptionNumOfMonths+1,$FJ197&gt;SwaptionFirstMonthPosition+SwaptionNumOfMonths+1),"",IF($FJ197=HL$169,1,IF($FJ197&lt;HL$169,INDEX($FK$170:$ID$241,HL$169,$FJ197),SUMPRODUCT(INDEX($FK$325:$ID$396,HL$169,1+SwaptionShift):INDEX($FK$325:$ID$396,HL$169,SwaptionMonthsToGo+SwaptionShift),INDEX($FK$245:$ID$316,$FJ197-HL$169,73-HL$169+SwaptionShift):INDEX($FK$245:$ID$316,$FJ197-HL$169,72-HL$169+SwaptionMonthsToGo+SwaptionShift))/SQRT(SUM(INDEX($FK352:$ID352,1+SwaptionShift):INDEX($FK352:$ID352,SwaptionMonthsToGo+SwaptionShift))*SUM(INDEX($FK$325:$ID$396,HL$169,1+SwaptionShift):INDEX($FK$325:$ID$396,HL$169,SwaptionMonthsToGo+SwaptionShift))))))</f>
        <v/>
      </c>
      <c r="HM197" s="150" t="str">
        <f aca="false">IF(OR(HM$169&lt;SwaptionFirstMonthPosition+1,$FJ197&lt;SwaptionFirstMonthPosition+1,HM$169&gt;SwaptionFirstMonthPosition+SwaptionNumOfMonths+1,$FJ197&gt;SwaptionFirstMonthPosition+SwaptionNumOfMonths+1),"",IF($FJ197=HM$169,1,IF($FJ197&lt;HM$169,INDEX($FK$170:$ID$241,HM$169,$FJ197),SUMPRODUCT(INDEX($FK$325:$ID$396,HM$169,1+SwaptionShift):INDEX($FK$325:$ID$396,HM$169,SwaptionMonthsToGo+SwaptionShift),INDEX($FK$245:$ID$316,$FJ197-HM$169,73-HM$169+SwaptionShift):INDEX($FK$245:$ID$316,$FJ197-HM$169,72-HM$169+SwaptionMonthsToGo+SwaptionShift))/SQRT(SUM(INDEX($FK352:$ID352,1+SwaptionShift):INDEX($FK352:$ID352,SwaptionMonthsToGo+SwaptionShift))*SUM(INDEX($FK$325:$ID$396,HM$169,1+SwaptionShift):INDEX($FK$325:$ID$396,HM$169,SwaptionMonthsToGo+SwaptionShift))))))</f>
        <v/>
      </c>
      <c r="HN197" s="150" t="str">
        <f aca="false">IF(OR(HN$169&lt;SwaptionFirstMonthPosition+1,$FJ197&lt;SwaptionFirstMonthPosition+1,HN$169&gt;SwaptionFirstMonthPosition+SwaptionNumOfMonths+1,$FJ197&gt;SwaptionFirstMonthPosition+SwaptionNumOfMonths+1),"",IF($FJ197=HN$169,1,IF($FJ197&lt;HN$169,INDEX($FK$170:$ID$241,HN$169,$FJ197),SUMPRODUCT(INDEX($FK$325:$ID$396,HN$169,1+SwaptionShift):INDEX($FK$325:$ID$396,HN$169,SwaptionMonthsToGo+SwaptionShift),INDEX($FK$245:$ID$316,$FJ197-HN$169,73-HN$169+SwaptionShift):INDEX($FK$245:$ID$316,$FJ197-HN$169,72-HN$169+SwaptionMonthsToGo+SwaptionShift))/SQRT(SUM(INDEX($FK352:$ID352,1+SwaptionShift):INDEX($FK352:$ID352,SwaptionMonthsToGo+SwaptionShift))*SUM(INDEX($FK$325:$ID$396,HN$169,1+SwaptionShift):INDEX($FK$325:$ID$396,HN$169,SwaptionMonthsToGo+SwaptionShift))))))</f>
        <v/>
      </c>
      <c r="HO197" s="150" t="str">
        <f aca="false">IF(OR(HO$169&lt;SwaptionFirstMonthPosition+1,$FJ197&lt;SwaptionFirstMonthPosition+1,HO$169&gt;SwaptionFirstMonthPosition+SwaptionNumOfMonths+1,$FJ197&gt;SwaptionFirstMonthPosition+SwaptionNumOfMonths+1),"",IF($FJ197=HO$169,1,IF($FJ197&lt;HO$169,INDEX($FK$170:$ID$241,HO$169,$FJ197),SUMPRODUCT(INDEX($FK$325:$ID$396,HO$169,1+SwaptionShift):INDEX($FK$325:$ID$396,HO$169,SwaptionMonthsToGo+SwaptionShift),INDEX($FK$245:$ID$316,$FJ197-HO$169,73-HO$169+SwaptionShift):INDEX($FK$245:$ID$316,$FJ197-HO$169,72-HO$169+SwaptionMonthsToGo+SwaptionShift))/SQRT(SUM(INDEX($FK352:$ID352,1+SwaptionShift):INDEX($FK352:$ID352,SwaptionMonthsToGo+SwaptionShift))*SUM(INDEX($FK$325:$ID$396,HO$169,1+SwaptionShift):INDEX($FK$325:$ID$396,HO$169,SwaptionMonthsToGo+SwaptionShift))))))</f>
        <v/>
      </c>
      <c r="HP197" s="150" t="str">
        <f aca="false">IF(OR(HP$169&lt;SwaptionFirstMonthPosition+1,$FJ197&lt;SwaptionFirstMonthPosition+1,HP$169&gt;SwaptionFirstMonthPosition+SwaptionNumOfMonths+1,$FJ197&gt;SwaptionFirstMonthPosition+SwaptionNumOfMonths+1),"",IF($FJ197=HP$169,1,IF($FJ197&lt;HP$169,INDEX($FK$170:$ID$241,HP$169,$FJ197),SUMPRODUCT(INDEX($FK$325:$ID$396,HP$169,1+SwaptionShift):INDEX($FK$325:$ID$396,HP$169,SwaptionMonthsToGo+SwaptionShift),INDEX($FK$245:$ID$316,$FJ197-HP$169,73-HP$169+SwaptionShift):INDEX($FK$245:$ID$316,$FJ197-HP$169,72-HP$169+SwaptionMonthsToGo+SwaptionShift))/SQRT(SUM(INDEX($FK352:$ID352,1+SwaptionShift):INDEX($FK352:$ID352,SwaptionMonthsToGo+SwaptionShift))*SUM(INDEX($FK$325:$ID$396,HP$169,1+SwaptionShift):INDEX($FK$325:$ID$396,HP$169,SwaptionMonthsToGo+SwaptionShift))))))</f>
        <v/>
      </c>
      <c r="HQ197" s="150" t="str">
        <f aca="false">IF(OR(HQ$169&lt;SwaptionFirstMonthPosition+1,$FJ197&lt;SwaptionFirstMonthPosition+1,HQ$169&gt;SwaptionFirstMonthPosition+SwaptionNumOfMonths+1,$FJ197&gt;SwaptionFirstMonthPosition+SwaptionNumOfMonths+1),"",IF($FJ197=HQ$169,1,IF($FJ197&lt;HQ$169,INDEX($FK$170:$ID$241,HQ$169,$FJ197),SUMPRODUCT(INDEX($FK$325:$ID$396,HQ$169,1+SwaptionShift):INDEX($FK$325:$ID$396,HQ$169,SwaptionMonthsToGo+SwaptionShift),INDEX($FK$245:$ID$316,$FJ197-HQ$169,73-HQ$169+SwaptionShift):INDEX($FK$245:$ID$316,$FJ197-HQ$169,72-HQ$169+SwaptionMonthsToGo+SwaptionShift))/SQRT(SUM(INDEX($FK352:$ID352,1+SwaptionShift):INDEX($FK352:$ID352,SwaptionMonthsToGo+SwaptionShift))*SUM(INDEX($FK$325:$ID$396,HQ$169,1+SwaptionShift):INDEX($FK$325:$ID$396,HQ$169,SwaptionMonthsToGo+SwaptionShift))))))</f>
        <v/>
      </c>
      <c r="HR197" s="150" t="str">
        <f aca="false">IF(OR(HR$169&lt;SwaptionFirstMonthPosition+1,$FJ197&lt;SwaptionFirstMonthPosition+1,HR$169&gt;SwaptionFirstMonthPosition+SwaptionNumOfMonths+1,$FJ197&gt;SwaptionFirstMonthPosition+SwaptionNumOfMonths+1),"",IF($FJ197=HR$169,1,IF($FJ197&lt;HR$169,INDEX($FK$170:$ID$241,HR$169,$FJ197),SUMPRODUCT(INDEX($FK$325:$ID$396,HR$169,1+SwaptionShift):INDEX($FK$325:$ID$396,HR$169,SwaptionMonthsToGo+SwaptionShift),INDEX($FK$245:$ID$316,$FJ197-HR$169,73-HR$169+SwaptionShift):INDEX($FK$245:$ID$316,$FJ197-HR$169,72-HR$169+SwaptionMonthsToGo+SwaptionShift))/SQRT(SUM(INDEX($FK352:$ID352,1+SwaptionShift):INDEX($FK352:$ID352,SwaptionMonthsToGo+SwaptionShift))*SUM(INDEX($FK$325:$ID$396,HR$169,1+SwaptionShift):INDEX($FK$325:$ID$396,HR$169,SwaptionMonthsToGo+SwaptionShift))))))</f>
        <v/>
      </c>
      <c r="HS197" s="150" t="str">
        <f aca="false">IF(OR(HS$169&lt;SwaptionFirstMonthPosition+1,$FJ197&lt;SwaptionFirstMonthPosition+1,HS$169&gt;SwaptionFirstMonthPosition+SwaptionNumOfMonths+1,$FJ197&gt;SwaptionFirstMonthPosition+SwaptionNumOfMonths+1),"",IF($FJ197=HS$169,1,IF($FJ197&lt;HS$169,INDEX($FK$170:$ID$241,HS$169,$FJ197),SUMPRODUCT(INDEX($FK$325:$ID$396,HS$169,1+SwaptionShift):INDEX($FK$325:$ID$396,HS$169,SwaptionMonthsToGo+SwaptionShift),INDEX($FK$245:$ID$316,$FJ197-HS$169,73-HS$169+SwaptionShift):INDEX($FK$245:$ID$316,$FJ197-HS$169,72-HS$169+SwaptionMonthsToGo+SwaptionShift))/SQRT(SUM(INDEX($FK352:$ID352,1+SwaptionShift):INDEX($FK352:$ID352,SwaptionMonthsToGo+SwaptionShift))*SUM(INDEX($FK$325:$ID$396,HS$169,1+SwaptionShift):INDEX($FK$325:$ID$396,HS$169,SwaptionMonthsToGo+SwaptionShift))))))</f>
        <v/>
      </c>
      <c r="HT197" s="150" t="str">
        <f aca="false">IF(OR(HT$169&lt;SwaptionFirstMonthPosition+1,$FJ197&lt;SwaptionFirstMonthPosition+1,HT$169&gt;SwaptionFirstMonthPosition+SwaptionNumOfMonths+1,$FJ197&gt;SwaptionFirstMonthPosition+SwaptionNumOfMonths+1),"",IF($FJ197=HT$169,1,IF($FJ197&lt;HT$169,INDEX($FK$170:$ID$241,HT$169,$FJ197),SUMPRODUCT(INDEX($FK$325:$ID$396,HT$169,1+SwaptionShift):INDEX($FK$325:$ID$396,HT$169,SwaptionMonthsToGo+SwaptionShift),INDEX($FK$245:$ID$316,$FJ197-HT$169,73-HT$169+SwaptionShift):INDEX($FK$245:$ID$316,$FJ197-HT$169,72-HT$169+SwaptionMonthsToGo+SwaptionShift))/SQRT(SUM(INDEX($FK352:$ID352,1+SwaptionShift):INDEX($FK352:$ID352,SwaptionMonthsToGo+SwaptionShift))*SUM(INDEX($FK$325:$ID$396,HT$169,1+SwaptionShift):INDEX($FK$325:$ID$396,HT$169,SwaptionMonthsToGo+SwaptionShift))))))</f>
        <v/>
      </c>
      <c r="HU197" s="150" t="str">
        <f aca="false">IF(OR(HU$169&lt;SwaptionFirstMonthPosition+1,$FJ197&lt;SwaptionFirstMonthPosition+1,HU$169&gt;SwaptionFirstMonthPosition+SwaptionNumOfMonths+1,$FJ197&gt;SwaptionFirstMonthPosition+SwaptionNumOfMonths+1),"",IF($FJ197=HU$169,1,IF($FJ197&lt;HU$169,INDEX($FK$170:$ID$241,HU$169,$FJ197),SUMPRODUCT(INDEX($FK$325:$ID$396,HU$169,1+SwaptionShift):INDEX($FK$325:$ID$396,HU$169,SwaptionMonthsToGo+SwaptionShift),INDEX($FK$245:$ID$316,$FJ197-HU$169,73-HU$169+SwaptionShift):INDEX($FK$245:$ID$316,$FJ197-HU$169,72-HU$169+SwaptionMonthsToGo+SwaptionShift))/SQRT(SUM(INDEX($FK352:$ID352,1+SwaptionShift):INDEX($FK352:$ID352,SwaptionMonthsToGo+SwaptionShift))*SUM(INDEX($FK$325:$ID$396,HU$169,1+SwaptionShift):INDEX($FK$325:$ID$396,HU$169,SwaptionMonthsToGo+SwaptionShift))))))</f>
        <v/>
      </c>
      <c r="HV197" s="150" t="str">
        <f aca="false">IF(OR(HV$169&lt;SwaptionFirstMonthPosition+1,$FJ197&lt;SwaptionFirstMonthPosition+1,HV$169&gt;SwaptionFirstMonthPosition+SwaptionNumOfMonths+1,$FJ197&gt;SwaptionFirstMonthPosition+SwaptionNumOfMonths+1),"",IF($FJ197=HV$169,1,IF($FJ197&lt;HV$169,INDEX($FK$170:$ID$241,HV$169,$FJ197),SUMPRODUCT(INDEX($FK$325:$ID$396,HV$169,1+SwaptionShift):INDEX($FK$325:$ID$396,HV$169,SwaptionMonthsToGo+SwaptionShift),INDEX($FK$245:$ID$316,$FJ197-HV$169,73-HV$169+SwaptionShift):INDEX($FK$245:$ID$316,$FJ197-HV$169,72-HV$169+SwaptionMonthsToGo+SwaptionShift))/SQRT(SUM(INDEX($FK352:$ID352,1+SwaptionShift):INDEX($FK352:$ID352,SwaptionMonthsToGo+SwaptionShift))*SUM(INDEX($FK$325:$ID$396,HV$169,1+SwaptionShift):INDEX($FK$325:$ID$396,HV$169,SwaptionMonthsToGo+SwaptionShift))))))</f>
        <v/>
      </c>
      <c r="HW197" s="150" t="str">
        <f aca="false">IF(OR(HW$169&lt;SwaptionFirstMonthPosition+1,$FJ197&lt;SwaptionFirstMonthPosition+1,HW$169&gt;SwaptionFirstMonthPosition+SwaptionNumOfMonths+1,$FJ197&gt;SwaptionFirstMonthPosition+SwaptionNumOfMonths+1),"",IF($FJ197=HW$169,1,IF($FJ197&lt;HW$169,INDEX($FK$170:$ID$241,HW$169,$FJ197),SUMPRODUCT(INDEX($FK$325:$ID$396,HW$169,1+SwaptionShift):INDEX($FK$325:$ID$396,HW$169,SwaptionMonthsToGo+SwaptionShift),INDEX($FK$245:$ID$316,$FJ197-HW$169,73-HW$169+SwaptionShift):INDEX($FK$245:$ID$316,$FJ197-HW$169,72-HW$169+SwaptionMonthsToGo+SwaptionShift))/SQRT(SUM(INDEX($FK352:$ID352,1+SwaptionShift):INDEX($FK352:$ID352,SwaptionMonthsToGo+SwaptionShift))*SUM(INDEX($FK$325:$ID$396,HW$169,1+SwaptionShift):INDEX($FK$325:$ID$396,HW$169,SwaptionMonthsToGo+SwaptionShift))))))</f>
        <v/>
      </c>
      <c r="HX197" s="150" t="str">
        <f aca="false">IF(OR(HX$169&lt;SwaptionFirstMonthPosition+1,$FJ197&lt;SwaptionFirstMonthPosition+1,HX$169&gt;SwaptionFirstMonthPosition+SwaptionNumOfMonths+1,$FJ197&gt;SwaptionFirstMonthPosition+SwaptionNumOfMonths+1),"",IF($FJ197=HX$169,1,IF($FJ197&lt;HX$169,INDEX($FK$170:$ID$241,HX$169,$FJ197),SUMPRODUCT(INDEX($FK$325:$ID$396,HX$169,1+SwaptionShift):INDEX($FK$325:$ID$396,HX$169,SwaptionMonthsToGo+SwaptionShift),INDEX($FK$245:$ID$316,$FJ197-HX$169,73-HX$169+SwaptionShift):INDEX($FK$245:$ID$316,$FJ197-HX$169,72-HX$169+SwaptionMonthsToGo+SwaptionShift))/SQRT(SUM(INDEX($FK352:$ID352,1+SwaptionShift):INDEX($FK352:$ID352,SwaptionMonthsToGo+SwaptionShift))*SUM(INDEX($FK$325:$ID$396,HX$169,1+SwaptionShift):INDEX($FK$325:$ID$396,HX$169,SwaptionMonthsToGo+SwaptionShift))))))</f>
        <v/>
      </c>
      <c r="HY197" s="150" t="str">
        <f aca="false">IF(OR(HY$169&lt;SwaptionFirstMonthPosition+1,$FJ197&lt;SwaptionFirstMonthPosition+1,HY$169&gt;SwaptionFirstMonthPosition+SwaptionNumOfMonths+1,$FJ197&gt;SwaptionFirstMonthPosition+SwaptionNumOfMonths+1),"",IF($FJ197=HY$169,1,IF($FJ197&lt;HY$169,INDEX($FK$170:$ID$241,HY$169,$FJ197),SUMPRODUCT(INDEX($FK$325:$ID$396,HY$169,1+SwaptionShift):INDEX($FK$325:$ID$396,HY$169,SwaptionMonthsToGo+SwaptionShift),INDEX($FK$245:$ID$316,$FJ197-HY$169,73-HY$169+SwaptionShift):INDEX($FK$245:$ID$316,$FJ197-HY$169,72-HY$169+SwaptionMonthsToGo+SwaptionShift))/SQRT(SUM(INDEX($FK352:$ID352,1+SwaptionShift):INDEX($FK352:$ID352,SwaptionMonthsToGo+SwaptionShift))*SUM(INDEX($FK$325:$ID$396,HY$169,1+SwaptionShift):INDEX($FK$325:$ID$396,HY$169,SwaptionMonthsToGo+SwaptionShift))))))</f>
        <v/>
      </c>
      <c r="HZ197" s="150" t="str">
        <f aca="false">IF(OR(HZ$169&lt;SwaptionFirstMonthPosition+1,$FJ197&lt;SwaptionFirstMonthPosition+1,HZ$169&gt;SwaptionFirstMonthPosition+SwaptionNumOfMonths+1,$FJ197&gt;SwaptionFirstMonthPosition+SwaptionNumOfMonths+1),"",IF($FJ197=HZ$169,1,IF($FJ197&lt;HZ$169,INDEX($FK$170:$ID$241,HZ$169,$FJ197),SUMPRODUCT(INDEX($FK$325:$ID$396,HZ$169,1+SwaptionShift):INDEX($FK$325:$ID$396,HZ$169,SwaptionMonthsToGo+SwaptionShift),INDEX($FK$245:$ID$316,$FJ197-HZ$169,73-HZ$169+SwaptionShift):INDEX($FK$245:$ID$316,$FJ197-HZ$169,72-HZ$169+SwaptionMonthsToGo+SwaptionShift))/SQRT(SUM(INDEX($FK352:$ID352,1+SwaptionShift):INDEX($FK352:$ID352,SwaptionMonthsToGo+SwaptionShift))*SUM(INDEX($FK$325:$ID$396,HZ$169,1+SwaptionShift):INDEX($FK$325:$ID$396,HZ$169,SwaptionMonthsToGo+SwaptionShift))))))</f>
        <v/>
      </c>
      <c r="IA197" s="150" t="str">
        <f aca="false">IF(OR(IA$169&lt;SwaptionFirstMonthPosition+1,$FJ197&lt;SwaptionFirstMonthPosition+1,IA$169&gt;SwaptionFirstMonthPosition+SwaptionNumOfMonths+1,$FJ197&gt;SwaptionFirstMonthPosition+SwaptionNumOfMonths+1),"",IF($FJ197=IA$169,1,IF($FJ197&lt;IA$169,INDEX($FK$170:$ID$241,IA$169,$FJ197),SUMPRODUCT(INDEX($FK$325:$ID$396,IA$169,1+SwaptionShift):INDEX($FK$325:$ID$396,IA$169,SwaptionMonthsToGo+SwaptionShift),INDEX($FK$245:$ID$316,$FJ197-IA$169,73-IA$169+SwaptionShift):INDEX($FK$245:$ID$316,$FJ197-IA$169,72-IA$169+SwaptionMonthsToGo+SwaptionShift))/SQRT(SUM(INDEX($FK352:$ID352,1+SwaptionShift):INDEX($FK352:$ID352,SwaptionMonthsToGo+SwaptionShift))*SUM(INDEX($FK$325:$ID$396,IA$169,1+SwaptionShift):INDEX($FK$325:$ID$396,IA$169,SwaptionMonthsToGo+SwaptionShift))))))</f>
        <v/>
      </c>
      <c r="IB197" s="150" t="str">
        <f aca="false">IF(OR(IB$169&lt;SwaptionFirstMonthPosition+1,$FJ197&lt;SwaptionFirstMonthPosition+1,IB$169&gt;SwaptionFirstMonthPosition+SwaptionNumOfMonths+1,$FJ197&gt;SwaptionFirstMonthPosition+SwaptionNumOfMonths+1),"",IF($FJ197=IB$169,1,IF($FJ197&lt;IB$169,INDEX($FK$170:$ID$241,IB$169,$FJ197),SUMPRODUCT(INDEX($FK$325:$ID$396,IB$169,1+SwaptionShift):INDEX($FK$325:$ID$396,IB$169,SwaptionMonthsToGo+SwaptionShift),INDEX($FK$245:$ID$316,$FJ197-IB$169,73-IB$169+SwaptionShift):INDEX($FK$245:$ID$316,$FJ197-IB$169,72-IB$169+SwaptionMonthsToGo+SwaptionShift))/SQRT(SUM(INDEX($FK352:$ID352,1+SwaptionShift):INDEX($FK352:$ID352,SwaptionMonthsToGo+SwaptionShift))*SUM(INDEX($FK$325:$ID$396,IB$169,1+SwaptionShift):INDEX($FK$325:$ID$396,IB$169,SwaptionMonthsToGo+SwaptionShift))))))</f>
        <v/>
      </c>
      <c r="IC197" s="150" t="str">
        <f aca="false">IF(OR(IC$169&lt;SwaptionFirstMonthPosition+1,$FJ197&lt;SwaptionFirstMonthPosition+1,IC$169&gt;SwaptionFirstMonthPosition+SwaptionNumOfMonths+1,$FJ197&gt;SwaptionFirstMonthPosition+SwaptionNumOfMonths+1),"",IF($FJ197=IC$169,1,IF($FJ197&lt;IC$169,INDEX($FK$170:$ID$241,IC$169,$FJ197),SUMPRODUCT(INDEX($FK$325:$ID$396,IC$169,1+SwaptionShift):INDEX($FK$325:$ID$396,IC$169,SwaptionMonthsToGo+SwaptionShift),INDEX($FK$245:$ID$316,$FJ197-IC$169,73-IC$169+SwaptionShift):INDEX($FK$245:$ID$316,$FJ197-IC$169,72-IC$169+SwaptionMonthsToGo+SwaptionShift))/SQRT(SUM(INDEX($FK352:$ID352,1+SwaptionShift):INDEX($FK352:$ID352,SwaptionMonthsToGo+SwaptionShift))*SUM(INDEX($FK$325:$ID$396,IC$169,1+SwaptionShift):INDEX($FK$325:$ID$396,IC$169,SwaptionMonthsToGo+SwaptionShift))))))</f>
        <v/>
      </c>
      <c r="ID197" s="572" t="str">
        <f aca="false">IF(OR(ID$169&lt;SwaptionFirstMonthPosition+1,$FJ197&lt;SwaptionFirstMonthPosition+1,ID$169&gt;SwaptionFirstMonthPosition+SwaptionNumOfMonths+1,$FJ197&gt;SwaptionFirstMonthPosition+SwaptionNumOfMonths+1),"",IF($FJ197=ID$169,1,IF($FJ197&lt;ID$169,INDEX($FK$170:$ID$241,ID$169,$FJ197),SUMPRODUCT(INDEX($FK$325:$ID$396,ID$169,1+SwaptionShift):INDEX($FK$325:$ID$396,ID$169,SwaptionMonthsToGo+SwaptionShift),INDEX($FK$245:$ID$316,$FJ197-ID$169,73-ID$169+SwaptionShift):INDEX($FK$245:$ID$316,$FJ197-ID$169,72-ID$169+SwaptionMonthsToGo+SwaptionShift))/SQRT(SUM(INDEX($FK352:$ID352,1+SwaptionShift):INDEX($FK352:$ID352,SwaptionMonthsToGo+SwaptionShift))*SUM(INDEX($FK$325:$ID$396,ID$169,1+SwaptionShift):INDEX($FK$325:$ID$396,ID$169,SwaptionMonthsToGo+SwaptionShift))))))</f>
        <v/>
      </c>
      <c r="IE197" s="129"/>
    </row>
    <row r="198" customFormat="false" ht="12.75" hidden="false" customHeight="false" outlineLevel="0" collapsed="false">
      <c r="H198" s="219" t="n">
        <f aca="false">VLOOKUP(I198,$EJ$20:$EL$54,3)</f>
        <v>0</v>
      </c>
      <c r="I198" s="511" t="n">
        <f aca="false">EOMONTH(I197,0)+1</f>
        <v>42186</v>
      </c>
      <c r="J198" s="512"/>
      <c r="K198" s="513" t="s">
        <v>280</v>
      </c>
      <c r="L198" s="514" t="n">
        <f aca="false">IF(ISNUMBER(K198),J198+K198/100,IF(K198="extra",L197+VLOOKUP(BF198,PriceSpreadTable,2)/12,IF(K198="inter",interpolateprices($K$19:$L$200,ROW(K198)-ROW(FirstPricingMonth)+1),interpolatechanges($J$19:$K$200,ROW(K198)-ROW(FirstPricingMonth)+1))))</f>
        <v>3.82500000000001</v>
      </c>
      <c r="M198" s="515"/>
      <c r="N198" s="516" t="n">
        <v>0</v>
      </c>
      <c r="O198" s="515" t="n">
        <f aca="false">M198+N198</f>
        <v>0</v>
      </c>
      <c r="P198" s="512"/>
      <c r="Q198" s="513" t="s">
        <v>280</v>
      </c>
      <c r="R198" s="512" t="e">
        <f aca="false">IF(ISNUMBER(Q198),P198+Q198/100,IF(Q198="extra",(Z196*AL196-R197*AM196)/AN196,IF(Q198="inter",interpolateprices($Q$19:$R$260,ROW(Q198)-ROW(FirstPricingMonth)+1),interpolatechanges($P$19:$Q$260,ROW(Q198)-ROW(FirstPricingMonth)+1))))</f>
        <v>#VALUE!</v>
      </c>
      <c r="S198" s="597" t="n">
        <f aca="false">S$19+(S197-S$19)*S$18</f>
        <v>0.36</v>
      </c>
      <c r="T198" s="575" t="n">
        <f aca="false">SQRT((1-(1-T197^2/U197)*T$18)*U198)</f>
        <v>0.999999999999913</v>
      </c>
      <c r="U198" s="576" t="n">
        <f aca="false">1-(1-U197)*U$18</f>
        <v>1</v>
      </c>
      <c r="V198" s="521" t="n">
        <v>0</v>
      </c>
      <c r="W198" s="577" t="n">
        <f aca="false">(J199*AJ198+J200*AK198)/AI198</f>
        <v>0</v>
      </c>
      <c r="X198" s="578" t="n">
        <f aca="false">(L199*AJ198+L200*AK198)/AI198</f>
        <v>3.87717391304349</v>
      </c>
      <c r="Y198" s="579" t="n">
        <f aca="false">IF(Q200="extra",W198-AA198,(P199*AM198+P200*AN198)/AL198)</f>
        <v>-1.2669</v>
      </c>
      <c r="Z198" s="579" t="n">
        <f aca="false">IF(Q200="extra",X198-AB198,(R199*AM198+R200*AN198)/AL198)</f>
        <v>2.61027391304348</v>
      </c>
      <c r="AA198" s="523" t="n">
        <f aca="false">IF(Q200="extra",INDEX(BrentSeasonalityTable,INT((BG198-1)/3)+1)*VLOOKUP(MAX(BF198,$AB$4),PriceSpreadTable,3),W198-Y198)</f>
        <v>1.2669</v>
      </c>
      <c r="AB198" s="524" t="n">
        <f aca="false">IF(Q200="extra",INDEX(BrentSeasonalityTable,INT((BG198-1)/3)+1)*VLOOKUP(MAX(BF198,$AB$4),PriceSpreadTable,3),X198-Z198)</f>
        <v>1.2669</v>
      </c>
      <c r="AC198" s="646" t="n">
        <v>42175</v>
      </c>
      <c r="AD198" s="646" t="n">
        <v>42171</v>
      </c>
      <c r="AE198" s="646" t="n">
        <v>42170</v>
      </c>
      <c r="AF198" s="646" t="n">
        <v>42166</v>
      </c>
      <c r="AG198" s="438" t="s">
        <v>278</v>
      </c>
      <c r="AH198" s="439" t="s">
        <v>278</v>
      </c>
      <c r="AI198" s="528" t="n">
        <v>23</v>
      </c>
      <c r="AJ198" s="529" t="n">
        <v>14</v>
      </c>
      <c r="AK198" s="529" t="n">
        <v>9</v>
      </c>
      <c r="AL198" s="530" t="n">
        <v>23</v>
      </c>
      <c r="AM198" s="529" t="n">
        <v>10</v>
      </c>
      <c r="AN198" s="531" t="n">
        <v>13</v>
      </c>
      <c r="AO198" s="532"/>
      <c r="AP198" s="465" t="n">
        <f aca="false">(1+AO198/2)^(-2*BL198)</f>
        <v>1</v>
      </c>
      <c r="AQ198" s="532"/>
      <c r="AR198" s="465" t="n">
        <f aca="false">(1+AQ198/2)^(-2*BH198/365.25)</f>
        <v>1</v>
      </c>
      <c r="AS198" s="580" t="n">
        <f aca="false">(O199*AJ198+O200*AK198)/AI198</f>
        <v>0</v>
      </c>
      <c r="AT198" s="468" t="n">
        <f aca="false">O198*VLOOKUP(BF198,BrentVolTable,2)+VLOOKUP(BF198,BrentVolTable,3)</f>
        <v>0</v>
      </c>
      <c r="AU198" s="468" t="n">
        <f aca="false">(AT199*AM198+AT200*AN198)/AL198</f>
        <v>0</v>
      </c>
      <c r="AV198" s="595" t="n">
        <f aca="false">SQRT(MAX(0.000000000001,(O198^2*BH198-S198^2*(BH198-BH197))/BH197))</f>
        <v>0.0325799494222952</v>
      </c>
      <c r="AW198" s="451" t="n">
        <f aca="false">IF($I198-DateToday+15&gt;=$T$8,"",IF($I198-DateToday+15&lt;$T$5,1,MATCH($I198-DateToday+15,$T$5:$T$8)))</f>
        <v>1</v>
      </c>
      <c r="AX198" s="468" t="n">
        <f aca="false">IF($AW198="",AX197^2/AX196,INDEX(U$5:U$8,$AW198)^((INDEX($T$5:$T$8,$AW198+1)-($I198-DateToday+15))/(INDEX($T$5:$T$8,$AW198+1)-INDEX($T$5:$T$8,$AW198)))/INDEX(U$5:U$8,$AW198+1)^((INDEX($T$5:$T$8,$AW198)-($I198-DateToday+15))/(INDEX($T$5:$T$8,$AW198+1)-INDEX($T$5:$T$8,$AW198))))</f>
        <v>0.279571250721417</v>
      </c>
      <c r="AY198" s="468" t="n">
        <f aca="false">IF($AW198="",AY197^2/AY196,INDEX(V$5:V$8,$AW198)^((INDEX($T$5:$T$8,$AW198+1)-($I198-DateToday+15))/(INDEX($T$5:$T$8,$AW198+1)-INDEX($T$5:$T$8,$AW198)))/INDEX(V$5:V$8,$AW198+1)^((INDEX($T$5:$T$8,$AW198)-($I198-DateToday+15))/(INDEX($T$5:$T$8,$AW198+1)-INDEX($T$5:$T$8,$AW198))))</f>
        <v>2.89428723409814</v>
      </c>
      <c r="AZ198" s="468" t="n">
        <f aca="false">IF($AW198="",AZ197^2/AZ196,INDEX(W$5:W$8,$AW198)^((INDEX($T$5:$T$8,$AW198+1)-($I198-DateToday+15))/(INDEX($T$5:$T$8,$AW198+1)-INDEX($T$5:$T$8,$AW198)))/INDEX(W$5:W$8,$AW198+1)^((INDEX($T$5:$T$8,$AW198)-($I198-DateToday+15))/(INDEX($T$5:$T$8,$AW198+1)-INDEX($T$5:$T$8,$AW198))))</f>
        <v>307.137207316457</v>
      </c>
      <c r="BA198" s="468" t="n">
        <f aca="false">IF($AW198="",BA197^2/BA196,INDEX(X$5:X$8,$AW198)^((INDEX($T$5:$T$8,$AW198+1)-($I198-DateToday+15))/(INDEX($T$5:$T$8,$AW198+1)-INDEX($T$5:$T$8,$AW198)))/INDEX(X$5:X$8,$AW198+1)^((INDEX($T$5:$T$8,$AW198)-($I198-DateToday+15))/(INDEX($T$5:$T$8,$AW198+1)-INDEX($T$5:$T$8,$AW198))))</f>
        <v>894.44513742234</v>
      </c>
      <c r="BB198" s="468" t="n">
        <f aca="false">IF($AW198="",BB197^2/BB196,INDEX(Y$5:Y$8,$AW198)^((INDEX($T$5:$T$8,$AW198+1)-($I198-DateToday+15))/(INDEX($T$5:$T$8,$AW198+1)-INDEX($T$5:$T$8,$AW198)))/INDEX(Y$5:Y$8,$AW198+1)^((INDEX($T$5:$T$8,$AW198)-($I198-DateToday+15))/(INDEX($T$5:$T$8,$AW198+1)-INDEX($T$5:$T$8,$AW198))))</f>
        <v>4247.37425016649</v>
      </c>
      <c r="BC198" s="468" t="n">
        <f aca="false">IF($AW198="",BC197^2/BC196,INDEX(Z$5:Z$8,$AW198)^((INDEX($T$5:$T$8,$AW198+1)-($I198-DateToday+15))/(INDEX($T$5:$T$8,$AW198+1)-INDEX($T$5:$T$8,$AW198)))/INDEX(Z$5:Z$8,$AW198+1)^((INDEX($T$5:$T$8,$AW198)-($I198-DateToday+15))/(INDEX($T$5:$T$8,$AW198+1)-INDEX($T$5:$T$8,$AW198))))</f>
        <v>11054.3758068381</v>
      </c>
      <c r="BD198" s="535" t="n">
        <f aca="false">IF(OR(DateStart&gt;=I199,DateEnd&lt;I198),0,IF(VolumeOverrideFlag,V198,Volume))</f>
        <v>0</v>
      </c>
      <c r="BE198" s="536" t="n">
        <f aca="false">IF(OR(DateStart2&gt;=I199,DateEnd2&lt;I198),0,IF(VolumeOverrideFlag,V198,VolumeSwaption))</f>
        <v>0</v>
      </c>
      <c r="BF198" s="537" t="n">
        <f aca="false">YEAR(I198)</f>
        <v>2015</v>
      </c>
      <c r="BG198" s="538" t="n">
        <f aca="false">MONTH(I198)</f>
        <v>7</v>
      </c>
      <c r="BH198" s="539" t="n">
        <f aca="false">AD198-DateToday+1</f>
        <v>-3754</v>
      </c>
      <c r="BI198" s="540" t="n">
        <f aca="false">(I198-DateToday+1)/365.25</f>
        <v>-10.2368240930869</v>
      </c>
      <c r="BJ198" s="541" t="n">
        <f aca="false">BI198+(BL198-BI198)*CHOOSE(Underlying,AJ198/AI198,AM198/AL198)</f>
        <v>-10.1868285569741</v>
      </c>
      <c r="BK198" s="541" t="n">
        <f aca="false">BJ198+1/365.25</f>
        <v>-10.1840907061869</v>
      </c>
      <c r="BL198" s="541" t="n">
        <f aca="false">(I199-DateToday)/365.25</f>
        <v>-10.154688569473</v>
      </c>
      <c r="BM198" s="542" t="e">
        <f aca="false">MAX(BI198-(BJ198-BI198)*(S199^2/O199^2-1),0)</f>
        <v>#DIV/0!</v>
      </c>
      <c r="BN198" s="541" t="e">
        <f aca="false">MAX(BL198+(BL198-BK198)*(S200^2/O200^2-1),0)</f>
        <v>#DIV/0!</v>
      </c>
      <c r="BO198" s="530" t="n">
        <f aca="false">CHOOSE(Underlying,AI198,AL198)</f>
        <v>23</v>
      </c>
      <c r="BP198" s="529" t="n">
        <f aca="false">CHOOSE(Underlying,AJ198,AM198)</f>
        <v>14</v>
      </c>
      <c r="BQ198" s="529" t="n">
        <f aca="false">CHOOSE(Underlying,AK198,AN198)</f>
        <v>9</v>
      </c>
      <c r="BR198" s="463" t="str">
        <f aca="false">IF(BD198,IF(Underlying=1,X198,Z198)+UnderlyingPriceAsian-SwapPriceCurve,"")</f>
        <v/>
      </c>
      <c r="BS198" s="463" t="str">
        <f aca="false">IF(BD198,Strike1/BR198-1,"")</f>
        <v/>
      </c>
      <c r="BT198" s="464" t="str">
        <f aca="false">IF(BD198,Strike2/BR198-1,"")</f>
        <v/>
      </c>
      <c r="BU198" s="465" t="str">
        <f aca="false">IF(BD198,IF(Underlying=1,L199,R199)+UnderlyingPriceAsian-SwapPriceCurve,"")</f>
        <v/>
      </c>
      <c r="BV198" s="465" t="str">
        <f aca="false">IF(BD198,IF(Underlying=1,L200,R200)+UnderlyingPriceAsian-SwapPriceCurve,"")</f>
        <v/>
      </c>
      <c r="BW198" s="466" t="str">
        <f aca="false">IF(BD198,IF(Underlying=1,O199,AT199),"")</f>
        <v/>
      </c>
      <c r="BX198" s="467" t="str">
        <f aca="false">IF(BD198,IF(Underlying=1,O200,AT200),"")</f>
        <v/>
      </c>
      <c r="BY198" s="466" t="str">
        <f aca="false">IF(BD198,IF(BS198&gt;0,IF(BS198&gt;0.2,BC198-BB198,IF(BS198&gt;0.1,BB198-BA198,BA198)),IF(BS198&lt;-0.2,AX198-AY198,IF(BS198&lt;-0.1,AY198-AZ198,AZ198))),"")</f>
        <v/>
      </c>
      <c r="BZ198" s="467" t="str">
        <f aca="false">IF(BD198,IF(BT198&gt;0,IF(BT198&gt;0.2,BC198-BB198,IF(BT198&gt;0.1,BB198-BA198,BA198)),IF(BT198&lt;-0.2,AX198-AY198,IF(BT198&lt;-0.1,AY198-AZ198,AZ198))),"")</f>
        <v/>
      </c>
      <c r="CA198" s="468" t="str">
        <f aca="false">IF($BD198,$BW198+IF(VolSkewFlag=1,IF(BS198&gt;0,$BA198*MIN(BS198/10%,1)+($BB198-$BA198)*MAX(0,MIN(BS198/10%-1,1))+($BC198-$BB198)*MAX(0,BS198/10%-2),$AZ198*MIN(-BS198/10%,1)+($AY198-$AZ198)*MAX(0,MIN(-BS198/10%-1,1))+($AX198-$AY198)*MAX(0,-BS198/10%-2)),0),"")</f>
        <v/>
      </c>
      <c r="CB198" s="468" t="str">
        <f aca="false">IF($BD198,$BX198+IF(VolSkewFlag=1,IF(BS198&gt;0,$BA198*MIN(BS198/10%,1)+($BB198-$BA198)*MAX(0,MIN(BS198/10%-1,1))+($BC198-$BB198)*MAX(0,BS198/10%-2),$AZ198*MIN(-BS198/10%,1)+($AY198-$AZ198)*MAX(0,MIN(-BS198/10%-1,1))+($AX198-$AY198)*MAX(0,-BS198/10%-2)),0),"")</f>
        <v/>
      </c>
      <c r="CC198" s="468" t="str">
        <f aca="false">IF($BD198,$BW198+IF(VolSkewFlag=1,IF(BT198&gt;0,$BA198*MIN(BT198/10%,1)+($BB198-$BA198)*MAX(0,MIN(BT198/10%-1,1))+($BC198-$BB198)*MAX(0,BT198/10%-2),$AZ198*MIN(-BT198/10%,1)+($AY198-$AZ198)*MAX(0,MIN(-BT198/10%-1,1))+($AX198-$AY198)*MAX(0,-BT198/10%-2)),0),"")</f>
        <v/>
      </c>
      <c r="CD198" s="468" t="str">
        <f aca="false">IF($BD198,$BX198+IF(VolSkewFlag=1,IF(BT198&gt;0,$BA198*MIN(BT198/10%,1)+($BB198-$BA198)*MAX(0,MIN(BT198/10%-1,1))+($BC198-$BB198)*MAX(0,BT198/10%-2),$AZ198*MIN(-BT198/10%,1)+($AY198-$AZ198)*MAX(0,MIN(-BT198/10%-1,1))+($AX198-$AY198)*MAX(0,-BT198/10%-2)),0),"")</f>
        <v/>
      </c>
      <c r="CE198" s="469" t="n">
        <v>1</v>
      </c>
      <c r="CF198" s="470" t="n">
        <f aca="false">IF(BD198,xCrudeAPO(BU198,BV198,CA198,CB198,S199,S200,BI198,BL198,BP198,BQ198,0,Strike1,AO198,CE198,0,BL198,IF(OptControl=4,0,1),0,1),0)</f>
        <v>0</v>
      </c>
      <c r="CG198" s="470" t="n">
        <f aca="false">IF(BD198,xCrudeAPO(BU198,BV198,CA198,CB198,S199,S200,BI198,BL198,BP198,BQ198,0,Strike1,AO198,CE198,0,BL198,IF(OptControl=4,0,1),1,1)+xCrudeAPO(BU198,BV198,CA198,CB198,S199,S200,BI198,BL198,BP198,BQ198,0,Strike1,AO198,CE198,0,BL198,IF(OptControl=4,0,1),1,2)+IF(OR(VolSkewFlag=2,ABS(BS198)&lt;0.0001),0,IF(BS198&gt;0,-1,1)*CH198*Strike1/BR198^2*BY198/10%),0)</f>
        <v>0</v>
      </c>
      <c r="CH198" s="470" t="n">
        <f aca="false">IF(BD198,(xCrudeAPO(BU198,BV198,CA198,CB198,S199,S200,BI198,BL198,BP198,BQ198,0,Strike1,AO198,CE198,0,BL198,IF(OptControl=4,0,1),3,1)+xCrudeAPO(BU198,BV198,CA198,CB198,S199,S200,BI198,BL198,BP198,BQ198,0,Strike1,AO198,CE198,0,BL198,IF(OptControl=4,0,1),3,2))/100,0)</f>
        <v>0</v>
      </c>
      <c r="CI198" s="470" t="n">
        <f aca="false">IF(BD198,xCrudeAPO(BU198,BV198,CA198,CB198,S199,S200,BI198-DaysForThetaCalculation/365.25,BL198-DaysForThetaCalculation/365.25,BP198,BQ198,0,Strike1,AO198,CE198,0,BL198,IF(OptControl=4,0,1),0,1)-xCrudeAPO(BU198,BV198,CA198,CB198,S199,S200,BI198,BL198,BP198,BQ198,0,Strike1,AO198,CE198,0,BL198,IF(OptControl=4,0,1),0,1),0)</f>
        <v>0</v>
      </c>
      <c r="CJ198" s="471" t="n">
        <f aca="false">IF(BD198,xCrudeAPO(BU198,BV198,CC198,CD198,S199,S200,BI198,BL198,BP198,BQ198,0,Strike2,AO198,CE198,0,BL198,IF(OptControl=3,1,0),0,1),0)</f>
        <v>0</v>
      </c>
      <c r="CK198" s="470" t="n">
        <f aca="false">IF(BD198,xCrudeAPO(BU198,BV198,CC198,CD198,S199,S200,BI198,BL198,BP198,BQ198,0,Strike2,AO198,CE198,0,BL198,IF(OptControl=3,1,0),1,1)+xCrudeAPO(BU198,BV198,CC198,CD198,S199,S200,BI198,BL198,BP198,BQ198,0,Strike2,AO198,CE198,0,BL198,IF(OptControl=3,1,0),1,2)+IF(OR(VolSkewFlag=2,ABS(BT198)&lt;0.0001),0,IF(BT198&gt;0,-1,1)*CL198*Strike2/BR198^2*BZ198/10%),0)</f>
        <v>0</v>
      </c>
      <c r="CL198" s="470" t="n">
        <f aca="false">IF(BD198,(xCrudeAPO(BU198,BV198,CC198,CD198,S199,S200,BI198,BL198,BP198,BQ198,0,Strike2,AO198,CE198,0,BL198,IF(OptControl=3,1,0),3,1)+xCrudeAPO(BU198,BV198,CC198,CD198,S199,S200,BI198,BL198,BP198,BQ198,0,Strike2,AO198,CE198,0,BL198,IF(OptControl=3,1,0),3,2))/100,0)</f>
        <v>0</v>
      </c>
      <c r="CM198" s="472" t="n">
        <f aca="false">IF(BD198,xCrudeAPO(BU198,BV198,CC198,CD198,S199,S200,BI198-DaysForThetaCalculation/365.25,BL198-DaysForThetaCalculation/365.25,BP198,BQ198,0,Strike2,AO198,CE198,0,BL198,IF(OptControl=3,1,0),0,1)-xCrudeAPO(BU198,BV198,CC198,CD198,S199,S200,BI198,BL198,BP198,BQ198,0,Strike2,AO198,CE198,0,BL198,IF(OptControl=3,1,0),0,1),0)</f>
        <v>0</v>
      </c>
      <c r="CN198" s="3"/>
      <c r="CO198" s="543" t="str">
        <f aca="false">IF(BD198,CHOOSE(Underlying,AD198,AF198)-DateToday+1,"")</f>
        <v/>
      </c>
      <c r="CP198" s="582" t="str">
        <f aca="false">IF(BD198,CHOOSE(Underlying,L198,R198),"")</f>
        <v/>
      </c>
      <c r="CQ198" s="544" t="str">
        <f aca="false">IF(BD198,Strike1/CP198-1,"")</f>
        <v/>
      </c>
      <c r="CR198" s="544" t="str">
        <f aca="false">IF(BD198,Strike2/CP198-1,"")</f>
        <v/>
      </c>
      <c r="CS198" s="544" t="str">
        <f aca="false">IF(BD198,IF(CQ198&gt;0,IF(CQ198&gt;0.2,BC197-BB197,IF(CQ198&gt;0.1,BB197-BA197,BA197)),IF(CQ198&lt;-0.2,AX197-AY197,IF(CQ198&lt;-0.1,AY197-AZ197,AZ197))),"")</f>
        <v/>
      </c>
      <c r="CT198" s="544" t="str">
        <f aca="false">IF(BD198,IF(CR198&gt;0,IF(CR198&gt;0.2,BC197-BB197,IF(CR198&gt;0.1,BB197-BA197,BA197)),IF(CR198&lt;-0.2,AX197-AY197,IF(CR198&lt;-0.1,AY197-AZ197,AZ197))),"")</f>
        <v/>
      </c>
      <c r="CU198" s="545" t="str">
        <f aca="false">IF(BD198,CHOOSE(Underlying,O198,AT198),"")</f>
        <v/>
      </c>
      <c r="CV198" s="545" t="str">
        <f aca="false">IF(BD198,CU198+IF(VolSkewFlag=1,IF(CQ198&gt;0,BA197*MIN(CQ198/10%,1)+(BB197-BA197)*MAX(0,MIN(CQ198/10%-1,1))+(BC197-BB197)*MAX(0,CQ198/10%-2),AZ197*MIN(-CQ198/10%,1)+(AY197-AZ197)*MAX(0,MIN(-CQ198/10%-1,1))+(AX197-AY197)*MAX(0,-CQ198/10%-2)),0),"")</f>
        <v/>
      </c>
      <c r="CW198" s="545" t="str">
        <f aca="false">IF(BD198,CU198+IF(VolSkewFlag=1,IF(CR198&gt;0,BA197*MIN(CR198/10%,1)+(BB197-BA197)*MAX(0,MIN(CR198/10%-1,1))+(BC197-BB197)*MAX(0,CR198/10%-2),AZ197*MIN(-CR198/10%,1)+(AY197-AZ197)*MAX(0,MIN(-CR198/10%-1,1))+(AX197-AY197)*MAX(0,-CR198/10%-2)),0),"")</f>
        <v/>
      </c>
      <c r="CX198" s="470" t="n">
        <f aca="false">IF(BD198,EURO(CP198,Strike1,AO198,AO198,CV198,CO198,IF(OptControl=4,0,1),0),0)</f>
        <v>0</v>
      </c>
      <c r="CY198" s="470" t="n">
        <f aca="false">IF(BD198,EURO(CP198,Strike1,AO198,AO198,CV198,CO198,IF(OptControl=4,0,1),1)+IF(OR(VolSkewFlag=2,ABS(CQ198)&lt;0.0001),0,IF(CQ198&gt;0,-1,1)*CZ198*100*Strike1/CP198^2*CS198/10%),0)</f>
        <v>0</v>
      </c>
      <c r="CZ198" s="470" t="n">
        <f aca="false">IF(BD198,EURO(CP198,Strike1,AO198,AO198,CV198,CO198,IF(OptControl=4,0,1),3)/100,0)</f>
        <v>0</v>
      </c>
      <c r="DA198" s="470" t="n">
        <f aca="false">IF(BD198,EURO(CP198,Strike1,AO198,AO198,CV198,CO198,IF(OptControl=4,0,1),0)-EURO(CP198,Strike1,AO198,AO198,CV198,CO198-1,IF(OptControl=4,0,1),0),0)</f>
        <v>0</v>
      </c>
      <c r="DB198" s="470" t="n">
        <f aca="false">IF(BD198,EURO(CP198,Strike2,AO198,AO198,CW198,CO198,IF(OptControl=3,1,0),0),0)</f>
        <v>0</v>
      </c>
      <c r="DC198" s="470" t="n">
        <f aca="false">IF(BD198,EURO(CP198,Strike2,AO198,AO198,CW198,CO198,IF(OptControl=3,1,0),1)+IF(OR(VolSkewFlag=2,ABS(CR198)&lt;0.0001),0,IF(CR198&gt;0,-1,1)*DD198*100*Strike2/CP198^2*CT198/10%),0)</f>
        <v>0</v>
      </c>
      <c r="DD198" s="470" t="n">
        <f aca="false">IF(BD198,EURO(CP198,Strike2,AO198,AO198,CW198,CO198,IF(OptControl=3,1,0),3)/100,0)</f>
        <v>0</v>
      </c>
      <c r="DE198" s="472" t="n">
        <f aca="false">IF(BD198,EURO(CP198,Strike2,AO198,AO198,CW198,CO198,IF(OptControl=3,1,0),0)-EURO(CP198,Strike2,AO198,AO198,CW198,CO198-1,IF(OptControl=3,1,0),0),0)</f>
        <v>0</v>
      </c>
      <c r="DG198" s="481" t="n">
        <f aca="false">EOMONTH(DG197,0)+1</f>
        <v>51105</v>
      </c>
      <c r="DH198" s="478" t="n">
        <v>23.0600000000001</v>
      </c>
      <c r="DI198" s="479" t="n">
        <v>23.1259090909092</v>
      </c>
      <c r="DJ198" s="480" t="n">
        <f aca="false">DG198</f>
        <v>51105</v>
      </c>
      <c r="DK198" s="478" t="n">
        <v>21.8642376560474</v>
      </c>
      <c r="DL198" s="479" t="n">
        <v>21.9328090909092</v>
      </c>
      <c r="DM198" s="481" t="n">
        <f aca="false">DG198</f>
        <v>51105</v>
      </c>
      <c r="DN198" s="482" t="n">
        <f aca="false">DK198+BrentPhyBrentSpread</f>
        <v>21.9142376560474</v>
      </c>
      <c r="DO198" s="481" t="n">
        <f aca="false">DG198</f>
        <v>51105</v>
      </c>
      <c r="DP198" s="483" t="n">
        <f aca="false">DL198+DQ198</f>
        <v>21.9328090909092</v>
      </c>
      <c r="DQ198" s="546" t="n">
        <v>0</v>
      </c>
      <c r="DR198" s="480" t="n">
        <f aca="false">DG198</f>
        <v>51105</v>
      </c>
      <c r="DS198" s="485" t="n">
        <v>0.117799999999998</v>
      </c>
      <c r="DT198" s="486" t="n">
        <v>0.117009090909089</v>
      </c>
      <c r="DU198" s="480" t="n">
        <f aca="false">DG198</f>
        <v>51105</v>
      </c>
      <c r="DV198" s="485" t="n">
        <v>0.117799999999998</v>
      </c>
      <c r="DW198" s="486" t="n">
        <v>0.117009090909089</v>
      </c>
      <c r="DX198" s="481" t="n">
        <f aca="false">DG198</f>
        <v>51105</v>
      </c>
      <c r="DY198" s="486" t="n">
        <v>0.35</v>
      </c>
      <c r="DZ198" s="481" t="n">
        <f aca="false">DR198</f>
        <v>51105</v>
      </c>
      <c r="EA198" s="486" t="n">
        <f aca="false">DT198</f>
        <v>0.117009090909089</v>
      </c>
      <c r="EB198" s="195"/>
      <c r="EC198" s="547" t="str">
        <f aca="false">IF(BD198,IF(Underlying=1,AS198,AU198),"")</f>
        <v/>
      </c>
      <c r="ED198" s="548" t="str">
        <f aca="false">IF($BD198,$EC198+IF(VolSkewFlag=1,IF(BS198&gt;0,$BA198*MIN(BS198/10%,1)+($BB198-$BA198)*MAX(0,MIN(BS198/10%-1,1))+($BC198-$BB198)*MAX(0,BS198/10%-2),$AZ198*MIN(-BS198/10%,1)+($AY198-$AZ198)*MAX(0,MIN(-BS198/10%-1,1))+($AX198-$AY198)*MAX(0,-BS198/10%-2)),0),"")</f>
        <v/>
      </c>
      <c r="EE198" s="549" t="str">
        <f aca="false">IF($BD198,$EC198+IF(VolSkewFlag=1,IF(BT198&gt;0,$BA198*MIN(BT198/10%,1)+($BB198-$BA198)*MAX(0,MIN(BT198/10%-1,1))+($BC198-$BB198)*MAX(0,BT198/10%-2),$AZ198*MIN(-BT198/10%,1)+($AY198-$AZ198)*MAX(0,MIN(-BT198/10%-1,1))+($AX198-$AY198)*MAX(0,-BT198/10%-2)),0),"")</f>
        <v/>
      </c>
      <c r="EF198" s="550" t="n">
        <f aca="false">IF(BD198,xASN(BR198,Strike1,AO198,ED198,0,BO198,0,BI198,BL198,IF(OptControl=4,0,1),0),0)</f>
        <v>0</v>
      </c>
      <c r="EG198" s="551" t="n">
        <f aca="false">IF(BD198,xASN(BR198,Strike2,AO198,EE198,0,BO198,0,BI198,BL198,IF(OptControl=3,1,0),0),0)</f>
        <v>0</v>
      </c>
      <c r="EL198" s="1"/>
      <c r="EM198" s="195"/>
      <c r="EN198" s="240"/>
      <c r="EO198" s="240"/>
      <c r="EP198" s="195"/>
      <c r="EQ198" s="407" t="s">
        <v>426</v>
      </c>
      <c r="ES198" s="130"/>
      <c r="ET198" s="19"/>
      <c r="EU198" s="672"/>
      <c r="EV198" s="478"/>
      <c r="EW198" s="131"/>
      <c r="EX198" s="131"/>
      <c r="EY198" s="129"/>
      <c r="EZ198" s="129"/>
      <c r="FA198" s="129"/>
      <c r="FB198" s="129"/>
      <c r="FC198" s="129"/>
      <c r="FD198" s="129"/>
      <c r="FE198" s="129"/>
      <c r="FF198" s="129"/>
      <c r="FG198" s="129"/>
      <c r="FH198" s="129"/>
      <c r="FI198" s="129"/>
      <c r="FJ198" s="571" t="n">
        <v>29</v>
      </c>
      <c r="FK198" s="150" t="str">
        <f aca="false">IF(OR(FK$169&lt;SwaptionFirstMonthPosition+1,$FJ198&lt;SwaptionFirstMonthPosition+1,FK$169&gt;SwaptionFirstMonthPosition+SwaptionNumOfMonths+1,$FJ198&gt;SwaptionFirstMonthPosition+SwaptionNumOfMonths+1),"",IF($FJ198=FK$169,1,IF($FJ198&lt;FK$169,INDEX($FK$170:$ID$241,FK$169,$FJ198),SUMPRODUCT(INDEX($FK$325:$ID$396,FK$169,1+SwaptionShift):INDEX($FK$325:$ID$396,FK$169,SwaptionMonthsToGo+SwaptionShift),INDEX($FK$245:$ID$316,$FJ198-FK$169,73-FK$169+SwaptionShift):INDEX($FK$245:$ID$316,$FJ198-FK$169,72-FK$169+SwaptionMonthsToGo+SwaptionShift))/SQRT(SUM(INDEX($FK353:$ID353,1+SwaptionShift):INDEX($FK353:$ID353,SwaptionMonthsToGo+SwaptionShift))*SUM(INDEX($FK$325:$ID$396,FK$169,1+SwaptionShift):INDEX($FK$325:$ID$396,FK$169,SwaptionMonthsToGo+SwaptionShift))))))</f>
        <v/>
      </c>
      <c r="FL198" s="150" t="str">
        <f aca="false">IF(OR(FL$169&lt;SwaptionFirstMonthPosition+1,$FJ198&lt;SwaptionFirstMonthPosition+1,FL$169&gt;SwaptionFirstMonthPosition+SwaptionNumOfMonths+1,$FJ198&gt;SwaptionFirstMonthPosition+SwaptionNumOfMonths+1),"",IF($FJ198=FL$169,1,IF($FJ198&lt;FL$169,INDEX($FK$170:$ID$241,FL$169,$FJ198),SUMPRODUCT(INDEX($FK$325:$ID$396,FL$169,1+SwaptionShift):INDEX($FK$325:$ID$396,FL$169,SwaptionMonthsToGo+SwaptionShift),INDEX($FK$245:$ID$316,$FJ198-FL$169,73-FL$169+SwaptionShift):INDEX($FK$245:$ID$316,$FJ198-FL$169,72-FL$169+SwaptionMonthsToGo+SwaptionShift))/SQRT(SUM(INDEX($FK353:$ID353,1+SwaptionShift):INDEX($FK353:$ID353,SwaptionMonthsToGo+SwaptionShift))*SUM(INDEX($FK$325:$ID$396,FL$169,1+SwaptionShift):INDEX($FK$325:$ID$396,FL$169,SwaptionMonthsToGo+SwaptionShift))))))</f>
        <v/>
      </c>
      <c r="FM198" s="150" t="str">
        <f aca="false">IF(OR(FM$169&lt;SwaptionFirstMonthPosition+1,$FJ198&lt;SwaptionFirstMonthPosition+1,FM$169&gt;SwaptionFirstMonthPosition+SwaptionNumOfMonths+1,$FJ198&gt;SwaptionFirstMonthPosition+SwaptionNumOfMonths+1),"",IF($FJ198=FM$169,1,IF($FJ198&lt;FM$169,INDEX($FK$170:$ID$241,FM$169,$FJ198),SUMPRODUCT(INDEX($FK$325:$ID$396,FM$169,1+SwaptionShift):INDEX($FK$325:$ID$396,FM$169,SwaptionMonthsToGo+SwaptionShift),INDEX($FK$245:$ID$316,$FJ198-FM$169,73-FM$169+SwaptionShift):INDEX($FK$245:$ID$316,$FJ198-FM$169,72-FM$169+SwaptionMonthsToGo+SwaptionShift))/SQRT(SUM(INDEX($FK353:$ID353,1+SwaptionShift):INDEX($FK353:$ID353,SwaptionMonthsToGo+SwaptionShift))*SUM(INDEX($FK$325:$ID$396,FM$169,1+SwaptionShift):INDEX($FK$325:$ID$396,FM$169,SwaptionMonthsToGo+SwaptionShift))))))</f>
        <v/>
      </c>
      <c r="FN198" s="150" t="str">
        <f aca="false">IF(OR(FN$169&lt;SwaptionFirstMonthPosition+1,$FJ198&lt;SwaptionFirstMonthPosition+1,FN$169&gt;SwaptionFirstMonthPosition+SwaptionNumOfMonths+1,$FJ198&gt;SwaptionFirstMonthPosition+SwaptionNumOfMonths+1),"",IF($FJ198=FN$169,1,IF($FJ198&lt;FN$169,INDEX($FK$170:$ID$241,FN$169,$FJ198),SUMPRODUCT(INDEX($FK$325:$ID$396,FN$169,1+SwaptionShift):INDEX($FK$325:$ID$396,FN$169,SwaptionMonthsToGo+SwaptionShift),INDEX($FK$245:$ID$316,$FJ198-FN$169,73-FN$169+SwaptionShift):INDEX($FK$245:$ID$316,$FJ198-FN$169,72-FN$169+SwaptionMonthsToGo+SwaptionShift))/SQRT(SUM(INDEX($FK353:$ID353,1+SwaptionShift):INDEX($FK353:$ID353,SwaptionMonthsToGo+SwaptionShift))*SUM(INDEX($FK$325:$ID$396,FN$169,1+SwaptionShift):INDEX($FK$325:$ID$396,FN$169,SwaptionMonthsToGo+SwaptionShift))))))</f>
        <v/>
      </c>
      <c r="FO198" s="150" t="str">
        <f aca="false">IF(OR(FO$169&lt;SwaptionFirstMonthPosition+1,$FJ198&lt;SwaptionFirstMonthPosition+1,FO$169&gt;SwaptionFirstMonthPosition+SwaptionNumOfMonths+1,$FJ198&gt;SwaptionFirstMonthPosition+SwaptionNumOfMonths+1),"",IF($FJ198=FO$169,1,IF($FJ198&lt;FO$169,INDEX($FK$170:$ID$241,FO$169,$FJ198),SUMPRODUCT(INDEX($FK$325:$ID$396,FO$169,1+SwaptionShift):INDEX($FK$325:$ID$396,FO$169,SwaptionMonthsToGo+SwaptionShift),INDEX($FK$245:$ID$316,$FJ198-FO$169,73-FO$169+SwaptionShift):INDEX($FK$245:$ID$316,$FJ198-FO$169,72-FO$169+SwaptionMonthsToGo+SwaptionShift))/SQRT(SUM(INDEX($FK353:$ID353,1+SwaptionShift):INDEX($FK353:$ID353,SwaptionMonthsToGo+SwaptionShift))*SUM(INDEX($FK$325:$ID$396,FO$169,1+SwaptionShift):INDEX($FK$325:$ID$396,FO$169,SwaptionMonthsToGo+SwaptionShift))))))</f>
        <v/>
      </c>
      <c r="FP198" s="150" t="str">
        <f aca="false">IF(OR(FP$169&lt;SwaptionFirstMonthPosition+1,$FJ198&lt;SwaptionFirstMonthPosition+1,FP$169&gt;SwaptionFirstMonthPosition+SwaptionNumOfMonths+1,$FJ198&gt;SwaptionFirstMonthPosition+SwaptionNumOfMonths+1),"",IF($FJ198=FP$169,1,IF($FJ198&lt;FP$169,INDEX($FK$170:$ID$241,FP$169,$FJ198),SUMPRODUCT(INDEX($FK$325:$ID$396,FP$169,1+SwaptionShift):INDEX($FK$325:$ID$396,FP$169,SwaptionMonthsToGo+SwaptionShift),INDEX($FK$245:$ID$316,$FJ198-FP$169,73-FP$169+SwaptionShift):INDEX($FK$245:$ID$316,$FJ198-FP$169,72-FP$169+SwaptionMonthsToGo+SwaptionShift))/SQRT(SUM(INDEX($FK353:$ID353,1+SwaptionShift):INDEX($FK353:$ID353,SwaptionMonthsToGo+SwaptionShift))*SUM(INDEX($FK$325:$ID$396,FP$169,1+SwaptionShift):INDEX($FK$325:$ID$396,FP$169,SwaptionMonthsToGo+SwaptionShift))))))</f>
        <v/>
      </c>
      <c r="FQ198" s="150" t="str">
        <f aca="false">IF(OR(FQ$169&lt;SwaptionFirstMonthPosition+1,$FJ198&lt;SwaptionFirstMonthPosition+1,FQ$169&gt;SwaptionFirstMonthPosition+SwaptionNumOfMonths+1,$FJ198&gt;SwaptionFirstMonthPosition+SwaptionNumOfMonths+1),"",IF($FJ198=FQ$169,1,IF($FJ198&lt;FQ$169,INDEX($FK$170:$ID$241,FQ$169,$FJ198),SUMPRODUCT(INDEX($FK$325:$ID$396,FQ$169,1+SwaptionShift):INDEX($FK$325:$ID$396,FQ$169,SwaptionMonthsToGo+SwaptionShift),INDEX($FK$245:$ID$316,$FJ198-FQ$169,73-FQ$169+SwaptionShift):INDEX($FK$245:$ID$316,$FJ198-FQ$169,72-FQ$169+SwaptionMonthsToGo+SwaptionShift))/SQRT(SUM(INDEX($FK353:$ID353,1+SwaptionShift):INDEX($FK353:$ID353,SwaptionMonthsToGo+SwaptionShift))*SUM(INDEX($FK$325:$ID$396,FQ$169,1+SwaptionShift):INDEX($FK$325:$ID$396,FQ$169,SwaptionMonthsToGo+SwaptionShift))))))</f>
        <v/>
      </c>
      <c r="FR198" s="150" t="str">
        <f aca="false">IF(OR(FR$169&lt;SwaptionFirstMonthPosition+1,$FJ198&lt;SwaptionFirstMonthPosition+1,FR$169&gt;SwaptionFirstMonthPosition+SwaptionNumOfMonths+1,$FJ198&gt;SwaptionFirstMonthPosition+SwaptionNumOfMonths+1),"",IF($FJ198=FR$169,1,IF($FJ198&lt;FR$169,INDEX($FK$170:$ID$241,FR$169,$FJ198),SUMPRODUCT(INDEX($FK$325:$ID$396,FR$169,1+SwaptionShift):INDEX($FK$325:$ID$396,FR$169,SwaptionMonthsToGo+SwaptionShift),INDEX($FK$245:$ID$316,$FJ198-FR$169,73-FR$169+SwaptionShift):INDEX($FK$245:$ID$316,$FJ198-FR$169,72-FR$169+SwaptionMonthsToGo+SwaptionShift))/SQRT(SUM(INDEX($FK353:$ID353,1+SwaptionShift):INDEX($FK353:$ID353,SwaptionMonthsToGo+SwaptionShift))*SUM(INDEX($FK$325:$ID$396,FR$169,1+SwaptionShift):INDEX($FK$325:$ID$396,FR$169,SwaptionMonthsToGo+SwaptionShift))))))</f>
        <v/>
      </c>
      <c r="FS198" s="150" t="str">
        <f aca="false">IF(OR(FS$169&lt;SwaptionFirstMonthPosition+1,$FJ198&lt;SwaptionFirstMonthPosition+1,FS$169&gt;SwaptionFirstMonthPosition+SwaptionNumOfMonths+1,$FJ198&gt;SwaptionFirstMonthPosition+SwaptionNumOfMonths+1),"",IF($FJ198=FS$169,1,IF($FJ198&lt;FS$169,INDEX($FK$170:$ID$241,FS$169,$FJ198),SUMPRODUCT(INDEX($FK$325:$ID$396,FS$169,1+SwaptionShift):INDEX($FK$325:$ID$396,FS$169,SwaptionMonthsToGo+SwaptionShift),INDEX($FK$245:$ID$316,$FJ198-FS$169,73-FS$169+SwaptionShift):INDEX($FK$245:$ID$316,$FJ198-FS$169,72-FS$169+SwaptionMonthsToGo+SwaptionShift))/SQRT(SUM(INDEX($FK353:$ID353,1+SwaptionShift):INDEX($FK353:$ID353,SwaptionMonthsToGo+SwaptionShift))*SUM(INDEX($FK$325:$ID$396,FS$169,1+SwaptionShift):INDEX($FK$325:$ID$396,FS$169,SwaptionMonthsToGo+SwaptionShift))))))</f>
        <v/>
      </c>
      <c r="FT198" s="150" t="str">
        <f aca="false">IF(OR(FT$169&lt;SwaptionFirstMonthPosition+1,$FJ198&lt;SwaptionFirstMonthPosition+1,FT$169&gt;SwaptionFirstMonthPosition+SwaptionNumOfMonths+1,$FJ198&gt;SwaptionFirstMonthPosition+SwaptionNumOfMonths+1),"",IF($FJ198=FT$169,1,IF($FJ198&lt;FT$169,INDEX($FK$170:$ID$241,FT$169,$FJ198),SUMPRODUCT(INDEX($FK$325:$ID$396,FT$169,1+SwaptionShift):INDEX($FK$325:$ID$396,FT$169,SwaptionMonthsToGo+SwaptionShift),INDEX($FK$245:$ID$316,$FJ198-FT$169,73-FT$169+SwaptionShift):INDEX($FK$245:$ID$316,$FJ198-FT$169,72-FT$169+SwaptionMonthsToGo+SwaptionShift))/SQRT(SUM(INDEX($FK353:$ID353,1+SwaptionShift):INDEX($FK353:$ID353,SwaptionMonthsToGo+SwaptionShift))*SUM(INDEX($FK$325:$ID$396,FT$169,1+SwaptionShift):INDEX($FK$325:$ID$396,FT$169,SwaptionMonthsToGo+SwaptionShift))))))</f>
        <v/>
      </c>
      <c r="FU198" s="150" t="str">
        <f aca="false">IF(OR(FU$169&lt;SwaptionFirstMonthPosition+1,$FJ198&lt;SwaptionFirstMonthPosition+1,FU$169&gt;SwaptionFirstMonthPosition+SwaptionNumOfMonths+1,$FJ198&gt;SwaptionFirstMonthPosition+SwaptionNumOfMonths+1),"",IF($FJ198=FU$169,1,IF($FJ198&lt;FU$169,INDEX($FK$170:$ID$241,FU$169,$FJ198),SUMPRODUCT(INDEX($FK$325:$ID$396,FU$169,1+SwaptionShift):INDEX($FK$325:$ID$396,FU$169,SwaptionMonthsToGo+SwaptionShift),INDEX($FK$245:$ID$316,$FJ198-FU$169,73-FU$169+SwaptionShift):INDEX($FK$245:$ID$316,$FJ198-FU$169,72-FU$169+SwaptionMonthsToGo+SwaptionShift))/SQRT(SUM(INDEX($FK353:$ID353,1+SwaptionShift):INDEX($FK353:$ID353,SwaptionMonthsToGo+SwaptionShift))*SUM(INDEX($FK$325:$ID$396,FU$169,1+SwaptionShift):INDEX($FK$325:$ID$396,FU$169,SwaptionMonthsToGo+SwaptionShift))))))</f>
        <v/>
      </c>
      <c r="FV198" s="150" t="str">
        <f aca="false">IF(OR(FV$169&lt;SwaptionFirstMonthPosition+1,$FJ198&lt;SwaptionFirstMonthPosition+1,FV$169&gt;SwaptionFirstMonthPosition+SwaptionNumOfMonths+1,$FJ198&gt;SwaptionFirstMonthPosition+SwaptionNumOfMonths+1),"",IF($FJ198=FV$169,1,IF($FJ198&lt;FV$169,INDEX($FK$170:$ID$241,FV$169,$FJ198),SUMPRODUCT(INDEX($FK$325:$ID$396,FV$169,1+SwaptionShift):INDEX($FK$325:$ID$396,FV$169,SwaptionMonthsToGo+SwaptionShift),INDEX($FK$245:$ID$316,$FJ198-FV$169,73-FV$169+SwaptionShift):INDEX($FK$245:$ID$316,$FJ198-FV$169,72-FV$169+SwaptionMonthsToGo+SwaptionShift))/SQRT(SUM(INDEX($FK353:$ID353,1+SwaptionShift):INDEX($FK353:$ID353,SwaptionMonthsToGo+SwaptionShift))*SUM(INDEX($FK$325:$ID$396,FV$169,1+SwaptionShift):INDEX($FK$325:$ID$396,FV$169,SwaptionMonthsToGo+SwaptionShift))))))</f>
        <v/>
      </c>
      <c r="FW198" s="150" t="str">
        <f aca="false">IF(OR(FW$169&lt;SwaptionFirstMonthPosition+1,$FJ198&lt;SwaptionFirstMonthPosition+1,FW$169&gt;SwaptionFirstMonthPosition+SwaptionNumOfMonths+1,$FJ198&gt;SwaptionFirstMonthPosition+SwaptionNumOfMonths+1),"",IF($FJ198=FW$169,1,IF($FJ198&lt;FW$169,INDEX($FK$170:$ID$241,FW$169,$FJ198),SUMPRODUCT(INDEX($FK$325:$ID$396,FW$169,1+SwaptionShift):INDEX($FK$325:$ID$396,FW$169,SwaptionMonthsToGo+SwaptionShift),INDEX($FK$245:$ID$316,$FJ198-FW$169,73-FW$169+SwaptionShift):INDEX($FK$245:$ID$316,$FJ198-FW$169,72-FW$169+SwaptionMonthsToGo+SwaptionShift))/SQRT(SUM(INDEX($FK353:$ID353,1+SwaptionShift):INDEX($FK353:$ID353,SwaptionMonthsToGo+SwaptionShift))*SUM(INDEX($FK$325:$ID$396,FW$169,1+SwaptionShift):INDEX($FK$325:$ID$396,FW$169,SwaptionMonthsToGo+SwaptionShift))))))</f>
        <v/>
      </c>
      <c r="FX198" s="150" t="str">
        <f aca="false">IF(OR(FX$169&lt;SwaptionFirstMonthPosition+1,$FJ198&lt;SwaptionFirstMonthPosition+1,FX$169&gt;SwaptionFirstMonthPosition+SwaptionNumOfMonths+1,$FJ198&gt;SwaptionFirstMonthPosition+SwaptionNumOfMonths+1),"",IF($FJ198=FX$169,1,IF($FJ198&lt;FX$169,INDEX($FK$170:$ID$241,FX$169,$FJ198),SUMPRODUCT(INDEX($FK$325:$ID$396,FX$169,1+SwaptionShift):INDEX($FK$325:$ID$396,FX$169,SwaptionMonthsToGo+SwaptionShift),INDEX($FK$245:$ID$316,$FJ198-FX$169,73-FX$169+SwaptionShift):INDEX($FK$245:$ID$316,$FJ198-FX$169,72-FX$169+SwaptionMonthsToGo+SwaptionShift))/SQRT(SUM(INDEX($FK353:$ID353,1+SwaptionShift):INDEX($FK353:$ID353,SwaptionMonthsToGo+SwaptionShift))*SUM(INDEX($FK$325:$ID$396,FX$169,1+SwaptionShift):INDEX($FK$325:$ID$396,FX$169,SwaptionMonthsToGo+SwaptionShift))))))</f>
        <v/>
      </c>
      <c r="FY198" s="150" t="str">
        <f aca="false">IF(OR(FY$169&lt;SwaptionFirstMonthPosition+1,$FJ198&lt;SwaptionFirstMonthPosition+1,FY$169&gt;SwaptionFirstMonthPosition+SwaptionNumOfMonths+1,$FJ198&gt;SwaptionFirstMonthPosition+SwaptionNumOfMonths+1),"",IF($FJ198=FY$169,1,IF($FJ198&lt;FY$169,INDEX($FK$170:$ID$241,FY$169,$FJ198),SUMPRODUCT(INDEX($FK$325:$ID$396,FY$169,1+SwaptionShift):INDEX($FK$325:$ID$396,FY$169,SwaptionMonthsToGo+SwaptionShift),INDEX($FK$245:$ID$316,$FJ198-FY$169,73-FY$169+SwaptionShift):INDEX($FK$245:$ID$316,$FJ198-FY$169,72-FY$169+SwaptionMonthsToGo+SwaptionShift))/SQRT(SUM(INDEX($FK353:$ID353,1+SwaptionShift):INDEX($FK353:$ID353,SwaptionMonthsToGo+SwaptionShift))*SUM(INDEX($FK$325:$ID$396,FY$169,1+SwaptionShift):INDEX($FK$325:$ID$396,FY$169,SwaptionMonthsToGo+SwaptionShift))))))</f>
        <v/>
      </c>
      <c r="FZ198" s="150" t="str">
        <f aca="false">IF(OR(FZ$169&lt;SwaptionFirstMonthPosition+1,$FJ198&lt;SwaptionFirstMonthPosition+1,FZ$169&gt;SwaptionFirstMonthPosition+SwaptionNumOfMonths+1,$FJ198&gt;SwaptionFirstMonthPosition+SwaptionNumOfMonths+1),"",IF($FJ198=FZ$169,1,IF($FJ198&lt;FZ$169,INDEX($FK$170:$ID$241,FZ$169,$FJ198),SUMPRODUCT(INDEX($FK$325:$ID$396,FZ$169,1+SwaptionShift):INDEX($FK$325:$ID$396,FZ$169,SwaptionMonthsToGo+SwaptionShift),INDEX($FK$245:$ID$316,$FJ198-FZ$169,73-FZ$169+SwaptionShift):INDEX($FK$245:$ID$316,$FJ198-FZ$169,72-FZ$169+SwaptionMonthsToGo+SwaptionShift))/SQRT(SUM(INDEX($FK353:$ID353,1+SwaptionShift):INDEX($FK353:$ID353,SwaptionMonthsToGo+SwaptionShift))*SUM(INDEX($FK$325:$ID$396,FZ$169,1+SwaptionShift):INDEX($FK$325:$ID$396,FZ$169,SwaptionMonthsToGo+SwaptionShift))))))</f>
        <v/>
      </c>
      <c r="GA198" s="150" t="str">
        <f aca="false">IF(OR(GA$169&lt;SwaptionFirstMonthPosition+1,$FJ198&lt;SwaptionFirstMonthPosition+1,GA$169&gt;SwaptionFirstMonthPosition+SwaptionNumOfMonths+1,$FJ198&gt;SwaptionFirstMonthPosition+SwaptionNumOfMonths+1),"",IF($FJ198=GA$169,1,IF($FJ198&lt;GA$169,INDEX($FK$170:$ID$241,GA$169,$FJ198),SUMPRODUCT(INDEX($FK$325:$ID$396,GA$169,1+SwaptionShift):INDEX($FK$325:$ID$396,GA$169,SwaptionMonthsToGo+SwaptionShift),INDEX($FK$245:$ID$316,$FJ198-GA$169,73-GA$169+SwaptionShift):INDEX($FK$245:$ID$316,$FJ198-GA$169,72-GA$169+SwaptionMonthsToGo+SwaptionShift))/SQRT(SUM(INDEX($FK353:$ID353,1+SwaptionShift):INDEX($FK353:$ID353,SwaptionMonthsToGo+SwaptionShift))*SUM(INDEX($FK$325:$ID$396,GA$169,1+SwaptionShift):INDEX($FK$325:$ID$396,GA$169,SwaptionMonthsToGo+SwaptionShift))))))</f>
        <v/>
      </c>
      <c r="GB198" s="150" t="str">
        <f aca="false">IF(OR(GB$169&lt;SwaptionFirstMonthPosition+1,$FJ198&lt;SwaptionFirstMonthPosition+1,GB$169&gt;SwaptionFirstMonthPosition+SwaptionNumOfMonths+1,$FJ198&gt;SwaptionFirstMonthPosition+SwaptionNumOfMonths+1),"",IF($FJ198=GB$169,1,IF($FJ198&lt;GB$169,INDEX($FK$170:$ID$241,GB$169,$FJ198),SUMPRODUCT(INDEX($FK$325:$ID$396,GB$169,1+SwaptionShift):INDEX($FK$325:$ID$396,GB$169,SwaptionMonthsToGo+SwaptionShift),INDEX($FK$245:$ID$316,$FJ198-GB$169,73-GB$169+SwaptionShift):INDEX($FK$245:$ID$316,$FJ198-GB$169,72-GB$169+SwaptionMonthsToGo+SwaptionShift))/SQRT(SUM(INDEX($FK353:$ID353,1+SwaptionShift):INDEX($FK353:$ID353,SwaptionMonthsToGo+SwaptionShift))*SUM(INDEX($FK$325:$ID$396,GB$169,1+SwaptionShift):INDEX($FK$325:$ID$396,GB$169,SwaptionMonthsToGo+SwaptionShift))))))</f>
        <v/>
      </c>
      <c r="GC198" s="150" t="str">
        <f aca="false">IF(OR(GC$169&lt;SwaptionFirstMonthPosition+1,$FJ198&lt;SwaptionFirstMonthPosition+1,GC$169&gt;SwaptionFirstMonthPosition+SwaptionNumOfMonths+1,$FJ198&gt;SwaptionFirstMonthPosition+SwaptionNumOfMonths+1),"",IF($FJ198=GC$169,1,IF($FJ198&lt;GC$169,INDEX($FK$170:$ID$241,GC$169,$FJ198),SUMPRODUCT(INDEX($FK$325:$ID$396,GC$169,1+SwaptionShift):INDEX($FK$325:$ID$396,GC$169,SwaptionMonthsToGo+SwaptionShift),INDEX($FK$245:$ID$316,$FJ198-GC$169,73-GC$169+SwaptionShift):INDEX($FK$245:$ID$316,$FJ198-GC$169,72-GC$169+SwaptionMonthsToGo+SwaptionShift))/SQRT(SUM(INDEX($FK353:$ID353,1+SwaptionShift):INDEX($FK353:$ID353,SwaptionMonthsToGo+SwaptionShift))*SUM(INDEX($FK$325:$ID$396,GC$169,1+SwaptionShift):INDEX($FK$325:$ID$396,GC$169,SwaptionMonthsToGo+SwaptionShift))))))</f>
        <v/>
      </c>
      <c r="GD198" s="150" t="str">
        <f aca="false">IF(OR(GD$169&lt;SwaptionFirstMonthPosition+1,$FJ198&lt;SwaptionFirstMonthPosition+1,GD$169&gt;SwaptionFirstMonthPosition+SwaptionNumOfMonths+1,$FJ198&gt;SwaptionFirstMonthPosition+SwaptionNumOfMonths+1),"",IF($FJ198=GD$169,1,IF($FJ198&lt;GD$169,INDEX($FK$170:$ID$241,GD$169,$FJ198),SUMPRODUCT(INDEX($FK$325:$ID$396,GD$169,1+SwaptionShift):INDEX($FK$325:$ID$396,GD$169,SwaptionMonthsToGo+SwaptionShift),INDEX($FK$245:$ID$316,$FJ198-GD$169,73-GD$169+SwaptionShift):INDEX($FK$245:$ID$316,$FJ198-GD$169,72-GD$169+SwaptionMonthsToGo+SwaptionShift))/SQRT(SUM(INDEX($FK353:$ID353,1+SwaptionShift):INDEX($FK353:$ID353,SwaptionMonthsToGo+SwaptionShift))*SUM(INDEX($FK$325:$ID$396,GD$169,1+SwaptionShift):INDEX($FK$325:$ID$396,GD$169,SwaptionMonthsToGo+SwaptionShift))))))</f>
        <v/>
      </c>
      <c r="GE198" s="150" t="str">
        <f aca="false">IF(OR(GE$169&lt;SwaptionFirstMonthPosition+1,$FJ198&lt;SwaptionFirstMonthPosition+1,GE$169&gt;SwaptionFirstMonthPosition+SwaptionNumOfMonths+1,$FJ198&gt;SwaptionFirstMonthPosition+SwaptionNumOfMonths+1),"",IF($FJ198=GE$169,1,IF($FJ198&lt;GE$169,INDEX($FK$170:$ID$241,GE$169,$FJ198),SUMPRODUCT(INDEX($FK$325:$ID$396,GE$169,1+SwaptionShift):INDEX($FK$325:$ID$396,GE$169,SwaptionMonthsToGo+SwaptionShift),INDEX($FK$245:$ID$316,$FJ198-GE$169,73-GE$169+SwaptionShift):INDEX($FK$245:$ID$316,$FJ198-GE$169,72-GE$169+SwaptionMonthsToGo+SwaptionShift))/SQRT(SUM(INDEX($FK353:$ID353,1+SwaptionShift):INDEX($FK353:$ID353,SwaptionMonthsToGo+SwaptionShift))*SUM(INDEX($FK$325:$ID$396,GE$169,1+SwaptionShift):INDEX($FK$325:$ID$396,GE$169,SwaptionMonthsToGo+SwaptionShift))))))</f>
        <v/>
      </c>
      <c r="GF198" s="150" t="str">
        <f aca="false">IF(OR(GF$169&lt;SwaptionFirstMonthPosition+1,$FJ198&lt;SwaptionFirstMonthPosition+1,GF$169&gt;SwaptionFirstMonthPosition+SwaptionNumOfMonths+1,$FJ198&gt;SwaptionFirstMonthPosition+SwaptionNumOfMonths+1),"",IF($FJ198=GF$169,1,IF($FJ198&lt;GF$169,INDEX($FK$170:$ID$241,GF$169,$FJ198),SUMPRODUCT(INDEX($FK$325:$ID$396,GF$169,1+SwaptionShift):INDEX($FK$325:$ID$396,GF$169,SwaptionMonthsToGo+SwaptionShift),INDEX($FK$245:$ID$316,$FJ198-GF$169,73-GF$169+SwaptionShift):INDEX($FK$245:$ID$316,$FJ198-GF$169,72-GF$169+SwaptionMonthsToGo+SwaptionShift))/SQRT(SUM(INDEX($FK353:$ID353,1+SwaptionShift):INDEX($FK353:$ID353,SwaptionMonthsToGo+SwaptionShift))*SUM(INDEX($FK$325:$ID$396,GF$169,1+SwaptionShift):INDEX($FK$325:$ID$396,GF$169,SwaptionMonthsToGo+SwaptionShift))))))</f>
        <v/>
      </c>
      <c r="GG198" s="150" t="str">
        <f aca="false">IF(OR(GG$169&lt;SwaptionFirstMonthPosition+1,$FJ198&lt;SwaptionFirstMonthPosition+1,GG$169&gt;SwaptionFirstMonthPosition+SwaptionNumOfMonths+1,$FJ198&gt;SwaptionFirstMonthPosition+SwaptionNumOfMonths+1),"",IF($FJ198=GG$169,1,IF($FJ198&lt;GG$169,INDEX($FK$170:$ID$241,GG$169,$FJ198),SUMPRODUCT(INDEX($FK$325:$ID$396,GG$169,1+SwaptionShift):INDEX($FK$325:$ID$396,GG$169,SwaptionMonthsToGo+SwaptionShift),INDEX($FK$245:$ID$316,$FJ198-GG$169,73-GG$169+SwaptionShift):INDEX($FK$245:$ID$316,$FJ198-GG$169,72-GG$169+SwaptionMonthsToGo+SwaptionShift))/SQRT(SUM(INDEX($FK353:$ID353,1+SwaptionShift):INDEX($FK353:$ID353,SwaptionMonthsToGo+SwaptionShift))*SUM(INDEX($FK$325:$ID$396,GG$169,1+SwaptionShift):INDEX($FK$325:$ID$396,GG$169,SwaptionMonthsToGo+SwaptionShift))))))</f>
        <v/>
      </c>
      <c r="GH198" s="150" t="str">
        <f aca="false">IF(OR(GH$169&lt;SwaptionFirstMonthPosition+1,$FJ198&lt;SwaptionFirstMonthPosition+1,GH$169&gt;SwaptionFirstMonthPosition+SwaptionNumOfMonths+1,$FJ198&gt;SwaptionFirstMonthPosition+SwaptionNumOfMonths+1),"",IF($FJ198=GH$169,1,IF($FJ198&lt;GH$169,INDEX($FK$170:$ID$241,GH$169,$FJ198),SUMPRODUCT(INDEX($FK$325:$ID$396,GH$169,1+SwaptionShift):INDEX($FK$325:$ID$396,GH$169,SwaptionMonthsToGo+SwaptionShift),INDEX($FK$245:$ID$316,$FJ198-GH$169,73-GH$169+SwaptionShift):INDEX($FK$245:$ID$316,$FJ198-GH$169,72-GH$169+SwaptionMonthsToGo+SwaptionShift))/SQRT(SUM(INDEX($FK353:$ID353,1+SwaptionShift):INDEX($FK353:$ID353,SwaptionMonthsToGo+SwaptionShift))*SUM(INDEX($FK$325:$ID$396,GH$169,1+SwaptionShift):INDEX($FK$325:$ID$396,GH$169,SwaptionMonthsToGo+SwaptionShift))))))</f>
        <v/>
      </c>
      <c r="GI198" s="150" t="str">
        <f aca="false">IF(OR(GI$169&lt;SwaptionFirstMonthPosition+1,$FJ198&lt;SwaptionFirstMonthPosition+1,GI$169&gt;SwaptionFirstMonthPosition+SwaptionNumOfMonths+1,$FJ198&gt;SwaptionFirstMonthPosition+SwaptionNumOfMonths+1),"",IF($FJ198=GI$169,1,IF($FJ198&lt;GI$169,INDEX($FK$170:$ID$241,GI$169,$FJ198),SUMPRODUCT(INDEX($FK$325:$ID$396,GI$169,1+SwaptionShift):INDEX($FK$325:$ID$396,GI$169,SwaptionMonthsToGo+SwaptionShift),INDEX($FK$245:$ID$316,$FJ198-GI$169,73-GI$169+SwaptionShift):INDEX($FK$245:$ID$316,$FJ198-GI$169,72-GI$169+SwaptionMonthsToGo+SwaptionShift))/SQRT(SUM(INDEX($FK353:$ID353,1+SwaptionShift):INDEX($FK353:$ID353,SwaptionMonthsToGo+SwaptionShift))*SUM(INDEX($FK$325:$ID$396,GI$169,1+SwaptionShift):INDEX($FK$325:$ID$396,GI$169,SwaptionMonthsToGo+SwaptionShift))))))</f>
        <v/>
      </c>
      <c r="GJ198" s="150" t="str">
        <f aca="false">IF(OR(GJ$169&lt;SwaptionFirstMonthPosition+1,$FJ198&lt;SwaptionFirstMonthPosition+1,GJ$169&gt;SwaptionFirstMonthPosition+SwaptionNumOfMonths+1,$FJ198&gt;SwaptionFirstMonthPosition+SwaptionNumOfMonths+1),"",IF($FJ198=GJ$169,1,IF($FJ198&lt;GJ$169,INDEX($FK$170:$ID$241,GJ$169,$FJ198),SUMPRODUCT(INDEX($FK$325:$ID$396,GJ$169,1+SwaptionShift):INDEX($FK$325:$ID$396,GJ$169,SwaptionMonthsToGo+SwaptionShift),INDEX($FK$245:$ID$316,$FJ198-GJ$169,73-GJ$169+SwaptionShift):INDEX($FK$245:$ID$316,$FJ198-GJ$169,72-GJ$169+SwaptionMonthsToGo+SwaptionShift))/SQRT(SUM(INDEX($FK353:$ID353,1+SwaptionShift):INDEX($FK353:$ID353,SwaptionMonthsToGo+SwaptionShift))*SUM(INDEX($FK$325:$ID$396,GJ$169,1+SwaptionShift):INDEX($FK$325:$ID$396,GJ$169,SwaptionMonthsToGo+SwaptionShift))))))</f>
        <v/>
      </c>
      <c r="GK198" s="150" t="str">
        <f aca="false">IF(OR(GK$169&lt;SwaptionFirstMonthPosition+1,$FJ198&lt;SwaptionFirstMonthPosition+1,GK$169&gt;SwaptionFirstMonthPosition+SwaptionNumOfMonths+1,$FJ198&gt;SwaptionFirstMonthPosition+SwaptionNumOfMonths+1),"",IF($FJ198=GK$169,1,IF($FJ198&lt;GK$169,INDEX($FK$170:$ID$241,GK$169,$FJ198),SUMPRODUCT(INDEX($FK$325:$ID$396,GK$169,1+SwaptionShift):INDEX($FK$325:$ID$396,GK$169,SwaptionMonthsToGo+SwaptionShift),INDEX($FK$245:$ID$316,$FJ198-GK$169,73-GK$169+SwaptionShift):INDEX($FK$245:$ID$316,$FJ198-GK$169,72-GK$169+SwaptionMonthsToGo+SwaptionShift))/SQRT(SUM(INDEX($FK353:$ID353,1+SwaptionShift):INDEX($FK353:$ID353,SwaptionMonthsToGo+SwaptionShift))*SUM(INDEX($FK$325:$ID$396,GK$169,1+SwaptionShift):INDEX($FK$325:$ID$396,GK$169,SwaptionMonthsToGo+SwaptionShift))))))</f>
        <v/>
      </c>
      <c r="GL198" s="150" t="str">
        <f aca="false">IF(OR(GL$169&lt;SwaptionFirstMonthPosition+1,$FJ198&lt;SwaptionFirstMonthPosition+1,GL$169&gt;SwaptionFirstMonthPosition+SwaptionNumOfMonths+1,$FJ198&gt;SwaptionFirstMonthPosition+SwaptionNumOfMonths+1),"",IF($FJ198=GL$169,1,IF($FJ198&lt;GL$169,INDEX($FK$170:$ID$241,GL$169,$FJ198),SUMPRODUCT(INDEX($FK$325:$ID$396,GL$169,1+SwaptionShift):INDEX($FK$325:$ID$396,GL$169,SwaptionMonthsToGo+SwaptionShift),INDEX($FK$245:$ID$316,$FJ198-GL$169,73-GL$169+SwaptionShift):INDEX($FK$245:$ID$316,$FJ198-GL$169,72-GL$169+SwaptionMonthsToGo+SwaptionShift))/SQRT(SUM(INDEX($FK353:$ID353,1+SwaptionShift):INDEX($FK353:$ID353,SwaptionMonthsToGo+SwaptionShift))*SUM(INDEX($FK$325:$ID$396,GL$169,1+SwaptionShift):INDEX($FK$325:$ID$396,GL$169,SwaptionMonthsToGo+SwaptionShift))))))</f>
        <v/>
      </c>
      <c r="GM198" s="150" t="str">
        <f aca="false">IF(OR(GM$169&lt;SwaptionFirstMonthPosition+1,$FJ198&lt;SwaptionFirstMonthPosition+1,GM$169&gt;SwaptionFirstMonthPosition+SwaptionNumOfMonths+1,$FJ198&gt;SwaptionFirstMonthPosition+SwaptionNumOfMonths+1),"",IF($FJ198=GM$169,1,IF($FJ198&lt;GM$169,INDEX($FK$170:$ID$241,GM$169,$FJ198),SUMPRODUCT(INDEX($FK$325:$ID$396,GM$169,1+SwaptionShift):INDEX($FK$325:$ID$396,GM$169,SwaptionMonthsToGo+SwaptionShift),INDEX($FK$245:$ID$316,$FJ198-GM$169,73-GM$169+SwaptionShift):INDEX($FK$245:$ID$316,$FJ198-GM$169,72-GM$169+SwaptionMonthsToGo+SwaptionShift))/SQRT(SUM(INDEX($FK353:$ID353,1+SwaptionShift):INDEX($FK353:$ID353,SwaptionMonthsToGo+SwaptionShift))*SUM(INDEX($FK$325:$ID$396,GM$169,1+SwaptionShift):INDEX($FK$325:$ID$396,GM$169,SwaptionMonthsToGo+SwaptionShift))))))</f>
        <v/>
      </c>
      <c r="GN198" s="150" t="str">
        <f aca="false">IF(OR(GN$169&lt;SwaptionFirstMonthPosition+1,$FJ198&lt;SwaptionFirstMonthPosition+1,GN$169&gt;SwaptionFirstMonthPosition+SwaptionNumOfMonths+1,$FJ198&gt;SwaptionFirstMonthPosition+SwaptionNumOfMonths+1),"",IF($FJ198=GN$169,1,IF($FJ198&lt;GN$169,INDEX($FK$170:$ID$241,GN$169,$FJ198),SUMPRODUCT(INDEX($FK$325:$ID$396,GN$169,1+SwaptionShift):INDEX($FK$325:$ID$396,GN$169,SwaptionMonthsToGo+SwaptionShift),INDEX($FK$245:$ID$316,$FJ198-GN$169,73-GN$169+SwaptionShift):INDEX($FK$245:$ID$316,$FJ198-GN$169,72-GN$169+SwaptionMonthsToGo+SwaptionShift))/SQRT(SUM(INDEX($FK353:$ID353,1+SwaptionShift):INDEX($FK353:$ID353,SwaptionMonthsToGo+SwaptionShift))*SUM(INDEX($FK$325:$ID$396,GN$169,1+SwaptionShift):INDEX($FK$325:$ID$396,GN$169,SwaptionMonthsToGo+SwaptionShift))))))</f>
        <v/>
      </c>
      <c r="GO198" s="150" t="str">
        <f aca="false">IF(OR(GO$169&lt;SwaptionFirstMonthPosition+1,$FJ198&lt;SwaptionFirstMonthPosition+1,GO$169&gt;SwaptionFirstMonthPosition+SwaptionNumOfMonths+1,$FJ198&gt;SwaptionFirstMonthPosition+SwaptionNumOfMonths+1),"",IF($FJ198=GO$169,1,IF($FJ198&lt;GO$169,INDEX($FK$170:$ID$241,GO$169,$FJ198),SUMPRODUCT(INDEX($FK$325:$ID$396,GO$169,1+SwaptionShift):INDEX($FK$325:$ID$396,GO$169,SwaptionMonthsToGo+SwaptionShift),INDEX($FK$245:$ID$316,$FJ198-GO$169,73-GO$169+SwaptionShift):INDEX($FK$245:$ID$316,$FJ198-GO$169,72-GO$169+SwaptionMonthsToGo+SwaptionShift))/SQRT(SUM(INDEX($FK353:$ID353,1+SwaptionShift):INDEX($FK353:$ID353,SwaptionMonthsToGo+SwaptionShift))*SUM(INDEX($FK$325:$ID$396,GO$169,1+SwaptionShift):INDEX($FK$325:$ID$396,GO$169,SwaptionMonthsToGo+SwaptionShift))))))</f>
        <v/>
      </c>
      <c r="GP198" s="150" t="str">
        <f aca="false">IF(OR(GP$169&lt;SwaptionFirstMonthPosition+1,$FJ198&lt;SwaptionFirstMonthPosition+1,GP$169&gt;SwaptionFirstMonthPosition+SwaptionNumOfMonths+1,$FJ198&gt;SwaptionFirstMonthPosition+SwaptionNumOfMonths+1),"",IF($FJ198=GP$169,1,IF($FJ198&lt;GP$169,INDEX($FK$170:$ID$241,GP$169,$FJ198),SUMPRODUCT(INDEX($FK$325:$ID$396,GP$169,1+SwaptionShift):INDEX($FK$325:$ID$396,GP$169,SwaptionMonthsToGo+SwaptionShift),INDEX($FK$245:$ID$316,$FJ198-GP$169,73-GP$169+SwaptionShift):INDEX($FK$245:$ID$316,$FJ198-GP$169,72-GP$169+SwaptionMonthsToGo+SwaptionShift))/SQRT(SUM(INDEX($FK353:$ID353,1+SwaptionShift):INDEX($FK353:$ID353,SwaptionMonthsToGo+SwaptionShift))*SUM(INDEX($FK$325:$ID$396,GP$169,1+SwaptionShift):INDEX($FK$325:$ID$396,GP$169,SwaptionMonthsToGo+SwaptionShift))))))</f>
        <v/>
      </c>
      <c r="GQ198" s="150" t="str">
        <f aca="false">IF(OR(GQ$169&lt;SwaptionFirstMonthPosition+1,$FJ198&lt;SwaptionFirstMonthPosition+1,GQ$169&gt;SwaptionFirstMonthPosition+SwaptionNumOfMonths+1,$FJ198&gt;SwaptionFirstMonthPosition+SwaptionNumOfMonths+1),"",IF($FJ198=GQ$169,1,IF($FJ198&lt;GQ$169,INDEX($FK$170:$ID$241,GQ$169,$FJ198),SUMPRODUCT(INDEX($FK$325:$ID$396,GQ$169,1+SwaptionShift):INDEX($FK$325:$ID$396,GQ$169,SwaptionMonthsToGo+SwaptionShift),INDEX($FK$245:$ID$316,$FJ198-GQ$169,73-GQ$169+SwaptionShift):INDEX($FK$245:$ID$316,$FJ198-GQ$169,72-GQ$169+SwaptionMonthsToGo+SwaptionShift))/SQRT(SUM(INDEX($FK353:$ID353,1+SwaptionShift):INDEX($FK353:$ID353,SwaptionMonthsToGo+SwaptionShift))*SUM(INDEX($FK$325:$ID$396,GQ$169,1+SwaptionShift):INDEX($FK$325:$ID$396,GQ$169,SwaptionMonthsToGo+SwaptionShift))))))</f>
        <v/>
      </c>
      <c r="GR198" s="150" t="str">
        <f aca="false">IF(OR(GR$169&lt;SwaptionFirstMonthPosition+1,$FJ198&lt;SwaptionFirstMonthPosition+1,GR$169&gt;SwaptionFirstMonthPosition+SwaptionNumOfMonths+1,$FJ198&gt;SwaptionFirstMonthPosition+SwaptionNumOfMonths+1),"",IF($FJ198=GR$169,1,IF($FJ198&lt;GR$169,INDEX($FK$170:$ID$241,GR$169,$FJ198),SUMPRODUCT(INDEX($FK$325:$ID$396,GR$169,1+SwaptionShift):INDEX($FK$325:$ID$396,GR$169,SwaptionMonthsToGo+SwaptionShift),INDEX($FK$245:$ID$316,$FJ198-GR$169,73-GR$169+SwaptionShift):INDEX($FK$245:$ID$316,$FJ198-GR$169,72-GR$169+SwaptionMonthsToGo+SwaptionShift))/SQRT(SUM(INDEX($FK353:$ID353,1+SwaptionShift):INDEX($FK353:$ID353,SwaptionMonthsToGo+SwaptionShift))*SUM(INDEX($FK$325:$ID$396,GR$169,1+SwaptionShift):INDEX($FK$325:$ID$396,GR$169,SwaptionMonthsToGo+SwaptionShift))))))</f>
        <v/>
      </c>
      <c r="GS198" s="150" t="str">
        <f aca="false">IF(OR(GS$169&lt;SwaptionFirstMonthPosition+1,$FJ198&lt;SwaptionFirstMonthPosition+1,GS$169&gt;SwaptionFirstMonthPosition+SwaptionNumOfMonths+1,$FJ198&gt;SwaptionFirstMonthPosition+SwaptionNumOfMonths+1),"",IF($FJ198=GS$169,1,IF($FJ198&lt;GS$169,INDEX($FK$170:$ID$241,GS$169,$FJ198),SUMPRODUCT(INDEX($FK$325:$ID$396,GS$169,1+SwaptionShift):INDEX($FK$325:$ID$396,GS$169,SwaptionMonthsToGo+SwaptionShift),INDEX($FK$245:$ID$316,$FJ198-GS$169,73-GS$169+SwaptionShift):INDEX($FK$245:$ID$316,$FJ198-GS$169,72-GS$169+SwaptionMonthsToGo+SwaptionShift))/SQRT(SUM(INDEX($FK353:$ID353,1+SwaptionShift):INDEX($FK353:$ID353,SwaptionMonthsToGo+SwaptionShift))*SUM(INDEX($FK$325:$ID$396,GS$169,1+SwaptionShift):INDEX($FK$325:$ID$396,GS$169,SwaptionMonthsToGo+SwaptionShift))))))</f>
        <v/>
      </c>
      <c r="GT198" s="150" t="str">
        <f aca="false">IF(OR(GT$169&lt;SwaptionFirstMonthPosition+1,$FJ198&lt;SwaptionFirstMonthPosition+1,GT$169&gt;SwaptionFirstMonthPosition+SwaptionNumOfMonths+1,$FJ198&gt;SwaptionFirstMonthPosition+SwaptionNumOfMonths+1),"",IF($FJ198=GT$169,1,IF($FJ198&lt;GT$169,INDEX($FK$170:$ID$241,GT$169,$FJ198),SUMPRODUCT(INDEX($FK$325:$ID$396,GT$169,1+SwaptionShift):INDEX($FK$325:$ID$396,GT$169,SwaptionMonthsToGo+SwaptionShift),INDEX($FK$245:$ID$316,$FJ198-GT$169,73-GT$169+SwaptionShift):INDEX($FK$245:$ID$316,$FJ198-GT$169,72-GT$169+SwaptionMonthsToGo+SwaptionShift))/SQRT(SUM(INDEX($FK353:$ID353,1+SwaptionShift):INDEX($FK353:$ID353,SwaptionMonthsToGo+SwaptionShift))*SUM(INDEX($FK$325:$ID$396,GT$169,1+SwaptionShift):INDEX($FK$325:$ID$396,GT$169,SwaptionMonthsToGo+SwaptionShift))))))</f>
        <v/>
      </c>
      <c r="GU198" s="150" t="str">
        <f aca="false">IF(OR(GU$169&lt;SwaptionFirstMonthPosition+1,$FJ198&lt;SwaptionFirstMonthPosition+1,GU$169&gt;SwaptionFirstMonthPosition+SwaptionNumOfMonths+1,$FJ198&gt;SwaptionFirstMonthPosition+SwaptionNumOfMonths+1),"",IF($FJ198=GU$169,1,IF($FJ198&lt;GU$169,INDEX($FK$170:$ID$241,GU$169,$FJ198),SUMPRODUCT(INDEX($FK$325:$ID$396,GU$169,1+SwaptionShift):INDEX($FK$325:$ID$396,GU$169,SwaptionMonthsToGo+SwaptionShift),INDEX($FK$245:$ID$316,$FJ198-GU$169,73-GU$169+SwaptionShift):INDEX($FK$245:$ID$316,$FJ198-GU$169,72-GU$169+SwaptionMonthsToGo+SwaptionShift))/SQRT(SUM(INDEX($FK353:$ID353,1+SwaptionShift):INDEX($FK353:$ID353,SwaptionMonthsToGo+SwaptionShift))*SUM(INDEX($FK$325:$ID$396,GU$169,1+SwaptionShift):INDEX($FK$325:$ID$396,GU$169,SwaptionMonthsToGo+SwaptionShift))))))</f>
        <v/>
      </c>
      <c r="GV198" s="150" t="str">
        <f aca="false">IF(OR(GV$169&lt;SwaptionFirstMonthPosition+1,$FJ198&lt;SwaptionFirstMonthPosition+1,GV$169&gt;SwaptionFirstMonthPosition+SwaptionNumOfMonths+1,$FJ198&gt;SwaptionFirstMonthPosition+SwaptionNumOfMonths+1),"",IF($FJ198=GV$169,1,IF($FJ198&lt;GV$169,INDEX($FK$170:$ID$241,GV$169,$FJ198),SUMPRODUCT(INDEX($FK$325:$ID$396,GV$169,1+SwaptionShift):INDEX($FK$325:$ID$396,GV$169,SwaptionMonthsToGo+SwaptionShift),INDEX($FK$245:$ID$316,$FJ198-GV$169,73-GV$169+SwaptionShift):INDEX($FK$245:$ID$316,$FJ198-GV$169,72-GV$169+SwaptionMonthsToGo+SwaptionShift))/SQRT(SUM(INDEX($FK353:$ID353,1+SwaptionShift):INDEX($FK353:$ID353,SwaptionMonthsToGo+SwaptionShift))*SUM(INDEX($FK$325:$ID$396,GV$169,1+SwaptionShift):INDEX($FK$325:$ID$396,GV$169,SwaptionMonthsToGo+SwaptionShift))))))</f>
        <v/>
      </c>
      <c r="GW198" s="150" t="str">
        <f aca="false">IF(OR(GW$169&lt;SwaptionFirstMonthPosition+1,$FJ198&lt;SwaptionFirstMonthPosition+1,GW$169&gt;SwaptionFirstMonthPosition+SwaptionNumOfMonths+1,$FJ198&gt;SwaptionFirstMonthPosition+SwaptionNumOfMonths+1),"",IF($FJ198=GW$169,1,IF($FJ198&lt;GW$169,INDEX($FK$170:$ID$241,GW$169,$FJ198),SUMPRODUCT(INDEX($FK$325:$ID$396,GW$169,1+SwaptionShift):INDEX($FK$325:$ID$396,GW$169,SwaptionMonthsToGo+SwaptionShift),INDEX($FK$245:$ID$316,$FJ198-GW$169,73-GW$169+SwaptionShift):INDEX($FK$245:$ID$316,$FJ198-GW$169,72-GW$169+SwaptionMonthsToGo+SwaptionShift))/SQRT(SUM(INDEX($FK353:$ID353,1+SwaptionShift):INDEX($FK353:$ID353,SwaptionMonthsToGo+SwaptionShift))*SUM(INDEX($FK$325:$ID$396,GW$169,1+SwaptionShift):INDEX($FK$325:$ID$396,GW$169,SwaptionMonthsToGo+SwaptionShift))))))</f>
        <v/>
      </c>
      <c r="GX198" s="150" t="str">
        <f aca="false">IF(OR(GX$169&lt;SwaptionFirstMonthPosition+1,$FJ198&lt;SwaptionFirstMonthPosition+1,GX$169&gt;SwaptionFirstMonthPosition+SwaptionNumOfMonths+1,$FJ198&gt;SwaptionFirstMonthPosition+SwaptionNumOfMonths+1),"",IF($FJ198=GX$169,1,IF($FJ198&lt;GX$169,INDEX($FK$170:$ID$241,GX$169,$FJ198),SUMPRODUCT(INDEX($FK$325:$ID$396,GX$169,1+SwaptionShift):INDEX($FK$325:$ID$396,GX$169,SwaptionMonthsToGo+SwaptionShift),INDEX($FK$245:$ID$316,$FJ198-GX$169,73-GX$169+SwaptionShift):INDEX($FK$245:$ID$316,$FJ198-GX$169,72-GX$169+SwaptionMonthsToGo+SwaptionShift))/SQRT(SUM(INDEX($FK353:$ID353,1+SwaptionShift):INDEX($FK353:$ID353,SwaptionMonthsToGo+SwaptionShift))*SUM(INDEX($FK$325:$ID$396,GX$169,1+SwaptionShift):INDEX($FK$325:$ID$396,GX$169,SwaptionMonthsToGo+SwaptionShift))))))</f>
        <v/>
      </c>
      <c r="GY198" s="150" t="str">
        <f aca="false">IF(OR(GY$169&lt;SwaptionFirstMonthPosition+1,$FJ198&lt;SwaptionFirstMonthPosition+1,GY$169&gt;SwaptionFirstMonthPosition+SwaptionNumOfMonths+1,$FJ198&gt;SwaptionFirstMonthPosition+SwaptionNumOfMonths+1),"",IF($FJ198=GY$169,1,IF($FJ198&lt;GY$169,INDEX($FK$170:$ID$241,GY$169,$FJ198),SUMPRODUCT(INDEX($FK$325:$ID$396,GY$169,1+SwaptionShift):INDEX($FK$325:$ID$396,GY$169,SwaptionMonthsToGo+SwaptionShift),INDEX($FK$245:$ID$316,$FJ198-GY$169,73-GY$169+SwaptionShift):INDEX($FK$245:$ID$316,$FJ198-GY$169,72-GY$169+SwaptionMonthsToGo+SwaptionShift))/SQRT(SUM(INDEX($FK353:$ID353,1+SwaptionShift):INDEX($FK353:$ID353,SwaptionMonthsToGo+SwaptionShift))*SUM(INDEX($FK$325:$ID$396,GY$169,1+SwaptionShift):INDEX($FK$325:$ID$396,GY$169,SwaptionMonthsToGo+SwaptionShift))))))</f>
        <v/>
      </c>
      <c r="GZ198" s="150" t="str">
        <f aca="false">IF(OR(GZ$169&lt;SwaptionFirstMonthPosition+1,$FJ198&lt;SwaptionFirstMonthPosition+1,GZ$169&gt;SwaptionFirstMonthPosition+SwaptionNumOfMonths+1,$FJ198&gt;SwaptionFirstMonthPosition+SwaptionNumOfMonths+1),"",IF($FJ198=GZ$169,1,IF($FJ198&lt;GZ$169,INDEX($FK$170:$ID$241,GZ$169,$FJ198),SUMPRODUCT(INDEX($FK$325:$ID$396,GZ$169,1+SwaptionShift):INDEX($FK$325:$ID$396,GZ$169,SwaptionMonthsToGo+SwaptionShift),INDEX($FK$245:$ID$316,$FJ198-GZ$169,73-GZ$169+SwaptionShift):INDEX($FK$245:$ID$316,$FJ198-GZ$169,72-GZ$169+SwaptionMonthsToGo+SwaptionShift))/SQRT(SUM(INDEX($FK353:$ID353,1+SwaptionShift):INDEX($FK353:$ID353,SwaptionMonthsToGo+SwaptionShift))*SUM(INDEX($FK$325:$ID$396,GZ$169,1+SwaptionShift):INDEX($FK$325:$ID$396,GZ$169,SwaptionMonthsToGo+SwaptionShift))))))</f>
        <v/>
      </c>
      <c r="HA198" s="150" t="str">
        <f aca="false">IF(OR(HA$169&lt;SwaptionFirstMonthPosition+1,$FJ198&lt;SwaptionFirstMonthPosition+1,HA$169&gt;SwaptionFirstMonthPosition+SwaptionNumOfMonths+1,$FJ198&gt;SwaptionFirstMonthPosition+SwaptionNumOfMonths+1),"",IF($FJ198=HA$169,1,IF($FJ198&lt;HA$169,INDEX($FK$170:$ID$241,HA$169,$FJ198),SUMPRODUCT(INDEX($FK$325:$ID$396,HA$169,1+SwaptionShift):INDEX($FK$325:$ID$396,HA$169,SwaptionMonthsToGo+SwaptionShift),INDEX($FK$245:$ID$316,$FJ198-HA$169,73-HA$169+SwaptionShift):INDEX($FK$245:$ID$316,$FJ198-HA$169,72-HA$169+SwaptionMonthsToGo+SwaptionShift))/SQRT(SUM(INDEX($FK353:$ID353,1+SwaptionShift):INDEX($FK353:$ID353,SwaptionMonthsToGo+SwaptionShift))*SUM(INDEX($FK$325:$ID$396,HA$169,1+SwaptionShift):INDEX($FK$325:$ID$396,HA$169,SwaptionMonthsToGo+SwaptionShift))))))</f>
        <v/>
      </c>
      <c r="HB198" s="150" t="str">
        <f aca="false">IF(OR(HB$169&lt;SwaptionFirstMonthPosition+1,$FJ198&lt;SwaptionFirstMonthPosition+1,HB$169&gt;SwaptionFirstMonthPosition+SwaptionNumOfMonths+1,$FJ198&gt;SwaptionFirstMonthPosition+SwaptionNumOfMonths+1),"",IF($FJ198=HB$169,1,IF($FJ198&lt;HB$169,INDEX($FK$170:$ID$241,HB$169,$FJ198),SUMPRODUCT(INDEX($FK$325:$ID$396,HB$169,1+SwaptionShift):INDEX($FK$325:$ID$396,HB$169,SwaptionMonthsToGo+SwaptionShift),INDEX($FK$245:$ID$316,$FJ198-HB$169,73-HB$169+SwaptionShift):INDEX($FK$245:$ID$316,$FJ198-HB$169,72-HB$169+SwaptionMonthsToGo+SwaptionShift))/SQRT(SUM(INDEX($FK353:$ID353,1+SwaptionShift):INDEX($FK353:$ID353,SwaptionMonthsToGo+SwaptionShift))*SUM(INDEX($FK$325:$ID$396,HB$169,1+SwaptionShift):INDEX($FK$325:$ID$396,HB$169,SwaptionMonthsToGo+SwaptionShift))))))</f>
        <v/>
      </c>
      <c r="HC198" s="150" t="str">
        <f aca="false">IF(OR(HC$169&lt;SwaptionFirstMonthPosition+1,$FJ198&lt;SwaptionFirstMonthPosition+1,HC$169&gt;SwaptionFirstMonthPosition+SwaptionNumOfMonths+1,$FJ198&gt;SwaptionFirstMonthPosition+SwaptionNumOfMonths+1),"",IF($FJ198=HC$169,1,IF($FJ198&lt;HC$169,INDEX($FK$170:$ID$241,HC$169,$FJ198),SUMPRODUCT(INDEX($FK$325:$ID$396,HC$169,1+SwaptionShift):INDEX($FK$325:$ID$396,HC$169,SwaptionMonthsToGo+SwaptionShift),INDEX($FK$245:$ID$316,$FJ198-HC$169,73-HC$169+SwaptionShift):INDEX($FK$245:$ID$316,$FJ198-HC$169,72-HC$169+SwaptionMonthsToGo+SwaptionShift))/SQRT(SUM(INDEX($FK353:$ID353,1+SwaptionShift):INDEX($FK353:$ID353,SwaptionMonthsToGo+SwaptionShift))*SUM(INDEX($FK$325:$ID$396,HC$169,1+SwaptionShift):INDEX($FK$325:$ID$396,HC$169,SwaptionMonthsToGo+SwaptionShift))))))</f>
        <v/>
      </c>
      <c r="HD198" s="150" t="str">
        <f aca="false">IF(OR(HD$169&lt;SwaptionFirstMonthPosition+1,$FJ198&lt;SwaptionFirstMonthPosition+1,HD$169&gt;SwaptionFirstMonthPosition+SwaptionNumOfMonths+1,$FJ198&gt;SwaptionFirstMonthPosition+SwaptionNumOfMonths+1),"",IF($FJ198=HD$169,1,IF($FJ198&lt;HD$169,INDEX($FK$170:$ID$241,HD$169,$FJ198),SUMPRODUCT(INDEX($FK$325:$ID$396,HD$169,1+SwaptionShift):INDEX($FK$325:$ID$396,HD$169,SwaptionMonthsToGo+SwaptionShift),INDEX($FK$245:$ID$316,$FJ198-HD$169,73-HD$169+SwaptionShift):INDEX($FK$245:$ID$316,$FJ198-HD$169,72-HD$169+SwaptionMonthsToGo+SwaptionShift))/SQRT(SUM(INDEX($FK353:$ID353,1+SwaptionShift):INDEX($FK353:$ID353,SwaptionMonthsToGo+SwaptionShift))*SUM(INDEX($FK$325:$ID$396,HD$169,1+SwaptionShift):INDEX($FK$325:$ID$396,HD$169,SwaptionMonthsToGo+SwaptionShift))))))</f>
        <v/>
      </c>
      <c r="HE198" s="150" t="str">
        <f aca="false">IF(OR(HE$169&lt;SwaptionFirstMonthPosition+1,$FJ198&lt;SwaptionFirstMonthPosition+1,HE$169&gt;SwaptionFirstMonthPosition+SwaptionNumOfMonths+1,$FJ198&gt;SwaptionFirstMonthPosition+SwaptionNumOfMonths+1),"",IF($FJ198=HE$169,1,IF($FJ198&lt;HE$169,INDEX($FK$170:$ID$241,HE$169,$FJ198),SUMPRODUCT(INDEX($FK$325:$ID$396,HE$169,1+SwaptionShift):INDEX($FK$325:$ID$396,HE$169,SwaptionMonthsToGo+SwaptionShift),INDEX($FK$245:$ID$316,$FJ198-HE$169,73-HE$169+SwaptionShift):INDEX($FK$245:$ID$316,$FJ198-HE$169,72-HE$169+SwaptionMonthsToGo+SwaptionShift))/SQRT(SUM(INDEX($FK353:$ID353,1+SwaptionShift):INDEX($FK353:$ID353,SwaptionMonthsToGo+SwaptionShift))*SUM(INDEX($FK$325:$ID$396,HE$169,1+SwaptionShift):INDEX($FK$325:$ID$396,HE$169,SwaptionMonthsToGo+SwaptionShift))))))</f>
        <v/>
      </c>
      <c r="HF198" s="150" t="str">
        <f aca="false">IF(OR(HF$169&lt;SwaptionFirstMonthPosition+1,$FJ198&lt;SwaptionFirstMonthPosition+1,HF$169&gt;SwaptionFirstMonthPosition+SwaptionNumOfMonths+1,$FJ198&gt;SwaptionFirstMonthPosition+SwaptionNumOfMonths+1),"",IF($FJ198=HF$169,1,IF($FJ198&lt;HF$169,INDEX($FK$170:$ID$241,HF$169,$FJ198),SUMPRODUCT(INDEX($FK$325:$ID$396,HF$169,1+SwaptionShift):INDEX($FK$325:$ID$396,HF$169,SwaptionMonthsToGo+SwaptionShift),INDEX($FK$245:$ID$316,$FJ198-HF$169,73-HF$169+SwaptionShift):INDEX($FK$245:$ID$316,$FJ198-HF$169,72-HF$169+SwaptionMonthsToGo+SwaptionShift))/SQRT(SUM(INDEX($FK353:$ID353,1+SwaptionShift):INDEX($FK353:$ID353,SwaptionMonthsToGo+SwaptionShift))*SUM(INDEX($FK$325:$ID$396,HF$169,1+SwaptionShift):INDEX($FK$325:$ID$396,HF$169,SwaptionMonthsToGo+SwaptionShift))))))</f>
        <v/>
      </c>
      <c r="HG198" s="150" t="str">
        <f aca="false">IF(OR(HG$169&lt;SwaptionFirstMonthPosition+1,$FJ198&lt;SwaptionFirstMonthPosition+1,HG$169&gt;SwaptionFirstMonthPosition+SwaptionNumOfMonths+1,$FJ198&gt;SwaptionFirstMonthPosition+SwaptionNumOfMonths+1),"",IF($FJ198=HG$169,1,IF($FJ198&lt;HG$169,INDEX($FK$170:$ID$241,HG$169,$FJ198),SUMPRODUCT(INDEX($FK$325:$ID$396,HG$169,1+SwaptionShift):INDEX($FK$325:$ID$396,HG$169,SwaptionMonthsToGo+SwaptionShift),INDEX($FK$245:$ID$316,$FJ198-HG$169,73-HG$169+SwaptionShift):INDEX($FK$245:$ID$316,$FJ198-HG$169,72-HG$169+SwaptionMonthsToGo+SwaptionShift))/SQRT(SUM(INDEX($FK353:$ID353,1+SwaptionShift):INDEX($FK353:$ID353,SwaptionMonthsToGo+SwaptionShift))*SUM(INDEX($FK$325:$ID$396,HG$169,1+SwaptionShift):INDEX($FK$325:$ID$396,HG$169,SwaptionMonthsToGo+SwaptionShift))))))</f>
        <v/>
      </c>
      <c r="HH198" s="150" t="str">
        <f aca="false">IF(OR(HH$169&lt;SwaptionFirstMonthPosition+1,$FJ198&lt;SwaptionFirstMonthPosition+1,HH$169&gt;SwaptionFirstMonthPosition+SwaptionNumOfMonths+1,$FJ198&gt;SwaptionFirstMonthPosition+SwaptionNumOfMonths+1),"",IF($FJ198=HH$169,1,IF($FJ198&lt;HH$169,INDEX($FK$170:$ID$241,HH$169,$FJ198),SUMPRODUCT(INDEX($FK$325:$ID$396,HH$169,1+SwaptionShift):INDEX($FK$325:$ID$396,HH$169,SwaptionMonthsToGo+SwaptionShift),INDEX($FK$245:$ID$316,$FJ198-HH$169,73-HH$169+SwaptionShift):INDEX($FK$245:$ID$316,$FJ198-HH$169,72-HH$169+SwaptionMonthsToGo+SwaptionShift))/SQRT(SUM(INDEX($FK353:$ID353,1+SwaptionShift):INDEX($FK353:$ID353,SwaptionMonthsToGo+SwaptionShift))*SUM(INDEX($FK$325:$ID$396,HH$169,1+SwaptionShift):INDEX($FK$325:$ID$396,HH$169,SwaptionMonthsToGo+SwaptionShift))))))</f>
        <v/>
      </c>
      <c r="HI198" s="150" t="str">
        <f aca="false">IF(OR(HI$169&lt;SwaptionFirstMonthPosition+1,$FJ198&lt;SwaptionFirstMonthPosition+1,HI$169&gt;SwaptionFirstMonthPosition+SwaptionNumOfMonths+1,$FJ198&gt;SwaptionFirstMonthPosition+SwaptionNumOfMonths+1),"",IF($FJ198=HI$169,1,IF($FJ198&lt;HI$169,INDEX($FK$170:$ID$241,HI$169,$FJ198),SUMPRODUCT(INDEX($FK$325:$ID$396,HI$169,1+SwaptionShift):INDEX($FK$325:$ID$396,HI$169,SwaptionMonthsToGo+SwaptionShift),INDEX($FK$245:$ID$316,$FJ198-HI$169,73-HI$169+SwaptionShift):INDEX($FK$245:$ID$316,$FJ198-HI$169,72-HI$169+SwaptionMonthsToGo+SwaptionShift))/SQRT(SUM(INDEX($FK353:$ID353,1+SwaptionShift):INDEX($FK353:$ID353,SwaptionMonthsToGo+SwaptionShift))*SUM(INDEX($FK$325:$ID$396,HI$169,1+SwaptionShift):INDEX($FK$325:$ID$396,HI$169,SwaptionMonthsToGo+SwaptionShift))))))</f>
        <v/>
      </c>
      <c r="HJ198" s="150" t="str">
        <f aca="false">IF(OR(HJ$169&lt;SwaptionFirstMonthPosition+1,$FJ198&lt;SwaptionFirstMonthPosition+1,HJ$169&gt;SwaptionFirstMonthPosition+SwaptionNumOfMonths+1,$FJ198&gt;SwaptionFirstMonthPosition+SwaptionNumOfMonths+1),"",IF($FJ198=HJ$169,1,IF($FJ198&lt;HJ$169,INDEX($FK$170:$ID$241,HJ$169,$FJ198),SUMPRODUCT(INDEX($FK$325:$ID$396,HJ$169,1+SwaptionShift):INDEX($FK$325:$ID$396,HJ$169,SwaptionMonthsToGo+SwaptionShift),INDEX($FK$245:$ID$316,$FJ198-HJ$169,73-HJ$169+SwaptionShift):INDEX($FK$245:$ID$316,$FJ198-HJ$169,72-HJ$169+SwaptionMonthsToGo+SwaptionShift))/SQRT(SUM(INDEX($FK353:$ID353,1+SwaptionShift):INDEX($FK353:$ID353,SwaptionMonthsToGo+SwaptionShift))*SUM(INDEX($FK$325:$ID$396,HJ$169,1+SwaptionShift):INDEX($FK$325:$ID$396,HJ$169,SwaptionMonthsToGo+SwaptionShift))))))</f>
        <v/>
      </c>
      <c r="HK198" s="150" t="str">
        <f aca="false">IF(OR(HK$169&lt;SwaptionFirstMonthPosition+1,$FJ198&lt;SwaptionFirstMonthPosition+1,HK$169&gt;SwaptionFirstMonthPosition+SwaptionNumOfMonths+1,$FJ198&gt;SwaptionFirstMonthPosition+SwaptionNumOfMonths+1),"",IF($FJ198=HK$169,1,IF($FJ198&lt;HK$169,INDEX($FK$170:$ID$241,HK$169,$FJ198),SUMPRODUCT(INDEX($FK$325:$ID$396,HK$169,1+SwaptionShift):INDEX($FK$325:$ID$396,HK$169,SwaptionMonthsToGo+SwaptionShift),INDEX($FK$245:$ID$316,$FJ198-HK$169,73-HK$169+SwaptionShift):INDEX($FK$245:$ID$316,$FJ198-HK$169,72-HK$169+SwaptionMonthsToGo+SwaptionShift))/SQRT(SUM(INDEX($FK353:$ID353,1+SwaptionShift):INDEX($FK353:$ID353,SwaptionMonthsToGo+SwaptionShift))*SUM(INDEX($FK$325:$ID$396,HK$169,1+SwaptionShift):INDEX($FK$325:$ID$396,HK$169,SwaptionMonthsToGo+SwaptionShift))))))</f>
        <v/>
      </c>
      <c r="HL198" s="150" t="str">
        <f aca="false">IF(OR(HL$169&lt;SwaptionFirstMonthPosition+1,$FJ198&lt;SwaptionFirstMonthPosition+1,HL$169&gt;SwaptionFirstMonthPosition+SwaptionNumOfMonths+1,$FJ198&gt;SwaptionFirstMonthPosition+SwaptionNumOfMonths+1),"",IF($FJ198=HL$169,1,IF($FJ198&lt;HL$169,INDEX($FK$170:$ID$241,HL$169,$FJ198),SUMPRODUCT(INDEX($FK$325:$ID$396,HL$169,1+SwaptionShift):INDEX($FK$325:$ID$396,HL$169,SwaptionMonthsToGo+SwaptionShift),INDEX($FK$245:$ID$316,$FJ198-HL$169,73-HL$169+SwaptionShift):INDEX($FK$245:$ID$316,$FJ198-HL$169,72-HL$169+SwaptionMonthsToGo+SwaptionShift))/SQRT(SUM(INDEX($FK353:$ID353,1+SwaptionShift):INDEX($FK353:$ID353,SwaptionMonthsToGo+SwaptionShift))*SUM(INDEX($FK$325:$ID$396,HL$169,1+SwaptionShift):INDEX($FK$325:$ID$396,HL$169,SwaptionMonthsToGo+SwaptionShift))))))</f>
        <v/>
      </c>
      <c r="HM198" s="150" t="str">
        <f aca="false">IF(OR(HM$169&lt;SwaptionFirstMonthPosition+1,$FJ198&lt;SwaptionFirstMonthPosition+1,HM$169&gt;SwaptionFirstMonthPosition+SwaptionNumOfMonths+1,$FJ198&gt;SwaptionFirstMonthPosition+SwaptionNumOfMonths+1),"",IF($FJ198=HM$169,1,IF($FJ198&lt;HM$169,INDEX($FK$170:$ID$241,HM$169,$FJ198),SUMPRODUCT(INDEX($FK$325:$ID$396,HM$169,1+SwaptionShift):INDEX($FK$325:$ID$396,HM$169,SwaptionMonthsToGo+SwaptionShift),INDEX($FK$245:$ID$316,$FJ198-HM$169,73-HM$169+SwaptionShift):INDEX($FK$245:$ID$316,$FJ198-HM$169,72-HM$169+SwaptionMonthsToGo+SwaptionShift))/SQRT(SUM(INDEX($FK353:$ID353,1+SwaptionShift):INDEX($FK353:$ID353,SwaptionMonthsToGo+SwaptionShift))*SUM(INDEX($FK$325:$ID$396,HM$169,1+SwaptionShift):INDEX($FK$325:$ID$396,HM$169,SwaptionMonthsToGo+SwaptionShift))))))</f>
        <v/>
      </c>
      <c r="HN198" s="150" t="str">
        <f aca="false">IF(OR(HN$169&lt;SwaptionFirstMonthPosition+1,$FJ198&lt;SwaptionFirstMonthPosition+1,HN$169&gt;SwaptionFirstMonthPosition+SwaptionNumOfMonths+1,$FJ198&gt;SwaptionFirstMonthPosition+SwaptionNumOfMonths+1),"",IF($FJ198=HN$169,1,IF($FJ198&lt;HN$169,INDEX($FK$170:$ID$241,HN$169,$FJ198),SUMPRODUCT(INDEX($FK$325:$ID$396,HN$169,1+SwaptionShift):INDEX($FK$325:$ID$396,HN$169,SwaptionMonthsToGo+SwaptionShift),INDEX($FK$245:$ID$316,$FJ198-HN$169,73-HN$169+SwaptionShift):INDEX($FK$245:$ID$316,$FJ198-HN$169,72-HN$169+SwaptionMonthsToGo+SwaptionShift))/SQRT(SUM(INDEX($FK353:$ID353,1+SwaptionShift):INDEX($FK353:$ID353,SwaptionMonthsToGo+SwaptionShift))*SUM(INDEX($FK$325:$ID$396,HN$169,1+SwaptionShift):INDEX($FK$325:$ID$396,HN$169,SwaptionMonthsToGo+SwaptionShift))))))</f>
        <v/>
      </c>
      <c r="HO198" s="150" t="str">
        <f aca="false">IF(OR(HO$169&lt;SwaptionFirstMonthPosition+1,$FJ198&lt;SwaptionFirstMonthPosition+1,HO$169&gt;SwaptionFirstMonthPosition+SwaptionNumOfMonths+1,$FJ198&gt;SwaptionFirstMonthPosition+SwaptionNumOfMonths+1),"",IF($FJ198=HO$169,1,IF($FJ198&lt;HO$169,INDEX($FK$170:$ID$241,HO$169,$FJ198),SUMPRODUCT(INDEX($FK$325:$ID$396,HO$169,1+SwaptionShift):INDEX($FK$325:$ID$396,HO$169,SwaptionMonthsToGo+SwaptionShift),INDEX($FK$245:$ID$316,$FJ198-HO$169,73-HO$169+SwaptionShift):INDEX($FK$245:$ID$316,$FJ198-HO$169,72-HO$169+SwaptionMonthsToGo+SwaptionShift))/SQRT(SUM(INDEX($FK353:$ID353,1+SwaptionShift):INDEX($FK353:$ID353,SwaptionMonthsToGo+SwaptionShift))*SUM(INDEX($FK$325:$ID$396,HO$169,1+SwaptionShift):INDEX($FK$325:$ID$396,HO$169,SwaptionMonthsToGo+SwaptionShift))))))</f>
        <v/>
      </c>
      <c r="HP198" s="150" t="str">
        <f aca="false">IF(OR(HP$169&lt;SwaptionFirstMonthPosition+1,$FJ198&lt;SwaptionFirstMonthPosition+1,HP$169&gt;SwaptionFirstMonthPosition+SwaptionNumOfMonths+1,$FJ198&gt;SwaptionFirstMonthPosition+SwaptionNumOfMonths+1),"",IF($FJ198=HP$169,1,IF($FJ198&lt;HP$169,INDEX($FK$170:$ID$241,HP$169,$FJ198),SUMPRODUCT(INDEX($FK$325:$ID$396,HP$169,1+SwaptionShift):INDEX($FK$325:$ID$396,HP$169,SwaptionMonthsToGo+SwaptionShift),INDEX($FK$245:$ID$316,$FJ198-HP$169,73-HP$169+SwaptionShift):INDEX($FK$245:$ID$316,$FJ198-HP$169,72-HP$169+SwaptionMonthsToGo+SwaptionShift))/SQRT(SUM(INDEX($FK353:$ID353,1+SwaptionShift):INDEX($FK353:$ID353,SwaptionMonthsToGo+SwaptionShift))*SUM(INDEX($FK$325:$ID$396,HP$169,1+SwaptionShift):INDEX($FK$325:$ID$396,HP$169,SwaptionMonthsToGo+SwaptionShift))))))</f>
        <v/>
      </c>
      <c r="HQ198" s="150" t="str">
        <f aca="false">IF(OR(HQ$169&lt;SwaptionFirstMonthPosition+1,$FJ198&lt;SwaptionFirstMonthPosition+1,HQ$169&gt;SwaptionFirstMonthPosition+SwaptionNumOfMonths+1,$FJ198&gt;SwaptionFirstMonthPosition+SwaptionNumOfMonths+1),"",IF($FJ198=HQ$169,1,IF($FJ198&lt;HQ$169,INDEX($FK$170:$ID$241,HQ$169,$FJ198),SUMPRODUCT(INDEX($FK$325:$ID$396,HQ$169,1+SwaptionShift):INDEX($FK$325:$ID$396,HQ$169,SwaptionMonthsToGo+SwaptionShift),INDEX($FK$245:$ID$316,$FJ198-HQ$169,73-HQ$169+SwaptionShift):INDEX($FK$245:$ID$316,$FJ198-HQ$169,72-HQ$169+SwaptionMonthsToGo+SwaptionShift))/SQRT(SUM(INDEX($FK353:$ID353,1+SwaptionShift):INDEX($FK353:$ID353,SwaptionMonthsToGo+SwaptionShift))*SUM(INDEX($FK$325:$ID$396,HQ$169,1+SwaptionShift):INDEX($FK$325:$ID$396,HQ$169,SwaptionMonthsToGo+SwaptionShift))))))</f>
        <v/>
      </c>
      <c r="HR198" s="150" t="str">
        <f aca="false">IF(OR(HR$169&lt;SwaptionFirstMonthPosition+1,$FJ198&lt;SwaptionFirstMonthPosition+1,HR$169&gt;SwaptionFirstMonthPosition+SwaptionNumOfMonths+1,$FJ198&gt;SwaptionFirstMonthPosition+SwaptionNumOfMonths+1),"",IF($FJ198=HR$169,1,IF($FJ198&lt;HR$169,INDEX($FK$170:$ID$241,HR$169,$FJ198),SUMPRODUCT(INDEX($FK$325:$ID$396,HR$169,1+SwaptionShift):INDEX($FK$325:$ID$396,HR$169,SwaptionMonthsToGo+SwaptionShift),INDEX($FK$245:$ID$316,$FJ198-HR$169,73-HR$169+SwaptionShift):INDEX($FK$245:$ID$316,$FJ198-HR$169,72-HR$169+SwaptionMonthsToGo+SwaptionShift))/SQRT(SUM(INDEX($FK353:$ID353,1+SwaptionShift):INDEX($FK353:$ID353,SwaptionMonthsToGo+SwaptionShift))*SUM(INDEX($FK$325:$ID$396,HR$169,1+SwaptionShift):INDEX($FK$325:$ID$396,HR$169,SwaptionMonthsToGo+SwaptionShift))))))</f>
        <v/>
      </c>
      <c r="HS198" s="150" t="str">
        <f aca="false">IF(OR(HS$169&lt;SwaptionFirstMonthPosition+1,$FJ198&lt;SwaptionFirstMonthPosition+1,HS$169&gt;SwaptionFirstMonthPosition+SwaptionNumOfMonths+1,$FJ198&gt;SwaptionFirstMonthPosition+SwaptionNumOfMonths+1),"",IF($FJ198=HS$169,1,IF($FJ198&lt;HS$169,INDEX($FK$170:$ID$241,HS$169,$FJ198),SUMPRODUCT(INDEX($FK$325:$ID$396,HS$169,1+SwaptionShift):INDEX($FK$325:$ID$396,HS$169,SwaptionMonthsToGo+SwaptionShift),INDEX($FK$245:$ID$316,$FJ198-HS$169,73-HS$169+SwaptionShift):INDEX($FK$245:$ID$316,$FJ198-HS$169,72-HS$169+SwaptionMonthsToGo+SwaptionShift))/SQRT(SUM(INDEX($FK353:$ID353,1+SwaptionShift):INDEX($FK353:$ID353,SwaptionMonthsToGo+SwaptionShift))*SUM(INDEX($FK$325:$ID$396,HS$169,1+SwaptionShift):INDEX($FK$325:$ID$396,HS$169,SwaptionMonthsToGo+SwaptionShift))))))</f>
        <v/>
      </c>
      <c r="HT198" s="150" t="str">
        <f aca="false">IF(OR(HT$169&lt;SwaptionFirstMonthPosition+1,$FJ198&lt;SwaptionFirstMonthPosition+1,HT$169&gt;SwaptionFirstMonthPosition+SwaptionNumOfMonths+1,$FJ198&gt;SwaptionFirstMonthPosition+SwaptionNumOfMonths+1),"",IF($FJ198=HT$169,1,IF($FJ198&lt;HT$169,INDEX($FK$170:$ID$241,HT$169,$FJ198),SUMPRODUCT(INDEX($FK$325:$ID$396,HT$169,1+SwaptionShift):INDEX($FK$325:$ID$396,HT$169,SwaptionMonthsToGo+SwaptionShift),INDEX($FK$245:$ID$316,$FJ198-HT$169,73-HT$169+SwaptionShift):INDEX($FK$245:$ID$316,$FJ198-HT$169,72-HT$169+SwaptionMonthsToGo+SwaptionShift))/SQRT(SUM(INDEX($FK353:$ID353,1+SwaptionShift):INDEX($FK353:$ID353,SwaptionMonthsToGo+SwaptionShift))*SUM(INDEX($FK$325:$ID$396,HT$169,1+SwaptionShift):INDEX($FK$325:$ID$396,HT$169,SwaptionMonthsToGo+SwaptionShift))))))</f>
        <v/>
      </c>
      <c r="HU198" s="150" t="str">
        <f aca="false">IF(OR(HU$169&lt;SwaptionFirstMonthPosition+1,$FJ198&lt;SwaptionFirstMonthPosition+1,HU$169&gt;SwaptionFirstMonthPosition+SwaptionNumOfMonths+1,$FJ198&gt;SwaptionFirstMonthPosition+SwaptionNumOfMonths+1),"",IF($FJ198=HU$169,1,IF($FJ198&lt;HU$169,INDEX($FK$170:$ID$241,HU$169,$FJ198),SUMPRODUCT(INDEX($FK$325:$ID$396,HU$169,1+SwaptionShift):INDEX($FK$325:$ID$396,HU$169,SwaptionMonthsToGo+SwaptionShift),INDEX($FK$245:$ID$316,$FJ198-HU$169,73-HU$169+SwaptionShift):INDEX($FK$245:$ID$316,$FJ198-HU$169,72-HU$169+SwaptionMonthsToGo+SwaptionShift))/SQRT(SUM(INDEX($FK353:$ID353,1+SwaptionShift):INDEX($FK353:$ID353,SwaptionMonthsToGo+SwaptionShift))*SUM(INDEX($FK$325:$ID$396,HU$169,1+SwaptionShift):INDEX($FK$325:$ID$396,HU$169,SwaptionMonthsToGo+SwaptionShift))))))</f>
        <v/>
      </c>
      <c r="HV198" s="150" t="str">
        <f aca="false">IF(OR(HV$169&lt;SwaptionFirstMonthPosition+1,$FJ198&lt;SwaptionFirstMonthPosition+1,HV$169&gt;SwaptionFirstMonthPosition+SwaptionNumOfMonths+1,$FJ198&gt;SwaptionFirstMonthPosition+SwaptionNumOfMonths+1),"",IF($FJ198=HV$169,1,IF($FJ198&lt;HV$169,INDEX($FK$170:$ID$241,HV$169,$FJ198),SUMPRODUCT(INDEX($FK$325:$ID$396,HV$169,1+SwaptionShift):INDEX($FK$325:$ID$396,HV$169,SwaptionMonthsToGo+SwaptionShift),INDEX($FK$245:$ID$316,$FJ198-HV$169,73-HV$169+SwaptionShift):INDEX($FK$245:$ID$316,$FJ198-HV$169,72-HV$169+SwaptionMonthsToGo+SwaptionShift))/SQRT(SUM(INDEX($FK353:$ID353,1+SwaptionShift):INDEX($FK353:$ID353,SwaptionMonthsToGo+SwaptionShift))*SUM(INDEX($FK$325:$ID$396,HV$169,1+SwaptionShift):INDEX($FK$325:$ID$396,HV$169,SwaptionMonthsToGo+SwaptionShift))))))</f>
        <v/>
      </c>
      <c r="HW198" s="150" t="str">
        <f aca="false">IF(OR(HW$169&lt;SwaptionFirstMonthPosition+1,$FJ198&lt;SwaptionFirstMonthPosition+1,HW$169&gt;SwaptionFirstMonthPosition+SwaptionNumOfMonths+1,$FJ198&gt;SwaptionFirstMonthPosition+SwaptionNumOfMonths+1),"",IF($FJ198=HW$169,1,IF($FJ198&lt;HW$169,INDEX($FK$170:$ID$241,HW$169,$FJ198),SUMPRODUCT(INDEX($FK$325:$ID$396,HW$169,1+SwaptionShift):INDEX($FK$325:$ID$396,HW$169,SwaptionMonthsToGo+SwaptionShift),INDEX($FK$245:$ID$316,$FJ198-HW$169,73-HW$169+SwaptionShift):INDEX($FK$245:$ID$316,$FJ198-HW$169,72-HW$169+SwaptionMonthsToGo+SwaptionShift))/SQRT(SUM(INDEX($FK353:$ID353,1+SwaptionShift):INDEX($FK353:$ID353,SwaptionMonthsToGo+SwaptionShift))*SUM(INDEX($FK$325:$ID$396,HW$169,1+SwaptionShift):INDEX($FK$325:$ID$396,HW$169,SwaptionMonthsToGo+SwaptionShift))))))</f>
        <v/>
      </c>
      <c r="HX198" s="150" t="str">
        <f aca="false">IF(OR(HX$169&lt;SwaptionFirstMonthPosition+1,$FJ198&lt;SwaptionFirstMonthPosition+1,HX$169&gt;SwaptionFirstMonthPosition+SwaptionNumOfMonths+1,$FJ198&gt;SwaptionFirstMonthPosition+SwaptionNumOfMonths+1),"",IF($FJ198=HX$169,1,IF($FJ198&lt;HX$169,INDEX($FK$170:$ID$241,HX$169,$FJ198),SUMPRODUCT(INDEX($FK$325:$ID$396,HX$169,1+SwaptionShift):INDEX($FK$325:$ID$396,HX$169,SwaptionMonthsToGo+SwaptionShift),INDEX($FK$245:$ID$316,$FJ198-HX$169,73-HX$169+SwaptionShift):INDEX($FK$245:$ID$316,$FJ198-HX$169,72-HX$169+SwaptionMonthsToGo+SwaptionShift))/SQRT(SUM(INDEX($FK353:$ID353,1+SwaptionShift):INDEX($FK353:$ID353,SwaptionMonthsToGo+SwaptionShift))*SUM(INDEX($FK$325:$ID$396,HX$169,1+SwaptionShift):INDEX($FK$325:$ID$396,HX$169,SwaptionMonthsToGo+SwaptionShift))))))</f>
        <v/>
      </c>
      <c r="HY198" s="150" t="str">
        <f aca="false">IF(OR(HY$169&lt;SwaptionFirstMonthPosition+1,$FJ198&lt;SwaptionFirstMonthPosition+1,HY$169&gt;SwaptionFirstMonthPosition+SwaptionNumOfMonths+1,$FJ198&gt;SwaptionFirstMonthPosition+SwaptionNumOfMonths+1),"",IF($FJ198=HY$169,1,IF($FJ198&lt;HY$169,INDEX($FK$170:$ID$241,HY$169,$FJ198),SUMPRODUCT(INDEX($FK$325:$ID$396,HY$169,1+SwaptionShift):INDEX($FK$325:$ID$396,HY$169,SwaptionMonthsToGo+SwaptionShift),INDEX($FK$245:$ID$316,$FJ198-HY$169,73-HY$169+SwaptionShift):INDEX($FK$245:$ID$316,$FJ198-HY$169,72-HY$169+SwaptionMonthsToGo+SwaptionShift))/SQRT(SUM(INDEX($FK353:$ID353,1+SwaptionShift):INDEX($FK353:$ID353,SwaptionMonthsToGo+SwaptionShift))*SUM(INDEX($FK$325:$ID$396,HY$169,1+SwaptionShift):INDEX($FK$325:$ID$396,HY$169,SwaptionMonthsToGo+SwaptionShift))))))</f>
        <v/>
      </c>
      <c r="HZ198" s="150" t="str">
        <f aca="false">IF(OR(HZ$169&lt;SwaptionFirstMonthPosition+1,$FJ198&lt;SwaptionFirstMonthPosition+1,HZ$169&gt;SwaptionFirstMonthPosition+SwaptionNumOfMonths+1,$FJ198&gt;SwaptionFirstMonthPosition+SwaptionNumOfMonths+1),"",IF($FJ198=HZ$169,1,IF($FJ198&lt;HZ$169,INDEX($FK$170:$ID$241,HZ$169,$FJ198),SUMPRODUCT(INDEX($FK$325:$ID$396,HZ$169,1+SwaptionShift):INDEX($FK$325:$ID$396,HZ$169,SwaptionMonthsToGo+SwaptionShift),INDEX($FK$245:$ID$316,$FJ198-HZ$169,73-HZ$169+SwaptionShift):INDEX($FK$245:$ID$316,$FJ198-HZ$169,72-HZ$169+SwaptionMonthsToGo+SwaptionShift))/SQRT(SUM(INDEX($FK353:$ID353,1+SwaptionShift):INDEX($FK353:$ID353,SwaptionMonthsToGo+SwaptionShift))*SUM(INDEX($FK$325:$ID$396,HZ$169,1+SwaptionShift):INDEX($FK$325:$ID$396,HZ$169,SwaptionMonthsToGo+SwaptionShift))))))</f>
        <v/>
      </c>
      <c r="IA198" s="150" t="str">
        <f aca="false">IF(OR(IA$169&lt;SwaptionFirstMonthPosition+1,$FJ198&lt;SwaptionFirstMonthPosition+1,IA$169&gt;SwaptionFirstMonthPosition+SwaptionNumOfMonths+1,$FJ198&gt;SwaptionFirstMonthPosition+SwaptionNumOfMonths+1),"",IF($FJ198=IA$169,1,IF($FJ198&lt;IA$169,INDEX($FK$170:$ID$241,IA$169,$FJ198),SUMPRODUCT(INDEX($FK$325:$ID$396,IA$169,1+SwaptionShift):INDEX($FK$325:$ID$396,IA$169,SwaptionMonthsToGo+SwaptionShift),INDEX($FK$245:$ID$316,$FJ198-IA$169,73-IA$169+SwaptionShift):INDEX($FK$245:$ID$316,$FJ198-IA$169,72-IA$169+SwaptionMonthsToGo+SwaptionShift))/SQRT(SUM(INDEX($FK353:$ID353,1+SwaptionShift):INDEX($FK353:$ID353,SwaptionMonthsToGo+SwaptionShift))*SUM(INDEX($FK$325:$ID$396,IA$169,1+SwaptionShift):INDEX($FK$325:$ID$396,IA$169,SwaptionMonthsToGo+SwaptionShift))))))</f>
        <v/>
      </c>
      <c r="IB198" s="150" t="str">
        <f aca="false">IF(OR(IB$169&lt;SwaptionFirstMonthPosition+1,$FJ198&lt;SwaptionFirstMonthPosition+1,IB$169&gt;SwaptionFirstMonthPosition+SwaptionNumOfMonths+1,$FJ198&gt;SwaptionFirstMonthPosition+SwaptionNumOfMonths+1),"",IF($FJ198=IB$169,1,IF($FJ198&lt;IB$169,INDEX($FK$170:$ID$241,IB$169,$FJ198),SUMPRODUCT(INDEX($FK$325:$ID$396,IB$169,1+SwaptionShift):INDEX($FK$325:$ID$396,IB$169,SwaptionMonthsToGo+SwaptionShift),INDEX($FK$245:$ID$316,$FJ198-IB$169,73-IB$169+SwaptionShift):INDEX($FK$245:$ID$316,$FJ198-IB$169,72-IB$169+SwaptionMonthsToGo+SwaptionShift))/SQRT(SUM(INDEX($FK353:$ID353,1+SwaptionShift):INDEX($FK353:$ID353,SwaptionMonthsToGo+SwaptionShift))*SUM(INDEX($FK$325:$ID$396,IB$169,1+SwaptionShift):INDEX($FK$325:$ID$396,IB$169,SwaptionMonthsToGo+SwaptionShift))))))</f>
        <v/>
      </c>
      <c r="IC198" s="150" t="str">
        <f aca="false">IF(OR(IC$169&lt;SwaptionFirstMonthPosition+1,$FJ198&lt;SwaptionFirstMonthPosition+1,IC$169&gt;SwaptionFirstMonthPosition+SwaptionNumOfMonths+1,$FJ198&gt;SwaptionFirstMonthPosition+SwaptionNumOfMonths+1),"",IF($FJ198=IC$169,1,IF($FJ198&lt;IC$169,INDEX($FK$170:$ID$241,IC$169,$FJ198),SUMPRODUCT(INDEX($FK$325:$ID$396,IC$169,1+SwaptionShift):INDEX($FK$325:$ID$396,IC$169,SwaptionMonthsToGo+SwaptionShift),INDEX($FK$245:$ID$316,$FJ198-IC$169,73-IC$169+SwaptionShift):INDEX($FK$245:$ID$316,$FJ198-IC$169,72-IC$169+SwaptionMonthsToGo+SwaptionShift))/SQRT(SUM(INDEX($FK353:$ID353,1+SwaptionShift):INDEX($FK353:$ID353,SwaptionMonthsToGo+SwaptionShift))*SUM(INDEX($FK$325:$ID$396,IC$169,1+SwaptionShift):INDEX($FK$325:$ID$396,IC$169,SwaptionMonthsToGo+SwaptionShift))))))</f>
        <v/>
      </c>
      <c r="ID198" s="572" t="str">
        <f aca="false">IF(OR(ID$169&lt;SwaptionFirstMonthPosition+1,$FJ198&lt;SwaptionFirstMonthPosition+1,ID$169&gt;SwaptionFirstMonthPosition+SwaptionNumOfMonths+1,$FJ198&gt;SwaptionFirstMonthPosition+SwaptionNumOfMonths+1),"",IF($FJ198=ID$169,1,IF($FJ198&lt;ID$169,INDEX($FK$170:$ID$241,ID$169,$FJ198),SUMPRODUCT(INDEX($FK$325:$ID$396,ID$169,1+SwaptionShift):INDEX($FK$325:$ID$396,ID$169,SwaptionMonthsToGo+SwaptionShift),INDEX($FK$245:$ID$316,$FJ198-ID$169,73-ID$169+SwaptionShift):INDEX($FK$245:$ID$316,$FJ198-ID$169,72-ID$169+SwaptionMonthsToGo+SwaptionShift))/SQRT(SUM(INDEX($FK353:$ID353,1+SwaptionShift):INDEX($FK353:$ID353,SwaptionMonthsToGo+SwaptionShift))*SUM(INDEX($FK$325:$ID$396,ID$169,1+SwaptionShift):INDEX($FK$325:$ID$396,ID$169,SwaptionMonthsToGo+SwaptionShift))))))</f>
        <v/>
      </c>
      <c r="IE198" s="129"/>
    </row>
    <row r="199" customFormat="false" ht="12.75" hidden="false" customHeight="false" outlineLevel="0" collapsed="false">
      <c r="H199" s="219" t="n">
        <f aca="false">VLOOKUP(I199,$EJ$20:$EL$54,3)</f>
        <v>0</v>
      </c>
      <c r="I199" s="511" t="n">
        <f aca="false">EOMONTH(I198,0)+1</f>
        <v>42217</v>
      </c>
      <c r="J199" s="512"/>
      <c r="K199" s="513" t="s">
        <v>280</v>
      </c>
      <c r="L199" s="514" t="n">
        <f aca="false">IF(ISNUMBER(K199),J199+K199/100,IF(K199="extra",L198+VLOOKUP(BF199,PriceSpreadTable,2)/12,IF(K199="inter",interpolateprices($K$19:$L$200,ROW(K199)-ROW(FirstPricingMonth)+1),interpolatechanges($J$19:$K$200,ROW(K199)-ROW(FirstPricingMonth)+1))))</f>
        <v>3.86250000000001</v>
      </c>
      <c r="M199" s="515"/>
      <c r="N199" s="516" t="n">
        <v>0</v>
      </c>
      <c r="O199" s="515" t="n">
        <f aca="false">M199+N199</f>
        <v>0</v>
      </c>
      <c r="P199" s="512"/>
      <c r="Q199" s="513" t="s">
        <v>280</v>
      </c>
      <c r="R199" s="512" t="e">
        <f aca="false">IF(ISNUMBER(Q199),P199+Q199/100,IF(Q199="extra",(Z197*AL197-R198*AM197)/AN197,IF(Q199="inter",interpolateprices($Q$19:$R$260,ROW(Q199)-ROW(FirstPricingMonth)+1),interpolatechanges($P$19:$Q$260,ROW(Q199)-ROW(FirstPricingMonth)+1))))</f>
        <v>#VALUE!</v>
      </c>
      <c r="S199" s="597" t="n">
        <f aca="false">S$19+(S198-S$19)*S$18</f>
        <v>0.36</v>
      </c>
      <c r="T199" s="575" t="n">
        <f aca="false">SQRT((1-(1-T198^2/U198)*T$18)*U199)</f>
        <v>0.999999999999925</v>
      </c>
      <c r="U199" s="576" t="n">
        <f aca="false">1-(1-U198)*U$18</f>
        <v>1</v>
      </c>
      <c r="V199" s="521" t="n">
        <v>0</v>
      </c>
      <c r="W199" s="577" t="n">
        <f aca="false">(J200*AJ199+J201*AK199)/AI199</f>
        <v>0</v>
      </c>
      <c r="X199" s="578" t="n">
        <f aca="false">(L200*AJ199+L201*AK199)/AI199</f>
        <v>3.91250000000001</v>
      </c>
      <c r="Y199" s="579" t="n">
        <f aca="false">IF(Q201="extra",W199-AA199,(P200*AM199+P201*AN199)/AL199)</f>
        <v>-1.2669</v>
      </c>
      <c r="Z199" s="579" t="n">
        <f aca="false">IF(Q201="extra",X199-AB199,(R200*AM199+R201*AN199)/AL199)</f>
        <v>2.64560000000001</v>
      </c>
      <c r="AA199" s="523" t="n">
        <f aca="false">IF(Q201="extra",INDEX(BrentSeasonalityTable,INT((BG199-1)/3)+1)*VLOOKUP(MAX(BF199,$AB$4),PriceSpreadTable,3),W199-Y199)</f>
        <v>1.2669</v>
      </c>
      <c r="AB199" s="524" t="n">
        <f aca="false">IF(Q201="extra",INDEX(BrentSeasonalityTable,INT((BG199-1)/3)+1)*VLOOKUP(MAX(BF199,$AB$4),PriceSpreadTable,3),X199-Z199)</f>
        <v>1.2669</v>
      </c>
      <c r="AC199" s="646" t="n">
        <v>42205</v>
      </c>
      <c r="AD199" s="646" t="n">
        <v>42201</v>
      </c>
      <c r="AE199" s="646" t="n">
        <v>42200</v>
      </c>
      <c r="AF199" s="646" t="n">
        <v>42196</v>
      </c>
      <c r="AG199" s="438" t="s">
        <v>278</v>
      </c>
      <c r="AH199" s="439" t="s">
        <v>278</v>
      </c>
      <c r="AI199" s="528" t="n">
        <v>21</v>
      </c>
      <c r="AJ199" s="529" t="n">
        <v>14</v>
      </c>
      <c r="AK199" s="529" t="n">
        <v>7</v>
      </c>
      <c r="AL199" s="530" t="n">
        <v>21</v>
      </c>
      <c r="AM199" s="529" t="n">
        <v>10</v>
      </c>
      <c r="AN199" s="531" t="n">
        <v>11</v>
      </c>
      <c r="AO199" s="532"/>
      <c r="AP199" s="465" t="n">
        <f aca="false">(1+AO199/2)^(-2*BL199)</f>
        <v>1</v>
      </c>
      <c r="AQ199" s="532"/>
      <c r="AR199" s="465" t="n">
        <f aca="false">(1+AQ199/2)^(-2*BH199/365.25)</f>
        <v>1</v>
      </c>
      <c r="AS199" s="580" t="n">
        <f aca="false">(O200*AJ199+O201*AK199)/AI199</f>
        <v>0</v>
      </c>
      <c r="AT199" s="468" t="n">
        <f aca="false">O199*VLOOKUP(BF199,BrentVolTable,2)+VLOOKUP(BF199,BrentVolTable,3)</f>
        <v>0</v>
      </c>
      <c r="AU199" s="468" t="n">
        <f aca="false">(AT200*AM199+AT201*AN199)/AL199</f>
        <v>0</v>
      </c>
      <c r="AV199" s="595" t="n">
        <f aca="false">SQRT(MAX(0.000000000001,(O199^2*BH199-S199^2*(BH199-BH198))/BH198))</f>
        <v>0.0321822196001309</v>
      </c>
      <c r="AW199" s="451" t="n">
        <f aca="false">IF($I199-DateToday+15&gt;=$T$8,"",IF($I199-DateToday+15&lt;$T$5,1,MATCH($I199-DateToday+15,$T$5:$T$8)))</f>
        <v>1</v>
      </c>
      <c r="AX199" s="468" t="n">
        <f aca="false">IF($AW199="",AX198^2/AX197,INDEX(U$5:U$8,$AW199)^((INDEX($T$5:$T$8,$AW199+1)-($I199-DateToday+15))/(INDEX($T$5:$T$8,$AW199+1)-INDEX($T$5:$T$8,$AW199)))/INDEX(U$5:U$8,$AW199+1)^((INDEX($T$5:$T$8,$AW199)-($I199-DateToday+15))/(INDEX($T$5:$T$8,$AW199+1)-INDEX($T$5:$T$8,$AW199))))</f>
        <v>0.273549522685518</v>
      </c>
      <c r="AY199" s="468" t="n">
        <f aca="false">IF($AW199="",AY198^2/AY197,INDEX(V$5:V$8,$AW199)^((INDEX($T$5:$T$8,$AW199+1)-($I199-DateToday+15))/(INDEX($T$5:$T$8,$AW199+1)-INDEX($T$5:$T$8,$AW199)))/INDEX(V$5:V$8,$AW199+1)^((INDEX($T$5:$T$8,$AW199)-($I199-DateToday+15))/(INDEX($T$5:$T$8,$AW199+1)-INDEX($T$5:$T$8,$AW199))))</f>
        <v>2.77271432043492</v>
      </c>
      <c r="AZ199" s="468" t="n">
        <f aca="false">IF($AW199="",AZ198^2/AZ197,INDEX(W$5:W$8,$AW199)^((INDEX($T$5:$T$8,$AW199+1)-($I199-DateToday+15))/(INDEX($T$5:$T$8,$AW199+1)-INDEX($T$5:$T$8,$AW199)))/INDEX(W$5:W$8,$AW199+1)^((INDEX($T$5:$T$8,$AW199)-($I199-DateToday+15))/(INDEX($T$5:$T$8,$AW199+1)-INDEX($T$5:$T$8,$AW199))))</f>
        <v>282.449127513285</v>
      </c>
      <c r="BA199" s="468" t="n">
        <f aca="false">IF($AW199="",BA198^2/BA197,INDEX(X$5:X$8,$AW199)^((INDEX($T$5:$T$8,$AW199+1)-($I199-DateToday+15))/(INDEX($T$5:$T$8,$AW199+1)-INDEX($T$5:$T$8,$AW199)))/INDEX(X$5:X$8,$AW199+1)^((INDEX($T$5:$T$8,$AW199)-($I199-DateToday+15))/(INDEX($T$5:$T$8,$AW199+1)-INDEX($T$5:$T$8,$AW199))))</f>
        <v>804.831500147914</v>
      </c>
      <c r="BB199" s="468" t="n">
        <f aca="false">IF($AW199="",BB198^2/BB197,INDEX(Y$5:Y$8,$AW199)^((INDEX($T$5:$T$8,$AW199+1)-($I199-DateToday+15))/(INDEX($T$5:$T$8,$AW199+1)-INDEX($T$5:$T$8,$AW199)))/INDEX(Y$5:Y$8,$AW199+1)^((INDEX($T$5:$T$8,$AW199)-($I199-DateToday+15))/(INDEX($T$5:$T$8,$AW199+1)-INDEX($T$5:$T$8,$AW199))))</f>
        <v>3783.49066178649</v>
      </c>
      <c r="BC199" s="468" t="n">
        <f aca="false">IF($AW199="",BC198^2/BC197,INDEX(Z$5:Z$8,$AW199)^((INDEX($T$5:$T$8,$AW199+1)-($I199-DateToday+15))/(INDEX($T$5:$T$8,$AW199+1)-INDEX($T$5:$T$8,$AW199)))/INDEX(Z$5:Z$8,$AW199+1)^((INDEX($T$5:$T$8,$AW199)-($I199-DateToday+15))/(INDEX($T$5:$T$8,$AW199+1)-INDEX($T$5:$T$8,$AW199))))</f>
        <v>9789.89214324571</v>
      </c>
      <c r="BD199" s="535" t="n">
        <f aca="false">IF(OR(DateStart&gt;=I200,DateEnd&lt;I199),0,IF(VolumeOverrideFlag,V199,Volume))</f>
        <v>0</v>
      </c>
      <c r="BE199" s="536" t="n">
        <f aca="false">IF(OR(DateStart2&gt;=I200,DateEnd2&lt;I199),0,IF(VolumeOverrideFlag,V199,VolumeSwaption))</f>
        <v>0</v>
      </c>
      <c r="BF199" s="537" t="n">
        <f aca="false">YEAR(I199)</f>
        <v>2015</v>
      </c>
      <c r="BG199" s="538" t="n">
        <f aca="false">MONTH(I199)</f>
        <v>8</v>
      </c>
      <c r="BH199" s="539" t="n">
        <f aca="false">AD199-DateToday+1</f>
        <v>-3724</v>
      </c>
      <c r="BI199" s="540" t="n">
        <f aca="false">(I199-DateToday+1)/365.25</f>
        <v>-10.1519507186858</v>
      </c>
      <c r="BJ199" s="541" t="n">
        <f aca="false">BI199+(BL199-BI199)*CHOOSE(Underlying,AJ199/AI199,AM199/AL199)</f>
        <v>-10.0971937029432</v>
      </c>
      <c r="BK199" s="541" t="n">
        <f aca="false">BJ199+1/365.25</f>
        <v>-10.0944558521561</v>
      </c>
      <c r="BL199" s="541" t="n">
        <f aca="false">(I200-DateToday)/365.25</f>
        <v>-10.0698151950719</v>
      </c>
      <c r="BM199" s="542" t="e">
        <f aca="false">MAX(BI199-(BJ199-BI199)*(S200^2/O200^2-1),0)</f>
        <v>#DIV/0!</v>
      </c>
      <c r="BN199" s="541" t="e">
        <f aca="false">MAX(BL199+(BL199-BK199)*(S201^2/O201^2-1),0)</f>
        <v>#DIV/0!</v>
      </c>
      <c r="BO199" s="530" t="n">
        <f aca="false">CHOOSE(Underlying,AI199,AL199)</f>
        <v>21</v>
      </c>
      <c r="BP199" s="529" t="n">
        <f aca="false">CHOOSE(Underlying,AJ199,AM199)</f>
        <v>14</v>
      </c>
      <c r="BQ199" s="529" t="n">
        <f aca="false">CHOOSE(Underlying,AK199,AN199)</f>
        <v>7</v>
      </c>
      <c r="BR199" s="463" t="str">
        <f aca="false">IF(BD199,IF(Underlying=1,X199,Z199)+UnderlyingPriceAsian-SwapPriceCurve,"")</f>
        <v/>
      </c>
      <c r="BS199" s="463" t="str">
        <f aca="false">IF(BD199,Strike1/BR199-1,"")</f>
        <v/>
      </c>
      <c r="BT199" s="464" t="str">
        <f aca="false">IF(BD199,Strike2/BR199-1,"")</f>
        <v/>
      </c>
      <c r="BU199" s="465" t="str">
        <f aca="false">IF(BD199,IF(Underlying=1,L200,R200)+UnderlyingPriceAsian-SwapPriceCurve,"")</f>
        <v/>
      </c>
      <c r="BV199" s="465" t="str">
        <f aca="false">IF(BD199,IF(Underlying=1,L201,R201)+UnderlyingPriceAsian-SwapPriceCurve,"")</f>
        <v/>
      </c>
      <c r="BW199" s="466" t="str">
        <f aca="false">IF(BD199,IF(Underlying=1,O200,AT200),"")</f>
        <v/>
      </c>
      <c r="BX199" s="467" t="str">
        <f aca="false">IF(BD199,IF(Underlying=1,O201,AT201),"")</f>
        <v/>
      </c>
      <c r="BY199" s="466" t="str">
        <f aca="false">IF(BD199,IF(BS199&gt;0,IF(BS199&gt;0.2,BC199-BB199,IF(BS199&gt;0.1,BB199-BA199,BA199)),IF(BS199&lt;-0.2,AX199-AY199,IF(BS199&lt;-0.1,AY199-AZ199,AZ199))),"")</f>
        <v/>
      </c>
      <c r="BZ199" s="467" t="str">
        <f aca="false">IF(BD199,IF(BT199&gt;0,IF(BT199&gt;0.2,BC199-BB199,IF(BT199&gt;0.1,BB199-BA199,BA199)),IF(BT199&lt;-0.2,AX199-AY199,IF(BT199&lt;-0.1,AY199-AZ199,AZ199))),"")</f>
        <v/>
      </c>
      <c r="CA199" s="468" t="str">
        <f aca="false">IF($BD199,$BW199+IF(VolSkewFlag=1,IF(BS199&gt;0,$BA199*MIN(BS199/10%,1)+($BB199-$BA199)*MAX(0,MIN(BS199/10%-1,1))+($BC199-$BB199)*MAX(0,BS199/10%-2),$AZ199*MIN(-BS199/10%,1)+($AY199-$AZ199)*MAX(0,MIN(-BS199/10%-1,1))+($AX199-$AY199)*MAX(0,-BS199/10%-2)),0),"")</f>
        <v/>
      </c>
      <c r="CB199" s="468" t="str">
        <f aca="false">IF($BD199,$BX199+IF(VolSkewFlag=1,IF(BS199&gt;0,$BA199*MIN(BS199/10%,1)+($BB199-$BA199)*MAX(0,MIN(BS199/10%-1,1))+($BC199-$BB199)*MAX(0,BS199/10%-2),$AZ199*MIN(-BS199/10%,1)+($AY199-$AZ199)*MAX(0,MIN(-BS199/10%-1,1))+($AX199-$AY199)*MAX(0,-BS199/10%-2)),0),"")</f>
        <v/>
      </c>
      <c r="CC199" s="468" t="str">
        <f aca="false">IF($BD199,$BW199+IF(VolSkewFlag=1,IF(BT199&gt;0,$BA199*MIN(BT199/10%,1)+($BB199-$BA199)*MAX(0,MIN(BT199/10%-1,1))+($BC199-$BB199)*MAX(0,BT199/10%-2),$AZ199*MIN(-BT199/10%,1)+($AY199-$AZ199)*MAX(0,MIN(-BT199/10%-1,1))+($AX199-$AY199)*MAX(0,-BT199/10%-2)),0),"")</f>
        <v/>
      </c>
      <c r="CD199" s="468" t="str">
        <f aca="false">IF($BD199,$BX199+IF(VolSkewFlag=1,IF(BT199&gt;0,$BA199*MIN(BT199/10%,1)+($BB199-$BA199)*MAX(0,MIN(BT199/10%-1,1))+($BC199-$BB199)*MAX(0,BT199/10%-2),$AZ199*MIN(-BT199/10%,1)+($AY199-$AZ199)*MAX(0,MIN(-BT199/10%-1,1))+($AX199-$AY199)*MAX(0,-BT199/10%-2)),0),"")</f>
        <v/>
      </c>
      <c r="CE199" s="469" t="n">
        <v>1</v>
      </c>
      <c r="CF199" s="470" t="n">
        <f aca="false">IF(BD199,xCrudeAPO(BU199,BV199,CA199,CB199,S200,S201,BI199,BL199,BP199,BQ199,0,Strike1,AO199,CE199,0,BL199,IF(OptControl=4,0,1),0,1),0)</f>
        <v>0</v>
      </c>
      <c r="CG199" s="470" t="n">
        <f aca="false">IF(BD199,xCrudeAPO(BU199,BV199,CA199,CB199,S200,S201,BI199,BL199,BP199,BQ199,0,Strike1,AO199,CE199,0,BL199,IF(OptControl=4,0,1),1,1)+xCrudeAPO(BU199,BV199,CA199,CB199,S200,S201,BI199,BL199,BP199,BQ199,0,Strike1,AO199,CE199,0,BL199,IF(OptControl=4,0,1),1,2)+IF(OR(VolSkewFlag=2,ABS(BS199)&lt;0.0001),0,IF(BS199&gt;0,-1,1)*CH199*Strike1/BR199^2*BY199/10%),0)</f>
        <v>0</v>
      </c>
      <c r="CH199" s="470" t="n">
        <f aca="false">IF(BD199,(xCrudeAPO(BU199,BV199,CA199,CB199,S200,S201,BI199,BL199,BP199,BQ199,0,Strike1,AO199,CE199,0,BL199,IF(OptControl=4,0,1),3,1)+xCrudeAPO(BU199,BV199,CA199,CB199,S200,S201,BI199,BL199,BP199,BQ199,0,Strike1,AO199,CE199,0,BL199,IF(OptControl=4,0,1),3,2))/100,0)</f>
        <v>0</v>
      </c>
      <c r="CI199" s="470" t="n">
        <f aca="false">IF(BD199,xCrudeAPO(BU199,BV199,CA199,CB199,S200,S201,BI199-DaysForThetaCalculation/365.25,BL199-DaysForThetaCalculation/365.25,BP199,BQ199,0,Strike1,AO199,CE199,0,BL199,IF(OptControl=4,0,1),0,1)-xCrudeAPO(BU199,BV199,CA199,CB199,S200,S201,BI199,BL199,BP199,BQ199,0,Strike1,AO199,CE199,0,BL199,IF(OptControl=4,0,1),0,1),0)</f>
        <v>0</v>
      </c>
      <c r="CJ199" s="471" t="n">
        <f aca="false">IF(BD199,xCrudeAPO(BU199,BV199,CC199,CD199,S200,S201,BI199,BL199,BP199,BQ199,0,Strike2,AO199,CE199,0,BL199,IF(OptControl=3,1,0),0,1),0)</f>
        <v>0</v>
      </c>
      <c r="CK199" s="470" t="n">
        <f aca="false">IF(BD199,xCrudeAPO(BU199,BV199,CC199,CD199,S200,S201,BI199,BL199,BP199,BQ199,0,Strike2,AO199,CE199,0,BL199,IF(OptControl=3,1,0),1,1)+xCrudeAPO(BU199,BV199,CC199,CD199,S200,S201,BI199,BL199,BP199,BQ199,0,Strike2,AO199,CE199,0,BL199,IF(OptControl=3,1,0),1,2)+IF(OR(VolSkewFlag=2,ABS(BT199)&lt;0.0001),0,IF(BT199&gt;0,-1,1)*CL199*Strike2/BR199^2*BZ199/10%),0)</f>
        <v>0</v>
      </c>
      <c r="CL199" s="470" t="n">
        <f aca="false">IF(BD199,(xCrudeAPO(BU199,BV199,CC199,CD199,S200,S201,BI199,BL199,BP199,BQ199,0,Strike2,AO199,CE199,0,BL199,IF(OptControl=3,1,0),3,1)+xCrudeAPO(BU199,BV199,CC199,CD199,S200,S201,BI199,BL199,BP199,BQ199,0,Strike2,AO199,CE199,0,BL199,IF(OptControl=3,1,0),3,2))/100,0)</f>
        <v>0</v>
      </c>
      <c r="CM199" s="472" t="n">
        <f aca="false">IF(BD199,xCrudeAPO(BU199,BV199,CC199,CD199,S200,S201,BI199-DaysForThetaCalculation/365.25,BL199-DaysForThetaCalculation/365.25,BP199,BQ199,0,Strike2,AO199,CE199,0,BL199,IF(OptControl=3,1,0),0,1)-xCrudeAPO(BU199,BV199,CC199,CD199,S200,S201,BI199,BL199,BP199,BQ199,0,Strike2,AO199,CE199,0,BL199,IF(OptControl=3,1,0),0,1),0)</f>
        <v>0</v>
      </c>
      <c r="CN199" s="3"/>
      <c r="CO199" s="543" t="str">
        <f aca="false">IF(BD199,CHOOSE(Underlying,AD199,AF199)-DateToday+1,"")</f>
        <v/>
      </c>
      <c r="CP199" s="582" t="str">
        <f aca="false">IF(BD199,CHOOSE(Underlying,L199,R199),"")</f>
        <v/>
      </c>
      <c r="CQ199" s="544" t="str">
        <f aca="false">IF(BD199,Strike1/CP199-1,"")</f>
        <v/>
      </c>
      <c r="CR199" s="544" t="str">
        <f aca="false">IF(BD199,Strike2/CP199-1,"")</f>
        <v/>
      </c>
      <c r="CS199" s="544" t="str">
        <f aca="false">IF(BD199,IF(CQ199&gt;0,IF(CQ199&gt;0.2,BC198-BB198,IF(CQ199&gt;0.1,BB198-BA198,BA198)),IF(CQ199&lt;-0.2,AX198-AY198,IF(CQ199&lt;-0.1,AY198-AZ198,AZ198))),"")</f>
        <v/>
      </c>
      <c r="CT199" s="544" t="str">
        <f aca="false">IF(BD199,IF(CR199&gt;0,IF(CR199&gt;0.2,BC198-BB198,IF(CR199&gt;0.1,BB198-BA198,BA198)),IF(CR199&lt;-0.2,AX198-AY198,IF(CR199&lt;-0.1,AY198-AZ198,AZ198))),"")</f>
        <v/>
      </c>
      <c r="CU199" s="545" t="str">
        <f aca="false">IF(BD199,CHOOSE(Underlying,O199,AT199),"")</f>
        <v/>
      </c>
      <c r="CV199" s="545" t="str">
        <f aca="false">IF(BD199,CU199+IF(VolSkewFlag=1,IF(CQ199&gt;0,BA198*MIN(CQ199/10%,1)+(BB198-BA198)*MAX(0,MIN(CQ199/10%-1,1))+(BC198-BB198)*MAX(0,CQ199/10%-2),AZ198*MIN(-CQ199/10%,1)+(AY198-AZ198)*MAX(0,MIN(-CQ199/10%-1,1))+(AX198-AY198)*MAX(0,-CQ199/10%-2)),0),"")</f>
        <v/>
      </c>
      <c r="CW199" s="545" t="str">
        <f aca="false">IF(BD199,CU199+IF(VolSkewFlag=1,IF(CR199&gt;0,BA198*MIN(CR199/10%,1)+(BB198-BA198)*MAX(0,MIN(CR199/10%-1,1))+(BC198-BB198)*MAX(0,CR199/10%-2),AZ198*MIN(-CR199/10%,1)+(AY198-AZ198)*MAX(0,MIN(-CR199/10%-1,1))+(AX198-AY198)*MAX(0,-CR199/10%-2)),0),"")</f>
        <v/>
      </c>
      <c r="CX199" s="470" t="n">
        <f aca="false">IF(BD199,EURO(CP199,Strike1,AO199,AO199,CV199,CO199,IF(OptControl=4,0,1),0),0)</f>
        <v>0</v>
      </c>
      <c r="CY199" s="470" t="n">
        <f aca="false">IF(BD199,EURO(CP199,Strike1,AO199,AO199,CV199,CO199,IF(OptControl=4,0,1),1)+IF(OR(VolSkewFlag=2,ABS(CQ199)&lt;0.0001),0,IF(CQ199&gt;0,-1,1)*CZ199*100*Strike1/CP199^2*CS199/10%),0)</f>
        <v>0</v>
      </c>
      <c r="CZ199" s="470" t="n">
        <f aca="false">IF(BD199,EURO(CP199,Strike1,AO199,AO199,CV199,CO199,IF(OptControl=4,0,1),3)/100,0)</f>
        <v>0</v>
      </c>
      <c r="DA199" s="470" t="n">
        <f aca="false">IF(BD199,EURO(CP199,Strike1,AO199,AO199,CV199,CO199,IF(OptControl=4,0,1),0)-EURO(CP199,Strike1,AO199,AO199,CV199,CO199-1,IF(OptControl=4,0,1),0),0)</f>
        <v>0</v>
      </c>
      <c r="DB199" s="470" t="n">
        <f aca="false">IF(BD199,EURO(CP199,Strike2,AO199,AO199,CW199,CO199,IF(OptControl=3,1,0),0),0)</f>
        <v>0</v>
      </c>
      <c r="DC199" s="470" t="n">
        <f aca="false">IF(BD199,EURO(CP199,Strike2,AO199,AO199,CW199,CO199,IF(OptControl=3,1,0),1)+IF(OR(VolSkewFlag=2,ABS(CR199)&lt;0.0001),0,IF(CR199&gt;0,-1,1)*DD199*100*Strike2/CP199^2*CT199/10%),0)</f>
        <v>0</v>
      </c>
      <c r="DD199" s="470" t="n">
        <f aca="false">IF(BD199,EURO(CP199,Strike2,AO199,AO199,CW199,CO199,IF(OptControl=3,1,0),3)/100,0)</f>
        <v>0</v>
      </c>
      <c r="DE199" s="472" t="n">
        <f aca="false">IF(BD199,EURO(CP199,Strike2,AO199,AO199,CW199,CO199,IF(OptControl=3,1,0),0)-EURO(CP199,Strike2,AO199,AO199,CW199,CO199-1,IF(OptControl=3,1,0),0),0)</f>
        <v>0</v>
      </c>
      <c r="DG199" s="481" t="n">
        <f aca="false">EOMONTH(DG198,0)+1</f>
        <v>51136</v>
      </c>
      <c r="DH199" s="478" t="n">
        <v>23.1100000000001</v>
      </c>
      <c r="DI199" s="479" t="n">
        <v>23.1790476190477</v>
      </c>
      <c r="DJ199" s="480" t="n">
        <f aca="false">DG199</f>
        <v>51136</v>
      </c>
      <c r="DK199" s="478" t="n">
        <v>21.8995623439527</v>
      </c>
      <c r="DL199" s="479" t="n">
        <v>22.0105476190477</v>
      </c>
      <c r="DM199" s="481" t="n">
        <f aca="false">DG199</f>
        <v>51136</v>
      </c>
      <c r="DN199" s="482" t="n">
        <f aca="false">DK199+BrentPhyBrentSpread</f>
        <v>21.9495623439527</v>
      </c>
      <c r="DO199" s="481" t="n">
        <f aca="false">DG199</f>
        <v>51136</v>
      </c>
      <c r="DP199" s="483" t="n">
        <f aca="false">DL199+DQ199</f>
        <v>22.0105476190477</v>
      </c>
      <c r="DQ199" s="546" t="n">
        <v>0</v>
      </c>
      <c r="DR199" s="480" t="n">
        <f aca="false">DG199</f>
        <v>51136</v>
      </c>
      <c r="DS199" s="485" t="n">
        <v>0.117199999999998</v>
      </c>
      <c r="DT199" s="486" t="n">
        <v>0.116371428571427</v>
      </c>
      <c r="DU199" s="480" t="n">
        <f aca="false">DG199</f>
        <v>51136</v>
      </c>
      <c r="DV199" s="485" t="n">
        <v>0.117199999999998</v>
      </c>
      <c r="DW199" s="486" t="n">
        <v>0.116371428571427</v>
      </c>
      <c r="DX199" s="481" t="n">
        <f aca="false">DG199</f>
        <v>51136</v>
      </c>
      <c r="DY199" s="486" t="n">
        <v>0.35</v>
      </c>
      <c r="DZ199" s="481" t="n">
        <f aca="false">DR199</f>
        <v>51136</v>
      </c>
      <c r="EA199" s="486" t="n">
        <f aca="false">DT199</f>
        <v>0.116371428571427</v>
      </c>
      <c r="EB199" s="195"/>
      <c r="EC199" s="547" t="str">
        <f aca="false">IF(BD199,IF(Underlying=1,AS199,AU199),"")</f>
        <v/>
      </c>
      <c r="ED199" s="548" t="str">
        <f aca="false">IF($BD199,$EC199+IF(VolSkewFlag=1,IF(BS199&gt;0,$BA199*MIN(BS199/10%,1)+($BB199-$BA199)*MAX(0,MIN(BS199/10%-1,1))+($BC199-$BB199)*MAX(0,BS199/10%-2),$AZ199*MIN(-BS199/10%,1)+($AY199-$AZ199)*MAX(0,MIN(-BS199/10%-1,1))+($AX199-$AY199)*MAX(0,-BS199/10%-2)),0),"")</f>
        <v/>
      </c>
      <c r="EE199" s="549" t="str">
        <f aca="false">IF($BD199,$EC199+IF(VolSkewFlag=1,IF(BT199&gt;0,$BA199*MIN(BT199/10%,1)+($BB199-$BA199)*MAX(0,MIN(BT199/10%-1,1))+($BC199-$BB199)*MAX(0,BT199/10%-2),$AZ199*MIN(-BT199/10%,1)+($AY199-$AZ199)*MAX(0,MIN(-BT199/10%-1,1))+($AX199-$AY199)*MAX(0,-BT199/10%-2)),0),"")</f>
        <v/>
      </c>
      <c r="EF199" s="550" t="n">
        <f aca="false">IF(BD199,xASN(BR199,Strike1,AO199,ED199,0,BO199,0,BI199,BL199,IF(OptControl=4,0,1),0),0)</f>
        <v>0</v>
      </c>
      <c r="EG199" s="551" t="n">
        <f aca="false">IF(BD199,xASN(BR199,Strike2,AO199,EE199,0,BO199,0,BI199,BL199,IF(OptControl=3,1,0),0),0)</f>
        <v>0</v>
      </c>
      <c r="EL199" s="1"/>
      <c r="EM199" s="195"/>
      <c r="EN199" s="240"/>
      <c r="EO199" s="240"/>
      <c r="EP199" s="195"/>
      <c r="EQ199" s="407" t="s">
        <v>427</v>
      </c>
      <c r="ES199" s="130"/>
      <c r="ET199" s="19"/>
      <c r="EU199" s="672"/>
      <c r="EV199" s="478"/>
      <c r="EW199" s="131"/>
      <c r="EX199" s="131"/>
      <c r="EY199" s="129"/>
      <c r="EZ199" s="129"/>
      <c r="FA199" s="129"/>
      <c r="FB199" s="129"/>
      <c r="FC199" s="129"/>
      <c r="FD199" s="129"/>
      <c r="FE199" s="129"/>
      <c r="FF199" s="129"/>
      <c r="FG199" s="129"/>
      <c r="FH199" s="129"/>
      <c r="FI199" s="129"/>
      <c r="FJ199" s="571" t="n">
        <v>30</v>
      </c>
      <c r="FK199" s="150" t="str">
        <f aca="false">IF(OR(FK$169&lt;SwaptionFirstMonthPosition+1,$FJ199&lt;SwaptionFirstMonthPosition+1,FK$169&gt;SwaptionFirstMonthPosition+SwaptionNumOfMonths+1,$FJ199&gt;SwaptionFirstMonthPosition+SwaptionNumOfMonths+1),"",IF($FJ199=FK$169,1,IF($FJ199&lt;FK$169,INDEX($FK$170:$ID$241,FK$169,$FJ199),SUMPRODUCT(INDEX($FK$325:$ID$396,FK$169,1+SwaptionShift):INDEX($FK$325:$ID$396,FK$169,SwaptionMonthsToGo+SwaptionShift),INDEX($FK$245:$ID$316,$FJ199-FK$169,73-FK$169+SwaptionShift):INDEX($FK$245:$ID$316,$FJ199-FK$169,72-FK$169+SwaptionMonthsToGo+SwaptionShift))/SQRT(SUM(INDEX($FK354:$ID354,1+SwaptionShift):INDEX($FK354:$ID354,SwaptionMonthsToGo+SwaptionShift))*SUM(INDEX($FK$325:$ID$396,FK$169,1+SwaptionShift):INDEX($FK$325:$ID$396,FK$169,SwaptionMonthsToGo+SwaptionShift))))))</f>
        <v/>
      </c>
      <c r="FL199" s="150" t="str">
        <f aca="false">IF(OR(FL$169&lt;SwaptionFirstMonthPosition+1,$FJ199&lt;SwaptionFirstMonthPosition+1,FL$169&gt;SwaptionFirstMonthPosition+SwaptionNumOfMonths+1,$FJ199&gt;SwaptionFirstMonthPosition+SwaptionNumOfMonths+1),"",IF($FJ199=FL$169,1,IF($FJ199&lt;FL$169,INDEX($FK$170:$ID$241,FL$169,$FJ199),SUMPRODUCT(INDEX($FK$325:$ID$396,FL$169,1+SwaptionShift):INDEX($FK$325:$ID$396,FL$169,SwaptionMonthsToGo+SwaptionShift),INDEX($FK$245:$ID$316,$FJ199-FL$169,73-FL$169+SwaptionShift):INDEX($FK$245:$ID$316,$FJ199-FL$169,72-FL$169+SwaptionMonthsToGo+SwaptionShift))/SQRT(SUM(INDEX($FK354:$ID354,1+SwaptionShift):INDEX($FK354:$ID354,SwaptionMonthsToGo+SwaptionShift))*SUM(INDEX($FK$325:$ID$396,FL$169,1+SwaptionShift):INDEX($FK$325:$ID$396,FL$169,SwaptionMonthsToGo+SwaptionShift))))))</f>
        <v/>
      </c>
      <c r="FM199" s="150" t="str">
        <f aca="false">IF(OR(FM$169&lt;SwaptionFirstMonthPosition+1,$FJ199&lt;SwaptionFirstMonthPosition+1,FM$169&gt;SwaptionFirstMonthPosition+SwaptionNumOfMonths+1,$FJ199&gt;SwaptionFirstMonthPosition+SwaptionNumOfMonths+1),"",IF($FJ199=FM$169,1,IF($FJ199&lt;FM$169,INDEX($FK$170:$ID$241,FM$169,$FJ199),SUMPRODUCT(INDEX($FK$325:$ID$396,FM$169,1+SwaptionShift):INDEX($FK$325:$ID$396,FM$169,SwaptionMonthsToGo+SwaptionShift),INDEX($FK$245:$ID$316,$FJ199-FM$169,73-FM$169+SwaptionShift):INDEX($FK$245:$ID$316,$FJ199-FM$169,72-FM$169+SwaptionMonthsToGo+SwaptionShift))/SQRT(SUM(INDEX($FK354:$ID354,1+SwaptionShift):INDEX($FK354:$ID354,SwaptionMonthsToGo+SwaptionShift))*SUM(INDEX($FK$325:$ID$396,FM$169,1+SwaptionShift):INDEX($FK$325:$ID$396,FM$169,SwaptionMonthsToGo+SwaptionShift))))))</f>
        <v/>
      </c>
      <c r="FN199" s="150" t="str">
        <f aca="false">IF(OR(FN$169&lt;SwaptionFirstMonthPosition+1,$FJ199&lt;SwaptionFirstMonthPosition+1,FN$169&gt;SwaptionFirstMonthPosition+SwaptionNumOfMonths+1,$FJ199&gt;SwaptionFirstMonthPosition+SwaptionNumOfMonths+1),"",IF($FJ199=FN$169,1,IF($FJ199&lt;FN$169,INDEX($FK$170:$ID$241,FN$169,$FJ199),SUMPRODUCT(INDEX($FK$325:$ID$396,FN$169,1+SwaptionShift):INDEX($FK$325:$ID$396,FN$169,SwaptionMonthsToGo+SwaptionShift),INDEX($FK$245:$ID$316,$FJ199-FN$169,73-FN$169+SwaptionShift):INDEX($FK$245:$ID$316,$FJ199-FN$169,72-FN$169+SwaptionMonthsToGo+SwaptionShift))/SQRT(SUM(INDEX($FK354:$ID354,1+SwaptionShift):INDEX($FK354:$ID354,SwaptionMonthsToGo+SwaptionShift))*SUM(INDEX($FK$325:$ID$396,FN$169,1+SwaptionShift):INDEX($FK$325:$ID$396,FN$169,SwaptionMonthsToGo+SwaptionShift))))))</f>
        <v/>
      </c>
      <c r="FO199" s="150" t="str">
        <f aca="false">IF(OR(FO$169&lt;SwaptionFirstMonthPosition+1,$FJ199&lt;SwaptionFirstMonthPosition+1,FO$169&gt;SwaptionFirstMonthPosition+SwaptionNumOfMonths+1,$FJ199&gt;SwaptionFirstMonthPosition+SwaptionNumOfMonths+1),"",IF($FJ199=FO$169,1,IF($FJ199&lt;FO$169,INDEX($FK$170:$ID$241,FO$169,$FJ199),SUMPRODUCT(INDEX($FK$325:$ID$396,FO$169,1+SwaptionShift):INDEX($FK$325:$ID$396,FO$169,SwaptionMonthsToGo+SwaptionShift),INDEX($FK$245:$ID$316,$FJ199-FO$169,73-FO$169+SwaptionShift):INDEX($FK$245:$ID$316,$FJ199-FO$169,72-FO$169+SwaptionMonthsToGo+SwaptionShift))/SQRT(SUM(INDEX($FK354:$ID354,1+SwaptionShift):INDEX($FK354:$ID354,SwaptionMonthsToGo+SwaptionShift))*SUM(INDEX($FK$325:$ID$396,FO$169,1+SwaptionShift):INDEX($FK$325:$ID$396,FO$169,SwaptionMonthsToGo+SwaptionShift))))))</f>
        <v/>
      </c>
      <c r="FP199" s="150" t="str">
        <f aca="false">IF(OR(FP$169&lt;SwaptionFirstMonthPosition+1,$FJ199&lt;SwaptionFirstMonthPosition+1,FP$169&gt;SwaptionFirstMonthPosition+SwaptionNumOfMonths+1,$FJ199&gt;SwaptionFirstMonthPosition+SwaptionNumOfMonths+1),"",IF($FJ199=FP$169,1,IF($FJ199&lt;FP$169,INDEX($FK$170:$ID$241,FP$169,$FJ199),SUMPRODUCT(INDEX($FK$325:$ID$396,FP$169,1+SwaptionShift):INDEX($FK$325:$ID$396,FP$169,SwaptionMonthsToGo+SwaptionShift),INDEX($FK$245:$ID$316,$FJ199-FP$169,73-FP$169+SwaptionShift):INDEX($FK$245:$ID$316,$FJ199-FP$169,72-FP$169+SwaptionMonthsToGo+SwaptionShift))/SQRT(SUM(INDEX($FK354:$ID354,1+SwaptionShift):INDEX($FK354:$ID354,SwaptionMonthsToGo+SwaptionShift))*SUM(INDEX($FK$325:$ID$396,FP$169,1+SwaptionShift):INDEX($FK$325:$ID$396,FP$169,SwaptionMonthsToGo+SwaptionShift))))))</f>
        <v/>
      </c>
      <c r="FQ199" s="150" t="str">
        <f aca="false">IF(OR(FQ$169&lt;SwaptionFirstMonthPosition+1,$FJ199&lt;SwaptionFirstMonthPosition+1,FQ$169&gt;SwaptionFirstMonthPosition+SwaptionNumOfMonths+1,$FJ199&gt;SwaptionFirstMonthPosition+SwaptionNumOfMonths+1),"",IF($FJ199=FQ$169,1,IF($FJ199&lt;FQ$169,INDEX($FK$170:$ID$241,FQ$169,$FJ199),SUMPRODUCT(INDEX($FK$325:$ID$396,FQ$169,1+SwaptionShift):INDEX($FK$325:$ID$396,FQ$169,SwaptionMonthsToGo+SwaptionShift),INDEX($FK$245:$ID$316,$FJ199-FQ$169,73-FQ$169+SwaptionShift):INDEX($FK$245:$ID$316,$FJ199-FQ$169,72-FQ$169+SwaptionMonthsToGo+SwaptionShift))/SQRT(SUM(INDEX($FK354:$ID354,1+SwaptionShift):INDEX($FK354:$ID354,SwaptionMonthsToGo+SwaptionShift))*SUM(INDEX($FK$325:$ID$396,FQ$169,1+SwaptionShift):INDEX($FK$325:$ID$396,FQ$169,SwaptionMonthsToGo+SwaptionShift))))))</f>
        <v/>
      </c>
      <c r="FR199" s="150" t="str">
        <f aca="false">IF(OR(FR$169&lt;SwaptionFirstMonthPosition+1,$FJ199&lt;SwaptionFirstMonthPosition+1,FR$169&gt;SwaptionFirstMonthPosition+SwaptionNumOfMonths+1,$FJ199&gt;SwaptionFirstMonthPosition+SwaptionNumOfMonths+1),"",IF($FJ199=FR$169,1,IF($FJ199&lt;FR$169,INDEX($FK$170:$ID$241,FR$169,$FJ199),SUMPRODUCT(INDEX($FK$325:$ID$396,FR$169,1+SwaptionShift):INDEX($FK$325:$ID$396,FR$169,SwaptionMonthsToGo+SwaptionShift),INDEX($FK$245:$ID$316,$FJ199-FR$169,73-FR$169+SwaptionShift):INDEX($FK$245:$ID$316,$FJ199-FR$169,72-FR$169+SwaptionMonthsToGo+SwaptionShift))/SQRT(SUM(INDEX($FK354:$ID354,1+SwaptionShift):INDEX($FK354:$ID354,SwaptionMonthsToGo+SwaptionShift))*SUM(INDEX($FK$325:$ID$396,FR$169,1+SwaptionShift):INDEX($FK$325:$ID$396,FR$169,SwaptionMonthsToGo+SwaptionShift))))))</f>
        <v/>
      </c>
      <c r="FS199" s="150" t="str">
        <f aca="false">IF(OR(FS$169&lt;SwaptionFirstMonthPosition+1,$FJ199&lt;SwaptionFirstMonthPosition+1,FS$169&gt;SwaptionFirstMonthPosition+SwaptionNumOfMonths+1,$FJ199&gt;SwaptionFirstMonthPosition+SwaptionNumOfMonths+1),"",IF($FJ199=FS$169,1,IF($FJ199&lt;FS$169,INDEX($FK$170:$ID$241,FS$169,$FJ199),SUMPRODUCT(INDEX($FK$325:$ID$396,FS$169,1+SwaptionShift):INDEX($FK$325:$ID$396,FS$169,SwaptionMonthsToGo+SwaptionShift),INDEX($FK$245:$ID$316,$FJ199-FS$169,73-FS$169+SwaptionShift):INDEX($FK$245:$ID$316,$FJ199-FS$169,72-FS$169+SwaptionMonthsToGo+SwaptionShift))/SQRT(SUM(INDEX($FK354:$ID354,1+SwaptionShift):INDEX($FK354:$ID354,SwaptionMonthsToGo+SwaptionShift))*SUM(INDEX($FK$325:$ID$396,FS$169,1+SwaptionShift):INDEX($FK$325:$ID$396,FS$169,SwaptionMonthsToGo+SwaptionShift))))))</f>
        <v/>
      </c>
      <c r="FT199" s="150" t="str">
        <f aca="false">IF(OR(FT$169&lt;SwaptionFirstMonthPosition+1,$FJ199&lt;SwaptionFirstMonthPosition+1,FT$169&gt;SwaptionFirstMonthPosition+SwaptionNumOfMonths+1,$FJ199&gt;SwaptionFirstMonthPosition+SwaptionNumOfMonths+1),"",IF($FJ199=FT$169,1,IF($FJ199&lt;FT$169,INDEX($FK$170:$ID$241,FT$169,$FJ199),SUMPRODUCT(INDEX($FK$325:$ID$396,FT$169,1+SwaptionShift):INDEX($FK$325:$ID$396,FT$169,SwaptionMonthsToGo+SwaptionShift),INDEX($FK$245:$ID$316,$FJ199-FT$169,73-FT$169+SwaptionShift):INDEX($FK$245:$ID$316,$FJ199-FT$169,72-FT$169+SwaptionMonthsToGo+SwaptionShift))/SQRT(SUM(INDEX($FK354:$ID354,1+SwaptionShift):INDEX($FK354:$ID354,SwaptionMonthsToGo+SwaptionShift))*SUM(INDEX($FK$325:$ID$396,FT$169,1+SwaptionShift):INDEX($FK$325:$ID$396,FT$169,SwaptionMonthsToGo+SwaptionShift))))))</f>
        <v/>
      </c>
      <c r="FU199" s="150" t="str">
        <f aca="false">IF(OR(FU$169&lt;SwaptionFirstMonthPosition+1,$FJ199&lt;SwaptionFirstMonthPosition+1,FU$169&gt;SwaptionFirstMonthPosition+SwaptionNumOfMonths+1,$FJ199&gt;SwaptionFirstMonthPosition+SwaptionNumOfMonths+1),"",IF($FJ199=FU$169,1,IF($FJ199&lt;FU$169,INDEX($FK$170:$ID$241,FU$169,$FJ199),SUMPRODUCT(INDEX($FK$325:$ID$396,FU$169,1+SwaptionShift):INDEX($FK$325:$ID$396,FU$169,SwaptionMonthsToGo+SwaptionShift),INDEX($FK$245:$ID$316,$FJ199-FU$169,73-FU$169+SwaptionShift):INDEX($FK$245:$ID$316,$FJ199-FU$169,72-FU$169+SwaptionMonthsToGo+SwaptionShift))/SQRT(SUM(INDEX($FK354:$ID354,1+SwaptionShift):INDEX($FK354:$ID354,SwaptionMonthsToGo+SwaptionShift))*SUM(INDEX($FK$325:$ID$396,FU$169,1+SwaptionShift):INDEX($FK$325:$ID$396,FU$169,SwaptionMonthsToGo+SwaptionShift))))))</f>
        <v/>
      </c>
      <c r="FV199" s="150" t="str">
        <f aca="false">IF(OR(FV$169&lt;SwaptionFirstMonthPosition+1,$FJ199&lt;SwaptionFirstMonthPosition+1,FV$169&gt;SwaptionFirstMonthPosition+SwaptionNumOfMonths+1,$FJ199&gt;SwaptionFirstMonthPosition+SwaptionNumOfMonths+1),"",IF($FJ199=FV$169,1,IF($FJ199&lt;FV$169,INDEX($FK$170:$ID$241,FV$169,$FJ199),SUMPRODUCT(INDEX($FK$325:$ID$396,FV$169,1+SwaptionShift):INDEX($FK$325:$ID$396,FV$169,SwaptionMonthsToGo+SwaptionShift),INDEX($FK$245:$ID$316,$FJ199-FV$169,73-FV$169+SwaptionShift):INDEX($FK$245:$ID$316,$FJ199-FV$169,72-FV$169+SwaptionMonthsToGo+SwaptionShift))/SQRT(SUM(INDEX($FK354:$ID354,1+SwaptionShift):INDEX($FK354:$ID354,SwaptionMonthsToGo+SwaptionShift))*SUM(INDEX($FK$325:$ID$396,FV$169,1+SwaptionShift):INDEX($FK$325:$ID$396,FV$169,SwaptionMonthsToGo+SwaptionShift))))))</f>
        <v/>
      </c>
      <c r="FW199" s="150" t="str">
        <f aca="false">IF(OR(FW$169&lt;SwaptionFirstMonthPosition+1,$FJ199&lt;SwaptionFirstMonthPosition+1,FW$169&gt;SwaptionFirstMonthPosition+SwaptionNumOfMonths+1,$FJ199&gt;SwaptionFirstMonthPosition+SwaptionNumOfMonths+1),"",IF($FJ199=FW$169,1,IF($FJ199&lt;FW$169,INDEX($FK$170:$ID$241,FW$169,$FJ199),SUMPRODUCT(INDEX($FK$325:$ID$396,FW$169,1+SwaptionShift):INDEX($FK$325:$ID$396,FW$169,SwaptionMonthsToGo+SwaptionShift),INDEX($FK$245:$ID$316,$FJ199-FW$169,73-FW$169+SwaptionShift):INDEX($FK$245:$ID$316,$FJ199-FW$169,72-FW$169+SwaptionMonthsToGo+SwaptionShift))/SQRT(SUM(INDEX($FK354:$ID354,1+SwaptionShift):INDEX($FK354:$ID354,SwaptionMonthsToGo+SwaptionShift))*SUM(INDEX($FK$325:$ID$396,FW$169,1+SwaptionShift):INDEX($FK$325:$ID$396,FW$169,SwaptionMonthsToGo+SwaptionShift))))))</f>
        <v/>
      </c>
      <c r="FX199" s="150" t="str">
        <f aca="false">IF(OR(FX$169&lt;SwaptionFirstMonthPosition+1,$FJ199&lt;SwaptionFirstMonthPosition+1,FX$169&gt;SwaptionFirstMonthPosition+SwaptionNumOfMonths+1,$FJ199&gt;SwaptionFirstMonthPosition+SwaptionNumOfMonths+1),"",IF($FJ199=FX$169,1,IF($FJ199&lt;FX$169,INDEX($FK$170:$ID$241,FX$169,$FJ199),SUMPRODUCT(INDEX($FK$325:$ID$396,FX$169,1+SwaptionShift):INDEX($FK$325:$ID$396,FX$169,SwaptionMonthsToGo+SwaptionShift),INDEX($FK$245:$ID$316,$FJ199-FX$169,73-FX$169+SwaptionShift):INDEX($FK$245:$ID$316,$FJ199-FX$169,72-FX$169+SwaptionMonthsToGo+SwaptionShift))/SQRT(SUM(INDEX($FK354:$ID354,1+SwaptionShift):INDEX($FK354:$ID354,SwaptionMonthsToGo+SwaptionShift))*SUM(INDEX($FK$325:$ID$396,FX$169,1+SwaptionShift):INDEX($FK$325:$ID$396,FX$169,SwaptionMonthsToGo+SwaptionShift))))))</f>
        <v/>
      </c>
      <c r="FY199" s="150" t="str">
        <f aca="false">IF(OR(FY$169&lt;SwaptionFirstMonthPosition+1,$FJ199&lt;SwaptionFirstMonthPosition+1,FY$169&gt;SwaptionFirstMonthPosition+SwaptionNumOfMonths+1,$FJ199&gt;SwaptionFirstMonthPosition+SwaptionNumOfMonths+1),"",IF($FJ199=FY$169,1,IF($FJ199&lt;FY$169,INDEX($FK$170:$ID$241,FY$169,$FJ199),SUMPRODUCT(INDEX($FK$325:$ID$396,FY$169,1+SwaptionShift):INDEX($FK$325:$ID$396,FY$169,SwaptionMonthsToGo+SwaptionShift),INDEX($FK$245:$ID$316,$FJ199-FY$169,73-FY$169+SwaptionShift):INDEX($FK$245:$ID$316,$FJ199-FY$169,72-FY$169+SwaptionMonthsToGo+SwaptionShift))/SQRT(SUM(INDEX($FK354:$ID354,1+SwaptionShift):INDEX($FK354:$ID354,SwaptionMonthsToGo+SwaptionShift))*SUM(INDEX($FK$325:$ID$396,FY$169,1+SwaptionShift):INDEX($FK$325:$ID$396,FY$169,SwaptionMonthsToGo+SwaptionShift))))))</f>
        <v/>
      </c>
      <c r="FZ199" s="150" t="str">
        <f aca="false">IF(OR(FZ$169&lt;SwaptionFirstMonthPosition+1,$FJ199&lt;SwaptionFirstMonthPosition+1,FZ$169&gt;SwaptionFirstMonthPosition+SwaptionNumOfMonths+1,$FJ199&gt;SwaptionFirstMonthPosition+SwaptionNumOfMonths+1),"",IF($FJ199=FZ$169,1,IF($FJ199&lt;FZ$169,INDEX($FK$170:$ID$241,FZ$169,$FJ199),SUMPRODUCT(INDEX($FK$325:$ID$396,FZ$169,1+SwaptionShift):INDEX($FK$325:$ID$396,FZ$169,SwaptionMonthsToGo+SwaptionShift),INDEX($FK$245:$ID$316,$FJ199-FZ$169,73-FZ$169+SwaptionShift):INDEX($FK$245:$ID$316,$FJ199-FZ$169,72-FZ$169+SwaptionMonthsToGo+SwaptionShift))/SQRT(SUM(INDEX($FK354:$ID354,1+SwaptionShift):INDEX($FK354:$ID354,SwaptionMonthsToGo+SwaptionShift))*SUM(INDEX($FK$325:$ID$396,FZ$169,1+SwaptionShift):INDEX($FK$325:$ID$396,FZ$169,SwaptionMonthsToGo+SwaptionShift))))))</f>
        <v/>
      </c>
      <c r="GA199" s="150" t="str">
        <f aca="false">IF(OR(GA$169&lt;SwaptionFirstMonthPosition+1,$FJ199&lt;SwaptionFirstMonthPosition+1,GA$169&gt;SwaptionFirstMonthPosition+SwaptionNumOfMonths+1,$FJ199&gt;SwaptionFirstMonthPosition+SwaptionNumOfMonths+1),"",IF($FJ199=GA$169,1,IF($FJ199&lt;GA$169,INDEX($FK$170:$ID$241,GA$169,$FJ199),SUMPRODUCT(INDEX($FK$325:$ID$396,GA$169,1+SwaptionShift):INDEX($FK$325:$ID$396,GA$169,SwaptionMonthsToGo+SwaptionShift),INDEX($FK$245:$ID$316,$FJ199-GA$169,73-GA$169+SwaptionShift):INDEX($FK$245:$ID$316,$FJ199-GA$169,72-GA$169+SwaptionMonthsToGo+SwaptionShift))/SQRT(SUM(INDEX($FK354:$ID354,1+SwaptionShift):INDEX($FK354:$ID354,SwaptionMonthsToGo+SwaptionShift))*SUM(INDEX($FK$325:$ID$396,GA$169,1+SwaptionShift):INDEX($FK$325:$ID$396,GA$169,SwaptionMonthsToGo+SwaptionShift))))))</f>
        <v/>
      </c>
      <c r="GB199" s="150" t="str">
        <f aca="false">IF(OR(GB$169&lt;SwaptionFirstMonthPosition+1,$FJ199&lt;SwaptionFirstMonthPosition+1,GB$169&gt;SwaptionFirstMonthPosition+SwaptionNumOfMonths+1,$FJ199&gt;SwaptionFirstMonthPosition+SwaptionNumOfMonths+1),"",IF($FJ199=GB$169,1,IF($FJ199&lt;GB$169,INDEX($FK$170:$ID$241,GB$169,$FJ199),SUMPRODUCT(INDEX($FK$325:$ID$396,GB$169,1+SwaptionShift):INDEX($FK$325:$ID$396,GB$169,SwaptionMonthsToGo+SwaptionShift),INDEX($FK$245:$ID$316,$FJ199-GB$169,73-GB$169+SwaptionShift):INDEX($FK$245:$ID$316,$FJ199-GB$169,72-GB$169+SwaptionMonthsToGo+SwaptionShift))/SQRT(SUM(INDEX($FK354:$ID354,1+SwaptionShift):INDEX($FK354:$ID354,SwaptionMonthsToGo+SwaptionShift))*SUM(INDEX($FK$325:$ID$396,GB$169,1+SwaptionShift):INDEX($FK$325:$ID$396,GB$169,SwaptionMonthsToGo+SwaptionShift))))))</f>
        <v/>
      </c>
      <c r="GC199" s="150" t="str">
        <f aca="false">IF(OR(GC$169&lt;SwaptionFirstMonthPosition+1,$FJ199&lt;SwaptionFirstMonthPosition+1,GC$169&gt;SwaptionFirstMonthPosition+SwaptionNumOfMonths+1,$FJ199&gt;SwaptionFirstMonthPosition+SwaptionNumOfMonths+1),"",IF($FJ199=GC$169,1,IF($FJ199&lt;GC$169,INDEX($FK$170:$ID$241,GC$169,$FJ199),SUMPRODUCT(INDEX($FK$325:$ID$396,GC$169,1+SwaptionShift):INDEX($FK$325:$ID$396,GC$169,SwaptionMonthsToGo+SwaptionShift),INDEX($FK$245:$ID$316,$FJ199-GC$169,73-GC$169+SwaptionShift):INDEX($FK$245:$ID$316,$FJ199-GC$169,72-GC$169+SwaptionMonthsToGo+SwaptionShift))/SQRT(SUM(INDEX($FK354:$ID354,1+SwaptionShift):INDEX($FK354:$ID354,SwaptionMonthsToGo+SwaptionShift))*SUM(INDEX($FK$325:$ID$396,GC$169,1+SwaptionShift):INDEX($FK$325:$ID$396,GC$169,SwaptionMonthsToGo+SwaptionShift))))))</f>
        <v/>
      </c>
      <c r="GD199" s="150" t="str">
        <f aca="false">IF(OR(GD$169&lt;SwaptionFirstMonthPosition+1,$FJ199&lt;SwaptionFirstMonthPosition+1,GD$169&gt;SwaptionFirstMonthPosition+SwaptionNumOfMonths+1,$FJ199&gt;SwaptionFirstMonthPosition+SwaptionNumOfMonths+1),"",IF($FJ199=GD$169,1,IF($FJ199&lt;GD$169,INDEX($FK$170:$ID$241,GD$169,$FJ199),SUMPRODUCT(INDEX($FK$325:$ID$396,GD$169,1+SwaptionShift):INDEX($FK$325:$ID$396,GD$169,SwaptionMonthsToGo+SwaptionShift),INDEX($FK$245:$ID$316,$FJ199-GD$169,73-GD$169+SwaptionShift):INDEX($FK$245:$ID$316,$FJ199-GD$169,72-GD$169+SwaptionMonthsToGo+SwaptionShift))/SQRT(SUM(INDEX($FK354:$ID354,1+SwaptionShift):INDEX($FK354:$ID354,SwaptionMonthsToGo+SwaptionShift))*SUM(INDEX($FK$325:$ID$396,GD$169,1+SwaptionShift):INDEX($FK$325:$ID$396,GD$169,SwaptionMonthsToGo+SwaptionShift))))))</f>
        <v/>
      </c>
      <c r="GE199" s="150" t="str">
        <f aca="false">IF(OR(GE$169&lt;SwaptionFirstMonthPosition+1,$FJ199&lt;SwaptionFirstMonthPosition+1,GE$169&gt;SwaptionFirstMonthPosition+SwaptionNumOfMonths+1,$FJ199&gt;SwaptionFirstMonthPosition+SwaptionNumOfMonths+1),"",IF($FJ199=GE$169,1,IF($FJ199&lt;GE$169,INDEX($FK$170:$ID$241,GE$169,$FJ199),SUMPRODUCT(INDEX($FK$325:$ID$396,GE$169,1+SwaptionShift):INDEX($FK$325:$ID$396,GE$169,SwaptionMonthsToGo+SwaptionShift),INDEX($FK$245:$ID$316,$FJ199-GE$169,73-GE$169+SwaptionShift):INDEX($FK$245:$ID$316,$FJ199-GE$169,72-GE$169+SwaptionMonthsToGo+SwaptionShift))/SQRT(SUM(INDEX($FK354:$ID354,1+SwaptionShift):INDEX($FK354:$ID354,SwaptionMonthsToGo+SwaptionShift))*SUM(INDEX($FK$325:$ID$396,GE$169,1+SwaptionShift):INDEX($FK$325:$ID$396,GE$169,SwaptionMonthsToGo+SwaptionShift))))))</f>
        <v/>
      </c>
      <c r="GF199" s="150" t="str">
        <f aca="false">IF(OR(GF$169&lt;SwaptionFirstMonthPosition+1,$FJ199&lt;SwaptionFirstMonthPosition+1,GF$169&gt;SwaptionFirstMonthPosition+SwaptionNumOfMonths+1,$FJ199&gt;SwaptionFirstMonthPosition+SwaptionNumOfMonths+1),"",IF($FJ199=GF$169,1,IF($FJ199&lt;GF$169,INDEX($FK$170:$ID$241,GF$169,$FJ199),SUMPRODUCT(INDEX($FK$325:$ID$396,GF$169,1+SwaptionShift):INDEX($FK$325:$ID$396,GF$169,SwaptionMonthsToGo+SwaptionShift),INDEX($FK$245:$ID$316,$FJ199-GF$169,73-GF$169+SwaptionShift):INDEX($FK$245:$ID$316,$FJ199-GF$169,72-GF$169+SwaptionMonthsToGo+SwaptionShift))/SQRT(SUM(INDEX($FK354:$ID354,1+SwaptionShift):INDEX($FK354:$ID354,SwaptionMonthsToGo+SwaptionShift))*SUM(INDEX($FK$325:$ID$396,GF$169,1+SwaptionShift):INDEX($FK$325:$ID$396,GF$169,SwaptionMonthsToGo+SwaptionShift))))))</f>
        <v/>
      </c>
      <c r="GG199" s="150" t="str">
        <f aca="false">IF(OR(GG$169&lt;SwaptionFirstMonthPosition+1,$FJ199&lt;SwaptionFirstMonthPosition+1,GG$169&gt;SwaptionFirstMonthPosition+SwaptionNumOfMonths+1,$FJ199&gt;SwaptionFirstMonthPosition+SwaptionNumOfMonths+1),"",IF($FJ199=GG$169,1,IF($FJ199&lt;GG$169,INDEX($FK$170:$ID$241,GG$169,$FJ199),SUMPRODUCT(INDEX($FK$325:$ID$396,GG$169,1+SwaptionShift):INDEX($FK$325:$ID$396,GG$169,SwaptionMonthsToGo+SwaptionShift),INDEX($FK$245:$ID$316,$FJ199-GG$169,73-GG$169+SwaptionShift):INDEX($FK$245:$ID$316,$FJ199-GG$169,72-GG$169+SwaptionMonthsToGo+SwaptionShift))/SQRT(SUM(INDEX($FK354:$ID354,1+SwaptionShift):INDEX($FK354:$ID354,SwaptionMonthsToGo+SwaptionShift))*SUM(INDEX($FK$325:$ID$396,GG$169,1+SwaptionShift):INDEX($FK$325:$ID$396,GG$169,SwaptionMonthsToGo+SwaptionShift))))))</f>
        <v/>
      </c>
      <c r="GH199" s="150" t="str">
        <f aca="false">IF(OR(GH$169&lt;SwaptionFirstMonthPosition+1,$FJ199&lt;SwaptionFirstMonthPosition+1,GH$169&gt;SwaptionFirstMonthPosition+SwaptionNumOfMonths+1,$FJ199&gt;SwaptionFirstMonthPosition+SwaptionNumOfMonths+1),"",IF($FJ199=GH$169,1,IF($FJ199&lt;GH$169,INDEX($FK$170:$ID$241,GH$169,$FJ199),SUMPRODUCT(INDEX($FK$325:$ID$396,GH$169,1+SwaptionShift):INDEX($FK$325:$ID$396,GH$169,SwaptionMonthsToGo+SwaptionShift),INDEX($FK$245:$ID$316,$FJ199-GH$169,73-GH$169+SwaptionShift):INDEX($FK$245:$ID$316,$FJ199-GH$169,72-GH$169+SwaptionMonthsToGo+SwaptionShift))/SQRT(SUM(INDEX($FK354:$ID354,1+SwaptionShift):INDEX($FK354:$ID354,SwaptionMonthsToGo+SwaptionShift))*SUM(INDEX($FK$325:$ID$396,GH$169,1+SwaptionShift):INDEX($FK$325:$ID$396,GH$169,SwaptionMonthsToGo+SwaptionShift))))))</f>
        <v/>
      </c>
      <c r="GI199" s="150" t="str">
        <f aca="false">IF(OR(GI$169&lt;SwaptionFirstMonthPosition+1,$FJ199&lt;SwaptionFirstMonthPosition+1,GI$169&gt;SwaptionFirstMonthPosition+SwaptionNumOfMonths+1,$FJ199&gt;SwaptionFirstMonthPosition+SwaptionNumOfMonths+1),"",IF($FJ199=GI$169,1,IF($FJ199&lt;GI$169,INDEX($FK$170:$ID$241,GI$169,$FJ199),SUMPRODUCT(INDEX($FK$325:$ID$396,GI$169,1+SwaptionShift):INDEX($FK$325:$ID$396,GI$169,SwaptionMonthsToGo+SwaptionShift),INDEX($FK$245:$ID$316,$FJ199-GI$169,73-GI$169+SwaptionShift):INDEX($FK$245:$ID$316,$FJ199-GI$169,72-GI$169+SwaptionMonthsToGo+SwaptionShift))/SQRT(SUM(INDEX($FK354:$ID354,1+SwaptionShift):INDEX($FK354:$ID354,SwaptionMonthsToGo+SwaptionShift))*SUM(INDEX($FK$325:$ID$396,GI$169,1+SwaptionShift):INDEX($FK$325:$ID$396,GI$169,SwaptionMonthsToGo+SwaptionShift))))))</f>
        <v/>
      </c>
      <c r="GJ199" s="150" t="str">
        <f aca="false">IF(OR(GJ$169&lt;SwaptionFirstMonthPosition+1,$FJ199&lt;SwaptionFirstMonthPosition+1,GJ$169&gt;SwaptionFirstMonthPosition+SwaptionNumOfMonths+1,$FJ199&gt;SwaptionFirstMonthPosition+SwaptionNumOfMonths+1),"",IF($FJ199=GJ$169,1,IF($FJ199&lt;GJ$169,INDEX($FK$170:$ID$241,GJ$169,$FJ199),SUMPRODUCT(INDEX($FK$325:$ID$396,GJ$169,1+SwaptionShift):INDEX($FK$325:$ID$396,GJ$169,SwaptionMonthsToGo+SwaptionShift),INDEX($FK$245:$ID$316,$FJ199-GJ$169,73-GJ$169+SwaptionShift):INDEX($FK$245:$ID$316,$FJ199-GJ$169,72-GJ$169+SwaptionMonthsToGo+SwaptionShift))/SQRT(SUM(INDEX($FK354:$ID354,1+SwaptionShift):INDEX($FK354:$ID354,SwaptionMonthsToGo+SwaptionShift))*SUM(INDEX($FK$325:$ID$396,GJ$169,1+SwaptionShift):INDEX($FK$325:$ID$396,GJ$169,SwaptionMonthsToGo+SwaptionShift))))))</f>
        <v/>
      </c>
      <c r="GK199" s="150" t="str">
        <f aca="false">IF(OR(GK$169&lt;SwaptionFirstMonthPosition+1,$FJ199&lt;SwaptionFirstMonthPosition+1,GK$169&gt;SwaptionFirstMonthPosition+SwaptionNumOfMonths+1,$FJ199&gt;SwaptionFirstMonthPosition+SwaptionNumOfMonths+1),"",IF($FJ199=GK$169,1,IF($FJ199&lt;GK$169,INDEX($FK$170:$ID$241,GK$169,$FJ199),SUMPRODUCT(INDEX($FK$325:$ID$396,GK$169,1+SwaptionShift):INDEX($FK$325:$ID$396,GK$169,SwaptionMonthsToGo+SwaptionShift),INDEX($FK$245:$ID$316,$FJ199-GK$169,73-GK$169+SwaptionShift):INDEX($FK$245:$ID$316,$FJ199-GK$169,72-GK$169+SwaptionMonthsToGo+SwaptionShift))/SQRT(SUM(INDEX($FK354:$ID354,1+SwaptionShift):INDEX($FK354:$ID354,SwaptionMonthsToGo+SwaptionShift))*SUM(INDEX($FK$325:$ID$396,GK$169,1+SwaptionShift):INDEX($FK$325:$ID$396,GK$169,SwaptionMonthsToGo+SwaptionShift))))))</f>
        <v/>
      </c>
      <c r="GL199" s="150" t="str">
        <f aca="false">IF(OR(GL$169&lt;SwaptionFirstMonthPosition+1,$FJ199&lt;SwaptionFirstMonthPosition+1,GL$169&gt;SwaptionFirstMonthPosition+SwaptionNumOfMonths+1,$FJ199&gt;SwaptionFirstMonthPosition+SwaptionNumOfMonths+1),"",IF($FJ199=GL$169,1,IF($FJ199&lt;GL$169,INDEX($FK$170:$ID$241,GL$169,$FJ199),SUMPRODUCT(INDEX($FK$325:$ID$396,GL$169,1+SwaptionShift):INDEX($FK$325:$ID$396,GL$169,SwaptionMonthsToGo+SwaptionShift),INDEX($FK$245:$ID$316,$FJ199-GL$169,73-GL$169+SwaptionShift):INDEX($FK$245:$ID$316,$FJ199-GL$169,72-GL$169+SwaptionMonthsToGo+SwaptionShift))/SQRT(SUM(INDEX($FK354:$ID354,1+SwaptionShift):INDEX($FK354:$ID354,SwaptionMonthsToGo+SwaptionShift))*SUM(INDEX($FK$325:$ID$396,GL$169,1+SwaptionShift):INDEX($FK$325:$ID$396,GL$169,SwaptionMonthsToGo+SwaptionShift))))))</f>
        <v/>
      </c>
      <c r="GM199" s="150" t="str">
        <f aca="false">IF(OR(GM$169&lt;SwaptionFirstMonthPosition+1,$FJ199&lt;SwaptionFirstMonthPosition+1,GM$169&gt;SwaptionFirstMonthPosition+SwaptionNumOfMonths+1,$FJ199&gt;SwaptionFirstMonthPosition+SwaptionNumOfMonths+1),"",IF($FJ199=GM$169,1,IF($FJ199&lt;GM$169,INDEX($FK$170:$ID$241,GM$169,$FJ199),SUMPRODUCT(INDEX($FK$325:$ID$396,GM$169,1+SwaptionShift):INDEX($FK$325:$ID$396,GM$169,SwaptionMonthsToGo+SwaptionShift),INDEX($FK$245:$ID$316,$FJ199-GM$169,73-GM$169+SwaptionShift):INDEX($FK$245:$ID$316,$FJ199-GM$169,72-GM$169+SwaptionMonthsToGo+SwaptionShift))/SQRT(SUM(INDEX($FK354:$ID354,1+SwaptionShift):INDEX($FK354:$ID354,SwaptionMonthsToGo+SwaptionShift))*SUM(INDEX($FK$325:$ID$396,GM$169,1+SwaptionShift):INDEX($FK$325:$ID$396,GM$169,SwaptionMonthsToGo+SwaptionShift))))))</f>
        <v/>
      </c>
      <c r="GN199" s="150" t="str">
        <f aca="false">IF(OR(GN$169&lt;SwaptionFirstMonthPosition+1,$FJ199&lt;SwaptionFirstMonthPosition+1,GN$169&gt;SwaptionFirstMonthPosition+SwaptionNumOfMonths+1,$FJ199&gt;SwaptionFirstMonthPosition+SwaptionNumOfMonths+1),"",IF($FJ199=GN$169,1,IF($FJ199&lt;GN$169,INDEX($FK$170:$ID$241,GN$169,$FJ199),SUMPRODUCT(INDEX($FK$325:$ID$396,GN$169,1+SwaptionShift):INDEX($FK$325:$ID$396,GN$169,SwaptionMonthsToGo+SwaptionShift),INDEX($FK$245:$ID$316,$FJ199-GN$169,73-GN$169+SwaptionShift):INDEX($FK$245:$ID$316,$FJ199-GN$169,72-GN$169+SwaptionMonthsToGo+SwaptionShift))/SQRT(SUM(INDEX($FK354:$ID354,1+SwaptionShift):INDEX($FK354:$ID354,SwaptionMonthsToGo+SwaptionShift))*SUM(INDEX($FK$325:$ID$396,GN$169,1+SwaptionShift):INDEX($FK$325:$ID$396,GN$169,SwaptionMonthsToGo+SwaptionShift))))))</f>
        <v/>
      </c>
      <c r="GO199" s="150" t="str">
        <f aca="false">IF(OR(GO$169&lt;SwaptionFirstMonthPosition+1,$FJ199&lt;SwaptionFirstMonthPosition+1,GO$169&gt;SwaptionFirstMonthPosition+SwaptionNumOfMonths+1,$FJ199&gt;SwaptionFirstMonthPosition+SwaptionNumOfMonths+1),"",IF($FJ199=GO$169,1,IF($FJ199&lt;GO$169,INDEX($FK$170:$ID$241,GO$169,$FJ199),SUMPRODUCT(INDEX($FK$325:$ID$396,GO$169,1+SwaptionShift):INDEX($FK$325:$ID$396,GO$169,SwaptionMonthsToGo+SwaptionShift),INDEX($FK$245:$ID$316,$FJ199-GO$169,73-GO$169+SwaptionShift):INDEX($FK$245:$ID$316,$FJ199-GO$169,72-GO$169+SwaptionMonthsToGo+SwaptionShift))/SQRT(SUM(INDEX($FK354:$ID354,1+SwaptionShift):INDEX($FK354:$ID354,SwaptionMonthsToGo+SwaptionShift))*SUM(INDEX($FK$325:$ID$396,GO$169,1+SwaptionShift):INDEX($FK$325:$ID$396,GO$169,SwaptionMonthsToGo+SwaptionShift))))))</f>
        <v/>
      </c>
      <c r="GP199" s="150" t="str">
        <f aca="false">IF(OR(GP$169&lt;SwaptionFirstMonthPosition+1,$FJ199&lt;SwaptionFirstMonthPosition+1,GP$169&gt;SwaptionFirstMonthPosition+SwaptionNumOfMonths+1,$FJ199&gt;SwaptionFirstMonthPosition+SwaptionNumOfMonths+1),"",IF($FJ199=GP$169,1,IF($FJ199&lt;GP$169,INDEX($FK$170:$ID$241,GP$169,$FJ199),SUMPRODUCT(INDEX($FK$325:$ID$396,GP$169,1+SwaptionShift):INDEX($FK$325:$ID$396,GP$169,SwaptionMonthsToGo+SwaptionShift),INDEX($FK$245:$ID$316,$FJ199-GP$169,73-GP$169+SwaptionShift):INDEX($FK$245:$ID$316,$FJ199-GP$169,72-GP$169+SwaptionMonthsToGo+SwaptionShift))/SQRT(SUM(INDEX($FK354:$ID354,1+SwaptionShift):INDEX($FK354:$ID354,SwaptionMonthsToGo+SwaptionShift))*SUM(INDEX($FK$325:$ID$396,GP$169,1+SwaptionShift):INDEX($FK$325:$ID$396,GP$169,SwaptionMonthsToGo+SwaptionShift))))))</f>
        <v/>
      </c>
      <c r="GQ199" s="150" t="str">
        <f aca="false">IF(OR(GQ$169&lt;SwaptionFirstMonthPosition+1,$FJ199&lt;SwaptionFirstMonthPosition+1,GQ$169&gt;SwaptionFirstMonthPosition+SwaptionNumOfMonths+1,$FJ199&gt;SwaptionFirstMonthPosition+SwaptionNumOfMonths+1),"",IF($FJ199=GQ$169,1,IF($FJ199&lt;GQ$169,INDEX($FK$170:$ID$241,GQ$169,$FJ199),SUMPRODUCT(INDEX($FK$325:$ID$396,GQ$169,1+SwaptionShift):INDEX($FK$325:$ID$396,GQ$169,SwaptionMonthsToGo+SwaptionShift),INDEX($FK$245:$ID$316,$FJ199-GQ$169,73-GQ$169+SwaptionShift):INDEX($FK$245:$ID$316,$FJ199-GQ$169,72-GQ$169+SwaptionMonthsToGo+SwaptionShift))/SQRT(SUM(INDEX($FK354:$ID354,1+SwaptionShift):INDEX($FK354:$ID354,SwaptionMonthsToGo+SwaptionShift))*SUM(INDEX($FK$325:$ID$396,GQ$169,1+SwaptionShift):INDEX($FK$325:$ID$396,GQ$169,SwaptionMonthsToGo+SwaptionShift))))))</f>
        <v/>
      </c>
      <c r="GR199" s="150" t="str">
        <f aca="false">IF(OR(GR$169&lt;SwaptionFirstMonthPosition+1,$FJ199&lt;SwaptionFirstMonthPosition+1,GR$169&gt;SwaptionFirstMonthPosition+SwaptionNumOfMonths+1,$FJ199&gt;SwaptionFirstMonthPosition+SwaptionNumOfMonths+1),"",IF($FJ199=GR$169,1,IF($FJ199&lt;GR$169,INDEX($FK$170:$ID$241,GR$169,$FJ199),SUMPRODUCT(INDEX($FK$325:$ID$396,GR$169,1+SwaptionShift):INDEX($FK$325:$ID$396,GR$169,SwaptionMonthsToGo+SwaptionShift),INDEX($FK$245:$ID$316,$FJ199-GR$169,73-GR$169+SwaptionShift):INDEX($FK$245:$ID$316,$FJ199-GR$169,72-GR$169+SwaptionMonthsToGo+SwaptionShift))/SQRT(SUM(INDEX($FK354:$ID354,1+SwaptionShift):INDEX($FK354:$ID354,SwaptionMonthsToGo+SwaptionShift))*SUM(INDEX($FK$325:$ID$396,GR$169,1+SwaptionShift):INDEX($FK$325:$ID$396,GR$169,SwaptionMonthsToGo+SwaptionShift))))))</f>
        <v/>
      </c>
      <c r="GS199" s="150" t="str">
        <f aca="false">IF(OR(GS$169&lt;SwaptionFirstMonthPosition+1,$FJ199&lt;SwaptionFirstMonthPosition+1,GS$169&gt;SwaptionFirstMonthPosition+SwaptionNumOfMonths+1,$FJ199&gt;SwaptionFirstMonthPosition+SwaptionNumOfMonths+1),"",IF($FJ199=GS$169,1,IF($FJ199&lt;GS$169,INDEX($FK$170:$ID$241,GS$169,$FJ199),SUMPRODUCT(INDEX($FK$325:$ID$396,GS$169,1+SwaptionShift):INDEX($FK$325:$ID$396,GS$169,SwaptionMonthsToGo+SwaptionShift),INDEX($FK$245:$ID$316,$FJ199-GS$169,73-GS$169+SwaptionShift):INDEX($FK$245:$ID$316,$FJ199-GS$169,72-GS$169+SwaptionMonthsToGo+SwaptionShift))/SQRT(SUM(INDEX($FK354:$ID354,1+SwaptionShift):INDEX($FK354:$ID354,SwaptionMonthsToGo+SwaptionShift))*SUM(INDEX($FK$325:$ID$396,GS$169,1+SwaptionShift):INDEX($FK$325:$ID$396,GS$169,SwaptionMonthsToGo+SwaptionShift))))))</f>
        <v/>
      </c>
      <c r="GT199" s="150" t="str">
        <f aca="false">IF(OR(GT$169&lt;SwaptionFirstMonthPosition+1,$FJ199&lt;SwaptionFirstMonthPosition+1,GT$169&gt;SwaptionFirstMonthPosition+SwaptionNumOfMonths+1,$FJ199&gt;SwaptionFirstMonthPosition+SwaptionNumOfMonths+1),"",IF($FJ199=GT$169,1,IF($FJ199&lt;GT$169,INDEX($FK$170:$ID$241,GT$169,$FJ199),SUMPRODUCT(INDEX($FK$325:$ID$396,GT$169,1+SwaptionShift):INDEX($FK$325:$ID$396,GT$169,SwaptionMonthsToGo+SwaptionShift),INDEX($FK$245:$ID$316,$FJ199-GT$169,73-GT$169+SwaptionShift):INDEX($FK$245:$ID$316,$FJ199-GT$169,72-GT$169+SwaptionMonthsToGo+SwaptionShift))/SQRT(SUM(INDEX($FK354:$ID354,1+SwaptionShift):INDEX($FK354:$ID354,SwaptionMonthsToGo+SwaptionShift))*SUM(INDEX($FK$325:$ID$396,GT$169,1+SwaptionShift):INDEX($FK$325:$ID$396,GT$169,SwaptionMonthsToGo+SwaptionShift))))))</f>
        <v/>
      </c>
      <c r="GU199" s="150" t="str">
        <f aca="false">IF(OR(GU$169&lt;SwaptionFirstMonthPosition+1,$FJ199&lt;SwaptionFirstMonthPosition+1,GU$169&gt;SwaptionFirstMonthPosition+SwaptionNumOfMonths+1,$FJ199&gt;SwaptionFirstMonthPosition+SwaptionNumOfMonths+1),"",IF($FJ199=GU$169,1,IF($FJ199&lt;GU$169,INDEX($FK$170:$ID$241,GU$169,$FJ199),SUMPRODUCT(INDEX($FK$325:$ID$396,GU$169,1+SwaptionShift):INDEX($FK$325:$ID$396,GU$169,SwaptionMonthsToGo+SwaptionShift),INDEX($FK$245:$ID$316,$FJ199-GU$169,73-GU$169+SwaptionShift):INDEX($FK$245:$ID$316,$FJ199-GU$169,72-GU$169+SwaptionMonthsToGo+SwaptionShift))/SQRT(SUM(INDEX($FK354:$ID354,1+SwaptionShift):INDEX($FK354:$ID354,SwaptionMonthsToGo+SwaptionShift))*SUM(INDEX($FK$325:$ID$396,GU$169,1+SwaptionShift):INDEX($FK$325:$ID$396,GU$169,SwaptionMonthsToGo+SwaptionShift))))))</f>
        <v/>
      </c>
      <c r="GV199" s="150" t="str">
        <f aca="false">IF(OR(GV$169&lt;SwaptionFirstMonthPosition+1,$FJ199&lt;SwaptionFirstMonthPosition+1,GV$169&gt;SwaptionFirstMonthPosition+SwaptionNumOfMonths+1,$FJ199&gt;SwaptionFirstMonthPosition+SwaptionNumOfMonths+1),"",IF($FJ199=GV$169,1,IF($FJ199&lt;GV$169,INDEX($FK$170:$ID$241,GV$169,$FJ199),SUMPRODUCT(INDEX($FK$325:$ID$396,GV$169,1+SwaptionShift):INDEX($FK$325:$ID$396,GV$169,SwaptionMonthsToGo+SwaptionShift),INDEX($FK$245:$ID$316,$FJ199-GV$169,73-GV$169+SwaptionShift):INDEX($FK$245:$ID$316,$FJ199-GV$169,72-GV$169+SwaptionMonthsToGo+SwaptionShift))/SQRT(SUM(INDEX($FK354:$ID354,1+SwaptionShift):INDEX($FK354:$ID354,SwaptionMonthsToGo+SwaptionShift))*SUM(INDEX($FK$325:$ID$396,GV$169,1+SwaptionShift):INDEX($FK$325:$ID$396,GV$169,SwaptionMonthsToGo+SwaptionShift))))))</f>
        <v/>
      </c>
      <c r="GW199" s="150" t="str">
        <f aca="false">IF(OR(GW$169&lt;SwaptionFirstMonthPosition+1,$FJ199&lt;SwaptionFirstMonthPosition+1,GW$169&gt;SwaptionFirstMonthPosition+SwaptionNumOfMonths+1,$FJ199&gt;SwaptionFirstMonthPosition+SwaptionNumOfMonths+1),"",IF($FJ199=GW$169,1,IF($FJ199&lt;GW$169,INDEX($FK$170:$ID$241,GW$169,$FJ199),SUMPRODUCT(INDEX($FK$325:$ID$396,GW$169,1+SwaptionShift):INDEX($FK$325:$ID$396,GW$169,SwaptionMonthsToGo+SwaptionShift),INDEX($FK$245:$ID$316,$FJ199-GW$169,73-GW$169+SwaptionShift):INDEX($FK$245:$ID$316,$FJ199-GW$169,72-GW$169+SwaptionMonthsToGo+SwaptionShift))/SQRT(SUM(INDEX($FK354:$ID354,1+SwaptionShift):INDEX($FK354:$ID354,SwaptionMonthsToGo+SwaptionShift))*SUM(INDEX($FK$325:$ID$396,GW$169,1+SwaptionShift):INDEX($FK$325:$ID$396,GW$169,SwaptionMonthsToGo+SwaptionShift))))))</f>
        <v/>
      </c>
      <c r="GX199" s="150" t="str">
        <f aca="false">IF(OR(GX$169&lt;SwaptionFirstMonthPosition+1,$FJ199&lt;SwaptionFirstMonthPosition+1,GX$169&gt;SwaptionFirstMonthPosition+SwaptionNumOfMonths+1,$FJ199&gt;SwaptionFirstMonthPosition+SwaptionNumOfMonths+1),"",IF($FJ199=GX$169,1,IF($FJ199&lt;GX$169,INDEX($FK$170:$ID$241,GX$169,$FJ199),SUMPRODUCT(INDEX($FK$325:$ID$396,GX$169,1+SwaptionShift):INDEX($FK$325:$ID$396,GX$169,SwaptionMonthsToGo+SwaptionShift),INDEX($FK$245:$ID$316,$FJ199-GX$169,73-GX$169+SwaptionShift):INDEX($FK$245:$ID$316,$FJ199-GX$169,72-GX$169+SwaptionMonthsToGo+SwaptionShift))/SQRT(SUM(INDEX($FK354:$ID354,1+SwaptionShift):INDEX($FK354:$ID354,SwaptionMonthsToGo+SwaptionShift))*SUM(INDEX($FK$325:$ID$396,GX$169,1+SwaptionShift):INDEX($FK$325:$ID$396,GX$169,SwaptionMonthsToGo+SwaptionShift))))))</f>
        <v/>
      </c>
      <c r="GY199" s="150" t="str">
        <f aca="false">IF(OR(GY$169&lt;SwaptionFirstMonthPosition+1,$FJ199&lt;SwaptionFirstMonthPosition+1,GY$169&gt;SwaptionFirstMonthPosition+SwaptionNumOfMonths+1,$FJ199&gt;SwaptionFirstMonthPosition+SwaptionNumOfMonths+1),"",IF($FJ199=GY$169,1,IF($FJ199&lt;GY$169,INDEX($FK$170:$ID$241,GY$169,$FJ199),SUMPRODUCT(INDEX($FK$325:$ID$396,GY$169,1+SwaptionShift):INDEX($FK$325:$ID$396,GY$169,SwaptionMonthsToGo+SwaptionShift),INDEX($FK$245:$ID$316,$FJ199-GY$169,73-GY$169+SwaptionShift):INDEX($FK$245:$ID$316,$FJ199-GY$169,72-GY$169+SwaptionMonthsToGo+SwaptionShift))/SQRT(SUM(INDEX($FK354:$ID354,1+SwaptionShift):INDEX($FK354:$ID354,SwaptionMonthsToGo+SwaptionShift))*SUM(INDEX($FK$325:$ID$396,GY$169,1+SwaptionShift):INDEX($FK$325:$ID$396,GY$169,SwaptionMonthsToGo+SwaptionShift))))))</f>
        <v/>
      </c>
      <c r="GZ199" s="150" t="str">
        <f aca="false">IF(OR(GZ$169&lt;SwaptionFirstMonthPosition+1,$FJ199&lt;SwaptionFirstMonthPosition+1,GZ$169&gt;SwaptionFirstMonthPosition+SwaptionNumOfMonths+1,$FJ199&gt;SwaptionFirstMonthPosition+SwaptionNumOfMonths+1),"",IF($FJ199=GZ$169,1,IF($FJ199&lt;GZ$169,INDEX($FK$170:$ID$241,GZ$169,$FJ199),SUMPRODUCT(INDEX($FK$325:$ID$396,GZ$169,1+SwaptionShift):INDEX($FK$325:$ID$396,GZ$169,SwaptionMonthsToGo+SwaptionShift),INDEX($FK$245:$ID$316,$FJ199-GZ$169,73-GZ$169+SwaptionShift):INDEX($FK$245:$ID$316,$FJ199-GZ$169,72-GZ$169+SwaptionMonthsToGo+SwaptionShift))/SQRT(SUM(INDEX($FK354:$ID354,1+SwaptionShift):INDEX($FK354:$ID354,SwaptionMonthsToGo+SwaptionShift))*SUM(INDEX($FK$325:$ID$396,GZ$169,1+SwaptionShift):INDEX($FK$325:$ID$396,GZ$169,SwaptionMonthsToGo+SwaptionShift))))))</f>
        <v/>
      </c>
      <c r="HA199" s="150" t="str">
        <f aca="false">IF(OR(HA$169&lt;SwaptionFirstMonthPosition+1,$FJ199&lt;SwaptionFirstMonthPosition+1,HA$169&gt;SwaptionFirstMonthPosition+SwaptionNumOfMonths+1,$FJ199&gt;SwaptionFirstMonthPosition+SwaptionNumOfMonths+1),"",IF($FJ199=HA$169,1,IF($FJ199&lt;HA$169,INDEX($FK$170:$ID$241,HA$169,$FJ199),SUMPRODUCT(INDEX($FK$325:$ID$396,HA$169,1+SwaptionShift):INDEX($FK$325:$ID$396,HA$169,SwaptionMonthsToGo+SwaptionShift),INDEX($FK$245:$ID$316,$FJ199-HA$169,73-HA$169+SwaptionShift):INDEX($FK$245:$ID$316,$FJ199-HA$169,72-HA$169+SwaptionMonthsToGo+SwaptionShift))/SQRT(SUM(INDEX($FK354:$ID354,1+SwaptionShift):INDEX($FK354:$ID354,SwaptionMonthsToGo+SwaptionShift))*SUM(INDEX($FK$325:$ID$396,HA$169,1+SwaptionShift):INDEX($FK$325:$ID$396,HA$169,SwaptionMonthsToGo+SwaptionShift))))))</f>
        <v/>
      </c>
      <c r="HB199" s="150" t="str">
        <f aca="false">IF(OR(HB$169&lt;SwaptionFirstMonthPosition+1,$FJ199&lt;SwaptionFirstMonthPosition+1,HB$169&gt;SwaptionFirstMonthPosition+SwaptionNumOfMonths+1,$FJ199&gt;SwaptionFirstMonthPosition+SwaptionNumOfMonths+1),"",IF($FJ199=HB$169,1,IF($FJ199&lt;HB$169,INDEX($FK$170:$ID$241,HB$169,$FJ199),SUMPRODUCT(INDEX($FK$325:$ID$396,HB$169,1+SwaptionShift):INDEX($FK$325:$ID$396,HB$169,SwaptionMonthsToGo+SwaptionShift),INDEX($FK$245:$ID$316,$FJ199-HB$169,73-HB$169+SwaptionShift):INDEX($FK$245:$ID$316,$FJ199-HB$169,72-HB$169+SwaptionMonthsToGo+SwaptionShift))/SQRT(SUM(INDEX($FK354:$ID354,1+SwaptionShift):INDEX($FK354:$ID354,SwaptionMonthsToGo+SwaptionShift))*SUM(INDEX($FK$325:$ID$396,HB$169,1+SwaptionShift):INDEX($FK$325:$ID$396,HB$169,SwaptionMonthsToGo+SwaptionShift))))))</f>
        <v/>
      </c>
      <c r="HC199" s="150" t="str">
        <f aca="false">IF(OR(HC$169&lt;SwaptionFirstMonthPosition+1,$FJ199&lt;SwaptionFirstMonthPosition+1,HC$169&gt;SwaptionFirstMonthPosition+SwaptionNumOfMonths+1,$FJ199&gt;SwaptionFirstMonthPosition+SwaptionNumOfMonths+1),"",IF($FJ199=HC$169,1,IF($FJ199&lt;HC$169,INDEX($FK$170:$ID$241,HC$169,$FJ199),SUMPRODUCT(INDEX($FK$325:$ID$396,HC$169,1+SwaptionShift):INDEX($FK$325:$ID$396,HC$169,SwaptionMonthsToGo+SwaptionShift),INDEX($FK$245:$ID$316,$FJ199-HC$169,73-HC$169+SwaptionShift):INDEX($FK$245:$ID$316,$FJ199-HC$169,72-HC$169+SwaptionMonthsToGo+SwaptionShift))/SQRT(SUM(INDEX($FK354:$ID354,1+SwaptionShift):INDEX($FK354:$ID354,SwaptionMonthsToGo+SwaptionShift))*SUM(INDEX($FK$325:$ID$396,HC$169,1+SwaptionShift):INDEX($FK$325:$ID$396,HC$169,SwaptionMonthsToGo+SwaptionShift))))))</f>
        <v/>
      </c>
      <c r="HD199" s="150" t="str">
        <f aca="false">IF(OR(HD$169&lt;SwaptionFirstMonthPosition+1,$FJ199&lt;SwaptionFirstMonthPosition+1,HD$169&gt;SwaptionFirstMonthPosition+SwaptionNumOfMonths+1,$FJ199&gt;SwaptionFirstMonthPosition+SwaptionNumOfMonths+1),"",IF($FJ199=HD$169,1,IF($FJ199&lt;HD$169,INDEX($FK$170:$ID$241,HD$169,$FJ199),SUMPRODUCT(INDEX($FK$325:$ID$396,HD$169,1+SwaptionShift):INDEX($FK$325:$ID$396,HD$169,SwaptionMonthsToGo+SwaptionShift),INDEX($FK$245:$ID$316,$FJ199-HD$169,73-HD$169+SwaptionShift):INDEX($FK$245:$ID$316,$FJ199-HD$169,72-HD$169+SwaptionMonthsToGo+SwaptionShift))/SQRT(SUM(INDEX($FK354:$ID354,1+SwaptionShift):INDEX($FK354:$ID354,SwaptionMonthsToGo+SwaptionShift))*SUM(INDEX($FK$325:$ID$396,HD$169,1+SwaptionShift):INDEX($FK$325:$ID$396,HD$169,SwaptionMonthsToGo+SwaptionShift))))))</f>
        <v/>
      </c>
      <c r="HE199" s="150" t="str">
        <f aca="false">IF(OR(HE$169&lt;SwaptionFirstMonthPosition+1,$FJ199&lt;SwaptionFirstMonthPosition+1,HE$169&gt;SwaptionFirstMonthPosition+SwaptionNumOfMonths+1,$FJ199&gt;SwaptionFirstMonthPosition+SwaptionNumOfMonths+1),"",IF($FJ199=HE$169,1,IF($FJ199&lt;HE$169,INDEX($FK$170:$ID$241,HE$169,$FJ199),SUMPRODUCT(INDEX($FK$325:$ID$396,HE$169,1+SwaptionShift):INDEX($FK$325:$ID$396,HE$169,SwaptionMonthsToGo+SwaptionShift),INDEX($FK$245:$ID$316,$FJ199-HE$169,73-HE$169+SwaptionShift):INDEX($FK$245:$ID$316,$FJ199-HE$169,72-HE$169+SwaptionMonthsToGo+SwaptionShift))/SQRT(SUM(INDEX($FK354:$ID354,1+SwaptionShift):INDEX($FK354:$ID354,SwaptionMonthsToGo+SwaptionShift))*SUM(INDEX($FK$325:$ID$396,HE$169,1+SwaptionShift):INDEX($FK$325:$ID$396,HE$169,SwaptionMonthsToGo+SwaptionShift))))))</f>
        <v/>
      </c>
      <c r="HF199" s="150" t="str">
        <f aca="false">IF(OR(HF$169&lt;SwaptionFirstMonthPosition+1,$FJ199&lt;SwaptionFirstMonthPosition+1,HF$169&gt;SwaptionFirstMonthPosition+SwaptionNumOfMonths+1,$FJ199&gt;SwaptionFirstMonthPosition+SwaptionNumOfMonths+1),"",IF($FJ199=HF$169,1,IF($FJ199&lt;HF$169,INDEX($FK$170:$ID$241,HF$169,$FJ199),SUMPRODUCT(INDEX($FK$325:$ID$396,HF$169,1+SwaptionShift):INDEX($FK$325:$ID$396,HF$169,SwaptionMonthsToGo+SwaptionShift),INDEX($FK$245:$ID$316,$FJ199-HF$169,73-HF$169+SwaptionShift):INDEX($FK$245:$ID$316,$FJ199-HF$169,72-HF$169+SwaptionMonthsToGo+SwaptionShift))/SQRT(SUM(INDEX($FK354:$ID354,1+SwaptionShift):INDEX($FK354:$ID354,SwaptionMonthsToGo+SwaptionShift))*SUM(INDEX($FK$325:$ID$396,HF$169,1+SwaptionShift):INDEX($FK$325:$ID$396,HF$169,SwaptionMonthsToGo+SwaptionShift))))))</f>
        <v/>
      </c>
      <c r="HG199" s="150" t="str">
        <f aca="false">IF(OR(HG$169&lt;SwaptionFirstMonthPosition+1,$FJ199&lt;SwaptionFirstMonthPosition+1,HG$169&gt;SwaptionFirstMonthPosition+SwaptionNumOfMonths+1,$FJ199&gt;SwaptionFirstMonthPosition+SwaptionNumOfMonths+1),"",IF($FJ199=HG$169,1,IF($FJ199&lt;HG$169,INDEX($FK$170:$ID$241,HG$169,$FJ199),SUMPRODUCT(INDEX($FK$325:$ID$396,HG$169,1+SwaptionShift):INDEX($FK$325:$ID$396,HG$169,SwaptionMonthsToGo+SwaptionShift),INDEX($FK$245:$ID$316,$FJ199-HG$169,73-HG$169+SwaptionShift):INDEX($FK$245:$ID$316,$FJ199-HG$169,72-HG$169+SwaptionMonthsToGo+SwaptionShift))/SQRT(SUM(INDEX($FK354:$ID354,1+SwaptionShift):INDEX($FK354:$ID354,SwaptionMonthsToGo+SwaptionShift))*SUM(INDEX($FK$325:$ID$396,HG$169,1+SwaptionShift):INDEX($FK$325:$ID$396,HG$169,SwaptionMonthsToGo+SwaptionShift))))))</f>
        <v/>
      </c>
      <c r="HH199" s="150" t="str">
        <f aca="false">IF(OR(HH$169&lt;SwaptionFirstMonthPosition+1,$FJ199&lt;SwaptionFirstMonthPosition+1,HH$169&gt;SwaptionFirstMonthPosition+SwaptionNumOfMonths+1,$FJ199&gt;SwaptionFirstMonthPosition+SwaptionNumOfMonths+1),"",IF($FJ199=HH$169,1,IF($FJ199&lt;HH$169,INDEX($FK$170:$ID$241,HH$169,$FJ199),SUMPRODUCT(INDEX($FK$325:$ID$396,HH$169,1+SwaptionShift):INDEX($FK$325:$ID$396,HH$169,SwaptionMonthsToGo+SwaptionShift),INDEX($FK$245:$ID$316,$FJ199-HH$169,73-HH$169+SwaptionShift):INDEX($FK$245:$ID$316,$FJ199-HH$169,72-HH$169+SwaptionMonthsToGo+SwaptionShift))/SQRT(SUM(INDEX($FK354:$ID354,1+SwaptionShift):INDEX($FK354:$ID354,SwaptionMonthsToGo+SwaptionShift))*SUM(INDEX($FK$325:$ID$396,HH$169,1+SwaptionShift):INDEX($FK$325:$ID$396,HH$169,SwaptionMonthsToGo+SwaptionShift))))))</f>
        <v/>
      </c>
      <c r="HI199" s="150" t="str">
        <f aca="false">IF(OR(HI$169&lt;SwaptionFirstMonthPosition+1,$FJ199&lt;SwaptionFirstMonthPosition+1,HI$169&gt;SwaptionFirstMonthPosition+SwaptionNumOfMonths+1,$FJ199&gt;SwaptionFirstMonthPosition+SwaptionNumOfMonths+1),"",IF($FJ199=HI$169,1,IF($FJ199&lt;HI$169,INDEX($FK$170:$ID$241,HI$169,$FJ199),SUMPRODUCT(INDEX($FK$325:$ID$396,HI$169,1+SwaptionShift):INDEX($FK$325:$ID$396,HI$169,SwaptionMonthsToGo+SwaptionShift),INDEX($FK$245:$ID$316,$FJ199-HI$169,73-HI$169+SwaptionShift):INDEX($FK$245:$ID$316,$FJ199-HI$169,72-HI$169+SwaptionMonthsToGo+SwaptionShift))/SQRT(SUM(INDEX($FK354:$ID354,1+SwaptionShift):INDEX($FK354:$ID354,SwaptionMonthsToGo+SwaptionShift))*SUM(INDEX($FK$325:$ID$396,HI$169,1+SwaptionShift):INDEX($FK$325:$ID$396,HI$169,SwaptionMonthsToGo+SwaptionShift))))))</f>
        <v/>
      </c>
      <c r="HJ199" s="150" t="str">
        <f aca="false">IF(OR(HJ$169&lt;SwaptionFirstMonthPosition+1,$FJ199&lt;SwaptionFirstMonthPosition+1,HJ$169&gt;SwaptionFirstMonthPosition+SwaptionNumOfMonths+1,$FJ199&gt;SwaptionFirstMonthPosition+SwaptionNumOfMonths+1),"",IF($FJ199=HJ$169,1,IF($FJ199&lt;HJ$169,INDEX($FK$170:$ID$241,HJ$169,$FJ199),SUMPRODUCT(INDEX($FK$325:$ID$396,HJ$169,1+SwaptionShift):INDEX($FK$325:$ID$396,HJ$169,SwaptionMonthsToGo+SwaptionShift),INDEX($FK$245:$ID$316,$FJ199-HJ$169,73-HJ$169+SwaptionShift):INDEX($FK$245:$ID$316,$FJ199-HJ$169,72-HJ$169+SwaptionMonthsToGo+SwaptionShift))/SQRT(SUM(INDEX($FK354:$ID354,1+SwaptionShift):INDEX($FK354:$ID354,SwaptionMonthsToGo+SwaptionShift))*SUM(INDEX($FK$325:$ID$396,HJ$169,1+SwaptionShift):INDEX($FK$325:$ID$396,HJ$169,SwaptionMonthsToGo+SwaptionShift))))))</f>
        <v/>
      </c>
      <c r="HK199" s="150" t="str">
        <f aca="false">IF(OR(HK$169&lt;SwaptionFirstMonthPosition+1,$FJ199&lt;SwaptionFirstMonthPosition+1,HK$169&gt;SwaptionFirstMonthPosition+SwaptionNumOfMonths+1,$FJ199&gt;SwaptionFirstMonthPosition+SwaptionNumOfMonths+1),"",IF($FJ199=HK$169,1,IF($FJ199&lt;HK$169,INDEX($FK$170:$ID$241,HK$169,$FJ199),SUMPRODUCT(INDEX($FK$325:$ID$396,HK$169,1+SwaptionShift):INDEX($FK$325:$ID$396,HK$169,SwaptionMonthsToGo+SwaptionShift),INDEX($FK$245:$ID$316,$FJ199-HK$169,73-HK$169+SwaptionShift):INDEX($FK$245:$ID$316,$FJ199-HK$169,72-HK$169+SwaptionMonthsToGo+SwaptionShift))/SQRT(SUM(INDEX($FK354:$ID354,1+SwaptionShift):INDEX($FK354:$ID354,SwaptionMonthsToGo+SwaptionShift))*SUM(INDEX($FK$325:$ID$396,HK$169,1+SwaptionShift):INDEX($FK$325:$ID$396,HK$169,SwaptionMonthsToGo+SwaptionShift))))))</f>
        <v/>
      </c>
      <c r="HL199" s="150" t="str">
        <f aca="false">IF(OR(HL$169&lt;SwaptionFirstMonthPosition+1,$FJ199&lt;SwaptionFirstMonthPosition+1,HL$169&gt;SwaptionFirstMonthPosition+SwaptionNumOfMonths+1,$FJ199&gt;SwaptionFirstMonthPosition+SwaptionNumOfMonths+1),"",IF($FJ199=HL$169,1,IF($FJ199&lt;HL$169,INDEX($FK$170:$ID$241,HL$169,$FJ199),SUMPRODUCT(INDEX($FK$325:$ID$396,HL$169,1+SwaptionShift):INDEX($FK$325:$ID$396,HL$169,SwaptionMonthsToGo+SwaptionShift),INDEX($FK$245:$ID$316,$FJ199-HL$169,73-HL$169+SwaptionShift):INDEX($FK$245:$ID$316,$FJ199-HL$169,72-HL$169+SwaptionMonthsToGo+SwaptionShift))/SQRT(SUM(INDEX($FK354:$ID354,1+SwaptionShift):INDEX($FK354:$ID354,SwaptionMonthsToGo+SwaptionShift))*SUM(INDEX($FK$325:$ID$396,HL$169,1+SwaptionShift):INDEX($FK$325:$ID$396,HL$169,SwaptionMonthsToGo+SwaptionShift))))))</f>
        <v/>
      </c>
      <c r="HM199" s="150" t="str">
        <f aca="false">IF(OR(HM$169&lt;SwaptionFirstMonthPosition+1,$FJ199&lt;SwaptionFirstMonthPosition+1,HM$169&gt;SwaptionFirstMonthPosition+SwaptionNumOfMonths+1,$FJ199&gt;SwaptionFirstMonthPosition+SwaptionNumOfMonths+1),"",IF($FJ199=HM$169,1,IF($FJ199&lt;HM$169,INDEX($FK$170:$ID$241,HM$169,$FJ199),SUMPRODUCT(INDEX($FK$325:$ID$396,HM$169,1+SwaptionShift):INDEX($FK$325:$ID$396,HM$169,SwaptionMonthsToGo+SwaptionShift),INDEX($FK$245:$ID$316,$FJ199-HM$169,73-HM$169+SwaptionShift):INDEX($FK$245:$ID$316,$FJ199-HM$169,72-HM$169+SwaptionMonthsToGo+SwaptionShift))/SQRT(SUM(INDEX($FK354:$ID354,1+SwaptionShift):INDEX($FK354:$ID354,SwaptionMonthsToGo+SwaptionShift))*SUM(INDEX($FK$325:$ID$396,HM$169,1+SwaptionShift):INDEX($FK$325:$ID$396,HM$169,SwaptionMonthsToGo+SwaptionShift))))))</f>
        <v/>
      </c>
      <c r="HN199" s="150" t="str">
        <f aca="false">IF(OR(HN$169&lt;SwaptionFirstMonthPosition+1,$FJ199&lt;SwaptionFirstMonthPosition+1,HN$169&gt;SwaptionFirstMonthPosition+SwaptionNumOfMonths+1,$FJ199&gt;SwaptionFirstMonthPosition+SwaptionNumOfMonths+1),"",IF($FJ199=HN$169,1,IF($FJ199&lt;HN$169,INDEX($FK$170:$ID$241,HN$169,$FJ199),SUMPRODUCT(INDEX($FK$325:$ID$396,HN$169,1+SwaptionShift):INDEX($FK$325:$ID$396,HN$169,SwaptionMonthsToGo+SwaptionShift),INDEX($FK$245:$ID$316,$FJ199-HN$169,73-HN$169+SwaptionShift):INDEX($FK$245:$ID$316,$FJ199-HN$169,72-HN$169+SwaptionMonthsToGo+SwaptionShift))/SQRT(SUM(INDEX($FK354:$ID354,1+SwaptionShift):INDEX($FK354:$ID354,SwaptionMonthsToGo+SwaptionShift))*SUM(INDEX($FK$325:$ID$396,HN$169,1+SwaptionShift):INDEX($FK$325:$ID$396,HN$169,SwaptionMonthsToGo+SwaptionShift))))))</f>
        <v/>
      </c>
      <c r="HO199" s="150" t="str">
        <f aca="false">IF(OR(HO$169&lt;SwaptionFirstMonthPosition+1,$FJ199&lt;SwaptionFirstMonthPosition+1,HO$169&gt;SwaptionFirstMonthPosition+SwaptionNumOfMonths+1,$FJ199&gt;SwaptionFirstMonthPosition+SwaptionNumOfMonths+1),"",IF($FJ199=HO$169,1,IF($FJ199&lt;HO$169,INDEX($FK$170:$ID$241,HO$169,$FJ199),SUMPRODUCT(INDEX($FK$325:$ID$396,HO$169,1+SwaptionShift):INDEX($FK$325:$ID$396,HO$169,SwaptionMonthsToGo+SwaptionShift),INDEX($FK$245:$ID$316,$FJ199-HO$169,73-HO$169+SwaptionShift):INDEX($FK$245:$ID$316,$FJ199-HO$169,72-HO$169+SwaptionMonthsToGo+SwaptionShift))/SQRT(SUM(INDEX($FK354:$ID354,1+SwaptionShift):INDEX($FK354:$ID354,SwaptionMonthsToGo+SwaptionShift))*SUM(INDEX($FK$325:$ID$396,HO$169,1+SwaptionShift):INDEX($FK$325:$ID$396,HO$169,SwaptionMonthsToGo+SwaptionShift))))))</f>
        <v/>
      </c>
      <c r="HP199" s="150" t="str">
        <f aca="false">IF(OR(HP$169&lt;SwaptionFirstMonthPosition+1,$FJ199&lt;SwaptionFirstMonthPosition+1,HP$169&gt;SwaptionFirstMonthPosition+SwaptionNumOfMonths+1,$FJ199&gt;SwaptionFirstMonthPosition+SwaptionNumOfMonths+1),"",IF($FJ199=HP$169,1,IF($FJ199&lt;HP$169,INDEX($FK$170:$ID$241,HP$169,$FJ199),SUMPRODUCT(INDEX($FK$325:$ID$396,HP$169,1+SwaptionShift):INDEX($FK$325:$ID$396,HP$169,SwaptionMonthsToGo+SwaptionShift),INDEX($FK$245:$ID$316,$FJ199-HP$169,73-HP$169+SwaptionShift):INDEX($FK$245:$ID$316,$FJ199-HP$169,72-HP$169+SwaptionMonthsToGo+SwaptionShift))/SQRT(SUM(INDEX($FK354:$ID354,1+SwaptionShift):INDEX($FK354:$ID354,SwaptionMonthsToGo+SwaptionShift))*SUM(INDEX($FK$325:$ID$396,HP$169,1+SwaptionShift):INDEX($FK$325:$ID$396,HP$169,SwaptionMonthsToGo+SwaptionShift))))))</f>
        <v/>
      </c>
      <c r="HQ199" s="150" t="str">
        <f aca="false">IF(OR(HQ$169&lt;SwaptionFirstMonthPosition+1,$FJ199&lt;SwaptionFirstMonthPosition+1,HQ$169&gt;SwaptionFirstMonthPosition+SwaptionNumOfMonths+1,$FJ199&gt;SwaptionFirstMonthPosition+SwaptionNumOfMonths+1),"",IF($FJ199=HQ$169,1,IF($FJ199&lt;HQ$169,INDEX($FK$170:$ID$241,HQ$169,$FJ199),SUMPRODUCT(INDEX($FK$325:$ID$396,HQ$169,1+SwaptionShift):INDEX($FK$325:$ID$396,HQ$169,SwaptionMonthsToGo+SwaptionShift),INDEX($FK$245:$ID$316,$FJ199-HQ$169,73-HQ$169+SwaptionShift):INDEX($FK$245:$ID$316,$FJ199-HQ$169,72-HQ$169+SwaptionMonthsToGo+SwaptionShift))/SQRT(SUM(INDEX($FK354:$ID354,1+SwaptionShift):INDEX($FK354:$ID354,SwaptionMonthsToGo+SwaptionShift))*SUM(INDEX($FK$325:$ID$396,HQ$169,1+SwaptionShift):INDEX($FK$325:$ID$396,HQ$169,SwaptionMonthsToGo+SwaptionShift))))))</f>
        <v/>
      </c>
      <c r="HR199" s="150" t="str">
        <f aca="false">IF(OR(HR$169&lt;SwaptionFirstMonthPosition+1,$FJ199&lt;SwaptionFirstMonthPosition+1,HR$169&gt;SwaptionFirstMonthPosition+SwaptionNumOfMonths+1,$FJ199&gt;SwaptionFirstMonthPosition+SwaptionNumOfMonths+1),"",IF($FJ199=HR$169,1,IF($FJ199&lt;HR$169,INDEX($FK$170:$ID$241,HR$169,$FJ199),SUMPRODUCT(INDEX($FK$325:$ID$396,HR$169,1+SwaptionShift):INDEX($FK$325:$ID$396,HR$169,SwaptionMonthsToGo+SwaptionShift),INDEX($FK$245:$ID$316,$FJ199-HR$169,73-HR$169+SwaptionShift):INDEX($FK$245:$ID$316,$FJ199-HR$169,72-HR$169+SwaptionMonthsToGo+SwaptionShift))/SQRT(SUM(INDEX($FK354:$ID354,1+SwaptionShift):INDEX($FK354:$ID354,SwaptionMonthsToGo+SwaptionShift))*SUM(INDEX($FK$325:$ID$396,HR$169,1+SwaptionShift):INDEX($FK$325:$ID$396,HR$169,SwaptionMonthsToGo+SwaptionShift))))))</f>
        <v/>
      </c>
      <c r="HS199" s="150" t="str">
        <f aca="false">IF(OR(HS$169&lt;SwaptionFirstMonthPosition+1,$FJ199&lt;SwaptionFirstMonthPosition+1,HS$169&gt;SwaptionFirstMonthPosition+SwaptionNumOfMonths+1,$FJ199&gt;SwaptionFirstMonthPosition+SwaptionNumOfMonths+1),"",IF($FJ199=HS$169,1,IF($FJ199&lt;HS$169,INDEX($FK$170:$ID$241,HS$169,$FJ199),SUMPRODUCT(INDEX($FK$325:$ID$396,HS$169,1+SwaptionShift):INDEX($FK$325:$ID$396,HS$169,SwaptionMonthsToGo+SwaptionShift),INDEX($FK$245:$ID$316,$FJ199-HS$169,73-HS$169+SwaptionShift):INDEX($FK$245:$ID$316,$FJ199-HS$169,72-HS$169+SwaptionMonthsToGo+SwaptionShift))/SQRT(SUM(INDEX($FK354:$ID354,1+SwaptionShift):INDEX($FK354:$ID354,SwaptionMonthsToGo+SwaptionShift))*SUM(INDEX($FK$325:$ID$396,HS$169,1+SwaptionShift):INDEX($FK$325:$ID$396,HS$169,SwaptionMonthsToGo+SwaptionShift))))))</f>
        <v/>
      </c>
      <c r="HT199" s="150" t="str">
        <f aca="false">IF(OR(HT$169&lt;SwaptionFirstMonthPosition+1,$FJ199&lt;SwaptionFirstMonthPosition+1,HT$169&gt;SwaptionFirstMonthPosition+SwaptionNumOfMonths+1,$FJ199&gt;SwaptionFirstMonthPosition+SwaptionNumOfMonths+1),"",IF($FJ199=HT$169,1,IF($FJ199&lt;HT$169,INDEX($FK$170:$ID$241,HT$169,$FJ199),SUMPRODUCT(INDEX($FK$325:$ID$396,HT$169,1+SwaptionShift):INDEX($FK$325:$ID$396,HT$169,SwaptionMonthsToGo+SwaptionShift),INDEX($FK$245:$ID$316,$FJ199-HT$169,73-HT$169+SwaptionShift):INDEX($FK$245:$ID$316,$FJ199-HT$169,72-HT$169+SwaptionMonthsToGo+SwaptionShift))/SQRT(SUM(INDEX($FK354:$ID354,1+SwaptionShift):INDEX($FK354:$ID354,SwaptionMonthsToGo+SwaptionShift))*SUM(INDEX($FK$325:$ID$396,HT$169,1+SwaptionShift):INDEX($FK$325:$ID$396,HT$169,SwaptionMonthsToGo+SwaptionShift))))))</f>
        <v/>
      </c>
      <c r="HU199" s="150" t="str">
        <f aca="false">IF(OR(HU$169&lt;SwaptionFirstMonthPosition+1,$FJ199&lt;SwaptionFirstMonthPosition+1,HU$169&gt;SwaptionFirstMonthPosition+SwaptionNumOfMonths+1,$FJ199&gt;SwaptionFirstMonthPosition+SwaptionNumOfMonths+1),"",IF($FJ199=HU$169,1,IF($FJ199&lt;HU$169,INDEX($FK$170:$ID$241,HU$169,$FJ199),SUMPRODUCT(INDEX($FK$325:$ID$396,HU$169,1+SwaptionShift):INDEX($FK$325:$ID$396,HU$169,SwaptionMonthsToGo+SwaptionShift),INDEX($FK$245:$ID$316,$FJ199-HU$169,73-HU$169+SwaptionShift):INDEX($FK$245:$ID$316,$FJ199-HU$169,72-HU$169+SwaptionMonthsToGo+SwaptionShift))/SQRT(SUM(INDEX($FK354:$ID354,1+SwaptionShift):INDEX($FK354:$ID354,SwaptionMonthsToGo+SwaptionShift))*SUM(INDEX($FK$325:$ID$396,HU$169,1+SwaptionShift):INDEX($FK$325:$ID$396,HU$169,SwaptionMonthsToGo+SwaptionShift))))))</f>
        <v/>
      </c>
      <c r="HV199" s="150" t="str">
        <f aca="false">IF(OR(HV$169&lt;SwaptionFirstMonthPosition+1,$FJ199&lt;SwaptionFirstMonthPosition+1,HV$169&gt;SwaptionFirstMonthPosition+SwaptionNumOfMonths+1,$FJ199&gt;SwaptionFirstMonthPosition+SwaptionNumOfMonths+1),"",IF($FJ199=HV$169,1,IF($FJ199&lt;HV$169,INDEX($FK$170:$ID$241,HV$169,$FJ199),SUMPRODUCT(INDEX($FK$325:$ID$396,HV$169,1+SwaptionShift):INDEX($FK$325:$ID$396,HV$169,SwaptionMonthsToGo+SwaptionShift),INDEX($FK$245:$ID$316,$FJ199-HV$169,73-HV$169+SwaptionShift):INDEX($FK$245:$ID$316,$FJ199-HV$169,72-HV$169+SwaptionMonthsToGo+SwaptionShift))/SQRT(SUM(INDEX($FK354:$ID354,1+SwaptionShift):INDEX($FK354:$ID354,SwaptionMonthsToGo+SwaptionShift))*SUM(INDEX($FK$325:$ID$396,HV$169,1+SwaptionShift):INDEX($FK$325:$ID$396,HV$169,SwaptionMonthsToGo+SwaptionShift))))))</f>
        <v/>
      </c>
      <c r="HW199" s="150" t="str">
        <f aca="false">IF(OR(HW$169&lt;SwaptionFirstMonthPosition+1,$FJ199&lt;SwaptionFirstMonthPosition+1,HW$169&gt;SwaptionFirstMonthPosition+SwaptionNumOfMonths+1,$FJ199&gt;SwaptionFirstMonthPosition+SwaptionNumOfMonths+1),"",IF($FJ199=HW$169,1,IF($FJ199&lt;HW$169,INDEX($FK$170:$ID$241,HW$169,$FJ199),SUMPRODUCT(INDEX($FK$325:$ID$396,HW$169,1+SwaptionShift):INDEX($FK$325:$ID$396,HW$169,SwaptionMonthsToGo+SwaptionShift),INDEX($FK$245:$ID$316,$FJ199-HW$169,73-HW$169+SwaptionShift):INDEX($FK$245:$ID$316,$FJ199-HW$169,72-HW$169+SwaptionMonthsToGo+SwaptionShift))/SQRT(SUM(INDEX($FK354:$ID354,1+SwaptionShift):INDEX($FK354:$ID354,SwaptionMonthsToGo+SwaptionShift))*SUM(INDEX($FK$325:$ID$396,HW$169,1+SwaptionShift):INDEX($FK$325:$ID$396,HW$169,SwaptionMonthsToGo+SwaptionShift))))))</f>
        <v/>
      </c>
      <c r="HX199" s="150" t="str">
        <f aca="false">IF(OR(HX$169&lt;SwaptionFirstMonthPosition+1,$FJ199&lt;SwaptionFirstMonthPosition+1,HX$169&gt;SwaptionFirstMonthPosition+SwaptionNumOfMonths+1,$FJ199&gt;SwaptionFirstMonthPosition+SwaptionNumOfMonths+1),"",IF($FJ199=HX$169,1,IF($FJ199&lt;HX$169,INDEX($FK$170:$ID$241,HX$169,$FJ199),SUMPRODUCT(INDEX($FK$325:$ID$396,HX$169,1+SwaptionShift):INDEX($FK$325:$ID$396,HX$169,SwaptionMonthsToGo+SwaptionShift),INDEX($FK$245:$ID$316,$FJ199-HX$169,73-HX$169+SwaptionShift):INDEX($FK$245:$ID$316,$FJ199-HX$169,72-HX$169+SwaptionMonthsToGo+SwaptionShift))/SQRT(SUM(INDEX($FK354:$ID354,1+SwaptionShift):INDEX($FK354:$ID354,SwaptionMonthsToGo+SwaptionShift))*SUM(INDEX($FK$325:$ID$396,HX$169,1+SwaptionShift):INDEX($FK$325:$ID$396,HX$169,SwaptionMonthsToGo+SwaptionShift))))))</f>
        <v/>
      </c>
      <c r="HY199" s="150" t="str">
        <f aca="false">IF(OR(HY$169&lt;SwaptionFirstMonthPosition+1,$FJ199&lt;SwaptionFirstMonthPosition+1,HY$169&gt;SwaptionFirstMonthPosition+SwaptionNumOfMonths+1,$FJ199&gt;SwaptionFirstMonthPosition+SwaptionNumOfMonths+1),"",IF($FJ199=HY$169,1,IF($FJ199&lt;HY$169,INDEX($FK$170:$ID$241,HY$169,$FJ199),SUMPRODUCT(INDEX($FK$325:$ID$396,HY$169,1+SwaptionShift):INDEX($FK$325:$ID$396,HY$169,SwaptionMonthsToGo+SwaptionShift),INDEX($FK$245:$ID$316,$FJ199-HY$169,73-HY$169+SwaptionShift):INDEX($FK$245:$ID$316,$FJ199-HY$169,72-HY$169+SwaptionMonthsToGo+SwaptionShift))/SQRT(SUM(INDEX($FK354:$ID354,1+SwaptionShift):INDEX($FK354:$ID354,SwaptionMonthsToGo+SwaptionShift))*SUM(INDEX($FK$325:$ID$396,HY$169,1+SwaptionShift):INDEX($FK$325:$ID$396,HY$169,SwaptionMonthsToGo+SwaptionShift))))))</f>
        <v/>
      </c>
      <c r="HZ199" s="150" t="str">
        <f aca="false">IF(OR(HZ$169&lt;SwaptionFirstMonthPosition+1,$FJ199&lt;SwaptionFirstMonthPosition+1,HZ$169&gt;SwaptionFirstMonthPosition+SwaptionNumOfMonths+1,$FJ199&gt;SwaptionFirstMonthPosition+SwaptionNumOfMonths+1),"",IF($FJ199=HZ$169,1,IF($FJ199&lt;HZ$169,INDEX($FK$170:$ID$241,HZ$169,$FJ199),SUMPRODUCT(INDEX($FK$325:$ID$396,HZ$169,1+SwaptionShift):INDEX($FK$325:$ID$396,HZ$169,SwaptionMonthsToGo+SwaptionShift),INDEX($FK$245:$ID$316,$FJ199-HZ$169,73-HZ$169+SwaptionShift):INDEX($FK$245:$ID$316,$FJ199-HZ$169,72-HZ$169+SwaptionMonthsToGo+SwaptionShift))/SQRT(SUM(INDEX($FK354:$ID354,1+SwaptionShift):INDEX($FK354:$ID354,SwaptionMonthsToGo+SwaptionShift))*SUM(INDEX($FK$325:$ID$396,HZ$169,1+SwaptionShift):INDEX($FK$325:$ID$396,HZ$169,SwaptionMonthsToGo+SwaptionShift))))))</f>
        <v/>
      </c>
      <c r="IA199" s="150" t="str">
        <f aca="false">IF(OR(IA$169&lt;SwaptionFirstMonthPosition+1,$FJ199&lt;SwaptionFirstMonthPosition+1,IA$169&gt;SwaptionFirstMonthPosition+SwaptionNumOfMonths+1,$FJ199&gt;SwaptionFirstMonthPosition+SwaptionNumOfMonths+1),"",IF($FJ199=IA$169,1,IF($FJ199&lt;IA$169,INDEX($FK$170:$ID$241,IA$169,$FJ199),SUMPRODUCT(INDEX($FK$325:$ID$396,IA$169,1+SwaptionShift):INDEX($FK$325:$ID$396,IA$169,SwaptionMonthsToGo+SwaptionShift),INDEX($FK$245:$ID$316,$FJ199-IA$169,73-IA$169+SwaptionShift):INDEX($FK$245:$ID$316,$FJ199-IA$169,72-IA$169+SwaptionMonthsToGo+SwaptionShift))/SQRT(SUM(INDEX($FK354:$ID354,1+SwaptionShift):INDEX($FK354:$ID354,SwaptionMonthsToGo+SwaptionShift))*SUM(INDEX($FK$325:$ID$396,IA$169,1+SwaptionShift):INDEX($FK$325:$ID$396,IA$169,SwaptionMonthsToGo+SwaptionShift))))))</f>
        <v/>
      </c>
      <c r="IB199" s="150" t="str">
        <f aca="false">IF(OR(IB$169&lt;SwaptionFirstMonthPosition+1,$FJ199&lt;SwaptionFirstMonthPosition+1,IB$169&gt;SwaptionFirstMonthPosition+SwaptionNumOfMonths+1,$FJ199&gt;SwaptionFirstMonthPosition+SwaptionNumOfMonths+1),"",IF($FJ199=IB$169,1,IF($FJ199&lt;IB$169,INDEX($FK$170:$ID$241,IB$169,$FJ199),SUMPRODUCT(INDEX($FK$325:$ID$396,IB$169,1+SwaptionShift):INDEX($FK$325:$ID$396,IB$169,SwaptionMonthsToGo+SwaptionShift),INDEX($FK$245:$ID$316,$FJ199-IB$169,73-IB$169+SwaptionShift):INDEX($FK$245:$ID$316,$FJ199-IB$169,72-IB$169+SwaptionMonthsToGo+SwaptionShift))/SQRT(SUM(INDEX($FK354:$ID354,1+SwaptionShift):INDEX($FK354:$ID354,SwaptionMonthsToGo+SwaptionShift))*SUM(INDEX($FK$325:$ID$396,IB$169,1+SwaptionShift):INDEX($FK$325:$ID$396,IB$169,SwaptionMonthsToGo+SwaptionShift))))))</f>
        <v/>
      </c>
      <c r="IC199" s="150" t="str">
        <f aca="false">IF(OR(IC$169&lt;SwaptionFirstMonthPosition+1,$FJ199&lt;SwaptionFirstMonthPosition+1,IC$169&gt;SwaptionFirstMonthPosition+SwaptionNumOfMonths+1,$FJ199&gt;SwaptionFirstMonthPosition+SwaptionNumOfMonths+1),"",IF($FJ199=IC$169,1,IF($FJ199&lt;IC$169,INDEX($FK$170:$ID$241,IC$169,$FJ199),SUMPRODUCT(INDEX($FK$325:$ID$396,IC$169,1+SwaptionShift):INDEX($FK$325:$ID$396,IC$169,SwaptionMonthsToGo+SwaptionShift),INDEX($FK$245:$ID$316,$FJ199-IC$169,73-IC$169+SwaptionShift):INDEX($FK$245:$ID$316,$FJ199-IC$169,72-IC$169+SwaptionMonthsToGo+SwaptionShift))/SQRT(SUM(INDEX($FK354:$ID354,1+SwaptionShift):INDEX($FK354:$ID354,SwaptionMonthsToGo+SwaptionShift))*SUM(INDEX($FK$325:$ID$396,IC$169,1+SwaptionShift):INDEX($FK$325:$ID$396,IC$169,SwaptionMonthsToGo+SwaptionShift))))))</f>
        <v/>
      </c>
      <c r="ID199" s="572" t="str">
        <f aca="false">IF(OR(ID$169&lt;SwaptionFirstMonthPosition+1,$FJ199&lt;SwaptionFirstMonthPosition+1,ID$169&gt;SwaptionFirstMonthPosition+SwaptionNumOfMonths+1,$FJ199&gt;SwaptionFirstMonthPosition+SwaptionNumOfMonths+1),"",IF($FJ199=ID$169,1,IF($FJ199&lt;ID$169,INDEX($FK$170:$ID$241,ID$169,$FJ199),SUMPRODUCT(INDEX($FK$325:$ID$396,ID$169,1+SwaptionShift):INDEX($FK$325:$ID$396,ID$169,SwaptionMonthsToGo+SwaptionShift),INDEX($FK$245:$ID$316,$FJ199-ID$169,73-ID$169+SwaptionShift):INDEX($FK$245:$ID$316,$FJ199-ID$169,72-ID$169+SwaptionMonthsToGo+SwaptionShift))/SQRT(SUM(INDEX($FK354:$ID354,1+SwaptionShift):INDEX($FK354:$ID354,SwaptionMonthsToGo+SwaptionShift))*SUM(INDEX($FK$325:$ID$396,ID$169,1+SwaptionShift):INDEX($FK$325:$ID$396,ID$169,SwaptionMonthsToGo+SwaptionShift))))))</f>
        <v/>
      </c>
      <c r="IE199" s="129"/>
    </row>
    <row r="200" customFormat="false" ht="12.75" hidden="false" customHeight="false" outlineLevel="0" collapsed="false">
      <c r="H200" s="219" t="n">
        <f aca="false">VLOOKUP(I200,$EJ$20:$EL$54,3)</f>
        <v>0</v>
      </c>
      <c r="I200" s="511" t="n">
        <f aca="false">EOMONTH(I199,0)+1</f>
        <v>42248</v>
      </c>
      <c r="J200" s="512"/>
      <c r="K200" s="513" t="s">
        <v>280</v>
      </c>
      <c r="L200" s="514" t="n">
        <f aca="false">IF(ISNUMBER(K200),J200+K200/100,IF(K200="extra",L199+VLOOKUP(BF200,PriceSpreadTable,2)/12,IF(K200="inter",interpolateprices($K$19:$L$200,ROW(K200)-ROW(FirstPricingMonth)+1),interpolatechanges($J$19:$K$200,ROW(K200)-ROW(FirstPricingMonth)+1))))</f>
        <v>3.90000000000001</v>
      </c>
      <c r="M200" s="515"/>
      <c r="N200" s="516" t="n">
        <v>0</v>
      </c>
      <c r="O200" s="515" t="n">
        <f aca="false">M200+N200</f>
        <v>0</v>
      </c>
      <c r="P200" s="512"/>
      <c r="Q200" s="513" t="s">
        <v>280</v>
      </c>
      <c r="R200" s="512" t="e">
        <f aca="false">IF(ISNUMBER(Q200),P200+Q200/100,IF(Q200="extra",(Z198*AL198-R199*AM198)/AN198,IF(Q200="inter",interpolateprices($Q$19:$R$260,ROW(Q200)-ROW(FirstPricingMonth)+1),interpolatechanges($P$19:$Q$260,ROW(Q200)-ROW(FirstPricingMonth)+1))))</f>
        <v>#VALUE!</v>
      </c>
      <c r="S200" s="597" t="n">
        <f aca="false">S$19+(S199-S$19)*S$18</f>
        <v>0.36</v>
      </c>
      <c r="T200" s="575" t="n">
        <f aca="false">SQRT((1-(1-T199^2/U199)*T$18)*U200)</f>
        <v>0.999999999999936</v>
      </c>
      <c r="U200" s="576" t="n">
        <f aca="false">1-(1-U199)*U$18</f>
        <v>1</v>
      </c>
      <c r="V200" s="521" t="n">
        <v>0</v>
      </c>
      <c r="W200" s="577" t="n">
        <f aca="false">(J201*AJ200+J202*AK200)/AI200</f>
        <v>0</v>
      </c>
      <c r="X200" s="578" t="n">
        <f aca="false">(L201*AJ200+L202*AK200)/AI200</f>
        <v>3.95113636363637</v>
      </c>
      <c r="Y200" s="579" t="n">
        <f aca="false">IF(Q202="extra",W200-AA200,(P201*AM200+P202*AN200)/AL200)</f>
        <v>-1.2669</v>
      </c>
      <c r="Z200" s="579" t="n">
        <f aca="false">IF(Q202="extra",X200-AB200,(R201*AM200+R202*AN200)/AL200)</f>
        <v>2.68423636363637</v>
      </c>
      <c r="AA200" s="523" t="n">
        <f aca="false">IF(Q202="extra",INDEX(BrentSeasonalityTable,INT((BG200-1)/3)+1)*VLOOKUP(MAX(BF200,$AB$4),PriceSpreadTable,3),W200-Y200)</f>
        <v>1.2669</v>
      </c>
      <c r="AB200" s="524" t="n">
        <f aca="false">IF(Q202="extra",INDEX(BrentSeasonalityTable,INT((BG200-1)/3)+1)*VLOOKUP(MAX(BF200,$AB$4),PriceSpreadTable,3),X200-Z200)</f>
        <v>1.2669</v>
      </c>
      <c r="AC200" s="646" t="n">
        <v>42236</v>
      </c>
      <c r="AD200" s="646" t="n">
        <v>42232</v>
      </c>
      <c r="AE200" s="646" t="n">
        <v>42231</v>
      </c>
      <c r="AF200" s="646" t="n">
        <v>42227</v>
      </c>
      <c r="AG200" s="438" t="s">
        <v>278</v>
      </c>
      <c r="AH200" s="439" t="s">
        <v>278</v>
      </c>
      <c r="AI200" s="528" t="n">
        <v>22</v>
      </c>
      <c r="AJ200" s="529" t="n">
        <v>14</v>
      </c>
      <c r="AK200" s="529" t="n">
        <v>8</v>
      </c>
      <c r="AL200" s="530" t="n">
        <v>22</v>
      </c>
      <c r="AM200" s="529" t="n">
        <v>10</v>
      </c>
      <c r="AN200" s="531" t="n">
        <v>12</v>
      </c>
      <c r="AO200" s="532"/>
      <c r="AP200" s="465" t="n">
        <f aca="false">(1+AO200/2)^(-2*BL200)</f>
        <v>1</v>
      </c>
      <c r="AQ200" s="532"/>
      <c r="AR200" s="465" t="n">
        <f aca="false">(1+AQ200/2)^(-2*BH200/365.25)</f>
        <v>1</v>
      </c>
      <c r="AS200" s="580" t="n">
        <f aca="false">(O201*AJ200+O202*AK200)/AI200</f>
        <v>0</v>
      </c>
      <c r="AT200" s="468" t="n">
        <f aca="false">O200*VLOOKUP(BF200,BrentVolTable,2)+VLOOKUP(BF200,BrentVolTable,3)</f>
        <v>0</v>
      </c>
      <c r="AU200" s="468" t="n">
        <f aca="false">(AT201*AM200+AT202*AN200)/AL200</f>
        <v>0</v>
      </c>
      <c r="AV200" s="595" t="n">
        <f aca="false">SQRT(MAX(0.000000000001,(O200^2*BH200-S200^2*(BH200-BH199))/BH199))</f>
        <v>0.0328456992167231</v>
      </c>
      <c r="AW200" s="451" t="n">
        <f aca="false">IF($I200-DateToday+15&gt;=$T$8,"",IF($I200-DateToday+15&lt;$T$5,1,MATCH($I200-DateToday+15,$T$5:$T$8)))</f>
        <v>1</v>
      </c>
      <c r="AX200" s="468" t="n">
        <f aca="false">IF($AW200="",AX199^2/AX198,INDEX(U$5:U$8,$AW200)^((INDEX($T$5:$T$8,$AW200+1)-($I200-DateToday+15))/(INDEX($T$5:$T$8,$AW200+1)-INDEX($T$5:$T$8,$AW200)))/INDEX(U$5:U$8,$AW200+1)^((INDEX($T$5:$T$8,$AW200)-($I200-DateToday+15))/(INDEX($T$5:$T$8,$AW200+1)-INDEX($T$5:$T$8,$AW200))))</f>
        <v>0.267657497573095</v>
      </c>
      <c r="AY200" s="468" t="n">
        <f aca="false">IF($AW200="",AY199^2/AY198,INDEX(V$5:V$8,$AW200)^((INDEX($T$5:$T$8,$AW200+1)-($I200-DateToday+15))/(INDEX($T$5:$T$8,$AW200+1)-INDEX($T$5:$T$8,$AW200)))/INDEX(V$5:V$8,$AW200+1)^((INDEX($T$5:$T$8,$AW200)-($I200-DateToday+15))/(INDEX($T$5:$T$8,$AW200+1)-INDEX($T$5:$T$8,$AW200))))</f>
        <v>2.6562480088955</v>
      </c>
      <c r="AZ200" s="468" t="n">
        <f aca="false">IF($AW200="",AZ199^2/AZ198,INDEX(W$5:W$8,$AW200)^((INDEX($T$5:$T$8,$AW200+1)-($I200-DateToday+15))/(INDEX($T$5:$T$8,$AW200+1)-INDEX($T$5:$T$8,$AW200)))/INDEX(W$5:W$8,$AW200+1)^((INDEX($T$5:$T$8,$AW200)-($I200-DateToday+15))/(INDEX($T$5:$T$8,$AW200+1)-INDEX($T$5:$T$8,$AW200))))</f>
        <v>259.745507000126</v>
      </c>
      <c r="BA200" s="468" t="n">
        <f aca="false">IF($AW200="",BA199^2/BA198,INDEX(X$5:X$8,$AW200)^((INDEX($T$5:$T$8,$AW200+1)-($I200-DateToday+15))/(INDEX($T$5:$T$8,$AW200+1)-INDEX($T$5:$T$8,$AW200)))/INDEX(X$5:X$8,$AW200+1)^((INDEX($T$5:$T$8,$AW200)-($I200-DateToday+15))/(INDEX($T$5:$T$8,$AW200+1)-INDEX($T$5:$T$8,$AW200))))</f>
        <v>724.196170932377</v>
      </c>
      <c r="BB200" s="468" t="n">
        <f aca="false">IF($AW200="",BB199^2/BB198,INDEX(Y$5:Y$8,$AW200)^((INDEX($T$5:$T$8,$AW200+1)-($I200-DateToday+15))/(INDEX($T$5:$T$8,$AW200+1)-INDEX($T$5:$T$8,$AW200)))/INDEX(Y$5:Y$8,$AW200+1)^((INDEX($T$5:$T$8,$AW200)-($I200-DateToday+15))/(INDEX($T$5:$T$8,$AW200+1)-INDEX($T$5:$T$8,$AW200))))</f>
        <v>3370.27084139441</v>
      </c>
      <c r="BC200" s="468" t="n">
        <f aca="false">IF($AW200="",BC199^2/BC198,INDEX(Z$5:Z$8,$AW200)^((INDEX($T$5:$T$8,$AW200+1)-($I200-DateToday+15))/(INDEX($T$5:$T$8,$AW200+1)-INDEX($T$5:$T$8,$AW200)))/INDEX(Z$5:Z$8,$AW200+1)^((INDEX($T$5:$T$8,$AW200)-($I200-DateToday+15))/(INDEX($T$5:$T$8,$AW200+1)-INDEX($T$5:$T$8,$AW200))))</f>
        <v>8670.04974781998</v>
      </c>
      <c r="BD200" s="535" t="n">
        <f aca="false">IF(OR(DateStart&gt;=I201,DateEnd&lt;I200),0,IF(VolumeOverrideFlag,V200,Volume))</f>
        <v>0</v>
      </c>
      <c r="BE200" s="536" t="n">
        <f aca="false">IF(OR(DateStart2&gt;=I201,DateEnd2&lt;I200),0,IF(VolumeOverrideFlag,V200,VolumeSwaption))</f>
        <v>0</v>
      </c>
      <c r="BF200" s="537" t="n">
        <f aca="false">YEAR(I200)</f>
        <v>2015</v>
      </c>
      <c r="BG200" s="538" t="n">
        <f aca="false">MONTH(I200)</f>
        <v>9</v>
      </c>
      <c r="BH200" s="539" t="n">
        <f aca="false">AD200-DateToday+1</f>
        <v>-3693</v>
      </c>
      <c r="BI200" s="540" t="n">
        <f aca="false">(I200-DateToday+1)/365.25</f>
        <v>-10.0670773442847</v>
      </c>
      <c r="BJ200" s="541" t="n">
        <f aca="false">BI200+(BL200-BI200)*CHOOSE(Underlying,AJ200/AI200,AM200/AL200)</f>
        <v>-10.0165515524858</v>
      </c>
      <c r="BK200" s="541" t="n">
        <f aca="false">BJ200+1/365.25</f>
        <v>-10.0138137016987</v>
      </c>
      <c r="BL200" s="541" t="n">
        <f aca="false">(I201-DateToday)/365.25</f>
        <v>-9.98767967145791</v>
      </c>
      <c r="BM200" s="542" t="e">
        <f aca="false">MAX(BI200-(BJ200-BI200)*(S201^2/O201^2-1),0)</f>
        <v>#DIV/0!</v>
      </c>
      <c r="BN200" s="541" t="e">
        <f aca="false">MAX(BL200+(BL200-BK200)*(S202^2/O202^2-1),0)</f>
        <v>#DIV/0!</v>
      </c>
      <c r="BO200" s="530" t="n">
        <f aca="false">CHOOSE(Underlying,AI200,AL200)</f>
        <v>22</v>
      </c>
      <c r="BP200" s="529" t="n">
        <f aca="false">CHOOSE(Underlying,AJ200,AM200)</f>
        <v>14</v>
      </c>
      <c r="BQ200" s="529" t="n">
        <f aca="false">CHOOSE(Underlying,AK200,AN200)</f>
        <v>8</v>
      </c>
      <c r="BR200" s="463" t="str">
        <f aca="false">IF(BD200,IF(Underlying=1,X200,Z200)+UnderlyingPriceAsian-SwapPriceCurve,"")</f>
        <v/>
      </c>
      <c r="BS200" s="463" t="str">
        <f aca="false">IF(BD200,Strike1/BR200-1,"")</f>
        <v/>
      </c>
      <c r="BT200" s="464" t="str">
        <f aca="false">IF(BD200,Strike2/BR200-1,"")</f>
        <v/>
      </c>
      <c r="BU200" s="465" t="str">
        <f aca="false">IF(BD200,IF(Underlying=1,L201,R201)+UnderlyingPriceAsian-SwapPriceCurve,"")</f>
        <v/>
      </c>
      <c r="BV200" s="465" t="str">
        <f aca="false">IF(BD200,IF(Underlying=1,L202,R202)+UnderlyingPriceAsian-SwapPriceCurve,"")</f>
        <v/>
      </c>
      <c r="BW200" s="466" t="str">
        <f aca="false">IF(BD200,IF(Underlying=1,O201,AT201),"")</f>
        <v/>
      </c>
      <c r="BX200" s="467" t="str">
        <f aca="false">IF(BD200,IF(Underlying=1,O202,AT202),"")</f>
        <v/>
      </c>
      <c r="BY200" s="466" t="str">
        <f aca="false">IF(BD200,IF(BS200&gt;0,IF(BS200&gt;0.2,BC200-BB200,IF(BS200&gt;0.1,BB200-BA200,BA200)),IF(BS200&lt;-0.2,AX200-AY200,IF(BS200&lt;-0.1,AY200-AZ200,AZ200))),"")</f>
        <v/>
      </c>
      <c r="BZ200" s="467" t="str">
        <f aca="false">IF(BD200,IF(BT200&gt;0,IF(BT200&gt;0.2,BC200-BB200,IF(BT200&gt;0.1,BB200-BA200,BA200)),IF(BT200&lt;-0.2,AX200-AY200,IF(BT200&lt;-0.1,AY200-AZ200,AZ200))),"")</f>
        <v/>
      </c>
      <c r="CA200" s="468" t="str">
        <f aca="false">IF($BD200,$BW200+IF(VolSkewFlag=1,IF(BS200&gt;0,$BA200*MIN(BS200/10%,1)+($BB200-$BA200)*MAX(0,MIN(BS200/10%-1,1))+($BC200-$BB200)*MAX(0,BS200/10%-2),$AZ200*MIN(-BS200/10%,1)+($AY200-$AZ200)*MAX(0,MIN(-BS200/10%-1,1))+($AX200-$AY200)*MAX(0,-BS200/10%-2)),0),"")</f>
        <v/>
      </c>
      <c r="CB200" s="468" t="str">
        <f aca="false">IF($BD200,$BX200+IF(VolSkewFlag=1,IF(BS200&gt;0,$BA200*MIN(BS200/10%,1)+($BB200-$BA200)*MAX(0,MIN(BS200/10%-1,1))+($BC200-$BB200)*MAX(0,BS200/10%-2),$AZ200*MIN(-BS200/10%,1)+($AY200-$AZ200)*MAX(0,MIN(-BS200/10%-1,1))+($AX200-$AY200)*MAX(0,-BS200/10%-2)),0),"")</f>
        <v/>
      </c>
      <c r="CC200" s="468" t="str">
        <f aca="false">IF($BD200,$BW200+IF(VolSkewFlag=1,IF(BT200&gt;0,$BA200*MIN(BT200/10%,1)+($BB200-$BA200)*MAX(0,MIN(BT200/10%-1,1))+($BC200-$BB200)*MAX(0,BT200/10%-2),$AZ200*MIN(-BT200/10%,1)+($AY200-$AZ200)*MAX(0,MIN(-BT200/10%-1,1))+($AX200-$AY200)*MAX(0,-BT200/10%-2)),0),"")</f>
        <v/>
      </c>
      <c r="CD200" s="468" t="str">
        <f aca="false">IF($BD200,$BX200+IF(VolSkewFlag=1,IF(BT200&gt;0,$BA200*MIN(BT200/10%,1)+($BB200-$BA200)*MAX(0,MIN(BT200/10%-1,1))+($BC200-$BB200)*MAX(0,BT200/10%-2),$AZ200*MIN(-BT200/10%,1)+($AY200-$AZ200)*MAX(0,MIN(-BT200/10%-1,1))+($AX200-$AY200)*MAX(0,-BT200/10%-2)),0),"")</f>
        <v/>
      </c>
      <c r="CE200" s="469" t="n">
        <v>1</v>
      </c>
      <c r="CF200" s="470" t="n">
        <f aca="false">IF(BD200,xCrudeAPO(BU200,BV200,CA200,CB200,S201,S202,BI200,BL200,BP200,BQ200,0,Strike1,AO200,CE200,0,BL200,IF(OptControl=4,0,1),0,1),0)</f>
        <v>0</v>
      </c>
      <c r="CG200" s="470" t="n">
        <f aca="false">IF(BD200,xCrudeAPO(BU200,BV200,CA200,CB200,S201,S202,BI200,BL200,BP200,BQ200,0,Strike1,AO200,CE200,0,BL200,IF(OptControl=4,0,1),1,1)+xCrudeAPO(BU200,BV200,CA200,CB200,S201,S202,BI200,BL200,BP200,BQ200,0,Strike1,AO200,CE200,0,BL200,IF(OptControl=4,0,1),1,2)+IF(OR(VolSkewFlag=2,ABS(BS200)&lt;0.0001),0,IF(BS200&gt;0,-1,1)*CH200*Strike1/BR200^2*BY200/10%),0)</f>
        <v>0</v>
      </c>
      <c r="CH200" s="470" t="n">
        <f aca="false">IF(BD200,(xCrudeAPO(BU200,BV200,CA200,CB200,S201,S202,BI200,BL200,BP200,BQ200,0,Strike1,AO200,CE200,0,BL200,IF(OptControl=4,0,1),3,1)+xCrudeAPO(BU200,BV200,CA200,CB200,S201,S202,BI200,BL200,BP200,BQ200,0,Strike1,AO200,CE200,0,BL200,IF(OptControl=4,0,1),3,2))/100,0)</f>
        <v>0</v>
      </c>
      <c r="CI200" s="470" t="n">
        <f aca="false">IF(BD200,xCrudeAPO(BU200,BV200,CA200,CB200,S201,S202,BI200-DaysForThetaCalculation/365.25,BL200-DaysForThetaCalculation/365.25,BP200,BQ200,0,Strike1,AO200,CE200,0,BL200,IF(OptControl=4,0,1),0,1)-xCrudeAPO(BU200,BV200,CA200,CB200,S201,S202,BI200,BL200,BP200,BQ200,0,Strike1,AO200,CE200,0,BL200,IF(OptControl=4,0,1),0,1),0)</f>
        <v>0</v>
      </c>
      <c r="CJ200" s="471" t="n">
        <f aca="false">IF(BD200,xCrudeAPO(BU200,BV200,CC200,CD200,S201,S202,BI200,BL200,BP200,BQ200,0,Strike2,AO200,CE200,0,BL200,IF(OptControl=3,1,0),0,1),0)</f>
        <v>0</v>
      </c>
      <c r="CK200" s="470" t="n">
        <f aca="false">IF(BD200,xCrudeAPO(BU200,BV200,CC200,CD200,S201,S202,BI200,BL200,BP200,BQ200,0,Strike2,AO200,CE200,0,BL200,IF(OptControl=3,1,0),1,1)+xCrudeAPO(BU200,BV200,CC200,CD200,S201,S202,BI200,BL200,BP200,BQ200,0,Strike2,AO200,CE200,0,BL200,IF(OptControl=3,1,0),1,2)+IF(OR(VolSkewFlag=2,ABS(BT200)&lt;0.0001),0,IF(BT200&gt;0,-1,1)*CL200*Strike2/BR200^2*BZ200/10%),0)</f>
        <v>0</v>
      </c>
      <c r="CL200" s="470" t="n">
        <f aca="false">IF(BD200,(xCrudeAPO(BU200,BV200,CC200,CD200,S201,S202,BI200,BL200,BP200,BQ200,0,Strike2,AO200,CE200,0,BL200,IF(OptControl=3,1,0),3,1)+xCrudeAPO(BU200,BV200,CC200,CD200,S201,S202,BI200,BL200,BP200,BQ200,0,Strike2,AO200,CE200,0,BL200,IF(OptControl=3,1,0),3,2))/100,0)</f>
        <v>0</v>
      </c>
      <c r="CM200" s="472" t="n">
        <f aca="false">IF(BD200,xCrudeAPO(BU200,BV200,CC200,CD200,S201,S202,BI200-DaysForThetaCalculation/365.25,BL200-DaysForThetaCalculation/365.25,BP200,BQ200,0,Strike2,AO200,CE200,0,BL200,IF(OptControl=3,1,0),0,1)-xCrudeAPO(BU200,BV200,CC200,CD200,S201,S202,BI200,BL200,BP200,BQ200,0,Strike2,AO200,CE200,0,BL200,IF(OptControl=3,1,0),0,1),0)</f>
        <v>0</v>
      </c>
      <c r="CN200" s="3"/>
      <c r="CO200" s="543" t="str">
        <f aca="false">IF(BD200,CHOOSE(Underlying,AD200,AF200)-DateToday+1,"")</f>
        <v/>
      </c>
      <c r="CP200" s="582" t="str">
        <f aca="false">IF(BD200,CHOOSE(Underlying,L200,R200),"")</f>
        <v/>
      </c>
      <c r="CQ200" s="544" t="str">
        <f aca="false">IF(BD200,Strike1/CP200-1,"")</f>
        <v/>
      </c>
      <c r="CR200" s="544" t="str">
        <f aca="false">IF(BD200,Strike2/CP200-1,"")</f>
        <v/>
      </c>
      <c r="CS200" s="544" t="str">
        <f aca="false">IF(BD200,IF(CQ200&gt;0,IF(CQ200&gt;0.2,BC199-BB199,IF(CQ200&gt;0.1,BB199-BA199,BA199)),IF(CQ200&lt;-0.2,AX199-AY199,IF(CQ200&lt;-0.1,AY199-AZ199,AZ199))),"")</f>
        <v/>
      </c>
      <c r="CT200" s="544" t="str">
        <f aca="false">IF(BD200,IF(CR200&gt;0,IF(CR200&gt;0.2,BC199-BB199,IF(CR200&gt;0.1,BB199-BA199,BA199)),IF(CR200&lt;-0.2,AX199-AY199,IF(CR200&lt;-0.1,AY199-AZ199,AZ199))),"")</f>
        <v/>
      </c>
      <c r="CU200" s="545" t="str">
        <f aca="false">IF(BD200,CHOOSE(Underlying,O200,AT200),"")</f>
        <v/>
      </c>
      <c r="CV200" s="545" t="str">
        <f aca="false">IF(BD200,CU200+IF(VolSkewFlag=1,IF(CQ200&gt;0,BA199*MIN(CQ200/10%,1)+(BB199-BA199)*MAX(0,MIN(CQ200/10%-1,1))+(BC199-BB199)*MAX(0,CQ200/10%-2),AZ199*MIN(-CQ200/10%,1)+(AY199-AZ199)*MAX(0,MIN(-CQ200/10%-1,1))+(AX199-AY199)*MAX(0,-CQ200/10%-2)),0),"")</f>
        <v/>
      </c>
      <c r="CW200" s="545" t="str">
        <f aca="false">IF(BD200,CU200+IF(VolSkewFlag=1,IF(CR200&gt;0,BA199*MIN(CR200/10%,1)+(BB199-BA199)*MAX(0,MIN(CR200/10%-1,1))+(BC199-BB199)*MAX(0,CR200/10%-2),AZ199*MIN(-CR200/10%,1)+(AY199-AZ199)*MAX(0,MIN(-CR200/10%-1,1))+(AX199-AY199)*MAX(0,-CR200/10%-2)),0),"")</f>
        <v/>
      </c>
      <c r="CX200" s="470" t="n">
        <f aca="false">IF(BD200,EURO(CP200,Strike1,AO200,AO200,CV200,CO200,IF(OptControl=4,0,1),0),0)</f>
        <v>0</v>
      </c>
      <c r="CY200" s="470" t="n">
        <f aca="false">IF(BD200,EURO(CP200,Strike1,AO200,AO200,CV200,CO200,IF(OptControl=4,0,1),1)+IF(OR(VolSkewFlag=2,ABS(CQ200)&lt;0.0001),0,IF(CQ200&gt;0,-1,1)*CZ200*100*Strike1/CP200^2*CS200/10%),0)</f>
        <v>0</v>
      </c>
      <c r="CZ200" s="470" t="n">
        <f aca="false">IF(BD200,EURO(CP200,Strike1,AO200,AO200,CV200,CO200,IF(OptControl=4,0,1),3)/100,0)</f>
        <v>0</v>
      </c>
      <c r="DA200" s="470" t="n">
        <f aca="false">IF(BD200,EURO(CP200,Strike1,AO200,AO200,CV200,CO200,IF(OptControl=4,0,1),0)-EURO(CP200,Strike1,AO200,AO200,CV200,CO200-1,IF(OptControl=4,0,1),0),0)</f>
        <v>0</v>
      </c>
      <c r="DB200" s="470" t="n">
        <f aca="false">IF(BD200,EURO(CP200,Strike2,AO200,AO200,CW200,CO200,IF(OptControl=3,1,0),0),0)</f>
        <v>0</v>
      </c>
      <c r="DC200" s="470" t="n">
        <f aca="false">IF(BD200,EURO(CP200,Strike2,AO200,AO200,CW200,CO200,IF(OptControl=3,1,0),1)+IF(OR(VolSkewFlag=2,ABS(CR200)&lt;0.0001),0,IF(CR200&gt;0,-1,1)*DD200*100*Strike2/CP200^2*CT200/10%),0)</f>
        <v>0</v>
      </c>
      <c r="DD200" s="470" t="n">
        <f aca="false">IF(BD200,EURO(CP200,Strike2,AO200,AO200,CW200,CO200,IF(OptControl=3,1,0),3)/100,0)</f>
        <v>0</v>
      </c>
      <c r="DE200" s="472" t="n">
        <f aca="false">IF(BD200,EURO(CP200,Strike2,AO200,AO200,CW200,CO200,IF(OptControl=3,1,0),0)-EURO(CP200,Strike2,AO200,AO200,CW200,CO200-1,IF(OptControl=3,1,0),0),0)</f>
        <v>0</v>
      </c>
      <c r="DG200" s="481" t="n">
        <f aca="false">EOMONTH(DG199,0)+1</f>
        <v>51167</v>
      </c>
      <c r="DH200" s="478" t="n">
        <v>23.1600000000001</v>
      </c>
      <c r="DI200" s="479" t="n">
        <v>23.2225000000001</v>
      </c>
      <c r="DJ200" s="480" t="n">
        <f aca="false">DG200</f>
        <v>51167</v>
      </c>
      <c r="DK200" s="478" t="n">
        <v>21.9605147133729</v>
      </c>
      <c r="DL200" s="479" t="n">
        <v>22.0540000000001</v>
      </c>
      <c r="DM200" s="481" t="n">
        <f aca="false">DG200</f>
        <v>51167</v>
      </c>
      <c r="DN200" s="482" t="n">
        <f aca="false">DK200+BrentPhyBrentSpread</f>
        <v>22.0105147133729</v>
      </c>
      <c r="DO200" s="481" t="n">
        <f aca="false">DG200</f>
        <v>51167</v>
      </c>
      <c r="DP200" s="483" t="n">
        <f aca="false">DL200+DQ200</f>
        <v>22.0540000000001</v>
      </c>
      <c r="DQ200" s="546" t="n">
        <v>0</v>
      </c>
      <c r="DR200" s="480" t="n">
        <f aca="false">DG200</f>
        <v>51167</v>
      </c>
      <c r="DS200" s="485" t="n">
        <v>0.116599999999998</v>
      </c>
      <c r="DT200" s="486" t="n">
        <v>0.115849999999998</v>
      </c>
      <c r="DU200" s="480" t="n">
        <f aca="false">DG200</f>
        <v>51167</v>
      </c>
      <c r="DV200" s="485" t="n">
        <v>0.116599999999998</v>
      </c>
      <c r="DW200" s="486" t="n">
        <v>0.115849999999998</v>
      </c>
      <c r="DX200" s="481" t="n">
        <f aca="false">DG200</f>
        <v>51167</v>
      </c>
      <c r="DY200" s="486" t="n">
        <v>0.35</v>
      </c>
      <c r="DZ200" s="481" t="n">
        <f aca="false">DR200</f>
        <v>51167</v>
      </c>
      <c r="EA200" s="486" t="n">
        <f aca="false">DT200</f>
        <v>0.115849999999998</v>
      </c>
      <c r="EB200" s="195"/>
      <c r="EC200" s="547" t="str">
        <f aca="false">IF(BD200,IF(Underlying=1,AS200,AU200),"")</f>
        <v/>
      </c>
      <c r="ED200" s="548" t="str">
        <f aca="false">IF($BD200,$EC200+IF(VolSkewFlag=1,IF(BS200&gt;0,$BA200*MIN(BS200/10%,1)+($BB200-$BA200)*MAX(0,MIN(BS200/10%-1,1))+($BC200-$BB200)*MAX(0,BS200/10%-2),$AZ200*MIN(-BS200/10%,1)+($AY200-$AZ200)*MAX(0,MIN(-BS200/10%-1,1))+($AX200-$AY200)*MAX(0,-BS200/10%-2)),0),"")</f>
        <v/>
      </c>
      <c r="EE200" s="549" t="str">
        <f aca="false">IF($BD200,$EC200+IF(VolSkewFlag=1,IF(BT200&gt;0,$BA200*MIN(BT200/10%,1)+($BB200-$BA200)*MAX(0,MIN(BT200/10%-1,1))+($BC200-$BB200)*MAX(0,BT200/10%-2),$AZ200*MIN(-BT200/10%,1)+($AY200-$AZ200)*MAX(0,MIN(-BT200/10%-1,1))+($AX200-$AY200)*MAX(0,-BT200/10%-2)),0),"")</f>
        <v/>
      </c>
      <c r="EF200" s="550" t="n">
        <f aca="false">IF(BD200,xASN(BR200,Strike1,AO200,ED200,0,BO200,0,BI200,BL200,IF(OptControl=4,0,1),0),0)</f>
        <v>0</v>
      </c>
      <c r="EG200" s="551" t="n">
        <f aca="false">IF(BD200,xASN(BR200,Strike2,AO200,EE200,0,BO200,0,BI200,BL200,IF(OptControl=3,1,0),0),0)</f>
        <v>0</v>
      </c>
      <c r="EL200" s="1"/>
      <c r="EM200" s="195"/>
      <c r="EN200" s="240"/>
      <c r="EO200" s="240"/>
      <c r="EP200" s="195"/>
      <c r="EQ200" s="407" t="s">
        <v>428</v>
      </c>
      <c r="ES200" s="130"/>
      <c r="ET200" s="19"/>
      <c r="EU200" s="672"/>
      <c r="EV200" s="478"/>
      <c r="EW200" s="131"/>
      <c r="EX200" s="131"/>
      <c r="EY200" s="129"/>
      <c r="EZ200" s="129"/>
      <c r="FA200" s="129"/>
      <c r="FB200" s="129"/>
      <c r="FC200" s="129"/>
      <c r="FD200" s="129"/>
      <c r="FE200" s="129"/>
      <c r="FF200" s="129"/>
      <c r="FG200" s="129"/>
      <c r="FH200" s="129"/>
      <c r="FI200" s="129"/>
      <c r="FJ200" s="571" t="n">
        <v>31</v>
      </c>
      <c r="FK200" s="150" t="str">
        <f aca="false">IF(OR(FK$169&lt;SwaptionFirstMonthPosition+1,$FJ200&lt;SwaptionFirstMonthPosition+1,FK$169&gt;SwaptionFirstMonthPosition+SwaptionNumOfMonths+1,$FJ200&gt;SwaptionFirstMonthPosition+SwaptionNumOfMonths+1),"",IF($FJ200=FK$169,1,IF($FJ200&lt;FK$169,INDEX($FK$170:$ID$241,FK$169,$FJ200),SUMPRODUCT(INDEX($FK$325:$ID$396,FK$169,1+SwaptionShift):INDEX($FK$325:$ID$396,FK$169,SwaptionMonthsToGo+SwaptionShift),INDEX($FK$245:$ID$316,$FJ200-FK$169,73-FK$169+SwaptionShift):INDEX($FK$245:$ID$316,$FJ200-FK$169,72-FK$169+SwaptionMonthsToGo+SwaptionShift))/SQRT(SUM(INDEX($FK355:$ID355,1+SwaptionShift):INDEX($FK355:$ID355,SwaptionMonthsToGo+SwaptionShift))*SUM(INDEX($FK$325:$ID$396,FK$169,1+SwaptionShift):INDEX($FK$325:$ID$396,FK$169,SwaptionMonthsToGo+SwaptionShift))))))</f>
        <v/>
      </c>
      <c r="FL200" s="150" t="str">
        <f aca="false">IF(OR(FL$169&lt;SwaptionFirstMonthPosition+1,$FJ200&lt;SwaptionFirstMonthPosition+1,FL$169&gt;SwaptionFirstMonthPosition+SwaptionNumOfMonths+1,$FJ200&gt;SwaptionFirstMonthPosition+SwaptionNumOfMonths+1),"",IF($FJ200=FL$169,1,IF($FJ200&lt;FL$169,INDEX($FK$170:$ID$241,FL$169,$FJ200),SUMPRODUCT(INDEX($FK$325:$ID$396,FL$169,1+SwaptionShift):INDEX($FK$325:$ID$396,FL$169,SwaptionMonthsToGo+SwaptionShift),INDEX($FK$245:$ID$316,$FJ200-FL$169,73-FL$169+SwaptionShift):INDEX($FK$245:$ID$316,$FJ200-FL$169,72-FL$169+SwaptionMonthsToGo+SwaptionShift))/SQRT(SUM(INDEX($FK355:$ID355,1+SwaptionShift):INDEX($FK355:$ID355,SwaptionMonthsToGo+SwaptionShift))*SUM(INDEX($FK$325:$ID$396,FL$169,1+SwaptionShift):INDEX($FK$325:$ID$396,FL$169,SwaptionMonthsToGo+SwaptionShift))))))</f>
        <v/>
      </c>
      <c r="FM200" s="150" t="str">
        <f aca="false">IF(OR(FM$169&lt;SwaptionFirstMonthPosition+1,$FJ200&lt;SwaptionFirstMonthPosition+1,FM$169&gt;SwaptionFirstMonthPosition+SwaptionNumOfMonths+1,$FJ200&gt;SwaptionFirstMonthPosition+SwaptionNumOfMonths+1),"",IF($FJ200=FM$169,1,IF($FJ200&lt;FM$169,INDEX($FK$170:$ID$241,FM$169,$FJ200),SUMPRODUCT(INDEX($FK$325:$ID$396,FM$169,1+SwaptionShift):INDEX($FK$325:$ID$396,FM$169,SwaptionMonthsToGo+SwaptionShift),INDEX($FK$245:$ID$316,$FJ200-FM$169,73-FM$169+SwaptionShift):INDEX($FK$245:$ID$316,$FJ200-FM$169,72-FM$169+SwaptionMonthsToGo+SwaptionShift))/SQRT(SUM(INDEX($FK355:$ID355,1+SwaptionShift):INDEX($FK355:$ID355,SwaptionMonthsToGo+SwaptionShift))*SUM(INDEX($FK$325:$ID$396,FM$169,1+SwaptionShift):INDEX($FK$325:$ID$396,FM$169,SwaptionMonthsToGo+SwaptionShift))))))</f>
        <v/>
      </c>
      <c r="FN200" s="150" t="str">
        <f aca="false">IF(OR(FN$169&lt;SwaptionFirstMonthPosition+1,$FJ200&lt;SwaptionFirstMonthPosition+1,FN$169&gt;SwaptionFirstMonthPosition+SwaptionNumOfMonths+1,$FJ200&gt;SwaptionFirstMonthPosition+SwaptionNumOfMonths+1),"",IF($FJ200=FN$169,1,IF($FJ200&lt;FN$169,INDEX($FK$170:$ID$241,FN$169,$FJ200),SUMPRODUCT(INDEX($FK$325:$ID$396,FN$169,1+SwaptionShift):INDEX($FK$325:$ID$396,FN$169,SwaptionMonthsToGo+SwaptionShift),INDEX($FK$245:$ID$316,$FJ200-FN$169,73-FN$169+SwaptionShift):INDEX($FK$245:$ID$316,$FJ200-FN$169,72-FN$169+SwaptionMonthsToGo+SwaptionShift))/SQRT(SUM(INDEX($FK355:$ID355,1+SwaptionShift):INDEX($FK355:$ID355,SwaptionMonthsToGo+SwaptionShift))*SUM(INDEX($FK$325:$ID$396,FN$169,1+SwaptionShift):INDEX($FK$325:$ID$396,FN$169,SwaptionMonthsToGo+SwaptionShift))))))</f>
        <v/>
      </c>
      <c r="FO200" s="150" t="str">
        <f aca="false">IF(OR(FO$169&lt;SwaptionFirstMonthPosition+1,$FJ200&lt;SwaptionFirstMonthPosition+1,FO$169&gt;SwaptionFirstMonthPosition+SwaptionNumOfMonths+1,$FJ200&gt;SwaptionFirstMonthPosition+SwaptionNumOfMonths+1),"",IF($FJ200=FO$169,1,IF($FJ200&lt;FO$169,INDEX($FK$170:$ID$241,FO$169,$FJ200),SUMPRODUCT(INDEX($FK$325:$ID$396,FO$169,1+SwaptionShift):INDEX($FK$325:$ID$396,FO$169,SwaptionMonthsToGo+SwaptionShift),INDEX($FK$245:$ID$316,$FJ200-FO$169,73-FO$169+SwaptionShift):INDEX($FK$245:$ID$316,$FJ200-FO$169,72-FO$169+SwaptionMonthsToGo+SwaptionShift))/SQRT(SUM(INDEX($FK355:$ID355,1+SwaptionShift):INDEX($FK355:$ID355,SwaptionMonthsToGo+SwaptionShift))*SUM(INDEX($FK$325:$ID$396,FO$169,1+SwaptionShift):INDEX($FK$325:$ID$396,FO$169,SwaptionMonthsToGo+SwaptionShift))))))</f>
        <v/>
      </c>
      <c r="FP200" s="150" t="str">
        <f aca="false">IF(OR(FP$169&lt;SwaptionFirstMonthPosition+1,$FJ200&lt;SwaptionFirstMonthPosition+1,FP$169&gt;SwaptionFirstMonthPosition+SwaptionNumOfMonths+1,$FJ200&gt;SwaptionFirstMonthPosition+SwaptionNumOfMonths+1),"",IF($FJ200=FP$169,1,IF($FJ200&lt;FP$169,INDEX($FK$170:$ID$241,FP$169,$FJ200),SUMPRODUCT(INDEX($FK$325:$ID$396,FP$169,1+SwaptionShift):INDEX($FK$325:$ID$396,FP$169,SwaptionMonthsToGo+SwaptionShift),INDEX($FK$245:$ID$316,$FJ200-FP$169,73-FP$169+SwaptionShift):INDEX($FK$245:$ID$316,$FJ200-FP$169,72-FP$169+SwaptionMonthsToGo+SwaptionShift))/SQRT(SUM(INDEX($FK355:$ID355,1+SwaptionShift):INDEX($FK355:$ID355,SwaptionMonthsToGo+SwaptionShift))*SUM(INDEX($FK$325:$ID$396,FP$169,1+SwaptionShift):INDEX($FK$325:$ID$396,FP$169,SwaptionMonthsToGo+SwaptionShift))))))</f>
        <v/>
      </c>
      <c r="FQ200" s="150" t="str">
        <f aca="false">IF(OR(FQ$169&lt;SwaptionFirstMonthPosition+1,$FJ200&lt;SwaptionFirstMonthPosition+1,FQ$169&gt;SwaptionFirstMonthPosition+SwaptionNumOfMonths+1,$FJ200&gt;SwaptionFirstMonthPosition+SwaptionNumOfMonths+1),"",IF($FJ200=FQ$169,1,IF($FJ200&lt;FQ$169,INDEX($FK$170:$ID$241,FQ$169,$FJ200),SUMPRODUCT(INDEX($FK$325:$ID$396,FQ$169,1+SwaptionShift):INDEX($FK$325:$ID$396,FQ$169,SwaptionMonthsToGo+SwaptionShift),INDEX($FK$245:$ID$316,$FJ200-FQ$169,73-FQ$169+SwaptionShift):INDEX($FK$245:$ID$316,$FJ200-FQ$169,72-FQ$169+SwaptionMonthsToGo+SwaptionShift))/SQRT(SUM(INDEX($FK355:$ID355,1+SwaptionShift):INDEX($FK355:$ID355,SwaptionMonthsToGo+SwaptionShift))*SUM(INDEX($FK$325:$ID$396,FQ$169,1+SwaptionShift):INDEX($FK$325:$ID$396,FQ$169,SwaptionMonthsToGo+SwaptionShift))))))</f>
        <v/>
      </c>
      <c r="FR200" s="150" t="str">
        <f aca="false">IF(OR(FR$169&lt;SwaptionFirstMonthPosition+1,$FJ200&lt;SwaptionFirstMonthPosition+1,FR$169&gt;SwaptionFirstMonthPosition+SwaptionNumOfMonths+1,$FJ200&gt;SwaptionFirstMonthPosition+SwaptionNumOfMonths+1),"",IF($FJ200=FR$169,1,IF($FJ200&lt;FR$169,INDEX($FK$170:$ID$241,FR$169,$FJ200),SUMPRODUCT(INDEX($FK$325:$ID$396,FR$169,1+SwaptionShift):INDEX($FK$325:$ID$396,FR$169,SwaptionMonthsToGo+SwaptionShift),INDEX($FK$245:$ID$316,$FJ200-FR$169,73-FR$169+SwaptionShift):INDEX($FK$245:$ID$316,$FJ200-FR$169,72-FR$169+SwaptionMonthsToGo+SwaptionShift))/SQRT(SUM(INDEX($FK355:$ID355,1+SwaptionShift):INDEX($FK355:$ID355,SwaptionMonthsToGo+SwaptionShift))*SUM(INDEX($FK$325:$ID$396,FR$169,1+SwaptionShift):INDEX($FK$325:$ID$396,FR$169,SwaptionMonthsToGo+SwaptionShift))))))</f>
        <v/>
      </c>
      <c r="FS200" s="150" t="str">
        <f aca="false">IF(OR(FS$169&lt;SwaptionFirstMonthPosition+1,$FJ200&lt;SwaptionFirstMonthPosition+1,FS$169&gt;SwaptionFirstMonthPosition+SwaptionNumOfMonths+1,$FJ200&gt;SwaptionFirstMonthPosition+SwaptionNumOfMonths+1),"",IF($FJ200=FS$169,1,IF($FJ200&lt;FS$169,INDEX($FK$170:$ID$241,FS$169,$FJ200),SUMPRODUCT(INDEX($FK$325:$ID$396,FS$169,1+SwaptionShift):INDEX($FK$325:$ID$396,FS$169,SwaptionMonthsToGo+SwaptionShift),INDEX($FK$245:$ID$316,$FJ200-FS$169,73-FS$169+SwaptionShift):INDEX($FK$245:$ID$316,$FJ200-FS$169,72-FS$169+SwaptionMonthsToGo+SwaptionShift))/SQRT(SUM(INDEX($FK355:$ID355,1+SwaptionShift):INDEX($FK355:$ID355,SwaptionMonthsToGo+SwaptionShift))*SUM(INDEX($FK$325:$ID$396,FS$169,1+SwaptionShift):INDEX($FK$325:$ID$396,FS$169,SwaptionMonthsToGo+SwaptionShift))))))</f>
        <v/>
      </c>
      <c r="FT200" s="150" t="str">
        <f aca="false">IF(OR(FT$169&lt;SwaptionFirstMonthPosition+1,$FJ200&lt;SwaptionFirstMonthPosition+1,FT$169&gt;SwaptionFirstMonthPosition+SwaptionNumOfMonths+1,$FJ200&gt;SwaptionFirstMonthPosition+SwaptionNumOfMonths+1),"",IF($FJ200=FT$169,1,IF($FJ200&lt;FT$169,INDEX($FK$170:$ID$241,FT$169,$FJ200),SUMPRODUCT(INDEX($FK$325:$ID$396,FT$169,1+SwaptionShift):INDEX($FK$325:$ID$396,FT$169,SwaptionMonthsToGo+SwaptionShift),INDEX($FK$245:$ID$316,$FJ200-FT$169,73-FT$169+SwaptionShift):INDEX($FK$245:$ID$316,$FJ200-FT$169,72-FT$169+SwaptionMonthsToGo+SwaptionShift))/SQRT(SUM(INDEX($FK355:$ID355,1+SwaptionShift):INDEX($FK355:$ID355,SwaptionMonthsToGo+SwaptionShift))*SUM(INDEX($FK$325:$ID$396,FT$169,1+SwaptionShift):INDEX($FK$325:$ID$396,FT$169,SwaptionMonthsToGo+SwaptionShift))))))</f>
        <v/>
      </c>
      <c r="FU200" s="150" t="str">
        <f aca="false">IF(OR(FU$169&lt;SwaptionFirstMonthPosition+1,$FJ200&lt;SwaptionFirstMonthPosition+1,FU$169&gt;SwaptionFirstMonthPosition+SwaptionNumOfMonths+1,$FJ200&gt;SwaptionFirstMonthPosition+SwaptionNumOfMonths+1),"",IF($FJ200=FU$169,1,IF($FJ200&lt;FU$169,INDEX($FK$170:$ID$241,FU$169,$FJ200),SUMPRODUCT(INDEX($FK$325:$ID$396,FU$169,1+SwaptionShift):INDEX($FK$325:$ID$396,FU$169,SwaptionMonthsToGo+SwaptionShift),INDEX($FK$245:$ID$316,$FJ200-FU$169,73-FU$169+SwaptionShift):INDEX($FK$245:$ID$316,$FJ200-FU$169,72-FU$169+SwaptionMonthsToGo+SwaptionShift))/SQRT(SUM(INDEX($FK355:$ID355,1+SwaptionShift):INDEX($FK355:$ID355,SwaptionMonthsToGo+SwaptionShift))*SUM(INDEX($FK$325:$ID$396,FU$169,1+SwaptionShift):INDEX($FK$325:$ID$396,FU$169,SwaptionMonthsToGo+SwaptionShift))))))</f>
        <v/>
      </c>
      <c r="FV200" s="150" t="str">
        <f aca="false">IF(OR(FV$169&lt;SwaptionFirstMonthPosition+1,$FJ200&lt;SwaptionFirstMonthPosition+1,FV$169&gt;SwaptionFirstMonthPosition+SwaptionNumOfMonths+1,$FJ200&gt;SwaptionFirstMonthPosition+SwaptionNumOfMonths+1),"",IF($FJ200=FV$169,1,IF($FJ200&lt;FV$169,INDEX($FK$170:$ID$241,FV$169,$FJ200),SUMPRODUCT(INDEX($FK$325:$ID$396,FV$169,1+SwaptionShift):INDEX($FK$325:$ID$396,FV$169,SwaptionMonthsToGo+SwaptionShift),INDEX($FK$245:$ID$316,$FJ200-FV$169,73-FV$169+SwaptionShift):INDEX($FK$245:$ID$316,$FJ200-FV$169,72-FV$169+SwaptionMonthsToGo+SwaptionShift))/SQRT(SUM(INDEX($FK355:$ID355,1+SwaptionShift):INDEX($FK355:$ID355,SwaptionMonthsToGo+SwaptionShift))*SUM(INDEX($FK$325:$ID$396,FV$169,1+SwaptionShift):INDEX($FK$325:$ID$396,FV$169,SwaptionMonthsToGo+SwaptionShift))))))</f>
        <v/>
      </c>
      <c r="FW200" s="150" t="str">
        <f aca="false">IF(OR(FW$169&lt;SwaptionFirstMonthPosition+1,$FJ200&lt;SwaptionFirstMonthPosition+1,FW$169&gt;SwaptionFirstMonthPosition+SwaptionNumOfMonths+1,$FJ200&gt;SwaptionFirstMonthPosition+SwaptionNumOfMonths+1),"",IF($FJ200=FW$169,1,IF($FJ200&lt;FW$169,INDEX($FK$170:$ID$241,FW$169,$FJ200),SUMPRODUCT(INDEX($FK$325:$ID$396,FW$169,1+SwaptionShift):INDEX($FK$325:$ID$396,FW$169,SwaptionMonthsToGo+SwaptionShift),INDEX($FK$245:$ID$316,$FJ200-FW$169,73-FW$169+SwaptionShift):INDEX($FK$245:$ID$316,$FJ200-FW$169,72-FW$169+SwaptionMonthsToGo+SwaptionShift))/SQRT(SUM(INDEX($FK355:$ID355,1+SwaptionShift):INDEX($FK355:$ID355,SwaptionMonthsToGo+SwaptionShift))*SUM(INDEX($FK$325:$ID$396,FW$169,1+SwaptionShift):INDEX($FK$325:$ID$396,FW$169,SwaptionMonthsToGo+SwaptionShift))))))</f>
        <v/>
      </c>
      <c r="FX200" s="150" t="str">
        <f aca="false">IF(OR(FX$169&lt;SwaptionFirstMonthPosition+1,$FJ200&lt;SwaptionFirstMonthPosition+1,FX$169&gt;SwaptionFirstMonthPosition+SwaptionNumOfMonths+1,$FJ200&gt;SwaptionFirstMonthPosition+SwaptionNumOfMonths+1),"",IF($FJ200=FX$169,1,IF($FJ200&lt;FX$169,INDEX($FK$170:$ID$241,FX$169,$FJ200),SUMPRODUCT(INDEX($FK$325:$ID$396,FX$169,1+SwaptionShift):INDEX($FK$325:$ID$396,FX$169,SwaptionMonthsToGo+SwaptionShift),INDEX($FK$245:$ID$316,$FJ200-FX$169,73-FX$169+SwaptionShift):INDEX($FK$245:$ID$316,$FJ200-FX$169,72-FX$169+SwaptionMonthsToGo+SwaptionShift))/SQRT(SUM(INDEX($FK355:$ID355,1+SwaptionShift):INDEX($FK355:$ID355,SwaptionMonthsToGo+SwaptionShift))*SUM(INDEX($FK$325:$ID$396,FX$169,1+SwaptionShift):INDEX($FK$325:$ID$396,FX$169,SwaptionMonthsToGo+SwaptionShift))))))</f>
        <v/>
      </c>
      <c r="FY200" s="150" t="str">
        <f aca="false">IF(OR(FY$169&lt;SwaptionFirstMonthPosition+1,$FJ200&lt;SwaptionFirstMonthPosition+1,FY$169&gt;SwaptionFirstMonthPosition+SwaptionNumOfMonths+1,$FJ200&gt;SwaptionFirstMonthPosition+SwaptionNumOfMonths+1),"",IF($FJ200=FY$169,1,IF($FJ200&lt;FY$169,INDEX($FK$170:$ID$241,FY$169,$FJ200),SUMPRODUCT(INDEX($FK$325:$ID$396,FY$169,1+SwaptionShift):INDEX($FK$325:$ID$396,FY$169,SwaptionMonthsToGo+SwaptionShift),INDEX($FK$245:$ID$316,$FJ200-FY$169,73-FY$169+SwaptionShift):INDEX($FK$245:$ID$316,$FJ200-FY$169,72-FY$169+SwaptionMonthsToGo+SwaptionShift))/SQRT(SUM(INDEX($FK355:$ID355,1+SwaptionShift):INDEX($FK355:$ID355,SwaptionMonthsToGo+SwaptionShift))*SUM(INDEX($FK$325:$ID$396,FY$169,1+SwaptionShift):INDEX($FK$325:$ID$396,FY$169,SwaptionMonthsToGo+SwaptionShift))))))</f>
        <v/>
      </c>
      <c r="FZ200" s="150" t="str">
        <f aca="false">IF(OR(FZ$169&lt;SwaptionFirstMonthPosition+1,$FJ200&lt;SwaptionFirstMonthPosition+1,FZ$169&gt;SwaptionFirstMonthPosition+SwaptionNumOfMonths+1,$FJ200&gt;SwaptionFirstMonthPosition+SwaptionNumOfMonths+1),"",IF($FJ200=FZ$169,1,IF($FJ200&lt;FZ$169,INDEX($FK$170:$ID$241,FZ$169,$FJ200),SUMPRODUCT(INDEX($FK$325:$ID$396,FZ$169,1+SwaptionShift):INDEX($FK$325:$ID$396,FZ$169,SwaptionMonthsToGo+SwaptionShift),INDEX($FK$245:$ID$316,$FJ200-FZ$169,73-FZ$169+SwaptionShift):INDEX($FK$245:$ID$316,$FJ200-FZ$169,72-FZ$169+SwaptionMonthsToGo+SwaptionShift))/SQRT(SUM(INDEX($FK355:$ID355,1+SwaptionShift):INDEX($FK355:$ID355,SwaptionMonthsToGo+SwaptionShift))*SUM(INDEX($FK$325:$ID$396,FZ$169,1+SwaptionShift):INDEX($FK$325:$ID$396,FZ$169,SwaptionMonthsToGo+SwaptionShift))))))</f>
        <v/>
      </c>
      <c r="GA200" s="150" t="str">
        <f aca="false">IF(OR(GA$169&lt;SwaptionFirstMonthPosition+1,$FJ200&lt;SwaptionFirstMonthPosition+1,GA$169&gt;SwaptionFirstMonthPosition+SwaptionNumOfMonths+1,$FJ200&gt;SwaptionFirstMonthPosition+SwaptionNumOfMonths+1),"",IF($FJ200=GA$169,1,IF($FJ200&lt;GA$169,INDEX($FK$170:$ID$241,GA$169,$FJ200),SUMPRODUCT(INDEX($FK$325:$ID$396,GA$169,1+SwaptionShift):INDEX($FK$325:$ID$396,GA$169,SwaptionMonthsToGo+SwaptionShift),INDEX($FK$245:$ID$316,$FJ200-GA$169,73-GA$169+SwaptionShift):INDEX($FK$245:$ID$316,$FJ200-GA$169,72-GA$169+SwaptionMonthsToGo+SwaptionShift))/SQRT(SUM(INDEX($FK355:$ID355,1+SwaptionShift):INDEX($FK355:$ID355,SwaptionMonthsToGo+SwaptionShift))*SUM(INDEX($FK$325:$ID$396,GA$169,1+SwaptionShift):INDEX($FK$325:$ID$396,GA$169,SwaptionMonthsToGo+SwaptionShift))))))</f>
        <v/>
      </c>
      <c r="GB200" s="150" t="str">
        <f aca="false">IF(OR(GB$169&lt;SwaptionFirstMonthPosition+1,$FJ200&lt;SwaptionFirstMonthPosition+1,GB$169&gt;SwaptionFirstMonthPosition+SwaptionNumOfMonths+1,$FJ200&gt;SwaptionFirstMonthPosition+SwaptionNumOfMonths+1),"",IF($FJ200=GB$169,1,IF($FJ200&lt;GB$169,INDEX($FK$170:$ID$241,GB$169,$FJ200),SUMPRODUCT(INDEX($FK$325:$ID$396,GB$169,1+SwaptionShift):INDEX($FK$325:$ID$396,GB$169,SwaptionMonthsToGo+SwaptionShift),INDEX($FK$245:$ID$316,$FJ200-GB$169,73-GB$169+SwaptionShift):INDEX($FK$245:$ID$316,$FJ200-GB$169,72-GB$169+SwaptionMonthsToGo+SwaptionShift))/SQRT(SUM(INDEX($FK355:$ID355,1+SwaptionShift):INDEX($FK355:$ID355,SwaptionMonthsToGo+SwaptionShift))*SUM(INDEX($FK$325:$ID$396,GB$169,1+SwaptionShift):INDEX($FK$325:$ID$396,GB$169,SwaptionMonthsToGo+SwaptionShift))))))</f>
        <v/>
      </c>
      <c r="GC200" s="150" t="str">
        <f aca="false">IF(OR(GC$169&lt;SwaptionFirstMonthPosition+1,$FJ200&lt;SwaptionFirstMonthPosition+1,GC$169&gt;SwaptionFirstMonthPosition+SwaptionNumOfMonths+1,$FJ200&gt;SwaptionFirstMonthPosition+SwaptionNumOfMonths+1),"",IF($FJ200=GC$169,1,IF($FJ200&lt;GC$169,INDEX($FK$170:$ID$241,GC$169,$FJ200),SUMPRODUCT(INDEX($FK$325:$ID$396,GC$169,1+SwaptionShift):INDEX($FK$325:$ID$396,GC$169,SwaptionMonthsToGo+SwaptionShift),INDEX($FK$245:$ID$316,$FJ200-GC$169,73-GC$169+SwaptionShift):INDEX($FK$245:$ID$316,$FJ200-GC$169,72-GC$169+SwaptionMonthsToGo+SwaptionShift))/SQRT(SUM(INDEX($FK355:$ID355,1+SwaptionShift):INDEX($FK355:$ID355,SwaptionMonthsToGo+SwaptionShift))*SUM(INDEX($FK$325:$ID$396,GC$169,1+SwaptionShift):INDEX($FK$325:$ID$396,GC$169,SwaptionMonthsToGo+SwaptionShift))))))</f>
        <v/>
      </c>
      <c r="GD200" s="150" t="str">
        <f aca="false">IF(OR(GD$169&lt;SwaptionFirstMonthPosition+1,$FJ200&lt;SwaptionFirstMonthPosition+1,GD$169&gt;SwaptionFirstMonthPosition+SwaptionNumOfMonths+1,$FJ200&gt;SwaptionFirstMonthPosition+SwaptionNumOfMonths+1),"",IF($FJ200=GD$169,1,IF($FJ200&lt;GD$169,INDEX($FK$170:$ID$241,GD$169,$FJ200),SUMPRODUCT(INDEX($FK$325:$ID$396,GD$169,1+SwaptionShift):INDEX($FK$325:$ID$396,GD$169,SwaptionMonthsToGo+SwaptionShift),INDEX($FK$245:$ID$316,$FJ200-GD$169,73-GD$169+SwaptionShift):INDEX($FK$245:$ID$316,$FJ200-GD$169,72-GD$169+SwaptionMonthsToGo+SwaptionShift))/SQRT(SUM(INDEX($FK355:$ID355,1+SwaptionShift):INDEX($FK355:$ID355,SwaptionMonthsToGo+SwaptionShift))*SUM(INDEX($FK$325:$ID$396,GD$169,1+SwaptionShift):INDEX($FK$325:$ID$396,GD$169,SwaptionMonthsToGo+SwaptionShift))))))</f>
        <v/>
      </c>
      <c r="GE200" s="150" t="str">
        <f aca="false">IF(OR(GE$169&lt;SwaptionFirstMonthPosition+1,$FJ200&lt;SwaptionFirstMonthPosition+1,GE$169&gt;SwaptionFirstMonthPosition+SwaptionNumOfMonths+1,$FJ200&gt;SwaptionFirstMonthPosition+SwaptionNumOfMonths+1),"",IF($FJ200=GE$169,1,IF($FJ200&lt;GE$169,INDEX($FK$170:$ID$241,GE$169,$FJ200),SUMPRODUCT(INDEX($FK$325:$ID$396,GE$169,1+SwaptionShift):INDEX($FK$325:$ID$396,GE$169,SwaptionMonthsToGo+SwaptionShift),INDEX($FK$245:$ID$316,$FJ200-GE$169,73-GE$169+SwaptionShift):INDEX($FK$245:$ID$316,$FJ200-GE$169,72-GE$169+SwaptionMonthsToGo+SwaptionShift))/SQRT(SUM(INDEX($FK355:$ID355,1+SwaptionShift):INDEX($FK355:$ID355,SwaptionMonthsToGo+SwaptionShift))*SUM(INDEX($FK$325:$ID$396,GE$169,1+SwaptionShift):INDEX($FK$325:$ID$396,GE$169,SwaptionMonthsToGo+SwaptionShift))))))</f>
        <v/>
      </c>
      <c r="GF200" s="150" t="str">
        <f aca="false">IF(OR(GF$169&lt;SwaptionFirstMonthPosition+1,$FJ200&lt;SwaptionFirstMonthPosition+1,GF$169&gt;SwaptionFirstMonthPosition+SwaptionNumOfMonths+1,$FJ200&gt;SwaptionFirstMonthPosition+SwaptionNumOfMonths+1),"",IF($FJ200=GF$169,1,IF($FJ200&lt;GF$169,INDEX($FK$170:$ID$241,GF$169,$FJ200),SUMPRODUCT(INDEX($FK$325:$ID$396,GF$169,1+SwaptionShift):INDEX($FK$325:$ID$396,GF$169,SwaptionMonthsToGo+SwaptionShift),INDEX($FK$245:$ID$316,$FJ200-GF$169,73-GF$169+SwaptionShift):INDEX($FK$245:$ID$316,$FJ200-GF$169,72-GF$169+SwaptionMonthsToGo+SwaptionShift))/SQRT(SUM(INDEX($FK355:$ID355,1+SwaptionShift):INDEX($FK355:$ID355,SwaptionMonthsToGo+SwaptionShift))*SUM(INDEX($FK$325:$ID$396,GF$169,1+SwaptionShift):INDEX($FK$325:$ID$396,GF$169,SwaptionMonthsToGo+SwaptionShift))))))</f>
        <v/>
      </c>
      <c r="GG200" s="150" t="str">
        <f aca="false">IF(OR(GG$169&lt;SwaptionFirstMonthPosition+1,$FJ200&lt;SwaptionFirstMonthPosition+1,GG$169&gt;SwaptionFirstMonthPosition+SwaptionNumOfMonths+1,$FJ200&gt;SwaptionFirstMonthPosition+SwaptionNumOfMonths+1),"",IF($FJ200=GG$169,1,IF($FJ200&lt;GG$169,INDEX($FK$170:$ID$241,GG$169,$FJ200),SUMPRODUCT(INDEX($FK$325:$ID$396,GG$169,1+SwaptionShift):INDEX($FK$325:$ID$396,GG$169,SwaptionMonthsToGo+SwaptionShift),INDEX($FK$245:$ID$316,$FJ200-GG$169,73-GG$169+SwaptionShift):INDEX($FK$245:$ID$316,$FJ200-GG$169,72-GG$169+SwaptionMonthsToGo+SwaptionShift))/SQRT(SUM(INDEX($FK355:$ID355,1+SwaptionShift):INDEX($FK355:$ID355,SwaptionMonthsToGo+SwaptionShift))*SUM(INDEX($FK$325:$ID$396,GG$169,1+SwaptionShift):INDEX($FK$325:$ID$396,GG$169,SwaptionMonthsToGo+SwaptionShift))))))</f>
        <v/>
      </c>
      <c r="GH200" s="150" t="str">
        <f aca="false">IF(OR(GH$169&lt;SwaptionFirstMonthPosition+1,$FJ200&lt;SwaptionFirstMonthPosition+1,GH$169&gt;SwaptionFirstMonthPosition+SwaptionNumOfMonths+1,$FJ200&gt;SwaptionFirstMonthPosition+SwaptionNumOfMonths+1),"",IF($FJ200=GH$169,1,IF($FJ200&lt;GH$169,INDEX($FK$170:$ID$241,GH$169,$FJ200),SUMPRODUCT(INDEX($FK$325:$ID$396,GH$169,1+SwaptionShift):INDEX($FK$325:$ID$396,GH$169,SwaptionMonthsToGo+SwaptionShift),INDEX($FK$245:$ID$316,$FJ200-GH$169,73-GH$169+SwaptionShift):INDEX($FK$245:$ID$316,$FJ200-GH$169,72-GH$169+SwaptionMonthsToGo+SwaptionShift))/SQRT(SUM(INDEX($FK355:$ID355,1+SwaptionShift):INDEX($FK355:$ID355,SwaptionMonthsToGo+SwaptionShift))*SUM(INDEX($FK$325:$ID$396,GH$169,1+SwaptionShift):INDEX($FK$325:$ID$396,GH$169,SwaptionMonthsToGo+SwaptionShift))))))</f>
        <v/>
      </c>
      <c r="GI200" s="150" t="str">
        <f aca="false">IF(OR(GI$169&lt;SwaptionFirstMonthPosition+1,$FJ200&lt;SwaptionFirstMonthPosition+1,GI$169&gt;SwaptionFirstMonthPosition+SwaptionNumOfMonths+1,$FJ200&gt;SwaptionFirstMonthPosition+SwaptionNumOfMonths+1),"",IF($FJ200=GI$169,1,IF($FJ200&lt;GI$169,INDEX($FK$170:$ID$241,GI$169,$FJ200),SUMPRODUCT(INDEX($FK$325:$ID$396,GI$169,1+SwaptionShift):INDEX($FK$325:$ID$396,GI$169,SwaptionMonthsToGo+SwaptionShift),INDEX($FK$245:$ID$316,$FJ200-GI$169,73-GI$169+SwaptionShift):INDEX($FK$245:$ID$316,$FJ200-GI$169,72-GI$169+SwaptionMonthsToGo+SwaptionShift))/SQRT(SUM(INDEX($FK355:$ID355,1+SwaptionShift):INDEX($FK355:$ID355,SwaptionMonthsToGo+SwaptionShift))*SUM(INDEX($FK$325:$ID$396,GI$169,1+SwaptionShift):INDEX($FK$325:$ID$396,GI$169,SwaptionMonthsToGo+SwaptionShift))))))</f>
        <v/>
      </c>
      <c r="GJ200" s="150" t="str">
        <f aca="false">IF(OR(GJ$169&lt;SwaptionFirstMonthPosition+1,$FJ200&lt;SwaptionFirstMonthPosition+1,GJ$169&gt;SwaptionFirstMonthPosition+SwaptionNumOfMonths+1,$FJ200&gt;SwaptionFirstMonthPosition+SwaptionNumOfMonths+1),"",IF($FJ200=GJ$169,1,IF($FJ200&lt;GJ$169,INDEX($FK$170:$ID$241,GJ$169,$FJ200),SUMPRODUCT(INDEX($FK$325:$ID$396,GJ$169,1+SwaptionShift):INDEX($FK$325:$ID$396,GJ$169,SwaptionMonthsToGo+SwaptionShift),INDEX($FK$245:$ID$316,$FJ200-GJ$169,73-GJ$169+SwaptionShift):INDEX($FK$245:$ID$316,$FJ200-GJ$169,72-GJ$169+SwaptionMonthsToGo+SwaptionShift))/SQRT(SUM(INDEX($FK355:$ID355,1+SwaptionShift):INDEX($FK355:$ID355,SwaptionMonthsToGo+SwaptionShift))*SUM(INDEX($FK$325:$ID$396,GJ$169,1+SwaptionShift):INDEX($FK$325:$ID$396,GJ$169,SwaptionMonthsToGo+SwaptionShift))))))</f>
        <v/>
      </c>
      <c r="GK200" s="150" t="str">
        <f aca="false">IF(OR(GK$169&lt;SwaptionFirstMonthPosition+1,$FJ200&lt;SwaptionFirstMonthPosition+1,GK$169&gt;SwaptionFirstMonthPosition+SwaptionNumOfMonths+1,$FJ200&gt;SwaptionFirstMonthPosition+SwaptionNumOfMonths+1),"",IF($FJ200=GK$169,1,IF($FJ200&lt;GK$169,INDEX($FK$170:$ID$241,GK$169,$FJ200),SUMPRODUCT(INDEX($FK$325:$ID$396,GK$169,1+SwaptionShift):INDEX($FK$325:$ID$396,GK$169,SwaptionMonthsToGo+SwaptionShift),INDEX($FK$245:$ID$316,$FJ200-GK$169,73-GK$169+SwaptionShift):INDEX($FK$245:$ID$316,$FJ200-GK$169,72-GK$169+SwaptionMonthsToGo+SwaptionShift))/SQRT(SUM(INDEX($FK355:$ID355,1+SwaptionShift):INDEX($FK355:$ID355,SwaptionMonthsToGo+SwaptionShift))*SUM(INDEX($FK$325:$ID$396,GK$169,1+SwaptionShift):INDEX($FK$325:$ID$396,GK$169,SwaptionMonthsToGo+SwaptionShift))))))</f>
        <v/>
      </c>
      <c r="GL200" s="150" t="str">
        <f aca="false">IF(OR(GL$169&lt;SwaptionFirstMonthPosition+1,$FJ200&lt;SwaptionFirstMonthPosition+1,GL$169&gt;SwaptionFirstMonthPosition+SwaptionNumOfMonths+1,$FJ200&gt;SwaptionFirstMonthPosition+SwaptionNumOfMonths+1),"",IF($FJ200=GL$169,1,IF($FJ200&lt;GL$169,INDEX($FK$170:$ID$241,GL$169,$FJ200),SUMPRODUCT(INDEX($FK$325:$ID$396,GL$169,1+SwaptionShift):INDEX($FK$325:$ID$396,GL$169,SwaptionMonthsToGo+SwaptionShift),INDEX($FK$245:$ID$316,$FJ200-GL$169,73-GL$169+SwaptionShift):INDEX($FK$245:$ID$316,$FJ200-GL$169,72-GL$169+SwaptionMonthsToGo+SwaptionShift))/SQRT(SUM(INDEX($FK355:$ID355,1+SwaptionShift):INDEX($FK355:$ID355,SwaptionMonthsToGo+SwaptionShift))*SUM(INDEX($FK$325:$ID$396,GL$169,1+SwaptionShift):INDEX($FK$325:$ID$396,GL$169,SwaptionMonthsToGo+SwaptionShift))))))</f>
        <v/>
      </c>
      <c r="GM200" s="150" t="str">
        <f aca="false">IF(OR(GM$169&lt;SwaptionFirstMonthPosition+1,$FJ200&lt;SwaptionFirstMonthPosition+1,GM$169&gt;SwaptionFirstMonthPosition+SwaptionNumOfMonths+1,$FJ200&gt;SwaptionFirstMonthPosition+SwaptionNumOfMonths+1),"",IF($FJ200=GM$169,1,IF($FJ200&lt;GM$169,INDEX($FK$170:$ID$241,GM$169,$FJ200),SUMPRODUCT(INDEX($FK$325:$ID$396,GM$169,1+SwaptionShift):INDEX($FK$325:$ID$396,GM$169,SwaptionMonthsToGo+SwaptionShift),INDEX($FK$245:$ID$316,$FJ200-GM$169,73-GM$169+SwaptionShift):INDEX($FK$245:$ID$316,$FJ200-GM$169,72-GM$169+SwaptionMonthsToGo+SwaptionShift))/SQRT(SUM(INDEX($FK355:$ID355,1+SwaptionShift):INDEX($FK355:$ID355,SwaptionMonthsToGo+SwaptionShift))*SUM(INDEX($FK$325:$ID$396,GM$169,1+SwaptionShift):INDEX($FK$325:$ID$396,GM$169,SwaptionMonthsToGo+SwaptionShift))))))</f>
        <v/>
      </c>
      <c r="GN200" s="150" t="str">
        <f aca="false">IF(OR(GN$169&lt;SwaptionFirstMonthPosition+1,$FJ200&lt;SwaptionFirstMonthPosition+1,GN$169&gt;SwaptionFirstMonthPosition+SwaptionNumOfMonths+1,$FJ200&gt;SwaptionFirstMonthPosition+SwaptionNumOfMonths+1),"",IF($FJ200=GN$169,1,IF($FJ200&lt;GN$169,INDEX($FK$170:$ID$241,GN$169,$FJ200),SUMPRODUCT(INDEX($FK$325:$ID$396,GN$169,1+SwaptionShift):INDEX($FK$325:$ID$396,GN$169,SwaptionMonthsToGo+SwaptionShift),INDEX($FK$245:$ID$316,$FJ200-GN$169,73-GN$169+SwaptionShift):INDEX($FK$245:$ID$316,$FJ200-GN$169,72-GN$169+SwaptionMonthsToGo+SwaptionShift))/SQRT(SUM(INDEX($FK355:$ID355,1+SwaptionShift):INDEX($FK355:$ID355,SwaptionMonthsToGo+SwaptionShift))*SUM(INDEX($FK$325:$ID$396,GN$169,1+SwaptionShift):INDEX($FK$325:$ID$396,GN$169,SwaptionMonthsToGo+SwaptionShift))))))</f>
        <v/>
      </c>
      <c r="GO200" s="150" t="str">
        <f aca="false">IF(OR(GO$169&lt;SwaptionFirstMonthPosition+1,$FJ200&lt;SwaptionFirstMonthPosition+1,GO$169&gt;SwaptionFirstMonthPosition+SwaptionNumOfMonths+1,$FJ200&gt;SwaptionFirstMonthPosition+SwaptionNumOfMonths+1),"",IF($FJ200=GO$169,1,IF($FJ200&lt;GO$169,INDEX($FK$170:$ID$241,GO$169,$FJ200),SUMPRODUCT(INDEX($FK$325:$ID$396,GO$169,1+SwaptionShift):INDEX($FK$325:$ID$396,GO$169,SwaptionMonthsToGo+SwaptionShift),INDEX($FK$245:$ID$316,$FJ200-GO$169,73-GO$169+SwaptionShift):INDEX($FK$245:$ID$316,$FJ200-GO$169,72-GO$169+SwaptionMonthsToGo+SwaptionShift))/SQRT(SUM(INDEX($FK355:$ID355,1+SwaptionShift):INDEX($FK355:$ID355,SwaptionMonthsToGo+SwaptionShift))*SUM(INDEX($FK$325:$ID$396,GO$169,1+SwaptionShift):INDEX($FK$325:$ID$396,GO$169,SwaptionMonthsToGo+SwaptionShift))))))</f>
        <v/>
      </c>
      <c r="GP200" s="150" t="str">
        <f aca="false">IF(OR(GP$169&lt;SwaptionFirstMonthPosition+1,$FJ200&lt;SwaptionFirstMonthPosition+1,GP$169&gt;SwaptionFirstMonthPosition+SwaptionNumOfMonths+1,$FJ200&gt;SwaptionFirstMonthPosition+SwaptionNumOfMonths+1),"",IF($FJ200=GP$169,1,IF($FJ200&lt;GP$169,INDEX($FK$170:$ID$241,GP$169,$FJ200),SUMPRODUCT(INDEX($FK$325:$ID$396,GP$169,1+SwaptionShift):INDEX($FK$325:$ID$396,GP$169,SwaptionMonthsToGo+SwaptionShift),INDEX($FK$245:$ID$316,$FJ200-GP$169,73-GP$169+SwaptionShift):INDEX($FK$245:$ID$316,$FJ200-GP$169,72-GP$169+SwaptionMonthsToGo+SwaptionShift))/SQRT(SUM(INDEX($FK355:$ID355,1+SwaptionShift):INDEX($FK355:$ID355,SwaptionMonthsToGo+SwaptionShift))*SUM(INDEX($FK$325:$ID$396,GP$169,1+SwaptionShift):INDEX($FK$325:$ID$396,GP$169,SwaptionMonthsToGo+SwaptionShift))))))</f>
        <v/>
      </c>
      <c r="GQ200" s="150" t="str">
        <f aca="false">IF(OR(GQ$169&lt;SwaptionFirstMonthPosition+1,$FJ200&lt;SwaptionFirstMonthPosition+1,GQ$169&gt;SwaptionFirstMonthPosition+SwaptionNumOfMonths+1,$FJ200&gt;SwaptionFirstMonthPosition+SwaptionNumOfMonths+1),"",IF($FJ200=GQ$169,1,IF($FJ200&lt;GQ$169,INDEX($FK$170:$ID$241,GQ$169,$FJ200),SUMPRODUCT(INDEX($FK$325:$ID$396,GQ$169,1+SwaptionShift):INDEX($FK$325:$ID$396,GQ$169,SwaptionMonthsToGo+SwaptionShift),INDEX($FK$245:$ID$316,$FJ200-GQ$169,73-GQ$169+SwaptionShift):INDEX($FK$245:$ID$316,$FJ200-GQ$169,72-GQ$169+SwaptionMonthsToGo+SwaptionShift))/SQRT(SUM(INDEX($FK355:$ID355,1+SwaptionShift):INDEX($FK355:$ID355,SwaptionMonthsToGo+SwaptionShift))*SUM(INDEX($FK$325:$ID$396,GQ$169,1+SwaptionShift):INDEX($FK$325:$ID$396,GQ$169,SwaptionMonthsToGo+SwaptionShift))))))</f>
        <v/>
      </c>
      <c r="GR200" s="150" t="str">
        <f aca="false">IF(OR(GR$169&lt;SwaptionFirstMonthPosition+1,$FJ200&lt;SwaptionFirstMonthPosition+1,GR$169&gt;SwaptionFirstMonthPosition+SwaptionNumOfMonths+1,$FJ200&gt;SwaptionFirstMonthPosition+SwaptionNumOfMonths+1),"",IF($FJ200=GR$169,1,IF($FJ200&lt;GR$169,INDEX($FK$170:$ID$241,GR$169,$FJ200),SUMPRODUCT(INDEX($FK$325:$ID$396,GR$169,1+SwaptionShift):INDEX($FK$325:$ID$396,GR$169,SwaptionMonthsToGo+SwaptionShift),INDEX($FK$245:$ID$316,$FJ200-GR$169,73-GR$169+SwaptionShift):INDEX($FK$245:$ID$316,$FJ200-GR$169,72-GR$169+SwaptionMonthsToGo+SwaptionShift))/SQRT(SUM(INDEX($FK355:$ID355,1+SwaptionShift):INDEX($FK355:$ID355,SwaptionMonthsToGo+SwaptionShift))*SUM(INDEX($FK$325:$ID$396,GR$169,1+SwaptionShift):INDEX($FK$325:$ID$396,GR$169,SwaptionMonthsToGo+SwaptionShift))))))</f>
        <v/>
      </c>
      <c r="GS200" s="150" t="str">
        <f aca="false">IF(OR(GS$169&lt;SwaptionFirstMonthPosition+1,$FJ200&lt;SwaptionFirstMonthPosition+1,GS$169&gt;SwaptionFirstMonthPosition+SwaptionNumOfMonths+1,$FJ200&gt;SwaptionFirstMonthPosition+SwaptionNumOfMonths+1),"",IF($FJ200=GS$169,1,IF($FJ200&lt;GS$169,INDEX($FK$170:$ID$241,GS$169,$FJ200),SUMPRODUCT(INDEX($FK$325:$ID$396,GS$169,1+SwaptionShift):INDEX($FK$325:$ID$396,GS$169,SwaptionMonthsToGo+SwaptionShift),INDEX($FK$245:$ID$316,$FJ200-GS$169,73-GS$169+SwaptionShift):INDEX($FK$245:$ID$316,$FJ200-GS$169,72-GS$169+SwaptionMonthsToGo+SwaptionShift))/SQRT(SUM(INDEX($FK355:$ID355,1+SwaptionShift):INDEX($FK355:$ID355,SwaptionMonthsToGo+SwaptionShift))*SUM(INDEX($FK$325:$ID$396,GS$169,1+SwaptionShift):INDEX($FK$325:$ID$396,GS$169,SwaptionMonthsToGo+SwaptionShift))))))</f>
        <v/>
      </c>
      <c r="GT200" s="150" t="str">
        <f aca="false">IF(OR(GT$169&lt;SwaptionFirstMonthPosition+1,$FJ200&lt;SwaptionFirstMonthPosition+1,GT$169&gt;SwaptionFirstMonthPosition+SwaptionNumOfMonths+1,$FJ200&gt;SwaptionFirstMonthPosition+SwaptionNumOfMonths+1),"",IF($FJ200=GT$169,1,IF($FJ200&lt;GT$169,INDEX($FK$170:$ID$241,GT$169,$FJ200),SUMPRODUCT(INDEX($FK$325:$ID$396,GT$169,1+SwaptionShift):INDEX($FK$325:$ID$396,GT$169,SwaptionMonthsToGo+SwaptionShift),INDEX($FK$245:$ID$316,$FJ200-GT$169,73-GT$169+SwaptionShift):INDEX($FK$245:$ID$316,$FJ200-GT$169,72-GT$169+SwaptionMonthsToGo+SwaptionShift))/SQRT(SUM(INDEX($FK355:$ID355,1+SwaptionShift):INDEX($FK355:$ID355,SwaptionMonthsToGo+SwaptionShift))*SUM(INDEX($FK$325:$ID$396,GT$169,1+SwaptionShift):INDEX($FK$325:$ID$396,GT$169,SwaptionMonthsToGo+SwaptionShift))))))</f>
        <v/>
      </c>
      <c r="GU200" s="150" t="str">
        <f aca="false">IF(OR(GU$169&lt;SwaptionFirstMonthPosition+1,$FJ200&lt;SwaptionFirstMonthPosition+1,GU$169&gt;SwaptionFirstMonthPosition+SwaptionNumOfMonths+1,$FJ200&gt;SwaptionFirstMonthPosition+SwaptionNumOfMonths+1),"",IF($FJ200=GU$169,1,IF($FJ200&lt;GU$169,INDEX($FK$170:$ID$241,GU$169,$FJ200),SUMPRODUCT(INDEX($FK$325:$ID$396,GU$169,1+SwaptionShift):INDEX($FK$325:$ID$396,GU$169,SwaptionMonthsToGo+SwaptionShift),INDEX($FK$245:$ID$316,$FJ200-GU$169,73-GU$169+SwaptionShift):INDEX($FK$245:$ID$316,$FJ200-GU$169,72-GU$169+SwaptionMonthsToGo+SwaptionShift))/SQRT(SUM(INDEX($FK355:$ID355,1+SwaptionShift):INDEX($FK355:$ID355,SwaptionMonthsToGo+SwaptionShift))*SUM(INDEX($FK$325:$ID$396,GU$169,1+SwaptionShift):INDEX($FK$325:$ID$396,GU$169,SwaptionMonthsToGo+SwaptionShift))))))</f>
        <v/>
      </c>
      <c r="GV200" s="150" t="str">
        <f aca="false">IF(OR(GV$169&lt;SwaptionFirstMonthPosition+1,$FJ200&lt;SwaptionFirstMonthPosition+1,GV$169&gt;SwaptionFirstMonthPosition+SwaptionNumOfMonths+1,$FJ200&gt;SwaptionFirstMonthPosition+SwaptionNumOfMonths+1),"",IF($FJ200=GV$169,1,IF($FJ200&lt;GV$169,INDEX($FK$170:$ID$241,GV$169,$FJ200),SUMPRODUCT(INDEX($FK$325:$ID$396,GV$169,1+SwaptionShift):INDEX($FK$325:$ID$396,GV$169,SwaptionMonthsToGo+SwaptionShift),INDEX($FK$245:$ID$316,$FJ200-GV$169,73-GV$169+SwaptionShift):INDEX($FK$245:$ID$316,$FJ200-GV$169,72-GV$169+SwaptionMonthsToGo+SwaptionShift))/SQRT(SUM(INDEX($FK355:$ID355,1+SwaptionShift):INDEX($FK355:$ID355,SwaptionMonthsToGo+SwaptionShift))*SUM(INDEX($FK$325:$ID$396,GV$169,1+SwaptionShift):INDEX($FK$325:$ID$396,GV$169,SwaptionMonthsToGo+SwaptionShift))))))</f>
        <v/>
      </c>
      <c r="GW200" s="150" t="str">
        <f aca="false">IF(OR(GW$169&lt;SwaptionFirstMonthPosition+1,$FJ200&lt;SwaptionFirstMonthPosition+1,GW$169&gt;SwaptionFirstMonthPosition+SwaptionNumOfMonths+1,$FJ200&gt;SwaptionFirstMonthPosition+SwaptionNumOfMonths+1),"",IF($FJ200=GW$169,1,IF($FJ200&lt;GW$169,INDEX($FK$170:$ID$241,GW$169,$FJ200),SUMPRODUCT(INDEX($FK$325:$ID$396,GW$169,1+SwaptionShift):INDEX($FK$325:$ID$396,GW$169,SwaptionMonthsToGo+SwaptionShift),INDEX($FK$245:$ID$316,$FJ200-GW$169,73-GW$169+SwaptionShift):INDEX($FK$245:$ID$316,$FJ200-GW$169,72-GW$169+SwaptionMonthsToGo+SwaptionShift))/SQRT(SUM(INDEX($FK355:$ID355,1+SwaptionShift):INDEX($FK355:$ID355,SwaptionMonthsToGo+SwaptionShift))*SUM(INDEX($FK$325:$ID$396,GW$169,1+SwaptionShift):INDEX($FK$325:$ID$396,GW$169,SwaptionMonthsToGo+SwaptionShift))))))</f>
        <v/>
      </c>
      <c r="GX200" s="150" t="str">
        <f aca="false">IF(OR(GX$169&lt;SwaptionFirstMonthPosition+1,$FJ200&lt;SwaptionFirstMonthPosition+1,GX$169&gt;SwaptionFirstMonthPosition+SwaptionNumOfMonths+1,$FJ200&gt;SwaptionFirstMonthPosition+SwaptionNumOfMonths+1),"",IF($FJ200=GX$169,1,IF($FJ200&lt;GX$169,INDEX($FK$170:$ID$241,GX$169,$FJ200),SUMPRODUCT(INDEX($FK$325:$ID$396,GX$169,1+SwaptionShift):INDEX($FK$325:$ID$396,GX$169,SwaptionMonthsToGo+SwaptionShift),INDEX($FK$245:$ID$316,$FJ200-GX$169,73-GX$169+SwaptionShift):INDEX($FK$245:$ID$316,$FJ200-GX$169,72-GX$169+SwaptionMonthsToGo+SwaptionShift))/SQRT(SUM(INDEX($FK355:$ID355,1+SwaptionShift):INDEX($FK355:$ID355,SwaptionMonthsToGo+SwaptionShift))*SUM(INDEX($FK$325:$ID$396,GX$169,1+SwaptionShift):INDEX($FK$325:$ID$396,GX$169,SwaptionMonthsToGo+SwaptionShift))))))</f>
        <v/>
      </c>
      <c r="GY200" s="150" t="str">
        <f aca="false">IF(OR(GY$169&lt;SwaptionFirstMonthPosition+1,$FJ200&lt;SwaptionFirstMonthPosition+1,GY$169&gt;SwaptionFirstMonthPosition+SwaptionNumOfMonths+1,$FJ200&gt;SwaptionFirstMonthPosition+SwaptionNumOfMonths+1),"",IF($FJ200=GY$169,1,IF($FJ200&lt;GY$169,INDEX($FK$170:$ID$241,GY$169,$FJ200),SUMPRODUCT(INDEX($FK$325:$ID$396,GY$169,1+SwaptionShift):INDEX($FK$325:$ID$396,GY$169,SwaptionMonthsToGo+SwaptionShift),INDEX($FK$245:$ID$316,$FJ200-GY$169,73-GY$169+SwaptionShift):INDEX($FK$245:$ID$316,$FJ200-GY$169,72-GY$169+SwaptionMonthsToGo+SwaptionShift))/SQRT(SUM(INDEX($FK355:$ID355,1+SwaptionShift):INDEX($FK355:$ID355,SwaptionMonthsToGo+SwaptionShift))*SUM(INDEX($FK$325:$ID$396,GY$169,1+SwaptionShift):INDEX($FK$325:$ID$396,GY$169,SwaptionMonthsToGo+SwaptionShift))))))</f>
        <v/>
      </c>
      <c r="GZ200" s="150" t="str">
        <f aca="false">IF(OR(GZ$169&lt;SwaptionFirstMonthPosition+1,$FJ200&lt;SwaptionFirstMonthPosition+1,GZ$169&gt;SwaptionFirstMonthPosition+SwaptionNumOfMonths+1,$FJ200&gt;SwaptionFirstMonthPosition+SwaptionNumOfMonths+1),"",IF($FJ200=GZ$169,1,IF($FJ200&lt;GZ$169,INDEX($FK$170:$ID$241,GZ$169,$FJ200),SUMPRODUCT(INDEX($FK$325:$ID$396,GZ$169,1+SwaptionShift):INDEX($FK$325:$ID$396,GZ$169,SwaptionMonthsToGo+SwaptionShift),INDEX($FK$245:$ID$316,$FJ200-GZ$169,73-GZ$169+SwaptionShift):INDEX($FK$245:$ID$316,$FJ200-GZ$169,72-GZ$169+SwaptionMonthsToGo+SwaptionShift))/SQRT(SUM(INDEX($FK355:$ID355,1+SwaptionShift):INDEX($FK355:$ID355,SwaptionMonthsToGo+SwaptionShift))*SUM(INDEX($FK$325:$ID$396,GZ$169,1+SwaptionShift):INDEX($FK$325:$ID$396,GZ$169,SwaptionMonthsToGo+SwaptionShift))))))</f>
        <v/>
      </c>
      <c r="HA200" s="150" t="str">
        <f aca="false">IF(OR(HA$169&lt;SwaptionFirstMonthPosition+1,$FJ200&lt;SwaptionFirstMonthPosition+1,HA$169&gt;SwaptionFirstMonthPosition+SwaptionNumOfMonths+1,$FJ200&gt;SwaptionFirstMonthPosition+SwaptionNumOfMonths+1),"",IF($FJ200=HA$169,1,IF($FJ200&lt;HA$169,INDEX($FK$170:$ID$241,HA$169,$FJ200),SUMPRODUCT(INDEX($FK$325:$ID$396,HA$169,1+SwaptionShift):INDEX($FK$325:$ID$396,HA$169,SwaptionMonthsToGo+SwaptionShift),INDEX($FK$245:$ID$316,$FJ200-HA$169,73-HA$169+SwaptionShift):INDEX($FK$245:$ID$316,$FJ200-HA$169,72-HA$169+SwaptionMonthsToGo+SwaptionShift))/SQRT(SUM(INDEX($FK355:$ID355,1+SwaptionShift):INDEX($FK355:$ID355,SwaptionMonthsToGo+SwaptionShift))*SUM(INDEX($FK$325:$ID$396,HA$169,1+SwaptionShift):INDEX($FK$325:$ID$396,HA$169,SwaptionMonthsToGo+SwaptionShift))))))</f>
        <v/>
      </c>
      <c r="HB200" s="150" t="str">
        <f aca="false">IF(OR(HB$169&lt;SwaptionFirstMonthPosition+1,$FJ200&lt;SwaptionFirstMonthPosition+1,HB$169&gt;SwaptionFirstMonthPosition+SwaptionNumOfMonths+1,$FJ200&gt;SwaptionFirstMonthPosition+SwaptionNumOfMonths+1),"",IF($FJ200=HB$169,1,IF($FJ200&lt;HB$169,INDEX($FK$170:$ID$241,HB$169,$FJ200),SUMPRODUCT(INDEX($FK$325:$ID$396,HB$169,1+SwaptionShift):INDEX($FK$325:$ID$396,HB$169,SwaptionMonthsToGo+SwaptionShift),INDEX($FK$245:$ID$316,$FJ200-HB$169,73-HB$169+SwaptionShift):INDEX($FK$245:$ID$316,$FJ200-HB$169,72-HB$169+SwaptionMonthsToGo+SwaptionShift))/SQRT(SUM(INDEX($FK355:$ID355,1+SwaptionShift):INDEX($FK355:$ID355,SwaptionMonthsToGo+SwaptionShift))*SUM(INDEX($FK$325:$ID$396,HB$169,1+SwaptionShift):INDEX($FK$325:$ID$396,HB$169,SwaptionMonthsToGo+SwaptionShift))))))</f>
        <v/>
      </c>
      <c r="HC200" s="150" t="str">
        <f aca="false">IF(OR(HC$169&lt;SwaptionFirstMonthPosition+1,$FJ200&lt;SwaptionFirstMonthPosition+1,HC$169&gt;SwaptionFirstMonthPosition+SwaptionNumOfMonths+1,$FJ200&gt;SwaptionFirstMonthPosition+SwaptionNumOfMonths+1),"",IF($FJ200=HC$169,1,IF($FJ200&lt;HC$169,INDEX($FK$170:$ID$241,HC$169,$FJ200),SUMPRODUCT(INDEX($FK$325:$ID$396,HC$169,1+SwaptionShift):INDEX($FK$325:$ID$396,HC$169,SwaptionMonthsToGo+SwaptionShift),INDEX($FK$245:$ID$316,$FJ200-HC$169,73-HC$169+SwaptionShift):INDEX($FK$245:$ID$316,$FJ200-HC$169,72-HC$169+SwaptionMonthsToGo+SwaptionShift))/SQRT(SUM(INDEX($FK355:$ID355,1+SwaptionShift):INDEX($FK355:$ID355,SwaptionMonthsToGo+SwaptionShift))*SUM(INDEX($FK$325:$ID$396,HC$169,1+SwaptionShift):INDEX($FK$325:$ID$396,HC$169,SwaptionMonthsToGo+SwaptionShift))))))</f>
        <v/>
      </c>
      <c r="HD200" s="150" t="str">
        <f aca="false">IF(OR(HD$169&lt;SwaptionFirstMonthPosition+1,$FJ200&lt;SwaptionFirstMonthPosition+1,HD$169&gt;SwaptionFirstMonthPosition+SwaptionNumOfMonths+1,$FJ200&gt;SwaptionFirstMonthPosition+SwaptionNumOfMonths+1),"",IF($FJ200=HD$169,1,IF($FJ200&lt;HD$169,INDEX($FK$170:$ID$241,HD$169,$FJ200),SUMPRODUCT(INDEX($FK$325:$ID$396,HD$169,1+SwaptionShift):INDEX($FK$325:$ID$396,HD$169,SwaptionMonthsToGo+SwaptionShift),INDEX($FK$245:$ID$316,$FJ200-HD$169,73-HD$169+SwaptionShift):INDEX($FK$245:$ID$316,$FJ200-HD$169,72-HD$169+SwaptionMonthsToGo+SwaptionShift))/SQRT(SUM(INDEX($FK355:$ID355,1+SwaptionShift):INDEX($FK355:$ID355,SwaptionMonthsToGo+SwaptionShift))*SUM(INDEX($FK$325:$ID$396,HD$169,1+SwaptionShift):INDEX($FK$325:$ID$396,HD$169,SwaptionMonthsToGo+SwaptionShift))))))</f>
        <v/>
      </c>
      <c r="HE200" s="150" t="str">
        <f aca="false">IF(OR(HE$169&lt;SwaptionFirstMonthPosition+1,$FJ200&lt;SwaptionFirstMonthPosition+1,HE$169&gt;SwaptionFirstMonthPosition+SwaptionNumOfMonths+1,$FJ200&gt;SwaptionFirstMonthPosition+SwaptionNumOfMonths+1),"",IF($FJ200=HE$169,1,IF($FJ200&lt;HE$169,INDEX($FK$170:$ID$241,HE$169,$FJ200),SUMPRODUCT(INDEX($FK$325:$ID$396,HE$169,1+SwaptionShift):INDEX($FK$325:$ID$396,HE$169,SwaptionMonthsToGo+SwaptionShift),INDEX($FK$245:$ID$316,$FJ200-HE$169,73-HE$169+SwaptionShift):INDEX($FK$245:$ID$316,$FJ200-HE$169,72-HE$169+SwaptionMonthsToGo+SwaptionShift))/SQRT(SUM(INDEX($FK355:$ID355,1+SwaptionShift):INDEX($FK355:$ID355,SwaptionMonthsToGo+SwaptionShift))*SUM(INDEX($FK$325:$ID$396,HE$169,1+SwaptionShift):INDEX($FK$325:$ID$396,HE$169,SwaptionMonthsToGo+SwaptionShift))))))</f>
        <v/>
      </c>
      <c r="HF200" s="150" t="str">
        <f aca="false">IF(OR(HF$169&lt;SwaptionFirstMonthPosition+1,$FJ200&lt;SwaptionFirstMonthPosition+1,HF$169&gt;SwaptionFirstMonthPosition+SwaptionNumOfMonths+1,$FJ200&gt;SwaptionFirstMonthPosition+SwaptionNumOfMonths+1),"",IF($FJ200=HF$169,1,IF($FJ200&lt;HF$169,INDEX($FK$170:$ID$241,HF$169,$FJ200),SUMPRODUCT(INDEX($FK$325:$ID$396,HF$169,1+SwaptionShift):INDEX($FK$325:$ID$396,HF$169,SwaptionMonthsToGo+SwaptionShift),INDEX($FK$245:$ID$316,$FJ200-HF$169,73-HF$169+SwaptionShift):INDEX($FK$245:$ID$316,$FJ200-HF$169,72-HF$169+SwaptionMonthsToGo+SwaptionShift))/SQRT(SUM(INDEX($FK355:$ID355,1+SwaptionShift):INDEX($FK355:$ID355,SwaptionMonthsToGo+SwaptionShift))*SUM(INDEX($FK$325:$ID$396,HF$169,1+SwaptionShift):INDEX($FK$325:$ID$396,HF$169,SwaptionMonthsToGo+SwaptionShift))))))</f>
        <v/>
      </c>
      <c r="HG200" s="150" t="str">
        <f aca="false">IF(OR(HG$169&lt;SwaptionFirstMonthPosition+1,$FJ200&lt;SwaptionFirstMonthPosition+1,HG$169&gt;SwaptionFirstMonthPosition+SwaptionNumOfMonths+1,$FJ200&gt;SwaptionFirstMonthPosition+SwaptionNumOfMonths+1),"",IF($FJ200=HG$169,1,IF($FJ200&lt;HG$169,INDEX($FK$170:$ID$241,HG$169,$FJ200),SUMPRODUCT(INDEX($FK$325:$ID$396,HG$169,1+SwaptionShift):INDEX($FK$325:$ID$396,HG$169,SwaptionMonthsToGo+SwaptionShift),INDEX($FK$245:$ID$316,$FJ200-HG$169,73-HG$169+SwaptionShift):INDEX($FK$245:$ID$316,$FJ200-HG$169,72-HG$169+SwaptionMonthsToGo+SwaptionShift))/SQRT(SUM(INDEX($FK355:$ID355,1+SwaptionShift):INDEX($FK355:$ID355,SwaptionMonthsToGo+SwaptionShift))*SUM(INDEX($FK$325:$ID$396,HG$169,1+SwaptionShift):INDEX($FK$325:$ID$396,HG$169,SwaptionMonthsToGo+SwaptionShift))))))</f>
        <v/>
      </c>
      <c r="HH200" s="150" t="str">
        <f aca="false">IF(OR(HH$169&lt;SwaptionFirstMonthPosition+1,$FJ200&lt;SwaptionFirstMonthPosition+1,HH$169&gt;SwaptionFirstMonthPosition+SwaptionNumOfMonths+1,$FJ200&gt;SwaptionFirstMonthPosition+SwaptionNumOfMonths+1),"",IF($FJ200=HH$169,1,IF($FJ200&lt;HH$169,INDEX($FK$170:$ID$241,HH$169,$FJ200),SUMPRODUCT(INDEX($FK$325:$ID$396,HH$169,1+SwaptionShift):INDEX($FK$325:$ID$396,HH$169,SwaptionMonthsToGo+SwaptionShift),INDEX($FK$245:$ID$316,$FJ200-HH$169,73-HH$169+SwaptionShift):INDEX($FK$245:$ID$316,$FJ200-HH$169,72-HH$169+SwaptionMonthsToGo+SwaptionShift))/SQRT(SUM(INDEX($FK355:$ID355,1+SwaptionShift):INDEX($FK355:$ID355,SwaptionMonthsToGo+SwaptionShift))*SUM(INDEX($FK$325:$ID$396,HH$169,1+SwaptionShift):INDEX($FK$325:$ID$396,HH$169,SwaptionMonthsToGo+SwaptionShift))))))</f>
        <v/>
      </c>
      <c r="HI200" s="150" t="str">
        <f aca="false">IF(OR(HI$169&lt;SwaptionFirstMonthPosition+1,$FJ200&lt;SwaptionFirstMonthPosition+1,HI$169&gt;SwaptionFirstMonthPosition+SwaptionNumOfMonths+1,$FJ200&gt;SwaptionFirstMonthPosition+SwaptionNumOfMonths+1),"",IF($FJ200=HI$169,1,IF($FJ200&lt;HI$169,INDEX($FK$170:$ID$241,HI$169,$FJ200),SUMPRODUCT(INDEX($FK$325:$ID$396,HI$169,1+SwaptionShift):INDEX($FK$325:$ID$396,HI$169,SwaptionMonthsToGo+SwaptionShift),INDEX($FK$245:$ID$316,$FJ200-HI$169,73-HI$169+SwaptionShift):INDEX($FK$245:$ID$316,$FJ200-HI$169,72-HI$169+SwaptionMonthsToGo+SwaptionShift))/SQRT(SUM(INDEX($FK355:$ID355,1+SwaptionShift):INDEX($FK355:$ID355,SwaptionMonthsToGo+SwaptionShift))*SUM(INDEX($FK$325:$ID$396,HI$169,1+SwaptionShift):INDEX($FK$325:$ID$396,HI$169,SwaptionMonthsToGo+SwaptionShift))))))</f>
        <v/>
      </c>
      <c r="HJ200" s="150" t="str">
        <f aca="false">IF(OR(HJ$169&lt;SwaptionFirstMonthPosition+1,$FJ200&lt;SwaptionFirstMonthPosition+1,HJ$169&gt;SwaptionFirstMonthPosition+SwaptionNumOfMonths+1,$FJ200&gt;SwaptionFirstMonthPosition+SwaptionNumOfMonths+1),"",IF($FJ200=HJ$169,1,IF($FJ200&lt;HJ$169,INDEX($FK$170:$ID$241,HJ$169,$FJ200),SUMPRODUCT(INDEX($FK$325:$ID$396,HJ$169,1+SwaptionShift):INDEX($FK$325:$ID$396,HJ$169,SwaptionMonthsToGo+SwaptionShift),INDEX($FK$245:$ID$316,$FJ200-HJ$169,73-HJ$169+SwaptionShift):INDEX($FK$245:$ID$316,$FJ200-HJ$169,72-HJ$169+SwaptionMonthsToGo+SwaptionShift))/SQRT(SUM(INDEX($FK355:$ID355,1+SwaptionShift):INDEX($FK355:$ID355,SwaptionMonthsToGo+SwaptionShift))*SUM(INDEX($FK$325:$ID$396,HJ$169,1+SwaptionShift):INDEX($FK$325:$ID$396,HJ$169,SwaptionMonthsToGo+SwaptionShift))))))</f>
        <v/>
      </c>
      <c r="HK200" s="150" t="str">
        <f aca="false">IF(OR(HK$169&lt;SwaptionFirstMonthPosition+1,$FJ200&lt;SwaptionFirstMonthPosition+1,HK$169&gt;SwaptionFirstMonthPosition+SwaptionNumOfMonths+1,$FJ200&gt;SwaptionFirstMonthPosition+SwaptionNumOfMonths+1),"",IF($FJ200=HK$169,1,IF($FJ200&lt;HK$169,INDEX($FK$170:$ID$241,HK$169,$FJ200),SUMPRODUCT(INDEX($FK$325:$ID$396,HK$169,1+SwaptionShift):INDEX($FK$325:$ID$396,HK$169,SwaptionMonthsToGo+SwaptionShift),INDEX($FK$245:$ID$316,$FJ200-HK$169,73-HK$169+SwaptionShift):INDEX($FK$245:$ID$316,$FJ200-HK$169,72-HK$169+SwaptionMonthsToGo+SwaptionShift))/SQRT(SUM(INDEX($FK355:$ID355,1+SwaptionShift):INDEX($FK355:$ID355,SwaptionMonthsToGo+SwaptionShift))*SUM(INDEX($FK$325:$ID$396,HK$169,1+SwaptionShift):INDEX($FK$325:$ID$396,HK$169,SwaptionMonthsToGo+SwaptionShift))))))</f>
        <v/>
      </c>
      <c r="HL200" s="150" t="str">
        <f aca="false">IF(OR(HL$169&lt;SwaptionFirstMonthPosition+1,$FJ200&lt;SwaptionFirstMonthPosition+1,HL$169&gt;SwaptionFirstMonthPosition+SwaptionNumOfMonths+1,$FJ200&gt;SwaptionFirstMonthPosition+SwaptionNumOfMonths+1),"",IF($FJ200=HL$169,1,IF($FJ200&lt;HL$169,INDEX($FK$170:$ID$241,HL$169,$FJ200),SUMPRODUCT(INDEX($FK$325:$ID$396,HL$169,1+SwaptionShift):INDEX($FK$325:$ID$396,HL$169,SwaptionMonthsToGo+SwaptionShift),INDEX($FK$245:$ID$316,$FJ200-HL$169,73-HL$169+SwaptionShift):INDEX($FK$245:$ID$316,$FJ200-HL$169,72-HL$169+SwaptionMonthsToGo+SwaptionShift))/SQRT(SUM(INDEX($FK355:$ID355,1+SwaptionShift):INDEX($FK355:$ID355,SwaptionMonthsToGo+SwaptionShift))*SUM(INDEX($FK$325:$ID$396,HL$169,1+SwaptionShift):INDEX($FK$325:$ID$396,HL$169,SwaptionMonthsToGo+SwaptionShift))))))</f>
        <v/>
      </c>
      <c r="HM200" s="150" t="str">
        <f aca="false">IF(OR(HM$169&lt;SwaptionFirstMonthPosition+1,$FJ200&lt;SwaptionFirstMonthPosition+1,HM$169&gt;SwaptionFirstMonthPosition+SwaptionNumOfMonths+1,$FJ200&gt;SwaptionFirstMonthPosition+SwaptionNumOfMonths+1),"",IF($FJ200=HM$169,1,IF($FJ200&lt;HM$169,INDEX($FK$170:$ID$241,HM$169,$FJ200),SUMPRODUCT(INDEX($FK$325:$ID$396,HM$169,1+SwaptionShift):INDEX($FK$325:$ID$396,HM$169,SwaptionMonthsToGo+SwaptionShift),INDEX($FK$245:$ID$316,$FJ200-HM$169,73-HM$169+SwaptionShift):INDEX($FK$245:$ID$316,$FJ200-HM$169,72-HM$169+SwaptionMonthsToGo+SwaptionShift))/SQRT(SUM(INDEX($FK355:$ID355,1+SwaptionShift):INDEX($FK355:$ID355,SwaptionMonthsToGo+SwaptionShift))*SUM(INDEX($FK$325:$ID$396,HM$169,1+SwaptionShift):INDEX($FK$325:$ID$396,HM$169,SwaptionMonthsToGo+SwaptionShift))))))</f>
        <v/>
      </c>
      <c r="HN200" s="150" t="str">
        <f aca="false">IF(OR(HN$169&lt;SwaptionFirstMonthPosition+1,$FJ200&lt;SwaptionFirstMonthPosition+1,HN$169&gt;SwaptionFirstMonthPosition+SwaptionNumOfMonths+1,$FJ200&gt;SwaptionFirstMonthPosition+SwaptionNumOfMonths+1),"",IF($FJ200=HN$169,1,IF($FJ200&lt;HN$169,INDEX($FK$170:$ID$241,HN$169,$FJ200),SUMPRODUCT(INDEX($FK$325:$ID$396,HN$169,1+SwaptionShift):INDEX($FK$325:$ID$396,HN$169,SwaptionMonthsToGo+SwaptionShift),INDEX($FK$245:$ID$316,$FJ200-HN$169,73-HN$169+SwaptionShift):INDEX($FK$245:$ID$316,$FJ200-HN$169,72-HN$169+SwaptionMonthsToGo+SwaptionShift))/SQRT(SUM(INDEX($FK355:$ID355,1+SwaptionShift):INDEX($FK355:$ID355,SwaptionMonthsToGo+SwaptionShift))*SUM(INDEX($FK$325:$ID$396,HN$169,1+SwaptionShift):INDEX($FK$325:$ID$396,HN$169,SwaptionMonthsToGo+SwaptionShift))))))</f>
        <v/>
      </c>
      <c r="HO200" s="150" t="str">
        <f aca="false">IF(OR(HO$169&lt;SwaptionFirstMonthPosition+1,$FJ200&lt;SwaptionFirstMonthPosition+1,HO$169&gt;SwaptionFirstMonthPosition+SwaptionNumOfMonths+1,$FJ200&gt;SwaptionFirstMonthPosition+SwaptionNumOfMonths+1),"",IF($FJ200=HO$169,1,IF($FJ200&lt;HO$169,INDEX($FK$170:$ID$241,HO$169,$FJ200),SUMPRODUCT(INDEX($FK$325:$ID$396,HO$169,1+SwaptionShift):INDEX($FK$325:$ID$396,HO$169,SwaptionMonthsToGo+SwaptionShift),INDEX($FK$245:$ID$316,$FJ200-HO$169,73-HO$169+SwaptionShift):INDEX($FK$245:$ID$316,$FJ200-HO$169,72-HO$169+SwaptionMonthsToGo+SwaptionShift))/SQRT(SUM(INDEX($FK355:$ID355,1+SwaptionShift):INDEX($FK355:$ID355,SwaptionMonthsToGo+SwaptionShift))*SUM(INDEX($FK$325:$ID$396,HO$169,1+SwaptionShift):INDEX($FK$325:$ID$396,HO$169,SwaptionMonthsToGo+SwaptionShift))))))</f>
        <v/>
      </c>
      <c r="HP200" s="150" t="str">
        <f aca="false">IF(OR(HP$169&lt;SwaptionFirstMonthPosition+1,$FJ200&lt;SwaptionFirstMonthPosition+1,HP$169&gt;SwaptionFirstMonthPosition+SwaptionNumOfMonths+1,$FJ200&gt;SwaptionFirstMonthPosition+SwaptionNumOfMonths+1),"",IF($FJ200=HP$169,1,IF($FJ200&lt;HP$169,INDEX($FK$170:$ID$241,HP$169,$FJ200),SUMPRODUCT(INDEX($FK$325:$ID$396,HP$169,1+SwaptionShift):INDEX($FK$325:$ID$396,HP$169,SwaptionMonthsToGo+SwaptionShift),INDEX($FK$245:$ID$316,$FJ200-HP$169,73-HP$169+SwaptionShift):INDEX($FK$245:$ID$316,$FJ200-HP$169,72-HP$169+SwaptionMonthsToGo+SwaptionShift))/SQRT(SUM(INDEX($FK355:$ID355,1+SwaptionShift):INDEX($FK355:$ID355,SwaptionMonthsToGo+SwaptionShift))*SUM(INDEX($FK$325:$ID$396,HP$169,1+SwaptionShift):INDEX($FK$325:$ID$396,HP$169,SwaptionMonthsToGo+SwaptionShift))))))</f>
        <v/>
      </c>
      <c r="HQ200" s="150" t="str">
        <f aca="false">IF(OR(HQ$169&lt;SwaptionFirstMonthPosition+1,$FJ200&lt;SwaptionFirstMonthPosition+1,HQ$169&gt;SwaptionFirstMonthPosition+SwaptionNumOfMonths+1,$FJ200&gt;SwaptionFirstMonthPosition+SwaptionNumOfMonths+1),"",IF($FJ200=HQ$169,1,IF($FJ200&lt;HQ$169,INDEX($FK$170:$ID$241,HQ$169,$FJ200),SUMPRODUCT(INDEX($FK$325:$ID$396,HQ$169,1+SwaptionShift):INDEX($FK$325:$ID$396,HQ$169,SwaptionMonthsToGo+SwaptionShift),INDEX($FK$245:$ID$316,$FJ200-HQ$169,73-HQ$169+SwaptionShift):INDEX($FK$245:$ID$316,$FJ200-HQ$169,72-HQ$169+SwaptionMonthsToGo+SwaptionShift))/SQRT(SUM(INDEX($FK355:$ID355,1+SwaptionShift):INDEX($FK355:$ID355,SwaptionMonthsToGo+SwaptionShift))*SUM(INDEX($FK$325:$ID$396,HQ$169,1+SwaptionShift):INDEX($FK$325:$ID$396,HQ$169,SwaptionMonthsToGo+SwaptionShift))))))</f>
        <v/>
      </c>
      <c r="HR200" s="150" t="str">
        <f aca="false">IF(OR(HR$169&lt;SwaptionFirstMonthPosition+1,$FJ200&lt;SwaptionFirstMonthPosition+1,HR$169&gt;SwaptionFirstMonthPosition+SwaptionNumOfMonths+1,$FJ200&gt;SwaptionFirstMonthPosition+SwaptionNumOfMonths+1),"",IF($FJ200=HR$169,1,IF($FJ200&lt;HR$169,INDEX($FK$170:$ID$241,HR$169,$FJ200),SUMPRODUCT(INDEX($FK$325:$ID$396,HR$169,1+SwaptionShift):INDEX($FK$325:$ID$396,HR$169,SwaptionMonthsToGo+SwaptionShift),INDEX($FK$245:$ID$316,$FJ200-HR$169,73-HR$169+SwaptionShift):INDEX($FK$245:$ID$316,$FJ200-HR$169,72-HR$169+SwaptionMonthsToGo+SwaptionShift))/SQRT(SUM(INDEX($FK355:$ID355,1+SwaptionShift):INDEX($FK355:$ID355,SwaptionMonthsToGo+SwaptionShift))*SUM(INDEX($FK$325:$ID$396,HR$169,1+SwaptionShift):INDEX($FK$325:$ID$396,HR$169,SwaptionMonthsToGo+SwaptionShift))))))</f>
        <v/>
      </c>
      <c r="HS200" s="150" t="str">
        <f aca="false">IF(OR(HS$169&lt;SwaptionFirstMonthPosition+1,$FJ200&lt;SwaptionFirstMonthPosition+1,HS$169&gt;SwaptionFirstMonthPosition+SwaptionNumOfMonths+1,$FJ200&gt;SwaptionFirstMonthPosition+SwaptionNumOfMonths+1),"",IF($FJ200=HS$169,1,IF($FJ200&lt;HS$169,INDEX($FK$170:$ID$241,HS$169,$FJ200),SUMPRODUCT(INDEX($FK$325:$ID$396,HS$169,1+SwaptionShift):INDEX($FK$325:$ID$396,HS$169,SwaptionMonthsToGo+SwaptionShift),INDEX($FK$245:$ID$316,$FJ200-HS$169,73-HS$169+SwaptionShift):INDEX($FK$245:$ID$316,$FJ200-HS$169,72-HS$169+SwaptionMonthsToGo+SwaptionShift))/SQRT(SUM(INDEX($FK355:$ID355,1+SwaptionShift):INDEX($FK355:$ID355,SwaptionMonthsToGo+SwaptionShift))*SUM(INDEX($FK$325:$ID$396,HS$169,1+SwaptionShift):INDEX($FK$325:$ID$396,HS$169,SwaptionMonthsToGo+SwaptionShift))))))</f>
        <v/>
      </c>
      <c r="HT200" s="150" t="str">
        <f aca="false">IF(OR(HT$169&lt;SwaptionFirstMonthPosition+1,$FJ200&lt;SwaptionFirstMonthPosition+1,HT$169&gt;SwaptionFirstMonthPosition+SwaptionNumOfMonths+1,$FJ200&gt;SwaptionFirstMonthPosition+SwaptionNumOfMonths+1),"",IF($FJ200=HT$169,1,IF($FJ200&lt;HT$169,INDEX($FK$170:$ID$241,HT$169,$FJ200),SUMPRODUCT(INDEX($FK$325:$ID$396,HT$169,1+SwaptionShift):INDEX($FK$325:$ID$396,HT$169,SwaptionMonthsToGo+SwaptionShift),INDEX($FK$245:$ID$316,$FJ200-HT$169,73-HT$169+SwaptionShift):INDEX($FK$245:$ID$316,$FJ200-HT$169,72-HT$169+SwaptionMonthsToGo+SwaptionShift))/SQRT(SUM(INDEX($FK355:$ID355,1+SwaptionShift):INDEX($FK355:$ID355,SwaptionMonthsToGo+SwaptionShift))*SUM(INDEX($FK$325:$ID$396,HT$169,1+SwaptionShift):INDEX($FK$325:$ID$396,HT$169,SwaptionMonthsToGo+SwaptionShift))))))</f>
        <v/>
      </c>
      <c r="HU200" s="150" t="str">
        <f aca="false">IF(OR(HU$169&lt;SwaptionFirstMonthPosition+1,$FJ200&lt;SwaptionFirstMonthPosition+1,HU$169&gt;SwaptionFirstMonthPosition+SwaptionNumOfMonths+1,$FJ200&gt;SwaptionFirstMonthPosition+SwaptionNumOfMonths+1),"",IF($FJ200=HU$169,1,IF($FJ200&lt;HU$169,INDEX($FK$170:$ID$241,HU$169,$FJ200),SUMPRODUCT(INDEX($FK$325:$ID$396,HU$169,1+SwaptionShift):INDEX($FK$325:$ID$396,HU$169,SwaptionMonthsToGo+SwaptionShift),INDEX($FK$245:$ID$316,$FJ200-HU$169,73-HU$169+SwaptionShift):INDEX($FK$245:$ID$316,$FJ200-HU$169,72-HU$169+SwaptionMonthsToGo+SwaptionShift))/SQRT(SUM(INDEX($FK355:$ID355,1+SwaptionShift):INDEX($FK355:$ID355,SwaptionMonthsToGo+SwaptionShift))*SUM(INDEX($FK$325:$ID$396,HU$169,1+SwaptionShift):INDEX($FK$325:$ID$396,HU$169,SwaptionMonthsToGo+SwaptionShift))))))</f>
        <v/>
      </c>
      <c r="HV200" s="150" t="str">
        <f aca="false">IF(OR(HV$169&lt;SwaptionFirstMonthPosition+1,$FJ200&lt;SwaptionFirstMonthPosition+1,HV$169&gt;SwaptionFirstMonthPosition+SwaptionNumOfMonths+1,$FJ200&gt;SwaptionFirstMonthPosition+SwaptionNumOfMonths+1),"",IF($FJ200=HV$169,1,IF($FJ200&lt;HV$169,INDEX($FK$170:$ID$241,HV$169,$FJ200),SUMPRODUCT(INDEX($FK$325:$ID$396,HV$169,1+SwaptionShift):INDEX($FK$325:$ID$396,HV$169,SwaptionMonthsToGo+SwaptionShift),INDEX($FK$245:$ID$316,$FJ200-HV$169,73-HV$169+SwaptionShift):INDEX($FK$245:$ID$316,$FJ200-HV$169,72-HV$169+SwaptionMonthsToGo+SwaptionShift))/SQRT(SUM(INDEX($FK355:$ID355,1+SwaptionShift):INDEX($FK355:$ID355,SwaptionMonthsToGo+SwaptionShift))*SUM(INDEX($FK$325:$ID$396,HV$169,1+SwaptionShift):INDEX($FK$325:$ID$396,HV$169,SwaptionMonthsToGo+SwaptionShift))))))</f>
        <v/>
      </c>
      <c r="HW200" s="150" t="str">
        <f aca="false">IF(OR(HW$169&lt;SwaptionFirstMonthPosition+1,$FJ200&lt;SwaptionFirstMonthPosition+1,HW$169&gt;SwaptionFirstMonthPosition+SwaptionNumOfMonths+1,$FJ200&gt;SwaptionFirstMonthPosition+SwaptionNumOfMonths+1),"",IF($FJ200=HW$169,1,IF($FJ200&lt;HW$169,INDEX($FK$170:$ID$241,HW$169,$FJ200),SUMPRODUCT(INDEX($FK$325:$ID$396,HW$169,1+SwaptionShift):INDEX($FK$325:$ID$396,HW$169,SwaptionMonthsToGo+SwaptionShift),INDEX($FK$245:$ID$316,$FJ200-HW$169,73-HW$169+SwaptionShift):INDEX($FK$245:$ID$316,$FJ200-HW$169,72-HW$169+SwaptionMonthsToGo+SwaptionShift))/SQRT(SUM(INDEX($FK355:$ID355,1+SwaptionShift):INDEX($FK355:$ID355,SwaptionMonthsToGo+SwaptionShift))*SUM(INDEX($FK$325:$ID$396,HW$169,1+SwaptionShift):INDEX($FK$325:$ID$396,HW$169,SwaptionMonthsToGo+SwaptionShift))))))</f>
        <v/>
      </c>
      <c r="HX200" s="150" t="str">
        <f aca="false">IF(OR(HX$169&lt;SwaptionFirstMonthPosition+1,$FJ200&lt;SwaptionFirstMonthPosition+1,HX$169&gt;SwaptionFirstMonthPosition+SwaptionNumOfMonths+1,$FJ200&gt;SwaptionFirstMonthPosition+SwaptionNumOfMonths+1),"",IF($FJ200=HX$169,1,IF($FJ200&lt;HX$169,INDEX($FK$170:$ID$241,HX$169,$FJ200),SUMPRODUCT(INDEX($FK$325:$ID$396,HX$169,1+SwaptionShift):INDEX($FK$325:$ID$396,HX$169,SwaptionMonthsToGo+SwaptionShift),INDEX($FK$245:$ID$316,$FJ200-HX$169,73-HX$169+SwaptionShift):INDEX($FK$245:$ID$316,$FJ200-HX$169,72-HX$169+SwaptionMonthsToGo+SwaptionShift))/SQRT(SUM(INDEX($FK355:$ID355,1+SwaptionShift):INDEX($FK355:$ID355,SwaptionMonthsToGo+SwaptionShift))*SUM(INDEX($FK$325:$ID$396,HX$169,1+SwaptionShift):INDEX($FK$325:$ID$396,HX$169,SwaptionMonthsToGo+SwaptionShift))))))</f>
        <v/>
      </c>
      <c r="HY200" s="150" t="str">
        <f aca="false">IF(OR(HY$169&lt;SwaptionFirstMonthPosition+1,$FJ200&lt;SwaptionFirstMonthPosition+1,HY$169&gt;SwaptionFirstMonthPosition+SwaptionNumOfMonths+1,$FJ200&gt;SwaptionFirstMonthPosition+SwaptionNumOfMonths+1),"",IF($FJ200=HY$169,1,IF($FJ200&lt;HY$169,INDEX($FK$170:$ID$241,HY$169,$FJ200),SUMPRODUCT(INDEX($FK$325:$ID$396,HY$169,1+SwaptionShift):INDEX($FK$325:$ID$396,HY$169,SwaptionMonthsToGo+SwaptionShift),INDEX($FK$245:$ID$316,$FJ200-HY$169,73-HY$169+SwaptionShift):INDEX($FK$245:$ID$316,$FJ200-HY$169,72-HY$169+SwaptionMonthsToGo+SwaptionShift))/SQRT(SUM(INDEX($FK355:$ID355,1+SwaptionShift):INDEX($FK355:$ID355,SwaptionMonthsToGo+SwaptionShift))*SUM(INDEX($FK$325:$ID$396,HY$169,1+SwaptionShift):INDEX($FK$325:$ID$396,HY$169,SwaptionMonthsToGo+SwaptionShift))))))</f>
        <v/>
      </c>
      <c r="HZ200" s="150" t="str">
        <f aca="false">IF(OR(HZ$169&lt;SwaptionFirstMonthPosition+1,$FJ200&lt;SwaptionFirstMonthPosition+1,HZ$169&gt;SwaptionFirstMonthPosition+SwaptionNumOfMonths+1,$FJ200&gt;SwaptionFirstMonthPosition+SwaptionNumOfMonths+1),"",IF($FJ200=HZ$169,1,IF($FJ200&lt;HZ$169,INDEX($FK$170:$ID$241,HZ$169,$FJ200),SUMPRODUCT(INDEX($FK$325:$ID$396,HZ$169,1+SwaptionShift):INDEX($FK$325:$ID$396,HZ$169,SwaptionMonthsToGo+SwaptionShift),INDEX($FK$245:$ID$316,$FJ200-HZ$169,73-HZ$169+SwaptionShift):INDEX($FK$245:$ID$316,$FJ200-HZ$169,72-HZ$169+SwaptionMonthsToGo+SwaptionShift))/SQRT(SUM(INDEX($FK355:$ID355,1+SwaptionShift):INDEX($FK355:$ID355,SwaptionMonthsToGo+SwaptionShift))*SUM(INDEX($FK$325:$ID$396,HZ$169,1+SwaptionShift):INDEX($FK$325:$ID$396,HZ$169,SwaptionMonthsToGo+SwaptionShift))))))</f>
        <v/>
      </c>
      <c r="IA200" s="150" t="str">
        <f aca="false">IF(OR(IA$169&lt;SwaptionFirstMonthPosition+1,$FJ200&lt;SwaptionFirstMonthPosition+1,IA$169&gt;SwaptionFirstMonthPosition+SwaptionNumOfMonths+1,$FJ200&gt;SwaptionFirstMonthPosition+SwaptionNumOfMonths+1),"",IF($FJ200=IA$169,1,IF($FJ200&lt;IA$169,INDEX($FK$170:$ID$241,IA$169,$FJ200),SUMPRODUCT(INDEX($FK$325:$ID$396,IA$169,1+SwaptionShift):INDEX($FK$325:$ID$396,IA$169,SwaptionMonthsToGo+SwaptionShift),INDEX($FK$245:$ID$316,$FJ200-IA$169,73-IA$169+SwaptionShift):INDEX($FK$245:$ID$316,$FJ200-IA$169,72-IA$169+SwaptionMonthsToGo+SwaptionShift))/SQRT(SUM(INDEX($FK355:$ID355,1+SwaptionShift):INDEX($FK355:$ID355,SwaptionMonthsToGo+SwaptionShift))*SUM(INDEX($FK$325:$ID$396,IA$169,1+SwaptionShift):INDEX($FK$325:$ID$396,IA$169,SwaptionMonthsToGo+SwaptionShift))))))</f>
        <v/>
      </c>
      <c r="IB200" s="150" t="str">
        <f aca="false">IF(OR(IB$169&lt;SwaptionFirstMonthPosition+1,$FJ200&lt;SwaptionFirstMonthPosition+1,IB$169&gt;SwaptionFirstMonthPosition+SwaptionNumOfMonths+1,$FJ200&gt;SwaptionFirstMonthPosition+SwaptionNumOfMonths+1),"",IF($FJ200=IB$169,1,IF($FJ200&lt;IB$169,INDEX($FK$170:$ID$241,IB$169,$FJ200),SUMPRODUCT(INDEX($FK$325:$ID$396,IB$169,1+SwaptionShift):INDEX($FK$325:$ID$396,IB$169,SwaptionMonthsToGo+SwaptionShift),INDEX($FK$245:$ID$316,$FJ200-IB$169,73-IB$169+SwaptionShift):INDEX($FK$245:$ID$316,$FJ200-IB$169,72-IB$169+SwaptionMonthsToGo+SwaptionShift))/SQRT(SUM(INDEX($FK355:$ID355,1+SwaptionShift):INDEX($FK355:$ID355,SwaptionMonthsToGo+SwaptionShift))*SUM(INDEX($FK$325:$ID$396,IB$169,1+SwaptionShift):INDEX($FK$325:$ID$396,IB$169,SwaptionMonthsToGo+SwaptionShift))))))</f>
        <v/>
      </c>
      <c r="IC200" s="150" t="str">
        <f aca="false">IF(OR(IC$169&lt;SwaptionFirstMonthPosition+1,$FJ200&lt;SwaptionFirstMonthPosition+1,IC$169&gt;SwaptionFirstMonthPosition+SwaptionNumOfMonths+1,$FJ200&gt;SwaptionFirstMonthPosition+SwaptionNumOfMonths+1),"",IF($FJ200=IC$169,1,IF($FJ200&lt;IC$169,INDEX($FK$170:$ID$241,IC$169,$FJ200),SUMPRODUCT(INDEX($FK$325:$ID$396,IC$169,1+SwaptionShift):INDEX($FK$325:$ID$396,IC$169,SwaptionMonthsToGo+SwaptionShift),INDEX($FK$245:$ID$316,$FJ200-IC$169,73-IC$169+SwaptionShift):INDEX($FK$245:$ID$316,$FJ200-IC$169,72-IC$169+SwaptionMonthsToGo+SwaptionShift))/SQRT(SUM(INDEX($FK355:$ID355,1+SwaptionShift):INDEX($FK355:$ID355,SwaptionMonthsToGo+SwaptionShift))*SUM(INDEX($FK$325:$ID$396,IC$169,1+SwaptionShift):INDEX($FK$325:$ID$396,IC$169,SwaptionMonthsToGo+SwaptionShift))))))</f>
        <v/>
      </c>
      <c r="ID200" s="572" t="str">
        <f aca="false">IF(OR(ID$169&lt;SwaptionFirstMonthPosition+1,$FJ200&lt;SwaptionFirstMonthPosition+1,ID$169&gt;SwaptionFirstMonthPosition+SwaptionNumOfMonths+1,$FJ200&gt;SwaptionFirstMonthPosition+SwaptionNumOfMonths+1),"",IF($FJ200=ID$169,1,IF($FJ200&lt;ID$169,INDEX($FK$170:$ID$241,ID$169,$FJ200),SUMPRODUCT(INDEX($FK$325:$ID$396,ID$169,1+SwaptionShift):INDEX($FK$325:$ID$396,ID$169,SwaptionMonthsToGo+SwaptionShift),INDEX($FK$245:$ID$316,$FJ200-ID$169,73-ID$169+SwaptionShift):INDEX($FK$245:$ID$316,$FJ200-ID$169,72-ID$169+SwaptionMonthsToGo+SwaptionShift))/SQRT(SUM(INDEX($FK355:$ID355,1+SwaptionShift):INDEX($FK355:$ID355,SwaptionMonthsToGo+SwaptionShift))*SUM(INDEX($FK$325:$ID$396,ID$169,1+SwaptionShift):INDEX($FK$325:$ID$396,ID$169,SwaptionMonthsToGo+SwaptionShift))))))</f>
        <v/>
      </c>
      <c r="IE200" s="129"/>
    </row>
    <row r="201" customFormat="false" ht="12.75" hidden="false" customHeight="false" outlineLevel="0" collapsed="false">
      <c r="H201" s="219" t="n">
        <f aca="false">VLOOKUP(I201,$EJ$20:$EL$54,3)</f>
        <v>0</v>
      </c>
      <c r="I201" s="511" t="n">
        <f aca="false">EOMONTH(I200,0)+1</f>
        <v>42278</v>
      </c>
      <c r="J201" s="512"/>
      <c r="K201" s="513" t="s">
        <v>280</v>
      </c>
      <c r="L201" s="514" t="n">
        <f aca="false">IF(ISNUMBER(K201),J201+K201/100,IF(K201="extra",L200+VLOOKUP(BF201,PriceSpreadTable,2)/12,IF(K201="inter",interpolateprices($K$19:$L$200,ROW(K201)-ROW(FirstPricingMonth)+1),interpolatechanges($J$19:$K$200,ROW(K201)-ROW(FirstPricingMonth)+1))))</f>
        <v>3.93750000000001</v>
      </c>
      <c r="M201" s="515"/>
      <c r="N201" s="516" t="n">
        <v>0</v>
      </c>
      <c r="O201" s="515" t="n">
        <f aca="false">M201+N201</f>
        <v>0</v>
      </c>
      <c r="P201" s="512"/>
      <c r="Q201" s="513" t="s">
        <v>280</v>
      </c>
      <c r="R201" s="512" t="e">
        <f aca="false">IF(ISNUMBER(Q201),P201+Q201/100,IF(Q201="extra",(Z199*AL199-R200*AM199)/AN199,IF(Q201="inter",interpolateprices($Q$19:$R$260,ROW(Q201)-ROW(FirstPricingMonth)+1),interpolatechanges($P$19:$Q$260,ROW(Q201)-ROW(FirstPricingMonth)+1))))</f>
        <v>#VALUE!</v>
      </c>
      <c r="S201" s="597" t="n">
        <f aca="false">S$19+(S200-S$19)*S$18</f>
        <v>0.36</v>
      </c>
      <c r="T201" s="575" t="n">
        <f aca="false">SQRT((1-(1-T200^2/U200)*T$18)*U201)</f>
        <v>0.999999999999945</v>
      </c>
      <c r="U201" s="576" t="n">
        <f aca="false">1-(1-U200)*U$18</f>
        <v>1</v>
      </c>
      <c r="V201" s="521" t="n">
        <v>0</v>
      </c>
      <c r="W201" s="577" t="n">
        <f aca="false">(J202*AJ201+J203*AK201)/AI201</f>
        <v>0</v>
      </c>
      <c r="X201" s="578" t="n">
        <f aca="false">(L202*AJ201+L203*AK201)/AI201</f>
        <v>3.98863636363637</v>
      </c>
      <c r="Y201" s="579" t="n">
        <f aca="false">IF(Q203="extra",W201-AA201,(P202*AM201+P203*AN201)/AL201)</f>
        <v>-1.1931</v>
      </c>
      <c r="Z201" s="579" t="n">
        <f aca="false">IF(Q203="extra",X201-AB201,(R202*AM201+R203*AN201)/AL201)</f>
        <v>2.79553636363637</v>
      </c>
      <c r="AA201" s="523" t="n">
        <f aca="false">IF(Q203="extra",INDEX(BrentSeasonalityTable,INT((BG201-1)/3)+1)*VLOOKUP(MAX(BF201,$AB$4),PriceSpreadTable,3),W201-Y201)</f>
        <v>1.1931</v>
      </c>
      <c r="AB201" s="524" t="n">
        <f aca="false">IF(Q203="extra",INDEX(BrentSeasonalityTable,INT((BG201-1)/3)+1)*VLOOKUP(MAX(BF201,$AB$4),PriceSpreadTable,3),X201-Z201)</f>
        <v>1.1931</v>
      </c>
      <c r="AC201" s="646" t="n">
        <v>42267</v>
      </c>
      <c r="AD201" s="646" t="n">
        <v>42263</v>
      </c>
      <c r="AE201" s="646" t="n">
        <v>42262</v>
      </c>
      <c r="AF201" s="646" t="n">
        <v>42258</v>
      </c>
      <c r="AG201" s="438" t="s">
        <v>278</v>
      </c>
      <c r="AH201" s="439" t="s">
        <v>278</v>
      </c>
      <c r="AI201" s="528" t="n">
        <v>22</v>
      </c>
      <c r="AJ201" s="529" t="n">
        <v>14</v>
      </c>
      <c r="AK201" s="529" t="n">
        <v>8</v>
      </c>
      <c r="AL201" s="530" t="n">
        <v>22</v>
      </c>
      <c r="AM201" s="529" t="n">
        <v>10</v>
      </c>
      <c r="AN201" s="531" t="n">
        <v>12</v>
      </c>
      <c r="AO201" s="532"/>
      <c r="AP201" s="465" t="n">
        <f aca="false">(1+AO201/2)^(-2*BL201)</f>
        <v>1</v>
      </c>
      <c r="AQ201" s="532"/>
      <c r="AR201" s="465" t="n">
        <f aca="false">(1+AQ201/2)^(-2*BH201/365.25)</f>
        <v>1</v>
      </c>
      <c r="AS201" s="580" t="n">
        <f aca="false">(O202*AJ201+O203*AK201)/AI201</f>
        <v>0</v>
      </c>
      <c r="AT201" s="468" t="n">
        <f aca="false">O201*VLOOKUP(BF201,BrentVolTable,2)+VLOOKUP(BF201,BrentVolTable,3)</f>
        <v>0</v>
      </c>
      <c r="AU201" s="468" t="n">
        <f aca="false">(AT202*AM201+AT203*AN201)/AL201</f>
        <v>0</v>
      </c>
      <c r="AV201" s="595" t="n">
        <f aca="false">SQRT(MAX(0.000000000001,(O201^2*BH201-S201^2*(BH201-BH200))/BH200))</f>
        <v>0.0329832687812525</v>
      </c>
      <c r="AW201" s="451" t="n">
        <f aca="false">IF($I201-DateToday+15&gt;=$T$8,"",IF($I201-DateToday+15&lt;$T$5,1,MATCH($I201-DateToday+15,$T$5:$T$8)))</f>
        <v>1</v>
      </c>
      <c r="AX201" s="468" t="n">
        <f aca="false">IF($AW201="",AX200^2/AX199,INDEX(U$5:U$8,$AW201)^((INDEX($T$5:$T$8,$AW201+1)-($I201-DateToday+15))/(INDEX($T$5:$T$8,$AW201+1)-INDEX($T$5:$T$8,$AW201)))/INDEX(U$5:U$8,$AW201+1)^((INDEX($T$5:$T$8,$AW201)-($I201-DateToday+15))/(INDEX($T$5:$T$8,$AW201+1)-INDEX($T$5:$T$8,$AW201))))</f>
        <v>0.262076400422333</v>
      </c>
      <c r="AY201" s="468" t="n">
        <f aca="false">IF($AW201="",AY200^2/AY199,INDEX(V$5:V$8,$AW201)^((INDEX($T$5:$T$8,$AW201+1)-($I201-DateToday+15))/(INDEX($T$5:$T$8,$AW201+1)-INDEX($T$5:$T$8,$AW201)))/INDEX(V$5:V$8,$AW201+1)^((INDEX($T$5:$T$8,$AW201)-($I201-DateToday+15))/(INDEX($T$5:$T$8,$AW201+1)-INDEX($T$5:$T$8,$AW201))))</f>
        <v>2.54819873501582</v>
      </c>
      <c r="AZ201" s="468" t="n">
        <f aca="false">IF($AW201="",AZ200^2/AZ199,INDEX(W$5:W$8,$AW201)^((INDEX($T$5:$T$8,$AW201+1)-($I201-DateToday+15))/(INDEX($T$5:$T$8,$AW201+1)-INDEX($T$5:$T$8,$AW201)))/INDEX(W$5:W$8,$AW201+1)^((INDEX($T$5:$T$8,$AW201)-($I201-DateToday+15))/(INDEX($T$5:$T$8,$AW201+1)-INDEX($T$5:$T$8,$AW201))))</f>
        <v>239.513386976648</v>
      </c>
      <c r="BA201" s="468" t="n">
        <f aca="false">IF($AW201="",BA200^2/BA199,INDEX(X$5:X$8,$AW201)^((INDEX($T$5:$T$8,$AW201+1)-($I201-DateToday+15))/(INDEX($T$5:$T$8,$AW201+1)-INDEX($T$5:$T$8,$AW201)))/INDEX(X$5:X$8,$AW201+1)^((INDEX($T$5:$T$8,$AW201)-($I201-DateToday+15))/(INDEX($T$5:$T$8,$AW201+1)-INDEX($T$5:$T$8,$AW201))))</f>
        <v>653.862565747928</v>
      </c>
      <c r="BB201" s="468" t="n">
        <f aca="false">IF($AW201="",BB200^2/BB199,INDEX(Y$5:Y$8,$AW201)^((INDEX($T$5:$T$8,$AW201+1)-($I201-DateToday+15))/(INDEX($T$5:$T$8,$AW201+1)-INDEX($T$5:$T$8,$AW201)))/INDEX(Y$5:Y$8,$AW201+1)^((INDEX($T$5:$T$8,$AW201)-($I201-DateToday+15))/(INDEX($T$5:$T$8,$AW201+1)-INDEX($T$5:$T$8,$AW201))))</f>
        <v>3013.40284021843</v>
      </c>
      <c r="BC201" s="468" t="n">
        <f aca="false">IF($AW201="",BC200^2/BC199,INDEX(Z$5:Z$8,$AW201)^((INDEX($T$5:$T$8,$AW201+1)-($I201-DateToday+15))/(INDEX($T$5:$T$8,$AW201+1)-INDEX($T$5:$T$8,$AW201)))/INDEX(Z$5:Z$8,$AW201+1)^((INDEX($T$5:$T$8,$AW201)-($I201-DateToday+15))/(INDEX($T$5:$T$8,$AW201+1)-INDEX($T$5:$T$8,$AW201))))</f>
        <v>7708.45050853236</v>
      </c>
      <c r="BD201" s="535" t="n">
        <f aca="false">IF(OR(DateStart&gt;=I202,DateEnd&lt;I201),0,IF(VolumeOverrideFlag,V201,Volume))</f>
        <v>0</v>
      </c>
      <c r="BE201" s="536" t="n">
        <f aca="false">IF(OR(DateStart2&gt;=I202,DateEnd2&lt;I201),0,IF(VolumeOverrideFlag,V201,VolumeSwaption))</f>
        <v>0</v>
      </c>
      <c r="BF201" s="537" t="n">
        <f aca="false">YEAR(I201)</f>
        <v>2015</v>
      </c>
      <c r="BG201" s="538" t="n">
        <f aca="false">MONTH(I201)</f>
        <v>10</v>
      </c>
      <c r="BH201" s="539" t="n">
        <f aca="false">AD201-DateToday+1</f>
        <v>-3662</v>
      </c>
      <c r="BI201" s="540" t="n">
        <f aca="false">(I201-DateToday+1)/365.25</f>
        <v>-9.98494182067077</v>
      </c>
      <c r="BJ201" s="541" t="n">
        <f aca="false">BI201+(BL201-BI201)*CHOOSE(Underlying,AJ201/AI201,AM201/AL201)</f>
        <v>-9.93267376018916</v>
      </c>
      <c r="BK201" s="541" t="n">
        <f aca="false">BJ201+1/365.25</f>
        <v>-9.92993590940203</v>
      </c>
      <c r="BL201" s="541" t="n">
        <f aca="false">(I202-DateToday)/365.25</f>
        <v>-9.90280629705681</v>
      </c>
      <c r="BM201" s="542" t="e">
        <f aca="false">MAX(BI201-(BJ201-BI201)*(S202^2/O202^2-1),0)</f>
        <v>#DIV/0!</v>
      </c>
      <c r="BN201" s="541" t="e">
        <f aca="false">MAX(BL201+(BL201-BK201)*(S203^2/O203^2-1),0)</f>
        <v>#DIV/0!</v>
      </c>
      <c r="BO201" s="530" t="n">
        <f aca="false">CHOOSE(Underlying,AI201,AL201)</f>
        <v>22</v>
      </c>
      <c r="BP201" s="529" t="n">
        <f aca="false">CHOOSE(Underlying,AJ201,AM201)</f>
        <v>14</v>
      </c>
      <c r="BQ201" s="529" t="n">
        <f aca="false">CHOOSE(Underlying,AK201,AN201)</f>
        <v>8</v>
      </c>
      <c r="BR201" s="463" t="str">
        <f aca="false">IF(BD201,IF(Underlying=1,X201,Z201)+UnderlyingPriceAsian-SwapPriceCurve,"")</f>
        <v/>
      </c>
      <c r="BS201" s="463" t="str">
        <f aca="false">IF(BD201,Strike1/BR201-1,"")</f>
        <v/>
      </c>
      <c r="BT201" s="464" t="str">
        <f aca="false">IF(BD201,Strike2/BR201-1,"")</f>
        <v/>
      </c>
      <c r="BU201" s="465" t="str">
        <f aca="false">IF(BD201,IF(Underlying=1,L202,R202)+UnderlyingPriceAsian-SwapPriceCurve,"")</f>
        <v/>
      </c>
      <c r="BV201" s="465" t="str">
        <f aca="false">IF(BD201,IF(Underlying=1,L203,R203)+UnderlyingPriceAsian-SwapPriceCurve,"")</f>
        <v/>
      </c>
      <c r="BW201" s="466" t="str">
        <f aca="false">IF(BD201,IF(Underlying=1,O202,AT202),"")</f>
        <v/>
      </c>
      <c r="BX201" s="467" t="str">
        <f aca="false">IF(BD201,IF(Underlying=1,O203,AT203),"")</f>
        <v/>
      </c>
      <c r="BY201" s="466" t="str">
        <f aca="false">IF(BD201,IF(BS201&gt;0,IF(BS201&gt;0.2,BC201-BB201,IF(BS201&gt;0.1,BB201-BA201,BA201)),IF(BS201&lt;-0.2,AX201-AY201,IF(BS201&lt;-0.1,AY201-AZ201,AZ201))),"")</f>
        <v/>
      </c>
      <c r="BZ201" s="467" t="str">
        <f aca="false">IF(BD201,IF(BT201&gt;0,IF(BT201&gt;0.2,BC201-BB201,IF(BT201&gt;0.1,BB201-BA201,BA201)),IF(BT201&lt;-0.2,AX201-AY201,IF(BT201&lt;-0.1,AY201-AZ201,AZ201))),"")</f>
        <v/>
      </c>
      <c r="CA201" s="468" t="str">
        <f aca="false">IF($BD201,$BW201+IF(VolSkewFlag=1,IF(BS201&gt;0,$BA201*MIN(BS201/10%,1)+($BB201-$BA201)*MAX(0,MIN(BS201/10%-1,1))+($BC201-$BB201)*MAX(0,BS201/10%-2),$AZ201*MIN(-BS201/10%,1)+($AY201-$AZ201)*MAX(0,MIN(-BS201/10%-1,1))+($AX201-$AY201)*MAX(0,-BS201/10%-2)),0),"")</f>
        <v/>
      </c>
      <c r="CB201" s="468" t="str">
        <f aca="false">IF($BD201,$BX201+IF(VolSkewFlag=1,IF(BS201&gt;0,$BA201*MIN(BS201/10%,1)+($BB201-$BA201)*MAX(0,MIN(BS201/10%-1,1))+($BC201-$BB201)*MAX(0,BS201/10%-2),$AZ201*MIN(-BS201/10%,1)+($AY201-$AZ201)*MAX(0,MIN(-BS201/10%-1,1))+($AX201-$AY201)*MAX(0,-BS201/10%-2)),0),"")</f>
        <v/>
      </c>
      <c r="CC201" s="468" t="str">
        <f aca="false">IF($BD201,$BW201+IF(VolSkewFlag=1,IF(BT201&gt;0,$BA201*MIN(BT201/10%,1)+($BB201-$BA201)*MAX(0,MIN(BT201/10%-1,1))+($BC201-$BB201)*MAX(0,BT201/10%-2),$AZ201*MIN(-BT201/10%,1)+($AY201-$AZ201)*MAX(0,MIN(-BT201/10%-1,1))+($AX201-$AY201)*MAX(0,-BT201/10%-2)),0),"")</f>
        <v/>
      </c>
      <c r="CD201" s="468" t="str">
        <f aca="false">IF($BD201,$BX201+IF(VolSkewFlag=1,IF(BT201&gt;0,$BA201*MIN(BT201/10%,1)+($BB201-$BA201)*MAX(0,MIN(BT201/10%-1,1))+($BC201-$BB201)*MAX(0,BT201/10%-2),$AZ201*MIN(-BT201/10%,1)+($AY201-$AZ201)*MAX(0,MIN(-BT201/10%-1,1))+($AX201-$AY201)*MAX(0,-BT201/10%-2)),0),"")</f>
        <v/>
      </c>
      <c r="CE201" s="469" t="n">
        <v>1</v>
      </c>
      <c r="CF201" s="470" t="n">
        <f aca="false">IF(BD201,xCrudeAPO(BU201,BV201,CA201,CB201,S202,S203,BI201,BL201,BP201,BQ201,0,Strike1,AO201,CE201,0,BL201,IF(OptControl=4,0,1),0,1),0)</f>
        <v>0</v>
      </c>
      <c r="CG201" s="470" t="n">
        <f aca="false">IF(BD201,xCrudeAPO(BU201,BV201,CA201,CB201,S202,S203,BI201,BL201,BP201,BQ201,0,Strike1,AO201,CE201,0,BL201,IF(OptControl=4,0,1),1,1)+xCrudeAPO(BU201,BV201,CA201,CB201,S202,S203,BI201,BL201,BP201,BQ201,0,Strike1,AO201,CE201,0,BL201,IF(OptControl=4,0,1),1,2)+IF(OR(VolSkewFlag=2,ABS(BS201)&lt;0.0001),0,IF(BS201&gt;0,-1,1)*CH201*Strike1/BR201^2*BY201/10%),0)</f>
        <v>0</v>
      </c>
      <c r="CH201" s="470" t="n">
        <f aca="false">IF(BD201,(xCrudeAPO(BU201,BV201,CA201,CB201,S202,S203,BI201,BL201,BP201,BQ201,0,Strike1,AO201,CE201,0,BL201,IF(OptControl=4,0,1),3,1)+xCrudeAPO(BU201,BV201,CA201,CB201,S202,S203,BI201,BL201,BP201,BQ201,0,Strike1,AO201,CE201,0,BL201,IF(OptControl=4,0,1),3,2))/100,0)</f>
        <v>0</v>
      </c>
      <c r="CI201" s="470" t="n">
        <f aca="false">IF(BD201,xCrudeAPO(BU201,BV201,CA201,CB201,S202,S203,BI201-DaysForThetaCalculation/365.25,BL201-DaysForThetaCalculation/365.25,BP201,BQ201,0,Strike1,AO201,CE201,0,BL201,IF(OptControl=4,0,1),0,1)-xCrudeAPO(BU201,BV201,CA201,CB201,S202,S203,BI201,BL201,BP201,BQ201,0,Strike1,AO201,CE201,0,BL201,IF(OptControl=4,0,1),0,1),0)</f>
        <v>0</v>
      </c>
      <c r="CJ201" s="471" t="n">
        <f aca="false">IF(BD201,xCrudeAPO(BU201,BV201,CC201,CD201,S202,S203,BI201,BL201,BP201,BQ201,0,Strike2,AO201,CE201,0,BL201,IF(OptControl=3,1,0),0,1),0)</f>
        <v>0</v>
      </c>
      <c r="CK201" s="470" t="n">
        <f aca="false">IF(BD201,xCrudeAPO(BU201,BV201,CC201,CD201,S202,S203,BI201,BL201,BP201,BQ201,0,Strike2,AO201,CE201,0,BL201,IF(OptControl=3,1,0),1,1)+xCrudeAPO(BU201,BV201,CC201,CD201,S202,S203,BI201,BL201,BP201,BQ201,0,Strike2,AO201,CE201,0,BL201,IF(OptControl=3,1,0),1,2)+IF(OR(VolSkewFlag=2,ABS(BT201)&lt;0.0001),0,IF(BT201&gt;0,-1,1)*CL201*Strike2/BR201^2*BZ201/10%),0)</f>
        <v>0</v>
      </c>
      <c r="CL201" s="470" t="n">
        <f aca="false">IF(BD201,(xCrudeAPO(BU201,BV201,CC201,CD201,S202,S203,BI201,BL201,BP201,BQ201,0,Strike2,AO201,CE201,0,BL201,IF(OptControl=3,1,0),3,1)+xCrudeAPO(BU201,BV201,CC201,CD201,S202,S203,BI201,BL201,BP201,BQ201,0,Strike2,AO201,CE201,0,BL201,IF(OptControl=3,1,0),3,2))/100,0)</f>
        <v>0</v>
      </c>
      <c r="CM201" s="472" t="n">
        <f aca="false">IF(BD201,xCrudeAPO(BU201,BV201,CC201,CD201,S202,S203,BI201-DaysForThetaCalculation/365.25,BL201-DaysForThetaCalculation/365.25,BP201,BQ201,0,Strike2,AO201,CE201,0,BL201,IF(OptControl=3,1,0),0,1)-xCrudeAPO(BU201,BV201,CC201,CD201,S202,S203,BI201,BL201,BP201,BQ201,0,Strike2,AO201,CE201,0,BL201,IF(OptControl=3,1,0),0,1),0)</f>
        <v>0</v>
      </c>
      <c r="CN201" s="3"/>
      <c r="CO201" s="543" t="str">
        <f aca="false">IF(BD201,CHOOSE(Underlying,AD201,AF201)-DateToday+1,"")</f>
        <v/>
      </c>
      <c r="CP201" s="582" t="str">
        <f aca="false">IF(BD201,CHOOSE(Underlying,L201,R201),"")</f>
        <v/>
      </c>
      <c r="CQ201" s="544" t="str">
        <f aca="false">IF(BD201,Strike1/CP201-1,"")</f>
        <v/>
      </c>
      <c r="CR201" s="544" t="str">
        <f aca="false">IF(BD201,Strike2/CP201-1,"")</f>
        <v/>
      </c>
      <c r="CS201" s="544" t="str">
        <f aca="false">IF(BD201,IF(CQ201&gt;0,IF(CQ201&gt;0.2,BC200-BB200,IF(CQ201&gt;0.1,BB200-BA200,BA200)),IF(CQ201&lt;-0.2,AX200-AY200,IF(CQ201&lt;-0.1,AY200-AZ200,AZ200))),"")</f>
        <v/>
      </c>
      <c r="CT201" s="544" t="str">
        <f aca="false">IF(BD201,IF(CR201&gt;0,IF(CR201&gt;0.2,BC200-BB200,IF(CR201&gt;0.1,BB200-BA200,BA200)),IF(CR201&lt;-0.2,AX200-AY200,IF(CR201&lt;-0.1,AY200-AZ200,AZ200))),"")</f>
        <v/>
      </c>
      <c r="CU201" s="545" t="str">
        <f aca="false">IF(BD201,CHOOSE(Underlying,O201,AT201),"")</f>
        <v/>
      </c>
      <c r="CV201" s="545" t="str">
        <f aca="false">IF(BD201,CU201+IF(VolSkewFlag=1,IF(CQ201&gt;0,BA200*MIN(CQ201/10%,1)+(BB200-BA200)*MAX(0,MIN(CQ201/10%-1,1))+(BC200-BB200)*MAX(0,CQ201/10%-2),AZ200*MIN(-CQ201/10%,1)+(AY200-AZ200)*MAX(0,MIN(-CQ201/10%-1,1))+(AX200-AY200)*MAX(0,-CQ201/10%-2)),0),"")</f>
        <v/>
      </c>
      <c r="CW201" s="545" t="str">
        <f aca="false">IF(BD201,CU201+IF(VolSkewFlag=1,IF(CR201&gt;0,BA200*MIN(CR201/10%,1)+(BB200-BA200)*MAX(0,MIN(CR201/10%-1,1))+(BC200-BB200)*MAX(0,CR201/10%-2),AZ200*MIN(-CR201/10%,1)+(AY200-AZ200)*MAX(0,MIN(-CR201/10%-1,1))+(AX200-AY200)*MAX(0,-CR201/10%-2)),0),"")</f>
        <v/>
      </c>
      <c r="CX201" s="470" t="n">
        <f aca="false">IF(BD201,EURO(CP201,Strike1,AO201,AO201,CV201,CO201,IF(OptControl=4,0,1),0),0)</f>
        <v>0</v>
      </c>
      <c r="CY201" s="470" t="n">
        <f aca="false">IF(BD201,EURO(CP201,Strike1,AO201,AO201,CV201,CO201,IF(OptControl=4,0,1),1)+IF(OR(VolSkewFlag=2,ABS(CQ201)&lt;0.0001),0,IF(CQ201&gt;0,-1,1)*CZ201*100*Strike1/CP201^2*CS201/10%),0)</f>
        <v>0</v>
      </c>
      <c r="CZ201" s="470" t="n">
        <f aca="false">IF(BD201,EURO(CP201,Strike1,AO201,AO201,CV201,CO201,IF(OptControl=4,0,1),3)/100,0)</f>
        <v>0</v>
      </c>
      <c r="DA201" s="470" t="n">
        <f aca="false">IF(BD201,EURO(CP201,Strike1,AO201,AO201,CV201,CO201,IF(OptControl=4,0,1),0)-EURO(CP201,Strike1,AO201,AO201,CV201,CO201-1,IF(OptControl=4,0,1),0),0)</f>
        <v>0</v>
      </c>
      <c r="DB201" s="470" t="n">
        <f aca="false">IF(BD201,EURO(CP201,Strike2,AO201,AO201,CW201,CO201,IF(OptControl=3,1,0),0),0)</f>
        <v>0</v>
      </c>
      <c r="DC201" s="470" t="n">
        <f aca="false">IF(BD201,EURO(CP201,Strike2,AO201,AO201,CW201,CO201,IF(OptControl=3,1,0),1)+IF(OR(VolSkewFlag=2,ABS(CR201)&lt;0.0001),0,IF(CR201&gt;0,-1,1)*DD201*100*Strike2/CP201^2*CT201/10%),0)</f>
        <v>0</v>
      </c>
      <c r="DD201" s="470" t="n">
        <f aca="false">IF(BD201,EURO(CP201,Strike2,AO201,AO201,CW201,CO201,IF(OptControl=3,1,0),3)/100,0)</f>
        <v>0</v>
      </c>
      <c r="DE201" s="472" t="n">
        <f aca="false">IF(BD201,EURO(CP201,Strike2,AO201,AO201,CW201,CO201,IF(OptControl=3,1,0),0)-EURO(CP201,Strike2,AO201,AO201,CW201,CO201-1,IF(OptControl=3,1,0),0),0)</f>
        <v>0</v>
      </c>
      <c r="DG201" s="481" t="n">
        <f aca="false">EOMONTH(DG200,0)+1</f>
        <v>51196</v>
      </c>
      <c r="DH201" s="478" t="n">
        <v>23.2100000000001</v>
      </c>
      <c r="DI201" s="479" t="n">
        <v>23.2759090909092</v>
      </c>
      <c r="DJ201" s="480" t="n">
        <f aca="false">DG201</f>
        <v>51196</v>
      </c>
      <c r="DK201" s="478" t="n">
        <v>22.0480722983038</v>
      </c>
      <c r="DL201" s="479" t="n">
        <v>22.1074090909092</v>
      </c>
      <c r="DM201" s="481" t="n">
        <f aca="false">DG201</f>
        <v>51196</v>
      </c>
      <c r="DN201" s="482" t="n">
        <f aca="false">DK201+BrentPhyBrentSpread</f>
        <v>22.0980722983038</v>
      </c>
      <c r="DO201" s="481" t="n">
        <f aca="false">DG201</f>
        <v>51196</v>
      </c>
      <c r="DP201" s="483" t="n">
        <f aca="false">DL201+DQ201</f>
        <v>22.1074090909092</v>
      </c>
      <c r="DQ201" s="546" t="n">
        <v>0</v>
      </c>
      <c r="DR201" s="480" t="n">
        <f aca="false">DG201</f>
        <v>51196</v>
      </c>
      <c r="DS201" s="485" t="n">
        <v>0.115999999999998</v>
      </c>
      <c r="DT201" s="486" t="n">
        <v>0.115209090909089</v>
      </c>
      <c r="DU201" s="480" t="n">
        <f aca="false">DG201</f>
        <v>51196</v>
      </c>
      <c r="DV201" s="485" t="n">
        <v>0.115999999999998</v>
      </c>
      <c r="DW201" s="486" t="n">
        <v>0.115209090909089</v>
      </c>
      <c r="DX201" s="481" t="n">
        <f aca="false">DG201</f>
        <v>51196</v>
      </c>
      <c r="DY201" s="486" t="n">
        <v>0.35</v>
      </c>
      <c r="DZ201" s="481" t="n">
        <f aca="false">DR201</f>
        <v>51196</v>
      </c>
      <c r="EA201" s="486" t="n">
        <f aca="false">DT201</f>
        <v>0.115209090909089</v>
      </c>
      <c r="EB201" s="195"/>
      <c r="EC201" s="547" t="str">
        <f aca="false">IF(BD201,IF(Underlying=1,AS201,AU201),"")</f>
        <v/>
      </c>
      <c r="ED201" s="548" t="str">
        <f aca="false">IF($BD201,$EC201+IF(VolSkewFlag=1,IF(BS201&gt;0,$BA201*MIN(BS201/10%,1)+($BB201-$BA201)*MAX(0,MIN(BS201/10%-1,1))+($BC201-$BB201)*MAX(0,BS201/10%-2),$AZ201*MIN(-BS201/10%,1)+($AY201-$AZ201)*MAX(0,MIN(-BS201/10%-1,1))+($AX201-$AY201)*MAX(0,-BS201/10%-2)),0),"")</f>
        <v/>
      </c>
      <c r="EE201" s="549" t="str">
        <f aca="false">IF($BD201,$EC201+IF(VolSkewFlag=1,IF(BT201&gt;0,$BA201*MIN(BT201/10%,1)+($BB201-$BA201)*MAX(0,MIN(BT201/10%-1,1))+($BC201-$BB201)*MAX(0,BT201/10%-2),$AZ201*MIN(-BT201/10%,1)+($AY201-$AZ201)*MAX(0,MIN(-BT201/10%-1,1))+($AX201-$AY201)*MAX(0,-BT201/10%-2)),0),"")</f>
        <v/>
      </c>
      <c r="EF201" s="550" t="n">
        <f aca="false">IF(BD201,xASN(BR201,Strike1,AO201,ED201,0,BO201,0,BI201,BL201,IF(OptControl=4,0,1),0),0)</f>
        <v>0</v>
      </c>
      <c r="EG201" s="551" t="n">
        <f aca="false">IF(BD201,xASN(BR201,Strike2,AO201,EE201,0,BO201,0,BI201,BL201,IF(OptControl=3,1,0),0),0)</f>
        <v>0</v>
      </c>
      <c r="EL201" s="1"/>
      <c r="EM201" s="195"/>
      <c r="EN201" s="240"/>
      <c r="EO201" s="240"/>
      <c r="EP201" s="195"/>
      <c r="EQ201" s="407" t="s">
        <v>429</v>
      </c>
      <c r="ES201" s="130"/>
      <c r="ET201" s="19"/>
      <c r="EU201" s="672"/>
      <c r="EV201" s="478"/>
      <c r="EW201" s="131"/>
      <c r="EX201" s="131"/>
      <c r="EY201" s="129"/>
      <c r="EZ201" s="129"/>
      <c r="FA201" s="129"/>
      <c r="FB201" s="129"/>
      <c r="FC201" s="129"/>
      <c r="FD201" s="129"/>
      <c r="FE201" s="129"/>
      <c r="FF201" s="129"/>
      <c r="FG201" s="129"/>
      <c r="FH201" s="129"/>
      <c r="FI201" s="129"/>
      <c r="FJ201" s="571" t="n">
        <v>32</v>
      </c>
      <c r="FK201" s="150" t="str">
        <f aca="false">IF(OR(FK$169&lt;SwaptionFirstMonthPosition+1,$FJ201&lt;SwaptionFirstMonthPosition+1,FK$169&gt;SwaptionFirstMonthPosition+SwaptionNumOfMonths+1,$FJ201&gt;SwaptionFirstMonthPosition+SwaptionNumOfMonths+1),"",IF($FJ201=FK$169,1,IF($FJ201&lt;FK$169,INDEX($FK$170:$ID$241,FK$169,$FJ201),SUMPRODUCT(INDEX($FK$325:$ID$396,FK$169,1+SwaptionShift):INDEX($FK$325:$ID$396,FK$169,SwaptionMonthsToGo+SwaptionShift),INDEX($FK$245:$ID$316,$FJ201-FK$169,73-FK$169+SwaptionShift):INDEX($FK$245:$ID$316,$FJ201-FK$169,72-FK$169+SwaptionMonthsToGo+SwaptionShift))/SQRT(SUM(INDEX($FK356:$ID356,1+SwaptionShift):INDEX($FK356:$ID356,SwaptionMonthsToGo+SwaptionShift))*SUM(INDEX($FK$325:$ID$396,FK$169,1+SwaptionShift):INDEX($FK$325:$ID$396,FK$169,SwaptionMonthsToGo+SwaptionShift))))))</f>
        <v/>
      </c>
      <c r="FL201" s="150" t="str">
        <f aca="false">IF(OR(FL$169&lt;SwaptionFirstMonthPosition+1,$FJ201&lt;SwaptionFirstMonthPosition+1,FL$169&gt;SwaptionFirstMonthPosition+SwaptionNumOfMonths+1,$FJ201&gt;SwaptionFirstMonthPosition+SwaptionNumOfMonths+1),"",IF($FJ201=FL$169,1,IF($FJ201&lt;FL$169,INDEX($FK$170:$ID$241,FL$169,$FJ201),SUMPRODUCT(INDEX($FK$325:$ID$396,FL$169,1+SwaptionShift):INDEX($FK$325:$ID$396,FL$169,SwaptionMonthsToGo+SwaptionShift),INDEX($FK$245:$ID$316,$FJ201-FL$169,73-FL$169+SwaptionShift):INDEX($FK$245:$ID$316,$FJ201-FL$169,72-FL$169+SwaptionMonthsToGo+SwaptionShift))/SQRT(SUM(INDEX($FK356:$ID356,1+SwaptionShift):INDEX($FK356:$ID356,SwaptionMonthsToGo+SwaptionShift))*SUM(INDEX($FK$325:$ID$396,FL$169,1+SwaptionShift):INDEX($FK$325:$ID$396,FL$169,SwaptionMonthsToGo+SwaptionShift))))))</f>
        <v/>
      </c>
      <c r="FM201" s="150" t="str">
        <f aca="false">IF(OR(FM$169&lt;SwaptionFirstMonthPosition+1,$FJ201&lt;SwaptionFirstMonthPosition+1,FM$169&gt;SwaptionFirstMonthPosition+SwaptionNumOfMonths+1,$FJ201&gt;SwaptionFirstMonthPosition+SwaptionNumOfMonths+1),"",IF($FJ201=FM$169,1,IF($FJ201&lt;FM$169,INDEX($FK$170:$ID$241,FM$169,$FJ201),SUMPRODUCT(INDEX($FK$325:$ID$396,FM$169,1+SwaptionShift):INDEX($FK$325:$ID$396,FM$169,SwaptionMonthsToGo+SwaptionShift),INDEX($FK$245:$ID$316,$FJ201-FM$169,73-FM$169+SwaptionShift):INDEX($FK$245:$ID$316,$FJ201-FM$169,72-FM$169+SwaptionMonthsToGo+SwaptionShift))/SQRT(SUM(INDEX($FK356:$ID356,1+SwaptionShift):INDEX($FK356:$ID356,SwaptionMonthsToGo+SwaptionShift))*SUM(INDEX($FK$325:$ID$396,FM$169,1+SwaptionShift):INDEX($FK$325:$ID$396,FM$169,SwaptionMonthsToGo+SwaptionShift))))))</f>
        <v/>
      </c>
      <c r="FN201" s="150" t="str">
        <f aca="false">IF(OR(FN$169&lt;SwaptionFirstMonthPosition+1,$FJ201&lt;SwaptionFirstMonthPosition+1,FN$169&gt;SwaptionFirstMonthPosition+SwaptionNumOfMonths+1,$FJ201&gt;SwaptionFirstMonthPosition+SwaptionNumOfMonths+1),"",IF($FJ201=FN$169,1,IF($FJ201&lt;FN$169,INDEX($FK$170:$ID$241,FN$169,$FJ201),SUMPRODUCT(INDEX($FK$325:$ID$396,FN$169,1+SwaptionShift):INDEX($FK$325:$ID$396,FN$169,SwaptionMonthsToGo+SwaptionShift),INDEX($FK$245:$ID$316,$FJ201-FN$169,73-FN$169+SwaptionShift):INDEX($FK$245:$ID$316,$FJ201-FN$169,72-FN$169+SwaptionMonthsToGo+SwaptionShift))/SQRT(SUM(INDEX($FK356:$ID356,1+SwaptionShift):INDEX($FK356:$ID356,SwaptionMonthsToGo+SwaptionShift))*SUM(INDEX($FK$325:$ID$396,FN$169,1+SwaptionShift):INDEX($FK$325:$ID$396,FN$169,SwaptionMonthsToGo+SwaptionShift))))))</f>
        <v/>
      </c>
      <c r="FO201" s="150" t="str">
        <f aca="false">IF(OR(FO$169&lt;SwaptionFirstMonthPosition+1,$FJ201&lt;SwaptionFirstMonthPosition+1,FO$169&gt;SwaptionFirstMonthPosition+SwaptionNumOfMonths+1,$FJ201&gt;SwaptionFirstMonthPosition+SwaptionNumOfMonths+1),"",IF($FJ201=FO$169,1,IF($FJ201&lt;FO$169,INDEX($FK$170:$ID$241,FO$169,$FJ201),SUMPRODUCT(INDEX($FK$325:$ID$396,FO$169,1+SwaptionShift):INDEX($FK$325:$ID$396,FO$169,SwaptionMonthsToGo+SwaptionShift),INDEX($FK$245:$ID$316,$FJ201-FO$169,73-FO$169+SwaptionShift):INDEX($FK$245:$ID$316,$FJ201-FO$169,72-FO$169+SwaptionMonthsToGo+SwaptionShift))/SQRT(SUM(INDEX($FK356:$ID356,1+SwaptionShift):INDEX($FK356:$ID356,SwaptionMonthsToGo+SwaptionShift))*SUM(INDEX($FK$325:$ID$396,FO$169,1+SwaptionShift):INDEX($FK$325:$ID$396,FO$169,SwaptionMonthsToGo+SwaptionShift))))))</f>
        <v/>
      </c>
      <c r="FP201" s="150" t="str">
        <f aca="false">IF(OR(FP$169&lt;SwaptionFirstMonthPosition+1,$FJ201&lt;SwaptionFirstMonthPosition+1,FP$169&gt;SwaptionFirstMonthPosition+SwaptionNumOfMonths+1,$FJ201&gt;SwaptionFirstMonthPosition+SwaptionNumOfMonths+1),"",IF($FJ201=FP$169,1,IF($FJ201&lt;FP$169,INDEX($FK$170:$ID$241,FP$169,$FJ201),SUMPRODUCT(INDEX($FK$325:$ID$396,FP$169,1+SwaptionShift):INDEX($FK$325:$ID$396,FP$169,SwaptionMonthsToGo+SwaptionShift),INDEX($FK$245:$ID$316,$FJ201-FP$169,73-FP$169+SwaptionShift):INDEX($FK$245:$ID$316,$FJ201-FP$169,72-FP$169+SwaptionMonthsToGo+SwaptionShift))/SQRT(SUM(INDEX($FK356:$ID356,1+SwaptionShift):INDEX($FK356:$ID356,SwaptionMonthsToGo+SwaptionShift))*SUM(INDEX($FK$325:$ID$396,FP$169,1+SwaptionShift):INDEX($FK$325:$ID$396,FP$169,SwaptionMonthsToGo+SwaptionShift))))))</f>
        <v/>
      </c>
      <c r="FQ201" s="150" t="str">
        <f aca="false">IF(OR(FQ$169&lt;SwaptionFirstMonthPosition+1,$FJ201&lt;SwaptionFirstMonthPosition+1,FQ$169&gt;SwaptionFirstMonthPosition+SwaptionNumOfMonths+1,$FJ201&gt;SwaptionFirstMonthPosition+SwaptionNumOfMonths+1),"",IF($FJ201=FQ$169,1,IF($FJ201&lt;FQ$169,INDEX($FK$170:$ID$241,FQ$169,$FJ201),SUMPRODUCT(INDEX($FK$325:$ID$396,FQ$169,1+SwaptionShift):INDEX($FK$325:$ID$396,FQ$169,SwaptionMonthsToGo+SwaptionShift),INDEX($FK$245:$ID$316,$FJ201-FQ$169,73-FQ$169+SwaptionShift):INDEX($FK$245:$ID$316,$FJ201-FQ$169,72-FQ$169+SwaptionMonthsToGo+SwaptionShift))/SQRT(SUM(INDEX($FK356:$ID356,1+SwaptionShift):INDEX($FK356:$ID356,SwaptionMonthsToGo+SwaptionShift))*SUM(INDEX($FK$325:$ID$396,FQ$169,1+SwaptionShift):INDEX($FK$325:$ID$396,FQ$169,SwaptionMonthsToGo+SwaptionShift))))))</f>
        <v/>
      </c>
      <c r="FR201" s="150" t="str">
        <f aca="false">IF(OR(FR$169&lt;SwaptionFirstMonthPosition+1,$FJ201&lt;SwaptionFirstMonthPosition+1,FR$169&gt;SwaptionFirstMonthPosition+SwaptionNumOfMonths+1,$FJ201&gt;SwaptionFirstMonthPosition+SwaptionNumOfMonths+1),"",IF($FJ201=FR$169,1,IF($FJ201&lt;FR$169,INDEX($FK$170:$ID$241,FR$169,$FJ201),SUMPRODUCT(INDEX($FK$325:$ID$396,FR$169,1+SwaptionShift):INDEX($FK$325:$ID$396,FR$169,SwaptionMonthsToGo+SwaptionShift),INDEX($FK$245:$ID$316,$FJ201-FR$169,73-FR$169+SwaptionShift):INDEX($FK$245:$ID$316,$FJ201-FR$169,72-FR$169+SwaptionMonthsToGo+SwaptionShift))/SQRT(SUM(INDEX($FK356:$ID356,1+SwaptionShift):INDEX($FK356:$ID356,SwaptionMonthsToGo+SwaptionShift))*SUM(INDEX($FK$325:$ID$396,FR$169,1+SwaptionShift):INDEX($FK$325:$ID$396,FR$169,SwaptionMonthsToGo+SwaptionShift))))))</f>
        <v/>
      </c>
      <c r="FS201" s="150" t="str">
        <f aca="false">IF(OR(FS$169&lt;SwaptionFirstMonthPosition+1,$FJ201&lt;SwaptionFirstMonthPosition+1,FS$169&gt;SwaptionFirstMonthPosition+SwaptionNumOfMonths+1,$FJ201&gt;SwaptionFirstMonthPosition+SwaptionNumOfMonths+1),"",IF($FJ201=FS$169,1,IF($FJ201&lt;FS$169,INDEX($FK$170:$ID$241,FS$169,$FJ201),SUMPRODUCT(INDEX($FK$325:$ID$396,FS$169,1+SwaptionShift):INDEX($FK$325:$ID$396,FS$169,SwaptionMonthsToGo+SwaptionShift),INDEX($FK$245:$ID$316,$FJ201-FS$169,73-FS$169+SwaptionShift):INDEX($FK$245:$ID$316,$FJ201-FS$169,72-FS$169+SwaptionMonthsToGo+SwaptionShift))/SQRT(SUM(INDEX($FK356:$ID356,1+SwaptionShift):INDEX($FK356:$ID356,SwaptionMonthsToGo+SwaptionShift))*SUM(INDEX($FK$325:$ID$396,FS$169,1+SwaptionShift):INDEX($FK$325:$ID$396,FS$169,SwaptionMonthsToGo+SwaptionShift))))))</f>
        <v/>
      </c>
      <c r="FT201" s="150" t="str">
        <f aca="false">IF(OR(FT$169&lt;SwaptionFirstMonthPosition+1,$FJ201&lt;SwaptionFirstMonthPosition+1,FT$169&gt;SwaptionFirstMonthPosition+SwaptionNumOfMonths+1,$FJ201&gt;SwaptionFirstMonthPosition+SwaptionNumOfMonths+1),"",IF($FJ201=FT$169,1,IF($FJ201&lt;FT$169,INDEX($FK$170:$ID$241,FT$169,$FJ201),SUMPRODUCT(INDEX($FK$325:$ID$396,FT$169,1+SwaptionShift):INDEX($FK$325:$ID$396,FT$169,SwaptionMonthsToGo+SwaptionShift),INDEX($FK$245:$ID$316,$FJ201-FT$169,73-FT$169+SwaptionShift):INDEX($FK$245:$ID$316,$FJ201-FT$169,72-FT$169+SwaptionMonthsToGo+SwaptionShift))/SQRT(SUM(INDEX($FK356:$ID356,1+SwaptionShift):INDEX($FK356:$ID356,SwaptionMonthsToGo+SwaptionShift))*SUM(INDEX($FK$325:$ID$396,FT$169,1+SwaptionShift):INDEX($FK$325:$ID$396,FT$169,SwaptionMonthsToGo+SwaptionShift))))))</f>
        <v/>
      </c>
      <c r="FU201" s="150" t="str">
        <f aca="false">IF(OR(FU$169&lt;SwaptionFirstMonthPosition+1,$FJ201&lt;SwaptionFirstMonthPosition+1,FU$169&gt;SwaptionFirstMonthPosition+SwaptionNumOfMonths+1,$FJ201&gt;SwaptionFirstMonthPosition+SwaptionNumOfMonths+1),"",IF($FJ201=FU$169,1,IF($FJ201&lt;FU$169,INDEX($FK$170:$ID$241,FU$169,$FJ201),SUMPRODUCT(INDEX($FK$325:$ID$396,FU$169,1+SwaptionShift):INDEX($FK$325:$ID$396,FU$169,SwaptionMonthsToGo+SwaptionShift),INDEX($FK$245:$ID$316,$FJ201-FU$169,73-FU$169+SwaptionShift):INDEX($FK$245:$ID$316,$FJ201-FU$169,72-FU$169+SwaptionMonthsToGo+SwaptionShift))/SQRT(SUM(INDEX($FK356:$ID356,1+SwaptionShift):INDEX($FK356:$ID356,SwaptionMonthsToGo+SwaptionShift))*SUM(INDEX($FK$325:$ID$396,FU$169,1+SwaptionShift):INDEX($FK$325:$ID$396,FU$169,SwaptionMonthsToGo+SwaptionShift))))))</f>
        <v/>
      </c>
      <c r="FV201" s="150" t="str">
        <f aca="false">IF(OR(FV$169&lt;SwaptionFirstMonthPosition+1,$FJ201&lt;SwaptionFirstMonthPosition+1,FV$169&gt;SwaptionFirstMonthPosition+SwaptionNumOfMonths+1,$FJ201&gt;SwaptionFirstMonthPosition+SwaptionNumOfMonths+1),"",IF($FJ201=FV$169,1,IF($FJ201&lt;FV$169,INDEX($FK$170:$ID$241,FV$169,$FJ201),SUMPRODUCT(INDEX($FK$325:$ID$396,FV$169,1+SwaptionShift):INDEX($FK$325:$ID$396,FV$169,SwaptionMonthsToGo+SwaptionShift),INDEX($FK$245:$ID$316,$FJ201-FV$169,73-FV$169+SwaptionShift):INDEX($FK$245:$ID$316,$FJ201-FV$169,72-FV$169+SwaptionMonthsToGo+SwaptionShift))/SQRT(SUM(INDEX($FK356:$ID356,1+SwaptionShift):INDEX($FK356:$ID356,SwaptionMonthsToGo+SwaptionShift))*SUM(INDEX($FK$325:$ID$396,FV$169,1+SwaptionShift):INDEX($FK$325:$ID$396,FV$169,SwaptionMonthsToGo+SwaptionShift))))))</f>
        <v/>
      </c>
      <c r="FW201" s="150" t="str">
        <f aca="false">IF(OR(FW$169&lt;SwaptionFirstMonthPosition+1,$FJ201&lt;SwaptionFirstMonthPosition+1,FW$169&gt;SwaptionFirstMonthPosition+SwaptionNumOfMonths+1,$FJ201&gt;SwaptionFirstMonthPosition+SwaptionNumOfMonths+1),"",IF($FJ201=FW$169,1,IF($FJ201&lt;FW$169,INDEX($FK$170:$ID$241,FW$169,$FJ201),SUMPRODUCT(INDEX($FK$325:$ID$396,FW$169,1+SwaptionShift):INDEX($FK$325:$ID$396,FW$169,SwaptionMonthsToGo+SwaptionShift),INDEX($FK$245:$ID$316,$FJ201-FW$169,73-FW$169+SwaptionShift):INDEX($FK$245:$ID$316,$FJ201-FW$169,72-FW$169+SwaptionMonthsToGo+SwaptionShift))/SQRT(SUM(INDEX($FK356:$ID356,1+SwaptionShift):INDEX($FK356:$ID356,SwaptionMonthsToGo+SwaptionShift))*SUM(INDEX($FK$325:$ID$396,FW$169,1+SwaptionShift):INDEX($FK$325:$ID$396,FW$169,SwaptionMonthsToGo+SwaptionShift))))))</f>
        <v/>
      </c>
      <c r="FX201" s="150" t="str">
        <f aca="false">IF(OR(FX$169&lt;SwaptionFirstMonthPosition+1,$FJ201&lt;SwaptionFirstMonthPosition+1,FX$169&gt;SwaptionFirstMonthPosition+SwaptionNumOfMonths+1,$FJ201&gt;SwaptionFirstMonthPosition+SwaptionNumOfMonths+1),"",IF($FJ201=FX$169,1,IF($FJ201&lt;FX$169,INDEX($FK$170:$ID$241,FX$169,$FJ201),SUMPRODUCT(INDEX($FK$325:$ID$396,FX$169,1+SwaptionShift):INDEX($FK$325:$ID$396,FX$169,SwaptionMonthsToGo+SwaptionShift),INDEX($FK$245:$ID$316,$FJ201-FX$169,73-FX$169+SwaptionShift):INDEX($FK$245:$ID$316,$FJ201-FX$169,72-FX$169+SwaptionMonthsToGo+SwaptionShift))/SQRT(SUM(INDEX($FK356:$ID356,1+SwaptionShift):INDEX($FK356:$ID356,SwaptionMonthsToGo+SwaptionShift))*SUM(INDEX($FK$325:$ID$396,FX$169,1+SwaptionShift):INDEX($FK$325:$ID$396,FX$169,SwaptionMonthsToGo+SwaptionShift))))))</f>
        <v/>
      </c>
      <c r="FY201" s="150" t="str">
        <f aca="false">IF(OR(FY$169&lt;SwaptionFirstMonthPosition+1,$FJ201&lt;SwaptionFirstMonthPosition+1,FY$169&gt;SwaptionFirstMonthPosition+SwaptionNumOfMonths+1,$FJ201&gt;SwaptionFirstMonthPosition+SwaptionNumOfMonths+1),"",IF($FJ201=FY$169,1,IF($FJ201&lt;FY$169,INDEX($FK$170:$ID$241,FY$169,$FJ201),SUMPRODUCT(INDEX($FK$325:$ID$396,FY$169,1+SwaptionShift):INDEX($FK$325:$ID$396,FY$169,SwaptionMonthsToGo+SwaptionShift),INDEX($FK$245:$ID$316,$FJ201-FY$169,73-FY$169+SwaptionShift):INDEX($FK$245:$ID$316,$FJ201-FY$169,72-FY$169+SwaptionMonthsToGo+SwaptionShift))/SQRT(SUM(INDEX($FK356:$ID356,1+SwaptionShift):INDEX($FK356:$ID356,SwaptionMonthsToGo+SwaptionShift))*SUM(INDEX($FK$325:$ID$396,FY$169,1+SwaptionShift):INDEX($FK$325:$ID$396,FY$169,SwaptionMonthsToGo+SwaptionShift))))))</f>
        <v/>
      </c>
      <c r="FZ201" s="150" t="str">
        <f aca="false">IF(OR(FZ$169&lt;SwaptionFirstMonthPosition+1,$FJ201&lt;SwaptionFirstMonthPosition+1,FZ$169&gt;SwaptionFirstMonthPosition+SwaptionNumOfMonths+1,$FJ201&gt;SwaptionFirstMonthPosition+SwaptionNumOfMonths+1),"",IF($FJ201=FZ$169,1,IF($FJ201&lt;FZ$169,INDEX($FK$170:$ID$241,FZ$169,$FJ201),SUMPRODUCT(INDEX($FK$325:$ID$396,FZ$169,1+SwaptionShift):INDEX($FK$325:$ID$396,FZ$169,SwaptionMonthsToGo+SwaptionShift),INDEX($FK$245:$ID$316,$FJ201-FZ$169,73-FZ$169+SwaptionShift):INDEX($FK$245:$ID$316,$FJ201-FZ$169,72-FZ$169+SwaptionMonthsToGo+SwaptionShift))/SQRT(SUM(INDEX($FK356:$ID356,1+SwaptionShift):INDEX($FK356:$ID356,SwaptionMonthsToGo+SwaptionShift))*SUM(INDEX($FK$325:$ID$396,FZ$169,1+SwaptionShift):INDEX($FK$325:$ID$396,FZ$169,SwaptionMonthsToGo+SwaptionShift))))))</f>
        <v/>
      </c>
      <c r="GA201" s="150" t="str">
        <f aca="false">IF(OR(GA$169&lt;SwaptionFirstMonthPosition+1,$FJ201&lt;SwaptionFirstMonthPosition+1,GA$169&gt;SwaptionFirstMonthPosition+SwaptionNumOfMonths+1,$FJ201&gt;SwaptionFirstMonthPosition+SwaptionNumOfMonths+1),"",IF($FJ201=GA$169,1,IF($FJ201&lt;GA$169,INDEX($FK$170:$ID$241,GA$169,$FJ201),SUMPRODUCT(INDEX($FK$325:$ID$396,GA$169,1+SwaptionShift):INDEX($FK$325:$ID$396,GA$169,SwaptionMonthsToGo+SwaptionShift),INDEX($FK$245:$ID$316,$FJ201-GA$169,73-GA$169+SwaptionShift):INDEX($FK$245:$ID$316,$FJ201-GA$169,72-GA$169+SwaptionMonthsToGo+SwaptionShift))/SQRT(SUM(INDEX($FK356:$ID356,1+SwaptionShift):INDEX($FK356:$ID356,SwaptionMonthsToGo+SwaptionShift))*SUM(INDEX($FK$325:$ID$396,GA$169,1+SwaptionShift):INDEX($FK$325:$ID$396,GA$169,SwaptionMonthsToGo+SwaptionShift))))))</f>
        <v/>
      </c>
      <c r="GB201" s="150" t="str">
        <f aca="false">IF(OR(GB$169&lt;SwaptionFirstMonthPosition+1,$FJ201&lt;SwaptionFirstMonthPosition+1,GB$169&gt;SwaptionFirstMonthPosition+SwaptionNumOfMonths+1,$FJ201&gt;SwaptionFirstMonthPosition+SwaptionNumOfMonths+1),"",IF($FJ201=GB$169,1,IF($FJ201&lt;GB$169,INDEX($FK$170:$ID$241,GB$169,$FJ201),SUMPRODUCT(INDEX($FK$325:$ID$396,GB$169,1+SwaptionShift):INDEX($FK$325:$ID$396,GB$169,SwaptionMonthsToGo+SwaptionShift),INDEX($FK$245:$ID$316,$FJ201-GB$169,73-GB$169+SwaptionShift):INDEX($FK$245:$ID$316,$FJ201-GB$169,72-GB$169+SwaptionMonthsToGo+SwaptionShift))/SQRT(SUM(INDEX($FK356:$ID356,1+SwaptionShift):INDEX($FK356:$ID356,SwaptionMonthsToGo+SwaptionShift))*SUM(INDEX($FK$325:$ID$396,GB$169,1+SwaptionShift):INDEX($FK$325:$ID$396,GB$169,SwaptionMonthsToGo+SwaptionShift))))))</f>
        <v/>
      </c>
      <c r="GC201" s="150" t="str">
        <f aca="false">IF(OR(GC$169&lt;SwaptionFirstMonthPosition+1,$FJ201&lt;SwaptionFirstMonthPosition+1,GC$169&gt;SwaptionFirstMonthPosition+SwaptionNumOfMonths+1,$FJ201&gt;SwaptionFirstMonthPosition+SwaptionNumOfMonths+1),"",IF($FJ201=GC$169,1,IF($FJ201&lt;GC$169,INDEX($FK$170:$ID$241,GC$169,$FJ201),SUMPRODUCT(INDEX($FK$325:$ID$396,GC$169,1+SwaptionShift):INDEX($FK$325:$ID$396,GC$169,SwaptionMonthsToGo+SwaptionShift),INDEX($FK$245:$ID$316,$FJ201-GC$169,73-GC$169+SwaptionShift):INDEX($FK$245:$ID$316,$FJ201-GC$169,72-GC$169+SwaptionMonthsToGo+SwaptionShift))/SQRT(SUM(INDEX($FK356:$ID356,1+SwaptionShift):INDEX($FK356:$ID356,SwaptionMonthsToGo+SwaptionShift))*SUM(INDEX($FK$325:$ID$396,GC$169,1+SwaptionShift):INDEX($FK$325:$ID$396,GC$169,SwaptionMonthsToGo+SwaptionShift))))))</f>
        <v/>
      </c>
      <c r="GD201" s="150" t="str">
        <f aca="false">IF(OR(GD$169&lt;SwaptionFirstMonthPosition+1,$FJ201&lt;SwaptionFirstMonthPosition+1,GD$169&gt;SwaptionFirstMonthPosition+SwaptionNumOfMonths+1,$FJ201&gt;SwaptionFirstMonthPosition+SwaptionNumOfMonths+1),"",IF($FJ201=GD$169,1,IF($FJ201&lt;GD$169,INDEX($FK$170:$ID$241,GD$169,$FJ201),SUMPRODUCT(INDEX($FK$325:$ID$396,GD$169,1+SwaptionShift):INDEX($FK$325:$ID$396,GD$169,SwaptionMonthsToGo+SwaptionShift),INDEX($FK$245:$ID$316,$FJ201-GD$169,73-GD$169+SwaptionShift):INDEX($FK$245:$ID$316,$FJ201-GD$169,72-GD$169+SwaptionMonthsToGo+SwaptionShift))/SQRT(SUM(INDEX($FK356:$ID356,1+SwaptionShift):INDEX($FK356:$ID356,SwaptionMonthsToGo+SwaptionShift))*SUM(INDEX($FK$325:$ID$396,GD$169,1+SwaptionShift):INDEX($FK$325:$ID$396,GD$169,SwaptionMonthsToGo+SwaptionShift))))))</f>
        <v/>
      </c>
      <c r="GE201" s="150" t="str">
        <f aca="false">IF(OR(GE$169&lt;SwaptionFirstMonthPosition+1,$FJ201&lt;SwaptionFirstMonthPosition+1,GE$169&gt;SwaptionFirstMonthPosition+SwaptionNumOfMonths+1,$FJ201&gt;SwaptionFirstMonthPosition+SwaptionNumOfMonths+1),"",IF($FJ201=GE$169,1,IF($FJ201&lt;GE$169,INDEX($FK$170:$ID$241,GE$169,$FJ201),SUMPRODUCT(INDEX($FK$325:$ID$396,GE$169,1+SwaptionShift):INDEX($FK$325:$ID$396,GE$169,SwaptionMonthsToGo+SwaptionShift),INDEX($FK$245:$ID$316,$FJ201-GE$169,73-GE$169+SwaptionShift):INDEX($FK$245:$ID$316,$FJ201-GE$169,72-GE$169+SwaptionMonthsToGo+SwaptionShift))/SQRT(SUM(INDEX($FK356:$ID356,1+SwaptionShift):INDEX($FK356:$ID356,SwaptionMonthsToGo+SwaptionShift))*SUM(INDEX($FK$325:$ID$396,GE$169,1+SwaptionShift):INDEX($FK$325:$ID$396,GE$169,SwaptionMonthsToGo+SwaptionShift))))))</f>
        <v/>
      </c>
      <c r="GF201" s="150" t="str">
        <f aca="false">IF(OR(GF$169&lt;SwaptionFirstMonthPosition+1,$FJ201&lt;SwaptionFirstMonthPosition+1,GF$169&gt;SwaptionFirstMonthPosition+SwaptionNumOfMonths+1,$FJ201&gt;SwaptionFirstMonthPosition+SwaptionNumOfMonths+1),"",IF($FJ201=GF$169,1,IF($FJ201&lt;GF$169,INDEX($FK$170:$ID$241,GF$169,$FJ201),SUMPRODUCT(INDEX($FK$325:$ID$396,GF$169,1+SwaptionShift):INDEX($FK$325:$ID$396,GF$169,SwaptionMonthsToGo+SwaptionShift),INDEX($FK$245:$ID$316,$FJ201-GF$169,73-GF$169+SwaptionShift):INDEX($FK$245:$ID$316,$FJ201-GF$169,72-GF$169+SwaptionMonthsToGo+SwaptionShift))/SQRT(SUM(INDEX($FK356:$ID356,1+SwaptionShift):INDEX($FK356:$ID356,SwaptionMonthsToGo+SwaptionShift))*SUM(INDEX($FK$325:$ID$396,GF$169,1+SwaptionShift):INDEX($FK$325:$ID$396,GF$169,SwaptionMonthsToGo+SwaptionShift))))))</f>
        <v/>
      </c>
      <c r="GG201" s="150" t="str">
        <f aca="false">IF(OR(GG$169&lt;SwaptionFirstMonthPosition+1,$FJ201&lt;SwaptionFirstMonthPosition+1,GG$169&gt;SwaptionFirstMonthPosition+SwaptionNumOfMonths+1,$FJ201&gt;SwaptionFirstMonthPosition+SwaptionNumOfMonths+1),"",IF($FJ201=GG$169,1,IF($FJ201&lt;GG$169,INDEX($FK$170:$ID$241,GG$169,$FJ201),SUMPRODUCT(INDEX($FK$325:$ID$396,GG$169,1+SwaptionShift):INDEX($FK$325:$ID$396,GG$169,SwaptionMonthsToGo+SwaptionShift),INDEX($FK$245:$ID$316,$FJ201-GG$169,73-GG$169+SwaptionShift):INDEX($FK$245:$ID$316,$FJ201-GG$169,72-GG$169+SwaptionMonthsToGo+SwaptionShift))/SQRT(SUM(INDEX($FK356:$ID356,1+SwaptionShift):INDEX($FK356:$ID356,SwaptionMonthsToGo+SwaptionShift))*SUM(INDEX($FK$325:$ID$396,GG$169,1+SwaptionShift):INDEX($FK$325:$ID$396,GG$169,SwaptionMonthsToGo+SwaptionShift))))))</f>
        <v/>
      </c>
      <c r="GH201" s="150" t="str">
        <f aca="false">IF(OR(GH$169&lt;SwaptionFirstMonthPosition+1,$FJ201&lt;SwaptionFirstMonthPosition+1,GH$169&gt;SwaptionFirstMonthPosition+SwaptionNumOfMonths+1,$FJ201&gt;SwaptionFirstMonthPosition+SwaptionNumOfMonths+1),"",IF($FJ201=GH$169,1,IF($FJ201&lt;GH$169,INDEX($FK$170:$ID$241,GH$169,$FJ201),SUMPRODUCT(INDEX($FK$325:$ID$396,GH$169,1+SwaptionShift):INDEX($FK$325:$ID$396,GH$169,SwaptionMonthsToGo+SwaptionShift),INDEX($FK$245:$ID$316,$FJ201-GH$169,73-GH$169+SwaptionShift):INDEX($FK$245:$ID$316,$FJ201-GH$169,72-GH$169+SwaptionMonthsToGo+SwaptionShift))/SQRT(SUM(INDEX($FK356:$ID356,1+SwaptionShift):INDEX($FK356:$ID356,SwaptionMonthsToGo+SwaptionShift))*SUM(INDEX($FK$325:$ID$396,GH$169,1+SwaptionShift):INDEX($FK$325:$ID$396,GH$169,SwaptionMonthsToGo+SwaptionShift))))))</f>
        <v/>
      </c>
      <c r="GI201" s="150" t="str">
        <f aca="false">IF(OR(GI$169&lt;SwaptionFirstMonthPosition+1,$FJ201&lt;SwaptionFirstMonthPosition+1,GI$169&gt;SwaptionFirstMonthPosition+SwaptionNumOfMonths+1,$FJ201&gt;SwaptionFirstMonthPosition+SwaptionNumOfMonths+1),"",IF($FJ201=GI$169,1,IF($FJ201&lt;GI$169,INDEX($FK$170:$ID$241,GI$169,$FJ201),SUMPRODUCT(INDEX($FK$325:$ID$396,GI$169,1+SwaptionShift):INDEX($FK$325:$ID$396,GI$169,SwaptionMonthsToGo+SwaptionShift),INDEX($FK$245:$ID$316,$FJ201-GI$169,73-GI$169+SwaptionShift):INDEX($FK$245:$ID$316,$FJ201-GI$169,72-GI$169+SwaptionMonthsToGo+SwaptionShift))/SQRT(SUM(INDEX($FK356:$ID356,1+SwaptionShift):INDEX($FK356:$ID356,SwaptionMonthsToGo+SwaptionShift))*SUM(INDEX($FK$325:$ID$396,GI$169,1+SwaptionShift):INDEX($FK$325:$ID$396,GI$169,SwaptionMonthsToGo+SwaptionShift))))))</f>
        <v/>
      </c>
      <c r="GJ201" s="150" t="str">
        <f aca="false">IF(OR(GJ$169&lt;SwaptionFirstMonthPosition+1,$FJ201&lt;SwaptionFirstMonthPosition+1,GJ$169&gt;SwaptionFirstMonthPosition+SwaptionNumOfMonths+1,$FJ201&gt;SwaptionFirstMonthPosition+SwaptionNumOfMonths+1),"",IF($FJ201=GJ$169,1,IF($FJ201&lt;GJ$169,INDEX($FK$170:$ID$241,GJ$169,$FJ201),SUMPRODUCT(INDEX($FK$325:$ID$396,GJ$169,1+SwaptionShift):INDEX($FK$325:$ID$396,GJ$169,SwaptionMonthsToGo+SwaptionShift),INDEX($FK$245:$ID$316,$FJ201-GJ$169,73-GJ$169+SwaptionShift):INDEX($FK$245:$ID$316,$FJ201-GJ$169,72-GJ$169+SwaptionMonthsToGo+SwaptionShift))/SQRT(SUM(INDEX($FK356:$ID356,1+SwaptionShift):INDEX($FK356:$ID356,SwaptionMonthsToGo+SwaptionShift))*SUM(INDEX($FK$325:$ID$396,GJ$169,1+SwaptionShift):INDEX($FK$325:$ID$396,GJ$169,SwaptionMonthsToGo+SwaptionShift))))))</f>
        <v/>
      </c>
      <c r="GK201" s="150" t="str">
        <f aca="false">IF(OR(GK$169&lt;SwaptionFirstMonthPosition+1,$FJ201&lt;SwaptionFirstMonthPosition+1,GK$169&gt;SwaptionFirstMonthPosition+SwaptionNumOfMonths+1,$FJ201&gt;SwaptionFirstMonthPosition+SwaptionNumOfMonths+1),"",IF($FJ201=GK$169,1,IF($FJ201&lt;GK$169,INDEX($FK$170:$ID$241,GK$169,$FJ201),SUMPRODUCT(INDEX($FK$325:$ID$396,GK$169,1+SwaptionShift):INDEX($FK$325:$ID$396,GK$169,SwaptionMonthsToGo+SwaptionShift),INDEX($FK$245:$ID$316,$FJ201-GK$169,73-GK$169+SwaptionShift):INDEX($FK$245:$ID$316,$FJ201-GK$169,72-GK$169+SwaptionMonthsToGo+SwaptionShift))/SQRT(SUM(INDEX($FK356:$ID356,1+SwaptionShift):INDEX($FK356:$ID356,SwaptionMonthsToGo+SwaptionShift))*SUM(INDEX($FK$325:$ID$396,GK$169,1+SwaptionShift):INDEX($FK$325:$ID$396,GK$169,SwaptionMonthsToGo+SwaptionShift))))))</f>
        <v/>
      </c>
      <c r="GL201" s="150" t="str">
        <f aca="false">IF(OR(GL$169&lt;SwaptionFirstMonthPosition+1,$FJ201&lt;SwaptionFirstMonthPosition+1,GL$169&gt;SwaptionFirstMonthPosition+SwaptionNumOfMonths+1,$FJ201&gt;SwaptionFirstMonthPosition+SwaptionNumOfMonths+1),"",IF($FJ201=GL$169,1,IF($FJ201&lt;GL$169,INDEX($FK$170:$ID$241,GL$169,$FJ201),SUMPRODUCT(INDEX($FK$325:$ID$396,GL$169,1+SwaptionShift):INDEX($FK$325:$ID$396,GL$169,SwaptionMonthsToGo+SwaptionShift),INDEX($FK$245:$ID$316,$FJ201-GL$169,73-GL$169+SwaptionShift):INDEX($FK$245:$ID$316,$FJ201-GL$169,72-GL$169+SwaptionMonthsToGo+SwaptionShift))/SQRT(SUM(INDEX($FK356:$ID356,1+SwaptionShift):INDEX($FK356:$ID356,SwaptionMonthsToGo+SwaptionShift))*SUM(INDEX($FK$325:$ID$396,GL$169,1+SwaptionShift):INDEX($FK$325:$ID$396,GL$169,SwaptionMonthsToGo+SwaptionShift))))))</f>
        <v/>
      </c>
      <c r="GM201" s="150" t="str">
        <f aca="false">IF(OR(GM$169&lt;SwaptionFirstMonthPosition+1,$FJ201&lt;SwaptionFirstMonthPosition+1,GM$169&gt;SwaptionFirstMonthPosition+SwaptionNumOfMonths+1,$FJ201&gt;SwaptionFirstMonthPosition+SwaptionNumOfMonths+1),"",IF($FJ201=GM$169,1,IF($FJ201&lt;GM$169,INDEX($FK$170:$ID$241,GM$169,$FJ201),SUMPRODUCT(INDEX($FK$325:$ID$396,GM$169,1+SwaptionShift):INDEX($FK$325:$ID$396,GM$169,SwaptionMonthsToGo+SwaptionShift),INDEX($FK$245:$ID$316,$FJ201-GM$169,73-GM$169+SwaptionShift):INDEX($FK$245:$ID$316,$FJ201-GM$169,72-GM$169+SwaptionMonthsToGo+SwaptionShift))/SQRT(SUM(INDEX($FK356:$ID356,1+SwaptionShift):INDEX($FK356:$ID356,SwaptionMonthsToGo+SwaptionShift))*SUM(INDEX($FK$325:$ID$396,GM$169,1+SwaptionShift):INDEX($FK$325:$ID$396,GM$169,SwaptionMonthsToGo+SwaptionShift))))))</f>
        <v/>
      </c>
      <c r="GN201" s="150" t="str">
        <f aca="false">IF(OR(GN$169&lt;SwaptionFirstMonthPosition+1,$FJ201&lt;SwaptionFirstMonthPosition+1,GN$169&gt;SwaptionFirstMonthPosition+SwaptionNumOfMonths+1,$FJ201&gt;SwaptionFirstMonthPosition+SwaptionNumOfMonths+1),"",IF($FJ201=GN$169,1,IF($FJ201&lt;GN$169,INDEX($FK$170:$ID$241,GN$169,$FJ201),SUMPRODUCT(INDEX($FK$325:$ID$396,GN$169,1+SwaptionShift):INDEX($FK$325:$ID$396,GN$169,SwaptionMonthsToGo+SwaptionShift),INDEX($FK$245:$ID$316,$FJ201-GN$169,73-GN$169+SwaptionShift):INDEX($FK$245:$ID$316,$FJ201-GN$169,72-GN$169+SwaptionMonthsToGo+SwaptionShift))/SQRT(SUM(INDEX($FK356:$ID356,1+SwaptionShift):INDEX($FK356:$ID356,SwaptionMonthsToGo+SwaptionShift))*SUM(INDEX($FK$325:$ID$396,GN$169,1+SwaptionShift):INDEX($FK$325:$ID$396,GN$169,SwaptionMonthsToGo+SwaptionShift))))))</f>
        <v/>
      </c>
      <c r="GO201" s="150" t="str">
        <f aca="false">IF(OR(GO$169&lt;SwaptionFirstMonthPosition+1,$FJ201&lt;SwaptionFirstMonthPosition+1,GO$169&gt;SwaptionFirstMonthPosition+SwaptionNumOfMonths+1,$FJ201&gt;SwaptionFirstMonthPosition+SwaptionNumOfMonths+1),"",IF($FJ201=GO$169,1,IF($FJ201&lt;GO$169,INDEX($FK$170:$ID$241,GO$169,$FJ201),SUMPRODUCT(INDEX($FK$325:$ID$396,GO$169,1+SwaptionShift):INDEX($FK$325:$ID$396,GO$169,SwaptionMonthsToGo+SwaptionShift),INDEX($FK$245:$ID$316,$FJ201-GO$169,73-GO$169+SwaptionShift):INDEX($FK$245:$ID$316,$FJ201-GO$169,72-GO$169+SwaptionMonthsToGo+SwaptionShift))/SQRT(SUM(INDEX($FK356:$ID356,1+SwaptionShift):INDEX($FK356:$ID356,SwaptionMonthsToGo+SwaptionShift))*SUM(INDEX($FK$325:$ID$396,GO$169,1+SwaptionShift):INDEX($FK$325:$ID$396,GO$169,SwaptionMonthsToGo+SwaptionShift))))))</f>
        <v/>
      </c>
      <c r="GP201" s="150" t="str">
        <f aca="false">IF(OR(GP$169&lt;SwaptionFirstMonthPosition+1,$FJ201&lt;SwaptionFirstMonthPosition+1,GP$169&gt;SwaptionFirstMonthPosition+SwaptionNumOfMonths+1,$FJ201&gt;SwaptionFirstMonthPosition+SwaptionNumOfMonths+1),"",IF($FJ201=GP$169,1,IF($FJ201&lt;GP$169,INDEX($FK$170:$ID$241,GP$169,$FJ201),SUMPRODUCT(INDEX($FK$325:$ID$396,GP$169,1+SwaptionShift):INDEX($FK$325:$ID$396,GP$169,SwaptionMonthsToGo+SwaptionShift),INDEX($FK$245:$ID$316,$FJ201-GP$169,73-GP$169+SwaptionShift):INDEX($FK$245:$ID$316,$FJ201-GP$169,72-GP$169+SwaptionMonthsToGo+SwaptionShift))/SQRT(SUM(INDEX($FK356:$ID356,1+SwaptionShift):INDEX($FK356:$ID356,SwaptionMonthsToGo+SwaptionShift))*SUM(INDEX($FK$325:$ID$396,GP$169,1+SwaptionShift):INDEX($FK$325:$ID$396,GP$169,SwaptionMonthsToGo+SwaptionShift))))))</f>
        <v/>
      </c>
      <c r="GQ201" s="150" t="str">
        <f aca="false">IF(OR(GQ$169&lt;SwaptionFirstMonthPosition+1,$FJ201&lt;SwaptionFirstMonthPosition+1,GQ$169&gt;SwaptionFirstMonthPosition+SwaptionNumOfMonths+1,$FJ201&gt;SwaptionFirstMonthPosition+SwaptionNumOfMonths+1),"",IF($FJ201=GQ$169,1,IF($FJ201&lt;GQ$169,INDEX($FK$170:$ID$241,GQ$169,$FJ201),SUMPRODUCT(INDEX($FK$325:$ID$396,GQ$169,1+SwaptionShift):INDEX($FK$325:$ID$396,GQ$169,SwaptionMonthsToGo+SwaptionShift),INDEX($FK$245:$ID$316,$FJ201-GQ$169,73-GQ$169+SwaptionShift):INDEX($FK$245:$ID$316,$FJ201-GQ$169,72-GQ$169+SwaptionMonthsToGo+SwaptionShift))/SQRT(SUM(INDEX($FK356:$ID356,1+SwaptionShift):INDEX($FK356:$ID356,SwaptionMonthsToGo+SwaptionShift))*SUM(INDEX($FK$325:$ID$396,GQ$169,1+SwaptionShift):INDEX($FK$325:$ID$396,GQ$169,SwaptionMonthsToGo+SwaptionShift))))))</f>
        <v/>
      </c>
      <c r="GR201" s="150" t="str">
        <f aca="false">IF(OR(GR$169&lt;SwaptionFirstMonthPosition+1,$FJ201&lt;SwaptionFirstMonthPosition+1,GR$169&gt;SwaptionFirstMonthPosition+SwaptionNumOfMonths+1,$FJ201&gt;SwaptionFirstMonthPosition+SwaptionNumOfMonths+1),"",IF($FJ201=GR$169,1,IF($FJ201&lt;GR$169,INDEX($FK$170:$ID$241,GR$169,$FJ201),SUMPRODUCT(INDEX($FK$325:$ID$396,GR$169,1+SwaptionShift):INDEX($FK$325:$ID$396,GR$169,SwaptionMonthsToGo+SwaptionShift),INDEX($FK$245:$ID$316,$FJ201-GR$169,73-GR$169+SwaptionShift):INDEX($FK$245:$ID$316,$FJ201-GR$169,72-GR$169+SwaptionMonthsToGo+SwaptionShift))/SQRT(SUM(INDEX($FK356:$ID356,1+SwaptionShift):INDEX($FK356:$ID356,SwaptionMonthsToGo+SwaptionShift))*SUM(INDEX($FK$325:$ID$396,GR$169,1+SwaptionShift):INDEX($FK$325:$ID$396,GR$169,SwaptionMonthsToGo+SwaptionShift))))))</f>
        <v/>
      </c>
      <c r="GS201" s="150" t="str">
        <f aca="false">IF(OR(GS$169&lt;SwaptionFirstMonthPosition+1,$FJ201&lt;SwaptionFirstMonthPosition+1,GS$169&gt;SwaptionFirstMonthPosition+SwaptionNumOfMonths+1,$FJ201&gt;SwaptionFirstMonthPosition+SwaptionNumOfMonths+1),"",IF($FJ201=GS$169,1,IF($FJ201&lt;GS$169,INDEX($FK$170:$ID$241,GS$169,$FJ201),SUMPRODUCT(INDEX($FK$325:$ID$396,GS$169,1+SwaptionShift):INDEX($FK$325:$ID$396,GS$169,SwaptionMonthsToGo+SwaptionShift),INDEX($FK$245:$ID$316,$FJ201-GS$169,73-GS$169+SwaptionShift):INDEX($FK$245:$ID$316,$FJ201-GS$169,72-GS$169+SwaptionMonthsToGo+SwaptionShift))/SQRT(SUM(INDEX($FK356:$ID356,1+SwaptionShift):INDEX($FK356:$ID356,SwaptionMonthsToGo+SwaptionShift))*SUM(INDEX($FK$325:$ID$396,GS$169,1+SwaptionShift):INDEX($FK$325:$ID$396,GS$169,SwaptionMonthsToGo+SwaptionShift))))))</f>
        <v/>
      </c>
      <c r="GT201" s="150" t="str">
        <f aca="false">IF(OR(GT$169&lt;SwaptionFirstMonthPosition+1,$FJ201&lt;SwaptionFirstMonthPosition+1,GT$169&gt;SwaptionFirstMonthPosition+SwaptionNumOfMonths+1,$FJ201&gt;SwaptionFirstMonthPosition+SwaptionNumOfMonths+1),"",IF($FJ201=GT$169,1,IF($FJ201&lt;GT$169,INDEX($FK$170:$ID$241,GT$169,$FJ201),SUMPRODUCT(INDEX($FK$325:$ID$396,GT$169,1+SwaptionShift):INDEX($FK$325:$ID$396,GT$169,SwaptionMonthsToGo+SwaptionShift),INDEX($FK$245:$ID$316,$FJ201-GT$169,73-GT$169+SwaptionShift):INDEX($FK$245:$ID$316,$FJ201-GT$169,72-GT$169+SwaptionMonthsToGo+SwaptionShift))/SQRT(SUM(INDEX($FK356:$ID356,1+SwaptionShift):INDEX($FK356:$ID356,SwaptionMonthsToGo+SwaptionShift))*SUM(INDEX($FK$325:$ID$396,GT$169,1+SwaptionShift):INDEX($FK$325:$ID$396,GT$169,SwaptionMonthsToGo+SwaptionShift))))))</f>
        <v/>
      </c>
      <c r="GU201" s="150" t="str">
        <f aca="false">IF(OR(GU$169&lt;SwaptionFirstMonthPosition+1,$FJ201&lt;SwaptionFirstMonthPosition+1,GU$169&gt;SwaptionFirstMonthPosition+SwaptionNumOfMonths+1,$FJ201&gt;SwaptionFirstMonthPosition+SwaptionNumOfMonths+1),"",IF($FJ201=GU$169,1,IF($FJ201&lt;GU$169,INDEX($FK$170:$ID$241,GU$169,$FJ201),SUMPRODUCT(INDEX($FK$325:$ID$396,GU$169,1+SwaptionShift):INDEX($FK$325:$ID$396,GU$169,SwaptionMonthsToGo+SwaptionShift),INDEX($FK$245:$ID$316,$FJ201-GU$169,73-GU$169+SwaptionShift):INDEX($FK$245:$ID$316,$FJ201-GU$169,72-GU$169+SwaptionMonthsToGo+SwaptionShift))/SQRT(SUM(INDEX($FK356:$ID356,1+SwaptionShift):INDEX($FK356:$ID356,SwaptionMonthsToGo+SwaptionShift))*SUM(INDEX($FK$325:$ID$396,GU$169,1+SwaptionShift):INDEX($FK$325:$ID$396,GU$169,SwaptionMonthsToGo+SwaptionShift))))))</f>
        <v/>
      </c>
      <c r="GV201" s="150" t="str">
        <f aca="false">IF(OR(GV$169&lt;SwaptionFirstMonthPosition+1,$FJ201&lt;SwaptionFirstMonthPosition+1,GV$169&gt;SwaptionFirstMonthPosition+SwaptionNumOfMonths+1,$FJ201&gt;SwaptionFirstMonthPosition+SwaptionNumOfMonths+1),"",IF($FJ201=GV$169,1,IF($FJ201&lt;GV$169,INDEX($FK$170:$ID$241,GV$169,$FJ201),SUMPRODUCT(INDEX($FK$325:$ID$396,GV$169,1+SwaptionShift):INDEX($FK$325:$ID$396,GV$169,SwaptionMonthsToGo+SwaptionShift),INDEX($FK$245:$ID$316,$FJ201-GV$169,73-GV$169+SwaptionShift):INDEX($FK$245:$ID$316,$FJ201-GV$169,72-GV$169+SwaptionMonthsToGo+SwaptionShift))/SQRT(SUM(INDEX($FK356:$ID356,1+SwaptionShift):INDEX($FK356:$ID356,SwaptionMonthsToGo+SwaptionShift))*SUM(INDEX($FK$325:$ID$396,GV$169,1+SwaptionShift):INDEX($FK$325:$ID$396,GV$169,SwaptionMonthsToGo+SwaptionShift))))))</f>
        <v/>
      </c>
      <c r="GW201" s="150" t="str">
        <f aca="false">IF(OR(GW$169&lt;SwaptionFirstMonthPosition+1,$FJ201&lt;SwaptionFirstMonthPosition+1,GW$169&gt;SwaptionFirstMonthPosition+SwaptionNumOfMonths+1,$FJ201&gt;SwaptionFirstMonthPosition+SwaptionNumOfMonths+1),"",IF($FJ201=GW$169,1,IF($FJ201&lt;GW$169,INDEX($FK$170:$ID$241,GW$169,$FJ201),SUMPRODUCT(INDEX($FK$325:$ID$396,GW$169,1+SwaptionShift):INDEX($FK$325:$ID$396,GW$169,SwaptionMonthsToGo+SwaptionShift),INDEX($FK$245:$ID$316,$FJ201-GW$169,73-GW$169+SwaptionShift):INDEX($FK$245:$ID$316,$FJ201-GW$169,72-GW$169+SwaptionMonthsToGo+SwaptionShift))/SQRT(SUM(INDEX($FK356:$ID356,1+SwaptionShift):INDEX($FK356:$ID356,SwaptionMonthsToGo+SwaptionShift))*SUM(INDEX($FK$325:$ID$396,GW$169,1+SwaptionShift):INDEX($FK$325:$ID$396,GW$169,SwaptionMonthsToGo+SwaptionShift))))))</f>
        <v/>
      </c>
      <c r="GX201" s="150" t="str">
        <f aca="false">IF(OR(GX$169&lt;SwaptionFirstMonthPosition+1,$FJ201&lt;SwaptionFirstMonthPosition+1,GX$169&gt;SwaptionFirstMonthPosition+SwaptionNumOfMonths+1,$FJ201&gt;SwaptionFirstMonthPosition+SwaptionNumOfMonths+1),"",IF($FJ201=GX$169,1,IF($FJ201&lt;GX$169,INDEX($FK$170:$ID$241,GX$169,$FJ201),SUMPRODUCT(INDEX($FK$325:$ID$396,GX$169,1+SwaptionShift):INDEX($FK$325:$ID$396,GX$169,SwaptionMonthsToGo+SwaptionShift),INDEX($FK$245:$ID$316,$FJ201-GX$169,73-GX$169+SwaptionShift):INDEX($FK$245:$ID$316,$FJ201-GX$169,72-GX$169+SwaptionMonthsToGo+SwaptionShift))/SQRT(SUM(INDEX($FK356:$ID356,1+SwaptionShift):INDEX($FK356:$ID356,SwaptionMonthsToGo+SwaptionShift))*SUM(INDEX($FK$325:$ID$396,GX$169,1+SwaptionShift):INDEX($FK$325:$ID$396,GX$169,SwaptionMonthsToGo+SwaptionShift))))))</f>
        <v/>
      </c>
      <c r="GY201" s="150" t="str">
        <f aca="false">IF(OR(GY$169&lt;SwaptionFirstMonthPosition+1,$FJ201&lt;SwaptionFirstMonthPosition+1,GY$169&gt;SwaptionFirstMonthPosition+SwaptionNumOfMonths+1,$FJ201&gt;SwaptionFirstMonthPosition+SwaptionNumOfMonths+1),"",IF($FJ201=GY$169,1,IF($FJ201&lt;GY$169,INDEX($FK$170:$ID$241,GY$169,$FJ201),SUMPRODUCT(INDEX($FK$325:$ID$396,GY$169,1+SwaptionShift):INDEX($FK$325:$ID$396,GY$169,SwaptionMonthsToGo+SwaptionShift),INDEX($FK$245:$ID$316,$FJ201-GY$169,73-GY$169+SwaptionShift):INDEX($FK$245:$ID$316,$FJ201-GY$169,72-GY$169+SwaptionMonthsToGo+SwaptionShift))/SQRT(SUM(INDEX($FK356:$ID356,1+SwaptionShift):INDEX($FK356:$ID356,SwaptionMonthsToGo+SwaptionShift))*SUM(INDEX($FK$325:$ID$396,GY$169,1+SwaptionShift):INDEX($FK$325:$ID$396,GY$169,SwaptionMonthsToGo+SwaptionShift))))))</f>
        <v/>
      </c>
      <c r="GZ201" s="150" t="str">
        <f aca="false">IF(OR(GZ$169&lt;SwaptionFirstMonthPosition+1,$FJ201&lt;SwaptionFirstMonthPosition+1,GZ$169&gt;SwaptionFirstMonthPosition+SwaptionNumOfMonths+1,$FJ201&gt;SwaptionFirstMonthPosition+SwaptionNumOfMonths+1),"",IF($FJ201=GZ$169,1,IF($FJ201&lt;GZ$169,INDEX($FK$170:$ID$241,GZ$169,$FJ201),SUMPRODUCT(INDEX($FK$325:$ID$396,GZ$169,1+SwaptionShift):INDEX($FK$325:$ID$396,GZ$169,SwaptionMonthsToGo+SwaptionShift),INDEX($FK$245:$ID$316,$FJ201-GZ$169,73-GZ$169+SwaptionShift):INDEX($FK$245:$ID$316,$FJ201-GZ$169,72-GZ$169+SwaptionMonthsToGo+SwaptionShift))/SQRT(SUM(INDEX($FK356:$ID356,1+SwaptionShift):INDEX($FK356:$ID356,SwaptionMonthsToGo+SwaptionShift))*SUM(INDEX($FK$325:$ID$396,GZ$169,1+SwaptionShift):INDEX($FK$325:$ID$396,GZ$169,SwaptionMonthsToGo+SwaptionShift))))))</f>
        <v/>
      </c>
      <c r="HA201" s="150" t="str">
        <f aca="false">IF(OR(HA$169&lt;SwaptionFirstMonthPosition+1,$FJ201&lt;SwaptionFirstMonthPosition+1,HA$169&gt;SwaptionFirstMonthPosition+SwaptionNumOfMonths+1,$FJ201&gt;SwaptionFirstMonthPosition+SwaptionNumOfMonths+1),"",IF($FJ201=HA$169,1,IF($FJ201&lt;HA$169,INDEX($FK$170:$ID$241,HA$169,$FJ201),SUMPRODUCT(INDEX($FK$325:$ID$396,HA$169,1+SwaptionShift):INDEX($FK$325:$ID$396,HA$169,SwaptionMonthsToGo+SwaptionShift),INDEX($FK$245:$ID$316,$FJ201-HA$169,73-HA$169+SwaptionShift):INDEX($FK$245:$ID$316,$FJ201-HA$169,72-HA$169+SwaptionMonthsToGo+SwaptionShift))/SQRT(SUM(INDEX($FK356:$ID356,1+SwaptionShift):INDEX($FK356:$ID356,SwaptionMonthsToGo+SwaptionShift))*SUM(INDEX($FK$325:$ID$396,HA$169,1+SwaptionShift):INDEX($FK$325:$ID$396,HA$169,SwaptionMonthsToGo+SwaptionShift))))))</f>
        <v/>
      </c>
      <c r="HB201" s="150" t="str">
        <f aca="false">IF(OR(HB$169&lt;SwaptionFirstMonthPosition+1,$FJ201&lt;SwaptionFirstMonthPosition+1,HB$169&gt;SwaptionFirstMonthPosition+SwaptionNumOfMonths+1,$FJ201&gt;SwaptionFirstMonthPosition+SwaptionNumOfMonths+1),"",IF($FJ201=HB$169,1,IF($FJ201&lt;HB$169,INDEX($FK$170:$ID$241,HB$169,$FJ201),SUMPRODUCT(INDEX($FK$325:$ID$396,HB$169,1+SwaptionShift):INDEX($FK$325:$ID$396,HB$169,SwaptionMonthsToGo+SwaptionShift),INDEX($FK$245:$ID$316,$FJ201-HB$169,73-HB$169+SwaptionShift):INDEX($FK$245:$ID$316,$FJ201-HB$169,72-HB$169+SwaptionMonthsToGo+SwaptionShift))/SQRT(SUM(INDEX($FK356:$ID356,1+SwaptionShift):INDEX($FK356:$ID356,SwaptionMonthsToGo+SwaptionShift))*SUM(INDEX($FK$325:$ID$396,HB$169,1+SwaptionShift):INDEX($FK$325:$ID$396,HB$169,SwaptionMonthsToGo+SwaptionShift))))))</f>
        <v/>
      </c>
      <c r="HC201" s="150" t="str">
        <f aca="false">IF(OR(HC$169&lt;SwaptionFirstMonthPosition+1,$FJ201&lt;SwaptionFirstMonthPosition+1,HC$169&gt;SwaptionFirstMonthPosition+SwaptionNumOfMonths+1,$FJ201&gt;SwaptionFirstMonthPosition+SwaptionNumOfMonths+1),"",IF($FJ201=HC$169,1,IF($FJ201&lt;HC$169,INDEX($FK$170:$ID$241,HC$169,$FJ201),SUMPRODUCT(INDEX($FK$325:$ID$396,HC$169,1+SwaptionShift):INDEX($FK$325:$ID$396,HC$169,SwaptionMonthsToGo+SwaptionShift),INDEX($FK$245:$ID$316,$FJ201-HC$169,73-HC$169+SwaptionShift):INDEX($FK$245:$ID$316,$FJ201-HC$169,72-HC$169+SwaptionMonthsToGo+SwaptionShift))/SQRT(SUM(INDEX($FK356:$ID356,1+SwaptionShift):INDEX($FK356:$ID356,SwaptionMonthsToGo+SwaptionShift))*SUM(INDEX($FK$325:$ID$396,HC$169,1+SwaptionShift):INDEX($FK$325:$ID$396,HC$169,SwaptionMonthsToGo+SwaptionShift))))))</f>
        <v/>
      </c>
      <c r="HD201" s="150" t="str">
        <f aca="false">IF(OR(HD$169&lt;SwaptionFirstMonthPosition+1,$FJ201&lt;SwaptionFirstMonthPosition+1,HD$169&gt;SwaptionFirstMonthPosition+SwaptionNumOfMonths+1,$FJ201&gt;SwaptionFirstMonthPosition+SwaptionNumOfMonths+1),"",IF($FJ201=HD$169,1,IF($FJ201&lt;HD$169,INDEX($FK$170:$ID$241,HD$169,$FJ201),SUMPRODUCT(INDEX($FK$325:$ID$396,HD$169,1+SwaptionShift):INDEX($FK$325:$ID$396,HD$169,SwaptionMonthsToGo+SwaptionShift),INDEX($FK$245:$ID$316,$FJ201-HD$169,73-HD$169+SwaptionShift):INDEX($FK$245:$ID$316,$FJ201-HD$169,72-HD$169+SwaptionMonthsToGo+SwaptionShift))/SQRT(SUM(INDEX($FK356:$ID356,1+SwaptionShift):INDEX($FK356:$ID356,SwaptionMonthsToGo+SwaptionShift))*SUM(INDEX($FK$325:$ID$396,HD$169,1+SwaptionShift):INDEX($FK$325:$ID$396,HD$169,SwaptionMonthsToGo+SwaptionShift))))))</f>
        <v/>
      </c>
      <c r="HE201" s="150" t="str">
        <f aca="false">IF(OR(HE$169&lt;SwaptionFirstMonthPosition+1,$FJ201&lt;SwaptionFirstMonthPosition+1,HE$169&gt;SwaptionFirstMonthPosition+SwaptionNumOfMonths+1,$FJ201&gt;SwaptionFirstMonthPosition+SwaptionNumOfMonths+1),"",IF($FJ201=HE$169,1,IF($FJ201&lt;HE$169,INDEX($FK$170:$ID$241,HE$169,$FJ201),SUMPRODUCT(INDEX($FK$325:$ID$396,HE$169,1+SwaptionShift):INDEX($FK$325:$ID$396,HE$169,SwaptionMonthsToGo+SwaptionShift),INDEX($FK$245:$ID$316,$FJ201-HE$169,73-HE$169+SwaptionShift):INDEX($FK$245:$ID$316,$FJ201-HE$169,72-HE$169+SwaptionMonthsToGo+SwaptionShift))/SQRT(SUM(INDEX($FK356:$ID356,1+SwaptionShift):INDEX($FK356:$ID356,SwaptionMonthsToGo+SwaptionShift))*SUM(INDEX($FK$325:$ID$396,HE$169,1+SwaptionShift):INDEX($FK$325:$ID$396,HE$169,SwaptionMonthsToGo+SwaptionShift))))))</f>
        <v/>
      </c>
      <c r="HF201" s="150" t="str">
        <f aca="false">IF(OR(HF$169&lt;SwaptionFirstMonthPosition+1,$FJ201&lt;SwaptionFirstMonthPosition+1,HF$169&gt;SwaptionFirstMonthPosition+SwaptionNumOfMonths+1,$FJ201&gt;SwaptionFirstMonthPosition+SwaptionNumOfMonths+1),"",IF($FJ201=HF$169,1,IF($FJ201&lt;HF$169,INDEX($FK$170:$ID$241,HF$169,$FJ201),SUMPRODUCT(INDEX($FK$325:$ID$396,HF$169,1+SwaptionShift):INDEX($FK$325:$ID$396,HF$169,SwaptionMonthsToGo+SwaptionShift),INDEX($FK$245:$ID$316,$FJ201-HF$169,73-HF$169+SwaptionShift):INDEX($FK$245:$ID$316,$FJ201-HF$169,72-HF$169+SwaptionMonthsToGo+SwaptionShift))/SQRT(SUM(INDEX($FK356:$ID356,1+SwaptionShift):INDEX($FK356:$ID356,SwaptionMonthsToGo+SwaptionShift))*SUM(INDEX($FK$325:$ID$396,HF$169,1+SwaptionShift):INDEX($FK$325:$ID$396,HF$169,SwaptionMonthsToGo+SwaptionShift))))))</f>
        <v/>
      </c>
      <c r="HG201" s="150" t="str">
        <f aca="false">IF(OR(HG$169&lt;SwaptionFirstMonthPosition+1,$FJ201&lt;SwaptionFirstMonthPosition+1,HG$169&gt;SwaptionFirstMonthPosition+SwaptionNumOfMonths+1,$FJ201&gt;SwaptionFirstMonthPosition+SwaptionNumOfMonths+1),"",IF($FJ201=HG$169,1,IF($FJ201&lt;HG$169,INDEX($FK$170:$ID$241,HG$169,$FJ201),SUMPRODUCT(INDEX($FK$325:$ID$396,HG$169,1+SwaptionShift):INDEX($FK$325:$ID$396,HG$169,SwaptionMonthsToGo+SwaptionShift),INDEX($FK$245:$ID$316,$FJ201-HG$169,73-HG$169+SwaptionShift):INDEX($FK$245:$ID$316,$FJ201-HG$169,72-HG$169+SwaptionMonthsToGo+SwaptionShift))/SQRT(SUM(INDEX($FK356:$ID356,1+SwaptionShift):INDEX($FK356:$ID356,SwaptionMonthsToGo+SwaptionShift))*SUM(INDEX($FK$325:$ID$396,HG$169,1+SwaptionShift):INDEX($FK$325:$ID$396,HG$169,SwaptionMonthsToGo+SwaptionShift))))))</f>
        <v/>
      </c>
      <c r="HH201" s="150" t="str">
        <f aca="false">IF(OR(HH$169&lt;SwaptionFirstMonthPosition+1,$FJ201&lt;SwaptionFirstMonthPosition+1,HH$169&gt;SwaptionFirstMonthPosition+SwaptionNumOfMonths+1,$FJ201&gt;SwaptionFirstMonthPosition+SwaptionNumOfMonths+1),"",IF($FJ201=HH$169,1,IF($FJ201&lt;HH$169,INDEX($FK$170:$ID$241,HH$169,$FJ201),SUMPRODUCT(INDEX($FK$325:$ID$396,HH$169,1+SwaptionShift):INDEX($FK$325:$ID$396,HH$169,SwaptionMonthsToGo+SwaptionShift),INDEX($FK$245:$ID$316,$FJ201-HH$169,73-HH$169+SwaptionShift):INDEX($FK$245:$ID$316,$FJ201-HH$169,72-HH$169+SwaptionMonthsToGo+SwaptionShift))/SQRT(SUM(INDEX($FK356:$ID356,1+SwaptionShift):INDEX($FK356:$ID356,SwaptionMonthsToGo+SwaptionShift))*SUM(INDEX($FK$325:$ID$396,HH$169,1+SwaptionShift):INDEX($FK$325:$ID$396,HH$169,SwaptionMonthsToGo+SwaptionShift))))))</f>
        <v/>
      </c>
      <c r="HI201" s="150" t="str">
        <f aca="false">IF(OR(HI$169&lt;SwaptionFirstMonthPosition+1,$FJ201&lt;SwaptionFirstMonthPosition+1,HI$169&gt;SwaptionFirstMonthPosition+SwaptionNumOfMonths+1,$FJ201&gt;SwaptionFirstMonthPosition+SwaptionNumOfMonths+1),"",IF($FJ201=HI$169,1,IF($FJ201&lt;HI$169,INDEX($FK$170:$ID$241,HI$169,$FJ201),SUMPRODUCT(INDEX($FK$325:$ID$396,HI$169,1+SwaptionShift):INDEX($FK$325:$ID$396,HI$169,SwaptionMonthsToGo+SwaptionShift),INDEX($FK$245:$ID$316,$FJ201-HI$169,73-HI$169+SwaptionShift):INDEX($FK$245:$ID$316,$FJ201-HI$169,72-HI$169+SwaptionMonthsToGo+SwaptionShift))/SQRT(SUM(INDEX($FK356:$ID356,1+SwaptionShift):INDEX($FK356:$ID356,SwaptionMonthsToGo+SwaptionShift))*SUM(INDEX($FK$325:$ID$396,HI$169,1+SwaptionShift):INDEX($FK$325:$ID$396,HI$169,SwaptionMonthsToGo+SwaptionShift))))))</f>
        <v/>
      </c>
      <c r="HJ201" s="150" t="str">
        <f aca="false">IF(OR(HJ$169&lt;SwaptionFirstMonthPosition+1,$FJ201&lt;SwaptionFirstMonthPosition+1,HJ$169&gt;SwaptionFirstMonthPosition+SwaptionNumOfMonths+1,$FJ201&gt;SwaptionFirstMonthPosition+SwaptionNumOfMonths+1),"",IF($FJ201=HJ$169,1,IF($FJ201&lt;HJ$169,INDEX($FK$170:$ID$241,HJ$169,$FJ201),SUMPRODUCT(INDEX($FK$325:$ID$396,HJ$169,1+SwaptionShift):INDEX($FK$325:$ID$396,HJ$169,SwaptionMonthsToGo+SwaptionShift),INDEX($FK$245:$ID$316,$FJ201-HJ$169,73-HJ$169+SwaptionShift):INDEX($FK$245:$ID$316,$FJ201-HJ$169,72-HJ$169+SwaptionMonthsToGo+SwaptionShift))/SQRT(SUM(INDEX($FK356:$ID356,1+SwaptionShift):INDEX($FK356:$ID356,SwaptionMonthsToGo+SwaptionShift))*SUM(INDEX($FK$325:$ID$396,HJ$169,1+SwaptionShift):INDEX($FK$325:$ID$396,HJ$169,SwaptionMonthsToGo+SwaptionShift))))))</f>
        <v/>
      </c>
      <c r="HK201" s="150" t="str">
        <f aca="false">IF(OR(HK$169&lt;SwaptionFirstMonthPosition+1,$FJ201&lt;SwaptionFirstMonthPosition+1,HK$169&gt;SwaptionFirstMonthPosition+SwaptionNumOfMonths+1,$FJ201&gt;SwaptionFirstMonthPosition+SwaptionNumOfMonths+1),"",IF($FJ201=HK$169,1,IF($FJ201&lt;HK$169,INDEX($FK$170:$ID$241,HK$169,$FJ201),SUMPRODUCT(INDEX($FK$325:$ID$396,HK$169,1+SwaptionShift):INDEX($FK$325:$ID$396,HK$169,SwaptionMonthsToGo+SwaptionShift),INDEX($FK$245:$ID$316,$FJ201-HK$169,73-HK$169+SwaptionShift):INDEX($FK$245:$ID$316,$FJ201-HK$169,72-HK$169+SwaptionMonthsToGo+SwaptionShift))/SQRT(SUM(INDEX($FK356:$ID356,1+SwaptionShift):INDEX($FK356:$ID356,SwaptionMonthsToGo+SwaptionShift))*SUM(INDEX($FK$325:$ID$396,HK$169,1+SwaptionShift):INDEX($FK$325:$ID$396,HK$169,SwaptionMonthsToGo+SwaptionShift))))))</f>
        <v/>
      </c>
      <c r="HL201" s="150" t="str">
        <f aca="false">IF(OR(HL$169&lt;SwaptionFirstMonthPosition+1,$FJ201&lt;SwaptionFirstMonthPosition+1,HL$169&gt;SwaptionFirstMonthPosition+SwaptionNumOfMonths+1,$FJ201&gt;SwaptionFirstMonthPosition+SwaptionNumOfMonths+1),"",IF($FJ201=HL$169,1,IF($FJ201&lt;HL$169,INDEX($FK$170:$ID$241,HL$169,$FJ201),SUMPRODUCT(INDEX($FK$325:$ID$396,HL$169,1+SwaptionShift):INDEX($FK$325:$ID$396,HL$169,SwaptionMonthsToGo+SwaptionShift),INDEX($FK$245:$ID$316,$FJ201-HL$169,73-HL$169+SwaptionShift):INDEX($FK$245:$ID$316,$FJ201-HL$169,72-HL$169+SwaptionMonthsToGo+SwaptionShift))/SQRT(SUM(INDEX($FK356:$ID356,1+SwaptionShift):INDEX($FK356:$ID356,SwaptionMonthsToGo+SwaptionShift))*SUM(INDEX($FK$325:$ID$396,HL$169,1+SwaptionShift):INDEX($FK$325:$ID$396,HL$169,SwaptionMonthsToGo+SwaptionShift))))))</f>
        <v/>
      </c>
      <c r="HM201" s="150" t="str">
        <f aca="false">IF(OR(HM$169&lt;SwaptionFirstMonthPosition+1,$FJ201&lt;SwaptionFirstMonthPosition+1,HM$169&gt;SwaptionFirstMonthPosition+SwaptionNumOfMonths+1,$FJ201&gt;SwaptionFirstMonthPosition+SwaptionNumOfMonths+1),"",IF($FJ201=HM$169,1,IF($FJ201&lt;HM$169,INDEX($FK$170:$ID$241,HM$169,$FJ201),SUMPRODUCT(INDEX($FK$325:$ID$396,HM$169,1+SwaptionShift):INDEX($FK$325:$ID$396,HM$169,SwaptionMonthsToGo+SwaptionShift),INDEX($FK$245:$ID$316,$FJ201-HM$169,73-HM$169+SwaptionShift):INDEX($FK$245:$ID$316,$FJ201-HM$169,72-HM$169+SwaptionMonthsToGo+SwaptionShift))/SQRT(SUM(INDEX($FK356:$ID356,1+SwaptionShift):INDEX($FK356:$ID356,SwaptionMonthsToGo+SwaptionShift))*SUM(INDEX($FK$325:$ID$396,HM$169,1+SwaptionShift):INDEX($FK$325:$ID$396,HM$169,SwaptionMonthsToGo+SwaptionShift))))))</f>
        <v/>
      </c>
      <c r="HN201" s="150" t="str">
        <f aca="false">IF(OR(HN$169&lt;SwaptionFirstMonthPosition+1,$FJ201&lt;SwaptionFirstMonthPosition+1,HN$169&gt;SwaptionFirstMonthPosition+SwaptionNumOfMonths+1,$FJ201&gt;SwaptionFirstMonthPosition+SwaptionNumOfMonths+1),"",IF($FJ201=HN$169,1,IF($FJ201&lt;HN$169,INDEX($FK$170:$ID$241,HN$169,$FJ201),SUMPRODUCT(INDEX($FK$325:$ID$396,HN$169,1+SwaptionShift):INDEX($FK$325:$ID$396,HN$169,SwaptionMonthsToGo+SwaptionShift),INDEX($FK$245:$ID$316,$FJ201-HN$169,73-HN$169+SwaptionShift):INDEX($FK$245:$ID$316,$FJ201-HN$169,72-HN$169+SwaptionMonthsToGo+SwaptionShift))/SQRT(SUM(INDEX($FK356:$ID356,1+SwaptionShift):INDEX($FK356:$ID356,SwaptionMonthsToGo+SwaptionShift))*SUM(INDEX($FK$325:$ID$396,HN$169,1+SwaptionShift):INDEX($FK$325:$ID$396,HN$169,SwaptionMonthsToGo+SwaptionShift))))))</f>
        <v/>
      </c>
      <c r="HO201" s="150" t="str">
        <f aca="false">IF(OR(HO$169&lt;SwaptionFirstMonthPosition+1,$FJ201&lt;SwaptionFirstMonthPosition+1,HO$169&gt;SwaptionFirstMonthPosition+SwaptionNumOfMonths+1,$FJ201&gt;SwaptionFirstMonthPosition+SwaptionNumOfMonths+1),"",IF($FJ201=HO$169,1,IF($FJ201&lt;HO$169,INDEX($FK$170:$ID$241,HO$169,$FJ201),SUMPRODUCT(INDEX($FK$325:$ID$396,HO$169,1+SwaptionShift):INDEX($FK$325:$ID$396,HO$169,SwaptionMonthsToGo+SwaptionShift),INDEX($FK$245:$ID$316,$FJ201-HO$169,73-HO$169+SwaptionShift):INDEX($FK$245:$ID$316,$FJ201-HO$169,72-HO$169+SwaptionMonthsToGo+SwaptionShift))/SQRT(SUM(INDEX($FK356:$ID356,1+SwaptionShift):INDEX($FK356:$ID356,SwaptionMonthsToGo+SwaptionShift))*SUM(INDEX($FK$325:$ID$396,HO$169,1+SwaptionShift):INDEX($FK$325:$ID$396,HO$169,SwaptionMonthsToGo+SwaptionShift))))))</f>
        <v/>
      </c>
      <c r="HP201" s="150" t="str">
        <f aca="false">IF(OR(HP$169&lt;SwaptionFirstMonthPosition+1,$FJ201&lt;SwaptionFirstMonthPosition+1,HP$169&gt;SwaptionFirstMonthPosition+SwaptionNumOfMonths+1,$FJ201&gt;SwaptionFirstMonthPosition+SwaptionNumOfMonths+1),"",IF($FJ201=HP$169,1,IF($FJ201&lt;HP$169,INDEX($FK$170:$ID$241,HP$169,$FJ201),SUMPRODUCT(INDEX($FK$325:$ID$396,HP$169,1+SwaptionShift):INDEX($FK$325:$ID$396,HP$169,SwaptionMonthsToGo+SwaptionShift),INDEX($FK$245:$ID$316,$FJ201-HP$169,73-HP$169+SwaptionShift):INDEX($FK$245:$ID$316,$FJ201-HP$169,72-HP$169+SwaptionMonthsToGo+SwaptionShift))/SQRT(SUM(INDEX($FK356:$ID356,1+SwaptionShift):INDEX($FK356:$ID356,SwaptionMonthsToGo+SwaptionShift))*SUM(INDEX($FK$325:$ID$396,HP$169,1+SwaptionShift):INDEX($FK$325:$ID$396,HP$169,SwaptionMonthsToGo+SwaptionShift))))))</f>
        <v/>
      </c>
      <c r="HQ201" s="150" t="str">
        <f aca="false">IF(OR(HQ$169&lt;SwaptionFirstMonthPosition+1,$FJ201&lt;SwaptionFirstMonthPosition+1,HQ$169&gt;SwaptionFirstMonthPosition+SwaptionNumOfMonths+1,$FJ201&gt;SwaptionFirstMonthPosition+SwaptionNumOfMonths+1),"",IF($FJ201=HQ$169,1,IF($FJ201&lt;HQ$169,INDEX($FK$170:$ID$241,HQ$169,$FJ201),SUMPRODUCT(INDEX($FK$325:$ID$396,HQ$169,1+SwaptionShift):INDEX($FK$325:$ID$396,HQ$169,SwaptionMonthsToGo+SwaptionShift),INDEX($FK$245:$ID$316,$FJ201-HQ$169,73-HQ$169+SwaptionShift):INDEX($FK$245:$ID$316,$FJ201-HQ$169,72-HQ$169+SwaptionMonthsToGo+SwaptionShift))/SQRT(SUM(INDEX($FK356:$ID356,1+SwaptionShift):INDEX($FK356:$ID356,SwaptionMonthsToGo+SwaptionShift))*SUM(INDEX($FK$325:$ID$396,HQ$169,1+SwaptionShift):INDEX($FK$325:$ID$396,HQ$169,SwaptionMonthsToGo+SwaptionShift))))))</f>
        <v/>
      </c>
      <c r="HR201" s="150" t="str">
        <f aca="false">IF(OR(HR$169&lt;SwaptionFirstMonthPosition+1,$FJ201&lt;SwaptionFirstMonthPosition+1,HR$169&gt;SwaptionFirstMonthPosition+SwaptionNumOfMonths+1,$FJ201&gt;SwaptionFirstMonthPosition+SwaptionNumOfMonths+1),"",IF($FJ201=HR$169,1,IF($FJ201&lt;HR$169,INDEX($FK$170:$ID$241,HR$169,$FJ201),SUMPRODUCT(INDEX($FK$325:$ID$396,HR$169,1+SwaptionShift):INDEX($FK$325:$ID$396,HR$169,SwaptionMonthsToGo+SwaptionShift),INDEX($FK$245:$ID$316,$FJ201-HR$169,73-HR$169+SwaptionShift):INDEX($FK$245:$ID$316,$FJ201-HR$169,72-HR$169+SwaptionMonthsToGo+SwaptionShift))/SQRT(SUM(INDEX($FK356:$ID356,1+SwaptionShift):INDEX($FK356:$ID356,SwaptionMonthsToGo+SwaptionShift))*SUM(INDEX($FK$325:$ID$396,HR$169,1+SwaptionShift):INDEX($FK$325:$ID$396,HR$169,SwaptionMonthsToGo+SwaptionShift))))))</f>
        <v/>
      </c>
      <c r="HS201" s="150" t="str">
        <f aca="false">IF(OR(HS$169&lt;SwaptionFirstMonthPosition+1,$FJ201&lt;SwaptionFirstMonthPosition+1,HS$169&gt;SwaptionFirstMonthPosition+SwaptionNumOfMonths+1,$FJ201&gt;SwaptionFirstMonthPosition+SwaptionNumOfMonths+1),"",IF($FJ201=HS$169,1,IF($FJ201&lt;HS$169,INDEX($FK$170:$ID$241,HS$169,$FJ201),SUMPRODUCT(INDEX($FK$325:$ID$396,HS$169,1+SwaptionShift):INDEX($FK$325:$ID$396,HS$169,SwaptionMonthsToGo+SwaptionShift),INDEX($FK$245:$ID$316,$FJ201-HS$169,73-HS$169+SwaptionShift):INDEX($FK$245:$ID$316,$FJ201-HS$169,72-HS$169+SwaptionMonthsToGo+SwaptionShift))/SQRT(SUM(INDEX($FK356:$ID356,1+SwaptionShift):INDEX($FK356:$ID356,SwaptionMonthsToGo+SwaptionShift))*SUM(INDEX($FK$325:$ID$396,HS$169,1+SwaptionShift):INDEX($FK$325:$ID$396,HS$169,SwaptionMonthsToGo+SwaptionShift))))))</f>
        <v/>
      </c>
      <c r="HT201" s="150" t="str">
        <f aca="false">IF(OR(HT$169&lt;SwaptionFirstMonthPosition+1,$FJ201&lt;SwaptionFirstMonthPosition+1,HT$169&gt;SwaptionFirstMonthPosition+SwaptionNumOfMonths+1,$FJ201&gt;SwaptionFirstMonthPosition+SwaptionNumOfMonths+1),"",IF($FJ201=HT$169,1,IF($FJ201&lt;HT$169,INDEX($FK$170:$ID$241,HT$169,$FJ201),SUMPRODUCT(INDEX($FK$325:$ID$396,HT$169,1+SwaptionShift):INDEX($FK$325:$ID$396,HT$169,SwaptionMonthsToGo+SwaptionShift),INDEX($FK$245:$ID$316,$FJ201-HT$169,73-HT$169+SwaptionShift):INDEX($FK$245:$ID$316,$FJ201-HT$169,72-HT$169+SwaptionMonthsToGo+SwaptionShift))/SQRT(SUM(INDEX($FK356:$ID356,1+SwaptionShift):INDEX($FK356:$ID356,SwaptionMonthsToGo+SwaptionShift))*SUM(INDEX($FK$325:$ID$396,HT$169,1+SwaptionShift):INDEX($FK$325:$ID$396,HT$169,SwaptionMonthsToGo+SwaptionShift))))))</f>
        <v/>
      </c>
      <c r="HU201" s="150" t="str">
        <f aca="false">IF(OR(HU$169&lt;SwaptionFirstMonthPosition+1,$FJ201&lt;SwaptionFirstMonthPosition+1,HU$169&gt;SwaptionFirstMonthPosition+SwaptionNumOfMonths+1,$FJ201&gt;SwaptionFirstMonthPosition+SwaptionNumOfMonths+1),"",IF($FJ201=HU$169,1,IF($FJ201&lt;HU$169,INDEX($FK$170:$ID$241,HU$169,$FJ201),SUMPRODUCT(INDEX($FK$325:$ID$396,HU$169,1+SwaptionShift):INDEX($FK$325:$ID$396,HU$169,SwaptionMonthsToGo+SwaptionShift),INDEX($FK$245:$ID$316,$FJ201-HU$169,73-HU$169+SwaptionShift):INDEX($FK$245:$ID$316,$FJ201-HU$169,72-HU$169+SwaptionMonthsToGo+SwaptionShift))/SQRT(SUM(INDEX($FK356:$ID356,1+SwaptionShift):INDEX($FK356:$ID356,SwaptionMonthsToGo+SwaptionShift))*SUM(INDEX($FK$325:$ID$396,HU$169,1+SwaptionShift):INDEX($FK$325:$ID$396,HU$169,SwaptionMonthsToGo+SwaptionShift))))))</f>
        <v/>
      </c>
      <c r="HV201" s="150" t="str">
        <f aca="false">IF(OR(HV$169&lt;SwaptionFirstMonthPosition+1,$FJ201&lt;SwaptionFirstMonthPosition+1,HV$169&gt;SwaptionFirstMonthPosition+SwaptionNumOfMonths+1,$FJ201&gt;SwaptionFirstMonthPosition+SwaptionNumOfMonths+1),"",IF($FJ201=HV$169,1,IF($FJ201&lt;HV$169,INDEX($FK$170:$ID$241,HV$169,$FJ201),SUMPRODUCT(INDEX($FK$325:$ID$396,HV$169,1+SwaptionShift):INDEX($FK$325:$ID$396,HV$169,SwaptionMonthsToGo+SwaptionShift),INDEX($FK$245:$ID$316,$FJ201-HV$169,73-HV$169+SwaptionShift):INDEX($FK$245:$ID$316,$FJ201-HV$169,72-HV$169+SwaptionMonthsToGo+SwaptionShift))/SQRT(SUM(INDEX($FK356:$ID356,1+SwaptionShift):INDEX($FK356:$ID356,SwaptionMonthsToGo+SwaptionShift))*SUM(INDEX($FK$325:$ID$396,HV$169,1+SwaptionShift):INDEX($FK$325:$ID$396,HV$169,SwaptionMonthsToGo+SwaptionShift))))))</f>
        <v/>
      </c>
      <c r="HW201" s="150" t="str">
        <f aca="false">IF(OR(HW$169&lt;SwaptionFirstMonthPosition+1,$FJ201&lt;SwaptionFirstMonthPosition+1,HW$169&gt;SwaptionFirstMonthPosition+SwaptionNumOfMonths+1,$FJ201&gt;SwaptionFirstMonthPosition+SwaptionNumOfMonths+1),"",IF($FJ201=HW$169,1,IF($FJ201&lt;HW$169,INDEX($FK$170:$ID$241,HW$169,$FJ201),SUMPRODUCT(INDEX($FK$325:$ID$396,HW$169,1+SwaptionShift):INDEX($FK$325:$ID$396,HW$169,SwaptionMonthsToGo+SwaptionShift),INDEX($FK$245:$ID$316,$FJ201-HW$169,73-HW$169+SwaptionShift):INDEX($FK$245:$ID$316,$FJ201-HW$169,72-HW$169+SwaptionMonthsToGo+SwaptionShift))/SQRT(SUM(INDEX($FK356:$ID356,1+SwaptionShift):INDEX($FK356:$ID356,SwaptionMonthsToGo+SwaptionShift))*SUM(INDEX($FK$325:$ID$396,HW$169,1+SwaptionShift):INDEX($FK$325:$ID$396,HW$169,SwaptionMonthsToGo+SwaptionShift))))))</f>
        <v/>
      </c>
      <c r="HX201" s="150" t="str">
        <f aca="false">IF(OR(HX$169&lt;SwaptionFirstMonthPosition+1,$FJ201&lt;SwaptionFirstMonthPosition+1,HX$169&gt;SwaptionFirstMonthPosition+SwaptionNumOfMonths+1,$FJ201&gt;SwaptionFirstMonthPosition+SwaptionNumOfMonths+1),"",IF($FJ201=HX$169,1,IF($FJ201&lt;HX$169,INDEX($FK$170:$ID$241,HX$169,$FJ201),SUMPRODUCT(INDEX($FK$325:$ID$396,HX$169,1+SwaptionShift):INDEX($FK$325:$ID$396,HX$169,SwaptionMonthsToGo+SwaptionShift),INDEX($FK$245:$ID$316,$FJ201-HX$169,73-HX$169+SwaptionShift):INDEX($FK$245:$ID$316,$FJ201-HX$169,72-HX$169+SwaptionMonthsToGo+SwaptionShift))/SQRT(SUM(INDEX($FK356:$ID356,1+SwaptionShift):INDEX($FK356:$ID356,SwaptionMonthsToGo+SwaptionShift))*SUM(INDEX($FK$325:$ID$396,HX$169,1+SwaptionShift):INDEX($FK$325:$ID$396,HX$169,SwaptionMonthsToGo+SwaptionShift))))))</f>
        <v/>
      </c>
      <c r="HY201" s="150" t="str">
        <f aca="false">IF(OR(HY$169&lt;SwaptionFirstMonthPosition+1,$FJ201&lt;SwaptionFirstMonthPosition+1,HY$169&gt;SwaptionFirstMonthPosition+SwaptionNumOfMonths+1,$FJ201&gt;SwaptionFirstMonthPosition+SwaptionNumOfMonths+1),"",IF($FJ201=HY$169,1,IF($FJ201&lt;HY$169,INDEX($FK$170:$ID$241,HY$169,$FJ201),SUMPRODUCT(INDEX($FK$325:$ID$396,HY$169,1+SwaptionShift):INDEX($FK$325:$ID$396,HY$169,SwaptionMonthsToGo+SwaptionShift),INDEX($FK$245:$ID$316,$FJ201-HY$169,73-HY$169+SwaptionShift):INDEX($FK$245:$ID$316,$FJ201-HY$169,72-HY$169+SwaptionMonthsToGo+SwaptionShift))/SQRT(SUM(INDEX($FK356:$ID356,1+SwaptionShift):INDEX($FK356:$ID356,SwaptionMonthsToGo+SwaptionShift))*SUM(INDEX($FK$325:$ID$396,HY$169,1+SwaptionShift):INDEX($FK$325:$ID$396,HY$169,SwaptionMonthsToGo+SwaptionShift))))))</f>
        <v/>
      </c>
      <c r="HZ201" s="150" t="str">
        <f aca="false">IF(OR(HZ$169&lt;SwaptionFirstMonthPosition+1,$FJ201&lt;SwaptionFirstMonthPosition+1,HZ$169&gt;SwaptionFirstMonthPosition+SwaptionNumOfMonths+1,$FJ201&gt;SwaptionFirstMonthPosition+SwaptionNumOfMonths+1),"",IF($FJ201=HZ$169,1,IF($FJ201&lt;HZ$169,INDEX($FK$170:$ID$241,HZ$169,$FJ201),SUMPRODUCT(INDEX($FK$325:$ID$396,HZ$169,1+SwaptionShift):INDEX($FK$325:$ID$396,HZ$169,SwaptionMonthsToGo+SwaptionShift),INDEX($FK$245:$ID$316,$FJ201-HZ$169,73-HZ$169+SwaptionShift):INDEX($FK$245:$ID$316,$FJ201-HZ$169,72-HZ$169+SwaptionMonthsToGo+SwaptionShift))/SQRT(SUM(INDEX($FK356:$ID356,1+SwaptionShift):INDEX($FK356:$ID356,SwaptionMonthsToGo+SwaptionShift))*SUM(INDEX($FK$325:$ID$396,HZ$169,1+SwaptionShift):INDEX($FK$325:$ID$396,HZ$169,SwaptionMonthsToGo+SwaptionShift))))))</f>
        <v/>
      </c>
      <c r="IA201" s="150" t="str">
        <f aca="false">IF(OR(IA$169&lt;SwaptionFirstMonthPosition+1,$FJ201&lt;SwaptionFirstMonthPosition+1,IA$169&gt;SwaptionFirstMonthPosition+SwaptionNumOfMonths+1,$FJ201&gt;SwaptionFirstMonthPosition+SwaptionNumOfMonths+1),"",IF($FJ201=IA$169,1,IF($FJ201&lt;IA$169,INDEX($FK$170:$ID$241,IA$169,$FJ201),SUMPRODUCT(INDEX($FK$325:$ID$396,IA$169,1+SwaptionShift):INDEX($FK$325:$ID$396,IA$169,SwaptionMonthsToGo+SwaptionShift),INDEX($FK$245:$ID$316,$FJ201-IA$169,73-IA$169+SwaptionShift):INDEX($FK$245:$ID$316,$FJ201-IA$169,72-IA$169+SwaptionMonthsToGo+SwaptionShift))/SQRT(SUM(INDEX($FK356:$ID356,1+SwaptionShift):INDEX($FK356:$ID356,SwaptionMonthsToGo+SwaptionShift))*SUM(INDEX($FK$325:$ID$396,IA$169,1+SwaptionShift):INDEX($FK$325:$ID$396,IA$169,SwaptionMonthsToGo+SwaptionShift))))))</f>
        <v/>
      </c>
      <c r="IB201" s="150" t="str">
        <f aca="false">IF(OR(IB$169&lt;SwaptionFirstMonthPosition+1,$FJ201&lt;SwaptionFirstMonthPosition+1,IB$169&gt;SwaptionFirstMonthPosition+SwaptionNumOfMonths+1,$FJ201&gt;SwaptionFirstMonthPosition+SwaptionNumOfMonths+1),"",IF($FJ201=IB$169,1,IF($FJ201&lt;IB$169,INDEX($FK$170:$ID$241,IB$169,$FJ201),SUMPRODUCT(INDEX($FK$325:$ID$396,IB$169,1+SwaptionShift):INDEX($FK$325:$ID$396,IB$169,SwaptionMonthsToGo+SwaptionShift),INDEX($FK$245:$ID$316,$FJ201-IB$169,73-IB$169+SwaptionShift):INDEX($FK$245:$ID$316,$FJ201-IB$169,72-IB$169+SwaptionMonthsToGo+SwaptionShift))/SQRT(SUM(INDEX($FK356:$ID356,1+SwaptionShift):INDEX($FK356:$ID356,SwaptionMonthsToGo+SwaptionShift))*SUM(INDEX($FK$325:$ID$396,IB$169,1+SwaptionShift):INDEX($FK$325:$ID$396,IB$169,SwaptionMonthsToGo+SwaptionShift))))))</f>
        <v/>
      </c>
      <c r="IC201" s="150" t="str">
        <f aca="false">IF(OR(IC$169&lt;SwaptionFirstMonthPosition+1,$FJ201&lt;SwaptionFirstMonthPosition+1,IC$169&gt;SwaptionFirstMonthPosition+SwaptionNumOfMonths+1,$FJ201&gt;SwaptionFirstMonthPosition+SwaptionNumOfMonths+1),"",IF($FJ201=IC$169,1,IF($FJ201&lt;IC$169,INDEX($FK$170:$ID$241,IC$169,$FJ201),SUMPRODUCT(INDEX($FK$325:$ID$396,IC$169,1+SwaptionShift):INDEX($FK$325:$ID$396,IC$169,SwaptionMonthsToGo+SwaptionShift),INDEX($FK$245:$ID$316,$FJ201-IC$169,73-IC$169+SwaptionShift):INDEX($FK$245:$ID$316,$FJ201-IC$169,72-IC$169+SwaptionMonthsToGo+SwaptionShift))/SQRT(SUM(INDEX($FK356:$ID356,1+SwaptionShift):INDEX($FK356:$ID356,SwaptionMonthsToGo+SwaptionShift))*SUM(INDEX($FK$325:$ID$396,IC$169,1+SwaptionShift):INDEX($FK$325:$ID$396,IC$169,SwaptionMonthsToGo+SwaptionShift))))))</f>
        <v/>
      </c>
      <c r="ID201" s="572" t="str">
        <f aca="false">IF(OR(ID$169&lt;SwaptionFirstMonthPosition+1,$FJ201&lt;SwaptionFirstMonthPosition+1,ID$169&gt;SwaptionFirstMonthPosition+SwaptionNumOfMonths+1,$FJ201&gt;SwaptionFirstMonthPosition+SwaptionNumOfMonths+1),"",IF($FJ201=ID$169,1,IF($FJ201&lt;ID$169,INDEX($FK$170:$ID$241,ID$169,$FJ201),SUMPRODUCT(INDEX($FK$325:$ID$396,ID$169,1+SwaptionShift):INDEX($FK$325:$ID$396,ID$169,SwaptionMonthsToGo+SwaptionShift),INDEX($FK$245:$ID$316,$FJ201-ID$169,73-ID$169+SwaptionShift):INDEX($FK$245:$ID$316,$FJ201-ID$169,72-ID$169+SwaptionMonthsToGo+SwaptionShift))/SQRT(SUM(INDEX($FK356:$ID356,1+SwaptionShift):INDEX($FK356:$ID356,SwaptionMonthsToGo+SwaptionShift))*SUM(INDEX($FK$325:$ID$396,ID$169,1+SwaptionShift):INDEX($FK$325:$ID$396,ID$169,SwaptionMonthsToGo+SwaptionShift))))))</f>
        <v/>
      </c>
      <c r="IE201" s="129"/>
    </row>
    <row r="202" customFormat="false" ht="12.75" hidden="false" customHeight="false" outlineLevel="0" collapsed="false">
      <c r="H202" s="219" t="n">
        <f aca="false">VLOOKUP(I202,$EJ$20:$EL$54,3)</f>
        <v>0</v>
      </c>
      <c r="I202" s="511" t="n">
        <f aca="false">EOMONTH(I201,0)+1</f>
        <v>42309</v>
      </c>
      <c r="J202" s="512"/>
      <c r="K202" s="513" t="s">
        <v>280</v>
      </c>
      <c r="L202" s="514" t="n">
        <f aca="false">IF(ISNUMBER(K202),J202+K202/100,IF(K202="extra",L201+VLOOKUP(BF202,PriceSpreadTable,2)/12,IF(K202="inter",interpolateprices($K$19:$L$200,ROW(K202)-ROW(FirstPricingMonth)+1),interpolatechanges($J$19:$K$200,ROW(K202)-ROW(FirstPricingMonth)+1))))</f>
        <v>3.97500000000001</v>
      </c>
      <c r="M202" s="515"/>
      <c r="N202" s="516" t="n">
        <v>0</v>
      </c>
      <c r="O202" s="515" t="n">
        <f aca="false">M202+N202</f>
        <v>0</v>
      </c>
      <c r="P202" s="512"/>
      <c r="Q202" s="513" t="s">
        <v>280</v>
      </c>
      <c r="R202" s="512" t="e">
        <f aca="false">IF(ISNUMBER(Q202),P202+Q202/100,IF(Q202="extra",(Z200*AL200-R201*AM200)/AN200,IF(Q202="inter",interpolateprices($Q$19:$R$260,ROW(Q202)-ROW(FirstPricingMonth)+1),interpolatechanges($P$19:$Q$260,ROW(Q202)-ROW(FirstPricingMonth)+1))))</f>
        <v>#VALUE!</v>
      </c>
      <c r="S202" s="597" t="n">
        <f aca="false">S$19+(S201-S$19)*S$18</f>
        <v>0.36</v>
      </c>
      <c r="T202" s="575" t="n">
        <f aca="false">SQRT((1-(1-T201^2/U201)*T$18)*U202)</f>
        <v>0.999999999999953</v>
      </c>
      <c r="U202" s="576" t="n">
        <f aca="false">1-(1-U201)*U$18</f>
        <v>1</v>
      </c>
      <c r="V202" s="521" t="n">
        <v>0</v>
      </c>
      <c r="W202" s="577" t="n">
        <f aca="false">(J203*AJ202+J204*AK202)/AI202</f>
        <v>0</v>
      </c>
      <c r="X202" s="578" t="n">
        <f aca="false">(L203*AJ202+L204*AK202)/AI202</f>
        <v>4.02321428571429</v>
      </c>
      <c r="Y202" s="579" t="n">
        <f aca="false">IF(Q204="extra",W202-AA202,(P203*AM202+P204*AN202)/AL202)</f>
        <v>-1.1931</v>
      </c>
      <c r="Z202" s="579" t="n">
        <f aca="false">IF(Q204="extra",X202-AB202,(R203*AM202+R204*AN202)/AL202)</f>
        <v>2.83011428571429</v>
      </c>
      <c r="AA202" s="523" t="n">
        <f aca="false">IF(Q204="extra",INDEX(BrentSeasonalityTable,INT((BG202-1)/3)+1)*VLOOKUP(MAX(BF202,$AB$4),PriceSpreadTable,3),W202-Y202)</f>
        <v>1.1931</v>
      </c>
      <c r="AB202" s="524" t="n">
        <f aca="false">IF(Q204="extra",INDEX(BrentSeasonalityTable,INT((BG202-1)/3)+1)*VLOOKUP(MAX(BF202,$AB$4),PriceSpreadTable,3),X202-Z202)</f>
        <v>1.1931</v>
      </c>
      <c r="AC202" s="646" t="n">
        <v>42297</v>
      </c>
      <c r="AD202" s="646" t="n">
        <v>42293</v>
      </c>
      <c r="AE202" s="646" t="n">
        <v>42292</v>
      </c>
      <c r="AF202" s="646" t="n">
        <v>42288</v>
      </c>
      <c r="AG202" s="438" t="s">
        <v>278</v>
      </c>
      <c r="AH202" s="439" t="s">
        <v>278</v>
      </c>
      <c r="AI202" s="528" t="n">
        <v>21</v>
      </c>
      <c r="AJ202" s="529" t="n">
        <v>15</v>
      </c>
      <c r="AK202" s="529" t="n">
        <v>6</v>
      </c>
      <c r="AL202" s="530" t="n">
        <v>21</v>
      </c>
      <c r="AM202" s="529" t="n">
        <v>10</v>
      </c>
      <c r="AN202" s="531" t="n">
        <v>11</v>
      </c>
      <c r="AO202" s="532"/>
      <c r="AP202" s="465" t="n">
        <f aca="false">(1+AO202/2)^(-2*BL202)</f>
        <v>1</v>
      </c>
      <c r="AQ202" s="532"/>
      <c r="AR202" s="465" t="n">
        <f aca="false">(1+AQ202/2)^(-2*BH202/365.25)</f>
        <v>1</v>
      </c>
      <c r="AS202" s="580" t="n">
        <f aca="false">(O203*AJ202+O204*AK202)/AI202</f>
        <v>0</v>
      </c>
      <c r="AT202" s="468" t="n">
        <f aca="false">O202*VLOOKUP(BF202,BrentVolTable,2)+VLOOKUP(BF202,BrentVolTable,3)</f>
        <v>0</v>
      </c>
      <c r="AU202" s="468" t="n">
        <f aca="false">(AT203*AM202+AT204*AN202)/AL202</f>
        <v>0</v>
      </c>
      <c r="AV202" s="595" t="n">
        <f aca="false">SQRT(MAX(0.000000000001,(O202^2*BH202-S202^2*(BH202-BH201))/BH201))</f>
        <v>0.0325839670679509</v>
      </c>
      <c r="AW202" s="451" t="n">
        <f aca="false">IF($I202-DateToday+15&gt;=$T$8,"",IF($I202-DateToday+15&lt;$T$5,1,MATCH($I202-DateToday+15,$T$5:$T$8)))</f>
        <v>1</v>
      </c>
      <c r="AX202" s="468" t="n">
        <f aca="false">IF($AW202="",AX201^2/AX200,INDEX(U$5:U$8,$AW202)^((INDEX($T$5:$T$8,$AW202+1)-($I202-DateToday+15))/(INDEX($T$5:$T$8,$AW202+1)-INDEX($T$5:$T$8,$AW202)))/INDEX(U$5:U$8,$AW202+1)^((INDEX($T$5:$T$8,$AW202)-($I202-DateToday+15))/(INDEX($T$5:$T$8,$AW202+1)-INDEX($T$5:$T$8,$AW202))))</f>
        <v>0.256431496649508</v>
      </c>
      <c r="AY202" s="468" t="n">
        <f aca="false">IF($AW202="",AY201^2/AY200,INDEX(V$5:V$8,$AW202)^((INDEX($T$5:$T$8,$AW202+1)-($I202-DateToday+15))/(INDEX($T$5:$T$8,$AW202+1)-INDEX($T$5:$T$8,$AW202)))/INDEX(V$5:V$8,$AW202+1)^((INDEX($T$5:$T$8,$AW202)-($I202-DateToday+15))/(INDEX($T$5:$T$8,$AW202+1)-INDEX($T$5:$T$8,$AW202))))</f>
        <v>2.44116307485082</v>
      </c>
      <c r="AZ202" s="468" t="n">
        <f aca="false">IF($AW202="",AZ201^2/AZ200,INDEX(W$5:W$8,$AW202)^((INDEX($T$5:$T$8,$AW202+1)-($I202-DateToday+15))/(INDEX($T$5:$T$8,$AW202+1)-INDEX($T$5:$T$8,$AW202)))/INDEX(W$5:W$8,$AW202+1)^((INDEX($T$5:$T$8,$AW202)-($I202-DateToday+15))/(INDEX($T$5:$T$8,$AW202+1)-INDEX($T$5:$T$8,$AW202))))</f>
        <v>220.26099595808</v>
      </c>
      <c r="BA202" s="468" t="n">
        <f aca="false">IF($AW202="",BA201^2/BA200,INDEX(X$5:X$8,$AW202)^((INDEX($T$5:$T$8,$AW202+1)-($I202-DateToday+15))/(INDEX($T$5:$T$8,$AW202+1)-INDEX($T$5:$T$8,$AW202)))/INDEX(X$5:X$8,$AW202+1)^((INDEX($T$5:$T$8,$AW202)-($I202-DateToday+15))/(INDEX($T$5:$T$8,$AW202+1)-INDEX($T$5:$T$8,$AW202))))</f>
        <v>588.352675490016</v>
      </c>
      <c r="BB202" s="468" t="n">
        <f aca="false">IF($AW202="",BB201^2/BB200,INDEX(Y$5:Y$8,$AW202)^((INDEX($T$5:$T$8,$AW202+1)-($I202-DateToday+15))/(INDEX($T$5:$T$8,$AW202+1)-INDEX($T$5:$T$8,$AW202)))/INDEX(Y$5:Y$8,$AW202+1)^((INDEX($T$5:$T$8,$AW202)-($I202-DateToday+15))/(INDEX($T$5:$T$8,$AW202+1)-INDEX($T$5:$T$8,$AW202))))</f>
        <v>2684.28935964859</v>
      </c>
      <c r="BC202" s="468" t="n">
        <f aca="false">IF($AW202="",BC201^2/BC200,INDEX(Z$5:Z$8,$AW202)^((INDEX($T$5:$T$8,$AW202+1)-($I202-DateToday+15))/(INDEX($T$5:$T$8,$AW202+1)-INDEX($T$5:$T$8,$AW202)))/INDEX(Z$5:Z$8,$AW202+1)^((INDEX($T$5:$T$8,$AW202)-($I202-DateToday+15))/(INDEX($T$5:$T$8,$AW202+1)-INDEX($T$5:$T$8,$AW202))))</f>
        <v>6826.69925364738</v>
      </c>
      <c r="BD202" s="535" t="n">
        <f aca="false">IF(OR(DateStart&gt;=I203,DateEnd&lt;I202),0,IF(VolumeOverrideFlag,V202,Volume))</f>
        <v>0</v>
      </c>
      <c r="BE202" s="536" t="n">
        <f aca="false">IF(OR(DateStart2&gt;=I203,DateEnd2&lt;I202),0,IF(VolumeOverrideFlag,V202,VolumeSwaption))</f>
        <v>0</v>
      </c>
      <c r="BF202" s="537" t="n">
        <f aca="false">YEAR(I202)</f>
        <v>2015</v>
      </c>
      <c r="BG202" s="538" t="n">
        <f aca="false">MONTH(I202)</f>
        <v>11</v>
      </c>
      <c r="BH202" s="539" t="n">
        <f aca="false">AD202-DateToday+1</f>
        <v>-3632</v>
      </c>
      <c r="BI202" s="540" t="n">
        <f aca="false">(I202-DateToday+1)/365.25</f>
        <v>-9.90006844626968</v>
      </c>
      <c r="BJ202" s="541" t="n">
        <f aca="false">BI202+(BL202-BI202)*CHOOSE(Underlying,AJ202/AI202,AM202/AL202)</f>
        <v>-9.84335582282194</v>
      </c>
      <c r="BK202" s="541" t="n">
        <f aca="false">BJ202+1/365.25</f>
        <v>-9.84061797203481</v>
      </c>
      <c r="BL202" s="541" t="n">
        <f aca="false">(I203-DateToday)/365.25</f>
        <v>-9.82067077344285</v>
      </c>
      <c r="BM202" s="542" t="e">
        <f aca="false">MAX(BI202-(BJ202-BI202)*(S203^2/O203^2-1),0)</f>
        <v>#DIV/0!</v>
      </c>
      <c r="BN202" s="541" t="e">
        <f aca="false">MAX(BL202+(BL202-BK202)*(S204^2/O204^2-1),0)</f>
        <v>#DIV/0!</v>
      </c>
      <c r="BO202" s="530" t="n">
        <f aca="false">CHOOSE(Underlying,AI202,AL202)</f>
        <v>21</v>
      </c>
      <c r="BP202" s="529" t="n">
        <f aca="false">CHOOSE(Underlying,AJ202,AM202)</f>
        <v>15</v>
      </c>
      <c r="BQ202" s="529" t="n">
        <f aca="false">CHOOSE(Underlying,AK202,AN202)</f>
        <v>6</v>
      </c>
      <c r="BR202" s="463" t="str">
        <f aca="false">IF(BD202,IF(Underlying=1,X202,Z202)+UnderlyingPriceAsian-SwapPriceCurve,"")</f>
        <v/>
      </c>
      <c r="BS202" s="463" t="str">
        <f aca="false">IF(BD202,Strike1/BR202-1,"")</f>
        <v/>
      </c>
      <c r="BT202" s="464" t="str">
        <f aca="false">IF(BD202,Strike2/BR202-1,"")</f>
        <v/>
      </c>
      <c r="BU202" s="465" t="str">
        <f aca="false">IF(BD202,IF(Underlying=1,L203,R203)+UnderlyingPriceAsian-SwapPriceCurve,"")</f>
        <v/>
      </c>
      <c r="BV202" s="465" t="str">
        <f aca="false">IF(BD202,IF(Underlying=1,L204,R204)+UnderlyingPriceAsian-SwapPriceCurve,"")</f>
        <v/>
      </c>
      <c r="BW202" s="466" t="str">
        <f aca="false">IF(BD202,IF(Underlying=1,O203,AT203),"")</f>
        <v/>
      </c>
      <c r="BX202" s="467" t="str">
        <f aca="false">IF(BD202,IF(Underlying=1,O204,AT204),"")</f>
        <v/>
      </c>
      <c r="BY202" s="466" t="str">
        <f aca="false">IF(BD202,IF(BS202&gt;0,IF(BS202&gt;0.2,BC202-BB202,IF(BS202&gt;0.1,BB202-BA202,BA202)),IF(BS202&lt;-0.2,AX202-AY202,IF(BS202&lt;-0.1,AY202-AZ202,AZ202))),"")</f>
        <v/>
      </c>
      <c r="BZ202" s="467" t="str">
        <f aca="false">IF(BD202,IF(BT202&gt;0,IF(BT202&gt;0.2,BC202-BB202,IF(BT202&gt;0.1,BB202-BA202,BA202)),IF(BT202&lt;-0.2,AX202-AY202,IF(BT202&lt;-0.1,AY202-AZ202,AZ202))),"")</f>
        <v/>
      </c>
      <c r="CA202" s="468" t="str">
        <f aca="false">IF($BD202,$BW202+IF(VolSkewFlag=1,IF(BS202&gt;0,$BA202*MIN(BS202/10%,1)+($BB202-$BA202)*MAX(0,MIN(BS202/10%-1,1))+($BC202-$BB202)*MAX(0,BS202/10%-2),$AZ202*MIN(-BS202/10%,1)+($AY202-$AZ202)*MAX(0,MIN(-BS202/10%-1,1))+($AX202-$AY202)*MAX(0,-BS202/10%-2)),0),"")</f>
        <v/>
      </c>
      <c r="CB202" s="468" t="str">
        <f aca="false">IF($BD202,$BX202+IF(VolSkewFlag=1,IF(BS202&gt;0,$BA202*MIN(BS202/10%,1)+($BB202-$BA202)*MAX(0,MIN(BS202/10%-1,1))+($BC202-$BB202)*MAX(0,BS202/10%-2),$AZ202*MIN(-BS202/10%,1)+($AY202-$AZ202)*MAX(0,MIN(-BS202/10%-1,1))+($AX202-$AY202)*MAX(0,-BS202/10%-2)),0),"")</f>
        <v/>
      </c>
      <c r="CC202" s="468" t="str">
        <f aca="false">IF($BD202,$BW202+IF(VolSkewFlag=1,IF(BT202&gt;0,$BA202*MIN(BT202/10%,1)+($BB202-$BA202)*MAX(0,MIN(BT202/10%-1,1))+($BC202-$BB202)*MAX(0,BT202/10%-2),$AZ202*MIN(-BT202/10%,1)+($AY202-$AZ202)*MAX(0,MIN(-BT202/10%-1,1))+($AX202-$AY202)*MAX(0,-BT202/10%-2)),0),"")</f>
        <v/>
      </c>
      <c r="CD202" s="468" t="str">
        <f aca="false">IF($BD202,$BX202+IF(VolSkewFlag=1,IF(BT202&gt;0,$BA202*MIN(BT202/10%,1)+($BB202-$BA202)*MAX(0,MIN(BT202/10%-1,1))+($BC202-$BB202)*MAX(0,BT202/10%-2),$AZ202*MIN(-BT202/10%,1)+($AY202-$AZ202)*MAX(0,MIN(-BT202/10%-1,1))+($AX202-$AY202)*MAX(0,-BT202/10%-2)),0),"")</f>
        <v/>
      </c>
      <c r="CE202" s="469" t="n">
        <v>1</v>
      </c>
      <c r="CF202" s="470" t="n">
        <f aca="false">IF(BD202,xCrudeAPO(BU202,BV202,CA202,CB202,S203,S204,BI202,BL202,BP202,BQ202,0,Strike1,AO202,CE202,0,BL202,IF(OptControl=4,0,1),0,1),0)</f>
        <v>0</v>
      </c>
      <c r="CG202" s="470" t="n">
        <f aca="false">IF(BD202,xCrudeAPO(BU202,BV202,CA202,CB202,S203,S204,BI202,BL202,BP202,BQ202,0,Strike1,AO202,CE202,0,BL202,IF(OptControl=4,0,1),1,1)+xCrudeAPO(BU202,BV202,CA202,CB202,S203,S204,BI202,BL202,BP202,BQ202,0,Strike1,AO202,CE202,0,BL202,IF(OptControl=4,0,1),1,2)+IF(OR(VolSkewFlag=2,ABS(BS202)&lt;0.0001),0,IF(BS202&gt;0,-1,1)*CH202*Strike1/BR202^2*BY202/10%),0)</f>
        <v>0</v>
      </c>
      <c r="CH202" s="470" t="n">
        <f aca="false">IF(BD202,(xCrudeAPO(BU202,BV202,CA202,CB202,S203,S204,BI202,BL202,BP202,BQ202,0,Strike1,AO202,CE202,0,BL202,IF(OptControl=4,0,1),3,1)+xCrudeAPO(BU202,BV202,CA202,CB202,S203,S204,BI202,BL202,BP202,BQ202,0,Strike1,AO202,CE202,0,BL202,IF(OptControl=4,0,1),3,2))/100,0)</f>
        <v>0</v>
      </c>
      <c r="CI202" s="470" t="n">
        <f aca="false">IF(BD202,xCrudeAPO(BU202,BV202,CA202,CB202,S203,S204,BI202-DaysForThetaCalculation/365.25,BL202-DaysForThetaCalculation/365.25,BP202,BQ202,0,Strike1,AO202,CE202,0,BL202,IF(OptControl=4,0,1),0,1)-xCrudeAPO(BU202,BV202,CA202,CB202,S203,S204,BI202,BL202,BP202,BQ202,0,Strike1,AO202,CE202,0,BL202,IF(OptControl=4,0,1),0,1),0)</f>
        <v>0</v>
      </c>
      <c r="CJ202" s="471" t="n">
        <f aca="false">IF(BD202,xCrudeAPO(BU202,BV202,CC202,CD202,S203,S204,BI202,BL202,BP202,BQ202,0,Strike2,AO202,CE202,0,BL202,IF(OptControl=3,1,0),0,1),0)</f>
        <v>0</v>
      </c>
      <c r="CK202" s="470" t="n">
        <f aca="false">IF(BD202,xCrudeAPO(BU202,BV202,CC202,CD202,S203,S204,BI202,BL202,BP202,BQ202,0,Strike2,AO202,CE202,0,BL202,IF(OptControl=3,1,0),1,1)+xCrudeAPO(BU202,BV202,CC202,CD202,S203,S204,BI202,BL202,BP202,BQ202,0,Strike2,AO202,CE202,0,BL202,IF(OptControl=3,1,0),1,2)+IF(OR(VolSkewFlag=2,ABS(BT202)&lt;0.0001),0,IF(BT202&gt;0,-1,1)*CL202*Strike2/BR202^2*BZ202/10%),0)</f>
        <v>0</v>
      </c>
      <c r="CL202" s="470" t="n">
        <f aca="false">IF(BD202,(xCrudeAPO(BU202,BV202,CC202,CD202,S203,S204,BI202,BL202,BP202,BQ202,0,Strike2,AO202,CE202,0,BL202,IF(OptControl=3,1,0),3,1)+xCrudeAPO(BU202,BV202,CC202,CD202,S203,S204,BI202,BL202,BP202,BQ202,0,Strike2,AO202,CE202,0,BL202,IF(OptControl=3,1,0),3,2))/100,0)</f>
        <v>0</v>
      </c>
      <c r="CM202" s="472" t="n">
        <f aca="false">IF(BD202,xCrudeAPO(BU202,BV202,CC202,CD202,S203,S204,BI202-DaysForThetaCalculation/365.25,BL202-DaysForThetaCalculation/365.25,BP202,BQ202,0,Strike2,AO202,CE202,0,BL202,IF(OptControl=3,1,0),0,1)-xCrudeAPO(BU202,BV202,CC202,CD202,S203,S204,BI202,BL202,BP202,BQ202,0,Strike2,AO202,CE202,0,BL202,IF(OptControl=3,1,0),0,1),0)</f>
        <v>0</v>
      </c>
      <c r="CN202" s="3"/>
      <c r="CO202" s="543" t="str">
        <f aca="false">IF(BD202,CHOOSE(Underlying,AD202,AF202)-DateToday+1,"")</f>
        <v/>
      </c>
      <c r="CP202" s="582" t="str">
        <f aca="false">IF(BD202,CHOOSE(Underlying,L202,R202),"")</f>
        <v/>
      </c>
      <c r="CQ202" s="544" t="str">
        <f aca="false">IF(BD202,Strike1/CP202-1,"")</f>
        <v/>
      </c>
      <c r="CR202" s="544" t="str">
        <f aca="false">IF(BD202,Strike2/CP202-1,"")</f>
        <v/>
      </c>
      <c r="CS202" s="544" t="str">
        <f aca="false">IF(BD202,IF(CQ202&gt;0,IF(CQ202&gt;0.2,BC201-BB201,IF(CQ202&gt;0.1,BB201-BA201,BA201)),IF(CQ202&lt;-0.2,AX201-AY201,IF(CQ202&lt;-0.1,AY201-AZ201,AZ201))),"")</f>
        <v/>
      </c>
      <c r="CT202" s="544" t="str">
        <f aca="false">IF(BD202,IF(CR202&gt;0,IF(CR202&gt;0.2,BC201-BB201,IF(CR202&gt;0.1,BB201-BA201,BA201)),IF(CR202&lt;-0.2,AX201-AY201,IF(CR202&lt;-0.1,AY201-AZ201,AZ201))),"")</f>
        <v/>
      </c>
      <c r="CU202" s="545" t="str">
        <f aca="false">IF(BD202,CHOOSE(Underlying,O202,AT202),"")</f>
        <v/>
      </c>
      <c r="CV202" s="545" t="str">
        <f aca="false">IF(BD202,CU202+IF(VolSkewFlag=1,IF(CQ202&gt;0,BA201*MIN(CQ202/10%,1)+(BB201-BA201)*MAX(0,MIN(CQ202/10%-1,1))+(BC201-BB201)*MAX(0,CQ202/10%-2),AZ201*MIN(-CQ202/10%,1)+(AY201-AZ201)*MAX(0,MIN(-CQ202/10%-1,1))+(AX201-AY201)*MAX(0,-CQ202/10%-2)),0),"")</f>
        <v/>
      </c>
      <c r="CW202" s="545" t="str">
        <f aca="false">IF(BD202,CU202+IF(VolSkewFlag=1,IF(CR202&gt;0,BA201*MIN(CR202/10%,1)+(BB201-BA201)*MAX(0,MIN(CR202/10%-1,1))+(BC201-BB201)*MAX(0,CR202/10%-2),AZ201*MIN(-CR202/10%,1)+(AY201-AZ201)*MAX(0,MIN(-CR202/10%-1,1))+(AX201-AY201)*MAX(0,-CR202/10%-2)),0),"")</f>
        <v/>
      </c>
      <c r="CX202" s="470" t="n">
        <f aca="false">IF(BD202,EURO(CP202,Strike1,AO202,AO202,CV202,CO202,IF(OptControl=4,0,1),0),0)</f>
        <v>0</v>
      </c>
      <c r="CY202" s="470" t="n">
        <f aca="false">IF(BD202,EURO(CP202,Strike1,AO202,AO202,CV202,CO202,IF(OptControl=4,0,1),1)+IF(OR(VolSkewFlag=2,ABS(CQ202)&lt;0.0001),0,IF(CQ202&gt;0,-1,1)*CZ202*100*Strike1/CP202^2*CS202/10%),0)</f>
        <v>0</v>
      </c>
      <c r="CZ202" s="470" t="n">
        <f aca="false">IF(BD202,EURO(CP202,Strike1,AO202,AO202,CV202,CO202,IF(OptControl=4,0,1),3)/100,0)</f>
        <v>0</v>
      </c>
      <c r="DA202" s="470" t="n">
        <f aca="false">IF(BD202,EURO(CP202,Strike1,AO202,AO202,CV202,CO202,IF(OptControl=4,0,1),0)-EURO(CP202,Strike1,AO202,AO202,CV202,CO202-1,IF(OptControl=4,0,1),0),0)</f>
        <v>0</v>
      </c>
      <c r="DB202" s="470" t="n">
        <f aca="false">IF(BD202,EURO(CP202,Strike2,AO202,AO202,CW202,CO202,IF(OptControl=3,1,0),0),0)</f>
        <v>0</v>
      </c>
      <c r="DC202" s="470" t="n">
        <f aca="false">IF(BD202,EURO(CP202,Strike2,AO202,AO202,CW202,CO202,IF(OptControl=3,1,0),1)+IF(OR(VolSkewFlag=2,ABS(CR202)&lt;0.0001),0,IF(CR202&gt;0,-1,1)*DD202*100*Strike2/CP202^2*CT202/10%),0)</f>
        <v>0</v>
      </c>
      <c r="DD202" s="470" t="n">
        <f aca="false">IF(BD202,EURO(CP202,Strike2,AO202,AO202,CW202,CO202,IF(OptControl=3,1,0),3)/100,0)</f>
        <v>0</v>
      </c>
      <c r="DE202" s="472" t="n">
        <f aca="false">IF(BD202,EURO(CP202,Strike2,AO202,AO202,CW202,CO202,IF(OptControl=3,1,0),0)-EURO(CP202,Strike2,AO202,AO202,CW202,CO202-1,IF(OptControl=3,1,0),0),0)</f>
        <v>0</v>
      </c>
      <c r="DG202" s="481" t="n">
        <f aca="false">EOMONTH(DG201,0)+1</f>
        <v>51227</v>
      </c>
      <c r="DH202" s="478" t="n">
        <v>23.2600000000001</v>
      </c>
      <c r="DI202" s="479" t="n">
        <v>23.3281818181819</v>
      </c>
      <c r="DJ202" s="480" t="n">
        <f aca="false">DG202</f>
        <v>51227</v>
      </c>
      <c r="DK202" s="478" t="n">
        <v>22.0599277016963</v>
      </c>
      <c r="DL202" s="479" t="n">
        <v>22.0366818181819</v>
      </c>
      <c r="DM202" s="481" t="n">
        <f aca="false">DG202</f>
        <v>51227</v>
      </c>
      <c r="DN202" s="482" t="n">
        <f aca="false">DK202+BrentPhyBrentSpread</f>
        <v>22.1099277016963</v>
      </c>
      <c r="DO202" s="481" t="n">
        <f aca="false">DG202</f>
        <v>51227</v>
      </c>
      <c r="DP202" s="483" t="n">
        <f aca="false">DL202+DQ202</f>
        <v>22.0366818181819</v>
      </c>
      <c r="DQ202" s="546" t="n">
        <v>0</v>
      </c>
      <c r="DR202" s="480" t="n">
        <f aca="false">DG202</f>
        <v>51227</v>
      </c>
      <c r="DS202" s="485" t="n">
        <v>0.115399999999998</v>
      </c>
      <c r="DT202" s="486" t="n">
        <v>0.114581818181816</v>
      </c>
      <c r="DU202" s="480" t="n">
        <f aca="false">DG202</f>
        <v>51227</v>
      </c>
      <c r="DV202" s="485" t="n">
        <v>0.115399999999998</v>
      </c>
      <c r="DW202" s="486" t="n">
        <v>0.114581818181816</v>
      </c>
      <c r="DX202" s="481" t="n">
        <f aca="false">DG202</f>
        <v>51227</v>
      </c>
      <c r="DY202" s="486" t="n">
        <v>0.35</v>
      </c>
      <c r="DZ202" s="481" t="n">
        <f aca="false">DR202</f>
        <v>51227</v>
      </c>
      <c r="EA202" s="486" t="n">
        <f aca="false">DT202</f>
        <v>0.114581818181816</v>
      </c>
      <c r="EB202" s="195"/>
      <c r="EC202" s="547" t="str">
        <f aca="false">IF(BD202,IF(Underlying=1,AS202,AU202),"")</f>
        <v/>
      </c>
      <c r="ED202" s="548" t="str">
        <f aca="false">IF($BD202,$EC202+IF(VolSkewFlag=1,IF(BS202&gt;0,$BA202*MIN(BS202/10%,1)+($BB202-$BA202)*MAX(0,MIN(BS202/10%-1,1))+($BC202-$BB202)*MAX(0,BS202/10%-2),$AZ202*MIN(-BS202/10%,1)+($AY202-$AZ202)*MAX(0,MIN(-BS202/10%-1,1))+($AX202-$AY202)*MAX(0,-BS202/10%-2)),0),"")</f>
        <v/>
      </c>
      <c r="EE202" s="549" t="str">
        <f aca="false">IF($BD202,$EC202+IF(VolSkewFlag=1,IF(BT202&gt;0,$BA202*MIN(BT202/10%,1)+($BB202-$BA202)*MAX(0,MIN(BT202/10%-1,1))+($BC202-$BB202)*MAX(0,BT202/10%-2),$AZ202*MIN(-BT202/10%,1)+($AY202-$AZ202)*MAX(0,MIN(-BT202/10%-1,1))+($AX202-$AY202)*MAX(0,-BT202/10%-2)),0),"")</f>
        <v/>
      </c>
      <c r="EF202" s="550" t="n">
        <f aca="false">IF(BD202,xASN(BR202,Strike1,AO202,ED202,0,BO202,0,BI202,BL202,IF(OptControl=4,0,1),0),0)</f>
        <v>0</v>
      </c>
      <c r="EG202" s="551" t="n">
        <f aca="false">IF(BD202,xASN(BR202,Strike2,AO202,EE202,0,BO202,0,BI202,BL202,IF(OptControl=3,1,0),0),0)</f>
        <v>0</v>
      </c>
      <c r="EL202" s="1"/>
      <c r="EM202" s="195"/>
      <c r="EN202" s="240"/>
      <c r="EO202" s="240"/>
      <c r="EP202" s="195"/>
      <c r="EQ202" s="407" t="s">
        <v>430</v>
      </c>
      <c r="ES202" s="130"/>
      <c r="ET202" s="19"/>
      <c r="EU202" s="672"/>
      <c r="EV202" s="478"/>
      <c r="EW202" s="131"/>
      <c r="EX202" s="131"/>
      <c r="EY202" s="129"/>
      <c r="EZ202" s="129"/>
      <c r="FA202" s="129"/>
      <c r="FB202" s="129"/>
      <c r="FC202" s="129"/>
      <c r="FD202" s="129"/>
      <c r="FE202" s="129"/>
      <c r="FF202" s="129"/>
      <c r="FG202" s="129"/>
      <c r="FH202" s="129"/>
      <c r="FI202" s="129"/>
      <c r="FJ202" s="571" t="n">
        <v>33</v>
      </c>
      <c r="FK202" s="150" t="str">
        <f aca="false">IF(OR(FK$169&lt;SwaptionFirstMonthPosition+1,$FJ202&lt;SwaptionFirstMonthPosition+1,FK$169&gt;SwaptionFirstMonthPosition+SwaptionNumOfMonths+1,$FJ202&gt;SwaptionFirstMonthPosition+SwaptionNumOfMonths+1),"",IF($FJ202=FK$169,1,IF($FJ202&lt;FK$169,INDEX($FK$170:$ID$241,FK$169,$FJ202),SUMPRODUCT(INDEX($FK$325:$ID$396,FK$169,1+SwaptionShift):INDEX($FK$325:$ID$396,FK$169,SwaptionMonthsToGo+SwaptionShift),INDEX($FK$245:$ID$316,$FJ202-FK$169,73-FK$169+SwaptionShift):INDEX($FK$245:$ID$316,$FJ202-FK$169,72-FK$169+SwaptionMonthsToGo+SwaptionShift))/SQRT(SUM(INDEX($FK357:$ID357,1+SwaptionShift):INDEX($FK357:$ID357,SwaptionMonthsToGo+SwaptionShift))*SUM(INDEX($FK$325:$ID$396,FK$169,1+SwaptionShift):INDEX($FK$325:$ID$396,FK$169,SwaptionMonthsToGo+SwaptionShift))))))</f>
        <v/>
      </c>
      <c r="FL202" s="150" t="str">
        <f aca="false">IF(OR(FL$169&lt;SwaptionFirstMonthPosition+1,$FJ202&lt;SwaptionFirstMonthPosition+1,FL$169&gt;SwaptionFirstMonthPosition+SwaptionNumOfMonths+1,$FJ202&gt;SwaptionFirstMonthPosition+SwaptionNumOfMonths+1),"",IF($FJ202=FL$169,1,IF($FJ202&lt;FL$169,INDEX($FK$170:$ID$241,FL$169,$FJ202),SUMPRODUCT(INDEX($FK$325:$ID$396,FL$169,1+SwaptionShift):INDEX($FK$325:$ID$396,FL$169,SwaptionMonthsToGo+SwaptionShift),INDEX($FK$245:$ID$316,$FJ202-FL$169,73-FL$169+SwaptionShift):INDEX($FK$245:$ID$316,$FJ202-FL$169,72-FL$169+SwaptionMonthsToGo+SwaptionShift))/SQRT(SUM(INDEX($FK357:$ID357,1+SwaptionShift):INDEX($FK357:$ID357,SwaptionMonthsToGo+SwaptionShift))*SUM(INDEX($FK$325:$ID$396,FL$169,1+SwaptionShift):INDEX($FK$325:$ID$396,FL$169,SwaptionMonthsToGo+SwaptionShift))))))</f>
        <v/>
      </c>
      <c r="FM202" s="150" t="str">
        <f aca="false">IF(OR(FM$169&lt;SwaptionFirstMonthPosition+1,$FJ202&lt;SwaptionFirstMonthPosition+1,FM$169&gt;SwaptionFirstMonthPosition+SwaptionNumOfMonths+1,$FJ202&gt;SwaptionFirstMonthPosition+SwaptionNumOfMonths+1),"",IF($FJ202=FM$169,1,IF($FJ202&lt;FM$169,INDEX($FK$170:$ID$241,FM$169,$FJ202),SUMPRODUCT(INDEX($FK$325:$ID$396,FM$169,1+SwaptionShift):INDEX($FK$325:$ID$396,FM$169,SwaptionMonthsToGo+SwaptionShift),INDEX($FK$245:$ID$316,$FJ202-FM$169,73-FM$169+SwaptionShift):INDEX($FK$245:$ID$316,$FJ202-FM$169,72-FM$169+SwaptionMonthsToGo+SwaptionShift))/SQRT(SUM(INDEX($FK357:$ID357,1+SwaptionShift):INDEX($FK357:$ID357,SwaptionMonthsToGo+SwaptionShift))*SUM(INDEX($FK$325:$ID$396,FM$169,1+SwaptionShift):INDEX($FK$325:$ID$396,FM$169,SwaptionMonthsToGo+SwaptionShift))))))</f>
        <v/>
      </c>
      <c r="FN202" s="150" t="str">
        <f aca="false">IF(OR(FN$169&lt;SwaptionFirstMonthPosition+1,$FJ202&lt;SwaptionFirstMonthPosition+1,FN$169&gt;SwaptionFirstMonthPosition+SwaptionNumOfMonths+1,$FJ202&gt;SwaptionFirstMonthPosition+SwaptionNumOfMonths+1),"",IF($FJ202=FN$169,1,IF($FJ202&lt;FN$169,INDEX($FK$170:$ID$241,FN$169,$FJ202),SUMPRODUCT(INDEX($FK$325:$ID$396,FN$169,1+SwaptionShift):INDEX($FK$325:$ID$396,FN$169,SwaptionMonthsToGo+SwaptionShift),INDEX($FK$245:$ID$316,$FJ202-FN$169,73-FN$169+SwaptionShift):INDEX($FK$245:$ID$316,$FJ202-FN$169,72-FN$169+SwaptionMonthsToGo+SwaptionShift))/SQRT(SUM(INDEX($FK357:$ID357,1+SwaptionShift):INDEX($FK357:$ID357,SwaptionMonthsToGo+SwaptionShift))*SUM(INDEX($FK$325:$ID$396,FN$169,1+SwaptionShift):INDEX($FK$325:$ID$396,FN$169,SwaptionMonthsToGo+SwaptionShift))))))</f>
        <v/>
      </c>
      <c r="FO202" s="150" t="str">
        <f aca="false">IF(OR(FO$169&lt;SwaptionFirstMonthPosition+1,$FJ202&lt;SwaptionFirstMonthPosition+1,FO$169&gt;SwaptionFirstMonthPosition+SwaptionNumOfMonths+1,$FJ202&gt;SwaptionFirstMonthPosition+SwaptionNumOfMonths+1),"",IF($FJ202=FO$169,1,IF($FJ202&lt;FO$169,INDEX($FK$170:$ID$241,FO$169,$FJ202),SUMPRODUCT(INDEX($FK$325:$ID$396,FO$169,1+SwaptionShift):INDEX($FK$325:$ID$396,FO$169,SwaptionMonthsToGo+SwaptionShift),INDEX($FK$245:$ID$316,$FJ202-FO$169,73-FO$169+SwaptionShift):INDEX($FK$245:$ID$316,$FJ202-FO$169,72-FO$169+SwaptionMonthsToGo+SwaptionShift))/SQRT(SUM(INDEX($FK357:$ID357,1+SwaptionShift):INDEX($FK357:$ID357,SwaptionMonthsToGo+SwaptionShift))*SUM(INDEX($FK$325:$ID$396,FO$169,1+SwaptionShift):INDEX($FK$325:$ID$396,FO$169,SwaptionMonthsToGo+SwaptionShift))))))</f>
        <v/>
      </c>
      <c r="FP202" s="150" t="str">
        <f aca="false">IF(OR(FP$169&lt;SwaptionFirstMonthPosition+1,$FJ202&lt;SwaptionFirstMonthPosition+1,FP$169&gt;SwaptionFirstMonthPosition+SwaptionNumOfMonths+1,$FJ202&gt;SwaptionFirstMonthPosition+SwaptionNumOfMonths+1),"",IF($FJ202=FP$169,1,IF($FJ202&lt;FP$169,INDEX($FK$170:$ID$241,FP$169,$FJ202),SUMPRODUCT(INDEX($FK$325:$ID$396,FP$169,1+SwaptionShift):INDEX($FK$325:$ID$396,FP$169,SwaptionMonthsToGo+SwaptionShift),INDEX($FK$245:$ID$316,$FJ202-FP$169,73-FP$169+SwaptionShift):INDEX($FK$245:$ID$316,$FJ202-FP$169,72-FP$169+SwaptionMonthsToGo+SwaptionShift))/SQRT(SUM(INDEX($FK357:$ID357,1+SwaptionShift):INDEX($FK357:$ID357,SwaptionMonthsToGo+SwaptionShift))*SUM(INDEX($FK$325:$ID$396,FP$169,1+SwaptionShift):INDEX($FK$325:$ID$396,FP$169,SwaptionMonthsToGo+SwaptionShift))))))</f>
        <v/>
      </c>
      <c r="FQ202" s="150" t="str">
        <f aca="false">IF(OR(FQ$169&lt;SwaptionFirstMonthPosition+1,$FJ202&lt;SwaptionFirstMonthPosition+1,FQ$169&gt;SwaptionFirstMonthPosition+SwaptionNumOfMonths+1,$FJ202&gt;SwaptionFirstMonthPosition+SwaptionNumOfMonths+1),"",IF($FJ202=FQ$169,1,IF($FJ202&lt;FQ$169,INDEX($FK$170:$ID$241,FQ$169,$FJ202),SUMPRODUCT(INDEX($FK$325:$ID$396,FQ$169,1+SwaptionShift):INDEX($FK$325:$ID$396,FQ$169,SwaptionMonthsToGo+SwaptionShift),INDEX($FK$245:$ID$316,$FJ202-FQ$169,73-FQ$169+SwaptionShift):INDEX($FK$245:$ID$316,$FJ202-FQ$169,72-FQ$169+SwaptionMonthsToGo+SwaptionShift))/SQRT(SUM(INDEX($FK357:$ID357,1+SwaptionShift):INDEX($FK357:$ID357,SwaptionMonthsToGo+SwaptionShift))*SUM(INDEX($FK$325:$ID$396,FQ$169,1+SwaptionShift):INDEX($FK$325:$ID$396,FQ$169,SwaptionMonthsToGo+SwaptionShift))))))</f>
        <v/>
      </c>
      <c r="FR202" s="150" t="str">
        <f aca="false">IF(OR(FR$169&lt;SwaptionFirstMonthPosition+1,$FJ202&lt;SwaptionFirstMonthPosition+1,FR$169&gt;SwaptionFirstMonthPosition+SwaptionNumOfMonths+1,$FJ202&gt;SwaptionFirstMonthPosition+SwaptionNumOfMonths+1),"",IF($FJ202=FR$169,1,IF($FJ202&lt;FR$169,INDEX($FK$170:$ID$241,FR$169,$FJ202),SUMPRODUCT(INDEX($FK$325:$ID$396,FR$169,1+SwaptionShift):INDEX($FK$325:$ID$396,FR$169,SwaptionMonthsToGo+SwaptionShift),INDEX($FK$245:$ID$316,$FJ202-FR$169,73-FR$169+SwaptionShift):INDEX($FK$245:$ID$316,$FJ202-FR$169,72-FR$169+SwaptionMonthsToGo+SwaptionShift))/SQRT(SUM(INDEX($FK357:$ID357,1+SwaptionShift):INDEX($FK357:$ID357,SwaptionMonthsToGo+SwaptionShift))*SUM(INDEX($FK$325:$ID$396,FR$169,1+SwaptionShift):INDEX($FK$325:$ID$396,FR$169,SwaptionMonthsToGo+SwaptionShift))))))</f>
        <v/>
      </c>
      <c r="FS202" s="150" t="str">
        <f aca="false">IF(OR(FS$169&lt;SwaptionFirstMonthPosition+1,$FJ202&lt;SwaptionFirstMonthPosition+1,FS$169&gt;SwaptionFirstMonthPosition+SwaptionNumOfMonths+1,$FJ202&gt;SwaptionFirstMonthPosition+SwaptionNumOfMonths+1),"",IF($FJ202=FS$169,1,IF($FJ202&lt;FS$169,INDEX($FK$170:$ID$241,FS$169,$FJ202),SUMPRODUCT(INDEX($FK$325:$ID$396,FS$169,1+SwaptionShift):INDEX($FK$325:$ID$396,FS$169,SwaptionMonthsToGo+SwaptionShift),INDEX($FK$245:$ID$316,$FJ202-FS$169,73-FS$169+SwaptionShift):INDEX($FK$245:$ID$316,$FJ202-FS$169,72-FS$169+SwaptionMonthsToGo+SwaptionShift))/SQRT(SUM(INDEX($FK357:$ID357,1+SwaptionShift):INDEX($FK357:$ID357,SwaptionMonthsToGo+SwaptionShift))*SUM(INDEX($FK$325:$ID$396,FS$169,1+SwaptionShift):INDEX($FK$325:$ID$396,FS$169,SwaptionMonthsToGo+SwaptionShift))))))</f>
        <v/>
      </c>
      <c r="FT202" s="150" t="str">
        <f aca="false">IF(OR(FT$169&lt;SwaptionFirstMonthPosition+1,$FJ202&lt;SwaptionFirstMonthPosition+1,FT$169&gt;SwaptionFirstMonthPosition+SwaptionNumOfMonths+1,$FJ202&gt;SwaptionFirstMonthPosition+SwaptionNumOfMonths+1),"",IF($FJ202=FT$169,1,IF($FJ202&lt;FT$169,INDEX($FK$170:$ID$241,FT$169,$FJ202),SUMPRODUCT(INDEX($FK$325:$ID$396,FT$169,1+SwaptionShift):INDEX($FK$325:$ID$396,FT$169,SwaptionMonthsToGo+SwaptionShift),INDEX($FK$245:$ID$316,$FJ202-FT$169,73-FT$169+SwaptionShift):INDEX($FK$245:$ID$316,$FJ202-FT$169,72-FT$169+SwaptionMonthsToGo+SwaptionShift))/SQRT(SUM(INDEX($FK357:$ID357,1+SwaptionShift):INDEX($FK357:$ID357,SwaptionMonthsToGo+SwaptionShift))*SUM(INDEX($FK$325:$ID$396,FT$169,1+SwaptionShift):INDEX($FK$325:$ID$396,FT$169,SwaptionMonthsToGo+SwaptionShift))))))</f>
        <v/>
      </c>
      <c r="FU202" s="150" t="str">
        <f aca="false">IF(OR(FU$169&lt;SwaptionFirstMonthPosition+1,$FJ202&lt;SwaptionFirstMonthPosition+1,FU$169&gt;SwaptionFirstMonthPosition+SwaptionNumOfMonths+1,$FJ202&gt;SwaptionFirstMonthPosition+SwaptionNumOfMonths+1),"",IF($FJ202=FU$169,1,IF($FJ202&lt;FU$169,INDEX($FK$170:$ID$241,FU$169,$FJ202),SUMPRODUCT(INDEX($FK$325:$ID$396,FU$169,1+SwaptionShift):INDEX($FK$325:$ID$396,FU$169,SwaptionMonthsToGo+SwaptionShift),INDEX($FK$245:$ID$316,$FJ202-FU$169,73-FU$169+SwaptionShift):INDEX($FK$245:$ID$316,$FJ202-FU$169,72-FU$169+SwaptionMonthsToGo+SwaptionShift))/SQRT(SUM(INDEX($FK357:$ID357,1+SwaptionShift):INDEX($FK357:$ID357,SwaptionMonthsToGo+SwaptionShift))*SUM(INDEX($FK$325:$ID$396,FU$169,1+SwaptionShift):INDEX($FK$325:$ID$396,FU$169,SwaptionMonthsToGo+SwaptionShift))))))</f>
        <v/>
      </c>
      <c r="FV202" s="150" t="str">
        <f aca="false">IF(OR(FV$169&lt;SwaptionFirstMonthPosition+1,$FJ202&lt;SwaptionFirstMonthPosition+1,FV$169&gt;SwaptionFirstMonthPosition+SwaptionNumOfMonths+1,$FJ202&gt;SwaptionFirstMonthPosition+SwaptionNumOfMonths+1),"",IF($FJ202=FV$169,1,IF($FJ202&lt;FV$169,INDEX($FK$170:$ID$241,FV$169,$FJ202),SUMPRODUCT(INDEX($FK$325:$ID$396,FV$169,1+SwaptionShift):INDEX($FK$325:$ID$396,FV$169,SwaptionMonthsToGo+SwaptionShift),INDEX($FK$245:$ID$316,$FJ202-FV$169,73-FV$169+SwaptionShift):INDEX($FK$245:$ID$316,$FJ202-FV$169,72-FV$169+SwaptionMonthsToGo+SwaptionShift))/SQRT(SUM(INDEX($FK357:$ID357,1+SwaptionShift):INDEX($FK357:$ID357,SwaptionMonthsToGo+SwaptionShift))*SUM(INDEX($FK$325:$ID$396,FV$169,1+SwaptionShift):INDEX($FK$325:$ID$396,FV$169,SwaptionMonthsToGo+SwaptionShift))))))</f>
        <v/>
      </c>
      <c r="FW202" s="150" t="str">
        <f aca="false">IF(OR(FW$169&lt;SwaptionFirstMonthPosition+1,$FJ202&lt;SwaptionFirstMonthPosition+1,FW$169&gt;SwaptionFirstMonthPosition+SwaptionNumOfMonths+1,$FJ202&gt;SwaptionFirstMonthPosition+SwaptionNumOfMonths+1),"",IF($FJ202=FW$169,1,IF($FJ202&lt;FW$169,INDEX($FK$170:$ID$241,FW$169,$FJ202),SUMPRODUCT(INDEX($FK$325:$ID$396,FW$169,1+SwaptionShift):INDEX($FK$325:$ID$396,FW$169,SwaptionMonthsToGo+SwaptionShift),INDEX($FK$245:$ID$316,$FJ202-FW$169,73-FW$169+SwaptionShift):INDEX($FK$245:$ID$316,$FJ202-FW$169,72-FW$169+SwaptionMonthsToGo+SwaptionShift))/SQRT(SUM(INDEX($FK357:$ID357,1+SwaptionShift):INDEX($FK357:$ID357,SwaptionMonthsToGo+SwaptionShift))*SUM(INDEX($FK$325:$ID$396,FW$169,1+SwaptionShift):INDEX($FK$325:$ID$396,FW$169,SwaptionMonthsToGo+SwaptionShift))))))</f>
        <v/>
      </c>
      <c r="FX202" s="150" t="str">
        <f aca="false">IF(OR(FX$169&lt;SwaptionFirstMonthPosition+1,$FJ202&lt;SwaptionFirstMonthPosition+1,FX$169&gt;SwaptionFirstMonthPosition+SwaptionNumOfMonths+1,$FJ202&gt;SwaptionFirstMonthPosition+SwaptionNumOfMonths+1),"",IF($FJ202=FX$169,1,IF($FJ202&lt;FX$169,INDEX($FK$170:$ID$241,FX$169,$FJ202),SUMPRODUCT(INDEX($FK$325:$ID$396,FX$169,1+SwaptionShift):INDEX($FK$325:$ID$396,FX$169,SwaptionMonthsToGo+SwaptionShift),INDEX($FK$245:$ID$316,$FJ202-FX$169,73-FX$169+SwaptionShift):INDEX($FK$245:$ID$316,$FJ202-FX$169,72-FX$169+SwaptionMonthsToGo+SwaptionShift))/SQRT(SUM(INDEX($FK357:$ID357,1+SwaptionShift):INDEX($FK357:$ID357,SwaptionMonthsToGo+SwaptionShift))*SUM(INDEX($FK$325:$ID$396,FX$169,1+SwaptionShift):INDEX($FK$325:$ID$396,FX$169,SwaptionMonthsToGo+SwaptionShift))))))</f>
        <v/>
      </c>
      <c r="FY202" s="150" t="str">
        <f aca="false">IF(OR(FY$169&lt;SwaptionFirstMonthPosition+1,$FJ202&lt;SwaptionFirstMonthPosition+1,FY$169&gt;SwaptionFirstMonthPosition+SwaptionNumOfMonths+1,$FJ202&gt;SwaptionFirstMonthPosition+SwaptionNumOfMonths+1),"",IF($FJ202=FY$169,1,IF($FJ202&lt;FY$169,INDEX($FK$170:$ID$241,FY$169,$FJ202),SUMPRODUCT(INDEX($FK$325:$ID$396,FY$169,1+SwaptionShift):INDEX($FK$325:$ID$396,FY$169,SwaptionMonthsToGo+SwaptionShift),INDEX($FK$245:$ID$316,$FJ202-FY$169,73-FY$169+SwaptionShift):INDEX($FK$245:$ID$316,$FJ202-FY$169,72-FY$169+SwaptionMonthsToGo+SwaptionShift))/SQRT(SUM(INDEX($FK357:$ID357,1+SwaptionShift):INDEX($FK357:$ID357,SwaptionMonthsToGo+SwaptionShift))*SUM(INDEX($FK$325:$ID$396,FY$169,1+SwaptionShift):INDEX($FK$325:$ID$396,FY$169,SwaptionMonthsToGo+SwaptionShift))))))</f>
        <v/>
      </c>
      <c r="FZ202" s="150" t="str">
        <f aca="false">IF(OR(FZ$169&lt;SwaptionFirstMonthPosition+1,$FJ202&lt;SwaptionFirstMonthPosition+1,FZ$169&gt;SwaptionFirstMonthPosition+SwaptionNumOfMonths+1,$FJ202&gt;SwaptionFirstMonthPosition+SwaptionNumOfMonths+1),"",IF($FJ202=FZ$169,1,IF($FJ202&lt;FZ$169,INDEX($FK$170:$ID$241,FZ$169,$FJ202),SUMPRODUCT(INDEX($FK$325:$ID$396,FZ$169,1+SwaptionShift):INDEX($FK$325:$ID$396,FZ$169,SwaptionMonthsToGo+SwaptionShift),INDEX($FK$245:$ID$316,$FJ202-FZ$169,73-FZ$169+SwaptionShift):INDEX($FK$245:$ID$316,$FJ202-FZ$169,72-FZ$169+SwaptionMonthsToGo+SwaptionShift))/SQRT(SUM(INDEX($FK357:$ID357,1+SwaptionShift):INDEX($FK357:$ID357,SwaptionMonthsToGo+SwaptionShift))*SUM(INDEX($FK$325:$ID$396,FZ$169,1+SwaptionShift):INDEX($FK$325:$ID$396,FZ$169,SwaptionMonthsToGo+SwaptionShift))))))</f>
        <v/>
      </c>
      <c r="GA202" s="150" t="str">
        <f aca="false">IF(OR(GA$169&lt;SwaptionFirstMonthPosition+1,$FJ202&lt;SwaptionFirstMonthPosition+1,GA$169&gt;SwaptionFirstMonthPosition+SwaptionNumOfMonths+1,$FJ202&gt;SwaptionFirstMonthPosition+SwaptionNumOfMonths+1),"",IF($FJ202=GA$169,1,IF($FJ202&lt;GA$169,INDEX($FK$170:$ID$241,GA$169,$FJ202),SUMPRODUCT(INDEX($FK$325:$ID$396,GA$169,1+SwaptionShift):INDEX($FK$325:$ID$396,GA$169,SwaptionMonthsToGo+SwaptionShift),INDEX($FK$245:$ID$316,$FJ202-GA$169,73-GA$169+SwaptionShift):INDEX($FK$245:$ID$316,$FJ202-GA$169,72-GA$169+SwaptionMonthsToGo+SwaptionShift))/SQRT(SUM(INDEX($FK357:$ID357,1+SwaptionShift):INDEX($FK357:$ID357,SwaptionMonthsToGo+SwaptionShift))*SUM(INDEX($FK$325:$ID$396,GA$169,1+SwaptionShift):INDEX($FK$325:$ID$396,GA$169,SwaptionMonthsToGo+SwaptionShift))))))</f>
        <v/>
      </c>
      <c r="GB202" s="150" t="str">
        <f aca="false">IF(OR(GB$169&lt;SwaptionFirstMonthPosition+1,$FJ202&lt;SwaptionFirstMonthPosition+1,GB$169&gt;SwaptionFirstMonthPosition+SwaptionNumOfMonths+1,$FJ202&gt;SwaptionFirstMonthPosition+SwaptionNumOfMonths+1),"",IF($FJ202=GB$169,1,IF($FJ202&lt;GB$169,INDEX($FK$170:$ID$241,GB$169,$FJ202),SUMPRODUCT(INDEX($FK$325:$ID$396,GB$169,1+SwaptionShift):INDEX($FK$325:$ID$396,GB$169,SwaptionMonthsToGo+SwaptionShift),INDEX($FK$245:$ID$316,$FJ202-GB$169,73-GB$169+SwaptionShift):INDEX($FK$245:$ID$316,$FJ202-GB$169,72-GB$169+SwaptionMonthsToGo+SwaptionShift))/SQRT(SUM(INDEX($FK357:$ID357,1+SwaptionShift):INDEX($FK357:$ID357,SwaptionMonthsToGo+SwaptionShift))*SUM(INDEX($FK$325:$ID$396,GB$169,1+SwaptionShift):INDEX($FK$325:$ID$396,GB$169,SwaptionMonthsToGo+SwaptionShift))))))</f>
        <v/>
      </c>
      <c r="GC202" s="150" t="str">
        <f aca="false">IF(OR(GC$169&lt;SwaptionFirstMonthPosition+1,$FJ202&lt;SwaptionFirstMonthPosition+1,GC$169&gt;SwaptionFirstMonthPosition+SwaptionNumOfMonths+1,$FJ202&gt;SwaptionFirstMonthPosition+SwaptionNumOfMonths+1),"",IF($FJ202=GC$169,1,IF($FJ202&lt;GC$169,INDEX($FK$170:$ID$241,GC$169,$FJ202),SUMPRODUCT(INDEX($FK$325:$ID$396,GC$169,1+SwaptionShift):INDEX($FK$325:$ID$396,GC$169,SwaptionMonthsToGo+SwaptionShift),INDEX($FK$245:$ID$316,$FJ202-GC$169,73-GC$169+SwaptionShift):INDEX($FK$245:$ID$316,$FJ202-GC$169,72-GC$169+SwaptionMonthsToGo+SwaptionShift))/SQRT(SUM(INDEX($FK357:$ID357,1+SwaptionShift):INDEX($FK357:$ID357,SwaptionMonthsToGo+SwaptionShift))*SUM(INDEX($FK$325:$ID$396,GC$169,1+SwaptionShift):INDEX($FK$325:$ID$396,GC$169,SwaptionMonthsToGo+SwaptionShift))))))</f>
        <v/>
      </c>
      <c r="GD202" s="150" t="str">
        <f aca="false">IF(OR(GD$169&lt;SwaptionFirstMonthPosition+1,$FJ202&lt;SwaptionFirstMonthPosition+1,GD$169&gt;SwaptionFirstMonthPosition+SwaptionNumOfMonths+1,$FJ202&gt;SwaptionFirstMonthPosition+SwaptionNumOfMonths+1),"",IF($FJ202=GD$169,1,IF($FJ202&lt;GD$169,INDEX($FK$170:$ID$241,GD$169,$FJ202),SUMPRODUCT(INDEX($FK$325:$ID$396,GD$169,1+SwaptionShift):INDEX($FK$325:$ID$396,GD$169,SwaptionMonthsToGo+SwaptionShift),INDEX($FK$245:$ID$316,$FJ202-GD$169,73-GD$169+SwaptionShift):INDEX($FK$245:$ID$316,$FJ202-GD$169,72-GD$169+SwaptionMonthsToGo+SwaptionShift))/SQRT(SUM(INDEX($FK357:$ID357,1+SwaptionShift):INDEX($FK357:$ID357,SwaptionMonthsToGo+SwaptionShift))*SUM(INDEX($FK$325:$ID$396,GD$169,1+SwaptionShift):INDEX($FK$325:$ID$396,GD$169,SwaptionMonthsToGo+SwaptionShift))))))</f>
        <v/>
      </c>
      <c r="GE202" s="150" t="str">
        <f aca="false">IF(OR(GE$169&lt;SwaptionFirstMonthPosition+1,$FJ202&lt;SwaptionFirstMonthPosition+1,GE$169&gt;SwaptionFirstMonthPosition+SwaptionNumOfMonths+1,$FJ202&gt;SwaptionFirstMonthPosition+SwaptionNumOfMonths+1),"",IF($FJ202=GE$169,1,IF($FJ202&lt;GE$169,INDEX($FK$170:$ID$241,GE$169,$FJ202),SUMPRODUCT(INDEX($FK$325:$ID$396,GE$169,1+SwaptionShift):INDEX($FK$325:$ID$396,GE$169,SwaptionMonthsToGo+SwaptionShift),INDEX($FK$245:$ID$316,$FJ202-GE$169,73-GE$169+SwaptionShift):INDEX($FK$245:$ID$316,$FJ202-GE$169,72-GE$169+SwaptionMonthsToGo+SwaptionShift))/SQRT(SUM(INDEX($FK357:$ID357,1+SwaptionShift):INDEX($FK357:$ID357,SwaptionMonthsToGo+SwaptionShift))*SUM(INDEX($FK$325:$ID$396,GE$169,1+SwaptionShift):INDEX($FK$325:$ID$396,GE$169,SwaptionMonthsToGo+SwaptionShift))))))</f>
        <v/>
      </c>
      <c r="GF202" s="150" t="str">
        <f aca="false">IF(OR(GF$169&lt;SwaptionFirstMonthPosition+1,$FJ202&lt;SwaptionFirstMonthPosition+1,GF$169&gt;SwaptionFirstMonthPosition+SwaptionNumOfMonths+1,$FJ202&gt;SwaptionFirstMonthPosition+SwaptionNumOfMonths+1),"",IF($FJ202=GF$169,1,IF($FJ202&lt;GF$169,INDEX($FK$170:$ID$241,GF$169,$FJ202),SUMPRODUCT(INDEX($FK$325:$ID$396,GF$169,1+SwaptionShift):INDEX($FK$325:$ID$396,GF$169,SwaptionMonthsToGo+SwaptionShift),INDEX($FK$245:$ID$316,$FJ202-GF$169,73-GF$169+SwaptionShift):INDEX($FK$245:$ID$316,$FJ202-GF$169,72-GF$169+SwaptionMonthsToGo+SwaptionShift))/SQRT(SUM(INDEX($FK357:$ID357,1+SwaptionShift):INDEX($FK357:$ID357,SwaptionMonthsToGo+SwaptionShift))*SUM(INDEX($FK$325:$ID$396,GF$169,1+SwaptionShift):INDEX($FK$325:$ID$396,GF$169,SwaptionMonthsToGo+SwaptionShift))))))</f>
        <v/>
      </c>
      <c r="GG202" s="150" t="str">
        <f aca="false">IF(OR(GG$169&lt;SwaptionFirstMonthPosition+1,$FJ202&lt;SwaptionFirstMonthPosition+1,GG$169&gt;SwaptionFirstMonthPosition+SwaptionNumOfMonths+1,$FJ202&gt;SwaptionFirstMonthPosition+SwaptionNumOfMonths+1),"",IF($FJ202=GG$169,1,IF($FJ202&lt;GG$169,INDEX($FK$170:$ID$241,GG$169,$FJ202),SUMPRODUCT(INDEX($FK$325:$ID$396,GG$169,1+SwaptionShift):INDEX($FK$325:$ID$396,GG$169,SwaptionMonthsToGo+SwaptionShift),INDEX($FK$245:$ID$316,$FJ202-GG$169,73-GG$169+SwaptionShift):INDEX($FK$245:$ID$316,$FJ202-GG$169,72-GG$169+SwaptionMonthsToGo+SwaptionShift))/SQRT(SUM(INDEX($FK357:$ID357,1+SwaptionShift):INDEX($FK357:$ID357,SwaptionMonthsToGo+SwaptionShift))*SUM(INDEX($FK$325:$ID$396,GG$169,1+SwaptionShift):INDEX($FK$325:$ID$396,GG$169,SwaptionMonthsToGo+SwaptionShift))))))</f>
        <v/>
      </c>
      <c r="GH202" s="150" t="str">
        <f aca="false">IF(OR(GH$169&lt;SwaptionFirstMonthPosition+1,$FJ202&lt;SwaptionFirstMonthPosition+1,GH$169&gt;SwaptionFirstMonthPosition+SwaptionNumOfMonths+1,$FJ202&gt;SwaptionFirstMonthPosition+SwaptionNumOfMonths+1),"",IF($FJ202=GH$169,1,IF($FJ202&lt;GH$169,INDEX($FK$170:$ID$241,GH$169,$FJ202),SUMPRODUCT(INDEX($FK$325:$ID$396,GH$169,1+SwaptionShift):INDEX($FK$325:$ID$396,GH$169,SwaptionMonthsToGo+SwaptionShift),INDEX($FK$245:$ID$316,$FJ202-GH$169,73-GH$169+SwaptionShift):INDEX($FK$245:$ID$316,$FJ202-GH$169,72-GH$169+SwaptionMonthsToGo+SwaptionShift))/SQRT(SUM(INDEX($FK357:$ID357,1+SwaptionShift):INDEX($FK357:$ID357,SwaptionMonthsToGo+SwaptionShift))*SUM(INDEX($FK$325:$ID$396,GH$169,1+SwaptionShift):INDEX($FK$325:$ID$396,GH$169,SwaptionMonthsToGo+SwaptionShift))))))</f>
        <v/>
      </c>
      <c r="GI202" s="150" t="str">
        <f aca="false">IF(OR(GI$169&lt;SwaptionFirstMonthPosition+1,$FJ202&lt;SwaptionFirstMonthPosition+1,GI$169&gt;SwaptionFirstMonthPosition+SwaptionNumOfMonths+1,$FJ202&gt;SwaptionFirstMonthPosition+SwaptionNumOfMonths+1),"",IF($FJ202=GI$169,1,IF($FJ202&lt;GI$169,INDEX($FK$170:$ID$241,GI$169,$FJ202),SUMPRODUCT(INDEX($FK$325:$ID$396,GI$169,1+SwaptionShift):INDEX($FK$325:$ID$396,GI$169,SwaptionMonthsToGo+SwaptionShift),INDEX($FK$245:$ID$316,$FJ202-GI$169,73-GI$169+SwaptionShift):INDEX($FK$245:$ID$316,$FJ202-GI$169,72-GI$169+SwaptionMonthsToGo+SwaptionShift))/SQRT(SUM(INDEX($FK357:$ID357,1+SwaptionShift):INDEX($FK357:$ID357,SwaptionMonthsToGo+SwaptionShift))*SUM(INDEX($FK$325:$ID$396,GI$169,1+SwaptionShift):INDEX($FK$325:$ID$396,GI$169,SwaptionMonthsToGo+SwaptionShift))))))</f>
        <v/>
      </c>
      <c r="GJ202" s="150" t="str">
        <f aca="false">IF(OR(GJ$169&lt;SwaptionFirstMonthPosition+1,$FJ202&lt;SwaptionFirstMonthPosition+1,GJ$169&gt;SwaptionFirstMonthPosition+SwaptionNumOfMonths+1,$FJ202&gt;SwaptionFirstMonthPosition+SwaptionNumOfMonths+1),"",IF($FJ202=GJ$169,1,IF($FJ202&lt;GJ$169,INDEX($FK$170:$ID$241,GJ$169,$FJ202),SUMPRODUCT(INDEX($FK$325:$ID$396,GJ$169,1+SwaptionShift):INDEX($FK$325:$ID$396,GJ$169,SwaptionMonthsToGo+SwaptionShift),INDEX($FK$245:$ID$316,$FJ202-GJ$169,73-GJ$169+SwaptionShift):INDEX($FK$245:$ID$316,$FJ202-GJ$169,72-GJ$169+SwaptionMonthsToGo+SwaptionShift))/SQRT(SUM(INDEX($FK357:$ID357,1+SwaptionShift):INDEX($FK357:$ID357,SwaptionMonthsToGo+SwaptionShift))*SUM(INDEX($FK$325:$ID$396,GJ$169,1+SwaptionShift):INDEX($FK$325:$ID$396,GJ$169,SwaptionMonthsToGo+SwaptionShift))))))</f>
        <v/>
      </c>
      <c r="GK202" s="150" t="str">
        <f aca="false">IF(OR(GK$169&lt;SwaptionFirstMonthPosition+1,$FJ202&lt;SwaptionFirstMonthPosition+1,GK$169&gt;SwaptionFirstMonthPosition+SwaptionNumOfMonths+1,$FJ202&gt;SwaptionFirstMonthPosition+SwaptionNumOfMonths+1),"",IF($FJ202=GK$169,1,IF($FJ202&lt;GK$169,INDEX($FK$170:$ID$241,GK$169,$FJ202),SUMPRODUCT(INDEX($FK$325:$ID$396,GK$169,1+SwaptionShift):INDEX($FK$325:$ID$396,GK$169,SwaptionMonthsToGo+SwaptionShift),INDEX($FK$245:$ID$316,$FJ202-GK$169,73-GK$169+SwaptionShift):INDEX($FK$245:$ID$316,$FJ202-GK$169,72-GK$169+SwaptionMonthsToGo+SwaptionShift))/SQRT(SUM(INDEX($FK357:$ID357,1+SwaptionShift):INDEX($FK357:$ID357,SwaptionMonthsToGo+SwaptionShift))*SUM(INDEX($FK$325:$ID$396,GK$169,1+SwaptionShift):INDEX($FK$325:$ID$396,GK$169,SwaptionMonthsToGo+SwaptionShift))))))</f>
        <v/>
      </c>
      <c r="GL202" s="150" t="str">
        <f aca="false">IF(OR(GL$169&lt;SwaptionFirstMonthPosition+1,$FJ202&lt;SwaptionFirstMonthPosition+1,GL$169&gt;SwaptionFirstMonthPosition+SwaptionNumOfMonths+1,$FJ202&gt;SwaptionFirstMonthPosition+SwaptionNumOfMonths+1),"",IF($FJ202=GL$169,1,IF($FJ202&lt;GL$169,INDEX($FK$170:$ID$241,GL$169,$FJ202),SUMPRODUCT(INDEX($FK$325:$ID$396,GL$169,1+SwaptionShift):INDEX($FK$325:$ID$396,GL$169,SwaptionMonthsToGo+SwaptionShift),INDEX($FK$245:$ID$316,$FJ202-GL$169,73-GL$169+SwaptionShift):INDEX($FK$245:$ID$316,$FJ202-GL$169,72-GL$169+SwaptionMonthsToGo+SwaptionShift))/SQRT(SUM(INDEX($FK357:$ID357,1+SwaptionShift):INDEX($FK357:$ID357,SwaptionMonthsToGo+SwaptionShift))*SUM(INDEX($FK$325:$ID$396,GL$169,1+SwaptionShift):INDEX($FK$325:$ID$396,GL$169,SwaptionMonthsToGo+SwaptionShift))))))</f>
        <v/>
      </c>
      <c r="GM202" s="150" t="str">
        <f aca="false">IF(OR(GM$169&lt;SwaptionFirstMonthPosition+1,$FJ202&lt;SwaptionFirstMonthPosition+1,GM$169&gt;SwaptionFirstMonthPosition+SwaptionNumOfMonths+1,$FJ202&gt;SwaptionFirstMonthPosition+SwaptionNumOfMonths+1),"",IF($FJ202=GM$169,1,IF($FJ202&lt;GM$169,INDEX($FK$170:$ID$241,GM$169,$FJ202),SUMPRODUCT(INDEX($FK$325:$ID$396,GM$169,1+SwaptionShift):INDEX($FK$325:$ID$396,GM$169,SwaptionMonthsToGo+SwaptionShift),INDEX($FK$245:$ID$316,$FJ202-GM$169,73-GM$169+SwaptionShift):INDEX($FK$245:$ID$316,$FJ202-GM$169,72-GM$169+SwaptionMonthsToGo+SwaptionShift))/SQRT(SUM(INDEX($FK357:$ID357,1+SwaptionShift):INDEX($FK357:$ID357,SwaptionMonthsToGo+SwaptionShift))*SUM(INDEX($FK$325:$ID$396,GM$169,1+SwaptionShift):INDEX($FK$325:$ID$396,GM$169,SwaptionMonthsToGo+SwaptionShift))))))</f>
        <v/>
      </c>
      <c r="GN202" s="150" t="str">
        <f aca="false">IF(OR(GN$169&lt;SwaptionFirstMonthPosition+1,$FJ202&lt;SwaptionFirstMonthPosition+1,GN$169&gt;SwaptionFirstMonthPosition+SwaptionNumOfMonths+1,$FJ202&gt;SwaptionFirstMonthPosition+SwaptionNumOfMonths+1),"",IF($FJ202=GN$169,1,IF($FJ202&lt;GN$169,INDEX($FK$170:$ID$241,GN$169,$FJ202),SUMPRODUCT(INDEX($FK$325:$ID$396,GN$169,1+SwaptionShift):INDEX($FK$325:$ID$396,GN$169,SwaptionMonthsToGo+SwaptionShift),INDEX($FK$245:$ID$316,$FJ202-GN$169,73-GN$169+SwaptionShift):INDEX($FK$245:$ID$316,$FJ202-GN$169,72-GN$169+SwaptionMonthsToGo+SwaptionShift))/SQRT(SUM(INDEX($FK357:$ID357,1+SwaptionShift):INDEX($FK357:$ID357,SwaptionMonthsToGo+SwaptionShift))*SUM(INDEX($FK$325:$ID$396,GN$169,1+SwaptionShift):INDEX($FK$325:$ID$396,GN$169,SwaptionMonthsToGo+SwaptionShift))))))</f>
        <v/>
      </c>
      <c r="GO202" s="150" t="str">
        <f aca="false">IF(OR(GO$169&lt;SwaptionFirstMonthPosition+1,$FJ202&lt;SwaptionFirstMonthPosition+1,GO$169&gt;SwaptionFirstMonthPosition+SwaptionNumOfMonths+1,$FJ202&gt;SwaptionFirstMonthPosition+SwaptionNumOfMonths+1),"",IF($FJ202=GO$169,1,IF($FJ202&lt;GO$169,INDEX($FK$170:$ID$241,GO$169,$FJ202),SUMPRODUCT(INDEX($FK$325:$ID$396,GO$169,1+SwaptionShift):INDEX($FK$325:$ID$396,GO$169,SwaptionMonthsToGo+SwaptionShift),INDEX($FK$245:$ID$316,$FJ202-GO$169,73-GO$169+SwaptionShift):INDEX($FK$245:$ID$316,$FJ202-GO$169,72-GO$169+SwaptionMonthsToGo+SwaptionShift))/SQRT(SUM(INDEX($FK357:$ID357,1+SwaptionShift):INDEX($FK357:$ID357,SwaptionMonthsToGo+SwaptionShift))*SUM(INDEX($FK$325:$ID$396,GO$169,1+SwaptionShift):INDEX($FK$325:$ID$396,GO$169,SwaptionMonthsToGo+SwaptionShift))))))</f>
        <v/>
      </c>
      <c r="GP202" s="150" t="str">
        <f aca="false">IF(OR(GP$169&lt;SwaptionFirstMonthPosition+1,$FJ202&lt;SwaptionFirstMonthPosition+1,GP$169&gt;SwaptionFirstMonthPosition+SwaptionNumOfMonths+1,$FJ202&gt;SwaptionFirstMonthPosition+SwaptionNumOfMonths+1),"",IF($FJ202=GP$169,1,IF($FJ202&lt;GP$169,INDEX($FK$170:$ID$241,GP$169,$FJ202),SUMPRODUCT(INDEX($FK$325:$ID$396,GP$169,1+SwaptionShift):INDEX($FK$325:$ID$396,GP$169,SwaptionMonthsToGo+SwaptionShift),INDEX($FK$245:$ID$316,$FJ202-GP$169,73-GP$169+SwaptionShift):INDEX($FK$245:$ID$316,$FJ202-GP$169,72-GP$169+SwaptionMonthsToGo+SwaptionShift))/SQRT(SUM(INDEX($FK357:$ID357,1+SwaptionShift):INDEX($FK357:$ID357,SwaptionMonthsToGo+SwaptionShift))*SUM(INDEX($FK$325:$ID$396,GP$169,1+SwaptionShift):INDEX($FK$325:$ID$396,GP$169,SwaptionMonthsToGo+SwaptionShift))))))</f>
        <v/>
      </c>
      <c r="GQ202" s="150" t="str">
        <f aca="false">IF(OR(GQ$169&lt;SwaptionFirstMonthPosition+1,$FJ202&lt;SwaptionFirstMonthPosition+1,GQ$169&gt;SwaptionFirstMonthPosition+SwaptionNumOfMonths+1,$FJ202&gt;SwaptionFirstMonthPosition+SwaptionNumOfMonths+1),"",IF($FJ202=GQ$169,1,IF($FJ202&lt;GQ$169,INDEX($FK$170:$ID$241,GQ$169,$FJ202),SUMPRODUCT(INDEX($FK$325:$ID$396,GQ$169,1+SwaptionShift):INDEX($FK$325:$ID$396,GQ$169,SwaptionMonthsToGo+SwaptionShift),INDEX($FK$245:$ID$316,$FJ202-GQ$169,73-GQ$169+SwaptionShift):INDEX($FK$245:$ID$316,$FJ202-GQ$169,72-GQ$169+SwaptionMonthsToGo+SwaptionShift))/SQRT(SUM(INDEX($FK357:$ID357,1+SwaptionShift):INDEX($FK357:$ID357,SwaptionMonthsToGo+SwaptionShift))*SUM(INDEX($FK$325:$ID$396,GQ$169,1+SwaptionShift):INDEX($FK$325:$ID$396,GQ$169,SwaptionMonthsToGo+SwaptionShift))))))</f>
        <v/>
      </c>
      <c r="GR202" s="150" t="str">
        <f aca="false">IF(OR(GR$169&lt;SwaptionFirstMonthPosition+1,$FJ202&lt;SwaptionFirstMonthPosition+1,GR$169&gt;SwaptionFirstMonthPosition+SwaptionNumOfMonths+1,$FJ202&gt;SwaptionFirstMonthPosition+SwaptionNumOfMonths+1),"",IF($FJ202=GR$169,1,IF($FJ202&lt;GR$169,INDEX($FK$170:$ID$241,GR$169,$FJ202),SUMPRODUCT(INDEX($FK$325:$ID$396,GR$169,1+SwaptionShift):INDEX($FK$325:$ID$396,GR$169,SwaptionMonthsToGo+SwaptionShift),INDEX($FK$245:$ID$316,$FJ202-GR$169,73-GR$169+SwaptionShift):INDEX($FK$245:$ID$316,$FJ202-GR$169,72-GR$169+SwaptionMonthsToGo+SwaptionShift))/SQRT(SUM(INDEX($FK357:$ID357,1+SwaptionShift):INDEX($FK357:$ID357,SwaptionMonthsToGo+SwaptionShift))*SUM(INDEX($FK$325:$ID$396,GR$169,1+SwaptionShift):INDEX($FK$325:$ID$396,GR$169,SwaptionMonthsToGo+SwaptionShift))))))</f>
        <v/>
      </c>
      <c r="GS202" s="150" t="str">
        <f aca="false">IF(OR(GS$169&lt;SwaptionFirstMonthPosition+1,$FJ202&lt;SwaptionFirstMonthPosition+1,GS$169&gt;SwaptionFirstMonthPosition+SwaptionNumOfMonths+1,$FJ202&gt;SwaptionFirstMonthPosition+SwaptionNumOfMonths+1),"",IF($FJ202=GS$169,1,IF($FJ202&lt;GS$169,INDEX($FK$170:$ID$241,GS$169,$FJ202),SUMPRODUCT(INDEX($FK$325:$ID$396,GS$169,1+SwaptionShift):INDEX($FK$325:$ID$396,GS$169,SwaptionMonthsToGo+SwaptionShift),INDEX($FK$245:$ID$316,$FJ202-GS$169,73-GS$169+SwaptionShift):INDEX($FK$245:$ID$316,$FJ202-GS$169,72-GS$169+SwaptionMonthsToGo+SwaptionShift))/SQRT(SUM(INDEX($FK357:$ID357,1+SwaptionShift):INDEX($FK357:$ID357,SwaptionMonthsToGo+SwaptionShift))*SUM(INDEX($FK$325:$ID$396,GS$169,1+SwaptionShift):INDEX($FK$325:$ID$396,GS$169,SwaptionMonthsToGo+SwaptionShift))))))</f>
        <v/>
      </c>
      <c r="GT202" s="150" t="str">
        <f aca="false">IF(OR(GT$169&lt;SwaptionFirstMonthPosition+1,$FJ202&lt;SwaptionFirstMonthPosition+1,GT$169&gt;SwaptionFirstMonthPosition+SwaptionNumOfMonths+1,$FJ202&gt;SwaptionFirstMonthPosition+SwaptionNumOfMonths+1),"",IF($FJ202=GT$169,1,IF($FJ202&lt;GT$169,INDEX($FK$170:$ID$241,GT$169,$FJ202),SUMPRODUCT(INDEX($FK$325:$ID$396,GT$169,1+SwaptionShift):INDEX($FK$325:$ID$396,GT$169,SwaptionMonthsToGo+SwaptionShift),INDEX($FK$245:$ID$316,$FJ202-GT$169,73-GT$169+SwaptionShift):INDEX($FK$245:$ID$316,$FJ202-GT$169,72-GT$169+SwaptionMonthsToGo+SwaptionShift))/SQRT(SUM(INDEX($FK357:$ID357,1+SwaptionShift):INDEX($FK357:$ID357,SwaptionMonthsToGo+SwaptionShift))*SUM(INDEX($FK$325:$ID$396,GT$169,1+SwaptionShift):INDEX($FK$325:$ID$396,GT$169,SwaptionMonthsToGo+SwaptionShift))))))</f>
        <v/>
      </c>
      <c r="GU202" s="150" t="str">
        <f aca="false">IF(OR(GU$169&lt;SwaptionFirstMonthPosition+1,$FJ202&lt;SwaptionFirstMonthPosition+1,GU$169&gt;SwaptionFirstMonthPosition+SwaptionNumOfMonths+1,$FJ202&gt;SwaptionFirstMonthPosition+SwaptionNumOfMonths+1),"",IF($FJ202=GU$169,1,IF($FJ202&lt;GU$169,INDEX($FK$170:$ID$241,GU$169,$FJ202),SUMPRODUCT(INDEX($FK$325:$ID$396,GU$169,1+SwaptionShift):INDEX($FK$325:$ID$396,GU$169,SwaptionMonthsToGo+SwaptionShift),INDEX($FK$245:$ID$316,$FJ202-GU$169,73-GU$169+SwaptionShift):INDEX($FK$245:$ID$316,$FJ202-GU$169,72-GU$169+SwaptionMonthsToGo+SwaptionShift))/SQRT(SUM(INDEX($FK357:$ID357,1+SwaptionShift):INDEX($FK357:$ID357,SwaptionMonthsToGo+SwaptionShift))*SUM(INDEX($FK$325:$ID$396,GU$169,1+SwaptionShift):INDEX($FK$325:$ID$396,GU$169,SwaptionMonthsToGo+SwaptionShift))))))</f>
        <v/>
      </c>
      <c r="GV202" s="150" t="str">
        <f aca="false">IF(OR(GV$169&lt;SwaptionFirstMonthPosition+1,$FJ202&lt;SwaptionFirstMonthPosition+1,GV$169&gt;SwaptionFirstMonthPosition+SwaptionNumOfMonths+1,$FJ202&gt;SwaptionFirstMonthPosition+SwaptionNumOfMonths+1),"",IF($FJ202=GV$169,1,IF($FJ202&lt;GV$169,INDEX($FK$170:$ID$241,GV$169,$FJ202),SUMPRODUCT(INDEX($FK$325:$ID$396,GV$169,1+SwaptionShift):INDEX($FK$325:$ID$396,GV$169,SwaptionMonthsToGo+SwaptionShift),INDEX($FK$245:$ID$316,$FJ202-GV$169,73-GV$169+SwaptionShift):INDEX($FK$245:$ID$316,$FJ202-GV$169,72-GV$169+SwaptionMonthsToGo+SwaptionShift))/SQRT(SUM(INDEX($FK357:$ID357,1+SwaptionShift):INDEX($FK357:$ID357,SwaptionMonthsToGo+SwaptionShift))*SUM(INDEX($FK$325:$ID$396,GV$169,1+SwaptionShift):INDEX($FK$325:$ID$396,GV$169,SwaptionMonthsToGo+SwaptionShift))))))</f>
        <v/>
      </c>
      <c r="GW202" s="150" t="str">
        <f aca="false">IF(OR(GW$169&lt;SwaptionFirstMonthPosition+1,$FJ202&lt;SwaptionFirstMonthPosition+1,GW$169&gt;SwaptionFirstMonthPosition+SwaptionNumOfMonths+1,$FJ202&gt;SwaptionFirstMonthPosition+SwaptionNumOfMonths+1),"",IF($FJ202=GW$169,1,IF($FJ202&lt;GW$169,INDEX($FK$170:$ID$241,GW$169,$FJ202),SUMPRODUCT(INDEX($FK$325:$ID$396,GW$169,1+SwaptionShift):INDEX($FK$325:$ID$396,GW$169,SwaptionMonthsToGo+SwaptionShift),INDEX($FK$245:$ID$316,$FJ202-GW$169,73-GW$169+SwaptionShift):INDEX($FK$245:$ID$316,$FJ202-GW$169,72-GW$169+SwaptionMonthsToGo+SwaptionShift))/SQRT(SUM(INDEX($FK357:$ID357,1+SwaptionShift):INDEX($FK357:$ID357,SwaptionMonthsToGo+SwaptionShift))*SUM(INDEX($FK$325:$ID$396,GW$169,1+SwaptionShift):INDEX($FK$325:$ID$396,GW$169,SwaptionMonthsToGo+SwaptionShift))))))</f>
        <v/>
      </c>
      <c r="GX202" s="150" t="str">
        <f aca="false">IF(OR(GX$169&lt;SwaptionFirstMonthPosition+1,$FJ202&lt;SwaptionFirstMonthPosition+1,GX$169&gt;SwaptionFirstMonthPosition+SwaptionNumOfMonths+1,$FJ202&gt;SwaptionFirstMonthPosition+SwaptionNumOfMonths+1),"",IF($FJ202=GX$169,1,IF($FJ202&lt;GX$169,INDEX($FK$170:$ID$241,GX$169,$FJ202),SUMPRODUCT(INDEX($FK$325:$ID$396,GX$169,1+SwaptionShift):INDEX($FK$325:$ID$396,GX$169,SwaptionMonthsToGo+SwaptionShift),INDEX($FK$245:$ID$316,$FJ202-GX$169,73-GX$169+SwaptionShift):INDEX($FK$245:$ID$316,$FJ202-GX$169,72-GX$169+SwaptionMonthsToGo+SwaptionShift))/SQRT(SUM(INDEX($FK357:$ID357,1+SwaptionShift):INDEX($FK357:$ID357,SwaptionMonthsToGo+SwaptionShift))*SUM(INDEX($FK$325:$ID$396,GX$169,1+SwaptionShift):INDEX($FK$325:$ID$396,GX$169,SwaptionMonthsToGo+SwaptionShift))))))</f>
        <v/>
      </c>
      <c r="GY202" s="150" t="str">
        <f aca="false">IF(OR(GY$169&lt;SwaptionFirstMonthPosition+1,$FJ202&lt;SwaptionFirstMonthPosition+1,GY$169&gt;SwaptionFirstMonthPosition+SwaptionNumOfMonths+1,$FJ202&gt;SwaptionFirstMonthPosition+SwaptionNumOfMonths+1),"",IF($FJ202=GY$169,1,IF($FJ202&lt;GY$169,INDEX($FK$170:$ID$241,GY$169,$FJ202),SUMPRODUCT(INDEX($FK$325:$ID$396,GY$169,1+SwaptionShift):INDEX($FK$325:$ID$396,GY$169,SwaptionMonthsToGo+SwaptionShift),INDEX($FK$245:$ID$316,$FJ202-GY$169,73-GY$169+SwaptionShift):INDEX($FK$245:$ID$316,$FJ202-GY$169,72-GY$169+SwaptionMonthsToGo+SwaptionShift))/SQRT(SUM(INDEX($FK357:$ID357,1+SwaptionShift):INDEX($FK357:$ID357,SwaptionMonthsToGo+SwaptionShift))*SUM(INDEX($FK$325:$ID$396,GY$169,1+SwaptionShift):INDEX($FK$325:$ID$396,GY$169,SwaptionMonthsToGo+SwaptionShift))))))</f>
        <v/>
      </c>
      <c r="GZ202" s="150" t="str">
        <f aca="false">IF(OR(GZ$169&lt;SwaptionFirstMonthPosition+1,$FJ202&lt;SwaptionFirstMonthPosition+1,GZ$169&gt;SwaptionFirstMonthPosition+SwaptionNumOfMonths+1,$FJ202&gt;SwaptionFirstMonthPosition+SwaptionNumOfMonths+1),"",IF($FJ202=GZ$169,1,IF($FJ202&lt;GZ$169,INDEX($FK$170:$ID$241,GZ$169,$FJ202),SUMPRODUCT(INDEX($FK$325:$ID$396,GZ$169,1+SwaptionShift):INDEX($FK$325:$ID$396,GZ$169,SwaptionMonthsToGo+SwaptionShift),INDEX($FK$245:$ID$316,$FJ202-GZ$169,73-GZ$169+SwaptionShift):INDEX($FK$245:$ID$316,$FJ202-GZ$169,72-GZ$169+SwaptionMonthsToGo+SwaptionShift))/SQRT(SUM(INDEX($FK357:$ID357,1+SwaptionShift):INDEX($FK357:$ID357,SwaptionMonthsToGo+SwaptionShift))*SUM(INDEX($FK$325:$ID$396,GZ$169,1+SwaptionShift):INDEX($FK$325:$ID$396,GZ$169,SwaptionMonthsToGo+SwaptionShift))))))</f>
        <v/>
      </c>
      <c r="HA202" s="150" t="str">
        <f aca="false">IF(OR(HA$169&lt;SwaptionFirstMonthPosition+1,$FJ202&lt;SwaptionFirstMonthPosition+1,HA$169&gt;SwaptionFirstMonthPosition+SwaptionNumOfMonths+1,$FJ202&gt;SwaptionFirstMonthPosition+SwaptionNumOfMonths+1),"",IF($FJ202=HA$169,1,IF($FJ202&lt;HA$169,INDEX($FK$170:$ID$241,HA$169,$FJ202),SUMPRODUCT(INDEX($FK$325:$ID$396,HA$169,1+SwaptionShift):INDEX($FK$325:$ID$396,HA$169,SwaptionMonthsToGo+SwaptionShift),INDEX($FK$245:$ID$316,$FJ202-HA$169,73-HA$169+SwaptionShift):INDEX($FK$245:$ID$316,$FJ202-HA$169,72-HA$169+SwaptionMonthsToGo+SwaptionShift))/SQRT(SUM(INDEX($FK357:$ID357,1+SwaptionShift):INDEX($FK357:$ID357,SwaptionMonthsToGo+SwaptionShift))*SUM(INDEX($FK$325:$ID$396,HA$169,1+SwaptionShift):INDEX($FK$325:$ID$396,HA$169,SwaptionMonthsToGo+SwaptionShift))))))</f>
        <v/>
      </c>
      <c r="HB202" s="150" t="str">
        <f aca="false">IF(OR(HB$169&lt;SwaptionFirstMonthPosition+1,$FJ202&lt;SwaptionFirstMonthPosition+1,HB$169&gt;SwaptionFirstMonthPosition+SwaptionNumOfMonths+1,$FJ202&gt;SwaptionFirstMonthPosition+SwaptionNumOfMonths+1),"",IF($FJ202=HB$169,1,IF($FJ202&lt;HB$169,INDEX($FK$170:$ID$241,HB$169,$FJ202),SUMPRODUCT(INDEX($FK$325:$ID$396,HB$169,1+SwaptionShift):INDEX($FK$325:$ID$396,HB$169,SwaptionMonthsToGo+SwaptionShift),INDEX($FK$245:$ID$316,$FJ202-HB$169,73-HB$169+SwaptionShift):INDEX($FK$245:$ID$316,$FJ202-HB$169,72-HB$169+SwaptionMonthsToGo+SwaptionShift))/SQRT(SUM(INDEX($FK357:$ID357,1+SwaptionShift):INDEX($FK357:$ID357,SwaptionMonthsToGo+SwaptionShift))*SUM(INDEX($FK$325:$ID$396,HB$169,1+SwaptionShift):INDEX($FK$325:$ID$396,HB$169,SwaptionMonthsToGo+SwaptionShift))))))</f>
        <v/>
      </c>
      <c r="HC202" s="150" t="str">
        <f aca="false">IF(OR(HC$169&lt;SwaptionFirstMonthPosition+1,$FJ202&lt;SwaptionFirstMonthPosition+1,HC$169&gt;SwaptionFirstMonthPosition+SwaptionNumOfMonths+1,$FJ202&gt;SwaptionFirstMonthPosition+SwaptionNumOfMonths+1),"",IF($FJ202=HC$169,1,IF($FJ202&lt;HC$169,INDEX($FK$170:$ID$241,HC$169,$FJ202),SUMPRODUCT(INDEX($FK$325:$ID$396,HC$169,1+SwaptionShift):INDEX($FK$325:$ID$396,HC$169,SwaptionMonthsToGo+SwaptionShift),INDEX($FK$245:$ID$316,$FJ202-HC$169,73-HC$169+SwaptionShift):INDEX($FK$245:$ID$316,$FJ202-HC$169,72-HC$169+SwaptionMonthsToGo+SwaptionShift))/SQRT(SUM(INDEX($FK357:$ID357,1+SwaptionShift):INDEX($FK357:$ID357,SwaptionMonthsToGo+SwaptionShift))*SUM(INDEX($FK$325:$ID$396,HC$169,1+SwaptionShift):INDEX($FK$325:$ID$396,HC$169,SwaptionMonthsToGo+SwaptionShift))))))</f>
        <v/>
      </c>
      <c r="HD202" s="150" t="str">
        <f aca="false">IF(OR(HD$169&lt;SwaptionFirstMonthPosition+1,$FJ202&lt;SwaptionFirstMonthPosition+1,HD$169&gt;SwaptionFirstMonthPosition+SwaptionNumOfMonths+1,$FJ202&gt;SwaptionFirstMonthPosition+SwaptionNumOfMonths+1),"",IF($FJ202=HD$169,1,IF($FJ202&lt;HD$169,INDEX($FK$170:$ID$241,HD$169,$FJ202),SUMPRODUCT(INDEX($FK$325:$ID$396,HD$169,1+SwaptionShift):INDEX($FK$325:$ID$396,HD$169,SwaptionMonthsToGo+SwaptionShift),INDEX($FK$245:$ID$316,$FJ202-HD$169,73-HD$169+SwaptionShift):INDEX($FK$245:$ID$316,$FJ202-HD$169,72-HD$169+SwaptionMonthsToGo+SwaptionShift))/SQRT(SUM(INDEX($FK357:$ID357,1+SwaptionShift):INDEX($FK357:$ID357,SwaptionMonthsToGo+SwaptionShift))*SUM(INDEX($FK$325:$ID$396,HD$169,1+SwaptionShift):INDEX($FK$325:$ID$396,HD$169,SwaptionMonthsToGo+SwaptionShift))))))</f>
        <v/>
      </c>
      <c r="HE202" s="150" t="str">
        <f aca="false">IF(OR(HE$169&lt;SwaptionFirstMonthPosition+1,$FJ202&lt;SwaptionFirstMonthPosition+1,HE$169&gt;SwaptionFirstMonthPosition+SwaptionNumOfMonths+1,$FJ202&gt;SwaptionFirstMonthPosition+SwaptionNumOfMonths+1),"",IF($FJ202=HE$169,1,IF($FJ202&lt;HE$169,INDEX($FK$170:$ID$241,HE$169,$FJ202),SUMPRODUCT(INDEX($FK$325:$ID$396,HE$169,1+SwaptionShift):INDEX($FK$325:$ID$396,HE$169,SwaptionMonthsToGo+SwaptionShift),INDEX($FK$245:$ID$316,$FJ202-HE$169,73-HE$169+SwaptionShift):INDEX($FK$245:$ID$316,$FJ202-HE$169,72-HE$169+SwaptionMonthsToGo+SwaptionShift))/SQRT(SUM(INDEX($FK357:$ID357,1+SwaptionShift):INDEX($FK357:$ID357,SwaptionMonthsToGo+SwaptionShift))*SUM(INDEX($FK$325:$ID$396,HE$169,1+SwaptionShift):INDEX($FK$325:$ID$396,HE$169,SwaptionMonthsToGo+SwaptionShift))))))</f>
        <v/>
      </c>
      <c r="HF202" s="150" t="str">
        <f aca="false">IF(OR(HF$169&lt;SwaptionFirstMonthPosition+1,$FJ202&lt;SwaptionFirstMonthPosition+1,HF$169&gt;SwaptionFirstMonthPosition+SwaptionNumOfMonths+1,$FJ202&gt;SwaptionFirstMonthPosition+SwaptionNumOfMonths+1),"",IF($FJ202=HF$169,1,IF($FJ202&lt;HF$169,INDEX($FK$170:$ID$241,HF$169,$FJ202),SUMPRODUCT(INDEX($FK$325:$ID$396,HF$169,1+SwaptionShift):INDEX($FK$325:$ID$396,HF$169,SwaptionMonthsToGo+SwaptionShift),INDEX($FK$245:$ID$316,$FJ202-HF$169,73-HF$169+SwaptionShift):INDEX($FK$245:$ID$316,$FJ202-HF$169,72-HF$169+SwaptionMonthsToGo+SwaptionShift))/SQRT(SUM(INDEX($FK357:$ID357,1+SwaptionShift):INDEX($FK357:$ID357,SwaptionMonthsToGo+SwaptionShift))*SUM(INDEX($FK$325:$ID$396,HF$169,1+SwaptionShift):INDEX($FK$325:$ID$396,HF$169,SwaptionMonthsToGo+SwaptionShift))))))</f>
        <v/>
      </c>
      <c r="HG202" s="150" t="str">
        <f aca="false">IF(OR(HG$169&lt;SwaptionFirstMonthPosition+1,$FJ202&lt;SwaptionFirstMonthPosition+1,HG$169&gt;SwaptionFirstMonthPosition+SwaptionNumOfMonths+1,$FJ202&gt;SwaptionFirstMonthPosition+SwaptionNumOfMonths+1),"",IF($FJ202=HG$169,1,IF($FJ202&lt;HG$169,INDEX($FK$170:$ID$241,HG$169,$FJ202),SUMPRODUCT(INDEX($FK$325:$ID$396,HG$169,1+SwaptionShift):INDEX($FK$325:$ID$396,HG$169,SwaptionMonthsToGo+SwaptionShift),INDEX($FK$245:$ID$316,$FJ202-HG$169,73-HG$169+SwaptionShift):INDEX($FK$245:$ID$316,$FJ202-HG$169,72-HG$169+SwaptionMonthsToGo+SwaptionShift))/SQRT(SUM(INDEX($FK357:$ID357,1+SwaptionShift):INDEX($FK357:$ID357,SwaptionMonthsToGo+SwaptionShift))*SUM(INDEX($FK$325:$ID$396,HG$169,1+SwaptionShift):INDEX($FK$325:$ID$396,HG$169,SwaptionMonthsToGo+SwaptionShift))))))</f>
        <v/>
      </c>
      <c r="HH202" s="150" t="str">
        <f aca="false">IF(OR(HH$169&lt;SwaptionFirstMonthPosition+1,$FJ202&lt;SwaptionFirstMonthPosition+1,HH$169&gt;SwaptionFirstMonthPosition+SwaptionNumOfMonths+1,$FJ202&gt;SwaptionFirstMonthPosition+SwaptionNumOfMonths+1),"",IF($FJ202=HH$169,1,IF($FJ202&lt;HH$169,INDEX($FK$170:$ID$241,HH$169,$FJ202),SUMPRODUCT(INDEX($FK$325:$ID$396,HH$169,1+SwaptionShift):INDEX($FK$325:$ID$396,HH$169,SwaptionMonthsToGo+SwaptionShift),INDEX($FK$245:$ID$316,$FJ202-HH$169,73-HH$169+SwaptionShift):INDEX($FK$245:$ID$316,$FJ202-HH$169,72-HH$169+SwaptionMonthsToGo+SwaptionShift))/SQRT(SUM(INDEX($FK357:$ID357,1+SwaptionShift):INDEX($FK357:$ID357,SwaptionMonthsToGo+SwaptionShift))*SUM(INDEX($FK$325:$ID$396,HH$169,1+SwaptionShift):INDEX($FK$325:$ID$396,HH$169,SwaptionMonthsToGo+SwaptionShift))))))</f>
        <v/>
      </c>
      <c r="HI202" s="150" t="str">
        <f aca="false">IF(OR(HI$169&lt;SwaptionFirstMonthPosition+1,$FJ202&lt;SwaptionFirstMonthPosition+1,HI$169&gt;SwaptionFirstMonthPosition+SwaptionNumOfMonths+1,$FJ202&gt;SwaptionFirstMonthPosition+SwaptionNumOfMonths+1),"",IF($FJ202=HI$169,1,IF($FJ202&lt;HI$169,INDEX($FK$170:$ID$241,HI$169,$FJ202),SUMPRODUCT(INDEX($FK$325:$ID$396,HI$169,1+SwaptionShift):INDEX($FK$325:$ID$396,HI$169,SwaptionMonthsToGo+SwaptionShift),INDEX($FK$245:$ID$316,$FJ202-HI$169,73-HI$169+SwaptionShift):INDEX($FK$245:$ID$316,$FJ202-HI$169,72-HI$169+SwaptionMonthsToGo+SwaptionShift))/SQRT(SUM(INDEX($FK357:$ID357,1+SwaptionShift):INDEX($FK357:$ID357,SwaptionMonthsToGo+SwaptionShift))*SUM(INDEX($FK$325:$ID$396,HI$169,1+SwaptionShift):INDEX($FK$325:$ID$396,HI$169,SwaptionMonthsToGo+SwaptionShift))))))</f>
        <v/>
      </c>
      <c r="HJ202" s="150" t="str">
        <f aca="false">IF(OR(HJ$169&lt;SwaptionFirstMonthPosition+1,$FJ202&lt;SwaptionFirstMonthPosition+1,HJ$169&gt;SwaptionFirstMonthPosition+SwaptionNumOfMonths+1,$FJ202&gt;SwaptionFirstMonthPosition+SwaptionNumOfMonths+1),"",IF($FJ202=HJ$169,1,IF($FJ202&lt;HJ$169,INDEX($FK$170:$ID$241,HJ$169,$FJ202),SUMPRODUCT(INDEX($FK$325:$ID$396,HJ$169,1+SwaptionShift):INDEX($FK$325:$ID$396,HJ$169,SwaptionMonthsToGo+SwaptionShift),INDEX($FK$245:$ID$316,$FJ202-HJ$169,73-HJ$169+SwaptionShift):INDEX($FK$245:$ID$316,$FJ202-HJ$169,72-HJ$169+SwaptionMonthsToGo+SwaptionShift))/SQRT(SUM(INDEX($FK357:$ID357,1+SwaptionShift):INDEX($FK357:$ID357,SwaptionMonthsToGo+SwaptionShift))*SUM(INDEX($FK$325:$ID$396,HJ$169,1+SwaptionShift):INDEX($FK$325:$ID$396,HJ$169,SwaptionMonthsToGo+SwaptionShift))))))</f>
        <v/>
      </c>
      <c r="HK202" s="150" t="str">
        <f aca="false">IF(OR(HK$169&lt;SwaptionFirstMonthPosition+1,$FJ202&lt;SwaptionFirstMonthPosition+1,HK$169&gt;SwaptionFirstMonthPosition+SwaptionNumOfMonths+1,$FJ202&gt;SwaptionFirstMonthPosition+SwaptionNumOfMonths+1),"",IF($FJ202=HK$169,1,IF($FJ202&lt;HK$169,INDEX($FK$170:$ID$241,HK$169,$FJ202),SUMPRODUCT(INDEX($FK$325:$ID$396,HK$169,1+SwaptionShift):INDEX($FK$325:$ID$396,HK$169,SwaptionMonthsToGo+SwaptionShift),INDEX($FK$245:$ID$316,$FJ202-HK$169,73-HK$169+SwaptionShift):INDEX($FK$245:$ID$316,$FJ202-HK$169,72-HK$169+SwaptionMonthsToGo+SwaptionShift))/SQRT(SUM(INDEX($FK357:$ID357,1+SwaptionShift):INDEX($FK357:$ID357,SwaptionMonthsToGo+SwaptionShift))*SUM(INDEX($FK$325:$ID$396,HK$169,1+SwaptionShift):INDEX($FK$325:$ID$396,HK$169,SwaptionMonthsToGo+SwaptionShift))))))</f>
        <v/>
      </c>
      <c r="HL202" s="150" t="str">
        <f aca="false">IF(OR(HL$169&lt;SwaptionFirstMonthPosition+1,$FJ202&lt;SwaptionFirstMonthPosition+1,HL$169&gt;SwaptionFirstMonthPosition+SwaptionNumOfMonths+1,$FJ202&gt;SwaptionFirstMonthPosition+SwaptionNumOfMonths+1),"",IF($FJ202=HL$169,1,IF($FJ202&lt;HL$169,INDEX($FK$170:$ID$241,HL$169,$FJ202),SUMPRODUCT(INDEX($FK$325:$ID$396,HL$169,1+SwaptionShift):INDEX($FK$325:$ID$396,HL$169,SwaptionMonthsToGo+SwaptionShift),INDEX($FK$245:$ID$316,$FJ202-HL$169,73-HL$169+SwaptionShift):INDEX($FK$245:$ID$316,$FJ202-HL$169,72-HL$169+SwaptionMonthsToGo+SwaptionShift))/SQRT(SUM(INDEX($FK357:$ID357,1+SwaptionShift):INDEX($FK357:$ID357,SwaptionMonthsToGo+SwaptionShift))*SUM(INDEX($FK$325:$ID$396,HL$169,1+SwaptionShift):INDEX($FK$325:$ID$396,HL$169,SwaptionMonthsToGo+SwaptionShift))))))</f>
        <v/>
      </c>
      <c r="HM202" s="150" t="str">
        <f aca="false">IF(OR(HM$169&lt;SwaptionFirstMonthPosition+1,$FJ202&lt;SwaptionFirstMonthPosition+1,HM$169&gt;SwaptionFirstMonthPosition+SwaptionNumOfMonths+1,$FJ202&gt;SwaptionFirstMonthPosition+SwaptionNumOfMonths+1),"",IF($FJ202=HM$169,1,IF($FJ202&lt;HM$169,INDEX($FK$170:$ID$241,HM$169,$FJ202),SUMPRODUCT(INDEX($FK$325:$ID$396,HM$169,1+SwaptionShift):INDEX($FK$325:$ID$396,HM$169,SwaptionMonthsToGo+SwaptionShift),INDEX($FK$245:$ID$316,$FJ202-HM$169,73-HM$169+SwaptionShift):INDEX($FK$245:$ID$316,$FJ202-HM$169,72-HM$169+SwaptionMonthsToGo+SwaptionShift))/SQRT(SUM(INDEX($FK357:$ID357,1+SwaptionShift):INDEX($FK357:$ID357,SwaptionMonthsToGo+SwaptionShift))*SUM(INDEX($FK$325:$ID$396,HM$169,1+SwaptionShift):INDEX($FK$325:$ID$396,HM$169,SwaptionMonthsToGo+SwaptionShift))))))</f>
        <v/>
      </c>
      <c r="HN202" s="150" t="str">
        <f aca="false">IF(OR(HN$169&lt;SwaptionFirstMonthPosition+1,$FJ202&lt;SwaptionFirstMonthPosition+1,HN$169&gt;SwaptionFirstMonthPosition+SwaptionNumOfMonths+1,$FJ202&gt;SwaptionFirstMonthPosition+SwaptionNumOfMonths+1),"",IF($FJ202=HN$169,1,IF($FJ202&lt;HN$169,INDEX($FK$170:$ID$241,HN$169,$FJ202),SUMPRODUCT(INDEX($FK$325:$ID$396,HN$169,1+SwaptionShift):INDEX($FK$325:$ID$396,HN$169,SwaptionMonthsToGo+SwaptionShift),INDEX($FK$245:$ID$316,$FJ202-HN$169,73-HN$169+SwaptionShift):INDEX($FK$245:$ID$316,$FJ202-HN$169,72-HN$169+SwaptionMonthsToGo+SwaptionShift))/SQRT(SUM(INDEX($FK357:$ID357,1+SwaptionShift):INDEX($FK357:$ID357,SwaptionMonthsToGo+SwaptionShift))*SUM(INDEX($FK$325:$ID$396,HN$169,1+SwaptionShift):INDEX($FK$325:$ID$396,HN$169,SwaptionMonthsToGo+SwaptionShift))))))</f>
        <v/>
      </c>
      <c r="HO202" s="150" t="str">
        <f aca="false">IF(OR(HO$169&lt;SwaptionFirstMonthPosition+1,$FJ202&lt;SwaptionFirstMonthPosition+1,HO$169&gt;SwaptionFirstMonthPosition+SwaptionNumOfMonths+1,$FJ202&gt;SwaptionFirstMonthPosition+SwaptionNumOfMonths+1),"",IF($FJ202=HO$169,1,IF($FJ202&lt;HO$169,INDEX($FK$170:$ID$241,HO$169,$FJ202),SUMPRODUCT(INDEX($FK$325:$ID$396,HO$169,1+SwaptionShift):INDEX($FK$325:$ID$396,HO$169,SwaptionMonthsToGo+SwaptionShift),INDEX($FK$245:$ID$316,$FJ202-HO$169,73-HO$169+SwaptionShift):INDEX($FK$245:$ID$316,$FJ202-HO$169,72-HO$169+SwaptionMonthsToGo+SwaptionShift))/SQRT(SUM(INDEX($FK357:$ID357,1+SwaptionShift):INDEX($FK357:$ID357,SwaptionMonthsToGo+SwaptionShift))*SUM(INDEX($FK$325:$ID$396,HO$169,1+SwaptionShift):INDEX($FK$325:$ID$396,HO$169,SwaptionMonthsToGo+SwaptionShift))))))</f>
        <v/>
      </c>
      <c r="HP202" s="150" t="str">
        <f aca="false">IF(OR(HP$169&lt;SwaptionFirstMonthPosition+1,$FJ202&lt;SwaptionFirstMonthPosition+1,HP$169&gt;SwaptionFirstMonthPosition+SwaptionNumOfMonths+1,$FJ202&gt;SwaptionFirstMonthPosition+SwaptionNumOfMonths+1),"",IF($FJ202=HP$169,1,IF($FJ202&lt;HP$169,INDEX($FK$170:$ID$241,HP$169,$FJ202),SUMPRODUCT(INDEX($FK$325:$ID$396,HP$169,1+SwaptionShift):INDEX($FK$325:$ID$396,HP$169,SwaptionMonthsToGo+SwaptionShift),INDEX($FK$245:$ID$316,$FJ202-HP$169,73-HP$169+SwaptionShift):INDEX($FK$245:$ID$316,$FJ202-HP$169,72-HP$169+SwaptionMonthsToGo+SwaptionShift))/SQRT(SUM(INDEX($FK357:$ID357,1+SwaptionShift):INDEX($FK357:$ID357,SwaptionMonthsToGo+SwaptionShift))*SUM(INDEX($FK$325:$ID$396,HP$169,1+SwaptionShift):INDEX($FK$325:$ID$396,HP$169,SwaptionMonthsToGo+SwaptionShift))))))</f>
        <v/>
      </c>
      <c r="HQ202" s="150" t="str">
        <f aca="false">IF(OR(HQ$169&lt;SwaptionFirstMonthPosition+1,$FJ202&lt;SwaptionFirstMonthPosition+1,HQ$169&gt;SwaptionFirstMonthPosition+SwaptionNumOfMonths+1,$FJ202&gt;SwaptionFirstMonthPosition+SwaptionNumOfMonths+1),"",IF($FJ202=HQ$169,1,IF($FJ202&lt;HQ$169,INDEX($FK$170:$ID$241,HQ$169,$FJ202),SUMPRODUCT(INDEX($FK$325:$ID$396,HQ$169,1+SwaptionShift):INDEX($FK$325:$ID$396,HQ$169,SwaptionMonthsToGo+SwaptionShift),INDEX($FK$245:$ID$316,$FJ202-HQ$169,73-HQ$169+SwaptionShift):INDEX($FK$245:$ID$316,$FJ202-HQ$169,72-HQ$169+SwaptionMonthsToGo+SwaptionShift))/SQRT(SUM(INDEX($FK357:$ID357,1+SwaptionShift):INDEX($FK357:$ID357,SwaptionMonthsToGo+SwaptionShift))*SUM(INDEX($FK$325:$ID$396,HQ$169,1+SwaptionShift):INDEX($FK$325:$ID$396,HQ$169,SwaptionMonthsToGo+SwaptionShift))))))</f>
        <v/>
      </c>
      <c r="HR202" s="150" t="str">
        <f aca="false">IF(OR(HR$169&lt;SwaptionFirstMonthPosition+1,$FJ202&lt;SwaptionFirstMonthPosition+1,HR$169&gt;SwaptionFirstMonthPosition+SwaptionNumOfMonths+1,$FJ202&gt;SwaptionFirstMonthPosition+SwaptionNumOfMonths+1),"",IF($FJ202=HR$169,1,IF($FJ202&lt;HR$169,INDEX($FK$170:$ID$241,HR$169,$FJ202),SUMPRODUCT(INDEX($FK$325:$ID$396,HR$169,1+SwaptionShift):INDEX($FK$325:$ID$396,HR$169,SwaptionMonthsToGo+SwaptionShift),INDEX($FK$245:$ID$316,$FJ202-HR$169,73-HR$169+SwaptionShift):INDEX($FK$245:$ID$316,$FJ202-HR$169,72-HR$169+SwaptionMonthsToGo+SwaptionShift))/SQRT(SUM(INDEX($FK357:$ID357,1+SwaptionShift):INDEX($FK357:$ID357,SwaptionMonthsToGo+SwaptionShift))*SUM(INDEX($FK$325:$ID$396,HR$169,1+SwaptionShift):INDEX($FK$325:$ID$396,HR$169,SwaptionMonthsToGo+SwaptionShift))))))</f>
        <v/>
      </c>
      <c r="HS202" s="150" t="str">
        <f aca="false">IF(OR(HS$169&lt;SwaptionFirstMonthPosition+1,$FJ202&lt;SwaptionFirstMonthPosition+1,HS$169&gt;SwaptionFirstMonthPosition+SwaptionNumOfMonths+1,$FJ202&gt;SwaptionFirstMonthPosition+SwaptionNumOfMonths+1),"",IF($FJ202=HS$169,1,IF($FJ202&lt;HS$169,INDEX($FK$170:$ID$241,HS$169,$FJ202),SUMPRODUCT(INDEX($FK$325:$ID$396,HS$169,1+SwaptionShift):INDEX($FK$325:$ID$396,HS$169,SwaptionMonthsToGo+SwaptionShift),INDEX($FK$245:$ID$316,$FJ202-HS$169,73-HS$169+SwaptionShift):INDEX($FK$245:$ID$316,$FJ202-HS$169,72-HS$169+SwaptionMonthsToGo+SwaptionShift))/SQRT(SUM(INDEX($FK357:$ID357,1+SwaptionShift):INDEX($FK357:$ID357,SwaptionMonthsToGo+SwaptionShift))*SUM(INDEX($FK$325:$ID$396,HS$169,1+SwaptionShift):INDEX($FK$325:$ID$396,HS$169,SwaptionMonthsToGo+SwaptionShift))))))</f>
        <v/>
      </c>
      <c r="HT202" s="150" t="str">
        <f aca="false">IF(OR(HT$169&lt;SwaptionFirstMonthPosition+1,$FJ202&lt;SwaptionFirstMonthPosition+1,HT$169&gt;SwaptionFirstMonthPosition+SwaptionNumOfMonths+1,$FJ202&gt;SwaptionFirstMonthPosition+SwaptionNumOfMonths+1),"",IF($FJ202=HT$169,1,IF($FJ202&lt;HT$169,INDEX($FK$170:$ID$241,HT$169,$FJ202),SUMPRODUCT(INDEX($FK$325:$ID$396,HT$169,1+SwaptionShift):INDEX($FK$325:$ID$396,HT$169,SwaptionMonthsToGo+SwaptionShift),INDEX($FK$245:$ID$316,$FJ202-HT$169,73-HT$169+SwaptionShift):INDEX($FK$245:$ID$316,$FJ202-HT$169,72-HT$169+SwaptionMonthsToGo+SwaptionShift))/SQRT(SUM(INDEX($FK357:$ID357,1+SwaptionShift):INDEX($FK357:$ID357,SwaptionMonthsToGo+SwaptionShift))*SUM(INDEX($FK$325:$ID$396,HT$169,1+SwaptionShift):INDEX($FK$325:$ID$396,HT$169,SwaptionMonthsToGo+SwaptionShift))))))</f>
        <v/>
      </c>
      <c r="HU202" s="150" t="str">
        <f aca="false">IF(OR(HU$169&lt;SwaptionFirstMonthPosition+1,$FJ202&lt;SwaptionFirstMonthPosition+1,HU$169&gt;SwaptionFirstMonthPosition+SwaptionNumOfMonths+1,$FJ202&gt;SwaptionFirstMonthPosition+SwaptionNumOfMonths+1),"",IF($FJ202=HU$169,1,IF($FJ202&lt;HU$169,INDEX($FK$170:$ID$241,HU$169,$FJ202),SUMPRODUCT(INDEX($FK$325:$ID$396,HU$169,1+SwaptionShift):INDEX($FK$325:$ID$396,HU$169,SwaptionMonthsToGo+SwaptionShift),INDEX($FK$245:$ID$316,$FJ202-HU$169,73-HU$169+SwaptionShift):INDEX($FK$245:$ID$316,$FJ202-HU$169,72-HU$169+SwaptionMonthsToGo+SwaptionShift))/SQRT(SUM(INDEX($FK357:$ID357,1+SwaptionShift):INDEX($FK357:$ID357,SwaptionMonthsToGo+SwaptionShift))*SUM(INDEX($FK$325:$ID$396,HU$169,1+SwaptionShift):INDEX($FK$325:$ID$396,HU$169,SwaptionMonthsToGo+SwaptionShift))))))</f>
        <v/>
      </c>
      <c r="HV202" s="150" t="str">
        <f aca="false">IF(OR(HV$169&lt;SwaptionFirstMonthPosition+1,$FJ202&lt;SwaptionFirstMonthPosition+1,HV$169&gt;SwaptionFirstMonthPosition+SwaptionNumOfMonths+1,$FJ202&gt;SwaptionFirstMonthPosition+SwaptionNumOfMonths+1),"",IF($FJ202=HV$169,1,IF($FJ202&lt;HV$169,INDEX($FK$170:$ID$241,HV$169,$FJ202),SUMPRODUCT(INDEX($FK$325:$ID$396,HV$169,1+SwaptionShift):INDEX($FK$325:$ID$396,HV$169,SwaptionMonthsToGo+SwaptionShift),INDEX($FK$245:$ID$316,$FJ202-HV$169,73-HV$169+SwaptionShift):INDEX($FK$245:$ID$316,$FJ202-HV$169,72-HV$169+SwaptionMonthsToGo+SwaptionShift))/SQRT(SUM(INDEX($FK357:$ID357,1+SwaptionShift):INDEX($FK357:$ID357,SwaptionMonthsToGo+SwaptionShift))*SUM(INDEX($FK$325:$ID$396,HV$169,1+SwaptionShift):INDEX($FK$325:$ID$396,HV$169,SwaptionMonthsToGo+SwaptionShift))))))</f>
        <v/>
      </c>
      <c r="HW202" s="150" t="str">
        <f aca="false">IF(OR(HW$169&lt;SwaptionFirstMonthPosition+1,$FJ202&lt;SwaptionFirstMonthPosition+1,HW$169&gt;SwaptionFirstMonthPosition+SwaptionNumOfMonths+1,$FJ202&gt;SwaptionFirstMonthPosition+SwaptionNumOfMonths+1),"",IF($FJ202=HW$169,1,IF($FJ202&lt;HW$169,INDEX($FK$170:$ID$241,HW$169,$FJ202),SUMPRODUCT(INDEX($FK$325:$ID$396,HW$169,1+SwaptionShift):INDEX($FK$325:$ID$396,HW$169,SwaptionMonthsToGo+SwaptionShift),INDEX($FK$245:$ID$316,$FJ202-HW$169,73-HW$169+SwaptionShift):INDEX($FK$245:$ID$316,$FJ202-HW$169,72-HW$169+SwaptionMonthsToGo+SwaptionShift))/SQRT(SUM(INDEX($FK357:$ID357,1+SwaptionShift):INDEX($FK357:$ID357,SwaptionMonthsToGo+SwaptionShift))*SUM(INDEX($FK$325:$ID$396,HW$169,1+SwaptionShift):INDEX($FK$325:$ID$396,HW$169,SwaptionMonthsToGo+SwaptionShift))))))</f>
        <v/>
      </c>
      <c r="HX202" s="150" t="str">
        <f aca="false">IF(OR(HX$169&lt;SwaptionFirstMonthPosition+1,$FJ202&lt;SwaptionFirstMonthPosition+1,HX$169&gt;SwaptionFirstMonthPosition+SwaptionNumOfMonths+1,$FJ202&gt;SwaptionFirstMonthPosition+SwaptionNumOfMonths+1),"",IF($FJ202=HX$169,1,IF($FJ202&lt;HX$169,INDEX($FK$170:$ID$241,HX$169,$FJ202),SUMPRODUCT(INDEX($FK$325:$ID$396,HX$169,1+SwaptionShift):INDEX($FK$325:$ID$396,HX$169,SwaptionMonthsToGo+SwaptionShift),INDEX($FK$245:$ID$316,$FJ202-HX$169,73-HX$169+SwaptionShift):INDEX($FK$245:$ID$316,$FJ202-HX$169,72-HX$169+SwaptionMonthsToGo+SwaptionShift))/SQRT(SUM(INDEX($FK357:$ID357,1+SwaptionShift):INDEX($FK357:$ID357,SwaptionMonthsToGo+SwaptionShift))*SUM(INDEX($FK$325:$ID$396,HX$169,1+SwaptionShift):INDEX($FK$325:$ID$396,HX$169,SwaptionMonthsToGo+SwaptionShift))))))</f>
        <v/>
      </c>
      <c r="HY202" s="150" t="str">
        <f aca="false">IF(OR(HY$169&lt;SwaptionFirstMonthPosition+1,$FJ202&lt;SwaptionFirstMonthPosition+1,HY$169&gt;SwaptionFirstMonthPosition+SwaptionNumOfMonths+1,$FJ202&gt;SwaptionFirstMonthPosition+SwaptionNumOfMonths+1),"",IF($FJ202=HY$169,1,IF($FJ202&lt;HY$169,INDEX($FK$170:$ID$241,HY$169,$FJ202),SUMPRODUCT(INDEX($FK$325:$ID$396,HY$169,1+SwaptionShift):INDEX($FK$325:$ID$396,HY$169,SwaptionMonthsToGo+SwaptionShift),INDEX($FK$245:$ID$316,$FJ202-HY$169,73-HY$169+SwaptionShift):INDEX($FK$245:$ID$316,$FJ202-HY$169,72-HY$169+SwaptionMonthsToGo+SwaptionShift))/SQRT(SUM(INDEX($FK357:$ID357,1+SwaptionShift):INDEX($FK357:$ID357,SwaptionMonthsToGo+SwaptionShift))*SUM(INDEX($FK$325:$ID$396,HY$169,1+SwaptionShift):INDEX($FK$325:$ID$396,HY$169,SwaptionMonthsToGo+SwaptionShift))))))</f>
        <v/>
      </c>
      <c r="HZ202" s="150" t="str">
        <f aca="false">IF(OR(HZ$169&lt;SwaptionFirstMonthPosition+1,$FJ202&lt;SwaptionFirstMonthPosition+1,HZ$169&gt;SwaptionFirstMonthPosition+SwaptionNumOfMonths+1,$FJ202&gt;SwaptionFirstMonthPosition+SwaptionNumOfMonths+1),"",IF($FJ202=HZ$169,1,IF($FJ202&lt;HZ$169,INDEX($FK$170:$ID$241,HZ$169,$FJ202),SUMPRODUCT(INDEX($FK$325:$ID$396,HZ$169,1+SwaptionShift):INDEX($FK$325:$ID$396,HZ$169,SwaptionMonthsToGo+SwaptionShift),INDEX($FK$245:$ID$316,$FJ202-HZ$169,73-HZ$169+SwaptionShift):INDEX($FK$245:$ID$316,$FJ202-HZ$169,72-HZ$169+SwaptionMonthsToGo+SwaptionShift))/SQRT(SUM(INDEX($FK357:$ID357,1+SwaptionShift):INDEX($FK357:$ID357,SwaptionMonthsToGo+SwaptionShift))*SUM(INDEX($FK$325:$ID$396,HZ$169,1+SwaptionShift):INDEX($FK$325:$ID$396,HZ$169,SwaptionMonthsToGo+SwaptionShift))))))</f>
        <v/>
      </c>
      <c r="IA202" s="150" t="str">
        <f aca="false">IF(OR(IA$169&lt;SwaptionFirstMonthPosition+1,$FJ202&lt;SwaptionFirstMonthPosition+1,IA$169&gt;SwaptionFirstMonthPosition+SwaptionNumOfMonths+1,$FJ202&gt;SwaptionFirstMonthPosition+SwaptionNumOfMonths+1),"",IF($FJ202=IA$169,1,IF($FJ202&lt;IA$169,INDEX($FK$170:$ID$241,IA$169,$FJ202),SUMPRODUCT(INDEX($FK$325:$ID$396,IA$169,1+SwaptionShift):INDEX($FK$325:$ID$396,IA$169,SwaptionMonthsToGo+SwaptionShift),INDEX($FK$245:$ID$316,$FJ202-IA$169,73-IA$169+SwaptionShift):INDEX($FK$245:$ID$316,$FJ202-IA$169,72-IA$169+SwaptionMonthsToGo+SwaptionShift))/SQRT(SUM(INDEX($FK357:$ID357,1+SwaptionShift):INDEX($FK357:$ID357,SwaptionMonthsToGo+SwaptionShift))*SUM(INDEX($FK$325:$ID$396,IA$169,1+SwaptionShift):INDEX($FK$325:$ID$396,IA$169,SwaptionMonthsToGo+SwaptionShift))))))</f>
        <v/>
      </c>
      <c r="IB202" s="150" t="str">
        <f aca="false">IF(OR(IB$169&lt;SwaptionFirstMonthPosition+1,$FJ202&lt;SwaptionFirstMonthPosition+1,IB$169&gt;SwaptionFirstMonthPosition+SwaptionNumOfMonths+1,$FJ202&gt;SwaptionFirstMonthPosition+SwaptionNumOfMonths+1),"",IF($FJ202=IB$169,1,IF($FJ202&lt;IB$169,INDEX($FK$170:$ID$241,IB$169,$FJ202),SUMPRODUCT(INDEX($FK$325:$ID$396,IB$169,1+SwaptionShift):INDEX($FK$325:$ID$396,IB$169,SwaptionMonthsToGo+SwaptionShift),INDEX($FK$245:$ID$316,$FJ202-IB$169,73-IB$169+SwaptionShift):INDEX($FK$245:$ID$316,$FJ202-IB$169,72-IB$169+SwaptionMonthsToGo+SwaptionShift))/SQRT(SUM(INDEX($FK357:$ID357,1+SwaptionShift):INDEX($FK357:$ID357,SwaptionMonthsToGo+SwaptionShift))*SUM(INDEX($FK$325:$ID$396,IB$169,1+SwaptionShift):INDEX($FK$325:$ID$396,IB$169,SwaptionMonthsToGo+SwaptionShift))))))</f>
        <v/>
      </c>
      <c r="IC202" s="150" t="str">
        <f aca="false">IF(OR(IC$169&lt;SwaptionFirstMonthPosition+1,$FJ202&lt;SwaptionFirstMonthPosition+1,IC$169&gt;SwaptionFirstMonthPosition+SwaptionNumOfMonths+1,$FJ202&gt;SwaptionFirstMonthPosition+SwaptionNumOfMonths+1),"",IF($FJ202=IC$169,1,IF($FJ202&lt;IC$169,INDEX($FK$170:$ID$241,IC$169,$FJ202),SUMPRODUCT(INDEX($FK$325:$ID$396,IC$169,1+SwaptionShift):INDEX($FK$325:$ID$396,IC$169,SwaptionMonthsToGo+SwaptionShift),INDEX($FK$245:$ID$316,$FJ202-IC$169,73-IC$169+SwaptionShift):INDEX($FK$245:$ID$316,$FJ202-IC$169,72-IC$169+SwaptionMonthsToGo+SwaptionShift))/SQRT(SUM(INDEX($FK357:$ID357,1+SwaptionShift):INDEX($FK357:$ID357,SwaptionMonthsToGo+SwaptionShift))*SUM(INDEX($FK$325:$ID$396,IC$169,1+SwaptionShift):INDEX($FK$325:$ID$396,IC$169,SwaptionMonthsToGo+SwaptionShift))))))</f>
        <v/>
      </c>
      <c r="ID202" s="572" t="str">
        <f aca="false">IF(OR(ID$169&lt;SwaptionFirstMonthPosition+1,$FJ202&lt;SwaptionFirstMonthPosition+1,ID$169&gt;SwaptionFirstMonthPosition+SwaptionNumOfMonths+1,$FJ202&gt;SwaptionFirstMonthPosition+SwaptionNumOfMonths+1),"",IF($FJ202=ID$169,1,IF($FJ202&lt;ID$169,INDEX($FK$170:$ID$241,ID$169,$FJ202),SUMPRODUCT(INDEX($FK$325:$ID$396,ID$169,1+SwaptionShift):INDEX($FK$325:$ID$396,ID$169,SwaptionMonthsToGo+SwaptionShift),INDEX($FK$245:$ID$316,$FJ202-ID$169,73-ID$169+SwaptionShift):INDEX($FK$245:$ID$316,$FJ202-ID$169,72-ID$169+SwaptionMonthsToGo+SwaptionShift))/SQRT(SUM(INDEX($FK357:$ID357,1+SwaptionShift):INDEX($FK357:$ID357,SwaptionMonthsToGo+SwaptionShift))*SUM(INDEX($FK$325:$ID$396,ID$169,1+SwaptionShift):INDEX($FK$325:$ID$396,ID$169,SwaptionMonthsToGo+SwaptionShift))))))</f>
        <v/>
      </c>
      <c r="IE202" s="129"/>
    </row>
    <row r="203" customFormat="false" ht="12.75" hidden="false" customHeight="false" outlineLevel="0" collapsed="false">
      <c r="H203" s="219" t="n">
        <f aca="false">VLOOKUP(I203,$EJ$20:$EL$54,3)</f>
        <v>0</v>
      </c>
      <c r="I203" s="511" t="n">
        <f aca="false">EOMONTH(I202,0)+1</f>
        <v>42339</v>
      </c>
      <c r="J203" s="512"/>
      <c r="K203" s="513" t="s">
        <v>280</v>
      </c>
      <c r="L203" s="514" t="n">
        <f aca="false">IF(ISNUMBER(K203),J203+K203/100,IF(K203="extra",L202+VLOOKUP(BF203,PriceSpreadTable,2)/12,IF(K203="inter",interpolateprices($K$19:$L$200,ROW(K203)-ROW(FirstPricingMonth)+1),interpolatechanges($J$19:$K$200,ROW(K203)-ROW(FirstPricingMonth)+1))))</f>
        <v>4.01250000000001</v>
      </c>
      <c r="M203" s="515"/>
      <c r="N203" s="516" t="n">
        <v>0</v>
      </c>
      <c r="O203" s="515" t="n">
        <f aca="false">M203+N203</f>
        <v>0</v>
      </c>
      <c r="P203" s="512"/>
      <c r="Q203" s="513" t="s">
        <v>280</v>
      </c>
      <c r="R203" s="512" t="e">
        <f aca="false">IF(ISNUMBER(Q203),P203+Q203/100,IF(Q203="extra",(Z201*AL201-R202*AM201)/AN201,IF(Q203="inter",interpolateprices($Q$19:$R$260,ROW(Q203)-ROW(FirstPricingMonth)+1),interpolatechanges($P$19:$Q$260,ROW(Q203)-ROW(FirstPricingMonth)+1))))</f>
        <v>#VALUE!</v>
      </c>
      <c r="S203" s="597" t="n">
        <f aca="false">S$19+(S202-S$19)*S$18</f>
        <v>0.36</v>
      </c>
      <c r="T203" s="575" t="n">
        <f aca="false">SQRT((1-(1-T202^2/U202)*T$18)*U203)</f>
        <v>0.99999999999996</v>
      </c>
      <c r="U203" s="576" t="n">
        <f aca="false">1-(1-U202)*U$18</f>
        <v>1</v>
      </c>
      <c r="V203" s="521" t="n">
        <v>0</v>
      </c>
      <c r="W203" s="577" t="n">
        <f aca="false">(J204*AJ203+J205*AK203)/AI203</f>
        <v>0</v>
      </c>
      <c r="X203" s="578" t="n">
        <f aca="false">(L204*AJ203+L205*AK203)/AI203</f>
        <v>4.06363636363637</v>
      </c>
      <c r="Y203" s="579" t="n">
        <f aca="false">IF(Q205="extra",W203-AA203,(P204*AM203+P205*AN203)/AL203)</f>
        <v>-1.1931</v>
      </c>
      <c r="Z203" s="579" t="n">
        <f aca="false">IF(Q205="extra",X203-AB203,(R204*AM203+R205*AN203)/AL203)</f>
        <v>2.87053636363637</v>
      </c>
      <c r="AA203" s="523" t="n">
        <f aca="false">IF(Q205="extra",INDEX(BrentSeasonalityTable,INT((BG203-1)/3)+1)*VLOOKUP(MAX(BF203,$AB$4),PriceSpreadTable,3),W203-Y203)</f>
        <v>1.1931</v>
      </c>
      <c r="AB203" s="524" t="n">
        <f aca="false">IF(Q205="extra",INDEX(BrentSeasonalityTable,INT((BG203-1)/3)+1)*VLOOKUP(MAX(BF203,$AB$4),PriceSpreadTable,3),X203-Z203)</f>
        <v>1.1931</v>
      </c>
      <c r="AC203" s="646" t="n">
        <v>42328</v>
      </c>
      <c r="AD203" s="646" t="n">
        <v>42324</v>
      </c>
      <c r="AE203" s="646" t="n">
        <v>42323</v>
      </c>
      <c r="AF203" s="646" t="n">
        <v>42319</v>
      </c>
      <c r="AG203" s="438" t="s">
        <v>278</v>
      </c>
      <c r="AH203" s="439" t="s">
        <v>278</v>
      </c>
      <c r="AI203" s="528" t="n">
        <v>22</v>
      </c>
      <c r="AJ203" s="529" t="n">
        <v>14</v>
      </c>
      <c r="AK203" s="529" t="n">
        <v>8</v>
      </c>
      <c r="AL203" s="530" t="n">
        <v>22</v>
      </c>
      <c r="AM203" s="529" t="n">
        <v>10</v>
      </c>
      <c r="AN203" s="531" t="n">
        <v>12</v>
      </c>
      <c r="AO203" s="532"/>
      <c r="AP203" s="465" t="n">
        <f aca="false">(1+AO203/2)^(-2*BL203)</f>
        <v>1</v>
      </c>
      <c r="AQ203" s="532"/>
      <c r="AR203" s="465" t="n">
        <f aca="false">(1+AQ203/2)^(-2*BH203/365.25)</f>
        <v>1</v>
      </c>
      <c r="AS203" s="580" t="n">
        <f aca="false">(O204*AJ203+O205*AK203)/AI203</f>
        <v>0</v>
      </c>
      <c r="AT203" s="468" t="n">
        <f aca="false">O203*VLOOKUP(BF203,BrentVolTable,2)+VLOOKUP(BF203,BrentVolTable,3)</f>
        <v>0</v>
      </c>
      <c r="AU203" s="468" t="n">
        <f aca="false">(AT204*AM203+AT205*AN203)/AL203</f>
        <v>0</v>
      </c>
      <c r="AV203" s="595" t="n">
        <f aca="false">SQRT(MAX(0.000000000001,(O203^2*BH203-S203^2*(BH203-BH202))/BH202))</f>
        <v>0.0332590950099527</v>
      </c>
      <c r="AW203" s="451" t="n">
        <f aca="false">IF($I203-DateToday+15&gt;=$T$8,"",IF($I203-DateToday+15&lt;$T$5,1,MATCH($I203-DateToday+15,$T$5:$T$8)))</f>
        <v>1</v>
      </c>
      <c r="AX203" s="468" t="n">
        <f aca="false">IF($AW203="",AX202^2/AX201,INDEX(U$5:U$8,$AW203)^((INDEX($T$5:$T$8,$AW203+1)-($I203-DateToday+15))/(INDEX($T$5:$T$8,$AW203+1)-INDEX($T$5:$T$8,$AW203)))/INDEX(U$5:U$8,$AW203+1)^((INDEX($T$5:$T$8,$AW203)-($I203-DateToday+15))/(INDEX($T$5:$T$8,$AW203+1)-INDEX($T$5:$T$8,$AW203))))</f>
        <v>0.25108448000214</v>
      </c>
      <c r="AY203" s="468" t="n">
        <f aca="false">IF($AW203="",AY202^2/AY201,INDEX(V$5:V$8,$AW203)^((INDEX($T$5:$T$8,$AW203+1)-($I203-DateToday+15))/(INDEX($T$5:$T$8,$AW203+1)-INDEX($T$5:$T$8,$AW203)))/INDEX(V$5:V$8,$AW203+1)^((INDEX($T$5:$T$8,$AW203)-($I203-DateToday+15))/(INDEX($T$5:$T$8,$AW203+1)-INDEX($T$5:$T$8,$AW203))))</f>
        <v>2.34186289776789</v>
      </c>
      <c r="AZ203" s="468" t="n">
        <f aca="false">IF($AW203="",AZ202^2/AZ201,INDEX(W$5:W$8,$AW203)^((INDEX($T$5:$T$8,$AW203+1)-($I203-DateToday+15))/(INDEX($T$5:$T$8,$AW203+1)-INDEX($T$5:$T$8,$AW203)))/INDEX(W$5:W$8,$AW203+1)^((INDEX($T$5:$T$8,$AW203)-($I203-DateToday+15))/(INDEX($T$5:$T$8,$AW203+1)-INDEX($T$5:$T$8,$AW203))))</f>
        <v>203.10440696379</v>
      </c>
      <c r="BA203" s="468" t="n">
        <f aca="false">IF($AW203="",BA202^2/BA201,INDEX(X$5:X$8,$AW203)^((INDEX($T$5:$T$8,$AW203+1)-($I203-DateToday+15))/(INDEX($T$5:$T$8,$AW203+1)-INDEX($T$5:$T$8,$AW203)))/INDEX(X$5:X$8,$AW203+1)^((INDEX($T$5:$T$8,$AW203)-($I203-DateToday+15))/(INDEX($T$5:$T$8,$AW203+1)-INDEX($T$5:$T$8,$AW203))))</f>
        <v>531.212129256731</v>
      </c>
      <c r="BB203" s="468" t="n">
        <f aca="false">IF($AW203="",BB202^2/BB201,INDEX(Y$5:Y$8,$AW203)^((INDEX($T$5:$T$8,$AW203+1)-($I203-DateToday+15))/(INDEX($T$5:$T$8,$AW203+1)-INDEX($T$5:$T$8,$AW203)))/INDEX(Y$5:Y$8,$AW203+1)^((INDEX($T$5:$T$8,$AW203)-($I203-DateToday+15))/(INDEX($T$5:$T$8,$AW203+1)-INDEX($T$5:$T$8,$AW203))))</f>
        <v>2400.05790661811</v>
      </c>
      <c r="BC203" s="468" t="n">
        <f aca="false">IF($AW203="",BC202^2/BC201,INDEX(Z$5:Z$8,$AW203)^((INDEX($T$5:$T$8,$AW203+1)-($I203-DateToday+15))/(INDEX($T$5:$T$8,$AW203+1)-INDEX($T$5:$T$8,$AW203)))/INDEX(Z$5:Z$8,$AW203+1)^((INDEX($T$5:$T$8,$AW203)-($I203-DateToday+15))/(INDEX($T$5:$T$8,$AW203+1)-INDEX($T$5:$T$8,$AW203))))</f>
        <v>6069.54687273937</v>
      </c>
      <c r="BD203" s="535" t="n">
        <f aca="false">IF(OR(DateStart&gt;=I204,DateEnd&lt;I203),0,IF(VolumeOverrideFlag,V203,Volume))</f>
        <v>0</v>
      </c>
      <c r="BE203" s="536" t="n">
        <f aca="false">IF(OR(DateStart2&gt;=I204,DateEnd2&lt;I203),0,IF(VolumeOverrideFlag,V203,VolumeSwaption))</f>
        <v>0</v>
      </c>
      <c r="BF203" s="537" t="n">
        <f aca="false">YEAR(I203)</f>
        <v>2015</v>
      </c>
      <c r="BG203" s="538" t="n">
        <f aca="false">MONTH(I203)</f>
        <v>12</v>
      </c>
      <c r="BH203" s="539" t="n">
        <f aca="false">AD203-DateToday+1</f>
        <v>-3601</v>
      </c>
      <c r="BI203" s="540" t="n">
        <f aca="false">(I203-DateToday+1)/365.25</f>
        <v>-9.81793292265571</v>
      </c>
      <c r="BJ203" s="541" t="n">
        <f aca="false">BI203+(BL203-BI203)*CHOOSE(Underlying,AJ203/AI203,AM203/AL203)</f>
        <v>-9.7656648621741</v>
      </c>
      <c r="BK203" s="541" t="n">
        <f aca="false">BJ203+1/365.25</f>
        <v>-9.76292701138697</v>
      </c>
      <c r="BL203" s="541" t="n">
        <f aca="false">(I204-DateToday)/365.25</f>
        <v>-9.73579739904175</v>
      </c>
      <c r="BM203" s="542" t="e">
        <f aca="false">MAX(BI203-(BJ203-BI203)*(S204^2/O204^2-1),0)</f>
        <v>#DIV/0!</v>
      </c>
      <c r="BN203" s="541" t="e">
        <f aca="false">MAX(BL203+(BL203-BK203)*(S205^2/O205^2-1),0)</f>
        <v>#DIV/0!</v>
      </c>
      <c r="BO203" s="530" t="n">
        <f aca="false">CHOOSE(Underlying,AI203,AL203)</f>
        <v>22</v>
      </c>
      <c r="BP203" s="529" t="n">
        <f aca="false">CHOOSE(Underlying,AJ203,AM203)</f>
        <v>14</v>
      </c>
      <c r="BQ203" s="529" t="n">
        <f aca="false">CHOOSE(Underlying,AK203,AN203)</f>
        <v>8</v>
      </c>
      <c r="BR203" s="463" t="str">
        <f aca="false">IF(BD203,IF(Underlying=1,X203,Z203)+UnderlyingPriceAsian-SwapPriceCurve,"")</f>
        <v/>
      </c>
      <c r="BS203" s="463" t="str">
        <f aca="false">IF(BD203,Strike1/BR203-1,"")</f>
        <v/>
      </c>
      <c r="BT203" s="464" t="str">
        <f aca="false">IF(BD203,Strike2/BR203-1,"")</f>
        <v/>
      </c>
      <c r="BU203" s="465" t="str">
        <f aca="false">IF(BD203,IF(Underlying=1,L204,R204)+UnderlyingPriceAsian-SwapPriceCurve,"")</f>
        <v/>
      </c>
      <c r="BV203" s="465" t="str">
        <f aca="false">IF(BD203,IF(Underlying=1,L205,R205)+UnderlyingPriceAsian-SwapPriceCurve,"")</f>
        <v/>
      </c>
      <c r="BW203" s="466" t="str">
        <f aca="false">IF(BD203,IF(Underlying=1,O204,AT204),"")</f>
        <v/>
      </c>
      <c r="BX203" s="467" t="str">
        <f aca="false">IF(BD203,IF(Underlying=1,O205,AT205),"")</f>
        <v/>
      </c>
      <c r="BY203" s="466" t="str">
        <f aca="false">IF(BD203,IF(BS203&gt;0,IF(BS203&gt;0.2,BC203-BB203,IF(BS203&gt;0.1,BB203-BA203,BA203)),IF(BS203&lt;-0.2,AX203-AY203,IF(BS203&lt;-0.1,AY203-AZ203,AZ203))),"")</f>
        <v/>
      </c>
      <c r="BZ203" s="467" t="str">
        <f aca="false">IF(BD203,IF(BT203&gt;0,IF(BT203&gt;0.2,BC203-BB203,IF(BT203&gt;0.1,BB203-BA203,BA203)),IF(BT203&lt;-0.2,AX203-AY203,IF(BT203&lt;-0.1,AY203-AZ203,AZ203))),"")</f>
        <v/>
      </c>
      <c r="CA203" s="468" t="str">
        <f aca="false">IF($BD203,$BW203+IF(VolSkewFlag=1,IF(BS203&gt;0,$BA203*MIN(BS203/10%,1)+($BB203-$BA203)*MAX(0,MIN(BS203/10%-1,1))+($BC203-$BB203)*MAX(0,BS203/10%-2),$AZ203*MIN(-BS203/10%,1)+($AY203-$AZ203)*MAX(0,MIN(-BS203/10%-1,1))+($AX203-$AY203)*MAX(0,-BS203/10%-2)),0),"")</f>
        <v/>
      </c>
      <c r="CB203" s="468" t="str">
        <f aca="false">IF($BD203,$BX203+IF(VolSkewFlag=1,IF(BS203&gt;0,$BA203*MIN(BS203/10%,1)+($BB203-$BA203)*MAX(0,MIN(BS203/10%-1,1))+($BC203-$BB203)*MAX(0,BS203/10%-2),$AZ203*MIN(-BS203/10%,1)+($AY203-$AZ203)*MAX(0,MIN(-BS203/10%-1,1))+($AX203-$AY203)*MAX(0,-BS203/10%-2)),0),"")</f>
        <v/>
      </c>
      <c r="CC203" s="468" t="str">
        <f aca="false">IF($BD203,$BW203+IF(VolSkewFlag=1,IF(BT203&gt;0,$BA203*MIN(BT203/10%,1)+($BB203-$BA203)*MAX(0,MIN(BT203/10%-1,1))+($BC203-$BB203)*MAX(0,BT203/10%-2),$AZ203*MIN(-BT203/10%,1)+($AY203-$AZ203)*MAX(0,MIN(-BT203/10%-1,1))+($AX203-$AY203)*MAX(0,-BT203/10%-2)),0),"")</f>
        <v/>
      </c>
      <c r="CD203" s="468" t="str">
        <f aca="false">IF($BD203,$BX203+IF(VolSkewFlag=1,IF(BT203&gt;0,$BA203*MIN(BT203/10%,1)+($BB203-$BA203)*MAX(0,MIN(BT203/10%-1,1))+($BC203-$BB203)*MAX(0,BT203/10%-2),$AZ203*MIN(-BT203/10%,1)+($AY203-$AZ203)*MAX(0,MIN(-BT203/10%-1,1))+($AX203-$AY203)*MAX(0,-BT203/10%-2)),0),"")</f>
        <v/>
      </c>
      <c r="CE203" s="469" t="n">
        <v>1</v>
      </c>
      <c r="CF203" s="470" t="n">
        <f aca="false">IF(BD203,xCrudeAPO(BU203,BV203,CA203,CB203,S204,S205,BI203,BL203,BP203,BQ203,0,Strike1,AO203,CE203,0,BL203,IF(OptControl=4,0,1),0,1),0)</f>
        <v>0</v>
      </c>
      <c r="CG203" s="470" t="n">
        <f aca="false">IF(BD203,xCrudeAPO(BU203,BV203,CA203,CB203,S204,S205,BI203,BL203,BP203,BQ203,0,Strike1,AO203,CE203,0,BL203,IF(OptControl=4,0,1),1,1)+xCrudeAPO(BU203,BV203,CA203,CB203,S204,S205,BI203,BL203,BP203,BQ203,0,Strike1,AO203,CE203,0,BL203,IF(OptControl=4,0,1),1,2)+IF(OR(VolSkewFlag=2,ABS(BS203)&lt;0.0001),0,IF(BS203&gt;0,-1,1)*CH203*Strike1/BR203^2*BY203/10%),0)</f>
        <v>0</v>
      </c>
      <c r="CH203" s="470" t="n">
        <f aca="false">IF(BD203,(xCrudeAPO(BU203,BV203,CA203,CB203,S204,S205,BI203,BL203,BP203,BQ203,0,Strike1,AO203,CE203,0,BL203,IF(OptControl=4,0,1),3,1)+xCrudeAPO(BU203,BV203,CA203,CB203,S204,S205,BI203,BL203,BP203,BQ203,0,Strike1,AO203,CE203,0,BL203,IF(OptControl=4,0,1),3,2))/100,0)</f>
        <v>0</v>
      </c>
      <c r="CI203" s="470" t="n">
        <f aca="false">IF(BD203,xCrudeAPO(BU203,BV203,CA203,CB203,S204,S205,BI203-DaysForThetaCalculation/365.25,BL203-DaysForThetaCalculation/365.25,BP203,BQ203,0,Strike1,AO203,CE203,0,BL203,IF(OptControl=4,0,1),0,1)-xCrudeAPO(BU203,BV203,CA203,CB203,S204,S205,BI203,BL203,BP203,BQ203,0,Strike1,AO203,CE203,0,BL203,IF(OptControl=4,0,1),0,1),0)</f>
        <v>0</v>
      </c>
      <c r="CJ203" s="471" t="n">
        <f aca="false">IF(BD203,xCrudeAPO(BU203,BV203,CC203,CD203,S204,S205,BI203,BL203,BP203,BQ203,0,Strike2,AO203,CE203,0,BL203,IF(OptControl=3,1,0),0,1),0)</f>
        <v>0</v>
      </c>
      <c r="CK203" s="470" t="n">
        <f aca="false">IF(BD203,xCrudeAPO(BU203,BV203,CC203,CD203,S204,S205,BI203,BL203,BP203,BQ203,0,Strike2,AO203,CE203,0,BL203,IF(OptControl=3,1,0),1,1)+xCrudeAPO(BU203,BV203,CC203,CD203,S204,S205,BI203,BL203,BP203,BQ203,0,Strike2,AO203,CE203,0,BL203,IF(OptControl=3,1,0),1,2)+IF(OR(VolSkewFlag=2,ABS(BT203)&lt;0.0001),0,IF(BT203&gt;0,-1,1)*CL203*Strike2/BR203^2*BZ203/10%),0)</f>
        <v>0</v>
      </c>
      <c r="CL203" s="470" t="n">
        <f aca="false">IF(BD203,(xCrudeAPO(BU203,BV203,CC203,CD203,S204,S205,BI203,BL203,BP203,BQ203,0,Strike2,AO203,CE203,0,BL203,IF(OptControl=3,1,0),3,1)+xCrudeAPO(BU203,BV203,CC203,CD203,S204,S205,BI203,BL203,BP203,BQ203,0,Strike2,AO203,CE203,0,BL203,IF(OptControl=3,1,0),3,2))/100,0)</f>
        <v>0</v>
      </c>
      <c r="CM203" s="472" t="n">
        <f aca="false">IF(BD203,xCrudeAPO(BU203,BV203,CC203,CD203,S204,S205,BI203-DaysForThetaCalculation/365.25,BL203-DaysForThetaCalculation/365.25,BP203,BQ203,0,Strike2,AO203,CE203,0,BL203,IF(OptControl=3,1,0),0,1)-xCrudeAPO(BU203,BV203,CC203,CD203,S204,S205,BI203,BL203,BP203,BQ203,0,Strike2,AO203,CE203,0,BL203,IF(OptControl=3,1,0),0,1),0)</f>
        <v>0</v>
      </c>
      <c r="CN203" s="3"/>
      <c r="CO203" s="543" t="str">
        <f aca="false">IF(BD203,CHOOSE(Underlying,AD203,AF203)-DateToday+1,"")</f>
        <v/>
      </c>
      <c r="CP203" s="582" t="str">
        <f aca="false">IF(BD203,CHOOSE(Underlying,L203,R203),"")</f>
        <v/>
      </c>
      <c r="CQ203" s="544" t="str">
        <f aca="false">IF(BD203,Strike1/CP203-1,"")</f>
        <v/>
      </c>
      <c r="CR203" s="544" t="str">
        <f aca="false">IF(BD203,Strike2/CP203-1,"")</f>
        <v/>
      </c>
      <c r="CS203" s="544" t="str">
        <f aca="false">IF(BD203,IF(CQ203&gt;0,IF(CQ203&gt;0.2,BC202-BB202,IF(CQ203&gt;0.1,BB202-BA202,BA202)),IF(CQ203&lt;-0.2,AX202-AY202,IF(CQ203&lt;-0.1,AY202-AZ202,AZ202))),"")</f>
        <v/>
      </c>
      <c r="CT203" s="544" t="str">
        <f aca="false">IF(BD203,IF(CR203&gt;0,IF(CR203&gt;0.2,BC202-BB202,IF(CR203&gt;0.1,BB202-BA202,BA202)),IF(CR203&lt;-0.2,AX202-AY202,IF(CR203&lt;-0.1,AY202-AZ202,AZ202))),"")</f>
        <v/>
      </c>
      <c r="CU203" s="545" t="str">
        <f aca="false">IF(BD203,CHOOSE(Underlying,O203,AT203),"")</f>
        <v/>
      </c>
      <c r="CV203" s="545" t="str">
        <f aca="false">IF(BD203,CU203+IF(VolSkewFlag=1,IF(CQ203&gt;0,BA202*MIN(CQ203/10%,1)+(BB202-BA202)*MAX(0,MIN(CQ203/10%-1,1))+(BC202-BB202)*MAX(0,CQ203/10%-2),AZ202*MIN(-CQ203/10%,1)+(AY202-AZ202)*MAX(0,MIN(-CQ203/10%-1,1))+(AX202-AY202)*MAX(0,-CQ203/10%-2)),0),"")</f>
        <v/>
      </c>
      <c r="CW203" s="545" t="str">
        <f aca="false">IF(BD203,CU203+IF(VolSkewFlag=1,IF(CR203&gt;0,BA202*MIN(CR203/10%,1)+(BB202-BA202)*MAX(0,MIN(CR203/10%-1,1))+(BC202-BB202)*MAX(0,CR203/10%-2),AZ202*MIN(-CR203/10%,1)+(AY202-AZ202)*MAX(0,MIN(-CR203/10%-1,1))+(AX202-AY202)*MAX(0,-CR203/10%-2)),0),"")</f>
        <v/>
      </c>
      <c r="CX203" s="470" t="n">
        <f aca="false">IF(BD203,EURO(CP203,Strike1,AO203,AO203,CV203,CO203,IF(OptControl=4,0,1),0),0)</f>
        <v>0</v>
      </c>
      <c r="CY203" s="470" t="n">
        <f aca="false">IF(BD203,EURO(CP203,Strike1,AO203,AO203,CV203,CO203,IF(OptControl=4,0,1),1)+IF(OR(VolSkewFlag=2,ABS(CQ203)&lt;0.0001),0,IF(CQ203&gt;0,-1,1)*CZ203*100*Strike1/CP203^2*CS203/10%),0)</f>
        <v>0</v>
      </c>
      <c r="CZ203" s="470" t="n">
        <f aca="false">IF(BD203,EURO(CP203,Strike1,AO203,AO203,CV203,CO203,IF(OptControl=4,0,1),3)/100,0)</f>
        <v>0</v>
      </c>
      <c r="DA203" s="470" t="n">
        <f aca="false">IF(BD203,EURO(CP203,Strike1,AO203,AO203,CV203,CO203,IF(OptControl=4,0,1),0)-EURO(CP203,Strike1,AO203,AO203,CV203,CO203-1,IF(OptControl=4,0,1),0),0)</f>
        <v>0</v>
      </c>
      <c r="DB203" s="470" t="n">
        <f aca="false">IF(BD203,EURO(CP203,Strike2,AO203,AO203,CW203,CO203,IF(OptControl=3,1,0),0),0)</f>
        <v>0</v>
      </c>
      <c r="DC203" s="470" t="n">
        <f aca="false">IF(BD203,EURO(CP203,Strike2,AO203,AO203,CW203,CO203,IF(OptControl=3,1,0),1)+IF(OR(VolSkewFlag=2,ABS(CR203)&lt;0.0001),0,IF(CR203&gt;0,-1,1)*DD203*100*Strike2/CP203^2*CT203/10%),0)</f>
        <v>0</v>
      </c>
      <c r="DD203" s="470" t="n">
        <f aca="false">IF(BD203,EURO(CP203,Strike2,AO203,AO203,CW203,CO203,IF(OptControl=3,1,0),3)/100,0)</f>
        <v>0</v>
      </c>
      <c r="DE203" s="472" t="n">
        <f aca="false">IF(BD203,EURO(CP203,Strike2,AO203,AO203,CW203,CO203,IF(OptControl=3,1,0),0)-EURO(CP203,Strike2,AO203,AO203,CW203,CO203-1,IF(OptControl=3,1,0),0),0)</f>
        <v>0</v>
      </c>
      <c r="DG203" s="481" t="n">
        <f aca="false">EOMONTH(DG202,0)+1</f>
        <v>51257</v>
      </c>
      <c r="DH203" s="478" t="n">
        <v>23.3100000000001</v>
      </c>
      <c r="DI203" s="479" t="n">
        <v>23.3766666666667</v>
      </c>
      <c r="DJ203" s="480" t="n">
        <f aca="false">DG203</f>
        <v>51257</v>
      </c>
      <c r="DK203" s="478" t="n">
        <v>22.1469769152532</v>
      </c>
      <c r="DL203" s="479" t="n">
        <v>22.0851666666667</v>
      </c>
      <c r="DM203" s="481" t="n">
        <f aca="false">DG203</f>
        <v>51257</v>
      </c>
      <c r="DN203" s="482" t="n">
        <f aca="false">DK203+BrentPhyBrentSpread</f>
        <v>22.1969769152532</v>
      </c>
      <c r="DO203" s="481" t="n">
        <f aca="false">DG203</f>
        <v>51257</v>
      </c>
      <c r="DP203" s="483" t="n">
        <f aca="false">DL203+DQ203</f>
        <v>22.0851666666667</v>
      </c>
      <c r="DQ203" s="546" t="n">
        <v>0</v>
      </c>
      <c r="DR203" s="480" t="n">
        <f aca="false">DG203</f>
        <v>51257</v>
      </c>
      <c r="DS203" s="485" t="n">
        <v>0.114799999999998</v>
      </c>
      <c r="DT203" s="486" t="n">
        <v>0.113999999999998</v>
      </c>
      <c r="DU203" s="480" t="n">
        <f aca="false">DG203</f>
        <v>51257</v>
      </c>
      <c r="DV203" s="485" t="n">
        <v>0.114799999999998</v>
      </c>
      <c r="DW203" s="486" t="n">
        <v>0.113999999999998</v>
      </c>
      <c r="DX203" s="481" t="n">
        <f aca="false">DG203</f>
        <v>51257</v>
      </c>
      <c r="DY203" s="486" t="n">
        <v>0.35</v>
      </c>
      <c r="DZ203" s="481" t="n">
        <f aca="false">DR203</f>
        <v>51257</v>
      </c>
      <c r="EA203" s="486" t="n">
        <f aca="false">DT203</f>
        <v>0.113999999999998</v>
      </c>
      <c r="EB203" s="195"/>
      <c r="EC203" s="547" t="str">
        <f aca="false">IF(BD203,IF(Underlying=1,AS203,AU203),"")</f>
        <v/>
      </c>
      <c r="ED203" s="548" t="str">
        <f aca="false">IF($BD203,$EC203+IF(VolSkewFlag=1,IF(BS203&gt;0,$BA203*MIN(BS203/10%,1)+($BB203-$BA203)*MAX(0,MIN(BS203/10%-1,1))+($BC203-$BB203)*MAX(0,BS203/10%-2),$AZ203*MIN(-BS203/10%,1)+($AY203-$AZ203)*MAX(0,MIN(-BS203/10%-1,1))+($AX203-$AY203)*MAX(0,-BS203/10%-2)),0),"")</f>
        <v/>
      </c>
      <c r="EE203" s="549" t="str">
        <f aca="false">IF($BD203,$EC203+IF(VolSkewFlag=1,IF(BT203&gt;0,$BA203*MIN(BT203/10%,1)+($BB203-$BA203)*MAX(0,MIN(BT203/10%-1,1))+($BC203-$BB203)*MAX(0,BT203/10%-2),$AZ203*MIN(-BT203/10%,1)+($AY203-$AZ203)*MAX(0,MIN(-BT203/10%-1,1))+($AX203-$AY203)*MAX(0,-BT203/10%-2)),0),"")</f>
        <v/>
      </c>
      <c r="EF203" s="550" t="n">
        <f aca="false">IF(BD203,xASN(BR203,Strike1,AO203,ED203,0,BO203,0,BI203,BL203,IF(OptControl=4,0,1),0),0)</f>
        <v>0</v>
      </c>
      <c r="EG203" s="551" t="n">
        <f aca="false">IF(BD203,xASN(BR203,Strike2,AO203,EE203,0,BO203,0,BI203,BL203,IF(OptControl=3,1,0),0),0)</f>
        <v>0</v>
      </c>
      <c r="EL203" s="1"/>
      <c r="EM203" s="195"/>
      <c r="EN203" s="240"/>
      <c r="EO203" s="240"/>
      <c r="EP203" s="195"/>
      <c r="EQ203" s="407" t="s">
        <v>431</v>
      </c>
      <c r="ES203" s="130"/>
      <c r="ET203" s="19"/>
      <c r="EU203" s="672"/>
      <c r="EV203" s="478"/>
      <c r="EW203" s="131"/>
      <c r="EX203" s="131"/>
      <c r="EY203" s="129"/>
      <c r="EZ203" s="129"/>
      <c r="FA203" s="129"/>
      <c r="FB203" s="129"/>
      <c r="FC203" s="129"/>
      <c r="FD203" s="129"/>
      <c r="FE203" s="129"/>
      <c r="FF203" s="129"/>
      <c r="FG203" s="129"/>
      <c r="FH203" s="129"/>
      <c r="FI203" s="129"/>
      <c r="FJ203" s="571" t="n">
        <v>34</v>
      </c>
      <c r="FK203" s="150" t="str">
        <f aca="false">IF(OR(FK$169&lt;SwaptionFirstMonthPosition+1,$FJ203&lt;SwaptionFirstMonthPosition+1,FK$169&gt;SwaptionFirstMonthPosition+SwaptionNumOfMonths+1,$FJ203&gt;SwaptionFirstMonthPosition+SwaptionNumOfMonths+1),"",IF($FJ203=FK$169,1,IF($FJ203&lt;FK$169,INDEX($FK$170:$ID$241,FK$169,$FJ203),SUMPRODUCT(INDEX($FK$325:$ID$396,FK$169,1+SwaptionShift):INDEX($FK$325:$ID$396,FK$169,SwaptionMonthsToGo+SwaptionShift),INDEX($FK$245:$ID$316,$FJ203-FK$169,73-FK$169+SwaptionShift):INDEX($FK$245:$ID$316,$FJ203-FK$169,72-FK$169+SwaptionMonthsToGo+SwaptionShift))/SQRT(SUM(INDEX($FK358:$ID358,1+SwaptionShift):INDEX($FK358:$ID358,SwaptionMonthsToGo+SwaptionShift))*SUM(INDEX($FK$325:$ID$396,FK$169,1+SwaptionShift):INDEX($FK$325:$ID$396,FK$169,SwaptionMonthsToGo+SwaptionShift))))))</f>
        <v/>
      </c>
      <c r="FL203" s="150" t="str">
        <f aca="false">IF(OR(FL$169&lt;SwaptionFirstMonthPosition+1,$FJ203&lt;SwaptionFirstMonthPosition+1,FL$169&gt;SwaptionFirstMonthPosition+SwaptionNumOfMonths+1,$FJ203&gt;SwaptionFirstMonthPosition+SwaptionNumOfMonths+1),"",IF($FJ203=FL$169,1,IF($FJ203&lt;FL$169,INDEX($FK$170:$ID$241,FL$169,$FJ203),SUMPRODUCT(INDEX($FK$325:$ID$396,FL$169,1+SwaptionShift):INDEX($FK$325:$ID$396,FL$169,SwaptionMonthsToGo+SwaptionShift),INDEX($FK$245:$ID$316,$FJ203-FL$169,73-FL$169+SwaptionShift):INDEX($FK$245:$ID$316,$FJ203-FL$169,72-FL$169+SwaptionMonthsToGo+SwaptionShift))/SQRT(SUM(INDEX($FK358:$ID358,1+SwaptionShift):INDEX($FK358:$ID358,SwaptionMonthsToGo+SwaptionShift))*SUM(INDEX($FK$325:$ID$396,FL$169,1+SwaptionShift):INDEX($FK$325:$ID$396,FL$169,SwaptionMonthsToGo+SwaptionShift))))))</f>
        <v/>
      </c>
      <c r="FM203" s="150" t="str">
        <f aca="false">IF(OR(FM$169&lt;SwaptionFirstMonthPosition+1,$FJ203&lt;SwaptionFirstMonthPosition+1,FM$169&gt;SwaptionFirstMonthPosition+SwaptionNumOfMonths+1,$FJ203&gt;SwaptionFirstMonthPosition+SwaptionNumOfMonths+1),"",IF($FJ203=FM$169,1,IF($FJ203&lt;FM$169,INDEX($FK$170:$ID$241,FM$169,$FJ203),SUMPRODUCT(INDEX($FK$325:$ID$396,FM$169,1+SwaptionShift):INDEX($FK$325:$ID$396,FM$169,SwaptionMonthsToGo+SwaptionShift),INDEX($FK$245:$ID$316,$FJ203-FM$169,73-FM$169+SwaptionShift):INDEX($FK$245:$ID$316,$FJ203-FM$169,72-FM$169+SwaptionMonthsToGo+SwaptionShift))/SQRT(SUM(INDEX($FK358:$ID358,1+SwaptionShift):INDEX($FK358:$ID358,SwaptionMonthsToGo+SwaptionShift))*SUM(INDEX($FK$325:$ID$396,FM$169,1+SwaptionShift):INDEX($FK$325:$ID$396,FM$169,SwaptionMonthsToGo+SwaptionShift))))))</f>
        <v/>
      </c>
      <c r="FN203" s="150" t="str">
        <f aca="false">IF(OR(FN$169&lt;SwaptionFirstMonthPosition+1,$FJ203&lt;SwaptionFirstMonthPosition+1,FN$169&gt;SwaptionFirstMonthPosition+SwaptionNumOfMonths+1,$FJ203&gt;SwaptionFirstMonthPosition+SwaptionNumOfMonths+1),"",IF($FJ203=FN$169,1,IF($FJ203&lt;FN$169,INDEX($FK$170:$ID$241,FN$169,$FJ203),SUMPRODUCT(INDEX($FK$325:$ID$396,FN$169,1+SwaptionShift):INDEX($FK$325:$ID$396,FN$169,SwaptionMonthsToGo+SwaptionShift),INDEX($FK$245:$ID$316,$FJ203-FN$169,73-FN$169+SwaptionShift):INDEX($FK$245:$ID$316,$FJ203-FN$169,72-FN$169+SwaptionMonthsToGo+SwaptionShift))/SQRT(SUM(INDEX($FK358:$ID358,1+SwaptionShift):INDEX($FK358:$ID358,SwaptionMonthsToGo+SwaptionShift))*SUM(INDEX($FK$325:$ID$396,FN$169,1+SwaptionShift):INDEX($FK$325:$ID$396,FN$169,SwaptionMonthsToGo+SwaptionShift))))))</f>
        <v/>
      </c>
      <c r="FO203" s="150" t="str">
        <f aca="false">IF(OR(FO$169&lt;SwaptionFirstMonthPosition+1,$FJ203&lt;SwaptionFirstMonthPosition+1,FO$169&gt;SwaptionFirstMonthPosition+SwaptionNumOfMonths+1,$FJ203&gt;SwaptionFirstMonthPosition+SwaptionNumOfMonths+1),"",IF($FJ203=FO$169,1,IF($FJ203&lt;FO$169,INDEX($FK$170:$ID$241,FO$169,$FJ203),SUMPRODUCT(INDEX($FK$325:$ID$396,FO$169,1+SwaptionShift):INDEX($FK$325:$ID$396,FO$169,SwaptionMonthsToGo+SwaptionShift),INDEX($FK$245:$ID$316,$FJ203-FO$169,73-FO$169+SwaptionShift):INDEX($FK$245:$ID$316,$FJ203-FO$169,72-FO$169+SwaptionMonthsToGo+SwaptionShift))/SQRT(SUM(INDEX($FK358:$ID358,1+SwaptionShift):INDEX($FK358:$ID358,SwaptionMonthsToGo+SwaptionShift))*SUM(INDEX($FK$325:$ID$396,FO$169,1+SwaptionShift):INDEX($FK$325:$ID$396,FO$169,SwaptionMonthsToGo+SwaptionShift))))))</f>
        <v/>
      </c>
      <c r="FP203" s="150" t="str">
        <f aca="false">IF(OR(FP$169&lt;SwaptionFirstMonthPosition+1,$FJ203&lt;SwaptionFirstMonthPosition+1,FP$169&gt;SwaptionFirstMonthPosition+SwaptionNumOfMonths+1,$FJ203&gt;SwaptionFirstMonthPosition+SwaptionNumOfMonths+1),"",IF($FJ203=FP$169,1,IF($FJ203&lt;FP$169,INDEX($FK$170:$ID$241,FP$169,$FJ203),SUMPRODUCT(INDEX($FK$325:$ID$396,FP$169,1+SwaptionShift):INDEX($FK$325:$ID$396,FP$169,SwaptionMonthsToGo+SwaptionShift),INDEX($FK$245:$ID$316,$FJ203-FP$169,73-FP$169+SwaptionShift):INDEX($FK$245:$ID$316,$FJ203-FP$169,72-FP$169+SwaptionMonthsToGo+SwaptionShift))/SQRT(SUM(INDEX($FK358:$ID358,1+SwaptionShift):INDEX($FK358:$ID358,SwaptionMonthsToGo+SwaptionShift))*SUM(INDEX($FK$325:$ID$396,FP$169,1+SwaptionShift):INDEX($FK$325:$ID$396,FP$169,SwaptionMonthsToGo+SwaptionShift))))))</f>
        <v/>
      </c>
      <c r="FQ203" s="150" t="str">
        <f aca="false">IF(OR(FQ$169&lt;SwaptionFirstMonthPosition+1,$FJ203&lt;SwaptionFirstMonthPosition+1,FQ$169&gt;SwaptionFirstMonthPosition+SwaptionNumOfMonths+1,$FJ203&gt;SwaptionFirstMonthPosition+SwaptionNumOfMonths+1),"",IF($FJ203=FQ$169,1,IF($FJ203&lt;FQ$169,INDEX($FK$170:$ID$241,FQ$169,$FJ203),SUMPRODUCT(INDEX($FK$325:$ID$396,FQ$169,1+SwaptionShift):INDEX($FK$325:$ID$396,FQ$169,SwaptionMonthsToGo+SwaptionShift),INDEX($FK$245:$ID$316,$FJ203-FQ$169,73-FQ$169+SwaptionShift):INDEX($FK$245:$ID$316,$FJ203-FQ$169,72-FQ$169+SwaptionMonthsToGo+SwaptionShift))/SQRT(SUM(INDEX($FK358:$ID358,1+SwaptionShift):INDEX($FK358:$ID358,SwaptionMonthsToGo+SwaptionShift))*SUM(INDEX($FK$325:$ID$396,FQ$169,1+SwaptionShift):INDEX($FK$325:$ID$396,FQ$169,SwaptionMonthsToGo+SwaptionShift))))))</f>
        <v/>
      </c>
      <c r="FR203" s="150" t="str">
        <f aca="false">IF(OR(FR$169&lt;SwaptionFirstMonthPosition+1,$FJ203&lt;SwaptionFirstMonthPosition+1,FR$169&gt;SwaptionFirstMonthPosition+SwaptionNumOfMonths+1,$FJ203&gt;SwaptionFirstMonthPosition+SwaptionNumOfMonths+1),"",IF($FJ203=FR$169,1,IF($FJ203&lt;FR$169,INDEX($FK$170:$ID$241,FR$169,$FJ203),SUMPRODUCT(INDEX($FK$325:$ID$396,FR$169,1+SwaptionShift):INDEX($FK$325:$ID$396,FR$169,SwaptionMonthsToGo+SwaptionShift),INDEX($FK$245:$ID$316,$FJ203-FR$169,73-FR$169+SwaptionShift):INDEX($FK$245:$ID$316,$FJ203-FR$169,72-FR$169+SwaptionMonthsToGo+SwaptionShift))/SQRT(SUM(INDEX($FK358:$ID358,1+SwaptionShift):INDEX($FK358:$ID358,SwaptionMonthsToGo+SwaptionShift))*SUM(INDEX($FK$325:$ID$396,FR$169,1+SwaptionShift):INDEX($FK$325:$ID$396,FR$169,SwaptionMonthsToGo+SwaptionShift))))))</f>
        <v/>
      </c>
      <c r="FS203" s="150" t="str">
        <f aca="false">IF(OR(FS$169&lt;SwaptionFirstMonthPosition+1,$FJ203&lt;SwaptionFirstMonthPosition+1,FS$169&gt;SwaptionFirstMonthPosition+SwaptionNumOfMonths+1,$FJ203&gt;SwaptionFirstMonthPosition+SwaptionNumOfMonths+1),"",IF($FJ203=FS$169,1,IF($FJ203&lt;FS$169,INDEX($FK$170:$ID$241,FS$169,$FJ203),SUMPRODUCT(INDEX($FK$325:$ID$396,FS$169,1+SwaptionShift):INDEX($FK$325:$ID$396,FS$169,SwaptionMonthsToGo+SwaptionShift),INDEX($FK$245:$ID$316,$FJ203-FS$169,73-FS$169+SwaptionShift):INDEX($FK$245:$ID$316,$FJ203-FS$169,72-FS$169+SwaptionMonthsToGo+SwaptionShift))/SQRT(SUM(INDEX($FK358:$ID358,1+SwaptionShift):INDEX($FK358:$ID358,SwaptionMonthsToGo+SwaptionShift))*SUM(INDEX($FK$325:$ID$396,FS$169,1+SwaptionShift):INDEX($FK$325:$ID$396,FS$169,SwaptionMonthsToGo+SwaptionShift))))))</f>
        <v/>
      </c>
      <c r="FT203" s="150" t="str">
        <f aca="false">IF(OR(FT$169&lt;SwaptionFirstMonthPosition+1,$FJ203&lt;SwaptionFirstMonthPosition+1,FT$169&gt;SwaptionFirstMonthPosition+SwaptionNumOfMonths+1,$FJ203&gt;SwaptionFirstMonthPosition+SwaptionNumOfMonths+1),"",IF($FJ203=FT$169,1,IF($FJ203&lt;FT$169,INDEX($FK$170:$ID$241,FT$169,$FJ203),SUMPRODUCT(INDEX($FK$325:$ID$396,FT$169,1+SwaptionShift):INDEX($FK$325:$ID$396,FT$169,SwaptionMonthsToGo+SwaptionShift),INDEX($FK$245:$ID$316,$FJ203-FT$169,73-FT$169+SwaptionShift):INDEX($FK$245:$ID$316,$FJ203-FT$169,72-FT$169+SwaptionMonthsToGo+SwaptionShift))/SQRT(SUM(INDEX($FK358:$ID358,1+SwaptionShift):INDEX($FK358:$ID358,SwaptionMonthsToGo+SwaptionShift))*SUM(INDEX($FK$325:$ID$396,FT$169,1+SwaptionShift):INDEX($FK$325:$ID$396,FT$169,SwaptionMonthsToGo+SwaptionShift))))))</f>
        <v/>
      </c>
      <c r="FU203" s="150" t="str">
        <f aca="false">IF(OR(FU$169&lt;SwaptionFirstMonthPosition+1,$FJ203&lt;SwaptionFirstMonthPosition+1,FU$169&gt;SwaptionFirstMonthPosition+SwaptionNumOfMonths+1,$FJ203&gt;SwaptionFirstMonthPosition+SwaptionNumOfMonths+1),"",IF($FJ203=FU$169,1,IF($FJ203&lt;FU$169,INDEX($FK$170:$ID$241,FU$169,$FJ203),SUMPRODUCT(INDEX($FK$325:$ID$396,FU$169,1+SwaptionShift):INDEX($FK$325:$ID$396,FU$169,SwaptionMonthsToGo+SwaptionShift),INDEX($FK$245:$ID$316,$FJ203-FU$169,73-FU$169+SwaptionShift):INDEX($FK$245:$ID$316,$FJ203-FU$169,72-FU$169+SwaptionMonthsToGo+SwaptionShift))/SQRT(SUM(INDEX($FK358:$ID358,1+SwaptionShift):INDEX($FK358:$ID358,SwaptionMonthsToGo+SwaptionShift))*SUM(INDEX($FK$325:$ID$396,FU$169,1+SwaptionShift):INDEX($FK$325:$ID$396,FU$169,SwaptionMonthsToGo+SwaptionShift))))))</f>
        <v/>
      </c>
      <c r="FV203" s="150" t="str">
        <f aca="false">IF(OR(FV$169&lt;SwaptionFirstMonthPosition+1,$FJ203&lt;SwaptionFirstMonthPosition+1,FV$169&gt;SwaptionFirstMonthPosition+SwaptionNumOfMonths+1,$FJ203&gt;SwaptionFirstMonthPosition+SwaptionNumOfMonths+1),"",IF($FJ203=FV$169,1,IF($FJ203&lt;FV$169,INDEX($FK$170:$ID$241,FV$169,$FJ203),SUMPRODUCT(INDEX($FK$325:$ID$396,FV$169,1+SwaptionShift):INDEX($FK$325:$ID$396,FV$169,SwaptionMonthsToGo+SwaptionShift),INDEX($FK$245:$ID$316,$FJ203-FV$169,73-FV$169+SwaptionShift):INDEX($FK$245:$ID$316,$FJ203-FV$169,72-FV$169+SwaptionMonthsToGo+SwaptionShift))/SQRT(SUM(INDEX($FK358:$ID358,1+SwaptionShift):INDEX($FK358:$ID358,SwaptionMonthsToGo+SwaptionShift))*SUM(INDEX($FK$325:$ID$396,FV$169,1+SwaptionShift):INDEX($FK$325:$ID$396,FV$169,SwaptionMonthsToGo+SwaptionShift))))))</f>
        <v/>
      </c>
      <c r="FW203" s="150" t="str">
        <f aca="false">IF(OR(FW$169&lt;SwaptionFirstMonthPosition+1,$FJ203&lt;SwaptionFirstMonthPosition+1,FW$169&gt;SwaptionFirstMonthPosition+SwaptionNumOfMonths+1,$FJ203&gt;SwaptionFirstMonthPosition+SwaptionNumOfMonths+1),"",IF($FJ203=FW$169,1,IF($FJ203&lt;FW$169,INDEX($FK$170:$ID$241,FW$169,$FJ203),SUMPRODUCT(INDEX($FK$325:$ID$396,FW$169,1+SwaptionShift):INDEX($FK$325:$ID$396,FW$169,SwaptionMonthsToGo+SwaptionShift),INDEX($FK$245:$ID$316,$FJ203-FW$169,73-FW$169+SwaptionShift):INDEX($FK$245:$ID$316,$FJ203-FW$169,72-FW$169+SwaptionMonthsToGo+SwaptionShift))/SQRT(SUM(INDEX($FK358:$ID358,1+SwaptionShift):INDEX($FK358:$ID358,SwaptionMonthsToGo+SwaptionShift))*SUM(INDEX($FK$325:$ID$396,FW$169,1+SwaptionShift):INDEX($FK$325:$ID$396,FW$169,SwaptionMonthsToGo+SwaptionShift))))))</f>
        <v/>
      </c>
      <c r="FX203" s="150" t="str">
        <f aca="false">IF(OR(FX$169&lt;SwaptionFirstMonthPosition+1,$FJ203&lt;SwaptionFirstMonthPosition+1,FX$169&gt;SwaptionFirstMonthPosition+SwaptionNumOfMonths+1,$FJ203&gt;SwaptionFirstMonthPosition+SwaptionNumOfMonths+1),"",IF($FJ203=FX$169,1,IF($FJ203&lt;FX$169,INDEX($FK$170:$ID$241,FX$169,$FJ203),SUMPRODUCT(INDEX($FK$325:$ID$396,FX$169,1+SwaptionShift):INDEX($FK$325:$ID$396,FX$169,SwaptionMonthsToGo+SwaptionShift),INDEX($FK$245:$ID$316,$FJ203-FX$169,73-FX$169+SwaptionShift):INDEX($FK$245:$ID$316,$FJ203-FX$169,72-FX$169+SwaptionMonthsToGo+SwaptionShift))/SQRT(SUM(INDEX($FK358:$ID358,1+SwaptionShift):INDEX($FK358:$ID358,SwaptionMonthsToGo+SwaptionShift))*SUM(INDEX($FK$325:$ID$396,FX$169,1+SwaptionShift):INDEX($FK$325:$ID$396,FX$169,SwaptionMonthsToGo+SwaptionShift))))))</f>
        <v/>
      </c>
      <c r="FY203" s="150" t="str">
        <f aca="false">IF(OR(FY$169&lt;SwaptionFirstMonthPosition+1,$FJ203&lt;SwaptionFirstMonthPosition+1,FY$169&gt;SwaptionFirstMonthPosition+SwaptionNumOfMonths+1,$FJ203&gt;SwaptionFirstMonthPosition+SwaptionNumOfMonths+1),"",IF($FJ203=FY$169,1,IF($FJ203&lt;FY$169,INDEX($FK$170:$ID$241,FY$169,$FJ203),SUMPRODUCT(INDEX($FK$325:$ID$396,FY$169,1+SwaptionShift):INDEX($FK$325:$ID$396,FY$169,SwaptionMonthsToGo+SwaptionShift),INDEX($FK$245:$ID$316,$FJ203-FY$169,73-FY$169+SwaptionShift):INDEX($FK$245:$ID$316,$FJ203-FY$169,72-FY$169+SwaptionMonthsToGo+SwaptionShift))/SQRT(SUM(INDEX($FK358:$ID358,1+SwaptionShift):INDEX($FK358:$ID358,SwaptionMonthsToGo+SwaptionShift))*SUM(INDEX($FK$325:$ID$396,FY$169,1+SwaptionShift):INDEX($FK$325:$ID$396,FY$169,SwaptionMonthsToGo+SwaptionShift))))))</f>
        <v/>
      </c>
      <c r="FZ203" s="150" t="str">
        <f aca="false">IF(OR(FZ$169&lt;SwaptionFirstMonthPosition+1,$FJ203&lt;SwaptionFirstMonthPosition+1,FZ$169&gt;SwaptionFirstMonthPosition+SwaptionNumOfMonths+1,$FJ203&gt;SwaptionFirstMonthPosition+SwaptionNumOfMonths+1),"",IF($FJ203=FZ$169,1,IF($FJ203&lt;FZ$169,INDEX($FK$170:$ID$241,FZ$169,$FJ203),SUMPRODUCT(INDEX($FK$325:$ID$396,FZ$169,1+SwaptionShift):INDEX($FK$325:$ID$396,FZ$169,SwaptionMonthsToGo+SwaptionShift),INDEX($FK$245:$ID$316,$FJ203-FZ$169,73-FZ$169+SwaptionShift):INDEX($FK$245:$ID$316,$FJ203-FZ$169,72-FZ$169+SwaptionMonthsToGo+SwaptionShift))/SQRT(SUM(INDEX($FK358:$ID358,1+SwaptionShift):INDEX($FK358:$ID358,SwaptionMonthsToGo+SwaptionShift))*SUM(INDEX($FK$325:$ID$396,FZ$169,1+SwaptionShift):INDEX($FK$325:$ID$396,FZ$169,SwaptionMonthsToGo+SwaptionShift))))))</f>
        <v/>
      </c>
      <c r="GA203" s="150" t="str">
        <f aca="false">IF(OR(GA$169&lt;SwaptionFirstMonthPosition+1,$FJ203&lt;SwaptionFirstMonthPosition+1,GA$169&gt;SwaptionFirstMonthPosition+SwaptionNumOfMonths+1,$FJ203&gt;SwaptionFirstMonthPosition+SwaptionNumOfMonths+1),"",IF($FJ203=GA$169,1,IF($FJ203&lt;GA$169,INDEX($FK$170:$ID$241,GA$169,$FJ203),SUMPRODUCT(INDEX($FK$325:$ID$396,GA$169,1+SwaptionShift):INDEX($FK$325:$ID$396,GA$169,SwaptionMonthsToGo+SwaptionShift),INDEX($FK$245:$ID$316,$FJ203-GA$169,73-GA$169+SwaptionShift):INDEX($FK$245:$ID$316,$FJ203-GA$169,72-GA$169+SwaptionMonthsToGo+SwaptionShift))/SQRT(SUM(INDEX($FK358:$ID358,1+SwaptionShift):INDEX($FK358:$ID358,SwaptionMonthsToGo+SwaptionShift))*SUM(INDEX($FK$325:$ID$396,GA$169,1+SwaptionShift):INDEX($FK$325:$ID$396,GA$169,SwaptionMonthsToGo+SwaptionShift))))))</f>
        <v/>
      </c>
      <c r="GB203" s="150" t="str">
        <f aca="false">IF(OR(GB$169&lt;SwaptionFirstMonthPosition+1,$FJ203&lt;SwaptionFirstMonthPosition+1,GB$169&gt;SwaptionFirstMonthPosition+SwaptionNumOfMonths+1,$FJ203&gt;SwaptionFirstMonthPosition+SwaptionNumOfMonths+1),"",IF($FJ203=GB$169,1,IF($FJ203&lt;GB$169,INDEX($FK$170:$ID$241,GB$169,$FJ203),SUMPRODUCT(INDEX($FK$325:$ID$396,GB$169,1+SwaptionShift):INDEX($FK$325:$ID$396,GB$169,SwaptionMonthsToGo+SwaptionShift),INDEX($FK$245:$ID$316,$FJ203-GB$169,73-GB$169+SwaptionShift):INDEX($FK$245:$ID$316,$FJ203-GB$169,72-GB$169+SwaptionMonthsToGo+SwaptionShift))/SQRT(SUM(INDEX($FK358:$ID358,1+SwaptionShift):INDEX($FK358:$ID358,SwaptionMonthsToGo+SwaptionShift))*SUM(INDEX($FK$325:$ID$396,GB$169,1+SwaptionShift):INDEX($FK$325:$ID$396,GB$169,SwaptionMonthsToGo+SwaptionShift))))))</f>
        <v/>
      </c>
      <c r="GC203" s="150" t="str">
        <f aca="false">IF(OR(GC$169&lt;SwaptionFirstMonthPosition+1,$FJ203&lt;SwaptionFirstMonthPosition+1,GC$169&gt;SwaptionFirstMonthPosition+SwaptionNumOfMonths+1,$FJ203&gt;SwaptionFirstMonthPosition+SwaptionNumOfMonths+1),"",IF($FJ203=GC$169,1,IF($FJ203&lt;GC$169,INDEX($FK$170:$ID$241,GC$169,$FJ203),SUMPRODUCT(INDEX($FK$325:$ID$396,GC$169,1+SwaptionShift):INDEX($FK$325:$ID$396,GC$169,SwaptionMonthsToGo+SwaptionShift),INDEX($FK$245:$ID$316,$FJ203-GC$169,73-GC$169+SwaptionShift):INDEX($FK$245:$ID$316,$FJ203-GC$169,72-GC$169+SwaptionMonthsToGo+SwaptionShift))/SQRT(SUM(INDEX($FK358:$ID358,1+SwaptionShift):INDEX($FK358:$ID358,SwaptionMonthsToGo+SwaptionShift))*SUM(INDEX($FK$325:$ID$396,GC$169,1+SwaptionShift):INDEX($FK$325:$ID$396,GC$169,SwaptionMonthsToGo+SwaptionShift))))))</f>
        <v/>
      </c>
      <c r="GD203" s="150" t="str">
        <f aca="false">IF(OR(GD$169&lt;SwaptionFirstMonthPosition+1,$FJ203&lt;SwaptionFirstMonthPosition+1,GD$169&gt;SwaptionFirstMonthPosition+SwaptionNumOfMonths+1,$FJ203&gt;SwaptionFirstMonthPosition+SwaptionNumOfMonths+1),"",IF($FJ203=GD$169,1,IF($FJ203&lt;GD$169,INDEX($FK$170:$ID$241,GD$169,$FJ203),SUMPRODUCT(INDEX($FK$325:$ID$396,GD$169,1+SwaptionShift):INDEX($FK$325:$ID$396,GD$169,SwaptionMonthsToGo+SwaptionShift),INDEX($FK$245:$ID$316,$FJ203-GD$169,73-GD$169+SwaptionShift):INDEX($FK$245:$ID$316,$FJ203-GD$169,72-GD$169+SwaptionMonthsToGo+SwaptionShift))/SQRT(SUM(INDEX($FK358:$ID358,1+SwaptionShift):INDEX($FK358:$ID358,SwaptionMonthsToGo+SwaptionShift))*SUM(INDEX($FK$325:$ID$396,GD$169,1+SwaptionShift):INDEX($FK$325:$ID$396,GD$169,SwaptionMonthsToGo+SwaptionShift))))))</f>
        <v/>
      </c>
      <c r="GE203" s="150" t="str">
        <f aca="false">IF(OR(GE$169&lt;SwaptionFirstMonthPosition+1,$FJ203&lt;SwaptionFirstMonthPosition+1,GE$169&gt;SwaptionFirstMonthPosition+SwaptionNumOfMonths+1,$FJ203&gt;SwaptionFirstMonthPosition+SwaptionNumOfMonths+1),"",IF($FJ203=GE$169,1,IF($FJ203&lt;GE$169,INDEX($FK$170:$ID$241,GE$169,$FJ203),SUMPRODUCT(INDEX($FK$325:$ID$396,GE$169,1+SwaptionShift):INDEX($FK$325:$ID$396,GE$169,SwaptionMonthsToGo+SwaptionShift),INDEX($FK$245:$ID$316,$FJ203-GE$169,73-GE$169+SwaptionShift):INDEX($FK$245:$ID$316,$FJ203-GE$169,72-GE$169+SwaptionMonthsToGo+SwaptionShift))/SQRT(SUM(INDEX($FK358:$ID358,1+SwaptionShift):INDEX($FK358:$ID358,SwaptionMonthsToGo+SwaptionShift))*SUM(INDEX($FK$325:$ID$396,GE$169,1+SwaptionShift):INDEX($FK$325:$ID$396,GE$169,SwaptionMonthsToGo+SwaptionShift))))))</f>
        <v/>
      </c>
      <c r="GF203" s="150" t="str">
        <f aca="false">IF(OR(GF$169&lt;SwaptionFirstMonthPosition+1,$FJ203&lt;SwaptionFirstMonthPosition+1,GF$169&gt;SwaptionFirstMonthPosition+SwaptionNumOfMonths+1,$FJ203&gt;SwaptionFirstMonthPosition+SwaptionNumOfMonths+1),"",IF($FJ203=GF$169,1,IF($FJ203&lt;GF$169,INDEX($FK$170:$ID$241,GF$169,$FJ203),SUMPRODUCT(INDEX($FK$325:$ID$396,GF$169,1+SwaptionShift):INDEX($FK$325:$ID$396,GF$169,SwaptionMonthsToGo+SwaptionShift),INDEX($FK$245:$ID$316,$FJ203-GF$169,73-GF$169+SwaptionShift):INDEX($FK$245:$ID$316,$FJ203-GF$169,72-GF$169+SwaptionMonthsToGo+SwaptionShift))/SQRT(SUM(INDEX($FK358:$ID358,1+SwaptionShift):INDEX($FK358:$ID358,SwaptionMonthsToGo+SwaptionShift))*SUM(INDEX($FK$325:$ID$396,GF$169,1+SwaptionShift):INDEX($FK$325:$ID$396,GF$169,SwaptionMonthsToGo+SwaptionShift))))))</f>
        <v/>
      </c>
      <c r="GG203" s="150" t="str">
        <f aca="false">IF(OR(GG$169&lt;SwaptionFirstMonthPosition+1,$FJ203&lt;SwaptionFirstMonthPosition+1,GG$169&gt;SwaptionFirstMonthPosition+SwaptionNumOfMonths+1,$FJ203&gt;SwaptionFirstMonthPosition+SwaptionNumOfMonths+1),"",IF($FJ203=GG$169,1,IF($FJ203&lt;GG$169,INDEX($FK$170:$ID$241,GG$169,$FJ203),SUMPRODUCT(INDEX($FK$325:$ID$396,GG$169,1+SwaptionShift):INDEX($FK$325:$ID$396,GG$169,SwaptionMonthsToGo+SwaptionShift),INDEX($FK$245:$ID$316,$FJ203-GG$169,73-GG$169+SwaptionShift):INDEX($FK$245:$ID$316,$FJ203-GG$169,72-GG$169+SwaptionMonthsToGo+SwaptionShift))/SQRT(SUM(INDEX($FK358:$ID358,1+SwaptionShift):INDEX($FK358:$ID358,SwaptionMonthsToGo+SwaptionShift))*SUM(INDEX($FK$325:$ID$396,GG$169,1+SwaptionShift):INDEX($FK$325:$ID$396,GG$169,SwaptionMonthsToGo+SwaptionShift))))))</f>
        <v/>
      </c>
      <c r="GH203" s="150" t="str">
        <f aca="false">IF(OR(GH$169&lt;SwaptionFirstMonthPosition+1,$FJ203&lt;SwaptionFirstMonthPosition+1,GH$169&gt;SwaptionFirstMonthPosition+SwaptionNumOfMonths+1,$FJ203&gt;SwaptionFirstMonthPosition+SwaptionNumOfMonths+1),"",IF($FJ203=GH$169,1,IF($FJ203&lt;GH$169,INDEX($FK$170:$ID$241,GH$169,$FJ203),SUMPRODUCT(INDEX($FK$325:$ID$396,GH$169,1+SwaptionShift):INDEX($FK$325:$ID$396,GH$169,SwaptionMonthsToGo+SwaptionShift),INDEX($FK$245:$ID$316,$FJ203-GH$169,73-GH$169+SwaptionShift):INDEX($FK$245:$ID$316,$FJ203-GH$169,72-GH$169+SwaptionMonthsToGo+SwaptionShift))/SQRT(SUM(INDEX($FK358:$ID358,1+SwaptionShift):INDEX($FK358:$ID358,SwaptionMonthsToGo+SwaptionShift))*SUM(INDEX($FK$325:$ID$396,GH$169,1+SwaptionShift):INDEX($FK$325:$ID$396,GH$169,SwaptionMonthsToGo+SwaptionShift))))))</f>
        <v/>
      </c>
      <c r="GI203" s="150" t="str">
        <f aca="false">IF(OR(GI$169&lt;SwaptionFirstMonthPosition+1,$FJ203&lt;SwaptionFirstMonthPosition+1,GI$169&gt;SwaptionFirstMonthPosition+SwaptionNumOfMonths+1,$FJ203&gt;SwaptionFirstMonthPosition+SwaptionNumOfMonths+1),"",IF($FJ203=GI$169,1,IF($FJ203&lt;GI$169,INDEX($FK$170:$ID$241,GI$169,$FJ203),SUMPRODUCT(INDEX($FK$325:$ID$396,GI$169,1+SwaptionShift):INDEX($FK$325:$ID$396,GI$169,SwaptionMonthsToGo+SwaptionShift),INDEX($FK$245:$ID$316,$FJ203-GI$169,73-GI$169+SwaptionShift):INDEX($FK$245:$ID$316,$FJ203-GI$169,72-GI$169+SwaptionMonthsToGo+SwaptionShift))/SQRT(SUM(INDEX($FK358:$ID358,1+SwaptionShift):INDEX($FK358:$ID358,SwaptionMonthsToGo+SwaptionShift))*SUM(INDEX($FK$325:$ID$396,GI$169,1+SwaptionShift):INDEX($FK$325:$ID$396,GI$169,SwaptionMonthsToGo+SwaptionShift))))))</f>
        <v/>
      </c>
      <c r="GJ203" s="150" t="str">
        <f aca="false">IF(OR(GJ$169&lt;SwaptionFirstMonthPosition+1,$FJ203&lt;SwaptionFirstMonthPosition+1,GJ$169&gt;SwaptionFirstMonthPosition+SwaptionNumOfMonths+1,$FJ203&gt;SwaptionFirstMonthPosition+SwaptionNumOfMonths+1),"",IF($FJ203=GJ$169,1,IF($FJ203&lt;GJ$169,INDEX($FK$170:$ID$241,GJ$169,$FJ203),SUMPRODUCT(INDEX($FK$325:$ID$396,GJ$169,1+SwaptionShift):INDEX($FK$325:$ID$396,GJ$169,SwaptionMonthsToGo+SwaptionShift),INDEX($FK$245:$ID$316,$FJ203-GJ$169,73-GJ$169+SwaptionShift):INDEX($FK$245:$ID$316,$FJ203-GJ$169,72-GJ$169+SwaptionMonthsToGo+SwaptionShift))/SQRT(SUM(INDEX($FK358:$ID358,1+SwaptionShift):INDEX($FK358:$ID358,SwaptionMonthsToGo+SwaptionShift))*SUM(INDEX($FK$325:$ID$396,GJ$169,1+SwaptionShift):INDEX($FK$325:$ID$396,GJ$169,SwaptionMonthsToGo+SwaptionShift))))))</f>
        <v/>
      </c>
      <c r="GK203" s="150" t="str">
        <f aca="false">IF(OR(GK$169&lt;SwaptionFirstMonthPosition+1,$FJ203&lt;SwaptionFirstMonthPosition+1,GK$169&gt;SwaptionFirstMonthPosition+SwaptionNumOfMonths+1,$FJ203&gt;SwaptionFirstMonthPosition+SwaptionNumOfMonths+1),"",IF($FJ203=GK$169,1,IF($FJ203&lt;GK$169,INDEX($FK$170:$ID$241,GK$169,$FJ203),SUMPRODUCT(INDEX($FK$325:$ID$396,GK$169,1+SwaptionShift):INDEX($FK$325:$ID$396,GK$169,SwaptionMonthsToGo+SwaptionShift),INDEX($FK$245:$ID$316,$FJ203-GK$169,73-GK$169+SwaptionShift):INDEX($FK$245:$ID$316,$FJ203-GK$169,72-GK$169+SwaptionMonthsToGo+SwaptionShift))/SQRT(SUM(INDEX($FK358:$ID358,1+SwaptionShift):INDEX($FK358:$ID358,SwaptionMonthsToGo+SwaptionShift))*SUM(INDEX($FK$325:$ID$396,GK$169,1+SwaptionShift):INDEX($FK$325:$ID$396,GK$169,SwaptionMonthsToGo+SwaptionShift))))))</f>
        <v/>
      </c>
      <c r="GL203" s="150" t="str">
        <f aca="false">IF(OR(GL$169&lt;SwaptionFirstMonthPosition+1,$FJ203&lt;SwaptionFirstMonthPosition+1,GL$169&gt;SwaptionFirstMonthPosition+SwaptionNumOfMonths+1,$FJ203&gt;SwaptionFirstMonthPosition+SwaptionNumOfMonths+1),"",IF($FJ203=GL$169,1,IF($FJ203&lt;GL$169,INDEX($FK$170:$ID$241,GL$169,$FJ203),SUMPRODUCT(INDEX($FK$325:$ID$396,GL$169,1+SwaptionShift):INDEX($FK$325:$ID$396,GL$169,SwaptionMonthsToGo+SwaptionShift),INDEX($FK$245:$ID$316,$FJ203-GL$169,73-GL$169+SwaptionShift):INDEX($FK$245:$ID$316,$FJ203-GL$169,72-GL$169+SwaptionMonthsToGo+SwaptionShift))/SQRT(SUM(INDEX($FK358:$ID358,1+SwaptionShift):INDEX($FK358:$ID358,SwaptionMonthsToGo+SwaptionShift))*SUM(INDEX($FK$325:$ID$396,GL$169,1+SwaptionShift):INDEX($FK$325:$ID$396,GL$169,SwaptionMonthsToGo+SwaptionShift))))))</f>
        <v/>
      </c>
      <c r="GM203" s="150" t="str">
        <f aca="false">IF(OR(GM$169&lt;SwaptionFirstMonthPosition+1,$FJ203&lt;SwaptionFirstMonthPosition+1,GM$169&gt;SwaptionFirstMonthPosition+SwaptionNumOfMonths+1,$FJ203&gt;SwaptionFirstMonthPosition+SwaptionNumOfMonths+1),"",IF($FJ203=GM$169,1,IF($FJ203&lt;GM$169,INDEX($FK$170:$ID$241,GM$169,$FJ203),SUMPRODUCT(INDEX($FK$325:$ID$396,GM$169,1+SwaptionShift):INDEX($FK$325:$ID$396,GM$169,SwaptionMonthsToGo+SwaptionShift),INDEX($FK$245:$ID$316,$FJ203-GM$169,73-GM$169+SwaptionShift):INDEX($FK$245:$ID$316,$FJ203-GM$169,72-GM$169+SwaptionMonthsToGo+SwaptionShift))/SQRT(SUM(INDEX($FK358:$ID358,1+SwaptionShift):INDEX($FK358:$ID358,SwaptionMonthsToGo+SwaptionShift))*SUM(INDEX($FK$325:$ID$396,GM$169,1+SwaptionShift):INDEX($FK$325:$ID$396,GM$169,SwaptionMonthsToGo+SwaptionShift))))))</f>
        <v/>
      </c>
      <c r="GN203" s="150" t="str">
        <f aca="false">IF(OR(GN$169&lt;SwaptionFirstMonthPosition+1,$FJ203&lt;SwaptionFirstMonthPosition+1,GN$169&gt;SwaptionFirstMonthPosition+SwaptionNumOfMonths+1,$FJ203&gt;SwaptionFirstMonthPosition+SwaptionNumOfMonths+1),"",IF($FJ203=GN$169,1,IF($FJ203&lt;GN$169,INDEX($FK$170:$ID$241,GN$169,$FJ203),SUMPRODUCT(INDEX($FK$325:$ID$396,GN$169,1+SwaptionShift):INDEX($FK$325:$ID$396,GN$169,SwaptionMonthsToGo+SwaptionShift),INDEX($FK$245:$ID$316,$FJ203-GN$169,73-GN$169+SwaptionShift):INDEX($FK$245:$ID$316,$FJ203-GN$169,72-GN$169+SwaptionMonthsToGo+SwaptionShift))/SQRT(SUM(INDEX($FK358:$ID358,1+SwaptionShift):INDEX($FK358:$ID358,SwaptionMonthsToGo+SwaptionShift))*SUM(INDEX($FK$325:$ID$396,GN$169,1+SwaptionShift):INDEX($FK$325:$ID$396,GN$169,SwaptionMonthsToGo+SwaptionShift))))))</f>
        <v/>
      </c>
      <c r="GO203" s="150" t="str">
        <f aca="false">IF(OR(GO$169&lt;SwaptionFirstMonthPosition+1,$FJ203&lt;SwaptionFirstMonthPosition+1,GO$169&gt;SwaptionFirstMonthPosition+SwaptionNumOfMonths+1,$FJ203&gt;SwaptionFirstMonthPosition+SwaptionNumOfMonths+1),"",IF($FJ203=GO$169,1,IF($FJ203&lt;GO$169,INDEX($FK$170:$ID$241,GO$169,$FJ203),SUMPRODUCT(INDEX($FK$325:$ID$396,GO$169,1+SwaptionShift):INDEX($FK$325:$ID$396,GO$169,SwaptionMonthsToGo+SwaptionShift),INDEX($FK$245:$ID$316,$FJ203-GO$169,73-GO$169+SwaptionShift):INDEX($FK$245:$ID$316,$FJ203-GO$169,72-GO$169+SwaptionMonthsToGo+SwaptionShift))/SQRT(SUM(INDEX($FK358:$ID358,1+SwaptionShift):INDEX($FK358:$ID358,SwaptionMonthsToGo+SwaptionShift))*SUM(INDEX($FK$325:$ID$396,GO$169,1+SwaptionShift):INDEX($FK$325:$ID$396,GO$169,SwaptionMonthsToGo+SwaptionShift))))))</f>
        <v/>
      </c>
      <c r="GP203" s="150" t="str">
        <f aca="false">IF(OR(GP$169&lt;SwaptionFirstMonthPosition+1,$FJ203&lt;SwaptionFirstMonthPosition+1,GP$169&gt;SwaptionFirstMonthPosition+SwaptionNumOfMonths+1,$FJ203&gt;SwaptionFirstMonthPosition+SwaptionNumOfMonths+1),"",IF($FJ203=GP$169,1,IF($FJ203&lt;GP$169,INDEX($FK$170:$ID$241,GP$169,$FJ203),SUMPRODUCT(INDEX($FK$325:$ID$396,GP$169,1+SwaptionShift):INDEX($FK$325:$ID$396,GP$169,SwaptionMonthsToGo+SwaptionShift),INDEX($FK$245:$ID$316,$FJ203-GP$169,73-GP$169+SwaptionShift):INDEX($FK$245:$ID$316,$FJ203-GP$169,72-GP$169+SwaptionMonthsToGo+SwaptionShift))/SQRT(SUM(INDEX($FK358:$ID358,1+SwaptionShift):INDEX($FK358:$ID358,SwaptionMonthsToGo+SwaptionShift))*SUM(INDEX($FK$325:$ID$396,GP$169,1+SwaptionShift):INDEX($FK$325:$ID$396,GP$169,SwaptionMonthsToGo+SwaptionShift))))))</f>
        <v/>
      </c>
      <c r="GQ203" s="150" t="str">
        <f aca="false">IF(OR(GQ$169&lt;SwaptionFirstMonthPosition+1,$FJ203&lt;SwaptionFirstMonthPosition+1,GQ$169&gt;SwaptionFirstMonthPosition+SwaptionNumOfMonths+1,$FJ203&gt;SwaptionFirstMonthPosition+SwaptionNumOfMonths+1),"",IF($FJ203=GQ$169,1,IF($FJ203&lt;GQ$169,INDEX($FK$170:$ID$241,GQ$169,$FJ203),SUMPRODUCT(INDEX($FK$325:$ID$396,GQ$169,1+SwaptionShift):INDEX($FK$325:$ID$396,GQ$169,SwaptionMonthsToGo+SwaptionShift),INDEX($FK$245:$ID$316,$FJ203-GQ$169,73-GQ$169+SwaptionShift):INDEX($FK$245:$ID$316,$FJ203-GQ$169,72-GQ$169+SwaptionMonthsToGo+SwaptionShift))/SQRT(SUM(INDEX($FK358:$ID358,1+SwaptionShift):INDEX($FK358:$ID358,SwaptionMonthsToGo+SwaptionShift))*SUM(INDEX($FK$325:$ID$396,GQ$169,1+SwaptionShift):INDEX($FK$325:$ID$396,GQ$169,SwaptionMonthsToGo+SwaptionShift))))))</f>
        <v/>
      </c>
      <c r="GR203" s="150" t="str">
        <f aca="false">IF(OR(GR$169&lt;SwaptionFirstMonthPosition+1,$FJ203&lt;SwaptionFirstMonthPosition+1,GR$169&gt;SwaptionFirstMonthPosition+SwaptionNumOfMonths+1,$FJ203&gt;SwaptionFirstMonthPosition+SwaptionNumOfMonths+1),"",IF($FJ203=GR$169,1,IF($FJ203&lt;GR$169,INDEX($FK$170:$ID$241,GR$169,$FJ203),SUMPRODUCT(INDEX($FK$325:$ID$396,GR$169,1+SwaptionShift):INDEX($FK$325:$ID$396,GR$169,SwaptionMonthsToGo+SwaptionShift),INDEX($FK$245:$ID$316,$FJ203-GR$169,73-GR$169+SwaptionShift):INDEX($FK$245:$ID$316,$FJ203-GR$169,72-GR$169+SwaptionMonthsToGo+SwaptionShift))/SQRT(SUM(INDEX($FK358:$ID358,1+SwaptionShift):INDEX($FK358:$ID358,SwaptionMonthsToGo+SwaptionShift))*SUM(INDEX($FK$325:$ID$396,GR$169,1+SwaptionShift):INDEX($FK$325:$ID$396,GR$169,SwaptionMonthsToGo+SwaptionShift))))))</f>
        <v/>
      </c>
      <c r="GS203" s="150" t="str">
        <f aca="false">IF(OR(GS$169&lt;SwaptionFirstMonthPosition+1,$FJ203&lt;SwaptionFirstMonthPosition+1,GS$169&gt;SwaptionFirstMonthPosition+SwaptionNumOfMonths+1,$FJ203&gt;SwaptionFirstMonthPosition+SwaptionNumOfMonths+1),"",IF($FJ203=GS$169,1,IF($FJ203&lt;GS$169,INDEX($FK$170:$ID$241,GS$169,$FJ203),SUMPRODUCT(INDEX($FK$325:$ID$396,GS$169,1+SwaptionShift):INDEX($FK$325:$ID$396,GS$169,SwaptionMonthsToGo+SwaptionShift),INDEX($FK$245:$ID$316,$FJ203-GS$169,73-GS$169+SwaptionShift):INDEX($FK$245:$ID$316,$FJ203-GS$169,72-GS$169+SwaptionMonthsToGo+SwaptionShift))/SQRT(SUM(INDEX($FK358:$ID358,1+SwaptionShift):INDEX($FK358:$ID358,SwaptionMonthsToGo+SwaptionShift))*SUM(INDEX($FK$325:$ID$396,GS$169,1+SwaptionShift):INDEX($FK$325:$ID$396,GS$169,SwaptionMonthsToGo+SwaptionShift))))))</f>
        <v/>
      </c>
      <c r="GT203" s="150" t="str">
        <f aca="false">IF(OR(GT$169&lt;SwaptionFirstMonthPosition+1,$FJ203&lt;SwaptionFirstMonthPosition+1,GT$169&gt;SwaptionFirstMonthPosition+SwaptionNumOfMonths+1,$FJ203&gt;SwaptionFirstMonthPosition+SwaptionNumOfMonths+1),"",IF($FJ203=GT$169,1,IF($FJ203&lt;GT$169,INDEX($FK$170:$ID$241,GT$169,$FJ203),SUMPRODUCT(INDEX($FK$325:$ID$396,GT$169,1+SwaptionShift):INDEX($FK$325:$ID$396,GT$169,SwaptionMonthsToGo+SwaptionShift),INDEX($FK$245:$ID$316,$FJ203-GT$169,73-GT$169+SwaptionShift):INDEX($FK$245:$ID$316,$FJ203-GT$169,72-GT$169+SwaptionMonthsToGo+SwaptionShift))/SQRT(SUM(INDEX($FK358:$ID358,1+SwaptionShift):INDEX($FK358:$ID358,SwaptionMonthsToGo+SwaptionShift))*SUM(INDEX($FK$325:$ID$396,GT$169,1+SwaptionShift):INDEX($FK$325:$ID$396,GT$169,SwaptionMonthsToGo+SwaptionShift))))))</f>
        <v/>
      </c>
      <c r="GU203" s="150" t="str">
        <f aca="false">IF(OR(GU$169&lt;SwaptionFirstMonthPosition+1,$FJ203&lt;SwaptionFirstMonthPosition+1,GU$169&gt;SwaptionFirstMonthPosition+SwaptionNumOfMonths+1,$FJ203&gt;SwaptionFirstMonthPosition+SwaptionNumOfMonths+1),"",IF($FJ203=GU$169,1,IF($FJ203&lt;GU$169,INDEX($FK$170:$ID$241,GU$169,$FJ203),SUMPRODUCT(INDEX($FK$325:$ID$396,GU$169,1+SwaptionShift):INDEX($FK$325:$ID$396,GU$169,SwaptionMonthsToGo+SwaptionShift),INDEX($FK$245:$ID$316,$FJ203-GU$169,73-GU$169+SwaptionShift):INDEX($FK$245:$ID$316,$FJ203-GU$169,72-GU$169+SwaptionMonthsToGo+SwaptionShift))/SQRT(SUM(INDEX($FK358:$ID358,1+SwaptionShift):INDEX($FK358:$ID358,SwaptionMonthsToGo+SwaptionShift))*SUM(INDEX($FK$325:$ID$396,GU$169,1+SwaptionShift):INDEX($FK$325:$ID$396,GU$169,SwaptionMonthsToGo+SwaptionShift))))))</f>
        <v/>
      </c>
      <c r="GV203" s="150" t="str">
        <f aca="false">IF(OR(GV$169&lt;SwaptionFirstMonthPosition+1,$FJ203&lt;SwaptionFirstMonthPosition+1,GV$169&gt;SwaptionFirstMonthPosition+SwaptionNumOfMonths+1,$FJ203&gt;SwaptionFirstMonthPosition+SwaptionNumOfMonths+1),"",IF($FJ203=GV$169,1,IF($FJ203&lt;GV$169,INDEX($FK$170:$ID$241,GV$169,$FJ203),SUMPRODUCT(INDEX($FK$325:$ID$396,GV$169,1+SwaptionShift):INDEX($FK$325:$ID$396,GV$169,SwaptionMonthsToGo+SwaptionShift),INDEX($FK$245:$ID$316,$FJ203-GV$169,73-GV$169+SwaptionShift):INDEX($FK$245:$ID$316,$FJ203-GV$169,72-GV$169+SwaptionMonthsToGo+SwaptionShift))/SQRT(SUM(INDEX($FK358:$ID358,1+SwaptionShift):INDEX($FK358:$ID358,SwaptionMonthsToGo+SwaptionShift))*SUM(INDEX($FK$325:$ID$396,GV$169,1+SwaptionShift):INDEX($FK$325:$ID$396,GV$169,SwaptionMonthsToGo+SwaptionShift))))))</f>
        <v/>
      </c>
      <c r="GW203" s="150" t="str">
        <f aca="false">IF(OR(GW$169&lt;SwaptionFirstMonthPosition+1,$FJ203&lt;SwaptionFirstMonthPosition+1,GW$169&gt;SwaptionFirstMonthPosition+SwaptionNumOfMonths+1,$FJ203&gt;SwaptionFirstMonthPosition+SwaptionNumOfMonths+1),"",IF($FJ203=GW$169,1,IF($FJ203&lt;GW$169,INDEX($FK$170:$ID$241,GW$169,$FJ203),SUMPRODUCT(INDEX($FK$325:$ID$396,GW$169,1+SwaptionShift):INDEX($FK$325:$ID$396,GW$169,SwaptionMonthsToGo+SwaptionShift),INDEX($FK$245:$ID$316,$FJ203-GW$169,73-GW$169+SwaptionShift):INDEX($FK$245:$ID$316,$FJ203-GW$169,72-GW$169+SwaptionMonthsToGo+SwaptionShift))/SQRT(SUM(INDEX($FK358:$ID358,1+SwaptionShift):INDEX($FK358:$ID358,SwaptionMonthsToGo+SwaptionShift))*SUM(INDEX($FK$325:$ID$396,GW$169,1+SwaptionShift):INDEX($FK$325:$ID$396,GW$169,SwaptionMonthsToGo+SwaptionShift))))))</f>
        <v/>
      </c>
      <c r="GX203" s="150" t="str">
        <f aca="false">IF(OR(GX$169&lt;SwaptionFirstMonthPosition+1,$FJ203&lt;SwaptionFirstMonthPosition+1,GX$169&gt;SwaptionFirstMonthPosition+SwaptionNumOfMonths+1,$FJ203&gt;SwaptionFirstMonthPosition+SwaptionNumOfMonths+1),"",IF($FJ203=GX$169,1,IF($FJ203&lt;GX$169,INDEX($FK$170:$ID$241,GX$169,$FJ203),SUMPRODUCT(INDEX($FK$325:$ID$396,GX$169,1+SwaptionShift):INDEX($FK$325:$ID$396,GX$169,SwaptionMonthsToGo+SwaptionShift),INDEX($FK$245:$ID$316,$FJ203-GX$169,73-GX$169+SwaptionShift):INDEX($FK$245:$ID$316,$FJ203-GX$169,72-GX$169+SwaptionMonthsToGo+SwaptionShift))/SQRT(SUM(INDEX($FK358:$ID358,1+SwaptionShift):INDEX($FK358:$ID358,SwaptionMonthsToGo+SwaptionShift))*SUM(INDEX($FK$325:$ID$396,GX$169,1+SwaptionShift):INDEX($FK$325:$ID$396,GX$169,SwaptionMonthsToGo+SwaptionShift))))))</f>
        <v/>
      </c>
      <c r="GY203" s="150" t="str">
        <f aca="false">IF(OR(GY$169&lt;SwaptionFirstMonthPosition+1,$FJ203&lt;SwaptionFirstMonthPosition+1,GY$169&gt;SwaptionFirstMonthPosition+SwaptionNumOfMonths+1,$FJ203&gt;SwaptionFirstMonthPosition+SwaptionNumOfMonths+1),"",IF($FJ203=GY$169,1,IF($FJ203&lt;GY$169,INDEX($FK$170:$ID$241,GY$169,$FJ203),SUMPRODUCT(INDEX($FK$325:$ID$396,GY$169,1+SwaptionShift):INDEX($FK$325:$ID$396,GY$169,SwaptionMonthsToGo+SwaptionShift),INDEX($FK$245:$ID$316,$FJ203-GY$169,73-GY$169+SwaptionShift):INDEX($FK$245:$ID$316,$FJ203-GY$169,72-GY$169+SwaptionMonthsToGo+SwaptionShift))/SQRT(SUM(INDEX($FK358:$ID358,1+SwaptionShift):INDEX($FK358:$ID358,SwaptionMonthsToGo+SwaptionShift))*SUM(INDEX($FK$325:$ID$396,GY$169,1+SwaptionShift):INDEX($FK$325:$ID$396,GY$169,SwaptionMonthsToGo+SwaptionShift))))))</f>
        <v/>
      </c>
      <c r="GZ203" s="150" t="str">
        <f aca="false">IF(OR(GZ$169&lt;SwaptionFirstMonthPosition+1,$FJ203&lt;SwaptionFirstMonthPosition+1,GZ$169&gt;SwaptionFirstMonthPosition+SwaptionNumOfMonths+1,$FJ203&gt;SwaptionFirstMonthPosition+SwaptionNumOfMonths+1),"",IF($FJ203=GZ$169,1,IF($FJ203&lt;GZ$169,INDEX($FK$170:$ID$241,GZ$169,$FJ203),SUMPRODUCT(INDEX($FK$325:$ID$396,GZ$169,1+SwaptionShift):INDEX($FK$325:$ID$396,GZ$169,SwaptionMonthsToGo+SwaptionShift),INDEX($FK$245:$ID$316,$FJ203-GZ$169,73-GZ$169+SwaptionShift):INDEX($FK$245:$ID$316,$FJ203-GZ$169,72-GZ$169+SwaptionMonthsToGo+SwaptionShift))/SQRT(SUM(INDEX($FK358:$ID358,1+SwaptionShift):INDEX($FK358:$ID358,SwaptionMonthsToGo+SwaptionShift))*SUM(INDEX($FK$325:$ID$396,GZ$169,1+SwaptionShift):INDEX($FK$325:$ID$396,GZ$169,SwaptionMonthsToGo+SwaptionShift))))))</f>
        <v/>
      </c>
      <c r="HA203" s="150" t="str">
        <f aca="false">IF(OR(HA$169&lt;SwaptionFirstMonthPosition+1,$FJ203&lt;SwaptionFirstMonthPosition+1,HA$169&gt;SwaptionFirstMonthPosition+SwaptionNumOfMonths+1,$FJ203&gt;SwaptionFirstMonthPosition+SwaptionNumOfMonths+1),"",IF($FJ203=HA$169,1,IF($FJ203&lt;HA$169,INDEX($FK$170:$ID$241,HA$169,$FJ203),SUMPRODUCT(INDEX($FK$325:$ID$396,HA$169,1+SwaptionShift):INDEX($FK$325:$ID$396,HA$169,SwaptionMonthsToGo+SwaptionShift),INDEX($FK$245:$ID$316,$FJ203-HA$169,73-HA$169+SwaptionShift):INDEX($FK$245:$ID$316,$FJ203-HA$169,72-HA$169+SwaptionMonthsToGo+SwaptionShift))/SQRT(SUM(INDEX($FK358:$ID358,1+SwaptionShift):INDEX($FK358:$ID358,SwaptionMonthsToGo+SwaptionShift))*SUM(INDEX($FK$325:$ID$396,HA$169,1+SwaptionShift):INDEX($FK$325:$ID$396,HA$169,SwaptionMonthsToGo+SwaptionShift))))))</f>
        <v/>
      </c>
      <c r="HB203" s="150" t="str">
        <f aca="false">IF(OR(HB$169&lt;SwaptionFirstMonthPosition+1,$FJ203&lt;SwaptionFirstMonthPosition+1,HB$169&gt;SwaptionFirstMonthPosition+SwaptionNumOfMonths+1,$FJ203&gt;SwaptionFirstMonthPosition+SwaptionNumOfMonths+1),"",IF($FJ203=HB$169,1,IF($FJ203&lt;HB$169,INDEX($FK$170:$ID$241,HB$169,$FJ203),SUMPRODUCT(INDEX($FK$325:$ID$396,HB$169,1+SwaptionShift):INDEX($FK$325:$ID$396,HB$169,SwaptionMonthsToGo+SwaptionShift),INDEX($FK$245:$ID$316,$FJ203-HB$169,73-HB$169+SwaptionShift):INDEX($FK$245:$ID$316,$FJ203-HB$169,72-HB$169+SwaptionMonthsToGo+SwaptionShift))/SQRT(SUM(INDEX($FK358:$ID358,1+SwaptionShift):INDEX($FK358:$ID358,SwaptionMonthsToGo+SwaptionShift))*SUM(INDEX($FK$325:$ID$396,HB$169,1+SwaptionShift):INDEX($FK$325:$ID$396,HB$169,SwaptionMonthsToGo+SwaptionShift))))))</f>
        <v/>
      </c>
      <c r="HC203" s="150" t="str">
        <f aca="false">IF(OR(HC$169&lt;SwaptionFirstMonthPosition+1,$FJ203&lt;SwaptionFirstMonthPosition+1,HC$169&gt;SwaptionFirstMonthPosition+SwaptionNumOfMonths+1,$FJ203&gt;SwaptionFirstMonthPosition+SwaptionNumOfMonths+1),"",IF($FJ203=HC$169,1,IF($FJ203&lt;HC$169,INDEX($FK$170:$ID$241,HC$169,$FJ203),SUMPRODUCT(INDEX($FK$325:$ID$396,HC$169,1+SwaptionShift):INDEX($FK$325:$ID$396,HC$169,SwaptionMonthsToGo+SwaptionShift),INDEX($FK$245:$ID$316,$FJ203-HC$169,73-HC$169+SwaptionShift):INDEX($FK$245:$ID$316,$FJ203-HC$169,72-HC$169+SwaptionMonthsToGo+SwaptionShift))/SQRT(SUM(INDEX($FK358:$ID358,1+SwaptionShift):INDEX($FK358:$ID358,SwaptionMonthsToGo+SwaptionShift))*SUM(INDEX($FK$325:$ID$396,HC$169,1+SwaptionShift):INDEX($FK$325:$ID$396,HC$169,SwaptionMonthsToGo+SwaptionShift))))))</f>
        <v/>
      </c>
      <c r="HD203" s="150" t="str">
        <f aca="false">IF(OR(HD$169&lt;SwaptionFirstMonthPosition+1,$FJ203&lt;SwaptionFirstMonthPosition+1,HD$169&gt;SwaptionFirstMonthPosition+SwaptionNumOfMonths+1,$FJ203&gt;SwaptionFirstMonthPosition+SwaptionNumOfMonths+1),"",IF($FJ203=HD$169,1,IF($FJ203&lt;HD$169,INDEX($FK$170:$ID$241,HD$169,$FJ203),SUMPRODUCT(INDEX($FK$325:$ID$396,HD$169,1+SwaptionShift):INDEX($FK$325:$ID$396,HD$169,SwaptionMonthsToGo+SwaptionShift),INDEX($FK$245:$ID$316,$FJ203-HD$169,73-HD$169+SwaptionShift):INDEX($FK$245:$ID$316,$FJ203-HD$169,72-HD$169+SwaptionMonthsToGo+SwaptionShift))/SQRT(SUM(INDEX($FK358:$ID358,1+SwaptionShift):INDEX($FK358:$ID358,SwaptionMonthsToGo+SwaptionShift))*SUM(INDEX($FK$325:$ID$396,HD$169,1+SwaptionShift):INDEX($FK$325:$ID$396,HD$169,SwaptionMonthsToGo+SwaptionShift))))))</f>
        <v/>
      </c>
      <c r="HE203" s="150" t="str">
        <f aca="false">IF(OR(HE$169&lt;SwaptionFirstMonthPosition+1,$FJ203&lt;SwaptionFirstMonthPosition+1,HE$169&gt;SwaptionFirstMonthPosition+SwaptionNumOfMonths+1,$FJ203&gt;SwaptionFirstMonthPosition+SwaptionNumOfMonths+1),"",IF($FJ203=HE$169,1,IF($FJ203&lt;HE$169,INDEX($FK$170:$ID$241,HE$169,$FJ203),SUMPRODUCT(INDEX($FK$325:$ID$396,HE$169,1+SwaptionShift):INDEX($FK$325:$ID$396,HE$169,SwaptionMonthsToGo+SwaptionShift),INDEX($FK$245:$ID$316,$FJ203-HE$169,73-HE$169+SwaptionShift):INDEX($FK$245:$ID$316,$FJ203-HE$169,72-HE$169+SwaptionMonthsToGo+SwaptionShift))/SQRT(SUM(INDEX($FK358:$ID358,1+SwaptionShift):INDEX($FK358:$ID358,SwaptionMonthsToGo+SwaptionShift))*SUM(INDEX($FK$325:$ID$396,HE$169,1+SwaptionShift):INDEX($FK$325:$ID$396,HE$169,SwaptionMonthsToGo+SwaptionShift))))))</f>
        <v/>
      </c>
      <c r="HF203" s="150" t="str">
        <f aca="false">IF(OR(HF$169&lt;SwaptionFirstMonthPosition+1,$FJ203&lt;SwaptionFirstMonthPosition+1,HF$169&gt;SwaptionFirstMonthPosition+SwaptionNumOfMonths+1,$FJ203&gt;SwaptionFirstMonthPosition+SwaptionNumOfMonths+1),"",IF($FJ203=HF$169,1,IF($FJ203&lt;HF$169,INDEX($FK$170:$ID$241,HF$169,$FJ203),SUMPRODUCT(INDEX($FK$325:$ID$396,HF$169,1+SwaptionShift):INDEX($FK$325:$ID$396,HF$169,SwaptionMonthsToGo+SwaptionShift),INDEX($FK$245:$ID$316,$FJ203-HF$169,73-HF$169+SwaptionShift):INDEX($FK$245:$ID$316,$FJ203-HF$169,72-HF$169+SwaptionMonthsToGo+SwaptionShift))/SQRT(SUM(INDEX($FK358:$ID358,1+SwaptionShift):INDEX($FK358:$ID358,SwaptionMonthsToGo+SwaptionShift))*SUM(INDEX($FK$325:$ID$396,HF$169,1+SwaptionShift):INDEX($FK$325:$ID$396,HF$169,SwaptionMonthsToGo+SwaptionShift))))))</f>
        <v/>
      </c>
      <c r="HG203" s="150" t="str">
        <f aca="false">IF(OR(HG$169&lt;SwaptionFirstMonthPosition+1,$FJ203&lt;SwaptionFirstMonthPosition+1,HG$169&gt;SwaptionFirstMonthPosition+SwaptionNumOfMonths+1,$FJ203&gt;SwaptionFirstMonthPosition+SwaptionNumOfMonths+1),"",IF($FJ203=HG$169,1,IF($FJ203&lt;HG$169,INDEX($FK$170:$ID$241,HG$169,$FJ203),SUMPRODUCT(INDEX($FK$325:$ID$396,HG$169,1+SwaptionShift):INDEX($FK$325:$ID$396,HG$169,SwaptionMonthsToGo+SwaptionShift),INDEX($FK$245:$ID$316,$FJ203-HG$169,73-HG$169+SwaptionShift):INDEX($FK$245:$ID$316,$FJ203-HG$169,72-HG$169+SwaptionMonthsToGo+SwaptionShift))/SQRT(SUM(INDEX($FK358:$ID358,1+SwaptionShift):INDEX($FK358:$ID358,SwaptionMonthsToGo+SwaptionShift))*SUM(INDEX($FK$325:$ID$396,HG$169,1+SwaptionShift):INDEX($FK$325:$ID$396,HG$169,SwaptionMonthsToGo+SwaptionShift))))))</f>
        <v/>
      </c>
      <c r="HH203" s="150" t="str">
        <f aca="false">IF(OR(HH$169&lt;SwaptionFirstMonthPosition+1,$FJ203&lt;SwaptionFirstMonthPosition+1,HH$169&gt;SwaptionFirstMonthPosition+SwaptionNumOfMonths+1,$FJ203&gt;SwaptionFirstMonthPosition+SwaptionNumOfMonths+1),"",IF($FJ203=HH$169,1,IF($FJ203&lt;HH$169,INDEX($FK$170:$ID$241,HH$169,$FJ203),SUMPRODUCT(INDEX($FK$325:$ID$396,HH$169,1+SwaptionShift):INDEX($FK$325:$ID$396,HH$169,SwaptionMonthsToGo+SwaptionShift),INDEX($FK$245:$ID$316,$FJ203-HH$169,73-HH$169+SwaptionShift):INDEX($FK$245:$ID$316,$FJ203-HH$169,72-HH$169+SwaptionMonthsToGo+SwaptionShift))/SQRT(SUM(INDEX($FK358:$ID358,1+SwaptionShift):INDEX($FK358:$ID358,SwaptionMonthsToGo+SwaptionShift))*SUM(INDEX($FK$325:$ID$396,HH$169,1+SwaptionShift):INDEX($FK$325:$ID$396,HH$169,SwaptionMonthsToGo+SwaptionShift))))))</f>
        <v/>
      </c>
      <c r="HI203" s="150" t="str">
        <f aca="false">IF(OR(HI$169&lt;SwaptionFirstMonthPosition+1,$FJ203&lt;SwaptionFirstMonthPosition+1,HI$169&gt;SwaptionFirstMonthPosition+SwaptionNumOfMonths+1,$FJ203&gt;SwaptionFirstMonthPosition+SwaptionNumOfMonths+1),"",IF($FJ203=HI$169,1,IF($FJ203&lt;HI$169,INDEX($FK$170:$ID$241,HI$169,$FJ203),SUMPRODUCT(INDEX($FK$325:$ID$396,HI$169,1+SwaptionShift):INDEX($FK$325:$ID$396,HI$169,SwaptionMonthsToGo+SwaptionShift),INDEX($FK$245:$ID$316,$FJ203-HI$169,73-HI$169+SwaptionShift):INDEX($FK$245:$ID$316,$FJ203-HI$169,72-HI$169+SwaptionMonthsToGo+SwaptionShift))/SQRT(SUM(INDEX($FK358:$ID358,1+SwaptionShift):INDEX($FK358:$ID358,SwaptionMonthsToGo+SwaptionShift))*SUM(INDEX($FK$325:$ID$396,HI$169,1+SwaptionShift):INDEX($FK$325:$ID$396,HI$169,SwaptionMonthsToGo+SwaptionShift))))))</f>
        <v/>
      </c>
      <c r="HJ203" s="150" t="str">
        <f aca="false">IF(OR(HJ$169&lt;SwaptionFirstMonthPosition+1,$FJ203&lt;SwaptionFirstMonthPosition+1,HJ$169&gt;SwaptionFirstMonthPosition+SwaptionNumOfMonths+1,$FJ203&gt;SwaptionFirstMonthPosition+SwaptionNumOfMonths+1),"",IF($FJ203=HJ$169,1,IF($FJ203&lt;HJ$169,INDEX($FK$170:$ID$241,HJ$169,$FJ203),SUMPRODUCT(INDEX($FK$325:$ID$396,HJ$169,1+SwaptionShift):INDEX($FK$325:$ID$396,HJ$169,SwaptionMonthsToGo+SwaptionShift),INDEX($FK$245:$ID$316,$FJ203-HJ$169,73-HJ$169+SwaptionShift):INDEX($FK$245:$ID$316,$FJ203-HJ$169,72-HJ$169+SwaptionMonthsToGo+SwaptionShift))/SQRT(SUM(INDEX($FK358:$ID358,1+SwaptionShift):INDEX($FK358:$ID358,SwaptionMonthsToGo+SwaptionShift))*SUM(INDEX($FK$325:$ID$396,HJ$169,1+SwaptionShift):INDEX($FK$325:$ID$396,HJ$169,SwaptionMonthsToGo+SwaptionShift))))))</f>
        <v/>
      </c>
      <c r="HK203" s="150" t="str">
        <f aca="false">IF(OR(HK$169&lt;SwaptionFirstMonthPosition+1,$FJ203&lt;SwaptionFirstMonthPosition+1,HK$169&gt;SwaptionFirstMonthPosition+SwaptionNumOfMonths+1,$FJ203&gt;SwaptionFirstMonthPosition+SwaptionNumOfMonths+1),"",IF($FJ203=HK$169,1,IF($FJ203&lt;HK$169,INDEX($FK$170:$ID$241,HK$169,$FJ203),SUMPRODUCT(INDEX($FK$325:$ID$396,HK$169,1+SwaptionShift):INDEX($FK$325:$ID$396,HK$169,SwaptionMonthsToGo+SwaptionShift),INDEX($FK$245:$ID$316,$FJ203-HK$169,73-HK$169+SwaptionShift):INDEX($FK$245:$ID$316,$FJ203-HK$169,72-HK$169+SwaptionMonthsToGo+SwaptionShift))/SQRT(SUM(INDEX($FK358:$ID358,1+SwaptionShift):INDEX($FK358:$ID358,SwaptionMonthsToGo+SwaptionShift))*SUM(INDEX($FK$325:$ID$396,HK$169,1+SwaptionShift):INDEX($FK$325:$ID$396,HK$169,SwaptionMonthsToGo+SwaptionShift))))))</f>
        <v/>
      </c>
      <c r="HL203" s="150" t="str">
        <f aca="false">IF(OR(HL$169&lt;SwaptionFirstMonthPosition+1,$FJ203&lt;SwaptionFirstMonthPosition+1,HL$169&gt;SwaptionFirstMonthPosition+SwaptionNumOfMonths+1,$FJ203&gt;SwaptionFirstMonthPosition+SwaptionNumOfMonths+1),"",IF($FJ203=HL$169,1,IF($FJ203&lt;HL$169,INDEX($FK$170:$ID$241,HL$169,$FJ203),SUMPRODUCT(INDEX($FK$325:$ID$396,HL$169,1+SwaptionShift):INDEX($FK$325:$ID$396,HL$169,SwaptionMonthsToGo+SwaptionShift),INDEX($FK$245:$ID$316,$FJ203-HL$169,73-HL$169+SwaptionShift):INDEX($FK$245:$ID$316,$FJ203-HL$169,72-HL$169+SwaptionMonthsToGo+SwaptionShift))/SQRT(SUM(INDEX($FK358:$ID358,1+SwaptionShift):INDEX($FK358:$ID358,SwaptionMonthsToGo+SwaptionShift))*SUM(INDEX($FK$325:$ID$396,HL$169,1+SwaptionShift):INDEX($FK$325:$ID$396,HL$169,SwaptionMonthsToGo+SwaptionShift))))))</f>
        <v/>
      </c>
      <c r="HM203" s="150" t="str">
        <f aca="false">IF(OR(HM$169&lt;SwaptionFirstMonthPosition+1,$FJ203&lt;SwaptionFirstMonthPosition+1,HM$169&gt;SwaptionFirstMonthPosition+SwaptionNumOfMonths+1,$FJ203&gt;SwaptionFirstMonthPosition+SwaptionNumOfMonths+1),"",IF($FJ203=HM$169,1,IF($FJ203&lt;HM$169,INDEX($FK$170:$ID$241,HM$169,$FJ203),SUMPRODUCT(INDEX($FK$325:$ID$396,HM$169,1+SwaptionShift):INDEX($FK$325:$ID$396,HM$169,SwaptionMonthsToGo+SwaptionShift),INDEX($FK$245:$ID$316,$FJ203-HM$169,73-HM$169+SwaptionShift):INDEX($FK$245:$ID$316,$FJ203-HM$169,72-HM$169+SwaptionMonthsToGo+SwaptionShift))/SQRT(SUM(INDEX($FK358:$ID358,1+SwaptionShift):INDEX($FK358:$ID358,SwaptionMonthsToGo+SwaptionShift))*SUM(INDEX($FK$325:$ID$396,HM$169,1+SwaptionShift):INDEX($FK$325:$ID$396,HM$169,SwaptionMonthsToGo+SwaptionShift))))))</f>
        <v/>
      </c>
      <c r="HN203" s="150" t="str">
        <f aca="false">IF(OR(HN$169&lt;SwaptionFirstMonthPosition+1,$FJ203&lt;SwaptionFirstMonthPosition+1,HN$169&gt;SwaptionFirstMonthPosition+SwaptionNumOfMonths+1,$FJ203&gt;SwaptionFirstMonthPosition+SwaptionNumOfMonths+1),"",IF($FJ203=HN$169,1,IF($FJ203&lt;HN$169,INDEX($FK$170:$ID$241,HN$169,$FJ203),SUMPRODUCT(INDEX($FK$325:$ID$396,HN$169,1+SwaptionShift):INDEX($FK$325:$ID$396,HN$169,SwaptionMonthsToGo+SwaptionShift),INDEX($FK$245:$ID$316,$FJ203-HN$169,73-HN$169+SwaptionShift):INDEX($FK$245:$ID$316,$FJ203-HN$169,72-HN$169+SwaptionMonthsToGo+SwaptionShift))/SQRT(SUM(INDEX($FK358:$ID358,1+SwaptionShift):INDEX($FK358:$ID358,SwaptionMonthsToGo+SwaptionShift))*SUM(INDEX($FK$325:$ID$396,HN$169,1+SwaptionShift):INDEX($FK$325:$ID$396,HN$169,SwaptionMonthsToGo+SwaptionShift))))))</f>
        <v/>
      </c>
      <c r="HO203" s="150" t="str">
        <f aca="false">IF(OR(HO$169&lt;SwaptionFirstMonthPosition+1,$FJ203&lt;SwaptionFirstMonthPosition+1,HO$169&gt;SwaptionFirstMonthPosition+SwaptionNumOfMonths+1,$FJ203&gt;SwaptionFirstMonthPosition+SwaptionNumOfMonths+1),"",IF($FJ203=HO$169,1,IF($FJ203&lt;HO$169,INDEX($FK$170:$ID$241,HO$169,$FJ203),SUMPRODUCT(INDEX($FK$325:$ID$396,HO$169,1+SwaptionShift):INDEX($FK$325:$ID$396,HO$169,SwaptionMonthsToGo+SwaptionShift),INDEX($FK$245:$ID$316,$FJ203-HO$169,73-HO$169+SwaptionShift):INDEX($FK$245:$ID$316,$FJ203-HO$169,72-HO$169+SwaptionMonthsToGo+SwaptionShift))/SQRT(SUM(INDEX($FK358:$ID358,1+SwaptionShift):INDEX($FK358:$ID358,SwaptionMonthsToGo+SwaptionShift))*SUM(INDEX($FK$325:$ID$396,HO$169,1+SwaptionShift):INDEX($FK$325:$ID$396,HO$169,SwaptionMonthsToGo+SwaptionShift))))))</f>
        <v/>
      </c>
      <c r="HP203" s="150" t="str">
        <f aca="false">IF(OR(HP$169&lt;SwaptionFirstMonthPosition+1,$FJ203&lt;SwaptionFirstMonthPosition+1,HP$169&gt;SwaptionFirstMonthPosition+SwaptionNumOfMonths+1,$FJ203&gt;SwaptionFirstMonthPosition+SwaptionNumOfMonths+1),"",IF($FJ203=HP$169,1,IF($FJ203&lt;HP$169,INDEX($FK$170:$ID$241,HP$169,$FJ203),SUMPRODUCT(INDEX($FK$325:$ID$396,HP$169,1+SwaptionShift):INDEX($FK$325:$ID$396,HP$169,SwaptionMonthsToGo+SwaptionShift),INDEX($FK$245:$ID$316,$FJ203-HP$169,73-HP$169+SwaptionShift):INDEX($FK$245:$ID$316,$FJ203-HP$169,72-HP$169+SwaptionMonthsToGo+SwaptionShift))/SQRT(SUM(INDEX($FK358:$ID358,1+SwaptionShift):INDEX($FK358:$ID358,SwaptionMonthsToGo+SwaptionShift))*SUM(INDEX($FK$325:$ID$396,HP$169,1+SwaptionShift):INDEX($FK$325:$ID$396,HP$169,SwaptionMonthsToGo+SwaptionShift))))))</f>
        <v/>
      </c>
      <c r="HQ203" s="150" t="str">
        <f aca="false">IF(OR(HQ$169&lt;SwaptionFirstMonthPosition+1,$FJ203&lt;SwaptionFirstMonthPosition+1,HQ$169&gt;SwaptionFirstMonthPosition+SwaptionNumOfMonths+1,$FJ203&gt;SwaptionFirstMonthPosition+SwaptionNumOfMonths+1),"",IF($FJ203=HQ$169,1,IF($FJ203&lt;HQ$169,INDEX($FK$170:$ID$241,HQ$169,$FJ203),SUMPRODUCT(INDEX($FK$325:$ID$396,HQ$169,1+SwaptionShift):INDEX($FK$325:$ID$396,HQ$169,SwaptionMonthsToGo+SwaptionShift),INDEX($FK$245:$ID$316,$FJ203-HQ$169,73-HQ$169+SwaptionShift):INDEX($FK$245:$ID$316,$FJ203-HQ$169,72-HQ$169+SwaptionMonthsToGo+SwaptionShift))/SQRT(SUM(INDEX($FK358:$ID358,1+SwaptionShift):INDEX($FK358:$ID358,SwaptionMonthsToGo+SwaptionShift))*SUM(INDEX($FK$325:$ID$396,HQ$169,1+SwaptionShift):INDEX($FK$325:$ID$396,HQ$169,SwaptionMonthsToGo+SwaptionShift))))))</f>
        <v/>
      </c>
      <c r="HR203" s="150" t="str">
        <f aca="false">IF(OR(HR$169&lt;SwaptionFirstMonthPosition+1,$FJ203&lt;SwaptionFirstMonthPosition+1,HR$169&gt;SwaptionFirstMonthPosition+SwaptionNumOfMonths+1,$FJ203&gt;SwaptionFirstMonthPosition+SwaptionNumOfMonths+1),"",IF($FJ203=HR$169,1,IF($FJ203&lt;HR$169,INDEX($FK$170:$ID$241,HR$169,$FJ203),SUMPRODUCT(INDEX($FK$325:$ID$396,HR$169,1+SwaptionShift):INDEX($FK$325:$ID$396,HR$169,SwaptionMonthsToGo+SwaptionShift),INDEX($FK$245:$ID$316,$FJ203-HR$169,73-HR$169+SwaptionShift):INDEX($FK$245:$ID$316,$FJ203-HR$169,72-HR$169+SwaptionMonthsToGo+SwaptionShift))/SQRT(SUM(INDEX($FK358:$ID358,1+SwaptionShift):INDEX($FK358:$ID358,SwaptionMonthsToGo+SwaptionShift))*SUM(INDEX($FK$325:$ID$396,HR$169,1+SwaptionShift):INDEX($FK$325:$ID$396,HR$169,SwaptionMonthsToGo+SwaptionShift))))))</f>
        <v/>
      </c>
      <c r="HS203" s="150" t="str">
        <f aca="false">IF(OR(HS$169&lt;SwaptionFirstMonthPosition+1,$FJ203&lt;SwaptionFirstMonthPosition+1,HS$169&gt;SwaptionFirstMonthPosition+SwaptionNumOfMonths+1,$FJ203&gt;SwaptionFirstMonthPosition+SwaptionNumOfMonths+1),"",IF($FJ203=HS$169,1,IF($FJ203&lt;HS$169,INDEX($FK$170:$ID$241,HS$169,$FJ203),SUMPRODUCT(INDEX($FK$325:$ID$396,HS$169,1+SwaptionShift):INDEX($FK$325:$ID$396,HS$169,SwaptionMonthsToGo+SwaptionShift),INDEX($FK$245:$ID$316,$FJ203-HS$169,73-HS$169+SwaptionShift):INDEX($FK$245:$ID$316,$FJ203-HS$169,72-HS$169+SwaptionMonthsToGo+SwaptionShift))/SQRT(SUM(INDEX($FK358:$ID358,1+SwaptionShift):INDEX($FK358:$ID358,SwaptionMonthsToGo+SwaptionShift))*SUM(INDEX($FK$325:$ID$396,HS$169,1+SwaptionShift):INDEX($FK$325:$ID$396,HS$169,SwaptionMonthsToGo+SwaptionShift))))))</f>
        <v/>
      </c>
      <c r="HT203" s="150" t="str">
        <f aca="false">IF(OR(HT$169&lt;SwaptionFirstMonthPosition+1,$FJ203&lt;SwaptionFirstMonthPosition+1,HT$169&gt;SwaptionFirstMonthPosition+SwaptionNumOfMonths+1,$FJ203&gt;SwaptionFirstMonthPosition+SwaptionNumOfMonths+1),"",IF($FJ203=HT$169,1,IF($FJ203&lt;HT$169,INDEX($FK$170:$ID$241,HT$169,$FJ203),SUMPRODUCT(INDEX($FK$325:$ID$396,HT$169,1+SwaptionShift):INDEX($FK$325:$ID$396,HT$169,SwaptionMonthsToGo+SwaptionShift),INDEX($FK$245:$ID$316,$FJ203-HT$169,73-HT$169+SwaptionShift):INDEX($FK$245:$ID$316,$FJ203-HT$169,72-HT$169+SwaptionMonthsToGo+SwaptionShift))/SQRT(SUM(INDEX($FK358:$ID358,1+SwaptionShift):INDEX($FK358:$ID358,SwaptionMonthsToGo+SwaptionShift))*SUM(INDEX($FK$325:$ID$396,HT$169,1+SwaptionShift):INDEX($FK$325:$ID$396,HT$169,SwaptionMonthsToGo+SwaptionShift))))))</f>
        <v/>
      </c>
      <c r="HU203" s="150" t="str">
        <f aca="false">IF(OR(HU$169&lt;SwaptionFirstMonthPosition+1,$FJ203&lt;SwaptionFirstMonthPosition+1,HU$169&gt;SwaptionFirstMonthPosition+SwaptionNumOfMonths+1,$FJ203&gt;SwaptionFirstMonthPosition+SwaptionNumOfMonths+1),"",IF($FJ203=HU$169,1,IF($FJ203&lt;HU$169,INDEX($FK$170:$ID$241,HU$169,$FJ203),SUMPRODUCT(INDEX($FK$325:$ID$396,HU$169,1+SwaptionShift):INDEX($FK$325:$ID$396,HU$169,SwaptionMonthsToGo+SwaptionShift),INDEX($FK$245:$ID$316,$FJ203-HU$169,73-HU$169+SwaptionShift):INDEX($FK$245:$ID$316,$FJ203-HU$169,72-HU$169+SwaptionMonthsToGo+SwaptionShift))/SQRT(SUM(INDEX($FK358:$ID358,1+SwaptionShift):INDEX($FK358:$ID358,SwaptionMonthsToGo+SwaptionShift))*SUM(INDEX($FK$325:$ID$396,HU$169,1+SwaptionShift):INDEX($FK$325:$ID$396,HU$169,SwaptionMonthsToGo+SwaptionShift))))))</f>
        <v/>
      </c>
      <c r="HV203" s="150" t="str">
        <f aca="false">IF(OR(HV$169&lt;SwaptionFirstMonthPosition+1,$FJ203&lt;SwaptionFirstMonthPosition+1,HV$169&gt;SwaptionFirstMonthPosition+SwaptionNumOfMonths+1,$FJ203&gt;SwaptionFirstMonthPosition+SwaptionNumOfMonths+1),"",IF($FJ203=HV$169,1,IF($FJ203&lt;HV$169,INDEX($FK$170:$ID$241,HV$169,$FJ203),SUMPRODUCT(INDEX($FK$325:$ID$396,HV$169,1+SwaptionShift):INDEX($FK$325:$ID$396,HV$169,SwaptionMonthsToGo+SwaptionShift),INDEX($FK$245:$ID$316,$FJ203-HV$169,73-HV$169+SwaptionShift):INDEX($FK$245:$ID$316,$FJ203-HV$169,72-HV$169+SwaptionMonthsToGo+SwaptionShift))/SQRT(SUM(INDEX($FK358:$ID358,1+SwaptionShift):INDEX($FK358:$ID358,SwaptionMonthsToGo+SwaptionShift))*SUM(INDEX($FK$325:$ID$396,HV$169,1+SwaptionShift):INDEX($FK$325:$ID$396,HV$169,SwaptionMonthsToGo+SwaptionShift))))))</f>
        <v/>
      </c>
      <c r="HW203" s="150" t="str">
        <f aca="false">IF(OR(HW$169&lt;SwaptionFirstMonthPosition+1,$FJ203&lt;SwaptionFirstMonthPosition+1,HW$169&gt;SwaptionFirstMonthPosition+SwaptionNumOfMonths+1,$FJ203&gt;SwaptionFirstMonthPosition+SwaptionNumOfMonths+1),"",IF($FJ203=HW$169,1,IF($FJ203&lt;HW$169,INDEX($FK$170:$ID$241,HW$169,$FJ203),SUMPRODUCT(INDEX($FK$325:$ID$396,HW$169,1+SwaptionShift):INDEX($FK$325:$ID$396,HW$169,SwaptionMonthsToGo+SwaptionShift),INDEX($FK$245:$ID$316,$FJ203-HW$169,73-HW$169+SwaptionShift):INDEX($FK$245:$ID$316,$FJ203-HW$169,72-HW$169+SwaptionMonthsToGo+SwaptionShift))/SQRT(SUM(INDEX($FK358:$ID358,1+SwaptionShift):INDEX($FK358:$ID358,SwaptionMonthsToGo+SwaptionShift))*SUM(INDEX($FK$325:$ID$396,HW$169,1+SwaptionShift):INDEX($FK$325:$ID$396,HW$169,SwaptionMonthsToGo+SwaptionShift))))))</f>
        <v/>
      </c>
      <c r="HX203" s="150" t="str">
        <f aca="false">IF(OR(HX$169&lt;SwaptionFirstMonthPosition+1,$FJ203&lt;SwaptionFirstMonthPosition+1,HX$169&gt;SwaptionFirstMonthPosition+SwaptionNumOfMonths+1,$FJ203&gt;SwaptionFirstMonthPosition+SwaptionNumOfMonths+1),"",IF($FJ203=HX$169,1,IF($FJ203&lt;HX$169,INDEX($FK$170:$ID$241,HX$169,$FJ203),SUMPRODUCT(INDEX($FK$325:$ID$396,HX$169,1+SwaptionShift):INDEX($FK$325:$ID$396,HX$169,SwaptionMonthsToGo+SwaptionShift),INDEX($FK$245:$ID$316,$FJ203-HX$169,73-HX$169+SwaptionShift):INDEX($FK$245:$ID$316,$FJ203-HX$169,72-HX$169+SwaptionMonthsToGo+SwaptionShift))/SQRT(SUM(INDEX($FK358:$ID358,1+SwaptionShift):INDEX($FK358:$ID358,SwaptionMonthsToGo+SwaptionShift))*SUM(INDEX($FK$325:$ID$396,HX$169,1+SwaptionShift):INDEX($FK$325:$ID$396,HX$169,SwaptionMonthsToGo+SwaptionShift))))))</f>
        <v/>
      </c>
      <c r="HY203" s="150" t="str">
        <f aca="false">IF(OR(HY$169&lt;SwaptionFirstMonthPosition+1,$FJ203&lt;SwaptionFirstMonthPosition+1,HY$169&gt;SwaptionFirstMonthPosition+SwaptionNumOfMonths+1,$FJ203&gt;SwaptionFirstMonthPosition+SwaptionNumOfMonths+1),"",IF($FJ203=HY$169,1,IF($FJ203&lt;HY$169,INDEX($FK$170:$ID$241,HY$169,$FJ203),SUMPRODUCT(INDEX($FK$325:$ID$396,HY$169,1+SwaptionShift):INDEX($FK$325:$ID$396,HY$169,SwaptionMonthsToGo+SwaptionShift),INDEX($FK$245:$ID$316,$FJ203-HY$169,73-HY$169+SwaptionShift):INDEX($FK$245:$ID$316,$FJ203-HY$169,72-HY$169+SwaptionMonthsToGo+SwaptionShift))/SQRT(SUM(INDEX($FK358:$ID358,1+SwaptionShift):INDEX($FK358:$ID358,SwaptionMonthsToGo+SwaptionShift))*SUM(INDEX($FK$325:$ID$396,HY$169,1+SwaptionShift):INDEX($FK$325:$ID$396,HY$169,SwaptionMonthsToGo+SwaptionShift))))))</f>
        <v/>
      </c>
      <c r="HZ203" s="150" t="str">
        <f aca="false">IF(OR(HZ$169&lt;SwaptionFirstMonthPosition+1,$FJ203&lt;SwaptionFirstMonthPosition+1,HZ$169&gt;SwaptionFirstMonthPosition+SwaptionNumOfMonths+1,$FJ203&gt;SwaptionFirstMonthPosition+SwaptionNumOfMonths+1),"",IF($FJ203=HZ$169,1,IF($FJ203&lt;HZ$169,INDEX($FK$170:$ID$241,HZ$169,$FJ203),SUMPRODUCT(INDEX($FK$325:$ID$396,HZ$169,1+SwaptionShift):INDEX($FK$325:$ID$396,HZ$169,SwaptionMonthsToGo+SwaptionShift),INDEX($FK$245:$ID$316,$FJ203-HZ$169,73-HZ$169+SwaptionShift):INDEX($FK$245:$ID$316,$FJ203-HZ$169,72-HZ$169+SwaptionMonthsToGo+SwaptionShift))/SQRT(SUM(INDEX($FK358:$ID358,1+SwaptionShift):INDEX($FK358:$ID358,SwaptionMonthsToGo+SwaptionShift))*SUM(INDEX($FK$325:$ID$396,HZ$169,1+SwaptionShift):INDEX($FK$325:$ID$396,HZ$169,SwaptionMonthsToGo+SwaptionShift))))))</f>
        <v/>
      </c>
      <c r="IA203" s="150" t="str">
        <f aca="false">IF(OR(IA$169&lt;SwaptionFirstMonthPosition+1,$FJ203&lt;SwaptionFirstMonthPosition+1,IA$169&gt;SwaptionFirstMonthPosition+SwaptionNumOfMonths+1,$FJ203&gt;SwaptionFirstMonthPosition+SwaptionNumOfMonths+1),"",IF($FJ203=IA$169,1,IF($FJ203&lt;IA$169,INDEX($FK$170:$ID$241,IA$169,$FJ203),SUMPRODUCT(INDEX($FK$325:$ID$396,IA$169,1+SwaptionShift):INDEX($FK$325:$ID$396,IA$169,SwaptionMonthsToGo+SwaptionShift),INDEX($FK$245:$ID$316,$FJ203-IA$169,73-IA$169+SwaptionShift):INDEX($FK$245:$ID$316,$FJ203-IA$169,72-IA$169+SwaptionMonthsToGo+SwaptionShift))/SQRT(SUM(INDEX($FK358:$ID358,1+SwaptionShift):INDEX($FK358:$ID358,SwaptionMonthsToGo+SwaptionShift))*SUM(INDEX($FK$325:$ID$396,IA$169,1+SwaptionShift):INDEX($FK$325:$ID$396,IA$169,SwaptionMonthsToGo+SwaptionShift))))))</f>
        <v/>
      </c>
      <c r="IB203" s="150" t="str">
        <f aca="false">IF(OR(IB$169&lt;SwaptionFirstMonthPosition+1,$FJ203&lt;SwaptionFirstMonthPosition+1,IB$169&gt;SwaptionFirstMonthPosition+SwaptionNumOfMonths+1,$FJ203&gt;SwaptionFirstMonthPosition+SwaptionNumOfMonths+1),"",IF($FJ203=IB$169,1,IF($FJ203&lt;IB$169,INDEX($FK$170:$ID$241,IB$169,$FJ203),SUMPRODUCT(INDEX($FK$325:$ID$396,IB$169,1+SwaptionShift):INDEX($FK$325:$ID$396,IB$169,SwaptionMonthsToGo+SwaptionShift),INDEX($FK$245:$ID$316,$FJ203-IB$169,73-IB$169+SwaptionShift):INDEX($FK$245:$ID$316,$FJ203-IB$169,72-IB$169+SwaptionMonthsToGo+SwaptionShift))/SQRT(SUM(INDEX($FK358:$ID358,1+SwaptionShift):INDEX($FK358:$ID358,SwaptionMonthsToGo+SwaptionShift))*SUM(INDEX($FK$325:$ID$396,IB$169,1+SwaptionShift):INDEX($FK$325:$ID$396,IB$169,SwaptionMonthsToGo+SwaptionShift))))))</f>
        <v/>
      </c>
      <c r="IC203" s="150" t="str">
        <f aca="false">IF(OR(IC$169&lt;SwaptionFirstMonthPosition+1,$FJ203&lt;SwaptionFirstMonthPosition+1,IC$169&gt;SwaptionFirstMonthPosition+SwaptionNumOfMonths+1,$FJ203&gt;SwaptionFirstMonthPosition+SwaptionNumOfMonths+1),"",IF($FJ203=IC$169,1,IF($FJ203&lt;IC$169,INDEX($FK$170:$ID$241,IC$169,$FJ203),SUMPRODUCT(INDEX($FK$325:$ID$396,IC$169,1+SwaptionShift):INDEX($FK$325:$ID$396,IC$169,SwaptionMonthsToGo+SwaptionShift),INDEX($FK$245:$ID$316,$FJ203-IC$169,73-IC$169+SwaptionShift):INDEX($FK$245:$ID$316,$FJ203-IC$169,72-IC$169+SwaptionMonthsToGo+SwaptionShift))/SQRT(SUM(INDEX($FK358:$ID358,1+SwaptionShift):INDEX($FK358:$ID358,SwaptionMonthsToGo+SwaptionShift))*SUM(INDEX($FK$325:$ID$396,IC$169,1+SwaptionShift):INDEX($FK$325:$ID$396,IC$169,SwaptionMonthsToGo+SwaptionShift))))))</f>
        <v/>
      </c>
      <c r="ID203" s="572" t="str">
        <f aca="false">IF(OR(ID$169&lt;SwaptionFirstMonthPosition+1,$FJ203&lt;SwaptionFirstMonthPosition+1,ID$169&gt;SwaptionFirstMonthPosition+SwaptionNumOfMonths+1,$FJ203&gt;SwaptionFirstMonthPosition+SwaptionNumOfMonths+1),"",IF($FJ203=ID$169,1,IF($FJ203&lt;ID$169,INDEX($FK$170:$ID$241,ID$169,$FJ203),SUMPRODUCT(INDEX($FK$325:$ID$396,ID$169,1+SwaptionShift):INDEX($FK$325:$ID$396,ID$169,SwaptionMonthsToGo+SwaptionShift),INDEX($FK$245:$ID$316,$FJ203-ID$169,73-ID$169+SwaptionShift):INDEX($FK$245:$ID$316,$FJ203-ID$169,72-ID$169+SwaptionMonthsToGo+SwaptionShift))/SQRT(SUM(INDEX($FK358:$ID358,1+SwaptionShift):INDEX($FK358:$ID358,SwaptionMonthsToGo+SwaptionShift))*SUM(INDEX($FK$325:$ID$396,ID$169,1+SwaptionShift):INDEX($FK$325:$ID$396,ID$169,SwaptionMonthsToGo+SwaptionShift))))))</f>
        <v/>
      </c>
      <c r="IE203" s="129"/>
    </row>
    <row r="204" customFormat="false" ht="12.75" hidden="false" customHeight="false" outlineLevel="0" collapsed="false">
      <c r="H204" s="219" t="n">
        <f aca="false">VLOOKUP(I204,$EJ$20:$EL$54,3)</f>
        <v>0</v>
      </c>
      <c r="I204" s="511" t="n">
        <f aca="false">EOMONTH(I203,0)+1</f>
        <v>42370</v>
      </c>
      <c r="J204" s="512"/>
      <c r="K204" s="513" t="s">
        <v>280</v>
      </c>
      <c r="L204" s="514" t="n">
        <f aca="false">IF(ISNUMBER(K204),J204+K204/100,IF(K204="extra",L203+VLOOKUP(BF204,PriceSpreadTable,2)/12,IF(K204="inter",interpolateprices($K$19:$L$200,ROW(K204)-ROW(FirstPricingMonth)+1),interpolatechanges($J$19:$K$200,ROW(K204)-ROW(FirstPricingMonth)+1))))</f>
        <v>4.05000000000001</v>
      </c>
      <c r="M204" s="515"/>
      <c r="N204" s="516" t="n">
        <v>0</v>
      </c>
      <c r="O204" s="515" t="n">
        <f aca="false">M204+N204</f>
        <v>0</v>
      </c>
      <c r="P204" s="512"/>
      <c r="Q204" s="513" t="s">
        <v>280</v>
      </c>
      <c r="R204" s="512" t="e">
        <f aca="false">IF(ISNUMBER(Q204),P204+Q204/100,IF(Q204="extra",(Z202*AL202-R203*AM202)/AN202,IF(Q204="inter",interpolateprices($Q$19:$R$260,ROW(Q204)-ROW(FirstPricingMonth)+1),interpolatechanges($P$19:$Q$260,ROW(Q204)-ROW(FirstPricingMonth)+1))))</f>
        <v>#VALUE!</v>
      </c>
      <c r="S204" s="597" t="n">
        <f aca="false">S$19+(S203-S$19)*S$18</f>
        <v>0.36</v>
      </c>
      <c r="T204" s="575" t="n">
        <f aca="false">SQRT((1-(1-T203^2/U203)*T$18)*U204)</f>
        <v>0.999999999999966</v>
      </c>
      <c r="U204" s="576" t="n">
        <f aca="false">1-(1-U203)*U$18</f>
        <v>1</v>
      </c>
      <c r="V204" s="521" t="n">
        <v>0</v>
      </c>
      <c r="W204" s="577" t="n">
        <f aca="false">(J205*AJ204+J206*AK204)/AI204</f>
        <v>0</v>
      </c>
      <c r="X204" s="578" t="n">
        <f aca="false">(L205*AJ204+L206*AK204)/AI204</f>
        <v>4.10062500000001</v>
      </c>
      <c r="Y204" s="579" t="n">
        <f aca="false">IF(Q206="extra",W204-AA204,(P205*AM204+P206*AN204)/AL204)</f>
        <v>-1.1685</v>
      </c>
      <c r="Z204" s="579" t="n">
        <f aca="false">IF(Q206="extra",X204-AB204,(R205*AM204+R206*AN204)/AL204)</f>
        <v>2.93212500000001</v>
      </c>
      <c r="AA204" s="523" t="n">
        <f aca="false">IF(Q206="extra",INDEX(BrentSeasonalityTable,INT((BG204-1)/3)+1)*VLOOKUP(MAX(BF204,$AB$4),PriceSpreadTable,3),W204-Y204)</f>
        <v>1.1685</v>
      </c>
      <c r="AB204" s="524" t="n">
        <f aca="false">IF(Q206="extra",INDEX(BrentSeasonalityTable,INT((BG204-1)/3)+1)*VLOOKUP(MAX(BF204,$AB$4),PriceSpreadTable,3),X204-Z204)</f>
        <v>1.1685</v>
      </c>
      <c r="AC204" s="646" t="n">
        <v>42358</v>
      </c>
      <c r="AD204" s="646" t="n">
        <v>42354</v>
      </c>
      <c r="AE204" s="646" t="n">
        <v>42353</v>
      </c>
      <c r="AF204" s="646" t="n">
        <v>42349</v>
      </c>
      <c r="AG204" s="438" t="s">
        <v>278</v>
      </c>
      <c r="AH204" s="439" t="s">
        <v>278</v>
      </c>
      <c r="AI204" s="528" t="n">
        <v>20</v>
      </c>
      <c r="AJ204" s="529" t="n">
        <v>13</v>
      </c>
      <c r="AK204" s="529" t="n">
        <v>7</v>
      </c>
      <c r="AL204" s="530" t="n">
        <v>20</v>
      </c>
      <c r="AM204" s="529" t="n">
        <v>9</v>
      </c>
      <c r="AN204" s="531" t="n">
        <v>11</v>
      </c>
      <c r="AO204" s="532"/>
      <c r="AP204" s="465" t="n">
        <f aca="false">(1+AO204/2)^(-2*BL204)</f>
        <v>1</v>
      </c>
      <c r="AQ204" s="532"/>
      <c r="AR204" s="465" t="n">
        <f aca="false">(1+AQ204/2)^(-2*BH204/365.25)</f>
        <v>1</v>
      </c>
      <c r="AS204" s="580" t="n">
        <f aca="false">(O205*AJ204+O206*AK204)/AI204</f>
        <v>0</v>
      </c>
      <c r="AT204" s="468" t="n">
        <f aca="false">O204*VLOOKUP(BF204,BrentVolTable,2)+VLOOKUP(BF204,BrentVolTable,3)</f>
        <v>0</v>
      </c>
      <c r="AU204" s="468" t="n">
        <f aca="false">(AT205*AM204+AT206*AN204)/AL204</f>
        <v>0</v>
      </c>
      <c r="AV204" s="595" t="n">
        <f aca="false">SQRT(MAX(0.000000000001,(O204^2*BH204-S204^2*(BH204-BH203))/BH203))</f>
        <v>0.0328587900463512</v>
      </c>
      <c r="AW204" s="451" t="n">
        <f aca="false">IF($I204-DateToday+15&gt;=$T$8,"",IF($I204-DateToday+15&lt;$T$5,1,MATCH($I204-DateToday+15,$T$5:$T$8)))</f>
        <v>1</v>
      </c>
      <c r="AX204" s="468" t="n">
        <f aca="false">IF($AW204="",AX203^2/AX202,INDEX(U$5:U$8,$AW204)^((INDEX($T$5:$T$8,$AW204+1)-($I204-DateToday+15))/(INDEX($T$5:$T$8,$AW204+1)-INDEX($T$5:$T$8,$AW204)))/INDEX(U$5:U$8,$AW204+1)^((INDEX($T$5:$T$8,$AW204)-($I204-DateToday+15))/(INDEX($T$5:$T$8,$AW204+1)-INDEX($T$5:$T$8,$AW204))))</f>
        <v>0.245676332888635</v>
      </c>
      <c r="AY204" s="468" t="n">
        <f aca="false">IF($AW204="",AY203^2/AY202,INDEX(V$5:V$8,$AW204)^((INDEX($T$5:$T$8,$AW204+1)-($I204-DateToday+15))/(INDEX($T$5:$T$8,$AW204+1)-INDEX($T$5:$T$8,$AW204)))/INDEX(V$5:V$8,$AW204+1)^((INDEX($T$5:$T$8,$AW204)-($I204-DateToday+15))/(INDEX($T$5:$T$8,$AW204+1)-INDEX($T$5:$T$8,$AW204))))</f>
        <v>2.24349425884108</v>
      </c>
      <c r="AZ204" s="468" t="n">
        <f aca="false">IF($AW204="",AZ203^2/AZ202,INDEX(W$5:W$8,$AW204)^((INDEX($T$5:$T$8,$AW204+1)-($I204-DateToday+15))/(INDEX($T$5:$T$8,$AW204+1)-INDEX($T$5:$T$8,$AW204)))/INDEX(W$5:W$8,$AW204+1)^((INDEX($T$5:$T$8,$AW204)-($I204-DateToday+15))/(INDEX($T$5:$T$8,$AW204+1)-INDEX($T$5:$T$8,$AW204))))</f>
        <v>186.77861611836</v>
      </c>
      <c r="BA204" s="468" t="n">
        <f aca="false">IF($AW204="",BA203^2/BA202,INDEX(X$5:X$8,$AW204)^((INDEX($T$5:$T$8,$AW204+1)-($I204-DateToday+15))/(INDEX($T$5:$T$8,$AW204+1)-INDEX($T$5:$T$8,$AW204)))/INDEX(X$5:X$8,$AW204+1)^((INDEX($T$5:$T$8,$AW204)-($I204-DateToday+15))/(INDEX($T$5:$T$8,$AW204+1)-INDEX($T$5:$T$8,$AW204))))</f>
        <v>477.990473645549</v>
      </c>
      <c r="BB204" s="468" t="n">
        <f aca="false">IF($AW204="",BB203^2/BB202,INDEX(Y$5:Y$8,$AW204)^((INDEX($T$5:$T$8,$AW204+1)-($I204-DateToday+15))/(INDEX($T$5:$T$8,$AW204+1)-INDEX($T$5:$T$8,$AW204)))/INDEX(Y$5:Y$8,$AW204+1)^((INDEX($T$5:$T$8,$AW204)-($I204-DateToday+15))/(INDEX($T$5:$T$8,$AW204+1)-INDEX($T$5:$T$8,$AW204))))</f>
        <v>2137.93184744211</v>
      </c>
      <c r="BC204" s="468" t="n">
        <f aca="false">IF($AW204="",BC203^2/BC202,INDEX(Z$5:Z$8,$AW204)^((INDEX($T$5:$T$8,$AW204+1)-($I204-DateToday+15))/(INDEX($T$5:$T$8,$AW204+1)-INDEX($T$5:$T$8,$AW204)))/INDEX(Z$5:Z$8,$AW204+1)^((INDEX($T$5:$T$8,$AW204)-($I204-DateToday+15))/(INDEX($T$5:$T$8,$AW204+1)-INDEX($T$5:$T$8,$AW204))))</f>
        <v>5375.26589296305</v>
      </c>
      <c r="BD204" s="535" t="n">
        <f aca="false">IF(OR(DateStart&gt;=I205,DateEnd&lt;I204),0,IF(VolumeOverrideFlag,V204,Volume))</f>
        <v>0</v>
      </c>
      <c r="BE204" s="536" t="n">
        <f aca="false">IF(OR(DateStart2&gt;=I205,DateEnd2&lt;I204),0,IF(VolumeOverrideFlag,V204,VolumeSwaption))</f>
        <v>0</v>
      </c>
      <c r="BF204" s="537" t="n">
        <f aca="false">YEAR(I204)</f>
        <v>2016</v>
      </c>
      <c r="BG204" s="538" t="n">
        <f aca="false">MONTH(I204)</f>
        <v>1</v>
      </c>
      <c r="BH204" s="539" t="n">
        <f aca="false">AD204-DateToday+1</f>
        <v>-3571</v>
      </c>
      <c r="BI204" s="540" t="n">
        <f aca="false">(I204-DateToday+1)/365.25</f>
        <v>-9.73305954825462</v>
      </c>
      <c r="BJ204" s="541" t="n">
        <f aca="false">BI204+(BL204-BI204)*CHOOSE(Underlying,AJ204/AI204,AM204/AL204)</f>
        <v>-9.67967145790554</v>
      </c>
      <c r="BK204" s="541" t="n">
        <f aca="false">BJ204+1/365.25</f>
        <v>-9.67693360711841</v>
      </c>
      <c r="BL204" s="541" t="n">
        <f aca="false">(I205-DateToday)/365.25</f>
        <v>-9.65092402464066</v>
      </c>
      <c r="BM204" s="542" t="e">
        <f aca="false">MAX(BI204-(BJ204-BI204)*(S205^2/O205^2-1),0)</f>
        <v>#DIV/0!</v>
      </c>
      <c r="BN204" s="541" t="e">
        <f aca="false">MAX(BL204+(BL204-BK204)*(S206^2/O206^2-1),0)</f>
        <v>#DIV/0!</v>
      </c>
      <c r="BO204" s="530" t="n">
        <f aca="false">CHOOSE(Underlying,AI204,AL204)</f>
        <v>20</v>
      </c>
      <c r="BP204" s="529" t="n">
        <f aca="false">CHOOSE(Underlying,AJ204,AM204)</f>
        <v>13</v>
      </c>
      <c r="BQ204" s="529" t="n">
        <f aca="false">CHOOSE(Underlying,AK204,AN204)</f>
        <v>7</v>
      </c>
      <c r="BR204" s="463" t="str">
        <f aca="false">IF(BD204,IF(Underlying=1,X204,Z204)+UnderlyingPriceAsian-SwapPriceCurve,"")</f>
        <v/>
      </c>
      <c r="BS204" s="463" t="str">
        <f aca="false">IF(BD204,Strike1/BR204-1,"")</f>
        <v/>
      </c>
      <c r="BT204" s="464" t="str">
        <f aca="false">IF(BD204,Strike2/BR204-1,"")</f>
        <v/>
      </c>
      <c r="BU204" s="465" t="str">
        <f aca="false">IF(BD204,IF(Underlying=1,L205,R205)+UnderlyingPriceAsian-SwapPriceCurve,"")</f>
        <v/>
      </c>
      <c r="BV204" s="465" t="str">
        <f aca="false">IF(BD204,IF(Underlying=1,L206,R206)+UnderlyingPriceAsian-SwapPriceCurve,"")</f>
        <v/>
      </c>
      <c r="BW204" s="466" t="str">
        <f aca="false">IF(BD204,IF(Underlying=1,O205,AT205),"")</f>
        <v/>
      </c>
      <c r="BX204" s="467" t="str">
        <f aca="false">IF(BD204,IF(Underlying=1,O206,AT206),"")</f>
        <v/>
      </c>
      <c r="BY204" s="466" t="str">
        <f aca="false">IF(BD204,IF(BS204&gt;0,IF(BS204&gt;0.2,BC204-BB204,IF(BS204&gt;0.1,BB204-BA204,BA204)),IF(BS204&lt;-0.2,AX204-AY204,IF(BS204&lt;-0.1,AY204-AZ204,AZ204))),"")</f>
        <v/>
      </c>
      <c r="BZ204" s="467" t="str">
        <f aca="false">IF(BD204,IF(BT204&gt;0,IF(BT204&gt;0.2,BC204-BB204,IF(BT204&gt;0.1,BB204-BA204,BA204)),IF(BT204&lt;-0.2,AX204-AY204,IF(BT204&lt;-0.1,AY204-AZ204,AZ204))),"")</f>
        <v/>
      </c>
      <c r="CA204" s="468" t="str">
        <f aca="false">IF($BD204,$BW204+IF(VolSkewFlag=1,IF(BS204&gt;0,$BA204*MIN(BS204/10%,1)+($BB204-$BA204)*MAX(0,MIN(BS204/10%-1,1))+($BC204-$BB204)*MAX(0,BS204/10%-2),$AZ204*MIN(-BS204/10%,1)+($AY204-$AZ204)*MAX(0,MIN(-BS204/10%-1,1))+($AX204-$AY204)*MAX(0,-BS204/10%-2)),0),"")</f>
        <v/>
      </c>
      <c r="CB204" s="468" t="str">
        <f aca="false">IF($BD204,$BX204+IF(VolSkewFlag=1,IF(BS204&gt;0,$BA204*MIN(BS204/10%,1)+($BB204-$BA204)*MAX(0,MIN(BS204/10%-1,1))+($BC204-$BB204)*MAX(0,BS204/10%-2),$AZ204*MIN(-BS204/10%,1)+($AY204-$AZ204)*MAX(0,MIN(-BS204/10%-1,1))+($AX204-$AY204)*MAX(0,-BS204/10%-2)),0),"")</f>
        <v/>
      </c>
      <c r="CC204" s="468" t="str">
        <f aca="false">IF($BD204,$BW204+IF(VolSkewFlag=1,IF(BT204&gt;0,$BA204*MIN(BT204/10%,1)+($BB204-$BA204)*MAX(0,MIN(BT204/10%-1,1))+($BC204-$BB204)*MAX(0,BT204/10%-2),$AZ204*MIN(-BT204/10%,1)+($AY204-$AZ204)*MAX(0,MIN(-BT204/10%-1,1))+($AX204-$AY204)*MAX(0,-BT204/10%-2)),0),"")</f>
        <v/>
      </c>
      <c r="CD204" s="468" t="str">
        <f aca="false">IF($BD204,$BX204+IF(VolSkewFlag=1,IF(BT204&gt;0,$BA204*MIN(BT204/10%,1)+($BB204-$BA204)*MAX(0,MIN(BT204/10%-1,1))+($BC204-$BB204)*MAX(0,BT204/10%-2),$AZ204*MIN(-BT204/10%,1)+($AY204-$AZ204)*MAX(0,MIN(-BT204/10%-1,1))+($AX204-$AY204)*MAX(0,-BT204/10%-2)),0),"")</f>
        <v/>
      </c>
      <c r="CE204" s="469" t="n">
        <v>1</v>
      </c>
      <c r="CF204" s="470" t="n">
        <f aca="false">IF(BD204,xCrudeAPO(BU204,BV204,CA204,CB204,S205,S206,BI204,BL204,BP204,BQ204,0,Strike1,AO204,CE204,0,BL204,IF(OptControl=4,0,1),0,1),0)</f>
        <v>0</v>
      </c>
      <c r="CG204" s="470" t="n">
        <f aca="false">IF(BD204,xCrudeAPO(BU204,BV204,CA204,CB204,S205,S206,BI204,BL204,BP204,BQ204,0,Strike1,AO204,CE204,0,BL204,IF(OptControl=4,0,1),1,1)+xCrudeAPO(BU204,BV204,CA204,CB204,S205,S206,BI204,BL204,BP204,BQ204,0,Strike1,AO204,CE204,0,BL204,IF(OptControl=4,0,1),1,2)+IF(OR(VolSkewFlag=2,ABS(BS204)&lt;0.0001),0,IF(BS204&gt;0,-1,1)*CH204*Strike1/BR204^2*BY204/10%),0)</f>
        <v>0</v>
      </c>
      <c r="CH204" s="470" t="n">
        <f aca="false">IF(BD204,(xCrudeAPO(BU204,BV204,CA204,CB204,S205,S206,BI204,BL204,BP204,BQ204,0,Strike1,AO204,CE204,0,BL204,IF(OptControl=4,0,1),3,1)+xCrudeAPO(BU204,BV204,CA204,CB204,S205,S206,BI204,BL204,BP204,BQ204,0,Strike1,AO204,CE204,0,BL204,IF(OptControl=4,0,1),3,2))/100,0)</f>
        <v>0</v>
      </c>
      <c r="CI204" s="470" t="n">
        <f aca="false">IF(BD204,xCrudeAPO(BU204,BV204,CA204,CB204,S205,S206,BI204-DaysForThetaCalculation/365.25,BL204-DaysForThetaCalculation/365.25,BP204,BQ204,0,Strike1,AO204,CE204,0,BL204,IF(OptControl=4,0,1),0,1)-xCrudeAPO(BU204,BV204,CA204,CB204,S205,S206,BI204,BL204,BP204,BQ204,0,Strike1,AO204,CE204,0,BL204,IF(OptControl=4,0,1),0,1),0)</f>
        <v>0</v>
      </c>
      <c r="CJ204" s="471" t="n">
        <f aca="false">IF(BD204,xCrudeAPO(BU204,BV204,CC204,CD204,S205,S206,BI204,BL204,BP204,BQ204,0,Strike2,AO204,CE204,0,BL204,IF(OptControl=3,1,0),0,1),0)</f>
        <v>0</v>
      </c>
      <c r="CK204" s="470" t="n">
        <f aca="false">IF(BD204,xCrudeAPO(BU204,BV204,CC204,CD204,S205,S206,BI204,BL204,BP204,BQ204,0,Strike2,AO204,CE204,0,BL204,IF(OptControl=3,1,0),1,1)+xCrudeAPO(BU204,BV204,CC204,CD204,S205,S206,BI204,BL204,BP204,BQ204,0,Strike2,AO204,CE204,0,BL204,IF(OptControl=3,1,0),1,2)+IF(OR(VolSkewFlag=2,ABS(BT204)&lt;0.0001),0,IF(BT204&gt;0,-1,1)*CL204*Strike2/BR204^2*BZ204/10%),0)</f>
        <v>0</v>
      </c>
      <c r="CL204" s="470" t="n">
        <f aca="false">IF(BD204,(xCrudeAPO(BU204,BV204,CC204,CD204,S205,S206,BI204,BL204,BP204,BQ204,0,Strike2,AO204,CE204,0,BL204,IF(OptControl=3,1,0),3,1)+xCrudeAPO(BU204,BV204,CC204,CD204,S205,S206,BI204,BL204,BP204,BQ204,0,Strike2,AO204,CE204,0,BL204,IF(OptControl=3,1,0),3,2))/100,0)</f>
        <v>0</v>
      </c>
      <c r="CM204" s="472" t="n">
        <f aca="false">IF(BD204,xCrudeAPO(BU204,BV204,CC204,CD204,S205,S206,BI204-DaysForThetaCalculation/365.25,BL204-DaysForThetaCalculation/365.25,BP204,BQ204,0,Strike2,AO204,CE204,0,BL204,IF(OptControl=3,1,0),0,1)-xCrudeAPO(BU204,BV204,CC204,CD204,S205,S206,BI204,BL204,BP204,BQ204,0,Strike2,AO204,CE204,0,BL204,IF(OptControl=3,1,0),0,1),0)</f>
        <v>0</v>
      </c>
      <c r="CN204" s="3"/>
      <c r="CO204" s="543" t="str">
        <f aca="false">IF(BD204,CHOOSE(Underlying,AD204,AF204)-DateToday+1,"")</f>
        <v/>
      </c>
      <c r="CP204" s="582" t="str">
        <f aca="false">IF(BD204,CHOOSE(Underlying,L204,R204),"")</f>
        <v/>
      </c>
      <c r="CQ204" s="544" t="str">
        <f aca="false">IF(BD204,Strike1/CP204-1,"")</f>
        <v/>
      </c>
      <c r="CR204" s="544" t="str">
        <f aca="false">IF(BD204,Strike2/CP204-1,"")</f>
        <v/>
      </c>
      <c r="CS204" s="544" t="str">
        <f aca="false">IF(BD204,IF(CQ204&gt;0,IF(CQ204&gt;0.2,BC203-BB203,IF(CQ204&gt;0.1,BB203-BA203,BA203)),IF(CQ204&lt;-0.2,AX203-AY203,IF(CQ204&lt;-0.1,AY203-AZ203,AZ203))),"")</f>
        <v/>
      </c>
      <c r="CT204" s="544" t="str">
        <f aca="false">IF(BD204,IF(CR204&gt;0,IF(CR204&gt;0.2,BC203-BB203,IF(CR204&gt;0.1,BB203-BA203,BA203)),IF(CR204&lt;-0.2,AX203-AY203,IF(CR204&lt;-0.1,AY203-AZ203,AZ203))),"")</f>
        <v/>
      </c>
      <c r="CU204" s="545" t="str">
        <f aca="false">IF(BD204,CHOOSE(Underlying,O204,AT204),"")</f>
        <v/>
      </c>
      <c r="CV204" s="545" t="str">
        <f aca="false">IF(BD204,CU204+IF(VolSkewFlag=1,IF(CQ204&gt;0,BA203*MIN(CQ204/10%,1)+(BB203-BA203)*MAX(0,MIN(CQ204/10%-1,1))+(BC203-BB203)*MAX(0,CQ204/10%-2),AZ203*MIN(-CQ204/10%,1)+(AY203-AZ203)*MAX(0,MIN(-CQ204/10%-1,1))+(AX203-AY203)*MAX(0,-CQ204/10%-2)),0),"")</f>
        <v/>
      </c>
      <c r="CW204" s="545" t="str">
        <f aca="false">IF(BD204,CU204+IF(VolSkewFlag=1,IF(CR204&gt;0,BA203*MIN(CR204/10%,1)+(BB203-BA203)*MAX(0,MIN(CR204/10%-1,1))+(BC203-BB203)*MAX(0,CR204/10%-2),AZ203*MIN(-CR204/10%,1)+(AY203-AZ203)*MAX(0,MIN(-CR204/10%-1,1))+(AX203-AY203)*MAX(0,-CR204/10%-2)),0),"")</f>
        <v/>
      </c>
      <c r="CX204" s="470" t="n">
        <f aca="false">IF(BD204,EURO(CP204,Strike1,AO204,AO204,CV204,CO204,IF(OptControl=4,0,1),0),0)</f>
        <v>0</v>
      </c>
      <c r="CY204" s="470" t="n">
        <f aca="false">IF(BD204,EURO(CP204,Strike1,AO204,AO204,CV204,CO204,IF(OptControl=4,0,1),1)+IF(OR(VolSkewFlag=2,ABS(CQ204)&lt;0.0001),0,IF(CQ204&gt;0,-1,1)*CZ204*100*Strike1/CP204^2*CS204/10%),0)</f>
        <v>0</v>
      </c>
      <c r="CZ204" s="470" t="n">
        <f aca="false">IF(BD204,EURO(CP204,Strike1,AO204,AO204,CV204,CO204,IF(OptControl=4,0,1),3)/100,0)</f>
        <v>0</v>
      </c>
      <c r="DA204" s="470" t="n">
        <f aca="false">IF(BD204,EURO(CP204,Strike1,AO204,AO204,CV204,CO204,IF(OptControl=4,0,1),0)-EURO(CP204,Strike1,AO204,AO204,CV204,CO204-1,IF(OptControl=4,0,1),0),0)</f>
        <v>0</v>
      </c>
      <c r="DB204" s="470" t="n">
        <f aca="false">IF(BD204,EURO(CP204,Strike2,AO204,AO204,CW204,CO204,IF(OptControl=3,1,0),0),0)</f>
        <v>0</v>
      </c>
      <c r="DC204" s="470" t="n">
        <f aca="false">IF(BD204,EURO(CP204,Strike2,AO204,AO204,CW204,CO204,IF(OptControl=3,1,0),1)+IF(OR(VolSkewFlag=2,ABS(CR204)&lt;0.0001),0,IF(CR204&gt;0,-1,1)*DD204*100*Strike2/CP204^2*CT204/10%),0)</f>
        <v>0</v>
      </c>
      <c r="DD204" s="470" t="n">
        <f aca="false">IF(BD204,EURO(CP204,Strike2,AO204,AO204,CW204,CO204,IF(OptControl=3,1,0),3)/100,0)</f>
        <v>0</v>
      </c>
      <c r="DE204" s="472" t="n">
        <f aca="false">IF(BD204,EURO(CP204,Strike2,AO204,AO204,CW204,CO204,IF(OptControl=3,1,0),0)-EURO(CP204,Strike2,AO204,AO204,CW204,CO204-1,IF(OptControl=3,1,0),0),0)</f>
        <v>0</v>
      </c>
      <c r="DG204" s="481" t="n">
        <f aca="false">EOMONTH(DG203,0)+1</f>
        <v>51288</v>
      </c>
      <c r="DH204" s="478" t="n">
        <v>23.3600000000001</v>
      </c>
      <c r="DI204" s="479" t="n">
        <v>23.4259090909092</v>
      </c>
      <c r="DJ204" s="480" t="n">
        <f aca="false">DG204</f>
        <v>51288</v>
      </c>
      <c r="DK204" s="478" t="n">
        <v>21.9447692372891</v>
      </c>
      <c r="DL204" s="479" t="n">
        <v>22.1344090909092</v>
      </c>
      <c r="DM204" s="481" t="n">
        <f aca="false">DG204</f>
        <v>51288</v>
      </c>
      <c r="DN204" s="482" t="n">
        <f aca="false">DK204+BrentPhyBrentSpread</f>
        <v>21.9947692372891</v>
      </c>
      <c r="DO204" s="481" t="n">
        <f aca="false">DG204</f>
        <v>51288</v>
      </c>
      <c r="DP204" s="483" t="n">
        <f aca="false">DL204+DQ204</f>
        <v>22.1344090909092</v>
      </c>
      <c r="DQ204" s="546" t="n">
        <v>0</v>
      </c>
      <c r="DR204" s="480" t="n">
        <f aca="false">DG204</f>
        <v>51288</v>
      </c>
      <c r="DS204" s="485" t="n">
        <v>0.114199999999998</v>
      </c>
      <c r="DT204" s="486" t="n">
        <v>0.113409090909089</v>
      </c>
      <c r="DU204" s="480" t="n">
        <f aca="false">DG204</f>
        <v>51288</v>
      </c>
      <c r="DV204" s="485" t="n">
        <v>0.114199999999998</v>
      </c>
      <c r="DW204" s="486" t="n">
        <v>0.113409090909089</v>
      </c>
      <c r="DX204" s="481" t="n">
        <f aca="false">DG204</f>
        <v>51288</v>
      </c>
      <c r="DY204" s="486" t="n">
        <v>0.35</v>
      </c>
      <c r="DZ204" s="481" t="n">
        <f aca="false">DR204</f>
        <v>51288</v>
      </c>
      <c r="EA204" s="486" t="n">
        <f aca="false">DT204</f>
        <v>0.113409090909089</v>
      </c>
      <c r="EB204" s="195"/>
      <c r="EC204" s="547" t="str">
        <f aca="false">IF(BD204,IF(Underlying=1,AS204,AU204),"")</f>
        <v/>
      </c>
      <c r="ED204" s="548" t="str">
        <f aca="false">IF($BD204,$EC204+IF(VolSkewFlag=1,IF(BS204&gt;0,$BA204*MIN(BS204/10%,1)+($BB204-$BA204)*MAX(0,MIN(BS204/10%-1,1))+($BC204-$BB204)*MAX(0,BS204/10%-2),$AZ204*MIN(-BS204/10%,1)+($AY204-$AZ204)*MAX(0,MIN(-BS204/10%-1,1))+($AX204-$AY204)*MAX(0,-BS204/10%-2)),0),"")</f>
        <v/>
      </c>
      <c r="EE204" s="549" t="str">
        <f aca="false">IF($BD204,$EC204+IF(VolSkewFlag=1,IF(BT204&gt;0,$BA204*MIN(BT204/10%,1)+($BB204-$BA204)*MAX(0,MIN(BT204/10%-1,1))+($BC204-$BB204)*MAX(0,BT204/10%-2),$AZ204*MIN(-BT204/10%,1)+($AY204-$AZ204)*MAX(0,MIN(-BT204/10%-1,1))+($AX204-$AY204)*MAX(0,-BT204/10%-2)),0),"")</f>
        <v/>
      </c>
      <c r="EF204" s="550" t="n">
        <f aca="false">IF(BD204,xASN(BR204,Strike1,AO204,ED204,0,BO204,0,BI204,BL204,IF(OptControl=4,0,1),0),0)</f>
        <v>0</v>
      </c>
      <c r="EG204" s="551" t="n">
        <f aca="false">IF(BD204,xASN(BR204,Strike2,AO204,EE204,0,BO204,0,BI204,BL204,IF(OptControl=3,1,0),0),0)</f>
        <v>0</v>
      </c>
      <c r="EL204" s="1"/>
      <c r="EM204" s="195"/>
      <c r="EN204" s="240"/>
      <c r="EO204" s="240"/>
      <c r="EP204" s="195"/>
      <c r="EQ204" s="407" t="s">
        <v>432</v>
      </c>
      <c r="ES204" s="130"/>
      <c r="ET204" s="19"/>
      <c r="EU204" s="672"/>
      <c r="EV204" s="478"/>
      <c r="EW204" s="131"/>
      <c r="EX204" s="131"/>
      <c r="EY204" s="129"/>
      <c r="EZ204" s="129"/>
      <c r="FA204" s="129"/>
      <c r="FB204" s="129"/>
      <c r="FC204" s="129"/>
      <c r="FD204" s="129"/>
      <c r="FE204" s="129"/>
      <c r="FF204" s="129"/>
      <c r="FG204" s="129"/>
      <c r="FH204" s="129"/>
      <c r="FI204" s="129"/>
      <c r="FJ204" s="571" t="n">
        <v>35</v>
      </c>
      <c r="FK204" s="150" t="str">
        <f aca="false">IF(OR(FK$169&lt;SwaptionFirstMonthPosition+1,$FJ204&lt;SwaptionFirstMonthPosition+1,FK$169&gt;SwaptionFirstMonthPosition+SwaptionNumOfMonths+1,$FJ204&gt;SwaptionFirstMonthPosition+SwaptionNumOfMonths+1),"",IF($FJ204=FK$169,1,IF($FJ204&lt;FK$169,INDEX($FK$170:$ID$241,FK$169,$FJ204),SUMPRODUCT(INDEX($FK$325:$ID$396,FK$169,1+SwaptionShift):INDEX($FK$325:$ID$396,FK$169,SwaptionMonthsToGo+SwaptionShift),INDEX($FK$245:$ID$316,$FJ204-FK$169,73-FK$169+SwaptionShift):INDEX($FK$245:$ID$316,$FJ204-FK$169,72-FK$169+SwaptionMonthsToGo+SwaptionShift))/SQRT(SUM(INDEX($FK359:$ID359,1+SwaptionShift):INDEX($FK359:$ID359,SwaptionMonthsToGo+SwaptionShift))*SUM(INDEX($FK$325:$ID$396,FK$169,1+SwaptionShift):INDEX($FK$325:$ID$396,FK$169,SwaptionMonthsToGo+SwaptionShift))))))</f>
        <v/>
      </c>
      <c r="FL204" s="150" t="str">
        <f aca="false">IF(OR(FL$169&lt;SwaptionFirstMonthPosition+1,$FJ204&lt;SwaptionFirstMonthPosition+1,FL$169&gt;SwaptionFirstMonthPosition+SwaptionNumOfMonths+1,$FJ204&gt;SwaptionFirstMonthPosition+SwaptionNumOfMonths+1),"",IF($FJ204=FL$169,1,IF($FJ204&lt;FL$169,INDEX($FK$170:$ID$241,FL$169,$FJ204),SUMPRODUCT(INDEX($FK$325:$ID$396,FL$169,1+SwaptionShift):INDEX($FK$325:$ID$396,FL$169,SwaptionMonthsToGo+SwaptionShift),INDEX($FK$245:$ID$316,$FJ204-FL$169,73-FL$169+SwaptionShift):INDEX($FK$245:$ID$316,$FJ204-FL$169,72-FL$169+SwaptionMonthsToGo+SwaptionShift))/SQRT(SUM(INDEX($FK359:$ID359,1+SwaptionShift):INDEX($FK359:$ID359,SwaptionMonthsToGo+SwaptionShift))*SUM(INDEX($FK$325:$ID$396,FL$169,1+SwaptionShift):INDEX($FK$325:$ID$396,FL$169,SwaptionMonthsToGo+SwaptionShift))))))</f>
        <v/>
      </c>
      <c r="FM204" s="150" t="str">
        <f aca="false">IF(OR(FM$169&lt;SwaptionFirstMonthPosition+1,$FJ204&lt;SwaptionFirstMonthPosition+1,FM$169&gt;SwaptionFirstMonthPosition+SwaptionNumOfMonths+1,$FJ204&gt;SwaptionFirstMonthPosition+SwaptionNumOfMonths+1),"",IF($FJ204=FM$169,1,IF($FJ204&lt;FM$169,INDEX($FK$170:$ID$241,FM$169,$FJ204),SUMPRODUCT(INDEX($FK$325:$ID$396,FM$169,1+SwaptionShift):INDEX($FK$325:$ID$396,FM$169,SwaptionMonthsToGo+SwaptionShift),INDEX($FK$245:$ID$316,$FJ204-FM$169,73-FM$169+SwaptionShift):INDEX($FK$245:$ID$316,$FJ204-FM$169,72-FM$169+SwaptionMonthsToGo+SwaptionShift))/SQRT(SUM(INDEX($FK359:$ID359,1+SwaptionShift):INDEX($FK359:$ID359,SwaptionMonthsToGo+SwaptionShift))*SUM(INDEX($FK$325:$ID$396,FM$169,1+SwaptionShift):INDEX($FK$325:$ID$396,FM$169,SwaptionMonthsToGo+SwaptionShift))))))</f>
        <v/>
      </c>
      <c r="FN204" s="150" t="str">
        <f aca="false">IF(OR(FN$169&lt;SwaptionFirstMonthPosition+1,$FJ204&lt;SwaptionFirstMonthPosition+1,FN$169&gt;SwaptionFirstMonthPosition+SwaptionNumOfMonths+1,$FJ204&gt;SwaptionFirstMonthPosition+SwaptionNumOfMonths+1),"",IF($FJ204=FN$169,1,IF($FJ204&lt;FN$169,INDEX($FK$170:$ID$241,FN$169,$FJ204),SUMPRODUCT(INDEX($FK$325:$ID$396,FN$169,1+SwaptionShift):INDEX($FK$325:$ID$396,FN$169,SwaptionMonthsToGo+SwaptionShift),INDEX($FK$245:$ID$316,$FJ204-FN$169,73-FN$169+SwaptionShift):INDEX($FK$245:$ID$316,$FJ204-FN$169,72-FN$169+SwaptionMonthsToGo+SwaptionShift))/SQRT(SUM(INDEX($FK359:$ID359,1+SwaptionShift):INDEX($FK359:$ID359,SwaptionMonthsToGo+SwaptionShift))*SUM(INDEX($FK$325:$ID$396,FN$169,1+SwaptionShift):INDEX($FK$325:$ID$396,FN$169,SwaptionMonthsToGo+SwaptionShift))))))</f>
        <v/>
      </c>
      <c r="FO204" s="150" t="str">
        <f aca="false">IF(OR(FO$169&lt;SwaptionFirstMonthPosition+1,$FJ204&lt;SwaptionFirstMonthPosition+1,FO$169&gt;SwaptionFirstMonthPosition+SwaptionNumOfMonths+1,$FJ204&gt;SwaptionFirstMonthPosition+SwaptionNumOfMonths+1),"",IF($FJ204=FO$169,1,IF($FJ204&lt;FO$169,INDEX($FK$170:$ID$241,FO$169,$FJ204),SUMPRODUCT(INDEX($FK$325:$ID$396,FO$169,1+SwaptionShift):INDEX($FK$325:$ID$396,FO$169,SwaptionMonthsToGo+SwaptionShift),INDEX($FK$245:$ID$316,$FJ204-FO$169,73-FO$169+SwaptionShift):INDEX($FK$245:$ID$316,$FJ204-FO$169,72-FO$169+SwaptionMonthsToGo+SwaptionShift))/SQRT(SUM(INDEX($FK359:$ID359,1+SwaptionShift):INDEX($FK359:$ID359,SwaptionMonthsToGo+SwaptionShift))*SUM(INDEX($FK$325:$ID$396,FO$169,1+SwaptionShift):INDEX($FK$325:$ID$396,FO$169,SwaptionMonthsToGo+SwaptionShift))))))</f>
        <v/>
      </c>
      <c r="FP204" s="150" t="str">
        <f aca="false">IF(OR(FP$169&lt;SwaptionFirstMonthPosition+1,$FJ204&lt;SwaptionFirstMonthPosition+1,FP$169&gt;SwaptionFirstMonthPosition+SwaptionNumOfMonths+1,$FJ204&gt;SwaptionFirstMonthPosition+SwaptionNumOfMonths+1),"",IF($FJ204=FP$169,1,IF($FJ204&lt;FP$169,INDEX($FK$170:$ID$241,FP$169,$FJ204),SUMPRODUCT(INDEX($FK$325:$ID$396,FP$169,1+SwaptionShift):INDEX($FK$325:$ID$396,FP$169,SwaptionMonthsToGo+SwaptionShift),INDEX($FK$245:$ID$316,$FJ204-FP$169,73-FP$169+SwaptionShift):INDEX($FK$245:$ID$316,$FJ204-FP$169,72-FP$169+SwaptionMonthsToGo+SwaptionShift))/SQRT(SUM(INDEX($FK359:$ID359,1+SwaptionShift):INDEX($FK359:$ID359,SwaptionMonthsToGo+SwaptionShift))*SUM(INDEX($FK$325:$ID$396,FP$169,1+SwaptionShift):INDEX($FK$325:$ID$396,FP$169,SwaptionMonthsToGo+SwaptionShift))))))</f>
        <v/>
      </c>
      <c r="FQ204" s="150" t="str">
        <f aca="false">IF(OR(FQ$169&lt;SwaptionFirstMonthPosition+1,$FJ204&lt;SwaptionFirstMonthPosition+1,FQ$169&gt;SwaptionFirstMonthPosition+SwaptionNumOfMonths+1,$FJ204&gt;SwaptionFirstMonthPosition+SwaptionNumOfMonths+1),"",IF($FJ204=FQ$169,1,IF($FJ204&lt;FQ$169,INDEX($FK$170:$ID$241,FQ$169,$FJ204),SUMPRODUCT(INDEX($FK$325:$ID$396,FQ$169,1+SwaptionShift):INDEX($FK$325:$ID$396,FQ$169,SwaptionMonthsToGo+SwaptionShift),INDEX($FK$245:$ID$316,$FJ204-FQ$169,73-FQ$169+SwaptionShift):INDEX($FK$245:$ID$316,$FJ204-FQ$169,72-FQ$169+SwaptionMonthsToGo+SwaptionShift))/SQRT(SUM(INDEX($FK359:$ID359,1+SwaptionShift):INDEX($FK359:$ID359,SwaptionMonthsToGo+SwaptionShift))*SUM(INDEX($FK$325:$ID$396,FQ$169,1+SwaptionShift):INDEX($FK$325:$ID$396,FQ$169,SwaptionMonthsToGo+SwaptionShift))))))</f>
        <v/>
      </c>
      <c r="FR204" s="150" t="str">
        <f aca="false">IF(OR(FR$169&lt;SwaptionFirstMonthPosition+1,$FJ204&lt;SwaptionFirstMonthPosition+1,FR$169&gt;SwaptionFirstMonthPosition+SwaptionNumOfMonths+1,$FJ204&gt;SwaptionFirstMonthPosition+SwaptionNumOfMonths+1),"",IF($FJ204=FR$169,1,IF($FJ204&lt;FR$169,INDEX($FK$170:$ID$241,FR$169,$FJ204),SUMPRODUCT(INDEX($FK$325:$ID$396,FR$169,1+SwaptionShift):INDEX($FK$325:$ID$396,FR$169,SwaptionMonthsToGo+SwaptionShift),INDEX($FK$245:$ID$316,$FJ204-FR$169,73-FR$169+SwaptionShift):INDEX($FK$245:$ID$316,$FJ204-FR$169,72-FR$169+SwaptionMonthsToGo+SwaptionShift))/SQRT(SUM(INDEX($FK359:$ID359,1+SwaptionShift):INDEX($FK359:$ID359,SwaptionMonthsToGo+SwaptionShift))*SUM(INDEX($FK$325:$ID$396,FR$169,1+SwaptionShift):INDEX($FK$325:$ID$396,FR$169,SwaptionMonthsToGo+SwaptionShift))))))</f>
        <v/>
      </c>
      <c r="FS204" s="150" t="str">
        <f aca="false">IF(OR(FS$169&lt;SwaptionFirstMonthPosition+1,$FJ204&lt;SwaptionFirstMonthPosition+1,FS$169&gt;SwaptionFirstMonthPosition+SwaptionNumOfMonths+1,$FJ204&gt;SwaptionFirstMonthPosition+SwaptionNumOfMonths+1),"",IF($FJ204=FS$169,1,IF($FJ204&lt;FS$169,INDEX($FK$170:$ID$241,FS$169,$FJ204),SUMPRODUCT(INDEX($FK$325:$ID$396,FS$169,1+SwaptionShift):INDEX($FK$325:$ID$396,FS$169,SwaptionMonthsToGo+SwaptionShift),INDEX($FK$245:$ID$316,$FJ204-FS$169,73-FS$169+SwaptionShift):INDEX($FK$245:$ID$316,$FJ204-FS$169,72-FS$169+SwaptionMonthsToGo+SwaptionShift))/SQRT(SUM(INDEX($FK359:$ID359,1+SwaptionShift):INDEX($FK359:$ID359,SwaptionMonthsToGo+SwaptionShift))*SUM(INDEX($FK$325:$ID$396,FS$169,1+SwaptionShift):INDEX($FK$325:$ID$396,FS$169,SwaptionMonthsToGo+SwaptionShift))))))</f>
        <v/>
      </c>
      <c r="FT204" s="150" t="str">
        <f aca="false">IF(OR(FT$169&lt;SwaptionFirstMonthPosition+1,$FJ204&lt;SwaptionFirstMonthPosition+1,FT$169&gt;SwaptionFirstMonthPosition+SwaptionNumOfMonths+1,$FJ204&gt;SwaptionFirstMonthPosition+SwaptionNumOfMonths+1),"",IF($FJ204=FT$169,1,IF($FJ204&lt;FT$169,INDEX($FK$170:$ID$241,FT$169,$FJ204),SUMPRODUCT(INDEX($FK$325:$ID$396,FT$169,1+SwaptionShift):INDEX($FK$325:$ID$396,FT$169,SwaptionMonthsToGo+SwaptionShift),INDEX($FK$245:$ID$316,$FJ204-FT$169,73-FT$169+SwaptionShift):INDEX($FK$245:$ID$316,$FJ204-FT$169,72-FT$169+SwaptionMonthsToGo+SwaptionShift))/SQRT(SUM(INDEX($FK359:$ID359,1+SwaptionShift):INDEX($FK359:$ID359,SwaptionMonthsToGo+SwaptionShift))*SUM(INDEX($FK$325:$ID$396,FT$169,1+SwaptionShift):INDEX($FK$325:$ID$396,FT$169,SwaptionMonthsToGo+SwaptionShift))))))</f>
        <v/>
      </c>
      <c r="FU204" s="150" t="str">
        <f aca="false">IF(OR(FU$169&lt;SwaptionFirstMonthPosition+1,$FJ204&lt;SwaptionFirstMonthPosition+1,FU$169&gt;SwaptionFirstMonthPosition+SwaptionNumOfMonths+1,$FJ204&gt;SwaptionFirstMonthPosition+SwaptionNumOfMonths+1),"",IF($FJ204=FU$169,1,IF($FJ204&lt;FU$169,INDEX($FK$170:$ID$241,FU$169,$FJ204),SUMPRODUCT(INDEX($FK$325:$ID$396,FU$169,1+SwaptionShift):INDEX($FK$325:$ID$396,FU$169,SwaptionMonthsToGo+SwaptionShift),INDEX($FK$245:$ID$316,$FJ204-FU$169,73-FU$169+SwaptionShift):INDEX($FK$245:$ID$316,$FJ204-FU$169,72-FU$169+SwaptionMonthsToGo+SwaptionShift))/SQRT(SUM(INDEX($FK359:$ID359,1+SwaptionShift):INDEX($FK359:$ID359,SwaptionMonthsToGo+SwaptionShift))*SUM(INDEX($FK$325:$ID$396,FU$169,1+SwaptionShift):INDEX($FK$325:$ID$396,FU$169,SwaptionMonthsToGo+SwaptionShift))))))</f>
        <v/>
      </c>
      <c r="FV204" s="150" t="str">
        <f aca="false">IF(OR(FV$169&lt;SwaptionFirstMonthPosition+1,$FJ204&lt;SwaptionFirstMonthPosition+1,FV$169&gt;SwaptionFirstMonthPosition+SwaptionNumOfMonths+1,$FJ204&gt;SwaptionFirstMonthPosition+SwaptionNumOfMonths+1),"",IF($FJ204=FV$169,1,IF($FJ204&lt;FV$169,INDEX($FK$170:$ID$241,FV$169,$FJ204),SUMPRODUCT(INDEX($FK$325:$ID$396,FV$169,1+SwaptionShift):INDEX($FK$325:$ID$396,FV$169,SwaptionMonthsToGo+SwaptionShift),INDEX($FK$245:$ID$316,$FJ204-FV$169,73-FV$169+SwaptionShift):INDEX($FK$245:$ID$316,$FJ204-FV$169,72-FV$169+SwaptionMonthsToGo+SwaptionShift))/SQRT(SUM(INDEX($FK359:$ID359,1+SwaptionShift):INDEX($FK359:$ID359,SwaptionMonthsToGo+SwaptionShift))*SUM(INDEX($FK$325:$ID$396,FV$169,1+SwaptionShift):INDEX($FK$325:$ID$396,FV$169,SwaptionMonthsToGo+SwaptionShift))))))</f>
        <v/>
      </c>
      <c r="FW204" s="150" t="str">
        <f aca="false">IF(OR(FW$169&lt;SwaptionFirstMonthPosition+1,$FJ204&lt;SwaptionFirstMonthPosition+1,FW$169&gt;SwaptionFirstMonthPosition+SwaptionNumOfMonths+1,$FJ204&gt;SwaptionFirstMonthPosition+SwaptionNumOfMonths+1),"",IF($FJ204=FW$169,1,IF($FJ204&lt;FW$169,INDEX($FK$170:$ID$241,FW$169,$FJ204),SUMPRODUCT(INDEX($FK$325:$ID$396,FW$169,1+SwaptionShift):INDEX($FK$325:$ID$396,FW$169,SwaptionMonthsToGo+SwaptionShift),INDEX($FK$245:$ID$316,$FJ204-FW$169,73-FW$169+SwaptionShift):INDEX($FK$245:$ID$316,$FJ204-FW$169,72-FW$169+SwaptionMonthsToGo+SwaptionShift))/SQRT(SUM(INDEX($FK359:$ID359,1+SwaptionShift):INDEX($FK359:$ID359,SwaptionMonthsToGo+SwaptionShift))*SUM(INDEX($FK$325:$ID$396,FW$169,1+SwaptionShift):INDEX($FK$325:$ID$396,FW$169,SwaptionMonthsToGo+SwaptionShift))))))</f>
        <v/>
      </c>
      <c r="FX204" s="150" t="str">
        <f aca="false">IF(OR(FX$169&lt;SwaptionFirstMonthPosition+1,$FJ204&lt;SwaptionFirstMonthPosition+1,FX$169&gt;SwaptionFirstMonthPosition+SwaptionNumOfMonths+1,$FJ204&gt;SwaptionFirstMonthPosition+SwaptionNumOfMonths+1),"",IF($FJ204=FX$169,1,IF($FJ204&lt;FX$169,INDEX($FK$170:$ID$241,FX$169,$FJ204),SUMPRODUCT(INDEX($FK$325:$ID$396,FX$169,1+SwaptionShift):INDEX($FK$325:$ID$396,FX$169,SwaptionMonthsToGo+SwaptionShift),INDEX($FK$245:$ID$316,$FJ204-FX$169,73-FX$169+SwaptionShift):INDEX($FK$245:$ID$316,$FJ204-FX$169,72-FX$169+SwaptionMonthsToGo+SwaptionShift))/SQRT(SUM(INDEX($FK359:$ID359,1+SwaptionShift):INDEX($FK359:$ID359,SwaptionMonthsToGo+SwaptionShift))*SUM(INDEX($FK$325:$ID$396,FX$169,1+SwaptionShift):INDEX($FK$325:$ID$396,FX$169,SwaptionMonthsToGo+SwaptionShift))))))</f>
        <v/>
      </c>
      <c r="FY204" s="150" t="str">
        <f aca="false">IF(OR(FY$169&lt;SwaptionFirstMonthPosition+1,$FJ204&lt;SwaptionFirstMonthPosition+1,FY$169&gt;SwaptionFirstMonthPosition+SwaptionNumOfMonths+1,$FJ204&gt;SwaptionFirstMonthPosition+SwaptionNumOfMonths+1),"",IF($FJ204=FY$169,1,IF($FJ204&lt;FY$169,INDEX($FK$170:$ID$241,FY$169,$FJ204),SUMPRODUCT(INDEX($FK$325:$ID$396,FY$169,1+SwaptionShift):INDEX($FK$325:$ID$396,FY$169,SwaptionMonthsToGo+SwaptionShift),INDEX($FK$245:$ID$316,$FJ204-FY$169,73-FY$169+SwaptionShift):INDEX($FK$245:$ID$316,$FJ204-FY$169,72-FY$169+SwaptionMonthsToGo+SwaptionShift))/SQRT(SUM(INDEX($FK359:$ID359,1+SwaptionShift):INDEX($FK359:$ID359,SwaptionMonthsToGo+SwaptionShift))*SUM(INDEX($FK$325:$ID$396,FY$169,1+SwaptionShift):INDEX($FK$325:$ID$396,FY$169,SwaptionMonthsToGo+SwaptionShift))))))</f>
        <v/>
      </c>
      <c r="FZ204" s="150" t="str">
        <f aca="false">IF(OR(FZ$169&lt;SwaptionFirstMonthPosition+1,$FJ204&lt;SwaptionFirstMonthPosition+1,FZ$169&gt;SwaptionFirstMonthPosition+SwaptionNumOfMonths+1,$FJ204&gt;SwaptionFirstMonthPosition+SwaptionNumOfMonths+1),"",IF($FJ204=FZ$169,1,IF($FJ204&lt;FZ$169,INDEX($FK$170:$ID$241,FZ$169,$FJ204),SUMPRODUCT(INDEX($FK$325:$ID$396,FZ$169,1+SwaptionShift):INDEX($FK$325:$ID$396,FZ$169,SwaptionMonthsToGo+SwaptionShift),INDEX($FK$245:$ID$316,$FJ204-FZ$169,73-FZ$169+SwaptionShift):INDEX($FK$245:$ID$316,$FJ204-FZ$169,72-FZ$169+SwaptionMonthsToGo+SwaptionShift))/SQRT(SUM(INDEX($FK359:$ID359,1+SwaptionShift):INDEX($FK359:$ID359,SwaptionMonthsToGo+SwaptionShift))*SUM(INDEX($FK$325:$ID$396,FZ$169,1+SwaptionShift):INDEX($FK$325:$ID$396,FZ$169,SwaptionMonthsToGo+SwaptionShift))))))</f>
        <v/>
      </c>
      <c r="GA204" s="150" t="str">
        <f aca="false">IF(OR(GA$169&lt;SwaptionFirstMonthPosition+1,$FJ204&lt;SwaptionFirstMonthPosition+1,GA$169&gt;SwaptionFirstMonthPosition+SwaptionNumOfMonths+1,$FJ204&gt;SwaptionFirstMonthPosition+SwaptionNumOfMonths+1),"",IF($FJ204=GA$169,1,IF($FJ204&lt;GA$169,INDEX($FK$170:$ID$241,GA$169,$FJ204),SUMPRODUCT(INDEX($FK$325:$ID$396,GA$169,1+SwaptionShift):INDEX($FK$325:$ID$396,GA$169,SwaptionMonthsToGo+SwaptionShift),INDEX($FK$245:$ID$316,$FJ204-GA$169,73-GA$169+SwaptionShift):INDEX($FK$245:$ID$316,$FJ204-GA$169,72-GA$169+SwaptionMonthsToGo+SwaptionShift))/SQRT(SUM(INDEX($FK359:$ID359,1+SwaptionShift):INDEX($FK359:$ID359,SwaptionMonthsToGo+SwaptionShift))*SUM(INDEX($FK$325:$ID$396,GA$169,1+SwaptionShift):INDEX($FK$325:$ID$396,GA$169,SwaptionMonthsToGo+SwaptionShift))))))</f>
        <v/>
      </c>
      <c r="GB204" s="150" t="str">
        <f aca="false">IF(OR(GB$169&lt;SwaptionFirstMonthPosition+1,$FJ204&lt;SwaptionFirstMonthPosition+1,GB$169&gt;SwaptionFirstMonthPosition+SwaptionNumOfMonths+1,$FJ204&gt;SwaptionFirstMonthPosition+SwaptionNumOfMonths+1),"",IF($FJ204=GB$169,1,IF($FJ204&lt;GB$169,INDEX($FK$170:$ID$241,GB$169,$FJ204),SUMPRODUCT(INDEX($FK$325:$ID$396,GB$169,1+SwaptionShift):INDEX($FK$325:$ID$396,GB$169,SwaptionMonthsToGo+SwaptionShift),INDEX($FK$245:$ID$316,$FJ204-GB$169,73-GB$169+SwaptionShift):INDEX($FK$245:$ID$316,$FJ204-GB$169,72-GB$169+SwaptionMonthsToGo+SwaptionShift))/SQRT(SUM(INDEX($FK359:$ID359,1+SwaptionShift):INDEX($FK359:$ID359,SwaptionMonthsToGo+SwaptionShift))*SUM(INDEX($FK$325:$ID$396,GB$169,1+SwaptionShift):INDEX($FK$325:$ID$396,GB$169,SwaptionMonthsToGo+SwaptionShift))))))</f>
        <v/>
      </c>
      <c r="GC204" s="150" t="str">
        <f aca="false">IF(OR(GC$169&lt;SwaptionFirstMonthPosition+1,$FJ204&lt;SwaptionFirstMonthPosition+1,GC$169&gt;SwaptionFirstMonthPosition+SwaptionNumOfMonths+1,$FJ204&gt;SwaptionFirstMonthPosition+SwaptionNumOfMonths+1),"",IF($FJ204=GC$169,1,IF($FJ204&lt;GC$169,INDEX($FK$170:$ID$241,GC$169,$FJ204),SUMPRODUCT(INDEX($FK$325:$ID$396,GC$169,1+SwaptionShift):INDEX($FK$325:$ID$396,GC$169,SwaptionMonthsToGo+SwaptionShift),INDEX($FK$245:$ID$316,$FJ204-GC$169,73-GC$169+SwaptionShift):INDEX($FK$245:$ID$316,$FJ204-GC$169,72-GC$169+SwaptionMonthsToGo+SwaptionShift))/SQRT(SUM(INDEX($FK359:$ID359,1+SwaptionShift):INDEX($FK359:$ID359,SwaptionMonthsToGo+SwaptionShift))*SUM(INDEX($FK$325:$ID$396,GC$169,1+SwaptionShift):INDEX($FK$325:$ID$396,GC$169,SwaptionMonthsToGo+SwaptionShift))))))</f>
        <v/>
      </c>
      <c r="GD204" s="150" t="str">
        <f aca="false">IF(OR(GD$169&lt;SwaptionFirstMonthPosition+1,$FJ204&lt;SwaptionFirstMonthPosition+1,GD$169&gt;SwaptionFirstMonthPosition+SwaptionNumOfMonths+1,$FJ204&gt;SwaptionFirstMonthPosition+SwaptionNumOfMonths+1),"",IF($FJ204=GD$169,1,IF($FJ204&lt;GD$169,INDEX($FK$170:$ID$241,GD$169,$FJ204),SUMPRODUCT(INDEX($FK$325:$ID$396,GD$169,1+SwaptionShift):INDEX($FK$325:$ID$396,GD$169,SwaptionMonthsToGo+SwaptionShift),INDEX($FK$245:$ID$316,$FJ204-GD$169,73-GD$169+SwaptionShift):INDEX($FK$245:$ID$316,$FJ204-GD$169,72-GD$169+SwaptionMonthsToGo+SwaptionShift))/SQRT(SUM(INDEX($FK359:$ID359,1+SwaptionShift):INDEX($FK359:$ID359,SwaptionMonthsToGo+SwaptionShift))*SUM(INDEX($FK$325:$ID$396,GD$169,1+SwaptionShift):INDEX($FK$325:$ID$396,GD$169,SwaptionMonthsToGo+SwaptionShift))))))</f>
        <v/>
      </c>
      <c r="GE204" s="150" t="str">
        <f aca="false">IF(OR(GE$169&lt;SwaptionFirstMonthPosition+1,$FJ204&lt;SwaptionFirstMonthPosition+1,GE$169&gt;SwaptionFirstMonthPosition+SwaptionNumOfMonths+1,$FJ204&gt;SwaptionFirstMonthPosition+SwaptionNumOfMonths+1),"",IF($FJ204=GE$169,1,IF($FJ204&lt;GE$169,INDEX($FK$170:$ID$241,GE$169,$FJ204),SUMPRODUCT(INDEX($FK$325:$ID$396,GE$169,1+SwaptionShift):INDEX($FK$325:$ID$396,GE$169,SwaptionMonthsToGo+SwaptionShift),INDEX($FK$245:$ID$316,$FJ204-GE$169,73-GE$169+SwaptionShift):INDEX($FK$245:$ID$316,$FJ204-GE$169,72-GE$169+SwaptionMonthsToGo+SwaptionShift))/SQRT(SUM(INDEX($FK359:$ID359,1+SwaptionShift):INDEX($FK359:$ID359,SwaptionMonthsToGo+SwaptionShift))*SUM(INDEX($FK$325:$ID$396,GE$169,1+SwaptionShift):INDEX($FK$325:$ID$396,GE$169,SwaptionMonthsToGo+SwaptionShift))))))</f>
        <v/>
      </c>
      <c r="GF204" s="150" t="str">
        <f aca="false">IF(OR(GF$169&lt;SwaptionFirstMonthPosition+1,$FJ204&lt;SwaptionFirstMonthPosition+1,GF$169&gt;SwaptionFirstMonthPosition+SwaptionNumOfMonths+1,$FJ204&gt;SwaptionFirstMonthPosition+SwaptionNumOfMonths+1),"",IF($FJ204=GF$169,1,IF($FJ204&lt;GF$169,INDEX($FK$170:$ID$241,GF$169,$FJ204),SUMPRODUCT(INDEX($FK$325:$ID$396,GF$169,1+SwaptionShift):INDEX($FK$325:$ID$396,GF$169,SwaptionMonthsToGo+SwaptionShift),INDEX($FK$245:$ID$316,$FJ204-GF$169,73-GF$169+SwaptionShift):INDEX($FK$245:$ID$316,$FJ204-GF$169,72-GF$169+SwaptionMonthsToGo+SwaptionShift))/SQRT(SUM(INDEX($FK359:$ID359,1+SwaptionShift):INDEX($FK359:$ID359,SwaptionMonthsToGo+SwaptionShift))*SUM(INDEX($FK$325:$ID$396,GF$169,1+SwaptionShift):INDEX($FK$325:$ID$396,GF$169,SwaptionMonthsToGo+SwaptionShift))))))</f>
        <v/>
      </c>
      <c r="GG204" s="150" t="str">
        <f aca="false">IF(OR(GG$169&lt;SwaptionFirstMonthPosition+1,$FJ204&lt;SwaptionFirstMonthPosition+1,GG$169&gt;SwaptionFirstMonthPosition+SwaptionNumOfMonths+1,$FJ204&gt;SwaptionFirstMonthPosition+SwaptionNumOfMonths+1),"",IF($FJ204=GG$169,1,IF($FJ204&lt;GG$169,INDEX($FK$170:$ID$241,GG$169,$FJ204),SUMPRODUCT(INDEX($FK$325:$ID$396,GG$169,1+SwaptionShift):INDEX($FK$325:$ID$396,GG$169,SwaptionMonthsToGo+SwaptionShift),INDEX($FK$245:$ID$316,$FJ204-GG$169,73-GG$169+SwaptionShift):INDEX($FK$245:$ID$316,$FJ204-GG$169,72-GG$169+SwaptionMonthsToGo+SwaptionShift))/SQRT(SUM(INDEX($FK359:$ID359,1+SwaptionShift):INDEX($FK359:$ID359,SwaptionMonthsToGo+SwaptionShift))*SUM(INDEX($FK$325:$ID$396,GG$169,1+SwaptionShift):INDEX($FK$325:$ID$396,GG$169,SwaptionMonthsToGo+SwaptionShift))))))</f>
        <v/>
      </c>
      <c r="GH204" s="150" t="str">
        <f aca="false">IF(OR(GH$169&lt;SwaptionFirstMonthPosition+1,$FJ204&lt;SwaptionFirstMonthPosition+1,GH$169&gt;SwaptionFirstMonthPosition+SwaptionNumOfMonths+1,$FJ204&gt;SwaptionFirstMonthPosition+SwaptionNumOfMonths+1),"",IF($FJ204=GH$169,1,IF($FJ204&lt;GH$169,INDEX($FK$170:$ID$241,GH$169,$FJ204),SUMPRODUCT(INDEX($FK$325:$ID$396,GH$169,1+SwaptionShift):INDEX($FK$325:$ID$396,GH$169,SwaptionMonthsToGo+SwaptionShift),INDEX($FK$245:$ID$316,$FJ204-GH$169,73-GH$169+SwaptionShift):INDEX($FK$245:$ID$316,$FJ204-GH$169,72-GH$169+SwaptionMonthsToGo+SwaptionShift))/SQRT(SUM(INDEX($FK359:$ID359,1+SwaptionShift):INDEX($FK359:$ID359,SwaptionMonthsToGo+SwaptionShift))*SUM(INDEX($FK$325:$ID$396,GH$169,1+SwaptionShift):INDEX($FK$325:$ID$396,GH$169,SwaptionMonthsToGo+SwaptionShift))))))</f>
        <v/>
      </c>
      <c r="GI204" s="150" t="str">
        <f aca="false">IF(OR(GI$169&lt;SwaptionFirstMonthPosition+1,$FJ204&lt;SwaptionFirstMonthPosition+1,GI$169&gt;SwaptionFirstMonthPosition+SwaptionNumOfMonths+1,$FJ204&gt;SwaptionFirstMonthPosition+SwaptionNumOfMonths+1),"",IF($FJ204=GI$169,1,IF($FJ204&lt;GI$169,INDEX($FK$170:$ID$241,GI$169,$FJ204),SUMPRODUCT(INDEX($FK$325:$ID$396,GI$169,1+SwaptionShift):INDEX($FK$325:$ID$396,GI$169,SwaptionMonthsToGo+SwaptionShift),INDEX($FK$245:$ID$316,$FJ204-GI$169,73-GI$169+SwaptionShift):INDEX($FK$245:$ID$316,$FJ204-GI$169,72-GI$169+SwaptionMonthsToGo+SwaptionShift))/SQRT(SUM(INDEX($FK359:$ID359,1+SwaptionShift):INDEX($FK359:$ID359,SwaptionMonthsToGo+SwaptionShift))*SUM(INDEX($FK$325:$ID$396,GI$169,1+SwaptionShift):INDEX($FK$325:$ID$396,GI$169,SwaptionMonthsToGo+SwaptionShift))))))</f>
        <v/>
      </c>
      <c r="GJ204" s="150" t="str">
        <f aca="false">IF(OR(GJ$169&lt;SwaptionFirstMonthPosition+1,$FJ204&lt;SwaptionFirstMonthPosition+1,GJ$169&gt;SwaptionFirstMonthPosition+SwaptionNumOfMonths+1,$FJ204&gt;SwaptionFirstMonthPosition+SwaptionNumOfMonths+1),"",IF($FJ204=GJ$169,1,IF($FJ204&lt;GJ$169,INDEX($FK$170:$ID$241,GJ$169,$FJ204),SUMPRODUCT(INDEX($FK$325:$ID$396,GJ$169,1+SwaptionShift):INDEX($FK$325:$ID$396,GJ$169,SwaptionMonthsToGo+SwaptionShift),INDEX($FK$245:$ID$316,$FJ204-GJ$169,73-GJ$169+SwaptionShift):INDEX($FK$245:$ID$316,$FJ204-GJ$169,72-GJ$169+SwaptionMonthsToGo+SwaptionShift))/SQRT(SUM(INDEX($FK359:$ID359,1+SwaptionShift):INDEX($FK359:$ID359,SwaptionMonthsToGo+SwaptionShift))*SUM(INDEX($FK$325:$ID$396,GJ$169,1+SwaptionShift):INDEX($FK$325:$ID$396,GJ$169,SwaptionMonthsToGo+SwaptionShift))))))</f>
        <v/>
      </c>
      <c r="GK204" s="150" t="str">
        <f aca="false">IF(OR(GK$169&lt;SwaptionFirstMonthPosition+1,$FJ204&lt;SwaptionFirstMonthPosition+1,GK$169&gt;SwaptionFirstMonthPosition+SwaptionNumOfMonths+1,$FJ204&gt;SwaptionFirstMonthPosition+SwaptionNumOfMonths+1),"",IF($FJ204=GK$169,1,IF($FJ204&lt;GK$169,INDEX($FK$170:$ID$241,GK$169,$FJ204),SUMPRODUCT(INDEX($FK$325:$ID$396,GK$169,1+SwaptionShift):INDEX($FK$325:$ID$396,GK$169,SwaptionMonthsToGo+SwaptionShift),INDEX($FK$245:$ID$316,$FJ204-GK$169,73-GK$169+SwaptionShift):INDEX($FK$245:$ID$316,$FJ204-GK$169,72-GK$169+SwaptionMonthsToGo+SwaptionShift))/SQRT(SUM(INDEX($FK359:$ID359,1+SwaptionShift):INDEX($FK359:$ID359,SwaptionMonthsToGo+SwaptionShift))*SUM(INDEX($FK$325:$ID$396,GK$169,1+SwaptionShift):INDEX($FK$325:$ID$396,GK$169,SwaptionMonthsToGo+SwaptionShift))))))</f>
        <v/>
      </c>
      <c r="GL204" s="150" t="str">
        <f aca="false">IF(OR(GL$169&lt;SwaptionFirstMonthPosition+1,$FJ204&lt;SwaptionFirstMonthPosition+1,GL$169&gt;SwaptionFirstMonthPosition+SwaptionNumOfMonths+1,$FJ204&gt;SwaptionFirstMonthPosition+SwaptionNumOfMonths+1),"",IF($FJ204=GL$169,1,IF($FJ204&lt;GL$169,INDEX($FK$170:$ID$241,GL$169,$FJ204),SUMPRODUCT(INDEX($FK$325:$ID$396,GL$169,1+SwaptionShift):INDEX($FK$325:$ID$396,GL$169,SwaptionMonthsToGo+SwaptionShift),INDEX($FK$245:$ID$316,$FJ204-GL$169,73-GL$169+SwaptionShift):INDEX($FK$245:$ID$316,$FJ204-GL$169,72-GL$169+SwaptionMonthsToGo+SwaptionShift))/SQRT(SUM(INDEX($FK359:$ID359,1+SwaptionShift):INDEX($FK359:$ID359,SwaptionMonthsToGo+SwaptionShift))*SUM(INDEX($FK$325:$ID$396,GL$169,1+SwaptionShift):INDEX($FK$325:$ID$396,GL$169,SwaptionMonthsToGo+SwaptionShift))))))</f>
        <v/>
      </c>
      <c r="GM204" s="150" t="str">
        <f aca="false">IF(OR(GM$169&lt;SwaptionFirstMonthPosition+1,$FJ204&lt;SwaptionFirstMonthPosition+1,GM$169&gt;SwaptionFirstMonthPosition+SwaptionNumOfMonths+1,$FJ204&gt;SwaptionFirstMonthPosition+SwaptionNumOfMonths+1),"",IF($FJ204=GM$169,1,IF($FJ204&lt;GM$169,INDEX($FK$170:$ID$241,GM$169,$FJ204),SUMPRODUCT(INDEX($FK$325:$ID$396,GM$169,1+SwaptionShift):INDEX($FK$325:$ID$396,GM$169,SwaptionMonthsToGo+SwaptionShift),INDEX($FK$245:$ID$316,$FJ204-GM$169,73-GM$169+SwaptionShift):INDEX($FK$245:$ID$316,$FJ204-GM$169,72-GM$169+SwaptionMonthsToGo+SwaptionShift))/SQRT(SUM(INDEX($FK359:$ID359,1+SwaptionShift):INDEX($FK359:$ID359,SwaptionMonthsToGo+SwaptionShift))*SUM(INDEX($FK$325:$ID$396,GM$169,1+SwaptionShift):INDEX($FK$325:$ID$396,GM$169,SwaptionMonthsToGo+SwaptionShift))))))</f>
        <v/>
      </c>
      <c r="GN204" s="150" t="str">
        <f aca="false">IF(OR(GN$169&lt;SwaptionFirstMonthPosition+1,$FJ204&lt;SwaptionFirstMonthPosition+1,GN$169&gt;SwaptionFirstMonthPosition+SwaptionNumOfMonths+1,$FJ204&gt;SwaptionFirstMonthPosition+SwaptionNumOfMonths+1),"",IF($FJ204=GN$169,1,IF($FJ204&lt;GN$169,INDEX($FK$170:$ID$241,GN$169,$FJ204),SUMPRODUCT(INDEX($FK$325:$ID$396,GN$169,1+SwaptionShift):INDEX($FK$325:$ID$396,GN$169,SwaptionMonthsToGo+SwaptionShift),INDEX($FK$245:$ID$316,$FJ204-GN$169,73-GN$169+SwaptionShift):INDEX($FK$245:$ID$316,$FJ204-GN$169,72-GN$169+SwaptionMonthsToGo+SwaptionShift))/SQRT(SUM(INDEX($FK359:$ID359,1+SwaptionShift):INDEX($FK359:$ID359,SwaptionMonthsToGo+SwaptionShift))*SUM(INDEX($FK$325:$ID$396,GN$169,1+SwaptionShift):INDEX($FK$325:$ID$396,GN$169,SwaptionMonthsToGo+SwaptionShift))))))</f>
        <v/>
      </c>
      <c r="GO204" s="150" t="str">
        <f aca="false">IF(OR(GO$169&lt;SwaptionFirstMonthPosition+1,$FJ204&lt;SwaptionFirstMonthPosition+1,GO$169&gt;SwaptionFirstMonthPosition+SwaptionNumOfMonths+1,$FJ204&gt;SwaptionFirstMonthPosition+SwaptionNumOfMonths+1),"",IF($FJ204=GO$169,1,IF($FJ204&lt;GO$169,INDEX($FK$170:$ID$241,GO$169,$FJ204),SUMPRODUCT(INDEX($FK$325:$ID$396,GO$169,1+SwaptionShift):INDEX($FK$325:$ID$396,GO$169,SwaptionMonthsToGo+SwaptionShift),INDEX($FK$245:$ID$316,$FJ204-GO$169,73-GO$169+SwaptionShift):INDEX($FK$245:$ID$316,$FJ204-GO$169,72-GO$169+SwaptionMonthsToGo+SwaptionShift))/SQRT(SUM(INDEX($FK359:$ID359,1+SwaptionShift):INDEX($FK359:$ID359,SwaptionMonthsToGo+SwaptionShift))*SUM(INDEX($FK$325:$ID$396,GO$169,1+SwaptionShift):INDEX($FK$325:$ID$396,GO$169,SwaptionMonthsToGo+SwaptionShift))))))</f>
        <v/>
      </c>
      <c r="GP204" s="150" t="str">
        <f aca="false">IF(OR(GP$169&lt;SwaptionFirstMonthPosition+1,$FJ204&lt;SwaptionFirstMonthPosition+1,GP$169&gt;SwaptionFirstMonthPosition+SwaptionNumOfMonths+1,$FJ204&gt;SwaptionFirstMonthPosition+SwaptionNumOfMonths+1),"",IF($FJ204=GP$169,1,IF($FJ204&lt;GP$169,INDEX($FK$170:$ID$241,GP$169,$FJ204),SUMPRODUCT(INDEX($FK$325:$ID$396,GP$169,1+SwaptionShift):INDEX($FK$325:$ID$396,GP$169,SwaptionMonthsToGo+SwaptionShift),INDEX($FK$245:$ID$316,$FJ204-GP$169,73-GP$169+SwaptionShift):INDEX($FK$245:$ID$316,$FJ204-GP$169,72-GP$169+SwaptionMonthsToGo+SwaptionShift))/SQRT(SUM(INDEX($FK359:$ID359,1+SwaptionShift):INDEX($FK359:$ID359,SwaptionMonthsToGo+SwaptionShift))*SUM(INDEX($FK$325:$ID$396,GP$169,1+SwaptionShift):INDEX($FK$325:$ID$396,GP$169,SwaptionMonthsToGo+SwaptionShift))))))</f>
        <v/>
      </c>
      <c r="GQ204" s="150" t="str">
        <f aca="false">IF(OR(GQ$169&lt;SwaptionFirstMonthPosition+1,$FJ204&lt;SwaptionFirstMonthPosition+1,GQ$169&gt;SwaptionFirstMonthPosition+SwaptionNumOfMonths+1,$FJ204&gt;SwaptionFirstMonthPosition+SwaptionNumOfMonths+1),"",IF($FJ204=GQ$169,1,IF($FJ204&lt;GQ$169,INDEX($FK$170:$ID$241,GQ$169,$FJ204),SUMPRODUCT(INDEX($FK$325:$ID$396,GQ$169,1+SwaptionShift):INDEX($FK$325:$ID$396,GQ$169,SwaptionMonthsToGo+SwaptionShift),INDEX($FK$245:$ID$316,$FJ204-GQ$169,73-GQ$169+SwaptionShift):INDEX($FK$245:$ID$316,$FJ204-GQ$169,72-GQ$169+SwaptionMonthsToGo+SwaptionShift))/SQRT(SUM(INDEX($FK359:$ID359,1+SwaptionShift):INDEX($FK359:$ID359,SwaptionMonthsToGo+SwaptionShift))*SUM(INDEX($FK$325:$ID$396,GQ$169,1+SwaptionShift):INDEX($FK$325:$ID$396,GQ$169,SwaptionMonthsToGo+SwaptionShift))))))</f>
        <v/>
      </c>
      <c r="GR204" s="150" t="str">
        <f aca="false">IF(OR(GR$169&lt;SwaptionFirstMonthPosition+1,$FJ204&lt;SwaptionFirstMonthPosition+1,GR$169&gt;SwaptionFirstMonthPosition+SwaptionNumOfMonths+1,$FJ204&gt;SwaptionFirstMonthPosition+SwaptionNumOfMonths+1),"",IF($FJ204=GR$169,1,IF($FJ204&lt;GR$169,INDEX($FK$170:$ID$241,GR$169,$FJ204),SUMPRODUCT(INDEX($FK$325:$ID$396,GR$169,1+SwaptionShift):INDEX($FK$325:$ID$396,GR$169,SwaptionMonthsToGo+SwaptionShift),INDEX($FK$245:$ID$316,$FJ204-GR$169,73-GR$169+SwaptionShift):INDEX($FK$245:$ID$316,$FJ204-GR$169,72-GR$169+SwaptionMonthsToGo+SwaptionShift))/SQRT(SUM(INDEX($FK359:$ID359,1+SwaptionShift):INDEX($FK359:$ID359,SwaptionMonthsToGo+SwaptionShift))*SUM(INDEX($FK$325:$ID$396,GR$169,1+SwaptionShift):INDEX($FK$325:$ID$396,GR$169,SwaptionMonthsToGo+SwaptionShift))))))</f>
        <v/>
      </c>
      <c r="GS204" s="150" t="str">
        <f aca="false">IF(OR(GS$169&lt;SwaptionFirstMonthPosition+1,$FJ204&lt;SwaptionFirstMonthPosition+1,GS$169&gt;SwaptionFirstMonthPosition+SwaptionNumOfMonths+1,$FJ204&gt;SwaptionFirstMonthPosition+SwaptionNumOfMonths+1),"",IF($FJ204=GS$169,1,IF($FJ204&lt;GS$169,INDEX($FK$170:$ID$241,GS$169,$FJ204),SUMPRODUCT(INDEX($FK$325:$ID$396,GS$169,1+SwaptionShift):INDEX($FK$325:$ID$396,GS$169,SwaptionMonthsToGo+SwaptionShift),INDEX($FK$245:$ID$316,$FJ204-GS$169,73-GS$169+SwaptionShift):INDEX($FK$245:$ID$316,$FJ204-GS$169,72-GS$169+SwaptionMonthsToGo+SwaptionShift))/SQRT(SUM(INDEX($FK359:$ID359,1+SwaptionShift):INDEX($FK359:$ID359,SwaptionMonthsToGo+SwaptionShift))*SUM(INDEX($FK$325:$ID$396,GS$169,1+SwaptionShift):INDEX($FK$325:$ID$396,GS$169,SwaptionMonthsToGo+SwaptionShift))))))</f>
        <v/>
      </c>
      <c r="GT204" s="150" t="str">
        <f aca="false">IF(OR(GT$169&lt;SwaptionFirstMonthPosition+1,$FJ204&lt;SwaptionFirstMonthPosition+1,GT$169&gt;SwaptionFirstMonthPosition+SwaptionNumOfMonths+1,$FJ204&gt;SwaptionFirstMonthPosition+SwaptionNumOfMonths+1),"",IF($FJ204=GT$169,1,IF($FJ204&lt;GT$169,INDEX($FK$170:$ID$241,GT$169,$FJ204),SUMPRODUCT(INDEX($FK$325:$ID$396,GT$169,1+SwaptionShift):INDEX($FK$325:$ID$396,GT$169,SwaptionMonthsToGo+SwaptionShift),INDEX($FK$245:$ID$316,$FJ204-GT$169,73-GT$169+SwaptionShift):INDEX($FK$245:$ID$316,$FJ204-GT$169,72-GT$169+SwaptionMonthsToGo+SwaptionShift))/SQRT(SUM(INDEX($FK359:$ID359,1+SwaptionShift):INDEX($FK359:$ID359,SwaptionMonthsToGo+SwaptionShift))*SUM(INDEX($FK$325:$ID$396,GT$169,1+SwaptionShift):INDEX($FK$325:$ID$396,GT$169,SwaptionMonthsToGo+SwaptionShift))))))</f>
        <v/>
      </c>
      <c r="GU204" s="150" t="str">
        <f aca="false">IF(OR(GU$169&lt;SwaptionFirstMonthPosition+1,$FJ204&lt;SwaptionFirstMonthPosition+1,GU$169&gt;SwaptionFirstMonthPosition+SwaptionNumOfMonths+1,$FJ204&gt;SwaptionFirstMonthPosition+SwaptionNumOfMonths+1),"",IF($FJ204=GU$169,1,IF($FJ204&lt;GU$169,INDEX($FK$170:$ID$241,GU$169,$FJ204),SUMPRODUCT(INDEX($FK$325:$ID$396,GU$169,1+SwaptionShift):INDEX($FK$325:$ID$396,GU$169,SwaptionMonthsToGo+SwaptionShift),INDEX($FK$245:$ID$316,$FJ204-GU$169,73-GU$169+SwaptionShift):INDEX($FK$245:$ID$316,$FJ204-GU$169,72-GU$169+SwaptionMonthsToGo+SwaptionShift))/SQRT(SUM(INDEX($FK359:$ID359,1+SwaptionShift):INDEX($FK359:$ID359,SwaptionMonthsToGo+SwaptionShift))*SUM(INDEX($FK$325:$ID$396,GU$169,1+SwaptionShift):INDEX($FK$325:$ID$396,GU$169,SwaptionMonthsToGo+SwaptionShift))))))</f>
        <v/>
      </c>
      <c r="GV204" s="150" t="str">
        <f aca="false">IF(OR(GV$169&lt;SwaptionFirstMonthPosition+1,$FJ204&lt;SwaptionFirstMonthPosition+1,GV$169&gt;SwaptionFirstMonthPosition+SwaptionNumOfMonths+1,$FJ204&gt;SwaptionFirstMonthPosition+SwaptionNumOfMonths+1),"",IF($FJ204=GV$169,1,IF($FJ204&lt;GV$169,INDEX($FK$170:$ID$241,GV$169,$FJ204),SUMPRODUCT(INDEX($FK$325:$ID$396,GV$169,1+SwaptionShift):INDEX($FK$325:$ID$396,GV$169,SwaptionMonthsToGo+SwaptionShift),INDEX($FK$245:$ID$316,$FJ204-GV$169,73-GV$169+SwaptionShift):INDEX($FK$245:$ID$316,$FJ204-GV$169,72-GV$169+SwaptionMonthsToGo+SwaptionShift))/SQRT(SUM(INDEX($FK359:$ID359,1+SwaptionShift):INDEX($FK359:$ID359,SwaptionMonthsToGo+SwaptionShift))*SUM(INDEX($FK$325:$ID$396,GV$169,1+SwaptionShift):INDEX($FK$325:$ID$396,GV$169,SwaptionMonthsToGo+SwaptionShift))))))</f>
        <v/>
      </c>
      <c r="GW204" s="150" t="str">
        <f aca="false">IF(OR(GW$169&lt;SwaptionFirstMonthPosition+1,$FJ204&lt;SwaptionFirstMonthPosition+1,GW$169&gt;SwaptionFirstMonthPosition+SwaptionNumOfMonths+1,$FJ204&gt;SwaptionFirstMonthPosition+SwaptionNumOfMonths+1),"",IF($FJ204=GW$169,1,IF($FJ204&lt;GW$169,INDEX($FK$170:$ID$241,GW$169,$FJ204),SUMPRODUCT(INDEX($FK$325:$ID$396,GW$169,1+SwaptionShift):INDEX($FK$325:$ID$396,GW$169,SwaptionMonthsToGo+SwaptionShift),INDEX($FK$245:$ID$316,$FJ204-GW$169,73-GW$169+SwaptionShift):INDEX($FK$245:$ID$316,$FJ204-GW$169,72-GW$169+SwaptionMonthsToGo+SwaptionShift))/SQRT(SUM(INDEX($FK359:$ID359,1+SwaptionShift):INDEX($FK359:$ID359,SwaptionMonthsToGo+SwaptionShift))*SUM(INDEX($FK$325:$ID$396,GW$169,1+SwaptionShift):INDEX($FK$325:$ID$396,GW$169,SwaptionMonthsToGo+SwaptionShift))))))</f>
        <v/>
      </c>
      <c r="GX204" s="150" t="str">
        <f aca="false">IF(OR(GX$169&lt;SwaptionFirstMonthPosition+1,$FJ204&lt;SwaptionFirstMonthPosition+1,GX$169&gt;SwaptionFirstMonthPosition+SwaptionNumOfMonths+1,$FJ204&gt;SwaptionFirstMonthPosition+SwaptionNumOfMonths+1),"",IF($FJ204=GX$169,1,IF($FJ204&lt;GX$169,INDEX($FK$170:$ID$241,GX$169,$FJ204),SUMPRODUCT(INDEX($FK$325:$ID$396,GX$169,1+SwaptionShift):INDEX($FK$325:$ID$396,GX$169,SwaptionMonthsToGo+SwaptionShift),INDEX($FK$245:$ID$316,$FJ204-GX$169,73-GX$169+SwaptionShift):INDEX($FK$245:$ID$316,$FJ204-GX$169,72-GX$169+SwaptionMonthsToGo+SwaptionShift))/SQRT(SUM(INDEX($FK359:$ID359,1+SwaptionShift):INDEX($FK359:$ID359,SwaptionMonthsToGo+SwaptionShift))*SUM(INDEX($FK$325:$ID$396,GX$169,1+SwaptionShift):INDEX($FK$325:$ID$396,GX$169,SwaptionMonthsToGo+SwaptionShift))))))</f>
        <v/>
      </c>
      <c r="GY204" s="150" t="str">
        <f aca="false">IF(OR(GY$169&lt;SwaptionFirstMonthPosition+1,$FJ204&lt;SwaptionFirstMonthPosition+1,GY$169&gt;SwaptionFirstMonthPosition+SwaptionNumOfMonths+1,$FJ204&gt;SwaptionFirstMonthPosition+SwaptionNumOfMonths+1),"",IF($FJ204=GY$169,1,IF($FJ204&lt;GY$169,INDEX($FK$170:$ID$241,GY$169,$FJ204),SUMPRODUCT(INDEX($FK$325:$ID$396,GY$169,1+SwaptionShift):INDEX($FK$325:$ID$396,GY$169,SwaptionMonthsToGo+SwaptionShift),INDEX($FK$245:$ID$316,$FJ204-GY$169,73-GY$169+SwaptionShift):INDEX($FK$245:$ID$316,$FJ204-GY$169,72-GY$169+SwaptionMonthsToGo+SwaptionShift))/SQRT(SUM(INDEX($FK359:$ID359,1+SwaptionShift):INDEX($FK359:$ID359,SwaptionMonthsToGo+SwaptionShift))*SUM(INDEX($FK$325:$ID$396,GY$169,1+SwaptionShift):INDEX($FK$325:$ID$396,GY$169,SwaptionMonthsToGo+SwaptionShift))))))</f>
        <v/>
      </c>
      <c r="GZ204" s="150" t="str">
        <f aca="false">IF(OR(GZ$169&lt;SwaptionFirstMonthPosition+1,$FJ204&lt;SwaptionFirstMonthPosition+1,GZ$169&gt;SwaptionFirstMonthPosition+SwaptionNumOfMonths+1,$FJ204&gt;SwaptionFirstMonthPosition+SwaptionNumOfMonths+1),"",IF($FJ204=GZ$169,1,IF($FJ204&lt;GZ$169,INDEX($FK$170:$ID$241,GZ$169,$FJ204),SUMPRODUCT(INDEX($FK$325:$ID$396,GZ$169,1+SwaptionShift):INDEX($FK$325:$ID$396,GZ$169,SwaptionMonthsToGo+SwaptionShift),INDEX($FK$245:$ID$316,$FJ204-GZ$169,73-GZ$169+SwaptionShift):INDEX($FK$245:$ID$316,$FJ204-GZ$169,72-GZ$169+SwaptionMonthsToGo+SwaptionShift))/SQRT(SUM(INDEX($FK359:$ID359,1+SwaptionShift):INDEX($FK359:$ID359,SwaptionMonthsToGo+SwaptionShift))*SUM(INDEX($FK$325:$ID$396,GZ$169,1+SwaptionShift):INDEX($FK$325:$ID$396,GZ$169,SwaptionMonthsToGo+SwaptionShift))))))</f>
        <v/>
      </c>
      <c r="HA204" s="150" t="str">
        <f aca="false">IF(OR(HA$169&lt;SwaptionFirstMonthPosition+1,$FJ204&lt;SwaptionFirstMonthPosition+1,HA$169&gt;SwaptionFirstMonthPosition+SwaptionNumOfMonths+1,$FJ204&gt;SwaptionFirstMonthPosition+SwaptionNumOfMonths+1),"",IF($FJ204=HA$169,1,IF($FJ204&lt;HA$169,INDEX($FK$170:$ID$241,HA$169,$FJ204),SUMPRODUCT(INDEX($FK$325:$ID$396,HA$169,1+SwaptionShift):INDEX($FK$325:$ID$396,HA$169,SwaptionMonthsToGo+SwaptionShift),INDEX($FK$245:$ID$316,$FJ204-HA$169,73-HA$169+SwaptionShift):INDEX($FK$245:$ID$316,$FJ204-HA$169,72-HA$169+SwaptionMonthsToGo+SwaptionShift))/SQRT(SUM(INDEX($FK359:$ID359,1+SwaptionShift):INDEX($FK359:$ID359,SwaptionMonthsToGo+SwaptionShift))*SUM(INDEX($FK$325:$ID$396,HA$169,1+SwaptionShift):INDEX($FK$325:$ID$396,HA$169,SwaptionMonthsToGo+SwaptionShift))))))</f>
        <v/>
      </c>
      <c r="HB204" s="150" t="str">
        <f aca="false">IF(OR(HB$169&lt;SwaptionFirstMonthPosition+1,$FJ204&lt;SwaptionFirstMonthPosition+1,HB$169&gt;SwaptionFirstMonthPosition+SwaptionNumOfMonths+1,$FJ204&gt;SwaptionFirstMonthPosition+SwaptionNumOfMonths+1),"",IF($FJ204=HB$169,1,IF($FJ204&lt;HB$169,INDEX($FK$170:$ID$241,HB$169,$FJ204),SUMPRODUCT(INDEX($FK$325:$ID$396,HB$169,1+SwaptionShift):INDEX($FK$325:$ID$396,HB$169,SwaptionMonthsToGo+SwaptionShift),INDEX($FK$245:$ID$316,$FJ204-HB$169,73-HB$169+SwaptionShift):INDEX($FK$245:$ID$316,$FJ204-HB$169,72-HB$169+SwaptionMonthsToGo+SwaptionShift))/SQRT(SUM(INDEX($FK359:$ID359,1+SwaptionShift):INDEX($FK359:$ID359,SwaptionMonthsToGo+SwaptionShift))*SUM(INDEX($FK$325:$ID$396,HB$169,1+SwaptionShift):INDEX($FK$325:$ID$396,HB$169,SwaptionMonthsToGo+SwaptionShift))))))</f>
        <v/>
      </c>
      <c r="HC204" s="150" t="str">
        <f aca="false">IF(OR(HC$169&lt;SwaptionFirstMonthPosition+1,$FJ204&lt;SwaptionFirstMonthPosition+1,HC$169&gt;SwaptionFirstMonthPosition+SwaptionNumOfMonths+1,$FJ204&gt;SwaptionFirstMonthPosition+SwaptionNumOfMonths+1),"",IF($FJ204=HC$169,1,IF($FJ204&lt;HC$169,INDEX($FK$170:$ID$241,HC$169,$FJ204),SUMPRODUCT(INDEX($FK$325:$ID$396,HC$169,1+SwaptionShift):INDEX($FK$325:$ID$396,HC$169,SwaptionMonthsToGo+SwaptionShift),INDEX($FK$245:$ID$316,$FJ204-HC$169,73-HC$169+SwaptionShift):INDEX($FK$245:$ID$316,$FJ204-HC$169,72-HC$169+SwaptionMonthsToGo+SwaptionShift))/SQRT(SUM(INDEX($FK359:$ID359,1+SwaptionShift):INDEX($FK359:$ID359,SwaptionMonthsToGo+SwaptionShift))*SUM(INDEX($FK$325:$ID$396,HC$169,1+SwaptionShift):INDEX($FK$325:$ID$396,HC$169,SwaptionMonthsToGo+SwaptionShift))))))</f>
        <v/>
      </c>
      <c r="HD204" s="150" t="str">
        <f aca="false">IF(OR(HD$169&lt;SwaptionFirstMonthPosition+1,$FJ204&lt;SwaptionFirstMonthPosition+1,HD$169&gt;SwaptionFirstMonthPosition+SwaptionNumOfMonths+1,$FJ204&gt;SwaptionFirstMonthPosition+SwaptionNumOfMonths+1),"",IF($FJ204=HD$169,1,IF($FJ204&lt;HD$169,INDEX($FK$170:$ID$241,HD$169,$FJ204),SUMPRODUCT(INDEX($FK$325:$ID$396,HD$169,1+SwaptionShift):INDEX($FK$325:$ID$396,HD$169,SwaptionMonthsToGo+SwaptionShift),INDEX($FK$245:$ID$316,$FJ204-HD$169,73-HD$169+SwaptionShift):INDEX($FK$245:$ID$316,$FJ204-HD$169,72-HD$169+SwaptionMonthsToGo+SwaptionShift))/SQRT(SUM(INDEX($FK359:$ID359,1+SwaptionShift):INDEX($FK359:$ID359,SwaptionMonthsToGo+SwaptionShift))*SUM(INDEX($FK$325:$ID$396,HD$169,1+SwaptionShift):INDEX($FK$325:$ID$396,HD$169,SwaptionMonthsToGo+SwaptionShift))))))</f>
        <v/>
      </c>
      <c r="HE204" s="150" t="str">
        <f aca="false">IF(OR(HE$169&lt;SwaptionFirstMonthPosition+1,$FJ204&lt;SwaptionFirstMonthPosition+1,HE$169&gt;SwaptionFirstMonthPosition+SwaptionNumOfMonths+1,$FJ204&gt;SwaptionFirstMonthPosition+SwaptionNumOfMonths+1),"",IF($FJ204=HE$169,1,IF($FJ204&lt;HE$169,INDEX($FK$170:$ID$241,HE$169,$FJ204),SUMPRODUCT(INDEX($FK$325:$ID$396,HE$169,1+SwaptionShift):INDEX($FK$325:$ID$396,HE$169,SwaptionMonthsToGo+SwaptionShift),INDEX($FK$245:$ID$316,$FJ204-HE$169,73-HE$169+SwaptionShift):INDEX($FK$245:$ID$316,$FJ204-HE$169,72-HE$169+SwaptionMonthsToGo+SwaptionShift))/SQRT(SUM(INDEX($FK359:$ID359,1+SwaptionShift):INDEX($FK359:$ID359,SwaptionMonthsToGo+SwaptionShift))*SUM(INDEX($FK$325:$ID$396,HE$169,1+SwaptionShift):INDEX($FK$325:$ID$396,HE$169,SwaptionMonthsToGo+SwaptionShift))))))</f>
        <v/>
      </c>
      <c r="HF204" s="150" t="str">
        <f aca="false">IF(OR(HF$169&lt;SwaptionFirstMonthPosition+1,$FJ204&lt;SwaptionFirstMonthPosition+1,HF$169&gt;SwaptionFirstMonthPosition+SwaptionNumOfMonths+1,$FJ204&gt;SwaptionFirstMonthPosition+SwaptionNumOfMonths+1),"",IF($FJ204=HF$169,1,IF($FJ204&lt;HF$169,INDEX($FK$170:$ID$241,HF$169,$FJ204),SUMPRODUCT(INDEX($FK$325:$ID$396,HF$169,1+SwaptionShift):INDEX($FK$325:$ID$396,HF$169,SwaptionMonthsToGo+SwaptionShift),INDEX($FK$245:$ID$316,$FJ204-HF$169,73-HF$169+SwaptionShift):INDEX($FK$245:$ID$316,$FJ204-HF$169,72-HF$169+SwaptionMonthsToGo+SwaptionShift))/SQRT(SUM(INDEX($FK359:$ID359,1+SwaptionShift):INDEX($FK359:$ID359,SwaptionMonthsToGo+SwaptionShift))*SUM(INDEX($FK$325:$ID$396,HF$169,1+SwaptionShift):INDEX($FK$325:$ID$396,HF$169,SwaptionMonthsToGo+SwaptionShift))))))</f>
        <v/>
      </c>
      <c r="HG204" s="150" t="str">
        <f aca="false">IF(OR(HG$169&lt;SwaptionFirstMonthPosition+1,$FJ204&lt;SwaptionFirstMonthPosition+1,HG$169&gt;SwaptionFirstMonthPosition+SwaptionNumOfMonths+1,$FJ204&gt;SwaptionFirstMonthPosition+SwaptionNumOfMonths+1),"",IF($FJ204=HG$169,1,IF($FJ204&lt;HG$169,INDEX($FK$170:$ID$241,HG$169,$FJ204),SUMPRODUCT(INDEX($FK$325:$ID$396,HG$169,1+SwaptionShift):INDEX($FK$325:$ID$396,HG$169,SwaptionMonthsToGo+SwaptionShift),INDEX($FK$245:$ID$316,$FJ204-HG$169,73-HG$169+SwaptionShift):INDEX($FK$245:$ID$316,$FJ204-HG$169,72-HG$169+SwaptionMonthsToGo+SwaptionShift))/SQRT(SUM(INDEX($FK359:$ID359,1+SwaptionShift):INDEX($FK359:$ID359,SwaptionMonthsToGo+SwaptionShift))*SUM(INDEX($FK$325:$ID$396,HG$169,1+SwaptionShift):INDEX($FK$325:$ID$396,HG$169,SwaptionMonthsToGo+SwaptionShift))))))</f>
        <v/>
      </c>
      <c r="HH204" s="150" t="str">
        <f aca="false">IF(OR(HH$169&lt;SwaptionFirstMonthPosition+1,$FJ204&lt;SwaptionFirstMonthPosition+1,HH$169&gt;SwaptionFirstMonthPosition+SwaptionNumOfMonths+1,$FJ204&gt;SwaptionFirstMonthPosition+SwaptionNumOfMonths+1),"",IF($FJ204=HH$169,1,IF($FJ204&lt;HH$169,INDEX($FK$170:$ID$241,HH$169,$FJ204),SUMPRODUCT(INDEX($FK$325:$ID$396,HH$169,1+SwaptionShift):INDEX($FK$325:$ID$396,HH$169,SwaptionMonthsToGo+SwaptionShift),INDEX($FK$245:$ID$316,$FJ204-HH$169,73-HH$169+SwaptionShift):INDEX($FK$245:$ID$316,$FJ204-HH$169,72-HH$169+SwaptionMonthsToGo+SwaptionShift))/SQRT(SUM(INDEX($FK359:$ID359,1+SwaptionShift):INDEX($FK359:$ID359,SwaptionMonthsToGo+SwaptionShift))*SUM(INDEX($FK$325:$ID$396,HH$169,1+SwaptionShift):INDEX($FK$325:$ID$396,HH$169,SwaptionMonthsToGo+SwaptionShift))))))</f>
        <v/>
      </c>
      <c r="HI204" s="150" t="str">
        <f aca="false">IF(OR(HI$169&lt;SwaptionFirstMonthPosition+1,$FJ204&lt;SwaptionFirstMonthPosition+1,HI$169&gt;SwaptionFirstMonthPosition+SwaptionNumOfMonths+1,$FJ204&gt;SwaptionFirstMonthPosition+SwaptionNumOfMonths+1),"",IF($FJ204=HI$169,1,IF($FJ204&lt;HI$169,INDEX($FK$170:$ID$241,HI$169,$FJ204),SUMPRODUCT(INDEX($FK$325:$ID$396,HI$169,1+SwaptionShift):INDEX($FK$325:$ID$396,HI$169,SwaptionMonthsToGo+SwaptionShift),INDEX($FK$245:$ID$316,$FJ204-HI$169,73-HI$169+SwaptionShift):INDEX($FK$245:$ID$316,$FJ204-HI$169,72-HI$169+SwaptionMonthsToGo+SwaptionShift))/SQRT(SUM(INDEX($FK359:$ID359,1+SwaptionShift):INDEX($FK359:$ID359,SwaptionMonthsToGo+SwaptionShift))*SUM(INDEX($FK$325:$ID$396,HI$169,1+SwaptionShift):INDEX($FK$325:$ID$396,HI$169,SwaptionMonthsToGo+SwaptionShift))))))</f>
        <v/>
      </c>
      <c r="HJ204" s="150" t="str">
        <f aca="false">IF(OR(HJ$169&lt;SwaptionFirstMonthPosition+1,$FJ204&lt;SwaptionFirstMonthPosition+1,HJ$169&gt;SwaptionFirstMonthPosition+SwaptionNumOfMonths+1,$FJ204&gt;SwaptionFirstMonthPosition+SwaptionNumOfMonths+1),"",IF($FJ204=HJ$169,1,IF($FJ204&lt;HJ$169,INDEX($FK$170:$ID$241,HJ$169,$FJ204),SUMPRODUCT(INDEX($FK$325:$ID$396,HJ$169,1+SwaptionShift):INDEX($FK$325:$ID$396,HJ$169,SwaptionMonthsToGo+SwaptionShift),INDEX($FK$245:$ID$316,$FJ204-HJ$169,73-HJ$169+SwaptionShift):INDEX($FK$245:$ID$316,$FJ204-HJ$169,72-HJ$169+SwaptionMonthsToGo+SwaptionShift))/SQRT(SUM(INDEX($FK359:$ID359,1+SwaptionShift):INDEX($FK359:$ID359,SwaptionMonthsToGo+SwaptionShift))*SUM(INDEX($FK$325:$ID$396,HJ$169,1+SwaptionShift):INDEX($FK$325:$ID$396,HJ$169,SwaptionMonthsToGo+SwaptionShift))))))</f>
        <v/>
      </c>
      <c r="HK204" s="150" t="str">
        <f aca="false">IF(OR(HK$169&lt;SwaptionFirstMonthPosition+1,$FJ204&lt;SwaptionFirstMonthPosition+1,HK$169&gt;SwaptionFirstMonthPosition+SwaptionNumOfMonths+1,$FJ204&gt;SwaptionFirstMonthPosition+SwaptionNumOfMonths+1),"",IF($FJ204=HK$169,1,IF($FJ204&lt;HK$169,INDEX($FK$170:$ID$241,HK$169,$FJ204),SUMPRODUCT(INDEX($FK$325:$ID$396,HK$169,1+SwaptionShift):INDEX($FK$325:$ID$396,HK$169,SwaptionMonthsToGo+SwaptionShift),INDEX($FK$245:$ID$316,$FJ204-HK$169,73-HK$169+SwaptionShift):INDEX($FK$245:$ID$316,$FJ204-HK$169,72-HK$169+SwaptionMonthsToGo+SwaptionShift))/SQRT(SUM(INDEX($FK359:$ID359,1+SwaptionShift):INDEX($FK359:$ID359,SwaptionMonthsToGo+SwaptionShift))*SUM(INDEX($FK$325:$ID$396,HK$169,1+SwaptionShift):INDEX($FK$325:$ID$396,HK$169,SwaptionMonthsToGo+SwaptionShift))))))</f>
        <v/>
      </c>
      <c r="HL204" s="150" t="str">
        <f aca="false">IF(OR(HL$169&lt;SwaptionFirstMonthPosition+1,$FJ204&lt;SwaptionFirstMonthPosition+1,HL$169&gt;SwaptionFirstMonthPosition+SwaptionNumOfMonths+1,$FJ204&gt;SwaptionFirstMonthPosition+SwaptionNumOfMonths+1),"",IF($FJ204=HL$169,1,IF($FJ204&lt;HL$169,INDEX($FK$170:$ID$241,HL$169,$FJ204),SUMPRODUCT(INDEX($FK$325:$ID$396,HL$169,1+SwaptionShift):INDEX($FK$325:$ID$396,HL$169,SwaptionMonthsToGo+SwaptionShift),INDEX($FK$245:$ID$316,$FJ204-HL$169,73-HL$169+SwaptionShift):INDEX($FK$245:$ID$316,$FJ204-HL$169,72-HL$169+SwaptionMonthsToGo+SwaptionShift))/SQRT(SUM(INDEX($FK359:$ID359,1+SwaptionShift):INDEX($FK359:$ID359,SwaptionMonthsToGo+SwaptionShift))*SUM(INDEX($FK$325:$ID$396,HL$169,1+SwaptionShift):INDEX($FK$325:$ID$396,HL$169,SwaptionMonthsToGo+SwaptionShift))))))</f>
        <v/>
      </c>
      <c r="HM204" s="150" t="str">
        <f aca="false">IF(OR(HM$169&lt;SwaptionFirstMonthPosition+1,$FJ204&lt;SwaptionFirstMonthPosition+1,HM$169&gt;SwaptionFirstMonthPosition+SwaptionNumOfMonths+1,$FJ204&gt;SwaptionFirstMonthPosition+SwaptionNumOfMonths+1),"",IF($FJ204=HM$169,1,IF($FJ204&lt;HM$169,INDEX($FK$170:$ID$241,HM$169,$FJ204),SUMPRODUCT(INDEX($FK$325:$ID$396,HM$169,1+SwaptionShift):INDEX($FK$325:$ID$396,HM$169,SwaptionMonthsToGo+SwaptionShift),INDEX($FK$245:$ID$316,$FJ204-HM$169,73-HM$169+SwaptionShift):INDEX($FK$245:$ID$316,$FJ204-HM$169,72-HM$169+SwaptionMonthsToGo+SwaptionShift))/SQRT(SUM(INDEX($FK359:$ID359,1+SwaptionShift):INDEX($FK359:$ID359,SwaptionMonthsToGo+SwaptionShift))*SUM(INDEX($FK$325:$ID$396,HM$169,1+SwaptionShift):INDEX($FK$325:$ID$396,HM$169,SwaptionMonthsToGo+SwaptionShift))))))</f>
        <v/>
      </c>
      <c r="HN204" s="150" t="str">
        <f aca="false">IF(OR(HN$169&lt;SwaptionFirstMonthPosition+1,$FJ204&lt;SwaptionFirstMonthPosition+1,HN$169&gt;SwaptionFirstMonthPosition+SwaptionNumOfMonths+1,$FJ204&gt;SwaptionFirstMonthPosition+SwaptionNumOfMonths+1),"",IF($FJ204=HN$169,1,IF($FJ204&lt;HN$169,INDEX($FK$170:$ID$241,HN$169,$FJ204),SUMPRODUCT(INDEX($FK$325:$ID$396,HN$169,1+SwaptionShift):INDEX($FK$325:$ID$396,HN$169,SwaptionMonthsToGo+SwaptionShift),INDEX($FK$245:$ID$316,$FJ204-HN$169,73-HN$169+SwaptionShift):INDEX($FK$245:$ID$316,$FJ204-HN$169,72-HN$169+SwaptionMonthsToGo+SwaptionShift))/SQRT(SUM(INDEX($FK359:$ID359,1+SwaptionShift):INDEX($FK359:$ID359,SwaptionMonthsToGo+SwaptionShift))*SUM(INDEX($FK$325:$ID$396,HN$169,1+SwaptionShift):INDEX($FK$325:$ID$396,HN$169,SwaptionMonthsToGo+SwaptionShift))))))</f>
        <v/>
      </c>
      <c r="HO204" s="150" t="str">
        <f aca="false">IF(OR(HO$169&lt;SwaptionFirstMonthPosition+1,$FJ204&lt;SwaptionFirstMonthPosition+1,HO$169&gt;SwaptionFirstMonthPosition+SwaptionNumOfMonths+1,$FJ204&gt;SwaptionFirstMonthPosition+SwaptionNumOfMonths+1),"",IF($FJ204=HO$169,1,IF($FJ204&lt;HO$169,INDEX($FK$170:$ID$241,HO$169,$FJ204),SUMPRODUCT(INDEX($FK$325:$ID$396,HO$169,1+SwaptionShift):INDEX($FK$325:$ID$396,HO$169,SwaptionMonthsToGo+SwaptionShift),INDEX($FK$245:$ID$316,$FJ204-HO$169,73-HO$169+SwaptionShift):INDEX($FK$245:$ID$316,$FJ204-HO$169,72-HO$169+SwaptionMonthsToGo+SwaptionShift))/SQRT(SUM(INDEX($FK359:$ID359,1+SwaptionShift):INDEX($FK359:$ID359,SwaptionMonthsToGo+SwaptionShift))*SUM(INDEX($FK$325:$ID$396,HO$169,1+SwaptionShift):INDEX($FK$325:$ID$396,HO$169,SwaptionMonthsToGo+SwaptionShift))))))</f>
        <v/>
      </c>
      <c r="HP204" s="150" t="str">
        <f aca="false">IF(OR(HP$169&lt;SwaptionFirstMonthPosition+1,$FJ204&lt;SwaptionFirstMonthPosition+1,HP$169&gt;SwaptionFirstMonthPosition+SwaptionNumOfMonths+1,$FJ204&gt;SwaptionFirstMonthPosition+SwaptionNumOfMonths+1),"",IF($FJ204=HP$169,1,IF($FJ204&lt;HP$169,INDEX($FK$170:$ID$241,HP$169,$FJ204),SUMPRODUCT(INDEX($FK$325:$ID$396,HP$169,1+SwaptionShift):INDEX($FK$325:$ID$396,HP$169,SwaptionMonthsToGo+SwaptionShift),INDEX($FK$245:$ID$316,$FJ204-HP$169,73-HP$169+SwaptionShift):INDEX($FK$245:$ID$316,$FJ204-HP$169,72-HP$169+SwaptionMonthsToGo+SwaptionShift))/SQRT(SUM(INDEX($FK359:$ID359,1+SwaptionShift):INDEX($FK359:$ID359,SwaptionMonthsToGo+SwaptionShift))*SUM(INDEX($FK$325:$ID$396,HP$169,1+SwaptionShift):INDEX($FK$325:$ID$396,HP$169,SwaptionMonthsToGo+SwaptionShift))))))</f>
        <v/>
      </c>
      <c r="HQ204" s="150" t="str">
        <f aca="false">IF(OR(HQ$169&lt;SwaptionFirstMonthPosition+1,$FJ204&lt;SwaptionFirstMonthPosition+1,HQ$169&gt;SwaptionFirstMonthPosition+SwaptionNumOfMonths+1,$FJ204&gt;SwaptionFirstMonthPosition+SwaptionNumOfMonths+1),"",IF($FJ204=HQ$169,1,IF($FJ204&lt;HQ$169,INDEX($FK$170:$ID$241,HQ$169,$FJ204),SUMPRODUCT(INDEX($FK$325:$ID$396,HQ$169,1+SwaptionShift):INDEX($FK$325:$ID$396,HQ$169,SwaptionMonthsToGo+SwaptionShift),INDEX($FK$245:$ID$316,$FJ204-HQ$169,73-HQ$169+SwaptionShift):INDEX($FK$245:$ID$316,$FJ204-HQ$169,72-HQ$169+SwaptionMonthsToGo+SwaptionShift))/SQRT(SUM(INDEX($FK359:$ID359,1+SwaptionShift):INDEX($FK359:$ID359,SwaptionMonthsToGo+SwaptionShift))*SUM(INDEX($FK$325:$ID$396,HQ$169,1+SwaptionShift):INDEX($FK$325:$ID$396,HQ$169,SwaptionMonthsToGo+SwaptionShift))))))</f>
        <v/>
      </c>
      <c r="HR204" s="150" t="str">
        <f aca="false">IF(OR(HR$169&lt;SwaptionFirstMonthPosition+1,$FJ204&lt;SwaptionFirstMonthPosition+1,HR$169&gt;SwaptionFirstMonthPosition+SwaptionNumOfMonths+1,$FJ204&gt;SwaptionFirstMonthPosition+SwaptionNumOfMonths+1),"",IF($FJ204=HR$169,1,IF($FJ204&lt;HR$169,INDEX($FK$170:$ID$241,HR$169,$FJ204),SUMPRODUCT(INDEX($FK$325:$ID$396,HR$169,1+SwaptionShift):INDEX($FK$325:$ID$396,HR$169,SwaptionMonthsToGo+SwaptionShift),INDEX($FK$245:$ID$316,$FJ204-HR$169,73-HR$169+SwaptionShift):INDEX($FK$245:$ID$316,$FJ204-HR$169,72-HR$169+SwaptionMonthsToGo+SwaptionShift))/SQRT(SUM(INDEX($FK359:$ID359,1+SwaptionShift):INDEX($FK359:$ID359,SwaptionMonthsToGo+SwaptionShift))*SUM(INDEX($FK$325:$ID$396,HR$169,1+SwaptionShift):INDEX($FK$325:$ID$396,HR$169,SwaptionMonthsToGo+SwaptionShift))))))</f>
        <v/>
      </c>
      <c r="HS204" s="150" t="str">
        <f aca="false">IF(OR(HS$169&lt;SwaptionFirstMonthPosition+1,$FJ204&lt;SwaptionFirstMonthPosition+1,HS$169&gt;SwaptionFirstMonthPosition+SwaptionNumOfMonths+1,$FJ204&gt;SwaptionFirstMonthPosition+SwaptionNumOfMonths+1),"",IF($FJ204=HS$169,1,IF($FJ204&lt;HS$169,INDEX($FK$170:$ID$241,HS$169,$FJ204),SUMPRODUCT(INDEX($FK$325:$ID$396,HS$169,1+SwaptionShift):INDEX($FK$325:$ID$396,HS$169,SwaptionMonthsToGo+SwaptionShift),INDEX($FK$245:$ID$316,$FJ204-HS$169,73-HS$169+SwaptionShift):INDEX($FK$245:$ID$316,$FJ204-HS$169,72-HS$169+SwaptionMonthsToGo+SwaptionShift))/SQRT(SUM(INDEX($FK359:$ID359,1+SwaptionShift):INDEX($FK359:$ID359,SwaptionMonthsToGo+SwaptionShift))*SUM(INDEX($FK$325:$ID$396,HS$169,1+SwaptionShift):INDEX($FK$325:$ID$396,HS$169,SwaptionMonthsToGo+SwaptionShift))))))</f>
        <v/>
      </c>
      <c r="HT204" s="150" t="str">
        <f aca="false">IF(OR(HT$169&lt;SwaptionFirstMonthPosition+1,$FJ204&lt;SwaptionFirstMonthPosition+1,HT$169&gt;SwaptionFirstMonthPosition+SwaptionNumOfMonths+1,$FJ204&gt;SwaptionFirstMonthPosition+SwaptionNumOfMonths+1),"",IF($FJ204=HT$169,1,IF($FJ204&lt;HT$169,INDEX($FK$170:$ID$241,HT$169,$FJ204),SUMPRODUCT(INDEX($FK$325:$ID$396,HT$169,1+SwaptionShift):INDEX($FK$325:$ID$396,HT$169,SwaptionMonthsToGo+SwaptionShift),INDEX($FK$245:$ID$316,$FJ204-HT$169,73-HT$169+SwaptionShift):INDEX($FK$245:$ID$316,$FJ204-HT$169,72-HT$169+SwaptionMonthsToGo+SwaptionShift))/SQRT(SUM(INDEX($FK359:$ID359,1+SwaptionShift):INDEX($FK359:$ID359,SwaptionMonthsToGo+SwaptionShift))*SUM(INDEX($FK$325:$ID$396,HT$169,1+SwaptionShift):INDEX($FK$325:$ID$396,HT$169,SwaptionMonthsToGo+SwaptionShift))))))</f>
        <v/>
      </c>
      <c r="HU204" s="150" t="str">
        <f aca="false">IF(OR(HU$169&lt;SwaptionFirstMonthPosition+1,$FJ204&lt;SwaptionFirstMonthPosition+1,HU$169&gt;SwaptionFirstMonthPosition+SwaptionNumOfMonths+1,$FJ204&gt;SwaptionFirstMonthPosition+SwaptionNumOfMonths+1),"",IF($FJ204=HU$169,1,IF($FJ204&lt;HU$169,INDEX($FK$170:$ID$241,HU$169,$FJ204),SUMPRODUCT(INDEX($FK$325:$ID$396,HU$169,1+SwaptionShift):INDEX($FK$325:$ID$396,HU$169,SwaptionMonthsToGo+SwaptionShift),INDEX($FK$245:$ID$316,$FJ204-HU$169,73-HU$169+SwaptionShift):INDEX($FK$245:$ID$316,$FJ204-HU$169,72-HU$169+SwaptionMonthsToGo+SwaptionShift))/SQRT(SUM(INDEX($FK359:$ID359,1+SwaptionShift):INDEX($FK359:$ID359,SwaptionMonthsToGo+SwaptionShift))*SUM(INDEX($FK$325:$ID$396,HU$169,1+SwaptionShift):INDEX($FK$325:$ID$396,HU$169,SwaptionMonthsToGo+SwaptionShift))))))</f>
        <v/>
      </c>
      <c r="HV204" s="150" t="str">
        <f aca="false">IF(OR(HV$169&lt;SwaptionFirstMonthPosition+1,$FJ204&lt;SwaptionFirstMonthPosition+1,HV$169&gt;SwaptionFirstMonthPosition+SwaptionNumOfMonths+1,$FJ204&gt;SwaptionFirstMonthPosition+SwaptionNumOfMonths+1),"",IF($FJ204=HV$169,1,IF($FJ204&lt;HV$169,INDEX($FK$170:$ID$241,HV$169,$FJ204),SUMPRODUCT(INDEX($FK$325:$ID$396,HV$169,1+SwaptionShift):INDEX($FK$325:$ID$396,HV$169,SwaptionMonthsToGo+SwaptionShift),INDEX($FK$245:$ID$316,$FJ204-HV$169,73-HV$169+SwaptionShift):INDEX($FK$245:$ID$316,$FJ204-HV$169,72-HV$169+SwaptionMonthsToGo+SwaptionShift))/SQRT(SUM(INDEX($FK359:$ID359,1+SwaptionShift):INDEX($FK359:$ID359,SwaptionMonthsToGo+SwaptionShift))*SUM(INDEX($FK$325:$ID$396,HV$169,1+SwaptionShift):INDEX($FK$325:$ID$396,HV$169,SwaptionMonthsToGo+SwaptionShift))))))</f>
        <v/>
      </c>
      <c r="HW204" s="150" t="str">
        <f aca="false">IF(OR(HW$169&lt;SwaptionFirstMonthPosition+1,$FJ204&lt;SwaptionFirstMonthPosition+1,HW$169&gt;SwaptionFirstMonthPosition+SwaptionNumOfMonths+1,$FJ204&gt;SwaptionFirstMonthPosition+SwaptionNumOfMonths+1),"",IF($FJ204=HW$169,1,IF($FJ204&lt;HW$169,INDEX($FK$170:$ID$241,HW$169,$FJ204),SUMPRODUCT(INDEX($FK$325:$ID$396,HW$169,1+SwaptionShift):INDEX($FK$325:$ID$396,HW$169,SwaptionMonthsToGo+SwaptionShift),INDEX($FK$245:$ID$316,$FJ204-HW$169,73-HW$169+SwaptionShift):INDEX($FK$245:$ID$316,$FJ204-HW$169,72-HW$169+SwaptionMonthsToGo+SwaptionShift))/SQRT(SUM(INDEX($FK359:$ID359,1+SwaptionShift):INDEX($FK359:$ID359,SwaptionMonthsToGo+SwaptionShift))*SUM(INDEX($FK$325:$ID$396,HW$169,1+SwaptionShift):INDEX($FK$325:$ID$396,HW$169,SwaptionMonthsToGo+SwaptionShift))))))</f>
        <v/>
      </c>
      <c r="HX204" s="150" t="str">
        <f aca="false">IF(OR(HX$169&lt;SwaptionFirstMonthPosition+1,$FJ204&lt;SwaptionFirstMonthPosition+1,HX$169&gt;SwaptionFirstMonthPosition+SwaptionNumOfMonths+1,$FJ204&gt;SwaptionFirstMonthPosition+SwaptionNumOfMonths+1),"",IF($FJ204=HX$169,1,IF($FJ204&lt;HX$169,INDEX($FK$170:$ID$241,HX$169,$FJ204),SUMPRODUCT(INDEX($FK$325:$ID$396,HX$169,1+SwaptionShift):INDEX($FK$325:$ID$396,HX$169,SwaptionMonthsToGo+SwaptionShift),INDEX($FK$245:$ID$316,$FJ204-HX$169,73-HX$169+SwaptionShift):INDEX($FK$245:$ID$316,$FJ204-HX$169,72-HX$169+SwaptionMonthsToGo+SwaptionShift))/SQRT(SUM(INDEX($FK359:$ID359,1+SwaptionShift):INDEX($FK359:$ID359,SwaptionMonthsToGo+SwaptionShift))*SUM(INDEX($FK$325:$ID$396,HX$169,1+SwaptionShift):INDEX($FK$325:$ID$396,HX$169,SwaptionMonthsToGo+SwaptionShift))))))</f>
        <v/>
      </c>
      <c r="HY204" s="150" t="str">
        <f aca="false">IF(OR(HY$169&lt;SwaptionFirstMonthPosition+1,$FJ204&lt;SwaptionFirstMonthPosition+1,HY$169&gt;SwaptionFirstMonthPosition+SwaptionNumOfMonths+1,$FJ204&gt;SwaptionFirstMonthPosition+SwaptionNumOfMonths+1),"",IF($FJ204=HY$169,1,IF($FJ204&lt;HY$169,INDEX($FK$170:$ID$241,HY$169,$FJ204),SUMPRODUCT(INDEX($FK$325:$ID$396,HY$169,1+SwaptionShift):INDEX($FK$325:$ID$396,HY$169,SwaptionMonthsToGo+SwaptionShift),INDEX($FK$245:$ID$316,$FJ204-HY$169,73-HY$169+SwaptionShift):INDEX($FK$245:$ID$316,$FJ204-HY$169,72-HY$169+SwaptionMonthsToGo+SwaptionShift))/SQRT(SUM(INDEX($FK359:$ID359,1+SwaptionShift):INDEX($FK359:$ID359,SwaptionMonthsToGo+SwaptionShift))*SUM(INDEX($FK$325:$ID$396,HY$169,1+SwaptionShift):INDEX($FK$325:$ID$396,HY$169,SwaptionMonthsToGo+SwaptionShift))))))</f>
        <v/>
      </c>
      <c r="HZ204" s="150" t="str">
        <f aca="false">IF(OR(HZ$169&lt;SwaptionFirstMonthPosition+1,$FJ204&lt;SwaptionFirstMonthPosition+1,HZ$169&gt;SwaptionFirstMonthPosition+SwaptionNumOfMonths+1,$FJ204&gt;SwaptionFirstMonthPosition+SwaptionNumOfMonths+1),"",IF($FJ204=HZ$169,1,IF($FJ204&lt;HZ$169,INDEX($FK$170:$ID$241,HZ$169,$FJ204),SUMPRODUCT(INDEX($FK$325:$ID$396,HZ$169,1+SwaptionShift):INDEX($FK$325:$ID$396,HZ$169,SwaptionMonthsToGo+SwaptionShift),INDEX($FK$245:$ID$316,$FJ204-HZ$169,73-HZ$169+SwaptionShift):INDEX($FK$245:$ID$316,$FJ204-HZ$169,72-HZ$169+SwaptionMonthsToGo+SwaptionShift))/SQRT(SUM(INDEX($FK359:$ID359,1+SwaptionShift):INDEX($FK359:$ID359,SwaptionMonthsToGo+SwaptionShift))*SUM(INDEX($FK$325:$ID$396,HZ$169,1+SwaptionShift):INDEX($FK$325:$ID$396,HZ$169,SwaptionMonthsToGo+SwaptionShift))))))</f>
        <v/>
      </c>
      <c r="IA204" s="150" t="str">
        <f aca="false">IF(OR(IA$169&lt;SwaptionFirstMonthPosition+1,$FJ204&lt;SwaptionFirstMonthPosition+1,IA$169&gt;SwaptionFirstMonthPosition+SwaptionNumOfMonths+1,$FJ204&gt;SwaptionFirstMonthPosition+SwaptionNumOfMonths+1),"",IF($FJ204=IA$169,1,IF($FJ204&lt;IA$169,INDEX($FK$170:$ID$241,IA$169,$FJ204),SUMPRODUCT(INDEX($FK$325:$ID$396,IA$169,1+SwaptionShift):INDEX($FK$325:$ID$396,IA$169,SwaptionMonthsToGo+SwaptionShift),INDEX($FK$245:$ID$316,$FJ204-IA$169,73-IA$169+SwaptionShift):INDEX($FK$245:$ID$316,$FJ204-IA$169,72-IA$169+SwaptionMonthsToGo+SwaptionShift))/SQRT(SUM(INDEX($FK359:$ID359,1+SwaptionShift):INDEX($FK359:$ID359,SwaptionMonthsToGo+SwaptionShift))*SUM(INDEX($FK$325:$ID$396,IA$169,1+SwaptionShift):INDEX($FK$325:$ID$396,IA$169,SwaptionMonthsToGo+SwaptionShift))))))</f>
        <v/>
      </c>
      <c r="IB204" s="150" t="str">
        <f aca="false">IF(OR(IB$169&lt;SwaptionFirstMonthPosition+1,$FJ204&lt;SwaptionFirstMonthPosition+1,IB$169&gt;SwaptionFirstMonthPosition+SwaptionNumOfMonths+1,$FJ204&gt;SwaptionFirstMonthPosition+SwaptionNumOfMonths+1),"",IF($FJ204=IB$169,1,IF($FJ204&lt;IB$169,INDEX($FK$170:$ID$241,IB$169,$FJ204),SUMPRODUCT(INDEX($FK$325:$ID$396,IB$169,1+SwaptionShift):INDEX($FK$325:$ID$396,IB$169,SwaptionMonthsToGo+SwaptionShift),INDEX($FK$245:$ID$316,$FJ204-IB$169,73-IB$169+SwaptionShift):INDEX($FK$245:$ID$316,$FJ204-IB$169,72-IB$169+SwaptionMonthsToGo+SwaptionShift))/SQRT(SUM(INDEX($FK359:$ID359,1+SwaptionShift):INDEX($FK359:$ID359,SwaptionMonthsToGo+SwaptionShift))*SUM(INDEX($FK$325:$ID$396,IB$169,1+SwaptionShift):INDEX($FK$325:$ID$396,IB$169,SwaptionMonthsToGo+SwaptionShift))))))</f>
        <v/>
      </c>
      <c r="IC204" s="150" t="str">
        <f aca="false">IF(OR(IC$169&lt;SwaptionFirstMonthPosition+1,$FJ204&lt;SwaptionFirstMonthPosition+1,IC$169&gt;SwaptionFirstMonthPosition+SwaptionNumOfMonths+1,$FJ204&gt;SwaptionFirstMonthPosition+SwaptionNumOfMonths+1),"",IF($FJ204=IC$169,1,IF($FJ204&lt;IC$169,INDEX($FK$170:$ID$241,IC$169,$FJ204),SUMPRODUCT(INDEX($FK$325:$ID$396,IC$169,1+SwaptionShift):INDEX($FK$325:$ID$396,IC$169,SwaptionMonthsToGo+SwaptionShift),INDEX($FK$245:$ID$316,$FJ204-IC$169,73-IC$169+SwaptionShift):INDEX($FK$245:$ID$316,$FJ204-IC$169,72-IC$169+SwaptionMonthsToGo+SwaptionShift))/SQRT(SUM(INDEX($FK359:$ID359,1+SwaptionShift):INDEX($FK359:$ID359,SwaptionMonthsToGo+SwaptionShift))*SUM(INDEX($FK$325:$ID$396,IC$169,1+SwaptionShift):INDEX($FK$325:$ID$396,IC$169,SwaptionMonthsToGo+SwaptionShift))))))</f>
        <v/>
      </c>
      <c r="ID204" s="572" t="str">
        <f aca="false">IF(OR(ID$169&lt;SwaptionFirstMonthPosition+1,$FJ204&lt;SwaptionFirstMonthPosition+1,ID$169&gt;SwaptionFirstMonthPosition+SwaptionNumOfMonths+1,$FJ204&gt;SwaptionFirstMonthPosition+SwaptionNumOfMonths+1),"",IF($FJ204=ID$169,1,IF($FJ204&lt;ID$169,INDEX($FK$170:$ID$241,ID$169,$FJ204),SUMPRODUCT(INDEX($FK$325:$ID$396,ID$169,1+SwaptionShift):INDEX($FK$325:$ID$396,ID$169,SwaptionMonthsToGo+SwaptionShift),INDEX($FK$245:$ID$316,$FJ204-ID$169,73-ID$169+SwaptionShift):INDEX($FK$245:$ID$316,$FJ204-ID$169,72-ID$169+SwaptionMonthsToGo+SwaptionShift))/SQRT(SUM(INDEX($FK359:$ID359,1+SwaptionShift):INDEX($FK359:$ID359,SwaptionMonthsToGo+SwaptionShift))*SUM(INDEX($FK$325:$ID$396,ID$169,1+SwaptionShift):INDEX($FK$325:$ID$396,ID$169,SwaptionMonthsToGo+SwaptionShift))))))</f>
        <v/>
      </c>
      <c r="IE204" s="129"/>
    </row>
    <row r="205" customFormat="false" ht="12.75" hidden="false" customHeight="false" outlineLevel="0" collapsed="false">
      <c r="H205" s="219" t="n">
        <f aca="false">VLOOKUP(I205,$EJ$20:$EL$54,3)</f>
        <v>0</v>
      </c>
      <c r="I205" s="511" t="n">
        <f aca="false">EOMONTH(I204,0)+1</f>
        <v>42401</v>
      </c>
      <c r="J205" s="512"/>
      <c r="K205" s="513" t="s">
        <v>280</v>
      </c>
      <c r="L205" s="514" t="n">
        <f aca="false">IF(ISNUMBER(K205),J205+K205/100,IF(K205="extra",L204+VLOOKUP(BF205,PriceSpreadTable,2)/12,IF(K205="inter",interpolateprices($K$19:$L$200,ROW(K205)-ROW(FirstPricingMonth)+1),interpolatechanges($J$19:$K$200,ROW(K205)-ROW(FirstPricingMonth)+1))))</f>
        <v>4.08750000000001</v>
      </c>
      <c r="M205" s="515"/>
      <c r="N205" s="516" t="n">
        <v>0</v>
      </c>
      <c r="O205" s="515" t="n">
        <f aca="false">M205+N205</f>
        <v>0</v>
      </c>
      <c r="P205" s="512"/>
      <c r="Q205" s="513" t="s">
        <v>280</v>
      </c>
      <c r="R205" s="512" t="e">
        <f aca="false">IF(ISNUMBER(Q205),P205+Q205/100,IF(Q205="extra",(Z203*AL203-R204*AM203)/AN203,IF(Q205="inter",interpolateprices($Q$19:$R$260,ROW(Q205)-ROW(FirstPricingMonth)+1),interpolatechanges($P$19:$Q$260,ROW(Q205)-ROW(FirstPricingMonth)+1))))</f>
        <v>#VALUE!</v>
      </c>
      <c r="S205" s="597" t="n">
        <f aca="false">S$19+(S204-S$19)*S$18</f>
        <v>0.36</v>
      </c>
      <c r="T205" s="575" t="n">
        <f aca="false">SQRT((1-(1-T204^2/U204)*T$18)*U205)</f>
        <v>0.999999999999971</v>
      </c>
      <c r="U205" s="576" t="n">
        <f aca="false">1-(1-U204)*U$18</f>
        <v>1</v>
      </c>
      <c r="V205" s="521" t="n">
        <v>0</v>
      </c>
      <c r="W205" s="577" t="n">
        <f aca="false">(J206*AJ205+J207*AK205)/AI205</f>
        <v>0</v>
      </c>
      <c r="X205" s="578" t="n">
        <f aca="false">(L206*AJ205+L207*AK205)/AI205</f>
        <v>4.13571428571429</v>
      </c>
      <c r="Y205" s="579" t="n">
        <f aca="false">IF(Q207="extra",W205-AA205,(P206*AM205+P207*AN205)/AL205)</f>
        <v>-1.1685</v>
      </c>
      <c r="Z205" s="579" t="n">
        <f aca="false">IF(Q207="extra",X205-AB205,(R206*AM205+R207*AN205)/AL205)</f>
        <v>2.96721428571429</v>
      </c>
      <c r="AA205" s="523" t="n">
        <f aca="false">IF(Q207="extra",INDEX(BrentSeasonalityTable,INT((BG205-1)/3)+1)*VLOOKUP(MAX(BF205,$AB$4),PriceSpreadTable,3),W205-Y205)</f>
        <v>1.1685</v>
      </c>
      <c r="AB205" s="524" t="n">
        <f aca="false">IF(Q207="extra",INDEX(BrentSeasonalityTable,INT((BG205-1)/3)+1)*VLOOKUP(MAX(BF205,$AB$4),PriceSpreadTable,3),X205-Z205)</f>
        <v>1.1685</v>
      </c>
      <c r="AC205" s="646" t="n">
        <v>42389</v>
      </c>
      <c r="AD205" s="646" t="n">
        <v>42385</v>
      </c>
      <c r="AE205" s="646" t="n">
        <v>42384</v>
      </c>
      <c r="AF205" s="646" t="n">
        <v>42380</v>
      </c>
      <c r="AG205" s="438" t="s">
        <v>278</v>
      </c>
      <c r="AH205" s="439" t="s">
        <v>278</v>
      </c>
      <c r="AI205" s="528" t="n">
        <v>21</v>
      </c>
      <c r="AJ205" s="529" t="n">
        <v>15</v>
      </c>
      <c r="AK205" s="529" t="n">
        <v>6</v>
      </c>
      <c r="AL205" s="530" t="n">
        <v>21</v>
      </c>
      <c r="AM205" s="529" t="n">
        <v>10</v>
      </c>
      <c r="AN205" s="531" t="n">
        <v>11</v>
      </c>
      <c r="AO205" s="532"/>
      <c r="AP205" s="465" t="n">
        <f aca="false">(1+AO205/2)^(-2*BL205)</f>
        <v>1</v>
      </c>
      <c r="AQ205" s="532"/>
      <c r="AR205" s="465" t="n">
        <f aca="false">(1+AQ205/2)^(-2*BH205/365.25)</f>
        <v>1</v>
      </c>
      <c r="AS205" s="580" t="n">
        <f aca="false">(O206*AJ205+O207*AK205)/AI205</f>
        <v>0</v>
      </c>
      <c r="AT205" s="468" t="n">
        <f aca="false">O205*VLOOKUP(BF205,BrentVolTable,2)+VLOOKUP(BF205,BrentVolTable,3)</f>
        <v>0</v>
      </c>
      <c r="AU205" s="468" t="n">
        <f aca="false">(AT206*AM205+AT207*AN205)/AL205</f>
        <v>0</v>
      </c>
      <c r="AV205" s="595" t="n">
        <f aca="false">SQRT(MAX(0.000000000001,(O205^2*BH205-S205^2*(BH205-BH204))/BH204))</f>
        <v>0.0335419589106079</v>
      </c>
      <c r="AW205" s="451" t="n">
        <f aca="false">IF($I205-DateToday+15&gt;=$T$8,"",IF($I205-DateToday+15&lt;$T$5,1,MATCH($I205-DateToday+15,$T$5:$T$8)))</f>
        <v>1</v>
      </c>
      <c r="AX205" s="468" t="n">
        <f aca="false">IF($AW205="",AX204^2/AX203,INDEX(U$5:U$8,$AW205)^((INDEX($T$5:$T$8,$AW205+1)-($I205-DateToday+15))/(INDEX($T$5:$T$8,$AW205+1)-INDEX($T$5:$T$8,$AW205)))/INDEX(U$5:U$8,$AW205+1)^((INDEX($T$5:$T$8,$AW205)-($I205-DateToday+15))/(INDEX($T$5:$T$8,$AW205+1)-INDEX($T$5:$T$8,$AW205))))</f>
        <v>0.240384672685038</v>
      </c>
      <c r="AY205" s="468" t="n">
        <f aca="false">IF($AW205="",AY204^2/AY203,INDEX(V$5:V$8,$AW205)^((INDEX($T$5:$T$8,$AW205+1)-($I205-DateToday+15))/(INDEX($T$5:$T$8,$AW205+1)-INDEX($T$5:$T$8,$AW205)))/INDEX(V$5:V$8,$AW205+1)^((INDEX($T$5:$T$8,$AW205)-($I205-DateToday+15))/(INDEX($T$5:$T$8,$AW205+1)-INDEX($T$5:$T$8,$AW205))))</f>
        <v>2.14925753947863</v>
      </c>
      <c r="AZ205" s="468" t="n">
        <f aca="false">IF($AW205="",AZ204^2/AZ203,INDEX(W$5:W$8,$AW205)^((INDEX($T$5:$T$8,$AW205+1)-($I205-DateToday+15))/(INDEX($T$5:$T$8,$AW205+1)-INDEX($T$5:$T$8,$AW205)))/INDEX(W$5:W$8,$AW205+1)^((INDEX($T$5:$T$8,$AW205)-($I205-DateToday+15))/(INDEX($T$5:$T$8,$AW205+1)-INDEX($T$5:$T$8,$AW205))))</f>
        <v>171.765113128783</v>
      </c>
      <c r="BA205" s="468" t="n">
        <f aca="false">IF($AW205="",BA204^2/BA203,INDEX(X$5:X$8,$AW205)^((INDEX($T$5:$T$8,$AW205+1)-($I205-DateToday+15))/(INDEX($T$5:$T$8,$AW205+1)-INDEX($T$5:$T$8,$AW205)))/INDEX(X$5:X$8,$AW205+1)^((INDEX($T$5:$T$8,$AW205)-($I205-DateToday+15))/(INDEX($T$5:$T$8,$AW205+1)-INDEX($T$5:$T$8,$AW205))))</f>
        <v>430.101046855947</v>
      </c>
      <c r="BB205" s="468" t="n">
        <f aca="false">IF($AW205="",BB204^2/BB203,INDEX(Y$5:Y$8,$AW205)^((INDEX($T$5:$T$8,$AW205+1)-($I205-DateToday+15))/(INDEX($T$5:$T$8,$AW205+1)-INDEX($T$5:$T$8,$AW205)))/INDEX(Y$5:Y$8,$AW205+1)^((INDEX($T$5:$T$8,$AW205)-($I205-DateToday+15))/(INDEX($T$5:$T$8,$AW205+1)-INDEX($T$5:$T$8,$AW205))))</f>
        <v>1904.43429373244</v>
      </c>
      <c r="BC205" s="468" t="n">
        <f aca="false">IF($AW205="",BC204^2/BC203,INDEX(Z$5:Z$8,$AW205)^((INDEX($T$5:$T$8,$AW205+1)-($I205-DateToday+15))/(INDEX($T$5:$T$8,$AW205+1)-INDEX($T$5:$T$8,$AW205)))/INDEX(Z$5:Z$8,$AW205+1)^((INDEX($T$5:$T$8,$AW205)-($I205-DateToday+15))/(INDEX($T$5:$T$8,$AW205+1)-INDEX($T$5:$T$8,$AW205))))</f>
        <v>4760.40205733041</v>
      </c>
      <c r="BD205" s="535" t="n">
        <f aca="false">IF(OR(DateStart&gt;=I206,DateEnd&lt;I205),0,IF(VolumeOverrideFlag,V205,Volume))</f>
        <v>0</v>
      </c>
      <c r="BE205" s="536" t="n">
        <f aca="false">IF(OR(DateStart2&gt;=I206,DateEnd2&lt;I205),0,IF(VolumeOverrideFlag,V205,VolumeSwaption))</f>
        <v>0</v>
      </c>
      <c r="BF205" s="537" t="n">
        <f aca="false">YEAR(I205)</f>
        <v>2016</v>
      </c>
      <c r="BG205" s="538" t="n">
        <f aca="false">MONTH(I205)</f>
        <v>2</v>
      </c>
      <c r="BH205" s="539" t="n">
        <f aca="false">AD205-DateToday+1</f>
        <v>-3540</v>
      </c>
      <c r="BI205" s="540" t="n">
        <f aca="false">(I205-DateToday+1)/365.25</f>
        <v>-9.64818617385352</v>
      </c>
      <c r="BJ205" s="541" t="n">
        <f aca="false">BI205+(BL205-BI205)*CHOOSE(Underlying,AJ205/AI205,AM205/AL205)</f>
        <v>-9.59342915811088</v>
      </c>
      <c r="BK205" s="541" t="n">
        <f aca="false">BJ205+1/365.25</f>
        <v>-9.59069130732375</v>
      </c>
      <c r="BL205" s="541" t="n">
        <f aca="false">(I206-DateToday)/365.25</f>
        <v>-9.57152635181383</v>
      </c>
      <c r="BM205" s="542" t="e">
        <f aca="false">MAX(BI205-(BJ205-BI205)*(S206^2/O206^2-1),0)</f>
        <v>#DIV/0!</v>
      </c>
      <c r="BN205" s="541" t="e">
        <f aca="false">MAX(BL205+(BL205-BK205)*(S207^2/O207^2-1),0)</f>
        <v>#DIV/0!</v>
      </c>
      <c r="BO205" s="530" t="n">
        <f aca="false">CHOOSE(Underlying,AI205,AL205)</f>
        <v>21</v>
      </c>
      <c r="BP205" s="529" t="n">
        <f aca="false">CHOOSE(Underlying,AJ205,AM205)</f>
        <v>15</v>
      </c>
      <c r="BQ205" s="529" t="n">
        <f aca="false">CHOOSE(Underlying,AK205,AN205)</f>
        <v>6</v>
      </c>
      <c r="BR205" s="463" t="str">
        <f aca="false">IF(BD205,IF(Underlying=1,X205,Z205)+UnderlyingPriceAsian-SwapPriceCurve,"")</f>
        <v/>
      </c>
      <c r="BS205" s="463" t="str">
        <f aca="false">IF(BD205,Strike1/BR205-1,"")</f>
        <v/>
      </c>
      <c r="BT205" s="464" t="str">
        <f aca="false">IF(BD205,Strike2/BR205-1,"")</f>
        <v/>
      </c>
      <c r="BU205" s="465" t="str">
        <f aca="false">IF(BD205,IF(Underlying=1,L206,R206)+UnderlyingPriceAsian-SwapPriceCurve,"")</f>
        <v/>
      </c>
      <c r="BV205" s="465" t="str">
        <f aca="false">IF(BD205,IF(Underlying=1,L207,R207)+UnderlyingPriceAsian-SwapPriceCurve,"")</f>
        <v/>
      </c>
      <c r="BW205" s="466" t="str">
        <f aca="false">IF(BD205,IF(Underlying=1,O206,AT206),"")</f>
        <v/>
      </c>
      <c r="BX205" s="467" t="str">
        <f aca="false">IF(BD205,IF(Underlying=1,O207,AT207),"")</f>
        <v/>
      </c>
      <c r="BY205" s="466" t="str">
        <f aca="false">IF(BD205,IF(BS205&gt;0,IF(BS205&gt;0.2,BC205-BB205,IF(BS205&gt;0.1,BB205-BA205,BA205)),IF(BS205&lt;-0.2,AX205-AY205,IF(BS205&lt;-0.1,AY205-AZ205,AZ205))),"")</f>
        <v/>
      </c>
      <c r="BZ205" s="467" t="str">
        <f aca="false">IF(BD205,IF(BT205&gt;0,IF(BT205&gt;0.2,BC205-BB205,IF(BT205&gt;0.1,BB205-BA205,BA205)),IF(BT205&lt;-0.2,AX205-AY205,IF(BT205&lt;-0.1,AY205-AZ205,AZ205))),"")</f>
        <v/>
      </c>
      <c r="CA205" s="468" t="str">
        <f aca="false">IF($BD205,$BW205+IF(VolSkewFlag=1,IF(BS205&gt;0,$BA205*MIN(BS205/10%,1)+($BB205-$BA205)*MAX(0,MIN(BS205/10%-1,1))+($BC205-$BB205)*MAX(0,BS205/10%-2),$AZ205*MIN(-BS205/10%,1)+($AY205-$AZ205)*MAX(0,MIN(-BS205/10%-1,1))+($AX205-$AY205)*MAX(0,-BS205/10%-2)),0),"")</f>
        <v/>
      </c>
      <c r="CB205" s="468" t="str">
        <f aca="false">IF($BD205,$BX205+IF(VolSkewFlag=1,IF(BS205&gt;0,$BA205*MIN(BS205/10%,1)+($BB205-$BA205)*MAX(0,MIN(BS205/10%-1,1))+($BC205-$BB205)*MAX(0,BS205/10%-2),$AZ205*MIN(-BS205/10%,1)+($AY205-$AZ205)*MAX(0,MIN(-BS205/10%-1,1))+($AX205-$AY205)*MAX(0,-BS205/10%-2)),0),"")</f>
        <v/>
      </c>
      <c r="CC205" s="468" t="str">
        <f aca="false">IF($BD205,$BW205+IF(VolSkewFlag=1,IF(BT205&gt;0,$BA205*MIN(BT205/10%,1)+($BB205-$BA205)*MAX(0,MIN(BT205/10%-1,1))+($BC205-$BB205)*MAX(0,BT205/10%-2),$AZ205*MIN(-BT205/10%,1)+($AY205-$AZ205)*MAX(0,MIN(-BT205/10%-1,1))+($AX205-$AY205)*MAX(0,-BT205/10%-2)),0),"")</f>
        <v/>
      </c>
      <c r="CD205" s="468" t="str">
        <f aca="false">IF($BD205,$BX205+IF(VolSkewFlag=1,IF(BT205&gt;0,$BA205*MIN(BT205/10%,1)+($BB205-$BA205)*MAX(0,MIN(BT205/10%-1,1))+($BC205-$BB205)*MAX(0,BT205/10%-2),$AZ205*MIN(-BT205/10%,1)+($AY205-$AZ205)*MAX(0,MIN(-BT205/10%-1,1))+($AX205-$AY205)*MAX(0,-BT205/10%-2)),0),"")</f>
        <v/>
      </c>
      <c r="CE205" s="469" t="n">
        <v>1</v>
      </c>
      <c r="CF205" s="470" t="n">
        <f aca="false">IF(BD205,xCrudeAPO(BU205,BV205,CA205,CB205,S206,S207,BI205,BL205,BP205,BQ205,0,Strike1,AO205,CE205,0,BL205,IF(OptControl=4,0,1),0,1),0)</f>
        <v>0</v>
      </c>
      <c r="CG205" s="470" t="n">
        <f aca="false">IF(BD205,xCrudeAPO(BU205,BV205,CA205,CB205,S206,S207,BI205,BL205,BP205,BQ205,0,Strike1,AO205,CE205,0,BL205,IF(OptControl=4,0,1),1,1)+xCrudeAPO(BU205,BV205,CA205,CB205,S206,S207,BI205,BL205,BP205,BQ205,0,Strike1,AO205,CE205,0,BL205,IF(OptControl=4,0,1),1,2)+IF(OR(VolSkewFlag=2,ABS(BS205)&lt;0.0001),0,IF(BS205&gt;0,-1,1)*CH205*Strike1/BR205^2*BY205/10%),0)</f>
        <v>0</v>
      </c>
      <c r="CH205" s="470" t="n">
        <f aca="false">IF(BD205,(xCrudeAPO(BU205,BV205,CA205,CB205,S206,S207,BI205,BL205,BP205,BQ205,0,Strike1,AO205,CE205,0,BL205,IF(OptControl=4,0,1),3,1)+xCrudeAPO(BU205,BV205,CA205,CB205,S206,S207,BI205,BL205,BP205,BQ205,0,Strike1,AO205,CE205,0,BL205,IF(OptControl=4,0,1),3,2))/100,0)</f>
        <v>0</v>
      </c>
      <c r="CI205" s="470" t="n">
        <f aca="false">IF(BD205,xCrudeAPO(BU205,BV205,CA205,CB205,S206,S207,BI205-DaysForThetaCalculation/365.25,BL205-DaysForThetaCalculation/365.25,BP205,BQ205,0,Strike1,AO205,CE205,0,BL205,IF(OptControl=4,0,1),0,1)-xCrudeAPO(BU205,BV205,CA205,CB205,S206,S207,BI205,BL205,BP205,BQ205,0,Strike1,AO205,CE205,0,BL205,IF(OptControl=4,0,1),0,1),0)</f>
        <v>0</v>
      </c>
      <c r="CJ205" s="471" t="n">
        <f aca="false">IF(BD205,xCrudeAPO(BU205,BV205,CC205,CD205,S206,S207,BI205,BL205,BP205,BQ205,0,Strike2,AO205,CE205,0,BL205,IF(OptControl=3,1,0),0,1),0)</f>
        <v>0</v>
      </c>
      <c r="CK205" s="470" t="n">
        <f aca="false">IF(BD205,xCrudeAPO(BU205,BV205,CC205,CD205,S206,S207,BI205,BL205,BP205,BQ205,0,Strike2,AO205,CE205,0,BL205,IF(OptControl=3,1,0),1,1)+xCrudeAPO(BU205,BV205,CC205,CD205,S206,S207,BI205,BL205,BP205,BQ205,0,Strike2,AO205,CE205,0,BL205,IF(OptControl=3,1,0),1,2)+IF(OR(VolSkewFlag=2,ABS(BT205)&lt;0.0001),0,IF(BT205&gt;0,-1,1)*CL205*Strike2/BR205^2*BZ205/10%),0)</f>
        <v>0</v>
      </c>
      <c r="CL205" s="470" t="n">
        <f aca="false">IF(BD205,(xCrudeAPO(BU205,BV205,CC205,CD205,S206,S207,BI205,BL205,BP205,BQ205,0,Strike2,AO205,CE205,0,BL205,IF(OptControl=3,1,0),3,1)+xCrudeAPO(BU205,BV205,CC205,CD205,S206,S207,BI205,BL205,BP205,BQ205,0,Strike2,AO205,CE205,0,BL205,IF(OptControl=3,1,0),3,2))/100,0)</f>
        <v>0</v>
      </c>
      <c r="CM205" s="472" t="n">
        <f aca="false">IF(BD205,xCrudeAPO(BU205,BV205,CC205,CD205,S206,S207,BI205-DaysForThetaCalculation/365.25,BL205-DaysForThetaCalculation/365.25,BP205,BQ205,0,Strike2,AO205,CE205,0,BL205,IF(OptControl=3,1,0),0,1)-xCrudeAPO(BU205,BV205,CC205,CD205,S206,S207,BI205,BL205,BP205,BQ205,0,Strike2,AO205,CE205,0,BL205,IF(OptControl=3,1,0),0,1),0)</f>
        <v>0</v>
      </c>
      <c r="CN205" s="3"/>
      <c r="CO205" s="543" t="str">
        <f aca="false">IF(BD205,CHOOSE(Underlying,AD205,AF205)-DateToday+1,"")</f>
        <v/>
      </c>
      <c r="CP205" s="582" t="str">
        <f aca="false">IF(BD205,CHOOSE(Underlying,L205,R205),"")</f>
        <v/>
      </c>
      <c r="CQ205" s="544" t="str">
        <f aca="false">IF(BD205,Strike1/CP205-1,"")</f>
        <v/>
      </c>
      <c r="CR205" s="544" t="str">
        <f aca="false">IF(BD205,Strike2/CP205-1,"")</f>
        <v/>
      </c>
      <c r="CS205" s="544" t="str">
        <f aca="false">IF(BD205,IF(CQ205&gt;0,IF(CQ205&gt;0.2,BC204-BB204,IF(CQ205&gt;0.1,BB204-BA204,BA204)),IF(CQ205&lt;-0.2,AX204-AY204,IF(CQ205&lt;-0.1,AY204-AZ204,AZ204))),"")</f>
        <v/>
      </c>
      <c r="CT205" s="544" t="str">
        <f aca="false">IF(BD205,IF(CR205&gt;0,IF(CR205&gt;0.2,BC204-BB204,IF(CR205&gt;0.1,BB204-BA204,BA204)),IF(CR205&lt;-0.2,AX204-AY204,IF(CR205&lt;-0.1,AY204-AZ204,AZ204))),"")</f>
        <v/>
      </c>
      <c r="CU205" s="545" t="str">
        <f aca="false">IF(BD205,CHOOSE(Underlying,O205,AT205),"")</f>
        <v/>
      </c>
      <c r="CV205" s="545" t="str">
        <f aca="false">IF(BD205,CU205+IF(VolSkewFlag=1,IF(CQ205&gt;0,BA204*MIN(CQ205/10%,1)+(BB204-BA204)*MAX(0,MIN(CQ205/10%-1,1))+(BC204-BB204)*MAX(0,CQ205/10%-2),AZ204*MIN(-CQ205/10%,1)+(AY204-AZ204)*MAX(0,MIN(-CQ205/10%-1,1))+(AX204-AY204)*MAX(0,-CQ205/10%-2)),0),"")</f>
        <v/>
      </c>
      <c r="CW205" s="545" t="str">
        <f aca="false">IF(BD205,CU205+IF(VolSkewFlag=1,IF(CR205&gt;0,BA204*MIN(CR205/10%,1)+(BB204-BA204)*MAX(0,MIN(CR205/10%-1,1))+(BC204-BB204)*MAX(0,CR205/10%-2),AZ204*MIN(-CR205/10%,1)+(AY204-AZ204)*MAX(0,MIN(-CR205/10%-1,1))+(AX204-AY204)*MAX(0,-CR205/10%-2)),0),"")</f>
        <v/>
      </c>
      <c r="CX205" s="470" t="n">
        <f aca="false">IF(BD205,EURO(CP205,Strike1,AO205,AO205,CV205,CO205,IF(OptControl=4,0,1),0),0)</f>
        <v>0</v>
      </c>
      <c r="CY205" s="470" t="n">
        <f aca="false">IF(BD205,EURO(CP205,Strike1,AO205,AO205,CV205,CO205,IF(OptControl=4,0,1),1)+IF(OR(VolSkewFlag=2,ABS(CQ205)&lt;0.0001),0,IF(CQ205&gt;0,-1,1)*CZ205*100*Strike1/CP205^2*CS205/10%),0)</f>
        <v>0</v>
      </c>
      <c r="CZ205" s="470" t="n">
        <f aca="false">IF(BD205,EURO(CP205,Strike1,AO205,AO205,CV205,CO205,IF(OptControl=4,0,1),3)/100,0)</f>
        <v>0</v>
      </c>
      <c r="DA205" s="470" t="n">
        <f aca="false">IF(BD205,EURO(CP205,Strike1,AO205,AO205,CV205,CO205,IF(OptControl=4,0,1),0)-EURO(CP205,Strike1,AO205,AO205,CV205,CO205-1,IF(OptControl=4,0,1),0),0)</f>
        <v>0</v>
      </c>
      <c r="DB205" s="470" t="n">
        <f aca="false">IF(BD205,EURO(CP205,Strike2,AO205,AO205,CW205,CO205,IF(OptControl=3,1,0),0),0)</f>
        <v>0</v>
      </c>
      <c r="DC205" s="470" t="n">
        <f aca="false">IF(BD205,EURO(CP205,Strike2,AO205,AO205,CW205,CO205,IF(OptControl=3,1,0),1)+IF(OR(VolSkewFlag=2,ABS(CR205)&lt;0.0001),0,IF(CR205&gt;0,-1,1)*DD205*100*Strike2/CP205^2*CT205/10%),0)</f>
        <v>0</v>
      </c>
      <c r="DD205" s="470" t="n">
        <f aca="false">IF(BD205,EURO(CP205,Strike2,AO205,AO205,CW205,CO205,IF(OptControl=3,1,0),3)/100,0)</f>
        <v>0</v>
      </c>
      <c r="DE205" s="472" t="n">
        <f aca="false">IF(BD205,EURO(CP205,Strike2,AO205,AO205,CW205,CO205,IF(OptControl=3,1,0),0)-EURO(CP205,Strike2,AO205,AO205,CW205,CO205-1,IF(OptControl=3,1,0),0),0)</f>
        <v>0</v>
      </c>
      <c r="DG205" s="481" t="n">
        <f aca="false">EOMONTH(DG204,0)+1</f>
        <v>51318</v>
      </c>
      <c r="DH205" s="478" t="n">
        <v>23.4100000000001</v>
      </c>
      <c r="DI205" s="479" t="n">
        <v>23.4795652173914</v>
      </c>
      <c r="DJ205" s="480" t="n">
        <f aca="false">DG205</f>
        <v>51318</v>
      </c>
      <c r="DK205" s="478" t="n">
        <v>22.2128006933737</v>
      </c>
      <c r="DL205" s="479" t="n">
        <v>22.2126652173914</v>
      </c>
      <c r="DM205" s="481" t="n">
        <f aca="false">DG205</f>
        <v>51318</v>
      </c>
      <c r="DN205" s="482" t="n">
        <f aca="false">DK205+BrentPhyBrentSpread</f>
        <v>22.2628006933737</v>
      </c>
      <c r="DO205" s="481" t="n">
        <f aca="false">DG205</f>
        <v>51318</v>
      </c>
      <c r="DP205" s="483" t="n">
        <f aca="false">DL205+DQ205</f>
        <v>22.2126652173914</v>
      </c>
      <c r="DQ205" s="546" t="n">
        <v>0</v>
      </c>
      <c r="DR205" s="480" t="n">
        <f aca="false">DG205</f>
        <v>51318</v>
      </c>
      <c r="DS205" s="485" t="n">
        <v>0.113599999999998</v>
      </c>
      <c r="DT205" s="486" t="n">
        <v>0.112765217391302</v>
      </c>
      <c r="DU205" s="480" t="n">
        <f aca="false">DG205</f>
        <v>51318</v>
      </c>
      <c r="DV205" s="485" t="n">
        <v>0.113599999999998</v>
      </c>
      <c r="DW205" s="486" t="n">
        <v>0.112765217391302</v>
      </c>
      <c r="DX205" s="481" t="n">
        <f aca="false">DG205</f>
        <v>51318</v>
      </c>
      <c r="DY205" s="486" t="n">
        <v>0.35</v>
      </c>
      <c r="DZ205" s="481" t="n">
        <f aca="false">DR205</f>
        <v>51318</v>
      </c>
      <c r="EA205" s="486" t="n">
        <f aca="false">DT205</f>
        <v>0.112765217391302</v>
      </c>
      <c r="EB205" s="195"/>
      <c r="EC205" s="547" t="str">
        <f aca="false">IF(BD205,IF(Underlying=1,AS205,AU205),"")</f>
        <v/>
      </c>
      <c r="ED205" s="548" t="str">
        <f aca="false">IF($BD205,$EC205+IF(VolSkewFlag=1,IF(BS205&gt;0,$BA205*MIN(BS205/10%,1)+($BB205-$BA205)*MAX(0,MIN(BS205/10%-1,1))+($BC205-$BB205)*MAX(0,BS205/10%-2),$AZ205*MIN(-BS205/10%,1)+($AY205-$AZ205)*MAX(0,MIN(-BS205/10%-1,1))+($AX205-$AY205)*MAX(0,-BS205/10%-2)),0),"")</f>
        <v/>
      </c>
      <c r="EE205" s="549" t="str">
        <f aca="false">IF($BD205,$EC205+IF(VolSkewFlag=1,IF(BT205&gt;0,$BA205*MIN(BT205/10%,1)+($BB205-$BA205)*MAX(0,MIN(BT205/10%-1,1))+($BC205-$BB205)*MAX(0,BT205/10%-2),$AZ205*MIN(-BT205/10%,1)+($AY205-$AZ205)*MAX(0,MIN(-BT205/10%-1,1))+($AX205-$AY205)*MAX(0,-BT205/10%-2)),0),"")</f>
        <v/>
      </c>
      <c r="EF205" s="550" t="n">
        <f aca="false">IF(BD205,xASN(BR205,Strike1,AO205,ED205,0,BO205,0,BI205,BL205,IF(OptControl=4,0,1),0),0)</f>
        <v>0</v>
      </c>
      <c r="EG205" s="551" t="n">
        <f aca="false">IF(BD205,xASN(BR205,Strike2,AO205,EE205,0,BO205,0,BI205,BL205,IF(OptControl=3,1,0),0),0)</f>
        <v>0</v>
      </c>
      <c r="EL205" s="1"/>
      <c r="EM205" s="195"/>
      <c r="EN205" s="240"/>
      <c r="EO205" s="240"/>
      <c r="EP205" s="195"/>
      <c r="EQ205" s="407" t="s">
        <v>433</v>
      </c>
      <c r="ES205" s="130"/>
      <c r="ET205" s="19"/>
      <c r="EU205" s="672"/>
      <c r="EV205" s="478"/>
      <c r="EW205" s="131"/>
      <c r="EX205" s="131"/>
      <c r="EY205" s="129"/>
      <c r="EZ205" s="129"/>
      <c r="FA205" s="129"/>
      <c r="FB205" s="129"/>
      <c r="FC205" s="129"/>
      <c r="FD205" s="129"/>
      <c r="FE205" s="129"/>
      <c r="FF205" s="129"/>
      <c r="FG205" s="129"/>
      <c r="FH205" s="129"/>
      <c r="FI205" s="129"/>
      <c r="FJ205" s="571" t="n">
        <v>36</v>
      </c>
      <c r="FK205" s="150" t="str">
        <f aca="false">IF(OR(FK$169&lt;SwaptionFirstMonthPosition+1,$FJ205&lt;SwaptionFirstMonthPosition+1,FK$169&gt;SwaptionFirstMonthPosition+SwaptionNumOfMonths+1,$FJ205&gt;SwaptionFirstMonthPosition+SwaptionNumOfMonths+1),"",IF($FJ205=FK$169,1,IF($FJ205&lt;FK$169,INDEX($FK$170:$ID$241,FK$169,$FJ205),SUMPRODUCT(INDEX($FK$325:$ID$396,FK$169,1+SwaptionShift):INDEX($FK$325:$ID$396,FK$169,SwaptionMonthsToGo+SwaptionShift),INDEX($FK$245:$ID$316,$FJ205-FK$169,73-FK$169+SwaptionShift):INDEX($FK$245:$ID$316,$FJ205-FK$169,72-FK$169+SwaptionMonthsToGo+SwaptionShift))/SQRT(SUM(INDEX($FK360:$ID360,1+SwaptionShift):INDEX($FK360:$ID360,SwaptionMonthsToGo+SwaptionShift))*SUM(INDEX($FK$325:$ID$396,FK$169,1+SwaptionShift):INDEX($FK$325:$ID$396,FK$169,SwaptionMonthsToGo+SwaptionShift))))))</f>
        <v/>
      </c>
      <c r="FL205" s="150" t="str">
        <f aca="false">IF(OR(FL$169&lt;SwaptionFirstMonthPosition+1,$FJ205&lt;SwaptionFirstMonthPosition+1,FL$169&gt;SwaptionFirstMonthPosition+SwaptionNumOfMonths+1,$FJ205&gt;SwaptionFirstMonthPosition+SwaptionNumOfMonths+1),"",IF($FJ205=FL$169,1,IF($FJ205&lt;FL$169,INDEX($FK$170:$ID$241,FL$169,$FJ205),SUMPRODUCT(INDEX($FK$325:$ID$396,FL$169,1+SwaptionShift):INDEX($FK$325:$ID$396,FL$169,SwaptionMonthsToGo+SwaptionShift),INDEX($FK$245:$ID$316,$FJ205-FL$169,73-FL$169+SwaptionShift):INDEX($FK$245:$ID$316,$FJ205-FL$169,72-FL$169+SwaptionMonthsToGo+SwaptionShift))/SQRT(SUM(INDEX($FK360:$ID360,1+SwaptionShift):INDEX($FK360:$ID360,SwaptionMonthsToGo+SwaptionShift))*SUM(INDEX($FK$325:$ID$396,FL$169,1+SwaptionShift):INDEX($FK$325:$ID$396,FL$169,SwaptionMonthsToGo+SwaptionShift))))))</f>
        <v/>
      </c>
      <c r="FM205" s="150" t="str">
        <f aca="false">IF(OR(FM$169&lt;SwaptionFirstMonthPosition+1,$FJ205&lt;SwaptionFirstMonthPosition+1,FM$169&gt;SwaptionFirstMonthPosition+SwaptionNumOfMonths+1,$FJ205&gt;SwaptionFirstMonthPosition+SwaptionNumOfMonths+1),"",IF($FJ205=FM$169,1,IF($FJ205&lt;FM$169,INDEX($FK$170:$ID$241,FM$169,$FJ205),SUMPRODUCT(INDEX($FK$325:$ID$396,FM$169,1+SwaptionShift):INDEX($FK$325:$ID$396,FM$169,SwaptionMonthsToGo+SwaptionShift),INDEX($FK$245:$ID$316,$FJ205-FM$169,73-FM$169+SwaptionShift):INDEX($FK$245:$ID$316,$FJ205-FM$169,72-FM$169+SwaptionMonthsToGo+SwaptionShift))/SQRT(SUM(INDEX($FK360:$ID360,1+SwaptionShift):INDEX($FK360:$ID360,SwaptionMonthsToGo+SwaptionShift))*SUM(INDEX($FK$325:$ID$396,FM$169,1+SwaptionShift):INDEX($FK$325:$ID$396,FM$169,SwaptionMonthsToGo+SwaptionShift))))))</f>
        <v/>
      </c>
      <c r="FN205" s="150" t="str">
        <f aca="false">IF(OR(FN$169&lt;SwaptionFirstMonthPosition+1,$FJ205&lt;SwaptionFirstMonthPosition+1,FN$169&gt;SwaptionFirstMonthPosition+SwaptionNumOfMonths+1,$FJ205&gt;SwaptionFirstMonthPosition+SwaptionNumOfMonths+1),"",IF($FJ205=FN$169,1,IF($FJ205&lt;FN$169,INDEX($FK$170:$ID$241,FN$169,$FJ205),SUMPRODUCT(INDEX($FK$325:$ID$396,FN$169,1+SwaptionShift):INDEX($FK$325:$ID$396,FN$169,SwaptionMonthsToGo+SwaptionShift),INDEX($FK$245:$ID$316,$FJ205-FN$169,73-FN$169+SwaptionShift):INDEX($FK$245:$ID$316,$FJ205-FN$169,72-FN$169+SwaptionMonthsToGo+SwaptionShift))/SQRT(SUM(INDEX($FK360:$ID360,1+SwaptionShift):INDEX($FK360:$ID360,SwaptionMonthsToGo+SwaptionShift))*SUM(INDEX($FK$325:$ID$396,FN$169,1+SwaptionShift):INDEX($FK$325:$ID$396,FN$169,SwaptionMonthsToGo+SwaptionShift))))))</f>
        <v/>
      </c>
      <c r="FO205" s="150" t="str">
        <f aca="false">IF(OR(FO$169&lt;SwaptionFirstMonthPosition+1,$FJ205&lt;SwaptionFirstMonthPosition+1,FO$169&gt;SwaptionFirstMonthPosition+SwaptionNumOfMonths+1,$FJ205&gt;SwaptionFirstMonthPosition+SwaptionNumOfMonths+1),"",IF($FJ205=FO$169,1,IF($FJ205&lt;FO$169,INDEX($FK$170:$ID$241,FO$169,$FJ205),SUMPRODUCT(INDEX($FK$325:$ID$396,FO$169,1+SwaptionShift):INDEX($FK$325:$ID$396,FO$169,SwaptionMonthsToGo+SwaptionShift),INDEX($FK$245:$ID$316,$FJ205-FO$169,73-FO$169+SwaptionShift):INDEX($FK$245:$ID$316,$FJ205-FO$169,72-FO$169+SwaptionMonthsToGo+SwaptionShift))/SQRT(SUM(INDEX($FK360:$ID360,1+SwaptionShift):INDEX($FK360:$ID360,SwaptionMonthsToGo+SwaptionShift))*SUM(INDEX($FK$325:$ID$396,FO$169,1+SwaptionShift):INDEX($FK$325:$ID$396,FO$169,SwaptionMonthsToGo+SwaptionShift))))))</f>
        <v/>
      </c>
      <c r="FP205" s="150" t="str">
        <f aca="false">IF(OR(FP$169&lt;SwaptionFirstMonthPosition+1,$FJ205&lt;SwaptionFirstMonthPosition+1,FP$169&gt;SwaptionFirstMonthPosition+SwaptionNumOfMonths+1,$FJ205&gt;SwaptionFirstMonthPosition+SwaptionNumOfMonths+1),"",IF($FJ205=FP$169,1,IF($FJ205&lt;FP$169,INDEX($FK$170:$ID$241,FP$169,$FJ205),SUMPRODUCT(INDEX($FK$325:$ID$396,FP$169,1+SwaptionShift):INDEX($FK$325:$ID$396,FP$169,SwaptionMonthsToGo+SwaptionShift),INDEX($FK$245:$ID$316,$FJ205-FP$169,73-FP$169+SwaptionShift):INDEX($FK$245:$ID$316,$FJ205-FP$169,72-FP$169+SwaptionMonthsToGo+SwaptionShift))/SQRT(SUM(INDEX($FK360:$ID360,1+SwaptionShift):INDEX($FK360:$ID360,SwaptionMonthsToGo+SwaptionShift))*SUM(INDEX($FK$325:$ID$396,FP$169,1+SwaptionShift):INDEX($FK$325:$ID$396,FP$169,SwaptionMonthsToGo+SwaptionShift))))))</f>
        <v/>
      </c>
      <c r="FQ205" s="150" t="str">
        <f aca="false">IF(OR(FQ$169&lt;SwaptionFirstMonthPosition+1,$FJ205&lt;SwaptionFirstMonthPosition+1,FQ$169&gt;SwaptionFirstMonthPosition+SwaptionNumOfMonths+1,$FJ205&gt;SwaptionFirstMonthPosition+SwaptionNumOfMonths+1),"",IF($FJ205=FQ$169,1,IF($FJ205&lt;FQ$169,INDEX($FK$170:$ID$241,FQ$169,$FJ205),SUMPRODUCT(INDEX($FK$325:$ID$396,FQ$169,1+SwaptionShift):INDEX($FK$325:$ID$396,FQ$169,SwaptionMonthsToGo+SwaptionShift),INDEX($FK$245:$ID$316,$FJ205-FQ$169,73-FQ$169+SwaptionShift):INDEX($FK$245:$ID$316,$FJ205-FQ$169,72-FQ$169+SwaptionMonthsToGo+SwaptionShift))/SQRT(SUM(INDEX($FK360:$ID360,1+SwaptionShift):INDEX($FK360:$ID360,SwaptionMonthsToGo+SwaptionShift))*SUM(INDEX($FK$325:$ID$396,FQ$169,1+SwaptionShift):INDEX($FK$325:$ID$396,FQ$169,SwaptionMonthsToGo+SwaptionShift))))))</f>
        <v/>
      </c>
      <c r="FR205" s="150" t="str">
        <f aca="false">IF(OR(FR$169&lt;SwaptionFirstMonthPosition+1,$FJ205&lt;SwaptionFirstMonthPosition+1,FR$169&gt;SwaptionFirstMonthPosition+SwaptionNumOfMonths+1,$FJ205&gt;SwaptionFirstMonthPosition+SwaptionNumOfMonths+1),"",IF($FJ205=FR$169,1,IF($FJ205&lt;FR$169,INDEX($FK$170:$ID$241,FR$169,$FJ205),SUMPRODUCT(INDEX($FK$325:$ID$396,FR$169,1+SwaptionShift):INDEX($FK$325:$ID$396,FR$169,SwaptionMonthsToGo+SwaptionShift),INDEX($FK$245:$ID$316,$FJ205-FR$169,73-FR$169+SwaptionShift):INDEX($FK$245:$ID$316,$FJ205-FR$169,72-FR$169+SwaptionMonthsToGo+SwaptionShift))/SQRT(SUM(INDEX($FK360:$ID360,1+SwaptionShift):INDEX($FK360:$ID360,SwaptionMonthsToGo+SwaptionShift))*SUM(INDEX($FK$325:$ID$396,FR$169,1+SwaptionShift):INDEX($FK$325:$ID$396,FR$169,SwaptionMonthsToGo+SwaptionShift))))))</f>
        <v/>
      </c>
      <c r="FS205" s="150" t="str">
        <f aca="false">IF(OR(FS$169&lt;SwaptionFirstMonthPosition+1,$FJ205&lt;SwaptionFirstMonthPosition+1,FS$169&gt;SwaptionFirstMonthPosition+SwaptionNumOfMonths+1,$FJ205&gt;SwaptionFirstMonthPosition+SwaptionNumOfMonths+1),"",IF($FJ205=FS$169,1,IF($FJ205&lt;FS$169,INDEX($FK$170:$ID$241,FS$169,$FJ205),SUMPRODUCT(INDEX($FK$325:$ID$396,FS$169,1+SwaptionShift):INDEX($FK$325:$ID$396,FS$169,SwaptionMonthsToGo+SwaptionShift),INDEX($FK$245:$ID$316,$FJ205-FS$169,73-FS$169+SwaptionShift):INDEX($FK$245:$ID$316,$FJ205-FS$169,72-FS$169+SwaptionMonthsToGo+SwaptionShift))/SQRT(SUM(INDEX($FK360:$ID360,1+SwaptionShift):INDEX($FK360:$ID360,SwaptionMonthsToGo+SwaptionShift))*SUM(INDEX($FK$325:$ID$396,FS$169,1+SwaptionShift):INDEX($FK$325:$ID$396,FS$169,SwaptionMonthsToGo+SwaptionShift))))))</f>
        <v/>
      </c>
      <c r="FT205" s="150" t="str">
        <f aca="false">IF(OR(FT$169&lt;SwaptionFirstMonthPosition+1,$FJ205&lt;SwaptionFirstMonthPosition+1,FT$169&gt;SwaptionFirstMonthPosition+SwaptionNumOfMonths+1,$FJ205&gt;SwaptionFirstMonthPosition+SwaptionNumOfMonths+1),"",IF($FJ205=FT$169,1,IF($FJ205&lt;FT$169,INDEX($FK$170:$ID$241,FT$169,$FJ205),SUMPRODUCT(INDEX($FK$325:$ID$396,FT$169,1+SwaptionShift):INDEX($FK$325:$ID$396,FT$169,SwaptionMonthsToGo+SwaptionShift),INDEX($FK$245:$ID$316,$FJ205-FT$169,73-FT$169+SwaptionShift):INDEX($FK$245:$ID$316,$FJ205-FT$169,72-FT$169+SwaptionMonthsToGo+SwaptionShift))/SQRT(SUM(INDEX($FK360:$ID360,1+SwaptionShift):INDEX($FK360:$ID360,SwaptionMonthsToGo+SwaptionShift))*SUM(INDEX($FK$325:$ID$396,FT$169,1+SwaptionShift):INDEX($FK$325:$ID$396,FT$169,SwaptionMonthsToGo+SwaptionShift))))))</f>
        <v/>
      </c>
      <c r="FU205" s="150" t="str">
        <f aca="false">IF(OR(FU$169&lt;SwaptionFirstMonthPosition+1,$FJ205&lt;SwaptionFirstMonthPosition+1,FU$169&gt;SwaptionFirstMonthPosition+SwaptionNumOfMonths+1,$FJ205&gt;SwaptionFirstMonthPosition+SwaptionNumOfMonths+1),"",IF($FJ205=FU$169,1,IF($FJ205&lt;FU$169,INDEX($FK$170:$ID$241,FU$169,$FJ205),SUMPRODUCT(INDEX($FK$325:$ID$396,FU$169,1+SwaptionShift):INDEX($FK$325:$ID$396,FU$169,SwaptionMonthsToGo+SwaptionShift),INDEX($FK$245:$ID$316,$FJ205-FU$169,73-FU$169+SwaptionShift):INDEX($FK$245:$ID$316,$FJ205-FU$169,72-FU$169+SwaptionMonthsToGo+SwaptionShift))/SQRT(SUM(INDEX($FK360:$ID360,1+SwaptionShift):INDEX($FK360:$ID360,SwaptionMonthsToGo+SwaptionShift))*SUM(INDEX($FK$325:$ID$396,FU$169,1+SwaptionShift):INDEX($FK$325:$ID$396,FU$169,SwaptionMonthsToGo+SwaptionShift))))))</f>
        <v/>
      </c>
      <c r="FV205" s="150" t="str">
        <f aca="false">IF(OR(FV$169&lt;SwaptionFirstMonthPosition+1,$FJ205&lt;SwaptionFirstMonthPosition+1,FV$169&gt;SwaptionFirstMonthPosition+SwaptionNumOfMonths+1,$FJ205&gt;SwaptionFirstMonthPosition+SwaptionNumOfMonths+1),"",IF($FJ205=FV$169,1,IF($FJ205&lt;FV$169,INDEX($FK$170:$ID$241,FV$169,$FJ205),SUMPRODUCT(INDEX($FK$325:$ID$396,FV$169,1+SwaptionShift):INDEX($FK$325:$ID$396,FV$169,SwaptionMonthsToGo+SwaptionShift),INDEX($FK$245:$ID$316,$FJ205-FV$169,73-FV$169+SwaptionShift):INDEX($FK$245:$ID$316,$FJ205-FV$169,72-FV$169+SwaptionMonthsToGo+SwaptionShift))/SQRT(SUM(INDEX($FK360:$ID360,1+SwaptionShift):INDEX($FK360:$ID360,SwaptionMonthsToGo+SwaptionShift))*SUM(INDEX($FK$325:$ID$396,FV$169,1+SwaptionShift):INDEX($FK$325:$ID$396,FV$169,SwaptionMonthsToGo+SwaptionShift))))))</f>
        <v/>
      </c>
      <c r="FW205" s="150" t="str">
        <f aca="false">IF(OR(FW$169&lt;SwaptionFirstMonthPosition+1,$FJ205&lt;SwaptionFirstMonthPosition+1,FW$169&gt;SwaptionFirstMonthPosition+SwaptionNumOfMonths+1,$FJ205&gt;SwaptionFirstMonthPosition+SwaptionNumOfMonths+1),"",IF($FJ205=FW$169,1,IF($FJ205&lt;FW$169,INDEX($FK$170:$ID$241,FW$169,$FJ205),SUMPRODUCT(INDEX($FK$325:$ID$396,FW$169,1+SwaptionShift):INDEX($FK$325:$ID$396,FW$169,SwaptionMonthsToGo+SwaptionShift),INDEX($FK$245:$ID$316,$FJ205-FW$169,73-FW$169+SwaptionShift):INDEX($FK$245:$ID$316,$FJ205-FW$169,72-FW$169+SwaptionMonthsToGo+SwaptionShift))/SQRT(SUM(INDEX($FK360:$ID360,1+SwaptionShift):INDEX($FK360:$ID360,SwaptionMonthsToGo+SwaptionShift))*SUM(INDEX($FK$325:$ID$396,FW$169,1+SwaptionShift):INDEX($FK$325:$ID$396,FW$169,SwaptionMonthsToGo+SwaptionShift))))))</f>
        <v/>
      </c>
      <c r="FX205" s="150" t="str">
        <f aca="false">IF(OR(FX$169&lt;SwaptionFirstMonthPosition+1,$FJ205&lt;SwaptionFirstMonthPosition+1,FX$169&gt;SwaptionFirstMonthPosition+SwaptionNumOfMonths+1,$FJ205&gt;SwaptionFirstMonthPosition+SwaptionNumOfMonths+1),"",IF($FJ205=FX$169,1,IF($FJ205&lt;FX$169,INDEX($FK$170:$ID$241,FX$169,$FJ205),SUMPRODUCT(INDEX($FK$325:$ID$396,FX$169,1+SwaptionShift):INDEX($FK$325:$ID$396,FX$169,SwaptionMonthsToGo+SwaptionShift),INDEX($FK$245:$ID$316,$FJ205-FX$169,73-FX$169+SwaptionShift):INDEX($FK$245:$ID$316,$FJ205-FX$169,72-FX$169+SwaptionMonthsToGo+SwaptionShift))/SQRT(SUM(INDEX($FK360:$ID360,1+SwaptionShift):INDEX($FK360:$ID360,SwaptionMonthsToGo+SwaptionShift))*SUM(INDEX($FK$325:$ID$396,FX$169,1+SwaptionShift):INDEX($FK$325:$ID$396,FX$169,SwaptionMonthsToGo+SwaptionShift))))))</f>
        <v/>
      </c>
      <c r="FY205" s="150" t="str">
        <f aca="false">IF(OR(FY$169&lt;SwaptionFirstMonthPosition+1,$FJ205&lt;SwaptionFirstMonthPosition+1,FY$169&gt;SwaptionFirstMonthPosition+SwaptionNumOfMonths+1,$FJ205&gt;SwaptionFirstMonthPosition+SwaptionNumOfMonths+1),"",IF($FJ205=FY$169,1,IF($FJ205&lt;FY$169,INDEX($FK$170:$ID$241,FY$169,$FJ205),SUMPRODUCT(INDEX($FK$325:$ID$396,FY$169,1+SwaptionShift):INDEX($FK$325:$ID$396,FY$169,SwaptionMonthsToGo+SwaptionShift),INDEX($FK$245:$ID$316,$FJ205-FY$169,73-FY$169+SwaptionShift):INDEX($FK$245:$ID$316,$FJ205-FY$169,72-FY$169+SwaptionMonthsToGo+SwaptionShift))/SQRT(SUM(INDEX($FK360:$ID360,1+SwaptionShift):INDEX($FK360:$ID360,SwaptionMonthsToGo+SwaptionShift))*SUM(INDEX($FK$325:$ID$396,FY$169,1+SwaptionShift):INDEX($FK$325:$ID$396,FY$169,SwaptionMonthsToGo+SwaptionShift))))))</f>
        <v/>
      </c>
      <c r="FZ205" s="150" t="str">
        <f aca="false">IF(OR(FZ$169&lt;SwaptionFirstMonthPosition+1,$FJ205&lt;SwaptionFirstMonthPosition+1,FZ$169&gt;SwaptionFirstMonthPosition+SwaptionNumOfMonths+1,$FJ205&gt;SwaptionFirstMonthPosition+SwaptionNumOfMonths+1),"",IF($FJ205=FZ$169,1,IF($FJ205&lt;FZ$169,INDEX($FK$170:$ID$241,FZ$169,$FJ205),SUMPRODUCT(INDEX($FK$325:$ID$396,FZ$169,1+SwaptionShift):INDEX($FK$325:$ID$396,FZ$169,SwaptionMonthsToGo+SwaptionShift),INDEX($FK$245:$ID$316,$FJ205-FZ$169,73-FZ$169+SwaptionShift):INDEX($FK$245:$ID$316,$FJ205-FZ$169,72-FZ$169+SwaptionMonthsToGo+SwaptionShift))/SQRT(SUM(INDEX($FK360:$ID360,1+SwaptionShift):INDEX($FK360:$ID360,SwaptionMonthsToGo+SwaptionShift))*SUM(INDEX($FK$325:$ID$396,FZ$169,1+SwaptionShift):INDEX($FK$325:$ID$396,FZ$169,SwaptionMonthsToGo+SwaptionShift))))))</f>
        <v/>
      </c>
      <c r="GA205" s="150" t="str">
        <f aca="false">IF(OR(GA$169&lt;SwaptionFirstMonthPosition+1,$FJ205&lt;SwaptionFirstMonthPosition+1,GA$169&gt;SwaptionFirstMonthPosition+SwaptionNumOfMonths+1,$FJ205&gt;SwaptionFirstMonthPosition+SwaptionNumOfMonths+1),"",IF($FJ205=GA$169,1,IF($FJ205&lt;GA$169,INDEX($FK$170:$ID$241,GA$169,$FJ205),SUMPRODUCT(INDEX($FK$325:$ID$396,GA$169,1+SwaptionShift):INDEX($FK$325:$ID$396,GA$169,SwaptionMonthsToGo+SwaptionShift),INDEX($FK$245:$ID$316,$FJ205-GA$169,73-GA$169+SwaptionShift):INDEX($FK$245:$ID$316,$FJ205-GA$169,72-GA$169+SwaptionMonthsToGo+SwaptionShift))/SQRT(SUM(INDEX($FK360:$ID360,1+SwaptionShift):INDEX($FK360:$ID360,SwaptionMonthsToGo+SwaptionShift))*SUM(INDEX($FK$325:$ID$396,GA$169,1+SwaptionShift):INDEX($FK$325:$ID$396,GA$169,SwaptionMonthsToGo+SwaptionShift))))))</f>
        <v/>
      </c>
      <c r="GB205" s="150" t="str">
        <f aca="false">IF(OR(GB$169&lt;SwaptionFirstMonthPosition+1,$FJ205&lt;SwaptionFirstMonthPosition+1,GB$169&gt;SwaptionFirstMonthPosition+SwaptionNumOfMonths+1,$FJ205&gt;SwaptionFirstMonthPosition+SwaptionNumOfMonths+1),"",IF($FJ205=GB$169,1,IF($FJ205&lt;GB$169,INDEX($FK$170:$ID$241,GB$169,$FJ205),SUMPRODUCT(INDEX($FK$325:$ID$396,GB$169,1+SwaptionShift):INDEX($FK$325:$ID$396,GB$169,SwaptionMonthsToGo+SwaptionShift),INDEX($FK$245:$ID$316,$FJ205-GB$169,73-GB$169+SwaptionShift):INDEX($FK$245:$ID$316,$FJ205-GB$169,72-GB$169+SwaptionMonthsToGo+SwaptionShift))/SQRT(SUM(INDEX($FK360:$ID360,1+SwaptionShift):INDEX($FK360:$ID360,SwaptionMonthsToGo+SwaptionShift))*SUM(INDEX($FK$325:$ID$396,GB$169,1+SwaptionShift):INDEX($FK$325:$ID$396,GB$169,SwaptionMonthsToGo+SwaptionShift))))))</f>
        <v/>
      </c>
      <c r="GC205" s="150" t="str">
        <f aca="false">IF(OR(GC$169&lt;SwaptionFirstMonthPosition+1,$FJ205&lt;SwaptionFirstMonthPosition+1,GC$169&gt;SwaptionFirstMonthPosition+SwaptionNumOfMonths+1,$FJ205&gt;SwaptionFirstMonthPosition+SwaptionNumOfMonths+1),"",IF($FJ205=GC$169,1,IF($FJ205&lt;GC$169,INDEX($FK$170:$ID$241,GC$169,$FJ205),SUMPRODUCT(INDEX($FK$325:$ID$396,GC$169,1+SwaptionShift):INDEX($FK$325:$ID$396,GC$169,SwaptionMonthsToGo+SwaptionShift),INDEX($FK$245:$ID$316,$FJ205-GC$169,73-GC$169+SwaptionShift):INDEX($FK$245:$ID$316,$FJ205-GC$169,72-GC$169+SwaptionMonthsToGo+SwaptionShift))/SQRT(SUM(INDEX($FK360:$ID360,1+SwaptionShift):INDEX($FK360:$ID360,SwaptionMonthsToGo+SwaptionShift))*SUM(INDEX($FK$325:$ID$396,GC$169,1+SwaptionShift):INDEX($FK$325:$ID$396,GC$169,SwaptionMonthsToGo+SwaptionShift))))))</f>
        <v/>
      </c>
      <c r="GD205" s="150" t="str">
        <f aca="false">IF(OR(GD$169&lt;SwaptionFirstMonthPosition+1,$FJ205&lt;SwaptionFirstMonthPosition+1,GD$169&gt;SwaptionFirstMonthPosition+SwaptionNumOfMonths+1,$FJ205&gt;SwaptionFirstMonthPosition+SwaptionNumOfMonths+1),"",IF($FJ205=GD$169,1,IF($FJ205&lt;GD$169,INDEX($FK$170:$ID$241,GD$169,$FJ205),SUMPRODUCT(INDEX($FK$325:$ID$396,GD$169,1+SwaptionShift):INDEX($FK$325:$ID$396,GD$169,SwaptionMonthsToGo+SwaptionShift),INDEX($FK$245:$ID$316,$FJ205-GD$169,73-GD$169+SwaptionShift):INDEX($FK$245:$ID$316,$FJ205-GD$169,72-GD$169+SwaptionMonthsToGo+SwaptionShift))/SQRT(SUM(INDEX($FK360:$ID360,1+SwaptionShift):INDEX($FK360:$ID360,SwaptionMonthsToGo+SwaptionShift))*SUM(INDEX($FK$325:$ID$396,GD$169,1+SwaptionShift):INDEX($FK$325:$ID$396,GD$169,SwaptionMonthsToGo+SwaptionShift))))))</f>
        <v/>
      </c>
      <c r="GE205" s="150" t="str">
        <f aca="false">IF(OR(GE$169&lt;SwaptionFirstMonthPosition+1,$FJ205&lt;SwaptionFirstMonthPosition+1,GE$169&gt;SwaptionFirstMonthPosition+SwaptionNumOfMonths+1,$FJ205&gt;SwaptionFirstMonthPosition+SwaptionNumOfMonths+1),"",IF($FJ205=GE$169,1,IF($FJ205&lt;GE$169,INDEX($FK$170:$ID$241,GE$169,$FJ205),SUMPRODUCT(INDEX($FK$325:$ID$396,GE$169,1+SwaptionShift):INDEX($FK$325:$ID$396,GE$169,SwaptionMonthsToGo+SwaptionShift),INDEX($FK$245:$ID$316,$FJ205-GE$169,73-GE$169+SwaptionShift):INDEX($FK$245:$ID$316,$FJ205-GE$169,72-GE$169+SwaptionMonthsToGo+SwaptionShift))/SQRT(SUM(INDEX($FK360:$ID360,1+SwaptionShift):INDEX($FK360:$ID360,SwaptionMonthsToGo+SwaptionShift))*SUM(INDEX($FK$325:$ID$396,GE$169,1+SwaptionShift):INDEX($FK$325:$ID$396,GE$169,SwaptionMonthsToGo+SwaptionShift))))))</f>
        <v/>
      </c>
      <c r="GF205" s="150" t="str">
        <f aca="false">IF(OR(GF$169&lt;SwaptionFirstMonthPosition+1,$FJ205&lt;SwaptionFirstMonthPosition+1,GF$169&gt;SwaptionFirstMonthPosition+SwaptionNumOfMonths+1,$FJ205&gt;SwaptionFirstMonthPosition+SwaptionNumOfMonths+1),"",IF($FJ205=GF$169,1,IF($FJ205&lt;GF$169,INDEX($FK$170:$ID$241,GF$169,$FJ205),SUMPRODUCT(INDEX($FK$325:$ID$396,GF$169,1+SwaptionShift):INDEX($FK$325:$ID$396,GF$169,SwaptionMonthsToGo+SwaptionShift),INDEX($FK$245:$ID$316,$FJ205-GF$169,73-GF$169+SwaptionShift):INDEX($FK$245:$ID$316,$FJ205-GF$169,72-GF$169+SwaptionMonthsToGo+SwaptionShift))/SQRT(SUM(INDEX($FK360:$ID360,1+SwaptionShift):INDEX($FK360:$ID360,SwaptionMonthsToGo+SwaptionShift))*SUM(INDEX($FK$325:$ID$396,GF$169,1+SwaptionShift):INDEX($FK$325:$ID$396,GF$169,SwaptionMonthsToGo+SwaptionShift))))))</f>
        <v/>
      </c>
      <c r="GG205" s="150" t="str">
        <f aca="false">IF(OR(GG$169&lt;SwaptionFirstMonthPosition+1,$FJ205&lt;SwaptionFirstMonthPosition+1,GG$169&gt;SwaptionFirstMonthPosition+SwaptionNumOfMonths+1,$FJ205&gt;SwaptionFirstMonthPosition+SwaptionNumOfMonths+1),"",IF($FJ205=GG$169,1,IF($FJ205&lt;GG$169,INDEX($FK$170:$ID$241,GG$169,$FJ205),SUMPRODUCT(INDEX($FK$325:$ID$396,GG$169,1+SwaptionShift):INDEX($FK$325:$ID$396,GG$169,SwaptionMonthsToGo+SwaptionShift),INDEX($FK$245:$ID$316,$FJ205-GG$169,73-GG$169+SwaptionShift):INDEX($FK$245:$ID$316,$FJ205-GG$169,72-GG$169+SwaptionMonthsToGo+SwaptionShift))/SQRT(SUM(INDEX($FK360:$ID360,1+SwaptionShift):INDEX($FK360:$ID360,SwaptionMonthsToGo+SwaptionShift))*SUM(INDEX($FK$325:$ID$396,GG$169,1+SwaptionShift):INDEX($FK$325:$ID$396,GG$169,SwaptionMonthsToGo+SwaptionShift))))))</f>
        <v/>
      </c>
      <c r="GH205" s="150" t="str">
        <f aca="false">IF(OR(GH$169&lt;SwaptionFirstMonthPosition+1,$FJ205&lt;SwaptionFirstMonthPosition+1,GH$169&gt;SwaptionFirstMonthPosition+SwaptionNumOfMonths+1,$FJ205&gt;SwaptionFirstMonthPosition+SwaptionNumOfMonths+1),"",IF($FJ205=GH$169,1,IF($FJ205&lt;GH$169,INDEX($FK$170:$ID$241,GH$169,$FJ205),SUMPRODUCT(INDEX($FK$325:$ID$396,GH$169,1+SwaptionShift):INDEX($FK$325:$ID$396,GH$169,SwaptionMonthsToGo+SwaptionShift),INDEX($FK$245:$ID$316,$FJ205-GH$169,73-GH$169+SwaptionShift):INDEX($FK$245:$ID$316,$FJ205-GH$169,72-GH$169+SwaptionMonthsToGo+SwaptionShift))/SQRT(SUM(INDEX($FK360:$ID360,1+SwaptionShift):INDEX($FK360:$ID360,SwaptionMonthsToGo+SwaptionShift))*SUM(INDEX($FK$325:$ID$396,GH$169,1+SwaptionShift):INDEX($FK$325:$ID$396,GH$169,SwaptionMonthsToGo+SwaptionShift))))))</f>
        <v/>
      </c>
      <c r="GI205" s="150" t="str">
        <f aca="false">IF(OR(GI$169&lt;SwaptionFirstMonthPosition+1,$FJ205&lt;SwaptionFirstMonthPosition+1,GI$169&gt;SwaptionFirstMonthPosition+SwaptionNumOfMonths+1,$FJ205&gt;SwaptionFirstMonthPosition+SwaptionNumOfMonths+1),"",IF($FJ205=GI$169,1,IF($FJ205&lt;GI$169,INDEX($FK$170:$ID$241,GI$169,$FJ205),SUMPRODUCT(INDEX($FK$325:$ID$396,GI$169,1+SwaptionShift):INDEX($FK$325:$ID$396,GI$169,SwaptionMonthsToGo+SwaptionShift),INDEX($FK$245:$ID$316,$FJ205-GI$169,73-GI$169+SwaptionShift):INDEX($FK$245:$ID$316,$FJ205-GI$169,72-GI$169+SwaptionMonthsToGo+SwaptionShift))/SQRT(SUM(INDEX($FK360:$ID360,1+SwaptionShift):INDEX($FK360:$ID360,SwaptionMonthsToGo+SwaptionShift))*SUM(INDEX($FK$325:$ID$396,GI$169,1+SwaptionShift):INDEX($FK$325:$ID$396,GI$169,SwaptionMonthsToGo+SwaptionShift))))))</f>
        <v/>
      </c>
      <c r="GJ205" s="150" t="str">
        <f aca="false">IF(OR(GJ$169&lt;SwaptionFirstMonthPosition+1,$FJ205&lt;SwaptionFirstMonthPosition+1,GJ$169&gt;SwaptionFirstMonthPosition+SwaptionNumOfMonths+1,$FJ205&gt;SwaptionFirstMonthPosition+SwaptionNumOfMonths+1),"",IF($FJ205=GJ$169,1,IF($FJ205&lt;GJ$169,INDEX($FK$170:$ID$241,GJ$169,$FJ205),SUMPRODUCT(INDEX($FK$325:$ID$396,GJ$169,1+SwaptionShift):INDEX($FK$325:$ID$396,GJ$169,SwaptionMonthsToGo+SwaptionShift),INDEX($FK$245:$ID$316,$FJ205-GJ$169,73-GJ$169+SwaptionShift):INDEX($FK$245:$ID$316,$FJ205-GJ$169,72-GJ$169+SwaptionMonthsToGo+SwaptionShift))/SQRT(SUM(INDEX($FK360:$ID360,1+SwaptionShift):INDEX($FK360:$ID360,SwaptionMonthsToGo+SwaptionShift))*SUM(INDEX($FK$325:$ID$396,GJ$169,1+SwaptionShift):INDEX($FK$325:$ID$396,GJ$169,SwaptionMonthsToGo+SwaptionShift))))))</f>
        <v/>
      </c>
      <c r="GK205" s="150" t="str">
        <f aca="false">IF(OR(GK$169&lt;SwaptionFirstMonthPosition+1,$FJ205&lt;SwaptionFirstMonthPosition+1,GK$169&gt;SwaptionFirstMonthPosition+SwaptionNumOfMonths+1,$FJ205&gt;SwaptionFirstMonthPosition+SwaptionNumOfMonths+1),"",IF($FJ205=GK$169,1,IF($FJ205&lt;GK$169,INDEX($FK$170:$ID$241,GK$169,$FJ205),SUMPRODUCT(INDEX($FK$325:$ID$396,GK$169,1+SwaptionShift):INDEX($FK$325:$ID$396,GK$169,SwaptionMonthsToGo+SwaptionShift),INDEX($FK$245:$ID$316,$FJ205-GK$169,73-GK$169+SwaptionShift):INDEX($FK$245:$ID$316,$FJ205-GK$169,72-GK$169+SwaptionMonthsToGo+SwaptionShift))/SQRT(SUM(INDEX($FK360:$ID360,1+SwaptionShift):INDEX($FK360:$ID360,SwaptionMonthsToGo+SwaptionShift))*SUM(INDEX($FK$325:$ID$396,GK$169,1+SwaptionShift):INDEX($FK$325:$ID$396,GK$169,SwaptionMonthsToGo+SwaptionShift))))))</f>
        <v/>
      </c>
      <c r="GL205" s="150" t="str">
        <f aca="false">IF(OR(GL$169&lt;SwaptionFirstMonthPosition+1,$FJ205&lt;SwaptionFirstMonthPosition+1,GL$169&gt;SwaptionFirstMonthPosition+SwaptionNumOfMonths+1,$FJ205&gt;SwaptionFirstMonthPosition+SwaptionNumOfMonths+1),"",IF($FJ205=GL$169,1,IF($FJ205&lt;GL$169,INDEX($FK$170:$ID$241,GL$169,$FJ205),SUMPRODUCT(INDEX($FK$325:$ID$396,GL$169,1+SwaptionShift):INDEX($FK$325:$ID$396,GL$169,SwaptionMonthsToGo+SwaptionShift),INDEX($FK$245:$ID$316,$FJ205-GL$169,73-GL$169+SwaptionShift):INDEX($FK$245:$ID$316,$FJ205-GL$169,72-GL$169+SwaptionMonthsToGo+SwaptionShift))/SQRT(SUM(INDEX($FK360:$ID360,1+SwaptionShift):INDEX($FK360:$ID360,SwaptionMonthsToGo+SwaptionShift))*SUM(INDEX($FK$325:$ID$396,GL$169,1+SwaptionShift):INDEX($FK$325:$ID$396,GL$169,SwaptionMonthsToGo+SwaptionShift))))))</f>
        <v/>
      </c>
      <c r="GM205" s="150" t="str">
        <f aca="false">IF(OR(GM$169&lt;SwaptionFirstMonthPosition+1,$FJ205&lt;SwaptionFirstMonthPosition+1,GM$169&gt;SwaptionFirstMonthPosition+SwaptionNumOfMonths+1,$FJ205&gt;SwaptionFirstMonthPosition+SwaptionNumOfMonths+1),"",IF($FJ205=GM$169,1,IF($FJ205&lt;GM$169,INDEX($FK$170:$ID$241,GM$169,$FJ205),SUMPRODUCT(INDEX($FK$325:$ID$396,GM$169,1+SwaptionShift):INDEX($FK$325:$ID$396,GM$169,SwaptionMonthsToGo+SwaptionShift),INDEX($FK$245:$ID$316,$FJ205-GM$169,73-GM$169+SwaptionShift):INDEX($FK$245:$ID$316,$FJ205-GM$169,72-GM$169+SwaptionMonthsToGo+SwaptionShift))/SQRT(SUM(INDEX($FK360:$ID360,1+SwaptionShift):INDEX($FK360:$ID360,SwaptionMonthsToGo+SwaptionShift))*SUM(INDEX($FK$325:$ID$396,GM$169,1+SwaptionShift):INDEX($FK$325:$ID$396,GM$169,SwaptionMonthsToGo+SwaptionShift))))))</f>
        <v/>
      </c>
      <c r="GN205" s="150" t="str">
        <f aca="false">IF(OR(GN$169&lt;SwaptionFirstMonthPosition+1,$FJ205&lt;SwaptionFirstMonthPosition+1,GN$169&gt;SwaptionFirstMonthPosition+SwaptionNumOfMonths+1,$FJ205&gt;SwaptionFirstMonthPosition+SwaptionNumOfMonths+1),"",IF($FJ205=GN$169,1,IF($FJ205&lt;GN$169,INDEX($FK$170:$ID$241,GN$169,$FJ205),SUMPRODUCT(INDEX($FK$325:$ID$396,GN$169,1+SwaptionShift):INDEX($FK$325:$ID$396,GN$169,SwaptionMonthsToGo+SwaptionShift),INDEX($FK$245:$ID$316,$FJ205-GN$169,73-GN$169+SwaptionShift):INDEX($FK$245:$ID$316,$FJ205-GN$169,72-GN$169+SwaptionMonthsToGo+SwaptionShift))/SQRT(SUM(INDEX($FK360:$ID360,1+SwaptionShift):INDEX($FK360:$ID360,SwaptionMonthsToGo+SwaptionShift))*SUM(INDEX($FK$325:$ID$396,GN$169,1+SwaptionShift):INDEX($FK$325:$ID$396,GN$169,SwaptionMonthsToGo+SwaptionShift))))))</f>
        <v/>
      </c>
      <c r="GO205" s="150" t="str">
        <f aca="false">IF(OR(GO$169&lt;SwaptionFirstMonthPosition+1,$FJ205&lt;SwaptionFirstMonthPosition+1,GO$169&gt;SwaptionFirstMonthPosition+SwaptionNumOfMonths+1,$FJ205&gt;SwaptionFirstMonthPosition+SwaptionNumOfMonths+1),"",IF($FJ205=GO$169,1,IF($FJ205&lt;GO$169,INDEX($FK$170:$ID$241,GO$169,$FJ205),SUMPRODUCT(INDEX($FK$325:$ID$396,GO$169,1+SwaptionShift):INDEX($FK$325:$ID$396,GO$169,SwaptionMonthsToGo+SwaptionShift),INDEX($FK$245:$ID$316,$FJ205-GO$169,73-GO$169+SwaptionShift):INDEX($FK$245:$ID$316,$FJ205-GO$169,72-GO$169+SwaptionMonthsToGo+SwaptionShift))/SQRT(SUM(INDEX($FK360:$ID360,1+SwaptionShift):INDEX($FK360:$ID360,SwaptionMonthsToGo+SwaptionShift))*SUM(INDEX($FK$325:$ID$396,GO$169,1+SwaptionShift):INDEX($FK$325:$ID$396,GO$169,SwaptionMonthsToGo+SwaptionShift))))))</f>
        <v/>
      </c>
      <c r="GP205" s="150" t="str">
        <f aca="false">IF(OR(GP$169&lt;SwaptionFirstMonthPosition+1,$FJ205&lt;SwaptionFirstMonthPosition+1,GP$169&gt;SwaptionFirstMonthPosition+SwaptionNumOfMonths+1,$FJ205&gt;SwaptionFirstMonthPosition+SwaptionNumOfMonths+1),"",IF($FJ205=GP$169,1,IF($FJ205&lt;GP$169,INDEX($FK$170:$ID$241,GP$169,$FJ205),SUMPRODUCT(INDEX($FK$325:$ID$396,GP$169,1+SwaptionShift):INDEX($FK$325:$ID$396,GP$169,SwaptionMonthsToGo+SwaptionShift),INDEX($FK$245:$ID$316,$FJ205-GP$169,73-GP$169+SwaptionShift):INDEX($FK$245:$ID$316,$FJ205-GP$169,72-GP$169+SwaptionMonthsToGo+SwaptionShift))/SQRT(SUM(INDEX($FK360:$ID360,1+SwaptionShift):INDEX($FK360:$ID360,SwaptionMonthsToGo+SwaptionShift))*SUM(INDEX($FK$325:$ID$396,GP$169,1+SwaptionShift):INDEX($FK$325:$ID$396,GP$169,SwaptionMonthsToGo+SwaptionShift))))))</f>
        <v/>
      </c>
      <c r="GQ205" s="150" t="str">
        <f aca="false">IF(OR(GQ$169&lt;SwaptionFirstMonthPosition+1,$FJ205&lt;SwaptionFirstMonthPosition+1,GQ$169&gt;SwaptionFirstMonthPosition+SwaptionNumOfMonths+1,$FJ205&gt;SwaptionFirstMonthPosition+SwaptionNumOfMonths+1),"",IF($FJ205=GQ$169,1,IF($FJ205&lt;GQ$169,INDEX($FK$170:$ID$241,GQ$169,$FJ205),SUMPRODUCT(INDEX($FK$325:$ID$396,GQ$169,1+SwaptionShift):INDEX($FK$325:$ID$396,GQ$169,SwaptionMonthsToGo+SwaptionShift),INDEX($FK$245:$ID$316,$FJ205-GQ$169,73-GQ$169+SwaptionShift):INDEX($FK$245:$ID$316,$FJ205-GQ$169,72-GQ$169+SwaptionMonthsToGo+SwaptionShift))/SQRT(SUM(INDEX($FK360:$ID360,1+SwaptionShift):INDEX($FK360:$ID360,SwaptionMonthsToGo+SwaptionShift))*SUM(INDEX($FK$325:$ID$396,GQ$169,1+SwaptionShift):INDEX($FK$325:$ID$396,GQ$169,SwaptionMonthsToGo+SwaptionShift))))))</f>
        <v/>
      </c>
      <c r="GR205" s="150" t="str">
        <f aca="false">IF(OR(GR$169&lt;SwaptionFirstMonthPosition+1,$FJ205&lt;SwaptionFirstMonthPosition+1,GR$169&gt;SwaptionFirstMonthPosition+SwaptionNumOfMonths+1,$FJ205&gt;SwaptionFirstMonthPosition+SwaptionNumOfMonths+1),"",IF($FJ205=GR$169,1,IF($FJ205&lt;GR$169,INDEX($FK$170:$ID$241,GR$169,$FJ205),SUMPRODUCT(INDEX($FK$325:$ID$396,GR$169,1+SwaptionShift):INDEX($FK$325:$ID$396,GR$169,SwaptionMonthsToGo+SwaptionShift),INDEX($FK$245:$ID$316,$FJ205-GR$169,73-GR$169+SwaptionShift):INDEX($FK$245:$ID$316,$FJ205-GR$169,72-GR$169+SwaptionMonthsToGo+SwaptionShift))/SQRT(SUM(INDEX($FK360:$ID360,1+SwaptionShift):INDEX($FK360:$ID360,SwaptionMonthsToGo+SwaptionShift))*SUM(INDEX($FK$325:$ID$396,GR$169,1+SwaptionShift):INDEX($FK$325:$ID$396,GR$169,SwaptionMonthsToGo+SwaptionShift))))))</f>
        <v/>
      </c>
      <c r="GS205" s="150" t="str">
        <f aca="false">IF(OR(GS$169&lt;SwaptionFirstMonthPosition+1,$FJ205&lt;SwaptionFirstMonthPosition+1,GS$169&gt;SwaptionFirstMonthPosition+SwaptionNumOfMonths+1,$FJ205&gt;SwaptionFirstMonthPosition+SwaptionNumOfMonths+1),"",IF($FJ205=GS$169,1,IF($FJ205&lt;GS$169,INDEX($FK$170:$ID$241,GS$169,$FJ205),SUMPRODUCT(INDEX($FK$325:$ID$396,GS$169,1+SwaptionShift):INDEX($FK$325:$ID$396,GS$169,SwaptionMonthsToGo+SwaptionShift),INDEX($FK$245:$ID$316,$FJ205-GS$169,73-GS$169+SwaptionShift):INDEX($FK$245:$ID$316,$FJ205-GS$169,72-GS$169+SwaptionMonthsToGo+SwaptionShift))/SQRT(SUM(INDEX($FK360:$ID360,1+SwaptionShift):INDEX($FK360:$ID360,SwaptionMonthsToGo+SwaptionShift))*SUM(INDEX($FK$325:$ID$396,GS$169,1+SwaptionShift):INDEX($FK$325:$ID$396,GS$169,SwaptionMonthsToGo+SwaptionShift))))))</f>
        <v/>
      </c>
      <c r="GT205" s="150" t="str">
        <f aca="false">IF(OR(GT$169&lt;SwaptionFirstMonthPosition+1,$FJ205&lt;SwaptionFirstMonthPosition+1,GT$169&gt;SwaptionFirstMonthPosition+SwaptionNumOfMonths+1,$FJ205&gt;SwaptionFirstMonthPosition+SwaptionNumOfMonths+1),"",IF($FJ205=GT$169,1,IF($FJ205&lt;GT$169,INDEX($FK$170:$ID$241,GT$169,$FJ205),SUMPRODUCT(INDEX($FK$325:$ID$396,GT$169,1+SwaptionShift):INDEX($FK$325:$ID$396,GT$169,SwaptionMonthsToGo+SwaptionShift),INDEX($FK$245:$ID$316,$FJ205-GT$169,73-GT$169+SwaptionShift):INDEX($FK$245:$ID$316,$FJ205-GT$169,72-GT$169+SwaptionMonthsToGo+SwaptionShift))/SQRT(SUM(INDEX($FK360:$ID360,1+SwaptionShift):INDEX($FK360:$ID360,SwaptionMonthsToGo+SwaptionShift))*SUM(INDEX($FK$325:$ID$396,GT$169,1+SwaptionShift):INDEX($FK$325:$ID$396,GT$169,SwaptionMonthsToGo+SwaptionShift))))))</f>
        <v/>
      </c>
      <c r="GU205" s="150" t="str">
        <f aca="false">IF(OR(GU$169&lt;SwaptionFirstMonthPosition+1,$FJ205&lt;SwaptionFirstMonthPosition+1,GU$169&gt;SwaptionFirstMonthPosition+SwaptionNumOfMonths+1,$FJ205&gt;SwaptionFirstMonthPosition+SwaptionNumOfMonths+1),"",IF($FJ205=GU$169,1,IF($FJ205&lt;GU$169,INDEX($FK$170:$ID$241,GU$169,$FJ205),SUMPRODUCT(INDEX($FK$325:$ID$396,GU$169,1+SwaptionShift):INDEX($FK$325:$ID$396,GU$169,SwaptionMonthsToGo+SwaptionShift),INDEX($FK$245:$ID$316,$FJ205-GU$169,73-GU$169+SwaptionShift):INDEX($FK$245:$ID$316,$FJ205-GU$169,72-GU$169+SwaptionMonthsToGo+SwaptionShift))/SQRT(SUM(INDEX($FK360:$ID360,1+SwaptionShift):INDEX($FK360:$ID360,SwaptionMonthsToGo+SwaptionShift))*SUM(INDEX($FK$325:$ID$396,GU$169,1+SwaptionShift):INDEX($FK$325:$ID$396,GU$169,SwaptionMonthsToGo+SwaptionShift))))))</f>
        <v/>
      </c>
      <c r="GV205" s="150" t="str">
        <f aca="false">IF(OR(GV$169&lt;SwaptionFirstMonthPosition+1,$FJ205&lt;SwaptionFirstMonthPosition+1,GV$169&gt;SwaptionFirstMonthPosition+SwaptionNumOfMonths+1,$FJ205&gt;SwaptionFirstMonthPosition+SwaptionNumOfMonths+1),"",IF($FJ205=GV$169,1,IF($FJ205&lt;GV$169,INDEX($FK$170:$ID$241,GV$169,$FJ205),SUMPRODUCT(INDEX($FK$325:$ID$396,GV$169,1+SwaptionShift):INDEX($FK$325:$ID$396,GV$169,SwaptionMonthsToGo+SwaptionShift),INDEX($FK$245:$ID$316,$FJ205-GV$169,73-GV$169+SwaptionShift):INDEX($FK$245:$ID$316,$FJ205-GV$169,72-GV$169+SwaptionMonthsToGo+SwaptionShift))/SQRT(SUM(INDEX($FK360:$ID360,1+SwaptionShift):INDEX($FK360:$ID360,SwaptionMonthsToGo+SwaptionShift))*SUM(INDEX($FK$325:$ID$396,GV$169,1+SwaptionShift):INDEX($FK$325:$ID$396,GV$169,SwaptionMonthsToGo+SwaptionShift))))))</f>
        <v/>
      </c>
      <c r="GW205" s="150" t="str">
        <f aca="false">IF(OR(GW$169&lt;SwaptionFirstMonthPosition+1,$FJ205&lt;SwaptionFirstMonthPosition+1,GW$169&gt;SwaptionFirstMonthPosition+SwaptionNumOfMonths+1,$FJ205&gt;SwaptionFirstMonthPosition+SwaptionNumOfMonths+1),"",IF($FJ205=GW$169,1,IF($FJ205&lt;GW$169,INDEX($FK$170:$ID$241,GW$169,$FJ205),SUMPRODUCT(INDEX($FK$325:$ID$396,GW$169,1+SwaptionShift):INDEX($FK$325:$ID$396,GW$169,SwaptionMonthsToGo+SwaptionShift),INDEX($FK$245:$ID$316,$FJ205-GW$169,73-GW$169+SwaptionShift):INDEX($FK$245:$ID$316,$FJ205-GW$169,72-GW$169+SwaptionMonthsToGo+SwaptionShift))/SQRT(SUM(INDEX($FK360:$ID360,1+SwaptionShift):INDEX($FK360:$ID360,SwaptionMonthsToGo+SwaptionShift))*SUM(INDEX($FK$325:$ID$396,GW$169,1+SwaptionShift):INDEX($FK$325:$ID$396,GW$169,SwaptionMonthsToGo+SwaptionShift))))))</f>
        <v/>
      </c>
      <c r="GX205" s="150" t="str">
        <f aca="false">IF(OR(GX$169&lt;SwaptionFirstMonthPosition+1,$FJ205&lt;SwaptionFirstMonthPosition+1,GX$169&gt;SwaptionFirstMonthPosition+SwaptionNumOfMonths+1,$FJ205&gt;SwaptionFirstMonthPosition+SwaptionNumOfMonths+1),"",IF($FJ205=GX$169,1,IF($FJ205&lt;GX$169,INDEX($FK$170:$ID$241,GX$169,$FJ205),SUMPRODUCT(INDEX($FK$325:$ID$396,GX$169,1+SwaptionShift):INDEX($FK$325:$ID$396,GX$169,SwaptionMonthsToGo+SwaptionShift),INDEX($FK$245:$ID$316,$FJ205-GX$169,73-GX$169+SwaptionShift):INDEX($FK$245:$ID$316,$FJ205-GX$169,72-GX$169+SwaptionMonthsToGo+SwaptionShift))/SQRT(SUM(INDEX($FK360:$ID360,1+SwaptionShift):INDEX($FK360:$ID360,SwaptionMonthsToGo+SwaptionShift))*SUM(INDEX($FK$325:$ID$396,GX$169,1+SwaptionShift):INDEX($FK$325:$ID$396,GX$169,SwaptionMonthsToGo+SwaptionShift))))))</f>
        <v/>
      </c>
      <c r="GY205" s="150" t="str">
        <f aca="false">IF(OR(GY$169&lt;SwaptionFirstMonthPosition+1,$FJ205&lt;SwaptionFirstMonthPosition+1,GY$169&gt;SwaptionFirstMonthPosition+SwaptionNumOfMonths+1,$FJ205&gt;SwaptionFirstMonthPosition+SwaptionNumOfMonths+1),"",IF($FJ205=GY$169,1,IF($FJ205&lt;GY$169,INDEX($FK$170:$ID$241,GY$169,$FJ205),SUMPRODUCT(INDEX($FK$325:$ID$396,GY$169,1+SwaptionShift):INDEX($FK$325:$ID$396,GY$169,SwaptionMonthsToGo+SwaptionShift),INDEX($FK$245:$ID$316,$FJ205-GY$169,73-GY$169+SwaptionShift):INDEX($FK$245:$ID$316,$FJ205-GY$169,72-GY$169+SwaptionMonthsToGo+SwaptionShift))/SQRT(SUM(INDEX($FK360:$ID360,1+SwaptionShift):INDEX($FK360:$ID360,SwaptionMonthsToGo+SwaptionShift))*SUM(INDEX($FK$325:$ID$396,GY$169,1+SwaptionShift):INDEX($FK$325:$ID$396,GY$169,SwaptionMonthsToGo+SwaptionShift))))))</f>
        <v/>
      </c>
      <c r="GZ205" s="150" t="str">
        <f aca="false">IF(OR(GZ$169&lt;SwaptionFirstMonthPosition+1,$FJ205&lt;SwaptionFirstMonthPosition+1,GZ$169&gt;SwaptionFirstMonthPosition+SwaptionNumOfMonths+1,$FJ205&gt;SwaptionFirstMonthPosition+SwaptionNumOfMonths+1),"",IF($FJ205=GZ$169,1,IF($FJ205&lt;GZ$169,INDEX($FK$170:$ID$241,GZ$169,$FJ205),SUMPRODUCT(INDEX($FK$325:$ID$396,GZ$169,1+SwaptionShift):INDEX($FK$325:$ID$396,GZ$169,SwaptionMonthsToGo+SwaptionShift),INDEX($FK$245:$ID$316,$FJ205-GZ$169,73-GZ$169+SwaptionShift):INDEX($FK$245:$ID$316,$FJ205-GZ$169,72-GZ$169+SwaptionMonthsToGo+SwaptionShift))/SQRT(SUM(INDEX($FK360:$ID360,1+SwaptionShift):INDEX($FK360:$ID360,SwaptionMonthsToGo+SwaptionShift))*SUM(INDEX($FK$325:$ID$396,GZ$169,1+SwaptionShift):INDEX($FK$325:$ID$396,GZ$169,SwaptionMonthsToGo+SwaptionShift))))))</f>
        <v/>
      </c>
      <c r="HA205" s="150" t="str">
        <f aca="false">IF(OR(HA$169&lt;SwaptionFirstMonthPosition+1,$FJ205&lt;SwaptionFirstMonthPosition+1,HA$169&gt;SwaptionFirstMonthPosition+SwaptionNumOfMonths+1,$FJ205&gt;SwaptionFirstMonthPosition+SwaptionNumOfMonths+1),"",IF($FJ205=HA$169,1,IF($FJ205&lt;HA$169,INDEX($FK$170:$ID$241,HA$169,$FJ205),SUMPRODUCT(INDEX($FK$325:$ID$396,HA$169,1+SwaptionShift):INDEX($FK$325:$ID$396,HA$169,SwaptionMonthsToGo+SwaptionShift),INDEX($FK$245:$ID$316,$FJ205-HA$169,73-HA$169+SwaptionShift):INDEX($FK$245:$ID$316,$FJ205-HA$169,72-HA$169+SwaptionMonthsToGo+SwaptionShift))/SQRT(SUM(INDEX($FK360:$ID360,1+SwaptionShift):INDEX($FK360:$ID360,SwaptionMonthsToGo+SwaptionShift))*SUM(INDEX($FK$325:$ID$396,HA$169,1+SwaptionShift):INDEX($FK$325:$ID$396,HA$169,SwaptionMonthsToGo+SwaptionShift))))))</f>
        <v/>
      </c>
      <c r="HB205" s="150" t="str">
        <f aca="false">IF(OR(HB$169&lt;SwaptionFirstMonthPosition+1,$FJ205&lt;SwaptionFirstMonthPosition+1,HB$169&gt;SwaptionFirstMonthPosition+SwaptionNumOfMonths+1,$FJ205&gt;SwaptionFirstMonthPosition+SwaptionNumOfMonths+1),"",IF($FJ205=HB$169,1,IF($FJ205&lt;HB$169,INDEX($FK$170:$ID$241,HB$169,$FJ205),SUMPRODUCT(INDEX($FK$325:$ID$396,HB$169,1+SwaptionShift):INDEX($FK$325:$ID$396,HB$169,SwaptionMonthsToGo+SwaptionShift),INDEX($FK$245:$ID$316,$FJ205-HB$169,73-HB$169+SwaptionShift):INDEX($FK$245:$ID$316,$FJ205-HB$169,72-HB$169+SwaptionMonthsToGo+SwaptionShift))/SQRT(SUM(INDEX($FK360:$ID360,1+SwaptionShift):INDEX($FK360:$ID360,SwaptionMonthsToGo+SwaptionShift))*SUM(INDEX($FK$325:$ID$396,HB$169,1+SwaptionShift):INDEX($FK$325:$ID$396,HB$169,SwaptionMonthsToGo+SwaptionShift))))))</f>
        <v/>
      </c>
      <c r="HC205" s="150" t="str">
        <f aca="false">IF(OR(HC$169&lt;SwaptionFirstMonthPosition+1,$FJ205&lt;SwaptionFirstMonthPosition+1,HC$169&gt;SwaptionFirstMonthPosition+SwaptionNumOfMonths+1,$FJ205&gt;SwaptionFirstMonthPosition+SwaptionNumOfMonths+1),"",IF($FJ205=HC$169,1,IF($FJ205&lt;HC$169,INDEX($FK$170:$ID$241,HC$169,$FJ205),SUMPRODUCT(INDEX($FK$325:$ID$396,HC$169,1+SwaptionShift):INDEX($FK$325:$ID$396,HC$169,SwaptionMonthsToGo+SwaptionShift),INDEX($FK$245:$ID$316,$FJ205-HC$169,73-HC$169+SwaptionShift):INDEX($FK$245:$ID$316,$FJ205-HC$169,72-HC$169+SwaptionMonthsToGo+SwaptionShift))/SQRT(SUM(INDEX($FK360:$ID360,1+SwaptionShift):INDEX($FK360:$ID360,SwaptionMonthsToGo+SwaptionShift))*SUM(INDEX($FK$325:$ID$396,HC$169,1+SwaptionShift):INDEX($FK$325:$ID$396,HC$169,SwaptionMonthsToGo+SwaptionShift))))))</f>
        <v/>
      </c>
      <c r="HD205" s="150" t="str">
        <f aca="false">IF(OR(HD$169&lt;SwaptionFirstMonthPosition+1,$FJ205&lt;SwaptionFirstMonthPosition+1,HD$169&gt;SwaptionFirstMonthPosition+SwaptionNumOfMonths+1,$FJ205&gt;SwaptionFirstMonthPosition+SwaptionNumOfMonths+1),"",IF($FJ205=HD$169,1,IF($FJ205&lt;HD$169,INDEX($FK$170:$ID$241,HD$169,$FJ205),SUMPRODUCT(INDEX($FK$325:$ID$396,HD$169,1+SwaptionShift):INDEX($FK$325:$ID$396,HD$169,SwaptionMonthsToGo+SwaptionShift),INDEX($FK$245:$ID$316,$FJ205-HD$169,73-HD$169+SwaptionShift):INDEX($FK$245:$ID$316,$FJ205-HD$169,72-HD$169+SwaptionMonthsToGo+SwaptionShift))/SQRT(SUM(INDEX($FK360:$ID360,1+SwaptionShift):INDEX($FK360:$ID360,SwaptionMonthsToGo+SwaptionShift))*SUM(INDEX($FK$325:$ID$396,HD$169,1+SwaptionShift):INDEX($FK$325:$ID$396,HD$169,SwaptionMonthsToGo+SwaptionShift))))))</f>
        <v/>
      </c>
      <c r="HE205" s="150" t="str">
        <f aca="false">IF(OR(HE$169&lt;SwaptionFirstMonthPosition+1,$FJ205&lt;SwaptionFirstMonthPosition+1,HE$169&gt;SwaptionFirstMonthPosition+SwaptionNumOfMonths+1,$FJ205&gt;SwaptionFirstMonthPosition+SwaptionNumOfMonths+1),"",IF($FJ205=HE$169,1,IF($FJ205&lt;HE$169,INDEX($FK$170:$ID$241,HE$169,$FJ205),SUMPRODUCT(INDEX($FK$325:$ID$396,HE$169,1+SwaptionShift):INDEX($FK$325:$ID$396,HE$169,SwaptionMonthsToGo+SwaptionShift),INDEX($FK$245:$ID$316,$FJ205-HE$169,73-HE$169+SwaptionShift):INDEX($FK$245:$ID$316,$FJ205-HE$169,72-HE$169+SwaptionMonthsToGo+SwaptionShift))/SQRT(SUM(INDEX($FK360:$ID360,1+SwaptionShift):INDEX($FK360:$ID360,SwaptionMonthsToGo+SwaptionShift))*SUM(INDEX($FK$325:$ID$396,HE$169,1+SwaptionShift):INDEX($FK$325:$ID$396,HE$169,SwaptionMonthsToGo+SwaptionShift))))))</f>
        <v/>
      </c>
      <c r="HF205" s="150" t="str">
        <f aca="false">IF(OR(HF$169&lt;SwaptionFirstMonthPosition+1,$FJ205&lt;SwaptionFirstMonthPosition+1,HF$169&gt;SwaptionFirstMonthPosition+SwaptionNumOfMonths+1,$FJ205&gt;SwaptionFirstMonthPosition+SwaptionNumOfMonths+1),"",IF($FJ205=HF$169,1,IF($FJ205&lt;HF$169,INDEX($FK$170:$ID$241,HF$169,$FJ205),SUMPRODUCT(INDEX($FK$325:$ID$396,HF$169,1+SwaptionShift):INDEX($FK$325:$ID$396,HF$169,SwaptionMonthsToGo+SwaptionShift),INDEX($FK$245:$ID$316,$FJ205-HF$169,73-HF$169+SwaptionShift):INDEX($FK$245:$ID$316,$FJ205-HF$169,72-HF$169+SwaptionMonthsToGo+SwaptionShift))/SQRT(SUM(INDEX($FK360:$ID360,1+SwaptionShift):INDEX($FK360:$ID360,SwaptionMonthsToGo+SwaptionShift))*SUM(INDEX($FK$325:$ID$396,HF$169,1+SwaptionShift):INDEX($FK$325:$ID$396,HF$169,SwaptionMonthsToGo+SwaptionShift))))))</f>
        <v/>
      </c>
      <c r="HG205" s="150" t="str">
        <f aca="false">IF(OR(HG$169&lt;SwaptionFirstMonthPosition+1,$FJ205&lt;SwaptionFirstMonthPosition+1,HG$169&gt;SwaptionFirstMonthPosition+SwaptionNumOfMonths+1,$FJ205&gt;SwaptionFirstMonthPosition+SwaptionNumOfMonths+1),"",IF($FJ205=HG$169,1,IF($FJ205&lt;HG$169,INDEX($FK$170:$ID$241,HG$169,$FJ205),SUMPRODUCT(INDEX($FK$325:$ID$396,HG$169,1+SwaptionShift):INDEX($FK$325:$ID$396,HG$169,SwaptionMonthsToGo+SwaptionShift),INDEX($FK$245:$ID$316,$FJ205-HG$169,73-HG$169+SwaptionShift):INDEX($FK$245:$ID$316,$FJ205-HG$169,72-HG$169+SwaptionMonthsToGo+SwaptionShift))/SQRT(SUM(INDEX($FK360:$ID360,1+SwaptionShift):INDEX($FK360:$ID360,SwaptionMonthsToGo+SwaptionShift))*SUM(INDEX($FK$325:$ID$396,HG$169,1+SwaptionShift):INDEX($FK$325:$ID$396,HG$169,SwaptionMonthsToGo+SwaptionShift))))))</f>
        <v/>
      </c>
      <c r="HH205" s="150" t="str">
        <f aca="false">IF(OR(HH$169&lt;SwaptionFirstMonthPosition+1,$FJ205&lt;SwaptionFirstMonthPosition+1,HH$169&gt;SwaptionFirstMonthPosition+SwaptionNumOfMonths+1,$FJ205&gt;SwaptionFirstMonthPosition+SwaptionNumOfMonths+1),"",IF($FJ205=HH$169,1,IF($FJ205&lt;HH$169,INDEX($FK$170:$ID$241,HH$169,$FJ205),SUMPRODUCT(INDEX($FK$325:$ID$396,HH$169,1+SwaptionShift):INDEX($FK$325:$ID$396,HH$169,SwaptionMonthsToGo+SwaptionShift),INDEX($FK$245:$ID$316,$FJ205-HH$169,73-HH$169+SwaptionShift):INDEX($FK$245:$ID$316,$FJ205-HH$169,72-HH$169+SwaptionMonthsToGo+SwaptionShift))/SQRT(SUM(INDEX($FK360:$ID360,1+SwaptionShift):INDEX($FK360:$ID360,SwaptionMonthsToGo+SwaptionShift))*SUM(INDEX($FK$325:$ID$396,HH$169,1+SwaptionShift):INDEX($FK$325:$ID$396,HH$169,SwaptionMonthsToGo+SwaptionShift))))))</f>
        <v/>
      </c>
      <c r="HI205" s="150" t="str">
        <f aca="false">IF(OR(HI$169&lt;SwaptionFirstMonthPosition+1,$FJ205&lt;SwaptionFirstMonthPosition+1,HI$169&gt;SwaptionFirstMonthPosition+SwaptionNumOfMonths+1,$FJ205&gt;SwaptionFirstMonthPosition+SwaptionNumOfMonths+1),"",IF($FJ205=HI$169,1,IF($FJ205&lt;HI$169,INDEX($FK$170:$ID$241,HI$169,$FJ205),SUMPRODUCT(INDEX($FK$325:$ID$396,HI$169,1+SwaptionShift):INDEX($FK$325:$ID$396,HI$169,SwaptionMonthsToGo+SwaptionShift),INDEX($FK$245:$ID$316,$FJ205-HI$169,73-HI$169+SwaptionShift):INDEX($FK$245:$ID$316,$FJ205-HI$169,72-HI$169+SwaptionMonthsToGo+SwaptionShift))/SQRT(SUM(INDEX($FK360:$ID360,1+SwaptionShift):INDEX($FK360:$ID360,SwaptionMonthsToGo+SwaptionShift))*SUM(INDEX($FK$325:$ID$396,HI$169,1+SwaptionShift):INDEX($FK$325:$ID$396,HI$169,SwaptionMonthsToGo+SwaptionShift))))))</f>
        <v/>
      </c>
      <c r="HJ205" s="150" t="str">
        <f aca="false">IF(OR(HJ$169&lt;SwaptionFirstMonthPosition+1,$FJ205&lt;SwaptionFirstMonthPosition+1,HJ$169&gt;SwaptionFirstMonthPosition+SwaptionNumOfMonths+1,$FJ205&gt;SwaptionFirstMonthPosition+SwaptionNumOfMonths+1),"",IF($FJ205=HJ$169,1,IF($FJ205&lt;HJ$169,INDEX($FK$170:$ID$241,HJ$169,$FJ205),SUMPRODUCT(INDEX($FK$325:$ID$396,HJ$169,1+SwaptionShift):INDEX($FK$325:$ID$396,HJ$169,SwaptionMonthsToGo+SwaptionShift),INDEX($FK$245:$ID$316,$FJ205-HJ$169,73-HJ$169+SwaptionShift):INDEX($FK$245:$ID$316,$FJ205-HJ$169,72-HJ$169+SwaptionMonthsToGo+SwaptionShift))/SQRT(SUM(INDEX($FK360:$ID360,1+SwaptionShift):INDEX($FK360:$ID360,SwaptionMonthsToGo+SwaptionShift))*SUM(INDEX($FK$325:$ID$396,HJ$169,1+SwaptionShift):INDEX($FK$325:$ID$396,HJ$169,SwaptionMonthsToGo+SwaptionShift))))))</f>
        <v/>
      </c>
      <c r="HK205" s="150" t="str">
        <f aca="false">IF(OR(HK$169&lt;SwaptionFirstMonthPosition+1,$FJ205&lt;SwaptionFirstMonthPosition+1,HK$169&gt;SwaptionFirstMonthPosition+SwaptionNumOfMonths+1,$FJ205&gt;SwaptionFirstMonthPosition+SwaptionNumOfMonths+1),"",IF($FJ205=HK$169,1,IF($FJ205&lt;HK$169,INDEX($FK$170:$ID$241,HK$169,$FJ205),SUMPRODUCT(INDEX($FK$325:$ID$396,HK$169,1+SwaptionShift):INDEX($FK$325:$ID$396,HK$169,SwaptionMonthsToGo+SwaptionShift),INDEX($FK$245:$ID$316,$FJ205-HK$169,73-HK$169+SwaptionShift):INDEX($FK$245:$ID$316,$FJ205-HK$169,72-HK$169+SwaptionMonthsToGo+SwaptionShift))/SQRT(SUM(INDEX($FK360:$ID360,1+SwaptionShift):INDEX($FK360:$ID360,SwaptionMonthsToGo+SwaptionShift))*SUM(INDEX($FK$325:$ID$396,HK$169,1+SwaptionShift):INDEX($FK$325:$ID$396,HK$169,SwaptionMonthsToGo+SwaptionShift))))))</f>
        <v/>
      </c>
      <c r="HL205" s="150" t="str">
        <f aca="false">IF(OR(HL$169&lt;SwaptionFirstMonthPosition+1,$FJ205&lt;SwaptionFirstMonthPosition+1,HL$169&gt;SwaptionFirstMonthPosition+SwaptionNumOfMonths+1,$FJ205&gt;SwaptionFirstMonthPosition+SwaptionNumOfMonths+1),"",IF($FJ205=HL$169,1,IF($FJ205&lt;HL$169,INDEX($FK$170:$ID$241,HL$169,$FJ205),SUMPRODUCT(INDEX($FK$325:$ID$396,HL$169,1+SwaptionShift):INDEX($FK$325:$ID$396,HL$169,SwaptionMonthsToGo+SwaptionShift),INDEX($FK$245:$ID$316,$FJ205-HL$169,73-HL$169+SwaptionShift):INDEX($FK$245:$ID$316,$FJ205-HL$169,72-HL$169+SwaptionMonthsToGo+SwaptionShift))/SQRT(SUM(INDEX($FK360:$ID360,1+SwaptionShift):INDEX($FK360:$ID360,SwaptionMonthsToGo+SwaptionShift))*SUM(INDEX($FK$325:$ID$396,HL$169,1+SwaptionShift):INDEX($FK$325:$ID$396,HL$169,SwaptionMonthsToGo+SwaptionShift))))))</f>
        <v/>
      </c>
      <c r="HM205" s="150" t="str">
        <f aca="false">IF(OR(HM$169&lt;SwaptionFirstMonthPosition+1,$FJ205&lt;SwaptionFirstMonthPosition+1,HM$169&gt;SwaptionFirstMonthPosition+SwaptionNumOfMonths+1,$FJ205&gt;SwaptionFirstMonthPosition+SwaptionNumOfMonths+1),"",IF($FJ205=HM$169,1,IF($FJ205&lt;HM$169,INDEX($FK$170:$ID$241,HM$169,$FJ205),SUMPRODUCT(INDEX($FK$325:$ID$396,HM$169,1+SwaptionShift):INDEX($FK$325:$ID$396,HM$169,SwaptionMonthsToGo+SwaptionShift),INDEX($FK$245:$ID$316,$FJ205-HM$169,73-HM$169+SwaptionShift):INDEX($FK$245:$ID$316,$FJ205-HM$169,72-HM$169+SwaptionMonthsToGo+SwaptionShift))/SQRT(SUM(INDEX($FK360:$ID360,1+SwaptionShift):INDEX($FK360:$ID360,SwaptionMonthsToGo+SwaptionShift))*SUM(INDEX($FK$325:$ID$396,HM$169,1+SwaptionShift):INDEX($FK$325:$ID$396,HM$169,SwaptionMonthsToGo+SwaptionShift))))))</f>
        <v/>
      </c>
      <c r="HN205" s="150" t="str">
        <f aca="false">IF(OR(HN$169&lt;SwaptionFirstMonthPosition+1,$FJ205&lt;SwaptionFirstMonthPosition+1,HN$169&gt;SwaptionFirstMonthPosition+SwaptionNumOfMonths+1,$FJ205&gt;SwaptionFirstMonthPosition+SwaptionNumOfMonths+1),"",IF($FJ205=HN$169,1,IF($FJ205&lt;HN$169,INDEX($FK$170:$ID$241,HN$169,$FJ205),SUMPRODUCT(INDEX($FK$325:$ID$396,HN$169,1+SwaptionShift):INDEX($FK$325:$ID$396,HN$169,SwaptionMonthsToGo+SwaptionShift),INDEX($FK$245:$ID$316,$FJ205-HN$169,73-HN$169+SwaptionShift):INDEX($FK$245:$ID$316,$FJ205-HN$169,72-HN$169+SwaptionMonthsToGo+SwaptionShift))/SQRT(SUM(INDEX($FK360:$ID360,1+SwaptionShift):INDEX($FK360:$ID360,SwaptionMonthsToGo+SwaptionShift))*SUM(INDEX($FK$325:$ID$396,HN$169,1+SwaptionShift):INDEX($FK$325:$ID$396,HN$169,SwaptionMonthsToGo+SwaptionShift))))))</f>
        <v/>
      </c>
      <c r="HO205" s="150" t="str">
        <f aca="false">IF(OR(HO$169&lt;SwaptionFirstMonthPosition+1,$FJ205&lt;SwaptionFirstMonthPosition+1,HO$169&gt;SwaptionFirstMonthPosition+SwaptionNumOfMonths+1,$FJ205&gt;SwaptionFirstMonthPosition+SwaptionNumOfMonths+1),"",IF($FJ205=HO$169,1,IF($FJ205&lt;HO$169,INDEX($FK$170:$ID$241,HO$169,$FJ205),SUMPRODUCT(INDEX($FK$325:$ID$396,HO$169,1+SwaptionShift):INDEX($FK$325:$ID$396,HO$169,SwaptionMonthsToGo+SwaptionShift),INDEX($FK$245:$ID$316,$FJ205-HO$169,73-HO$169+SwaptionShift):INDEX($FK$245:$ID$316,$FJ205-HO$169,72-HO$169+SwaptionMonthsToGo+SwaptionShift))/SQRT(SUM(INDEX($FK360:$ID360,1+SwaptionShift):INDEX($FK360:$ID360,SwaptionMonthsToGo+SwaptionShift))*SUM(INDEX($FK$325:$ID$396,HO$169,1+SwaptionShift):INDEX($FK$325:$ID$396,HO$169,SwaptionMonthsToGo+SwaptionShift))))))</f>
        <v/>
      </c>
      <c r="HP205" s="150" t="str">
        <f aca="false">IF(OR(HP$169&lt;SwaptionFirstMonthPosition+1,$FJ205&lt;SwaptionFirstMonthPosition+1,HP$169&gt;SwaptionFirstMonthPosition+SwaptionNumOfMonths+1,$FJ205&gt;SwaptionFirstMonthPosition+SwaptionNumOfMonths+1),"",IF($FJ205=HP$169,1,IF($FJ205&lt;HP$169,INDEX($FK$170:$ID$241,HP$169,$FJ205),SUMPRODUCT(INDEX($FK$325:$ID$396,HP$169,1+SwaptionShift):INDEX($FK$325:$ID$396,HP$169,SwaptionMonthsToGo+SwaptionShift),INDEX($FK$245:$ID$316,$FJ205-HP$169,73-HP$169+SwaptionShift):INDEX($FK$245:$ID$316,$FJ205-HP$169,72-HP$169+SwaptionMonthsToGo+SwaptionShift))/SQRT(SUM(INDEX($FK360:$ID360,1+SwaptionShift):INDEX($FK360:$ID360,SwaptionMonthsToGo+SwaptionShift))*SUM(INDEX($FK$325:$ID$396,HP$169,1+SwaptionShift):INDEX($FK$325:$ID$396,HP$169,SwaptionMonthsToGo+SwaptionShift))))))</f>
        <v/>
      </c>
      <c r="HQ205" s="150" t="str">
        <f aca="false">IF(OR(HQ$169&lt;SwaptionFirstMonthPosition+1,$FJ205&lt;SwaptionFirstMonthPosition+1,HQ$169&gt;SwaptionFirstMonthPosition+SwaptionNumOfMonths+1,$FJ205&gt;SwaptionFirstMonthPosition+SwaptionNumOfMonths+1),"",IF($FJ205=HQ$169,1,IF($FJ205&lt;HQ$169,INDEX($FK$170:$ID$241,HQ$169,$FJ205),SUMPRODUCT(INDEX($FK$325:$ID$396,HQ$169,1+SwaptionShift):INDEX($FK$325:$ID$396,HQ$169,SwaptionMonthsToGo+SwaptionShift),INDEX($FK$245:$ID$316,$FJ205-HQ$169,73-HQ$169+SwaptionShift):INDEX($FK$245:$ID$316,$FJ205-HQ$169,72-HQ$169+SwaptionMonthsToGo+SwaptionShift))/SQRT(SUM(INDEX($FK360:$ID360,1+SwaptionShift):INDEX($FK360:$ID360,SwaptionMonthsToGo+SwaptionShift))*SUM(INDEX($FK$325:$ID$396,HQ$169,1+SwaptionShift):INDEX($FK$325:$ID$396,HQ$169,SwaptionMonthsToGo+SwaptionShift))))))</f>
        <v/>
      </c>
      <c r="HR205" s="150" t="str">
        <f aca="false">IF(OR(HR$169&lt;SwaptionFirstMonthPosition+1,$FJ205&lt;SwaptionFirstMonthPosition+1,HR$169&gt;SwaptionFirstMonthPosition+SwaptionNumOfMonths+1,$FJ205&gt;SwaptionFirstMonthPosition+SwaptionNumOfMonths+1),"",IF($FJ205=HR$169,1,IF($FJ205&lt;HR$169,INDEX($FK$170:$ID$241,HR$169,$FJ205),SUMPRODUCT(INDEX($FK$325:$ID$396,HR$169,1+SwaptionShift):INDEX($FK$325:$ID$396,HR$169,SwaptionMonthsToGo+SwaptionShift),INDEX($FK$245:$ID$316,$FJ205-HR$169,73-HR$169+SwaptionShift):INDEX($FK$245:$ID$316,$FJ205-HR$169,72-HR$169+SwaptionMonthsToGo+SwaptionShift))/SQRT(SUM(INDEX($FK360:$ID360,1+SwaptionShift):INDEX($FK360:$ID360,SwaptionMonthsToGo+SwaptionShift))*SUM(INDEX($FK$325:$ID$396,HR$169,1+SwaptionShift):INDEX($FK$325:$ID$396,HR$169,SwaptionMonthsToGo+SwaptionShift))))))</f>
        <v/>
      </c>
      <c r="HS205" s="150" t="str">
        <f aca="false">IF(OR(HS$169&lt;SwaptionFirstMonthPosition+1,$FJ205&lt;SwaptionFirstMonthPosition+1,HS$169&gt;SwaptionFirstMonthPosition+SwaptionNumOfMonths+1,$FJ205&gt;SwaptionFirstMonthPosition+SwaptionNumOfMonths+1),"",IF($FJ205=HS$169,1,IF($FJ205&lt;HS$169,INDEX($FK$170:$ID$241,HS$169,$FJ205),SUMPRODUCT(INDEX($FK$325:$ID$396,HS$169,1+SwaptionShift):INDEX($FK$325:$ID$396,HS$169,SwaptionMonthsToGo+SwaptionShift),INDEX($FK$245:$ID$316,$FJ205-HS$169,73-HS$169+SwaptionShift):INDEX($FK$245:$ID$316,$FJ205-HS$169,72-HS$169+SwaptionMonthsToGo+SwaptionShift))/SQRT(SUM(INDEX($FK360:$ID360,1+SwaptionShift):INDEX($FK360:$ID360,SwaptionMonthsToGo+SwaptionShift))*SUM(INDEX($FK$325:$ID$396,HS$169,1+SwaptionShift):INDEX($FK$325:$ID$396,HS$169,SwaptionMonthsToGo+SwaptionShift))))))</f>
        <v/>
      </c>
      <c r="HT205" s="150" t="str">
        <f aca="false">IF(OR(HT$169&lt;SwaptionFirstMonthPosition+1,$FJ205&lt;SwaptionFirstMonthPosition+1,HT$169&gt;SwaptionFirstMonthPosition+SwaptionNumOfMonths+1,$FJ205&gt;SwaptionFirstMonthPosition+SwaptionNumOfMonths+1),"",IF($FJ205=HT$169,1,IF($FJ205&lt;HT$169,INDEX($FK$170:$ID$241,HT$169,$FJ205),SUMPRODUCT(INDEX($FK$325:$ID$396,HT$169,1+SwaptionShift):INDEX($FK$325:$ID$396,HT$169,SwaptionMonthsToGo+SwaptionShift),INDEX($FK$245:$ID$316,$FJ205-HT$169,73-HT$169+SwaptionShift):INDEX($FK$245:$ID$316,$FJ205-HT$169,72-HT$169+SwaptionMonthsToGo+SwaptionShift))/SQRT(SUM(INDEX($FK360:$ID360,1+SwaptionShift):INDEX($FK360:$ID360,SwaptionMonthsToGo+SwaptionShift))*SUM(INDEX($FK$325:$ID$396,HT$169,1+SwaptionShift):INDEX($FK$325:$ID$396,HT$169,SwaptionMonthsToGo+SwaptionShift))))))</f>
        <v/>
      </c>
      <c r="HU205" s="150" t="str">
        <f aca="false">IF(OR(HU$169&lt;SwaptionFirstMonthPosition+1,$FJ205&lt;SwaptionFirstMonthPosition+1,HU$169&gt;SwaptionFirstMonthPosition+SwaptionNumOfMonths+1,$FJ205&gt;SwaptionFirstMonthPosition+SwaptionNumOfMonths+1),"",IF($FJ205=HU$169,1,IF($FJ205&lt;HU$169,INDEX($FK$170:$ID$241,HU$169,$FJ205),SUMPRODUCT(INDEX($FK$325:$ID$396,HU$169,1+SwaptionShift):INDEX($FK$325:$ID$396,HU$169,SwaptionMonthsToGo+SwaptionShift),INDEX($FK$245:$ID$316,$FJ205-HU$169,73-HU$169+SwaptionShift):INDEX($FK$245:$ID$316,$FJ205-HU$169,72-HU$169+SwaptionMonthsToGo+SwaptionShift))/SQRT(SUM(INDEX($FK360:$ID360,1+SwaptionShift):INDEX($FK360:$ID360,SwaptionMonthsToGo+SwaptionShift))*SUM(INDEX($FK$325:$ID$396,HU$169,1+SwaptionShift):INDEX($FK$325:$ID$396,HU$169,SwaptionMonthsToGo+SwaptionShift))))))</f>
        <v/>
      </c>
      <c r="HV205" s="150" t="str">
        <f aca="false">IF(OR(HV$169&lt;SwaptionFirstMonthPosition+1,$FJ205&lt;SwaptionFirstMonthPosition+1,HV$169&gt;SwaptionFirstMonthPosition+SwaptionNumOfMonths+1,$FJ205&gt;SwaptionFirstMonthPosition+SwaptionNumOfMonths+1),"",IF($FJ205=HV$169,1,IF($FJ205&lt;HV$169,INDEX($FK$170:$ID$241,HV$169,$FJ205),SUMPRODUCT(INDEX($FK$325:$ID$396,HV$169,1+SwaptionShift):INDEX($FK$325:$ID$396,HV$169,SwaptionMonthsToGo+SwaptionShift),INDEX($FK$245:$ID$316,$FJ205-HV$169,73-HV$169+SwaptionShift):INDEX($FK$245:$ID$316,$FJ205-HV$169,72-HV$169+SwaptionMonthsToGo+SwaptionShift))/SQRT(SUM(INDEX($FK360:$ID360,1+SwaptionShift):INDEX($FK360:$ID360,SwaptionMonthsToGo+SwaptionShift))*SUM(INDEX($FK$325:$ID$396,HV$169,1+SwaptionShift):INDEX($FK$325:$ID$396,HV$169,SwaptionMonthsToGo+SwaptionShift))))))</f>
        <v/>
      </c>
      <c r="HW205" s="150" t="str">
        <f aca="false">IF(OR(HW$169&lt;SwaptionFirstMonthPosition+1,$FJ205&lt;SwaptionFirstMonthPosition+1,HW$169&gt;SwaptionFirstMonthPosition+SwaptionNumOfMonths+1,$FJ205&gt;SwaptionFirstMonthPosition+SwaptionNumOfMonths+1),"",IF($FJ205=HW$169,1,IF($FJ205&lt;HW$169,INDEX($FK$170:$ID$241,HW$169,$FJ205),SUMPRODUCT(INDEX($FK$325:$ID$396,HW$169,1+SwaptionShift):INDEX($FK$325:$ID$396,HW$169,SwaptionMonthsToGo+SwaptionShift),INDEX($FK$245:$ID$316,$FJ205-HW$169,73-HW$169+SwaptionShift):INDEX($FK$245:$ID$316,$FJ205-HW$169,72-HW$169+SwaptionMonthsToGo+SwaptionShift))/SQRT(SUM(INDEX($FK360:$ID360,1+SwaptionShift):INDEX($FK360:$ID360,SwaptionMonthsToGo+SwaptionShift))*SUM(INDEX($FK$325:$ID$396,HW$169,1+SwaptionShift):INDEX($FK$325:$ID$396,HW$169,SwaptionMonthsToGo+SwaptionShift))))))</f>
        <v/>
      </c>
      <c r="HX205" s="150" t="str">
        <f aca="false">IF(OR(HX$169&lt;SwaptionFirstMonthPosition+1,$FJ205&lt;SwaptionFirstMonthPosition+1,HX$169&gt;SwaptionFirstMonthPosition+SwaptionNumOfMonths+1,$FJ205&gt;SwaptionFirstMonthPosition+SwaptionNumOfMonths+1),"",IF($FJ205=HX$169,1,IF($FJ205&lt;HX$169,INDEX($FK$170:$ID$241,HX$169,$FJ205),SUMPRODUCT(INDEX($FK$325:$ID$396,HX$169,1+SwaptionShift):INDEX($FK$325:$ID$396,HX$169,SwaptionMonthsToGo+SwaptionShift),INDEX($FK$245:$ID$316,$FJ205-HX$169,73-HX$169+SwaptionShift):INDEX($FK$245:$ID$316,$FJ205-HX$169,72-HX$169+SwaptionMonthsToGo+SwaptionShift))/SQRT(SUM(INDEX($FK360:$ID360,1+SwaptionShift):INDEX($FK360:$ID360,SwaptionMonthsToGo+SwaptionShift))*SUM(INDEX($FK$325:$ID$396,HX$169,1+SwaptionShift):INDEX($FK$325:$ID$396,HX$169,SwaptionMonthsToGo+SwaptionShift))))))</f>
        <v/>
      </c>
      <c r="HY205" s="150" t="str">
        <f aca="false">IF(OR(HY$169&lt;SwaptionFirstMonthPosition+1,$FJ205&lt;SwaptionFirstMonthPosition+1,HY$169&gt;SwaptionFirstMonthPosition+SwaptionNumOfMonths+1,$FJ205&gt;SwaptionFirstMonthPosition+SwaptionNumOfMonths+1),"",IF($FJ205=HY$169,1,IF($FJ205&lt;HY$169,INDEX($FK$170:$ID$241,HY$169,$FJ205),SUMPRODUCT(INDEX($FK$325:$ID$396,HY$169,1+SwaptionShift):INDEX($FK$325:$ID$396,HY$169,SwaptionMonthsToGo+SwaptionShift),INDEX($FK$245:$ID$316,$FJ205-HY$169,73-HY$169+SwaptionShift):INDEX($FK$245:$ID$316,$FJ205-HY$169,72-HY$169+SwaptionMonthsToGo+SwaptionShift))/SQRT(SUM(INDEX($FK360:$ID360,1+SwaptionShift):INDEX($FK360:$ID360,SwaptionMonthsToGo+SwaptionShift))*SUM(INDEX($FK$325:$ID$396,HY$169,1+SwaptionShift):INDEX($FK$325:$ID$396,HY$169,SwaptionMonthsToGo+SwaptionShift))))))</f>
        <v/>
      </c>
      <c r="HZ205" s="150" t="str">
        <f aca="false">IF(OR(HZ$169&lt;SwaptionFirstMonthPosition+1,$FJ205&lt;SwaptionFirstMonthPosition+1,HZ$169&gt;SwaptionFirstMonthPosition+SwaptionNumOfMonths+1,$FJ205&gt;SwaptionFirstMonthPosition+SwaptionNumOfMonths+1),"",IF($FJ205=HZ$169,1,IF($FJ205&lt;HZ$169,INDEX($FK$170:$ID$241,HZ$169,$FJ205),SUMPRODUCT(INDEX($FK$325:$ID$396,HZ$169,1+SwaptionShift):INDEX($FK$325:$ID$396,HZ$169,SwaptionMonthsToGo+SwaptionShift),INDEX($FK$245:$ID$316,$FJ205-HZ$169,73-HZ$169+SwaptionShift):INDEX($FK$245:$ID$316,$FJ205-HZ$169,72-HZ$169+SwaptionMonthsToGo+SwaptionShift))/SQRT(SUM(INDEX($FK360:$ID360,1+SwaptionShift):INDEX($FK360:$ID360,SwaptionMonthsToGo+SwaptionShift))*SUM(INDEX($FK$325:$ID$396,HZ$169,1+SwaptionShift):INDEX($FK$325:$ID$396,HZ$169,SwaptionMonthsToGo+SwaptionShift))))))</f>
        <v/>
      </c>
      <c r="IA205" s="150" t="str">
        <f aca="false">IF(OR(IA$169&lt;SwaptionFirstMonthPosition+1,$FJ205&lt;SwaptionFirstMonthPosition+1,IA$169&gt;SwaptionFirstMonthPosition+SwaptionNumOfMonths+1,$FJ205&gt;SwaptionFirstMonthPosition+SwaptionNumOfMonths+1),"",IF($FJ205=IA$169,1,IF($FJ205&lt;IA$169,INDEX($FK$170:$ID$241,IA$169,$FJ205),SUMPRODUCT(INDEX($FK$325:$ID$396,IA$169,1+SwaptionShift):INDEX($FK$325:$ID$396,IA$169,SwaptionMonthsToGo+SwaptionShift),INDEX($FK$245:$ID$316,$FJ205-IA$169,73-IA$169+SwaptionShift):INDEX($FK$245:$ID$316,$FJ205-IA$169,72-IA$169+SwaptionMonthsToGo+SwaptionShift))/SQRT(SUM(INDEX($FK360:$ID360,1+SwaptionShift):INDEX($FK360:$ID360,SwaptionMonthsToGo+SwaptionShift))*SUM(INDEX($FK$325:$ID$396,IA$169,1+SwaptionShift):INDEX($FK$325:$ID$396,IA$169,SwaptionMonthsToGo+SwaptionShift))))))</f>
        <v/>
      </c>
      <c r="IB205" s="150" t="str">
        <f aca="false">IF(OR(IB$169&lt;SwaptionFirstMonthPosition+1,$FJ205&lt;SwaptionFirstMonthPosition+1,IB$169&gt;SwaptionFirstMonthPosition+SwaptionNumOfMonths+1,$FJ205&gt;SwaptionFirstMonthPosition+SwaptionNumOfMonths+1),"",IF($FJ205=IB$169,1,IF($FJ205&lt;IB$169,INDEX($FK$170:$ID$241,IB$169,$FJ205),SUMPRODUCT(INDEX($FK$325:$ID$396,IB$169,1+SwaptionShift):INDEX($FK$325:$ID$396,IB$169,SwaptionMonthsToGo+SwaptionShift),INDEX($FK$245:$ID$316,$FJ205-IB$169,73-IB$169+SwaptionShift):INDEX($FK$245:$ID$316,$FJ205-IB$169,72-IB$169+SwaptionMonthsToGo+SwaptionShift))/SQRT(SUM(INDEX($FK360:$ID360,1+SwaptionShift):INDEX($FK360:$ID360,SwaptionMonthsToGo+SwaptionShift))*SUM(INDEX($FK$325:$ID$396,IB$169,1+SwaptionShift):INDEX($FK$325:$ID$396,IB$169,SwaptionMonthsToGo+SwaptionShift))))))</f>
        <v/>
      </c>
      <c r="IC205" s="150" t="str">
        <f aca="false">IF(OR(IC$169&lt;SwaptionFirstMonthPosition+1,$FJ205&lt;SwaptionFirstMonthPosition+1,IC$169&gt;SwaptionFirstMonthPosition+SwaptionNumOfMonths+1,$FJ205&gt;SwaptionFirstMonthPosition+SwaptionNumOfMonths+1),"",IF($FJ205=IC$169,1,IF($FJ205&lt;IC$169,INDEX($FK$170:$ID$241,IC$169,$FJ205),SUMPRODUCT(INDEX($FK$325:$ID$396,IC$169,1+SwaptionShift):INDEX($FK$325:$ID$396,IC$169,SwaptionMonthsToGo+SwaptionShift),INDEX($FK$245:$ID$316,$FJ205-IC$169,73-IC$169+SwaptionShift):INDEX($FK$245:$ID$316,$FJ205-IC$169,72-IC$169+SwaptionMonthsToGo+SwaptionShift))/SQRT(SUM(INDEX($FK360:$ID360,1+SwaptionShift):INDEX($FK360:$ID360,SwaptionMonthsToGo+SwaptionShift))*SUM(INDEX($FK$325:$ID$396,IC$169,1+SwaptionShift):INDEX($FK$325:$ID$396,IC$169,SwaptionMonthsToGo+SwaptionShift))))))</f>
        <v/>
      </c>
      <c r="ID205" s="572" t="str">
        <f aca="false">IF(OR(ID$169&lt;SwaptionFirstMonthPosition+1,$FJ205&lt;SwaptionFirstMonthPosition+1,ID$169&gt;SwaptionFirstMonthPosition+SwaptionNumOfMonths+1,$FJ205&gt;SwaptionFirstMonthPosition+SwaptionNumOfMonths+1),"",IF($FJ205=ID$169,1,IF($FJ205&lt;ID$169,INDEX($FK$170:$ID$241,ID$169,$FJ205),SUMPRODUCT(INDEX($FK$325:$ID$396,ID$169,1+SwaptionShift):INDEX($FK$325:$ID$396,ID$169,SwaptionMonthsToGo+SwaptionShift),INDEX($FK$245:$ID$316,$FJ205-ID$169,73-ID$169+SwaptionShift):INDEX($FK$245:$ID$316,$FJ205-ID$169,72-ID$169+SwaptionMonthsToGo+SwaptionShift))/SQRT(SUM(INDEX($FK360:$ID360,1+SwaptionShift):INDEX($FK360:$ID360,SwaptionMonthsToGo+SwaptionShift))*SUM(INDEX($FK$325:$ID$396,ID$169,1+SwaptionShift):INDEX($FK$325:$ID$396,ID$169,SwaptionMonthsToGo+SwaptionShift))))))</f>
        <v/>
      </c>
      <c r="IE205" s="129"/>
    </row>
    <row r="206" customFormat="false" ht="12.75" hidden="false" customHeight="false" outlineLevel="0" collapsed="false">
      <c r="H206" s="219" t="n">
        <f aca="false">VLOOKUP(I206,$EJ$20:$EL$54,3)</f>
        <v>0</v>
      </c>
      <c r="I206" s="511" t="n">
        <f aca="false">EOMONTH(I205,0)+1</f>
        <v>42430</v>
      </c>
      <c r="J206" s="512"/>
      <c r="K206" s="513" t="s">
        <v>280</v>
      </c>
      <c r="L206" s="514" t="n">
        <f aca="false">IF(ISNUMBER(K206),J206+K206/100,IF(K206="extra",L205+VLOOKUP(BF206,PriceSpreadTable,2)/12,IF(K206="inter",interpolateprices($K$19:$L$200,ROW(K206)-ROW(FirstPricingMonth)+1),interpolatechanges($J$19:$K$200,ROW(K206)-ROW(FirstPricingMonth)+1))))</f>
        <v>4.12500000000001</v>
      </c>
      <c r="M206" s="515"/>
      <c r="N206" s="516" t="n">
        <v>0</v>
      </c>
      <c r="O206" s="515" t="n">
        <f aca="false">M206+N206</f>
        <v>0</v>
      </c>
      <c r="P206" s="512"/>
      <c r="Q206" s="513" t="s">
        <v>280</v>
      </c>
      <c r="R206" s="512" t="e">
        <f aca="false">IF(ISNUMBER(Q206),P206+Q206/100,IF(Q206="extra",(Z204*AL204-R205*AM204)/AN204,IF(Q206="inter",interpolateprices($Q$19:$R$260,ROW(Q206)-ROW(FirstPricingMonth)+1),interpolatechanges($P$19:$Q$260,ROW(Q206)-ROW(FirstPricingMonth)+1))))</f>
        <v>#VALUE!</v>
      </c>
      <c r="S206" s="597" t="n">
        <f aca="false">S$19+(S205-S$19)*S$18</f>
        <v>0.36</v>
      </c>
      <c r="T206" s="575" t="n">
        <f aca="false">SQRT((1-(1-T205^2/U205)*T$18)*U206)</f>
        <v>0.999999999999975</v>
      </c>
      <c r="U206" s="576" t="n">
        <f aca="false">1-(1-U205)*U$18</f>
        <v>1</v>
      </c>
      <c r="V206" s="521" t="n">
        <v>0</v>
      </c>
      <c r="W206" s="577" t="n">
        <f aca="false">(J207*AJ206+J208*AK206)/AI206</f>
        <v>0</v>
      </c>
      <c r="X206" s="578" t="n">
        <f aca="false">(L207*AJ206+L208*AK206)/AI206</f>
        <v>4.17717391304348</v>
      </c>
      <c r="Y206" s="579" t="n">
        <f aca="false">IF(Q208="extra",W206-AA206,(P207*AM206+P208*AN206)/AL206)</f>
        <v>-1.1685</v>
      </c>
      <c r="Z206" s="579" t="n">
        <f aca="false">IF(Q208="extra",X206-AB206,(R207*AM206+R208*AN206)/AL206)</f>
        <v>3.00867391304348</v>
      </c>
      <c r="AA206" s="523" t="n">
        <f aca="false">IF(Q208="extra",INDEX(BrentSeasonalityTable,INT((BG206-1)/3)+1)*VLOOKUP(MAX(BF206,$AB$4),PriceSpreadTable,3),W206-Y206)</f>
        <v>1.1685</v>
      </c>
      <c r="AB206" s="524" t="n">
        <f aca="false">IF(Q208="extra",INDEX(BrentSeasonalityTable,INT((BG206-1)/3)+1)*VLOOKUP(MAX(BF206,$AB$4),PriceSpreadTable,3),X206-Z206)</f>
        <v>1.1685</v>
      </c>
      <c r="AC206" s="646" t="n">
        <v>42420</v>
      </c>
      <c r="AD206" s="646" t="n">
        <v>42416</v>
      </c>
      <c r="AE206" s="646" t="n">
        <v>42415</v>
      </c>
      <c r="AF206" s="646" t="n">
        <v>42411</v>
      </c>
      <c r="AG206" s="438" t="s">
        <v>278</v>
      </c>
      <c r="AH206" s="439" t="s">
        <v>278</v>
      </c>
      <c r="AI206" s="528" t="n">
        <v>23</v>
      </c>
      <c r="AJ206" s="529" t="n">
        <v>14</v>
      </c>
      <c r="AK206" s="529" t="n">
        <v>9</v>
      </c>
      <c r="AL206" s="530" t="n">
        <v>23</v>
      </c>
      <c r="AM206" s="529" t="n">
        <v>10</v>
      </c>
      <c r="AN206" s="531" t="n">
        <v>13</v>
      </c>
      <c r="AO206" s="532"/>
      <c r="AP206" s="465" t="n">
        <f aca="false">(1+AO206/2)^(-2*BL206)</f>
        <v>1</v>
      </c>
      <c r="AQ206" s="532"/>
      <c r="AR206" s="465" t="n">
        <f aca="false">(1+AQ206/2)^(-2*BH206/365.25)</f>
        <v>1</v>
      </c>
      <c r="AS206" s="580" t="n">
        <f aca="false">(O207*AJ206+O208*AK206)/AI206</f>
        <v>0</v>
      </c>
      <c r="AT206" s="468" t="n">
        <f aca="false">O206*VLOOKUP(BF206,BrentVolTable,2)+VLOOKUP(BF206,BrentVolTable,3)</f>
        <v>0</v>
      </c>
      <c r="AU206" s="468" t="n">
        <f aca="false">(AT207*AM206+AT208*AN206)/AL206</f>
        <v>0</v>
      </c>
      <c r="AV206" s="595" t="n">
        <f aca="false">SQRT(MAX(0.000000000001,(O206^2*BH206-S206^2*(BH206-BH205))/BH205))</f>
        <v>0.0336885032947041</v>
      </c>
      <c r="AW206" s="451" t="n">
        <f aca="false">IF($I206-DateToday+15&gt;=$T$8,"",IF($I206-DateToday+15&lt;$T$5,1,MATCH($I206-DateToday+15,$T$5:$T$8)))</f>
        <v>1</v>
      </c>
      <c r="AX206" s="468" t="n">
        <f aca="false">IF($AW206="",AX205^2/AX204,INDEX(U$5:U$8,$AW206)^((INDEX($T$5:$T$8,$AW206+1)-($I206-DateToday+15))/(INDEX($T$5:$T$8,$AW206+1)-INDEX($T$5:$T$8,$AW206)))/INDEX(U$5:U$8,$AW206+1)^((INDEX($T$5:$T$8,$AW206)-($I206-DateToday+15))/(INDEX($T$5:$T$8,$AW206+1)-INDEX($T$5:$T$8,$AW206))))</f>
        <v>0.235537642956288</v>
      </c>
      <c r="AY206" s="468" t="n">
        <f aca="false">IF($AW206="",AY205^2/AY204,INDEX(V$5:V$8,$AW206)^((INDEX($T$5:$T$8,$AW206+1)-($I206-DateToday+15))/(INDEX($T$5:$T$8,$AW206+1)-INDEX($T$5:$T$8,$AW206)))/INDEX(V$5:V$8,$AW206+1)^((INDEX($T$5:$T$8,$AW206)-($I206-DateToday+15))/(INDEX($T$5:$T$8,$AW206+1)-INDEX($T$5:$T$8,$AW206))))</f>
        <v>2.06468741381655</v>
      </c>
      <c r="AZ206" s="468" t="n">
        <f aca="false">IF($AW206="",AZ205^2/AZ204,INDEX(W$5:W$8,$AW206)^((INDEX($T$5:$T$8,$AW206+1)-($I206-DateToday+15))/(INDEX($T$5:$T$8,$AW206+1)-INDEX($T$5:$T$8,$AW206)))/INDEX(W$5:W$8,$AW206+1)^((INDEX($T$5:$T$8,$AW206)-($I206-DateToday+15))/(INDEX($T$5:$T$8,$AW206+1)-INDEX($T$5:$T$8,$AW206))))</f>
        <v>158.814682126891</v>
      </c>
      <c r="BA206" s="468" t="n">
        <f aca="false">IF($AW206="",BA205^2/BA204,INDEX(X$5:X$8,$AW206)^((INDEX($T$5:$T$8,$AW206+1)-($I206-DateToday+15))/(INDEX($T$5:$T$8,$AW206+1)-INDEX($T$5:$T$8,$AW206)))/INDEX(X$5:X$8,$AW206+1)^((INDEX($T$5:$T$8,$AW206)-($I206-DateToday+15))/(INDEX($T$5:$T$8,$AW206+1)-INDEX($T$5:$T$8,$AW206))))</f>
        <v>389.654540573123</v>
      </c>
      <c r="BB206" s="468" t="n">
        <f aca="false">IF($AW206="",BB205^2/BB204,INDEX(Y$5:Y$8,$AW206)^((INDEX($T$5:$T$8,$AW206+1)-($I206-DateToday+15))/(INDEX($T$5:$T$8,$AW206+1)-INDEX($T$5:$T$8,$AW206)))/INDEX(Y$5:Y$8,$AW206+1)^((INDEX($T$5:$T$8,$AW206)-($I206-DateToday+15))/(INDEX($T$5:$T$8,$AW206+1)-INDEX($T$5:$T$8,$AW206))))</f>
        <v>1709.143931215</v>
      </c>
      <c r="BC206" s="468" t="n">
        <f aca="false">IF($AW206="",BC205^2/BC204,INDEX(Z$5:Z$8,$AW206)^((INDEX($T$5:$T$8,$AW206+1)-($I206-DateToday+15))/(INDEX($T$5:$T$8,$AW206+1)-INDEX($T$5:$T$8,$AW206)))/INDEX(Z$5:Z$8,$AW206+1)^((INDEX($T$5:$T$8,$AW206)-($I206-DateToday+15))/(INDEX($T$5:$T$8,$AW206+1)-INDEX($T$5:$T$8,$AW206))))</f>
        <v>4249.04127564474</v>
      </c>
      <c r="BD206" s="535" t="n">
        <f aca="false">IF(OR(DateStart&gt;=I207,DateEnd&lt;I206),0,IF(VolumeOverrideFlag,V206,Volume))</f>
        <v>0</v>
      </c>
      <c r="BE206" s="536" t="n">
        <f aca="false">IF(OR(DateStart2&gt;=I207,DateEnd2&lt;I206),0,IF(VolumeOverrideFlag,V206,VolumeSwaption))</f>
        <v>0</v>
      </c>
      <c r="BF206" s="537" t="n">
        <f aca="false">YEAR(I206)</f>
        <v>2016</v>
      </c>
      <c r="BG206" s="538" t="n">
        <f aca="false">MONTH(I206)</f>
        <v>3</v>
      </c>
      <c r="BH206" s="539" t="n">
        <f aca="false">AD206-DateToday+1</f>
        <v>-3509</v>
      </c>
      <c r="BI206" s="540" t="n">
        <f aca="false">(I206-DateToday+1)/365.25</f>
        <v>-9.56878850102669</v>
      </c>
      <c r="BJ206" s="541" t="n">
        <f aca="false">BI206+(BL206-BI206)*CHOOSE(Underlying,AJ206/AI206,AM206/AL206)</f>
        <v>-9.51879296491385</v>
      </c>
      <c r="BK206" s="541" t="n">
        <f aca="false">BJ206+1/365.25</f>
        <v>-9.51605511412672</v>
      </c>
      <c r="BL206" s="541" t="n">
        <f aca="false">(I207-DateToday)/365.25</f>
        <v>-9.48665297741273</v>
      </c>
      <c r="BM206" s="542" t="e">
        <f aca="false">MAX(BI206-(BJ206-BI206)*(S207^2/O207^2-1),0)</f>
        <v>#DIV/0!</v>
      </c>
      <c r="BN206" s="541" t="e">
        <f aca="false">MAX(BL206+(BL206-BK206)*(S208^2/O208^2-1),0)</f>
        <v>#DIV/0!</v>
      </c>
      <c r="BO206" s="530" t="n">
        <f aca="false">CHOOSE(Underlying,AI206,AL206)</f>
        <v>23</v>
      </c>
      <c r="BP206" s="529" t="n">
        <f aca="false">CHOOSE(Underlying,AJ206,AM206)</f>
        <v>14</v>
      </c>
      <c r="BQ206" s="529" t="n">
        <f aca="false">CHOOSE(Underlying,AK206,AN206)</f>
        <v>9</v>
      </c>
      <c r="BR206" s="463" t="str">
        <f aca="false">IF(BD206,IF(Underlying=1,X206,Z206)+UnderlyingPriceAsian-SwapPriceCurve,"")</f>
        <v/>
      </c>
      <c r="BS206" s="463" t="str">
        <f aca="false">IF(BD206,Strike1/BR206-1,"")</f>
        <v/>
      </c>
      <c r="BT206" s="464" t="str">
        <f aca="false">IF(BD206,Strike2/BR206-1,"")</f>
        <v/>
      </c>
      <c r="BU206" s="465" t="str">
        <f aca="false">IF(BD206,IF(Underlying=1,L207,R207)+UnderlyingPriceAsian-SwapPriceCurve,"")</f>
        <v/>
      </c>
      <c r="BV206" s="465" t="str">
        <f aca="false">IF(BD206,IF(Underlying=1,L208,R208)+UnderlyingPriceAsian-SwapPriceCurve,"")</f>
        <v/>
      </c>
      <c r="BW206" s="466" t="str">
        <f aca="false">IF(BD206,IF(Underlying=1,O207,AT207),"")</f>
        <v/>
      </c>
      <c r="BX206" s="467" t="str">
        <f aca="false">IF(BD206,IF(Underlying=1,O208,AT208),"")</f>
        <v/>
      </c>
      <c r="BY206" s="466" t="str">
        <f aca="false">IF(BD206,IF(BS206&gt;0,IF(BS206&gt;0.2,BC206-BB206,IF(BS206&gt;0.1,BB206-BA206,BA206)),IF(BS206&lt;-0.2,AX206-AY206,IF(BS206&lt;-0.1,AY206-AZ206,AZ206))),"")</f>
        <v/>
      </c>
      <c r="BZ206" s="467" t="str">
        <f aca="false">IF(BD206,IF(BT206&gt;0,IF(BT206&gt;0.2,BC206-BB206,IF(BT206&gt;0.1,BB206-BA206,BA206)),IF(BT206&lt;-0.2,AX206-AY206,IF(BT206&lt;-0.1,AY206-AZ206,AZ206))),"")</f>
        <v/>
      </c>
      <c r="CA206" s="468" t="str">
        <f aca="false">IF($BD206,$BW206+IF(VolSkewFlag=1,IF(BS206&gt;0,$BA206*MIN(BS206/10%,1)+($BB206-$BA206)*MAX(0,MIN(BS206/10%-1,1))+($BC206-$BB206)*MAX(0,BS206/10%-2),$AZ206*MIN(-BS206/10%,1)+($AY206-$AZ206)*MAX(0,MIN(-BS206/10%-1,1))+($AX206-$AY206)*MAX(0,-BS206/10%-2)),0),"")</f>
        <v/>
      </c>
      <c r="CB206" s="468" t="str">
        <f aca="false">IF($BD206,$BX206+IF(VolSkewFlag=1,IF(BS206&gt;0,$BA206*MIN(BS206/10%,1)+($BB206-$BA206)*MAX(0,MIN(BS206/10%-1,1))+($BC206-$BB206)*MAX(0,BS206/10%-2),$AZ206*MIN(-BS206/10%,1)+($AY206-$AZ206)*MAX(0,MIN(-BS206/10%-1,1))+($AX206-$AY206)*MAX(0,-BS206/10%-2)),0),"")</f>
        <v/>
      </c>
      <c r="CC206" s="468" t="str">
        <f aca="false">IF($BD206,$BW206+IF(VolSkewFlag=1,IF(BT206&gt;0,$BA206*MIN(BT206/10%,1)+($BB206-$BA206)*MAX(0,MIN(BT206/10%-1,1))+($BC206-$BB206)*MAX(0,BT206/10%-2),$AZ206*MIN(-BT206/10%,1)+($AY206-$AZ206)*MAX(0,MIN(-BT206/10%-1,1))+($AX206-$AY206)*MAX(0,-BT206/10%-2)),0),"")</f>
        <v/>
      </c>
      <c r="CD206" s="468" t="str">
        <f aca="false">IF($BD206,$BX206+IF(VolSkewFlag=1,IF(BT206&gt;0,$BA206*MIN(BT206/10%,1)+($BB206-$BA206)*MAX(0,MIN(BT206/10%-1,1))+($BC206-$BB206)*MAX(0,BT206/10%-2),$AZ206*MIN(-BT206/10%,1)+($AY206-$AZ206)*MAX(0,MIN(-BT206/10%-1,1))+($AX206-$AY206)*MAX(0,-BT206/10%-2)),0),"")</f>
        <v/>
      </c>
      <c r="CE206" s="469" t="n">
        <v>1</v>
      </c>
      <c r="CF206" s="470" t="n">
        <f aca="false">IF(BD206,xCrudeAPO(BU206,BV206,CA206,CB206,S207,S208,BI206,BL206,BP206,BQ206,0,Strike1,AO206,CE206,0,BL206,IF(OptControl=4,0,1),0,1),0)</f>
        <v>0</v>
      </c>
      <c r="CG206" s="470" t="n">
        <f aca="false">IF(BD206,xCrudeAPO(BU206,BV206,CA206,CB206,S207,S208,BI206,BL206,BP206,BQ206,0,Strike1,AO206,CE206,0,BL206,IF(OptControl=4,0,1),1,1)+xCrudeAPO(BU206,BV206,CA206,CB206,S207,S208,BI206,BL206,BP206,BQ206,0,Strike1,AO206,CE206,0,BL206,IF(OptControl=4,0,1),1,2)+IF(OR(VolSkewFlag=2,ABS(BS206)&lt;0.0001),0,IF(BS206&gt;0,-1,1)*CH206*Strike1/BR206^2*BY206/10%),0)</f>
        <v>0</v>
      </c>
      <c r="CH206" s="470" t="n">
        <f aca="false">IF(BD206,(xCrudeAPO(BU206,BV206,CA206,CB206,S207,S208,BI206,BL206,BP206,BQ206,0,Strike1,AO206,CE206,0,BL206,IF(OptControl=4,0,1),3,1)+xCrudeAPO(BU206,BV206,CA206,CB206,S207,S208,BI206,BL206,BP206,BQ206,0,Strike1,AO206,CE206,0,BL206,IF(OptControl=4,0,1),3,2))/100,0)</f>
        <v>0</v>
      </c>
      <c r="CI206" s="470" t="n">
        <f aca="false">IF(BD206,xCrudeAPO(BU206,BV206,CA206,CB206,S207,S208,BI206-DaysForThetaCalculation/365.25,BL206-DaysForThetaCalculation/365.25,BP206,BQ206,0,Strike1,AO206,CE206,0,BL206,IF(OptControl=4,0,1),0,1)-xCrudeAPO(BU206,BV206,CA206,CB206,S207,S208,BI206,BL206,BP206,BQ206,0,Strike1,AO206,CE206,0,BL206,IF(OptControl=4,0,1),0,1),0)</f>
        <v>0</v>
      </c>
      <c r="CJ206" s="471" t="n">
        <f aca="false">IF(BD206,xCrudeAPO(BU206,BV206,CC206,CD206,S207,S208,BI206,BL206,BP206,BQ206,0,Strike2,AO206,CE206,0,BL206,IF(OptControl=3,1,0),0,1),0)</f>
        <v>0</v>
      </c>
      <c r="CK206" s="470" t="n">
        <f aca="false">IF(BD206,xCrudeAPO(BU206,BV206,CC206,CD206,S207,S208,BI206,BL206,BP206,BQ206,0,Strike2,AO206,CE206,0,BL206,IF(OptControl=3,1,0),1,1)+xCrudeAPO(BU206,BV206,CC206,CD206,S207,S208,BI206,BL206,BP206,BQ206,0,Strike2,AO206,CE206,0,BL206,IF(OptControl=3,1,0),1,2)+IF(OR(VolSkewFlag=2,ABS(BT206)&lt;0.0001),0,IF(BT206&gt;0,-1,1)*CL206*Strike2/BR206^2*BZ206/10%),0)</f>
        <v>0</v>
      </c>
      <c r="CL206" s="470" t="n">
        <f aca="false">IF(BD206,(xCrudeAPO(BU206,BV206,CC206,CD206,S207,S208,BI206,BL206,BP206,BQ206,0,Strike2,AO206,CE206,0,BL206,IF(OptControl=3,1,0),3,1)+xCrudeAPO(BU206,BV206,CC206,CD206,S207,S208,BI206,BL206,BP206,BQ206,0,Strike2,AO206,CE206,0,BL206,IF(OptControl=3,1,0),3,2))/100,0)</f>
        <v>0</v>
      </c>
      <c r="CM206" s="472" t="n">
        <f aca="false">IF(BD206,xCrudeAPO(BU206,BV206,CC206,CD206,S207,S208,BI206-DaysForThetaCalculation/365.25,BL206-DaysForThetaCalculation/365.25,BP206,BQ206,0,Strike2,AO206,CE206,0,BL206,IF(OptControl=3,1,0),0,1)-xCrudeAPO(BU206,BV206,CC206,CD206,S207,S208,BI206,BL206,BP206,BQ206,0,Strike2,AO206,CE206,0,BL206,IF(OptControl=3,1,0),0,1),0)</f>
        <v>0</v>
      </c>
      <c r="CN206" s="3"/>
      <c r="CO206" s="543" t="str">
        <f aca="false">IF(BD206,CHOOSE(Underlying,AD206,AF206)-DateToday+1,"")</f>
        <v/>
      </c>
      <c r="CP206" s="582" t="str">
        <f aca="false">IF(BD206,CHOOSE(Underlying,L206,R206),"")</f>
        <v/>
      </c>
      <c r="CQ206" s="544" t="str">
        <f aca="false">IF(BD206,Strike1/CP206-1,"")</f>
        <v/>
      </c>
      <c r="CR206" s="544" t="str">
        <f aca="false">IF(BD206,Strike2/CP206-1,"")</f>
        <v/>
      </c>
      <c r="CS206" s="544" t="str">
        <f aca="false">IF(BD206,IF(CQ206&gt;0,IF(CQ206&gt;0.2,BC205-BB205,IF(CQ206&gt;0.1,BB205-BA205,BA205)),IF(CQ206&lt;-0.2,AX205-AY205,IF(CQ206&lt;-0.1,AY205-AZ205,AZ205))),"")</f>
        <v/>
      </c>
      <c r="CT206" s="544" t="str">
        <f aca="false">IF(BD206,IF(CR206&gt;0,IF(CR206&gt;0.2,BC205-BB205,IF(CR206&gt;0.1,BB205-BA205,BA205)),IF(CR206&lt;-0.2,AX205-AY205,IF(CR206&lt;-0.1,AY205-AZ205,AZ205))),"")</f>
        <v/>
      </c>
      <c r="CU206" s="545" t="str">
        <f aca="false">IF(BD206,CHOOSE(Underlying,O206,AT206),"")</f>
        <v/>
      </c>
      <c r="CV206" s="545" t="str">
        <f aca="false">IF(BD206,CU206+IF(VolSkewFlag=1,IF(CQ206&gt;0,BA205*MIN(CQ206/10%,1)+(BB205-BA205)*MAX(0,MIN(CQ206/10%-1,1))+(BC205-BB205)*MAX(0,CQ206/10%-2),AZ205*MIN(-CQ206/10%,1)+(AY205-AZ205)*MAX(0,MIN(-CQ206/10%-1,1))+(AX205-AY205)*MAX(0,-CQ206/10%-2)),0),"")</f>
        <v/>
      </c>
      <c r="CW206" s="545" t="str">
        <f aca="false">IF(BD206,CU206+IF(VolSkewFlag=1,IF(CR206&gt;0,BA205*MIN(CR206/10%,1)+(BB205-BA205)*MAX(0,MIN(CR206/10%-1,1))+(BC205-BB205)*MAX(0,CR206/10%-2),AZ205*MIN(-CR206/10%,1)+(AY205-AZ205)*MAX(0,MIN(-CR206/10%-1,1))+(AX205-AY205)*MAX(0,-CR206/10%-2)),0),"")</f>
        <v/>
      </c>
      <c r="CX206" s="470" t="n">
        <f aca="false">IF(BD206,EURO(CP206,Strike1,AO206,AO206,CV206,CO206,IF(OptControl=4,0,1),0),0)</f>
        <v>0</v>
      </c>
      <c r="CY206" s="470" t="n">
        <f aca="false">IF(BD206,EURO(CP206,Strike1,AO206,AO206,CV206,CO206,IF(OptControl=4,0,1),1)+IF(OR(VolSkewFlag=2,ABS(CQ206)&lt;0.0001),0,IF(CQ206&gt;0,-1,1)*CZ206*100*Strike1/CP206^2*CS206/10%),0)</f>
        <v>0</v>
      </c>
      <c r="CZ206" s="470" t="n">
        <f aca="false">IF(BD206,EURO(CP206,Strike1,AO206,AO206,CV206,CO206,IF(OptControl=4,0,1),3)/100,0)</f>
        <v>0</v>
      </c>
      <c r="DA206" s="470" t="n">
        <f aca="false">IF(BD206,EURO(CP206,Strike1,AO206,AO206,CV206,CO206,IF(OptControl=4,0,1),0)-EURO(CP206,Strike1,AO206,AO206,CV206,CO206-1,IF(OptControl=4,0,1),0),0)</f>
        <v>0</v>
      </c>
      <c r="DB206" s="470" t="n">
        <f aca="false">IF(BD206,EURO(CP206,Strike2,AO206,AO206,CW206,CO206,IF(OptControl=3,1,0),0),0)</f>
        <v>0</v>
      </c>
      <c r="DC206" s="470" t="n">
        <f aca="false">IF(BD206,EURO(CP206,Strike2,AO206,AO206,CW206,CO206,IF(OptControl=3,1,0),1)+IF(OR(VolSkewFlag=2,ABS(CR206)&lt;0.0001),0,IF(CR206&gt;0,-1,1)*DD206*100*Strike2/CP206^2*CT206/10%),0)</f>
        <v>0</v>
      </c>
      <c r="DD206" s="470" t="n">
        <f aca="false">IF(BD206,EURO(CP206,Strike2,AO206,AO206,CW206,CO206,IF(OptControl=3,1,0),3)/100,0)</f>
        <v>0</v>
      </c>
      <c r="DE206" s="472" t="n">
        <f aca="false">IF(BD206,EURO(CP206,Strike2,AO206,AO206,CW206,CO206,IF(OptControl=3,1,0),0)-EURO(CP206,Strike2,AO206,AO206,CW206,CO206-1,IF(OptControl=3,1,0),0),0)</f>
        <v>0</v>
      </c>
      <c r="DG206" s="481" t="n">
        <f aca="false">EOMONTH(DG205,0)+1</f>
        <v>51349</v>
      </c>
      <c r="DH206" s="478" t="n">
        <v>23.4600000000001</v>
      </c>
      <c r="DI206" s="479" t="n">
        <v>23.5266666666667</v>
      </c>
      <c r="DJ206" s="480" t="n">
        <f aca="false">DG206</f>
        <v>51349</v>
      </c>
      <c r="DK206" s="478" t="n">
        <v>22.0690827555221</v>
      </c>
      <c r="DL206" s="479" t="n">
        <v>22.2597666666667</v>
      </c>
      <c r="DM206" s="481" t="n">
        <f aca="false">DG206</f>
        <v>51349</v>
      </c>
      <c r="DN206" s="482" t="n">
        <f aca="false">DK206+BrentPhyBrentSpread</f>
        <v>22.1190827555221</v>
      </c>
      <c r="DO206" s="481" t="n">
        <f aca="false">DG206</f>
        <v>51349</v>
      </c>
      <c r="DP206" s="483" t="n">
        <f aca="false">DL206+DQ206</f>
        <v>22.2597666666667</v>
      </c>
      <c r="DQ206" s="546" t="n">
        <v>0</v>
      </c>
      <c r="DR206" s="480" t="n">
        <f aca="false">DG206</f>
        <v>51349</v>
      </c>
      <c r="DS206" s="485" t="n">
        <v>0.112999999999998</v>
      </c>
      <c r="DT206" s="486" t="n">
        <v>0.112199999999998</v>
      </c>
      <c r="DU206" s="480" t="n">
        <f aca="false">DG206</f>
        <v>51349</v>
      </c>
      <c r="DV206" s="485" t="n">
        <v>0.112999999999998</v>
      </c>
      <c r="DW206" s="486" t="n">
        <v>0.112199999999998</v>
      </c>
      <c r="DX206" s="481" t="n">
        <f aca="false">DG206</f>
        <v>51349</v>
      </c>
      <c r="DY206" s="486" t="n">
        <v>0.35</v>
      </c>
      <c r="DZ206" s="481" t="n">
        <f aca="false">DR206</f>
        <v>51349</v>
      </c>
      <c r="EA206" s="486" t="n">
        <f aca="false">DT206</f>
        <v>0.112199999999998</v>
      </c>
      <c r="EB206" s="195"/>
      <c r="EC206" s="547" t="str">
        <f aca="false">IF(BD206,IF(Underlying=1,AS206,AU206),"")</f>
        <v/>
      </c>
      <c r="ED206" s="548" t="str">
        <f aca="false">IF($BD206,$EC206+IF(VolSkewFlag=1,IF(BS206&gt;0,$BA206*MIN(BS206/10%,1)+($BB206-$BA206)*MAX(0,MIN(BS206/10%-1,1))+($BC206-$BB206)*MAX(0,BS206/10%-2),$AZ206*MIN(-BS206/10%,1)+($AY206-$AZ206)*MAX(0,MIN(-BS206/10%-1,1))+($AX206-$AY206)*MAX(0,-BS206/10%-2)),0),"")</f>
        <v/>
      </c>
      <c r="EE206" s="549" t="str">
        <f aca="false">IF($BD206,$EC206+IF(VolSkewFlag=1,IF(BT206&gt;0,$BA206*MIN(BT206/10%,1)+($BB206-$BA206)*MAX(0,MIN(BT206/10%-1,1))+($BC206-$BB206)*MAX(0,BT206/10%-2),$AZ206*MIN(-BT206/10%,1)+($AY206-$AZ206)*MAX(0,MIN(-BT206/10%-1,1))+($AX206-$AY206)*MAX(0,-BT206/10%-2)),0),"")</f>
        <v/>
      </c>
      <c r="EF206" s="550" t="n">
        <f aca="false">IF(BD206,xASN(BR206,Strike1,AO206,ED206,0,BO206,0,BI206,BL206,IF(OptControl=4,0,1),0),0)</f>
        <v>0</v>
      </c>
      <c r="EG206" s="551" t="n">
        <f aca="false">IF(BD206,xASN(BR206,Strike2,AO206,EE206,0,BO206,0,BI206,BL206,IF(OptControl=3,1,0),0),0)</f>
        <v>0</v>
      </c>
      <c r="EL206" s="1"/>
      <c r="EM206" s="195"/>
      <c r="EN206" s="240"/>
      <c r="EO206" s="240"/>
      <c r="EP206" s="195"/>
      <c r="EQ206" s="407" t="s">
        <v>434</v>
      </c>
      <c r="ES206" s="130"/>
      <c r="ET206" s="19"/>
      <c r="EU206" s="672"/>
      <c r="EV206" s="478"/>
      <c r="EW206" s="131"/>
      <c r="EX206" s="131"/>
      <c r="EY206" s="129"/>
      <c r="EZ206" s="129"/>
      <c r="FA206" s="129"/>
      <c r="FB206" s="129"/>
      <c r="FC206" s="129"/>
      <c r="FD206" s="129"/>
      <c r="FE206" s="129"/>
      <c r="FF206" s="129"/>
      <c r="FG206" s="129"/>
      <c r="FH206" s="129"/>
      <c r="FI206" s="129"/>
      <c r="FJ206" s="571" t="n">
        <v>37</v>
      </c>
      <c r="FK206" s="150" t="str">
        <f aca="false">IF(OR(FK$169&lt;SwaptionFirstMonthPosition+1,$FJ206&lt;SwaptionFirstMonthPosition+1,FK$169&gt;SwaptionFirstMonthPosition+SwaptionNumOfMonths+1,$FJ206&gt;SwaptionFirstMonthPosition+SwaptionNumOfMonths+1),"",IF($FJ206=FK$169,1,IF($FJ206&lt;FK$169,INDEX($FK$170:$ID$241,FK$169,$FJ206),SUMPRODUCT(INDEX($FK$325:$ID$396,FK$169,1+SwaptionShift):INDEX($FK$325:$ID$396,FK$169,SwaptionMonthsToGo+SwaptionShift),INDEX($FK$245:$ID$316,$FJ206-FK$169,73-FK$169+SwaptionShift):INDEX($FK$245:$ID$316,$FJ206-FK$169,72-FK$169+SwaptionMonthsToGo+SwaptionShift))/SQRT(SUM(INDEX($FK361:$ID361,1+SwaptionShift):INDEX($FK361:$ID361,SwaptionMonthsToGo+SwaptionShift))*SUM(INDEX($FK$325:$ID$396,FK$169,1+SwaptionShift):INDEX($FK$325:$ID$396,FK$169,SwaptionMonthsToGo+SwaptionShift))))))</f>
        <v/>
      </c>
      <c r="FL206" s="150" t="str">
        <f aca="false">IF(OR(FL$169&lt;SwaptionFirstMonthPosition+1,$FJ206&lt;SwaptionFirstMonthPosition+1,FL$169&gt;SwaptionFirstMonthPosition+SwaptionNumOfMonths+1,$FJ206&gt;SwaptionFirstMonthPosition+SwaptionNumOfMonths+1),"",IF($FJ206=FL$169,1,IF($FJ206&lt;FL$169,INDEX($FK$170:$ID$241,FL$169,$FJ206),SUMPRODUCT(INDEX($FK$325:$ID$396,FL$169,1+SwaptionShift):INDEX($FK$325:$ID$396,FL$169,SwaptionMonthsToGo+SwaptionShift),INDEX($FK$245:$ID$316,$FJ206-FL$169,73-FL$169+SwaptionShift):INDEX($FK$245:$ID$316,$FJ206-FL$169,72-FL$169+SwaptionMonthsToGo+SwaptionShift))/SQRT(SUM(INDEX($FK361:$ID361,1+SwaptionShift):INDEX($FK361:$ID361,SwaptionMonthsToGo+SwaptionShift))*SUM(INDEX($FK$325:$ID$396,FL$169,1+SwaptionShift):INDEX($FK$325:$ID$396,FL$169,SwaptionMonthsToGo+SwaptionShift))))))</f>
        <v/>
      </c>
      <c r="FM206" s="150" t="str">
        <f aca="false">IF(OR(FM$169&lt;SwaptionFirstMonthPosition+1,$FJ206&lt;SwaptionFirstMonthPosition+1,FM$169&gt;SwaptionFirstMonthPosition+SwaptionNumOfMonths+1,$FJ206&gt;SwaptionFirstMonthPosition+SwaptionNumOfMonths+1),"",IF($FJ206=FM$169,1,IF($FJ206&lt;FM$169,INDEX($FK$170:$ID$241,FM$169,$FJ206),SUMPRODUCT(INDEX($FK$325:$ID$396,FM$169,1+SwaptionShift):INDEX($FK$325:$ID$396,FM$169,SwaptionMonthsToGo+SwaptionShift),INDEX($FK$245:$ID$316,$FJ206-FM$169,73-FM$169+SwaptionShift):INDEX($FK$245:$ID$316,$FJ206-FM$169,72-FM$169+SwaptionMonthsToGo+SwaptionShift))/SQRT(SUM(INDEX($FK361:$ID361,1+SwaptionShift):INDEX($FK361:$ID361,SwaptionMonthsToGo+SwaptionShift))*SUM(INDEX($FK$325:$ID$396,FM$169,1+SwaptionShift):INDEX($FK$325:$ID$396,FM$169,SwaptionMonthsToGo+SwaptionShift))))))</f>
        <v/>
      </c>
      <c r="FN206" s="150" t="str">
        <f aca="false">IF(OR(FN$169&lt;SwaptionFirstMonthPosition+1,$FJ206&lt;SwaptionFirstMonthPosition+1,FN$169&gt;SwaptionFirstMonthPosition+SwaptionNumOfMonths+1,$FJ206&gt;SwaptionFirstMonthPosition+SwaptionNumOfMonths+1),"",IF($FJ206=FN$169,1,IF($FJ206&lt;FN$169,INDEX($FK$170:$ID$241,FN$169,$FJ206),SUMPRODUCT(INDEX($FK$325:$ID$396,FN$169,1+SwaptionShift):INDEX($FK$325:$ID$396,FN$169,SwaptionMonthsToGo+SwaptionShift),INDEX($FK$245:$ID$316,$FJ206-FN$169,73-FN$169+SwaptionShift):INDEX($FK$245:$ID$316,$FJ206-FN$169,72-FN$169+SwaptionMonthsToGo+SwaptionShift))/SQRT(SUM(INDEX($FK361:$ID361,1+SwaptionShift):INDEX($FK361:$ID361,SwaptionMonthsToGo+SwaptionShift))*SUM(INDEX($FK$325:$ID$396,FN$169,1+SwaptionShift):INDEX($FK$325:$ID$396,FN$169,SwaptionMonthsToGo+SwaptionShift))))))</f>
        <v/>
      </c>
      <c r="FO206" s="150" t="str">
        <f aca="false">IF(OR(FO$169&lt;SwaptionFirstMonthPosition+1,$FJ206&lt;SwaptionFirstMonthPosition+1,FO$169&gt;SwaptionFirstMonthPosition+SwaptionNumOfMonths+1,$FJ206&gt;SwaptionFirstMonthPosition+SwaptionNumOfMonths+1),"",IF($FJ206=FO$169,1,IF($FJ206&lt;FO$169,INDEX($FK$170:$ID$241,FO$169,$FJ206),SUMPRODUCT(INDEX($FK$325:$ID$396,FO$169,1+SwaptionShift):INDEX($FK$325:$ID$396,FO$169,SwaptionMonthsToGo+SwaptionShift),INDEX($FK$245:$ID$316,$FJ206-FO$169,73-FO$169+SwaptionShift):INDEX($FK$245:$ID$316,$FJ206-FO$169,72-FO$169+SwaptionMonthsToGo+SwaptionShift))/SQRT(SUM(INDEX($FK361:$ID361,1+SwaptionShift):INDEX($FK361:$ID361,SwaptionMonthsToGo+SwaptionShift))*SUM(INDEX($FK$325:$ID$396,FO$169,1+SwaptionShift):INDEX($FK$325:$ID$396,FO$169,SwaptionMonthsToGo+SwaptionShift))))))</f>
        <v/>
      </c>
      <c r="FP206" s="150" t="str">
        <f aca="false">IF(OR(FP$169&lt;SwaptionFirstMonthPosition+1,$FJ206&lt;SwaptionFirstMonthPosition+1,FP$169&gt;SwaptionFirstMonthPosition+SwaptionNumOfMonths+1,$FJ206&gt;SwaptionFirstMonthPosition+SwaptionNumOfMonths+1),"",IF($FJ206=FP$169,1,IF($FJ206&lt;FP$169,INDEX($FK$170:$ID$241,FP$169,$FJ206),SUMPRODUCT(INDEX($FK$325:$ID$396,FP$169,1+SwaptionShift):INDEX($FK$325:$ID$396,FP$169,SwaptionMonthsToGo+SwaptionShift),INDEX($FK$245:$ID$316,$FJ206-FP$169,73-FP$169+SwaptionShift):INDEX($FK$245:$ID$316,$FJ206-FP$169,72-FP$169+SwaptionMonthsToGo+SwaptionShift))/SQRT(SUM(INDEX($FK361:$ID361,1+SwaptionShift):INDEX($FK361:$ID361,SwaptionMonthsToGo+SwaptionShift))*SUM(INDEX($FK$325:$ID$396,FP$169,1+SwaptionShift):INDEX($FK$325:$ID$396,FP$169,SwaptionMonthsToGo+SwaptionShift))))))</f>
        <v/>
      </c>
      <c r="FQ206" s="150" t="str">
        <f aca="false">IF(OR(FQ$169&lt;SwaptionFirstMonthPosition+1,$FJ206&lt;SwaptionFirstMonthPosition+1,FQ$169&gt;SwaptionFirstMonthPosition+SwaptionNumOfMonths+1,$FJ206&gt;SwaptionFirstMonthPosition+SwaptionNumOfMonths+1),"",IF($FJ206=FQ$169,1,IF($FJ206&lt;FQ$169,INDEX($FK$170:$ID$241,FQ$169,$FJ206),SUMPRODUCT(INDEX($FK$325:$ID$396,FQ$169,1+SwaptionShift):INDEX($FK$325:$ID$396,FQ$169,SwaptionMonthsToGo+SwaptionShift),INDEX($FK$245:$ID$316,$FJ206-FQ$169,73-FQ$169+SwaptionShift):INDEX($FK$245:$ID$316,$FJ206-FQ$169,72-FQ$169+SwaptionMonthsToGo+SwaptionShift))/SQRT(SUM(INDEX($FK361:$ID361,1+SwaptionShift):INDEX($FK361:$ID361,SwaptionMonthsToGo+SwaptionShift))*SUM(INDEX($FK$325:$ID$396,FQ$169,1+SwaptionShift):INDEX($FK$325:$ID$396,FQ$169,SwaptionMonthsToGo+SwaptionShift))))))</f>
        <v/>
      </c>
      <c r="FR206" s="150" t="str">
        <f aca="false">IF(OR(FR$169&lt;SwaptionFirstMonthPosition+1,$FJ206&lt;SwaptionFirstMonthPosition+1,FR$169&gt;SwaptionFirstMonthPosition+SwaptionNumOfMonths+1,$FJ206&gt;SwaptionFirstMonthPosition+SwaptionNumOfMonths+1),"",IF($FJ206=FR$169,1,IF($FJ206&lt;FR$169,INDEX($FK$170:$ID$241,FR$169,$FJ206),SUMPRODUCT(INDEX($FK$325:$ID$396,FR$169,1+SwaptionShift):INDEX($FK$325:$ID$396,FR$169,SwaptionMonthsToGo+SwaptionShift),INDEX($FK$245:$ID$316,$FJ206-FR$169,73-FR$169+SwaptionShift):INDEX($FK$245:$ID$316,$FJ206-FR$169,72-FR$169+SwaptionMonthsToGo+SwaptionShift))/SQRT(SUM(INDEX($FK361:$ID361,1+SwaptionShift):INDEX($FK361:$ID361,SwaptionMonthsToGo+SwaptionShift))*SUM(INDEX($FK$325:$ID$396,FR$169,1+SwaptionShift):INDEX($FK$325:$ID$396,FR$169,SwaptionMonthsToGo+SwaptionShift))))))</f>
        <v/>
      </c>
      <c r="FS206" s="150" t="str">
        <f aca="false">IF(OR(FS$169&lt;SwaptionFirstMonthPosition+1,$FJ206&lt;SwaptionFirstMonthPosition+1,FS$169&gt;SwaptionFirstMonthPosition+SwaptionNumOfMonths+1,$FJ206&gt;SwaptionFirstMonthPosition+SwaptionNumOfMonths+1),"",IF($FJ206=FS$169,1,IF($FJ206&lt;FS$169,INDEX($FK$170:$ID$241,FS$169,$FJ206),SUMPRODUCT(INDEX($FK$325:$ID$396,FS$169,1+SwaptionShift):INDEX($FK$325:$ID$396,FS$169,SwaptionMonthsToGo+SwaptionShift),INDEX($FK$245:$ID$316,$FJ206-FS$169,73-FS$169+SwaptionShift):INDEX($FK$245:$ID$316,$FJ206-FS$169,72-FS$169+SwaptionMonthsToGo+SwaptionShift))/SQRT(SUM(INDEX($FK361:$ID361,1+SwaptionShift):INDEX($FK361:$ID361,SwaptionMonthsToGo+SwaptionShift))*SUM(INDEX($FK$325:$ID$396,FS$169,1+SwaptionShift):INDEX($FK$325:$ID$396,FS$169,SwaptionMonthsToGo+SwaptionShift))))))</f>
        <v/>
      </c>
      <c r="FT206" s="150" t="str">
        <f aca="false">IF(OR(FT$169&lt;SwaptionFirstMonthPosition+1,$FJ206&lt;SwaptionFirstMonthPosition+1,FT$169&gt;SwaptionFirstMonthPosition+SwaptionNumOfMonths+1,$FJ206&gt;SwaptionFirstMonthPosition+SwaptionNumOfMonths+1),"",IF($FJ206=FT$169,1,IF($FJ206&lt;FT$169,INDEX($FK$170:$ID$241,FT$169,$FJ206),SUMPRODUCT(INDEX($FK$325:$ID$396,FT$169,1+SwaptionShift):INDEX($FK$325:$ID$396,FT$169,SwaptionMonthsToGo+SwaptionShift),INDEX($FK$245:$ID$316,$FJ206-FT$169,73-FT$169+SwaptionShift):INDEX($FK$245:$ID$316,$FJ206-FT$169,72-FT$169+SwaptionMonthsToGo+SwaptionShift))/SQRT(SUM(INDEX($FK361:$ID361,1+SwaptionShift):INDEX($FK361:$ID361,SwaptionMonthsToGo+SwaptionShift))*SUM(INDEX($FK$325:$ID$396,FT$169,1+SwaptionShift):INDEX($FK$325:$ID$396,FT$169,SwaptionMonthsToGo+SwaptionShift))))))</f>
        <v/>
      </c>
      <c r="FU206" s="150" t="str">
        <f aca="false">IF(OR(FU$169&lt;SwaptionFirstMonthPosition+1,$FJ206&lt;SwaptionFirstMonthPosition+1,FU$169&gt;SwaptionFirstMonthPosition+SwaptionNumOfMonths+1,$FJ206&gt;SwaptionFirstMonthPosition+SwaptionNumOfMonths+1),"",IF($FJ206=FU$169,1,IF($FJ206&lt;FU$169,INDEX($FK$170:$ID$241,FU$169,$FJ206),SUMPRODUCT(INDEX($FK$325:$ID$396,FU$169,1+SwaptionShift):INDEX($FK$325:$ID$396,FU$169,SwaptionMonthsToGo+SwaptionShift),INDEX($FK$245:$ID$316,$FJ206-FU$169,73-FU$169+SwaptionShift):INDEX($FK$245:$ID$316,$FJ206-FU$169,72-FU$169+SwaptionMonthsToGo+SwaptionShift))/SQRT(SUM(INDEX($FK361:$ID361,1+SwaptionShift):INDEX($FK361:$ID361,SwaptionMonthsToGo+SwaptionShift))*SUM(INDEX($FK$325:$ID$396,FU$169,1+SwaptionShift):INDEX($FK$325:$ID$396,FU$169,SwaptionMonthsToGo+SwaptionShift))))))</f>
        <v/>
      </c>
      <c r="FV206" s="150" t="str">
        <f aca="false">IF(OR(FV$169&lt;SwaptionFirstMonthPosition+1,$FJ206&lt;SwaptionFirstMonthPosition+1,FV$169&gt;SwaptionFirstMonthPosition+SwaptionNumOfMonths+1,$FJ206&gt;SwaptionFirstMonthPosition+SwaptionNumOfMonths+1),"",IF($FJ206=FV$169,1,IF($FJ206&lt;FV$169,INDEX($FK$170:$ID$241,FV$169,$FJ206),SUMPRODUCT(INDEX($FK$325:$ID$396,FV$169,1+SwaptionShift):INDEX($FK$325:$ID$396,FV$169,SwaptionMonthsToGo+SwaptionShift),INDEX($FK$245:$ID$316,$FJ206-FV$169,73-FV$169+SwaptionShift):INDEX($FK$245:$ID$316,$FJ206-FV$169,72-FV$169+SwaptionMonthsToGo+SwaptionShift))/SQRT(SUM(INDEX($FK361:$ID361,1+SwaptionShift):INDEX($FK361:$ID361,SwaptionMonthsToGo+SwaptionShift))*SUM(INDEX($FK$325:$ID$396,FV$169,1+SwaptionShift):INDEX($FK$325:$ID$396,FV$169,SwaptionMonthsToGo+SwaptionShift))))))</f>
        <v/>
      </c>
      <c r="FW206" s="150" t="str">
        <f aca="false">IF(OR(FW$169&lt;SwaptionFirstMonthPosition+1,$FJ206&lt;SwaptionFirstMonthPosition+1,FW$169&gt;SwaptionFirstMonthPosition+SwaptionNumOfMonths+1,$FJ206&gt;SwaptionFirstMonthPosition+SwaptionNumOfMonths+1),"",IF($FJ206=FW$169,1,IF($FJ206&lt;FW$169,INDEX($FK$170:$ID$241,FW$169,$FJ206),SUMPRODUCT(INDEX($FK$325:$ID$396,FW$169,1+SwaptionShift):INDEX($FK$325:$ID$396,FW$169,SwaptionMonthsToGo+SwaptionShift),INDEX($FK$245:$ID$316,$FJ206-FW$169,73-FW$169+SwaptionShift):INDEX($FK$245:$ID$316,$FJ206-FW$169,72-FW$169+SwaptionMonthsToGo+SwaptionShift))/SQRT(SUM(INDEX($FK361:$ID361,1+SwaptionShift):INDEX($FK361:$ID361,SwaptionMonthsToGo+SwaptionShift))*SUM(INDEX($FK$325:$ID$396,FW$169,1+SwaptionShift):INDEX($FK$325:$ID$396,FW$169,SwaptionMonthsToGo+SwaptionShift))))))</f>
        <v/>
      </c>
      <c r="FX206" s="150" t="str">
        <f aca="false">IF(OR(FX$169&lt;SwaptionFirstMonthPosition+1,$FJ206&lt;SwaptionFirstMonthPosition+1,FX$169&gt;SwaptionFirstMonthPosition+SwaptionNumOfMonths+1,$FJ206&gt;SwaptionFirstMonthPosition+SwaptionNumOfMonths+1),"",IF($FJ206=FX$169,1,IF($FJ206&lt;FX$169,INDEX($FK$170:$ID$241,FX$169,$FJ206),SUMPRODUCT(INDEX($FK$325:$ID$396,FX$169,1+SwaptionShift):INDEX($FK$325:$ID$396,FX$169,SwaptionMonthsToGo+SwaptionShift),INDEX($FK$245:$ID$316,$FJ206-FX$169,73-FX$169+SwaptionShift):INDEX($FK$245:$ID$316,$FJ206-FX$169,72-FX$169+SwaptionMonthsToGo+SwaptionShift))/SQRT(SUM(INDEX($FK361:$ID361,1+SwaptionShift):INDEX($FK361:$ID361,SwaptionMonthsToGo+SwaptionShift))*SUM(INDEX($FK$325:$ID$396,FX$169,1+SwaptionShift):INDEX($FK$325:$ID$396,FX$169,SwaptionMonthsToGo+SwaptionShift))))))</f>
        <v/>
      </c>
      <c r="FY206" s="150" t="str">
        <f aca="false">IF(OR(FY$169&lt;SwaptionFirstMonthPosition+1,$FJ206&lt;SwaptionFirstMonthPosition+1,FY$169&gt;SwaptionFirstMonthPosition+SwaptionNumOfMonths+1,$FJ206&gt;SwaptionFirstMonthPosition+SwaptionNumOfMonths+1),"",IF($FJ206=FY$169,1,IF($FJ206&lt;FY$169,INDEX($FK$170:$ID$241,FY$169,$FJ206),SUMPRODUCT(INDEX($FK$325:$ID$396,FY$169,1+SwaptionShift):INDEX($FK$325:$ID$396,FY$169,SwaptionMonthsToGo+SwaptionShift),INDEX($FK$245:$ID$316,$FJ206-FY$169,73-FY$169+SwaptionShift):INDEX($FK$245:$ID$316,$FJ206-FY$169,72-FY$169+SwaptionMonthsToGo+SwaptionShift))/SQRT(SUM(INDEX($FK361:$ID361,1+SwaptionShift):INDEX($FK361:$ID361,SwaptionMonthsToGo+SwaptionShift))*SUM(INDEX($FK$325:$ID$396,FY$169,1+SwaptionShift):INDEX($FK$325:$ID$396,FY$169,SwaptionMonthsToGo+SwaptionShift))))))</f>
        <v/>
      </c>
      <c r="FZ206" s="150" t="str">
        <f aca="false">IF(OR(FZ$169&lt;SwaptionFirstMonthPosition+1,$FJ206&lt;SwaptionFirstMonthPosition+1,FZ$169&gt;SwaptionFirstMonthPosition+SwaptionNumOfMonths+1,$FJ206&gt;SwaptionFirstMonthPosition+SwaptionNumOfMonths+1),"",IF($FJ206=FZ$169,1,IF($FJ206&lt;FZ$169,INDEX($FK$170:$ID$241,FZ$169,$FJ206),SUMPRODUCT(INDEX($FK$325:$ID$396,FZ$169,1+SwaptionShift):INDEX($FK$325:$ID$396,FZ$169,SwaptionMonthsToGo+SwaptionShift),INDEX($FK$245:$ID$316,$FJ206-FZ$169,73-FZ$169+SwaptionShift):INDEX($FK$245:$ID$316,$FJ206-FZ$169,72-FZ$169+SwaptionMonthsToGo+SwaptionShift))/SQRT(SUM(INDEX($FK361:$ID361,1+SwaptionShift):INDEX($FK361:$ID361,SwaptionMonthsToGo+SwaptionShift))*SUM(INDEX($FK$325:$ID$396,FZ$169,1+SwaptionShift):INDEX($FK$325:$ID$396,FZ$169,SwaptionMonthsToGo+SwaptionShift))))))</f>
        <v/>
      </c>
      <c r="GA206" s="150" t="str">
        <f aca="false">IF(OR(GA$169&lt;SwaptionFirstMonthPosition+1,$FJ206&lt;SwaptionFirstMonthPosition+1,GA$169&gt;SwaptionFirstMonthPosition+SwaptionNumOfMonths+1,$FJ206&gt;SwaptionFirstMonthPosition+SwaptionNumOfMonths+1),"",IF($FJ206=GA$169,1,IF($FJ206&lt;GA$169,INDEX($FK$170:$ID$241,GA$169,$FJ206),SUMPRODUCT(INDEX($FK$325:$ID$396,GA$169,1+SwaptionShift):INDEX($FK$325:$ID$396,GA$169,SwaptionMonthsToGo+SwaptionShift),INDEX($FK$245:$ID$316,$FJ206-GA$169,73-GA$169+SwaptionShift):INDEX($FK$245:$ID$316,$FJ206-GA$169,72-GA$169+SwaptionMonthsToGo+SwaptionShift))/SQRT(SUM(INDEX($FK361:$ID361,1+SwaptionShift):INDEX($FK361:$ID361,SwaptionMonthsToGo+SwaptionShift))*SUM(INDEX($FK$325:$ID$396,GA$169,1+SwaptionShift):INDEX($FK$325:$ID$396,GA$169,SwaptionMonthsToGo+SwaptionShift))))))</f>
        <v/>
      </c>
      <c r="GB206" s="150" t="str">
        <f aca="false">IF(OR(GB$169&lt;SwaptionFirstMonthPosition+1,$FJ206&lt;SwaptionFirstMonthPosition+1,GB$169&gt;SwaptionFirstMonthPosition+SwaptionNumOfMonths+1,$FJ206&gt;SwaptionFirstMonthPosition+SwaptionNumOfMonths+1),"",IF($FJ206=GB$169,1,IF($FJ206&lt;GB$169,INDEX($FK$170:$ID$241,GB$169,$FJ206),SUMPRODUCT(INDEX($FK$325:$ID$396,GB$169,1+SwaptionShift):INDEX($FK$325:$ID$396,GB$169,SwaptionMonthsToGo+SwaptionShift),INDEX($FK$245:$ID$316,$FJ206-GB$169,73-GB$169+SwaptionShift):INDEX($FK$245:$ID$316,$FJ206-GB$169,72-GB$169+SwaptionMonthsToGo+SwaptionShift))/SQRT(SUM(INDEX($FK361:$ID361,1+SwaptionShift):INDEX($FK361:$ID361,SwaptionMonthsToGo+SwaptionShift))*SUM(INDEX($FK$325:$ID$396,GB$169,1+SwaptionShift):INDEX($FK$325:$ID$396,GB$169,SwaptionMonthsToGo+SwaptionShift))))))</f>
        <v/>
      </c>
      <c r="GC206" s="150" t="str">
        <f aca="false">IF(OR(GC$169&lt;SwaptionFirstMonthPosition+1,$FJ206&lt;SwaptionFirstMonthPosition+1,GC$169&gt;SwaptionFirstMonthPosition+SwaptionNumOfMonths+1,$FJ206&gt;SwaptionFirstMonthPosition+SwaptionNumOfMonths+1),"",IF($FJ206=GC$169,1,IF($FJ206&lt;GC$169,INDEX($FK$170:$ID$241,GC$169,$FJ206),SUMPRODUCT(INDEX($FK$325:$ID$396,GC$169,1+SwaptionShift):INDEX($FK$325:$ID$396,GC$169,SwaptionMonthsToGo+SwaptionShift),INDEX($FK$245:$ID$316,$FJ206-GC$169,73-GC$169+SwaptionShift):INDEX($FK$245:$ID$316,$FJ206-GC$169,72-GC$169+SwaptionMonthsToGo+SwaptionShift))/SQRT(SUM(INDEX($FK361:$ID361,1+SwaptionShift):INDEX($FK361:$ID361,SwaptionMonthsToGo+SwaptionShift))*SUM(INDEX($FK$325:$ID$396,GC$169,1+SwaptionShift):INDEX($FK$325:$ID$396,GC$169,SwaptionMonthsToGo+SwaptionShift))))))</f>
        <v/>
      </c>
      <c r="GD206" s="150" t="str">
        <f aca="false">IF(OR(GD$169&lt;SwaptionFirstMonthPosition+1,$FJ206&lt;SwaptionFirstMonthPosition+1,GD$169&gt;SwaptionFirstMonthPosition+SwaptionNumOfMonths+1,$FJ206&gt;SwaptionFirstMonthPosition+SwaptionNumOfMonths+1),"",IF($FJ206=GD$169,1,IF($FJ206&lt;GD$169,INDEX($FK$170:$ID$241,GD$169,$FJ206),SUMPRODUCT(INDEX($FK$325:$ID$396,GD$169,1+SwaptionShift):INDEX($FK$325:$ID$396,GD$169,SwaptionMonthsToGo+SwaptionShift),INDEX($FK$245:$ID$316,$FJ206-GD$169,73-GD$169+SwaptionShift):INDEX($FK$245:$ID$316,$FJ206-GD$169,72-GD$169+SwaptionMonthsToGo+SwaptionShift))/SQRT(SUM(INDEX($FK361:$ID361,1+SwaptionShift):INDEX($FK361:$ID361,SwaptionMonthsToGo+SwaptionShift))*SUM(INDEX($FK$325:$ID$396,GD$169,1+SwaptionShift):INDEX($FK$325:$ID$396,GD$169,SwaptionMonthsToGo+SwaptionShift))))))</f>
        <v/>
      </c>
      <c r="GE206" s="150" t="str">
        <f aca="false">IF(OR(GE$169&lt;SwaptionFirstMonthPosition+1,$FJ206&lt;SwaptionFirstMonthPosition+1,GE$169&gt;SwaptionFirstMonthPosition+SwaptionNumOfMonths+1,$FJ206&gt;SwaptionFirstMonthPosition+SwaptionNumOfMonths+1),"",IF($FJ206=GE$169,1,IF($FJ206&lt;GE$169,INDEX($FK$170:$ID$241,GE$169,$FJ206),SUMPRODUCT(INDEX($FK$325:$ID$396,GE$169,1+SwaptionShift):INDEX($FK$325:$ID$396,GE$169,SwaptionMonthsToGo+SwaptionShift),INDEX($FK$245:$ID$316,$FJ206-GE$169,73-GE$169+SwaptionShift):INDEX($FK$245:$ID$316,$FJ206-GE$169,72-GE$169+SwaptionMonthsToGo+SwaptionShift))/SQRT(SUM(INDEX($FK361:$ID361,1+SwaptionShift):INDEX($FK361:$ID361,SwaptionMonthsToGo+SwaptionShift))*SUM(INDEX($FK$325:$ID$396,GE$169,1+SwaptionShift):INDEX($FK$325:$ID$396,GE$169,SwaptionMonthsToGo+SwaptionShift))))))</f>
        <v/>
      </c>
      <c r="GF206" s="150" t="str">
        <f aca="false">IF(OR(GF$169&lt;SwaptionFirstMonthPosition+1,$FJ206&lt;SwaptionFirstMonthPosition+1,GF$169&gt;SwaptionFirstMonthPosition+SwaptionNumOfMonths+1,$FJ206&gt;SwaptionFirstMonthPosition+SwaptionNumOfMonths+1),"",IF($FJ206=GF$169,1,IF($FJ206&lt;GF$169,INDEX($FK$170:$ID$241,GF$169,$FJ206),SUMPRODUCT(INDEX($FK$325:$ID$396,GF$169,1+SwaptionShift):INDEX($FK$325:$ID$396,GF$169,SwaptionMonthsToGo+SwaptionShift),INDEX($FK$245:$ID$316,$FJ206-GF$169,73-GF$169+SwaptionShift):INDEX($FK$245:$ID$316,$FJ206-GF$169,72-GF$169+SwaptionMonthsToGo+SwaptionShift))/SQRT(SUM(INDEX($FK361:$ID361,1+SwaptionShift):INDEX($FK361:$ID361,SwaptionMonthsToGo+SwaptionShift))*SUM(INDEX($FK$325:$ID$396,GF$169,1+SwaptionShift):INDEX($FK$325:$ID$396,GF$169,SwaptionMonthsToGo+SwaptionShift))))))</f>
        <v/>
      </c>
      <c r="GG206" s="150" t="str">
        <f aca="false">IF(OR(GG$169&lt;SwaptionFirstMonthPosition+1,$FJ206&lt;SwaptionFirstMonthPosition+1,GG$169&gt;SwaptionFirstMonthPosition+SwaptionNumOfMonths+1,$FJ206&gt;SwaptionFirstMonthPosition+SwaptionNumOfMonths+1),"",IF($FJ206=GG$169,1,IF($FJ206&lt;GG$169,INDEX($FK$170:$ID$241,GG$169,$FJ206),SUMPRODUCT(INDEX($FK$325:$ID$396,GG$169,1+SwaptionShift):INDEX($FK$325:$ID$396,GG$169,SwaptionMonthsToGo+SwaptionShift),INDEX($FK$245:$ID$316,$FJ206-GG$169,73-GG$169+SwaptionShift):INDEX($FK$245:$ID$316,$FJ206-GG$169,72-GG$169+SwaptionMonthsToGo+SwaptionShift))/SQRT(SUM(INDEX($FK361:$ID361,1+SwaptionShift):INDEX($FK361:$ID361,SwaptionMonthsToGo+SwaptionShift))*SUM(INDEX($FK$325:$ID$396,GG$169,1+SwaptionShift):INDEX($FK$325:$ID$396,GG$169,SwaptionMonthsToGo+SwaptionShift))))))</f>
        <v/>
      </c>
      <c r="GH206" s="150" t="str">
        <f aca="false">IF(OR(GH$169&lt;SwaptionFirstMonthPosition+1,$FJ206&lt;SwaptionFirstMonthPosition+1,GH$169&gt;SwaptionFirstMonthPosition+SwaptionNumOfMonths+1,$FJ206&gt;SwaptionFirstMonthPosition+SwaptionNumOfMonths+1),"",IF($FJ206=GH$169,1,IF($FJ206&lt;GH$169,INDEX($FK$170:$ID$241,GH$169,$FJ206),SUMPRODUCT(INDEX($FK$325:$ID$396,GH$169,1+SwaptionShift):INDEX($FK$325:$ID$396,GH$169,SwaptionMonthsToGo+SwaptionShift),INDEX($FK$245:$ID$316,$FJ206-GH$169,73-GH$169+SwaptionShift):INDEX($FK$245:$ID$316,$FJ206-GH$169,72-GH$169+SwaptionMonthsToGo+SwaptionShift))/SQRT(SUM(INDEX($FK361:$ID361,1+SwaptionShift):INDEX($FK361:$ID361,SwaptionMonthsToGo+SwaptionShift))*SUM(INDEX($FK$325:$ID$396,GH$169,1+SwaptionShift):INDEX($FK$325:$ID$396,GH$169,SwaptionMonthsToGo+SwaptionShift))))))</f>
        <v/>
      </c>
      <c r="GI206" s="150" t="str">
        <f aca="false">IF(OR(GI$169&lt;SwaptionFirstMonthPosition+1,$FJ206&lt;SwaptionFirstMonthPosition+1,GI$169&gt;SwaptionFirstMonthPosition+SwaptionNumOfMonths+1,$FJ206&gt;SwaptionFirstMonthPosition+SwaptionNumOfMonths+1),"",IF($FJ206=GI$169,1,IF($FJ206&lt;GI$169,INDEX($FK$170:$ID$241,GI$169,$FJ206),SUMPRODUCT(INDEX($FK$325:$ID$396,GI$169,1+SwaptionShift):INDEX($FK$325:$ID$396,GI$169,SwaptionMonthsToGo+SwaptionShift),INDEX($FK$245:$ID$316,$FJ206-GI$169,73-GI$169+SwaptionShift):INDEX($FK$245:$ID$316,$FJ206-GI$169,72-GI$169+SwaptionMonthsToGo+SwaptionShift))/SQRT(SUM(INDEX($FK361:$ID361,1+SwaptionShift):INDEX($FK361:$ID361,SwaptionMonthsToGo+SwaptionShift))*SUM(INDEX($FK$325:$ID$396,GI$169,1+SwaptionShift):INDEX($FK$325:$ID$396,GI$169,SwaptionMonthsToGo+SwaptionShift))))))</f>
        <v/>
      </c>
      <c r="GJ206" s="150" t="str">
        <f aca="false">IF(OR(GJ$169&lt;SwaptionFirstMonthPosition+1,$FJ206&lt;SwaptionFirstMonthPosition+1,GJ$169&gt;SwaptionFirstMonthPosition+SwaptionNumOfMonths+1,$FJ206&gt;SwaptionFirstMonthPosition+SwaptionNumOfMonths+1),"",IF($FJ206=GJ$169,1,IF($FJ206&lt;GJ$169,INDEX($FK$170:$ID$241,GJ$169,$FJ206),SUMPRODUCT(INDEX($FK$325:$ID$396,GJ$169,1+SwaptionShift):INDEX($FK$325:$ID$396,GJ$169,SwaptionMonthsToGo+SwaptionShift),INDEX($FK$245:$ID$316,$FJ206-GJ$169,73-GJ$169+SwaptionShift):INDEX($FK$245:$ID$316,$FJ206-GJ$169,72-GJ$169+SwaptionMonthsToGo+SwaptionShift))/SQRT(SUM(INDEX($FK361:$ID361,1+SwaptionShift):INDEX($FK361:$ID361,SwaptionMonthsToGo+SwaptionShift))*SUM(INDEX($FK$325:$ID$396,GJ$169,1+SwaptionShift):INDEX($FK$325:$ID$396,GJ$169,SwaptionMonthsToGo+SwaptionShift))))))</f>
        <v/>
      </c>
      <c r="GK206" s="150" t="str">
        <f aca="false">IF(OR(GK$169&lt;SwaptionFirstMonthPosition+1,$FJ206&lt;SwaptionFirstMonthPosition+1,GK$169&gt;SwaptionFirstMonthPosition+SwaptionNumOfMonths+1,$FJ206&gt;SwaptionFirstMonthPosition+SwaptionNumOfMonths+1),"",IF($FJ206=GK$169,1,IF($FJ206&lt;GK$169,INDEX($FK$170:$ID$241,GK$169,$FJ206),SUMPRODUCT(INDEX($FK$325:$ID$396,GK$169,1+SwaptionShift):INDEX($FK$325:$ID$396,GK$169,SwaptionMonthsToGo+SwaptionShift),INDEX($FK$245:$ID$316,$FJ206-GK$169,73-GK$169+SwaptionShift):INDEX($FK$245:$ID$316,$FJ206-GK$169,72-GK$169+SwaptionMonthsToGo+SwaptionShift))/SQRT(SUM(INDEX($FK361:$ID361,1+SwaptionShift):INDEX($FK361:$ID361,SwaptionMonthsToGo+SwaptionShift))*SUM(INDEX($FK$325:$ID$396,GK$169,1+SwaptionShift):INDEX($FK$325:$ID$396,GK$169,SwaptionMonthsToGo+SwaptionShift))))))</f>
        <v/>
      </c>
      <c r="GL206" s="150" t="str">
        <f aca="false">IF(OR(GL$169&lt;SwaptionFirstMonthPosition+1,$FJ206&lt;SwaptionFirstMonthPosition+1,GL$169&gt;SwaptionFirstMonthPosition+SwaptionNumOfMonths+1,$FJ206&gt;SwaptionFirstMonthPosition+SwaptionNumOfMonths+1),"",IF($FJ206=GL$169,1,IF($FJ206&lt;GL$169,INDEX($FK$170:$ID$241,GL$169,$FJ206),SUMPRODUCT(INDEX($FK$325:$ID$396,GL$169,1+SwaptionShift):INDEX($FK$325:$ID$396,GL$169,SwaptionMonthsToGo+SwaptionShift),INDEX($FK$245:$ID$316,$FJ206-GL$169,73-GL$169+SwaptionShift):INDEX($FK$245:$ID$316,$FJ206-GL$169,72-GL$169+SwaptionMonthsToGo+SwaptionShift))/SQRT(SUM(INDEX($FK361:$ID361,1+SwaptionShift):INDEX($FK361:$ID361,SwaptionMonthsToGo+SwaptionShift))*SUM(INDEX($FK$325:$ID$396,GL$169,1+SwaptionShift):INDEX($FK$325:$ID$396,GL$169,SwaptionMonthsToGo+SwaptionShift))))))</f>
        <v/>
      </c>
      <c r="GM206" s="150" t="str">
        <f aca="false">IF(OR(GM$169&lt;SwaptionFirstMonthPosition+1,$FJ206&lt;SwaptionFirstMonthPosition+1,GM$169&gt;SwaptionFirstMonthPosition+SwaptionNumOfMonths+1,$FJ206&gt;SwaptionFirstMonthPosition+SwaptionNumOfMonths+1),"",IF($FJ206=GM$169,1,IF($FJ206&lt;GM$169,INDEX($FK$170:$ID$241,GM$169,$FJ206),SUMPRODUCT(INDEX($FK$325:$ID$396,GM$169,1+SwaptionShift):INDEX($FK$325:$ID$396,GM$169,SwaptionMonthsToGo+SwaptionShift),INDEX($FK$245:$ID$316,$FJ206-GM$169,73-GM$169+SwaptionShift):INDEX($FK$245:$ID$316,$FJ206-GM$169,72-GM$169+SwaptionMonthsToGo+SwaptionShift))/SQRT(SUM(INDEX($FK361:$ID361,1+SwaptionShift):INDEX($FK361:$ID361,SwaptionMonthsToGo+SwaptionShift))*SUM(INDEX($FK$325:$ID$396,GM$169,1+SwaptionShift):INDEX($FK$325:$ID$396,GM$169,SwaptionMonthsToGo+SwaptionShift))))))</f>
        <v/>
      </c>
      <c r="GN206" s="150" t="str">
        <f aca="false">IF(OR(GN$169&lt;SwaptionFirstMonthPosition+1,$FJ206&lt;SwaptionFirstMonthPosition+1,GN$169&gt;SwaptionFirstMonthPosition+SwaptionNumOfMonths+1,$FJ206&gt;SwaptionFirstMonthPosition+SwaptionNumOfMonths+1),"",IF($FJ206=GN$169,1,IF($FJ206&lt;GN$169,INDEX($FK$170:$ID$241,GN$169,$FJ206),SUMPRODUCT(INDEX($FK$325:$ID$396,GN$169,1+SwaptionShift):INDEX($FK$325:$ID$396,GN$169,SwaptionMonthsToGo+SwaptionShift),INDEX($FK$245:$ID$316,$FJ206-GN$169,73-GN$169+SwaptionShift):INDEX($FK$245:$ID$316,$FJ206-GN$169,72-GN$169+SwaptionMonthsToGo+SwaptionShift))/SQRT(SUM(INDEX($FK361:$ID361,1+SwaptionShift):INDEX($FK361:$ID361,SwaptionMonthsToGo+SwaptionShift))*SUM(INDEX($FK$325:$ID$396,GN$169,1+SwaptionShift):INDEX($FK$325:$ID$396,GN$169,SwaptionMonthsToGo+SwaptionShift))))))</f>
        <v/>
      </c>
      <c r="GO206" s="150" t="str">
        <f aca="false">IF(OR(GO$169&lt;SwaptionFirstMonthPosition+1,$FJ206&lt;SwaptionFirstMonthPosition+1,GO$169&gt;SwaptionFirstMonthPosition+SwaptionNumOfMonths+1,$FJ206&gt;SwaptionFirstMonthPosition+SwaptionNumOfMonths+1),"",IF($FJ206=GO$169,1,IF($FJ206&lt;GO$169,INDEX($FK$170:$ID$241,GO$169,$FJ206),SUMPRODUCT(INDEX($FK$325:$ID$396,GO$169,1+SwaptionShift):INDEX($FK$325:$ID$396,GO$169,SwaptionMonthsToGo+SwaptionShift),INDEX($FK$245:$ID$316,$FJ206-GO$169,73-GO$169+SwaptionShift):INDEX($FK$245:$ID$316,$FJ206-GO$169,72-GO$169+SwaptionMonthsToGo+SwaptionShift))/SQRT(SUM(INDEX($FK361:$ID361,1+SwaptionShift):INDEX($FK361:$ID361,SwaptionMonthsToGo+SwaptionShift))*SUM(INDEX($FK$325:$ID$396,GO$169,1+SwaptionShift):INDEX($FK$325:$ID$396,GO$169,SwaptionMonthsToGo+SwaptionShift))))))</f>
        <v/>
      </c>
      <c r="GP206" s="150" t="str">
        <f aca="false">IF(OR(GP$169&lt;SwaptionFirstMonthPosition+1,$FJ206&lt;SwaptionFirstMonthPosition+1,GP$169&gt;SwaptionFirstMonthPosition+SwaptionNumOfMonths+1,$FJ206&gt;SwaptionFirstMonthPosition+SwaptionNumOfMonths+1),"",IF($FJ206=GP$169,1,IF($FJ206&lt;GP$169,INDEX($FK$170:$ID$241,GP$169,$FJ206),SUMPRODUCT(INDEX($FK$325:$ID$396,GP$169,1+SwaptionShift):INDEX($FK$325:$ID$396,GP$169,SwaptionMonthsToGo+SwaptionShift),INDEX($FK$245:$ID$316,$FJ206-GP$169,73-GP$169+SwaptionShift):INDEX($FK$245:$ID$316,$FJ206-GP$169,72-GP$169+SwaptionMonthsToGo+SwaptionShift))/SQRT(SUM(INDEX($FK361:$ID361,1+SwaptionShift):INDEX($FK361:$ID361,SwaptionMonthsToGo+SwaptionShift))*SUM(INDEX($FK$325:$ID$396,GP$169,1+SwaptionShift):INDEX($FK$325:$ID$396,GP$169,SwaptionMonthsToGo+SwaptionShift))))))</f>
        <v/>
      </c>
      <c r="GQ206" s="150" t="str">
        <f aca="false">IF(OR(GQ$169&lt;SwaptionFirstMonthPosition+1,$FJ206&lt;SwaptionFirstMonthPosition+1,GQ$169&gt;SwaptionFirstMonthPosition+SwaptionNumOfMonths+1,$FJ206&gt;SwaptionFirstMonthPosition+SwaptionNumOfMonths+1),"",IF($FJ206=GQ$169,1,IF($FJ206&lt;GQ$169,INDEX($FK$170:$ID$241,GQ$169,$FJ206),SUMPRODUCT(INDEX($FK$325:$ID$396,GQ$169,1+SwaptionShift):INDEX($FK$325:$ID$396,GQ$169,SwaptionMonthsToGo+SwaptionShift),INDEX($FK$245:$ID$316,$FJ206-GQ$169,73-GQ$169+SwaptionShift):INDEX($FK$245:$ID$316,$FJ206-GQ$169,72-GQ$169+SwaptionMonthsToGo+SwaptionShift))/SQRT(SUM(INDEX($FK361:$ID361,1+SwaptionShift):INDEX($FK361:$ID361,SwaptionMonthsToGo+SwaptionShift))*SUM(INDEX($FK$325:$ID$396,GQ$169,1+SwaptionShift):INDEX($FK$325:$ID$396,GQ$169,SwaptionMonthsToGo+SwaptionShift))))))</f>
        <v/>
      </c>
      <c r="GR206" s="150" t="str">
        <f aca="false">IF(OR(GR$169&lt;SwaptionFirstMonthPosition+1,$FJ206&lt;SwaptionFirstMonthPosition+1,GR$169&gt;SwaptionFirstMonthPosition+SwaptionNumOfMonths+1,$FJ206&gt;SwaptionFirstMonthPosition+SwaptionNumOfMonths+1),"",IF($FJ206=GR$169,1,IF($FJ206&lt;GR$169,INDEX($FK$170:$ID$241,GR$169,$FJ206),SUMPRODUCT(INDEX($FK$325:$ID$396,GR$169,1+SwaptionShift):INDEX($FK$325:$ID$396,GR$169,SwaptionMonthsToGo+SwaptionShift),INDEX($FK$245:$ID$316,$FJ206-GR$169,73-GR$169+SwaptionShift):INDEX($FK$245:$ID$316,$FJ206-GR$169,72-GR$169+SwaptionMonthsToGo+SwaptionShift))/SQRT(SUM(INDEX($FK361:$ID361,1+SwaptionShift):INDEX($FK361:$ID361,SwaptionMonthsToGo+SwaptionShift))*SUM(INDEX($FK$325:$ID$396,GR$169,1+SwaptionShift):INDEX($FK$325:$ID$396,GR$169,SwaptionMonthsToGo+SwaptionShift))))))</f>
        <v/>
      </c>
      <c r="GS206" s="150" t="str">
        <f aca="false">IF(OR(GS$169&lt;SwaptionFirstMonthPosition+1,$FJ206&lt;SwaptionFirstMonthPosition+1,GS$169&gt;SwaptionFirstMonthPosition+SwaptionNumOfMonths+1,$FJ206&gt;SwaptionFirstMonthPosition+SwaptionNumOfMonths+1),"",IF($FJ206=GS$169,1,IF($FJ206&lt;GS$169,INDEX($FK$170:$ID$241,GS$169,$FJ206),SUMPRODUCT(INDEX($FK$325:$ID$396,GS$169,1+SwaptionShift):INDEX($FK$325:$ID$396,GS$169,SwaptionMonthsToGo+SwaptionShift),INDEX($FK$245:$ID$316,$FJ206-GS$169,73-GS$169+SwaptionShift):INDEX($FK$245:$ID$316,$FJ206-GS$169,72-GS$169+SwaptionMonthsToGo+SwaptionShift))/SQRT(SUM(INDEX($FK361:$ID361,1+SwaptionShift):INDEX($FK361:$ID361,SwaptionMonthsToGo+SwaptionShift))*SUM(INDEX($FK$325:$ID$396,GS$169,1+SwaptionShift):INDEX($FK$325:$ID$396,GS$169,SwaptionMonthsToGo+SwaptionShift))))))</f>
        <v/>
      </c>
      <c r="GT206" s="150" t="str">
        <f aca="false">IF(OR(GT$169&lt;SwaptionFirstMonthPosition+1,$FJ206&lt;SwaptionFirstMonthPosition+1,GT$169&gt;SwaptionFirstMonthPosition+SwaptionNumOfMonths+1,$FJ206&gt;SwaptionFirstMonthPosition+SwaptionNumOfMonths+1),"",IF($FJ206=GT$169,1,IF($FJ206&lt;GT$169,INDEX($FK$170:$ID$241,GT$169,$FJ206),SUMPRODUCT(INDEX($FK$325:$ID$396,GT$169,1+SwaptionShift):INDEX($FK$325:$ID$396,GT$169,SwaptionMonthsToGo+SwaptionShift),INDEX($FK$245:$ID$316,$FJ206-GT$169,73-GT$169+SwaptionShift):INDEX($FK$245:$ID$316,$FJ206-GT$169,72-GT$169+SwaptionMonthsToGo+SwaptionShift))/SQRT(SUM(INDEX($FK361:$ID361,1+SwaptionShift):INDEX($FK361:$ID361,SwaptionMonthsToGo+SwaptionShift))*SUM(INDEX($FK$325:$ID$396,GT$169,1+SwaptionShift):INDEX($FK$325:$ID$396,GT$169,SwaptionMonthsToGo+SwaptionShift))))))</f>
        <v/>
      </c>
      <c r="GU206" s="150" t="str">
        <f aca="false">IF(OR(GU$169&lt;SwaptionFirstMonthPosition+1,$FJ206&lt;SwaptionFirstMonthPosition+1,GU$169&gt;SwaptionFirstMonthPosition+SwaptionNumOfMonths+1,$FJ206&gt;SwaptionFirstMonthPosition+SwaptionNumOfMonths+1),"",IF($FJ206=GU$169,1,IF($FJ206&lt;GU$169,INDEX($FK$170:$ID$241,GU$169,$FJ206),SUMPRODUCT(INDEX($FK$325:$ID$396,GU$169,1+SwaptionShift):INDEX($FK$325:$ID$396,GU$169,SwaptionMonthsToGo+SwaptionShift),INDEX($FK$245:$ID$316,$FJ206-GU$169,73-GU$169+SwaptionShift):INDEX($FK$245:$ID$316,$FJ206-GU$169,72-GU$169+SwaptionMonthsToGo+SwaptionShift))/SQRT(SUM(INDEX($FK361:$ID361,1+SwaptionShift):INDEX($FK361:$ID361,SwaptionMonthsToGo+SwaptionShift))*SUM(INDEX($FK$325:$ID$396,GU$169,1+SwaptionShift):INDEX($FK$325:$ID$396,GU$169,SwaptionMonthsToGo+SwaptionShift))))))</f>
        <v/>
      </c>
      <c r="GV206" s="150" t="str">
        <f aca="false">IF(OR(GV$169&lt;SwaptionFirstMonthPosition+1,$FJ206&lt;SwaptionFirstMonthPosition+1,GV$169&gt;SwaptionFirstMonthPosition+SwaptionNumOfMonths+1,$FJ206&gt;SwaptionFirstMonthPosition+SwaptionNumOfMonths+1),"",IF($FJ206=GV$169,1,IF($FJ206&lt;GV$169,INDEX($FK$170:$ID$241,GV$169,$FJ206),SUMPRODUCT(INDEX($FK$325:$ID$396,GV$169,1+SwaptionShift):INDEX($FK$325:$ID$396,GV$169,SwaptionMonthsToGo+SwaptionShift),INDEX($FK$245:$ID$316,$FJ206-GV$169,73-GV$169+SwaptionShift):INDEX($FK$245:$ID$316,$FJ206-GV$169,72-GV$169+SwaptionMonthsToGo+SwaptionShift))/SQRT(SUM(INDEX($FK361:$ID361,1+SwaptionShift):INDEX($FK361:$ID361,SwaptionMonthsToGo+SwaptionShift))*SUM(INDEX($FK$325:$ID$396,GV$169,1+SwaptionShift):INDEX($FK$325:$ID$396,GV$169,SwaptionMonthsToGo+SwaptionShift))))))</f>
        <v/>
      </c>
      <c r="GW206" s="150" t="str">
        <f aca="false">IF(OR(GW$169&lt;SwaptionFirstMonthPosition+1,$FJ206&lt;SwaptionFirstMonthPosition+1,GW$169&gt;SwaptionFirstMonthPosition+SwaptionNumOfMonths+1,$FJ206&gt;SwaptionFirstMonthPosition+SwaptionNumOfMonths+1),"",IF($FJ206=GW$169,1,IF($FJ206&lt;GW$169,INDEX($FK$170:$ID$241,GW$169,$FJ206),SUMPRODUCT(INDEX($FK$325:$ID$396,GW$169,1+SwaptionShift):INDEX($FK$325:$ID$396,GW$169,SwaptionMonthsToGo+SwaptionShift),INDEX($FK$245:$ID$316,$FJ206-GW$169,73-GW$169+SwaptionShift):INDEX($FK$245:$ID$316,$FJ206-GW$169,72-GW$169+SwaptionMonthsToGo+SwaptionShift))/SQRT(SUM(INDEX($FK361:$ID361,1+SwaptionShift):INDEX($FK361:$ID361,SwaptionMonthsToGo+SwaptionShift))*SUM(INDEX($FK$325:$ID$396,GW$169,1+SwaptionShift):INDEX($FK$325:$ID$396,GW$169,SwaptionMonthsToGo+SwaptionShift))))))</f>
        <v/>
      </c>
      <c r="GX206" s="150" t="str">
        <f aca="false">IF(OR(GX$169&lt;SwaptionFirstMonthPosition+1,$FJ206&lt;SwaptionFirstMonthPosition+1,GX$169&gt;SwaptionFirstMonthPosition+SwaptionNumOfMonths+1,$FJ206&gt;SwaptionFirstMonthPosition+SwaptionNumOfMonths+1),"",IF($FJ206=GX$169,1,IF($FJ206&lt;GX$169,INDEX($FK$170:$ID$241,GX$169,$FJ206),SUMPRODUCT(INDEX($FK$325:$ID$396,GX$169,1+SwaptionShift):INDEX($FK$325:$ID$396,GX$169,SwaptionMonthsToGo+SwaptionShift),INDEX($FK$245:$ID$316,$FJ206-GX$169,73-GX$169+SwaptionShift):INDEX($FK$245:$ID$316,$FJ206-GX$169,72-GX$169+SwaptionMonthsToGo+SwaptionShift))/SQRT(SUM(INDEX($FK361:$ID361,1+SwaptionShift):INDEX($FK361:$ID361,SwaptionMonthsToGo+SwaptionShift))*SUM(INDEX($FK$325:$ID$396,GX$169,1+SwaptionShift):INDEX($FK$325:$ID$396,GX$169,SwaptionMonthsToGo+SwaptionShift))))))</f>
        <v/>
      </c>
      <c r="GY206" s="150" t="str">
        <f aca="false">IF(OR(GY$169&lt;SwaptionFirstMonthPosition+1,$FJ206&lt;SwaptionFirstMonthPosition+1,GY$169&gt;SwaptionFirstMonthPosition+SwaptionNumOfMonths+1,$FJ206&gt;SwaptionFirstMonthPosition+SwaptionNumOfMonths+1),"",IF($FJ206=GY$169,1,IF($FJ206&lt;GY$169,INDEX($FK$170:$ID$241,GY$169,$FJ206),SUMPRODUCT(INDEX($FK$325:$ID$396,GY$169,1+SwaptionShift):INDEX($FK$325:$ID$396,GY$169,SwaptionMonthsToGo+SwaptionShift),INDEX($FK$245:$ID$316,$FJ206-GY$169,73-GY$169+SwaptionShift):INDEX($FK$245:$ID$316,$FJ206-GY$169,72-GY$169+SwaptionMonthsToGo+SwaptionShift))/SQRT(SUM(INDEX($FK361:$ID361,1+SwaptionShift):INDEX($FK361:$ID361,SwaptionMonthsToGo+SwaptionShift))*SUM(INDEX($FK$325:$ID$396,GY$169,1+SwaptionShift):INDEX($FK$325:$ID$396,GY$169,SwaptionMonthsToGo+SwaptionShift))))))</f>
        <v/>
      </c>
      <c r="GZ206" s="150" t="str">
        <f aca="false">IF(OR(GZ$169&lt;SwaptionFirstMonthPosition+1,$FJ206&lt;SwaptionFirstMonthPosition+1,GZ$169&gt;SwaptionFirstMonthPosition+SwaptionNumOfMonths+1,$FJ206&gt;SwaptionFirstMonthPosition+SwaptionNumOfMonths+1),"",IF($FJ206=GZ$169,1,IF($FJ206&lt;GZ$169,INDEX($FK$170:$ID$241,GZ$169,$FJ206),SUMPRODUCT(INDEX($FK$325:$ID$396,GZ$169,1+SwaptionShift):INDEX($FK$325:$ID$396,GZ$169,SwaptionMonthsToGo+SwaptionShift),INDEX($FK$245:$ID$316,$FJ206-GZ$169,73-GZ$169+SwaptionShift):INDEX($FK$245:$ID$316,$FJ206-GZ$169,72-GZ$169+SwaptionMonthsToGo+SwaptionShift))/SQRT(SUM(INDEX($FK361:$ID361,1+SwaptionShift):INDEX($FK361:$ID361,SwaptionMonthsToGo+SwaptionShift))*SUM(INDEX($FK$325:$ID$396,GZ$169,1+SwaptionShift):INDEX($FK$325:$ID$396,GZ$169,SwaptionMonthsToGo+SwaptionShift))))))</f>
        <v/>
      </c>
      <c r="HA206" s="150" t="str">
        <f aca="false">IF(OR(HA$169&lt;SwaptionFirstMonthPosition+1,$FJ206&lt;SwaptionFirstMonthPosition+1,HA$169&gt;SwaptionFirstMonthPosition+SwaptionNumOfMonths+1,$FJ206&gt;SwaptionFirstMonthPosition+SwaptionNumOfMonths+1),"",IF($FJ206=HA$169,1,IF($FJ206&lt;HA$169,INDEX($FK$170:$ID$241,HA$169,$FJ206),SUMPRODUCT(INDEX($FK$325:$ID$396,HA$169,1+SwaptionShift):INDEX($FK$325:$ID$396,HA$169,SwaptionMonthsToGo+SwaptionShift),INDEX($FK$245:$ID$316,$FJ206-HA$169,73-HA$169+SwaptionShift):INDEX($FK$245:$ID$316,$FJ206-HA$169,72-HA$169+SwaptionMonthsToGo+SwaptionShift))/SQRT(SUM(INDEX($FK361:$ID361,1+SwaptionShift):INDEX($FK361:$ID361,SwaptionMonthsToGo+SwaptionShift))*SUM(INDEX($FK$325:$ID$396,HA$169,1+SwaptionShift):INDEX($FK$325:$ID$396,HA$169,SwaptionMonthsToGo+SwaptionShift))))))</f>
        <v/>
      </c>
      <c r="HB206" s="150" t="str">
        <f aca="false">IF(OR(HB$169&lt;SwaptionFirstMonthPosition+1,$FJ206&lt;SwaptionFirstMonthPosition+1,HB$169&gt;SwaptionFirstMonthPosition+SwaptionNumOfMonths+1,$FJ206&gt;SwaptionFirstMonthPosition+SwaptionNumOfMonths+1),"",IF($FJ206=HB$169,1,IF($FJ206&lt;HB$169,INDEX($FK$170:$ID$241,HB$169,$FJ206),SUMPRODUCT(INDEX($FK$325:$ID$396,HB$169,1+SwaptionShift):INDEX($FK$325:$ID$396,HB$169,SwaptionMonthsToGo+SwaptionShift),INDEX($FK$245:$ID$316,$FJ206-HB$169,73-HB$169+SwaptionShift):INDEX($FK$245:$ID$316,$FJ206-HB$169,72-HB$169+SwaptionMonthsToGo+SwaptionShift))/SQRT(SUM(INDEX($FK361:$ID361,1+SwaptionShift):INDEX($FK361:$ID361,SwaptionMonthsToGo+SwaptionShift))*SUM(INDEX($FK$325:$ID$396,HB$169,1+SwaptionShift):INDEX($FK$325:$ID$396,HB$169,SwaptionMonthsToGo+SwaptionShift))))))</f>
        <v/>
      </c>
      <c r="HC206" s="150" t="str">
        <f aca="false">IF(OR(HC$169&lt;SwaptionFirstMonthPosition+1,$FJ206&lt;SwaptionFirstMonthPosition+1,HC$169&gt;SwaptionFirstMonthPosition+SwaptionNumOfMonths+1,$FJ206&gt;SwaptionFirstMonthPosition+SwaptionNumOfMonths+1),"",IF($FJ206=HC$169,1,IF($FJ206&lt;HC$169,INDEX($FK$170:$ID$241,HC$169,$FJ206),SUMPRODUCT(INDEX($FK$325:$ID$396,HC$169,1+SwaptionShift):INDEX($FK$325:$ID$396,HC$169,SwaptionMonthsToGo+SwaptionShift),INDEX($FK$245:$ID$316,$FJ206-HC$169,73-HC$169+SwaptionShift):INDEX($FK$245:$ID$316,$FJ206-HC$169,72-HC$169+SwaptionMonthsToGo+SwaptionShift))/SQRT(SUM(INDEX($FK361:$ID361,1+SwaptionShift):INDEX($FK361:$ID361,SwaptionMonthsToGo+SwaptionShift))*SUM(INDEX($FK$325:$ID$396,HC$169,1+SwaptionShift):INDEX($FK$325:$ID$396,HC$169,SwaptionMonthsToGo+SwaptionShift))))))</f>
        <v/>
      </c>
      <c r="HD206" s="150" t="str">
        <f aca="false">IF(OR(HD$169&lt;SwaptionFirstMonthPosition+1,$FJ206&lt;SwaptionFirstMonthPosition+1,HD$169&gt;SwaptionFirstMonthPosition+SwaptionNumOfMonths+1,$FJ206&gt;SwaptionFirstMonthPosition+SwaptionNumOfMonths+1),"",IF($FJ206=HD$169,1,IF($FJ206&lt;HD$169,INDEX($FK$170:$ID$241,HD$169,$FJ206),SUMPRODUCT(INDEX($FK$325:$ID$396,HD$169,1+SwaptionShift):INDEX($FK$325:$ID$396,HD$169,SwaptionMonthsToGo+SwaptionShift),INDEX($FK$245:$ID$316,$FJ206-HD$169,73-HD$169+SwaptionShift):INDEX($FK$245:$ID$316,$FJ206-HD$169,72-HD$169+SwaptionMonthsToGo+SwaptionShift))/SQRT(SUM(INDEX($FK361:$ID361,1+SwaptionShift):INDEX($FK361:$ID361,SwaptionMonthsToGo+SwaptionShift))*SUM(INDEX($FK$325:$ID$396,HD$169,1+SwaptionShift):INDEX($FK$325:$ID$396,HD$169,SwaptionMonthsToGo+SwaptionShift))))))</f>
        <v/>
      </c>
      <c r="HE206" s="150" t="str">
        <f aca="false">IF(OR(HE$169&lt;SwaptionFirstMonthPosition+1,$FJ206&lt;SwaptionFirstMonthPosition+1,HE$169&gt;SwaptionFirstMonthPosition+SwaptionNumOfMonths+1,$FJ206&gt;SwaptionFirstMonthPosition+SwaptionNumOfMonths+1),"",IF($FJ206=HE$169,1,IF($FJ206&lt;HE$169,INDEX($FK$170:$ID$241,HE$169,$FJ206),SUMPRODUCT(INDEX($FK$325:$ID$396,HE$169,1+SwaptionShift):INDEX($FK$325:$ID$396,HE$169,SwaptionMonthsToGo+SwaptionShift),INDEX($FK$245:$ID$316,$FJ206-HE$169,73-HE$169+SwaptionShift):INDEX($FK$245:$ID$316,$FJ206-HE$169,72-HE$169+SwaptionMonthsToGo+SwaptionShift))/SQRT(SUM(INDEX($FK361:$ID361,1+SwaptionShift):INDEX($FK361:$ID361,SwaptionMonthsToGo+SwaptionShift))*SUM(INDEX($FK$325:$ID$396,HE$169,1+SwaptionShift):INDEX($FK$325:$ID$396,HE$169,SwaptionMonthsToGo+SwaptionShift))))))</f>
        <v/>
      </c>
      <c r="HF206" s="150" t="str">
        <f aca="false">IF(OR(HF$169&lt;SwaptionFirstMonthPosition+1,$FJ206&lt;SwaptionFirstMonthPosition+1,HF$169&gt;SwaptionFirstMonthPosition+SwaptionNumOfMonths+1,$FJ206&gt;SwaptionFirstMonthPosition+SwaptionNumOfMonths+1),"",IF($FJ206=HF$169,1,IF($FJ206&lt;HF$169,INDEX($FK$170:$ID$241,HF$169,$FJ206),SUMPRODUCT(INDEX($FK$325:$ID$396,HF$169,1+SwaptionShift):INDEX($FK$325:$ID$396,HF$169,SwaptionMonthsToGo+SwaptionShift),INDEX($FK$245:$ID$316,$FJ206-HF$169,73-HF$169+SwaptionShift):INDEX($FK$245:$ID$316,$FJ206-HF$169,72-HF$169+SwaptionMonthsToGo+SwaptionShift))/SQRT(SUM(INDEX($FK361:$ID361,1+SwaptionShift):INDEX($FK361:$ID361,SwaptionMonthsToGo+SwaptionShift))*SUM(INDEX($FK$325:$ID$396,HF$169,1+SwaptionShift):INDEX($FK$325:$ID$396,HF$169,SwaptionMonthsToGo+SwaptionShift))))))</f>
        <v/>
      </c>
      <c r="HG206" s="150" t="str">
        <f aca="false">IF(OR(HG$169&lt;SwaptionFirstMonthPosition+1,$FJ206&lt;SwaptionFirstMonthPosition+1,HG$169&gt;SwaptionFirstMonthPosition+SwaptionNumOfMonths+1,$FJ206&gt;SwaptionFirstMonthPosition+SwaptionNumOfMonths+1),"",IF($FJ206=HG$169,1,IF($FJ206&lt;HG$169,INDEX($FK$170:$ID$241,HG$169,$FJ206),SUMPRODUCT(INDEX($FK$325:$ID$396,HG$169,1+SwaptionShift):INDEX($FK$325:$ID$396,HG$169,SwaptionMonthsToGo+SwaptionShift),INDEX($FK$245:$ID$316,$FJ206-HG$169,73-HG$169+SwaptionShift):INDEX($FK$245:$ID$316,$FJ206-HG$169,72-HG$169+SwaptionMonthsToGo+SwaptionShift))/SQRT(SUM(INDEX($FK361:$ID361,1+SwaptionShift):INDEX($FK361:$ID361,SwaptionMonthsToGo+SwaptionShift))*SUM(INDEX($FK$325:$ID$396,HG$169,1+SwaptionShift):INDEX($FK$325:$ID$396,HG$169,SwaptionMonthsToGo+SwaptionShift))))))</f>
        <v/>
      </c>
      <c r="HH206" s="150" t="str">
        <f aca="false">IF(OR(HH$169&lt;SwaptionFirstMonthPosition+1,$FJ206&lt;SwaptionFirstMonthPosition+1,HH$169&gt;SwaptionFirstMonthPosition+SwaptionNumOfMonths+1,$FJ206&gt;SwaptionFirstMonthPosition+SwaptionNumOfMonths+1),"",IF($FJ206=HH$169,1,IF($FJ206&lt;HH$169,INDEX($FK$170:$ID$241,HH$169,$FJ206),SUMPRODUCT(INDEX($FK$325:$ID$396,HH$169,1+SwaptionShift):INDEX($FK$325:$ID$396,HH$169,SwaptionMonthsToGo+SwaptionShift),INDEX($FK$245:$ID$316,$FJ206-HH$169,73-HH$169+SwaptionShift):INDEX($FK$245:$ID$316,$FJ206-HH$169,72-HH$169+SwaptionMonthsToGo+SwaptionShift))/SQRT(SUM(INDEX($FK361:$ID361,1+SwaptionShift):INDEX($FK361:$ID361,SwaptionMonthsToGo+SwaptionShift))*SUM(INDEX($FK$325:$ID$396,HH$169,1+SwaptionShift):INDEX($FK$325:$ID$396,HH$169,SwaptionMonthsToGo+SwaptionShift))))))</f>
        <v/>
      </c>
      <c r="HI206" s="150" t="str">
        <f aca="false">IF(OR(HI$169&lt;SwaptionFirstMonthPosition+1,$FJ206&lt;SwaptionFirstMonthPosition+1,HI$169&gt;SwaptionFirstMonthPosition+SwaptionNumOfMonths+1,$FJ206&gt;SwaptionFirstMonthPosition+SwaptionNumOfMonths+1),"",IF($FJ206=HI$169,1,IF($FJ206&lt;HI$169,INDEX($FK$170:$ID$241,HI$169,$FJ206),SUMPRODUCT(INDEX($FK$325:$ID$396,HI$169,1+SwaptionShift):INDEX($FK$325:$ID$396,HI$169,SwaptionMonthsToGo+SwaptionShift),INDEX($FK$245:$ID$316,$FJ206-HI$169,73-HI$169+SwaptionShift):INDEX($FK$245:$ID$316,$FJ206-HI$169,72-HI$169+SwaptionMonthsToGo+SwaptionShift))/SQRT(SUM(INDEX($FK361:$ID361,1+SwaptionShift):INDEX($FK361:$ID361,SwaptionMonthsToGo+SwaptionShift))*SUM(INDEX($FK$325:$ID$396,HI$169,1+SwaptionShift):INDEX($FK$325:$ID$396,HI$169,SwaptionMonthsToGo+SwaptionShift))))))</f>
        <v/>
      </c>
      <c r="HJ206" s="150" t="str">
        <f aca="false">IF(OR(HJ$169&lt;SwaptionFirstMonthPosition+1,$FJ206&lt;SwaptionFirstMonthPosition+1,HJ$169&gt;SwaptionFirstMonthPosition+SwaptionNumOfMonths+1,$FJ206&gt;SwaptionFirstMonthPosition+SwaptionNumOfMonths+1),"",IF($FJ206=HJ$169,1,IF($FJ206&lt;HJ$169,INDEX($FK$170:$ID$241,HJ$169,$FJ206),SUMPRODUCT(INDEX($FK$325:$ID$396,HJ$169,1+SwaptionShift):INDEX($FK$325:$ID$396,HJ$169,SwaptionMonthsToGo+SwaptionShift),INDEX($FK$245:$ID$316,$FJ206-HJ$169,73-HJ$169+SwaptionShift):INDEX($FK$245:$ID$316,$FJ206-HJ$169,72-HJ$169+SwaptionMonthsToGo+SwaptionShift))/SQRT(SUM(INDEX($FK361:$ID361,1+SwaptionShift):INDEX($FK361:$ID361,SwaptionMonthsToGo+SwaptionShift))*SUM(INDEX($FK$325:$ID$396,HJ$169,1+SwaptionShift):INDEX($FK$325:$ID$396,HJ$169,SwaptionMonthsToGo+SwaptionShift))))))</f>
        <v/>
      </c>
      <c r="HK206" s="150" t="str">
        <f aca="false">IF(OR(HK$169&lt;SwaptionFirstMonthPosition+1,$FJ206&lt;SwaptionFirstMonthPosition+1,HK$169&gt;SwaptionFirstMonthPosition+SwaptionNumOfMonths+1,$FJ206&gt;SwaptionFirstMonthPosition+SwaptionNumOfMonths+1),"",IF($FJ206=HK$169,1,IF($FJ206&lt;HK$169,INDEX($FK$170:$ID$241,HK$169,$FJ206),SUMPRODUCT(INDEX($FK$325:$ID$396,HK$169,1+SwaptionShift):INDEX($FK$325:$ID$396,HK$169,SwaptionMonthsToGo+SwaptionShift),INDEX($FK$245:$ID$316,$FJ206-HK$169,73-HK$169+SwaptionShift):INDEX($FK$245:$ID$316,$FJ206-HK$169,72-HK$169+SwaptionMonthsToGo+SwaptionShift))/SQRT(SUM(INDEX($FK361:$ID361,1+SwaptionShift):INDEX($FK361:$ID361,SwaptionMonthsToGo+SwaptionShift))*SUM(INDEX($FK$325:$ID$396,HK$169,1+SwaptionShift):INDEX($FK$325:$ID$396,HK$169,SwaptionMonthsToGo+SwaptionShift))))))</f>
        <v/>
      </c>
      <c r="HL206" s="150" t="str">
        <f aca="false">IF(OR(HL$169&lt;SwaptionFirstMonthPosition+1,$FJ206&lt;SwaptionFirstMonthPosition+1,HL$169&gt;SwaptionFirstMonthPosition+SwaptionNumOfMonths+1,$FJ206&gt;SwaptionFirstMonthPosition+SwaptionNumOfMonths+1),"",IF($FJ206=HL$169,1,IF($FJ206&lt;HL$169,INDEX($FK$170:$ID$241,HL$169,$FJ206),SUMPRODUCT(INDEX($FK$325:$ID$396,HL$169,1+SwaptionShift):INDEX($FK$325:$ID$396,HL$169,SwaptionMonthsToGo+SwaptionShift),INDEX($FK$245:$ID$316,$FJ206-HL$169,73-HL$169+SwaptionShift):INDEX($FK$245:$ID$316,$FJ206-HL$169,72-HL$169+SwaptionMonthsToGo+SwaptionShift))/SQRT(SUM(INDEX($FK361:$ID361,1+SwaptionShift):INDEX($FK361:$ID361,SwaptionMonthsToGo+SwaptionShift))*SUM(INDEX($FK$325:$ID$396,HL$169,1+SwaptionShift):INDEX($FK$325:$ID$396,HL$169,SwaptionMonthsToGo+SwaptionShift))))))</f>
        <v/>
      </c>
      <c r="HM206" s="150" t="str">
        <f aca="false">IF(OR(HM$169&lt;SwaptionFirstMonthPosition+1,$FJ206&lt;SwaptionFirstMonthPosition+1,HM$169&gt;SwaptionFirstMonthPosition+SwaptionNumOfMonths+1,$FJ206&gt;SwaptionFirstMonthPosition+SwaptionNumOfMonths+1),"",IF($FJ206=HM$169,1,IF($FJ206&lt;HM$169,INDEX($FK$170:$ID$241,HM$169,$FJ206),SUMPRODUCT(INDEX($FK$325:$ID$396,HM$169,1+SwaptionShift):INDEX($FK$325:$ID$396,HM$169,SwaptionMonthsToGo+SwaptionShift),INDEX($FK$245:$ID$316,$FJ206-HM$169,73-HM$169+SwaptionShift):INDEX($FK$245:$ID$316,$FJ206-HM$169,72-HM$169+SwaptionMonthsToGo+SwaptionShift))/SQRT(SUM(INDEX($FK361:$ID361,1+SwaptionShift):INDEX($FK361:$ID361,SwaptionMonthsToGo+SwaptionShift))*SUM(INDEX($FK$325:$ID$396,HM$169,1+SwaptionShift):INDEX($FK$325:$ID$396,HM$169,SwaptionMonthsToGo+SwaptionShift))))))</f>
        <v/>
      </c>
      <c r="HN206" s="150" t="str">
        <f aca="false">IF(OR(HN$169&lt;SwaptionFirstMonthPosition+1,$FJ206&lt;SwaptionFirstMonthPosition+1,HN$169&gt;SwaptionFirstMonthPosition+SwaptionNumOfMonths+1,$FJ206&gt;SwaptionFirstMonthPosition+SwaptionNumOfMonths+1),"",IF($FJ206=HN$169,1,IF($FJ206&lt;HN$169,INDEX($FK$170:$ID$241,HN$169,$FJ206),SUMPRODUCT(INDEX($FK$325:$ID$396,HN$169,1+SwaptionShift):INDEX($FK$325:$ID$396,HN$169,SwaptionMonthsToGo+SwaptionShift),INDEX($FK$245:$ID$316,$FJ206-HN$169,73-HN$169+SwaptionShift):INDEX($FK$245:$ID$316,$FJ206-HN$169,72-HN$169+SwaptionMonthsToGo+SwaptionShift))/SQRT(SUM(INDEX($FK361:$ID361,1+SwaptionShift):INDEX($FK361:$ID361,SwaptionMonthsToGo+SwaptionShift))*SUM(INDEX($FK$325:$ID$396,HN$169,1+SwaptionShift):INDEX($FK$325:$ID$396,HN$169,SwaptionMonthsToGo+SwaptionShift))))))</f>
        <v/>
      </c>
      <c r="HO206" s="150" t="str">
        <f aca="false">IF(OR(HO$169&lt;SwaptionFirstMonthPosition+1,$FJ206&lt;SwaptionFirstMonthPosition+1,HO$169&gt;SwaptionFirstMonthPosition+SwaptionNumOfMonths+1,$FJ206&gt;SwaptionFirstMonthPosition+SwaptionNumOfMonths+1),"",IF($FJ206=HO$169,1,IF($FJ206&lt;HO$169,INDEX($FK$170:$ID$241,HO$169,$FJ206),SUMPRODUCT(INDEX($FK$325:$ID$396,HO$169,1+SwaptionShift):INDEX($FK$325:$ID$396,HO$169,SwaptionMonthsToGo+SwaptionShift),INDEX($FK$245:$ID$316,$FJ206-HO$169,73-HO$169+SwaptionShift):INDEX($FK$245:$ID$316,$FJ206-HO$169,72-HO$169+SwaptionMonthsToGo+SwaptionShift))/SQRT(SUM(INDEX($FK361:$ID361,1+SwaptionShift):INDEX($FK361:$ID361,SwaptionMonthsToGo+SwaptionShift))*SUM(INDEX($FK$325:$ID$396,HO$169,1+SwaptionShift):INDEX($FK$325:$ID$396,HO$169,SwaptionMonthsToGo+SwaptionShift))))))</f>
        <v/>
      </c>
      <c r="HP206" s="150" t="str">
        <f aca="false">IF(OR(HP$169&lt;SwaptionFirstMonthPosition+1,$FJ206&lt;SwaptionFirstMonthPosition+1,HP$169&gt;SwaptionFirstMonthPosition+SwaptionNumOfMonths+1,$FJ206&gt;SwaptionFirstMonthPosition+SwaptionNumOfMonths+1),"",IF($FJ206=HP$169,1,IF($FJ206&lt;HP$169,INDEX($FK$170:$ID$241,HP$169,$FJ206),SUMPRODUCT(INDEX($FK$325:$ID$396,HP$169,1+SwaptionShift):INDEX($FK$325:$ID$396,HP$169,SwaptionMonthsToGo+SwaptionShift),INDEX($FK$245:$ID$316,$FJ206-HP$169,73-HP$169+SwaptionShift):INDEX($FK$245:$ID$316,$FJ206-HP$169,72-HP$169+SwaptionMonthsToGo+SwaptionShift))/SQRT(SUM(INDEX($FK361:$ID361,1+SwaptionShift):INDEX($FK361:$ID361,SwaptionMonthsToGo+SwaptionShift))*SUM(INDEX($FK$325:$ID$396,HP$169,1+SwaptionShift):INDEX($FK$325:$ID$396,HP$169,SwaptionMonthsToGo+SwaptionShift))))))</f>
        <v/>
      </c>
      <c r="HQ206" s="150" t="str">
        <f aca="false">IF(OR(HQ$169&lt;SwaptionFirstMonthPosition+1,$FJ206&lt;SwaptionFirstMonthPosition+1,HQ$169&gt;SwaptionFirstMonthPosition+SwaptionNumOfMonths+1,$FJ206&gt;SwaptionFirstMonthPosition+SwaptionNumOfMonths+1),"",IF($FJ206=HQ$169,1,IF($FJ206&lt;HQ$169,INDEX($FK$170:$ID$241,HQ$169,$FJ206),SUMPRODUCT(INDEX($FK$325:$ID$396,HQ$169,1+SwaptionShift):INDEX($FK$325:$ID$396,HQ$169,SwaptionMonthsToGo+SwaptionShift),INDEX($FK$245:$ID$316,$FJ206-HQ$169,73-HQ$169+SwaptionShift):INDEX($FK$245:$ID$316,$FJ206-HQ$169,72-HQ$169+SwaptionMonthsToGo+SwaptionShift))/SQRT(SUM(INDEX($FK361:$ID361,1+SwaptionShift):INDEX($FK361:$ID361,SwaptionMonthsToGo+SwaptionShift))*SUM(INDEX($FK$325:$ID$396,HQ$169,1+SwaptionShift):INDEX($FK$325:$ID$396,HQ$169,SwaptionMonthsToGo+SwaptionShift))))))</f>
        <v/>
      </c>
      <c r="HR206" s="150" t="str">
        <f aca="false">IF(OR(HR$169&lt;SwaptionFirstMonthPosition+1,$FJ206&lt;SwaptionFirstMonthPosition+1,HR$169&gt;SwaptionFirstMonthPosition+SwaptionNumOfMonths+1,$FJ206&gt;SwaptionFirstMonthPosition+SwaptionNumOfMonths+1),"",IF($FJ206=HR$169,1,IF($FJ206&lt;HR$169,INDEX($FK$170:$ID$241,HR$169,$FJ206),SUMPRODUCT(INDEX($FK$325:$ID$396,HR$169,1+SwaptionShift):INDEX($FK$325:$ID$396,HR$169,SwaptionMonthsToGo+SwaptionShift),INDEX($FK$245:$ID$316,$FJ206-HR$169,73-HR$169+SwaptionShift):INDEX($FK$245:$ID$316,$FJ206-HR$169,72-HR$169+SwaptionMonthsToGo+SwaptionShift))/SQRT(SUM(INDEX($FK361:$ID361,1+SwaptionShift):INDEX($FK361:$ID361,SwaptionMonthsToGo+SwaptionShift))*SUM(INDEX($FK$325:$ID$396,HR$169,1+SwaptionShift):INDEX($FK$325:$ID$396,HR$169,SwaptionMonthsToGo+SwaptionShift))))))</f>
        <v/>
      </c>
      <c r="HS206" s="150" t="str">
        <f aca="false">IF(OR(HS$169&lt;SwaptionFirstMonthPosition+1,$FJ206&lt;SwaptionFirstMonthPosition+1,HS$169&gt;SwaptionFirstMonthPosition+SwaptionNumOfMonths+1,$FJ206&gt;SwaptionFirstMonthPosition+SwaptionNumOfMonths+1),"",IF($FJ206=HS$169,1,IF($FJ206&lt;HS$169,INDEX($FK$170:$ID$241,HS$169,$FJ206),SUMPRODUCT(INDEX($FK$325:$ID$396,HS$169,1+SwaptionShift):INDEX($FK$325:$ID$396,HS$169,SwaptionMonthsToGo+SwaptionShift),INDEX($FK$245:$ID$316,$FJ206-HS$169,73-HS$169+SwaptionShift):INDEX($FK$245:$ID$316,$FJ206-HS$169,72-HS$169+SwaptionMonthsToGo+SwaptionShift))/SQRT(SUM(INDEX($FK361:$ID361,1+SwaptionShift):INDEX($FK361:$ID361,SwaptionMonthsToGo+SwaptionShift))*SUM(INDEX($FK$325:$ID$396,HS$169,1+SwaptionShift):INDEX($FK$325:$ID$396,HS$169,SwaptionMonthsToGo+SwaptionShift))))))</f>
        <v/>
      </c>
      <c r="HT206" s="150" t="str">
        <f aca="false">IF(OR(HT$169&lt;SwaptionFirstMonthPosition+1,$FJ206&lt;SwaptionFirstMonthPosition+1,HT$169&gt;SwaptionFirstMonthPosition+SwaptionNumOfMonths+1,$FJ206&gt;SwaptionFirstMonthPosition+SwaptionNumOfMonths+1),"",IF($FJ206=HT$169,1,IF($FJ206&lt;HT$169,INDEX($FK$170:$ID$241,HT$169,$FJ206),SUMPRODUCT(INDEX($FK$325:$ID$396,HT$169,1+SwaptionShift):INDEX($FK$325:$ID$396,HT$169,SwaptionMonthsToGo+SwaptionShift),INDEX($FK$245:$ID$316,$FJ206-HT$169,73-HT$169+SwaptionShift):INDEX($FK$245:$ID$316,$FJ206-HT$169,72-HT$169+SwaptionMonthsToGo+SwaptionShift))/SQRT(SUM(INDEX($FK361:$ID361,1+SwaptionShift):INDEX($FK361:$ID361,SwaptionMonthsToGo+SwaptionShift))*SUM(INDEX($FK$325:$ID$396,HT$169,1+SwaptionShift):INDEX($FK$325:$ID$396,HT$169,SwaptionMonthsToGo+SwaptionShift))))))</f>
        <v/>
      </c>
      <c r="HU206" s="150" t="str">
        <f aca="false">IF(OR(HU$169&lt;SwaptionFirstMonthPosition+1,$FJ206&lt;SwaptionFirstMonthPosition+1,HU$169&gt;SwaptionFirstMonthPosition+SwaptionNumOfMonths+1,$FJ206&gt;SwaptionFirstMonthPosition+SwaptionNumOfMonths+1),"",IF($FJ206=HU$169,1,IF($FJ206&lt;HU$169,INDEX($FK$170:$ID$241,HU$169,$FJ206),SUMPRODUCT(INDEX($FK$325:$ID$396,HU$169,1+SwaptionShift):INDEX($FK$325:$ID$396,HU$169,SwaptionMonthsToGo+SwaptionShift),INDEX($FK$245:$ID$316,$FJ206-HU$169,73-HU$169+SwaptionShift):INDEX($FK$245:$ID$316,$FJ206-HU$169,72-HU$169+SwaptionMonthsToGo+SwaptionShift))/SQRT(SUM(INDEX($FK361:$ID361,1+SwaptionShift):INDEX($FK361:$ID361,SwaptionMonthsToGo+SwaptionShift))*SUM(INDEX($FK$325:$ID$396,HU$169,1+SwaptionShift):INDEX($FK$325:$ID$396,HU$169,SwaptionMonthsToGo+SwaptionShift))))))</f>
        <v/>
      </c>
      <c r="HV206" s="150" t="str">
        <f aca="false">IF(OR(HV$169&lt;SwaptionFirstMonthPosition+1,$FJ206&lt;SwaptionFirstMonthPosition+1,HV$169&gt;SwaptionFirstMonthPosition+SwaptionNumOfMonths+1,$FJ206&gt;SwaptionFirstMonthPosition+SwaptionNumOfMonths+1),"",IF($FJ206=HV$169,1,IF($FJ206&lt;HV$169,INDEX($FK$170:$ID$241,HV$169,$FJ206),SUMPRODUCT(INDEX($FK$325:$ID$396,HV$169,1+SwaptionShift):INDEX($FK$325:$ID$396,HV$169,SwaptionMonthsToGo+SwaptionShift),INDEX($FK$245:$ID$316,$FJ206-HV$169,73-HV$169+SwaptionShift):INDEX($FK$245:$ID$316,$FJ206-HV$169,72-HV$169+SwaptionMonthsToGo+SwaptionShift))/SQRT(SUM(INDEX($FK361:$ID361,1+SwaptionShift):INDEX($FK361:$ID361,SwaptionMonthsToGo+SwaptionShift))*SUM(INDEX($FK$325:$ID$396,HV$169,1+SwaptionShift):INDEX($FK$325:$ID$396,HV$169,SwaptionMonthsToGo+SwaptionShift))))))</f>
        <v/>
      </c>
      <c r="HW206" s="150" t="str">
        <f aca="false">IF(OR(HW$169&lt;SwaptionFirstMonthPosition+1,$FJ206&lt;SwaptionFirstMonthPosition+1,HW$169&gt;SwaptionFirstMonthPosition+SwaptionNumOfMonths+1,$FJ206&gt;SwaptionFirstMonthPosition+SwaptionNumOfMonths+1),"",IF($FJ206=HW$169,1,IF($FJ206&lt;HW$169,INDEX($FK$170:$ID$241,HW$169,$FJ206),SUMPRODUCT(INDEX($FK$325:$ID$396,HW$169,1+SwaptionShift):INDEX($FK$325:$ID$396,HW$169,SwaptionMonthsToGo+SwaptionShift),INDEX($FK$245:$ID$316,$FJ206-HW$169,73-HW$169+SwaptionShift):INDEX($FK$245:$ID$316,$FJ206-HW$169,72-HW$169+SwaptionMonthsToGo+SwaptionShift))/SQRT(SUM(INDEX($FK361:$ID361,1+SwaptionShift):INDEX($FK361:$ID361,SwaptionMonthsToGo+SwaptionShift))*SUM(INDEX($FK$325:$ID$396,HW$169,1+SwaptionShift):INDEX($FK$325:$ID$396,HW$169,SwaptionMonthsToGo+SwaptionShift))))))</f>
        <v/>
      </c>
      <c r="HX206" s="150" t="str">
        <f aca="false">IF(OR(HX$169&lt;SwaptionFirstMonthPosition+1,$FJ206&lt;SwaptionFirstMonthPosition+1,HX$169&gt;SwaptionFirstMonthPosition+SwaptionNumOfMonths+1,$FJ206&gt;SwaptionFirstMonthPosition+SwaptionNumOfMonths+1),"",IF($FJ206=HX$169,1,IF($FJ206&lt;HX$169,INDEX($FK$170:$ID$241,HX$169,$FJ206),SUMPRODUCT(INDEX($FK$325:$ID$396,HX$169,1+SwaptionShift):INDEX($FK$325:$ID$396,HX$169,SwaptionMonthsToGo+SwaptionShift),INDEX($FK$245:$ID$316,$FJ206-HX$169,73-HX$169+SwaptionShift):INDEX($FK$245:$ID$316,$FJ206-HX$169,72-HX$169+SwaptionMonthsToGo+SwaptionShift))/SQRT(SUM(INDEX($FK361:$ID361,1+SwaptionShift):INDEX($FK361:$ID361,SwaptionMonthsToGo+SwaptionShift))*SUM(INDEX($FK$325:$ID$396,HX$169,1+SwaptionShift):INDEX($FK$325:$ID$396,HX$169,SwaptionMonthsToGo+SwaptionShift))))))</f>
        <v/>
      </c>
      <c r="HY206" s="150" t="str">
        <f aca="false">IF(OR(HY$169&lt;SwaptionFirstMonthPosition+1,$FJ206&lt;SwaptionFirstMonthPosition+1,HY$169&gt;SwaptionFirstMonthPosition+SwaptionNumOfMonths+1,$FJ206&gt;SwaptionFirstMonthPosition+SwaptionNumOfMonths+1),"",IF($FJ206=HY$169,1,IF($FJ206&lt;HY$169,INDEX($FK$170:$ID$241,HY$169,$FJ206),SUMPRODUCT(INDEX($FK$325:$ID$396,HY$169,1+SwaptionShift):INDEX($FK$325:$ID$396,HY$169,SwaptionMonthsToGo+SwaptionShift),INDEX($FK$245:$ID$316,$FJ206-HY$169,73-HY$169+SwaptionShift):INDEX($FK$245:$ID$316,$FJ206-HY$169,72-HY$169+SwaptionMonthsToGo+SwaptionShift))/SQRT(SUM(INDEX($FK361:$ID361,1+SwaptionShift):INDEX($FK361:$ID361,SwaptionMonthsToGo+SwaptionShift))*SUM(INDEX($FK$325:$ID$396,HY$169,1+SwaptionShift):INDEX($FK$325:$ID$396,HY$169,SwaptionMonthsToGo+SwaptionShift))))))</f>
        <v/>
      </c>
      <c r="HZ206" s="150" t="str">
        <f aca="false">IF(OR(HZ$169&lt;SwaptionFirstMonthPosition+1,$FJ206&lt;SwaptionFirstMonthPosition+1,HZ$169&gt;SwaptionFirstMonthPosition+SwaptionNumOfMonths+1,$FJ206&gt;SwaptionFirstMonthPosition+SwaptionNumOfMonths+1),"",IF($FJ206=HZ$169,1,IF($FJ206&lt;HZ$169,INDEX($FK$170:$ID$241,HZ$169,$FJ206),SUMPRODUCT(INDEX($FK$325:$ID$396,HZ$169,1+SwaptionShift):INDEX($FK$325:$ID$396,HZ$169,SwaptionMonthsToGo+SwaptionShift),INDEX($FK$245:$ID$316,$FJ206-HZ$169,73-HZ$169+SwaptionShift):INDEX($FK$245:$ID$316,$FJ206-HZ$169,72-HZ$169+SwaptionMonthsToGo+SwaptionShift))/SQRT(SUM(INDEX($FK361:$ID361,1+SwaptionShift):INDEX($FK361:$ID361,SwaptionMonthsToGo+SwaptionShift))*SUM(INDEX($FK$325:$ID$396,HZ$169,1+SwaptionShift):INDEX($FK$325:$ID$396,HZ$169,SwaptionMonthsToGo+SwaptionShift))))))</f>
        <v/>
      </c>
      <c r="IA206" s="150" t="str">
        <f aca="false">IF(OR(IA$169&lt;SwaptionFirstMonthPosition+1,$FJ206&lt;SwaptionFirstMonthPosition+1,IA$169&gt;SwaptionFirstMonthPosition+SwaptionNumOfMonths+1,$FJ206&gt;SwaptionFirstMonthPosition+SwaptionNumOfMonths+1),"",IF($FJ206=IA$169,1,IF($FJ206&lt;IA$169,INDEX($FK$170:$ID$241,IA$169,$FJ206),SUMPRODUCT(INDEX($FK$325:$ID$396,IA$169,1+SwaptionShift):INDEX($FK$325:$ID$396,IA$169,SwaptionMonthsToGo+SwaptionShift),INDEX($FK$245:$ID$316,$FJ206-IA$169,73-IA$169+SwaptionShift):INDEX($FK$245:$ID$316,$FJ206-IA$169,72-IA$169+SwaptionMonthsToGo+SwaptionShift))/SQRT(SUM(INDEX($FK361:$ID361,1+SwaptionShift):INDEX($FK361:$ID361,SwaptionMonthsToGo+SwaptionShift))*SUM(INDEX($FK$325:$ID$396,IA$169,1+SwaptionShift):INDEX($FK$325:$ID$396,IA$169,SwaptionMonthsToGo+SwaptionShift))))))</f>
        <v/>
      </c>
      <c r="IB206" s="150" t="str">
        <f aca="false">IF(OR(IB$169&lt;SwaptionFirstMonthPosition+1,$FJ206&lt;SwaptionFirstMonthPosition+1,IB$169&gt;SwaptionFirstMonthPosition+SwaptionNumOfMonths+1,$FJ206&gt;SwaptionFirstMonthPosition+SwaptionNumOfMonths+1),"",IF($FJ206=IB$169,1,IF($FJ206&lt;IB$169,INDEX($FK$170:$ID$241,IB$169,$FJ206),SUMPRODUCT(INDEX($FK$325:$ID$396,IB$169,1+SwaptionShift):INDEX($FK$325:$ID$396,IB$169,SwaptionMonthsToGo+SwaptionShift),INDEX($FK$245:$ID$316,$FJ206-IB$169,73-IB$169+SwaptionShift):INDEX($FK$245:$ID$316,$FJ206-IB$169,72-IB$169+SwaptionMonthsToGo+SwaptionShift))/SQRT(SUM(INDEX($FK361:$ID361,1+SwaptionShift):INDEX($FK361:$ID361,SwaptionMonthsToGo+SwaptionShift))*SUM(INDEX($FK$325:$ID$396,IB$169,1+SwaptionShift):INDEX($FK$325:$ID$396,IB$169,SwaptionMonthsToGo+SwaptionShift))))))</f>
        <v/>
      </c>
      <c r="IC206" s="150" t="str">
        <f aca="false">IF(OR(IC$169&lt;SwaptionFirstMonthPosition+1,$FJ206&lt;SwaptionFirstMonthPosition+1,IC$169&gt;SwaptionFirstMonthPosition+SwaptionNumOfMonths+1,$FJ206&gt;SwaptionFirstMonthPosition+SwaptionNumOfMonths+1),"",IF($FJ206=IC$169,1,IF($FJ206&lt;IC$169,INDEX($FK$170:$ID$241,IC$169,$FJ206),SUMPRODUCT(INDEX($FK$325:$ID$396,IC$169,1+SwaptionShift):INDEX($FK$325:$ID$396,IC$169,SwaptionMonthsToGo+SwaptionShift),INDEX($FK$245:$ID$316,$FJ206-IC$169,73-IC$169+SwaptionShift):INDEX($FK$245:$ID$316,$FJ206-IC$169,72-IC$169+SwaptionMonthsToGo+SwaptionShift))/SQRT(SUM(INDEX($FK361:$ID361,1+SwaptionShift):INDEX($FK361:$ID361,SwaptionMonthsToGo+SwaptionShift))*SUM(INDEX($FK$325:$ID$396,IC$169,1+SwaptionShift):INDEX($FK$325:$ID$396,IC$169,SwaptionMonthsToGo+SwaptionShift))))))</f>
        <v/>
      </c>
      <c r="ID206" s="572" t="str">
        <f aca="false">IF(OR(ID$169&lt;SwaptionFirstMonthPosition+1,$FJ206&lt;SwaptionFirstMonthPosition+1,ID$169&gt;SwaptionFirstMonthPosition+SwaptionNumOfMonths+1,$FJ206&gt;SwaptionFirstMonthPosition+SwaptionNumOfMonths+1),"",IF($FJ206=ID$169,1,IF($FJ206&lt;ID$169,INDEX($FK$170:$ID$241,ID$169,$FJ206),SUMPRODUCT(INDEX($FK$325:$ID$396,ID$169,1+SwaptionShift):INDEX($FK$325:$ID$396,ID$169,SwaptionMonthsToGo+SwaptionShift),INDEX($FK$245:$ID$316,$FJ206-ID$169,73-ID$169+SwaptionShift):INDEX($FK$245:$ID$316,$FJ206-ID$169,72-ID$169+SwaptionMonthsToGo+SwaptionShift))/SQRT(SUM(INDEX($FK361:$ID361,1+SwaptionShift):INDEX($FK361:$ID361,SwaptionMonthsToGo+SwaptionShift))*SUM(INDEX($FK$325:$ID$396,ID$169,1+SwaptionShift):INDEX($FK$325:$ID$396,ID$169,SwaptionMonthsToGo+SwaptionShift))))))</f>
        <v/>
      </c>
      <c r="IE206" s="129"/>
    </row>
    <row r="207" customFormat="false" ht="12.75" hidden="false" customHeight="false" outlineLevel="0" collapsed="false">
      <c r="H207" s="219" t="n">
        <f aca="false">VLOOKUP(I207,$EJ$20:$EL$54,3)</f>
        <v>0</v>
      </c>
      <c r="I207" s="511" t="n">
        <f aca="false">EOMONTH(I206,0)+1</f>
        <v>42461</v>
      </c>
      <c r="J207" s="512"/>
      <c r="K207" s="513" t="s">
        <v>280</v>
      </c>
      <c r="L207" s="514" t="n">
        <f aca="false">IF(ISNUMBER(K207),J207+K207/100,IF(K207="extra",L206+VLOOKUP(BF207,PriceSpreadTable,2)/12,IF(K207="inter",interpolateprices($K$19:$L$200,ROW(K207)-ROW(FirstPricingMonth)+1),interpolatechanges($J$19:$K$200,ROW(K207)-ROW(FirstPricingMonth)+1))))</f>
        <v>4.16250000000001</v>
      </c>
      <c r="M207" s="515"/>
      <c r="N207" s="516" t="n">
        <v>0</v>
      </c>
      <c r="O207" s="515" t="n">
        <f aca="false">M207+N207</f>
        <v>0</v>
      </c>
      <c r="P207" s="512"/>
      <c r="Q207" s="513" t="s">
        <v>280</v>
      </c>
      <c r="R207" s="512" t="e">
        <f aca="false">IF(ISNUMBER(Q207),P207+Q207/100,IF(Q207="extra",(Z205*AL205-R206*AM205)/AN205,IF(Q207="inter",interpolateprices($Q$19:$R$260,ROW(Q207)-ROW(FirstPricingMonth)+1),interpolatechanges($P$19:$Q$260,ROW(Q207)-ROW(FirstPricingMonth)+1))))</f>
        <v>#VALUE!</v>
      </c>
      <c r="S207" s="597" t="n">
        <f aca="false">S$19+(S206-S$19)*S$18</f>
        <v>0.36</v>
      </c>
      <c r="T207" s="575" t="n">
        <f aca="false">SQRT((1-(1-T206^2/U206)*T$18)*U207)</f>
        <v>0.999999999999979</v>
      </c>
      <c r="U207" s="576" t="n">
        <f aca="false">1-(1-U206)*U$18</f>
        <v>1</v>
      </c>
      <c r="V207" s="521" t="n">
        <v>0</v>
      </c>
      <c r="W207" s="577" t="n">
        <f aca="false">(J208*AJ207+J209*AK207)/AI207</f>
        <v>0</v>
      </c>
      <c r="X207" s="578" t="n">
        <f aca="false">(L208*AJ207+L209*AK207)/AI207</f>
        <v>4.2125</v>
      </c>
      <c r="Y207" s="579" t="n">
        <f aca="false">IF(Q209="extra",W207-AA207,(P208*AM207+P209*AN207)/AL207)</f>
        <v>-1.2915</v>
      </c>
      <c r="Z207" s="579" t="n">
        <f aca="false">IF(Q209="extra",X207-AB207,(R208*AM207+R209*AN207)/AL207)</f>
        <v>2.921</v>
      </c>
      <c r="AA207" s="523" t="n">
        <f aca="false">IF(Q209="extra",INDEX(BrentSeasonalityTable,INT((BG207-1)/3)+1)*VLOOKUP(MAX(BF207,$AB$4),PriceSpreadTable,3),W207-Y207)</f>
        <v>1.2915</v>
      </c>
      <c r="AB207" s="524" t="n">
        <f aca="false">IF(Q209="extra",INDEX(BrentSeasonalityTable,INT((BG207-1)/3)+1)*VLOOKUP(MAX(BF207,$AB$4),PriceSpreadTable,3),X207-Z207)</f>
        <v>1.2915</v>
      </c>
      <c r="AC207" s="646" t="n">
        <v>42449</v>
      </c>
      <c r="AD207" s="646" t="n">
        <v>42445</v>
      </c>
      <c r="AE207" s="646" t="n">
        <v>42444</v>
      </c>
      <c r="AF207" s="646" t="n">
        <v>42440</v>
      </c>
      <c r="AG207" s="438" t="s">
        <v>278</v>
      </c>
      <c r="AH207" s="439" t="s">
        <v>278</v>
      </c>
      <c r="AI207" s="528" t="n">
        <v>21</v>
      </c>
      <c r="AJ207" s="529" t="n">
        <v>14</v>
      </c>
      <c r="AK207" s="529" t="n">
        <v>7</v>
      </c>
      <c r="AL207" s="530" t="n">
        <v>21</v>
      </c>
      <c r="AM207" s="529" t="n">
        <v>10</v>
      </c>
      <c r="AN207" s="531" t="n">
        <v>11</v>
      </c>
      <c r="AO207" s="532"/>
      <c r="AP207" s="465" t="n">
        <f aca="false">(1+AO207/2)^(-2*BL207)</f>
        <v>1</v>
      </c>
      <c r="AQ207" s="532"/>
      <c r="AR207" s="465" t="n">
        <f aca="false">(1+AQ207/2)^(-2*BH207/365.25)</f>
        <v>1</v>
      </c>
      <c r="AS207" s="580" t="n">
        <f aca="false">(O208*AJ207+O209*AK207)/AI207</f>
        <v>0</v>
      </c>
      <c r="AT207" s="468" t="n">
        <f aca="false">O207*VLOOKUP(BF207,BrentVolTable,2)+VLOOKUP(BF207,BrentVolTable,3)</f>
        <v>0</v>
      </c>
      <c r="AU207" s="468" t="n">
        <f aca="false">(AT208*AM207+AT209*AN207)/AL207</f>
        <v>0</v>
      </c>
      <c r="AV207" s="595" t="n">
        <f aca="false">SQRT(MAX(0.000000000001,(O207^2*BH207-S207^2*(BH207-BH206))/BH206))</f>
        <v>0.0327272727272727</v>
      </c>
      <c r="AW207" s="451" t="n">
        <f aca="false">IF($I207-DateToday+15&gt;=$T$8,"",IF($I207-DateToday+15&lt;$T$5,1,MATCH($I207-DateToday+15,$T$5:$T$8)))</f>
        <v>1</v>
      </c>
      <c r="AX207" s="468" t="n">
        <f aca="false">IF($AW207="",AX206^2/AX205,INDEX(U$5:U$8,$AW207)^((INDEX($T$5:$T$8,$AW207+1)-($I207-DateToday+15))/(INDEX($T$5:$T$8,$AW207+1)-INDEX($T$5:$T$8,$AW207)))/INDEX(U$5:U$8,$AW207+1)^((INDEX($T$5:$T$8,$AW207)-($I207-DateToday+15))/(INDEX($T$5:$T$8,$AW207+1)-INDEX($T$5:$T$8,$AW207))))</f>
        <v>0.230464361549707</v>
      </c>
      <c r="AY207" s="468" t="n">
        <f aca="false">IF($AW207="",AY206^2/AY205,INDEX(V$5:V$8,$AW207)^((INDEX($T$5:$T$8,$AW207+1)-($I207-DateToday+15))/(INDEX($T$5:$T$8,$AW207+1)-INDEX($T$5:$T$8,$AW207)))/INDEX(V$5:V$8,$AW207+1)^((INDEX($T$5:$T$8,$AW207)-($I207-DateToday+15))/(INDEX($T$5:$T$8,$AW207+1)-INDEX($T$5:$T$8,$AW207))))</f>
        <v>1.97796137579783</v>
      </c>
      <c r="AZ207" s="468" t="n">
        <f aca="false">IF($AW207="",AZ206^2/AZ205,INDEX(W$5:W$8,$AW207)^((INDEX($T$5:$T$8,$AW207+1)-($I207-DateToday+15))/(INDEX($T$5:$T$8,$AW207+1)-INDEX($T$5:$T$8,$AW207)))/INDEX(W$5:W$8,$AW207+1)^((INDEX($T$5:$T$8,$AW207)-($I207-DateToday+15))/(INDEX($T$5:$T$8,$AW207+1)-INDEX($T$5:$T$8,$AW207))))</f>
        <v>146.04895575814</v>
      </c>
      <c r="BA207" s="468" t="n">
        <f aca="false">IF($AW207="",BA206^2/BA205,INDEX(X$5:X$8,$AW207)^((INDEX($T$5:$T$8,$AW207+1)-($I207-DateToday+15))/(INDEX($T$5:$T$8,$AW207+1)-INDEX($T$5:$T$8,$AW207)))/INDEX(X$5:X$8,$AW207+1)^((INDEX($T$5:$T$8,$AW207)-($I207-DateToday+15))/(INDEX($T$5:$T$8,$AW207+1)-INDEX($T$5:$T$8,$AW207))))</f>
        <v>350.615409831261</v>
      </c>
      <c r="BB207" s="468" t="n">
        <f aca="false">IF($AW207="",BB206^2/BB205,INDEX(Y$5:Y$8,$AW207)^((INDEX($T$5:$T$8,$AW207+1)-($I207-DateToday+15))/(INDEX($T$5:$T$8,$AW207+1)-INDEX($T$5:$T$8,$AW207)))/INDEX(Y$5:Y$8,$AW207+1)^((INDEX($T$5:$T$8,$AW207)-($I207-DateToday+15))/(INDEX($T$5:$T$8,$AW207+1)-INDEX($T$5:$T$8,$AW207))))</f>
        <v>1522.47711704414</v>
      </c>
      <c r="BC207" s="468" t="n">
        <f aca="false">IF($AW207="",BC206^2/BC205,INDEX(Z$5:Z$8,$AW207)^((INDEX($T$5:$T$8,$AW207+1)-($I207-DateToday+15))/(INDEX($T$5:$T$8,$AW207+1)-INDEX($T$5:$T$8,$AW207)))/INDEX(Z$5:Z$8,$AW207+1)^((INDEX($T$5:$T$8,$AW207)-($I207-DateToday+15))/(INDEX($T$5:$T$8,$AW207+1)-INDEX($T$5:$T$8,$AW207))))</f>
        <v>3763.00358587676</v>
      </c>
      <c r="BD207" s="535" t="n">
        <f aca="false">IF(OR(DateStart&gt;=I208,DateEnd&lt;I207),0,IF(VolumeOverrideFlag,V207,Volume))</f>
        <v>0</v>
      </c>
      <c r="BE207" s="536" t="n">
        <f aca="false">IF(OR(DateStart2&gt;=I208,DateEnd2&lt;I207),0,IF(VolumeOverrideFlag,V207,VolumeSwaption))</f>
        <v>0</v>
      </c>
      <c r="BF207" s="537" t="n">
        <f aca="false">YEAR(I207)</f>
        <v>2016</v>
      </c>
      <c r="BG207" s="538" t="n">
        <f aca="false">MONTH(I207)</f>
        <v>4</v>
      </c>
      <c r="BH207" s="539" t="n">
        <f aca="false">AD207-DateToday+1</f>
        <v>-3480</v>
      </c>
      <c r="BI207" s="540" t="n">
        <f aca="false">(I207-DateToday+1)/365.25</f>
        <v>-9.4839151266256</v>
      </c>
      <c r="BJ207" s="541" t="n">
        <f aca="false">BI207+(BL207-BI207)*CHOOSE(Underlying,AJ207/AI207,AM207/AL207)</f>
        <v>-9.43098334474104</v>
      </c>
      <c r="BK207" s="541" t="n">
        <f aca="false">BJ207+1/365.25</f>
        <v>-9.42824549395391</v>
      </c>
      <c r="BL207" s="541" t="n">
        <f aca="false">(I208-DateToday)/365.25</f>
        <v>-9.40451745379877</v>
      </c>
      <c r="BM207" s="542" t="e">
        <f aca="false">MAX(BI207-(BJ207-BI207)*(S208^2/O208^2-1),0)</f>
        <v>#DIV/0!</v>
      </c>
      <c r="BN207" s="541" t="e">
        <f aca="false">MAX(BL207+(BL207-BK207)*(S209^2/O209^2-1),0)</f>
        <v>#DIV/0!</v>
      </c>
      <c r="BO207" s="530" t="n">
        <f aca="false">CHOOSE(Underlying,AI207,AL207)</f>
        <v>21</v>
      </c>
      <c r="BP207" s="529" t="n">
        <f aca="false">CHOOSE(Underlying,AJ207,AM207)</f>
        <v>14</v>
      </c>
      <c r="BQ207" s="529" t="n">
        <f aca="false">CHOOSE(Underlying,AK207,AN207)</f>
        <v>7</v>
      </c>
      <c r="BR207" s="463" t="str">
        <f aca="false">IF(BD207,IF(Underlying=1,X207,Z207)+UnderlyingPriceAsian-SwapPriceCurve,"")</f>
        <v/>
      </c>
      <c r="BS207" s="463" t="str">
        <f aca="false">IF(BD207,Strike1/BR207-1,"")</f>
        <v/>
      </c>
      <c r="BT207" s="464" t="str">
        <f aca="false">IF(BD207,Strike2/BR207-1,"")</f>
        <v/>
      </c>
      <c r="BU207" s="465" t="str">
        <f aca="false">IF(BD207,IF(Underlying=1,L208,R208)+UnderlyingPriceAsian-SwapPriceCurve,"")</f>
        <v/>
      </c>
      <c r="BV207" s="465" t="str">
        <f aca="false">IF(BD207,IF(Underlying=1,L209,R209)+UnderlyingPriceAsian-SwapPriceCurve,"")</f>
        <v/>
      </c>
      <c r="BW207" s="466" t="str">
        <f aca="false">IF(BD207,IF(Underlying=1,O208,AT208),"")</f>
        <v/>
      </c>
      <c r="BX207" s="467" t="str">
        <f aca="false">IF(BD207,IF(Underlying=1,O209,AT209),"")</f>
        <v/>
      </c>
      <c r="BY207" s="466" t="str">
        <f aca="false">IF(BD207,IF(BS207&gt;0,IF(BS207&gt;0.2,BC207-BB207,IF(BS207&gt;0.1,BB207-BA207,BA207)),IF(BS207&lt;-0.2,AX207-AY207,IF(BS207&lt;-0.1,AY207-AZ207,AZ207))),"")</f>
        <v/>
      </c>
      <c r="BZ207" s="467" t="str">
        <f aca="false">IF(BD207,IF(BT207&gt;0,IF(BT207&gt;0.2,BC207-BB207,IF(BT207&gt;0.1,BB207-BA207,BA207)),IF(BT207&lt;-0.2,AX207-AY207,IF(BT207&lt;-0.1,AY207-AZ207,AZ207))),"")</f>
        <v/>
      </c>
      <c r="CA207" s="468" t="str">
        <f aca="false">IF($BD207,$BW207+IF(VolSkewFlag=1,IF(BS207&gt;0,$BA207*MIN(BS207/10%,1)+($BB207-$BA207)*MAX(0,MIN(BS207/10%-1,1))+($BC207-$BB207)*MAX(0,BS207/10%-2),$AZ207*MIN(-BS207/10%,1)+($AY207-$AZ207)*MAX(0,MIN(-BS207/10%-1,1))+($AX207-$AY207)*MAX(0,-BS207/10%-2)),0),"")</f>
        <v/>
      </c>
      <c r="CB207" s="468" t="str">
        <f aca="false">IF($BD207,$BX207+IF(VolSkewFlag=1,IF(BS207&gt;0,$BA207*MIN(BS207/10%,1)+($BB207-$BA207)*MAX(0,MIN(BS207/10%-1,1))+($BC207-$BB207)*MAX(0,BS207/10%-2),$AZ207*MIN(-BS207/10%,1)+($AY207-$AZ207)*MAX(0,MIN(-BS207/10%-1,1))+($AX207-$AY207)*MAX(0,-BS207/10%-2)),0),"")</f>
        <v/>
      </c>
      <c r="CC207" s="468" t="str">
        <f aca="false">IF($BD207,$BW207+IF(VolSkewFlag=1,IF(BT207&gt;0,$BA207*MIN(BT207/10%,1)+($BB207-$BA207)*MAX(0,MIN(BT207/10%-1,1))+($BC207-$BB207)*MAX(0,BT207/10%-2),$AZ207*MIN(-BT207/10%,1)+($AY207-$AZ207)*MAX(0,MIN(-BT207/10%-1,1))+($AX207-$AY207)*MAX(0,-BT207/10%-2)),0),"")</f>
        <v/>
      </c>
      <c r="CD207" s="468" t="str">
        <f aca="false">IF($BD207,$BX207+IF(VolSkewFlag=1,IF(BT207&gt;0,$BA207*MIN(BT207/10%,1)+($BB207-$BA207)*MAX(0,MIN(BT207/10%-1,1))+($BC207-$BB207)*MAX(0,BT207/10%-2),$AZ207*MIN(-BT207/10%,1)+($AY207-$AZ207)*MAX(0,MIN(-BT207/10%-1,1))+($AX207-$AY207)*MAX(0,-BT207/10%-2)),0),"")</f>
        <v/>
      </c>
      <c r="CE207" s="469" t="n">
        <v>1</v>
      </c>
      <c r="CF207" s="470" t="n">
        <f aca="false">IF(BD207,xCrudeAPO(BU207,BV207,CA207,CB207,S208,S209,BI207,BL207,BP207,BQ207,0,Strike1,AO207,CE207,0,BL207,IF(OptControl=4,0,1),0,1),0)</f>
        <v>0</v>
      </c>
      <c r="CG207" s="470" t="n">
        <f aca="false">IF(BD207,xCrudeAPO(BU207,BV207,CA207,CB207,S208,S209,BI207,BL207,BP207,BQ207,0,Strike1,AO207,CE207,0,BL207,IF(OptControl=4,0,1),1,1)+xCrudeAPO(BU207,BV207,CA207,CB207,S208,S209,BI207,BL207,BP207,BQ207,0,Strike1,AO207,CE207,0,BL207,IF(OptControl=4,0,1),1,2)+IF(OR(VolSkewFlag=2,ABS(BS207)&lt;0.0001),0,IF(BS207&gt;0,-1,1)*CH207*Strike1/BR207^2*BY207/10%),0)</f>
        <v>0</v>
      </c>
      <c r="CH207" s="470" t="n">
        <f aca="false">IF(BD207,(xCrudeAPO(BU207,BV207,CA207,CB207,S208,S209,BI207,BL207,BP207,BQ207,0,Strike1,AO207,CE207,0,BL207,IF(OptControl=4,0,1),3,1)+xCrudeAPO(BU207,BV207,CA207,CB207,S208,S209,BI207,BL207,BP207,BQ207,0,Strike1,AO207,CE207,0,BL207,IF(OptControl=4,0,1),3,2))/100,0)</f>
        <v>0</v>
      </c>
      <c r="CI207" s="470" t="n">
        <f aca="false">IF(BD207,xCrudeAPO(BU207,BV207,CA207,CB207,S208,S209,BI207-DaysForThetaCalculation/365.25,BL207-DaysForThetaCalculation/365.25,BP207,BQ207,0,Strike1,AO207,CE207,0,BL207,IF(OptControl=4,0,1),0,1)-xCrudeAPO(BU207,BV207,CA207,CB207,S208,S209,BI207,BL207,BP207,BQ207,0,Strike1,AO207,CE207,0,BL207,IF(OptControl=4,0,1),0,1),0)</f>
        <v>0</v>
      </c>
      <c r="CJ207" s="471" t="n">
        <f aca="false">IF(BD207,xCrudeAPO(BU207,BV207,CC207,CD207,S208,S209,BI207,BL207,BP207,BQ207,0,Strike2,AO207,CE207,0,BL207,IF(OptControl=3,1,0),0,1),0)</f>
        <v>0</v>
      </c>
      <c r="CK207" s="470" t="n">
        <f aca="false">IF(BD207,xCrudeAPO(BU207,BV207,CC207,CD207,S208,S209,BI207,BL207,BP207,BQ207,0,Strike2,AO207,CE207,0,BL207,IF(OptControl=3,1,0),1,1)+xCrudeAPO(BU207,BV207,CC207,CD207,S208,S209,BI207,BL207,BP207,BQ207,0,Strike2,AO207,CE207,0,BL207,IF(OptControl=3,1,0),1,2)+IF(OR(VolSkewFlag=2,ABS(BT207)&lt;0.0001),0,IF(BT207&gt;0,-1,1)*CL207*Strike2/BR207^2*BZ207/10%),0)</f>
        <v>0</v>
      </c>
      <c r="CL207" s="470" t="n">
        <f aca="false">IF(BD207,(xCrudeAPO(BU207,BV207,CC207,CD207,S208,S209,BI207,BL207,BP207,BQ207,0,Strike2,AO207,CE207,0,BL207,IF(OptControl=3,1,0),3,1)+xCrudeAPO(BU207,BV207,CC207,CD207,S208,S209,BI207,BL207,BP207,BQ207,0,Strike2,AO207,CE207,0,BL207,IF(OptControl=3,1,0),3,2))/100,0)</f>
        <v>0</v>
      </c>
      <c r="CM207" s="472" t="n">
        <f aca="false">IF(BD207,xCrudeAPO(BU207,BV207,CC207,CD207,S208,S209,BI207-DaysForThetaCalculation/365.25,BL207-DaysForThetaCalculation/365.25,BP207,BQ207,0,Strike2,AO207,CE207,0,BL207,IF(OptControl=3,1,0),0,1)-xCrudeAPO(BU207,BV207,CC207,CD207,S208,S209,BI207,BL207,BP207,BQ207,0,Strike2,AO207,CE207,0,BL207,IF(OptControl=3,1,0),0,1),0)</f>
        <v>0</v>
      </c>
      <c r="CN207" s="3"/>
      <c r="CO207" s="543" t="str">
        <f aca="false">IF(BD207,CHOOSE(Underlying,AD207,AF207)-DateToday+1,"")</f>
        <v/>
      </c>
      <c r="CP207" s="582" t="str">
        <f aca="false">IF(BD207,CHOOSE(Underlying,L207,R207),"")</f>
        <v/>
      </c>
      <c r="CQ207" s="544" t="str">
        <f aca="false">IF(BD207,Strike1/CP207-1,"")</f>
        <v/>
      </c>
      <c r="CR207" s="544" t="str">
        <f aca="false">IF(BD207,Strike2/CP207-1,"")</f>
        <v/>
      </c>
      <c r="CS207" s="544" t="str">
        <f aca="false">IF(BD207,IF(CQ207&gt;0,IF(CQ207&gt;0.2,BC206-BB206,IF(CQ207&gt;0.1,BB206-BA206,BA206)),IF(CQ207&lt;-0.2,AX206-AY206,IF(CQ207&lt;-0.1,AY206-AZ206,AZ206))),"")</f>
        <v/>
      </c>
      <c r="CT207" s="544" t="str">
        <f aca="false">IF(BD207,IF(CR207&gt;0,IF(CR207&gt;0.2,BC206-BB206,IF(CR207&gt;0.1,BB206-BA206,BA206)),IF(CR207&lt;-0.2,AX206-AY206,IF(CR207&lt;-0.1,AY206-AZ206,AZ206))),"")</f>
        <v/>
      </c>
      <c r="CU207" s="545" t="str">
        <f aca="false">IF(BD207,CHOOSE(Underlying,O207,AT207),"")</f>
        <v/>
      </c>
      <c r="CV207" s="545" t="str">
        <f aca="false">IF(BD207,CU207+IF(VolSkewFlag=1,IF(CQ207&gt;0,BA206*MIN(CQ207/10%,1)+(BB206-BA206)*MAX(0,MIN(CQ207/10%-1,1))+(BC206-BB206)*MAX(0,CQ207/10%-2),AZ206*MIN(-CQ207/10%,1)+(AY206-AZ206)*MAX(0,MIN(-CQ207/10%-1,1))+(AX206-AY206)*MAX(0,-CQ207/10%-2)),0),"")</f>
        <v/>
      </c>
      <c r="CW207" s="545" t="str">
        <f aca="false">IF(BD207,CU207+IF(VolSkewFlag=1,IF(CR207&gt;0,BA206*MIN(CR207/10%,1)+(BB206-BA206)*MAX(0,MIN(CR207/10%-1,1))+(BC206-BB206)*MAX(0,CR207/10%-2),AZ206*MIN(-CR207/10%,1)+(AY206-AZ206)*MAX(0,MIN(-CR207/10%-1,1))+(AX206-AY206)*MAX(0,-CR207/10%-2)),0),"")</f>
        <v/>
      </c>
      <c r="CX207" s="470" t="n">
        <f aca="false">IF(BD207,EURO(CP207,Strike1,AO207,AO207,CV207,CO207,IF(OptControl=4,0,1),0),0)</f>
        <v>0</v>
      </c>
      <c r="CY207" s="470" t="n">
        <f aca="false">IF(BD207,EURO(CP207,Strike1,AO207,AO207,CV207,CO207,IF(OptControl=4,0,1),1)+IF(OR(VolSkewFlag=2,ABS(CQ207)&lt;0.0001),0,IF(CQ207&gt;0,-1,1)*CZ207*100*Strike1/CP207^2*CS207/10%),0)</f>
        <v>0</v>
      </c>
      <c r="CZ207" s="470" t="n">
        <f aca="false">IF(BD207,EURO(CP207,Strike1,AO207,AO207,CV207,CO207,IF(OptControl=4,0,1),3)/100,0)</f>
        <v>0</v>
      </c>
      <c r="DA207" s="470" t="n">
        <f aca="false">IF(BD207,EURO(CP207,Strike1,AO207,AO207,CV207,CO207,IF(OptControl=4,0,1),0)-EURO(CP207,Strike1,AO207,AO207,CV207,CO207-1,IF(OptControl=4,0,1),0),0)</f>
        <v>0</v>
      </c>
      <c r="DB207" s="470" t="n">
        <f aca="false">IF(BD207,EURO(CP207,Strike2,AO207,AO207,CW207,CO207,IF(OptControl=3,1,0),0),0)</f>
        <v>0</v>
      </c>
      <c r="DC207" s="470" t="n">
        <f aca="false">IF(BD207,EURO(CP207,Strike2,AO207,AO207,CW207,CO207,IF(OptControl=3,1,0),1)+IF(OR(VolSkewFlag=2,ABS(CR207)&lt;0.0001),0,IF(CR207&gt;0,-1,1)*DD207*100*Strike2/CP207^2*CT207/10%),0)</f>
        <v>0</v>
      </c>
      <c r="DD207" s="470" t="n">
        <f aca="false">IF(BD207,EURO(CP207,Strike2,AO207,AO207,CW207,CO207,IF(OptControl=3,1,0),3)/100,0)</f>
        <v>0</v>
      </c>
      <c r="DE207" s="472" t="n">
        <f aca="false">IF(BD207,EURO(CP207,Strike2,AO207,AO207,CW207,CO207,IF(OptControl=3,1,0),0)-EURO(CP207,Strike2,AO207,AO207,CW207,CO207-1,IF(OptControl=3,1,0),0),0)</f>
        <v>0</v>
      </c>
      <c r="DG207" s="481" t="n">
        <f aca="false">EOMONTH(DG206,0)+1</f>
        <v>51380</v>
      </c>
      <c r="DH207" s="478" t="n">
        <v>23.5100000000001</v>
      </c>
      <c r="DI207" s="479" t="n">
        <v>23.5781818181819</v>
      </c>
      <c r="DJ207" s="480" t="n">
        <f aca="false">DG207</f>
        <v>51380</v>
      </c>
      <c r="DK207" s="478" t="n">
        <v>22.3231132649832</v>
      </c>
      <c r="DL207" s="479" t="n">
        <v>22.3112818181819</v>
      </c>
      <c r="DM207" s="481" t="n">
        <f aca="false">DG207</f>
        <v>51380</v>
      </c>
      <c r="DN207" s="482" t="n">
        <f aca="false">DK207+BrentPhyBrentSpread</f>
        <v>22.3731132649832</v>
      </c>
      <c r="DO207" s="481" t="n">
        <f aca="false">DG207</f>
        <v>51380</v>
      </c>
      <c r="DP207" s="483" t="n">
        <f aca="false">DL207+DQ207</f>
        <v>22.3112818181819</v>
      </c>
      <c r="DQ207" s="546" t="n">
        <v>0</v>
      </c>
      <c r="DR207" s="480" t="n">
        <f aca="false">DG207</f>
        <v>51380</v>
      </c>
      <c r="DS207" s="485" t="n">
        <v>0.112399999999998</v>
      </c>
      <c r="DT207" s="486" t="n">
        <v>0.111581818181816</v>
      </c>
      <c r="DU207" s="480" t="n">
        <f aca="false">DG207</f>
        <v>51380</v>
      </c>
      <c r="DV207" s="485" t="n">
        <v>0.112399999999998</v>
      </c>
      <c r="DW207" s="486" t="n">
        <v>0.111581818181816</v>
      </c>
      <c r="DX207" s="481" t="n">
        <f aca="false">DG207</f>
        <v>51380</v>
      </c>
      <c r="DY207" s="486" t="n">
        <v>0.35</v>
      </c>
      <c r="DZ207" s="481" t="n">
        <f aca="false">DR207</f>
        <v>51380</v>
      </c>
      <c r="EA207" s="486" t="n">
        <f aca="false">DT207</f>
        <v>0.111581818181816</v>
      </c>
      <c r="EB207" s="195"/>
      <c r="EC207" s="547" t="str">
        <f aca="false">IF(BD207,IF(Underlying=1,AS207,AU207),"")</f>
        <v/>
      </c>
      <c r="ED207" s="548" t="str">
        <f aca="false">IF($BD207,$EC207+IF(VolSkewFlag=1,IF(BS207&gt;0,$BA207*MIN(BS207/10%,1)+($BB207-$BA207)*MAX(0,MIN(BS207/10%-1,1))+($BC207-$BB207)*MAX(0,BS207/10%-2),$AZ207*MIN(-BS207/10%,1)+($AY207-$AZ207)*MAX(0,MIN(-BS207/10%-1,1))+($AX207-$AY207)*MAX(0,-BS207/10%-2)),0),"")</f>
        <v/>
      </c>
      <c r="EE207" s="549" t="str">
        <f aca="false">IF($BD207,$EC207+IF(VolSkewFlag=1,IF(BT207&gt;0,$BA207*MIN(BT207/10%,1)+($BB207-$BA207)*MAX(0,MIN(BT207/10%-1,1))+($BC207-$BB207)*MAX(0,BT207/10%-2),$AZ207*MIN(-BT207/10%,1)+($AY207-$AZ207)*MAX(0,MIN(-BT207/10%-1,1))+($AX207-$AY207)*MAX(0,-BT207/10%-2)),0),"")</f>
        <v/>
      </c>
      <c r="EF207" s="550" t="n">
        <f aca="false">IF(BD207,xASN(BR207,Strike1,AO207,ED207,0,BO207,0,BI207,BL207,IF(OptControl=4,0,1),0),0)</f>
        <v>0</v>
      </c>
      <c r="EG207" s="551" t="n">
        <f aca="false">IF(BD207,xASN(BR207,Strike2,AO207,EE207,0,BO207,0,BI207,BL207,IF(OptControl=3,1,0),0),0)</f>
        <v>0</v>
      </c>
      <c r="EL207" s="1"/>
      <c r="EM207" s="195"/>
      <c r="EN207" s="240"/>
      <c r="EO207" s="240"/>
      <c r="EP207" s="195"/>
      <c r="EQ207" s="407" t="s">
        <v>435</v>
      </c>
      <c r="ES207" s="130"/>
      <c r="ET207" s="19"/>
      <c r="EU207" s="672"/>
      <c r="EV207" s="478"/>
      <c r="EW207" s="131"/>
      <c r="EX207" s="131"/>
      <c r="EY207" s="129"/>
      <c r="EZ207" s="129"/>
      <c r="FA207" s="129"/>
      <c r="FB207" s="129"/>
      <c r="FC207" s="129"/>
      <c r="FD207" s="129"/>
      <c r="FE207" s="129"/>
      <c r="FF207" s="129"/>
      <c r="FG207" s="129"/>
      <c r="FH207" s="129"/>
      <c r="FI207" s="129"/>
      <c r="FJ207" s="571" t="n">
        <v>38</v>
      </c>
      <c r="FK207" s="150" t="str">
        <f aca="false">IF(OR(FK$169&lt;SwaptionFirstMonthPosition+1,$FJ207&lt;SwaptionFirstMonthPosition+1,FK$169&gt;SwaptionFirstMonthPosition+SwaptionNumOfMonths+1,$FJ207&gt;SwaptionFirstMonthPosition+SwaptionNumOfMonths+1),"",IF($FJ207=FK$169,1,IF($FJ207&lt;FK$169,INDEX($FK$170:$ID$241,FK$169,$FJ207),SUMPRODUCT(INDEX($FK$325:$ID$396,FK$169,1+SwaptionShift):INDEX($FK$325:$ID$396,FK$169,SwaptionMonthsToGo+SwaptionShift),INDEX($FK$245:$ID$316,$FJ207-FK$169,73-FK$169+SwaptionShift):INDEX($FK$245:$ID$316,$FJ207-FK$169,72-FK$169+SwaptionMonthsToGo+SwaptionShift))/SQRT(SUM(INDEX($FK362:$ID362,1+SwaptionShift):INDEX($FK362:$ID362,SwaptionMonthsToGo+SwaptionShift))*SUM(INDEX($FK$325:$ID$396,FK$169,1+SwaptionShift):INDEX($FK$325:$ID$396,FK$169,SwaptionMonthsToGo+SwaptionShift))))))</f>
        <v/>
      </c>
      <c r="FL207" s="150" t="str">
        <f aca="false">IF(OR(FL$169&lt;SwaptionFirstMonthPosition+1,$FJ207&lt;SwaptionFirstMonthPosition+1,FL$169&gt;SwaptionFirstMonthPosition+SwaptionNumOfMonths+1,$FJ207&gt;SwaptionFirstMonthPosition+SwaptionNumOfMonths+1),"",IF($FJ207=FL$169,1,IF($FJ207&lt;FL$169,INDEX($FK$170:$ID$241,FL$169,$FJ207),SUMPRODUCT(INDEX($FK$325:$ID$396,FL$169,1+SwaptionShift):INDEX($FK$325:$ID$396,FL$169,SwaptionMonthsToGo+SwaptionShift),INDEX($FK$245:$ID$316,$FJ207-FL$169,73-FL$169+SwaptionShift):INDEX($FK$245:$ID$316,$FJ207-FL$169,72-FL$169+SwaptionMonthsToGo+SwaptionShift))/SQRT(SUM(INDEX($FK362:$ID362,1+SwaptionShift):INDEX($FK362:$ID362,SwaptionMonthsToGo+SwaptionShift))*SUM(INDEX($FK$325:$ID$396,FL$169,1+SwaptionShift):INDEX($FK$325:$ID$396,FL$169,SwaptionMonthsToGo+SwaptionShift))))))</f>
        <v/>
      </c>
      <c r="FM207" s="150" t="str">
        <f aca="false">IF(OR(FM$169&lt;SwaptionFirstMonthPosition+1,$FJ207&lt;SwaptionFirstMonthPosition+1,FM$169&gt;SwaptionFirstMonthPosition+SwaptionNumOfMonths+1,$FJ207&gt;SwaptionFirstMonthPosition+SwaptionNumOfMonths+1),"",IF($FJ207=FM$169,1,IF($FJ207&lt;FM$169,INDEX($FK$170:$ID$241,FM$169,$FJ207),SUMPRODUCT(INDEX($FK$325:$ID$396,FM$169,1+SwaptionShift):INDEX($FK$325:$ID$396,FM$169,SwaptionMonthsToGo+SwaptionShift),INDEX($FK$245:$ID$316,$FJ207-FM$169,73-FM$169+SwaptionShift):INDEX($FK$245:$ID$316,$FJ207-FM$169,72-FM$169+SwaptionMonthsToGo+SwaptionShift))/SQRT(SUM(INDEX($FK362:$ID362,1+SwaptionShift):INDEX($FK362:$ID362,SwaptionMonthsToGo+SwaptionShift))*SUM(INDEX($FK$325:$ID$396,FM$169,1+SwaptionShift):INDEX($FK$325:$ID$396,FM$169,SwaptionMonthsToGo+SwaptionShift))))))</f>
        <v/>
      </c>
      <c r="FN207" s="150" t="str">
        <f aca="false">IF(OR(FN$169&lt;SwaptionFirstMonthPosition+1,$FJ207&lt;SwaptionFirstMonthPosition+1,FN$169&gt;SwaptionFirstMonthPosition+SwaptionNumOfMonths+1,$FJ207&gt;SwaptionFirstMonthPosition+SwaptionNumOfMonths+1),"",IF($FJ207=FN$169,1,IF($FJ207&lt;FN$169,INDEX($FK$170:$ID$241,FN$169,$FJ207),SUMPRODUCT(INDEX($FK$325:$ID$396,FN$169,1+SwaptionShift):INDEX($FK$325:$ID$396,FN$169,SwaptionMonthsToGo+SwaptionShift),INDEX($FK$245:$ID$316,$FJ207-FN$169,73-FN$169+SwaptionShift):INDEX($FK$245:$ID$316,$FJ207-FN$169,72-FN$169+SwaptionMonthsToGo+SwaptionShift))/SQRT(SUM(INDEX($FK362:$ID362,1+SwaptionShift):INDEX($FK362:$ID362,SwaptionMonthsToGo+SwaptionShift))*SUM(INDEX($FK$325:$ID$396,FN$169,1+SwaptionShift):INDEX($FK$325:$ID$396,FN$169,SwaptionMonthsToGo+SwaptionShift))))))</f>
        <v/>
      </c>
      <c r="FO207" s="150" t="str">
        <f aca="false">IF(OR(FO$169&lt;SwaptionFirstMonthPosition+1,$FJ207&lt;SwaptionFirstMonthPosition+1,FO$169&gt;SwaptionFirstMonthPosition+SwaptionNumOfMonths+1,$FJ207&gt;SwaptionFirstMonthPosition+SwaptionNumOfMonths+1),"",IF($FJ207=FO$169,1,IF($FJ207&lt;FO$169,INDEX($FK$170:$ID$241,FO$169,$FJ207),SUMPRODUCT(INDEX($FK$325:$ID$396,FO$169,1+SwaptionShift):INDEX($FK$325:$ID$396,FO$169,SwaptionMonthsToGo+SwaptionShift),INDEX($FK$245:$ID$316,$FJ207-FO$169,73-FO$169+SwaptionShift):INDEX($FK$245:$ID$316,$FJ207-FO$169,72-FO$169+SwaptionMonthsToGo+SwaptionShift))/SQRT(SUM(INDEX($FK362:$ID362,1+SwaptionShift):INDEX($FK362:$ID362,SwaptionMonthsToGo+SwaptionShift))*SUM(INDEX($FK$325:$ID$396,FO$169,1+SwaptionShift):INDEX($FK$325:$ID$396,FO$169,SwaptionMonthsToGo+SwaptionShift))))))</f>
        <v/>
      </c>
      <c r="FP207" s="150" t="str">
        <f aca="false">IF(OR(FP$169&lt;SwaptionFirstMonthPosition+1,$FJ207&lt;SwaptionFirstMonthPosition+1,FP$169&gt;SwaptionFirstMonthPosition+SwaptionNumOfMonths+1,$FJ207&gt;SwaptionFirstMonthPosition+SwaptionNumOfMonths+1),"",IF($FJ207=FP$169,1,IF($FJ207&lt;FP$169,INDEX($FK$170:$ID$241,FP$169,$FJ207),SUMPRODUCT(INDEX($FK$325:$ID$396,FP$169,1+SwaptionShift):INDEX($FK$325:$ID$396,FP$169,SwaptionMonthsToGo+SwaptionShift),INDEX($FK$245:$ID$316,$FJ207-FP$169,73-FP$169+SwaptionShift):INDEX($FK$245:$ID$316,$FJ207-FP$169,72-FP$169+SwaptionMonthsToGo+SwaptionShift))/SQRT(SUM(INDEX($FK362:$ID362,1+SwaptionShift):INDEX($FK362:$ID362,SwaptionMonthsToGo+SwaptionShift))*SUM(INDEX($FK$325:$ID$396,FP$169,1+SwaptionShift):INDEX($FK$325:$ID$396,FP$169,SwaptionMonthsToGo+SwaptionShift))))))</f>
        <v/>
      </c>
      <c r="FQ207" s="150" t="str">
        <f aca="false">IF(OR(FQ$169&lt;SwaptionFirstMonthPosition+1,$FJ207&lt;SwaptionFirstMonthPosition+1,FQ$169&gt;SwaptionFirstMonthPosition+SwaptionNumOfMonths+1,$FJ207&gt;SwaptionFirstMonthPosition+SwaptionNumOfMonths+1),"",IF($FJ207=FQ$169,1,IF($FJ207&lt;FQ$169,INDEX($FK$170:$ID$241,FQ$169,$FJ207),SUMPRODUCT(INDEX($FK$325:$ID$396,FQ$169,1+SwaptionShift):INDEX($FK$325:$ID$396,FQ$169,SwaptionMonthsToGo+SwaptionShift),INDEX($FK$245:$ID$316,$FJ207-FQ$169,73-FQ$169+SwaptionShift):INDEX($FK$245:$ID$316,$FJ207-FQ$169,72-FQ$169+SwaptionMonthsToGo+SwaptionShift))/SQRT(SUM(INDEX($FK362:$ID362,1+SwaptionShift):INDEX($FK362:$ID362,SwaptionMonthsToGo+SwaptionShift))*SUM(INDEX($FK$325:$ID$396,FQ$169,1+SwaptionShift):INDEX($FK$325:$ID$396,FQ$169,SwaptionMonthsToGo+SwaptionShift))))))</f>
        <v/>
      </c>
      <c r="FR207" s="150" t="str">
        <f aca="false">IF(OR(FR$169&lt;SwaptionFirstMonthPosition+1,$FJ207&lt;SwaptionFirstMonthPosition+1,FR$169&gt;SwaptionFirstMonthPosition+SwaptionNumOfMonths+1,$FJ207&gt;SwaptionFirstMonthPosition+SwaptionNumOfMonths+1),"",IF($FJ207=FR$169,1,IF($FJ207&lt;FR$169,INDEX($FK$170:$ID$241,FR$169,$FJ207),SUMPRODUCT(INDEX($FK$325:$ID$396,FR$169,1+SwaptionShift):INDEX($FK$325:$ID$396,FR$169,SwaptionMonthsToGo+SwaptionShift),INDEX($FK$245:$ID$316,$FJ207-FR$169,73-FR$169+SwaptionShift):INDEX($FK$245:$ID$316,$FJ207-FR$169,72-FR$169+SwaptionMonthsToGo+SwaptionShift))/SQRT(SUM(INDEX($FK362:$ID362,1+SwaptionShift):INDEX($FK362:$ID362,SwaptionMonthsToGo+SwaptionShift))*SUM(INDEX($FK$325:$ID$396,FR$169,1+SwaptionShift):INDEX($FK$325:$ID$396,FR$169,SwaptionMonthsToGo+SwaptionShift))))))</f>
        <v/>
      </c>
      <c r="FS207" s="150" t="str">
        <f aca="false">IF(OR(FS$169&lt;SwaptionFirstMonthPosition+1,$FJ207&lt;SwaptionFirstMonthPosition+1,FS$169&gt;SwaptionFirstMonthPosition+SwaptionNumOfMonths+1,$FJ207&gt;SwaptionFirstMonthPosition+SwaptionNumOfMonths+1),"",IF($FJ207=FS$169,1,IF($FJ207&lt;FS$169,INDEX($FK$170:$ID$241,FS$169,$FJ207),SUMPRODUCT(INDEX($FK$325:$ID$396,FS$169,1+SwaptionShift):INDEX($FK$325:$ID$396,FS$169,SwaptionMonthsToGo+SwaptionShift),INDEX($FK$245:$ID$316,$FJ207-FS$169,73-FS$169+SwaptionShift):INDEX($FK$245:$ID$316,$FJ207-FS$169,72-FS$169+SwaptionMonthsToGo+SwaptionShift))/SQRT(SUM(INDEX($FK362:$ID362,1+SwaptionShift):INDEX($FK362:$ID362,SwaptionMonthsToGo+SwaptionShift))*SUM(INDEX($FK$325:$ID$396,FS$169,1+SwaptionShift):INDEX($FK$325:$ID$396,FS$169,SwaptionMonthsToGo+SwaptionShift))))))</f>
        <v/>
      </c>
      <c r="FT207" s="150" t="str">
        <f aca="false">IF(OR(FT$169&lt;SwaptionFirstMonthPosition+1,$FJ207&lt;SwaptionFirstMonthPosition+1,FT$169&gt;SwaptionFirstMonthPosition+SwaptionNumOfMonths+1,$FJ207&gt;SwaptionFirstMonthPosition+SwaptionNumOfMonths+1),"",IF($FJ207=FT$169,1,IF($FJ207&lt;FT$169,INDEX($FK$170:$ID$241,FT$169,$FJ207),SUMPRODUCT(INDEX($FK$325:$ID$396,FT$169,1+SwaptionShift):INDEX($FK$325:$ID$396,FT$169,SwaptionMonthsToGo+SwaptionShift),INDEX($FK$245:$ID$316,$FJ207-FT$169,73-FT$169+SwaptionShift):INDEX($FK$245:$ID$316,$FJ207-FT$169,72-FT$169+SwaptionMonthsToGo+SwaptionShift))/SQRT(SUM(INDEX($FK362:$ID362,1+SwaptionShift):INDEX($FK362:$ID362,SwaptionMonthsToGo+SwaptionShift))*SUM(INDEX($FK$325:$ID$396,FT$169,1+SwaptionShift):INDEX($FK$325:$ID$396,FT$169,SwaptionMonthsToGo+SwaptionShift))))))</f>
        <v/>
      </c>
      <c r="FU207" s="150" t="str">
        <f aca="false">IF(OR(FU$169&lt;SwaptionFirstMonthPosition+1,$FJ207&lt;SwaptionFirstMonthPosition+1,FU$169&gt;SwaptionFirstMonthPosition+SwaptionNumOfMonths+1,$FJ207&gt;SwaptionFirstMonthPosition+SwaptionNumOfMonths+1),"",IF($FJ207=FU$169,1,IF($FJ207&lt;FU$169,INDEX($FK$170:$ID$241,FU$169,$FJ207),SUMPRODUCT(INDEX($FK$325:$ID$396,FU$169,1+SwaptionShift):INDEX($FK$325:$ID$396,FU$169,SwaptionMonthsToGo+SwaptionShift),INDEX($FK$245:$ID$316,$FJ207-FU$169,73-FU$169+SwaptionShift):INDEX($FK$245:$ID$316,$FJ207-FU$169,72-FU$169+SwaptionMonthsToGo+SwaptionShift))/SQRT(SUM(INDEX($FK362:$ID362,1+SwaptionShift):INDEX($FK362:$ID362,SwaptionMonthsToGo+SwaptionShift))*SUM(INDEX($FK$325:$ID$396,FU$169,1+SwaptionShift):INDEX($FK$325:$ID$396,FU$169,SwaptionMonthsToGo+SwaptionShift))))))</f>
        <v/>
      </c>
      <c r="FV207" s="150" t="str">
        <f aca="false">IF(OR(FV$169&lt;SwaptionFirstMonthPosition+1,$FJ207&lt;SwaptionFirstMonthPosition+1,FV$169&gt;SwaptionFirstMonthPosition+SwaptionNumOfMonths+1,$FJ207&gt;SwaptionFirstMonthPosition+SwaptionNumOfMonths+1),"",IF($FJ207=FV$169,1,IF($FJ207&lt;FV$169,INDEX($FK$170:$ID$241,FV$169,$FJ207),SUMPRODUCT(INDEX($FK$325:$ID$396,FV$169,1+SwaptionShift):INDEX($FK$325:$ID$396,FV$169,SwaptionMonthsToGo+SwaptionShift),INDEX($FK$245:$ID$316,$FJ207-FV$169,73-FV$169+SwaptionShift):INDEX($FK$245:$ID$316,$FJ207-FV$169,72-FV$169+SwaptionMonthsToGo+SwaptionShift))/SQRT(SUM(INDEX($FK362:$ID362,1+SwaptionShift):INDEX($FK362:$ID362,SwaptionMonthsToGo+SwaptionShift))*SUM(INDEX($FK$325:$ID$396,FV$169,1+SwaptionShift):INDEX($FK$325:$ID$396,FV$169,SwaptionMonthsToGo+SwaptionShift))))))</f>
        <v/>
      </c>
      <c r="FW207" s="150" t="str">
        <f aca="false">IF(OR(FW$169&lt;SwaptionFirstMonthPosition+1,$FJ207&lt;SwaptionFirstMonthPosition+1,FW$169&gt;SwaptionFirstMonthPosition+SwaptionNumOfMonths+1,$FJ207&gt;SwaptionFirstMonthPosition+SwaptionNumOfMonths+1),"",IF($FJ207=FW$169,1,IF($FJ207&lt;FW$169,INDEX($FK$170:$ID$241,FW$169,$FJ207),SUMPRODUCT(INDEX($FK$325:$ID$396,FW$169,1+SwaptionShift):INDEX($FK$325:$ID$396,FW$169,SwaptionMonthsToGo+SwaptionShift),INDEX($FK$245:$ID$316,$FJ207-FW$169,73-FW$169+SwaptionShift):INDEX($FK$245:$ID$316,$FJ207-FW$169,72-FW$169+SwaptionMonthsToGo+SwaptionShift))/SQRT(SUM(INDEX($FK362:$ID362,1+SwaptionShift):INDEX($FK362:$ID362,SwaptionMonthsToGo+SwaptionShift))*SUM(INDEX($FK$325:$ID$396,FW$169,1+SwaptionShift):INDEX($FK$325:$ID$396,FW$169,SwaptionMonthsToGo+SwaptionShift))))))</f>
        <v/>
      </c>
      <c r="FX207" s="150" t="str">
        <f aca="false">IF(OR(FX$169&lt;SwaptionFirstMonthPosition+1,$FJ207&lt;SwaptionFirstMonthPosition+1,FX$169&gt;SwaptionFirstMonthPosition+SwaptionNumOfMonths+1,$FJ207&gt;SwaptionFirstMonthPosition+SwaptionNumOfMonths+1),"",IF($FJ207=FX$169,1,IF($FJ207&lt;FX$169,INDEX($FK$170:$ID$241,FX$169,$FJ207),SUMPRODUCT(INDEX($FK$325:$ID$396,FX$169,1+SwaptionShift):INDEX($FK$325:$ID$396,FX$169,SwaptionMonthsToGo+SwaptionShift),INDEX($FK$245:$ID$316,$FJ207-FX$169,73-FX$169+SwaptionShift):INDEX($FK$245:$ID$316,$FJ207-FX$169,72-FX$169+SwaptionMonthsToGo+SwaptionShift))/SQRT(SUM(INDEX($FK362:$ID362,1+SwaptionShift):INDEX($FK362:$ID362,SwaptionMonthsToGo+SwaptionShift))*SUM(INDEX($FK$325:$ID$396,FX$169,1+SwaptionShift):INDEX($FK$325:$ID$396,FX$169,SwaptionMonthsToGo+SwaptionShift))))))</f>
        <v/>
      </c>
      <c r="FY207" s="150" t="str">
        <f aca="false">IF(OR(FY$169&lt;SwaptionFirstMonthPosition+1,$FJ207&lt;SwaptionFirstMonthPosition+1,FY$169&gt;SwaptionFirstMonthPosition+SwaptionNumOfMonths+1,$FJ207&gt;SwaptionFirstMonthPosition+SwaptionNumOfMonths+1),"",IF($FJ207=FY$169,1,IF($FJ207&lt;FY$169,INDEX($FK$170:$ID$241,FY$169,$FJ207),SUMPRODUCT(INDEX($FK$325:$ID$396,FY$169,1+SwaptionShift):INDEX($FK$325:$ID$396,FY$169,SwaptionMonthsToGo+SwaptionShift),INDEX($FK$245:$ID$316,$FJ207-FY$169,73-FY$169+SwaptionShift):INDEX($FK$245:$ID$316,$FJ207-FY$169,72-FY$169+SwaptionMonthsToGo+SwaptionShift))/SQRT(SUM(INDEX($FK362:$ID362,1+SwaptionShift):INDEX($FK362:$ID362,SwaptionMonthsToGo+SwaptionShift))*SUM(INDEX($FK$325:$ID$396,FY$169,1+SwaptionShift):INDEX($FK$325:$ID$396,FY$169,SwaptionMonthsToGo+SwaptionShift))))))</f>
        <v/>
      </c>
      <c r="FZ207" s="150" t="str">
        <f aca="false">IF(OR(FZ$169&lt;SwaptionFirstMonthPosition+1,$FJ207&lt;SwaptionFirstMonthPosition+1,FZ$169&gt;SwaptionFirstMonthPosition+SwaptionNumOfMonths+1,$FJ207&gt;SwaptionFirstMonthPosition+SwaptionNumOfMonths+1),"",IF($FJ207=FZ$169,1,IF($FJ207&lt;FZ$169,INDEX($FK$170:$ID$241,FZ$169,$FJ207),SUMPRODUCT(INDEX($FK$325:$ID$396,FZ$169,1+SwaptionShift):INDEX($FK$325:$ID$396,FZ$169,SwaptionMonthsToGo+SwaptionShift),INDEX($FK$245:$ID$316,$FJ207-FZ$169,73-FZ$169+SwaptionShift):INDEX($FK$245:$ID$316,$FJ207-FZ$169,72-FZ$169+SwaptionMonthsToGo+SwaptionShift))/SQRT(SUM(INDEX($FK362:$ID362,1+SwaptionShift):INDEX($FK362:$ID362,SwaptionMonthsToGo+SwaptionShift))*SUM(INDEX($FK$325:$ID$396,FZ$169,1+SwaptionShift):INDEX($FK$325:$ID$396,FZ$169,SwaptionMonthsToGo+SwaptionShift))))))</f>
        <v/>
      </c>
      <c r="GA207" s="150" t="str">
        <f aca="false">IF(OR(GA$169&lt;SwaptionFirstMonthPosition+1,$FJ207&lt;SwaptionFirstMonthPosition+1,GA$169&gt;SwaptionFirstMonthPosition+SwaptionNumOfMonths+1,$FJ207&gt;SwaptionFirstMonthPosition+SwaptionNumOfMonths+1),"",IF($FJ207=GA$169,1,IF($FJ207&lt;GA$169,INDEX($FK$170:$ID$241,GA$169,$FJ207),SUMPRODUCT(INDEX($FK$325:$ID$396,GA$169,1+SwaptionShift):INDEX($FK$325:$ID$396,GA$169,SwaptionMonthsToGo+SwaptionShift),INDEX($FK$245:$ID$316,$FJ207-GA$169,73-GA$169+SwaptionShift):INDEX($FK$245:$ID$316,$FJ207-GA$169,72-GA$169+SwaptionMonthsToGo+SwaptionShift))/SQRT(SUM(INDEX($FK362:$ID362,1+SwaptionShift):INDEX($FK362:$ID362,SwaptionMonthsToGo+SwaptionShift))*SUM(INDEX($FK$325:$ID$396,GA$169,1+SwaptionShift):INDEX($FK$325:$ID$396,GA$169,SwaptionMonthsToGo+SwaptionShift))))))</f>
        <v/>
      </c>
      <c r="GB207" s="150" t="str">
        <f aca="false">IF(OR(GB$169&lt;SwaptionFirstMonthPosition+1,$FJ207&lt;SwaptionFirstMonthPosition+1,GB$169&gt;SwaptionFirstMonthPosition+SwaptionNumOfMonths+1,$FJ207&gt;SwaptionFirstMonthPosition+SwaptionNumOfMonths+1),"",IF($FJ207=GB$169,1,IF($FJ207&lt;GB$169,INDEX($FK$170:$ID$241,GB$169,$FJ207),SUMPRODUCT(INDEX($FK$325:$ID$396,GB$169,1+SwaptionShift):INDEX($FK$325:$ID$396,GB$169,SwaptionMonthsToGo+SwaptionShift),INDEX($FK$245:$ID$316,$FJ207-GB$169,73-GB$169+SwaptionShift):INDEX($FK$245:$ID$316,$FJ207-GB$169,72-GB$169+SwaptionMonthsToGo+SwaptionShift))/SQRT(SUM(INDEX($FK362:$ID362,1+SwaptionShift):INDEX($FK362:$ID362,SwaptionMonthsToGo+SwaptionShift))*SUM(INDEX($FK$325:$ID$396,GB$169,1+SwaptionShift):INDEX($FK$325:$ID$396,GB$169,SwaptionMonthsToGo+SwaptionShift))))))</f>
        <v/>
      </c>
      <c r="GC207" s="150" t="str">
        <f aca="false">IF(OR(GC$169&lt;SwaptionFirstMonthPosition+1,$FJ207&lt;SwaptionFirstMonthPosition+1,GC$169&gt;SwaptionFirstMonthPosition+SwaptionNumOfMonths+1,$FJ207&gt;SwaptionFirstMonthPosition+SwaptionNumOfMonths+1),"",IF($FJ207=GC$169,1,IF($FJ207&lt;GC$169,INDEX($FK$170:$ID$241,GC$169,$FJ207),SUMPRODUCT(INDEX($FK$325:$ID$396,GC$169,1+SwaptionShift):INDEX($FK$325:$ID$396,GC$169,SwaptionMonthsToGo+SwaptionShift),INDEX($FK$245:$ID$316,$FJ207-GC$169,73-GC$169+SwaptionShift):INDEX($FK$245:$ID$316,$FJ207-GC$169,72-GC$169+SwaptionMonthsToGo+SwaptionShift))/SQRT(SUM(INDEX($FK362:$ID362,1+SwaptionShift):INDEX($FK362:$ID362,SwaptionMonthsToGo+SwaptionShift))*SUM(INDEX($FK$325:$ID$396,GC$169,1+SwaptionShift):INDEX($FK$325:$ID$396,GC$169,SwaptionMonthsToGo+SwaptionShift))))))</f>
        <v/>
      </c>
      <c r="GD207" s="150" t="str">
        <f aca="false">IF(OR(GD$169&lt;SwaptionFirstMonthPosition+1,$FJ207&lt;SwaptionFirstMonthPosition+1,GD$169&gt;SwaptionFirstMonthPosition+SwaptionNumOfMonths+1,$FJ207&gt;SwaptionFirstMonthPosition+SwaptionNumOfMonths+1),"",IF($FJ207=GD$169,1,IF($FJ207&lt;GD$169,INDEX($FK$170:$ID$241,GD$169,$FJ207),SUMPRODUCT(INDEX($FK$325:$ID$396,GD$169,1+SwaptionShift):INDEX($FK$325:$ID$396,GD$169,SwaptionMonthsToGo+SwaptionShift),INDEX($FK$245:$ID$316,$FJ207-GD$169,73-GD$169+SwaptionShift):INDEX($FK$245:$ID$316,$FJ207-GD$169,72-GD$169+SwaptionMonthsToGo+SwaptionShift))/SQRT(SUM(INDEX($FK362:$ID362,1+SwaptionShift):INDEX($FK362:$ID362,SwaptionMonthsToGo+SwaptionShift))*SUM(INDEX($FK$325:$ID$396,GD$169,1+SwaptionShift):INDEX($FK$325:$ID$396,GD$169,SwaptionMonthsToGo+SwaptionShift))))))</f>
        <v/>
      </c>
      <c r="GE207" s="150" t="str">
        <f aca="false">IF(OR(GE$169&lt;SwaptionFirstMonthPosition+1,$FJ207&lt;SwaptionFirstMonthPosition+1,GE$169&gt;SwaptionFirstMonthPosition+SwaptionNumOfMonths+1,$FJ207&gt;SwaptionFirstMonthPosition+SwaptionNumOfMonths+1),"",IF($FJ207=GE$169,1,IF($FJ207&lt;GE$169,INDEX($FK$170:$ID$241,GE$169,$FJ207),SUMPRODUCT(INDEX($FK$325:$ID$396,GE$169,1+SwaptionShift):INDEX($FK$325:$ID$396,GE$169,SwaptionMonthsToGo+SwaptionShift),INDEX($FK$245:$ID$316,$FJ207-GE$169,73-GE$169+SwaptionShift):INDEX($FK$245:$ID$316,$FJ207-GE$169,72-GE$169+SwaptionMonthsToGo+SwaptionShift))/SQRT(SUM(INDEX($FK362:$ID362,1+SwaptionShift):INDEX($FK362:$ID362,SwaptionMonthsToGo+SwaptionShift))*SUM(INDEX($FK$325:$ID$396,GE$169,1+SwaptionShift):INDEX($FK$325:$ID$396,GE$169,SwaptionMonthsToGo+SwaptionShift))))))</f>
        <v/>
      </c>
      <c r="GF207" s="150" t="str">
        <f aca="false">IF(OR(GF$169&lt;SwaptionFirstMonthPosition+1,$FJ207&lt;SwaptionFirstMonthPosition+1,GF$169&gt;SwaptionFirstMonthPosition+SwaptionNumOfMonths+1,$FJ207&gt;SwaptionFirstMonthPosition+SwaptionNumOfMonths+1),"",IF($FJ207=GF$169,1,IF($FJ207&lt;GF$169,INDEX($FK$170:$ID$241,GF$169,$FJ207),SUMPRODUCT(INDEX($FK$325:$ID$396,GF$169,1+SwaptionShift):INDEX($FK$325:$ID$396,GF$169,SwaptionMonthsToGo+SwaptionShift),INDEX($FK$245:$ID$316,$FJ207-GF$169,73-GF$169+SwaptionShift):INDEX($FK$245:$ID$316,$FJ207-GF$169,72-GF$169+SwaptionMonthsToGo+SwaptionShift))/SQRT(SUM(INDEX($FK362:$ID362,1+SwaptionShift):INDEX($FK362:$ID362,SwaptionMonthsToGo+SwaptionShift))*SUM(INDEX($FK$325:$ID$396,GF$169,1+SwaptionShift):INDEX($FK$325:$ID$396,GF$169,SwaptionMonthsToGo+SwaptionShift))))))</f>
        <v/>
      </c>
      <c r="GG207" s="150" t="str">
        <f aca="false">IF(OR(GG$169&lt;SwaptionFirstMonthPosition+1,$FJ207&lt;SwaptionFirstMonthPosition+1,GG$169&gt;SwaptionFirstMonthPosition+SwaptionNumOfMonths+1,$FJ207&gt;SwaptionFirstMonthPosition+SwaptionNumOfMonths+1),"",IF($FJ207=GG$169,1,IF($FJ207&lt;GG$169,INDEX($FK$170:$ID$241,GG$169,$FJ207),SUMPRODUCT(INDEX($FK$325:$ID$396,GG$169,1+SwaptionShift):INDEX($FK$325:$ID$396,GG$169,SwaptionMonthsToGo+SwaptionShift),INDEX($FK$245:$ID$316,$FJ207-GG$169,73-GG$169+SwaptionShift):INDEX($FK$245:$ID$316,$FJ207-GG$169,72-GG$169+SwaptionMonthsToGo+SwaptionShift))/SQRT(SUM(INDEX($FK362:$ID362,1+SwaptionShift):INDEX($FK362:$ID362,SwaptionMonthsToGo+SwaptionShift))*SUM(INDEX($FK$325:$ID$396,GG$169,1+SwaptionShift):INDEX($FK$325:$ID$396,GG$169,SwaptionMonthsToGo+SwaptionShift))))))</f>
        <v/>
      </c>
      <c r="GH207" s="150" t="str">
        <f aca="false">IF(OR(GH$169&lt;SwaptionFirstMonthPosition+1,$FJ207&lt;SwaptionFirstMonthPosition+1,GH$169&gt;SwaptionFirstMonthPosition+SwaptionNumOfMonths+1,$FJ207&gt;SwaptionFirstMonthPosition+SwaptionNumOfMonths+1),"",IF($FJ207=GH$169,1,IF($FJ207&lt;GH$169,INDEX($FK$170:$ID$241,GH$169,$FJ207),SUMPRODUCT(INDEX($FK$325:$ID$396,GH$169,1+SwaptionShift):INDEX($FK$325:$ID$396,GH$169,SwaptionMonthsToGo+SwaptionShift),INDEX($FK$245:$ID$316,$FJ207-GH$169,73-GH$169+SwaptionShift):INDEX($FK$245:$ID$316,$FJ207-GH$169,72-GH$169+SwaptionMonthsToGo+SwaptionShift))/SQRT(SUM(INDEX($FK362:$ID362,1+SwaptionShift):INDEX($FK362:$ID362,SwaptionMonthsToGo+SwaptionShift))*SUM(INDEX($FK$325:$ID$396,GH$169,1+SwaptionShift):INDEX($FK$325:$ID$396,GH$169,SwaptionMonthsToGo+SwaptionShift))))))</f>
        <v/>
      </c>
      <c r="GI207" s="150" t="str">
        <f aca="false">IF(OR(GI$169&lt;SwaptionFirstMonthPosition+1,$FJ207&lt;SwaptionFirstMonthPosition+1,GI$169&gt;SwaptionFirstMonthPosition+SwaptionNumOfMonths+1,$FJ207&gt;SwaptionFirstMonthPosition+SwaptionNumOfMonths+1),"",IF($FJ207=GI$169,1,IF($FJ207&lt;GI$169,INDEX($FK$170:$ID$241,GI$169,$FJ207),SUMPRODUCT(INDEX($FK$325:$ID$396,GI$169,1+SwaptionShift):INDEX($FK$325:$ID$396,GI$169,SwaptionMonthsToGo+SwaptionShift),INDEX($FK$245:$ID$316,$FJ207-GI$169,73-GI$169+SwaptionShift):INDEX($FK$245:$ID$316,$FJ207-GI$169,72-GI$169+SwaptionMonthsToGo+SwaptionShift))/SQRT(SUM(INDEX($FK362:$ID362,1+SwaptionShift):INDEX($FK362:$ID362,SwaptionMonthsToGo+SwaptionShift))*SUM(INDEX($FK$325:$ID$396,GI$169,1+SwaptionShift):INDEX($FK$325:$ID$396,GI$169,SwaptionMonthsToGo+SwaptionShift))))))</f>
        <v/>
      </c>
      <c r="GJ207" s="150" t="str">
        <f aca="false">IF(OR(GJ$169&lt;SwaptionFirstMonthPosition+1,$FJ207&lt;SwaptionFirstMonthPosition+1,GJ$169&gt;SwaptionFirstMonthPosition+SwaptionNumOfMonths+1,$FJ207&gt;SwaptionFirstMonthPosition+SwaptionNumOfMonths+1),"",IF($FJ207=GJ$169,1,IF($FJ207&lt;GJ$169,INDEX($FK$170:$ID$241,GJ$169,$FJ207),SUMPRODUCT(INDEX($FK$325:$ID$396,GJ$169,1+SwaptionShift):INDEX($FK$325:$ID$396,GJ$169,SwaptionMonthsToGo+SwaptionShift),INDEX($FK$245:$ID$316,$FJ207-GJ$169,73-GJ$169+SwaptionShift):INDEX($FK$245:$ID$316,$FJ207-GJ$169,72-GJ$169+SwaptionMonthsToGo+SwaptionShift))/SQRT(SUM(INDEX($FK362:$ID362,1+SwaptionShift):INDEX($FK362:$ID362,SwaptionMonthsToGo+SwaptionShift))*SUM(INDEX($FK$325:$ID$396,GJ$169,1+SwaptionShift):INDEX($FK$325:$ID$396,GJ$169,SwaptionMonthsToGo+SwaptionShift))))))</f>
        <v/>
      </c>
      <c r="GK207" s="150" t="str">
        <f aca="false">IF(OR(GK$169&lt;SwaptionFirstMonthPosition+1,$FJ207&lt;SwaptionFirstMonthPosition+1,GK$169&gt;SwaptionFirstMonthPosition+SwaptionNumOfMonths+1,$FJ207&gt;SwaptionFirstMonthPosition+SwaptionNumOfMonths+1),"",IF($FJ207=GK$169,1,IF($FJ207&lt;GK$169,INDEX($FK$170:$ID$241,GK$169,$FJ207),SUMPRODUCT(INDEX($FK$325:$ID$396,GK$169,1+SwaptionShift):INDEX($FK$325:$ID$396,GK$169,SwaptionMonthsToGo+SwaptionShift),INDEX($FK$245:$ID$316,$FJ207-GK$169,73-GK$169+SwaptionShift):INDEX($FK$245:$ID$316,$FJ207-GK$169,72-GK$169+SwaptionMonthsToGo+SwaptionShift))/SQRT(SUM(INDEX($FK362:$ID362,1+SwaptionShift):INDEX($FK362:$ID362,SwaptionMonthsToGo+SwaptionShift))*SUM(INDEX($FK$325:$ID$396,GK$169,1+SwaptionShift):INDEX($FK$325:$ID$396,GK$169,SwaptionMonthsToGo+SwaptionShift))))))</f>
        <v/>
      </c>
      <c r="GL207" s="150" t="str">
        <f aca="false">IF(OR(GL$169&lt;SwaptionFirstMonthPosition+1,$FJ207&lt;SwaptionFirstMonthPosition+1,GL$169&gt;SwaptionFirstMonthPosition+SwaptionNumOfMonths+1,$FJ207&gt;SwaptionFirstMonthPosition+SwaptionNumOfMonths+1),"",IF($FJ207=GL$169,1,IF($FJ207&lt;GL$169,INDEX($FK$170:$ID$241,GL$169,$FJ207),SUMPRODUCT(INDEX($FK$325:$ID$396,GL$169,1+SwaptionShift):INDEX($FK$325:$ID$396,GL$169,SwaptionMonthsToGo+SwaptionShift),INDEX($FK$245:$ID$316,$FJ207-GL$169,73-GL$169+SwaptionShift):INDEX($FK$245:$ID$316,$FJ207-GL$169,72-GL$169+SwaptionMonthsToGo+SwaptionShift))/SQRT(SUM(INDEX($FK362:$ID362,1+SwaptionShift):INDEX($FK362:$ID362,SwaptionMonthsToGo+SwaptionShift))*SUM(INDEX($FK$325:$ID$396,GL$169,1+SwaptionShift):INDEX($FK$325:$ID$396,GL$169,SwaptionMonthsToGo+SwaptionShift))))))</f>
        <v/>
      </c>
      <c r="GM207" s="150" t="str">
        <f aca="false">IF(OR(GM$169&lt;SwaptionFirstMonthPosition+1,$FJ207&lt;SwaptionFirstMonthPosition+1,GM$169&gt;SwaptionFirstMonthPosition+SwaptionNumOfMonths+1,$FJ207&gt;SwaptionFirstMonthPosition+SwaptionNumOfMonths+1),"",IF($FJ207=GM$169,1,IF($FJ207&lt;GM$169,INDEX($FK$170:$ID$241,GM$169,$FJ207),SUMPRODUCT(INDEX($FK$325:$ID$396,GM$169,1+SwaptionShift):INDEX($FK$325:$ID$396,GM$169,SwaptionMonthsToGo+SwaptionShift),INDEX($FK$245:$ID$316,$FJ207-GM$169,73-GM$169+SwaptionShift):INDEX($FK$245:$ID$316,$FJ207-GM$169,72-GM$169+SwaptionMonthsToGo+SwaptionShift))/SQRT(SUM(INDEX($FK362:$ID362,1+SwaptionShift):INDEX($FK362:$ID362,SwaptionMonthsToGo+SwaptionShift))*SUM(INDEX($FK$325:$ID$396,GM$169,1+SwaptionShift):INDEX($FK$325:$ID$396,GM$169,SwaptionMonthsToGo+SwaptionShift))))))</f>
        <v/>
      </c>
      <c r="GN207" s="150" t="str">
        <f aca="false">IF(OR(GN$169&lt;SwaptionFirstMonthPosition+1,$FJ207&lt;SwaptionFirstMonthPosition+1,GN$169&gt;SwaptionFirstMonthPosition+SwaptionNumOfMonths+1,$FJ207&gt;SwaptionFirstMonthPosition+SwaptionNumOfMonths+1),"",IF($FJ207=GN$169,1,IF($FJ207&lt;GN$169,INDEX($FK$170:$ID$241,GN$169,$FJ207),SUMPRODUCT(INDEX($FK$325:$ID$396,GN$169,1+SwaptionShift):INDEX($FK$325:$ID$396,GN$169,SwaptionMonthsToGo+SwaptionShift),INDEX($FK$245:$ID$316,$FJ207-GN$169,73-GN$169+SwaptionShift):INDEX($FK$245:$ID$316,$FJ207-GN$169,72-GN$169+SwaptionMonthsToGo+SwaptionShift))/SQRT(SUM(INDEX($FK362:$ID362,1+SwaptionShift):INDEX($FK362:$ID362,SwaptionMonthsToGo+SwaptionShift))*SUM(INDEX($FK$325:$ID$396,GN$169,1+SwaptionShift):INDEX($FK$325:$ID$396,GN$169,SwaptionMonthsToGo+SwaptionShift))))))</f>
        <v/>
      </c>
      <c r="GO207" s="150" t="str">
        <f aca="false">IF(OR(GO$169&lt;SwaptionFirstMonthPosition+1,$FJ207&lt;SwaptionFirstMonthPosition+1,GO$169&gt;SwaptionFirstMonthPosition+SwaptionNumOfMonths+1,$FJ207&gt;SwaptionFirstMonthPosition+SwaptionNumOfMonths+1),"",IF($FJ207=GO$169,1,IF($FJ207&lt;GO$169,INDEX($FK$170:$ID$241,GO$169,$FJ207),SUMPRODUCT(INDEX($FK$325:$ID$396,GO$169,1+SwaptionShift):INDEX($FK$325:$ID$396,GO$169,SwaptionMonthsToGo+SwaptionShift),INDEX($FK$245:$ID$316,$FJ207-GO$169,73-GO$169+SwaptionShift):INDEX($FK$245:$ID$316,$FJ207-GO$169,72-GO$169+SwaptionMonthsToGo+SwaptionShift))/SQRT(SUM(INDEX($FK362:$ID362,1+SwaptionShift):INDEX($FK362:$ID362,SwaptionMonthsToGo+SwaptionShift))*SUM(INDEX($FK$325:$ID$396,GO$169,1+SwaptionShift):INDEX($FK$325:$ID$396,GO$169,SwaptionMonthsToGo+SwaptionShift))))))</f>
        <v/>
      </c>
      <c r="GP207" s="150" t="str">
        <f aca="false">IF(OR(GP$169&lt;SwaptionFirstMonthPosition+1,$FJ207&lt;SwaptionFirstMonthPosition+1,GP$169&gt;SwaptionFirstMonthPosition+SwaptionNumOfMonths+1,$FJ207&gt;SwaptionFirstMonthPosition+SwaptionNumOfMonths+1),"",IF($FJ207=GP$169,1,IF($FJ207&lt;GP$169,INDEX($FK$170:$ID$241,GP$169,$FJ207),SUMPRODUCT(INDEX($FK$325:$ID$396,GP$169,1+SwaptionShift):INDEX($FK$325:$ID$396,GP$169,SwaptionMonthsToGo+SwaptionShift),INDEX($FK$245:$ID$316,$FJ207-GP$169,73-GP$169+SwaptionShift):INDEX($FK$245:$ID$316,$FJ207-GP$169,72-GP$169+SwaptionMonthsToGo+SwaptionShift))/SQRT(SUM(INDEX($FK362:$ID362,1+SwaptionShift):INDEX($FK362:$ID362,SwaptionMonthsToGo+SwaptionShift))*SUM(INDEX($FK$325:$ID$396,GP$169,1+SwaptionShift):INDEX($FK$325:$ID$396,GP$169,SwaptionMonthsToGo+SwaptionShift))))))</f>
        <v/>
      </c>
      <c r="GQ207" s="150" t="str">
        <f aca="false">IF(OR(GQ$169&lt;SwaptionFirstMonthPosition+1,$FJ207&lt;SwaptionFirstMonthPosition+1,GQ$169&gt;SwaptionFirstMonthPosition+SwaptionNumOfMonths+1,$FJ207&gt;SwaptionFirstMonthPosition+SwaptionNumOfMonths+1),"",IF($FJ207=GQ$169,1,IF($FJ207&lt;GQ$169,INDEX($FK$170:$ID$241,GQ$169,$FJ207),SUMPRODUCT(INDEX($FK$325:$ID$396,GQ$169,1+SwaptionShift):INDEX($FK$325:$ID$396,GQ$169,SwaptionMonthsToGo+SwaptionShift),INDEX($FK$245:$ID$316,$FJ207-GQ$169,73-GQ$169+SwaptionShift):INDEX($FK$245:$ID$316,$FJ207-GQ$169,72-GQ$169+SwaptionMonthsToGo+SwaptionShift))/SQRT(SUM(INDEX($FK362:$ID362,1+SwaptionShift):INDEX($FK362:$ID362,SwaptionMonthsToGo+SwaptionShift))*SUM(INDEX($FK$325:$ID$396,GQ$169,1+SwaptionShift):INDEX($FK$325:$ID$396,GQ$169,SwaptionMonthsToGo+SwaptionShift))))))</f>
        <v/>
      </c>
      <c r="GR207" s="150" t="str">
        <f aca="false">IF(OR(GR$169&lt;SwaptionFirstMonthPosition+1,$FJ207&lt;SwaptionFirstMonthPosition+1,GR$169&gt;SwaptionFirstMonthPosition+SwaptionNumOfMonths+1,$FJ207&gt;SwaptionFirstMonthPosition+SwaptionNumOfMonths+1),"",IF($FJ207=GR$169,1,IF($FJ207&lt;GR$169,INDEX($FK$170:$ID$241,GR$169,$FJ207),SUMPRODUCT(INDEX($FK$325:$ID$396,GR$169,1+SwaptionShift):INDEX($FK$325:$ID$396,GR$169,SwaptionMonthsToGo+SwaptionShift),INDEX($FK$245:$ID$316,$FJ207-GR$169,73-GR$169+SwaptionShift):INDEX($FK$245:$ID$316,$FJ207-GR$169,72-GR$169+SwaptionMonthsToGo+SwaptionShift))/SQRT(SUM(INDEX($FK362:$ID362,1+SwaptionShift):INDEX($FK362:$ID362,SwaptionMonthsToGo+SwaptionShift))*SUM(INDEX($FK$325:$ID$396,GR$169,1+SwaptionShift):INDEX($FK$325:$ID$396,GR$169,SwaptionMonthsToGo+SwaptionShift))))))</f>
        <v/>
      </c>
      <c r="GS207" s="150" t="str">
        <f aca="false">IF(OR(GS$169&lt;SwaptionFirstMonthPosition+1,$FJ207&lt;SwaptionFirstMonthPosition+1,GS$169&gt;SwaptionFirstMonthPosition+SwaptionNumOfMonths+1,$FJ207&gt;SwaptionFirstMonthPosition+SwaptionNumOfMonths+1),"",IF($FJ207=GS$169,1,IF($FJ207&lt;GS$169,INDEX($FK$170:$ID$241,GS$169,$FJ207),SUMPRODUCT(INDEX($FK$325:$ID$396,GS$169,1+SwaptionShift):INDEX($FK$325:$ID$396,GS$169,SwaptionMonthsToGo+SwaptionShift),INDEX($FK$245:$ID$316,$FJ207-GS$169,73-GS$169+SwaptionShift):INDEX($FK$245:$ID$316,$FJ207-GS$169,72-GS$169+SwaptionMonthsToGo+SwaptionShift))/SQRT(SUM(INDEX($FK362:$ID362,1+SwaptionShift):INDEX($FK362:$ID362,SwaptionMonthsToGo+SwaptionShift))*SUM(INDEX($FK$325:$ID$396,GS$169,1+SwaptionShift):INDEX($FK$325:$ID$396,GS$169,SwaptionMonthsToGo+SwaptionShift))))))</f>
        <v/>
      </c>
      <c r="GT207" s="150" t="str">
        <f aca="false">IF(OR(GT$169&lt;SwaptionFirstMonthPosition+1,$FJ207&lt;SwaptionFirstMonthPosition+1,GT$169&gt;SwaptionFirstMonthPosition+SwaptionNumOfMonths+1,$FJ207&gt;SwaptionFirstMonthPosition+SwaptionNumOfMonths+1),"",IF($FJ207=GT$169,1,IF($FJ207&lt;GT$169,INDEX($FK$170:$ID$241,GT$169,$FJ207),SUMPRODUCT(INDEX($FK$325:$ID$396,GT$169,1+SwaptionShift):INDEX($FK$325:$ID$396,GT$169,SwaptionMonthsToGo+SwaptionShift),INDEX($FK$245:$ID$316,$FJ207-GT$169,73-GT$169+SwaptionShift):INDEX($FK$245:$ID$316,$FJ207-GT$169,72-GT$169+SwaptionMonthsToGo+SwaptionShift))/SQRT(SUM(INDEX($FK362:$ID362,1+SwaptionShift):INDEX($FK362:$ID362,SwaptionMonthsToGo+SwaptionShift))*SUM(INDEX($FK$325:$ID$396,GT$169,1+SwaptionShift):INDEX($FK$325:$ID$396,GT$169,SwaptionMonthsToGo+SwaptionShift))))))</f>
        <v/>
      </c>
      <c r="GU207" s="150" t="str">
        <f aca="false">IF(OR(GU$169&lt;SwaptionFirstMonthPosition+1,$FJ207&lt;SwaptionFirstMonthPosition+1,GU$169&gt;SwaptionFirstMonthPosition+SwaptionNumOfMonths+1,$FJ207&gt;SwaptionFirstMonthPosition+SwaptionNumOfMonths+1),"",IF($FJ207=GU$169,1,IF($FJ207&lt;GU$169,INDEX($FK$170:$ID$241,GU$169,$FJ207),SUMPRODUCT(INDEX($FK$325:$ID$396,GU$169,1+SwaptionShift):INDEX($FK$325:$ID$396,GU$169,SwaptionMonthsToGo+SwaptionShift),INDEX($FK$245:$ID$316,$FJ207-GU$169,73-GU$169+SwaptionShift):INDEX($FK$245:$ID$316,$FJ207-GU$169,72-GU$169+SwaptionMonthsToGo+SwaptionShift))/SQRT(SUM(INDEX($FK362:$ID362,1+SwaptionShift):INDEX($FK362:$ID362,SwaptionMonthsToGo+SwaptionShift))*SUM(INDEX($FK$325:$ID$396,GU$169,1+SwaptionShift):INDEX($FK$325:$ID$396,GU$169,SwaptionMonthsToGo+SwaptionShift))))))</f>
        <v/>
      </c>
      <c r="GV207" s="150" t="str">
        <f aca="false">IF(OR(GV$169&lt;SwaptionFirstMonthPosition+1,$FJ207&lt;SwaptionFirstMonthPosition+1,GV$169&gt;SwaptionFirstMonthPosition+SwaptionNumOfMonths+1,$FJ207&gt;SwaptionFirstMonthPosition+SwaptionNumOfMonths+1),"",IF($FJ207=GV$169,1,IF($FJ207&lt;GV$169,INDEX($FK$170:$ID$241,GV$169,$FJ207),SUMPRODUCT(INDEX($FK$325:$ID$396,GV$169,1+SwaptionShift):INDEX($FK$325:$ID$396,GV$169,SwaptionMonthsToGo+SwaptionShift),INDEX($FK$245:$ID$316,$FJ207-GV$169,73-GV$169+SwaptionShift):INDEX($FK$245:$ID$316,$FJ207-GV$169,72-GV$169+SwaptionMonthsToGo+SwaptionShift))/SQRT(SUM(INDEX($FK362:$ID362,1+SwaptionShift):INDEX($FK362:$ID362,SwaptionMonthsToGo+SwaptionShift))*SUM(INDEX($FK$325:$ID$396,GV$169,1+SwaptionShift):INDEX($FK$325:$ID$396,GV$169,SwaptionMonthsToGo+SwaptionShift))))))</f>
        <v/>
      </c>
      <c r="GW207" s="150" t="str">
        <f aca="false">IF(OR(GW$169&lt;SwaptionFirstMonthPosition+1,$FJ207&lt;SwaptionFirstMonthPosition+1,GW$169&gt;SwaptionFirstMonthPosition+SwaptionNumOfMonths+1,$FJ207&gt;SwaptionFirstMonthPosition+SwaptionNumOfMonths+1),"",IF($FJ207=GW$169,1,IF($FJ207&lt;GW$169,INDEX($FK$170:$ID$241,GW$169,$FJ207),SUMPRODUCT(INDEX($FK$325:$ID$396,GW$169,1+SwaptionShift):INDEX($FK$325:$ID$396,GW$169,SwaptionMonthsToGo+SwaptionShift),INDEX($FK$245:$ID$316,$FJ207-GW$169,73-GW$169+SwaptionShift):INDEX($FK$245:$ID$316,$FJ207-GW$169,72-GW$169+SwaptionMonthsToGo+SwaptionShift))/SQRT(SUM(INDEX($FK362:$ID362,1+SwaptionShift):INDEX($FK362:$ID362,SwaptionMonthsToGo+SwaptionShift))*SUM(INDEX($FK$325:$ID$396,GW$169,1+SwaptionShift):INDEX($FK$325:$ID$396,GW$169,SwaptionMonthsToGo+SwaptionShift))))))</f>
        <v/>
      </c>
      <c r="GX207" s="150" t="str">
        <f aca="false">IF(OR(GX$169&lt;SwaptionFirstMonthPosition+1,$FJ207&lt;SwaptionFirstMonthPosition+1,GX$169&gt;SwaptionFirstMonthPosition+SwaptionNumOfMonths+1,$FJ207&gt;SwaptionFirstMonthPosition+SwaptionNumOfMonths+1),"",IF($FJ207=GX$169,1,IF($FJ207&lt;GX$169,INDEX($FK$170:$ID$241,GX$169,$FJ207),SUMPRODUCT(INDEX($FK$325:$ID$396,GX$169,1+SwaptionShift):INDEX($FK$325:$ID$396,GX$169,SwaptionMonthsToGo+SwaptionShift),INDEX($FK$245:$ID$316,$FJ207-GX$169,73-GX$169+SwaptionShift):INDEX($FK$245:$ID$316,$FJ207-GX$169,72-GX$169+SwaptionMonthsToGo+SwaptionShift))/SQRT(SUM(INDEX($FK362:$ID362,1+SwaptionShift):INDEX($FK362:$ID362,SwaptionMonthsToGo+SwaptionShift))*SUM(INDEX($FK$325:$ID$396,GX$169,1+SwaptionShift):INDEX($FK$325:$ID$396,GX$169,SwaptionMonthsToGo+SwaptionShift))))))</f>
        <v/>
      </c>
      <c r="GY207" s="150" t="str">
        <f aca="false">IF(OR(GY$169&lt;SwaptionFirstMonthPosition+1,$FJ207&lt;SwaptionFirstMonthPosition+1,GY$169&gt;SwaptionFirstMonthPosition+SwaptionNumOfMonths+1,$FJ207&gt;SwaptionFirstMonthPosition+SwaptionNumOfMonths+1),"",IF($FJ207=GY$169,1,IF($FJ207&lt;GY$169,INDEX($FK$170:$ID$241,GY$169,$FJ207),SUMPRODUCT(INDEX($FK$325:$ID$396,GY$169,1+SwaptionShift):INDEX($FK$325:$ID$396,GY$169,SwaptionMonthsToGo+SwaptionShift),INDEX($FK$245:$ID$316,$FJ207-GY$169,73-GY$169+SwaptionShift):INDEX($FK$245:$ID$316,$FJ207-GY$169,72-GY$169+SwaptionMonthsToGo+SwaptionShift))/SQRT(SUM(INDEX($FK362:$ID362,1+SwaptionShift):INDEX($FK362:$ID362,SwaptionMonthsToGo+SwaptionShift))*SUM(INDEX($FK$325:$ID$396,GY$169,1+SwaptionShift):INDEX($FK$325:$ID$396,GY$169,SwaptionMonthsToGo+SwaptionShift))))))</f>
        <v/>
      </c>
      <c r="GZ207" s="150" t="str">
        <f aca="false">IF(OR(GZ$169&lt;SwaptionFirstMonthPosition+1,$FJ207&lt;SwaptionFirstMonthPosition+1,GZ$169&gt;SwaptionFirstMonthPosition+SwaptionNumOfMonths+1,$FJ207&gt;SwaptionFirstMonthPosition+SwaptionNumOfMonths+1),"",IF($FJ207=GZ$169,1,IF($FJ207&lt;GZ$169,INDEX($FK$170:$ID$241,GZ$169,$FJ207),SUMPRODUCT(INDEX($FK$325:$ID$396,GZ$169,1+SwaptionShift):INDEX($FK$325:$ID$396,GZ$169,SwaptionMonthsToGo+SwaptionShift),INDEX($FK$245:$ID$316,$FJ207-GZ$169,73-GZ$169+SwaptionShift):INDEX($FK$245:$ID$316,$FJ207-GZ$169,72-GZ$169+SwaptionMonthsToGo+SwaptionShift))/SQRT(SUM(INDEX($FK362:$ID362,1+SwaptionShift):INDEX($FK362:$ID362,SwaptionMonthsToGo+SwaptionShift))*SUM(INDEX($FK$325:$ID$396,GZ$169,1+SwaptionShift):INDEX($FK$325:$ID$396,GZ$169,SwaptionMonthsToGo+SwaptionShift))))))</f>
        <v/>
      </c>
      <c r="HA207" s="150" t="str">
        <f aca="false">IF(OR(HA$169&lt;SwaptionFirstMonthPosition+1,$FJ207&lt;SwaptionFirstMonthPosition+1,HA$169&gt;SwaptionFirstMonthPosition+SwaptionNumOfMonths+1,$FJ207&gt;SwaptionFirstMonthPosition+SwaptionNumOfMonths+1),"",IF($FJ207=HA$169,1,IF($FJ207&lt;HA$169,INDEX($FK$170:$ID$241,HA$169,$FJ207),SUMPRODUCT(INDEX($FK$325:$ID$396,HA$169,1+SwaptionShift):INDEX($FK$325:$ID$396,HA$169,SwaptionMonthsToGo+SwaptionShift),INDEX($FK$245:$ID$316,$FJ207-HA$169,73-HA$169+SwaptionShift):INDEX($FK$245:$ID$316,$FJ207-HA$169,72-HA$169+SwaptionMonthsToGo+SwaptionShift))/SQRT(SUM(INDEX($FK362:$ID362,1+SwaptionShift):INDEX($FK362:$ID362,SwaptionMonthsToGo+SwaptionShift))*SUM(INDEX($FK$325:$ID$396,HA$169,1+SwaptionShift):INDEX($FK$325:$ID$396,HA$169,SwaptionMonthsToGo+SwaptionShift))))))</f>
        <v/>
      </c>
      <c r="HB207" s="150" t="str">
        <f aca="false">IF(OR(HB$169&lt;SwaptionFirstMonthPosition+1,$FJ207&lt;SwaptionFirstMonthPosition+1,HB$169&gt;SwaptionFirstMonthPosition+SwaptionNumOfMonths+1,$FJ207&gt;SwaptionFirstMonthPosition+SwaptionNumOfMonths+1),"",IF($FJ207=HB$169,1,IF($FJ207&lt;HB$169,INDEX($FK$170:$ID$241,HB$169,$FJ207),SUMPRODUCT(INDEX($FK$325:$ID$396,HB$169,1+SwaptionShift):INDEX($FK$325:$ID$396,HB$169,SwaptionMonthsToGo+SwaptionShift),INDEX($FK$245:$ID$316,$FJ207-HB$169,73-HB$169+SwaptionShift):INDEX($FK$245:$ID$316,$FJ207-HB$169,72-HB$169+SwaptionMonthsToGo+SwaptionShift))/SQRT(SUM(INDEX($FK362:$ID362,1+SwaptionShift):INDEX($FK362:$ID362,SwaptionMonthsToGo+SwaptionShift))*SUM(INDEX($FK$325:$ID$396,HB$169,1+SwaptionShift):INDEX($FK$325:$ID$396,HB$169,SwaptionMonthsToGo+SwaptionShift))))))</f>
        <v/>
      </c>
      <c r="HC207" s="150" t="str">
        <f aca="false">IF(OR(HC$169&lt;SwaptionFirstMonthPosition+1,$FJ207&lt;SwaptionFirstMonthPosition+1,HC$169&gt;SwaptionFirstMonthPosition+SwaptionNumOfMonths+1,$FJ207&gt;SwaptionFirstMonthPosition+SwaptionNumOfMonths+1),"",IF($FJ207=HC$169,1,IF($FJ207&lt;HC$169,INDEX($FK$170:$ID$241,HC$169,$FJ207),SUMPRODUCT(INDEX($FK$325:$ID$396,HC$169,1+SwaptionShift):INDEX($FK$325:$ID$396,HC$169,SwaptionMonthsToGo+SwaptionShift),INDEX($FK$245:$ID$316,$FJ207-HC$169,73-HC$169+SwaptionShift):INDEX($FK$245:$ID$316,$FJ207-HC$169,72-HC$169+SwaptionMonthsToGo+SwaptionShift))/SQRT(SUM(INDEX($FK362:$ID362,1+SwaptionShift):INDEX($FK362:$ID362,SwaptionMonthsToGo+SwaptionShift))*SUM(INDEX($FK$325:$ID$396,HC$169,1+SwaptionShift):INDEX($FK$325:$ID$396,HC$169,SwaptionMonthsToGo+SwaptionShift))))))</f>
        <v/>
      </c>
      <c r="HD207" s="150" t="str">
        <f aca="false">IF(OR(HD$169&lt;SwaptionFirstMonthPosition+1,$FJ207&lt;SwaptionFirstMonthPosition+1,HD$169&gt;SwaptionFirstMonthPosition+SwaptionNumOfMonths+1,$FJ207&gt;SwaptionFirstMonthPosition+SwaptionNumOfMonths+1),"",IF($FJ207=HD$169,1,IF($FJ207&lt;HD$169,INDEX($FK$170:$ID$241,HD$169,$FJ207),SUMPRODUCT(INDEX($FK$325:$ID$396,HD$169,1+SwaptionShift):INDEX($FK$325:$ID$396,HD$169,SwaptionMonthsToGo+SwaptionShift),INDEX($FK$245:$ID$316,$FJ207-HD$169,73-HD$169+SwaptionShift):INDEX($FK$245:$ID$316,$FJ207-HD$169,72-HD$169+SwaptionMonthsToGo+SwaptionShift))/SQRT(SUM(INDEX($FK362:$ID362,1+SwaptionShift):INDEX($FK362:$ID362,SwaptionMonthsToGo+SwaptionShift))*SUM(INDEX($FK$325:$ID$396,HD$169,1+SwaptionShift):INDEX($FK$325:$ID$396,HD$169,SwaptionMonthsToGo+SwaptionShift))))))</f>
        <v/>
      </c>
      <c r="HE207" s="150" t="str">
        <f aca="false">IF(OR(HE$169&lt;SwaptionFirstMonthPosition+1,$FJ207&lt;SwaptionFirstMonthPosition+1,HE$169&gt;SwaptionFirstMonthPosition+SwaptionNumOfMonths+1,$FJ207&gt;SwaptionFirstMonthPosition+SwaptionNumOfMonths+1),"",IF($FJ207=HE$169,1,IF($FJ207&lt;HE$169,INDEX($FK$170:$ID$241,HE$169,$FJ207),SUMPRODUCT(INDEX($FK$325:$ID$396,HE$169,1+SwaptionShift):INDEX($FK$325:$ID$396,HE$169,SwaptionMonthsToGo+SwaptionShift),INDEX($FK$245:$ID$316,$FJ207-HE$169,73-HE$169+SwaptionShift):INDEX($FK$245:$ID$316,$FJ207-HE$169,72-HE$169+SwaptionMonthsToGo+SwaptionShift))/SQRT(SUM(INDEX($FK362:$ID362,1+SwaptionShift):INDEX($FK362:$ID362,SwaptionMonthsToGo+SwaptionShift))*SUM(INDEX($FK$325:$ID$396,HE$169,1+SwaptionShift):INDEX($FK$325:$ID$396,HE$169,SwaptionMonthsToGo+SwaptionShift))))))</f>
        <v/>
      </c>
      <c r="HF207" s="150" t="str">
        <f aca="false">IF(OR(HF$169&lt;SwaptionFirstMonthPosition+1,$FJ207&lt;SwaptionFirstMonthPosition+1,HF$169&gt;SwaptionFirstMonthPosition+SwaptionNumOfMonths+1,$FJ207&gt;SwaptionFirstMonthPosition+SwaptionNumOfMonths+1),"",IF($FJ207=HF$169,1,IF($FJ207&lt;HF$169,INDEX($FK$170:$ID$241,HF$169,$FJ207),SUMPRODUCT(INDEX($FK$325:$ID$396,HF$169,1+SwaptionShift):INDEX($FK$325:$ID$396,HF$169,SwaptionMonthsToGo+SwaptionShift),INDEX($FK$245:$ID$316,$FJ207-HF$169,73-HF$169+SwaptionShift):INDEX($FK$245:$ID$316,$FJ207-HF$169,72-HF$169+SwaptionMonthsToGo+SwaptionShift))/SQRT(SUM(INDEX($FK362:$ID362,1+SwaptionShift):INDEX($FK362:$ID362,SwaptionMonthsToGo+SwaptionShift))*SUM(INDEX($FK$325:$ID$396,HF$169,1+SwaptionShift):INDEX($FK$325:$ID$396,HF$169,SwaptionMonthsToGo+SwaptionShift))))))</f>
        <v/>
      </c>
      <c r="HG207" s="150" t="str">
        <f aca="false">IF(OR(HG$169&lt;SwaptionFirstMonthPosition+1,$FJ207&lt;SwaptionFirstMonthPosition+1,HG$169&gt;SwaptionFirstMonthPosition+SwaptionNumOfMonths+1,$FJ207&gt;SwaptionFirstMonthPosition+SwaptionNumOfMonths+1),"",IF($FJ207=HG$169,1,IF($FJ207&lt;HG$169,INDEX($FK$170:$ID$241,HG$169,$FJ207),SUMPRODUCT(INDEX($FK$325:$ID$396,HG$169,1+SwaptionShift):INDEX($FK$325:$ID$396,HG$169,SwaptionMonthsToGo+SwaptionShift),INDEX($FK$245:$ID$316,$FJ207-HG$169,73-HG$169+SwaptionShift):INDEX($FK$245:$ID$316,$FJ207-HG$169,72-HG$169+SwaptionMonthsToGo+SwaptionShift))/SQRT(SUM(INDEX($FK362:$ID362,1+SwaptionShift):INDEX($FK362:$ID362,SwaptionMonthsToGo+SwaptionShift))*SUM(INDEX($FK$325:$ID$396,HG$169,1+SwaptionShift):INDEX($FK$325:$ID$396,HG$169,SwaptionMonthsToGo+SwaptionShift))))))</f>
        <v/>
      </c>
      <c r="HH207" s="150" t="str">
        <f aca="false">IF(OR(HH$169&lt;SwaptionFirstMonthPosition+1,$FJ207&lt;SwaptionFirstMonthPosition+1,HH$169&gt;SwaptionFirstMonthPosition+SwaptionNumOfMonths+1,$FJ207&gt;SwaptionFirstMonthPosition+SwaptionNumOfMonths+1),"",IF($FJ207=HH$169,1,IF($FJ207&lt;HH$169,INDEX($FK$170:$ID$241,HH$169,$FJ207),SUMPRODUCT(INDEX($FK$325:$ID$396,HH$169,1+SwaptionShift):INDEX($FK$325:$ID$396,HH$169,SwaptionMonthsToGo+SwaptionShift),INDEX($FK$245:$ID$316,$FJ207-HH$169,73-HH$169+SwaptionShift):INDEX($FK$245:$ID$316,$FJ207-HH$169,72-HH$169+SwaptionMonthsToGo+SwaptionShift))/SQRT(SUM(INDEX($FK362:$ID362,1+SwaptionShift):INDEX($FK362:$ID362,SwaptionMonthsToGo+SwaptionShift))*SUM(INDEX($FK$325:$ID$396,HH$169,1+SwaptionShift):INDEX($FK$325:$ID$396,HH$169,SwaptionMonthsToGo+SwaptionShift))))))</f>
        <v/>
      </c>
      <c r="HI207" s="150" t="str">
        <f aca="false">IF(OR(HI$169&lt;SwaptionFirstMonthPosition+1,$FJ207&lt;SwaptionFirstMonthPosition+1,HI$169&gt;SwaptionFirstMonthPosition+SwaptionNumOfMonths+1,$FJ207&gt;SwaptionFirstMonthPosition+SwaptionNumOfMonths+1),"",IF($FJ207=HI$169,1,IF($FJ207&lt;HI$169,INDEX($FK$170:$ID$241,HI$169,$FJ207),SUMPRODUCT(INDEX($FK$325:$ID$396,HI$169,1+SwaptionShift):INDEX($FK$325:$ID$396,HI$169,SwaptionMonthsToGo+SwaptionShift),INDEX($FK$245:$ID$316,$FJ207-HI$169,73-HI$169+SwaptionShift):INDEX($FK$245:$ID$316,$FJ207-HI$169,72-HI$169+SwaptionMonthsToGo+SwaptionShift))/SQRT(SUM(INDEX($FK362:$ID362,1+SwaptionShift):INDEX($FK362:$ID362,SwaptionMonthsToGo+SwaptionShift))*SUM(INDEX($FK$325:$ID$396,HI$169,1+SwaptionShift):INDEX($FK$325:$ID$396,HI$169,SwaptionMonthsToGo+SwaptionShift))))))</f>
        <v/>
      </c>
      <c r="HJ207" s="150" t="str">
        <f aca="false">IF(OR(HJ$169&lt;SwaptionFirstMonthPosition+1,$FJ207&lt;SwaptionFirstMonthPosition+1,HJ$169&gt;SwaptionFirstMonthPosition+SwaptionNumOfMonths+1,$FJ207&gt;SwaptionFirstMonthPosition+SwaptionNumOfMonths+1),"",IF($FJ207=HJ$169,1,IF($FJ207&lt;HJ$169,INDEX($FK$170:$ID$241,HJ$169,$FJ207),SUMPRODUCT(INDEX($FK$325:$ID$396,HJ$169,1+SwaptionShift):INDEX($FK$325:$ID$396,HJ$169,SwaptionMonthsToGo+SwaptionShift),INDEX($FK$245:$ID$316,$FJ207-HJ$169,73-HJ$169+SwaptionShift):INDEX($FK$245:$ID$316,$FJ207-HJ$169,72-HJ$169+SwaptionMonthsToGo+SwaptionShift))/SQRT(SUM(INDEX($FK362:$ID362,1+SwaptionShift):INDEX($FK362:$ID362,SwaptionMonthsToGo+SwaptionShift))*SUM(INDEX($FK$325:$ID$396,HJ$169,1+SwaptionShift):INDEX($FK$325:$ID$396,HJ$169,SwaptionMonthsToGo+SwaptionShift))))))</f>
        <v/>
      </c>
      <c r="HK207" s="150" t="str">
        <f aca="false">IF(OR(HK$169&lt;SwaptionFirstMonthPosition+1,$FJ207&lt;SwaptionFirstMonthPosition+1,HK$169&gt;SwaptionFirstMonthPosition+SwaptionNumOfMonths+1,$FJ207&gt;SwaptionFirstMonthPosition+SwaptionNumOfMonths+1),"",IF($FJ207=HK$169,1,IF($FJ207&lt;HK$169,INDEX($FK$170:$ID$241,HK$169,$FJ207),SUMPRODUCT(INDEX($FK$325:$ID$396,HK$169,1+SwaptionShift):INDEX($FK$325:$ID$396,HK$169,SwaptionMonthsToGo+SwaptionShift),INDEX($FK$245:$ID$316,$FJ207-HK$169,73-HK$169+SwaptionShift):INDEX($FK$245:$ID$316,$FJ207-HK$169,72-HK$169+SwaptionMonthsToGo+SwaptionShift))/SQRT(SUM(INDEX($FK362:$ID362,1+SwaptionShift):INDEX($FK362:$ID362,SwaptionMonthsToGo+SwaptionShift))*SUM(INDEX($FK$325:$ID$396,HK$169,1+SwaptionShift):INDEX($FK$325:$ID$396,HK$169,SwaptionMonthsToGo+SwaptionShift))))))</f>
        <v/>
      </c>
      <c r="HL207" s="150" t="str">
        <f aca="false">IF(OR(HL$169&lt;SwaptionFirstMonthPosition+1,$FJ207&lt;SwaptionFirstMonthPosition+1,HL$169&gt;SwaptionFirstMonthPosition+SwaptionNumOfMonths+1,$FJ207&gt;SwaptionFirstMonthPosition+SwaptionNumOfMonths+1),"",IF($FJ207=HL$169,1,IF($FJ207&lt;HL$169,INDEX($FK$170:$ID$241,HL$169,$FJ207),SUMPRODUCT(INDEX($FK$325:$ID$396,HL$169,1+SwaptionShift):INDEX($FK$325:$ID$396,HL$169,SwaptionMonthsToGo+SwaptionShift),INDEX($FK$245:$ID$316,$FJ207-HL$169,73-HL$169+SwaptionShift):INDEX($FK$245:$ID$316,$FJ207-HL$169,72-HL$169+SwaptionMonthsToGo+SwaptionShift))/SQRT(SUM(INDEX($FK362:$ID362,1+SwaptionShift):INDEX($FK362:$ID362,SwaptionMonthsToGo+SwaptionShift))*SUM(INDEX($FK$325:$ID$396,HL$169,1+SwaptionShift):INDEX($FK$325:$ID$396,HL$169,SwaptionMonthsToGo+SwaptionShift))))))</f>
        <v/>
      </c>
      <c r="HM207" s="150" t="str">
        <f aca="false">IF(OR(HM$169&lt;SwaptionFirstMonthPosition+1,$FJ207&lt;SwaptionFirstMonthPosition+1,HM$169&gt;SwaptionFirstMonthPosition+SwaptionNumOfMonths+1,$FJ207&gt;SwaptionFirstMonthPosition+SwaptionNumOfMonths+1),"",IF($FJ207=HM$169,1,IF($FJ207&lt;HM$169,INDEX($FK$170:$ID$241,HM$169,$FJ207),SUMPRODUCT(INDEX($FK$325:$ID$396,HM$169,1+SwaptionShift):INDEX($FK$325:$ID$396,HM$169,SwaptionMonthsToGo+SwaptionShift),INDEX($FK$245:$ID$316,$FJ207-HM$169,73-HM$169+SwaptionShift):INDEX($FK$245:$ID$316,$FJ207-HM$169,72-HM$169+SwaptionMonthsToGo+SwaptionShift))/SQRT(SUM(INDEX($FK362:$ID362,1+SwaptionShift):INDEX($FK362:$ID362,SwaptionMonthsToGo+SwaptionShift))*SUM(INDEX($FK$325:$ID$396,HM$169,1+SwaptionShift):INDEX($FK$325:$ID$396,HM$169,SwaptionMonthsToGo+SwaptionShift))))))</f>
        <v/>
      </c>
      <c r="HN207" s="150" t="str">
        <f aca="false">IF(OR(HN$169&lt;SwaptionFirstMonthPosition+1,$FJ207&lt;SwaptionFirstMonthPosition+1,HN$169&gt;SwaptionFirstMonthPosition+SwaptionNumOfMonths+1,$FJ207&gt;SwaptionFirstMonthPosition+SwaptionNumOfMonths+1),"",IF($FJ207=HN$169,1,IF($FJ207&lt;HN$169,INDEX($FK$170:$ID$241,HN$169,$FJ207),SUMPRODUCT(INDEX($FK$325:$ID$396,HN$169,1+SwaptionShift):INDEX($FK$325:$ID$396,HN$169,SwaptionMonthsToGo+SwaptionShift),INDEX($FK$245:$ID$316,$FJ207-HN$169,73-HN$169+SwaptionShift):INDEX($FK$245:$ID$316,$FJ207-HN$169,72-HN$169+SwaptionMonthsToGo+SwaptionShift))/SQRT(SUM(INDEX($FK362:$ID362,1+SwaptionShift):INDEX($FK362:$ID362,SwaptionMonthsToGo+SwaptionShift))*SUM(INDEX($FK$325:$ID$396,HN$169,1+SwaptionShift):INDEX($FK$325:$ID$396,HN$169,SwaptionMonthsToGo+SwaptionShift))))))</f>
        <v/>
      </c>
      <c r="HO207" s="150" t="str">
        <f aca="false">IF(OR(HO$169&lt;SwaptionFirstMonthPosition+1,$FJ207&lt;SwaptionFirstMonthPosition+1,HO$169&gt;SwaptionFirstMonthPosition+SwaptionNumOfMonths+1,$FJ207&gt;SwaptionFirstMonthPosition+SwaptionNumOfMonths+1),"",IF($FJ207=HO$169,1,IF($FJ207&lt;HO$169,INDEX($FK$170:$ID$241,HO$169,$FJ207),SUMPRODUCT(INDEX($FK$325:$ID$396,HO$169,1+SwaptionShift):INDEX($FK$325:$ID$396,HO$169,SwaptionMonthsToGo+SwaptionShift),INDEX($FK$245:$ID$316,$FJ207-HO$169,73-HO$169+SwaptionShift):INDEX($FK$245:$ID$316,$FJ207-HO$169,72-HO$169+SwaptionMonthsToGo+SwaptionShift))/SQRT(SUM(INDEX($FK362:$ID362,1+SwaptionShift):INDEX($FK362:$ID362,SwaptionMonthsToGo+SwaptionShift))*SUM(INDEX($FK$325:$ID$396,HO$169,1+SwaptionShift):INDEX($FK$325:$ID$396,HO$169,SwaptionMonthsToGo+SwaptionShift))))))</f>
        <v/>
      </c>
      <c r="HP207" s="150" t="str">
        <f aca="false">IF(OR(HP$169&lt;SwaptionFirstMonthPosition+1,$FJ207&lt;SwaptionFirstMonthPosition+1,HP$169&gt;SwaptionFirstMonthPosition+SwaptionNumOfMonths+1,$FJ207&gt;SwaptionFirstMonthPosition+SwaptionNumOfMonths+1),"",IF($FJ207=HP$169,1,IF($FJ207&lt;HP$169,INDEX($FK$170:$ID$241,HP$169,$FJ207),SUMPRODUCT(INDEX($FK$325:$ID$396,HP$169,1+SwaptionShift):INDEX($FK$325:$ID$396,HP$169,SwaptionMonthsToGo+SwaptionShift),INDEX($FK$245:$ID$316,$FJ207-HP$169,73-HP$169+SwaptionShift):INDEX($FK$245:$ID$316,$FJ207-HP$169,72-HP$169+SwaptionMonthsToGo+SwaptionShift))/SQRT(SUM(INDEX($FK362:$ID362,1+SwaptionShift):INDEX($FK362:$ID362,SwaptionMonthsToGo+SwaptionShift))*SUM(INDEX($FK$325:$ID$396,HP$169,1+SwaptionShift):INDEX($FK$325:$ID$396,HP$169,SwaptionMonthsToGo+SwaptionShift))))))</f>
        <v/>
      </c>
      <c r="HQ207" s="150" t="str">
        <f aca="false">IF(OR(HQ$169&lt;SwaptionFirstMonthPosition+1,$FJ207&lt;SwaptionFirstMonthPosition+1,HQ$169&gt;SwaptionFirstMonthPosition+SwaptionNumOfMonths+1,$FJ207&gt;SwaptionFirstMonthPosition+SwaptionNumOfMonths+1),"",IF($FJ207=HQ$169,1,IF($FJ207&lt;HQ$169,INDEX($FK$170:$ID$241,HQ$169,$FJ207),SUMPRODUCT(INDEX($FK$325:$ID$396,HQ$169,1+SwaptionShift):INDEX($FK$325:$ID$396,HQ$169,SwaptionMonthsToGo+SwaptionShift),INDEX($FK$245:$ID$316,$FJ207-HQ$169,73-HQ$169+SwaptionShift):INDEX($FK$245:$ID$316,$FJ207-HQ$169,72-HQ$169+SwaptionMonthsToGo+SwaptionShift))/SQRT(SUM(INDEX($FK362:$ID362,1+SwaptionShift):INDEX($FK362:$ID362,SwaptionMonthsToGo+SwaptionShift))*SUM(INDEX($FK$325:$ID$396,HQ$169,1+SwaptionShift):INDEX($FK$325:$ID$396,HQ$169,SwaptionMonthsToGo+SwaptionShift))))))</f>
        <v/>
      </c>
      <c r="HR207" s="150" t="str">
        <f aca="false">IF(OR(HR$169&lt;SwaptionFirstMonthPosition+1,$FJ207&lt;SwaptionFirstMonthPosition+1,HR$169&gt;SwaptionFirstMonthPosition+SwaptionNumOfMonths+1,$FJ207&gt;SwaptionFirstMonthPosition+SwaptionNumOfMonths+1),"",IF($FJ207=HR$169,1,IF($FJ207&lt;HR$169,INDEX($FK$170:$ID$241,HR$169,$FJ207),SUMPRODUCT(INDEX($FK$325:$ID$396,HR$169,1+SwaptionShift):INDEX($FK$325:$ID$396,HR$169,SwaptionMonthsToGo+SwaptionShift),INDEX($FK$245:$ID$316,$FJ207-HR$169,73-HR$169+SwaptionShift):INDEX($FK$245:$ID$316,$FJ207-HR$169,72-HR$169+SwaptionMonthsToGo+SwaptionShift))/SQRT(SUM(INDEX($FK362:$ID362,1+SwaptionShift):INDEX($FK362:$ID362,SwaptionMonthsToGo+SwaptionShift))*SUM(INDEX($FK$325:$ID$396,HR$169,1+SwaptionShift):INDEX($FK$325:$ID$396,HR$169,SwaptionMonthsToGo+SwaptionShift))))))</f>
        <v/>
      </c>
      <c r="HS207" s="150" t="str">
        <f aca="false">IF(OR(HS$169&lt;SwaptionFirstMonthPosition+1,$FJ207&lt;SwaptionFirstMonthPosition+1,HS$169&gt;SwaptionFirstMonthPosition+SwaptionNumOfMonths+1,$FJ207&gt;SwaptionFirstMonthPosition+SwaptionNumOfMonths+1),"",IF($FJ207=HS$169,1,IF($FJ207&lt;HS$169,INDEX($FK$170:$ID$241,HS$169,$FJ207),SUMPRODUCT(INDEX($FK$325:$ID$396,HS$169,1+SwaptionShift):INDEX($FK$325:$ID$396,HS$169,SwaptionMonthsToGo+SwaptionShift),INDEX($FK$245:$ID$316,$FJ207-HS$169,73-HS$169+SwaptionShift):INDEX($FK$245:$ID$316,$FJ207-HS$169,72-HS$169+SwaptionMonthsToGo+SwaptionShift))/SQRT(SUM(INDEX($FK362:$ID362,1+SwaptionShift):INDEX($FK362:$ID362,SwaptionMonthsToGo+SwaptionShift))*SUM(INDEX($FK$325:$ID$396,HS$169,1+SwaptionShift):INDEX($FK$325:$ID$396,HS$169,SwaptionMonthsToGo+SwaptionShift))))))</f>
        <v/>
      </c>
      <c r="HT207" s="150" t="str">
        <f aca="false">IF(OR(HT$169&lt;SwaptionFirstMonthPosition+1,$FJ207&lt;SwaptionFirstMonthPosition+1,HT$169&gt;SwaptionFirstMonthPosition+SwaptionNumOfMonths+1,$FJ207&gt;SwaptionFirstMonthPosition+SwaptionNumOfMonths+1),"",IF($FJ207=HT$169,1,IF($FJ207&lt;HT$169,INDEX($FK$170:$ID$241,HT$169,$FJ207),SUMPRODUCT(INDEX($FK$325:$ID$396,HT$169,1+SwaptionShift):INDEX($FK$325:$ID$396,HT$169,SwaptionMonthsToGo+SwaptionShift),INDEX($FK$245:$ID$316,$FJ207-HT$169,73-HT$169+SwaptionShift):INDEX($FK$245:$ID$316,$FJ207-HT$169,72-HT$169+SwaptionMonthsToGo+SwaptionShift))/SQRT(SUM(INDEX($FK362:$ID362,1+SwaptionShift):INDEX($FK362:$ID362,SwaptionMonthsToGo+SwaptionShift))*SUM(INDEX($FK$325:$ID$396,HT$169,1+SwaptionShift):INDEX($FK$325:$ID$396,HT$169,SwaptionMonthsToGo+SwaptionShift))))))</f>
        <v/>
      </c>
      <c r="HU207" s="150" t="str">
        <f aca="false">IF(OR(HU$169&lt;SwaptionFirstMonthPosition+1,$FJ207&lt;SwaptionFirstMonthPosition+1,HU$169&gt;SwaptionFirstMonthPosition+SwaptionNumOfMonths+1,$FJ207&gt;SwaptionFirstMonthPosition+SwaptionNumOfMonths+1),"",IF($FJ207=HU$169,1,IF($FJ207&lt;HU$169,INDEX($FK$170:$ID$241,HU$169,$FJ207),SUMPRODUCT(INDEX($FK$325:$ID$396,HU$169,1+SwaptionShift):INDEX($FK$325:$ID$396,HU$169,SwaptionMonthsToGo+SwaptionShift),INDEX($FK$245:$ID$316,$FJ207-HU$169,73-HU$169+SwaptionShift):INDEX($FK$245:$ID$316,$FJ207-HU$169,72-HU$169+SwaptionMonthsToGo+SwaptionShift))/SQRT(SUM(INDEX($FK362:$ID362,1+SwaptionShift):INDEX($FK362:$ID362,SwaptionMonthsToGo+SwaptionShift))*SUM(INDEX($FK$325:$ID$396,HU$169,1+SwaptionShift):INDEX($FK$325:$ID$396,HU$169,SwaptionMonthsToGo+SwaptionShift))))))</f>
        <v/>
      </c>
      <c r="HV207" s="150" t="str">
        <f aca="false">IF(OR(HV$169&lt;SwaptionFirstMonthPosition+1,$FJ207&lt;SwaptionFirstMonthPosition+1,HV$169&gt;SwaptionFirstMonthPosition+SwaptionNumOfMonths+1,$FJ207&gt;SwaptionFirstMonthPosition+SwaptionNumOfMonths+1),"",IF($FJ207=HV$169,1,IF($FJ207&lt;HV$169,INDEX($FK$170:$ID$241,HV$169,$FJ207),SUMPRODUCT(INDEX($FK$325:$ID$396,HV$169,1+SwaptionShift):INDEX($FK$325:$ID$396,HV$169,SwaptionMonthsToGo+SwaptionShift),INDEX($FK$245:$ID$316,$FJ207-HV$169,73-HV$169+SwaptionShift):INDEX($FK$245:$ID$316,$FJ207-HV$169,72-HV$169+SwaptionMonthsToGo+SwaptionShift))/SQRT(SUM(INDEX($FK362:$ID362,1+SwaptionShift):INDEX($FK362:$ID362,SwaptionMonthsToGo+SwaptionShift))*SUM(INDEX($FK$325:$ID$396,HV$169,1+SwaptionShift):INDEX($FK$325:$ID$396,HV$169,SwaptionMonthsToGo+SwaptionShift))))))</f>
        <v/>
      </c>
      <c r="HW207" s="150" t="str">
        <f aca="false">IF(OR(HW$169&lt;SwaptionFirstMonthPosition+1,$FJ207&lt;SwaptionFirstMonthPosition+1,HW$169&gt;SwaptionFirstMonthPosition+SwaptionNumOfMonths+1,$FJ207&gt;SwaptionFirstMonthPosition+SwaptionNumOfMonths+1),"",IF($FJ207=HW$169,1,IF($FJ207&lt;HW$169,INDEX($FK$170:$ID$241,HW$169,$FJ207),SUMPRODUCT(INDEX($FK$325:$ID$396,HW$169,1+SwaptionShift):INDEX($FK$325:$ID$396,HW$169,SwaptionMonthsToGo+SwaptionShift),INDEX($FK$245:$ID$316,$FJ207-HW$169,73-HW$169+SwaptionShift):INDEX($FK$245:$ID$316,$FJ207-HW$169,72-HW$169+SwaptionMonthsToGo+SwaptionShift))/SQRT(SUM(INDEX($FK362:$ID362,1+SwaptionShift):INDEX($FK362:$ID362,SwaptionMonthsToGo+SwaptionShift))*SUM(INDEX($FK$325:$ID$396,HW$169,1+SwaptionShift):INDEX($FK$325:$ID$396,HW$169,SwaptionMonthsToGo+SwaptionShift))))))</f>
        <v/>
      </c>
      <c r="HX207" s="150" t="str">
        <f aca="false">IF(OR(HX$169&lt;SwaptionFirstMonthPosition+1,$FJ207&lt;SwaptionFirstMonthPosition+1,HX$169&gt;SwaptionFirstMonthPosition+SwaptionNumOfMonths+1,$FJ207&gt;SwaptionFirstMonthPosition+SwaptionNumOfMonths+1),"",IF($FJ207=HX$169,1,IF($FJ207&lt;HX$169,INDEX($FK$170:$ID$241,HX$169,$FJ207),SUMPRODUCT(INDEX($FK$325:$ID$396,HX$169,1+SwaptionShift):INDEX($FK$325:$ID$396,HX$169,SwaptionMonthsToGo+SwaptionShift),INDEX($FK$245:$ID$316,$FJ207-HX$169,73-HX$169+SwaptionShift):INDEX($FK$245:$ID$316,$FJ207-HX$169,72-HX$169+SwaptionMonthsToGo+SwaptionShift))/SQRT(SUM(INDEX($FK362:$ID362,1+SwaptionShift):INDEX($FK362:$ID362,SwaptionMonthsToGo+SwaptionShift))*SUM(INDEX($FK$325:$ID$396,HX$169,1+SwaptionShift):INDEX($FK$325:$ID$396,HX$169,SwaptionMonthsToGo+SwaptionShift))))))</f>
        <v/>
      </c>
      <c r="HY207" s="150" t="str">
        <f aca="false">IF(OR(HY$169&lt;SwaptionFirstMonthPosition+1,$FJ207&lt;SwaptionFirstMonthPosition+1,HY$169&gt;SwaptionFirstMonthPosition+SwaptionNumOfMonths+1,$FJ207&gt;SwaptionFirstMonthPosition+SwaptionNumOfMonths+1),"",IF($FJ207=HY$169,1,IF($FJ207&lt;HY$169,INDEX($FK$170:$ID$241,HY$169,$FJ207),SUMPRODUCT(INDEX($FK$325:$ID$396,HY$169,1+SwaptionShift):INDEX($FK$325:$ID$396,HY$169,SwaptionMonthsToGo+SwaptionShift),INDEX($FK$245:$ID$316,$FJ207-HY$169,73-HY$169+SwaptionShift):INDEX($FK$245:$ID$316,$FJ207-HY$169,72-HY$169+SwaptionMonthsToGo+SwaptionShift))/SQRT(SUM(INDEX($FK362:$ID362,1+SwaptionShift):INDEX($FK362:$ID362,SwaptionMonthsToGo+SwaptionShift))*SUM(INDEX($FK$325:$ID$396,HY$169,1+SwaptionShift):INDEX($FK$325:$ID$396,HY$169,SwaptionMonthsToGo+SwaptionShift))))))</f>
        <v/>
      </c>
      <c r="HZ207" s="150" t="str">
        <f aca="false">IF(OR(HZ$169&lt;SwaptionFirstMonthPosition+1,$FJ207&lt;SwaptionFirstMonthPosition+1,HZ$169&gt;SwaptionFirstMonthPosition+SwaptionNumOfMonths+1,$FJ207&gt;SwaptionFirstMonthPosition+SwaptionNumOfMonths+1),"",IF($FJ207=HZ$169,1,IF($FJ207&lt;HZ$169,INDEX($FK$170:$ID$241,HZ$169,$FJ207),SUMPRODUCT(INDEX($FK$325:$ID$396,HZ$169,1+SwaptionShift):INDEX($FK$325:$ID$396,HZ$169,SwaptionMonthsToGo+SwaptionShift),INDEX($FK$245:$ID$316,$FJ207-HZ$169,73-HZ$169+SwaptionShift):INDEX($FK$245:$ID$316,$FJ207-HZ$169,72-HZ$169+SwaptionMonthsToGo+SwaptionShift))/SQRT(SUM(INDEX($FK362:$ID362,1+SwaptionShift):INDEX($FK362:$ID362,SwaptionMonthsToGo+SwaptionShift))*SUM(INDEX($FK$325:$ID$396,HZ$169,1+SwaptionShift):INDEX($FK$325:$ID$396,HZ$169,SwaptionMonthsToGo+SwaptionShift))))))</f>
        <v/>
      </c>
      <c r="IA207" s="150" t="str">
        <f aca="false">IF(OR(IA$169&lt;SwaptionFirstMonthPosition+1,$FJ207&lt;SwaptionFirstMonthPosition+1,IA$169&gt;SwaptionFirstMonthPosition+SwaptionNumOfMonths+1,$FJ207&gt;SwaptionFirstMonthPosition+SwaptionNumOfMonths+1),"",IF($FJ207=IA$169,1,IF($FJ207&lt;IA$169,INDEX($FK$170:$ID$241,IA$169,$FJ207),SUMPRODUCT(INDEX($FK$325:$ID$396,IA$169,1+SwaptionShift):INDEX($FK$325:$ID$396,IA$169,SwaptionMonthsToGo+SwaptionShift),INDEX($FK$245:$ID$316,$FJ207-IA$169,73-IA$169+SwaptionShift):INDEX($FK$245:$ID$316,$FJ207-IA$169,72-IA$169+SwaptionMonthsToGo+SwaptionShift))/SQRT(SUM(INDEX($FK362:$ID362,1+SwaptionShift):INDEX($FK362:$ID362,SwaptionMonthsToGo+SwaptionShift))*SUM(INDEX($FK$325:$ID$396,IA$169,1+SwaptionShift):INDEX($FK$325:$ID$396,IA$169,SwaptionMonthsToGo+SwaptionShift))))))</f>
        <v/>
      </c>
      <c r="IB207" s="150" t="str">
        <f aca="false">IF(OR(IB$169&lt;SwaptionFirstMonthPosition+1,$FJ207&lt;SwaptionFirstMonthPosition+1,IB$169&gt;SwaptionFirstMonthPosition+SwaptionNumOfMonths+1,$FJ207&gt;SwaptionFirstMonthPosition+SwaptionNumOfMonths+1),"",IF($FJ207=IB$169,1,IF($FJ207&lt;IB$169,INDEX($FK$170:$ID$241,IB$169,$FJ207),SUMPRODUCT(INDEX($FK$325:$ID$396,IB$169,1+SwaptionShift):INDEX($FK$325:$ID$396,IB$169,SwaptionMonthsToGo+SwaptionShift),INDEX($FK$245:$ID$316,$FJ207-IB$169,73-IB$169+SwaptionShift):INDEX($FK$245:$ID$316,$FJ207-IB$169,72-IB$169+SwaptionMonthsToGo+SwaptionShift))/SQRT(SUM(INDEX($FK362:$ID362,1+SwaptionShift):INDEX($FK362:$ID362,SwaptionMonthsToGo+SwaptionShift))*SUM(INDEX($FK$325:$ID$396,IB$169,1+SwaptionShift):INDEX($FK$325:$ID$396,IB$169,SwaptionMonthsToGo+SwaptionShift))))))</f>
        <v/>
      </c>
      <c r="IC207" s="150" t="str">
        <f aca="false">IF(OR(IC$169&lt;SwaptionFirstMonthPosition+1,$FJ207&lt;SwaptionFirstMonthPosition+1,IC$169&gt;SwaptionFirstMonthPosition+SwaptionNumOfMonths+1,$FJ207&gt;SwaptionFirstMonthPosition+SwaptionNumOfMonths+1),"",IF($FJ207=IC$169,1,IF($FJ207&lt;IC$169,INDEX($FK$170:$ID$241,IC$169,$FJ207),SUMPRODUCT(INDEX($FK$325:$ID$396,IC$169,1+SwaptionShift):INDEX($FK$325:$ID$396,IC$169,SwaptionMonthsToGo+SwaptionShift),INDEX($FK$245:$ID$316,$FJ207-IC$169,73-IC$169+SwaptionShift):INDEX($FK$245:$ID$316,$FJ207-IC$169,72-IC$169+SwaptionMonthsToGo+SwaptionShift))/SQRT(SUM(INDEX($FK362:$ID362,1+SwaptionShift):INDEX($FK362:$ID362,SwaptionMonthsToGo+SwaptionShift))*SUM(INDEX($FK$325:$ID$396,IC$169,1+SwaptionShift):INDEX($FK$325:$ID$396,IC$169,SwaptionMonthsToGo+SwaptionShift))))))</f>
        <v/>
      </c>
      <c r="ID207" s="572" t="str">
        <f aca="false">IF(OR(ID$169&lt;SwaptionFirstMonthPosition+1,$FJ207&lt;SwaptionFirstMonthPosition+1,ID$169&gt;SwaptionFirstMonthPosition+SwaptionNumOfMonths+1,$FJ207&gt;SwaptionFirstMonthPosition+SwaptionNumOfMonths+1),"",IF($FJ207=ID$169,1,IF($FJ207&lt;ID$169,INDEX($FK$170:$ID$241,ID$169,$FJ207),SUMPRODUCT(INDEX($FK$325:$ID$396,ID$169,1+SwaptionShift):INDEX($FK$325:$ID$396,ID$169,SwaptionMonthsToGo+SwaptionShift),INDEX($FK$245:$ID$316,$FJ207-ID$169,73-ID$169+SwaptionShift):INDEX($FK$245:$ID$316,$FJ207-ID$169,72-ID$169+SwaptionMonthsToGo+SwaptionShift))/SQRT(SUM(INDEX($FK362:$ID362,1+SwaptionShift):INDEX($FK362:$ID362,SwaptionMonthsToGo+SwaptionShift))*SUM(INDEX($FK$325:$ID$396,ID$169,1+SwaptionShift):INDEX($FK$325:$ID$396,ID$169,SwaptionMonthsToGo+SwaptionShift))))))</f>
        <v/>
      </c>
      <c r="IE207" s="129"/>
    </row>
    <row r="208" customFormat="false" ht="12.75" hidden="false" customHeight="false" outlineLevel="0" collapsed="false">
      <c r="H208" s="219" t="n">
        <f aca="false">VLOOKUP(I208,$EJ$20:$EL$54,3)</f>
        <v>0</v>
      </c>
      <c r="I208" s="511" t="n">
        <f aca="false">EOMONTH(I207,0)+1</f>
        <v>42491</v>
      </c>
      <c r="J208" s="512"/>
      <c r="K208" s="513" t="s">
        <v>280</v>
      </c>
      <c r="L208" s="514" t="n">
        <f aca="false">IF(ISNUMBER(K208),J208+K208/100,IF(K208="extra",L207+VLOOKUP(BF208,PriceSpreadTable,2)/12,IF(K208="inter",interpolateprices($K$19:$L$200,ROW(K208)-ROW(FirstPricingMonth)+1),interpolatechanges($J$19:$K$200,ROW(K208)-ROW(FirstPricingMonth)+1))))</f>
        <v>4.20000000000001</v>
      </c>
      <c r="M208" s="515"/>
      <c r="N208" s="516" t="n">
        <v>0</v>
      </c>
      <c r="O208" s="515" t="n">
        <f aca="false">M208+N208</f>
        <v>0</v>
      </c>
      <c r="P208" s="512"/>
      <c r="Q208" s="513" t="s">
        <v>280</v>
      </c>
      <c r="R208" s="512" t="e">
        <f aca="false">IF(ISNUMBER(Q208),P208+Q208/100,IF(Q208="extra",(Z206*AL206-R207*AM206)/AN206,IF(Q208="inter",interpolateprices($Q$19:$R$260,ROW(Q208)-ROW(FirstPricingMonth)+1),interpolatechanges($P$19:$Q$260,ROW(Q208)-ROW(FirstPricingMonth)+1))))</f>
        <v>#VALUE!</v>
      </c>
      <c r="S208" s="597" t="n">
        <f aca="false">S$19+(S207-S$19)*S$18</f>
        <v>0.36</v>
      </c>
      <c r="T208" s="575" t="n">
        <f aca="false">SQRT((1-(1-T207^2/U207)*T$18)*U208)</f>
        <v>0.999999999999982</v>
      </c>
      <c r="U208" s="576" t="n">
        <f aca="false">1-(1-U207)*U$18</f>
        <v>1</v>
      </c>
      <c r="V208" s="521" t="n">
        <v>0</v>
      </c>
      <c r="W208" s="577" t="n">
        <f aca="false">(J209*AJ208+J210*AK208)/AI208</f>
        <v>0</v>
      </c>
      <c r="X208" s="578" t="n">
        <f aca="false">(L209*AJ208+L210*AK208)/AI208</f>
        <v>4.24943181818182</v>
      </c>
      <c r="Y208" s="579" t="n">
        <f aca="false">IF(Q210="extra",W208-AA208,(P209*AM208+P210*AN208)/AL208)</f>
        <v>-1.2915</v>
      </c>
      <c r="Z208" s="579" t="n">
        <f aca="false">IF(Q210="extra",X208-AB208,(R209*AM208+R210*AN208)/AL208)</f>
        <v>2.95793181818182</v>
      </c>
      <c r="AA208" s="523" t="n">
        <f aca="false">IF(Q210="extra",INDEX(BrentSeasonalityTable,INT((BG208-1)/3)+1)*VLOOKUP(MAX(BF208,$AB$4),PriceSpreadTable,3),W208-Y208)</f>
        <v>1.2915</v>
      </c>
      <c r="AB208" s="524" t="n">
        <f aca="false">IF(Q210="extra",INDEX(BrentSeasonalityTable,INT((BG208-1)/3)+1)*VLOOKUP(MAX(BF208,$AB$4),PriceSpreadTable,3),X208-Z208)</f>
        <v>1.2915</v>
      </c>
      <c r="AC208" s="646" t="n">
        <v>42480</v>
      </c>
      <c r="AD208" s="646" t="n">
        <v>42476</v>
      </c>
      <c r="AE208" s="646" t="n">
        <v>42475</v>
      </c>
      <c r="AF208" s="646" t="n">
        <v>42471</v>
      </c>
      <c r="AG208" s="438" t="s">
        <v>278</v>
      </c>
      <c r="AH208" s="439" t="s">
        <v>278</v>
      </c>
      <c r="AI208" s="528" t="n">
        <v>22</v>
      </c>
      <c r="AJ208" s="529" t="n">
        <v>15</v>
      </c>
      <c r="AK208" s="529" t="n">
        <v>7</v>
      </c>
      <c r="AL208" s="530" t="n">
        <v>22</v>
      </c>
      <c r="AM208" s="529" t="n">
        <v>10</v>
      </c>
      <c r="AN208" s="531" t="n">
        <v>12</v>
      </c>
      <c r="AO208" s="532"/>
      <c r="AP208" s="465" t="n">
        <f aca="false">(1+AO208/2)^(-2*BL208)</f>
        <v>1</v>
      </c>
      <c r="AQ208" s="532"/>
      <c r="AR208" s="465" t="n">
        <f aca="false">(1+AQ208/2)^(-2*BH208/365.25)</f>
        <v>1</v>
      </c>
      <c r="AS208" s="580" t="n">
        <f aca="false">(O209*AJ208+O210*AK208)/AI208</f>
        <v>0</v>
      </c>
      <c r="AT208" s="468" t="n">
        <f aca="false">O208*VLOOKUP(BF208,BrentVolTable,2)+VLOOKUP(BF208,BrentVolTable,3)</f>
        <v>0</v>
      </c>
      <c r="AU208" s="468" t="n">
        <f aca="false">(AT209*AM208+AT210*AN208)/AL208</f>
        <v>0</v>
      </c>
      <c r="AV208" s="595" t="n">
        <f aca="false">SQRT(MAX(0.000000000001,(O208^2*BH208-S208^2*(BH208-BH207))/BH207))</f>
        <v>0.0339776803007605</v>
      </c>
      <c r="AW208" s="451" t="n">
        <f aca="false">IF($I208-DateToday+15&gt;=$T$8,"",IF($I208-DateToday+15&lt;$T$5,1,MATCH($I208-DateToday+15,$T$5:$T$8)))</f>
        <v>1</v>
      </c>
      <c r="AX208" s="468" t="n">
        <f aca="false">IF($AW208="",AX207^2/AX206,INDEX(U$5:U$8,$AW208)^((INDEX($T$5:$T$8,$AW208+1)-($I208-DateToday+15))/(INDEX($T$5:$T$8,$AW208+1)-INDEX($T$5:$T$8,$AW208)))/INDEX(U$5:U$8,$AW208+1)^((INDEX($T$5:$T$8,$AW208)-($I208-DateToday+15))/(INDEX($T$5:$T$8,$AW208+1)-INDEX($T$5:$T$8,$AW208))))</f>
        <v>0.225658802193964</v>
      </c>
      <c r="AY208" s="468" t="n">
        <f aca="false">IF($AW208="",AY207^2/AY206,INDEX(V$5:V$8,$AW208)^((INDEX($T$5:$T$8,$AW208+1)-($I208-DateToday+15))/(INDEX($T$5:$T$8,$AW208+1)-INDEX($T$5:$T$8,$AW208)))/INDEX(V$5:V$8,$AW208+1)^((INDEX($T$5:$T$8,$AW208)-($I208-DateToday+15))/(INDEX($T$5:$T$8,$AW208+1)-INDEX($T$5:$T$8,$AW208))))</f>
        <v>1.89750304144754</v>
      </c>
      <c r="AZ208" s="468" t="n">
        <f aca="false">IF($AW208="",AZ207^2/AZ206,INDEX(W$5:W$8,$AW208)^((INDEX($T$5:$T$8,$AW208+1)-($I208-DateToday+15))/(INDEX($T$5:$T$8,$AW208+1)-INDEX($T$5:$T$8,$AW208)))/INDEX(W$5:W$8,$AW208+1)^((INDEX($T$5:$T$8,$AW208)-($I208-DateToday+15))/(INDEX($T$5:$T$8,$AW208+1)-INDEX($T$5:$T$8,$AW208))))</f>
        <v>134.672897568226</v>
      </c>
      <c r="BA208" s="468" t="n">
        <f aca="false">IF($AW208="",BA207^2/BA206,INDEX(X$5:X$8,$AW208)^((INDEX($T$5:$T$8,$AW208+1)-($I208-DateToday+15))/(INDEX($T$5:$T$8,$AW208+1)-INDEX($T$5:$T$8,$AW208)))/INDEX(X$5:X$8,$AW208+1)^((INDEX($T$5:$T$8,$AW208)-($I208-DateToday+15))/(INDEX($T$5:$T$8,$AW208+1)-INDEX($T$5:$T$8,$AW208))))</f>
        <v>316.563799512877</v>
      </c>
      <c r="BB208" s="468" t="n">
        <f aca="false">IF($AW208="",BB207^2/BB206,INDEX(Y$5:Y$8,$AW208)^((INDEX($T$5:$T$8,$AW208+1)-($I208-DateToday+15))/(INDEX($T$5:$T$8,$AW208+1)-INDEX($T$5:$T$8,$AW208)))/INDEX(Y$5:Y$8,$AW208+1)^((INDEX($T$5:$T$8,$AW208)-($I208-DateToday+15))/(INDEX($T$5:$T$8,$AW208+1)-INDEX($T$5:$T$8,$AW208))))</f>
        <v>1361.26652265436</v>
      </c>
      <c r="BC208" s="468" t="n">
        <f aca="false">IF($AW208="",BC207^2/BC206,INDEX(Z$5:Z$8,$AW208)^((INDEX($T$5:$T$8,$AW208+1)-($I208-DateToday+15))/(INDEX($T$5:$T$8,$AW208+1)-INDEX($T$5:$T$8,$AW208)))/INDEX(Z$5:Z$8,$AW208+1)^((INDEX($T$5:$T$8,$AW208)-($I208-DateToday+15))/(INDEX($T$5:$T$8,$AW208+1)-INDEX($T$5:$T$8,$AW208))))</f>
        <v>3345.64711263098</v>
      </c>
      <c r="BD208" s="535" t="n">
        <f aca="false">IF(OR(DateStart&gt;=I209,DateEnd&lt;I208),0,IF(VolumeOverrideFlag,V208,Volume))</f>
        <v>0</v>
      </c>
      <c r="BE208" s="536" t="n">
        <f aca="false">IF(OR(DateStart2&gt;=I209,DateEnd2&lt;I208),0,IF(VolumeOverrideFlag,V208,VolumeSwaption))</f>
        <v>0</v>
      </c>
      <c r="BF208" s="537" t="n">
        <f aca="false">YEAR(I208)</f>
        <v>2016</v>
      </c>
      <c r="BG208" s="538" t="n">
        <f aca="false">MONTH(I208)</f>
        <v>5</v>
      </c>
      <c r="BH208" s="539" t="n">
        <f aca="false">AD208-DateToday+1</f>
        <v>-3449</v>
      </c>
      <c r="BI208" s="540" t="n">
        <f aca="false">(I208-DateToday+1)/365.25</f>
        <v>-9.40177960301164</v>
      </c>
      <c r="BJ208" s="541" t="n">
        <f aca="false">BI208+(BL208-BI208)*CHOOSE(Underlying,AJ208/AI208,AM208/AL208)</f>
        <v>-9.34577810963848</v>
      </c>
      <c r="BK208" s="541" t="n">
        <f aca="false">BJ208+1/365.25</f>
        <v>-9.34304025885135</v>
      </c>
      <c r="BL208" s="541" t="n">
        <f aca="false">(I209-DateToday)/365.25</f>
        <v>-9.31964407939767</v>
      </c>
      <c r="BM208" s="542" t="e">
        <f aca="false">MAX(BI208-(BJ208-BI208)*(S209^2/O209^2-1),0)</f>
        <v>#DIV/0!</v>
      </c>
      <c r="BN208" s="541" t="e">
        <f aca="false">MAX(BL208+(BL208-BK208)*(S210^2/O210^2-1),0)</f>
        <v>#DIV/0!</v>
      </c>
      <c r="BO208" s="530" t="n">
        <f aca="false">CHOOSE(Underlying,AI208,AL208)</f>
        <v>22</v>
      </c>
      <c r="BP208" s="529" t="n">
        <f aca="false">CHOOSE(Underlying,AJ208,AM208)</f>
        <v>15</v>
      </c>
      <c r="BQ208" s="529" t="n">
        <f aca="false">CHOOSE(Underlying,AK208,AN208)</f>
        <v>7</v>
      </c>
      <c r="BR208" s="463" t="str">
        <f aca="false">IF(BD208,IF(Underlying=1,X208,Z208)+UnderlyingPriceAsian-SwapPriceCurve,"")</f>
        <v/>
      </c>
      <c r="BS208" s="463" t="str">
        <f aca="false">IF(BD208,Strike1/BR208-1,"")</f>
        <v/>
      </c>
      <c r="BT208" s="464" t="str">
        <f aca="false">IF(BD208,Strike2/BR208-1,"")</f>
        <v/>
      </c>
      <c r="BU208" s="465" t="str">
        <f aca="false">IF(BD208,IF(Underlying=1,L209,R209)+UnderlyingPriceAsian-SwapPriceCurve,"")</f>
        <v/>
      </c>
      <c r="BV208" s="465" t="str">
        <f aca="false">IF(BD208,IF(Underlying=1,L210,R210)+UnderlyingPriceAsian-SwapPriceCurve,"")</f>
        <v/>
      </c>
      <c r="BW208" s="466" t="str">
        <f aca="false">IF(BD208,IF(Underlying=1,O209,AT209),"")</f>
        <v/>
      </c>
      <c r="BX208" s="467" t="str">
        <f aca="false">IF(BD208,IF(Underlying=1,O210,AT210),"")</f>
        <v/>
      </c>
      <c r="BY208" s="466" t="str">
        <f aca="false">IF(BD208,IF(BS208&gt;0,IF(BS208&gt;0.2,BC208-BB208,IF(BS208&gt;0.1,BB208-BA208,BA208)),IF(BS208&lt;-0.2,AX208-AY208,IF(BS208&lt;-0.1,AY208-AZ208,AZ208))),"")</f>
        <v/>
      </c>
      <c r="BZ208" s="467" t="str">
        <f aca="false">IF(BD208,IF(BT208&gt;0,IF(BT208&gt;0.2,BC208-BB208,IF(BT208&gt;0.1,BB208-BA208,BA208)),IF(BT208&lt;-0.2,AX208-AY208,IF(BT208&lt;-0.1,AY208-AZ208,AZ208))),"")</f>
        <v/>
      </c>
      <c r="CA208" s="468" t="str">
        <f aca="false">IF($BD208,$BW208+IF(VolSkewFlag=1,IF(BS208&gt;0,$BA208*MIN(BS208/10%,1)+($BB208-$BA208)*MAX(0,MIN(BS208/10%-1,1))+($BC208-$BB208)*MAX(0,BS208/10%-2),$AZ208*MIN(-BS208/10%,1)+($AY208-$AZ208)*MAX(0,MIN(-BS208/10%-1,1))+($AX208-$AY208)*MAX(0,-BS208/10%-2)),0),"")</f>
        <v/>
      </c>
      <c r="CB208" s="468" t="str">
        <f aca="false">IF($BD208,$BX208+IF(VolSkewFlag=1,IF(BS208&gt;0,$BA208*MIN(BS208/10%,1)+($BB208-$BA208)*MAX(0,MIN(BS208/10%-1,1))+($BC208-$BB208)*MAX(0,BS208/10%-2),$AZ208*MIN(-BS208/10%,1)+($AY208-$AZ208)*MAX(0,MIN(-BS208/10%-1,1))+($AX208-$AY208)*MAX(0,-BS208/10%-2)),0),"")</f>
        <v/>
      </c>
      <c r="CC208" s="468" t="str">
        <f aca="false">IF($BD208,$BW208+IF(VolSkewFlag=1,IF(BT208&gt;0,$BA208*MIN(BT208/10%,1)+($BB208-$BA208)*MAX(0,MIN(BT208/10%-1,1))+($BC208-$BB208)*MAX(0,BT208/10%-2),$AZ208*MIN(-BT208/10%,1)+($AY208-$AZ208)*MAX(0,MIN(-BT208/10%-1,1))+($AX208-$AY208)*MAX(0,-BT208/10%-2)),0),"")</f>
        <v/>
      </c>
      <c r="CD208" s="468" t="str">
        <f aca="false">IF($BD208,$BX208+IF(VolSkewFlag=1,IF(BT208&gt;0,$BA208*MIN(BT208/10%,1)+($BB208-$BA208)*MAX(0,MIN(BT208/10%-1,1))+($BC208-$BB208)*MAX(0,BT208/10%-2),$AZ208*MIN(-BT208/10%,1)+($AY208-$AZ208)*MAX(0,MIN(-BT208/10%-1,1))+($AX208-$AY208)*MAX(0,-BT208/10%-2)),0),"")</f>
        <v/>
      </c>
      <c r="CE208" s="469" t="n">
        <v>1</v>
      </c>
      <c r="CF208" s="470" t="n">
        <f aca="false">IF(BD208,xCrudeAPO(BU208,BV208,CA208,CB208,S209,S210,BI208,BL208,BP208,BQ208,0,Strike1,AO208,CE208,0,BL208,IF(OptControl=4,0,1),0,1),0)</f>
        <v>0</v>
      </c>
      <c r="CG208" s="470" t="n">
        <f aca="false">IF(BD208,xCrudeAPO(BU208,BV208,CA208,CB208,S209,S210,BI208,BL208,BP208,BQ208,0,Strike1,AO208,CE208,0,BL208,IF(OptControl=4,0,1),1,1)+xCrudeAPO(BU208,BV208,CA208,CB208,S209,S210,BI208,BL208,BP208,BQ208,0,Strike1,AO208,CE208,0,BL208,IF(OptControl=4,0,1),1,2)+IF(OR(VolSkewFlag=2,ABS(BS208)&lt;0.0001),0,IF(BS208&gt;0,-1,1)*CH208*Strike1/BR208^2*BY208/10%),0)</f>
        <v>0</v>
      </c>
      <c r="CH208" s="470" t="n">
        <f aca="false">IF(BD208,(xCrudeAPO(BU208,BV208,CA208,CB208,S209,S210,BI208,BL208,BP208,BQ208,0,Strike1,AO208,CE208,0,BL208,IF(OptControl=4,0,1),3,1)+xCrudeAPO(BU208,BV208,CA208,CB208,S209,S210,BI208,BL208,BP208,BQ208,0,Strike1,AO208,CE208,0,BL208,IF(OptControl=4,0,1),3,2))/100,0)</f>
        <v>0</v>
      </c>
      <c r="CI208" s="470" t="n">
        <f aca="false">IF(BD208,xCrudeAPO(BU208,BV208,CA208,CB208,S209,S210,BI208-DaysForThetaCalculation/365.25,BL208-DaysForThetaCalculation/365.25,BP208,BQ208,0,Strike1,AO208,CE208,0,BL208,IF(OptControl=4,0,1),0,1)-xCrudeAPO(BU208,BV208,CA208,CB208,S209,S210,BI208,BL208,BP208,BQ208,0,Strike1,AO208,CE208,0,BL208,IF(OptControl=4,0,1),0,1),0)</f>
        <v>0</v>
      </c>
      <c r="CJ208" s="471" t="n">
        <f aca="false">IF(BD208,xCrudeAPO(BU208,BV208,CC208,CD208,S209,S210,BI208,BL208,BP208,BQ208,0,Strike2,AO208,CE208,0,BL208,IF(OptControl=3,1,0),0,1),0)</f>
        <v>0</v>
      </c>
      <c r="CK208" s="470" t="n">
        <f aca="false">IF(BD208,xCrudeAPO(BU208,BV208,CC208,CD208,S209,S210,BI208,BL208,BP208,BQ208,0,Strike2,AO208,CE208,0,BL208,IF(OptControl=3,1,0),1,1)+xCrudeAPO(BU208,BV208,CC208,CD208,S209,S210,BI208,BL208,BP208,BQ208,0,Strike2,AO208,CE208,0,BL208,IF(OptControl=3,1,0),1,2)+IF(OR(VolSkewFlag=2,ABS(BT208)&lt;0.0001),0,IF(BT208&gt;0,-1,1)*CL208*Strike2/BR208^2*BZ208/10%),0)</f>
        <v>0</v>
      </c>
      <c r="CL208" s="470" t="n">
        <f aca="false">IF(BD208,(xCrudeAPO(BU208,BV208,CC208,CD208,S209,S210,BI208,BL208,BP208,BQ208,0,Strike2,AO208,CE208,0,BL208,IF(OptControl=3,1,0),3,1)+xCrudeAPO(BU208,BV208,CC208,CD208,S209,S210,BI208,BL208,BP208,BQ208,0,Strike2,AO208,CE208,0,BL208,IF(OptControl=3,1,0),3,2))/100,0)</f>
        <v>0</v>
      </c>
      <c r="CM208" s="472" t="n">
        <f aca="false">IF(BD208,xCrudeAPO(BU208,BV208,CC208,CD208,S209,S210,BI208-DaysForThetaCalculation/365.25,BL208-DaysForThetaCalculation/365.25,BP208,BQ208,0,Strike2,AO208,CE208,0,BL208,IF(OptControl=3,1,0),0,1)-xCrudeAPO(BU208,BV208,CC208,CD208,S209,S210,BI208,BL208,BP208,BQ208,0,Strike2,AO208,CE208,0,BL208,IF(OptControl=3,1,0),0,1),0)</f>
        <v>0</v>
      </c>
      <c r="CN208" s="3"/>
      <c r="CO208" s="543" t="str">
        <f aca="false">IF(BD208,CHOOSE(Underlying,AD208,AF208)-DateToday+1,"")</f>
        <v/>
      </c>
      <c r="CP208" s="582" t="str">
        <f aca="false">IF(BD208,CHOOSE(Underlying,L208,R208),"")</f>
        <v/>
      </c>
      <c r="CQ208" s="544" t="str">
        <f aca="false">IF(BD208,Strike1/CP208-1,"")</f>
        <v/>
      </c>
      <c r="CR208" s="544" t="str">
        <f aca="false">IF(BD208,Strike2/CP208-1,"")</f>
        <v/>
      </c>
      <c r="CS208" s="544" t="str">
        <f aca="false">IF(BD208,IF(CQ208&gt;0,IF(CQ208&gt;0.2,BC207-BB207,IF(CQ208&gt;0.1,BB207-BA207,BA207)),IF(CQ208&lt;-0.2,AX207-AY207,IF(CQ208&lt;-0.1,AY207-AZ207,AZ207))),"")</f>
        <v/>
      </c>
      <c r="CT208" s="544" t="str">
        <f aca="false">IF(BD208,IF(CR208&gt;0,IF(CR208&gt;0.2,BC207-BB207,IF(CR208&gt;0.1,BB207-BA207,BA207)),IF(CR208&lt;-0.2,AX207-AY207,IF(CR208&lt;-0.1,AY207-AZ207,AZ207))),"")</f>
        <v/>
      </c>
      <c r="CU208" s="545" t="str">
        <f aca="false">IF(BD208,CHOOSE(Underlying,O208,AT208),"")</f>
        <v/>
      </c>
      <c r="CV208" s="545" t="str">
        <f aca="false">IF(BD208,CU208+IF(VolSkewFlag=1,IF(CQ208&gt;0,BA207*MIN(CQ208/10%,1)+(BB207-BA207)*MAX(0,MIN(CQ208/10%-1,1))+(BC207-BB207)*MAX(0,CQ208/10%-2),AZ207*MIN(-CQ208/10%,1)+(AY207-AZ207)*MAX(0,MIN(-CQ208/10%-1,1))+(AX207-AY207)*MAX(0,-CQ208/10%-2)),0),"")</f>
        <v/>
      </c>
      <c r="CW208" s="545" t="str">
        <f aca="false">IF(BD208,CU208+IF(VolSkewFlag=1,IF(CR208&gt;0,BA207*MIN(CR208/10%,1)+(BB207-BA207)*MAX(0,MIN(CR208/10%-1,1))+(BC207-BB207)*MAX(0,CR208/10%-2),AZ207*MIN(-CR208/10%,1)+(AY207-AZ207)*MAX(0,MIN(-CR208/10%-1,1))+(AX207-AY207)*MAX(0,-CR208/10%-2)),0),"")</f>
        <v/>
      </c>
      <c r="CX208" s="470" t="n">
        <f aca="false">IF(BD208,EURO(CP208,Strike1,AO208,AO208,CV208,CO208,IF(OptControl=4,0,1),0),0)</f>
        <v>0</v>
      </c>
      <c r="CY208" s="470" t="n">
        <f aca="false">IF(BD208,EURO(CP208,Strike1,AO208,AO208,CV208,CO208,IF(OptControl=4,0,1),1)+IF(OR(VolSkewFlag=2,ABS(CQ208)&lt;0.0001),0,IF(CQ208&gt;0,-1,1)*CZ208*100*Strike1/CP208^2*CS208/10%),0)</f>
        <v>0</v>
      </c>
      <c r="CZ208" s="470" t="n">
        <f aca="false">IF(BD208,EURO(CP208,Strike1,AO208,AO208,CV208,CO208,IF(OptControl=4,0,1),3)/100,0)</f>
        <v>0</v>
      </c>
      <c r="DA208" s="470" t="n">
        <f aca="false">IF(BD208,EURO(CP208,Strike1,AO208,AO208,CV208,CO208,IF(OptControl=4,0,1),0)-EURO(CP208,Strike1,AO208,AO208,CV208,CO208-1,IF(OptControl=4,0,1),0),0)</f>
        <v>0</v>
      </c>
      <c r="DB208" s="470" t="n">
        <f aca="false">IF(BD208,EURO(CP208,Strike2,AO208,AO208,CW208,CO208,IF(OptControl=3,1,0),0),0)</f>
        <v>0</v>
      </c>
      <c r="DC208" s="470" t="n">
        <f aca="false">IF(BD208,EURO(CP208,Strike2,AO208,AO208,CW208,CO208,IF(OptControl=3,1,0),1)+IF(OR(VolSkewFlag=2,ABS(CR208)&lt;0.0001),0,IF(CR208&gt;0,-1,1)*DD208*100*Strike2/CP208^2*CT208/10%),0)</f>
        <v>0</v>
      </c>
      <c r="DD208" s="470" t="n">
        <f aca="false">IF(BD208,EURO(CP208,Strike2,AO208,AO208,CW208,CO208,IF(OptControl=3,1,0),3)/100,0)</f>
        <v>0</v>
      </c>
      <c r="DE208" s="472" t="n">
        <f aca="false">IF(BD208,EURO(CP208,Strike2,AO208,AO208,CW208,CO208,IF(OptControl=3,1,0),0)-EURO(CP208,Strike2,AO208,AO208,CW208,CO208-1,IF(OptControl=3,1,0),0),0)</f>
        <v>0</v>
      </c>
      <c r="DG208" s="481" t="n">
        <f aca="false">EOMONTH(DG207,0)+1</f>
        <v>51410</v>
      </c>
      <c r="DH208" s="478" t="n">
        <v>23.5600000000001</v>
      </c>
      <c r="DI208" s="479" t="n">
        <v>23.6281818181819</v>
      </c>
      <c r="DJ208" s="480" t="n">
        <f aca="false">DG208</f>
        <v>51410</v>
      </c>
      <c r="DK208" s="478" t="n">
        <v>22.2021788500155</v>
      </c>
      <c r="DL208" s="479" t="n">
        <v>22.4350818181819</v>
      </c>
      <c r="DM208" s="481" t="n">
        <f aca="false">DG208</f>
        <v>51410</v>
      </c>
      <c r="DN208" s="482" t="n">
        <f aca="false">DK208+BrentPhyBrentSpread</f>
        <v>22.2521788500155</v>
      </c>
      <c r="DO208" s="481" t="n">
        <f aca="false">DG208</f>
        <v>51410</v>
      </c>
      <c r="DP208" s="483" t="n">
        <f aca="false">DL208+DQ208</f>
        <v>22.4350818181819</v>
      </c>
      <c r="DQ208" s="546" t="n">
        <v>0</v>
      </c>
      <c r="DR208" s="480" t="n">
        <f aca="false">DG208</f>
        <v>51410</v>
      </c>
      <c r="DS208" s="485" t="n">
        <v>0.111799999999998</v>
      </c>
      <c r="DT208" s="486" t="n">
        <v>0.110981818181816</v>
      </c>
      <c r="DU208" s="480" t="n">
        <f aca="false">DG208</f>
        <v>51410</v>
      </c>
      <c r="DV208" s="485" t="n">
        <v>0.111799999999998</v>
      </c>
      <c r="DW208" s="486" t="n">
        <v>0.110981818181816</v>
      </c>
      <c r="DX208" s="481" t="n">
        <f aca="false">DG208</f>
        <v>51410</v>
      </c>
      <c r="DY208" s="486" t="n">
        <v>0.35</v>
      </c>
      <c r="DZ208" s="481" t="n">
        <f aca="false">DR208</f>
        <v>51410</v>
      </c>
      <c r="EA208" s="486" t="n">
        <f aca="false">DT208</f>
        <v>0.110981818181816</v>
      </c>
      <c r="EB208" s="195"/>
      <c r="EC208" s="547" t="str">
        <f aca="false">IF(BD208,IF(Underlying=1,AS208,AU208),"")</f>
        <v/>
      </c>
      <c r="ED208" s="548" t="str">
        <f aca="false">IF($BD208,$EC208+IF(VolSkewFlag=1,IF(BS208&gt;0,$BA208*MIN(BS208/10%,1)+($BB208-$BA208)*MAX(0,MIN(BS208/10%-1,1))+($BC208-$BB208)*MAX(0,BS208/10%-2),$AZ208*MIN(-BS208/10%,1)+($AY208-$AZ208)*MAX(0,MIN(-BS208/10%-1,1))+($AX208-$AY208)*MAX(0,-BS208/10%-2)),0),"")</f>
        <v/>
      </c>
      <c r="EE208" s="549" t="str">
        <f aca="false">IF($BD208,$EC208+IF(VolSkewFlag=1,IF(BT208&gt;0,$BA208*MIN(BT208/10%,1)+($BB208-$BA208)*MAX(0,MIN(BT208/10%-1,1))+($BC208-$BB208)*MAX(0,BT208/10%-2),$AZ208*MIN(-BT208/10%,1)+($AY208-$AZ208)*MAX(0,MIN(-BT208/10%-1,1))+($AX208-$AY208)*MAX(0,-BT208/10%-2)),0),"")</f>
        <v/>
      </c>
      <c r="EF208" s="550" t="n">
        <f aca="false">IF(BD208,xASN(BR208,Strike1,AO208,ED208,0,BO208,0,BI208,BL208,IF(OptControl=4,0,1),0),0)</f>
        <v>0</v>
      </c>
      <c r="EG208" s="551" t="n">
        <f aca="false">IF(BD208,xASN(BR208,Strike2,AO208,EE208,0,BO208,0,BI208,BL208,IF(OptControl=3,1,0),0),0)</f>
        <v>0</v>
      </c>
      <c r="EL208" s="1"/>
      <c r="EM208" s="195"/>
      <c r="EN208" s="240"/>
      <c r="EO208" s="240"/>
      <c r="EP208" s="195"/>
      <c r="EQ208" s="407" t="s">
        <v>436</v>
      </c>
      <c r="ES208" s="130"/>
      <c r="ET208" s="19"/>
      <c r="EU208" s="672"/>
      <c r="EV208" s="478"/>
      <c r="EW208" s="131"/>
      <c r="EX208" s="131"/>
      <c r="EY208" s="129"/>
      <c r="EZ208" s="129"/>
      <c r="FA208" s="129"/>
      <c r="FB208" s="129"/>
      <c r="FC208" s="129"/>
      <c r="FD208" s="129"/>
      <c r="FE208" s="129"/>
      <c r="FF208" s="129"/>
      <c r="FG208" s="129"/>
      <c r="FH208" s="129"/>
      <c r="FI208" s="129"/>
      <c r="FJ208" s="571" t="n">
        <v>39</v>
      </c>
      <c r="FK208" s="150" t="str">
        <f aca="false">IF(OR(FK$169&lt;SwaptionFirstMonthPosition+1,$FJ208&lt;SwaptionFirstMonthPosition+1,FK$169&gt;SwaptionFirstMonthPosition+SwaptionNumOfMonths+1,$FJ208&gt;SwaptionFirstMonthPosition+SwaptionNumOfMonths+1),"",IF($FJ208=FK$169,1,IF($FJ208&lt;FK$169,INDEX($FK$170:$ID$241,FK$169,$FJ208),SUMPRODUCT(INDEX($FK$325:$ID$396,FK$169,1+SwaptionShift):INDEX($FK$325:$ID$396,FK$169,SwaptionMonthsToGo+SwaptionShift),INDEX($FK$245:$ID$316,$FJ208-FK$169,73-FK$169+SwaptionShift):INDEX($FK$245:$ID$316,$FJ208-FK$169,72-FK$169+SwaptionMonthsToGo+SwaptionShift))/SQRT(SUM(INDEX($FK363:$ID363,1+SwaptionShift):INDEX($FK363:$ID363,SwaptionMonthsToGo+SwaptionShift))*SUM(INDEX($FK$325:$ID$396,FK$169,1+SwaptionShift):INDEX($FK$325:$ID$396,FK$169,SwaptionMonthsToGo+SwaptionShift))))))</f>
        <v/>
      </c>
      <c r="FL208" s="150" t="str">
        <f aca="false">IF(OR(FL$169&lt;SwaptionFirstMonthPosition+1,$FJ208&lt;SwaptionFirstMonthPosition+1,FL$169&gt;SwaptionFirstMonthPosition+SwaptionNumOfMonths+1,$FJ208&gt;SwaptionFirstMonthPosition+SwaptionNumOfMonths+1),"",IF($FJ208=FL$169,1,IF($FJ208&lt;FL$169,INDEX($FK$170:$ID$241,FL$169,$FJ208),SUMPRODUCT(INDEX($FK$325:$ID$396,FL$169,1+SwaptionShift):INDEX($FK$325:$ID$396,FL$169,SwaptionMonthsToGo+SwaptionShift),INDEX($FK$245:$ID$316,$FJ208-FL$169,73-FL$169+SwaptionShift):INDEX($FK$245:$ID$316,$FJ208-FL$169,72-FL$169+SwaptionMonthsToGo+SwaptionShift))/SQRT(SUM(INDEX($FK363:$ID363,1+SwaptionShift):INDEX($FK363:$ID363,SwaptionMonthsToGo+SwaptionShift))*SUM(INDEX($FK$325:$ID$396,FL$169,1+SwaptionShift):INDEX($FK$325:$ID$396,FL$169,SwaptionMonthsToGo+SwaptionShift))))))</f>
        <v/>
      </c>
      <c r="FM208" s="150" t="str">
        <f aca="false">IF(OR(FM$169&lt;SwaptionFirstMonthPosition+1,$FJ208&lt;SwaptionFirstMonthPosition+1,FM$169&gt;SwaptionFirstMonthPosition+SwaptionNumOfMonths+1,$FJ208&gt;SwaptionFirstMonthPosition+SwaptionNumOfMonths+1),"",IF($FJ208=FM$169,1,IF($FJ208&lt;FM$169,INDEX($FK$170:$ID$241,FM$169,$FJ208),SUMPRODUCT(INDEX($FK$325:$ID$396,FM$169,1+SwaptionShift):INDEX($FK$325:$ID$396,FM$169,SwaptionMonthsToGo+SwaptionShift),INDEX($FK$245:$ID$316,$FJ208-FM$169,73-FM$169+SwaptionShift):INDEX($FK$245:$ID$316,$FJ208-FM$169,72-FM$169+SwaptionMonthsToGo+SwaptionShift))/SQRT(SUM(INDEX($FK363:$ID363,1+SwaptionShift):INDEX($FK363:$ID363,SwaptionMonthsToGo+SwaptionShift))*SUM(INDEX($FK$325:$ID$396,FM$169,1+SwaptionShift):INDEX($FK$325:$ID$396,FM$169,SwaptionMonthsToGo+SwaptionShift))))))</f>
        <v/>
      </c>
      <c r="FN208" s="150" t="str">
        <f aca="false">IF(OR(FN$169&lt;SwaptionFirstMonthPosition+1,$FJ208&lt;SwaptionFirstMonthPosition+1,FN$169&gt;SwaptionFirstMonthPosition+SwaptionNumOfMonths+1,$FJ208&gt;SwaptionFirstMonthPosition+SwaptionNumOfMonths+1),"",IF($FJ208=FN$169,1,IF($FJ208&lt;FN$169,INDEX($FK$170:$ID$241,FN$169,$FJ208),SUMPRODUCT(INDEX($FK$325:$ID$396,FN$169,1+SwaptionShift):INDEX($FK$325:$ID$396,FN$169,SwaptionMonthsToGo+SwaptionShift),INDEX($FK$245:$ID$316,$FJ208-FN$169,73-FN$169+SwaptionShift):INDEX($FK$245:$ID$316,$FJ208-FN$169,72-FN$169+SwaptionMonthsToGo+SwaptionShift))/SQRT(SUM(INDEX($FK363:$ID363,1+SwaptionShift):INDEX($FK363:$ID363,SwaptionMonthsToGo+SwaptionShift))*SUM(INDEX($FK$325:$ID$396,FN$169,1+SwaptionShift):INDEX($FK$325:$ID$396,FN$169,SwaptionMonthsToGo+SwaptionShift))))))</f>
        <v/>
      </c>
      <c r="FO208" s="150" t="str">
        <f aca="false">IF(OR(FO$169&lt;SwaptionFirstMonthPosition+1,$FJ208&lt;SwaptionFirstMonthPosition+1,FO$169&gt;SwaptionFirstMonthPosition+SwaptionNumOfMonths+1,$FJ208&gt;SwaptionFirstMonthPosition+SwaptionNumOfMonths+1),"",IF($FJ208=FO$169,1,IF($FJ208&lt;FO$169,INDEX($FK$170:$ID$241,FO$169,$FJ208),SUMPRODUCT(INDEX($FK$325:$ID$396,FO$169,1+SwaptionShift):INDEX($FK$325:$ID$396,FO$169,SwaptionMonthsToGo+SwaptionShift),INDEX($FK$245:$ID$316,$FJ208-FO$169,73-FO$169+SwaptionShift):INDEX($FK$245:$ID$316,$FJ208-FO$169,72-FO$169+SwaptionMonthsToGo+SwaptionShift))/SQRT(SUM(INDEX($FK363:$ID363,1+SwaptionShift):INDEX($FK363:$ID363,SwaptionMonthsToGo+SwaptionShift))*SUM(INDEX($FK$325:$ID$396,FO$169,1+SwaptionShift):INDEX($FK$325:$ID$396,FO$169,SwaptionMonthsToGo+SwaptionShift))))))</f>
        <v/>
      </c>
      <c r="FP208" s="150" t="str">
        <f aca="false">IF(OR(FP$169&lt;SwaptionFirstMonthPosition+1,$FJ208&lt;SwaptionFirstMonthPosition+1,FP$169&gt;SwaptionFirstMonthPosition+SwaptionNumOfMonths+1,$FJ208&gt;SwaptionFirstMonthPosition+SwaptionNumOfMonths+1),"",IF($FJ208=FP$169,1,IF($FJ208&lt;FP$169,INDEX($FK$170:$ID$241,FP$169,$FJ208),SUMPRODUCT(INDEX($FK$325:$ID$396,FP$169,1+SwaptionShift):INDEX($FK$325:$ID$396,FP$169,SwaptionMonthsToGo+SwaptionShift),INDEX($FK$245:$ID$316,$FJ208-FP$169,73-FP$169+SwaptionShift):INDEX($FK$245:$ID$316,$FJ208-FP$169,72-FP$169+SwaptionMonthsToGo+SwaptionShift))/SQRT(SUM(INDEX($FK363:$ID363,1+SwaptionShift):INDEX($FK363:$ID363,SwaptionMonthsToGo+SwaptionShift))*SUM(INDEX($FK$325:$ID$396,FP$169,1+SwaptionShift):INDEX($FK$325:$ID$396,FP$169,SwaptionMonthsToGo+SwaptionShift))))))</f>
        <v/>
      </c>
      <c r="FQ208" s="150" t="str">
        <f aca="false">IF(OR(FQ$169&lt;SwaptionFirstMonthPosition+1,$FJ208&lt;SwaptionFirstMonthPosition+1,FQ$169&gt;SwaptionFirstMonthPosition+SwaptionNumOfMonths+1,$FJ208&gt;SwaptionFirstMonthPosition+SwaptionNumOfMonths+1),"",IF($FJ208=FQ$169,1,IF($FJ208&lt;FQ$169,INDEX($FK$170:$ID$241,FQ$169,$FJ208),SUMPRODUCT(INDEX($FK$325:$ID$396,FQ$169,1+SwaptionShift):INDEX($FK$325:$ID$396,FQ$169,SwaptionMonthsToGo+SwaptionShift),INDEX($FK$245:$ID$316,$FJ208-FQ$169,73-FQ$169+SwaptionShift):INDEX($FK$245:$ID$316,$FJ208-FQ$169,72-FQ$169+SwaptionMonthsToGo+SwaptionShift))/SQRT(SUM(INDEX($FK363:$ID363,1+SwaptionShift):INDEX($FK363:$ID363,SwaptionMonthsToGo+SwaptionShift))*SUM(INDEX($FK$325:$ID$396,FQ$169,1+SwaptionShift):INDEX($FK$325:$ID$396,FQ$169,SwaptionMonthsToGo+SwaptionShift))))))</f>
        <v/>
      </c>
      <c r="FR208" s="150" t="str">
        <f aca="false">IF(OR(FR$169&lt;SwaptionFirstMonthPosition+1,$FJ208&lt;SwaptionFirstMonthPosition+1,FR$169&gt;SwaptionFirstMonthPosition+SwaptionNumOfMonths+1,$FJ208&gt;SwaptionFirstMonthPosition+SwaptionNumOfMonths+1),"",IF($FJ208=FR$169,1,IF($FJ208&lt;FR$169,INDEX($FK$170:$ID$241,FR$169,$FJ208),SUMPRODUCT(INDEX($FK$325:$ID$396,FR$169,1+SwaptionShift):INDEX($FK$325:$ID$396,FR$169,SwaptionMonthsToGo+SwaptionShift),INDEX($FK$245:$ID$316,$FJ208-FR$169,73-FR$169+SwaptionShift):INDEX($FK$245:$ID$316,$FJ208-FR$169,72-FR$169+SwaptionMonthsToGo+SwaptionShift))/SQRT(SUM(INDEX($FK363:$ID363,1+SwaptionShift):INDEX($FK363:$ID363,SwaptionMonthsToGo+SwaptionShift))*SUM(INDEX($FK$325:$ID$396,FR$169,1+SwaptionShift):INDEX($FK$325:$ID$396,FR$169,SwaptionMonthsToGo+SwaptionShift))))))</f>
        <v/>
      </c>
      <c r="FS208" s="150" t="str">
        <f aca="false">IF(OR(FS$169&lt;SwaptionFirstMonthPosition+1,$FJ208&lt;SwaptionFirstMonthPosition+1,FS$169&gt;SwaptionFirstMonthPosition+SwaptionNumOfMonths+1,$FJ208&gt;SwaptionFirstMonthPosition+SwaptionNumOfMonths+1),"",IF($FJ208=FS$169,1,IF($FJ208&lt;FS$169,INDEX($FK$170:$ID$241,FS$169,$FJ208),SUMPRODUCT(INDEX($FK$325:$ID$396,FS$169,1+SwaptionShift):INDEX($FK$325:$ID$396,FS$169,SwaptionMonthsToGo+SwaptionShift),INDEX($FK$245:$ID$316,$FJ208-FS$169,73-FS$169+SwaptionShift):INDEX($FK$245:$ID$316,$FJ208-FS$169,72-FS$169+SwaptionMonthsToGo+SwaptionShift))/SQRT(SUM(INDEX($FK363:$ID363,1+SwaptionShift):INDEX($FK363:$ID363,SwaptionMonthsToGo+SwaptionShift))*SUM(INDEX($FK$325:$ID$396,FS$169,1+SwaptionShift):INDEX($FK$325:$ID$396,FS$169,SwaptionMonthsToGo+SwaptionShift))))))</f>
        <v/>
      </c>
      <c r="FT208" s="150" t="str">
        <f aca="false">IF(OR(FT$169&lt;SwaptionFirstMonthPosition+1,$FJ208&lt;SwaptionFirstMonthPosition+1,FT$169&gt;SwaptionFirstMonthPosition+SwaptionNumOfMonths+1,$FJ208&gt;SwaptionFirstMonthPosition+SwaptionNumOfMonths+1),"",IF($FJ208=FT$169,1,IF($FJ208&lt;FT$169,INDEX($FK$170:$ID$241,FT$169,$FJ208),SUMPRODUCT(INDEX($FK$325:$ID$396,FT$169,1+SwaptionShift):INDEX($FK$325:$ID$396,FT$169,SwaptionMonthsToGo+SwaptionShift),INDEX($FK$245:$ID$316,$FJ208-FT$169,73-FT$169+SwaptionShift):INDEX($FK$245:$ID$316,$FJ208-FT$169,72-FT$169+SwaptionMonthsToGo+SwaptionShift))/SQRT(SUM(INDEX($FK363:$ID363,1+SwaptionShift):INDEX($FK363:$ID363,SwaptionMonthsToGo+SwaptionShift))*SUM(INDEX($FK$325:$ID$396,FT$169,1+SwaptionShift):INDEX($FK$325:$ID$396,FT$169,SwaptionMonthsToGo+SwaptionShift))))))</f>
        <v/>
      </c>
      <c r="FU208" s="150" t="str">
        <f aca="false">IF(OR(FU$169&lt;SwaptionFirstMonthPosition+1,$FJ208&lt;SwaptionFirstMonthPosition+1,FU$169&gt;SwaptionFirstMonthPosition+SwaptionNumOfMonths+1,$FJ208&gt;SwaptionFirstMonthPosition+SwaptionNumOfMonths+1),"",IF($FJ208=FU$169,1,IF($FJ208&lt;FU$169,INDEX($FK$170:$ID$241,FU$169,$FJ208),SUMPRODUCT(INDEX($FK$325:$ID$396,FU$169,1+SwaptionShift):INDEX($FK$325:$ID$396,FU$169,SwaptionMonthsToGo+SwaptionShift),INDEX($FK$245:$ID$316,$FJ208-FU$169,73-FU$169+SwaptionShift):INDEX($FK$245:$ID$316,$FJ208-FU$169,72-FU$169+SwaptionMonthsToGo+SwaptionShift))/SQRT(SUM(INDEX($FK363:$ID363,1+SwaptionShift):INDEX($FK363:$ID363,SwaptionMonthsToGo+SwaptionShift))*SUM(INDEX($FK$325:$ID$396,FU$169,1+SwaptionShift):INDEX($FK$325:$ID$396,FU$169,SwaptionMonthsToGo+SwaptionShift))))))</f>
        <v/>
      </c>
      <c r="FV208" s="150" t="str">
        <f aca="false">IF(OR(FV$169&lt;SwaptionFirstMonthPosition+1,$FJ208&lt;SwaptionFirstMonthPosition+1,FV$169&gt;SwaptionFirstMonthPosition+SwaptionNumOfMonths+1,$FJ208&gt;SwaptionFirstMonthPosition+SwaptionNumOfMonths+1),"",IF($FJ208=FV$169,1,IF($FJ208&lt;FV$169,INDEX($FK$170:$ID$241,FV$169,$FJ208),SUMPRODUCT(INDEX($FK$325:$ID$396,FV$169,1+SwaptionShift):INDEX($FK$325:$ID$396,FV$169,SwaptionMonthsToGo+SwaptionShift),INDEX($FK$245:$ID$316,$FJ208-FV$169,73-FV$169+SwaptionShift):INDEX($FK$245:$ID$316,$FJ208-FV$169,72-FV$169+SwaptionMonthsToGo+SwaptionShift))/SQRT(SUM(INDEX($FK363:$ID363,1+SwaptionShift):INDEX($FK363:$ID363,SwaptionMonthsToGo+SwaptionShift))*SUM(INDEX($FK$325:$ID$396,FV$169,1+SwaptionShift):INDEX($FK$325:$ID$396,FV$169,SwaptionMonthsToGo+SwaptionShift))))))</f>
        <v/>
      </c>
      <c r="FW208" s="150" t="str">
        <f aca="false">IF(OR(FW$169&lt;SwaptionFirstMonthPosition+1,$FJ208&lt;SwaptionFirstMonthPosition+1,FW$169&gt;SwaptionFirstMonthPosition+SwaptionNumOfMonths+1,$FJ208&gt;SwaptionFirstMonthPosition+SwaptionNumOfMonths+1),"",IF($FJ208=FW$169,1,IF($FJ208&lt;FW$169,INDEX($FK$170:$ID$241,FW$169,$FJ208),SUMPRODUCT(INDEX($FK$325:$ID$396,FW$169,1+SwaptionShift):INDEX($FK$325:$ID$396,FW$169,SwaptionMonthsToGo+SwaptionShift),INDEX($FK$245:$ID$316,$FJ208-FW$169,73-FW$169+SwaptionShift):INDEX($FK$245:$ID$316,$FJ208-FW$169,72-FW$169+SwaptionMonthsToGo+SwaptionShift))/SQRT(SUM(INDEX($FK363:$ID363,1+SwaptionShift):INDEX($FK363:$ID363,SwaptionMonthsToGo+SwaptionShift))*SUM(INDEX($FK$325:$ID$396,FW$169,1+SwaptionShift):INDEX($FK$325:$ID$396,FW$169,SwaptionMonthsToGo+SwaptionShift))))))</f>
        <v/>
      </c>
      <c r="FX208" s="150" t="str">
        <f aca="false">IF(OR(FX$169&lt;SwaptionFirstMonthPosition+1,$FJ208&lt;SwaptionFirstMonthPosition+1,FX$169&gt;SwaptionFirstMonthPosition+SwaptionNumOfMonths+1,$FJ208&gt;SwaptionFirstMonthPosition+SwaptionNumOfMonths+1),"",IF($FJ208=FX$169,1,IF($FJ208&lt;FX$169,INDEX($FK$170:$ID$241,FX$169,$FJ208),SUMPRODUCT(INDEX($FK$325:$ID$396,FX$169,1+SwaptionShift):INDEX($FK$325:$ID$396,FX$169,SwaptionMonthsToGo+SwaptionShift),INDEX($FK$245:$ID$316,$FJ208-FX$169,73-FX$169+SwaptionShift):INDEX($FK$245:$ID$316,$FJ208-FX$169,72-FX$169+SwaptionMonthsToGo+SwaptionShift))/SQRT(SUM(INDEX($FK363:$ID363,1+SwaptionShift):INDEX($FK363:$ID363,SwaptionMonthsToGo+SwaptionShift))*SUM(INDEX($FK$325:$ID$396,FX$169,1+SwaptionShift):INDEX($FK$325:$ID$396,FX$169,SwaptionMonthsToGo+SwaptionShift))))))</f>
        <v/>
      </c>
      <c r="FY208" s="150" t="str">
        <f aca="false">IF(OR(FY$169&lt;SwaptionFirstMonthPosition+1,$FJ208&lt;SwaptionFirstMonthPosition+1,FY$169&gt;SwaptionFirstMonthPosition+SwaptionNumOfMonths+1,$FJ208&gt;SwaptionFirstMonthPosition+SwaptionNumOfMonths+1),"",IF($FJ208=FY$169,1,IF($FJ208&lt;FY$169,INDEX($FK$170:$ID$241,FY$169,$FJ208),SUMPRODUCT(INDEX($FK$325:$ID$396,FY$169,1+SwaptionShift):INDEX($FK$325:$ID$396,FY$169,SwaptionMonthsToGo+SwaptionShift),INDEX($FK$245:$ID$316,$FJ208-FY$169,73-FY$169+SwaptionShift):INDEX($FK$245:$ID$316,$FJ208-FY$169,72-FY$169+SwaptionMonthsToGo+SwaptionShift))/SQRT(SUM(INDEX($FK363:$ID363,1+SwaptionShift):INDEX($FK363:$ID363,SwaptionMonthsToGo+SwaptionShift))*SUM(INDEX($FK$325:$ID$396,FY$169,1+SwaptionShift):INDEX($FK$325:$ID$396,FY$169,SwaptionMonthsToGo+SwaptionShift))))))</f>
        <v/>
      </c>
      <c r="FZ208" s="150" t="str">
        <f aca="false">IF(OR(FZ$169&lt;SwaptionFirstMonthPosition+1,$FJ208&lt;SwaptionFirstMonthPosition+1,FZ$169&gt;SwaptionFirstMonthPosition+SwaptionNumOfMonths+1,$FJ208&gt;SwaptionFirstMonthPosition+SwaptionNumOfMonths+1),"",IF($FJ208=FZ$169,1,IF($FJ208&lt;FZ$169,INDEX($FK$170:$ID$241,FZ$169,$FJ208),SUMPRODUCT(INDEX($FK$325:$ID$396,FZ$169,1+SwaptionShift):INDEX($FK$325:$ID$396,FZ$169,SwaptionMonthsToGo+SwaptionShift),INDEX($FK$245:$ID$316,$FJ208-FZ$169,73-FZ$169+SwaptionShift):INDEX($FK$245:$ID$316,$FJ208-FZ$169,72-FZ$169+SwaptionMonthsToGo+SwaptionShift))/SQRT(SUM(INDEX($FK363:$ID363,1+SwaptionShift):INDEX($FK363:$ID363,SwaptionMonthsToGo+SwaptionShift))*SUM(INDEX($FK$325:$ID$396,FZ$169,1+SwaptionShift):INDEX($FK$325:$ID$396,FZ$169,SwaptionMonthsToGo+SwaptionShift))))))</f>
        <v/>
      </c>
      <c r="GA208" s="150" t="str">
        <f aca="false">IF(OR(GA$169&lt;SwaptionFirstMonthPosition+1,$FJ208&lt;SwaptionFirstMonthPosition+1,GA$169&gt;SwaptionFirstMonthPosition+SwaptionNumOfMonths+1,$FJ208&gt;SwaptionFirstMonthPosition+SwaptionNumOfMonths+1),"",IF($FJ208=GA$169,1,IF($FJ208&lt;GA$169,INDEX($FK$170:$ID$241,GA$169,$FJ208),SUMPRODUCT(INDEX($FK$325:$ID$396,GA$169,1+SwaptionShift):INDEX($FK$325:$ID$396,GA$169,SwaptionMonthsToGo+SwaptionShift),INDEX($FK$245:$ID$316,$FJ208-GA$169,73-GA$169+SwaptionShift):INDEX($FK$245:$ID$316,$FJ208-GA$169,72-GA$169+SwaptionMonthsToGo+SwaptionShift))/SQRT(SUM(INDEX($FK363:$ID363,1+SwaptionShift):INDEX($FK363:$ID363,SwaptionMonthsToGo+SwaptionShift))*SUM(INDEX($FK$325:$ID$396,GA$169,1+SwaptionShift):INDEX($FK$325:$ID$396,GA$169,SwaptionMonthsToGo+SwaptionShift))))))</f>
        <v/>
      </c>
      <c r="GB208" s="150" t="str">
        <f aca="false">IF(OR(GB$169&lt;SwaptionFirstMonthPosition+1,$FJ208&lt;SwaptionFirstMonthPosition+1,GB$169&gt;SwaptionFirstMonthPosition+SwaptionNumOfMonths+1,$FJ208&gt;SwaptionFirstMonthPosition+SwaptionNumOfMonths+1),"",IF($FJ208=GB$169,1,IF($FJ208&lt;GB$169,INDEX($FK$170:$ID$241,GB$169,$FJ208),SUMPRODUCT(INDEX($FK$325:$ID$396,GB$169,1+SwaptionShift):INDEX($FK$325:$ID$396,GB$169,SwaptionMonthsToGo+SwaptionShift),INDEX($FK$245:$ID$316,$FJ208-GB$169,73-GB$169+SwaptionShift):INDEX($FK$245:$ID$316,$FJ208-GB$169,72-GB$169+SwaptionMonthsToGo+SwaptionShift))/SQRT(SUM(INDEX($FK363:$ID363,1+SwaptionShift):INDEX($FK363:$ID363,SwaptionMonthsToGo+SwaptionShift))*SUM(INDEX($FK$325:$ID$396,GB$169,1+SwaptionShift):INDEX($FK$325:$ID$396,GB$169,SwaptionMonthsToGo+SwaptionShift))))))</f>
        <v/>
      </c>
      <c r="GC208" s="150" t="str">
        <f aca="false">IF(OR(GC$169&lt;SwaptionFirstMonthPosition+1,$FJ208&lt;SwaptionFirstMonthPosition+1,GC$169&gt;SwaptionFirstMonthPosition+SwaptionNumOfMonths+1,$FJ208&gt;SwaptionFirstMonthPosition+SwaptionNumOfMonths+1),"",IF($FJ208=GC$169,1,IF($FJ208&lt;GC$169,INDEX($FK$170:$ID$241,GC$169,$FJ208),SUMPRODUCT(INDEX($FK$325:$ID$396,GC$169,1+SwaptionShift):INDEX($FK$325:$ID$396,GC$169,SwaptionMonthsToGo+SwaptionShift),INDEX($FK$245:$ID$316,$FJ208-GC$169,73-GC$169+SwaptionShift):INDEX($FK$245:$ID$316,$FJ208-GC$169,72-GC$169+SwaptionMonthsToGo+SwaptionShift))/SQRT(SUM(INDEX($FK363:$ID363,1+SwaptionShift):INDEX($FK363:$ID363,SwaptionMonthsToGo+SwaptionShift))*SUM(INDEX($FK$325:$ID$396,GC$169,1+SwaptionShift):INDEX($FK$325:$ID$396,GC$169,SwaptionMonthsToGo+SwaptionShift))))))</f>
        <v/>
      </c>
      <c r="GD208" s="150" t="str">
        <f aca="false">IF(OR(GD$169&lt;SwaptionFirstMonthPosition+1,$FJ208&lt;SwaptionFirstMonthPosition+1,GD$169&gt;SwaptionFirstMonthPosition+SwaptionNumOfMonths+1,$FJ208&gt;SwaptionFirstMonthPosition+SwaptionNumOfMonths+1),"",IF($FJ208=GD$169,1,IF($FJ208&lt;GD$169,INDEX($FK$170:$ID$241,GD$169,$FJ208),SUMPRODUCT(INDEX($FK$325:$ID$396,GD$169,1+SwaptionShift):INDEX($FK$325:$ID$396,GD$169,SwaptionMonthsToGo+SwaptionShift),INDEX($FK$245:$ID$316,$FJ208-GD$169,73-GD$169+SwaptionShift):INDEX($FK$245:$ID$316,$FJ208-GD$169,72-GD$169+SwaptionMonthsToGo+SwaptionShift))/SQRT(SUM(INDEX($FK363:$ID363,1+SwaptionShift):INDEX($FK363:$ID363,SwaptionMonthsToGo+SwaptionShift))*SUM(INDEX($FK$325:$ID$396,GD$169,1+SwaptionShift):INDEX($FK$325:$ID$396,GD$169,SwaptionMonthsToGo+SwaptionShift))))))</f>
        <v/>
      </c>
      <c r="GE208" s="150" t="str">
        <f aca="false">IF(OR(GE$169&lt;SwaptionFirstMonthPosition+1,$FJ208&lt;SwaptionFirstMonthPosition+1,GE$169&gt;SwaptionFirstMonthPosition+SwaptionNumOfMonths+1,$FJ208&gt;SwaptionFirstMonthPosition+SwaptionNumOfMonths+1),"",IF($FJ208=GE$169,1,IF($FJ208&lt;GE$169,INDEX($FK$170:$ID$241,GE$169,$FJ208),SUMPRODUCT(INDEX($FK$325:$ID$396,GE$169,1+SwaptionShift):INDEX($FK$325:$ID$396,GE$169,SwaptionMonthsToGo+SwaptionShift),INDEX($FK$245:$ID$316,$FJ208-GE$169,73-GE$169+SwaptionShift):INDEX($FK$245:$ID$316,$FJ208-GE$169,72-GE$169+SwaptionMonthsToGo+SwaptionShift))/SQRT(SUM(INDEX($FK363:$ID363,1+SwaptionShift):INDEX($FK363:$ID363,SwaptionMonthsToGo+SwaptionShift))*SUM(INDEX($FK$325:$ID$396,GE$169,1+SwaptionShift):INDEX($FK$325:$ID$396,GE$169,SwaptionMonthsToGo+SwaptionShift))))))</f>
        <v/>
      </c>
      <c r="GF208" s="150" t="str">
        <f aca="false">IF(OR(GF$169&lt;SwaptionFirstMonthPosition+1,$FJ208&lt;SwaptionFirstMonthPosition+1,GF$169&gt;SwaptionFirstMonthPosition+SwaptionNumOfMonths+1,$FJ208&gt;SwaptionFirstMonthPosition+SwaptionNumOfMonths+1),"",IF($FJ208=GF$169,1,IF($FJ208&lt;GF$169,INDEX($FK$170:$ID$241,GF$169,$FJ208),SUMPRODUCT(INDEX($FK$325:$ID$396,GF$169,1+SwaptionShift):INDEX($FK$325:$ID$396,GF$169,SwaptionMonthsToGo+SwaptionShift),INDEX($FK$245:$ID$316,$FJ208-GF$169,73-GF$169+SwaptionShift):INDEX($FK$245:$ID$316,$FJ208-GF$169,72-GF$169+SwaptionMonthsToGo+SwaptionShift))/SQRT(SUM(INDEX($FK363:$ID363,1+SwaptionShift):INDEX($FK363:$ID363,SwaptionMonthsToGo+SwaptionShift))*SUM(INDEX($FK$325:$ID$396,GF$169,1+SwaptionShift):INDEX($FK$325:$ID$396,GF$169,SwaptionMonthsToGo+SwaptionShift))))))</f>
        <v/>
      </c>
      <c r="GG208" s="150" t="str">
        <f aca="false">IF(OR(GG$169&lt;SwaptionFirstMonthPosition+1,$FJ208&lt;SwaptionFirstMonthPosition+1,GG$169&gt;SwaptionFirstMonthPosition+SwaptionNumOfMonths+1,$FJ208&gt;SwaptionFirstMonthPosition+SwaptionNumOfMonths+1),"",IF($FJ208=GG$169,1,IF($FJ208&lt;GG$169,INDEX($FK$170:$ID$241,GG$169,$FJ208),SUMPRODUCT(INDEX($FK$325:$ID$396,GG$169,1+SwaptionShift):INDEX($FK$325:$ID$396,GG$169,SwaptionMonthsToGo+SwaptionShift),INDEX($FK$245:$ID$316,$FJ208-GG$169,73-GG$169+SwaptionShift):INDEX($FK$245:$ID$316,$FJ208-GG$169,72-GG$169+SwaptionMonthsToGo+SwaptionShift))/SQRT(SUM(INDEX($FK363:$ID363,1+SwaptionShift):INDEX($FK363:$ID363,SwaptionMonthsToGo+SwaptionShift))*SUM(INDEX($FK$325:$ID$396,GG$169,1+SwaptionShift):INDEX($FK$325:$ID$396,GG$169,SwaptionMonthsToGo+SwaptionShift))))))</f>
        <v/>
      </c>
      <c r="GH208" s="150" t="str">
        <f aca="false">IF(OR(GH$169&lt;SwaptionFirstMonthPosition+1,$FJ208&lt;SwaptionFirstMonthPosition+1,GH$169&gt;SwaptionFirstMonthPosition+SwaptionNumOfMonths+1,$FJ208&gt;SwaptionFirstMonthPosition+SwaptionNumOfMonths+1),"",IF($FJ208=GH$169,1,IF($FJ208&lt;GH$169,INDEX($FK$170:$ID$241,GH$169,$FJ208),SUMPRODUCT(INDEX($FK$325:$ID$396,GH$169,1+SwaptionShift):INDEX($FK$325:$ID$396,GH$169,SwaptionMonthsToGo+SwaptionShift),INDEX($FK$245:$ID$316,$FJ208-GH$169,73-GH$169+SwaptionShift):INDEX($FK$245:$ID$316,$FJ208-GH$169,72-GH$169+SwaptionMonthsToGo+SwaptionShift))/SQRT(SUM(INDEX($FK363:$ID363,1+SwaptionShift):INDEX($FK363:$ID363,SwaptionMonthsToGo+SwaptionShift))*SUM(INDEX($FK$325:$ID$396,GH$169,1+SwaptionShift):INDEX($FK$325:$ID$396,GH$169,SwaptionMonthsToGo+SwaptionShift))))))</f>
        <v/>
      </c>
      <c r="GI208" s="150" t="str">
        <f aca="false">IF(OR(GI$169&lt;SwaptionFirstMonthPosition+1,$FJ208&lt;SwaptionFirstMonthPosition+1,GI$169&gt;SwaptionFirstMonthPosition+SwaptionNumOfMonths+1,$FJ208&gt;SwaptionFirstMonthPosition+SwaptionNumOfMonths+1),"",IF($FJ208=GI$169,1,IF($FJ208&lt;GI$169,INDEX($FK$170:$ID$241,GI$169,$FJ208),SUMPRODUCT(INDEX($FK$325:$ID$396,GI$169,1+SwaptionShift):INDEX($FK$325:$ID$396,GI$169,SwaptionMonthsToGo+SwaptionShift),INDEX($FK$245:$ID$316,$FJ208-GI$169,73-GI$169+SwaptionShift):INDEX($FK$245:$ID$316,$FJ208-GI$169,72-GI$169+SwaptionMonthsToGo+SwaptionShift))/SQRT(SUM(INDEX($FK363:$ID363,1+SwaptionShift):INDEX($FK363:$ID363,SwaptionMonthsToGo+SwaptionShift))*SUM(INDEX($FK$325:$ID$396,GI$169,1+SwaptionShift):INDEX($FK$325:$ID$396,GI$169,SwaptionMonthsToGo+SwaptionShift))))))</f>
        <v/>
      </c>
      <c r="GJ208" s="150" t="str">
        <f aca="false">IF(OR(GJ$169&lt;SwaptionFirstMonthPosition+1,$FJ208&lt;SwaptionFirstMonthPosition+1,GJ$169&gt;SwaptionFirstMonthPosition+SwaptionNumOfMonths+1,$FJ208&gt;SwaptionFirstMonthPosition+SwaptionNumOfMonths+1),"",IF($FJ208=GJ$169,1,IF($FJ208&lt;GJ$169,INDEX($FK$170:$ID$241,GJ$169,$FJ208),SUMPRODUCT(INDEX($FK$325:$ID$396,GJ$169,1+SwaptionShift):INDEX($FK$325:$ID$396,GJ$169,SwaptionMonthsToGo+SwaptionShift),INDEX($FK$245:$ID$316,$FJ208-GJ$169,73-GJ$169+SwaptionShift):INDEX($FK$245:$ID$316,$FJ208-GJ$169,72-GJ$169+SwaptionMonthsToGo+SwaptionShift))/SQRT(SUM(INDEX($FK363:$ID363,1+SwaptionShift):INDEX($FK363:$ID363,SwaptionMonthsToGo+SwaptionShift))*SUM(INDEX($FK$325:$ID$396,GJ$169,1+SwaptionShift):INDEX($FK$325:$ID$396,GJ$169,SwaptionMonthsToGo+SwaptionShift))))))</f>
        <v/>
      </c>
      <c r="GK208" s="150" t="str">
        <f aca="false">IF(OR(GK$169&lt;SwaptionFirstMonthPosition+1,$FJ208&lt;SwaptionFirstMonthPosition+1,GK$169&gt;SwaptionFirstMonthPosition+SwaptionNumOfMonths+1,$FJ208&gt;SwaptionFirstMonthPosition+SwaptionNumOfMonths+1),"",IF($FJ208=GK$169,1,IF($FJ208&lt;GK$169,INDEX($FK$170:$ID$241,GK$169,$FJ208),SUMPRODUCT(INDEX($FK$325:$ID$396,GK$169,1+SwaptionShift):INDEX($FK$325:$ID$396,GK$169,SwaptionMonthsToGo+SwaptionShift),INDEX($FK$245:$ID$316,$FJ208-GK$169,73-GK$169+SwaptionShift):INDEX($FK$245:$ID$316,$FJ208-GK$169,72-GK$169+SwaptionMonthsToGo+SwaptionShift))/SQRT(SUM(INDEX($FK363:$ID363,1+SwaptionShift):INDEX($FK363:$ID363,SwaptionMonthsToGo+SwaptionShift))*SUM(INDEX($FK$325:$ID$396,GK$169,1+SwaptionShift):INDEX($FK$325:$ID$396,GK$169,SwaptionMonthsToGo+SwaptionShift))))))</f>
        <v/>
      </c>
      <c r="GL208" s="150" t="str">
        <f aca="false">IF(OR(GL$169&lt;SwaptionFirstMonthPosition+1,$FJ208&lt;SwaptionFirstMonthPosition+1,GL$169&gt;SwaptionFirstMonthPosition+SwaptionNumOfMonths+1,$FJ208&gt;SwaptionFirstMonthPosition+SwaptionNumOfMonths+1),"",IF($FJ208=GL$169,1,IF($FJ208&lt;GL$169,INDEX($FK$170:$ID$241,GL$169,$FJ208),SUMPRODUCT(INDEX($FK$325:$ID$396,GL$169,1+SwaptionShift):INDEX($FK$325:$ID$396,GL$169,SwaptionMonthsToGo+SwaptionShift),INDEX($FK$245:$ID$316,$FJ208-GL$169,73-GL$169+SwaptionShift):INDEX($FK$245:$ID$316,$FJ208-GL$169,72-GL$169+SwaptionMonthsToGo+SwaptionShift))/SQRT(SUM(INDEX($FK363:$ID363,1+SwaptionShift):INDEX($FK363:$ID363,SwaptionMonthsToGo+SwaptionShift))*SUM(INDEX($FK$325:$ID$396,GL$169,1+SwaptionShift):INDEX($FK$325:$ID$396,GL$169,SwaptionMonthsToGo+SwaptionShift))))))</f>
        <v/>
      </c>
      <c r="GM208" s="150" t="str">
        <f aca="false">IF(OR(GM$169&lt;SwaptionFirstMonthPosition+1,$FJ208&lt;SwaptionFirstMonthPosition+1,GM$169&gt;SwaptionFirstMonthPosition+SwaptionNumOfMonths+1,$FJ208&gt;SwaptionFirstMonthPosition+SwaptionNumOfMonths+1),"",IF($FJ208=GM$169,1,IF($FJ208&lt;GM$169,INDEX($FK$170:$ID$241,GM$169,$FJ208),SUMPRODUCT(INDEX($FK$325:$ID$396,GM$169,1+SwaptionShift):INDEX($FK$325:$ID$396,GM$169,SwaptionMonthsToGo+SwaptionShift),INDEX($FK$245:$ID$316,$FJ208-GM$169,73-GM$169+SwaptionShift):INDEX($FK$245:$ID$316,$FJ208-GM$169,72-GM$169+SwaptionMonthsToGo+SwaptionShift))/SQRT(SUM(INDEX($FK363:$ID363,1+SwaptionShift):INDEX($FK363:$ID363,SwaptionMonthsToGo+SwaptionShift))*SUM(INDEX($FK$325:$ID$396,GM$169,1+SwaptionShift):INDEX($FK$325:$ID$396,GM$169,SwaptionMonthsToGo+SwaptionShift))))))</f>
        <v/>
      </c>
      <c r="GN208" s="150" t="str">
        <f aca="false">IF(OR(GN$169&lt;SwaptionFirstMonthPosition+1,$FJ208&lt;SwaptionFirstMonthPosition+1,GN$169&gt;SwaptionFirstMonthPosition+SwaptionNumOfMonths+1,$FJ208&gt;SwaptionFirstMonthPosition+SwaptionNumOfMonths+1),"",IF($FJ208=GN$169,1,IF($FJ208&lt;GN$169,INDEX($FK$170:$ID$241,GN$169,$FJ208),SUMPRODUCT(INDEX($FK$325:$ID$396,GN$169,1+SwaptionShift):INDEX($FK$325:$ID$396,GN$169,SwaptionMonthsToGo+SwaptionShift),INDEX($FK$245:$ID$316,$FJ208-GN$169,73-GN$169+SwaptionShift):INDEX($FK$245:$ID$316,$FJ208-GN$169,72-GN$169+SwaptionMonthsToGo+SwaptionShift))/SQRT(SUM(INDEX($FK363:$ID363,1+SwaptionShift):INDEX($FK363:$ID363,SwaptionMonthsToGo+SwaptionShift))*SUM(INDEX($FK$325:$ID$396,GN$169,1+SwaptionShift):INDEX($FK$325:$ID$396,GN$169,SwaptionMonthsToGo+SwaptionShift))))))</f>
        <v/>
      </c>
      <c r="GO208" s="150" t="str">
        <f aca="false">IF(OR(GO$169&lt;SwaptionFirstMonthPosition+1,$FJ208&lt;SwaptionFirstMonthPosition+1,GO$169&gt;SwaptionFirstMonthPosition+SwaptionNumOfMonths+1,$FJ208&gt;SwaptionFirstMonthPosition+SwaptionNumOfMonths+1),"",IF($FJ208=GO$169,1,IF($FJ208&lt;GO$169,INDEX($FK$170:$ID$241,GO$169,$FJ208),SUMPRODUCT(INDEX($FK$325:$ID$396,GO$169,1+SwaptionShift):INDEX($FK$325:$ID$396,GO$169,SwaptionMonthsToGo+SwaptionShift),INDEX($FK$245:$ID$316,$FJ208-GO$169,73-GO$169+SwaptionShift):INDEX($FK$245:$ID$316,$FJ208-GO$169,72-GO$169+SwaptionMonthsToGo+SwaptionShift))/SQRT(SUM(INDEX($FK363:$ID363,1+SwaptionShift):INDEX($FK363:$ID363,SwaptionMonthsToGo+SwaptionShift))*SUM(INDEX($FK$325:$ID$396,GO$169,1+SwaptionShift):INDEX($FK$325:$ID$396,GO$169,SwaptionMonthsToGo+SwaptionShift))))))</f>
        <v/>
      </c>
      <c r="GP208" s="150" t="str">
        <f aca="false">IF(OR(GP$169&lt;SwaptionFirstMonthPosition+1,$FJ208&lt;SwaptionFirstMonthPosition+1,GP$169&gt;SwaptionFirstMonthPosition+SwaptionNumOfMonths+1,$FJ208&gt;SwaptionFirstMonthPosition+SwaptionNumOfMonths+1),"",IF($FJ208=GP$169,1,IF($FJ208&lt;GP$169,INDEX($FK$170:$ID$241,GP$169,$FJ208),SUMPRODUCT(INDEX($FK$325:$ID$396,GP$169,1+SwaptionShift):INDEX($FK$325:$ID$396,GP$169,SwaptionMonthsToGo+SwaptionShift),INDEX($FK$245:$ID$316,$FJ208-GP$169,73-GP$169+SwaptionShift):INDEX($FK$245:$ID$316,$FJ208-GP$169,72-GP$169+SwaptionMonthsToGo+SwaptionShift))/SQRT(SUM(INDEX($FK363:$ID363,1+SwaptionShift):INDEX($FK363:$ID363,SwaptionMonthsToGo+SwaptionShift))*SUM(INDEX($FK$325:$ID$396,GP$169,1+SwaptionShift):INDEX($FK$325:$ID$396,GP$169,SwaptionMonthsToGo+SwaptionShift))))))</f>
        <v/>
      </c>
      <c r="GQ208" s="150" t="str">
        <f aca="false">IF(OR(GQ$169&lt;SwaptionFirstMonthPosition+1,$FJ208&lt;SwaptionFirstMonthPosition+1,GQ$169&gt;SwaptionFirstMonthPosition+SwaptionNumOfMonths+1,$FJ208&gt;SwaptionFirstMonthPosition+SwaptionNumOfMonths+1),"",IF($FJ208=GQ$169,1,IF($FJ208&lt;GQ$169,INDEX($FK$170:$ID$241,GQ$169,$FJ208),SUMPRODUCT(INDEX($FK$325:$ID$396,GQ$169,1+SwaptionShift):INDEX($FK$325:$ID$396,GQ$169,SwaptionMonthsToGo+SwaptionShift),INDEX($FK$245:$ID$316,$FJ208-GQ$169,73-GQ$169+SwaptionShift):INDEX($FK$245:$ID$316,$FJ208-GQ$169,72-GQ$169+SwaptionMonthsToGo+SwaptionShift))/SQRT(SUM(INDEX($FK363:$ID363,1+SwaptionShift):INDEX($FK363:$ID363,SwaptionMonthsToGo+SwaptionShift))*SUM(INDEX($FK$325:$ID$396,GQ$169,1+SwaptionShift):INDEX($FK$325:$ID$396,GQ$169,SwaptionMonthsToGo+SwaptionShift))))))</f>
        <v/>
      </c>
      <c r="GR208" s="150" t="str">
        <f aca="false">IF(OR(GR$169&lt;SwaptionFirstMonthPosition+1,$FJ208&lt;SwaptionFirstMonthPosition+1,GR$169&gt;SwaptionFirstMonthPosition+SwaptionNumOfMonths+1,$FJ208&gt;SwaptionFirstMonthPosition+SwaptionNumOfMonths+1),"",IF($FJ208=GR$169,1,IF($FJ208&lt;GR$169,INDEX($FK$170:$ID$241,GR$169,$FJ208),SUMPRODUCT(INDEX($FK$325:$ID$396,GR$169,1+SwaptionShift):INDEX($FK$325:$ID$396,GR$169,SwaptionMonthsToGo+SwaptionShift),INDEX($FK$245:$ID$316,$FJ208-GR$169,73-GR$169+SwaptionShift):INDEX($FK$245:$ID$316,$FJ208-GR$169,72-GR$169+SwaptionMonthsToGo+SwaptionShift))/SQRT(SUM(INDEX($FK363:$ID363,1+SwaptionShift):INDEX($FK363:$ID363,SwaptionMonthsToGo+SwaptionShift))*SUM(INDEX($FK$325:$ID$396,GR$169,1+SwaptionShift):INDEX($FK$325:$ID$396,GR$169,SwaptionMonthsToGo+SwaptionShift))))))</f>
        <v/>
      </c>
      <c r="GS208" s="150" t="str">
        <f aca="false">IF(OR(GS$169&lt;SwaptionFirstMonthPosition+1,$FJ208&lt;SwaptionFirstMonthPosition+1,GS$169&gt;SwaptionFirstMonthPosition+SwaptionNumOfMonths+1,$FJ208&gt;SwaptionFirstMonthPosition+SwaptionNumOfMonths+1),"",IF($FJ208=GS$169,1,IF($FJ208&lt;GS$169,INDEX($FK$170:$ID$241,GS$169,$FJ208),SUMPRODUCT(INDEX($FK$325:$ID$396,GS$169,1+SwaptionShift):INDEX($FK$325:$ID$396,GS$169,SwaptionMonthsToGo+SwaptionShift),INDEX($FK$245:$ID$316,$FJ208-GS$169,73-GS$169+SwaptionShift):INDEX($FK$245:$ID$316,$FJ208-GS$169,72-GS$169+SwaptionMonthsToGo+SwaptionShift))/SQRT(SUM(INDEX($FK363:$ID363,1+SwaptionShift):INDEX($FK363:$ID363,SwaptionMonthsToGo+SwaptionShift))*SUM(INDEX($FK$325:$ID$396,GS$169,1+SwaptionShift):INDEX($FK$325:$ID$396,GS$169,SwaptionMonthsToGo+SwaptionShift))))))</f>
        <v/>
      </c>
      <c r="GT208" s="150" t="str">
        <f aca="false">IF(OR(GT$169&lt;SwaptionFirstMonthPosition+1,$FJ208&lt;SwaptionFirstMonthPosition+1,GT$169&gt;SwaptionFirstMonthPosition+SwaptionNumOfMonths+1,$FJ208&gt;SwaptionFirstMonthPosition+SwaptionNumOfMonths+1),"",IF($FJ208=GT$169,1,IF($FJ208&lt;GT$169,INDEX($FK$170:$ID$241,GT$169,$FJ208),SUMPRODUCT(INDEX($FK$325:$ID$396,GT$169,1+SwaptionShift):INDEX($FK$325:$ID$396,GT$169,SwaptionMonthsToGo+SwaptionShift),INDEX($FK$245:$ID$316,$FJ208-GT$169,73-GT$169+SwaptionShift):INDEX($FK$245:$ID$316,$FJ208-GT$169,72-GT$169+SwaptionMonthsToGo+SwaptionShift))/SQRT(SUM(INDEX($FK363:$ID363,1+SwaptionShift):INDEX($FK363:$ID363,SwaptionMonthsToGo+SwaptionShift))*SUM(INDEX($FK$325:$ID$396,GT$169,1+SwaptionShift):INDEX($FK$325:$ID$396,GT$169,SwaptionMonthsToGo+SwaptionShift))))))</f>
        <v/>
      </c>
      <c r="GU208" s="150" t="str">
        <f aca="false">IF(OR(GU$169&lt;SwaptionFirstMonthPosition+1,$FJ208&lt;SwaptionFirstMonthPosition+1,GU$169&gt;SwaptionFirstMonthPosition+SwaptionNumOfMonths+1,$FJ208&gt;SwaptionFirstMonthPosition+SwaptionNumOfMonths+1),"",IF($FJ208=GU$169,1,IF($FJ208&lt;GU$169,INDEX($FK$170:$ID$241,GU$169,$FJ208),SUMPRODUCT(INDEX($FK$325:$ID$396,GU$169,1+SwaptionShift):INDEX($FK$325:$ID$396,GU$169,SwaptionMonthsToGo+SwaptionShift),INDEX($FK$245:$ID$316,$FJ208-GU$169,73-GU$169+SwaptionShift):INDEX($FK$245:$ID$316,$FJ208-GU$169,72-GU$169+SwaptionMonthsToGo+SwaptionShift))/SQRT(SUM(INDEX($FK363:$ID363,1+SwaptionShift):INDEX($FK363:$ID363,SwaptionMonthsToGo+SwaptionShift))*SUM(INDEX($FK$325:$ID$396,GU$169,1+SwaptionShift):INDEX($FK$325:$ID$396,GU$169,SwaptionMonthsToGo+SwaptionShift))))))</f>
        <v/>
      </c>
      <c r="GV208" s="150" t="str">
        <f aca="false">IF(OR(GV$169&lt;SwaptionFirstMonthPosition+1,$FJ208&lt;SwaptionFirstMonthPosition+1,GV$169&gt;SwaptionFirstMonthPosition+SwaptionNumOfMonths+1,$FJ208&gt;SwaptionFirstMonthPosition+SwaptionNumOfMonths+1),"",IF($FJ208=GV$169,1,IF($FJ208&lt;GV$169,INDEX($FK$170:$ID$241,GV$169,$FJ208),SUMPRODUCT(INDEX($FK$325:$ID$396,GV$169,1+SwaptionShift):INDEX($FK$325:$ID$396,GV$169,SwaptionMonthsToGo+SwaptionShift),INDEX($FK$245:$ID$316,$FJ208-GV$169,73-GV$169+SwaptionShift):INDEX($FK$245:$ID$316,$FJ208-GV$169,72-GV$169+SwaptionMonthsToGo+SwaptionShift))/SQRT(SUM(INDEX($FK363:$ID363,1+SwaptionShift):INDEX($FK363:$ID363,SwaptionMonthsToGo+SwaptionShift))*SUM(INDEX($FK$325:$ID$396,GV$169,1+SwaptionShift):INDEX($FK$325:$ID$396,GV$169,SwaptionMonthsToGo+SwaptionShift))))))</f>
        <v/>
      </c>
      <c r="GW208" s="150" t="str">
        <f aca="false">IF(OR(GW$169&lt;SwaptionFirstMonthPosition+1,$FJ208&lt;SwaptionFirstMonthPosition+1,GW$169&gt;SwaptionFirstMonthPosition+SwaptionNumOfMonths+1,$FJ208&gt;SwaptionFirstMonthPosition+SwaptionNumOfMonths+1),"",IF($FJ208=GW$169,1,IF($FJ208&lt;GW$169,INDEX($FK$170:$ID$241,GW$169,$FJ208),SUMPRODUCT(INDEX($FK$325:$ID$396,GW$169,1+SwaptionShift):INDEX($FK$325:$ID$396,GW$169,SwaptionMonthsToGo+SwaptionShift),INDEX($FK$245:$ID$316,$FJ208-GW$169,73-GW$169+SwaptionShift):INDEX($FK$245:$ID$316,$FJ208-GW$169,72-GW$169+SwaptionMonthsToGo+SwaptionShift))/SQRT(SUM(INDEX($FK363:$ID363,1+SwaptionShift):INDEX($FK363:$ID363,SwaptionMonthsToGo+SwaptionShift))*SUM(INDEX($FK$325:$ID$396,GW$169,1+SwaptionShift):INDEX($FK$325:$ID$396,GW$169,SwaptionMonthsToGo+SwaptionShift))))))</f>
        <v/>
      </c>
      <c r="GX208" s="150" t="str">
        <f aca="false">IF(OR(GX$169&lt;SwaptionFirstMonthPosition+1,$FJ208&lt;SwaptionFirstMonthPosition+1,GX$169&gt;SwaptionFirstMonthPosition+SwaptionNumOfMonths+1,$FJ208&gt;SwaptionFirstMonthPosition+SwaptionNumOfMonths+1),"",IF($FJ208=GX$169,1,IF($FJ208&lt;GX$169,INDEX($FK$170:$ID$241,GX$169,$FJ208),SUMPRODUCT(INDEX($FK$325:$ID$396,GX$169,1+SwaptionShift):INDEX($FK$325:$ID$396,GX$169,SwaptionMonthsToGo+SwaptionShift),INDEX($FK$245:$ID$316,$FJ208-GX$169,73-GX$169+SwaptionShift):INDEX($FK$245:$ID$316,$FJ208-GX$169,72-GX$169+SwaptionMonthsToGo+SwaptionShift))/SQRT(SUM(INDEX($FK363:$ID363,1+SwaptionShift):INDEX($FK363:$ID363,SwaptionMonthsToGo+SwaptionShift))*SUM(INDEX($FK$325:$ID$396,GX$169,1+SwaptionShift):INDEX($FK$325:$ID$396,GX$169,SwaptionMonthsToGo+SwaptionShift))))))</f>
        <v/>
      </c>
      <c r="GY208" s="150" t="str">
        <f aca="false">IF(OR(GY$169&lt;SwaptionFirstMonthPosition+1,$FJ208&lt;SwaptionFirstMonthPosition+1,GY$169&gt;SwaptionFirstMonthPosition+SwaptionNumOfMonths+1,$FJ208&gt;SwaptionFirstMonthPosition+SwaptionNumOfMonths+1),"",IF($FJ208=GY$169,1,IF($FJ208&lt;GY$169,INDEX($FK$170:$ID$241,GY$169,$FJ208),SUMPRODUCT(INDEX($FK$325:$ID$396,GY$169,1+SwaptionShift):INDEX($FK$325:$ID$396,GY$169,SwaptionMonthsToGo+SwaptionShift),INDEX($FK$245:$ID$316,$FJ208-GY$169,73-GY$169+SwaptionShift):INDEX($FK$245:$ID$316,$FJ208-GY$169,72-GY$169+SwaptionMonthsToGo+SwaptionShift))/SQRT(SUM(INDEX($FK363:$ID363,1+SwaptionShift):INDEX($FK363:$ID363,SwaptionMonthsToGo+SwaptionShift))*SUM(INDEX($FK$325:$ID$396,GY$169,1+SwaptionShift):INDEX($FK$325:$ID$396,GY$169,SwaptionMonthsToGo+SwaptionShift))))))</f>
        <v/>
      </c>
      <c r="GZ208" s="150" t="str">
        <f aca="false">IF(OR(GZ$169&lt;SwaptionFirstMonthPosition+1,$FJ208&lt;SwaptionFirstMonthPosition+1,GZ$169&gt;SwaptionFirstMonthPosition+SwaptionNumOfMonths+1,$FJ208&gt;SwaptionFirstMonthPosition+SwaptionNumOfMonths+1),"",IF($FJ208=GZ$169,1,IF($FJ208&lt;GZ$169,INDEX($FK$170:$ID$241,GZ$169,$FJ208),SUMPRODUCT(INDEX($FK$325:$ID$396,GZ$169,1+SwaptionShift):INDEX($FK$325:$ID$396,GZ$169,SwaptionMonthsToGo+SwaptionShift),INDEX($FK$245:$ID$316,$FJ208-GZ$169,73-GZ$169+SwaptionShift):INDEX($FK$245:$ID$316,$FJ208-GZ$169,72-GZ$169+SwaptionMonthsToGo+SwaptionShift))/SQRT(SUM(INDEX($FK363:$ID363,1+SwaptionShift):INDEX($FK363:$ID363,SwaptionMonthsToGo+SwaptionShift))*SUM(INDEX($FK$325:$ID$396,GZ$169,1+SwaptionShift):INDEX($FK$325:$ID$396,GZ$169,SwaptionMonthsToGo+SwaptionShift))))))</f>
        <v/>
      </c>
      <c r="HA208" s="150" t="str">
        <f aca="false">IF(OR(HA$169&lt;SwaptionFirstMonthPosition+1,$FJ208&lt;SwaptionFirstMonthPosition+1,HA$169&gt;SwaptionFirstMonthPosition+SwaptionNumOfMonths+1,$FJ208&gt;SwaptionFirstMonthPosition+SwaptionNumOfMonths+1),"",IF($FJ208=HA$169,1,IF($FJ208&lt;HA$169,INDEX($FK$170:$ID$241,HA$169,$FJ208),SUMPRODUCT(INDEX($FK$325:$ID$396,HA$169,1+SwaptionShift):INDEX($FK$325:$ID$396,HA$169,SwaptionMonthsToGo+SwaptionShift),INDEX($FK$245:$ID$316,$FJ208-HA$169,73-HA$169+SwaptionShift):INDEX($FK$245:$ID$316,$FJ208-HA$169,72-HA$169+SwaptionMonthsToGo+SwaptionShift))/SQRT(SUM(INDEX($FK363:$ID363,1+SwaptionShift):INDEX($FK363:$ID363,SwaptionMonthsToGo+SwaptionShift))*SUM(INDEX($FK$325:$ID$396,HA$169,1+SwaptionShift):INDEX($FK$325:$ID$396,HA$169,SwaptionMonthsToGo+SwaptionShift))))))</f>
        <v/>
      </c>
      <c r="HB208" s="150" t="str">
        <f aca="false">IF(OR(HB$169&lt;SwaptionFirstMonthPosition+1,$FJ208&lt;SwaptionFirstMonthPosition+1,HB$169&gt;SwaptionFirstMonthPosition+SwaptionNumOfMonths+1,$FJ208&gt;SwaptionFirstMonthPosition+SwaptionNumOfMonths+1),"",IF($FJ208=HB$169,1,IF($FJ208&lt;HB$169,INDEX($FK$170:$ID$241,HB$169,$FJ208),SUMPRODUCT(INDEX($FK$325:$ID$396,HB$169,1+SwaptionShift):INDEX($FK$325:$ID$396,HB$169,SwaptionMonthsToGo+SwaptionShift),INDEX($FK$245:$ID$316,$FJ208-HB$169,73-HB$169+SwaptionShift):INDEX($FK$245:$ID$316,$FJ208-HB$169,72-HB$169+SwaptionMonthsToGo+SwaptionShift))/SQRT(SUM(INDEX($FK363:$ID363,1+SwaptionShift):INDEX($FK363:$ID363,SwaptionMonthsToGo+SwaptionShift))*SUM(INDEX($FK$325:$ID$396,HB$169,1+SwaptionShift):INDEX($FK$325:$ID$396,HB$169,SwaptionMonthsToGo+SwaptionShift))))))</f>
        <v/>
      </c>
      <c r="HC208" s="150" t="str">
        <f aca="false">IF(OR(HC$169&lt;SwaptionFirstMonthPosition+1,$FJ208&lt;SwaptionFirstMonthPosition+1,HC$169&gt;SwaptionFirstMonthPosition+SwaptionNumOfMonths+1,$FJ208&gt;SwaptionFirstMonthPosition+SwaptionNumOfMonths+1),"",IF($FJ208=HC$169,1,IF($FJ208&lt;HC$169,INDEX($FK$170:$ID$241,HC$169,$FJ208),SUMPRODUCT(INDEX($FK$325:$ID$396,HC$169,1+SwaptionShift):INDEX($FK$325:$ID$396,HC$169,SwaptionMonthsToGo+SwaptionShift),INDEX($FK$245:$ID$316,$FJ208-HC$169,73-HC$169+SwaptionShift):INDEX($FK$245:$ID$316,$FJ208-HC$169,72-HC$169+SwaptionMonthsToGo+SwaptionShift))/SQRT(SUM(INDEX($FK363:$ID363,1+SwaptionShift):INDEX($FK363:$ID363,SwaptionMonthsToGo+SwaptionShift))*SUM(INDEX($FK$325:$ID$396,HC$169,1+SwaptionShift):INDEX($FK$325:$ID$396,HC$169,SwaptionMonthsToGo+SwaptionShift))))))</f>
        <v/>
      </c>
      <c r="HD208" s="150" t="str">
        <f aca="false">IF(OR(HD$169&lt;SwaptionFirstMonthPosition+1,$FJ208&lt;SwaptionFirstMonthPosition+1,HD$169&gt;SwaptionFirstMonthPosition+SwaptionNumOfMonths+1,$FJ208&gt;SwaptionFirstMonthPosition+SwaptionNumOfMonths+1),"",IF($FJ208=HD$169,1,IF($FJ208&lt;HD$169,INDEX($FK$170:$ID$241,HD$169,$FJ208),SUMPRODUCT(INDEX($FK$325:$ID$396,HD$169,1+SwaptionShift):INDEX($FK$325:$ID$396,HD$169,SwaptionMonthsToGo+SwaptionShift),INDEX($FK$245:$ID$316,$FJ208-HD$169,73-HD$169+SwaptionShift):INDEX($FK$245:$ID$316,$FJ208-HD$169,72-HD$169+SwaptionMonthsToGo+SwaptionShift))/SQRT(SUM(INDEX($FK363:$ID363,1+SwaptionShift):INDEX($FK363:$ID363,SwaptionMonthsToGo+SwaptionShift))*SUM(INDEX($FK$325:$ID$396,HD$169,1+SwaptionShift):INDEX($FK$325:$ID$396,HD$169,SwaptionMonthsToGo+SwaptionShift))))))</f>
        <v/>
      </c>
      <c r="HE208" s="150" t="str">
        <f aca="false">IF(OR(HE$169&lt;SwaptionFirstMonthPosition+1,$FJ208&lt;SwaptionFirstMonthPosition+1,HE$169&gt;SwaptionFirstMonthPosition+SwaptionNumOfMonths+1,$FJ208&gt;SwaptionFirstMonthPosition+SwaptionNumOfMonths+1),"",IF($FJ208=HE$169,1,IF($FJ208&lt;HE$169,INDEX($FK$170:$ID$241,HE$169,$FJ208),SUMPRODUCT(INDEX($FK$325:$ID$396,HE$169,1+SwaptionShift):INDEX($FK$325:$ID$396,HE$169,SwaptionMonthsToGo+SwaptionShift),INDEX($FK$245:$ID$316,$FJ208-HE$169,73-HE$169+SwaptionShift):INDEX($FK$245:$ID$316,$FJ208-HE$169,72-HE$169+SwaptionMonthsToGo+SwaptionShift))/SQRT(SUM(INDEX($FK363:$ID363,1+SwaptionShift):INDEX($FK363:$ID363,SwaptionMonthsToGo+SwaptionShift))*SUM(INDEX($FK$325:$ID$396,HE$169,1+SwaptionShift):INDEX($FK$325:$ID$396,HE$169,SwaptionMonthsToGo+SwaptionShift))))))</f>
        <v/>
      </c>
      <c r="HF208" s="150" t="str">
        <f aca="false">IF(OR(HF$169&lt;SwaptionFirstMonthPosition+1,$FJ208&lt;SwaptionFirstMonthPosition+1,HF$169&gt;SwaptionFirstMonthPosition+SwaptionNumOfMonths+1,$FJ208&gt;SwaptionFirstMonthPosition+SwaptionNumOfMonths+1),"",IF($FJ208=HF$169,1,IF($FJ208&lt;HF$169,INDEX($FK$170:$ID$241,HF$169,$FJ208),SUMPRODUCT(INDEX($FK$325:$ID$396,HF$169,1+SwaptionShift):INDEX($FK$325:$ID$396,HF$169,SwaptionMonthsToGo+SwaptionShift),INDEX($FK$245:$ID$316,$FJ208-HF$169,73-HF$169+SwaptionShift):INDEX($FK$245:$ID$316,$FJ208-HF$169,72-HF$169+SwaptionMonthsToGo+SwaptionShift))/SQRT(SUM(INDEX($FK363:$ID363,1+SwaptionShift):INDEX($FK363:$ID363,SwaptionMonthsToGo+SwaptionShift))*SUM(INDEX($FK$325:$ID$396,HF$169,1+SwaptionShift):INDEX($FK$325:$ID$396,HF$169,SwaptionMonthsToGo+SwaptionShift))))))</f>
        <v/>
      </c>
      <c r="HG208" s="150" t="str">
        <f aca="false">IF(OR(HG$169&lt;SwaptionFirstMonthPosition+1,$FJ208&lt;SwaptionFirstMonthPosition+1,HG$169&gt;SwaptionFirstMonthPosition+SwaptionNumOfMonths+1,$FJ208&gt;SwaptionFirstMonthPosition+SwaptionNumOfMonths+1),"",IF($FJ208=HG$169,1,IF($FJ208&lt;HG$169,INDEX($FK$170:$ID$241,HG$169,$FJ208),SUMPRODUCT(INDEX($FK$325:$ID$396,HG$169,1+SwaptionShift):INDEX($FK$325:$ID$396,HG$169,SwaptionMonthsToGo+SwaptionShift),INDEX($FK$245:$ID$316,$FJ208-HG$169,73-HG$169+SwaptionShift):INDEX($FK$245:$ID$316,$FJ208-HG$169,72-HG$169+SwaptionMonthsToGo+SwaptionShift))/SQRT(SUM(INDEX($FK363:$ID363,1+SwaptionShift):INDEX($FK363:$ID363,SwaptionMonthsToGo+SwaptionShift))*SUM(INDEX($FK$325:$ID$396,HG$169,1+SwaptionShift):INDEX($FK$325:$ID$396,HG$169,SwaptionMonthsToGo+SwaptionShift))))))</f>
        <v/>
      </c>
      <c r="HH208" s="150" t="str">
        <f aca="false">IF(OR(HH$169&lt;SwaptionFirstMonthPosition+1,$FJ208&lt;SwaptionFirstMonthPosition+1,HH$169&gt;SwaptionFirstMonthPosition+SwaptionNumOfMonths+1,$FJ208&gt;SwaptionFirstMonthPosition+SwaptionNumOfMonths+1),"",IF($FJ208=HH$169,1,IF($FJ208&lt;HH$169,INDEX($FK$170:$ID$241,HH$169,$FJ208),SUMPRODUCT(INDEX($FK$325:$ID$396,HH$169,1+SwaptionShift):INDEX($FK$325:$ID$396,HH$169,SwaptionMonthsToGo+SwaptionShift),INDEX($FK$245:$ID$316,$FJ208-HH$169,73-HH$169+SwaptionShift):INDEX($FK$245:$ID$316,$FJ208-HH$169,72-HH$169+SwaptionMonthsToGo+SwaptionShift))/SQRT(SUM(INDEX($FK363:$ID363,1+SwaptionShift):INDEX($FK363:$ID363,SwaptionMonthsToGo+SwaptionShift))*SUM(INDEX($FK$325:$ID$396,HH$169,1+SwaptionShift):INDEX($FK$325:$ID$396,HH$169,SwaptionMonthsToGo+SwaptionShift))))))</f>
        <v/>
      </c>
      <c r="HI208" s="150" t="str">
        <f aca="false">IF(OR(HI$169&lt;SwaptionFirstMonthPosition+1,$FJ208&lt;SwaptionFirstMonthPosition+1,HI$169&gt;SwaptionFirstMonthPosition+SwaptionNumOfMonths+1,$FJ208&gt;SwaptionFirstMonthPosition+SwaptionNumOfMonths+1),"",IF($FJ208=HI$169,1,IF($FJ208&lt;HI$169,INDEX($FK$170:$ID$241,HI$169,$FJ208),SUMPRODUCT(INDEX($FK$325:$ID$396,HI$169,1+SwaptionShift):INDEX($FK$325:$ID$396,HI$169,SwaptionMonthsToGo+SwaptionShift),INDEX($FK$245:$ID$316,$FJ208-HI$169,73-HI$169+SwaptionShift):INDEX($FK$245:$ID$316,$FJ208-HI$169,72-HI$169+SwaptionMonthsToGo+SwaptionShift))/SQRT(SUM(INDEX($FK363:$ID363,1+SwaptionShift):INDEX($FK363:$ID363,SwaptionMonthsToGo+SwaptionShift))*SUM(INDEX($FK$325:$ID$396,HI$169,1+SwaptionShift):INDEX($FK$325:$ID$396,HI$169,SwaptionMonthsToGo+SwaptionShift))))))</f>
        <v/>
      </c>
      <c r="HJ208" s="150" t="str">
        <f aca="false">IF(OR(HJ$169&lt;SwaptionFirstMonthPosition+1,$FJ208&lt;SwaptionFirstMonthPosition+1,HJ$169&gt;SwaptionFirstMonthPosition+SwaptionNumOfMonths+1,$FJ208&gt;SwaptionFirstMonthPosition+SwaptionNumOfMonths+1),"",IF($FJ208=HJ$169,1,IF($FJ208&lt;HJ$169,INDEX($FK$170:$ID$241,HJ$169,$FJ208),SUMPRODUCT(INDEX($FK$325:$ID$396,HJ$169,1+SwaptionShift):INDEX($FK$325:$ID$396,HJ$169,SwaptionMonthsToGo+SwaptionShift),INDEX($FK$245:$ID$316,$FJ208-HJ$169,73-HJ$169+SwaptionShift):INDEX($FK$245:$ID$316,$FJ208-HJ$169,72-HJ$169+SwaptionMonthsToGo+SwaptionShift))/SQRT(SUM(INDEX($FK363:$ID363,1+SwaptionShift):INDEX($FK363:$ID363,SwaptionMonthsToGo+SwaptionShift))*SUM(INDEX($FK$325:$ID$396,HJ$169,1+SwaptionShift):INDEX($FK$325:$ID$396,HJ$169,SwaptionMonthsToGo+SwaptionShift))))))</f>
        <v/>
      </c>
      <c r="HK208" s="150" t="str">
        <f aca="false">IF(OR(HK$169&lt;SwaptionFirstMonthPosition+1,$FJ208&lt;SwaptionFirstMonthPosition+1,HK$169&gt;SwaptionFirstMonthPosition+SwaptionNumOfMonths+1,$FJ208&gt;SwaptionFirstMonthPosition+SwaptionNumOfMonths+1),"",IF($FJ208=HK$169,1,IF($FJ208&lt;HK$169,INDEX($FK$170:$ID$241,HK$169,$FJ208),SUMPRODUCT(INDEX($FK$325:$ID$396,HK$169,1+SwaptionShift):INDEX($FK$325:$ID$396,HK$169,SwaptionMonthsToGo+SwaptionShift),INDEX($FK$245:$ID$316,$FJ208-HK$169,73-HK$169+SwaptionShift):INDEX($FK$245:$ID$316,$FJ208-HK$169,72-HK$169+SwaptionMonthsToGo+SwaptionShift))/SQRT(SUM(INDEX($FK363:$ID363,1+SwaptionShift):INDEX($FK363:$ID363,SwaptionMonthsToGo+SwaptionShift))*SUM(INDEX($FK$325:$ID$396,HK$169,1+SwaptionShift):INDEX($FK$325:$ID$396,HK$169,SwaptionMonthsToGo+SwaptionShift))))))</f>
        <v/>
      </c>
      <c r="HL208" s="150" t="str">
        <f aca="false">IF(OR(HL$169&lt;SwaptionFirstMonthPosition+1,$FJ208&lt;SwaptionFirstMonthPosition+1,HL$169&gt;SwaptionFirstMonthPosition+SwaptionNumOfMonths+1,$FJ208&gt;SwaptionFirstMonthPosition+SwaptionNumOfMonths+1),"",IF($FJ208=HL$169,1,IF($FJ208&lt;HL$169,INDEX($FK$170:$ID$241,HL$169,$FJ208),SUMPRODUCT(INDEX($FK$325:$ID$396,HL$169,1+SwaptionShift):INDEX($FK$325:$ID$396,HL$169,SwaptionMonthsToGo+SwaptionShift),INDEX($FK$245:$ID$316,$FJ208-HL$169,73-HL$169+SwaptionShift):INDEX($FK$245:$ID$316,$FJ208-HL$169,72-HL$169+SwaptionMonthsToGo+SwaptionShift))/SQRT(SUM(INDEX($FK363:$ID363,1+SwaptionShift):INDEX($FK363:$ID363,SwaptionMonthsToGo+SwaptionShift))*SUM(INDEX($FK$325:$ID$396,HL$169,1+SwaptionShift):INDEX($FK$325:$ID$396,HL$169,SwaptionMonthsToGo+SwaptionShift))))))</f>
        <v/>
      </c>
      <c r="HM208" s="150" t="str">
        <f aca="false">IF(OR(HM$169&lt;SwaptionFirstMonthPosition+1,$FJ208&lt;SwaptionFirstMonthPosition+1,HM$169&gt;SwaptionFirstMonthPosition+SwaptionNumOfMonths+1,$FJ208&gt;SwaptionFirstMonthPosition+SwaptionNumOfMonths+1),"",IF($FJ208=HM$169,1,IF($FJ208&lt;HM$169,INDEX($FK$170:$ID$241,HM$169,$FJ208),SUMPRODUCT(INDEX($FK$325:$ID$396,HM$169,1+SwaptionShift):INDEX($FK$325:$ID$396,HM$169,SwaptionMonthsToGo+SwaptionShift),INDEX($FK$245:$ID$316,$FJ208-HM$169,73-HM$169+SwaptionShift):INDEX($FK$245:$ID$316,$FJ208-HM$169,72-HM$169+SwaptionMonthsToGo+SwaptionShift))/SQRT(SUM(INDEX($FK363:$ID363,1+SwaptionShift):INDEX($FK363:$ID363,SwaptionMonthsToGo+SwaptionShift))*SUM(INDEX($FK$325:$ID$396,HM$169,1+SwaptionShift):INDEX($FK$325:$ID$396,HM$169,SwaptionMonthsToGo+SwaptionShift))))))</f>
        <v/>
      </c>
      <c r="HN208" s="150" t="str">
        <f aca="false">IF(OR(HN$169&lt;SwaptionFirstMonthPosition+1,$FJ208&lt;SwaptionFirstMonthPosition+1,HN$169&gt;SwaptionFirstMonthPosition+SwaptionNumOfMonths+1,$FJ208&gt;SwaptionFirstMonthPosition+SwaptionNumOfMonths+1),"",IF($FJ208=HN$169,1,IF($FJ208&lt;HN$169,INDEX($FK$170:$ID$241,HN$169,$FJ208),SUMPRODUCT(INDEX($FK$325:$ID$396,HN$169,1+SwaptionShift):INDEX($FK$325:$ID$396,HN$169,SwaptionMonthsToGo+SwaptionShift),INDEX($FK$245:$ID$316,$FJ208-HN$169,73-HN$169+SwaptionShift):INDEX($FK$245:$ID$316,$FJ208-HN$169,72-HN$169+SwaptionMonthsToGo+SwaptionShift))/SQRT(SUM(INDEX($FK363:$ID363,1+SwaptionShift):INDEX($FK363:$ID363,SwaptionMonthsToGo+SwaptionShift))*SUM(INDEX($FK$325:$ID$396,HN$169,1+SwaptionShift):INDEX($FK$325:$ID$396,HN$169,SwaptionMonthsToGo+SwaptionShift))))))</f>
        <v/>
      </c>
      <c r="HO208" s="150" t="str">
        <f aca="false">IF(OR(HO$169&lt;SwaptionFirstMonthPosition+1,$FJ208&lt;SwaptionFirstMonthPosition+1,HO$169&gt;SwaptionFirstMonthPosition+SwaptionNumOfMonths+1,$FJ208&gt;SwaptionFirstMonthPosition+SwaptionNumOfMonths+1),"",IF($FJ208=HO$169,1,IF($FJ208&lt;HO$169,INDEX($FK$170:$ID$241,HO$169,$FJ208),SUMPRODUCT(INDEX($FK$325:$ID$396,HO$169,1+SwaptionShift):INDEX($FK$325:$ID$396,HO$169,SwaptionMonthsToGo+SwaptionShift),INDEX($FK$245:$ID$316,$FJ208-HO$169,73-HO$169+SwaptionShift):INDEX($FK$245:$ID$316,$FJ208-HO$169,72-HO$169+SwaptionMonthsToGo+SwaptionShift))/SQRT(SUM(INDEX($FK363:$ID363,1+SwaptionShift):INDEX($FK363:$ID363,SwaptionMonthsToGo+SwaptionShift))*SUM(INDEX($FK$325:$ID$396,HO$169,1+SwaptionShift):INDEX($FK$325:$ID$396,HO$169,SwaptionMonthsToGo+SwaptionShift))))))</f>
        <v/>
      </c>
      <c r="HP208" s="150" t="str">
        <f aca="false">IF(OR(HP$169&lt;SwaptionFirstMonthPosition+1,$FJ208&lt;SwaptionFirstMonthPosition+1,HP$169&gt;SwaptionFirstMonthPosition+SwaptionNumOfMonths+1,$FJ208&gt;SwaptionFirstMonthPosition+SwaptionNumOfMonths+1),"",IF($FJ208=HP$169,1,IF($FJ208&lt;HP$169,INDEX($FK$170:$ID$241,HP$169,$FJ208),SUMPRODUCT(INDEX($FK$325:$ID$396,HP$169,1+SwaptionShift):INDEX($FK$325:$ID$396,HP$169,SwaptionMonthsToGo+SwaptionShift),INDEX($FK$245:$ID$316,$FJ208-HP$169,73-HP$169+SwaptionShift):INDEX($FK$245:$ID$316,$FJ208-HP$169,72-HP$169+SwaptionMonthsToGo+SwaptionShift))/SQRT(SUM(INDEX($FK363:$ID363,1+SwaptionShift):INDEX($FK363:$ID363,SwaptionMonthsToGo+SwaptionShift))*SUM(INDEX($FK$325:$ID$396,HP$169,1+SwaptionShift):INDEX($FK$325:$ID$396,HP$169,SwaptionMonthsToGo+SwaptionShift))))))</f>
        <v/>
      </c>
      <c r="HQ208" s="150" t="str">
        <f aca="false">IF(OR(HQ$169&lt;SwaptionFirstMonthPosition+1,$FJ208&lt;SwaptionFirstMonthPosition+1,HQ$169&gt;SwaptionFirstMonthPosition+SwaptionNumOfMonths+1,$FJ208&gt;SwaptionFirstMonthPosition+SwaptionNumOfMonths+1),"",IF($FJ208=HQ$169,1,IF($FJ208&lt;HQ$169,INDEX($FK$170:$ID$241,HQ$169,$FJ208),SUMPRODUCT(INDEX($FK$325:$ID$396,HQ$169,1+SwaptionShift):INDEX($FK$325:$ID$396,HQ$169,SwaptionMonthsToGo+SwaptionShift),INDEX($FK$245:$ID$316,$FJ208-HQ$169,73-HQ$169+SwaptionShift):INDEX($FK$245:$ID$316,$FJ208-HQ$169,72-HQ$169+SwaptionMonthsToGo+SwaptionShift))/SQRT(SUM(INDEX($FK363:$ID363,1+SwaptionShift):INDEX($FK363:$ID363,SwaptionMonthsToGo+SwaptionShift))*SUM(INDEX($FK$325:$ID$396,HQ$169,1+SwaptionShift):INDEX($FK$325:$ID$396,HQ$169,SwaptionMonthsToGo+SwaptionShift))))))</f>
        <v/>
      </c>
      <c r="HR208" s="150" t="str">
        <f aca="false">IF(OR(HR$169&lt;SwaptionFirstMonthPosition+1,$FJ208&lt;SwaptionFirstMonthPosition+1,HR$169&gt;SwaptionFirstMonthPosition+SwaptionNumOfMonths+1,$FJ208&gt;SwaptionFirstMonthPosition+SwaptionNumOfMonths+1),"",IF($FJ208=HR$169,1,IF($FJ208&lt;HR$169,INDEX($FK$170:$ID$241,HR$169,$FJ208),SUMPRODUCT(INDEX($FK$325:$ID$396,HR$169,1+SwaptionShift):INDEX($FK$325:$ID$396,HR$169,SwaptionMonthsToGo+SwaptionShift),INDEX($FK$245:$ID$316,$FJ208-HR$169,73-HR$169+SwaptionShift):INDEX($FK$245:$ID$316,$FJ208-HR$169,72-HR$169+SwaptionMonthsToGo+SwaptionShift))/SQRT(SUM(INDEX($FK363:$ID363,1+SwaptionShift):INDEX($FK363:$ID363,SwaptionMonthsToGo+SwaptionShift))*SUM(INDEX($FK$325:$ID$396,HR$169,1+SwaptionShift):INDEX($FK$325:$ID$396,HR$169,SwaptionMonthsToGo+SwaptionShift))))))</f>
        <v/>
      </c>
      <c r="HS208" s="150" t="str">
        <f aca="false">IF(OR(HS$169&lt;SwaptionFirstMonthPosition+1,$FJ208&lt;SwaptionFirstMonthPosition+1,HS$169&gt;SwaptionFirstMonthPosition+SwaptionNumOfMonths+1,$FJ208&gt;SwaptionFirstMonthPosition+SwaptionNumOfMonths+1),"",IF($FJ208=HS$169,1,IF($FJ208&lt;HS$169,INDEX($FK$170:$ID$241,HS$169,$FJ208),SUMPRODUCT(INDEX($FK$325:$ID$396,HS$169,1+SwaptionShift):INDEX($FK$325:$ID$396,HS$169,SwaptionMonthsToGo+SwaptionShift),INDEX($FK$245:$ID$316,$FJ208-HS$169,73-HS$169+SwaptionShift):INDEX($FK$245:$ID$316,$FJ208-HS$169,72-HS$169+SwaptionMonthsToGo+SwaptionShift))/SQRT(SUM(INDEX($FK363:$ID363,1+SwaptionShift):INDEX($FK363:$ID363,SwaptionMonthsToGo+SwaptionShift))*SUM(INDEX($FK$325:$ID$396,HS$169,1+SwaptionShift):INDEX($FK$325:$ID$396,HS$169,SwaptionMonthsToGo+SwaptionShift))))))</f>
        <v/>
      </c>
      <c r="HT208" s="150" t="str">
        <f aca="false">IF(OR(HT$169&lt;SwaptionFirstMonthPosition+1,$FJ208&lt;SwaptionFirstMonthPosition+1,HT$169&gt;SwaptionFirstMonthPosition+SwaptionNumOfMonths+1,$FJ208&gt;SwaptionFirstMonthPosition+SwaptionNumOfMonths+1),"",IF($FJ208=HT$169,1,IF($FJ208&lt;HT$169,INDEX($FK$170:$ID$241,HT$169,$FJ208),SUMPRODUCT(INDEX($FK$325:$ID$396,HT$169,1+SwaptionShift):INDEX($FK$325:$ID$396,HT$169,SwaptionMonthsToGo+SwaptionShift),INDEX($FK$245:$ID$316,$FJ208-HT$169,73-HT$169+SwaptionShift):INDEX($FK$245:$ID$316,$FJ208-HT$169,72-HT$169+SwaptionMonthsToGo+SwaptionShift))/SQRT(SUM(INDEX($FK363:$ID363,1+SwaptionShift):INDEX($FK363:$ID363,SwaptionMonthsToGo+SwaptionShift))*SUM(INDEX($FK$325:$ID$396,HT$169,1+SwaptionShift):INDEX($FK$325:$ID$396,HT$169,SwaptionMonthsToGo+SwaptionShift))))))</f>
        <v/>
      </c>
      <c r="HU208" s="150" t="str">
        <f aca="false">IF(OR(HU$169&lt;SwaptionFirstMonthPosition+1,$FJ208&lt;SwaptionFirstMonthPosition+1,HU$169&gt;SwaptionFirstMonthPosition+SwaptionNumOfMonths+1,$FJ208&gt;SwaptionFirstMonthPosition+SwaptionNumOfMonths+1),"",IF($FJ208=HU$169,1,IF($FJ208&lt;HU$169,INDEX($FK$170:$ID$241,HU$169,$FJ208),SUMPRODUCT(INDEX($FK$325:$ID$396,HU$169,1+SwaptionShift):INDEX($FK$325:$ID$396,HU$169,SwaptionMonthsToGo+SwaptionShift),INDEX($FK$245:$ID$316,$FJ208-HU$169,73-HU$169+SwaptionShift):INDEX($FK$245:$ID$316,$FJ208-HU$169,72-HU$169+SwaptionMonthsToGo+SwaptionShift))/SQRT(SUM(INDEX($FK363:$ID363,1+SwaptionShift):INDEX($FK363:$ID363,SwaptionMonthsToGo+SwaptionShift))*SUM(INDEX($FK$325:$ID$396,HU$169,1+SwaptionShift):INDEX($FK$325:$ID$396,HU$169,SwaptionMonthsToGo+SwaptionShift))))))</f>
        <v/>
      </c>
      <c r="HV208" s="150" t="str">
        <f aca="false">IF(OR(HV$169&lt;SwaptionFirstMonthPosition+1,$FJ208&lt;SwaptionFirstMonthPosition+1,HV$169&gt;SwaptionFirstMonthPosition+SwaptionNumOfMonths+1,$FJ208&gt;SwaptionFirstMonthPosition+SwaptionNumOfMonths+1),"",IF($FJ208=HV$169,1,IF($FJ208&lt;HV$169,INDEX($FK$170:$ID$241,HV$169,$FJ208),SUMPRODUCT(INDEX($FK$325:$ID$396,HV$169,1+SwaptionShift):INDEX($FK$325:$ID$396,HV$169,SwaptionMonthsToGo+SwaptionShift),INDEX($FK$245:$ID$316,$FJ208-HV$169,73-HV$169+SwaptionShift):INDEX($FK$245:$ID$316,$FJ208-HV$169,72-HV$169+SwaptionMonthsToGo+SwaptionShift))/SQRT(SUM(INDEX($FK363:$ID363,1+SwaptionShift):INDEX($FK363:$ID363,SwaptionMonthsToGo+SwaptionShift))*SUM(INDEX($FK$325:$ID$396,HV$169,1+SwaptionShift):INDEX($FK$325:$ID$396,HV$169,SwaptionMonthsToGo+SwaptionShift))))))</f>
        <v/>
      </c>
      <c r="HW208" s="150" t="str">
        <f aca="false">IF(OR(HW$169&lt;SwaptionFirstMonthPosition+1,$FJ208&lt;SwaptionFirstMonthPosition+1,HW$169&gt;SwaptionFirstMonthPosition+SwaptionNumOfMonths+1,$FJ208&gt;SwaptionFirstMonthPosition+SwaptionNumOfMonths+1),"",IF($FJ208=HW$169,1,IF($FJ208&lt;HW$169,INDEX($FK$170:$ID$241,HW$169,$FJ208),SUMPRODUCT(INDEX($FK$325:$ID$396,HW$169,1+SwaptionShift):INDEX($FK$325:$ID$396,HW$169,SwaptionMonthsToGo+SwaptionShift),INDEX($FK$245:$ID$316,$FJ208-HW$169,73-HW$169+SwaptionShift):INDEX($FK$245:$ID$316,$FJ208-HW$169,72-HW$169+SwaptionMonthsToGo+SwaptionShift))/SQRT(SUM(INDEX($FK363:$ID363,1+SwaptionShift):INDEX($FK363:$ID363,SwaptionMonthsToGo+SwaptionShift))*SUM(INDEX($FK$325:$ID$396,HW$169,1+SwaptionShift):INDEX($FK$325:$ID$396,HW$169,SwaptionMonthsToGo+SwaptionShift))))))</f>
        <v/>
      </c>
      <c r="HX208" s="150" t="str">
        <f aca="false">IF(OR(HX$169&lt;SwaptionFirstMonthPosition+1,$FJ208&lt;SwaptionFirstMonthPosition+1,HX$169&gt;SwaptionFirstMonthPosition+SwaptionNumOfMonths+1,$FJ208&gt;SwaptionFirstMonthPosition+SwaptionNumOfMonths+1),"",IF($FJ208=HX$169,1,IF($FJ208&lt;HX$169,INDEX($FK$170:$ID$241,HX$169,$FJ208),SUMPRODUCT(INDEX($FK$325:$ID$396,HX$169,1+SwaptionShift):INDEX($FK$325:$ID$396,HX$169,SwaptionMonthsToGo+SwaptionShift),INDEX($FK$245:$ID$316,$FJ208-HX$169,73-HX$169+SwaptionShift):INDEX($FK$245:$ID$316,$FJ208-HX$169,72-HX$169+SwaptionMonthsToGo+SwaptionShift))/SQRT(SUM(INDEX($FK363:$ID363,1+SwaptionShift):INDEX($FK363:$ID363,SwaptionMonthsToGo+SwaptionShift))*SUM(INDEX($FK$325:$ID$396,HX$169,1+SwaptionShift):INDEX($FK$325:$ID$396,HX$169,SwaptionMonthsToGo+SwaptionShift))))))</f>
        <v/>
      </c>
      <c r="HY208" s="150" t="str">
        <f aca="false">IF(OR(HY$169&lt;SwaptionFirstMonthPosition+1,$FJ208&lt;SwaptionFirstMonthPosition+1,HY$169&gt;SwaptionFirstMonthPosition+SwaptionNumOfMonths+1,$FJ208&gt;SwaptionFirstMonthPosition+SwaptionNumOfMonths+1),"",IF($FJ208=HY$169,1,IF($FJ208&lt;HY$169,INDEX($FK$170:$ID$241,HY$169,$FJ208),SUMPRODUCT(INDEX($FK$325:$ID$396,HY$169,1+SwaptionShift):INDEX($FK$325:$ID$396,HY$169,SwaptionMonthsToGo+SwaptionShift),INDEX($FK$245:$ID$316,$FJ208-HY$169,73-HY$169+SwaptionShift):INDEX($FK$245:$ID$316,$FJ208-HY$169,72-HY$169+SwaptionMonthsToGo+SwaptionShift))/SQRT(SUM(INDEX($FK363:$ID363,1+SwaptionShift):INDEX($FK363:$ID363,SwaptionMonthsToGo+SwaptionShift))*SUM(INDEX($FK$325:$ID$396,HY$169,1+SwaptionShift):INDEX($FK$325:$ID$396,HY$169,SwaptionMonthsToGo+SwaptionShift))))))</f>
        <v/>
      </c>
      <c r="HZ208" s="150" t="str">
        <f aca="false">IF(OR(HZ$169&lt;SwaptionFirstMonthPosition+1,$FJ208&lt;SwaptionFirstMonthPosition+1,HZ$169&gt;SwaptionFirstMonthPosition+SwaptionNumOfMonths+1,$FJ208&gt;SwaptionFirstMonthPosition+SwaptionNumOfMonths+1),"",IF($FJ208=HZ$169,1,IF($FJ208&lt;HZ$169,INDEX($FK$170:$ID$241,HZ$169,$FJ208),SUMPRODUCT(INDEX($FK$325:$ID$396,HZ$169,1+SwaptionShift):INDEX($FK$325:$ID$396,HZ$169,SwaptionMonthsToGo+SwaptionShift),INDEX($FK$245:$ID$316,$FJ208-HZ$169,73-HZ$169+SwaptionShift):INDEX($FK$245:$ID$316,$FJ208-HZ$169,72-HZ$169+SwaptionMonthsToGo+SwaptionShift))/SQRT(SUM(INDEX($FK363:$ID363,1+SwaptionShift):INDEX($FK363:$ID363,SwaptionMonthsToGo+SwaptionShift))*SUM(INDEX($FK$325:$ID$396,HZ$169,1+SwaptionShift):INDEX($FK$325:$ID$396,HZ$169,SwaptionMonthsToGo+SwaptionShift))))))</f>
        <v/>
      </c>
      <c r="IA208" s="150" t="str">
        <f aca="false">IF(OR(IA$169&lt;SwaptionFirstMonthPosition+1,$FJ208&lt;SwaptionFirstMonthPosition+1,IA$169&gt;SwaptionFirstMonthPosition+SwaptionNumOfMonths+1,$FJ208&gt;SwaptionFirstMonthPosition+SwaptionNumOfMonths+1),"",IF($FJ208=IA$169,1,IF($FJ208&lt;IA$169,INDEX($FK$170:$ID$241,IA$169,$FJ208),SUMPRODUCT(INDEX($FK$325:$ID$396,IA$169,1+SwaptionShift):INDEX($FK$325:$ID$396,IA$169,SwaptionMonthsToGo+SwaptionShift),INDEX($FK$245:$ID$316,$FJ208-IA$169,73-IA$169+SwaptionShift):INDEX($FK$245:$ID$316,$FJ208-IA$169,72-IA$169+SwaptionMonthsToGo+SwaptionShift))/SQRT(SUM(INDEX($FK363:$ID363,1+SwaptionShift):INDEX($FK363:$ID363,SwaptionMonthsToGo+SwaptionShift))*SUM(INDEX($FK$325:$ID$396,IA$169,1+SwaptionShift):INDEX($FK$325:$ID$396,IA$169,SwaptionMonthsToGo+SwaptionShift))))))</f>
        <v/>
      </c>
      <c r="IB208" s="150" t="str">
        <f aca="false">IF(OR(IB$169&lt;SwaptionFirstMonthPosition+1,$FJ208&lt;SwaptionFirstMonthPosition+1,IB$169&gt;SwaptionFirstMonthPosition+SwaptionNumOfMonths+1,$FJ208&gt;SwaptionFirstMonthPosition+SwaptionNumOfMonths+1),"",IF($FJ208=IB$169,1,IF($FJ208&lt;IB$169,INDEX($FK$170:$ID$241,IB$169,$FJ208),SUMPRODUCT(INDEX($FK$325:$ID$396,IB$169,1+SwaptionShift):INDEX($FK$325:$ID$396,IB$169,SwaptionMonthsToGo+SwaptionShift),INDEX($FK$245:$ID$316,$FJ208-IB$169,73-IB$169+SwaptionShift):INDEX($FK$245:$ID$316,$FJ208-IB$169,72-IB$169+SwaptionMonthsToGo+SwaptionShift))/SQRT(SUM(INDEX($FK363:$ID363,1+SwaptionShift):INDEX($FK363:$ID363,SwaptionMonthsToGo+SwaptionShift))*SUM(INDEX($FK$325:$ID$396,IB$169,1+SwaptionShift):INDEX($FK$325:$ID$396,IB$169,SwaptionMonthsToGo+SwaptionShift))))))</f>
        <v/>
      </c>
      <c r="IC208" s="150" t="str">
        <f aca="false">IF(OR(IC$169&lt;SwaptionFirstMonthPosition+1,$FJ208&lt;SwaptionFirstMonthPosition+1,IC$169&gt;SwaptionFirstMonthPosition+SwaptionNumOfMonths+1,$FJ208&gt;SwaptionFirstMonthPosition+SwaptionNumOfMonths+1),"",IF($FJ208=IC$169,1,IF($FJ208&lt;IC$169,INDEX($FK$170:$ID$241,IC$169,$FJ208),SUMPRODUCT(INDEX($FK$325:$ID$396,IC$169,1+SwaptionShift):INDEX($FK$325:$ID$396,IC$169,SwaptionMonthsToGo+SwaptionShift),INDEX($FK$245:$ID$316,$FJ208-IC$169,73-IC$169+SwaptionShift):INDEX($FK$245:$ID$316,$FJ208-IC$169,72-IC$169+SwaptionMonthsToGo+SwaptionShift))/SQRT(SUM(INDEX($FK363:$ID363,1+SwaptionShift):INDEX($FK363:$ID363,SwaptionMonthsToGo+SwaptionShift))*SUM(INDEX($FK$325:$ID$396,IC$169,1+SwaptionShift):INDEX($FK$325:$ID$396,IC$169,SwaptionMonthsToGo+SwaptionShift))))))</f>
        <v/>
      </c>
      <c r="ID208" s="572" t="str">
        <f aca="false">IF(OR(ID$169&lt;SwaptionFirstMonthPosition+1,$FJ208&lt;SwaptionFirstMonthPosition+1,ID$169&gt;SwaptionFirstMonthPosition+SwaptionNumOfMonths+1,$FJ208&gt;SwaptionFirstMonthPosition+SwaptionNumOfMonths+1),"",IF($FJ208=ID$169,1,IF($FJ208&lt;ID$169,INDEX($FK$170:$ID$241,ID$169,$FJ208),SUMPRODUCT(INDEX($FK$325:$ID$396,ID$169,1+SwaptionShift):INDEX($FK$325:$ID$396,ID$169,SwaptionMonthsToGo+SwaptionShift),INDEX($FK$245:$ID$316,$FJ208-ID$169,73-ID$169+SwaptionShift):INDEX($FK$245:$ID$316,$FJ208-ID$169,72-ID$169+SwaptionMonthsToGo+SwaptionShift))/SQRT(SUM(INDEX($FK363:$ID363,1+SwaptionShift):INDEX($FK363:$ID363,SwaptionMonthsToGo+SwaptionShift))*SUM(INDEX($FK$325:$ID$396,ID$169,1+SwaptionShift):INDEX($FK$325:$ID$396,ID$169,SwaptionMonthsToGo+SwaptionShift))))))</f>
        <v/>
      </c>
      <c r="IE208" s="129"/>
    </row>
    <row r="209" customFormat="false" ht="12.75" hidden="false" customHeight="false" outlineLevel="0" collapsed="false">
      <c r="H209" s="219" t="n">
        <f aca="false">VLOOKUP(I209,$EJ$20:$EL$54,3)</f>
        <v>0</v>
      </c>
      <c r="I209" s="511" t="n">
        <f aca="false">EOMONTH(I208,0)+1</f>
        <v>42522</v>
      </c>
      <c r="J209" s="512"/>
      <c r="K209" s="513" t="s">
        <v>280</v>
      </c>
      <c r="L209" s="514" t="n">
        <f aca="false">IF(ISNUMBER(K209),J209+K209/100,IF(K209="extra",L208+VLOOKUP(BF209,PriceSpreadTable,2)/12,IF(K209="inter",interpolateprices($K$19:$L$200,ROW(K209)-ROW(FirstPricingMonth)+1),interpolatechanges($J$19:$K$200,ROW(K209)-ROW(FirstPricingMonth)+1))))</f>
        <v>4.2375</v>
      </c>
      <c r="M209" s="515"/>
      <c r="N209" s="516" t="n">
        <v>0</v>
      </c>
      <c r="O209" s="515" t="n">
        <f aca="false">M209+N209</f>
        <v>0</v>
      </c>
      <c r="P209" s="512"/>
      <c r="Q209" s="513" t="s">
        <v>280</v>
      </c>
      <c r="R209" s="512" t="e">
        <f aca="false">IF(ISNUMBER(Q209),P209+Q209/100,IF(Q209="extra",(Z207*AL207-R208*AM207)/AN207,IF(Q209="inter",interpolateprices($Q$19:$R$260,ROW(Q209)-ROW(FirstPricingMonth)+1),interpolatechanges($P$19:$Q$260,ROW(Q209)-ROW(FirstPricingMonth)+1))))</f>
        <v>#VALUE!</v>
      </c>
      <c r="S209" s="597" t="n">
        <f aca="false">S$19+(S208-S$19)*S$18</f>
        <v>0.36</v>
      </c>
      <c r="T209" s="575" t="n">
        <f aca="false">SQRT((1-(1-T208^2/U208)*T$18)*U209)</f>
        <v>0.999999999999984</v>
      </c>
      <c r="U209" s="576" t="n">
        <f aca="false">1-(1-U208)*U$18</f>
        <v>1</v>
      </c>
      <c r="V209" s="521" t="n">
        <v>0</v>
      </c>
      <c r="W209" s="577" t="n">
        <f aca="false">(J210*AJ209+J211*AK209)/AI209</f>
        <v>0</v>
      </c>
      <c r="X209" s="578" t="n">
        <f aca="false">(L210*AJ209+L211*AK209)/AI209</f>
        <v>4.28863636363637</v>
      </c>
      <c r="Y209" s="579" t="n">
        <f aca="false">IF(Q211="extra",W209-AA209,(P210*AM209+P211*AN209)/AL209)</f>
        <v>-1.2915</v>
      </c>
      <c r="Z209" s="579" t="n">
        <f aca="false">IF(Q211="extra",X209-AB209,(R210*AM209+R211*AN209)/AL209)</f>
        <v>2.99713636363637</v>
      </c>
      <c r="AA209" s="523" t="n">
        <f aca="false">IF(Q211="extra",INDEX(BrentSeasonalityTable,INT((BG209-1)/3)+1)*VLOOKUP(MAX(BF209,$AB$4),PriceSpreadTable,3),W209-Y209)</f>
        <v>1.2915</v>
      </c>
      <c r="AB209" s="524" t="n">
        <f aca="false">IF(Q211="extra",INDEX(BrentSeasonalityTable,INT((BG209-1)/3)+1)*VLOOKUP(MAX(BF209,$AB$4),PriceSpreadTable,3),X209-Z209)</f>
        <v>1.2915</v>
      </c>
      <c r="AC209" s="646" t="n">
        <v>42510</v>
      </c>
      <c r="AD209" s="646" t="n">
        <v>42506</v>
      </c>
      <c r="AE209" s="646" t="n">
        <v>42505</v>
      </c>
      <c r="AF209" s="646" t="n">
        <v>42501</v>
      </c>
      <c r="AG209" s="438" t="s">
        <v>278</v>
      </c>
      <c r="AH209" s="439" t="s">
        <v>278</v>
      </c>
      <c r="AI209" s="528" t="n">
        <v>22</v>
      </c>
      <c r="AJ209" s="529" t="n">
        <v>14</v>
      </c>
      <c r="AK209" s="529" t="n">
        <v>8</v>
      </c>
      <c r="AL209" s="530" t="n">
        <v>22</v>
      </c>
      <c r="AM209" s="529" t="n">
        <v>10</v>
      </c>
      <c r="AN209" s="531" t="n">
        <v>12</v>
      </c>
      <c r="AO209" s="532"/>
      <c r="AP209" s="465" t="n">
        <f aca="false">(1+AO209/2)^(-2*BL209)</f>
        <v>1</v>
      </c>
      <c r="AQ209" s="532"/>
      <c r="AR209" s="465" t="n">
        <f aca="false">(1+AQ209/2)^(-2*BH209/365.25)</f>
        <v>1</v>
      </c>
      <c r="AS209" s="580" t="n">
        <f aca="false">(O210*AJ209+O211*AK209)/AI209</f>
        <v>0</v>
      </c>
      <c r="AT209" s="468" t="n">
        <f aca="false">O209*VLOOKUP(BF209,BrentVolTable,2)+VLOOKUP(BF209,BrentVolTable,3)</f>
        <v>0</v>
      </c>
      <c r="AU209" s="468" t="n">
        <f aca="false">(AT210*AM209+AT211*AN209)/AL209</f>
        <v>0</v>
      </c>
      <c r="AV209" s="595" t="n">
        <f aca="false">SQRT(MAX(0.000000000001,(O209^2*BH209-S209^2*(BH209-BH208))/BH208))</f>
        <v>0.033575039397046</v>
      </c>
      <c r="AW209" s="451" t="n">
        <f aca="false">IF($I209-DateToday+15&gt;=$T$8,"",IF($I209-DateToday+15&lt;$T$5,1,MATCH($I209-DateToday+15,$T$5:$T$8)))</f>
        <v>1</v>
      </c>
      <c r="AX209" s="468" t="n">
        <f aca="false">IF($AW209="",AX208^2/AX207,INDEX(U$5:U$8,$AW209)^((INDEX($T$5:$T$8,$AW209+1)-($I209-DateToday+15))/(INDEX($T$5:$T$8,$AW209+1)-INDEX($T$5:$T$8,$AW209)))/INDEX(U$5:U$8,$AW209+1)^((INDEX($T$5:$T$8,$AW209)-($I209-DateToday+15))/(INDEX($T$5:$T$8,$AW209+1)-INDEX($T$5:$T$8,$AW209))))</f>
        <v>0.220798302653284</v>
      </c>
      <c r="AY209" s="468" t="n">
        <f aca="false">IF($AW209="",AY208^2/AY207,INDEX(V$5:V$8,$AW209)^((INDEX($T$5:$T$8,$AW209+1)-($I209-DateToday+15))/(INDEX($T$5:$T$8,$AW209+1)-INDEX($T$5:$T$8,$AW209)))/INDEX(V$5:V$8,$AW209+1)^((INDEX($T$5:$T$8,$AW209)-($I209-DateToday+15))/(INDEX($T$5:$T$8,$AW209+1)-INDEX($T$5:$T$8,$AW209))))</f>
        <v>1.81779948932049</v>
      </c>
      <c r="AZ209" s="468" t="n">
        <f aca="false">IF($AW209="",AZ208^2/AZ207,INDEX(W$5:W$8,$AW209)^((INDEX($T$5:$T$8,$AW209+1)-($I209-DateToday+15))/(INDEX($T$5:$T$8,$AW209+1)-INDEX($T$5:$T$8,$AW209)))/INDEX(W$5:W$8,$AW209+1)^((INDEX($T$5:$T$8,$AW209)-($I209-DateToday+15))/(INDEX($T$5:$T$8,$AW209+1)-INDEX($T$5:$T$8,$AW209))))</f>
        <v>123.847718582135</v>
      </c>
      <c r="BA209" s="468" t="n">
        <f aca="false">IF($AW209="",BA208^2/BA207,INDEX(X$5:X$8,$AW209)^((INDEX($T$5:$T$8,$AW209+1)-($I209-DateToday+15))/(INDEX($T$5:$T$8,$AW209+1)-INDEX($T$5:$T$8,$AW209)))/INDEX(X$5:X$8,$AW209+1)^((INDEX($T$5:$T$8,$AW209)-($I209-DateToday+15))/(INDEX($T$5:$T$8,$AW209+1)-INDEX($T$5:$T$8,$AW209))))</f>
        <v>284.847563025176</v>
      </c>
      <c r="BB209" s="468" t="n">
        <f aca="false">IF($AW209="",BB208^2/BB207,INDEX(Y$5:Y$8,$AW209)^((INDEX($T$5:$T$8,$AW209+1)-($I209-DateToday+15))/(INDEX($T$5:$T$8,$AW209+1)-INDEX($T$5:$T$8,$AW209)))/INDEX(Y$5:Y$8,$AW209+1)^((INDEX($T$5:$T$8,$AW209)-($I209-DateToday+15))/(INDEX($T$5:$T$8,$AW209+1)-INDEX($T$5:$T$8,$AW209))))</f>
        <v>1212.5936810168</v>
      </c>
      <c r="BC209" s="468" t="n">
        <f aca="false">IF($AW209="",BC208^2/BC207,INDEX(Z$5:Z$8,$AW209)^((INDEX($T$5:$T$8,$AW209+1)-($I209-DateToday+15))/(INDEX($T$5:$T$8,$AW209+1)-INDEX($T$5:$T$8,$AW209)))/INDEX(Z$5:Z$8,$AW209+1)^((INDEX($T$5:$T$8,$AW209)-($I209-DateToday+15))/(INDEX($T$5:$T$8,$AW209+1)-INDEX($T$5:$T$8,$AW209))))</f>
        <v>2962.94652491891</v>
      </c>
      <c r="BD209" s="535" t="n">
        <f aca="false">IF(OR(DateStart&gt;=I210,DateEnd&lt;I209),0,IF(VolumeOverrideFlag,V209,Volume))</f>
        <v>0</v>
      </c>
      <c r="BE209" s="536" t="n">
        <f aca="false">IF(OR(DateStart2&gt;=I210,DateEnd2&lt;I209),0,IF(VolumeOverrideFlag,V209,VolumeSwaption))</f>
        <v>0</v>
      </c>
      <c r="BF209" s="537" t="n">
        <f aca="false">YEAR(I209)</f>
        <v>2016</v>
      </c>
      <c r="BG209" s="538" t="n">
        <f aca="false">MONTH(I209)</f>
        <v>6</v>
      </c>
      <c r="BH209" s="539" t="n">
        <f aca="false">AD209-DateToday+1</f>
        <v>-3419</v>
      </c>
      <c r="BI209" s="540" t="n">
        <f aca="false">(I209-DateToday+1)/365.25</f>
        <v>-9.31690622861054</v>
      </c>
      <c r="BJ209" s="541" t="n">
        <f aca="false">BI209+(BL209-BI209)*CHOOSE(Underlying,AJ209/AI209,AM209/AL209)</f>
        <v>-9.26638043681165</v>
      </c>
      <c r="BK209" s="541" t="n">
        <f aca="false">BJ209+1/365.25</f>
        <v>-9.26364258602452</v>
      </c>
      <c r="BL209" s="541" t="n">
        <f aca="false">(I210-DateToday)/365.25</f>
        <v>-9.23750855578371</v>
      </c>
      <c r="BM209" s="542" t="e">
        <f aca="false">MAX(BI209-(BJ209-BI209)*(S210^2/O210^2-1),0)</f>
        <v>#DIV/0!</v>
      </c>
      <c r="BN209" s="541" t="e">
        <f aca="false">MAX(BL209+(BL209-BK209)*(S211^2/O211^2-1),0)</f>
        <v>#DIV/0!</v>
      </c>
      <c r="BO209" s="530" t="n">
        <f aca="false">CHOOSE(Underlying,AI209,AL209)</f>
        <v>22</v>
      </c>
      <c r="BP209" s="529" t="n">
        <f aca="false">CHOOSE(Underlying,AJ209,AM209)</f>
        <v>14</v>
      </c>
      <c r="BQ209" s="529" t="n">
        <f aca="false">CHOOSE(Underlying,AK209,AN209)</f>
        <v>8</v>
      </c>
      <c r="BR209" s="463" t="str">
        <f aca="false">IF(BD209,IF(Underlying=1,X209,Z209)+UnderlyingPriceAsian-SwapPriceCurve,"")</f>
        <v/>
      </c>
      <c r="BS209" s="463" t="str">
        <f aca="false">IF(BD209,Strike1/BR209-1,"")</f>
        <v/>
      </c>
      <c r="BT209" s="464" t="str">
        <f aca="false">IF(BD209,Strike2/BR209-1,"")</f>
        <v/>
      </c>
      <c r="BU209" s="465" t="str">
        <f aca="false">IF(BD209,IF(Underlying=1,L210,R210)+UnderlyingPriceAsian-SwapPriceCurve,"")</f>
        <v/>
      </c>
      <c r="BV209" s="465" t="str">
        <f aca="false">IF(BD209,IF(Underlying=1,L211,R211)+UnderlyingPriceAsian-SwapPriceCurve,"")</f>
        <v/>
      </c>
      <c r="BW209" s="466" t="str">
        <f aca="false">IF(BD209,IF(Underlying=1,O210,AT210),"")</f>
        <v/>
      </c>
      <c r="BX209" s="467" t="str">
        <f aca="false">IF(BD209,IF(Underlying=1,O211,AT211),"")</f>
        <v/>
      </c>
      <c r="BY209" s="466" t="str">
        <f aca="false">IF(BD209,IF(BS209&gt;0,IF(BS209&gt;0.2,BC209-BB209,IF(BS209&gt;0.1,BB209-BA209,BA209)),IF(BS209&lt;-0.2,AX209-AY209,IF(BS209&lt;-0.1,AY209-AZ209,AZ209))),"")</f>
        <v/>
      </c>
      <c r="BZ209" s="467" t="str">
        <f aca="false">IF(BD209,IF(BT209&gt;0,IF(BT209&gt;0.2,BC209-BB209,IF(BT209&gt;0.1,BB209-BA209,BA209)),IF(BT209&lt;-0.2,AX209-AY209,IF(BT209&lt;-0.1,AY209-AZ209,AZ209))),"")</f>
        <v/>
      </c>
      <c r="CA209" s="468" t="str">
        <f aca="false">IF($BD209,$BW209+IF(VolSkewFlag=1,IF(BS209&gt;0,$BA209*MIN(BS209/10%,1)+($BB209-$BA209)*MAX(0,MIN(BS209/10%-1,1))+($BC209-$BB209)*MAX(0,BS209/10%-2),$AZ209*MIN(-BS209/10%,1)+($AY209-$AZ209)*MAX(0,MIN(-BS209/10%-1,1))+($AX209-$AY209)*MAX(0,-BS209/10%-2)),0),"")</f>
        <v/>
      </c>
      <c r="CB209" s="468" t="str">
        <f aca="false">IF($BD209,$BX209+IF(VolSkewFlag=1,IF(BS209&gt;0,$BA209*MIN(BS209/10%,1)+($BB209-$BA209)*MAX(0,MIN(BS209/10%-1,1))+($BC209-$BB209)*MAX(0,BS209/10%-2),$AZ209*MIN(-BS209/10%,1)+($AY209-$AZ209)*MAX(0,MIN(-BS209/10%-1,1))+($AX209-$AY209)*MAX(0,-BS209/10%-2)),0),"")</f>
        <v/>
      </c>
      <c r="CC209" s="468" t="str">
        <f aca="false">IF($BD209,$BW209+IF(VolSkewFlag=1,IF(BT209&gt;0,$BA209*MIN(BT209/10%,1)+($BB209-$BA209)*MAX(0,MIN(BT209/10%-1,1))+($BC209-$BB209)*MAX(0,BT209/10%-2),$AZ209*MIN(-BT209/10%,1)+($AY209-$AZ209)*MAX(0,MIN(-BT209/10%-1,1))+($AX209-$AY209)*MAX(0,-BT209/10%-2)),0),"")</f>
        <v/>
      </c>
      <c r="CD209" s="468" t="str">
        <f aca="false">IF($BD209,$BX209+IF(VolSkewFlag=1,IF(BT209&gt;0,$BA209*MIN(BT209/10%,1)+($BB209-$BA209)*MAX(0,MIN(BT209/10%-1,1))+($BC209-$BB209)*MAX(0,BT209/10%-2),$AZ209*MIN(-BT209/10%,1)+($AY209-$AZ209)*MAX(0,MIN(-BT209/10%-1,1))+($AX209-$AY209)*MAX(0,-BT209/10%-2)),0),"")</f>
        <v/>
      </c>
      <c r="CE209" s="469" t="n">
        <v>1</v>
      </c>
      <c r="CF209" s="470" t="n">
        <f aca="false">IF(BD209,xCrudeAPO(BU209,BV209,CA209,CB209,S210,S211,BI209,BL209,BP209,BQ209,0,Strike1,AO209,CE209,0,BL209,IF(OptControl=4,0,1),0,1),0)</f>
        <v>0</v>
      </c>
      <c r="CG209" s="470" t="n">
        <f aca="false">IF(BD209,xCrudeAPO(BU209,BV209,CA209,CB209,S210,S211,BI209,BL209,BP209,BQ209,0,Strike1,AO209,CE209,0,BL209,IF(OptControl=4,0,1),1,1)+xCrudeAPO(BU209,BV209,CA209,CB209,S210,S211,BI209,BL209,BP209,BQ209,0,Strike1,AO209,CE209,0,BL209,IF(OptControl=4,0,1),1,2)+IF(OR(VolSkewFlag=2,ABS(BS209)&lt;0.0001),0,IF(BS209&gt;0,-1,1)*CH209*Strike1/BR209^2*BY209/10%),0)</f>
        <v>0</v>
      </c>
      <c r="CH209" s="470" t="n">
        <f aca="false">IF(BD209,(xCrudeAPO(BU209,BV209,CA209,CB209,S210,S211,BI209,BL209,BP209,BQ209,0,Strike1,AO209,CE209,0,BL209,IF(OptControl=4,0,1),3,1)+xCrudeAPO(BU209,BV209,CA209,CB209,S210,S211,BI209,BL209,BP209,BQ209,0,Strike1,AO209,CE209,0,BL209,IF(OptControl=4,0,1),3,2))/100,0)</f>
        <v>0</v>
      </c>
      <c r="CI209" s="470" t="n">
        <f aca="false">IF(BD209,xCrudeAPO(BU209,BV209,CA209,CB209,S210,S211,BI209-DaysForThetaCalculation/365.25,BL209-DaysForThetaCalculation/365.25,BP209,BQ209,0,Strike1,AO209,CE209,0,BL209,IF(OptControl=4,0,1),0,1)-xCrudeAPO(BU209,BV209,CA209,CB209,S210,S211,BI209,BL209,BP209,BQ209,0,Strike1,AO209,CE209,0,BL209,IF(OptControl=4,0,1),0,1),0)</f>
        <v>0</v>
      </c>
      <c r="CJ209" s="471" t="n">
        <f aca="false">IF(BD209,xCrudeAPO(BU209,BV209,CC209,CD209,S210,S211,BI209,BL209,BP209,BQ209,0,Strike2,AO209,CE209,0,BL209,IF(OptControl=3,1,0),0,1),0)</f>
        <v>0</v>
      </c>
      <c r="CK209" s="470" t="n">
        <f aca="false">IF(BD209,xCrudeAPO(BU209,BV209,CC209,CD209,S210,S211,BI209,BL209,BP209,BQ209,0,Strike2,AO209,CE209,0,BL209,IF(OptControl=3,1,0),1,1)+xCrudeAPO(BU209,BV209,CC209,CD209,S210,S211,BI209,BL209,BP209,BQ209,0,Strike2,AO209,CE209,0,BL209,IF(OptControl=3,1,0),1,2)+IF(OR(VolSkewFlag=2,ABS(BT209)&lt;0.0001),0,IF(BT209&gt;0,-1,1)*CL209*Strike2/BR209^2*BZ209/10%),0)</f>
        <v>0</v>
      </c>
      <c r="CL209" s="470" t="n">
        <f aca="false">IF(BD209,(xCrudeAPO(BU209,BV209,CC209,CD209,S210,S211,BI209,BL209,BP209,BQ209,0,Strike2,AO209,CE209,0,BL209,IF(OptControl=3,1,0),3,1)+xCrudeAPO(BU209,BV209,CC209,CD209,S210,S211,BI209,BL209,BP209,BQ209,0,Strike2,AO209,CE209,0,BL209,IF(OptControl=3,1,0),3,2))/100,0)</f>
        <v>0</v>
      </c>
      <c r="CM209" s="472" t="n">
        <f aca="false">IF(BD209,xCrudeAPO(BU209,BV209,CC209,CD209,S210,S211,BI209-DaysForThetaCalculation/365.25,BL209-DaysForThetaCalculation/365.25,BP209,BQ209,0,Strike2,AO209,CE209,0,BL209,IF(OptControl=3,1,0),0,1)-xCrudeAPO(BU209,BV209,CC209,CD209,S210,S211,BI209,BL209,BP209,BQ209,0,Strike2,AO209,CE209,0,BL209,IF(OptControl=3,1,0),0,1),0)</f>
        <v>0</v>
      </c>
      <c r="CN209" s="3"/>
      <c r="CO209" s="543" t="str">
        <f aca="false">IF(BD209,CHOOSE(Underlying,AD209,AF209)-DateToday+1,"")</f>
        <v/>
      </c>
      <c r="CP209" s="582" t="str">
        <f aca="false">IF(BD209,CHOOSE(Underlying,L209,R209),"")</f>
        <v/>
      </c>
      <c r="CQ209" s="544" t="str">
        <f aca="false">IF(BD209,Strike1/CP209-1,"")</f>
        <v/>
      </c>
      <c r="CR209" s="544" t="str">
        <f aca="false">IF(BD209,Strike2/CP209-1,"")</f>
        <v/>
      </c>
      <c r="CS209" s="544" t="str">
        <f aca="false">IF(BD209,IF(CQ209&gt;0,IF(CQ209&gt;0.2,BC208-BB208,IF(CQ209&gt;0.1,BB208-BA208,BA208)),IF(CQ209&lt;-0.2,AX208-AY208,IF(CQ209&lt;-0.1,AY208-AZ208,AZ208))),"")</f>
        <v/>
      </c>
      <c r="CT209" s="544" t="str">
        <f aca="false">IF(BD209,IF(CR209&gt;0,IF(CR209&gt;0.2,BC208-BB208,IF(CR209&gt;0.1,BB208-BA208,BA208)),IF(CR209&lt;-0.2,AX208-AY208,IF(CR209&lt;-0.1,AY208-AZ208,AZ208))),"")</f>
        <v/>
      </c>
      <c r="CU209" s="545" t="str">
        <f aca="false">IF(BD209,CHOOSE(Underlying,O209,AT209),"")</f>
        <v/>
      </c>
      <c r="CV209" s="545" t="str">
        <f aca="false">IF(BD209,CU209+IF(VolSkewFlag=1,IF(CQ209&gt;0,BA208*MIN(CQ209/10%,1)+(BB208-BA208)*MAX(0,MIN(CQ209/10%-1,1))+(BC208-BB208)*MAX(0,CQ209/10%-2),AZ208*MIN(-CQ209/10%,1)+(AY208-AZ208)*MAX(0,MIN(-CQ209/10%-1,1))+(AX208-AY208)*MAX(0,-CQ209/10%-2)),0),"")</f>
        <v/>
      </c>
      <c r="CW209" s="545" t="str">
        <f aca="false">IF(BD209,CU209+IF(VolSkewFlag=1,IF(CR209&gt;0,BA208*MIN(CR209/10%,1)+(BB208-BA208)*MAX(0,MIN(CR209/10%-1,1))+(BC208-BB208)*MAX(0,CR209/10%-2),AZ208*MIN(-CR209/10%,1)+(AY208-AZ208)*MAX(0,MIN(-CR209/10%-1,1))+(AX208-AY208)*MAX(0,-CR209/10%-2)),0),"")</f>
        <v/>
      </c>
      <c r="CX209" s="470" t="n">
        <f aca="false">IF(BD209,EURO(CP209,Strike1,AO209,AO209,CV209,CO209,IF(OptControl=4,0,1),0),0)</f>
        <v>0</v>
      </c>
      <c r="CY209" s="470" t="n">
        <f aca="false">IF(BD209,EURO(CP209,Strike1,AO209,AO209,CV209,CO209,IF(OptControl=4,0,1),1)+IF(OR(VolSkewFlag=2,ABS(CQ209)&lt;0.0001),0,IF(CQ209&gt;0,-1,1)*CZ209*100*Strike1/CP209^2*CS209/10%),0)</f>
        <v>0</v>
      </c>
      <c r="CZ209" s="470" t="n">
        <f aca="false">IF(BD209,EURO(CP209,Strike1,AO209,AO209,CV209,CO209,IF(OptControl=4,0,1),3)/100,0)</f>
        <v>0</v>
      </c>
      <c r="DA209" s="470" t="n">
        <f aca="false">IF(BD209,EURO(CP209,Strike1,AO209,AO209,CV209,CO209,IF(OptControl=4,0,1),0)-EURO(CP209,Strike1,AO209,AO209,CV209,CO209-1,IF(OptControl=4,0,1),0),0)</f>
        <v>0</v>
      </c>
      <c r="DB209" s="470" t="n">
        <f aca="false">IF(BD209,EURO(CP209,Strike2,AO209,AO209,CW209,CO209,IF(OptControl=3,1,0),0),0)</f>
        <v>0</v>
      </c>
      <c r="DC209" s="470" t="n">
        <f aca="false">IF(BD209,EURO(CP209,Strike2,AO209,AO209,CW209,CO209,IF(OptControl=3,1,0),1)+IF(OR(VolSkewFlag=2,ABS(CR209)&lt;0.0001),0,IF(CR209&gt;0,-1,1)*DD209*100*Strike2/CP209^2*CT209/10%),0)</f>
        <v>0</v>
      </c>
      <c r="DD209" s="470" t="n">
        <f aca="false">IF(BD209,EURO(CP209,Strike2,AO209,AO209,CW209,CO209,IF(OptControl=3,1,0),3)/100,0)</f>
        <v>0</v>
      </c>
      <c r="DE209" s="472" t="n">
        <f aca="false">IF(BD209,EURO(CP209,Strike2,AO209,AO209,CW209,CO209,IF(OptControl=3,1,0),0)-EURO(CP209,Strike2,AO209,AO209,CW209,CO209-1,IF(OptControl=3,1,0),0),0)</f>
        <v>0</v>
      </c>
      <c r="DG209" s="481" t="n">
        <f aca="false">EOMONTH(DG208,0)+1</f>
        <v>51441</v>
      </c>
      <c r="DH209" s="478" t="n">
        <v>23.6100000000001</v>
      </c>
      <c r="DI209" s="479" t="n">
        <v>23.6742857142858</v>
      </c>
      <c r="DJ209" s="480" t="n">
        <f aca="false">DG209</f>
        <v>51441</v>
      </c>
      <c r="DK209" s="478" t="n">
        <v>22.4022009583206</v>
      </c>
      <c r="DL209" s="479" t="n">
        <v>22.4811857142858</v>
      </c>
      <c r="DM209" s="481" t="n">
        <f aca="false">DG209</f>
        <v>51441</v>
      </c>
      <c r="DN209" s="482" t="n">
        <f aca="false">DK209+BrentPhyBrentSpread</f>
        <v>22.4522009583206</v>
      </c>
      <c r="DO209" s="481" t="n">
        <f aca="false">DG209</f>
        <v>51441</v>
      </c>
      <c r="DP209" s="483" t="n">
        <f aca="false">DL209+DQ209</f>
        <v>22.4811857142858</v>
      </c>
      <c r="DQ209" s="546" t="n">
        <v>0</v>
      </c>
      <c r="DR209" s="480" t="n">
        <f aca="false">DG209</f>
        <v>51441</v>
      </c>
      <c r="DS209" s="485" t="n">
        <v>0.111199999999998</v>
      </c>
      <c r="DT209" s="486" t="n">
        <v>0.110428571428569</v>
      </c>
      <c r="DU209" s="480" t="n">
        <f aca="false">DG209</f>
        <v>51441</v>
      </c>
      <c r="DV209" s="485" t="n">
        <v>0.111199999999998</v>
      </c>
      <c r="DW209" s="486" t="n">
        <v>0.110428571428569</v>
      </c>
      <c r="DX209" s="481" t="n">
        <f aca="false">DG209</f>
        <v>51441</v>
      </c>
      <c r="DY209" s="486" t="n">
        <v>0.35</v>
      </c>
      <c r="DZ209" s="481" t="n">
        <f aca="false">DR209</f>
        <v>51441</v>
      </c>
      <c r="EA209" s="486" t="n">
        <f aca="false">DT209</f>
        <v>0.110428571428569</v>
      </c>
      <c r="EB209" s="195"/>
      <c r="EC209" s="547" t="str">
        <f aca="false">IF(BD209,IF(Underlying=1,AS209,AU209),"")</f>
        <v/>
      </c>
      <c r="ED209" s="548" t="str">
        <f aca="false">IF($BD209,$EC209+IF(VolSkewFlag=1,IF(BS209&gt;0,$BA209*MIN(BS209/10%,1)+($BB209-$BA209)*MAX(0,MIN(BS209/10%-1,1))+($BC209-$BB209)*MAX(0,BS209/10%-2),$AZ209*MIN(-BS209/10%,1)+($AY209-$AZ209)*MAX(0,MIN(-BS209/10%-1,1))+($AX209-$AY209)*MAX(0,-BS209/10%-2)),0),"")</f>
        <v/>
      </c>
      <c r="EE209" s="549" t="str">
        <f aca="false">IF($BD209,$EC209+IF(VolSkewFlag=1,IF(BT209&gt;0,$BA209*MIN(BT209/10%,1)+($BB209-$BA209)*MAX(0,MIN(BT209/10%-1,1))+($BC209-$BB209)*MAX(0,BT209/10%-2),$AZ209*MIN(-BT209/10%,1)+($AY209-$AZ209)*MAX(0,MIN(-BT209/10%-1,1))+($AX209-$AY209)*MAX(0,-BT209/10%-2)),0),"")</f>
        <v/>
      </c>
      <c r="EF209" s="550" t="n">
        <f aca="false">IF(BD209,xASN(BR209,Strike1,AO209,ED209,0,BO209,0,BI209,BL209,IF(OptControl=4,0,1),0),0)</f>
        <v>0</v>
      </c>
      <c r="EG209" s="551" t="n">
        <f aca="false">IF(BD209,xASN(BR209,Strike2,AO209,EE209,0,BO209,0,BI209,BL209,IF(OptControl=3,1,0),0),0)</f>
        <v>0</v>
      </c>
      <c r="EL209" s="1"/>
      <c r="EM209" s="195"/>
      <c r="EN209" s="240"/>
      <c r="EO209" s="240"/>
      <c r="EP209" s="195"/>
      <c r="EQ209" s="407" t="s">
        <v>437</v>
      </c>
      <c r="ES209" s="1"/>
      <c r="EU209" s="672"/>
      <c r="FJ209" s="571" t="n">
        <v>40</v>
      </c>
      <c r="FK209" s="150" t="str">
        <f aca="false">IF(OR(FK$169&lt;SwaptionFirstMonthPosition+1,$FJ209&lt;SwaptionFirstMonthPosition+1,FK$169&gt;SwaptionFirstMonthPosition+SwaptionNumOfMonths+1,$FJ209&gt;SwaptionFirstMonthPosition+SwaptionNumOfMonths+1),"",IF($FJ209=FK$169,1,IF($FJ209&lt;FK$169,INDEX($FK$170:$ID$241,FK$169,$FJ209),SUMPRODUCT(INDEX($FK$325:$ID$396,FK$169,1+SwaptionShift):INDEX($FK$325:$ID$396,FK$169,SwaptionMonthsToGo+SwaptionShift),INDEX($FK$245:$ID$316,$FJ209-FK$169,73-FK$169+SwaptionShift):INDEX($FK$245:$ID$316,$FJ209-FK$169,72-FK$169+SwaptionMonthsToGo+SwaptionShift))/SQRT(SUM(INDEX($FK364:$ID364,1+SwaptionShift):INDEX($FK364:$ID364,SwaptionMonthsToGo+SwaptionShift))*SUM(INDEX($FK$325:$ID$396,FK$169,1+SwaptionShift):INDEX($FK$325:$ID$396,FK$169,SwaptionMonthsToGo+SwaptionShift))))))</f>
        <v/>
      </c>
      <c r="FL209" s="150" t="str">
        <f aca="false">IF(OR(FL$169&lt;SwaptionFirstMonthPosition+1,$FJ209&lt;SwaptionFirstMonthPosition+1,FL$169&gt;SwaptionFirstMonthPosition+SwaptionNumOfMonths+1,$FJ209&gt;SwaptionFirstMonthPosition+SwaptionNumOfMonths+1),"",IF($FJ209=FL$169,1,IF($FJ209&lt;FL$169,INDEX($FK$170:$ID$241,FL$169,$FJ209),SUMPRODUCT(INDEX($FK$325:$ID$396,FL$169,1+SwaptionShift):INDEX($FK$325:$ID$396,FL$169,SwaptionMonthsToGo+SwaptionShift),INDEX($FK$245:$ID$316,$FJ209-FL$169,73-FL$169+SwaptionShift):INDEX($FK$245:$ID$316,$FJ209-FL$169,72-FL$169+SwaptionMonthsToGo+SwaptionShift))/SQRT(SUM(INDEX($FK364:$ID364,1+SwaptionShift):INDEX($FK364:$ID364,SwaptionMonthsToGo+SwaptionShift))*SUM(INDEX($FK$325:$ID$396,FL$169,1+SwaptionShift):INDEX($FK$325:$ID$396,FL$169,SwaptionMonthsToGo+SwaptionShift))))))</f>
        <v/>
      </c>
      <c r="FM209" s="150" t="str">
        <f aca="false">IF(OR(FM$169&lt;SwaptionFirstMonthPosition+1,$FJ209&lt;SwaptionFirstMonthPosition+1,FM$169&gt;SwaptionFirstMonthPosition+SwaptionNumOfMonths+1,$FJ209&gt;SwaptionFirstMonthPosition+SwaptionNumOfMonths+1),"",IF($FJ209=FM$169,1,IF($FJ209&lt;FM$169,INDEX($FK$170:$ID$241,FM$169,$FJ209),SUMPRODUCT(INDEX($FK$325:$ID$396,FM$169,1+SwaptionShift):INDEX($FK$325:$ID$396,FM$169,SwaptionMonthsToGo+SwaptionShift),INDEX($FK$245:$ID$316,$FJ209-FM$169,73-FM$169+SwaptionShift):INDEX($FK$245:$ID$316,$FJ209-FM$169,72-FM$169+SwaptionMonthsToGo+SwaptionShift))/SQRT(SUM(INDEX($FK364:$ID364,1+SwaptionShift):INDEX($FK364:$ID364,SwaptionMonthsToGo+SwaptionShift))*SUM(INDEX($FK$325:$ID$396,FM$169,1+SwaptionShift):INDEX($FK$325:$ID$396,FM$169,SwaptionMonthsToGo+SwaptionShift))))))</f>
        <v/>
      </c>
      <c r="FN209" s="150" t="str">
        <f aca="false">IF(OR(FN$169&lt;SwaptionFirstMonthPosition+1,$FJ209&lt;SwaptionFirstMonthPosition+1,FN$169&gt;SwaptionFirstMonthPosition+SwaptionNumOfMonths+1,$FJ209&gt;SwaptionFirstMonthPosition+SwaptionNumOfMonths+1),"",IF($FJ209=FN$169,1,IF($FJ209&lt;FN$169,INDEX($FK$170:$ID$241,FN$169,$FJ209),SUMPRODUCT(INDEX($FK$325:$ID$396,FN$169,1+SwaptionShift):INDEX($FK$325:$ID$396,FN$169,SwaptionMonthsToGo+SwaptionShift),INDEX($FK$245:$ID$316,$FJ209-FN$169,73-FN$169+SwaptionShift):INDEX($FK$245:$ID$316,$FJ209-FN$169,72-FN$169+SwaptionMonthsToGo+SwaptionShift))/SQRT(SUM(INDEX($FK364:$ID364,1+SwaptionShift):INDEX($FK364:$ID364,SwaptionMonthsToGo+SwaptionShift))*SUM(INDEX($FK$325:$ID$396,FN$169,1+SwaptionShift):INDEX($FK$325:$ID$396,FN$169,SwaptionMonthsToGo+SwaptionShift))))))</f>
        <v/>
      </c>
      <c r="FO209" s="150" t="str">
        <f aca="false">IF(OR(FO$169&lt;SwaptionFirstMonthPosition+1,$FJ209&lt;SwaptionFirstMonthPosition+1,FO$169&gt;SwaptionFirstMonthPosition+SwaptionNumOfMonths+1,$FJ209&gt;SwaptionFirstMonthPosition+SwaptionNumOfMonths+1),"",IF($FJ209=FO$169,1,IF($FJ209&lt;FO$169,INDEX($FK$170:$ID$241,FO$169,$FJ209),SUMPRODUCT(INDEX($FK$325:$ID$396,FO$169,1+SwaptionShift):INDEX($FK$325:$ID$396,FO$169,SwaptionMonthsToGo+SwaptionShift),INDEX($FK$245:$ID$316,$FJ209-FO$169,73-FO$169+SwaptionShift):INDEX($FK$245:$ID$316,$FJ209-FO$169,72-FO$169+SwaptionMonthsToGo+SwaptionShift))/SQRT(SUM(INDEX($FK364:$ID364,1+SwaptionShift):INDEX($FK364:$ID364,SwaptionMonthsToGo+SwaptionShift))*SUM(INDEX($FK$325:$ID$396,FO$169,1+SwaptionShift):INDEX($FK$325:$ID$396,FO$169,SwaptionMonthsToGo+SwaptionShift))))))</f>
        <v/>
      </c>
      <c r="FP209" s="150" t="str">
        <f aca="false">IF(OR(FP$169&lt;SwaptionFirstMonthPosition+1,$FJ209&lt;SwaptionFirstMonthPosition+1,FP$169&gt;SwaptionFirstMonthPosition+SwaptionNumOfMonths+1,$FJ209&gt;SwaptionFirstMonthPosition+SwaptionNumOfMonths+1),"",IF($FJ209=FP$169,1,IF($FJ209&lt;FP$169,INDEX($FK$170:$ID$241,FP$169,$FJ209),SUMPRODUCT(INDEX($FK$325:$ID$396,FP$169,1+SwaptionShift):INDEX($FK$325:$ID$396,FP$169,SwaptionMonthsToGo+SwaptionShift),INDEX($FK$245:$ID$316,$FJ209-FP$169,73-FP$169+SwaptionShift):INDEX($FK$245:$ID$316,$FJ209-FP$169,72-FP$169+SwaptionMonthsToGo+SwaptionShift))/SQRT(SUM(INDEX($FK364:$ID364,1+SwaptionShift):INDEX($FK364:$ID364,SwaptionMonthsToGo+SwaptionShift))*SUM(INDEX($FK$325:$ID$396,FP$169,1+SwaptionShift):INDEX($FK$325:$ID$396,FP$169,SwaptionMonthsToGo+SwaptionShift))))))</f>
        <v/>
      </c>
      <c r="FQ209" s="150" t="str">
        <f aca="false">IF(OR(FQ$169&lt;SwaptionFirstMonthPosition+1,$FJ209&lt;SwaptionFirstMonthPosition+1,FQ$169&gt;SwaptionFirstMonthPosition+SwaptionNumOfMonths+1,$FJ209&gt;SwaptionFirstMonthPosition+SwaptionNumOfMonths+1),"",IF($FJ209=FQ$169,1,IF($FJ209&lt;FQ$169,INDEX($FK$170:$ID$241,FQ$169,$FJ209),SUMPRODUCT(INDEX($FK$325:$ID$396,FQ$169,1+SwaptionShift):INDEX($FK$325:$ID$396,FQ$169,SwaptionMonthsToGo+SwaptionShift),INDEX($FK$245:$ID$316,$FJ209-FQ$169,73-FQ$169+SwaptionShift):INDEX($FK$245:$ID$316,$FJ209-FQ$169,72-FQ$169+SwaptionMonthsToGo+SwaptionShift))/SQRT(SUM(INDEX($FK364:$ID364,1+SwaptionShift):INDEX($FK364:$ID364,SwaptionMonthsToGo+SwaptionShift))*SUM(INDEX($FK$325:$ID$396,FQ$169,1+SwaptionShift):INDEX($FK$325:$ID$396,FQ$169,SwaptionMonthsToGo+SwaptionShift))))))</f>
        <v/>
      </c>
      <c r="FR209" s="150" t="str">
        <f aca="false">IF(OR(FR$169&lt;SwaptionFirstMonthPosition+1,$FJ209&lt;SwaptionFirstMonthPosition+1,FR$169&gt;SwaptionFirstMonthPosition+SwaptionNumOfMonths+1,$FJ209&gt;SwaptionFirstMonthPosition+SwaptionNumOfMonths+1),"",IF($FJ209=FR$169,1,IF($FJ209&lt;FR$169,INDEX($FK$170:$ID$241,FR$169,$FJ209),SUMPRODUCT(INDEX($FK$325:$ID$396,FR$169,1+SwaptionShift):INDEX($FK$325:$ID$396,FR$169,SwaptionMonthsToGo+SwaptionShift),INDEX($FK$245:$ID$316,$FJ209-FR$169,73-FR$169+SwaptionShift):INDEX($FK$245:$ID$316,$FJ209-FR$169,72-FR$169+SwaptionMonthsToGo+SwaptionShift))/SQRT(SUM(INDEX($FK364:$ID364,1+SwaptionShift):INDEX($FK364:$ID364,SwaptionMonthsToGo+SwaptionShift))*SUM(INDEX($FK$325:$ID$396,FR$169,1+SwaptionShift):INDEX($FK$325:$ID$396,FR$169,SwaptionMonthsToGo+SwaptionShift))))))</f>
        <v/>
      </c>
      <c r="FS209" s="150" t="str">
        <f aca="false">IF(OR(FS$169&lt;SwaptionFirstMonthPosition+1,$FJ209&lt;SwaptionFirstMonthPosition+1,FS$169&gt;SwaptionFirstMonthPosition+SwaptionNumOfMonths+1,$FJ209&gt;SwaptionFirstMonthPosition+SwaptionNumOfMonths+1),"",IF($FJ209=FS$169,1,IF($FJ209&lt;FS$169,INDEX($FK$170:$ID$241,FS$169,$FJ209),SUMPRODUCT(INDEX($FK$325:$ID$396,FS$169,1+SwaptionShift):INDEX($FK$325:$ID$396,FS$169,SwaptionMonthsToGo+SwaptionShift),INDEX($FK$245:$ID$316,$FJ209-FS$169,73-FS$169+SwaptionShift):INDEX($FK$245:$ID$316,$FJ209-FS$169,72-FS$169+SwaptionMonthsToGo+SwaptionShift))/SQRT(SUM(INDEX($FK364:$ID364,1+SwaptionShift):INDEX($FK364:$ID364,SwaptionMonthsToGo+SwaptionShift))*SUM(INDEX($FK$325:$ID$396,FS$169,1+SwaptionShift):INDEX($FK$325:$ID$396,FS$169,SwaptionMonthsToGo+SwaptionShift))))))</f>
        <v/>
      </c>
      <c r="FT209" s="150" t="str">
        <f aca="false">IF(OR(FT$169&lt;SwaptionFirstMonthPosition+1,$FJ209&lt;SwaptionFirstMonthPosition+1,FT$169&gt;SwaptionFirstMonthPosition+SwaptionNumOfMonths+1,$FJ209&gt;SwaptionFirstMonthPosition+SwaptionNumOfMonths+1),"",IF($FJ209=FT$169,1,IF($FJ209&lt;FT$169,INDEX($FK$170:$ID$241,FT$169,$FJ209),SUMPRODUCT(INDEX($FK$325:$ID$396,FT$169,1+SwaptionShift):INDEX($FK$325:$ID$396,FT$169,SwaptionMonthsToGo+SwaptionShift),INDEX($FK$245:$ID$316,$FJ209-FT$169,73-FT$169+SwaptionShift):INDEX($FK$245:$ID$316,$FJ209-FT$169,72-FT$169+SwaptionMonthsToGo+SwaptionShift))/SQRT(SUM(INDEX($FK364:$ID364,1+SwaptionShift):INDEX($FK364:$ID364,SwaptionMonthsToGo+SwaptionShift))*SUM(INDEX($FK$325:$ID$396,FT$169,1+SwaptionShift):INDEX($FK$325:$ID$396,FT$169,SwaptionMonthsToGo+SwaptionShift))))))</f>
        <v/>
      </c>
      <c r="FU209" s="150" t="str">
        <f aca="false">IF(OR(FU$169&lt;SwaptionFirstMonthPosition+1,$FJ209&lt;SwaptionFirstMonthPosition+1,FU$169&gt;SwaptionFirstMonthPosition+SwaptionNumOfMonths+1,$FJ209&gt;SwaptionFirstMonthPosition+SwaptionNumOfMonths+1),"",IF($FJ209=FU$169,1,IF($FJ209&lt;FU$169,INDEX($FK$170:$ID$241,FU$169,$FJ209),SUMPRODUCT(INDEX($FK$325:$ID$396,FU$169,1+SwaptionShift):INDEX($FK$325:$ID$396,FU$169,SwaptionMonthsToGo+SwaptionShift),INDEX($FK$245:$ID$316,$FJ209-FU$169,73-FU$169+SwaptionShift):INDEX($FK$245:$ID$316,$FJ209-FU$169,72-FU$169+SwaptionMonthsToGo+SwaptionShift))/SQRT(SUM(INDEX($FK364:$ID364,1+SwaptionShift):INDEX($FK364:$ID364,SwaptionMonthsToGo+SwaptionShift))*SUM(INDEX($FK$325:$ID$396,FU$169,1+SwaptionShift):INDEX($FK$325:$ID$396,FU$169,SwaptionMonthsToGo+SwaptionShift))))))</f>
        <v/>
      </c>
      <c r="FV209" s="150" t="str">
        <f aca="false">IF(OR(FV$169&lt;SwaptionFirstMonthPosition+1,$FJ209&lt;SwaptionFirstMonthPosition+1,FV$169&gt;SwaptionFirstMonthPosition+SwaptionNumOfMonths+1,$FJ209&gt;SwaptionFirstMonthPosition+SwaptionNumOfMonths+1),"",IF($FJ209=FV$169,1,IF($FJ209&lt;FV$169,INDEX($FK$170:$ID$241,FV$169,$FJ209),SUMPRODUCT(INDEX($FK$325:$ID$396,FV$169,1+SwaptionShift):INDEX($FK$325:$ID$396,FV$169,SwaptionMonthsToGo+SwaptionShift),INDEX($FK$245:$ID$316,$FJ209-FV$169,73-FV$169+SwaptionShift):INDEX($FK$245:$ID$316,$FJ209-FV$169,72-FV$169+SwaptionMonthsToGo+SwaptionShift))/SQRT(SUM(INDEX($FK364:$ID364,1+SwaptionShift):INDEX($FK364:$ID364,SwaptionMonthsToGo+SwaptionShift))*SUM(INDEX($FK$325:$ID$396,FV$169,1+SwaptionShift):INDEX($FK$325:$ID$396,FV$169,SwaptionMonthsToGo+SwaptionShift))))))</f>
        <v/>
      </c>
      <c r="FW209" s="150" t="str">
        <f aca="false">IF(OR(FW$169&lt;SwaptionFirstMonthPosition+1,$FJ209&lt;SwaptionFirstMonthPosition+1,FW$169&gt;SwaptionFirstMonthPosition+SwaptionNumOfMonths+1,$FJ209&gt;SwaptionFirstMonthPosition+SwaptionNumOfMonths+1),"",IF($FJ209=FW$169,1,IF($FJ209&lt;FW$169,INDEX($FK$170:$ID$241,FW$169,$FJ209),SUMPRODUCT(INDEX($FK$325:$ID$396,FW$169,1+SwaptionShift):INDEX($FK$325:$ID$396,FW$169,SwaptionMonthsToGo+SwaptionShift),INDEX($FK$245:$ID$316,$FJ209-FW$169,73-FW$169+SwaptionShift):INDEX($FK$245:$ID$316,$FJ209-FW$169,72-FW$169+SwaptionMonthsToGo+SwaptionShift))/SQRT(SUM(INDEX($FK364:$ID364,1+SwaptionShift):INDEX($FK364:$ID364,SwaptionMonthsToGo+SwaptionShift))*SUM(INDEX($FK$325:$ID$396,FW$169,1+SwaptionShift):INDEX($FK$325:$ID$396,FW$169,SwaptionMonthsToGo+SwaptionShift))))))</f>
        <v/>
      </c>
      <c r="FX209" s="150" t="str">
        <f aca="false">IF(OR(FX$169&lt;SwaptionFirstMonthPosition+1,$FJ209&lt;SwaptionFirstMonthPosition+1,FX$169&gt;SwaptionFirstMonthPosition+SwaptionNumOfMonths+1,$FJ209&gt;SwaptionFirstMonthPosition+SwaptionNumOfMonths+1),"",IF($FJ209=FX$169,1,IF($FJ209&lt;FX$169,INDEX($FK$170:$ID$241,FX$169,$FJ209),SUMPRODUCT(INDEX($FK$325:$ID$396,FX$169,1+SwaptionShift):INDEX($FK$325:$ID$396,FX$169,SwaptionMonthsToGo+SwaptionShift),INDEX($FK$245:$ID$316,$FJ209-FX$169,73-FX$169+SwaptionShift):INDEX($FK$245:$ID$316,$FJ209-FX$169,72-FX$169+SwaptionMonthsToGo+SwaptionShift))/SQRT(SUM(INDEX($FK364:$ID364,1+SwaptionShift):INDEX($FK364:$ID364,SwaptionMonthsToGo+SwaptionShift))*SUM(INDEX($FK$325:$ID$396,FX$169,1+SwaptionShift):INDEX($FK$325:$ID$396,FX$169,SwaptionMonthsToGo+SwaptionShift))))))</f>
        <v/>
      </c>
      <c r="FY209" s="150" t="str">
        <f aca="false">IF(OR(FY$169&lt;SwaptionFirstMonthPosition+1,$FJ209&lt;SwaptionFirstMonthPosition+1,FY$169&gt;SwaptionFirstMonthPosition+SwaptionNumOfMonths+1,$FJ209&gt;SwaptionFirstMonthPosition+SwaptionNumOfMonths+1),"",IF($FJ209=FY$169,1,IF($FJ209&lt;FY$169,INDEX($FK$170:$ID$241,FY$169,$FJ209),SUMPRODUCT(INDEX($FK$325:$ID$396,FY$169,1+SwaptionShift):INDEX($FK$325:$ID$396,FY$169,SwaptionMonthsToGo+SwaptionShift),INDEX($FK$245:$ID$316,$FJ209-FY$169,73-FY$169+SwaptionShift):INDEX($FK$245:$ID$316,$FJ209-FY$169,72-FY$169+SwaptionMonthsToGo+SwaptionShift))/SQRT(SUM(INDEX($FK364:$ID364,1+SwaptionShift):INDEX($FK364:$ID364,SwaptionMonthsToGo+SwaptionShift))*SUM(INDEX($FK$325:$ID$396,FY$169,1+SwaptionShift):INDEX($FK$325:$ID$396,FY$169,SwaptionMonthsToGo+SwaptionShift))))))</f>
        <v/>
      </c>
      <c r="FZ209" s="150" t="str">
        <f aca="false">IF(OR(FZ$169&lt;SwaptionFirstMonthPosition+1,$FJ209&lt;SwaptionFirstMonthPosition+1,FZ$169&gt;SwaptionFirstMonthPosition+SwaptionNumOfMonths+1,$FJ209&gt;SwaptionFirstMonthPosition+SwaptionNumOfMonths+1),"",IF($FJ209=FZ$169,1,IF($FJ209&lt;FZ$169,INDEX($FK$170:$ID$241,FZ$169,$FJ209),SUMPRODUCT(INDEX($FK$325:$ID$396,FZ$169,1+SwaptionShift):INDEX($FK$325:$ID$396,FZ$169,SwaptionMonthsToGo+SwaptionShift),INDEX($FK$245:$ID$316,$FJ209-FZ$169,73-FZ$169+SwaptionShift):INDEX($FK$245:$ID$316,$FJ209-FZ$169,72-FZ$169+SwaptionMonthsToGo+SwaptionShift))/SQRT(SUM(INDEX($FK364:$ID364,1+SwaptionShift):INDEX($FK364:$ID364,SwaptionMonthsToGo+SwaptionShift))*SUM(INDEX($FK$325:$ID$396,FZ$169,1+SwaptionShift):INDEX($FK$325:$ID$396,FZ$169,SwaptionMonthsToGo+SwaptionShift))))))</f>
        <v/>
      </c>
      <c r="GA209" s="150" t="str">
        <f aca="false">IF(OR(GA$169&lt;SwaptionFirstMonthPosition+1,$FJ209&lt;SwaptionFirstMonthPosition+1,GA$169&gt;SwaptionFirstMonthPosition+SwaptionNumOfMonths+1,$FJ209&gt;SwaptionFirstMonthPosition+SwaptionNumOfMonths+1),"",IF($FJ209=GA$169,1,IF($FJ209&lt;GA$169,INDEX($FK$170:$ID$241,GA$169,$FJ209),SUMPRODUCT(INDEX($FK$325:$ID$396,GA$169,1+SwaptionShift):INDEX($FK$325:$ID$396,GA$169,SwaptionMonthsToGo+SwaptionShift),INDEX($FK$245:$ID$316,$FJ209-GA$169,73-GA$169+SwaptionShift):INDEX($FK$245:$ID$316,$FJ209-GA$169,72-GA$169+SwaptionMonthsToGo+SwaptionShift))/SQRT(SUM(INDEX($FK364:$ID364,1+SwaptionShift):INDEX($FK364:$ID364,SwaptionMonthsToGo+SwaptionShift))*SUM(INDEX($FK$325:$ID$396,GA$169,1+SwaptionShift):INDEX($FK$325:$ID$396,GA$169,SwaptionMonthsToGo+SwaptionShift))))))</f>
        <v/>
      </c>
      <c r="GB209" s="150" t="str">
        <f aca="false">IF(OR(GB$169&lt;SwaptionFirstMonthPosition+1,$FJ209&lt;SwaptionFirstMonthPosition+1,GB$169&gt;SwaptionFirstMonthPosition+SwaptionNumOfMonths+1,$FJ209&gt;SwaptionFirstMonthPosition+SwaptionNumOfMonths+1),"",IF($FJ209=GB$169,1,IF($FJ209&lt;GB$169,INDEX($FK$170:$ID$241,GB$169,$FJ209),SUMPRODUCT(INDEX($FK$325:$ID$396,GB$169,1+SwaptionShift):INDEX($FK$325:$ID$396,GB$169,SwaptionMonthsToGo+SwaptionShift),INDEX($FK$245:$ID$316,$FJ209-GB$169,73-GB$169+SwaptionShift):INDEX($FK$245:$ID$316,$FJ209-GB$169,72-GB$169+SwaptionMonthsToGo+SwaptionShift))/SQRT(SUM(INDEX($FK364:$ID364,1+SwaptionShift):INDEX($FK364:$ID364,SwaptionMonthsToGo+SwaptionShift))*SUM(INDEX($FK$325:$ID$396,GB$169,1+SwaptionShift):INDEX($FK$325:$ID$396,GB$169,SwaptionMonthsToGo+SwaptionShift))))))</f>
        <v/>
      </c>
      <c r="GC209" s="150" t="str">
        <f aca="false">IF(OR(GC$169&lt;SwaptionFirstMonthPosition+1,$FJ209&lt;SwaptionFirstMonthPosition+1,GC$169&gt;SwaptionFirstMonthPosition+SwaptionNumOfMonths+1,$FJ209&gt;SwaptionFirstMonthPosition+SwaptionNumOfMonths+1),"",IF($FJ209=GC$169,1,IF($FJ209&lt;GC$169,INDEX($FK$170:$ID$241,GC$169,$FJ209),SUMPRODUCT(INDEX($FK$325:$ID$396,GC$169,1+SwaptionShift):INDEX($FK$325:$ID$396,GC$169,SwaptionMonthsToGo+SwaptionShift),INDEX($FK$245:$ID$316,$FJ209-GC$169,73-GC$169+SwaptionShift):INDEX($FK$245:$ID$316,$FJ209-GC$169,72-GC$169+SwaptionMonthsToGo+SwaptionShift))/SQRT(SUM(INDEX($FK364:$ID364,1+SwaptionShift):INDEX($FK364:$ID364,SwaptionMonthsToGo+SwaptionShift))*SUM(INDEX($FK$325:$ID$396,GC$169,1+SwaptionShift):INDEX($FK$325:$ID$396,GC$169,SwaptionMonthsToGo+SwaptionShift))))))</f>
        <v/>
      </c>
      <c r="GD209" s="150" t="str">
        <f aca="false">IF(OR(GD$169&lt;SwaptionFirstMonthPosition+1,$FJ209&lt;SwaptionFirstMonthPosition+1,GD$169&gt;SwaptionFirstMonthPosition+SwaptionNumOfMonths+1,$FJ209&gt;SwaptionFirstMonthPosition+SwaptionNumOfMonths+1),"",IF($FJ209=GD$169,1,IF($FJ209&lt;GD$169,INDEX($FK$170:$ID$241,GD$169,$FJ209),SUMPRODUCT(INDEX($FK$325:$ID$396,GD$169,1+SwaptionShift):INDEX($FK$325:$ID$396,GD$169,SwaptionMonthsToGo+SwaptionShift),INDEX($FK$245:$ID$316,$FJ209-GD$169,73-GD$169+SwaptionShift):INDEX($FK$245:$ID$316,$FJ209-GD$169,72-GD$169+SwaptionMonthsToGo+SwaptionShift))/SQRT(SUM(INDEX($FK364:$ID364,1+SwaptionShift):INDEX($FK364:$ID364,SwaptionMonthsToGo+SwaptionShift))*SUM(INDEX($FK$325:$ID$396,GD$169,1+SwaptionShift):INDEX($FK$325:$ID$396,GD$169,SwaptionMonthsToGo+SwaptionShift))))))</f>
        <v/>
      </c>
      <c r="GE209" s="150" t="str">
        <f aca="false">IF(OR(GE$169&lt;SwaptionFirstMonthPosition+1,$FJ209&lt;SwaptionFirstMonthPosition+1,GE$169&gt;SwaptionFirstMonthPosition+SwaptionNumOfMonths+1,$FJ209&gt;SwaptionFirstMonthPosition+SwaptionNumOfMonths+1),"",IF($FJ209=GE$169,1,IF($FJ209&lt;GE$169,INDEX($FK$170:$ID$241,GE$169,$FJ209),SUMPRODUCT(INDEX($FK$325:$ID$396,GE$169,1+SwaptionShift):INDEX($FK$325:$ID$396,GE$169,SwaptionMonthsToGo+SwaptionShift),INDEX($FK$245:$ID$316,$FJ209-GE$169,73-GE$169+SwaptionShift):INDEX($FK$245:$ID$316,$FJ209-GE$169,72-GE$169+SwaptionMonthsToGo+SwaptionShift))/SQRT(SUM(INDEX($FK364:$ID364,1+SwaptionShift):INDEX($FK364:$ID364,SwaptionMonthsToGo+SwaptionShift))*SUM(INDEX($FK$325:$ID$396,GE$169,1+SwaptionShift):INDEX($FK$325:$ID$396,GE$169,SwaptionMonthsToGo+SwaptionShift))))))</f>
        <v/>
      </c>
      <c r="GF209" s="150" t="str">
        <f aca="false">IF(OR(GF$169&lt;SwaptionFirstMonthPosition+1,$FJ209&lt;SwaptionFirstMonthPosition+1,GF$169&gt;SwaptionFirstMonthPosition+SwaptionNumOfMonths+1,$FJ209&gt;SwaptionFirstMonthPosition+SwaptionNumOfMonths+1),"",IF($FJ209=GF$169,1,IF($FJ209&lt;GF$169,INDEX($FK$170:$ID$241,GF$169,$FJ209),SUMPRODUCT(INDEX($FK$325:$ID$396,GF$169,1+SwaptionShift):INDEX($FK$325:$ID$396,GF$169,SwaptionMonthsToGo+SwaptionShift),INDEX($FK$245:$ID$316,$FJ209-GF$169,73-GF$169+SwaptionShift):INDEX($FK$245:$ID$316,$FJ209-GF$169,72-GF$169+SwaptionMonthsToGo+SwaptionShift))/SQRT(SUM(INDEX($FK364:$ID364,1+SwaptionShift):INDEX($FK364:$ID364,SwaptionMonthsToGo+SwaptionShift))*SUM(INDEX($FK$325:$ID$396,GF$169,1+SwaptionShift):INDEX($FK$325:$ID$396,GF$169,SwaptionMonthsToGo+SwaptionShift))))))</f>
        <v/>
      </c>
      <c r="GG209" s="150" t="str">
        <f aca="false">IF(OR(GG$169&lt;SwaptionFirstMonthPosition+1,$FJ209&lt;SwaptionFirstMonthPosition+1,GG$169&gt;SwaptionFirstMonthPosition+SwaptionNumOfMonths+1,$FJ209&gt;SwaptionFirstMonthPosition+SwaptionNumOfMonths+1),"",IF($FJ209=GG$169,1,IF($FJ209&lt;GG$169,INDEX($FK$170:$ID$241,GG$169,$FJ209),SUMPRODUCT(INDEX($FK$325:$ID$396,GG$169,1+SwaptionShift):INDEX($FK$325:$ID$396,GG$169,SwaptionMonthsToGo+SwaptionShift),INDEX($FK$245:$ID$316,$FJ209-GG$169,73-GG$169+SwaptionShift):INDEX($FK$245:$ID$316,$FJ209-GG$169,72-GG$169+SwaptionMonthsToGo+SwaptionShift))/SQRT(SUM(INDEX($FK364:$ID364,1+SwaptionShift):INDEX($FK364:$ID364,SwaptionMonthsToGo+SwaptionShift))*SUM(INDEX($FK$325:$ID$396,GG$169,1+SwaptionShift):INDEX($FK$325:$ID$396,GG$169,SwaptionMonthsToGo+SwaptionShift))))))</f>
        <v/>
      </c>
      <c r="GH209" s="150" t="str">
        <f aca="false">IF(OR(GH$169&lt;SwaptionFirstMonthPosition+1,$FJ209&lt;SwaptionFirstMonthPosition+1,GH$169&gt;SwaptionFirstMonthPosition+SwaptionNumOfMonths+1,$FJ209&gt;SwaptionFirstMonthPosition+SwaptionNumOfMonths+1),"",IF($FJ209=GH$169,1,IF($FJ209&lt;GH$169,INDEX($FK$170:$ID$241,GH$169,$FJ209),SUMPRODUCT(INDEX($FK$325:$ID$396,GH$169,1+SwaptionShift):INDEX($FK$325:$ID$396,GH$169,SwaptionMonthsToGo+SwaptionShift),INDEX($FK$245:$ID$316,$FJ209-GH$169,73-GH$169+SwaptionShift):INDEX($FK$245:$ID$316,$FJ209-GH$169,72-GH$169+SwaptionMonthsToGo+SwaptionShift))/SQRT(SUM(INDEX($FK364:$ID364,1+SwaptionShift):INDEX($FK364:$ID364,SwaptionMonthsToGo+SwaptionShift))*SUM(INDEX($FK$325:$ID$396,GH$169,1+SwaptionShift):INDEX($FK$325:$ID$396,GH$169,SwaptionMonthsToGo+SwaptionShift))))))</f>
        <v/>
      </c>
      <c r="GI209" s="150" t="str">
        <f aca="false">IF(OR(GI$169&lt;SwaptionFirstMonthPosition+1,$FJ209&lt;SwaptionFirstMonthPosition+1,GI$169&gt;SwaptionFirstMonthPosition+SwaptionNumOfMonths+1,$FJ209&gt;SwaptionFirstMonthPosition+SwaptionNumOfMonths+1),"",IF($FJ209=GI$169,1,IF($FJ209&lt;GI$169,INDEX($FK$170:$ID$241,GI$169,$FJ209),SUMPRODUCT(INDEX($FK$325:$ID$396,GI$169,1+SwaptionShift):INDEX($FK$325:$ID$396,GI$169,SwaptionMonthsToGo+SwaptionShift),INDEX($FK$245:$ID$316,$FJ209-GI$169,73-GI$169+SwaptionShift):INDEX($FK$245:$ID$316,$FJ209-GI$169,72-GI$169+SwaptionMonthsToGo+SwaptionShift))/SQRT(SUM(INDEX($FK364:$ID364,1+SwaptionShift):INDEX($FK364:$ID364,SwaptionMonthsToGo+SwaptionShift))*SUM(INDEX($FK$325:$ID$396,GI$169,1+SwaptionShift):INDEX($FK$325:$ID$396,GI$169,SwaptionMonthsToGo+SwaptionShift))))))</f>
        <v/>
      </c>
      <c r="GJ209" s="150" t="str">
        <f aca="false">IF(OR(GJ$169&lt;SwaptionFirstMonthPosition+1,$FJ209&lt;SwaptionFirstMonthPosition+1,GJ$169&gt;SwaptionFirstMonthPosition+SwaptionNumOfMonths+1,$FJ209&gt;SwaptionFirstMonthPosition+SwaptionNumOfMonths+1),"",IF($FJ209=GJ$169,1,IF($FJ209&lt;GJ$169,INDEX($FK$170:$ID$241,GJ$169,$FJ209),SUMPRODUCT(INDEX($FK$325:$ID$396,GJ$169,1+SwaptionShift):INDEX($FK$325:$ID$396,GJ$169,SwaptionMonthsToGo+SwaptionShift),INDEX($FK$245:$ID$316,$FJ209-GJ$169,73-GJ$169+SwaptionShift):INDEX($FK$245:$ID$316,$FJ209-GJ$169,72-GJ$169+SwaptionMonthsToGo+SwaptionShift))/SQRT(SUM(INDEX($FK364:$ID364,1+SwaptionShift):INDEX($FK364:$ID364,SwaptionMonthsToGo+SwaptionShift))*SUM(INDEX($FK$325:$ID$396,GJ$169,1+SwaptionShift):INDEX($FK$325:$ID$396,GJ$169,SwaptionMonthsToGo+SwaptionShift))))))</f>
        <v/>
      </c>
      <c r="GK209" s="150" t="str">
        <f aca="false">IF(OR(GK$169&lt;SwaptionFirstMonthPosition+1,$FJ209&lt;SwaptionFirstMonthPosition+1,GK$169&gt;SwaptionFirstMonthPosition+SwaptionNumOfMonths+1,$FJ209&gt;SwaptionFirstMonthPosition+SwaptionNumOfMonths+1),"",IF($FJ209=GK$169,1,IF($FJ209&lt;GK$169,INDEX($FK$170:$ID$241,GK$169,$FJ209),SUMPRODUCT(INDEX($FK$325:$ID$396,GK$169,1+SwaptionShift):INDEX($FK$325:$ID$396,GK$169,SwaptionMonthsToGo+SwaptionShift),INDEX($FK$245:$ID$316,$FJ209-GK$169,73-GK$169+SwaptionShift):INDEX($FK$245:$ID$316,$FJ209-GK$169,72-GK$169+SwaptionMonthsToGo+SwaptionShift))/SQRT(SUM(INDEX($FK364:$ID364,1+SwaptionShift):INDEX($FK364:$ID364,SwaptionMonthsToGo+SwaptionShift))*SUM(INDEX($FK$325:$ID$396,GK$169,1+SwaptionShift):INDEX($FK$325:$ID$396,GK$169,SwaptionMonthsToGo+SwaptionShift))))))</f>
        <v/>
      </c>
      <c r="GL209" s="150" t="str">
        <f aca="false">IF(OR(GL$169&lt;SwaptionFirstMonthPosition+1,$FJ209&lt;SwaptionFirstMonthPosition+1,GL$169&gt;SwaptionFirstMonthPosition+SwaptionNumOfMonths+1,$FJ209&gt;SwaptionFirstMonthPosition+SwaptionNumOfMonths+1),"",IF($FJ209=GL$169,1,IF($FJ209&lt;GL$169,INDEX($FK$170:$ID$241,GL$169,$FJ209),SUMPRODUCT(INDEX($FK$325:$ID$396,GL$169,1+SwaptionShift):INDEX($FK$325:$ID$396,GL$169,SwaptionMonthsToGo+SwaptionShift),INDEX($FK$245:$ID$316,$FJ209-GL$169,73-GL$169+SwaptionShift):INDEX($FK$245:$ID$316,$FJ209-GL$169,72-GL$169+SwaptionMonthsToGo+SwaptionShift))/SQRT(SUM(INDEX($FK364:$ID364,1+SwaptionShift):INDEX($FK364:$ID364,SwaptionMonthsToGo+SwaptionShift))*SUM(INDEX($FK$325:$ID$396,GL$169,1+SwaptionShift):INDEX($FK$325:$ID$396,GL$169,SwaptionMonthsToGo+SwaptionShift))))))</f>
        <v/>
      </c>
      <c r="GM209" s="150" t="str">
        <f aca="false">IF(OR(GM$169&lt;SwaptionFirstMonthPosition+1,$FJ209&lt;SwaptionFirstMonthPosition+1,GM$169&gt;SwaptionFirstMonthPosition+SwaptionNumOfMonths+1,$FJ209&gt;SwaptionFirstMonthPosition+SwaptionNumOfMonths+1),"",IF($FJ209=GM$169,1,IF($FJ209&lt;GM$169,INDEX($FK$170:$ID$241,GM$169,$FJ209),SUMPRODUCT(INDEX($FK$325:$ID$396,GM$169,1+SwaptionShift):INDEX($FK$325:$ID$396,GM$169,SwaptionMonthsToGo+SwaptionShift),INDEX($FK$245:$ID$316,$FJ209-GM$169,73-GM$169+SwaptionShift):INDEX($FK$245:$ID$316,$FJ209-GM$169,72-GM$169+SwaptionMonthsToGo+SwaptionShift))/SQRT(SUM(INDEX($FK364:$ID364,1+SwaptionShift):INDEX($FK364:$ID364,SwaptionMonthsToGo+SwaptionShift))*SUM(INDEX($FK$325:$ID$396,GM$169,1+SwaptionShift):INDEX($FK$325:$ID$396,GM$169,SwaptionMonthsToGo+SwaptionShift))))))</f>
        <v/>
      </c>
      <c r="GN209" s="150" t="str">
        <f aca="false">IF(OR(GN$169&lt;SwaptionFirstMonthPosition+1,$FJ209&lt;SwaptionFirstMonthPosition+1,GN$169&gt;SwaptionFirstMonthPosition+SwaptionNumOfMonths+1,$FJ209&gt;SwaptionFirstMonthPosition+SwaptionNumOfMonths+1),"",IF($FJ209=GN$169,1,IF($FJ209&lt;GN$169,INDEX($FK$170:$ID$241,GN$169,$FJ209),SUMPRODUCT(INDEX($FK$325:$ID$396,GN$169,1+SwaptionShift):INDEX($FK$325:$ID$396,GN$169,SwaptionMonthsToGo+SwaptionShift),INDEX($FK$245:$ID$316,$FJ209-GN$169,73-GN$169+SwaptionShift):INDEX($FK$245:$ID$316,$FJ209-GN$169,72-GN$169+SwaptionMonthsToGo+SwaptionShift))/SQRT(SUM(INDEX($FK364:$ID364,1+SwaptionShift):INDEX($FK364:$ID364,SwaptionMonthsToGo+SwaptionShift))*SUM(INDEX($FK$325:$ID$396,GN$169,1+SwaptionShift):INDEX($FK$325:$ID$396,GN$169,SwaptionMonthsToGo+SwaptionShift))))))</f>
        <v/>
      </c>
      <c r="GO209" s="150" t="str">
        <f aca="false">IF(OR(GO$169&lt;SwaptionFirstMonthPosition+1,$FJ209&lt;SwaptionFirstMonthPosition+1,GO$169&gt;SwaptionFirstMonthPosition+SwaptionNumOfMonths+1,$FJ209&gt;SwaptionFirstMonthPosition+SwaptionNumOfMonths+1),"",IF($FJ209=GO$169,1,IF($FJ209&lt;GO$169,INDEX($FK$170:$ID$241,GO$169,$FJ209),SUMPRODUCT(INDEX($FK$325:$ID$396,GO$169,1+SwaptionShift):INDEX($FK$325:$ID$396,GO$169,SwaptionMonthsToGo+SwaptionShift),INDEX($FK$245:$ID$316,$FJ209-GO$169,73-GO$169+SwaptionShift):INDEX($FK$245:$ID$316,$FJ209-GO$169,72-GO$169+SwaptionMonthsToGo+SwaptionShift))/SQRT(SUM(INDEX($FK364:$ID364,1+SwaptionShift):INDEX($FK364:$ID364,SwaptionMonthsToGo+SwaptionShift))*SUM(INDEX($FK$325:$ID$396,GO$169,1+SwaptionShift):INDEX($FK$325:$ID$396,GO$169,SwaptionMonthsToGo+SwaptionShift))))))</f>
        <v/>
      </c>
      <c r="GP209" s="150" t="str">
        <f aca="false">IF(OR(GP$169&lt;SwaptionFirstMonthPosition+1,$FJ209&lt;SwaptionFirstMonthPosition+1,GP$169&gt;SwaptionFirstMonthPosition+SwaptionNumOfMonths+1,$FJ209&gt;SwaptionFirstMonthPosition+SwaptionNumOfMonths+1),"",IF($FJ209=GP$169,1,IF($FJ209&lt;GP$169,INDEX($FK$170:$ID$241,GP$169,$FJ209),SUMPRODUCT(INDEX($FK$325:$ID$396,GP$169,1+SwaptionShift):INDEX($FK$325:$ID$396,GP$169,SwaptionMonthsToGo+SwaptionShift),INDEX($FK$245:$ID$316,$FJ209-GP$169,73-GP$169+SwaptionShift):INDEX($FK$245:$ID$316,$FJ209-GP$169,72-GP$169+SwaptionMonthsToGo+SwaptionShift))/SQRT(SUM(INDEX($FK364:$ID364,1+SwaptionShift):INDEX($FK364:$ID364,SwaptionMonthsToGo+SwaptionShift))*SUM(INDEX($FK$325:$ID$396,GP$169,1+SwaptionShift):INDEX($FK$325:$ID$396,GP$169,SwaptionMonthsToGo+SwaptionShift))))))</f>
        <v/>
      </c>
      <c r="GQ209" s="150" t="str">
        <f aca="false">IF(OR(GQ$169&lt;SwaptionFirstMonthPosition+1,$FJ209&lt;SwaptionFirstMonthPosition+1,GQ$169&gt;SwaptionFirstMonthPosition+SwaptionNumOfMonths+1,$FJ209&gt;SwaptionFirstMonthPosition+SwaptionNumOfMonths+1),"",IF($FJ209=GQ$169,1,IF($FJ209&lt;GQ$169,INDEX($FK$170:$ID$241,GQ$169,$FJ209),SUMPRODUCT(INDEX($FK$325:$ID$396,GQ$169,1+SwaptionShift):INDEX($FK$325:$ID$396,GQ$169,SwaptionMonthsToGo+SwaptionShift),INDEX($FK$245:$ID$316,$FJ209-GQ$169,73-GQ$169+SwaptionShift):INDEX($FK$245:$ID$316,$FJ209-GQ$169,72-GQ$169+SwaptionMonthsToGo+SwaptionShift))/SQRT(SUM(INDEX($FK364:$ID364,1+SwaptionShift):INDEX($FK364:$ID364,SwaptionMonthsToGo+SwaptionShift))*SUM(INDEX($FK$325:$ID$396,GQ$169,1+SwaptionShift):INDEX($FK$325:$ID$396,GQ$169,SwaptionMonthsToGo+SwaptionShift))))))</f>
        <v/>
      </c>
      <c r="GR209" s="150" t="str">
        <f aca="false">IF(OR(GR$169&lt;SwaptionFirstMonthPosition+1,$FJ209&lt;SwaptionFirstMonthPosition+1,GR$169&gt;SwaptionFirstMonthPosition+SwaptionNumOfMonths+1,$FJ209&gt;SwaptionFirstMonthPosition+SwaptionNumOfMonths+1),"",IF($FJ209=GR$169,1,IF($FJ209&lt;GR$169,INDEX($FK$170:$ID$241,GR$169,$FJ209),SUMPRODUCT(INDEX($FK$325:$ID$396,GR$169,1+SwaptionShift):INDEX($FK$325:$ID$396,GR$169,SwaptionMonthsToGo+SwaptionShift),INDEX($FK$245:$ID$316,$FJ209-GR$169,73-GR$169+SwaptionShift):INDEX($FK$245:$ID$316,$FJ209-GR$169,72-GR$169+SwaptionMonthsToGo+SwaptionShift))/SQRT(SUM(INDEX($FK364:$ID364,1+SwaptionShift):INDEX($FK364:$ID364,SwaptionMonthsToGo+SwaptionShift))*SUM(INDEX($FK$325:$ID$396,GR$169,1+SwaptionShift):INDEX($FK$325:$ID$396,GR$169,SwaptionMonthsToGo+SwaptionShift))))))</f>
        <v/>
      </c>
      <c r="GS209" s="150" t="str">
        <f aca="false">IF(OR(GS$169&lt;SwaptionFirstMonthPosition+1,$FJ209&lt;SwaptionFirstMonthPosition+1,GS$169&gt;SwaptionFirstMonthPosition+SwaptionNumOfMonths+1,$FJ209&gt;SwaptionFirstMonthPosition+SwaptionNumOfMonths+1),"",IF($FJ209=GS$169,1,IF($FJ209&lt;GS$169,INDEX($FK$170:$ID$241,GS$169,$FJ209),SUMPRODUCT(INDEX($FK$325:$ID$396,GS$169,1+SwaptionShift):INDEX($FK$325:$ID$396,GS$169,SwaptionMonthsToGo+SwaptionShift),INDEX($FK$245:$ID$316,$FJ209-GS$169,73-GS$169+SwaptionShift):INDEX($FK$245:$ID$316,$FJ209-GS$169,72-GS$169+SwaptionMonthsToGo+SwaptionShift))/SQRT(SUM(INDEX($FK364:$ID364,1+SwaptionShift):INDEX($FK364:$ID364,SwaptionMonthsToGo+SwaptionShift))*SUM(INDEX($FK$325:$ID$396,GS$169,1+SwaptionShift):INDEX($FK$325:$ID$396,GS$169,SwaptionMonthsToGo+SwaptionShift))))))</f>
        <v/>
      </c>
      <c r="GT209" s="150" t="str">
        <f aca="false">IF(OR(GT$169&lt;SwaptionFirstMonthPosition+1,$FJ209&lt;SwaptionFirstMonthPosition+1,GT$169&gt;SwaptionFirstMonthPosition+SwaptionNumOfMonths+1,$FJ209&gt;SwaptionFirstMonthPosition+SwaptionNumOfMonths+1),"",IF($FJ209=GT$169,1,IF($FJ209&lt;GT$169,INDEX($FK$170:$ID$241,GT$169,$FJ209),SUMPRODUCT(INDEX($FK$325:$ID$396,GT$169,1+SwaptionShift):INDEX($FK$325:$ID$396,GT$169,SwaptionMonthsToGo+SwaptionShift),INDEX($FK$245:$ID$316,$FJ209-GT$169,73-GT$169+SwaptionShift):INDEX($FK$245:$ID$316,$FJ209-GT$169,72-GT$169+SwaptionMonthsToGo+SwaptionShift))/SQRT(SUM(INDEX($FK364:$ID364,1+SwaptionShift):INDEX($FK364:$ID364,SwaptionMonthsToGo+SwaptionShift))*SUM(INDEX($FK$325:$ID$396,GT$169,1+SwaptionShift):INDEX($FK$325:$ID$396,GT$169,SwaptionMonthsToGo+SwaptionShift))))))</f>
        <v/>
      </c>
      <c r="GU209" s="150" t="str">
        <f aca="false">IF(OR(GU$169&lt;SwaptionFirstMonthPosition+1,$FJ209&lt;SwaptionFirstMonthPosition+1,GU$169&gt;SwaptionFirstMonthPosition+SwaptionNumOfMonths+1,$FJ209&gt;SwaptionFirstMonthPosition+SwaptionNumOfMonths+1),"",IF($FJ209=GU$169,1,IF($FJ209&lt;GU$169,INDEX($FK$170:$ID$241,GU$169,$FJ209),SUMPRODUCT(INDEX($FK$325:$ID$396,GU$169,1+SwaptionShift):INDEX($FK$325:$ID$396,GU$169,SwaptionMonthsToGo+SwaptionShift),INDEX($FK$245:$ID$316,$FJ209-GU$169,73-GU$169+SwaptionShift):INDEX($FK$245:$ID$316,$FJ209-GU$169,72-GU$169+SwaptionMonthsToGo+SwaptionShift))/SQRT(SUM(INDEX($FK364:$ID364,1+SwaptionShift):INDEX($FK364:$ID364,SwaptionMonthsToGo+SwaptionShift))*SUM(INDEX($FK$325:$ID$396,GU$169,1+SwaptionShift):INDEX($FK$325:$ID$396,GU$169,SwaptionMonthsToGo+SwaptionShift))))))</f>
        <v/>
      </c>
      <c r="GV209" s="150" t="str">
        <f aca="false">IF(OR(GV$169&lt;SwaptionFirstMonthPosition+1,$FJ209&lt;SwaptionFirstMonthPosition+1,GV$169&gt;SwaptionFirstMonthPosition+SwaptionNumOfMonths+1,$FJ209&gt;SwaptionFirstMonthPosition+SwaptionNumOfMonths+1),"",IF($FJ209=GV$169,1,IF($FJ209&lt;GV$169,INDEX($FK$170:$ID$241,GV$169,$FJ209),SUMPRODUCT(INDEX($FK$325:$ID$396,GV$169,1+SwaptionShift):INDEX($FK$325:$ID$396,GV$169,SwaptionMonthsToGo+SwaptionShift),INDEX($FK$245:$ID$316,$FJ209-GV$169,73-GV$169+SwaptionShift):INDEX($FK$245:$ID$316,$FJ209-GV$169,72-GV$169+SwaptionMonthsToGo+SwaptionShift))/SQRT(SUM(INDEX($FK364:$ID364,1+SwaptionShift):INDEX($FK364:$ID364,SwaptionMonthsToGo+SwaptionShift))*SUM(INDEX($FK$325:$ID$396,GV$169,1+SwaptionShift):INDEX($FK$325:$ID$396,GV$169,SwaptionMonthsToGo+SwaptionShift))))))</f>
        <v/>
      </c>
      <c r="GW209" s="150" t="str">
        <f aca="false">IF(OR(GW$169&lt;SwaptionFirstMonthPosition+1,$FJ209&lt;SwaptionFirstMonthPosition+1,GW$169&gt;SwaptionFirstMonthPosition+SwaptionNumOfMonths+1,$FJ209&gt;SwaptionFirstMonthPosition+SwaptionNumOfMonths+1),"",IF($FJ209=GW$169,1,IF($FJ209&lt;GW$169,INDEX($FK$170:$ID$241,GW$169,$FJ209),SUMPRODUCT(INDEX($FK$325:$ID$396,GW$169,1+SwaptionShift):INDEX($FK$325:$ID$396,GW$169,SwaptionMonthsToGo+SwaptionShift),INDEX($FK$245:$ID$316,$FJ209-GW$169,73-GW$169+SwaptionShift):INDEX($FK$245:$ID$316,$FJ209-GW$169,72-GW$169+SwaptionMonthsToGo+SwaptionShift))/SQRT(SUM(INDEX($FK364:$ID364,1+SwaptionShift):INDEX($FK364:$ID364,SwaptionMonthsToGo+SwaptionShift))*SUM(INDEX($FK$325:$ID$396,GW$169,1+SwaptionShift):INDEX($FK$325:$ID$396,GW$169,SwaptionMonthsToGo+SwaptionShift))))))</f>
        <v/>
      </c>
      <c r="GX209" s="150" t="str">
        <f aca="false">IF(OR(GX$169&lt;SwaptionFirstMonthPosition+1,$FJ209&lt;SwaptionFirstMonthPosition+1,GX$169&gt;SwaptionFirstMonthPosition+SwaptionNumOfMonths+1,$FJ209&gt;SwaptionFirstMonthPosition+SwaptionNumOfMonths+1),"",IF($FJ209=GX$169,1,IF($FJ209&lt;GX$169,INDEX($FK$170:$ID$241,GX$169,$FJ209),SUMPRODUCT(INDEX($FK$325:$ID$396,GX$169,1+SwaptionShift):INDEX($FK$325:$ID$396,GX$169,SwaptionMonthsToGo+SwaptionShift),INDEX($FK$245:$ID$316,$FJ209-GX$169,73-GX$169+SwaptionShift):INDEX($FK$245:$ID$316,$FJ209-GX$169,72-GX$169+SwaptionMonthsToGo+SwaptionShift))/SQRT(SUM(INDEX($FK364:$ID364,1+SwaptionShift):INDEX($FK364:$ID364,SwaptionMonthsToGo+SwaptionShift))*SUM(INDEX($FK$325:$ID$396,GX$169,1+SwaptionShift):INDEX($FK$325:$ID$396,GX$169,SwaptionMonthsToGo+SwaptionShift))))))</f>
        <v/>
      </c>
      <c r="GY209" s="150" t="str">
        <f aca="false">IF(OR(GY$169&lt;SwaptionFirstMonthPosition+1,$FJ209&lt;SwaptionFirstMonthPosition+1,GY$169&gt;SwaptionFirstMonthPosition+SwaptionNumOfMonths+1,$FJ209&gt;SwaptionFirstMonthPosition+SwaptionNumOfMonths+1),"",IF($FJ209=GY$169,1,IF($FJ209&lt;GY$169,INDEX($FK$170:$ID$241,GY$169,$FJ209),SUMPRODUCT(INDEX($FK$325:$ID$396,GY$169,1+SwaptionShift):INDEX($FK$325:$ID$396,GY$169,SwaptionMonthsToGo+SwaptionShift),INDEX($FK$245:$ID$316,$FJ209-GY$169,73-GY$169+SwaptionShift):INDEX($FK$245:$ID$316,$FJ209-GY$169,72-GY$169+SwaptionMonthsToGo+SwaptionShift))/SQRT(SUM(INDEX($FK364:$ID364,1+SwaptionShift):INDEX($FK364:$ID364,SwaptionMonthsToGo+SwaptionShift))*SUM(INDEX($FK$325:$ID$396,GY$169,1+SwaptionShift):INDEX($FK$325:$ID$396,GY$169,SwaptionMonthsToGo+SwaptionShift))))))</f>
        <v/>
      </c>
      <c r="GZ209" s="150" t="str">
        <f aca="false">IF(OR(GZ$169&lt;SwaptionFirstMonthPosition+1,$FJ209&lt;SwaptionFirstMonthPosition+1,GZ$169&gt;SwaptionFirstMonthPosition+SwaptionNumOfMonths+1,$FJ209&gt;SwaptionFirstMonthPosition+SwaptionNumOfMonths+1),"",IF($FJ209=GZ$169,1,IF($FJ209&lt;GZ$169,INDEX($FK$170:$ID$241,GZ$169,$FJ209),SUMPRODUCT(INDEX($FK$325:$ID$396,GZ$169,1+SwaptionShift):INDEX($FK$325:$ID$396,GZ$169,SwaptionMonthsToGo+SwaptionShift),INDEX($FK$245:$ID$316,$FJ209-GZ$169,73-GZ$169+SwaptionShift):INDEX($FK$245:$ID$316,$FJ209-GZ$169,72-GZ$169+SwaptionMonthsToGo+SwaptionShift))/SQRT(SUM(INDEX($FK364:$ID364,1+SwaptionShift):INDEX($FK364:$ID364,SwaptionMonthsToGo+SwaptionShift))*SUM(INDEX($FK$325:$ID$396,GZ$169,1+SwaptionShift):INDEX($FK$325:$ID$396,GZ$169,SwaptionMonthsToGo+SwaptionShift))))))</f>
        <v/>
      </c>
      <c r="HA209" s="150" t="str">
        <f aca="false">IF(OR(HA$169&lt;SwaptionFirstMonthPosition+1,$FJ209&lt;SwaptionFirstMonthPosition+1,HA$169&gt;SwaptionFirstMonthPosition+SwaptionNumOfMonths+1,$FJ209&gt;SwaptionFirstMonthPosition+SwaptionNumOfMonths+1),"",IF($FJ209=HA$169,1,IF($FJ209&lt;HA$169,INDEX($FK$170:$ID$241,HA$169,$FJ209),SUMPRODUCT(INDEX($FK$325:$ID$396,HA$169,1+SwaptionShift):INDEX($FK$325:$ID$396,HA$169,SwaptionMonthsToGo+SwaptionShift),INDEX($FK$245:$ID$316,$FJ209-HA$169,73-HA$169+SwaptionShift):INDEX($FK$245:$ID$316,$FJ209-HA$169,72-HA$169+SwaptionMonthsToGo+SwaptionShift))/SQRT(SUM(INDEX($FK364:$ID364,1+SwaptionShift):INDEX($FK364:$ID364,SwaptionMonthsToGo+SwaptionShift))*SUM(INDEX($FK$325:$ID$396,HA$169,1+SwaptionShift):INDEX($FK$325:$ID$396,HA$169,SwaptionMonthsToGo+SwaptionShift))))))</f>
        <v/>
      </c>
      <c r="HB209" s="150" t="str">
        <f aca="false">IF(OR(HB$169&lt;SwaptionFirstMonthPosition+1,$FJ209&lt;SwaptionFirstMonthPosition+1,HB$169&gt;SwaptionFirstMonthPosition+SwaptionNumOfMonths+1,$FJ209&gt;SwaptionFirstMonthPosition+SwaptionNumOfMonths+1),"",IF($FJ209=HB$169,1,IF($FJ209&lt;HB$169,INDEX($FK$170:$ID$241,HB$169,$FJ209),SUMPRODUCT(INDEX($FK$325:$ID$396,HB$169,1+SwaptionShift):INDEX($FK$325:$ID$396,HB$169,SwaptionMonthsToGo+SwaptionShift),INDEX($FK$245:$ID$316,$FJ209-HB$169,73-HB$169+SwaptionShift):INDEX($FK$245:$ID$316,$FJ209-HB$169,72-HB$169+SwaptionMonthsToGo+SwaptionShift))/SQRT(SUM(INDEX($FK364:$ID364,1+SwaptionShift):INDEX($FK364:$ID364,SwaptionMonthsToGo+SwaptionShift))*SUM(INDEX($FK$325:$ID$396,HB$169,1+SwaptionShift):INDEX($FK$325:$ID$396,HB$169,SwaptionMonthsToGo+SwaptionShift))))))</f>
        <v/>
      </c>
      <c r="HC209" s="150" t="str">
        <f aca="false">IF(OR(HC$169&lt;SwaptionFirstMonthPosition+1,$FJ209&lt;SwaptionFirstMonthPosition+1,HC$169&gt;SwaptionFirstMonthPosition+SwaptionNumOfMonths+1,$FJ209&gt;SwaptionFirstMonthPosition+SwaptionNumOfMonths+1),"",IF($FJ209=HC$169,1,IF($FJ209&lt;HC$169,INDEX($FK$170:$ID$241,HC$169,$FJ209),SUMPRODUCT(INDEX($FK$325:$ID$396,HC$169,1+SwaptionShift):INDEX($FK$325:$ID$396,HC$169,SwaptionMonthsToGo+SwaptionShift),INDEX($FK$245:$ID$316,$FJ209-HC$169,73-HC$169+SwaptionShift):INDEX($FK$245:$ID$316,$FJ209-HC$169,72-HC$169+SwaptionMonthsToGo+SwaptionShift))/SQRT(SUM(INDEX($FK364:$ID364,1+SwaptionShift):INDEX($FK364:$ID364,SwaptionMonthsToGo+SwaptionShift))*SUM(INDEX($FK$325:$ID$396,HC$169,1+SwaptionShift):INDEX($FK$325:$ID$396,HC$169,SwaptionMonthsToGo+SwaptionShift))))))</f>
        <v/>
      </c>
      <c r="HD209" s="150" t="str">
        <f aca="false">IF(OR(HD$169&lt;SwaptionFirstMonthPosition+1,$FJ209&lt;SwaptionFirstMonthPosition+1,HD$169&gt;SwaptionFirstMonthPosition+SwaptionNumOfMonths+1,$FJ209&gt;SwaptionFirstMonthPosition+SwaptionNumOfMonths+1),"",IF($FJ209=HD$169,1,IF($FJ209&lt;HD$169,INDEX($FK$170:$ID$241,HD$169,$FJ209),SUMPRODUCT(INDEX($FK$325:$ID$396,HD$169,1+SwaptionShift):INDEX($FK$325:$ID$396,HD$169,SwaptionMonthsToGo+SwaptionShift),INDEX($FK$245:$ID$316,$FJ209-HD$169,73-HD$169+SwaptionShift):INDEX($FK$245:$ID$316,$FJ209-HD$169,72-HD$169+SwaptionMonthsToGo+SwaptionShift))/SQRT(SUM(INDEX($FK364:$ID364,1+SwaptionShift):INDEX($FK364:$ID364,SwaptionMonthsToGo+SwaptionShift))*SUM(INDEX($FK$325:$ID$396,HD$169,1+SwaptionShift):INDEX($FK$325:$ID$396,HD$169,SwaptionMonthsToGo+SwaptionShift))))))</f>
        <v/>
      </c>
      <c r="HE209" s="150" t="str">
        <f aca="false">IF(OR(HE$169&lt;SwaptionFirstMonthPosition+1,$FJ209&lt;SwaptionFirstMonthPosition+1,HE$169&gt;SwaptionFirstMonthPosition+SwaptionNumOfMonths+1,$FJ209&gt;SwaptionFirstMonthPosition+SwaptionNumOfMonths+1),"",IF($FJ209=HE$169,1,IF($FJ209&lt;HE$169,INDEX($FK$170:$ID$241,HE$169,$FJ209),SUMPRODUCT(INDEX($FK$325:$ID$396,HE$169,1+SwaptionShift):INDEX($FK$325:$ID$396,HE$169,SwaptionMonthsToGo+SwaptionShift),INDEX($FK$245:$ID$316,$FJ209-HE$169,73-HE$169+SwaptionShift):INDEX($FK$245:$ID$316,$FJ209-HE$169,72-HE$169+SwaptionMonthsToGo+SwaptionShift))/SQRT(SUM(INDEX($FK364:$ID364,1+SwaptionShift):INDEX($FK364:$ID364,SwaptionMonthsToGo+SwaptionShift))*SUM(INDEX($FK$325:$ID$396,HE$169,1+SwaptionShift):INDEX($FK$325:$ID$396,HE$169,SwaptionMonthsToGo+SwaptionShift))))))</f>
        <v/>
      </c>
      <c r="HF209" s="150" t="str">
        <f aca="false">IF(OR(HF$169&lt;SwaptionFirstMonthPosition+1,$FJ209&lt;SwaptionFirstMonthPosition+1,HF$169&gt;SwaptionFirstMonthPosition+SwaptionNumOfMonths+1,$FJ209&gt;SwaptionFirstMonthPosition+SwaptionNumOfMonths+1),"",IF($FJ209=HF$169,1,IF($FJ209&lt;HF$169,INDEX($FK$170:$ID$241,HF$169,$FJ209),SUMPRODUCT(INDEX($FK$325:$ID$396,HF$169,1+SwaptionShift):INDEX($FK$325:$ID$396,HF$169,SwaptionMonthsToGo+SwaptionShift),INDEX($FK$245:$ID$316,$FJ209-HF$169,73-HF$169+SwaptionShift):INDEX($FK$245:$ID$316,$FJ209-HF$169,72-HF$169+SwaptionMonthsToGo+SwaptionShift))/SQRT(SUM(INDEX($FK364:$ID364,1+SwaptionShift):INDEX($FK364:$ID364,SwaptionMonthsToGo+SwaptionShift))*SUM(INDEX($FK$325:$ID$396,HF$169,1+SwaptionShift):INDEX($FK$325:$ID$396,HF$169,SwaptionMonthsToGo+SwaptionShift))))))</f>
        <v/>
      </c>
      <c r="HG209" s="150" t="str">
        <f aca="false">IF(OR(HG$169&lt;SwaptionFirstMonthPosition+1,$FJ209&lt;SwaptionFirstMonthPosition+1,HG$169&gt;SwaptionFirstMonthPosition+SwaptionNumOfMonths+1,$FJ209&gt;SwaptionFirstMonthPosition+SwaptionNumOfMonths+1),"",IF($FJ209=HG$169,1,IF($FJ209&lt;HG$169,INDEX($FK$170:$ID$241,HG$169,$FJ209),SUMPRODUCT(INDEX($FK$325:$ID$396,HG$169,1+SwaptionShift):INDEX($FK$325:$ID$396,HG$169,SwaptionMonthsToGo+SwaptionShift),INDEX($FK$245:$ID$316,$FJ209-HG$169,73-HG$169+SwaptionShift):INDEX($FK$245:$ID$316,$FJ209-HG$169,72-HG$169+SwaptionMonthsToGo+SwaptionShift))/SQRT(SUM(INDEX($FK364:$ID364,1+SwaptionShift):INDEX($FK364:$ID364,SwaptionMonthsToGo+SwaptionShift))*SUM(INDEX($FK$325:$ID$396,HG$169,1+SwaptionShift):INDEX($FK$325:$ID$396,HG$169,SwaptionMonthsToGo+SwaptionShift))))))</f>
        <v/>
      </c>
      <c r="HH209" s="150" t="str">
        <f aca="false">IF(OR(HH$169&lt;SwaptionFirstMonthPosition+1,$FJ209&lt;SwaptionFirstMonthPosition+1,HH$169&gt;SwaptionFirstMonthPosition+SwaptionNumOfMonths+1,$FJ209&gt;SwaptionFirstMonthPosition+SwaptionNumOfMonths+1),"",IF($FJ209=HH$169,1,IF($FJ209&lt;HH$169,INDEX($FK$170:$ID$241,HH$169,$FJ209),SUMPRODUCT(INDEX($FK$325:$ID$396,HH$169,1+SwaptionShift):INDEX($FK$325:$ID$396,HH$169,SwaptionMonthsToGo+SwaptionShift),INDEX($FK$245:$ID$316,$FJ209-HH$169,73-HH$169+SwaptionShift):INDEX($FK$245:$ID$316,$FJ209-HH$169,72-HH$169+SwaptionMonthsToGo+SwaptionShift))/SQRT(SUM(INDEX($FK364:$ID364,1+SwaptionShift):INDEX($FK364:$ID364,SwaptionMonthsToGo+SwaptionShift))*SUM(INDEX($FK$325:$ID$396,HH$169,1+SwaptionShift):INDEX($FK$325:$ID$396,HH$169,SwaptionMonthsToGo+SwaptionShift))))))</f>
        <v/>
      </c>
      <c r="HI209" s="150" t="str">
        <f aca="false">IF(OR(HI$169&lt;SwaptionFirstMonthPosition+1,$FJ209&lt;SwaptionFirstMonthPosition+1,HI$169&gt;SwaptionFirstMonthPosition+SwaptionNumOfMonths+1,$FJ209&gt;SwaptionFirstMonthPosition+SwaptionNumOfMonths+1),"",IF($FJ209=HI$169,1,IF($FJ209&lt;HI$169,INDEX($FK$170:$ID$241,HI$169,$FJ209),SUMPRODUCT(INDEX($FK$325:$ID$396,HI$169,1+SwaptionShift):INDEX($FK$325:$ID$396,HI$169,SwaptionMonthsToGo+SwaptionShift),INDEX($FK$245:$ID$316,$FJ209-HI$169,73-HI$169+SwaptionShift):INDEX($FK$245:$ID$316,$FJ209-HI$169,72-HI$169+SwaptionMonthsToGo+SwaptionShift))/SQRT(SUM(INDEX($FK364:$ID364,1+SwaptionShift):INDEX($FK364:$ID364,SwaptionMonthsToGo+SwaptionShift))*SUM(INDEX($FK$325:$ID$396,HI$169,1+SwaptionShift):INDEX($FK$325:$ID$396,HI$169,SwaptionMonthsToGo+SwaptionShift))))))</f>
        <v/>
      </c>
      <c r="HJ209" s="150" t="str">
        <f aca="false">IF(OR(HJ$169&lt;SwaptionFirstMonthPosition+1,$FJ209&lt;SwaptionFirstMonthPosition+1,HJ$169&gt;SwaptionFirstMonthPosition+SwaptionNumOfMonths+1,$FJ209&gt;SwaptionFirstMonthPosition+SwaptionNumOfMonths+1),"",IF($FJ209=HJ$169,1,IF($FJ209&lt;HJ$169,INDEX($FK$170:$ID$241,HJ$169,$FJ209),SUMPRODUCT(INDEX($FK$325:$ID$396,HJ$169,1+SwaptionShift):INDEX($FK$325:$ID$396,HJ$169,SwaptionMonthsToGo+SwaptionShift),INDEX($FK$245:$ID$316,$FJ209-HJ$169,73-HJ$169+SwaptionShift):INDEX($FK$245:$ID$316,$FJ209-HJ$169,72-HJ$169+SwaptionMonthsToGo+SwaptionShift))/SQRT(SUM(INDEX($FK364:$ID364,1+SwaptionShift):INDEX($FK364:$ID364,SwaptionMonthsToGo+SwaptionShift))*SUM(INDEX($FK$325:$ID$396,HJ$169,1+SwaptionShift):INDEX($FK$325:$ID$396,HJ$169,SwaptionMonthsToGo+SwaptionShift))))))</f>
        <v/>
      </c>
      <c r="HK209" s="150" t="str">
        <f aca="false">IF(OR(HK$169&lt;SwaptionFirstMonthPosition+1,$FJ209&lt;SwaptionFirstMonthPosition+1,HK$169&gt;SwaptionFirstMonthPosition+SwaptionNumOfMonths+1,$FJ209&gt;SwaptionFirstMonthPosition+SwaptionNumOfMonths+1),"",IF($FJ209=HK$169,1,IF($FJ209&lt;HK$169,INDEX($FK$170:$ID$241,HK$169,$FJ209),SUMPRODUCT(INDEX($FK$325:$ID$396,HK$169,1+SwaptionShift):INDEX($FK$325:$ID$396,HK$169,SwaptionMonthsToGo+SwaptionShift),INDEX($FK$245:$ID$316,$FJ209-HK$169,73-HK$169+SwaptionShift):INDEX($FK$245:$ID$316,$FJ209-HK$169,72-HK$169+SwaptionMonthsToGo+SwaptionShift))/SQRT(SUM(INDEX($FK364:$ID364,1+SwaptionShift):INDEX($FK364:$ID364,SwaptionMonthsToGo+SwaptionShift))*SUM(INDEX($FK$325:$ID$396,HK$169,1+SwaptionShift):INDEX($FK$325:$ID$396,HK$169,SwaptionMonthsToGo+SwaptionShift))))))</f>
        <v/>
      </c>
      <c r="HL209" s="150" t="str">
        <f aca="false">IF(OR(HL$169&lt;SwaptionFirstMonthPosition+1,$FJ209&lt;SwaptionFirstMonthPosition+1,HL$169&gt;SwaptionFirstMonthPosition+SwaptionNumOfMonths+1,$FJ209&gt;SwaptionFirstMonthPosition+SwaptionNumOfMonths+1),"",IF($FJ209=HL$169,1,IF($FJ209&lt;HL$169,INDEX($FK$170:$ID$241,HL$169,$FJ209),SUMPRODUCT(INDEX($FK$325:$ID$396,HL$169,1+SwaptionShift):INDEX($FK$325:$ID$396,HL$169,SwaptionMonthsToGo+SwaptionShift),INDEX($FK$245:$ID$316,$FJ209-HL$169,73-HL$169+SwaptionShift):INDEX($FK$245:$ID$316,$FJ209-HL$169,72-HL$169+SwaptionMonthsToGo+SwaptionShift))/SQRT(SUM(INDEX($FK364:$ID364,1+SwaptionShift):INDEX($FK364:$ID364,SwaptionMonthsToGo+SwaptionShift))*SUM(INDEX($FK$325:$ID$396,HL$169,1+SwaptionShift):INDEX($FK$325:$ID$396,HL$169,SwaptionMonthsToGo+SwaptionShift))))))</f>
        <v/>
      </c>
      <c r="HM209" s="150" t="str">
        <f aca="false">IF(OR(HM$169&lt;SwaptionFirstMonthPosition+1,$FJ209&lt;SwaptionFirstMonthPosition+1,HM$169&gt;SwaptionFirstMonthPosition+SwaptionNumOfMonths+1,$FJ209&gt;SwaptionFirstMonthPosition+SwaptionNumOfMonths+1),"",IF($FJ209=HM$169,1,IF($FJ209&lt;HM$169,INDEX($FK$170:$ID$241,HM$169,$FJ209),SUMPRODUCT(INDEX($FK$325:$ID$396,HM$169,1+SwaptionShift):INDEX($FK$325:$ID$396,HM$169,SwaptionMonthsToGo+SwaptionShift),INDEX($FK$245:$ID$316,$FJ209-HM$169,73-HM$169+SwaptionShift):INDEX($FK$245:$ID$316,$FJ209-HM$169,72-HM$169+SwaptionMonthsToGo+SwaptionShift))/SQRT(SUM(INDEX($FK364:$ID364,1+SwaptionShift):INDEX($FK364:$ID364,SwaptionMonthsToGo+SwaptionShift))*SUM(INDEX($FK$325:$ID$396,HM$169,1+SwaptionShift):INDEX($FK$325:$ID$396,HM$169,SwaptionMonthsToGo+SwaptionShift))))))</f>
        <v/>
      </c>
      <c r="HN209" s="150" t="str">
        <f aca="false">IF(OR(HN$169&lt;SwaptionFirstMonthPosition+1,$FJ209&lt;SwaptionFirstMonthPosition+1,HN$169&gt;SwaptionFirstMonthPosition+SwaptionNumOfMonths+1,$FJ209&gt;SwaptionFirstMonthPosition+SwaptionNumOfMonths+1),"",IF($FJ209=HN$169,1,IF($FJ209&lt;HN$169,INDEX($FK$170:$ID$241,HN$169,$FJ209),SUMPRODUCT(INDEX($FK$325:$ID$396,HN$169,1+SwaptionShift):INDEX($FK$325:$ID$396,HN$169,SwaptionMonthsToGo+SwaptionShift),INDEX($FK$245:$ID$316,$FJ209-HN$169,73-HN$169+SwaptionShift):INDEX($FK$245:$ID$316,$FJ209-HN$169,72-HN$169+SwaptionMonthsToGo+SwaptionShift))/SQRT(SUM(INDEX($FK364:$ID364,1+SwaptionShift):INDEX($FK364:$ID364,SwaptionMonthsToGo+SwaptionShift))*SUM(INDEX($FK$325:$ID$396,HN$169,1+SwaptionShift):INDEX($FK$325:$ID$396,HN$169,SwaptionMonthsToGo+SwaptionShift))))))</f>
        <v/>
      </c>
      <c r="HO209" s="150" t="str">
        <f aca="false">IF(OR(HO$169&lt;SwaptionFirstMonthPosition+1,$FJ209&lt;SwaptionFirstMonthPosition+1,HO$169&gt;SwaptionFirstMonthPosition+SwaptionNumOfMonths+1,$FJ209&gt;SwaptionFirstMonthPosition+SwaptionNumOfMonths+1),"",IF($FJ209=HO$169,1,IF($FJ209&lt;HO$169,INDEX($FK$170:$ID$241,HO$169,$FJ209),SUMPRODUCT(INDEX($FK$325:$ID$396,HO$169,1+SwaptionShift):INDEX($FK$325:$ID$396,HO$169,SwaptionMonthsToGo+SwaptionShift),INDEX($FK$245:$ID$316,$FJ209-HO$169,73-HO$169+SwaptionShift):INDEX($FK$245:$ID$316,$FJ209-HO$169,72-HO$169+SwaptionMonthsToGo+SwaptionShift))/SQRT(SUM(INDEX($FK364:$ID364,1+SwaptionShift):INDEX($FK364:$ID364,SwaptionMonthsToGo+SwaptionShift))*SUM(INDEX($FK$325:$ID$396,HO$169,1+SwaptionShift):INDEX($FK$325:$ID$396,HO$169,SwaptionMonthsToGo+SwaptionShift))))))</f>
        <v/>
      </c>
      <c r="HP209" s="150" t="str">
        <f aca="false">IF(OR(HP$169&lt;SwaptionFirstMonthPosition+1,$FJ209&lt;SwaptionFirstMonthPosition+1,HP$169&gt;SwaptionFirstMonthPosition+SwaptionNumOfMonths+1,$FJ209&gt;SwaptionFirstMonthPosition+SwaptionNumOfMonths+1),"",IF($FJ209=HP$169,1,IF($FJ209&lt;HP$169,INDEX($FK$170:$ID$241,HP$169,$FJ209),SUMPRODUCT(INDEX($FK$325:$ID$396,HP$169,1+SwaptionShift):INDEX($FK$325:$ID$396,HP$169,SwaptionMonthsToGo+SwaptionShift),INDEX($FK$245:$ID$316,$FJ209-HP$169,73-HP$169+SwaptionShift):INDEX($FK$245:$ID$316,$FJ209-HP$169,72-HP$169+SwaptionMonthsToGo+SwaptionShift))/SQRT(SUM(INDEX($FK364:$ID364,1+SwaptionShift):INDEX($FK364:$ID364,SwaptionMonthsToGo+SwaptionShift))*SUM(INDEX($FK$325:$ID$396,HP$169,1+SwaptionShift):INDEX($FK$325:$ID$396,HP$169,SwaptionMonthsToGo+SwaptionShift))))))</f>
        <v/>
      </c>
      <c r="HQ209" s="150" t="str">
        <f aca="false">IF(OR(HQ$169&lt;SwaptionFirstMonthPosition+1,$FJ209&lt;SwaptionFirstMonthPosition+1,HQ$169&gt;SwaptionFirstMonthPosition+SwaptionNumOfMonths+1,$FJ209&gt;SwaptionFirstMonthPosition+SwaptionNumOfMonths+1),"",IF($FJ209=HQ$169,1,IF($FJ209&lt;HQ$169,INDEX($FK$170:$ID$241,HQ$169,$FJ209),SUMPRODUCT(INDEX($FK$325:$ID$396,HQ$169,1+SwaptionShift):INDEX($FK$325:$ID$396,HQ$169,SwaptionMonthsToGo+SwaptionShift),INDEX($FK$245:$ID$316,$FJ209-HQ$169,73-HQ$169+SwaptionShift):INDEX($FK$245:$ID$316,$FJ209-HQ$169,72-HQ$169+SwaptionMonthsToGo+SwaptionShift))/SQRT(SUM(INDEX($FK364:$ID364,1+SwaptionShift):INDEX($FK364:$ID364,SwaptionMonthsToGo+SwaptionShift))*SUM(INDEX($FK$325:$ID$396,HQ$169,1+SwaptionShift):INDEX($FK$325:$ID$396,HQ$169,SwaptionMonthsToGo+SwaptionShift))))))</f>
        <v/>
      </c>
      <c r="HR209" s="150" t="str">
        <f aca="false">IF(OR(HR$169&lt;SwaptionFirstMonthPosition+1,$FJ209&lt;SwaptionFirstMonthPosition+1,HR$169&gt;SwaptionFirstMonthPosition+SwaptionNumOfMonths+1,$FJ209&gt;SwaptionFirstMonthPosition+SwaptionNumOfMonths+1),"",IF($FJ209=HR$169,1,IF($FJ209&lt;HR$169,INDEX($FK$170:$ID$241,HR$169,$FJ209),SUMPRODUCT(INDEX($FK$325:$ID$396,HR$169,1+SwaptionShift):INDEX($FK$325:$ID$396,HR$169,SwaptionMonthsToGo+SwaptionShift),INDEX($FK$245:$ID$316,$FJ209-HR$169,73-HR$169+SwaptionShift):INDEX($FK$245:$ID$316,$FJ209-HR$169,72-HR$169+SwaptionMonthsToGo+SwaptionShift))/SQRT(SUM(INDEX($FK364:$ID364,1+SwaptionShift):INDEX($FK364:$ID364,SwaptionMonthsToGo+SwaptionShift))*SUM(INDEX($FK$325:$ID$396,HR$169,1+SwaptionShift):INDEX($FK$325:$ID$396,HR$169,SwaptionMonthsToGo+SwaptionShift))))))</f>
        <v/>
      </c>
      <c r="HS209" s="150" t="str">
        <f aca="false">IF(OR(HS$169&lt;SwaptionFirstMonthPosition+1,$FJ209&lt;SwaptionFirstMonthPosition+1,HS$169&gt;SwaptionFirstMonthPosition+SwaptionNumOfMonths+1,$FJ209&gt;SwaptionFirstMonthPosition+SwaptionNumOfMonths+1),"",IF($FJ209=HS$169,1,IF($FJ209&lt;HS$169,INDEX($FK$170:$ID$241,HS$169,$FJ209),SUMPRODUCT(INDEX($FK$325:$ID$396,HS$169,1+SwaptionShift):INDEX($FK$325:$ID$396,HS$169,SwaptionMonthsToGo+SwaptionShift),INDEX($FK$245:$ID$316,$FJ209-HS$169,73-HS$169+SwaptionShift):INDEX($FK$245:$ID$316,$FJ209-HS$169,72-HS$169+SwaptionMonthsToGo+SwaptionShift))/SQRT(SUM(INDEX($FK364:$ID364,1+SwaptionShift):INDEX($FK364:$ID364,SwaptionMonthsToGo+SwaptionShift))*SUM(INDEX($FK$325:$ID$396,HS$169,1+SwaptionShift):INDEX($FK$325:$ID$396,HS$169,SwaptionMonthsToGo+SwaptionShift))))))</f>
        <v/>
      </c>
      <c r="HT209" s="150" t="str">
        <f aca="false">IF(OR(HT$169&lt;SwaptionFirstMonthPosition+1,$FJ209&lt;SwaptionFirstMonthPosition+1,HT$169&gt;SwaptionFirstMonthPosition+SwaptionNumOfMonths+1,$FJ209&gt;SwaptionFirstMonthPosition+SwaptionNumOfMonths+1),"",IF($FJ209=HT$169,1,IF($FJ209&lt;HT$169,INDEX($FK$170:$ID$241,HT$169,$FJ209),SUMPRODUCT(INDEX($FK$325:$ID$396,HT$169,1+SwaptionShift):INDEX($FK$325:$ID$396,HT$169,SwaptionMonthsToGo+SwaptionShift),INDEX($FK$245:$ID$316,$FJ209-HT$169,73-HT$169+SwaptionShift):INDEX($FK$245:$ID$316,$FJ209-HT$169,72-HT$169+SwaptionMonthsToGo+SwaptionShift))/SQRT(SUM(INDEX($FK364:$ID364,1+SwaptionShift):INDEX($FK364:$ID364,SwaptionMonthsToGo+SwaptionShift))*SUM(INDEX($FK$325:$ID$396,HT$169,1+SwaptionShift):INDEX($FK$325:$ID$396,HT$169,SwaptionMonthsToGo+SwaptionShift))))))</f>
        <v/>
      </c>
      <c r="HU209" s="150" t="str">
        <f aca="false">IF(OR(HU$169&lt;SwaptionFirstMonthPosition+1,$FJ209&lt;SwaptionFirstMonthPosition+1,HU$169&gt;SwaptionFirstMonthPosition+SwaptionNumOfMonths+1,$FJ209&gt;SwaptionFirstMonthPosition+SwaptionNumOfMonths+1),"",IF($FJ209=HU$169,1,IF($FJ209&lt;HU$169,INDEX($FK$170:$ID$241,HU$169,$FJ209),SUMPRODUCT(INDEX($FK$325:$ID$396,HU$169,1+SwaptionShift):INDEX($FK$325:$ID$396,HU$169,SwaptionMonthsToGo+SwaptionShift),INDEX($FK$245:$ID$316,$FJ209-HU$169,73-HU$169+SwaptionShift):INDEX($FK$245:$ID$316,$FJ209-HU$169,72-HU$169+SwaptionMonthsToGo+SwaptionShift))/SQRT(SUM(INDEX($FK364:$ID364,1+SwaptionShift):INDEX($FK364:$ID364,SwaptionMonthsToGo+SwaptionShift))*SUM(INDEX($FK$325:$ID$396,HU$169,1+SwaptionShift):INDEX($FK$325:$ID$396,HU$169,SwaptionMonthsToGo+SwaptionShift))))))</f>
        <v/>
      </c>
      <c r="HV209" s="150" t="str">
        <f aca="false">IF(OR(HV$169&lt;SwaptionFirstMonthPosition+1,$FJ209&lt;SwaptionFirstMonthPosition+1,HV$169&gt;SwaptionFirstMonthPosition+SwaptionNumOfMonths+1,$FJ209&gt;SwaptionFirstMonthPosition+SwaptionNumOfMonths+1),"",IF($FJ209=HV$169,1,IF($FJ209&lt;HV$169,INDEX($FK$170:$ID$241,HV$169,$FJ209),SUMPRODUCT(INDEX($FK$325:$ID$396,HV$169,1+SwaptionShift):INDEX($FK$325:$ID$396,HV$169,SwaptionMonthsToGo+SwaptionShift),INDEX($FK$245:$ID$316,$FJ209-HV$169,73-HV$169+SwaptionShift):INDEX($FK$245:$ID$316,$FJ209-HV$169,72-HV$169+SwaptionMonthsToGo+SwaptionShift))/SQRT(SUM(INDEX($FK364:$ID364,1+SwaptionShift):INDEX($FK364:$ID364,SwaptionMonthsToGo+SwaptionShift))*SUM(INDEX($FK$325:$ID$396,HV$169,1+SwaptionShift):INDEX($FK$325:$ID$396,HV$169,SwaptionMonthsToGo+SwaptionShift))))))</f>
        <v/>
      </c>
      <c r="HW209" s="150" t="str">
        <f aca="false">IF(OR(HW$169&lt;SwaptionFirstMonthPosition+1,$FJ209&lt;SwaptionFirstMonthPosition+1,HW$169&gt;SwaptionFirstMonthPosition+SwaptionNumOfMonths+1,$FJ209&gt;SwaptionFirstMonthPosition+SwaptionNumOfMonths+1),"",IF($FJ209=HW$169,1,IF($FJ209&lt;HW$169,INDEX($FK$170:$ID$241,HW$169,$FJ209),SUMPRODUCT(INDEX($FK$325:$ID$396,HW$169,1+SwaptionShift):INDEX($FK$325:$ID$396,HW$169,SwaptionMonthsToGo+SwaptionShift),INDEX($FK$245:$ID$316,$FJ209-HW$169,73-HW$169+SwaptionShift):INDEX($FK$245:$ID$316,$FJ209-HW$169,72-HW$169+SwaptionMonthsToGo+SwaptionShift))/SQRT(SUM(INDEX($FK364:$ID364,1+SwaptionShift):INDEX($FK364:$ID364,SwaptionMonthsToGo+SwaptionShift))*SUM(INDEX($FK$325:$ID$396,HW$169,1+SwaptionShift):INDEX($FK$325:$ID$396,HW$169,SwaptionMonthsToGo+SwaptionShift))))))</f>
        <v/>
      </c>
      <c r="HX209" s="150" t="str">
        <f aca="false">IF(OR(HX$169&lt;SwaptionFirstMonthPosition+1,$FJ209&lt;SwaptionFirstMonthPosition+1,HX$169&gt;SwaptionFirstMonthPosition+SwaptionNumOfMonths+1,$FJ209&gt;SwaptionFirstMonthPosition+SwaptionNumOfMonths+1),"",IF($FJ209=HX$169,1,IF($FJ209&lt;HX$169,INDEX($FK$170:$ID$241,HX$169,$FJ209),SUMPRODUCT(INDEX($FK$325:$ID$396,HX$169,1+SwaptionShift):INDEX($FK$325:$ID$396,HX$169,SwaptionMonthsToGo+SwaptionShift),INDEX($FK$245:$ID$316,$FJ209-HX$169,73-HX$169+SwaptionShift):INDEX($FK$245:$ID$316,$FJ209-HX$169,72-HX$169+SwaptionMonthsToGo+SwaptionShift))/SQRT(SUM(INDEX($FK364:$ID364,1+SwaptionShift):INDEX($FK364:$ID364,SwaptionMonthsToGo+SwaptionShift))*SUM(INDEX($FK$325:$ID$396,HX$169,1+SwaptionShift):INDEX($FK$325:$ID$396,HX$169,SwaptionMonthsToGo+SwaptionShift))))))</f>
        <v/>
      </c>
      <c r="HY209" s="150" t="str">
        <f aca="false">IF(OR(HY$169&lt;SwaptionFirstMonthPosition+1,$FJ209&lt;SwaptionFirstMonthPosition+1,HY$169&gt;SwaptionFirstMonthPosition+SwaptionNumOfMonths+1,$FJ209&gt;SwaptionFirstMonthPosition+SwaptionNumOfMonths+1),"",IF($FJ209=HY$169,1,IF($FJ209&lt;HY$169,INDEX($FK$170:$ID$241,HY$169,$FJ209),SUMPRODUCT(INDEX($FK$325:$ID$396,HY$169,1+SwaptionShift):INDEX($FK$325:$ID$396,HY$169,SwaptionMonthsToGo+SwaptionShift),INDEX($FK$245:$ID$316,$FJ209-HY$169,73-HY$169+SwaptionShift):INDEX($FK$245:$ID$316,$FJ209-HY$169,72-HY$169+SwaptionMonthsToGo+SwaptionShift))/SQRT(SUM(INDEX($FK364:$ID364,1+SwaptionShift):INDEX($FK364:$ID364,SwaptionMonthsToGo+SwaptionShift))*SUM(INDEX($FK$325:$ID$396,HY$169,1+SwaptionShift):INDEX($FK$325:$ID$396,HY$169,SwaptionMonthsToGo+SwaptionShift))))))</f>
        <v/>
      </c>
      <c r="HZ209" s="150" t="str">
        <f aca="false">IF(OR(HZ$169&lt;SwaptionFirstMonthPosition+1,$FJ209&lt;SwaptionFirstMonthPosition+1,HZ$169&gt;SwaptionFirstMonthPosition+SwaptionNumOfMonths+1,$FJ209&gt;SwaptionFirstMonthPosition+SwaptionNumOfMonths+1),"",IF($FJ209=HZ$169,1,IF($FJ209&lt;HZ$169,INDEX($FK$170:$ID$241,HZ$169,$FJ209),SUMPRODUCT(INDEX($FK$325:$ID$396,HZ$169,1+SwaptionShift):INDEX($FK$325:$ID$396,HZ$169,SwaptionMonthsToGo+SwaptionShift),INDEX($FK$245:$ID$316,$FJ209-HZ$169,73-HZ$169+SwaptionShift):INDEX($FK$245:$ID$316,$FJ209-HZ$169,72-HZ$169+SwaptionMonthsToGo+SwaptionShift))/SQRT(SUM(INDEX($FK364:$ID364,1+SwaptionShift):INDEX($FK364:$ID364,SwaptionMonthsToGo+SwaptionShift))*SUM(INDEX($FK$325:$ID$396,HZ$169,1+SwaptionShift):INDEX($FK$325:$ID$396,HZ$169,SwaptionMonthsToGo+SwaptionShift))))))</f>
        <v/>
      </c>
      <c r="IA209" s="150" t="str">
        <f aca="false">IF(OR(IA$169&lt;SwaptionFirstMonthPosition+1,$FJ209&lt;SwaptionFirstMonthPosition+1,IA$169&gt;SwaptionFirstMonthPosition+SwaptionNumOfMonths+1,$FJ209&gt;SwaptionFirstMonthPosition+SwaptionNumOfMonths+1),"",IF($FJ209=IA$169,1,IF($FJ209&lt;IA$169,INDEX($FK$170:$ID$241,IA$169,$FJ209),SUMPRODUCT(INDEX($FK$325:$ID$396,IA$169,1+SwaptionShift):INDEX($FK$325:$ID$396,IA$169,SwaptionMonthsToGo+SwaptionShift),INDEX($FK$245:$ID$316,$FJ209-IA$169,73-IA$169+SwaptionShift):INDEX($FK$245:$ID$316,$FJ209-IA$169,72-IA$169+SwaptionMonthsToGo+SwaptionShift))/SQRT(SUM(INDEX($FK364:$ID364,1+SwaptionShift):INDEX($FK364:$ID364,SwaptionMonthsToGo+SwaptionShift))*SUM(INDEX($FK$325:$ID$396,IA$169,1+SwaptionShift):INDEX($FK$325:$ID$396,IA$169,SwaptionMonthsToGo+SwaptionShift))))))</f>
        <v/>
      </c>
      <c r="IB209" s="150" t="str">
        <f aca="false">IF(OR(IB$169&lt;SwaptionFirstMonthPosition+1,$FJ209&lt;SwaptionFirstMonthPosition+1,IB$169&gt;SwaptionFirstMonthPosition+SwaptionNumOfMonths+1,$FJ209&gt;SwaptionFirstMonthPosition+SwaptionNumOfMonths+1),"",IF($FJ209=IB$169,1,IF($FJ209&lt;IB$169,INDEX($FK$170:$ID$241,IB$169,$FJ209),SUMPRODUCT(INDEX($FK$325:$ID$396,IB$169,1+SwaptionShift):INDEX($FK$325:$ID$396,IB$169,SwaptionMonthsToGo+SwaptionShift),INDEX($FK$245:$ID$316,$FJ209-IB$169,73-IB$169+SwaptionShift):INDEX($FK$245:$ID$316,$FJ209-IB$169,72-IB$169+SwaptionMonthsToGo+SwaptionShift))/SQRT(SUM(INDEX($FK364:$ID364,1+SwaptionShift):INDEX($FK364:$ID364,SwaptionMonthsToGo+SwaptionShift))*SUM(INDEX($FK$325:$ID$396,IB$169,1+SwaptionShift):INDEX($FK$325:$ID$396,IB$169,SwaptionMonthsToGo+SwaptionShift))))))</f>
        <v/>
      </c>
      <c r="IC209" s="150" t="str">
        <f aca="false">IF(OR(IC$169&lt;SwaptionFirstMonthPosition+1,$FJ209&lt;SwaptionFirstMonthPosition+1,IC$169&gt;SwaptionFirstMonthPosition+SwaptionNumOfMonths+1,$FJ209&gt;SwaptionFirstMonthPosition+SwaptionNumOfMonths+1),"",IF($FJ209=IC$169,1,IF($FJ209&lt;IC$169,INDEX($FK$170:$ID$241,IC$169,$FJ209),SUMPRODUCT(INDEX($FK$325:$ID$396,IC$169,1+SwaptionShift):INDEX($FK$325:$ID$396,IC$169,SwaptionMonthsToGo+SwaptionShift),INDEX($FK$245:$ID$316,$FJ209-IC$169,73-IC$169+SwaptionShift):INDEX($FK$245:$ID$316,$FJ209-IC$169,72-IC$169+SwaptionMonthsToGo+SwaptionShift))/SQRT(SUM(INDEX($FK364:$ID364,1+SwaptionShift):INDEX($FK364:$ID364,SwaptionMonthsToGo+SwaptionShift))*SUM(INDEX($FK$325:$ID$396,IC$169,1+SwaptionShift):INDEX($FK$325:$ID$396,IC$169,SwaptionMonthsToGo+SwaptionShift))))))</f>
        <v/>
      </c>
      <c r="ID209" s="572" t="str">
        <f aca="false">IF(OR(ID$169&lt;SwaptionFirstMonthPosition+1,$FJ209&lt;SwaptionFirstMonthPosition+1,ID$169&gt;SwaptionFirstMonthPosition+SwaptionNumOfMonths+1,$FJ209&gt;SwaptionFirstMonthPosition+SwaptionNumOfMonths+1),"",IF($FJ209=ID$169,1,IF($FJ209&lt;ID$169,INDEX($FK$170:$ID$241,ID$169,$FJ209),SUMPRODUCT(INDEX($FK$325:$ID$396,ID$169,1+SwaptionShift):INDEX($FK$325:$ID$396,ID$169,SwaptionMonthsToGo+SwaptionShift),INDEX($FK$245:$ID$316,$FJ209-ID$169,73-ID$169+SwaptionShift):INDEX($FK$245:$ID$316,$FJ209-ID$169,72-ID$169+SwaptionMonthsToGo+SwaptionShift))/SQRT(SUM(INDEX($FK364:$ID364,1+SwaptionShift):INDEX($FK364:$ID364,SwaptionMonthsToGo+SwaptionShift))*SUM(INDEX($FK$325:$ID$396,ID$169,1+SwaptionShift):INDEX($FK$325:$ID$396,ID$169,SwaptionMonthsToGo+SwaptionShift))))))</f>
        <v/>
      </c>
      <c r="IE209" s="129"/>
    </row>
    <row r="210" customFormat="false" ht="12.75" hidden="false" customHeight="false" outlineLevel="0" collapsed="false">
      <c r="H210" s="219" t="n">
        <f aca="false">VLOOKUP(I210,$EJ$20:$EL$54,3)</f>
        <v>0</v>
      </c>
      <c r="I210" s="511" t="n">
        <f aca="false">EOMONTH(I209,0)+1</f>
        <v>42552</v>
      </c>
      <c r="J210" s="512"/>
      <c r="K210" s="513" t="s">
        <v>280</v>
      </c>
      <c r="L210" s="514" t="n">
        <f aca="false">IF(ISNUMBER(K210),J210+K210/100,IF(K210="extra",L209+VLOOKUP(BF210,PriceSpreadTable,2)/12,IF(K210="inter",interpolateprices($K$19:$L$200,ROW(K210)-ROW(FirstPricingMonth)+1),interpolatechanges($J$19:$K$200,ROW(K210)-ROW(FirstPricingMonth)+1))))</f>
        <v>4.275</v>
      </c>
      <c r="M210" s="515"/>
      <c r="N210" s="516" t="n">
        <v>0</v>
      </c>
      <c r="O210" s="515" t="n">
        <f aca="false">M210+N210</f>
        <v>0</v>
      </c>
      <c r="P210" s="512"/>
      <c r="Q210" s="513" t="s">
        <v>280</v>
      </c>
      <c r="R210" s="512" t="e">
        <f aca="false">IF(ISNUMBER(Q210),P210+Q210/100,IF(Q210="extra",(Z208*AL208-R209*AM208)/AN208,IF(Q210="inter",interpolateprices($Q$19:$R$260,ROW(Q210)-ROW(FirstPricingMonth)+1),interpolatechanges($P$19:$Q$260,ROW(Q210)-ROW(FirstPricingMonth)+1))))</f>
        <v>#VALUE!</v>
      </c>
      <c r="S210" s="597" t="n">
        <f aca="false">S$19+(S209-S$19)*S$18</f>
        <v>0.36</v>
      </c>
      <c r="T210" s="575" t="n">
        <f aca="false">SQRT((1-(1-T209^2/U209)*T$18)*U210)</f>
        <v>0.999999999999987</v>
      </c>
      <c r="U210" s="576" t="n">
        <f aca="false">1-(1-U209)*U$18</f>
        <v>1</v>
      </c>
      <c r="V210" s="521" t="n">
        <v>0</v>
      </c>
      <c r="W210" s="577" t="n">
        <f aca="false">(J211*AJ210+J212*AK210)/AI210</f>
        <v>0</v>
      </c>
      <c r="X210" s="578" t="n">
        <f aca="false">(L211*AJ210+L212*AK210)/AI210</f>
        <v>4.325625</v>
      </c>
      <c r="Y210" s="579" t="n">
        <f aca="false">IF(Q212="extra",W210-AA210,(P211*AM210+P212*AN210)/AL210)</f>
        <v>-1.2669</v>
      </c>
      <c r="Z210" s="579" t="n">
        <f aca="false">IF(Q212="extra",X210-AB210,(R211*AM210+R212*AN210)/AL210)</f>
        <v>3.058725</v>
      </c>
      <c r="AA210" s="523" t="n">
        <f aca="false">IF(Q212="extra",INDEX(BrentSeasonalityTable,INT((BG210-1)/3)+1)*VLOOKUP(MAX(BF210,$AB$4),PriceSpreadTable,3),W210-Y210)</f>
        <v>1.2669</v>
      </c>
      <c r="AB210" s="524" t="n">
        <f aca="false">IF(Q212="extra",INDEX(BrentSeasonalityTable,INT((BG210-1)/3)+1)*VLOOKUP(MAX(BF210,$AB$4),PriceSpreadTable,3),X210-Z210)</f>
        <v>1.2669</v>
      </c>
      <c r="AC210" s="646" t="n">
        <v>42541</v>
      </c>
      <c r="AD210" s="646" t="n">
        <v>42537</v>
      </c>
      <c r="AE210" s="646" t="n">
        <v>42536</v>
      </c>
      <c r="AF210" s="646" t="n">
        <v>42532</v>
      </c>
      <c r="AG210" s="438" t="s">
        <v>278</v>
      </c>
      <c r="AH210" s="439" t="s">
        <v>278</v>
      </c>
      <c r="AI210" s="528" t="n">
        <v>20</v>
      </c>
      <c r="AJ210" s="529" t="n">
        <v>13</v>
      </c>
      <c r="AK210" s="529" t="n">
        <v>7</v>
      </c>
      <c r="AL210" s="530" t="n">
        <v>21</v>
      </c>
      <c r="AM210" s="529" t="n">
        <v>10</v>
      </c>
      <c r="AN210" s="531" t="n">
        <v>11</v>
      </c>
      <c r="AO210" s="532"/>
      <c r="AP210" s="465" t="n">
        <f aca="false">(1+AO210/2)^(-2*BL210)</f>
        <v>1</v>
      </c>
      <c r="AQ210" s="532"/>
      <c r="AR210" s="465" t="n">
        <f aca="false">(1+AQ210/2)^(-2*BH210/365.25)</f>
        <v>1</v>
      </c>
      <c r="AS210" s="580" t="n">
        <f aca="false">(O211*AJ210+O212*AK210)/AI210</f>
        <v>0</v>
      </c>
      <c r="AT210" s="468" t="n">
        <f aca="false">O210*VLOOKUP(BF210,BrentVolTable,2)+VLOOKUP(BF210,BrentVolTable,3)</f>
        <v>0</v>
      </c>
      <c r="AU210" s="468" t="n">
        <f aca="false">(AT211*AM210+AT212*AN210)/AL210</f>
        <v>0</v>
      </c>
      <c r="AV210" s="595" t="n">
        <f aca="false">SQRT(MAX(0.000000000001,(O210^2*BH210-S210^2*(BH210-BH209))/BH209))</f>
        <v>0.0342794462159923</v>
      </c>
      <c r="AW210" s="451" t="n">
        <f aca="false">IF($I210-DateToday+15&gt;=$T$8,"",IF($I210-DateToday+15&lt;$T$5,1,MATCH($I210-DateToday+15,$T$5:$T$8)))</f>
        <v>1</v>
      </c>
      <c r="AX210" s="468" t="n">
        <f aca="false">IF($AW210="",AX209^2/AX208,INDEX(U$5:U$8,$AW210)^((INDEX($T$5:$T$8,$AW210+1)-($I210-DateToday+15))/(INDEX($T$5:$T$8,$AW210+1)-INDEX($T$5:$T$8,$AW210)))/INDEX(U$5:U$8,$AW210+1)^((INDEX($T$5:$T$8,$AW210)-($I210-DateToday+15))/(INDEX($T$5:$T$8,$AW210+1)-INDEX($T$5:$T$8,$AW210))))</f>
        <v>0.216194296455046</v>
      </c>
      <c r="AY210" s="468" t="n">
        <f aca="false">IF($AW210="",AY209^2/AY208,INDEX(V$5:V$8,$AW210)^((INDEX($T$5:$T$8,$AW210+1)-($I210-DateToday+15))/(INDEX($T$5:$T$8,$AW210+1)-INDEX($T$5:$T$8,$AW210)))/INDEX(V$5:V$8,$AW210+1)^((INDEX($T$5:$T$8,$AW210)-($I210-DateToday+15))/(INDEX($T$5:$T$8,$AW210+1)-INDEX($T$5:$T$8,$AW210))))</f>
        <v>1.74385612476184</v>
      </c>
      <c r="AZ210" s="468" t="n">
        <f aca="false">IF($AW210="",AZ209^2/AZ208,INDEX(W$5:W$8,$AW210)^((INDEX($T$5:$T$8,$AW210+1)-($I210-DateToday+15))/(INDEX($T$5:$T$8,$AW210+1)-INDEX($T$5:$T$8,$AW210)))/INDEX(W$5:W$8,$AW210+1)^((INDEX($T$5:$T$8,$AW210)-($I210-DateToday+15))/(INDEX($T$5:$T$8,$AW210+1)-INDEX($T$5:$T$8,$AW210))))</f>
        <v>114.200961123549</v>
      </c>
      <c r="BA210" s="468" t="n">
        <f aca="false">IF($AW210="",BA209^2/BA208,INDEX(X$5:X$8,$AW210)^((INDEX($T$5:$T$8,$AW210+1)-($I210-DateToday+15))/(INDEX($T$5:$T$8,$AW210+1)-INDEX($T$5:$T$8,$AW210)))/INDEX(X$5:X$8,$AW210+1)^((INDEX($T$5:$T$8,$AW210)-($I210-DateToday+15))/(INDEX($T$5:$T$8,$AW210+1)-INDEX($T$5:$T$8,$AW210))))</f>
        <v>257.183296297872</v>
      </c>
      <c r="BB210" s="468" t="n">
        <f aca="false">IF($AW210="",BB209^2/BB208,INDEX(Y$5:Y$8,$AW210)^((INDEX($T$5:$T$8,$AW210+1)-($I210-DateToday+15))/(INDEX($T$5:$T$8,$AW210+1)-INDEX($T$5:$T$8,$AW210)))/INDEX(Y$5:Y$8,$AW210+1)^((INDEX($T$5:$T$8,$AW210)-($I210-DateToday+15))/(INDEX($T$5:$T$8,$AW210+1)-INDEX($T$5:$T$8,$AW210))))</f>
        <v>1084.19572620909</v>
      </c>
      <c r="BC210" s="468" t="n">
        <f aca="false">IF($AW210="",BC209^2/BC208,INDEX(Z$5:Z$8,$AW210)^((INDEX($T$5:$T$8,$AW210+1)-($I210-DateToday+15))/(INDEX($T$5:$T$8,$AW210+1)-INDEX($T$5:$T$8,$AW210)))/INDEX(Z$5:Z$8,$AW210+1)^((INDEX($T$5:$T$8,$AW210)-($I210-DateToday+15))/(INDEX($T$5:$T$8,$AW210+1)-INDEX($T$5:$T$8,$AW210))))</f>
        <v>2634.32475142467</v>
      </c>
      <c r="BD210" s="535" t="n">
        <f aca="false">IF(OR(DateStart&gt;=I211,DateEnd&lt;I210),0,IF(VolumeOverrideFlag,V210,Volume))</f>
        <v>0</v>
      </c>
      <c r="BE210" s="536" t="n">
        <f aca="false">IF(OR(DateStart2&gt;=I211,DateEnd2&lt;I210),0,IF(VolumeOverrideFlag,V210,VolumeSwaption))</f>
        <v>0</v>
      </c>
      <c r="BF210" s="537" t="n">
        <f aca="false">YEAR(I210)</f>
        <v>2016</v>
      </c>
      <c r="BG210" s="538" t="n">
        <f aca="false">MONTH(I210)</f>
        <v>7</v>
      </c>
      <c r="BH210" s="539" t="n">
        <f aca="false">AD210-DateToday+1</f>
        <v>-3388</v>
      </c>
      <c r="BI210" s="540" t="n">
        <f aca="false">(I210-DateToday+1)/365.25</f>
        <v>-9.23477070499658</v>
      </c>
      <c r="BJ210" s="541" t="n">
        <f aca="false">BI210+(BL210-BI210)*CHOOSE(Underlying,AJ210/AI210,AM210/AL210)</f>
        <v>-9.1813826146475</v>
      </c>
      <c r="BK210" s="541" t="n">
        <f aca="false">BJ210+1/365.25</f>
        <v>-9.17864476386037</v>
      </c>
      <c r="BL210" s="541" t="n">
        <f aca="false">(I211-DateToday)/365.25</f>
        <v>-9.15263518138261</v>
      </c>
      <c r="BM210" s="542" t="e">
        <f aca="false">MAX(BI210-(BJ210-BI210)*(S211^2/O211^2-1),0)</f>
        <v>#DIV/0!</v>
      </c>
      <c r="BN210" s="541" t="e">
        <f aca="false">MAX(BL210+(BL210-BK210)*(S212^2/O212^2-1),0)</f>
        <v>#DIV/0!</v>
      </c>
      <c r="BO210" s="530" t="n">
        <f aca="false">CHOOSE(Underlying,AI210,AL210)</f>
        <v>20</v>
      </c>
      <c r="BP210" s="529" t="n">
        <f aca="false">CHOOSE(Underlying,AJ210,AM210)</f>
        <v>13</v>
      </c>
      <c r="BQ210" s="529" t="n">
        <f aca="false">CHOOSE(Underlying,AK210,AN210)</f>
        <v>7</v>
      </c>
      <c r="BR210" s="463" t="str">
        <f aca="false">IF(BD210,IF(Underlying=1,X210,Z210)+UnderlyingPriceAsian-SwapPriceCurve,"")</f>
        <v/>
      </c>
      <c r="BS210" s="463" t="str">
        <f aca="false">IF(BD210,Strike1/BR210-1,"")</f>
        <v/>
      </c>
      <c r="BT210" s="464" t="str">
        <f aca="false">IF(BD210,Strike2/BR210-1,"")</f>
        <v/>
      </c>
      <c r="BU210" s="465" t="str">
        <f aca="false">IF(BD210,IF(Underlying=1,L211,R211)+UnderlyingPriceAsian-SwapPriceCurve,"")</f>
        <v/>
      </c>
      <c r="BV210" s="465" t="str">
        <f aca="false">IF(BD210,IF(Underlying=1,L212,R212)+UnderlyingPriceAsian-SwapPriceCurve,"")</f>
        <v/>
      </c>
      <c r="BW210" s="466" t="str">
        <f aca="false">IF(BD210,IF(Underlying=1,O211,AT211),"")</f>
        <v/>
      </c>
      <c r="BX210" s="467" t="str">
        <f aca="false">IF(BD210,IF(Underlying=1,O212,AT212),"")</f>
        <v/>
      </c>
      <c r="BY210" s="466" t="str">
        <f aca="false">IF(BD210,IF(BS210&gt;0,IF(BS210&gt;0.2,BC210-BB210,IF(BS210&gt;0.1,BB210-BA210,BA210)),IF(BS210&lt;-0.2,AX210-AY210,IF(BS210&lt;-0.1,AY210-AZ210,AZ210))),"")</f>
        <v/>
      </c>
      <c r="BZ210" s="467" t="str">
        <f aca="false">IF(BD210,IF(BT210&gt;0,IF(BT210&gt;0.2,BC210-BB210,IF(BT210&gt;0.1,BB210-BA210,BA210)),IF(BT210&lt;-0.2,AX210-AY210,IF(BT210&lt;-0.1,AY210-AZ210,AZ210))),"")</f>
        <v/>
      </c>
      <c r="CA210" s="468" t="str">
        <f aca="false">IF($BD210,$BW210+IF(VolSkewFlag=1,IF(BS210&gt;0,$BA210*MIN(BS210/10%,1)+($BB210-$BA210)*MAX(0,MIN(BS210/10%-1,1))+($BC210-$BB210)*MAX(0,BS210/10%-2),$AZ210*MIN(-BS210/10%,1)+($AY210-$AZ210)*MAX(0,MIN(-BS210/10%-1,1))+($AX210-$AY210)*MAX(0,-BS210/10%-2)),0),"")</f>
        <v/>
      </c>
      <c r="CB210" s="468" t="str">
        <f aca="false">IF($BD210,$BX210+IF(VolSkewFlag=1,IF(BS210&gt;0,$BA210*MIN(BS210/10%,1)+($BB210-$BA210)*MAX(0,MIN(BS210/10%-1,1))+($BC210-$BB210)*MAX(0,BS210/10%-2),$AZ210*MIN(-BS210/10%,1)+($AY210-$AZ210)*MAX(0,MIN(-BS210/10%-1,1))+($AX210-$AY210)*MAX(0,-BS210/10%-2)),0),"")</f>
        <v/>
      </c>
      <c r="CC210" s="468" t="str">
        <f aca="false">IF($BD210,$BW210+IF(VolSkewFlag=1,IF(BT210&gt;0,$BA210*MIN(BT210/10%,1)+($BB210-$BA210)*MAX(0,MIN(BT210/10%-1,1))+($BC210-$BB210)*MAX(0,BT210/10%-2),$AZ210*MIN(-BT210/10%,1)+($AY210-$AZ210)*MAX(0,MIN(-BT210/10%-1,1))+($AX210-$AY210)*MAX(0,-BT210/10%-2)),0),"")</f>
        <v/>
      </c>
      <c r="CD210" s="468" t="str">
        <f aca="false">IF($BD210,$BX210+IF(VolSkewFlag=1,IF(BT210&gt;0,$BA210*MIN(BT210/10%,1)+($BB210-$BA210)*MAX(0,MIN(BT210/10%-1,1))+($BC210-$BB210)*MAX(0,BT210/10%-2),$AZ210*MIN(-BT210/10%,1)+($AY210-$AZ210)*MAX(0,MIN(-BT210/10%-1,1))+($AX210-$AY210)*MAX(0,-BT210/10%-2)),0),"")</f>
        <v/>
      </c>
      <c r="CE210" s="469" t="n">
        <v>1</v>
      </c>
      <c r="CF210" s="470" t="n">
        <f aca="false">IF(BD210,xCrudeAPO(BU210,BV210,CA210,CB210,S211,S212,BI210,BL210,BP210,BQ210,0,Strike1,AO210,CE210,0,BL210,IF(OptControl=4,0,1),0,1),0)</f>
        <v>0</v>
      </c>
      <c r="CG210" s="470" t="n">
        <f aca="false">IF(BD210,xCrudeAPO(BU210,BV210,CA210,CB210,S211,S212,BI210,BL210,BP210,BQ210,0,Strike1,AO210,CE210,0,BL210,IF(OptControl=4,0,1),1,1)+xCrudeAPO(BU210,BV210,CA210,CB210,S211,S212,BI210,BL210,BP210,BQ210,0,Strike1,AO210,CE210,0,BL210,IF(OptControl=4,0,1),1,2)+IF(OR(VolSkewFlag=2,ABS(BS210)&lt;0.0001),0,IF(BS210&gt;0,-1,1)*CH210*Strike1/BR210^2*BY210/10%),0)</f>
        <v>0</v>
      </c>
      <c r="CH210" s="470" t="n">
        <f aca="false">IF(BD210,(xCrudeAPO(BU210,BV210,CA210,CB210,S211,S212,BI210,BL210,BP210,BQ210,0,Strike1,AO210,CE210,0,BL210,IF(OptControl=4,0,1),3,1)+xCrudeAPO(BU210,BV210,CA210,CB210,S211,S212,BI210,BL210,BP210,BQ210,0,Strike1,AO210,CE210,0,BL210,IF(OptControl=4,0,1),3,2))/100,0)</f>
        <v>0</v>
      </c>
      <c r="CI210" s="470" t="n">
        <f aca="false">IF(BD210,xCrudeAPO(BU210,BV210,CA210,CB210,S211,S212,BI210-DaysForThetaCalculation/365.25,BL210-DaysForThetaCalculation/365.25,BP210,BQ210,0,Strike1,AO210,CE210,0,BL210,IF(OptControl=4,0,1),0,1)-xCrudeAPO(BU210,BV210,CA210,CB210,S211,S212,BI210,BL210,BP210,BQ210,0,Strike1,AO210,CE210,0,BL210,IF(OptControl=4,0,1),0,1),0)</f>
        <v>0</v>
      </c>
      <c r="CJ210" s="471" t="n">
        <f aca="false">IF(BD210,xCrudeAPO(BU210,BV210,CC210,CD210,S211,S212,BI210,BL210,BP210,BQ210,0,Strike2,AO210,CE210,0,BL210,IF(OptControl=3,1,0),0,1),0)</f>
        <v>0</v>
      </c>
      <c r="CK210" s="470" t="n">
        <f aca="false">IF(BD210,xCrudeAPO(BU210,BV210,CC210,CD210,S211,S212,BI210,BL210,BP210,BQ210,0,Strike2,AO210,CE210,0,BL210,IF(OptControl=3,1,0),1,1)+xCrudeAPO(BU210,BV210,CC210,CD210,S211,S212,BI210,BL210,BP210,BQ210,0,Strike2,AO210,CE210,0,BL210,IF(OptControl=3,1,0),1,2)+IF(OR(VolSkewFlag=2,ABS(BT210)&lt;0.0001),0,IF(BT210&gt;0,-1,1)*CL210*Strike2/BR210^2*BZ210/10%),0)</f>
        <v>0</v>
      </c>
      <c r="CL210" s="470" t="n">
        <f aca="false">IF(BD210,(xCrudeAPO(BU210,BV210,CC210,CD210,S211,S212,BI210,BL210,BP210,BQ210,0,Strike2,AO210,CE210,0,BL210,IF(OptControl=3,1,0),3,1)+xCrudeAPO(BU210,BV210,CC210,CD210,S211,S212,BI210,BL210,BP210,BQ210,0,Strike2,AO210,CE210,0,BL210,IF(OptControl=3,1,0),3,2))/100,0)</f>
        <v>0</v>
      </c>
      <c r="CM210" s="472" t="n">
        <f aca="false">IF(BD210,xCrudeAPO(BU210,BV210,CC210,CD210,S211,S212,BI210-DaysForThetaCalculation/365.25,BL210-DaysForThetaCalculation/365.25,BP210,BQ210,0,Strike2,AO210,CE210,0,BL210,IF(OptControl=3,1,0),0,1)-xCrudeAPO(BU210,BV210,CC210,CD210,S211,S212,BI210,BL210,BP210,BQ210,0,Strike2,AO210,CE210,0,BL210,IF(OptControl=3,1,0),0,1),0)</f>
        <v>0</v>
      </c>
      <c r="CN210" s="3"/>
      <c r="CO210" s="543" t="str">
        <f aca="false">IF(BD210,CHOOSE(Underlying,AD210,AF210)-DateToday+1,"")</f>
        <v/>
      </c>
      <c r="CP210" s="582" t="str">
        <f aca="false">IF(BD210,CHOOSE(Underlying,L210,R210),"")</f>
        <v/>
      </c>
      <c r="CQ210" s="544" t="str">
        <f aca="false">IF(BD210,Strike1/CP210-1,"")</f>
        <v/>
      </c>
      <c r="CR210" s="544" t="str">
        <f aca="false">IF(BD210,Strike2/CP210-1,"")</f>
        <v/>
      </c>
      <c r="CS210" s="544" t="str">
        <f aca="false">IF(BD210,IF(CQ210&gt;0,IF(CQ210&gt;0.2,BC209-BB209,IF(CQ210&gt;0.1,BB209-BA209,BA209)),IF(CQ210&lt;-0.2,AX209-AY209,IF(CQ210&lt;-0.1,AY209-AZ209,AZ209))),"")</f>
        <v/>
      </c>
      <c r="CT210" s="544" t="str">
        <f aca="false">IF(BD210,IF(CR210&gt;0,IF(CR210&gt;0.2,BC209-BB209,IF(CR210&gt;0.1,BB209-BA209,BA209)),IF(CR210&lt;-0.2,AX209-AY209,IF(CR210&lt;-0.1,AY209-AZ209,AZ209))),"")</f>
        <v/>
      </c>
      <c r="CU210" s="545" t="str">
        <f aca="false">IF(BD210,CHOOSE(Underlying,O210,AT210),"")</f>
        <v/>
      </c>
      <c r="CV210" s="545" t="str">
        <f aca="false">IF(BD210,CU210+IF(VolSkewFlag=1,IF(CQ210&gt;0,BA209*MIN(CQ210/10%,1)+(BB209-BA209)*MAX(0,MIN(CQ210/10%-1,1))+(BC209-BB209)*MAX(0,CQ210/10%-2),AZ209*MIN(-CQ210/10%,1)+(AY209-AZ209)*MAX(0,MIN(-CQ210/10%-1,1))+(AX209-AY209)*MAX(0,-CQ210/10%-2)),0),"")</f>
        <v/>
      </c>
      <c r="CW210" s="545" t="str">
        <f aca="false">IF(BD210,CU210+IF(VolSkewFlag=1,IF(CR210&gt;0,BA209*MIN(CR210/10%,1)+(BB209-BA209)*MAX(0,MIN(CR210/10%-1,1))+(BC209-BB209)*MAX(0,CR210/10%-2),AZ209*MIN(-CR210/10%,1)+(AY209-AZ209)*MAX(0,MIN(-CR210/10%-1,1))+(AX209-AY209)*MAX(0,-CR210/10%-2)),0),"")</f>
        <v/>
      </c>
      <c r="CX210" s="470" t="n">
        <f aca="false">IF(BD210,EURO(CP210,Strike1,AO210,AO210,CV210,CO210,IF(OptControl=4,0,1),0),0)</f>
        <v>0</v>
      </c>
      <c r="CY210" s="470" t="n">
        <f aca="false">IF(BD210,EURO(CP210,Strike1,AO210,AO210,CV210,CO210,IF(OptControl=4,0,1),1)+IF(OR(VolSkewFlag=2,ABS(CQ210)&lt;0.0001),0,IF(CQ210&gt;0,-1,1)*CZ210*100*Strike1/CP210^2*CS210/10%),0)</f>
        <v>0</v>
      </c>
      <c r="CZ210" s="470" t="n">
        <f aca="false">IF(BD210,EURO(CP210,Strike1,AO210,AO210,CV210,CO210,IF(OptControl=4,0,1),3)/100,0)</f>
        <v>0</v>
      </c>
      <c r="DA210" s="470" t="n">
        <f aca="false">IF(BD210,EURO(CP210,Strike1,AO210,AO210,CV210,CO210,IF(OptControl=4,0,1),0)-EURO(CP210,Strike1,AO210,AO210,CV210,CO210-1,IF(OptControl=4,0,1),0),0)</f>
        <v>0</v>
      </c>
      <c r="DB210" s="470" t="n">
        <f aca="false">IF(BD210,EURO(CP210,Strike2,AO210,AO210,CW210,CO210,IF(OptControl=3,1,0),0),0)</f>
        <v>0</v>
      </c>
      <c r="DC210" s="470" t="n">
        <f aca="false">IF(BD210,EURO(CP210,Strike2,AO210,AO210,CW210,CO210,IF(OptControl=3,1,0),1)+IF(OR(VolSkewFlag=2,ABS(CR210)&lt;0.0001),0,IF(CR210&gt;0,-1,1)*DD210*100*Strike2/CP210^2*CT210/10%),0)</f>
        <v>0</v>
      </c>
      <c r="DD210" s="470" t="n">
        <f aca="false">IF(BD210,EURO(CP210,Strike2,AO210,AO210,CW210,CO210,IF(OptControl=3,1,0),3)/100,0)</f>
        <v>0</v>
      </c>
      <c r="DE210" s="472" t="n">
        <f aca="false">IF(BD210,EURO(CP210,Strike2,AO210,AO210,CW210,CO210,IF(OptControl=3,1,0),0)-EURO(CP210,Strike2,AO210,AO210,CW210,CO210-1,IF(OptControl=3,1,0),0),0)</f>
        <v>0</v>
      </c>
      <c r="DG210" s="481" t="n">
        <f aca="false">EOMONTH(DG209,0)+1</f>
        <v>51471</v>
      </c>
      <c r="DH210" s="478" t="n">
        <v>23.6600000000001</v>
      </c>
      <c r="DI210" s="479" t="n">
        <v>23.7281818181819</v>
      </c>
      <c r="DJ210" s="480" t="n">
        <f aca="false">DG210</f>
        <v>51471</v>
      </c>
      <c r="DK210" s="478" t="n">
        <v>22.462482534733</v>
      </c>
      <c r="DL210" s="479" t="n">
        <v>22.5350818181819</v>
      </c>
      <c r="DM210" s="481" t="n">
        <f aca="false">DG210</f>
        <v>51471</v>
      </c>
      <c r="DN210" s="482" t="n">
        <f aca="false">DK210+BrentPhyBrentSpread</f>
        <v>22.512482534733</v>
      </c>
      <c r="DO210" s="481" t="n">
        <f aca="false">DG210</f>
        <v>51471</v>
      </c>
      <c r="DP210" s="483" t="n">
        <f aca="false">DL210+DQ210</f>
        <v>22.5350818181819</v>
      </c>
      <c r="DQ210" s="546" t="n">
        <v>0</v>
      </c>
      <c r="DR210" s="480" t="n">
        <f aca="false">DG210</f>
        <v>51471</v>
      </c>
      <c r="DS210" s="485" t="n">
        <v>0.110599999999998</v>
      </c>
      <c r="DT210" s="486" t="n">
        <v>0.109781818181816</v>
      </c>
      <c r="DU210" s="480" t="n">
        <f aca="false">DG210</f>
        <v>51471</v>
      </c>
      <c r="DV210" s="485" t="n">
        <v>0.110599999999998</v>
      </c>
      <c r="DW210" s="486" t="n">
        <v>0.109781818181816</v>
      </c>
      <c r="DX210" s="481" t="n">
        <f aca="false">DG210</f>
        <v>51471</v>
      </c>
      <c r="DY210" s="486" t="n">
        <v>0.35</v>
      </c>
      <c r="DZ210" s="481" t="n">
        <f aca="false">DR210</f>
        <v>51471</v>
      </c>
      <c r="EA210" s="486" t="n">
        <f aca="false">DT210</f>
        <v>0.109781818181816</v>
      </c>
      <c r="EB210" s="195"/>
      <c r="EC210" s="547" t="str">
        <f aca="false">IF(BD210,IF(Underlying=1,AS210,AU210),"")</f>
        <v/>
      </c>
      <c r="ED210" s="548" t="str">
        <f aca="false">IF($BD210,$EC210+IF(VolSkewFlag=1,IF(BS210&gt;0,$BA210*MIN(BS210/10%,1)+($BB210-$BA210)*MAX(0,MIN(BS210/10%-1,1))+($BC210-$BB210)*MAX(0,BS210/10%-2),$AZ210*MIN(-BS210/10%,1)+($AY210-$AZ210)*MAX(0,MIN(-BS210/10%-1,1))+($AX210-$AY210)*MAX(0,-BS210/10%-2)),0),"")</f>
        <v/>
      </c>
      <c r="EE210" s="549" t="str">
        <f aca="false">IF($BD210,$EC210+IF(VolSkewFlag=1,IF(BT210&gt;0,$BA210*MIN(BT210/10%,1)+($BB210-$BA210)*MAX(0,MIN(BT210/10%-1,1))+($BC210-$BB210)*MAX(0,BT210/10%-2),$AZ210*MIN(-BT210/10%,1)+($AY210-$AZ210)*MAX(0,MIN(-BT210/10%-1,1))+($AX210-$AY210)*MAX(0,-BT210/10%-2)),0),"")</f>
        <v/>
      </c>
      <c r="EF210" s="550" t="n">
        <f aca="false">IF(BD210,xASN(BR210,Strike1,AO210,ED210,0,BO210,0,BI210,BL210,IF(OptControl=4,0,1),0),0)</f>
        <v>0</v>
      </c>
      <c r="EG210" s="551" t="n">
        <f aca="false">IF(BD210,xASN(BR210,Strike2,AO210,EE210,0,BO210,0,BI210,BL210,IF(OptControl=3,1,0),0),0)</f>
        <v>0</v>
      </c>
      <c r="EL210" s="1"/>
      <c r="EM210" s="195"/>
      <c r="EN210" s="240"/>
      <c r="EO210" s="240"/>
      <c r="EP210" s="195"/>
      <c r="EQ210" s="407" t="s">
        <v>438</v>
      </c>
      <c r="ES210" s="1"/>
      <c r="EU210" s="672"/>
      <c r="FJ210" s="571" t="n">
        <v>41</v>
      </c>
      <c r="FK210" s="150" t="str">
        <f aca="false">IF(OR(FK$169&lt;SwaptionFirstMonthPosition+1,$FJ210&lt;SwaptionFirstMonthPosition+1,FK$169&gt;SwaptionFirstMonthPosition+SwaptionNumOfMonths+1,$FJ210&gt;SwaptionFirstMonthPosition+SwaptionNumOfMonths+1),"",IF($FJ210=FK$169,1,IF($FJ210&lt;FK$169,INDEX($FK$170:$ID$241,FK$169,$FJ210),SUMPRODUCT(INDEX($FK$325:$ID$396,FK$169,1+SwaptionShift):INDEX($FK$325:$ID$396,FK$169,SwaptionMonthsToGo+SwaptionShift),INDEX($FK$245:$ID$316,$FJ210-FK$169,73-FK$169+SwaptionShift):INDEX($FK$245:$ID$316,$FJ210-FK$169,72-FK$169+SwaptionMonthsToGo+SwaptionShift))/SQRT(SUM(INDEX($FK365:$ID365,1+SwaptionShift):INDEX($FK365:$ID365,SwaptionMonthsToGo+SwaptionShift))*SUM(INDEX($FK$325:$ID$396,FK$169,1+SwaptionShift):INDEX($FK$325:$ID$396,FK$169,SwaptionMonthsToGo+SwaptionShift))))))</f>
        <v/>
      </c>
      <c r="FL210" s="150" t="str">
        <f aca="false">IF(OR(FL$169&lt;SwaptionFirstMonthPosition+1,$FJ210&lt;SwaptionFirstMonthPosition+1,FL$169&gt;SwaptionFirstMonthPosition+SwaptionNumOfMonths+1,$FJ210&gt;SwaptionFirstMonthPosition+SwaptionNumOfMonths+1),"",IF($FJ210=FL$169,1,IF($FJ210&lt;FL$169,INDEX($FK$170:$ID$241,FL$169,$FJ210),SUMPRODUCT(INDEX($FK$325:$ID$396,FL$169,1+SwaptionShift):INDEX($FK$325:$ID$396,FL$169,SwaptionMonthsToGo+SwaptionShift),INDEX($FK$245:$ID$316,$FJ210-FL$169,73-FL$169+SwaptionShift):INDEX($FK$245:$ID$316,$FJ210-FL$169,72-FL$169+SwaptionMonthsToGo+SwaptionShift))/SQRT(SUM(INDEX($FK365:$ID365,1+SwaptionShift):INDEX($FK365:$ID365,SwaptionMonthsToGo+SwaptionShift))*SUM(INDEX($FK$325:$ID$396,FL$169,1+SwaptionShift):INDEX($FK$325:$ID$396,FL$169,SwaptionMonthsToGo+SwaptionShift))))))</f>
        <v/>
      </c>
      <c r="FM210" s="150" t="str">
        <f aca="false">IF(OR(FM$169&lt;SwaptionFirstMonthPosition+1,$FJ210&lt;SwaptionFirstMonthPosition+1,FM$169&gt;SwaptionFirstMonthPosition+SwaptionNumOfMonths+1,$FJ210&gt;SwaptionFirstMonthPosition+SwaptionNumOfMonths+1),"",IF($FJ210=FM$169,1,IF($FJ210&lt;FM$169,INDEX($FK$170:$ID$241,FM$169,$FJ210),SUMPRODUCT(INDEX($FK$325:$ID$396,FM$169,1+SwaptionShift):INDEX($FK$325:$ID$396,FM$169,SwaptionMonthsToGo+SwaptionShift),INDEX($FK$245:$ID$316,$FJ210-FM$169,73-FM$169+SwaptionShift):INDEX($FK$245:$ID$316,$FJ210-FM$169,72-FM$169+SwaptionMonthsToGo+SwaptionShift))/SQRT(SUM(INDEX($FK365:$ID365,1+SwaptionShift):INDEX($FK365:$ID365,SwaptionMonthsToGo+SwaptionShift))*SUM(INDEX($FK$325:$ID$396,FM$169,1+SwaptionShift):INDEX($FK$325:$ID$396,FM$169,SwaptionMonthsToGo+SwaptionShift))))))</f>
        <v/>
      </c>
      <c r="FN210" s="150" t="str">
        <f aca="false">IF(OR(FN$169&lt;SwaptionFirstMonthPosition+1,$FJ210&lt;SwaptionFirstMonthPosition+1,FN$169&gt;SwaptionFirstMonthPosition+SwaptionNumOfMonths+1,$FJ210&gt;SwaptionFirstMonthPosition+SwaptionNumOfMonths+1),"",IF($FJ210=FN$169,1,IF($FJ210&lt;FN$169,INDEX($FK$170:$ID$241,FN$169,$FJ210),SUMPRODUCT(INDEX($FK$325:$ID$396,FN$169,1+SwaptionShift):INDEX($FK$325:$ID$396,FN$169,SwaptionMonthsToGo+SwaptionShift),INDEX($FK$245:$ID$316,$FJ210-FN$169,73-FN$169+SwaptionShift):INDEX($FK$245:$ID$316,$FJ210-FN$169,72-FN$169+SwaptionMonthsToGo+SwaptionShift))/SQRT(SUM(INDEX($FK365:$ID365,1+SwaptionShift):INDEX($FK365:$ID365,SwaptionMonthsToGo+SwaptionShift))*SUM(INDEX($FK$325:$ID$396,FN$169,1+SwaptionShift):INDEX($FK$325:$ID$396,FN$169,SwaptionMonthsToGo+SwaptionShift))))))</f>
        <v/>
      </c>
      <c r="FO210" s="150" t="str">
        <f aca="false">IF(OR(FO$169&lt;SwaptionFirstMonthPosition+1,$FJ210&lt;SwaptionFirstMonthPosition+1,FO$169&gt;SwaptionFirstMonthPosition+SwaptionNumOfMonths+1,$FJ210&gt;SwaptionFirstMonthPosition+SwaptionNumOfMonths+1),"",IF($FJ210=FO$169,1,IF($FJ210&lt;FO$169,INDEX($FK$170:$ID$241,FO$169,$FJ210),SUMPRODUCT(INDEX($FK$325:$ID$396,FO$169,1+SwaptionShift):INDEX($FK$325:$ID$396,FO$169,SwaptionMonthsToGo+SwaptionShift),INDEX($FK$245:$ID$316,$FJ210-FO$169,73-FO$169+SwaptionShift):INDEX($FK$245:$ID$316,$FJ210-FO$169,72-FO$169+SwaptionMonthsToGo+SwaptionShift))/SQRT(SUM(INDEX($FK365:$ID365,1+SwaptionShift):INDEX($FK365:$ID365,SwaptionMonthsToGo+SwaptionShift))*SUM(INDEX($FK$325:$ID$396,FO$169,1+SwaptionShift):INDEX($FK$325:$ID$396,FO$169,SwaptionMonthsToGo+SwaptionShift))))))</f>
        <v/>
      </c>
      <c r="FP210" s="150" t="str">
        <f aca="false">IF(OR(FP$169&lt;SwaptionFirstMonthPosition+1,$FJ210&lt;SwaptionFirstMonthPosition+1,FP$169&gt;SwaptionFirstMonthPosition+SwaptionNumOfMonths+1,$FJ210&gt;SwaptionFirstMonthPosition+SwaptionNumOfMonths+1),"",IF($FJ210=FP$169,1,IF($FJ210&lt;FP$169,INDEX($FK$170:$ID$241,FP$169,$FJ210),SUMPRODUCT(INDEX($FK$325:$ID$396,FP$169,1+SwaptionShift):INDEX($FK$325:$ID$396,FP$169,SwaptionMonthsToGo+SwaptionShift),INDEX($FK$245:$ID$316,$FJ210-FP$169,73-FP$169+SwaptionShift):INDEX($FK$245:$ID$316,$FJ210-FP$169,72-FP$169+SwaptionMonthsToGo+SwaptionShift))/SQRT(SUM(INDEX($FK365:$ID365,1+SwaptionShift):INDEX($FK365:$ID365,SwaptionMonthsToGo+SwaptionShift))*SUM(INDEX($FK$325:$ID$396,FP$169,1+SwaptionShift):INDEX($FK$325:$ID$396,FP$169,SwaptionMonthsToGo+SwaptionShift))))))</f>
        <v/>
      </c>
      <c r="FQ210" s="150" t="str">
        <f aca="false">IF(OR(FQ$169&lt;SwaptionFirstMonthPosition+1,$FJ210&lt;SwaptionFirstMonthPosition+1,FQ$169&gt;SwaptionFirstMonthPosition+SwaptionNumOfMonths+1,$FJ210&gt;SwaptionFirstMonthPosition+SwaptionNumOfMonths+1),"",IF($FJ210=FQ$169,1,IF($FJ210&lt;FQ$169,INDEX($FK$170:$ID$241,FQ$169,$FJ210),SUMPRODUCT(INDEX($FK$325:$ID$396,FQ$169,1+SwaptionShift):INDEX($FK$325:$ID$396,FQ$169,SwaptionMonthsToGo+SwaptionShift),INDEX($FK$245:$ID$316,$FJ210-FQ$169,73-FQ$169+SwaptionShift):INDEX($FK$245:$ID$316,$FJ210-FQ$169,72-FQ$169+SwaptionMonthsToGo+SwaptionShift))/SQRT(SUM(INDEX($FK365:$ID365,1+SwaptionShift):INDEX($FK365:$ID365,SwaptionMonthsToGo+SwaptionShift))*SUM(INDEX($FK$325:$ID$396,FQ$169,1+SwaptionShift):INDEX($FK$325:$ID$396,FQ$169,SwaptionMonthsToGo+SwaptionShift))))))</f>
        <v/>
      </c>
      <c r="FR210" s="150" t="str">
        <f aca="false">IF(OR(FR$169&lt;SwaptionFirstMonthPosition+1,$FJ210&lt;SwaptionFirstMonthPosition+1,FR$169&gt;SwaptionFirstMonthPosition+SwaptionNumOfMonths+1,$FJ210&gt;SwaptionFirstMonthPosition+SwaptionNumOfMonths+1),"",IF($FJ210=FR$169,1,IF($FJ210&lt;FR$169,INDEX($FK$170:$ID$241,FR$169,$FJ210),SUMPRODUCT(INDEX($FK$325:$ID$396,FR$169,1+SwaptionShift):INDEX($FK$325:$ID$396,FR$169,SwaptionMonthsToGo+SwaptionShift),INDEX($FK$245:$ID$316,$FJ210-FR$169,73-FR$169+SwaptionShift):INDEX($FK$245:$ID$316,$FJ210-FR$169,72-FR$169+SwaptionMonthsToGo+SwaptionShift))/SQRT(SUM(INDEX($FK365:$ID365,1+SwaptionShift):INDEX($FK365:$ID365,SwaptionMonthsToGo+SwaptionShift))*SUM(INDEX($FK$325:$ID$396,FR$169,1+SwaptionShift):INDEX($FK$325:$ID$396,FR$169,SwaptionMonthsToGo+SwaptionShift))))))</f>
        <v/>
      </c>
      <c r="FS210" s="150" t="str">
        <f aca="false">IF(OR(FS$169&lt;SwaptionFirstMonthPosition+1,$FJ210&lt;SwaptionFirstMonthPosition+1,FS$169&gt;SwaptionFirstMonthPosition+SwaptionNumOfMonths+1,$FJ210&gt;SwaptionFirstMonthPosition+SwaptionNumOfMonths+1),"",IF($FJ210=FS$169,1,IF($FJ210&lt;FS$169,INDEX($FK$170:$ID$241,FS$169,$FJ210),SUMPRODUCT(INDEX($FK$325:$ID$396,FS$169,1+SwaptionShift):INDEX($FK$325:$ID$396,FS$169,SwaptionMonthsToGo+SwaptionShift),INDEX($FK$245:$ID$316,$FJ210-FS$169,73-FS$169+SwaptionShift):INDEX($FK$245:$ID$316,$FJ210-FS$169,72-FS$169+SwaptionMonthsToGo+SwaptionShift))/SQRT(SUM(INDEX($FK365:$ID365,1+SwaptionShift):INDEX($FK365:$ID365,SwaptionMonthsToGo+SwaptionShift))*SUM(INDEX($FK$325:$ID$396,FS$169,1+SwaptionShift):INDEX($FK$325:$ID$396,FS$169,SwaptionMonthsToGo+SwaptionShift))))))</f>
        <v/>
      </c>
      <c r="FT210" s="150" t="str">
        <f aca="false">IF(OR(FT$169&lt;SwaptionFirstMonthPosition+1,$FJ210&lt;SwaptionFirstMonthPosition+1,FT$169&gt;SwaptionFirstMonthPosition+SwaptionNumOfMonths+1,$FJ210&gt;SwaptionFirstMonthPosition+SwaptionNumOfMonths+1),"",IF($FJ210=FT$169,1,IF($FJ210&lt;FT$169,INDEX($FK$170:$ID$241,FT$169,$FJ210),SUMPRODUCT(INDEX($FK$325:$ID$396,FT$169,1+SwaptionShift):INDEX($FK$325:$ID$396,FT$169,SwaptionMonthsToGo+SwaptionShift),INDEX($FK$245:$ID$316,$FJ210-FT$169,73-FT$169+SwaptionShift):INDEX($FK$245:$ID$316,$FJ210-FT$169,72-FT$169+SwaptionMonthsToGo+SwaptionShift))/SQRT(SUM(INDEX($FK365:$ID365,1+SwaptionShift):INDEX($FK365:$ID365,SwaptionMonthsToGo+SwaptionShift))*SUM(INDEX($FK$325:$ID$396,FT$169,1+SwaptionShift):INDEX($FK$325:$ID$396,FT$169,SwaptionMonthsToGo+SwaptionShift))))))</f>
        <v/>
      </c>
      <c r="FU210" s="150" t="str">
        <f aca="false">IF(OR(FU$169&lt;SwaptionFirstMonthPosition+1,$FJ210&lt;SwaptionFirstMonthPosition+1,FU$169&gt;SwaptionFirstMonthPosition+SwaptionNumOfMonths+1,$FJ210&gt;SwaptionFirstMonthPosition+SwaptionNumOfMonths+1),"",IF($FJ210=FU$169,1,IF($FJ210&lt;FU$169,INDEX($FK$170:$ID$241,FU$169,$FJ210),SUMPRODUCT(INDEX($FK$325:$ID$396,FU$169,1+SwaptionShift):INDEX($FK$325:$ID$396,FU$169,SwaptionMonthsToGo+SwaptionShift),INDEX($FK$245:$ID$316,$FJ210-FU$169,73-FU$169+SwaptionShift):INDEX($FK$245:$ID$316,$FJ210-FU$169,72-FU$169+SwaptionMonthsToGo+SwaptionShift))/SQRT(SUM(INDEX($FK365:$ID365,1+SwaptionShift):INDEX($FK365:$ID365,SwaptionMonthsToGo+SwaptionShift))*SUM(INDEX($FK$325:$ID$396,FU$169,1+SwaptionShift):INDEX($FK$325:$ID$396,FU$169,SwaptionMonthsToGo+SwaptionShift))))))</f>
        <v/>
      </c>
      <c r="FV210" s="150" t="str">
        <f aca="false">IF(OR(FV$169&lt;SwaptionFirstMonthPosition+1,$FJ210&lt;SwaptionFirstMonthPosition+1,FV$169&gt;SwaptionFirstMonthPosition+SwaptionNumOfMonths+1,$FJ210&gt;SwaptionFirstMonthPosition+SwaptionNumOfMonths+1),"",IF($FJ210=FV$169,1,IF($FJ210&lt;FV$169,INDEX($FK$170:$ID$241,FV$169,$FJ210),SUMPRODUCT(INDEX($FK$325:$ID$396,FV$169,1+SwaptionShift):INDEX($FK$325:$ID$396,FV$169,SwaptionMonthsToGo+SwaptionShift),INDEX($FK$245:$ID$316,$FJ210-FV$169,73-FV$169+SwaptionShift):INDEX($FK$245:$ID$316,$FJ210-FV$169,72-FV$169+SwaptionMonthsToGo+SwaptionShift))/SQRT(SUM(INDEX($FK365:$ID365,1+SwaptionShift):INDEX($FK365:$ID365,SwaptionMonthsToGo+SwaptionShift))*SUM(INDEX($FK$325:$ID$396,FV$169,1+SwaptionShift):INDEX($FK$325:$ID$396,FV$169,SwaptionMonthsToGo+SwaptionShift))))))</f>
        <v/>
      </c>
      <c r="FW210" s="150" t="str">
        <f aca="false">IF(OR(FW$169&lt;SwaptionFirstMonthPosition+1,$FJ210&lt;SwaptionFirstMonthPosition+1,FW$169&gt;SwaptionFirstMonthPosition+SwaptionNumOfMonths+1,$FJ210&gt;SwaptionFirstMonthPosition+SwaptionNumOfMonths+1),"",IF($FJ210=FW$169,1,IF($FJ210&lt;FW$169,INDEX($FK$170:$ID$241,FW$169,$FJ210),SUMPRODUCT(INDEX($FK$325:$ID$396,FW$169,1+SwaptionShift):INDEX($FK$325:$ID$396,FW$169,SwaptionMonthsToGo+SwaptionShift),INDEX($FK$245:$ID$316,$FJ210-FW$169,73-FW$169+SwaptionShift):INDEX($FK$245:$ID$316,$FJ210-FW$169,72-FW$169+SwaptionMonthsToGo+SwaptionShift))/SQRT(SUM(INDEX($FK365:$ID365,1+SwaptionShift):INDEX($FK365:$ID365,SwaptionMonthsToGo+SwaptionShift))*SUM(INDEX($FK$325:$ID$396,FW$169,1+SwaptionShift):INDEX($FK$325:$ID$396,FW$169,SwaptionMonthsToGo+SwaptionShift))))))</f>
        <v/>
      </c>
      <c r="FX210" s="150" t="str">
        <f aca="false">IF(OR(FX$169&lt;SwaptionFirstMonthPosition+1,$FJ210&lt;SwaptionFirstMonthPosition+1,FX$169&gt;SwaptionFirstMonthPosition+SwaptionNumOfMonths+1,$FJ210&gt;SwaptionFirstMonthPosition+SwaptionNumOfMonths+1),"",IF($FJ210=FX$169,1,IF($FJ210&lt;FX$169,INDEX($FK$170:$ID$241,FX$169,$FJ210),SUMPRODUCT(INDEX($FK$325:$ID$396,FX$169,1+SwaptionShift):INDEX($FK$325:$ID$396,FX$169,SwaptionMonthsToGo+SwaptionShift),INDEX($FK$245:$ID$316,$FJ210-FX$169,73-FX$169+SwaptionShift):INDEX($FK$245:$ID$316,$FJ210-FX$169,72-FX$169+SwaptionMonthsToGo+SwaptionShift))/SQRT(SUM(INDEX($FK365:$ID365,1+SwaptionShift):INDEX($FK365:$ID365,SwaptionMonthsToGo+SwaptionShift))*SUM(INDEX($FK$325:$ID$396,FX$169,1+SwaptionShift):INDEX($FK$325:$ID$396,FX$169,SwaptionMonthsToGo+SwaptionShift))))))</f>
        <v/>
      </c>
      <c r="FY210" s="150" t="str">
        <f aca="false">IF(OR(FY$169&lt;SwaptionFirstMonthPosition+1,$FJ210&lt;SwaptionFirstMonthPosition+1,FY$169&gt;SwaptionFirstMonthPosition+SwaptionNumOfMonths+1,$FJ210&gt;SwaptionFirstMonthPosition+SwaptionNumOfMonths+1),"",IF($FJ210=FY$169,1,IF($FJ210&lt;FY$169,INDEX($FK$170:$ID$241,FY$169,$FJ210),SUMPRODUCT(INDEX($FK$325:$ID$396,FY$169,1+SwaptionShift):INDEX($FK$325:$ID$396,FY$169,SwaptionMonthsToGo+SwaptionShift),INDEX($FK$245:$ID$316,$FJ210-FY$169,73-FY$169+SwaptionShift):INDEX($FK$245:$ID$316,$FJ210-FY$169,72-FY$169+SwaptionMonthsToGo+SwaptionShift))/SQRT(SUM(INDEX($FK365:$ID365,1+SwaptionShift):INDEX($FK365:$ID365,SwaptionMonthsToGo+SwaptionShift))*SUM(INDEX($FK$325:$ID$396,FY$169,1+SwaptionShift):INDEX($FK$325:$ID$396,FY$169,SwaptionMonthsToGo+SwaptionShift))))))</f>
        <v/>
      </c>
      <c r="FZ210" s="150" t="str">
        <f aca="false">IF(OR(FZ$169&lt;SwaptionFirstMonthPosition+1,$FJ210&lt;SwaptionFirstMonthPosition+1,FZ$169&gt;SwaptionFirstMonthPosition+SwaptionNumOfMonths+1,$FJ210&gt;SwaptionFirstMonthPosition+SwaptionNumOfMonths+1),"",IF($FJ210=FZ$169,1,IF($FJ210&lt;FZ$169,INDEX($FK$170:$ID$241,FZ$169,$FJ210),SUMPRODUCT(INDEX($FK$325:$ID$396,FZ$169,1+SwaptionShift):INDEX($FK$325:$ID$396,FZ$169,SwaptionMonthsToGo+SwaptionShift),INDEX($FK$245:$ID$316,$FJ210-FZ$169,73-FZ$169+SwaptionShift):INDEX($FK$245:$ID$316,$FJ210-FZ$169,72-FZ$169+SwaptionMonthsToGo+SwaptionShift))/SQRT(SUM(INDEX($FK365:$ID365,1+SwaptionShift):INDEX($FK365:$ID365,SwaptionMonthsToGo+SwaptionShift))*SUM(INDEX($FK$325:$ID$396,FZ$169,1+SwaptionShift):INDEX($FK$325:$ID$396,FZ$169,SwaptionMonthsToGo+SwaptionShift))))))</f>
        <v/>
      </c>
      <c r="GA210" s="150" t="str">
        <f aca="false">IF(OR(GA$169&lt;SwaptionFirstMonthPosition+1,$FJ210&lt;SwaptionFirstMonthPosition+1,GA$169&gt;SwaptionFirstMonthPosition+SwaptionNumOfMonths+1,$FJ210&gt;SwaptionFirstMonthPosition+SwaptionNumOfMonths+1),"",IF($FJ210=GA$169,1,IF($FJ210&lt;GA$169,INDEX($FK$170:$ID$241,GA$169,$FJ210),SUMPRODUCT(INDEX($FK$325:$ID$396,GA$169,1+SwaptionShift):INDEX($FK$325:$ID$396,GA$169,SwaptionMonthsToGo+SwaptionShift),INDEX($FK$245:$ID$316,$FJ210-GA$169,73-GA$169+SwaptionShift):INDEX($FK$245:$ID$316,$FJ210-GA$169,72-GA$169+SwaptionMonthsToGo+SwaptionShift))/SQRT(SUM(INDEX($FK365:$ID365,1+SwaptionShift):INDEX($FK365:$ID365,SwaptionMonthsToGo+SwaptionShift))*SUM(INDEX($FK$325:$ID$396,GA$169,1+SwaptionShift):INDEX($FK$325:$ID$396,GA$169,SwaptionMonthsToGo+SwaptionShift))))))</f>
        <v/>
      </c>
      <c r="GB210" s="150" t="str">
        <f aca="false">IF(OR(GB$169&lt;SwaptionFirstMonthPosition+1,$FJ210&lt;SwaptionFirstMonthPosition+1,GB$169&gt;SwaptionFirstMonthPosition+SwaptionNumOfMonths+1,$FJ210&gt;SwaptionFirstMonthPosition+SwaptionNumOfMonths+1),"",IF($FJ210=GB$169,1,IF($FJ210&lt;GB$169,INDEX($FK$170:$ID$241,GB$169,$FJ210),SUMPRODUCT(INDEX($FK$325:$ID$396,GB$169,1+SwaptionShift):INDEX($FK$325:$ID$396,GB$169,SwaptionMonthsToGo+SwaptionShift),INDEX($FK$245:$ID$316,$FJ210-GB$169,73-GB$169+SwaptionShift):INDEX($FK$245:$ID$316,$FJ210-GB$169,72-GB$169+SwaptionMonthsToGo+SwaptionShift))/SQRT(SUM(INDEX($FK365:$ID365,1+SwaptionShift):INDEX($FK365:$ID365,SwaptionMonthsToGo+SwaptionShift))*SUM(INDEX($FK$325:$ID$396,GB$169,1+SwaptionShift):INDEX($FK$325:$ID$396,GB$169,SwaptionMonthsToGo+SwaptionShift))))))</f>
        <v/>
      </c>
      <c r="GC210" s="150" t="str">
        <f aca="false">IF(OR(GC$169&lt;SwaptionFirstMonthPosition+1,$FJ210&lt;SwaptionFirstMonthPosition+1,GC$169&gt;SwaptionFirstMonthPosition+SwaptionNumOfMonths+1,$FJ210&gt;SwaptionFirstMonthPosition+SwaptionNumOfMonths+1),"",IF($FJ210=GC$169,1,IF($FJ210&lt;GC$169,INDEX($FK$170:$ID$241,GC$169,$FJ210),SUMPRODUCT(INDEX($FK$325:$ID$396,GC$169,1+SwaptionShift):INDEX($FK$325:$ID$396,GC$169,SwaptionMonthsToGo+SwaptionShift),INDEX($FK$245:$ID$316,$FJ210-GC$169,73-GC$169+SwaptionShift):INDEX($FK$245:$ID$316,$FJ210-GC$169,72-GC$169+SwaptionMonthsToGo+SwaptionShift))/SQRT(SUM(INDEX($FK365:$ID365,1+SwaptionShift):INDEX($FK365:$ID365,SwaptionMonthsToGo+SwaptionShift))*SUM(INDEX($FK$325:$ID$396,GC$169,1+SwaptionShift):INDEX($FK$325:$ID$396,GC$169,SwaptionMonthsToGo+SwaptionShift))))))</f>
        <v/>
      </c>
      <c r="GD210" s="150" t="str">
        <f aca="false">IF(OR(GD$169&lt;SwaptionFirstMonthPosition+1,$FJ210&lt;SwaptionFirstMonthPosition+1,GD$169&gt;SwaptionFirstMonthPosition+SwaptionNumOfMonths+1,$FJ210&gt;SwaptionFirstMonthPosition+SwaptionNumOfMonths+1),"",IF($FJ210=GD$169,1,IF($FJ210&lt;GD$169,INDEX($FK$170:$ID$241,GD$169,$FJ210),SUMPRODUCT(INDEX($FK$325:$ID$396,GD$169,1+SwaptionShift):INDEX($FK$325:$ID$396,GD$169,SwaptionMonthsToGo+SwaptionShift),INDEX($FK$245:$ID$316,$FJ210-GD$169,73-GD$169+SwaptionShift):INDEX($FK$245:$ID$316,$FJ210-GD$169,72-GD$169+SwaptionMonthsToGo+SwaptionShift))/SQRT(SUM(INDEX($FK365:$ID365,1+SwaptionShift):INDEX($FK365:$ID365,SwaptionMonthsToGo+SwaptionShift))*SUM(INDEX($FK$325:$ID$396,GD$169,1+SwaptionShift):INDEX($FK$325:$ID$396,GD$169,SwaptionMonthsToGo+SwaptionShift))))))</f>
        <v/>
      </c>
      <c r="GE210" s="150" t="str">
        <f aca="false">IF(OR(GE$169&lt;SwaptionFirstMonthPosition+1,$FJ210&lt;SwaptionFirstMonthPosition+1,GE$169&gt;SwaptionFirstMonthPosition+SwaptionNumOfMonths+1,$FJ210&gt;SwaptionFirstMonthPosition+SwaptionNumOfMonths+1),"",IF($FJ210=GE$169,1,IF($FJ210&lt;GE$169,INDEX($FK$170:$ID$241,GE$169,$FJ210),SUMPRODUCT(INDEX($FK$325:$ID$396,GE$169,1+SwaptionShift):INDEX($FK$325:$ID$396,GE$169,SwaptionMonthsToGo+SwaptionShift),INDEX($FK$245:$ID$316,$FJ210-GE$169,73-GE$169+SwaptionShift):INDEX($FK$245:$ID$316,$FJ210-GE$169,72-GE$169+SwaptionMonthsToGo+SwaptionShift))/SQRT(SUM(INDEX($FK365:$ID365,1+SwaptionShift):INDEX($FK365:$ID365,SwaptionMonthsToGo+SwaptionShift))*SUM(INDEX($FK$325:$ID$396,GE$169,1+SwaptionShift):INDEX($FK$325:$ID$396,GE$169,SwaptionMonthsToGo+SwaptionShift))))))</f>
        <v/>
      </c>
      <c r="GF210" s="150" t="str">
        <f aca="false">IF(OR(GF$169&lt;SwaptionFirstMonthPosition+1,$FJ210&lt;SwaptionFirstMonthPosition+1,GF$169&gt;SwaptionFirstMonthPosition+SwaptionNumOfMonths+1,$FJ210&gt;SwaptionFirstMonthPosition+SwaptionNumOfMonths+1),"",IF($FJ210=GF$169,1,IF($FJ210&lt;GF$169,INDEX($FK$170:$ID$241,GF$169,$FJ210),SUMPRODUCT(INDEX($FK$325:$ID$396,GF$169,1+SwaptionShift):INDEX($FK$325:$ID$396,GF$169,SwaptionMonthsToGo+SwaptionShift),INDEX($FK$245:$ID$316,$FJ210-GF$169,73-GF$169+SwaptionShift):INDEX($FK$245:$ID$316,$FJ210-GF$169,72-GF$169+SwaptionMonthsToGo+SwaptionShift))/SQRT(SUM(INDEX($FK365:$ID365,1+SwaptionShift):INDEX($FK365:$ID365,SwaptionMonthsToGo+SwaptionShift))*SUM(INDEX($FK$325:$ID$396,GF$169,1+SwaptionShift):INDEX($FK$325:$ID$396,GF$169,SwaptionMonthsToGo+SwaptionShift))))))</f>
        <v/>
      </c>
      <c r="GG210" s="150" t="str">
        <f aca="false">IF(OR(GG$169&lt;SwaptionFirstMonthPosition+1,$FJ210&lt;SwaptionFirstMonthPosition+1,GG$169&gt;SwaptionFirstMonthPosition+SwaptionNumOfMonths+1,$FJ210&gt;SwaptionFirstMonthPosition+SwaptionNumOfMonths+1),"",IF($FJ210=GG$169,1,IF($FJ210&lt;GG$169,INDEX($FK$170:$ID$241,GG$169,$FJ210),SUMPRODUCT(INDEX($FK$325:$ID$396,GG$169,1+SwaptionShift):INDEX($FK$325:$ID$396,GG$169,SwaptionMonthsToGo+SwaptionShift),INDEX($FK$245:$ID$316,$FJ210-GG$169,73-GG$169+SwaptionShift):INDEX($FK$245:$ID$316,$FJ210-GG$169,72-GG$169+SwaptionMonthsToGo+SwaptionShift))/SQRT(SUM(INDEX($FK365:$ID365,1+SwaptionShift):INDEX($FK365:$ID365,SwaptionMonthsToGo+SwaptionShift))*SUM(INDEX($FK$325:$ID$396,GG$169,1+SwaptionShift):INDEX($FK$325:$ID$396,GG$169,SwaptionMonthsToGo+SwaptionShift))))))</f>
        <v/>
      </c>
      <c r="GH210" s="150" t="str">
        <f aca="false">IF(OR(GH$169&lt;SwaptionFirstMonthPosition+1,$FJ210&lt;SwaptionFirstMonthPosition+1,GH$169&gt;SwaptionFirstMonthPosition+SwaptionNumOfMonths+1,$FJ210&gt;SwaptionFirstMonthPosition+SwaptionNumOfMonths+1),"",IF($FJ210=GH$169,1,IF($FJ210&lt;GH$169,INDEX($FK$170:$ID$241,GH$169,$FJ210),SUMPRODUCT(INDEX($FK$325:$ID$396,GH$169,1+SwaptionShift):INDEX($FK$325:$ID$396,GH$169,SwaptionMonthsToGo+SwaptionShift),INDEX($FK$245:$ID$316,$FJ210-GH$169,73-GH$169+SwaptionShift):INDEX($FK$245:$ID$316,$FJ210-GH$169,72-GH$169+SwaptionMonthsToGo+SwaptionShift))/SQRT(SUM(INDEX($FK365:$ID365,1+SwaptionShift):INDEX($FK365:$ID365,SwaptionMonthsToGo+SwaptionShift))*SUM(INDEX($FK$325:$ID$396,GH$169,1+SwaptionShift):INDEX($FK$325:$ID$396,GH$169,SwaptionMonthsToGo+SwaptionShift))))))</f>
        <v/>
      </c>
      <c r="GI210" s="150" t="str">
        <f aca="false">IF(OR(GI$169&lt;SwaptionFirstMonthPosition+1,$FJ210&lt;SwaptionFirstMonthPosition+1,GI$169&gt;SwaptionFirstMonthPosition+SwaptionNumOfMonths+1,$FJ210&gt;SwaptionFirstMonthPosition+SwaptionNumOfMonths+1),"",IF($FJ210=GI$169,1,IF($FJ210&lt;GI$169,INDEX($FK$170:$ID$241,GI$169,$FJ210),SUMPRODUCT(INDEX($FK$325:$ID$396,GI$169,1+SwaptionShift):INDEX($FK$325:$ID$396,GI$169,SwaptionMonthsToGo+SwaptionShift),INDEX($FK$245:$ID$316,$FJ210-GI$169,73-GI$169+SwaptionShift):INDEX($FK$245:$ID$316,$FJ210-GI$169,72-GI$169+SwaptionMonthsToGo+SwaptionShift))/SQRT(SUM(INDEX($FK365:$ID365,1+SwaptionShift):INDEX($FK365:$ID365,SwaptionMonthsToGo+SwaptionShift))*SUM(INDEX($FK$325:$ID$396,GI$169,1+SwaptionShift):INDEX($FK$325:$ID$396,GI$169,SwaptionMonthsToGo+SwaptionShift))))))</f>
        <v/>
      </c>
      <c r="GJ210" s="150" t="str">
        <f aca="false">IF(OR(GJ$169&lt;SwaptionFirstMonthPosition+1,$FJ210&lt;SwaptionFirstMonthPosition+1,GJ$169&gt;SwaptionFirstMonthPosition+SwaptionNumOfMonths+1,$FJ210&gt;SwaptionFirstMonthPosition+SwaptionNumOfMonths+1),"",IF($FJ210=GJ$169,1,IF($FJ210&lt;GJ$169,INDEX($FK$170:$ID$241,GJ$169,$FJ210),SUMPRODUCT(INDEX($FK$325:$ID$396,GJ$169,1+SwaptionShift):INDEX($FK$325:$ID$396,GJ$169,SwaptionMonthsToGo+SwaptionShift),INDEX($FK$245:$ID$316,$FJ210-GJ$169,73-GJ$169+SwaptionShift):INDEX($FK$245:$ID$316,$FJ210-GJ$169,72-GJ$169+SwaptionMonthsToGo+SwaptionShift))/SQRT(SUM(INDEX($FK365:$ID365,1+SwaptionShift):INDEX($FK365:$ID365,SwaptionMonthsToGo+SwaptionShift))*SUM(INDEX($FK$325:$ID$396,GJ$169,1+SwaptionShift):INDEX($FK$325:$ID$396,GJ$169,SwaptionMonthsToGo+SwaptionShift))))))</f>
        <v/>
      </c>
      <c r="GK210" s="150" t="str">
        <f aca="false">IF(OR(GK$169&lt;SwaptionFirstMonthPosition+1,$FJ210&lt;SwaptionFirstMonthPosition+1,GK$169&gt;SwaptionFirstMonthPosition+SwaptionNumOfMonths+1,$FJ210&gt;SwaptionFirstMonthPosition+SwaptionNumOfMonths+1),"",IF($FJ210=GK$169,1,IF($FJ210&lt;GK$169,INDEX($FK$170:$ID$241,GK$169,$FJ210),SUMPRODUCT(INDEX($FK$325:$ID$396,GK$169,1+SwaptionShift):INDEX($FK$325:$ID$396,GK$169,SwaptionMonthsToGo+SwaptionShift),INDEX($FK$245:$ID$316,$FJ210-GK$169,73-GK$169+SwaptionShift):INDEX($FK$245:$ID$316,$FJ210-GK$169,72-GK$169+SwaptionMonthsToGo+SwaptionShift))/SQRT(SUM(INDEX($FK365:$ID365,1+SwaptionShift):INDEX($FK365:$ID365,SwaptionMonthsToGo+SwaptionShift))*SUM(INDEX($FK$325:$ID$396,GK$169,1+SwaptionShift):INDEX($FK$325:$ID$396,GK$169,SwaptionMonthsToGo+SwaptionShift))))))</f>
        <v/>
      </c>
      <c r="GL210" s="150" t="str">
        <f aca="false">IF(OR(GL$169&lt;SwaptionFirstMonthPosition+1,$FJ210&lt;SwaptionFirstMonthPosition+1,GL$169&gt;SwaptionFirstMonthPosition+SwaptionNumOfMonths+1,$FJ210&gt;SwaptionFirstMonthPosition+SwaptionNumOfMonths+1),"",IF($FJ210=GL$169,1,IF($FJ210&lt;GL$169,INDEX($FK$170:$ID$241,GL$169,$FJ210),SUMPRODUCT(INDEX($FK$325:$ID$396,GL$169,1+SwaptionShift):INDEX($FK$325:$ID$396,GL$169,SwaptionMonthsToGo+SwaptionShift),INDEX($FK$245:$ID$316,$FJ210-GL$169,73-GL$169+SwaptionShift):INDEX($FK$245:$ID$316,$FJ210-GL$169,72-GL$169+SwaptionMonthsToGo+SwaptionShift))/SQRT(SUM(INDEX($FK365:$ID365,1+SwaptionShift):INDEX($FK365:$ID365,SwaptionMonthsToGo+SwaptionShift))*SUM(INDEX($FK$325:$ID$396,GL$169,1+SwaptionShift):INDEX($FK$325:$ID$396,GL$169,SwaptionMonthsToGo+SwaptionShift))))))</f>
        <v/>
      </c>
      <c r="GM210" s="150" t="str">
        <f aca="false">IF(OR(GM$169&lt;SwaptionFirstMonthPosition+1,$FJ210&lt;SwaptionFirstMonthPosition+1,GM$169&gt;SwaptionFirstMonthPosition+SwaptionNumOfMonths+1,$FJ210&gt;SwaptionFirstMonthPosition+SwaptionNumOfMonths+1),"",IF($FJ210=GM$169,1,IF($FJ210&lt;GM$169,INDEX($FK$170:$ID$241,GM$169,$FJ210),SUMPRODUCT(INDEX($FK$325:$ID$396,GM$169,1+SwaptionShift):INDEX($FK$325:$ID$396,GM$169,SwaptionMonthsToGo+SwaptionShift),INDEX($FK$245:$ID$316,$FJ210-GM$169,73-GM$169+SwaptionShift):INDEX($FK$245:$ID$316,$FJ210-GM$169,72-GM$169+SwaptionMonthsToGo+SwaptionShift))/SQRT(SUM(INDEX($FK365:$ID365,1+SwaptionShift):INDEX($FK365:$ID365,SwaptionMonthsToGo+SwaptionShift))*SUM(INDEX($FK$325:$ID$396,GM$169,1+SwaptionShift):INDEX($FK$325:$ID$396,GM$169,SwaptionMonthsToGo+SwaptionShift))))))</f>
        <v/>
      </c>
      <c r="GN210" s="150" t="str">
        <f aca="false">IF(OR(GN$169&lt;SwaptionFirstMonthPosition+1,$FJ210&lt;SwaptionFirstMonthPosition+1,GN$169&gt;SwaptionFirstMonthPosition+SwaptionNumOfMonths+1,$FJ210&gt;SwaptionFirstMonthPosition+SwaptionNumOfMonths+1),"",IF($FJ210=GN$169,1,IF($FJ210&lt;GN$169,INDEX($FK$170:$ID$241,GN$169,$FJ210),SUMPRODUCT(INDEX($FK$325:$ID$396,GN$169,1+SwaptionShift):INDEX($FK$325:$ID$396,GN$169,SwaptionMonthsToGo+SwaptionShift),INDEX($FK$245:$ID$316,$FJ210-GN$169,73-GN$169+SwaptionShift):INDEX($FK$245:$ID$316,$FJ210-GN$169,72-GN$169+SwaptionMonthsToGo+SwaptionShift))/SQRT(SUM(INDEX($FK365:$ID365,1+SwaptionShift):INDEX($FK365:$ID365,SwaptionMonthsToGo+SwaptionShift))*SUM(INDEX($FK$325:$ID$396,GN$169,1+SwaptionShift):INDEX($FK$325:$ID$396,GN$169,SwaptionMonthsToGo+SwaptionShift))))))</f>
        <v/>
      </c>
      <c r="GO210" s="150" t="str">
        <f aca="false">IF(OR(GO$169&lt;SwaptionFirstMonthPosition+1,$FJ210&lt;SwaptionFirstMonthPosition+1,GO$169&gt;SwaptionFirstMonthPosition+SwaptionNumOfMonths+1,$FJ210&gt;SwaptionFirstMonthPosition+SwaptionNumOfMonths+1),"",IF($FJ210=GO$169,1,IF($FJ210&lt;GO$169,INDEX($FK$170:$ID$241,GO$169,$FJ210),SUMPRODUCT(INDEX($FK$325:$ID$396,GO$169,1+SwaptionShift):INDEX($FK$325:$ID$396,GO$169,SwaptionMonthsToGo+SwaptionShift),INDEX($FK$245:$ID$316,$FJ210-GO$169,73-GO$169+SwaptionShift):INDEX($FK$245:$ID$316,$FJ210-GO$169,72-GO$169+SwaptionMonthsToGo+SwaptionShift))/SQRT(SUM(INDEX($FK365:$ID365,1+SwaptionShift):INDEX($FK365:$ID365,SwaptionMonthsToGo+SwaptionShift))*SUM(INDEX($FK$325:$ID$396,GO$169,1+SwaptionShift):INDEX($FK$325:$ID$396,GO$169,SwaptionMonthsToGo+SwaptionShift))))))</f>
        <v/>
      </c>
      <c r="GP210" s="150" t="str">
        <f aca="false">IF(OR(GP$169&lt;SwaptionFirstMonthPosition+1,$FJ210&lt;SwaptionFirstMonthPosition+1,GP$169&gt;SwaptionFirstMonthPosition+SwaptionNumOfMonths+1,$FJ210&gt;SwaptionFirstMonthPosition+SwaptionNumOfMonths+1),"",IF($FJ210=GP$169,1,IF($FJ210&lt;GP$169,INDEX($FK$170:$ID$241,GP$169,$FJ210),SUMPRODUCT(INDEX($FK$325:$ID$396,GP$169,1+SwaptionShift):INDEX($FK$325:$ID$396,GP$169,SwaptionMonthsToGo+SwaptionShift),INDEX($FK$245:$ID$316,$FJ210-GP$169,73-GP$169+SwaptionShift):INDEX($FK$245:$ID$316,$FJ210-GP$169,72-GP$169+SwaptionMonthsToGo+SwaptionShift))/SQRT(SUM(INDEX($FK365:$ID365,1+SwaptionShift):INDEX($FK365:$ID365,SwaptionMonthsToGo+SwaptionShift))*SUM(INDEX($FK$325:$ID$396,GP$169,1+SwaptionShift):INDEX($FK$325:$ID$396,GP$169,SwaptionMonthsToGo+SwaptionShift))))))</f>
        <v/>
      </c>
      <c r="GQ210" s="150" t="str">
        <f aca="false">IF(OR(GQ$169&lt;SwaptionFirstMonthPosition+1,$FJ210&lt;SwaptionFirstMonthPosition+1,GQ$169&gt;SwaptionFirstMonthPosition+SwaptionNumOfMonths+1,$FJ210&gt;SwaptionFirstMonthPosition+SwaptionNumOfMonths+1),"",IF($FJ210=GQ$169,1,IF($FJ210&lt;GQ$169,INDEX($FK$170:$ID$241,GQ$169,$FJ210),SUMPRODUCT(INDEX($FK$325:$ID$396,GQ$169,1+SwaptionShift):INDEX($FK$325:$ID$396,GQ$169,SwaptionMonthsToGo+SwaptionShift),INDEX($FK$245:$ID$316,$FJ210-GQ$169,73-GQ$169+SwaptionShift):INDEX($FK$245:$ID$316,$FJ210-GQ$169,72-GQ$169+SwaptionMonthsToGo+SwaptionShift))/SQRT(SUM(INDEX($FK365:$ID365,1+SwaptionShift):INDEX($FK365:$ID365,SwaptionMonthsToGo+SwaptionShift))*SUM(INDEX($FK$325:$ID$396,GQ$169,1+SwaptionShift):INDEX($FK$325:$ID$396,GQ$169,SwaptionMonthsToGo+SwaptionShift))))))</f>
        <v/>
      </c>
      <c r="GR210" s="150" t="str">
        <f aca="false">IF(OR(GR$169&lt;SwaptionFirstMonthPosition+1,$FJ210&lt;SwaptionFirstMonthPosition+1,GR$169&gt;SwaptionFirstMonthPosition+SwaptionNumOfMonths+1,$FJ210&gt;SwaptionFirstMonthPosition+SwaptionNumOfMonths+1),"",IF($FJ210=GR$169,1,IF($FJ210&lt;GR$169,INDEX($FK$170:$ID$241,GR$169,$FJ210),SUMPRODUCT(INDEX($FK$325:$ID$396,GR$169,1+SwaptionShift):INDEX($FK$325:$ID$396,GR$169,SwaptionMonthsToGo+SwaptionShift),INDEX($FK$245:$ID$316,$FJ210-GR$169,73-GR$169+SwaptionShift):INDEX($FK$245:$ID$316,$FJ210-GR$169,72-GR$169+SwaptionMonthsToGo+SwaptionShift))/SQRT(SUM(INDEX($FK365:$ID365,1+SwaptionShift):INDEX($FK365:$ID365,SwaptionMonthsToGo+SwaptionShift))*SUM(INDEX($FK$325:$ID$396,GR$169,1+SwaptionShift):INDEX($FK$325:$ID$396,GR$169,SwaptionMonthsToGo+SwaptionShift))))))</f>
        <v/>
      </c>
      <c r="GS210" s="150" t="str">
        <f aca="false">IF(OR(GS$169&lt;SwaptionFirstMonthPosition+1,$FJ210&lt;SwaptionFirstMonthPosition+1,GS$169&gt;SwaptionFirstMonthPosition+SwaptionNumOfMonths+1,$FJ210&gt;SwaptionFirstMonthPosition+SwaptionNumOfMonths+1),"",IF($FJ210=GS$169,1,IF($FJ210&lt;GS$169,INDEX($FK$170:$ID$241,GS$169,$FJ210),SUMPRODUCT(INDEX($FK$325:$ID$396,GS$169,1+SwaptionShift):INDEX($FK$325:$ID$396,GS$169,SwaptionMonthsToGo+SwaptionShift),INDEX($FK$245:$ID$316,$FJ210-GS$169,73-GS$169+SwaptionShift):INDEX($FK$245:$ID$316,$FJ210-GS$169,72-GS$169+SwaptionMonthsToGo+SwaptionShift))/SQRT(SUM(INDEX($FK365:$ID365,1+SwaptionShift):INDEX($FK365:$ID365,SwaptionMonthsToGo+SwaptionShift))*SUM(INDEX($FK$325:$ID$396,GS$169,1+SwaptionShift):INDEX($FK$325:$ID$396,GS$169,SwaptionMonthsToGo+SwaptionShift))))))</f>
        <v/>
      </c>
      <c r="GT210" s="150" t="str">
        <f aca="false">IF(OR(GT$169&lt;SwaptionFirstMonthPosition+1,$FJ210&lt;SwaptionFirstMonthPosition+1,GT$169&gt;SwaptionFirstMonthPosition+SwaptionNumOfMonths+1,$FJ210&gt;SwaptionFirstMonthPosition+SwaptionNumOfMonths+1),"",IF($FJ210=GT$169,1,IF($FJ210&lt;GT$169,INDEX($FK$170:$ID$241,GT$169,$FJ210),SUMPRODUCT(INDEX($FK$325:$ID$396,GT$169,1+SwaptionShift):INDEX($FK$325:$ID$396,GT$169,SwaptionMonthsToGo+SwaptionShift),INDEX($FK$245:$ID$316,$FJ210-GT$169,73-GT$169+SwaptionShift):INDEX($FK$245:$ID$316,$FJ210-GT$169,72-GT$169+SwaptionMonthsToGo+SwaptionShift))/SQRT(SUM(INDEX($FK365:$ID365,1+SwaptionShift):INDEX($FK365:$ID365,SwaptionMonthsToGo+SwaptionShift))*SUM(INDEX($FK$325:$ID$396,GT$169,1+SwaptionShift):INDEX($FK$325:$ID$396,GT$169,SwaptionMonthsToGo+SwaptionShift))))))</f>
        <v/>
      </c>
      <c r="GU210" s="150" t="str">
        <f aca="false">IF(OR(GU$169&lt;SwaptionFirstMonthPosition+1,$FJ210&lt;SwaptionFirstMonthPosition+1,GU$169&gt;SwaptionFirstMonthPosition+SwaptionNumOfMonths+1,$FJ210&gt;SwaptionFirstMonthPosition+SwaptionNumOfMonths+1),"",IF($FJ210=GU$169,1,IF($FJ210&lt;GU$169,INDEX($FK$170:$ID$241,GU$169,$FJ210),SUMPRODUCT(INDEX($FK$325:$ID$396,GU$169,1+SwaptionShift):INDEX($FK$325:$ID$396,GU$169,SwaptionMonthsToGo+SwaptionShift),INDEX($FK$245:$ID$316,$FJ210-GU$169,73-GU$169+SwaptionShift):INDEX($FK$245:$ID$316,$FJ210-GU$169,72-GU$169+SwaptionMonthsToGo+SwaptionShift))/SQRT(SUM(INDEX($FK365:$ID365,1+SwaptionShift):INDEX($FK365:$ID365,SwaptionMonthsToGo+SwaptionShift))*SUM(INDEX($FK$325:$ID$396,GU$169,1+SwaptionShift):INDEX($FK$325:$ID$396,GU$169,SwaptionMonthsToGo+SwaptionShift))))))</f>
        <v/>
      </c>
      <c r="GV210" s="150" t="str">
        <f aca="false">IF(OR(GV$169&lt;SwaptionFirstMonthPosition+1,$FJ210&lt;SwaptionFirstMonthPosition+1,GV$169&gt;SwaptionFirstMonthPosition+SwaptionNumOfMonths+1,$FJ210&gt;SwaptionFirstMonthPosition+SwaptionNumOfMonths+1),"",IF($FJ210=GV$169,1,IF($FJ210&lt;GV$169,INDEX($FK$170:$ID$241,GV$169,$FJ210),SUMPRODUCT(INDEX($FK$325:$ID$396,GV$169,1+SwaptionShift):INDEX($FK$325:$ID$396,GV$169,SwaptionMonthsToGo+SwaptionShift),INDEX($FK$245:$ID$316,$FJ210-GV$169,73-GV$169+SwaptionShift):INDEX($FK$245:$ID$316,$FJ210-GV$169,72-GV$169+SwaptionMonthsToGo+SwaptionShift))/SQRT(SUM(INDEX($FK365:$ID365,1+SwaptionShift):INDEX($FK365:$ID365,SwaptionMonthsToGo+SwaptionShift))*SUM(INDEX($FK$325:$ID$396,GV$169,1+SwaptionShift):INDEX($FK$325:$ID$396,GV$169,SwaptionMonthsToGo+SwaptionShift))))))</f>
        <v/>
      </c>
      <c r="GW210" s="150" t="str">
        <f aca="false">IF(OR(GW$169&lt;SwaptionFirstMonthPosition+1,$FJ210&lt;SwaptionFirstMonthPosition+1,GW$169&gt;SwaptionFirstMonthPosition+SwaptionNumOfMonths+1,$FJ210&gt;SwaptionFirstMonthPosition+SwaptionNumOfMonths+1),"",IF($FJ210=GW$169,1,IF($FJ210&lt;GW$169,INDEX($FK$170:$ID$241,GW$169,$FJ210),SUMPRODUCT(INDEX($FK$325:$ID$396,GW$169,1+SwaptionShift):INDEX($FK$325:$ID$396,GW$169,SwaptionMonthsToGo+SwaptionShift),INDEX($FK$245:$ID$316,$FJ210-GW$169,73-GW$169+SwaptionShift):INDEX($FK$245:$ID$316,$FJ210-GW$169,72-GW$169+SwaptionMonthsToGo+SwaptionShift))/SQRT(SUM(INDEX($FK365:$ID365,1+SwaptionShift):INDEX($FK365:$ID365,SwaptionMonthsToGo+SwaptionShift))*SUM(INDEX($FK$325:$ID$396,GW$169,1+SwaptionShift):INDEX($FK$325:$ID$396,GW$169,SwaptionMonthsToGo+SwaptionShift))))))</f>
        <v/>
      </c>
      <c r="GX210" s="150" t="str">
        <f aca="false">IF(OR(GX$169&lt;SwaptionFirstMonthPosition+1,$FJ210&lt;SwaptionFirstMonthPosition+1,GX$169&gt;SwaptionFirstMonthPosition+SwaptionNumOfMonths+1,$FJ210&gt;SwaptionFirstMonthPosition+SwaptionNumOfMonths+1),"",IF($FJ210=GX$169,1,IF($FJ210&lt;GX$169,INDEX($FK$170:$ID$241,GX$169,$FJ210),SUMPRODUCT(INDEX($FK$325:$ID$396,GX$169,1+SwaptionShift):INDEX($FK$325:$ID$396,GX$169,SwaptionMonthsToGo+SwaptionShift),INDEX($FK$245:$ID$316,$FJ210-GX$169,73-GX$169+SwaptionShift):INDEX($FK$245:$ID$316,$FJ210-GX$169,72-GX$169+SwaptionMonthsToGo+SwaptionShift))/SQRT(SUM(INDEX($FK365:$ID365,1+SwaptionShift):INDEX($FK365:$ID365,SwaptionMonthsToGo+SwaptionShift))*SUM(INDEX($FK$325:$ID$396,GX$169,1+SwaptionShift):INDEX($FK$325:$ID$396,GX$169,SwaptionMonthsToGo+SwaptionShift))))))</f>
        <v/>
      </c>
      <c r="GY210" s="150" t="str">
        <f aca="false">IF(OR(GY$169&lt;SwaptionFirstMonthPosition+1,$FJ210&lt;SwaptionFirstMonthPosition+1,GY$169&gt;SwaptionFirstMonthPosition+SwaptionNumOfMonths+1,$FJ210&gt;SwaptionFirstMonthPosition+SwaptionNumOfMonths+1),"",IF($FJ210=GY$169,1,IF($FJ210&lt;GY$169,INDEX($FK$170:$ID$241,GY$169,$FJ210),SUMPRODUCT(INDEX($FK$325:$ID$396,GY$169,1+SwaptionShift):INDEX($FK$325:$ID$396,GY$169,SwaptionMonthsToGo+SwaptionShift),INDEX($FK$245:$ID$316,$FJ210-GY$169,73-GY$169+SwaptionShift):INDEX($FK$245:$ID$316,$FJ210-GY$169,72-GY$169+SwaptionMonthsToGo+SwaptionShift))/SQRT(SUM(INDEX($FK365:$ID365,1+SwaptionShift):INDEX($FK365:$ID365,SwaptionMonthsToGo+SwaptionShift))*SUM(INDEX($FK$325:$ID$396,GY$169,1+SwaptionShift):INDEX($FK$325:$ID$396,GY$169,SwaptionMonthsToGo+SwaptionShift))))))</f>
        <v/>
      </c>
      <c r="GZ210" s="150" t="str">
        <f aca="false">IF(OR(GZ$169&lt;SwaptionFirstMonthPosition+1,$FJ210&lt;SwaptionFirstMonthPosition+1,GZ$169&gt;SwaptionFirstMonthPosition+SwaptionNumOfMonths+1,$FJ210&gt;SwaptionFirstMonthPosition+SwaptionNumOfMonths+1),"",IF($FJ210=GZ$169,1,IF($FJ210&lt;GZ$169,INDEX($FK$170:$ID$241,GZ$169,$FJ210),SUMPRODUCT(INDEX($FK$325:$ID$396,GZ$169,1+SwaptionShift):INDEX($FK$325:$ID$396,GZ$169,SwaptionMonthsToGo+SwaptionShift),INDEX($FK$245:$ID$316,$FJ210-GZ$169,73-GZ$169+SwaptionShift):INDEX($FK$245:$ID$316,$FJ210-GZ$169,72-GZ$169+SwaptionMonthsToGo+SwaptionShift))/SQRT(SUM(INDEX($FK365:$ID365,1+SwaptionShift):INDEX($FK365:$ID365,SwaptionMonthsToGo+SwaptionShift))*SUM(INDEX($FK$325:$ID$396,GZ$169,1+SwaptionShift):INDEX($FK$325:$ID$396,GZ$169,SwaptionMonthsToGo+SwaptionShift))))))</f>
        <v/>
      </c>
      <c r="HA210" s="150" t="str">
        <f aca="false">IF(OR(HA$169&lt;SwaptionFirstMonthPosition+1,$FJ210&lt;SwaptionFirstMonthPosition+1,HA$169&gt;SwaptionFirstMonthPosition+SwaptionNumOfMonths+1,$FJ210&gt;SwaptionFirstMonthPosition+SwaptionNumOfMonths+1),"",IF($FJ210=HA$169,1,IF($FJ210&lt;HA$169,INDEX($FK$170:$ID$241,HA$169,$FJ210),SUMPRODUCT(INDEX($FK$325:$ID$396,HA$169,1+SwaptionShift):INDEX($FK$325:$ID$396,HA$169,SwaptionMonthsToGo+SwaptionShift),INDEX($FK$245:$ID$316,$FJ210-HA$169,73-HA$169+SwaptionShift):INDEX($FK$245:$ID$316,$FJ210-HA$169,72-HA$169+SwaptionMonthsToGo+SwaptionShift))/SQRT(SUM(INDEX($FK365:$ID365,1+SwaptionShift):INDEX($FK365:$ID365,SwaptionMonthsToGo+SwaptionShift))*SUM(INDEX($FK$325:$ID$396,HA$169,1+SwaptionShift):INDEX($FK$325:$ID$396,HA$169,SwaptionMonthsToGo+SwaptionShift))))))</f>
        <v/>
      </c>
      <c r="HB210" s="150" t="str">
        <f aca="false">IF(OR(HB$169&lt;SwaptionFirstMonthPosition+1,$FJ210&lt;SwaptionFirstMonthPosition+1,HB$169&gt;SwaptionFirstMonthPosition+SwaptionNumOfMonths+1,$FJ210&gt;SwaptionFirstMonthPosition+SwaptionNumOfMonths+1),"",IF($FJ210=HB$169,1,IF($FJ210&lt;HB$169,INDEX($FK$170:$ID$241,HB$169,$FJ210),SUMPRODUCT(INDEX($FK$325:$ID$396,HB$169,1+SwaptionShift):INDEX($FK$325:$ID$396,HB$169,SwaptionMonthsToGo+SwaptionShift),INDEX($FK$245:$ID$316,$FJ210-HB$169,73-HB$169+SwaptionShift):INDEX($FK$245:$ID$316,$FJ210-HB$169,72-HB$169+SwaptionMonthsToGo+SwaptionShift))/SQRT(SUM(INDEX($FK365:$ID365,1+SwaptionShift):INDEX($FK365:$ID365,SwaptionMonthsToGo+SwaptionShift))*SUM(INDEX($FK$325:$ID$396,HB$169,1+SwaptionShift):INDEX($FK$325:$ID$396,HB$169,SwaptionMonthsToGo+SwaptionShift))))))</f>
        <v/>
      </c>
      <c r="HC210" s="150" t="str">
        <f aca="false">IF(OR(HC$169&lt;SwaptionFirstMonthPosition+1,$FJ210&lt;SwaptionFirstMonthPosition+1,HC$169&gt;SwaptionFirstMonthPosition+SwaptionNumOfMonths+1,$FJ210&gt;SwaptionFirstMonthPosition+SwaptionNumOfMonths+1),"",IF($FJ210=HC$169,1,IF($FJ210&lt;HC$169,INDEX($FK$170:$ID$241,HC$169,$FJ210),SUMPRODUCT(INDEX($FK$325:$ID$396,HC$169,1+SwaptionShift):INDEX($FK$325:$ID$396,HC$169,SwaptionMonthsToGo+SwaptionShift),INDEX($FK$245:$ID$316,$FJ210-HC$169,73-HC$169+SwaptionShift):INDEX($FK$245:$ID$316,$FJ210-HC$169,72-HC$169+SwaptionMonthsToGo+SwaptionShift))/SQRT(SUM(INDEX($FK365:$ID365,1+SwaptionShift):INDEX($FK365:$ID365,SwaptionMonthsToGo+SwaptionShift))*SUM(INDEX($FK$325:$ID$396,HC$169,1+SwaptionShift):INDEX($FK$325:$ID$396,HC$169,SwaptionMonthsToGo+SwaptionShift))))))</f>
        <v/>
      </c>
      <c r="HD210" s="150" t="str">
        <f aca="false">IF(OR(HD$169&lt;SwaptionFirstMonthPosition+1,$FJ210&lt;SwaptionFirstMonthPosition+1,HD$169&gt;SwaptionFirstMonthPosition+SwaptionNumOfMonths+1,$FJ210&gt;SwaptionFirstMonthPosition+SwaptionNumOfMonths+1),"",IF($FJ210=HD$169,1,IF($FJ210&lt;HD$169,INDEX($FK$170:$ID$241,HD$169,$FJ210),SUMPRODUCT(INDEX($FK$325:$ID$396,HD$169,1+SwaptionShift):INDEX($FK$325:$ID$396,HD$169,SwaptionMonthsToGo+SwaptionShift),INDEX($FK$245:$ID$316,$FJ210-HD$169,73-HD$169+SwaptionShift):INDEX($FK$245:$ID$316,$FJ210-HD$169,72-HD$169+SwaptionMonthsToGo+SwaptionShift))/SQRT(SUM(INDEX($FK365:$ID365,1+SwaptionShift):INDEX($FK365:$ID365,SwaptionMonthsToGo+SwaptionShift))*SUM(INDEX($FK$325:$ID$396,HD$169,1+SwaptionShift):INDEX($FK$325:$ID$396,HD$169,SwaptionMonthsToGo+SwaptionShift))))))</f>
        <v/>
      </c>
      <c r="HE210" s="150" t="str">
        <f aca="false">IF(OR(HE$169&lt;SwaptionFirstMonthPosition+1,$FJ210&lt;SwaptionFirstMonthPosition+1,HE$169&gt;SwaptionFirstMonthPosition+SwaptionNumOfMonths+1,$FJ210&gt;SwaptionFirstMonthPosition+SwaptionNumOfMonths+1),"",IF($FJ210=HE$169,1,IF($FJ210&lt;HE$169,INDEX($FK$170:$ID$241,HE$169,$FJ210),SUMPRODUCT(INDEX($FK$325:$ID$396,HE$169,1+SwaptionShift):INDEX($FK$325:$ID$396,HE$169,SwaptionMonthsToGo+SwaptionShift),INDEX($FK$245:$ID$316,$FJ210-HE$169,73-HE$169+SwaptionShift):INDEX($FK$245:$ID$316,$FJ210-HE$169,72-HE$169+SwaptionMonthsToGo+SwaptionShift))/SQRT(SUM(INDEX($FK365:$ID365,1+SwaptionShift):INDEX($FK365:$ID365,SwaptionMonthsToGo+SwaptionShift))*SUM(INDEX($FK$325:$ID$396,HE$169,1+SwaptionShift):INDEX($FK$325:$ID$396,HE$169,SwaptionMonthsToGo+SwaptionShift))))))</f>
        <v/>
      </c>
      <c r="HF210" s="150" t="str">
        <f aca="false">IF(OR(HF$169&lt;SwaptionFirstMonthPosition+1,$FJ210&lt;SwaptionFirstMonthPosition+1,HF$169&gt;SwaptionFirstMonthPosition+SwaptionNumOfMonths+1,$FJ210&gt;SwaptionFirstMonthPosition+SwaptionNumOfMonths+1),"",IF($FJ210=HF$169,1,IF($FJ210&lt;HF$169,INDEX($FK$170:$ID$241,HF$169,$FJ210),SUMPRODUCT(INDEX($FK$325:$ID$396,HF$169,1+SwaptionShift):INDEX($FK$325:$ID$396,HF$169,SwaptionMonthsToGo+SwaptionShift),INDEX($FK$245:$ID$316,$FJ210-HF$169,73-HF$169+SwaptionShift):INDEX($FK$245:$ID$316,$FJ210-HF$169,72-HF$169+SwaptionMonthsToGo+SwaptionShift))/SQRT(SUM(INDEX($FK365:$ID365,1+SwaptionShift):INDEX($FK365:$ID365,SwaptionMonthsToGo+SwaptionShift))*SUM(INDEX($FK$325:$ID$396,HF$169,1+SwaptionShift):INDEX($FK$325:$ID$396,HF$169,SwaptionMonthsToGo+SwaptionShift))))))</f>
        <v/>
      </c>
      <c r="HG210" s="150" t="str">
        <f aca="false">IF(OR(HG$169&lt;SwaptionFirstMonthPosition+1,$FJ210&lt;SwaptionFirstMonthPosition+1,HG$169&gt;SwaptionFirstMonthPosition+SwaptionNumOfMonths+1,$FJ210&gt;SwaptionFirstMonthPosition+SwaptionNumOfMonths+1),"",IF($FJ210=HG$169,1,IF($FJ210&lt;HG$169,INDEX($FK$170:$ID$241,HG$169,$FJ210),SUMPRODUCT(INDEX($FK$325:$ID$396,HG$169,1+SwaptionShift):INDEX($FK$325:$ID$396,HG$169,SwaptionMonthsToGo+SwaptionShift),INDEX($FK$245:$ID$316,$FJ210-HG$169,73-HG$169+SwaptionShift):INDEX($FK$245:$ID$316,$FJ210-HG$169,72-HG$169+SwaptionMonthsToGo+SwaptionShift))/SQRT(SUM(INDEX($FK365:$ID365,1+SwaptionShift):INDEX($FK365:$ID365,SwaptionMonthsToGo+SwaptionShift))*SUM(INDEX($FK$325:$ID$396,HG$169,1+SwaptionShift):INDEX($FK$325:$ID$396,HG$169,SwaptionMonthsToGo+SwaptionShift))))))</f>
        <v/>
      </c>
      <c r="HH210" s="150" t="str">
        <f aca="false">IF(OR(HH$169&lt;SwaptionFirstMonthPosition+1,$FJ210&lt;SwaptionFirstMonthPosition+1,HH$169&gt;SwaptionFirstMonthPosition+SwaptionNumOfMonths+1,$FJ210&gt;SwaptionFirstMonthPosition+SwaptionNumOfMonths+1),"",IF($FJ210=HH$169,1,IF($FJ210&lt;HH$169,INDEX($FK$170:$ID$241,HH$169,$FJ210),SUMPRODUCT(INDEX($FK$325:$ID$396,HH$169,1+SwaptionShift):INDEX($FK$325:$ID$396,HH$169,SwaptionMonthsToGo+SwaptionShift),INDEX($FK$245:$ID$316,$FJ210-HH$169,73-HH$169+SwaptionShift):INDEX($FK$245:$ID$316,$FJ210-HH$169,72-HH$169+SwaptionMonthsToGo+SwaptionShift))/SQRT(SUM(INDEX($FK365:$ID365,1+SwaptionShift):INDEX($FK365:$ID365,SwaptionMonthsToGo+SwaptionShift))*SUM(INDEX($FK$325:$ID$396,HH$169,1+SwaptionShift):INDEX($FK$325:$ID$396,HH$169,SwaptionMonthsToGo+SwaptionShift))))))</f>
        <v/>
      </c>
      <c r="HI210" s="150" t="str">
        <f aca="false">IF(OR(HI$169&lt;SwaptionFirstMonthPosition+1,$FJ210&lt;SwaptionFirstMonthPosition+1,HI$169&gt;SwaptionFirstMonthPosition+SwaptionNumOfMonths+1,$FJ210&gt;SwaptionFirstMonthPosition+SwaptionNumOfMonths+1),"",IF($FJ210=HI$169,1,IF($FJ210&lt;HI$169,INDEX($FK$170:$ID$241,HI$169,$FJ210),SUMPRODUCT(INDEX($FK$325:$ID$396,HI$169,1+SwaptionShift):INDEX($FK$325:$ID$396,HI$169,SwaptionMonthsToGo+SwaptionShift),INDEX($FK$245:$ID$316,$FJ210-HI$169,73-HI$169+SwaptionShift):INDEX($FK$245:$ID$316,$FJ210-HI$169,72-HI$169+SwaptionMonthsToGo+SwaptionShift))/SQRT(SUM(INDEX($FK365:$ID365,1+SwaptionShift):INDEX($FK365:$ID365,SwaptionMonthsToGo+SwaptionShift))*SUM(INDEX($FK$325:$ID$396,HI$169,1+SwaptionShift):INDEX($FK$325:$ID$396,HI$169,SwaptionMonthsToGo+SwaptionShift))))))</f>
        <v/>
      </c>
      <c r="HJ210" s="150" t="str">
        <f aca="false">IF(OR(HJ$169&lt;SwaptionFirstMonthPosition+1,$FJ210&lt;SwaptionFirstMonthPosition+1,HJ$169&gt;SwaptionFirstMonthPosition+SwaptionNumOfMonths+1,$FJ210&gt;SwaptionFirstMonthPosition+SwaptionNumOfMonths+1),"",IF($FJ210=HJ$169,1,IF($FJ210&lt;HJ$169,INDEX($FK$170:$ID$241,HJ$169,$FJ210),SUMPRODUCT(INDEX($FK$325:$ID$396,HJ$169,1+SwaptionShift):INDEX($FK$325:$ID$396,HJ$169,SwaptionMonthsToGo+SwaptionShift),INDEX($FK$245:$ID$316,$FJ210-HJ$169,73-HJ$169+SwaptionShift):INDEX($FK$245:$ID$316,$FJ210-HJ$169,72-HJ$169+SwaptionMonthsToGo+SwaptionShift))/SQRT(SUM(INDEX($FK365:$ID365,1+SwaptionShift):INDEX($FK365:$ID365,SwaptionMonthsToGo+SwaptionShift))*SUM(INDEX($FK$325:$ID$396,HJ$169,1+SwaptionShift):INDEX($FK$325:$ID$396,HJ$169,SwaptionMonthsToGo+SwaptionShift))))))</f>
        <v/>
      </c>
      <c r="HK210" s="150" t="str">
        <f aca="false">IF(OR(HK$169&lt;SwaptionFirstMonthPosition+1,$FJ210&lt;SwaptionFirstMonthPosition+1,HK$169&gt;SwaptionFirstMonthPosition+SwaptionNumOfMonths+1,$FJ210&gt;SwaptionFirstMonthPosition+SwaptionNumOfMonths+1),"",IF($FJ210=HK$169,1,IF($FJ210&lt;HK$169,INDEX($FK$170:$ID$241,HK$169,$FJ210),SUMPRODUCT(INDEX($FK$325:$ID$396,HK$169,1+SwaptionShift):INDEX($FK$325:$ID$396,HK$169,SwaptionMonthsToGo+SwaptionShift),INDEX($FK$245:$ID$316,$FJ210-HK$169,73-HK$169+SwaptionShift):INDEX($FK$245:$ID$316,$FJ210-HK$169,72-HK$169+SwaptionMonthsToGo+SwaptionShift))/SQRT(SUM(INDEX($FK365:$ID365,1+SwaptionShift):INDEX($FK365:$ID365,SwaptionMonthsToGo+SwaptionShift))*SUM(INDEX($FK$325:$ID$396,HK$169,1+SwaptionShift):INDEX($FK$325:$ID$396,HK$169,SwaptionMonthsToGo+SwaptionShift))))))</f>
        <v/>
      </c>
      <c r="HL210" s="150" t="str">
        <f aca="false">IF(OR(HL$169&lt;SwaptionFirstMonthPosition+1,$FJ210&lt;SwaptionFirstMonthPosition+1,HL$169&gt;SwaptionFirstMonthPosition+SwaptionNumOfMonths+1,$FJ210&gt;SwaptionFirstMonthPosition+SwaptionNumOfMonths+1),"",IF($FJ210=HL$169,1,IF($FJ210&lt;HL$169,INDEX($FK$170:$ID$241,HL$169,$FJ210),SUMPRODUCT(INDEX($FK$325:$ID$396,HL$169,1+SwaptionShift):INDEX($FK$325:$ID$396,HL$169,SwaptionMonthsToGo+SwaptionShift),INDEX($FK$245:$ID$316,$FJ210-HL$169,73-HL$169+SwaptionShift):INDEX($FK$245:$ID$316,$FJ210-HL$169,72-HL$169+SwaptionMonthsToGo+SwaptionShift))/SQRT(SUM(INDEX($FK365:$ID365,1+SwaptionShift):INDEX($FK365:$ID365,SwaptionMonthsToGo+SwaptionShift))*SUM(INDEX($FK$325:$ID$396,HL$169,1+SwaptionShift):INDEX($FK$325:$ID$396,HL$169,SwaptionMonthsToGo+SwaptionShift))))))</f>
        <v/>
      </c>
      <c r="HM210" s="150" t="str">
        <f aca="false">IF(OR(HM$169&lt;SwaptionFirstMonthPosition+1,$FJ210&lt;SwaptionFirstMonthPosition+1,HM$169&gt;SwaptionFirstMonthPosition+SwaptionNumOfMonths+1,$FJ210&gt;SwaptionFirstMonthPosition+SwaptionNumOfMonths+1),"",IF($FJ210=HM$169,1,IF($FJ210&lt;HM$169,INDEX($FK$170:$ID$241,HM$169,$FJ210),SUMPRODUCT(INDEX($FK$325:$ID$396,HM$169,1+SwaptionShift):INDEX($FK$325:$ID$396,HM$169,SwaptionMonthsToGo+SwaptionShift),INDEX($FK$245:$ID$316,$FJ210-HM$169,73-HM$169+SwaptionShift):INDEX($FK$245:$ID$316,$FJ210-HM$169,72-HM$169+SwaptionMonthsToGo+SwaptionShift))/SQRT(SUM(INDEX($FK365:$ID365,1+SwaptionShift):INDEX($FK365:$ID365,SwaptionMonthsToGo+SwaptionShift))*SUM(INDEX($FK$325:$ID$396,HM$169,1+SwaptionShift):INDEX($FK$325:$ID$396,HM$169,SwaptionMonthsToGo+SwaptionShift))))))</f>
        <v/>
      </c>
      <c r="HN210" s="150" t="str">
        <f aca="false">IF(OR(HN$169&lt;SwaptionFirstMonthPosition+1,$FJ210&lt;SwaptionFirstMonthPosition+1,HN$169&gt;SwaptionFirstMonthPosition+SwaptionNumOfMonths+1,$FJ210&gt;SwaptionFirstMonthPosition+SwaptionNumOfMonths+1),"",IF($FJ210=HN$169,1,IF($FJ210&lt;HN$169,INDEX($FK$170:$ID$241,HN$169,$FJ210),SUMPRODUCT(INDEX($FK$325:$ID$396,HN$169,1+SwaptionShift):INDEX($FK$325:$ID$396,HN$169,SwaptionMonthsToGo+SwaptionShift),INDEX($FK$245:$ID$316,$FJ210-HN$169,73-HN$169+SwaptionShift):INDEX($FK$245:$ID$316,$FJ210-HN$169,72-HN$169+SwaptionMonthsToGo+SwaptionShift))/SQRT(SUM(INDEX($FK365:$ID365,1+SwaptionShift):INDEX($FK365:$ID365,SwaptionMonthsToGo+SwaptionShift))*SUM(INDEX($FK$325:$ID$396,HN$169,1+SwaptionShift):INDEX($FK$325:$ID$396,HN$169,SwaptionMonthsToGo+SwaptionShift))))))</f>
        <v/>
      </c>
      <c r="HO210" s="150" t="str">
        <f aca="false">IF(OR(HO$169&lt;SwaptionFirstMonthPosition+1,$FJ210&lt;SwaptionFirstMonthPosition+1,HO$169&gt;SwaptionFirstMonthPosition+SwaptionNumOfMonths+1,$FJ210&gt;SwaptionFirstMonthPosition+SwaptionNumOfMonths+1),"",IF($FJ210=HO$169,1,IF($FJ210&lt;HO$169,INDEX($FK$170:$ID$241,HO$169,$FJ210),SUMPRODUCT(INDEX($FK$325:$ID$396,HO$169,1+SwaptionShift):INDEX($FK$325:$ID$396,HO$169,SwaptionMonthsToGo+SwaptionShift),INDEX($FK$245:$ID$316,$FJ210-HO$169,73-HO$169+SwaptionShift):INDEX($FK$245:$ID$316,$FJ210-HO$169,72-HO$169+SwaptionMonthsToGo+SwaptionShift))/SQRT(SUM(INDEX($FK365:$ID365,1+SwaptionShift):INDEX($FK365:$ID365,SwaptionMonthsToGo+SwaptionShift))*SUM(INDEX($FK$325:$ID$396,HO$169,1+SwaptionShift):INDEX($FK$325:$ID$396,HO$169,SwaptionMonthsToGo+SwaptionShift))))))</f>
        <v/>
      </c>
      <c r="HP210" s="150" t="str">
        <f aca="false">IF(OR(HP$169&lt;SwaptionFirstMonthPosition+1,$FJ210&lt;SwaptionFirstMonthPosition+1,HP$169&gt;SwaptionFirstMonthPosition+SwaptionNumOfMonths+1,$FJ210&gt;SwaptionFirstMonthPosition+SwaptionNumOfMonths+1),"",IF($FJ210=HP$169,1,IF($FJ210&lt;HP$169,INDEX($FK$170:$ID$241,HP$169,$FJ210),SUMPRODUCT(INDEX($FK$325:$ID$396,HP$169,1+SwaptionShift):INDEX($FK$325:$ID$396,HP$169,SwaptionMonthsToGo+SwaptionShift),INDEX($FK$245:$ID$316,$FJ210-HP$169,73-HP$169+SwaptionShift):INDEX($FK$245:$ID$316,$FJ210-HP$169,72-HP$169+SwaptionMonthsToGo+SwaptionShift))/SQRT(SUM(INDEX($FK365:$ID365,1+SwaptionShift):INDEX($FK365:$ID365,SwaptionMonthsToGo+SwaptionShift))*SUM(INDEX($FK$325:$ID$396,HP$169,1+SwaptionShift):INDEX($FK$325:$ID$396,HP$169,SwaptionMonthsToGo+SwaptionShift))))))</f>
        <v/>
      </c>
      <c r="HQ210" s="150" t="str">
        <f aca="false">IF(OR(HQ$169&lt;SwaptionFirstMonthPosition+1,$FJ210&lt;SwaptionFirstMonthPosition+1,HQ$169&gt;SwaptionFirstMonthPosition+SwaptionNumOfMonths+1,$FJ210&gt;SwaptionFirstMonthPosition+SwaptionNumOfMonths+1),"",IF($FJ210=HQ$169,1,IF($FJ210&lt;HQ$169,INDEX($FK$170:$ID$241,HQ$169,$FJ210),SUMPRODUCT(INDEX($FK$325:$ID$396,HQ$169,1+SwaptionShift):INDEX($FK$325:$ID$396,HQ$169,SwaptionMonthsToGo+SwaptionShift),INDEX($FK$245:$ID$316,$FJ210-HQ$169,73-HQ$169+SwaptionShift):INDEX($FK$245:$ID$316,$FJ210-HQ$169,72-HQ$169+SwaptionMonthsToGo+SwaptionShift))/SQRT(SUM(INDEX($FK365:$ID365,1+SwaptionShift):INDEX($FK365:$ID365,SwaptionMonthsToGo+SwaptionShift))*SUM(INDEX($FK$325:$ID$396,HQ$169,1+SwaptionShift):INDEX($FK$325:$ID$396,HQ$169,SwaptionMonthsToGo+SwaptionShift))))))</f>
        <v/>
      </c>
      <c r="HR210" s="150" t="str">
        <f aca="false">IF(OR(HR$169&lt;SwaptionFirstMonthPosition+1,$FJ210&lt;SwaptionFirstMonthPosition+1,HR$169&gt;SwaptionFirstMonthPosition+SwaptionNumOfMonths+1,$FJ210&gt;SwaptionFirstMonthPosition+SwaptionNumOfMonths+1),"",IF($FJ210=HR$169,1,IF($FJ210&lt;HR$169,INDEX($FK$170:$ID$241,HR$169,$FJ210),SUMPRODUCT(INDEX($FK$325:$ID$396,HR$169,1+SwaptionShift):INDEX($FK$325:$ID$396,HR$169,SwaptionMonthsToGo+SwaptionShift),INDEX($FK$245:$ID$316,$FJ210-HR$169,73-HR$169+SwaptionShift):INDEX($FK$245:$ID$316,$FJ210-HR$169,72-HR$169+SwaptionMonthsToGo+SwaptionShift))/SQRT(SUM(INDEX($FK365:$ID365,1+SwaptionShift):INDEX($FK365:$ID365,SwaptionMonthsToGo+SwaptionShift))*SUM(INDEX($FK$325:$ID$396,HR$169,1+SwaptionShift):INDEX($FK$325:$ID$396,HR$169,SwaptionMonthsToGo+SwaptionShift))))))</f>
        <v/>
      </c>
      <c r="HS210" s="150" t="str">
        <f aca="false">IF(OR(HS$169&lt;SwaptionFirstMonthPosition+1,$FJ210&lt;SwaptionFirstMonthPosition+1,HS$169&gt;SwaptionFirstMonthPosition+SwaptionNumOfMonths+1,$FJ210&gt;SwaptionFirstMonthPosition+SwaptionNumOfMonths+1),"",IF($FJ210=HS$169,1,IF($FJ210&lt;HS$169,INDEX($FK$170:$ID$241,HS$169,$FJ210),SUMPRODUCT(INDEX($FK$325:$ID$396,HS$169,1+SwaptionShift):INDEX($FK$325:$ID$396,HS$169,SwaptionMonthsToGo+SwaptionShift),INDEX($FK$245:$ID$316,$FJ210-HS$169,73-HS$169+SwaptionShift):INDEX($FK$245:$ID$316,$FJ210-HS$169,72-HS$169+SwaptionMonthsToGo+SwaptionShift))/SQRT(SUM(INDEX($FK365:$ID365,1+SwaptionShift):INDEX($FK365:$ID365,SwaptionMonthsToGo+SwaptionShift))*SUM(INDEX($FK$325:$ID$396,HS$169,1+SwaptionShift):INDEX($FK$325:$ID$396,HS$169,SwaptionMonthsToGo+SwaptionShift))))))</f>
        <v/>
      </c>
      <c r="HT210" s="150" t="str">
        <f aca="false">IF(OR(HT$169&lt;SwaptionFirstMonthPosition+1,$FJ210&lt;SwaptionFirstMonthPosition+1,HT$169&gt;SwaptionFirstMonthPosition+SwaptionNumOfMonths+1,$FJ210&gt;SwaptionFirstMonthPosition+SwaptionNumOfMonths+1),"",IF($FJ210=HT$169,1,IF($FJ210&lt;HT$169,INDEX($FK$170:$ID$241,HT$169,$FJ210),SUMPRODUCT(INDEX($FK$325:$ID$396,HT$169,1+SwaptionShift):INDEX($FK$325:$ID$396,HT$169,SwaptionMonthsToGo+SwaptionShift),INDEX($FK$245:$ID$316,$FJ210-HT$169,73-HT$169+SwaptionShift):INDEX($FK$245:$ID$316,$FJ210-HT$169,72-HT$169+SwaptionMonthsToGo+SwaptionShift))/SQRT(SUM(INDEX($FK365:$ID365,1+SwaptionShift):INDEX($FK365:$ID365,SwaptionMonthsToGo+SwaptionShift))*SUM(INDEX($FK$325:$ID$396,HT$169,1+SwaptionShift):INDEX($FK$325:$ID$396,HT$169,SwaptionMonthsToGo+SwaptionShift))))))</f>
        <v/>
      </c>
      <c r="HU210" s="150" t="str">
        <f aca="false">IF(OR(HU$169&lt;SwaptionFirstMonthPosition+1,$FJ210&lt;SwaptionFirstMonthPosition+1,HU$169&gt;SwaptionFirstMonthPosition+SwaptionNumOfMonths+1,$FJ210&gt;SwaptionFirstMonthPosition+SwaptionNumOfMonths+1),"",IF($FJ210=HU$169,1,IF($FJ210&lt;HU$169,INDEX($FK$170:$ID$241,HU$169,$FJ210),SUMPRODUCT(INDEX($FK$325:$ID$396,HU$169,1+SwaptionShift):INDEX($FK$325:$ID$396,HU$169,SwaptionMonthsToGo+SwaptionShift),INDEX($FK$245:$ID$316,$FJ210-HU$169,73-HU$169+SwaptionShift):INDEX($FK$245:$ID$316,$FJ210-HU$169,72-HU$169+SwaptionMonthsToGo+SwaptionShift))/SQRT(SUM(INDEX($FK365:$ID365,1+SwaptionShift):INDEX($FK365:$ID365,SwaptionMonthsToGo+SwaptionShift))*SUM(INDEX($FK$325:$ID$396,HU$169,1+SwaptionShift):INDEX($FK$325:$ID$396,HU$169,SwaptionMonthsToGo+SwaptionShift))))))</f>
        <v/>
      </c>
      <c r="HV210" s="150" t="str">
        <f aca="false">IF(OR(HV$169&lt;SwaptionFirstMonthPosition+1,$FJ210&lt;SwaptionFirstMonthPosition+1,HV$169&gt;SwaptionFirstMonthPosition+SwaptionNumOfMonths+1,$FJ210&gt;SwaptionFirstMonthPosition+SwaptionNumOfMonths+1),"",IF($FJ210=HV$169,1,IF($FJ210&lt;HV$169,INDEX($FK$170:$ID$241,HV$169,$FJ210),SUMPRODUCT(INDEX($FK$325:$ID$396,HV$169,1+SwaptionShift):INDEX($FK$325:$ID$396,HV$169,SwaptionMonthsToGo+SwaptionShift),INDEX($FK$245:$ID$316,$FJ210-HV$169,73-HV$169+SwaptionShift):INDEX($FK$245:$ID$316,$FJ210-HV$169,72-HV$169+SwaptionMonthsToGo+SwaptionShift))/SQRT(SUM(INDEX($FK365:$ID365,1+SwaptionShift):INDEX($FK365:$ID365,SwaptionMonthsToGo+SwaptionShift))*SUM(INDEX($FK$325:$ID$396,HV$169,1+SwaptionShift):INDEX($FK$325:$ID$396,HV$169,SwaptionMonthsToGo+SwaptionShift))))))</f>
        <v/>
      </c>
      <c r="HW210" s="150" t="str">
        <f aca="false">IF(OR(HW$169&lt;SwaptionFirstMonthPosition+1,$FJ210&lt;SwaptionFirstMonthPosition+1,HW$169&gt;SwaptionFirstMonthPosition+SwaptionNumOfMonths+1,$FJ210&gt;SwaptionFirstMonthPosition+SwaptionNumOfMonths+1),"",IF($FJ210=HW$169,1,IF($FJ210&lt;HW$169,INDEX($FK$170:$ID$241,HW$169,$FJ210),SUMPRODUCT(INDEX($FK$325:$ID$396,HW$169,1+SwaptionShift):INDEX($FK$325:$ID$396,HW$169,SwaptionMonthsToGo+SwaptionShift),INDEX($FK$245:$ID$316,$FJ210-HW$169,73-HW$169+SwaptionShift):INDEX($FK$245:$ID$316,$FJ210-HW$169,72-HW$169+SwaptionMonthsToGo+SwaptionShift))/SQRT(SUM(INDEX($FK365:$ID365,1+SwaptionShift):INDEX($FK365:$ID365,SwaptionMonthsToGo+SwaptionShift))*SUM(INDEX($FK$325:$ID$396,HW$169,1+SwaptionShift):INDEX($FK$325:$ID$396,HW$169,SwaptionMonthsToGo+SwaptionShift))))))</f>
        <v/>
      </c>
      <c r="HX210" s="150" t="str">
        <f aca="false">IF(OR(HX$169&lt;SwaptionFirstMonthPosition+1,$FJ210&lt;SwaptionFirstMonthPosition+1,HX$169&gt;SwaptionFirstMonthPosition+SwaptionNumOfMonths+1,$FJ210&gt;SwaptionFirstMonthPosition+SwaptionNumOfMonths+1),"",IF($FJ210=HX$169,1,IF($FJ210&lt;HX$169,INDEX($FK$170:$ID$241,HX$169,$FJ210),SUMPRODUCT(INDEX($FK$325:$ID$396,HX$169,1+SwaptionShift):INDEX($FK$325:$ID$396,HX$169,SwaptionMonthsToGo+SwaptionShift),INDEX($FK$245:$ID$316,$FJ210-HX$169,73-HX$169+SwaptionShift):INDEX($FK$245:$ID$316,$FJ210-HX$169,72-HX$169+SwaptionMonthsToGo+SwaptionShift))/SQRT(SUM(INDEX($FK365:$ID365,1+SwaptionShift):INDEX($FK365:$ID365,SwaptionMonthsToGo+SwaptionShift))*SUM(INDEX($FK$325:$ID$396,HX$169,1+SwaptionShift):INDEX($FK$325:$ID$396,HX$169,SwaptionMonthsToGo+SwaptionShift))))))</f>
        <v/>
      </c>
      <c r="HY210" s="150" t="str">
        <f aca="false">IF(OR(HY$169&lt;SwaptionFirstMonthPosition+1,$FJ210&lt;SwaptionFirstMonthPosition+1,HY$169&gt;SwaptionFirstMonthPosition+SwaptionNumOfMonths+1,$FJ210&gt;SwaptionFirstMonthPosition+SwaptionNumOfMonths+1),"",IF($FJ210=HY$169,1,IF($FJ210&lt;HY$169,INDEX($FK$170:$ID$241,HY$169,$FJ210),SUMPRODUCT(INDEX($FK$325:$ID$396,HY$169,1+SwaptionShift):INDEX($FK$325:$ID$396,HY$169,SwaptionMonthsToGo+SwaptionShift),INDEX($FK$245:$ID$316,$FJ210-HY$169,73-HY$169+SwaptionShift):INDEX($FK$245:$ID$316,$FJ210-HY$169,72-HY$169+SwaptionMonthsToGo+SwaptionShift))/SQRT(SUM(INDEX($FK365:$ID365,1+SwaptionShift):INDEX($FK365:$ID365,SwaptionMonthsToGo+SwaptionShift))*SUM(INDEX($FK$325:$ID$396,HY$169,1+SwaptionShift):INDEX($FK$325:$ID$396,HY$169,SwaptionMonthsToGo+SwaptionShift))))))</f>
        <v/>
      </c>
      <c r="HZ210" s="150" t="str">
        <f aca="false">IF(OR(HZ$169&lt;SwaptionFirstMonthPosition+1,$FJ210&lt;SwaptionFirstMonthPosition+1,HZ$169&gt;SwaptionFirstMonthPosition+SwaptionNumOfMonths+1,$FJ210&gt;SwaptionFirstMonthPosition+SwaptionNumOfMonths+1),"",IF($FJ210=HZ$169,1,IF($FJ210&lt;HZ$169,INDEX($FK$170:$ID$241,HZ$169,$FJ210),SUMPRODUCT(INDEX($FK$325:$ID$396,HZ$169,1+SwaptionShift):INDEX($FK$325:$ID$396,HZ$169,SwaptionMonthsToGo+SwaptionShift),INDEX($FK$245:$ID$316,$FJ210-HZ$169,73-HZ$169+SwaptionShift):INDEX($FK$245:$ID$316,$FJ210-HZ$169,72-HZ$169+SwaptionMonthsToGo+SwaptionShift))/SQRT(SUM(INDEX($FK365:$ID365,1+SwaptionShift):INDEX($FK365:$ID365,SwaptionMonthsToGo+SwaptionShift))*SUM(INDEX($FK$325:$ID$396,HZ$169,1+SwaptionShift):INDEX($FK$325:$ID$396,HZ$169,SwaptionMonthsToGo+SwaptionShift))))))</f>
        <v/>
      </c>
      <c r="IA210" s="150" t="str">
        <f aca="false">IF(OR(IA$169&lt;SwaptionFirstMonthPosition+1,$FJ210&lt;SwaptionFirstMonthPosition+1,IA$169&gt;SwaptionFirstMonthPosition+SwaptionNumOfMonths+1,$FJ210&gt;SwaptionFirstMonthPosition+SwaptionNumOfMonths+1),"",IF($FJ210=IA$169,1,IF($FJ210&lt;IA$169,INDEX($FK$170:$ID$241,IA$169,$FJ210),SUMPRODUCT(INDEX($FK$325:$ID$396,IA$169,1+SwaptionShift):INDEX($FK$325:$ID$396,IA$169,SwaptionMonthsToGo+SwaptionShift),INDEX($FK$245:$ID$316,$FJ210-IA$169,73-IA$169+SwaptionShift):INDEX($FK$245:$ID$316,$FJ210-IA$169,72-IA$169+SwaptionMonthsToGo+SwaptionShift))/SQRT(SUM(INDEX($FK365:$ID365,1+SwaptionShift):INDEX($FK365:$ID365,SwaptionMonthsToGo+SwaptionShift))*SUM(INDEX($FK$325:$ID$396,IA$169,1+SwaptionShift):INDEX($FK$325:$ID$396,IA$169,SwaptionMonthsToGo+SwaptionShift))))))</f>
        <v/>
      </c>
      <c r="IB210" s="150" t="str">
        <f aca="false">IF(OR(IB$169&lt;SwaptionFirstMonthPosition+1,$FJ210&lt;SwaptionFirstMonthPosition+1,IB$169&gt;SwaptionFirstMonthPosition+SwaptionNumOfMonths+1,$FJ210&gt;SwaptionFirstMonthPosition+SwaptionNumOfMonths+1),"",IF($FJ210=IB$169,1,IF($FJ210&lt;IB$169,INDEX($FK$170:$ID$241,IB$169,$FJ210),SUMPRODUCT(INDEX($FK$325:$ID$396,IB$169,1+SwaptionShift):INDEX($FK$325:$ID$396,IB$169,SwaptionMonthsToGo+SwaptionShift),INDEX($FK$245:$ID$316,$FJ210-IB$169,73-IB$169+SwaptionShift):INDEX($FK$245:$ID$316,$FJ210-IB$169,72-IB$169+SwaptionMonthsToGo+SwaptionShift))/SQRT(SUM(INDEX($FK365:$ID365,1+SwaptionShift):INDEX($FK365:$ID365,SwaptionMonthsToGo+SwaptionShift))*SUM(INDEX($FK$325:$ID$396,IB$169,1+SwaptionShift):INDEX($FK$325:$ID$396,IB$169,SwaptionMonthsToGo+SwaptionShift))))))</f>
        <v/>
      </c>
      <c r="IC210" s="150" t="str">
        <f aca="false">IF(OR(IC$169&lt;SwaptionFirstMonthPosition+1,$FJ210&lt;SwaptionFirstMonthPosition+1,IC$169&gt;SwaptionFirstMonthPosition+SwaptionNumOfMonths+1,$FJ210&gt;SwaptionFirstMonthPosition+SwaptionNumOfMonths+1),"",IF($FJ210=IC$169,1,IF($FJ210&lt;IC$169,INDEX($FK$170:$ID$241,IC$169,$FJ210),SUMPRODUCT(INDEX($FK$325:$ID$396,IC$169,1+SwaptionShift):INDEX($FK$325:$ID$396,IC$169,SwaptionMonthsToGo+SwaptionShift),INDEX($FK$245:$ID$316,$FJ210-IC$169,73-IC$169+SwaptionShift):INDEX($FK$245:$ID$316,$FJ210-IC$169,72-IC$169+SwaptionMonthsToGo+SwaptionShift))/SQRT(SUM(INDEX($FK365:$ID365,1+SwaptionShift):INDEX($FK365:$ID365,SwaptionMonthsToGo+SwaptionShift))*SUM(INDEX($FK$325:$ID$396,IC$169,1+SwaptionShift):INDEX($FK$325:$ID$396,IC$169,SwaptionMonthsToGo+SwaptionShift))))))</f>
        <v/>
      </c>
      <c r="ID210" s="572" t="str">
        <f aca="false">IF(OR(ID$169&lt;SwaptionFirstMonthPosition+1,$FJ210&lt;SwaptionFirstMonthPosition+1,ID$169&gt;SwaptionFirstMonthPosition+SwaptionNumOfMonths+1,$FJ210&gt;SwaptionFirstMonthPosition+SwaptionNumOfMonths+1),"",IF($FJ210=ID$169,1,IF($FJ210&lt;ID$169,INDEX($FK$170:$ID$241,ID$169,$FJ210),SUMPRODUCT(INDEX($FK$325:$ID$396,ID$169,1+SwaptionShift):INDEX($FK$325:$ID$396,ID$169,SwaptionMonthsToGo+SwaptionShift),INDEX($FK$245:$ID$316,$FJ210-ID$169,73-ID$169+SwaptionShift):INDEX($FK$245:$ID$316,$FJ210-ID$169,72-ID$169+SwaptionMonthsToGo+SwaptionShift))/SQRT(SUM(INDEX($FK365:$ID365,1+SwaptionShift):INDEX($FK365:$ID365,SwaptionMonthsToGo+SwaptionShift))*SUM(INDEX($FK$325:$ID$396,ID$169,1+SwaptionShift):INDEX($FK$325:$ID$396,ID$169,SwaptionMonthsToGo+SwaptionShift))))))</f>
        <v/>
      </c>
      <c r="IE210" s="129"/>
    </row>
    <row r="211" customFormat="false" ht="12.75" hidden="false" customHeight="false" outlineLevel="0" collapsed="false">
      <c r="H211" s="219" t="n">
        <f aca="false">VLOOKUP(I211,$EJ$20:$EL$54,3)</f>
        <v>0</v>
      </c>
      <c r="I211" s="511" t="n">
        <f aca="false">EOMONTH(I210,0)+1</f>
        <v>42583</v>
      </c>
      <c r="J211" s="512"/>
      <c r="K211" s="513" t="s">
        <v>280</v>
      </c>
      <c r="L211" s="514" t="n">
        <f aca="false">IF(ISNUMBER(K211),J211+K211/100,IF(K211="extra",L210+VLOOKUP(BF211,PriceSpreadTable,2)/12,IF(K211="inter",interpolateprices($K$19:$L$200,ROW(K211)-ROW(FirstPricingMonth)+1),interpolatechanges($J$19:$K$200,ROW(K211)-ROW(FirstPricingMonth)+1))))</f>
        <v>4.3125</v>
      </c>
      <c r="M211" s="515"/>
      <c r="N211" s="516" t="n">
        <v>0</v>
      </c>
      <c r="O211" s="515" t="n">
        <f aca="false">M211+N211</f>
        <v>0</v>
      </c>
      <c r="P211" s="512"/>
      <c r="Q211" s="513" t="s">
        <v>280</v>
      </c>
      <c r="R211" s="512" t="e">
        <f aca="false">IF(ISNUMBER(Q211),P211+Q211/100,IF(Q211="extra",(Z209*AL209-R210*AM209)/AN209,IF(Q211="inter",interpolateprices($Q$19:$R$260,ROW(Q211)-ROW(FirstPricingMonth)+1),interpolatechanges($P$19:$Q$260,ROW(Q211)-ROW(FirstPricingMonth)+1))))</f>
        <v>#VALUE!</v>
      </c>
      <c r="S211" s="597" t="n">
        <f aca="false">S$19+(S210-S$19)*S$18</f>
        <v>0.36</v>
      </c>
      <c r="T211" s="575" t="n">
        <f aca="false">SQRT((1-(1-T210^2/U210)*T$18)*U211)</f>
        <v>0.999999999999988</v>
      </c>
      <c r="U211" s="576" t="n">
        <f aca="false">1-(1-U210)*U$18</f>
        <v>1</v>
      </c>
      <c r="V211" s="521" t="n">
        <v>0</v>
      </c>
      <c r="W211" s="577" t="n">
        <f aca="false">(J212*AJ211+J213*AK211)/AI211</f>
        <v>0</v>
      </c>
      <c r="X211" s="578" t="n">
        <f aca="false">(L212*AJ211+L213*AK211)/AI211</f>
        <v>4.36304347826087</v>
      </c>
      <c r="Y211" s="579" t="n">
        <f aca="false">IF(Q213="extra",W211-AA211,(P212*AM211+P213*AN211)/AL211)</f>
        <v>-1.2669</v>
      </c>
      <c r="Z211" s="579" t="n">
        <f aca="false">IF(Q213="extra",X211-AB211,(R212*AM211+R213*AN211)/AL211)</f>
        <v>3.09614347826087</v>
      </c>
      <c r="AA211" s="523" t="n">
        <f aca="false">IF(Q213="extra",INDEX(BrentSeasonalityTable,INT((BG211-1)/3)+1)*VLOOKUP(MAX(BF211,$AB$4),PriceSpreadTable,3),W211-Y211)</f>
        <v>1.2669</v>
      </c>
      <c r="AB211" s="524" t="n">
        <f aca="false">IF(Q213="extra",INDEX(BrentSeasonalityTable,INT((BG211-1)/3)+1)*VLOOKUP(MAX(BF211,$AB$4),PriceSpreadTable,3),X211-Z211)</f>
        <v>1.2669</v>
      </c>
      <c r="AC211" s="646" t="n">
        <v>42571</v>
      </c>
      <c r="AD211" s="646" t="n">
        <v>42567</v>
      </c>
      <c r="AE211" s="646" t="n">
        <v>42566</v>
      </c>
      <c r="AF211" s="646" t="n">
        <v>42562</v>
      </c>
      <c r="AG211" s="438" t="s">
        <v>278</v>
      </c>
      <c r="AH211" s="439" t="s">
        <v>278</v>
      </c>
      <c r="AI211" s="528" t="n">
        <v>23</v>
      </c>
      <c r="AJ211" s="529" t="n">
        <v>15</v>
      </c>
      <c r="AK211" s="529" t="n">
        <v>8</v>
      </c>
      <c r="AL211" s="530" t="n">
        <v>23</v>
      </c>
      <c r="AM211" s="529" t="n">
        <v>10</v>
      </c>
      <c r="AN211" s="531" t="n">
        <v>13</v>
      </c>
      <c r="AO211" s="532"/>
      <c r="AP211" s="465" t="n">
        <f aca="false">(1+AO211/2)^(-2*BL211)</f>
        <v>1</v>
      </c>
      <c r="AQ211" s="532"/>
      <c r="AR211" s="465" t="n">
        <f aca="false">(1+AQ211/2)^(-2*BH211/365.25)</f>
        <v>1</v>
      </c>
      <c r="AS211" s="580" t="n">
        <f aca="false">(O212*AJ211+O213*AK211)/AI211</f>
        <v>0</v>
      </c>
      <c r="AT211" s="468" t="n">
        <f aca="false">O211*VLOOKUP(BF211,BrentVolTable,2)+VLOOKUP(BF211,BrentVolTable,3)</f>
        <v>0</v>
      </c>
      <c r="AU211" s="468" t="n">
        <f aca="false">(AT212*AM211+AT213*AN211)/AL211</f>
        <v>0</v>
      </c>
      <c r="AV211" s="595" t="n">
        <f aca="false">SQRT(MAX(0.000000000001,(O211^2*BH211-S211^2*(BH211-BH210))/BH210))</f>
        <v>0.0338759456404428</v>
      </c>
      <c r="AW211" s="451" t="n">
        <f aca="false">IF($I211-DateToday+15&gt;=$T$8,"",IF($I211-DateToday+15&lt;$T$5,1,MATCH($I211-DateToday+15,$T$5:$T$8)))</f>
        <v>1</v>
      </c>
      <c r="AX211" s="468" t="n">
        <f aca="false">IF($AW211="",AX210^2/AX209,INDEX(U$5:U$8,$AW211)^((INDEX($T$5:$T$8,$AW211+1)-($I211-DateToday+15))/(INDEX($T$5:$T$8,$AW211+1)-INDEX($T$5:$T$8,$AW211)))/INDEX(U$5:U$8,$AW211+1)^((INDEX($T$5:$T$8,$AW211)-($I211-DateToday+15))/(INDEX($T$5:$T$8,$AW211+1)-INDEX($T$5:$T$8,$AW211))))</f>
        <v>0.211537654354668</v>
      </c>
      <c r="AY211" s="468" t="n">
        <f aca="false">IF($AW211="",AY210^2/AY209,INDEX(V$5:V$8,$AW211)^((INDEX($T$5:$T$8,$AW211+1)-($I211-DateToday+15))/(INDEX($T$5:$T$8,$AW211+1)-INDEX($T$5:$T$8,$AW211)))/INDEX(V$5:V$8,$AW211+1)^((INDEX($T$5:$T$8,$AW211)-($I211-DateToday+15))/(INDEX($T$5:$T$8,$AW211+1)-INDEX($T$5:$T$8,$AW211))))</f>
        <v>1.6706064252852</v>
      </c>
      <c r="AZ211" s="468" t="n">
        <f aca="false">IF($AW211="",AZ210^2/AZ209,INDEX(W$5:W$8,$AW211)^((INDEX($T$5:$T$8,$AW211+1)-($I211-DateToday+15))/(INDEX($T$5:$T$8,$AW211+1)-INDEX($T$5:$T$8,$AW211)))/INDEX(W$5:W$8,$AW211+1)^((INDEX($T$5:$T$8,$AW211)-($I211-DateToday+15))/(INDEX($T$5:$T$8,$AW211+1)-INDEX($T$5:$T$8,$AW211))))</f>
        <v>105.021342455883</v>
      </c>
      <c r="BA211" s="468" t="n">
        <f aca="false">IF($AW211="",BA210^2/BA209,INDEX(X$5:X$8,$AW211)^((INDEX($T$5:$T$8,$AW211+1)-($I211-DateToday+15))/(INDEX($T$5:$T$8,$AW211+1)-INDEX($T$5:$T$8,$AW211)))/INDEX(X$5:X$8,$AW211+1)^((INDEX($T$5:$T$8,$AW211)-($I211-DateToday+15))/(INDEX($T$5:$T$8,$AW211+1)-INDEX($T$5:$T$8,$AW211))))</f>
        <v>231.416337919746</v>
      </c>
      <c r="BB211" s="468" t="n">
        <f aca="false">IF($AW211="",BB210^2/BB209,INDEX(Y$5:Y$8,$AW211)^((INDEX($T$5:$T$8,$AW211+1)-($I211-DateToday+15))/(INDEX($T$5:$T$8,$AW211+1)-INDEX($T$5:$T$8,$AW211)))/INDEX(Y$5:Y$8,$AW211+1)^((INDEX($T$5:$T$8,$AW211)-($I211-DateToday+15))/(INDEX($T$5:$T$8,$AW211+1)-INDEX($T$5:$T$8,$AW211))))</f>
        <v>965.783602775322</v>
      </c>
      <c r="BC211" s="468" t="n">
        <f aca="false">IF($AW211="",BC210^2/BC209,INDEX(Z$5:Z$8,$AW211)^((INDEX($T$5:$T$8,$AW211+1)-($I211-DateToday+15))/(INDEX($T$5:$T$8,$AW211+1)-INDEX($T$5:$T$8,$AW211)))/INDEX(Z$5:Z$8,$AW211+1)^((INDEX($T$5:$T$8,$AW211)-($I211-DateToday+15))/(INDEX($T$5:$T$8,$AW211+1)-INDEX($T$5:$T$8,$AW211))))</f>
        <v>2332.99063080313</v>
      </c>
      <c r="BD211" s="535" t="n">
        <f aca="false">IF(OR(DateStart&gt;=I212,DateEnd&lt;I211),0,IF(VolumeOverrideFlag,V211,Volume))</f>
        <v>0</v>
      </c>
      <c r="BE211" s="536" t="n">
        <f aca="false">IF(OR(DateStart2&gt;=I212,DateEnd2&lt;I211),0,IF(VolumeOverrideFlag,V211,VolumeSwaption))</f>
        <v>0</v>
      </c>
      <c r="BF211" s="537" t="n">
        <f aca="false">YEAR(I211)</f>
        <v>2016</v>
      </c>
      <c r="BG211" s="538" t="n">
        <f aca="false">MONTH(I211)</f>
        <v>8</v>
      </c>
      <c r="BH211" s="539" t="n">
        <f aca="false">AD211-DateToday+1</f>
        <v>-3358</v>
      </c>
      <c r="BI211" s="540" t="n">
        <f aca="false">(I211-DateToday+1)/365.25</f>
        <v>-9.14989733059548</v>
      </c>
      <c r="BJ211" s="541" t="n">
        <f aca="false">BI211+(BL211-BI211)*CHOOSE(Underlying,AJ211/AI211,AM211/AL211)</f>
        <v>-9.09633068476029</v>
      </c>
      <c r="BK211" s="541" t="n">
        <f aca="false">BJ211+1/365.25</f>
        <v>-9.09359283397316</v>
      </c>
      <c r="BL211" s="541" t="n">
        <f aca="false">(I212-DateToday)/365.25</f>
        <v>-9.06776180698152</v>
      </c>
      <c r="BM211" s="542" t="e">
        <f aca="false">MAX(BI211-(BJ211-BI211)*(S212^2/O212^2-1),0)</f>
        <v>#DIV/0!</v>
      </c>
      <c r="BN211" s="541" t="e">
        <f aca="false">MAX(BL211+(BL211-BK211)*(S213^2/O213^2-1),0)</f>
        <v>#DIV/0!</v>
      </c>
      <c r="BO211" s="530" t="n">
        <f aca="false">CHOOSE(Underlying,AI211,AL211)</f>
        <v>23</v>
      </c>
      <c r="BP211" s="529" t="n">
        <f aca="false">CHOOSE(Underlying,AJ211,AM211)</f>
        <v>15</v>
      </c>
      <c r="BQ211" s="529" t="n">
        <f aca="false">CHOOSE(Underlying,AK211,AN211)</f>
        <v>8</v>
      </c>
      <c r="BR211" s="463" t="str">
        <f aca="false">IF(BD211,IF(Underlying=1,X211,Z211)+UnderlyingPriceAsian-SwapPriceCurve,"")</f>
        <v/>
      </c>
      <c r="BS211" s="463" t="str">
        <f aca="false">IF(BD211,Strike1/BR211-1,"")</f>
        <v/>
      </c>
      <c r="BT211" s="464" t="str">
        <f aca="false">IF(BD211,Strike2/BR211-1,"")</f>
        <v/>
      </c>
      <c r="BU211" s="465" t="str">
        <f aca="false">IF(BD211,IF(Underlying=1,L212,R212)+UnderlyingPriceAsian-SwapPriceCurve,"")</f>
        <v/>
      </c>
      <c r="BV211" s="465" t="str">
        <f aca="false">IF(BD211,IF(Underlying=1,L213,R213)+UnderlyingPriceAsian-SwapPriceCurve,"")</f>
        <v/>
      </c>
      <c r="BW211" s="466" t="str">
        <f aca="false">IF(BD211,IF(Underlying=1,O212,AT212),"")</f>
        <v/>
      </c>
      <c r="BX211" s="467" t="str">
        <f aca="false">IF(BD211,IF(Underlying=1,O213,AT213),"")</f>
        <v/>
      </c>
      <c r="BY211" s="466" t="str">
        <f aca="false">IF(BD211,IF(BS211&gt;0,IF(BS211&gt;0.2,BC211-BB211,IF(BS211&gt;0.1,BB211-BA211,BA211)),IF(BS211&lt;-0.2,AX211-AY211,IF(BS211&lt;-0.1,AY211-AZ211,AZ211))),"")</f>
        <v/>
      </c>
      <c r="BZ211" s="467" t="str">
        <f aca="false">IF(BD211,IF(BT211&gt;0,IF(BT211&gt;0.2,BC211-BB211,IF(BT211&gt;0.1,BB211-BA211,BA211)),IF(BT211&lt;-0.2,AX211-AY211,IF(BT211&lt;-0.1,AY211-AZ211,AZ211))),"")</f>
        <v/>
      </c>
      <c r="CA211" s="468" t="str">
        <f aca="false">IF($BD211,$BW211+IF(VolSkewFlag=1,IF(BS211&gt;0,$BA211*MIN(BS211/10%,1)+($BB211-$BA211)*MAX(0,MIN(BS211/10%-1,1))+($BC211-$BB211)*MAX(0,BS211/10%-2),$AZ211*MIN(-BS211/10%,1)+($AY211-$AZ211)*MAX(0,MIN(-BS211/10%-1,1))+($AX211-$AY211)*MAX(0,-BS211/10%-2)),0),"")</f>
        <v/>
      </c>
      <c r="CB211" s="468" t="str">
        <f aca="false">IF($BD211,$BX211+IF(VolSkewFlag=1,IF(BS211&gt;0,$BA211*MIN(BS211/10%,1)+($BB211-$BA211)*MAX(0,MIN(BS211/10%-1,1))+($BC211-$BB211)*MAX(0,BS211/10%-2),$AZ211*MIN(-BS211/10%,1)+($AY211-$AZ211)*MAX(0,MIN(-BS211/10%-1,1))+($AX211-$AY211)*MAX(0,-BS211/10%-2)),0),"")</f>
        <v/>
      </c>
      <c r="CC211" s="468" t="str">
        <f aca="false">IF($BD211,$BW211+IF(VolSkewFlag=1,IF(BT211&gt;0,$BA211*MIN(BT211/10%,1)+($BB211-$BA211)*MAX(0,MIN(BT211/10%-1,1))+($BC211-$BB211)*MAX(0,BT211/10%-2),$AZ211*MIN(-BT211/10%,1)+($AY211-$AZ211)*MAX(0,MIN(-BT211/10%-1,1))+($AX211-$AY211)*MAX(0,-BT211/10%-2)),0),"")</f>
        <v/>
      </c>
      <c r="CD211" s="468" t="str">
        <f aca="false">IF($BD211,$BX211+IF(VolSkewFlag=1,IF(BT211&gt;0,$BA211*MIN(BT211/10%,1)+($BB211-$BA211)*MAX(0,MIN(BT211/10%-1,1))+($BC211-$BB211)*MAX(0,BT211/10%-2),$AZ211*MIN(-BT211/10%,1)+($AY211-$AZ211)*MAX(0,MIN(-BT211/10%-1,1))+($AX211-$AY211)*MAX(0,-BT211/10%-2)),0),"")</f>
        <v/>
      </c>
      <c r="CE211" s="469" t="n">
        <v>1</v>
      </c>
      <c r="CF211" s="470" t="n">
        <f aca="false">IF(BD211,xCrudeAPO(BU211,BV211,CA211,CB211,S212,S213,BI211,BL211,BP211,BQ211,0,Strike1,AO211,CE211,0,BL211,IF(OptControl=4,0,1),0,1),0)</f>
        <v>0</v>
      </c>
      <c r="CG211" s="470" t="n">
        <f aca="false">IF(BD211,xCrudeAPO(BU211,BV211,CA211,CB211,S212,S213,BI211,BL211,BP211,BQ211,0,Strike1,AO211,CE211,0,BL211,IF(OptControl=4,0,1),1,1)+xCrudeAPO(BU211,BV211,CA211,CB211,S212,S213,BI211,BL211,BP211,BQ211,0,Strike1,AO211,CE211,0,BL211,IF(OptControl=4,0,1),1,2)+IF(OR(VolSkewFlag=2,ABS(BS211)&lt;0.0001),0,IF(BS211&gt;0,-1,1)*CH211*Strike1/BR211^2*BY211/10%),0)</f>
        <v>0</v>
      </c>
      <c r="CH211" s="470" t="n">
        <f aca="false">IF(BD211,(xCrudeAPO(BU211,BV211,CA211,CB211,S212,S213,BI211,BL211,BP211,BQ211,0,Strike1,AO211,CE211,0,BL211,IF(OptControl=4,0,1),3,1)+xCrudeAPO(BU211,BV211,CA211,CB211,S212,S213,BI211,BL211,BP211,BQ211,0,Strike1,AO211,CE211,0,BL211,IF(OptControl=4,0,1),3,2))/100,0)</f>
        <v>0</v>
      </c>
      <c r="CI211" s="470" t="n">
        <f aca="false">IF(BD211,xCrudeAPO(BU211,BV211,CA211,CB211,S212,S213,BI211-DaysForThetaCalculation/365.25,BL211-DaysForThetaCalculation/365.25,BP211,BQ211,0,Strike1,AO211,CE211,0,BL211,IF(OptControl=4,0,1),0,1)-xCrudeAPO(BU211,BV211,CA211,CB211,S212,S213,BI211,BL211,BP211,BQ211,0,Strike1,AO211,CE211,0,BL211,IF(OptControl=4,0,1),0,1),0)</f>
        <v>0</v>
      </c>
      <c r="CJ211" s="471" t="n">
        <f aca="false">IF(BD211,xCrudeAPO(BU211,BV211,CC211,CD211,S212,S213,BI211,BL211,BP211,BQ211,0,Strike2,AO211,CE211,0,BL211,IF(OptControl=3,1,0),0,1),0)</f>
        <v>0</v>
      </c>
      <c r="CK211" s="470" t="n">
        <f aca="false">IF(BD211,xCrudeAPO(BU211,BV211,CC211,CD211,S212,S213,BI211,BL211,BP211,BQ211,0,Strike2,AO211,CE211,0,BL211,IF(OptControl=3,1,0),1,1)+xCrudeAPO(BU211,BV211,CC211,CD211,S212,S213,BI211,BL211,BP211,BQ211,0,Strike2,AO211,CE211,0,BL211,IF(OptControl=3,1,0),1,2)+IF(OR(VolSkewFlag=2,ABS(BT211)&lt;0.0001),0,IF(BT211&gt;0,-1,1)*CL211*Strike2/BR211^2*BZ211/10%),0)</f>
        <v>0</v>
      </c>
      <c r="CL211" s="470" t="n">
        <f aca="false">IF(BD211,(xCrudeAPO(BU211,BV211,CC211,CD211,S212,S213,BI211,BL211,BP211,BQ211,0,Strike2,AO211,CE211,0,BL211,IF(OptControl=3,1,0),3,1)+xCrudeAPO(BU211,BV211,CC211,CD211,S212,S213,BI211,BL211,BP211,BQ211,0,Strike2,AO211,CE211,0,BL211,IF(OptControl=3,1,0),3,2))/100,0)</f>
        <v>0</v>
      </c>
      <c r="CM211" s="472" t="n">
        <f aca="false">IF(BD211,xCrudeAPO(BU211,BV211,CC211,CD211,S212,S213,BI211-DaysForThetaCalculation/365.25,BL211-DaysForThetaCalculation/365.25,BP211,BQ211,0,Strike2,AO211,CE211,0,BL211,IF(OptControl=3,1,0),0,1)-xCrudeAPO(BU211,BV211,CC211,CD211,S212,S213,BI211,BL211,BP211,BQ211,0,Strike2,AO211,CE211,0,BL211,IF(OptControl=3,1,0),0,1),0)</f>
        <v>0</v>
      </c>
      <c r="CN211" s="3"/>
      <c r="CO211" s="543" t="str">
        <f aca="false">IF(BD211,CHOOSE(Underlying,AD211,AF211)-DateToday+1,"")</f>
        <v/>
      </c>
      <c r="CP211" s="582" t="str">
        <f aca="false">IF(BD211,CHOOSE(Underlying,L211,R211),"")</f>
        <v/>
      </c>
      <c r="CQ211" s="544" t="str">
        <f aca="false">IF(BD211,Strike1/CP211-1,"")</f>
        <v/>
      </c>
      <c r="CR211" s="544" t="str">
        <f aca="false">IF(BD211,Strike2/CP211-1,"")</f>
        <v/>
      </c>
      <c r="CS211" s="544" t="str">
        <f aca="false">IF(BD211,IF(CQ211&gt;0,IF(CQ211&gt;0.2,BC210-BB210,IF(CQ211&gt;0.1,BB210-BA210,BA210)),IF(CQ211&lt;-0.2,AX210-AY210,IF(CQ211&lt;-0.1,AY210-AZ210,AZ210))),"")</f>
        <v/>
      </c>
      <c r="CT211" s="544" t="str">
        <f aca="false">IF(BD211,IF(CR211&gt;0,IF(CR211&gt;0.2,BC210-BB210,IF(CR211&gt;0.1,BB210-BA210,BA210)),IF(CR211&lt;-0.2,AX210-AY210,IF(CR211&lt;-0.1,AY210-AZ210,AZ210))),"")</f>
        <v/>
      </c>
      <c r="CU211" s="545" t="str">
        <f aca="false">IF(BD211,CHOOSE(Underlying,O211,AT211),"")</f>
        <v/>
      </c>
      <c r="CV211" s="545" t="str">
        <f aca="false">IF(BD211,CU211+IF(VolSkewFlag=1,IF(CQ211&gt;0,BA210*MIN(CQ211/10%,1)+(BB210-BA210)*MAX(0,MIN(CQ211/10%-1,1))+(BC210-BB210)*MAX(0,CQ211/10%-2),AZ210*MIN(-CQ211/10%,1)+(AY210-AZ210)*MAX(0,MIN(-CQ211/10%-1,1))+(AX210-AY210)*MAX(0,-CQ211/10%-2)),0),"")</f>
        <v/>
      </c>
      <c r="CW211" s="545" t="str">
        <f aca="false">IF(BD211,CU211+IF(VolSkewFlag=1,IF(CR211&gt;0,BA210*MIN(CR211/10%,1)+(BB210-BA210)*MAX(0,MIN(CR211/10%-1,1))+(BC210-BB210)*MAX(0,CR211/10%-2),AZ210*MIN(-CR211/10%,1)+(AY210-AZ210)*MAX(0,MIN(-CR211/10%-1,1))+(AX210-AY210)*MAX(0,-CR211/10%-2)),0),"")</f>
        <v/>
      </c>
      <c r="CX211" s="470" t="n">
        <f aca="false">IF(BD211,EURO(CP211,Strike1,AO211,AO211,CV211,CO211,IF(OptControl=4,0,1),0),0)</f>
        <v>0</v>
      </c>
      <c r="CY211" s="470" t="n">
        <f aca="false">IF(BD211,EURO(CP211,Strike1,AO211,AO211,CV211,CO211,IF(OptControl=4,0,1),1)+IF(OR(VolSkewFlag=2,ABS(CQ211)&lt;0.0001),0,IF(CQ211&gt;0,-1,1)*CZ211*100*Strike1/CP211^2*CS211/10%),0)</f>
        <v>0</v>
      </c>
      <c r="CZ211" s="470" t="n">
        <f aca="false">IF(BD211,EURO(CP211,Strike1,AO211,AO211,CV211,CO211,IF(OptControl=4,0,1),3)/100,0)</f>
        <v>0</v>
      </c>
      <c r="DA211" s="470" t="n">
        <f aca="false">IF(BD211,EURO(CP211,Strike1,AO211,AO211,CV211,CO211,IF(OptControl=4,0,1),0)-EURO(CP211,Strike1,AO211,AO211,CV211,CO211-1,IF(OptControl=4,0,1),0),0)</f>
        <v>0</v>
      </c>
      <c r="DB211" s="470" t="n">
        <f aca="false">IF(BD211,EURO(CP211,Strike2,AO211,AO211,CW211,CO211,IF(OptControl=3,1,0),0),0)</f>
        <v>0</v>
      </c>
      <c r="DC211" s="470" t="n">
        <f aca="false">IF(BD211,EURO(CP211,Strike2,AO211,AO211,CW211,CO211,IF(OptControl=3,1,0),1)+IF(OR(VolSkewFlag=2,ABS(CR211)&lt;0.0001),0,IF(CR211&gt;0,-1,1)*DD211*100*Strike2/CP211^2*CT211/10%),0)</f>
        <v>0</v>
      </c>
      <c r="DD211" s="470" t="n">
        <f aca="false">IF(BD211,EURO(CP211,Strike2,AO211,AO211,CW211,CO211,IF(OptControl=3,1,0),3)/100,0)</f>
        <v>0</v>
      </c>
      <c r="DE211" s="472" t="n">
        <f aca="false">IF(BD211,EURO(CP211,Strike2,AO211,AO211,CW211,CO211,IF(OptControl=3,1,0),0)-EURO(CP211,Strike2,AO211,AO211,CW211,CO211-1,IF(OptControl=3,1,0),0),0)</f>
        <v>0</v>
      </c>
      <c r="DG211" s="481" t="n">
        <f aca="false">EOMONTH(DG210,0)+1</f>
        <v>51502</v>
      </c>
      <c r="DH211" s="478" t="n">
        <v>23.7100000000001</v>
      </c>
      <c r="DI211" s="479" t="n">
        <v>23.7775000000001</v>
      </c>
      <c r="DJ211" s="480" t="n">
        <f aca="false">DG211</f>
        <v>51502</v>
      </c>
      <c r="DK211" s="478" t="n">
        <v>22.4981886047884</v>
      </c>
      <c r="DL211" s="479" t="n">
        <v>22.6090000000001</v>
      </c>
      <c r="DM211" s="481" t="n">
        <f aca="false">DG211</f>
        <v>51502</v>
      </c>
      <c r="DN211" s="482" t="n">
        <f aca="false">DK211+BrentPhyBrentSpread</f>
        <v>22.5481886047884</v>
      </c>
      <c r="DO211" s="481" t="n">
        <f aca="false">DG211</f>
        <v>51502</v>
      </c>
      <c r="DP211" s="483" t="n">
        <f aca="false">DL211+DQ211</f>
        <v>22.6090000000001</v>
      </c>
      <c r="DQ211" s="546" t="n">
        <v>0</v>
      </c>
      <c r="DR211" s="480" t="n">
        <f aca="false">DG211</f>
        <v>51502</v>
      </c>
      <c r="DS211" s="485" t="n">
        <v>0.109999999999998</v>
      </c>
      <c r="DT211" s="486" t="n">
        <v>0.109189999999998</v>
      </c>
      <c r="DU211" s="480" t="n">
        <f aca="false">DG211</f>
        <v>51502</v>
      </c>
      <c r="DV211" s="485" t="n">
        <v>0.109999999999998</v>
      </c>
      <c r="DW211" s="486" t="n">
        <v>0.109189999999998</v>
      </c>
      <c r="DX211" s="481" t="n">
        <f aca="false">DG211</f>
        <v>51502</v>
      </c>
      <c r="DY211" s="486" t="n">
        <v>0.35</v>
      </c>
      <c r="DZ211" s="481" t="n">
        <f aca="false">DR211</f>
        <v>51502</v>
      </c>
      <c r="EA211" s="486" t="n">
        <f aca="false">DT211</f>
        <v>0.109189999999998</v>
      </c>
      <c r="EB211" s="195"/>
      <c r="EC211" s="547" t="str">
        <f aca="false">IF(BD211,IF(Underlying=1,AS211,AU211),"")</f>
        <v/>
      </c>
      <c r="ED211" s="548" t="str">
        <f aca="false">IF($BD211,$EC211+IF(VolSkewFlag=1,IF(BS211&gt;0,$BA211*MIN(BS211/10%,1)+($BB211-$BA211)*MAX(0,MIN(BS211/10%-1,1))+($BC211-$BB211)*MAX(0,BS211/10%-2),$AZ211*MIN(-BS211/10%,1)+($AY211-$AZ211)*MAX(0,MIN(-BS211/10%-1,1))+($AX211-$AY211)*MAX(0,-BS211/10%-2)),0),"")</f>
        <v/>
      </c>
      <c r="EE211" s="549" t="str">
        <f aca="false">IF($BD211,$EC211+IF(VolSkewFlag=1,IF(BT211&gt;0,$BA211*MIN(BT211/10%,1)+($BB211-$BA211)*MAX(0,MIN(BT211/10%-1,1))+($BC211-$BB211)*MAX(0,BT211/10%-2),$AZ211*MIN(-BT211/10%,1)+($AY211-$AZ211)*MAX(0,MIN(-BT211/10%-1,1))+($AX211-$AY211)*MAX(0,-BT211/10%-2)),0),"")</f>
        <v/>
      </c>
      <c r="EF211" s="550" t="n">
        <f aca="false">IF(BD211,xASN(BR211,Strike1,AO211,ED211,0,BO211,0,BI211,BL211,IF(OptControl=4,0,1),0),0)</f>
        <v>0</v>
      </c>
      <c r="EG211" s="551" t="n">
        <f aca="false">IF(BD211,xASN(BR211,Strike2,AO211,EE211,0,BO211,0,BI211,BL211,IF(OptControl=3,1,0),0),0)</f>
        <v>0</v>
      </c>
      <c r="EL211" s="1"/>
      <c r="EM211" s="195"/>
      <c r="EN211" s="240"/>
      <c r="EO211" s="240"/>
      <c r="EP211" s="195"/>
      <c r="EQ211" s="407" t="s">
        <v>439</v>
      </c>
      <c r="ES211" s="1"/>
      <c r="EU211" s="672"/>
      <c r="FJ211" s="571" t="n">
        <v>42</v>
      </c>
      <c r="FK211" s="150" t="str">
        <f aca="false">IF(OR(FK$169&lt;SwaptionFirstMonthPosition+1,$FJ211&lt;SwaptionFirstMonthPosition+1,FK$169&gt;SwaptionFirstMonthPosition+SwaptionNumOfMonths+1,$FJ211&gt;SwaptionFirstMonthPosition+SwaptionNumOfMonths+1),"",IF($FJ211=FK$169,1,IF($FJ211&lt;FK$169,INDEX($FK$170:$ID$241,FK$169,$FJ211),SUMPRODUCT(INDEX($FK$325:$ID$396,FK$169,1+SwaptionShift):INDEX($FK$325:$ID$396,FK$169,SwaptionMonthsToGo+SwaptionShift),INDEX($FK$245:$ID$316,$FJ211-FK$169,73-FK$169+SwaptionShift):INDEX($FK$245:$ID$316,$FJ211-FK$169,72-FK$169+SwaptionMonthsToGo+SwaptionShift))/SQRT(SUM(INDEX($FK366:$ID366,1+SwaptionShift):INDEX($FK366:$ID366,SwaptionMonthsToGo+SwaptionShift))*SUM(INDEX($FK$325:$ID$396,FK$169,1+SwaptionShift):INDEX($FK$325:$ID$396,FK$169,SwaptionMonthsToGo+SwaptionShift))))))</f>
        <v/>
      </c>
      <c r="FL211" s="150" t="str">
        <f aca="false">IF(OR(FL$169&lt;SwaptionFirstMonthPosition+1,$FJ211&lt;SwaptionFirstMonthPosition+1,FL$169&gt;SwaptionFirstMonthPosition+SwaptionNumOfMonths+1,$FJ211&gt;SwaptionFirstMonthPosition+SwaptionNumOfMonths+1),"",IF($FJ211=FL$169,1,IF($FJ211&lt;FL$169,INDEX($FK$170:$ID$241,FL$169,$FJ211),SUMPRODUCT(INDEX($FK$325:$ID$396,FL$169,1+SwaptionShift):INDEX($FK$325:$ID$396,FL$169,SwaptionMonthsToGo+SwaptionShift),INDEX($FK$245:$ID$316,$FJ211-FL$169,73-FL$169+SwaptionShift):INDEX($FK$245:$ID$316,$FJ211-FL$169,72-FL$169+SwaptionMonthsToGo+SwaptionShift))/SQRT(SUM(INDEX($FK366:$ID366,1+SwaptionShift):INDEX($FK366:$ID366,SwaptionMonthsToGo+SwaptionShift))*SUM(INDEX($FK$325:$ID$396,FL$169,1+SwaptionShift):INDEX($FK$325:$ID$396,FL$169,SwaptionMonthsToGo+SwaptionShift))))))</f>
        <v/>
      </c>
      <c r="FM211" s="150" t="str">
        <f aca="false">IF(OR(FM$169&lt;SwaptionFirstMonthPosition+1,$FJ211&lt;SwaptionFirstMonthPosition+1,FM$169&gt;SwaptionFirstMonthPosition+SwaptionNumOfMonths+1,$FJ211&gt;SwaptionFirstMonthPosition+SwaptionNumOfMonths+1),"",IF($FJ211=FM$169,1,IF($FJ211&lt;FM$169,INDEX($FK$170:$ID$241,FM$169,$FJ211),SUMPRODUCT(INDEX($FK$325:$ID$396,FM$169,1+SwaptionShift):INDEX($FK$325:$ID$396,FM$169,SwaptionMonthsToGo+SwaptionShift),INDEX($FK$245:$ID$316,$FJ211-FM$169,73-FM$169+SwaptionShift):INDEX($FK$245:$ID$316,$FJ211-FM$169,72-FM$169+SwaptionMonthsToGo+SwaptionShift))/SQRT(SUM(INDEX($FK366:$ID366,1+SwaptionShift):INDEX($FK366:$ID366,SwaptionMonthsToGo+SwaptionShift))*SUM(INDEX($FK$325:$ID$396,FM$169,1+SwaptionShift):INDEX($FK$325:$ID$396,FM$169,SwaptionMonthsToGo+SwaptionShift))))))</f>
        <v/>
      </c>
      <c r="FN211" s="150" t="str">
        <f aca="false">IF(OR(FN$169&lt;SwaptionFirstMonthPosition+1,$FJ211&lt;SwaptionFirstMonthPosition+1,FN$169&gt;SwaptionFirstMonthPosition+SwaptionNumOfMonths+1,$FJ211&gt;SwaptionFirstMonthPosition+SwaptionNumOfMonths+1),"",IF($FJ211=FN$169,1,IF($FJ211&lt;FN$169,INDEX($FK$170:$ID$241,FN$169,$FJ211),SUMPRODUCT(INDEX($FK$325:$ID$396,FN$169,1+SwaptionShift):INDEX($FK$325:$ID$396,FN$169,SwaptionMonthsToGo+SwaptionShift),INDEX($FK$245:$ID$316,$FJ211-FN$169,73-FN$169+SwaptionShift):INDEX($FK$245:$ID$316,$FJ211-FN$169,72-FN$169+SwaptionMonthsToGo+SwaptionShift))/SQRT(SUM(INDEX($FK366:$ID366,1+SwaptionShift):INDEX($FK366:$ID366,SwaptionMonthsToGo+SwaptionShift))*SUM(INDEX($FK$325:$ID$396,FN$169,1+SwaptionShift):INDEX($FK$325:$ID$396,FN$169,SwaptionMonthsToGo+SwaptionShift))))))</f>
        <v/>
      </c>
      <c r="FO211" s="150" t="str">
        <f aca="false">IF(OR(FO$169&lt;SwaptionFirstMonthPosition+1,$FJ211&lt;SwaptionFirstMonthPosition+1,FO$169&gt;SwaptionFirstMonthPosition+SwaptionNumOfMonths+1,$FJ211&gt;SwaptionFirstMonthPosition+SwaptionNumOfMonths+1),"",IF($FJ211=FO$169,1,IF($FJ211&lt;FO$169,INDEX($FK$170:$ID$241,FO$169,$FJ211),SUMPRODUCT(INDEX($FK$325:$ID$396,FO$169,1+SwaptionShift):INDEX($FK$325:$ID$396,FO$169,SwaptionMonthsToGo+SwaptionShift),INDEX($FK$245:$ID$316,$FJ211-FO$169,73-FO$169+SwaptionShift):INDEX($FK$245:$ID$316,$FJ211-FO$169,72-FO$169+SwaptionMonthsToGo+SwaptionShift))/SQRT(SUM(INDEX($FK366:$ID366,1+SwaptionShift):INDEX($FK366:$ID366,SwaptionMonthsToGo+SwaptionShift))*SUM(INDEX($FK$325:$ID$396,FO$169,1+SwaptionShift):INDEX($FK$325:$ID$396,FO$169,SwaptionMonthsToGo+SwaptionShift))))))</f>
        <v/>
      </c>
      <c r="FP211" s="150" t="str">
        <f aca="false">IF(OR(FP$169&lt;SwaptionFirstMonthPosition+1,$FJ211&lt;SwaptionFirstMonthPosition+1,FP$169&gt;SwaptionFirstMonthPosition+SwaptionNumOfMonths+1,$FJ211&gt;SwaptionFirstMonthPosition+SwaptionNumOfMonths+1),"",IF($FJ211=FP$169,1,IF($FJ211&lt;FP$169,INDEX($FK$170:$ID$241,FP$169,$FJ211),SUMPRODUCT(INDEX($FK$325:$ID$396,FP$169,1+SwaptionShift):INDEX($FK$325:$ID$396,FP$169,SwaptionMonthsToGo+SwaptionShift),INDEX($FK$245:$ID$316,$FJ211-FP$169,73-FP$169+SwaptionShift):INDEX($FK$245:$ID$316,$FJ211-FP$169,72-FP$169+SwaptionMonthsToGo+SwaptionShift))/SQRT(SUM(INDEX($FK366:$ID366,1+SwaptionShift):INDEX($FK366:$ID366,SwaptionMonthsToGo+SwaptionShift))*SUM(INDEX($FK$325:$ID$396,FP$169,1+SwaptionShift):INDEX($FK$325:$ID$396,FP$169,SwaptionMonthsToGo+SwaptionShift))))))</f>
        <v/>
      </c>
      <c r="FQ211" s="150" t="str">
        <f aca="false">IF(OR(FQ$169&lt;SwaptionFirstMonthPosition+1,$FJ211&lt;SwaptionFirstMonthPosition+1,FQ$169&gt;SwaptionFirstMonthPosition+SwaptionNumOfMonths+1,$FJ211&gt;SwaptionFirstMonthPosition+SwaptionNumOfMonths+1),"",IF($FJ211=FQ$169,1,IF($FJ211&lt;FQ$169,INDEX($FK$170:$ID$241,FQ$169,$FJ211),SUMPRODUCT(INDEX($FK$325:$ID$396,FQ$169,1+SwaptionShift):INDEX($FK$325:$ID$396,FQ$169,SwaptionMonthsToGo+SwaptionShift),INDEX($FK$245:$ID$316,$FJ211-FQ$169,73-FQ$169+SwaptionShift):INDEX($FK$245:$ID$316,$FJ211-FQ$169,72-FQ$169+SwaptionMonthsToGo+SwaptionShift))/SQRT(SUM(INDEX($FK366:$ID366,1+SwaptionShift):INDEX($FK366:$ID366,SwaptionMonthsToGo+SwaptionShift))*SUM(INDEX($FK$325:$ID$396,FQ$169,1+SwaptionShift):INDEX($FK$325:$ID$396,FQ$169,SwaptionMonthsToGo+SwaptionShift))))))</f>
        <v/>
      </c>
      <c r="FR211" s="150" t="str">
        <f aca="false">IF(OR(FR$169&lt;SwaptionFirstMonthPosition+1,$FJ211&lt;SwaptionFirstMonthPosition+1,FR$169&gt;SwaptionFirstMonthPosition+SwaptionNumOfMonths+1,$FJ211&gt;SwaptionFirstMonthPosition+SwaptionNumOfMonths+1),"",IF($FJ211=FR$169,1,IF($FJ211&lt;FR$169,INDEX($FK$170:$ID$241,FR$169,$FJ211),SUMPRODUCT(INDEX($FK$325:$ID$396,FR$169,1+SwaptionShift):INDEX($FK$325:$ID$396,FR$169,SwaptionMonthsToGo+SwaptionShift),INDEX($FK$245:$ID$316,$FJ211-FR$169,73-FR$169+SwaptionShift):INDEX($FK$245:$ID$316,$FJ211-FR$169,72-FR$169+SwaptionMonthsToGo+SwaptionShift))/SQRT(SUM(INDEX($FK366:$ID366,1+SwaptionShift):INDEX($FK366:$ID366,SwaptionMonthsToGo+SwaptionShift))*SUM(INDEX($FK$325:$ID$396,FR$169,1+SwaptionShift):INDEX($FK$325:$ID$396,FR$169,SwaptionMonthsToGo+SwaptionShift))))))</f>
        <v/>
      </c>
      <c r="FS211" s="150" t="str">
        <f aca="false">IF(OR(FS$169&lt;SwaptionFirstMonthPosition+1,$FJ211&lt;SwaptionFirstMonthPosition+1,FS$169&gt;SwaptionFirstMonthPosition+SwaptionNumOfMonths+1,$FJ211&gt;SwaptionFirstMonthPosition+SwaptionNumOfMonths+1),"",IF($FJ211=FS$169,1,IF($FJ211&lt;FS$169,INDEX($FK$170:$ID$241,FS$169,$FJ211),SUMPRODUCT(INDEX($FK$325:$ID$396,FS$169,1+SwaptionShift):INDEX($FK$325:$ID$396,FS$169,SwaptionMonthsToGo+SwaptionShift),INDEX($FK$245:$ID$316,$FJ211-FS$169,73-FS$169+SwaptionShift):INDEX($FK$245:$ID$316,$FJ211-FS$169,72-FS$169+SwaptionMonthsToGo+SwaptionShift))/SQRT(SUM(INDEX($FK366:$ID366,1+SwaptionShift):INDEX($FK366:$ID366,SwaptionMonthsToGo+SwaptionShift))*SUM(INDEX($FK$325:$ID$396,FS$169,1+SwaptionShift):INDEX($FK$325:$ID$396,FS$169,SwaptionMonthsToGo+SwaptionShift))))))</f>
        <v/>
      </c>
      <c r="FT211" s="150" t="str">
        <f aca="false">IF(OR(FT$169&lt;SwaptionFirstMonthPosition+1,$FJ211&lt;SwaptionFirstMonthPosition+1,FT$169&gt;SwaptionFirstMonthPosition+SwaptionNumOfMonths+1,$FJ211&gt;SwaptionFirstMonthPosition+SwaptionNumOfMonths+1),"",IF($FJ211=FT$169,1,IF($FJ211&lt;FT$169,INDEX($FK$170:$ID$241,FT$169,$FJ211),SUMPRODUCT(INDEX($FK$325:$ID$396,FT$169,1+SwaptionShift):INDEX($FK$325:$ID$396,FT$169,SwaptionMonthsToGo+SwaptionShift),INDEX($FK$245:$ID$316,$FJ211-FT$169,73-FT$169+SwaptionShift):INDEX($FK$245:$ID$316,$FJ211-FT$169,72-FT$169+SwaptionMonthsToGo+SwaptionShift))/SQRT(SUM(INDEX($FK366:$ID366,1+SwaptionShift):INDEX($FK366:$ID366,SwaptionMonthsToGo+SwaptionShift))*SUM(INDEX($FK$325:$ID$396,FT$169,1+SwaptionShift):INDEX($FK$325:$ID$396,FT$169,SwaptionMonthsToGo+SwaptionShift))))))</f>
        <v/>
      </c>
      <c r="FU211" s="150" t="str">
        <f aca="false">IF(OR(FU$169&lt;SwaptionFirstMonthPosition+1,$FJ211&lt;SwaptionFirstMonthPosition+1,FU$169&gt;SwaptionFirstMonthPosition+SwaptionNumOfMonths+1,$FJ211&gt;SwaptionFirstMonthPosition+SwaptionNumOfMonths+1),"",IF($FJ211=FU$169,1,IF($FJ211&lt;FU$169,INDEX($FK$170:$ID$241,FU$169,$FJ211),SUMPRODUCT(INDEX($FK$325:$ID$396,FU$169,1+SwaptionShift):INDEX($FK$325:$ID$396,FU$169,SwaptionMonthsToGo+SwaptionShift),INDEX($FK$245:$ID$316,$FJ211-FU$169,73-FU$169+SwaptionShift):INDEX($FK$245:$ID$316,$FJ211-FU$169,72-FU$169+SwaptionMonthsToGo+SwaptionShift))/SQRT(SUM(INDEX($FK366:$ID366,1+SwaptionShift):INDEX($FK366:$ID366,SwaptionMonthsToGo+SwaptionShift))*SUM(INDEX($FK$325:$ID$396,FU$169,1+SwaptionShift):INDEX($FK$325:$ID$396,FU$169,SwaptionMonthsToGo+SwaptionShift))))))</f>
        <v/>
      </c>
      <c r="FV211" s="150" t="str">
        <f aca="false">IF(OR(FV$169&lt;SwaptionFirstMonthPosition+1,$FJ211&lt;SwaptionFirstMonthPosition+1,FV$169&gt;SwaptionFirstMonthPosition+SwaptionNumOfMonths+1,$FJ211&gt;SwaptionFirstMonthPosition+SwaptionNumOfMonths+1),"",IF($FJ211=FV$169,1,IF($FJ211&lt;FV$169,INDEX($FK$170:$ID$241,FV$169,$FJ211),SUMPRODUCT(INDEX($FK$325:$ID$396,FV$169,1+SwaptionShift):INDEX($FK$325:$ID$396,FV$169,SwaptionMonthsToGo+SwaptionShift),INDEX($FK$245:$ID$316,$FJ211-FV$169,73-FV$169+SwaptionShift):INDEX($FK$245:$ID$316,$FJ211-FV$169,72-FV$169+SwaptionMonthsToGo+SwaptionShift))/SQRT(SUM(INDEX($FK366:$ID366,1+SwaptionShift):INDEX($FK366:$ID366,SwaptionMonthsToGo+SwaptionShift))*SUM(INDEX($FK$325:$ID$396,FV$169,1+SwaptionShift):INDEX($FK$325:$ID$396,FV$169,SwaptionMonthsToGo+SwaptionShift))))))</f>
        <v/>
      </c>
      <c r="FW211" s="150" t="str">
        <f aca="false">IF(OR(FW$169&lt;SwaptionFirstMonthPosition+1,$FJ211&lt;SwaptionFirstMonthPosition+1,FW$169&gt;SwaptionFirstMonthPosition+SwaptionNumOfMonths+1,$FJ211&gt;SwaptionFirstMonthPosition+SwaptionNumOfMonths+1),"",IF($FJ211=FW$169,1,IF($FJ211&lt;FW$169,INDEX($FK$170:$ID$241,FW$169,$FJ211),SUMPRODUCT(INDEX($FK$325:$ID$396,FW$169,1+SwaptionShift):INDEX($FK$325:$ID$396,FW$169,SwaptionMonthsToGo+SwaptionShift),INDEX($FK$245:$ID$316,$FJ211-FW$169,73-FW$169+SwaptionShift):INDEX($FK$245:$ID$316,$FJ211-FW$169,72-FW$169+SwaptionMonthsToGo+SwaptionShift))/SQRT(SUM(INDEX($FK366:$ID366,1+SwaptionShift):INDEX($FK366:$ID366,SwaptionMonthsToGo+SwaptionShift))*SUM(INDEX($FK$325:$ID$396,FW$169,1+SwaptionShift):INDEX($FK$325:$ID$396,FW$169,SwaptionMonthsToGo+SwaptionShift))))))</f>
        <v/>
      </c>
      <c r="FX211" s="150" t="str">
        <f aca="false">IF(OR(FX$169&lt;SwaptionFirstMonthPosition+1,$FJ211&lt;SwaptionFirstMonthPosition+1,FX$169&gt;SwaptionFirstMonthPosition+SwaptionNumOfMonths+1,$FJ211&gt;SwaptionFirstMonthPosition+SwaptionNumOfMonths+1),"",IF($FJ211=FX$169,1,IF($FJ211&lt;FX$169,INDEX($FK$170:$ID$241,FX$169,$FJ211),SUMPRODUCT(INDEX($FK$325:$ID$396,FX$169,1+SwaptionShift):INDEX($FK$325:$ID$396,FX$169,SwaptionMonthsToGo+SwaptionShift),INDEX($FK$245:$ID$316,$FJ211-FX$169,73-FX$169+SwaptionShift):INDEX($FK$245:$ID$316,$FJ211-FX$169,72-FX$169+SwaptionMonthsToGo+SwaptionShift))/SQRT(SUM(INDEX($FK366:$ID366,1+SwaptionShift):INDEX($FK366:$ID366,SwaptionMonthsToGo+SwaptionShift))*SUM(INDEX($FK$325:$ID$396,FX$169,1+SwaptionShift):INDEX($FK$325:$ID$396,FX$169,SwaptionMonthsToGo+SwaptionShift))))))</f>
        <v/>
      </c>
      <c r="FY211" s="150" t="str">
        <f aca="false">IF(OR(FY$169&lt;SwaptionFirstMonthPosition+1,$FJ211&lt;SwaptionFirstMonthPosition+1,FY$169&gt;SwaptionFirstMonthPosition+SwaptionNumOfMonths+1,$FJ211&gt;SwaptionFirstMonthPosition+SwaptionNumOfMonths+1),"",IF($FJ211=FY$169,1,IF($FJ211&lt;FY$169,INDEX($FK$170:$ID$241,FY$169,$FJ211),SUMPRODUCT(INDEX($FK$325:$ID$396,FY$169,1+SwaptionShift):INDEX($FK$325:$ID$396,FY$169,SwaptionMonthsToGo+SwaptionShift),INDEX($FK$245:$ID$316,$FJ211-FY$169,73-FY$169+SwaptionShift):INDEX($FK$245:$ID$316,$FJ211-FY$169,72-FY$169+SwaptionMonthsToGo+SwaptionShift))/SQRT(SUM(INDEX($FK366:$ID366,1+SwaptionShift):INDEX($FK366:$ID366,SwaptionMonthsToGo+SwaptionShift))*SUM(INDEX($FK$325:$ID$396,FY$169,1+SwaptionShift):INDEX($FK$325:$ID$396,FY$169,SwaptionMonthsToGo+SwaptionShift))))))</f>
        <v/>
      </c>
      <c r="FZ211" s="150" t="str">
        <f aca="false">IF(OR(FZ$169&lt;SwaptionFirstMonthPosition+1,$FJ211&lt;SwaptionFirstMonthPosition+1,FZ$169&gt;SwaptionFirstMonthPosition+SwaptionNumOfMonths+1,$FJ211&gt;SwaptionFirstMonthPosition+SwaptionNumOfMonths+1),"",IF($FJ211=FZ$169,1,IF($FJ211&lt;FZ$169,INDEX($FK$170:$ID$241,FZ$169,$FJ211),SUMPRODUCT(INDEX($FK$325:$ID$396,FZ$169,1+SwaptionShift):INDEX($FK$325:$ID$396,FZ$169,SwaptionMonthsToGo+SwaptionShift),INDEX($FK$245:$ID$316,$FJ211-FZ$169,73-FZ$169+SwaptionShift):INDEX($FK$245:$ID$316,$FJ211-FZ$169,72-FZ$169+SwaptionMonthsToGo+SwaptionShift))/SQRT(SUM(INDEX($FK366:$ID366,1+SwaptionShift):INDEX($FK366:$ID366,SwaptionMonthsToGo+SwaptionShift))*SUM(INDEX($FK$325:$ID$396,FZ$169,1+SwaptionShift):INDEX($FK$325:$ID$396,FZ$169,SwaptionMonthsToGo+SwaptionShift))))))</f>
        <v/>
      </c>
      <c r="GA211" s="150" t="str">
        <f aca="false">IF(OR(GA$169&lt;SwaptionFirstMonthPosition+1,$FJ211&lt;SwaptionFirstMonthPosition+1,GA$169&gt;SwaptionFirstMonthPosition+SwaptionNumOfMonths+1,$FJ211&gt;SwaptionFirstMonthPosition+SwaptionNumOfMonths+1),"",IF($FJ211=GA$169,1,IF($FJ211&lt;GA$169,INDEX($FK$170:$ID$241,GA$169,$FJ211),SUMPRODUCT(INDEX($FK$325:$ID$396,GA$169,1+SwaptionShift):INDEX($FK$325:$ID$396,GA$169,SwaptionMonthsToGo+SwaptionShift),INDEX($FK$245:$ID$316,$FJ211-GA$169,73-GA$169+SwaptionShift):INDEX($FK$245:$ID$316,$FJ211-GA$169,72-GA$169+SwaptionMonthsToGo+SwaptionShift))/SQRT(SUM(INDEX($FK366:$ID366,1+SwaptionShift):INDEX($FK366:$ID366,SwaptionMonthsToGo+SwaptionShift))*SUM(INDEX($FK$325:$ID$396,GA$169,1+SwaptionShift):INDEX($FK$325:$ID$396,GA$169,SwaptionMonthsToGo+SwaptionShift))))))</f>
        <v/>
      </c>
      <c r="GB211" s="150" t="str">
        <f aca="false">IF(OR(GB$169&lt;SwaptionFirstMonthPosition+1,$FJ211&lt;SwaptionFirstMonthPosition+1,GB$169&gt;SwaptionFirstMonthPosition+SwaptionNumOfMonths+1,$FJ211&gt;SwaptionFirstMonthPosition+SwaptionNumOfMonths+1),"",IF($FJ211=GB$169,1,IF($FJ211&lt;GB$169,INDEX($FK$170:$ID$241,GB$169,$FJ211),SUMPRODUCT(INDEX($FK$325:$ID$396,GB$169,1+SwaptionShift):INDEX($FK$325:$ID$396,GB$169,SwaptionMonthsToGo+SwaptionShift),INDEX($FK$245:$ID$316,$FJ211-GB$169,73-GB$169+SwaptionShift):INDEX($FK$245:$ID$316,$FJ211-GB$169,72-GB$169+SwaptionMonthsToGo+SwaptionShift))/SQRT(SUM(INDEX($FK366:$ID366,1+SwaptionShift):INDEX($FK366:$ID366,SwaptionMonthsToGo+SwaptionShift))*SUM(INDEX($FK$325:$ID$396,GB$169,1+SwaptionShift):INDEX($FK$325:$ID$396,GB$169,SwaptionMonthsToGo+SwaptionShift))))))</f>
        <v/>
      </c>
      <c r="GC211" s="150" t="str">
        <f aca="false">IF(OR(GC$169&lt;SwaptionFirstMonthPosition+1,$FJ211&lt;SwaptionFirstMonthPosition+1,GC$169&gt;SwaptionFirstMonthPosition+SwaptionNumOfMonths+1,$FJ211&gt;SwaptionFirstMonthPosition+SwaptionNumOfMonths+1),"",IF($FJ211=GC$169,1,IF($FJ211&lt;GC$169,INDEX($FK$170:$ID$241,GC$169,$FJ211),SUMPRODUCT(INDEX($FK$325:$ID$396,GC$169,1+SwaptionShift):INDEX($FK$325:$ID$396,GC$169,SwaptionMonthsToGo+SwaptionShift),INDEX($FK$245:$ID$316,$FJ211-GC$169,73-GC$169+SwaptionShift):INDEX($FK$245:$ID$316,$FJ211-GC$169,72-GC$169+SwaptionMonthsToGo+SwaptionShift))/SQRT(SUM(INDEX($FK366:$ID366,1+SwaptionShift):INDEX($FK366:$ID366,SwaptionMonthsToGo+SwaptionShift))*SUM(INDEX($FK$325:$ID$396,GC$169,1+SwaptionShift):INDEX($FK$325:$ID$396,GC$169,SwaptionMonthsToGo+SwaptionShift))))))</f>
        <v/>
      </c>
      <c r="GD211" s="150" t="str">
        <f aca="false">IF(OR(GD$169&lt;SwaptionFirstMonthPosition+1,$FJ211&lt;SwaptionFirstMonthPosition+1,GD$169&gt;SwaptionFirstMonthPosition+SwaptionNumOfMonths+1,$FJ211&gt;SwaptionFirstMonthPosition+SwaptionNumOfMonths+1),"",IF($FJ211=GD$169,1,IF($FJ211&lt;GD$169,INDEX($FK$170:$ID$241,GD$169,$FJ211),SUMPRODUCT(INDEX($FK$325:$ID$396,GD$169,1+SwaptionShift):INDEX($FK$325:$ID$396,GD$169,SwaptionMonthsToGo+SwaptionShift),INDEX($FK$245:$ID$316,$FJ211-GD$169,73-GD$169+SwaptionShift):INDEX($FK$245:$ID$316,$FJ211-GD$169,72-GD$169+SwaptionMonthsToGo+SwaptionShift))/SQRT(SUM(INDEX($FK366:$ID366,1+SwaptionShift):INDEX($FK366:$ID366,SwaptionMonthsToGo+SwaptionShift))*SUM(INDEX($FK$325:$ID$396,GD$169,1+SwaptionShift):INDEX($FK$325:$ID$396,GD$169,SwaptionMonthsToGo+SwaptionShift))))))</f>
        <v/>
      </c>
      <c r="GE211" s="150" t="str">
        <f aca="false">IF(OR(GE$169&lt;SwaptionFirstMonthPosition+1,$FJ211&lt;SwaptionFirstMonthPosition+1,GE$169&gt;SwaptionFirstMonthPosition+SwaptionNumOfMonths+1,$FJ211&gt;SwaptionFirstMonthPosition+SwaptionNumOfMonths+1),"",IF($FJ211=GE$169,1,IF($FJ211&lt;GE$169,INDEX($FK$170:$ID$241,GE$169,$FJ211),SUMPRODUCT(INDEX($FK$325:$ID$396,GE$169,1+SwaptionShift):INDEX($FK$325:$ID$396,GE$169,SwaptionMonthsToGo+SwaptionShift),INDEX($FK$245:$ID$316,$FJ211-GE$169,73-GE$169+SwaptionShift):INDEX($FK$245:$ID$316,$FJ211-GE$169,72-GE$169+SwaptionMonthsToGo+SwaptionShift))/SQRT(SUM(INDEX($FK366:$ID366,1+SwaptionShift):INDEX($FK366:$ID366,SwaptionMonthsToGo+SwaptionShift))*SUM(INDEX($FK$325:$ID$396,GE$169,1+SwaptionShift):INDEX($FK$325:$ID$396,GE$169,SwaptionMonthsToGo+SwaptionShift))))))</f>
        <v/>
      </c>
      <c r="GF211" s="150" t="str">
        <f aca="false">IF(OR(GF$169&lt;SwaptionFirstMonthPosition+1,$FJ211&lt;SwaptionFirstMonthPosition+1,GF$169&gt;SwaptionFirstMonthPosition+SwaptionNumOfMonths+1,$FJ211&gt;SwaptionFirstMonthPosition+SwaptionNumOfMonths+1),"",IF($FJ211=GF$169,1,IF($FJ211&lt;GF$169,INDEX($FK$170:$ID$241,GF$169,$FJ211),SUMPRODUCT(INDEX($FK$325:$ID$396,GF$169,1+SwaptionShift):INDEX($FK$325:$ID$396,GF$169,SwaptionMonthsToGo+SwaptionShift),INDEX($FK$245:$ID$316,$FJ211-GF$169,73-GF$169+SwaptionShift):INDEX($FK$245:$ID$316,$FJ211-GF$169,72-GF$169+SwaptionMonthsToGo+SwaptionShift))/SQRT(SUM(INDEX($FK366:$ID366,1+SwaptionShift):INDEX($FK366:$ID366,SwaptionMonthsToGo+SwaptionShift))*SUM(INDEX($FK$325:$ID$396,GF$169,1+SwaptionShift):INDEX($FK$325:$ID$396,GF$169,SwaptionMonthsToGo+SwaptionShift))))))</f>
        <v/>
      </c>
      <c r="GG211" s="150" t="str">
        <f aca="false">IF(OR(GG$169&lt;SwaptionFirstMonthPosition+1,$FJ211&lt;SwaptionFirstMonthPosition+1,GG$169&gt;SwaptionFirstMonthPosition+SwaptionNumOfMonths+1,$FJ211&gt;SwaptionFirstMonthPosition+SwaptionNumOfMonths+1),"",IF($FJ211=GG$169,1,IF($FJ211&lt;GG$169,INDEX($FK$170:$ID$241,GG$169,$FJ211),SUMPRODUCT(INDEX($FK$325:$ID$396,GG$169,1+SwaptionShift):INDEX($FK$325:$ID$396,GG$169,SwaptionMonthsToGo+SwaptionShift),INDEX($FK$245:$ID$316,$FJ211-GG$169,73-GG$169+SwaptionShift):INDEX($FK$245:$ID$316,$FJ211-GG$169,72-GG$169+SwaptionMonthsToGo+SwaptionShift))/SQRT(SUM(INDEX($FK366:$ID366,1+SwaptionShift):INDEX($FK366:$ID366,SwaptionMonthsToGo+SwaptionShift))*SUM(INDEX($FK$325:$ID$396,GG$169,1+SwaptionShift):INDEX($FK$325:$ID$396,GG$169,SwaptionMonthsToGo+SwaptionShift))))))</f>
        <v/>
      </c>
      <c r="GH211" s="150" t="str">
        <f aca="false">IF(OR(GH$169&lt;SwaptionFirstMonthPosition+1,$FJ211&lt;SwaptionFirstMonthPosition+1,GH$169&gt;SwaptionFirstMonthPosition+SwaptionNumOfMonths+1,$FJ211&gt;SwaptionFirstMonthPosition+SwaptionNumOfMonths+1),"",IF($FJ211=GH$169,1,IF($FJ211&lt;GH$169,INDEX($FK$170:$ID$241,GH$169,$FJ211),SUMPRODUCT(INDEX($FK$325:$ID$396,GH$169,1+SwaptionShift):INDEX($FK$325:$ID$396,GH$169,SwaptionMonthsToGo+SwaptionShift),INDEX($FK$245:$ID$316,$FJ211-GH$169,73-GH$169+SwaptionShift):INDEX($FK$245:$ID$316,$FJ211-GH$169,72-GH$169+SwaptionMonthsToGo+SwaptionShift))/SQRT(SUM(INDEX($FK366:$ID366,1+SwaptionShift):INDEX($FK366:$ID366,SwaptionMonthsToGo+SwaptionShift))*SUM(INDEX($FK$325:$ID$396,GH$169,1+SwaptionShift):INDEX($FK$325:$ID$396,GH$169,SwaptionMonthsToGo+SwaptionShift))))))</f>
        <v/>
      </c>
      <c r="GI211" s="150" t="str">
        <f aca="false">IF(OR(GI$169&lt;SwaptionFirstMonthPosition+1,$FJ211&lt;SwaptionFirstMonthPosition+1,GI$169&gt;SwaptionFirstMonthPosition+SwaptionNumOfMonths+1,$FJ211&gt;SwaptionFirstMonthPosition+SwaptionNumOfMonths+1),"",IF($FJ211=GI$169,1,IF($FJ211&lt;GI$169,INDEX($FK$170:$ID$241,GI$169,$FJ211),SUMPRODUCT(INDEX($FK$325:$ID$396,GI$169,1+SwaptionShift):INDEX($FK$325:$ID$396,GI$169,SwaptionMonthsToGo+SwaptionShift),INDEX($FK$245:$ID$316,$FJ211-GI$169,73-GI$169+SwaptionShift):INDEX($FK$245:$ID$316,$FJ211-GI$169,72-GI$169+SwaptionMonthsToGo+SwaptionShift))/SQRT(SUM(INDEX($FK366:$ID366,1+SwaptionShift):INDEX($FK366:$ID366,SwaptionMonthsToGo+SwaptionShift))*SUM(INDEX($FK$325:$ID$396,GI$169,1+SwaptionShift):INDEX($FK$325:$ID$396,GI$169,SwaptionMonthsToGo+SwaptionShift))))))</f>
        <v/>
      </c>
      <c r="GJ211" s="150" t="str">
        <f aca="false">IF(OR(GJ$169&lt;SwaptionFirstMonthPosition+1,$FJ211&lt;SwaptionFirstMonthPosition+1,GJ$169&gt;SwaptionFirstMonthPosition+SwaptionNumOfMonths+1,$FJ211&gt;SwaptionFirstMonthPosition+SwaptionNumOfMonths+1),"",IF($FJ211=GJ$169,1,IF($FJ211&lt;GJ$169,INDEX($FK$170:$ID$241,GJ$169,$FJ211),SUMPRODUCT(INDEX($FK$325:$ID$396,GJ$169,1+SwaptionShift):INDEX($FK$325:$ID$396,GJ$169,SwaptionMonthsToGo+SwaptionShift),INDEX($FK$245:$ID$316,$FJ211-GJ$169,73-GJ$169+SwaptionShift):INDEX($FK$245:$ID$316,$FJ211-GJ$169,72-GJ$169+SwaptionMonthsToGo+SwaptionShift))/SQRT(SUM(INDEX($FK366:$ID366,1+SwaptionShift):INDEX($FK366:$ID366,SwaptionMonthsToGo+SwaptionShift))*SUM(INDEX($FK$325:$ID$396,GJ$169,1+SwaptionShift):INDEX($FK$325:$ID$396,GJ$169,SwaptionMonthsToGo+SwaptionShift))))))</f>
        <v/>
      </c>
      <c r="GK211" s="150" t="str">
        <f aca="false">IF(OR(GK$169&lt;SwaptionFirstMonthPosition+1,$FJ211&lt;SwaptionFirstMonthPosition+1,GK$169&gt;SwaptionFirstMonthPosition+SwaptionNumOfMonths+1,$FJ211&gt;SwaptionFirstMonthPosition+SwaptionNumOfMonths+1),"",IF($FJ211=GK$169,1,IF($FJ211&lt;GK$169,INDEX($FK$170:$ID$241,GK$169,$FJ211),SUMPRODUCT(INDEX($FK$325:$ID$396,GK$169,1+SwaptionShift):INDEX($FK$325:$ID$396,GK$169,SwaptionMonthsToGo+SwaptionShift),INDEX($FK$245:$ID$316,$FJ211-GK$169,73-GK$169+SwaptionShift):INDEX($FK$245:$ID$316,$FJ211-GK$169,72-GK$169+SwaptionMonthsToGo+SwaptionShift))/SQRT(SUM(INDEX($FK366:$ID366,1+SwaptionShift):INDEX($FK366:$ID366,SwaptionMonthsToGo+SwaptionShift))*SUM(INDEX($FK$325:$ID$396,GK$169,1+SwaptionShift):INDEX($FK$325:$ID$396,GK$169,SwaptionMonthsToGo+SwaptionShift))))))</f>
        <v/>
      </c>
      <c r="GL211" s="150" t="str">
        <f aca="false">IF(OR(GL$169&lt;SwaptionFirstMonthPosition+1,$FJ211&lt;SwaptionFirstMonthPosition+1,GL$169&gt;SwaptionFirstMonthPosition+SwaptionNumOfMonths+1,$FJ211&gt;SwaptionFirstMonthPosition+SwaptionNumOfMonths+1),"",IF($FJ211=GL$169,1,IF($FJ211&lt;GL$169,INDEX($FK$170:$ID$241,GL$169,$FJ211),SUMPRODUCT(INDEX($FK$325:$ID$396,GL$169,1+SwaptionShift):INDEX($FK$325:$ID$396,GL$169,SwaptionMonthsToGo+SwaptionShift),INDEX($FK$245:$ID$316,$FJ211-GL$169,73-GL$169+SwaptionShift):INDEX($FK$245:$ID$316,$FJ211-GL$169,72-GL$169+SwaptionMonthsToGo+SwaptionShift))/SQRT(SUM(INDEX($FK366:$ID366,1+SwaptionShift):INDEX($FK366:$ID366,SwaptionMonthsToGo+SwaptionShift))*SUM(INDEX($FK$325:$ID$396,GL$169,1+SwaptionShift):INDEX($FK$325:$ID$396,GL$169,SwaptionMonthsToGo+SwaptionShift))))))</f>
        <v/>
      </c>
      <c r="GM211" s="150" t="str">
        <f aca="false">IF(OR(GM$169&lt;SwaptionFirstMonthPosition+1,$FJ211&lt;SwaptionFirstMonthPosition+1,GM$169&gt;SwaptionFirstMonthPosition+SwaptionNumOfMonths+1,$FJ211&gt;SwaptionFirstMonthPosition+SwaptionNumOfMonths+1),"",IF($FJ211=GM$169,1,IF($FJ211&lt;GM$169,INDEX($FK$170:$ID$241,GM$169,$FJ211),SUMPRODUCT(INDEX($FK$325:$ID$396,GM$169,1+SwaptionShift):INDEX($FK$325:$ID$396,GM$169,SwaptionMonthsToGo+SwaptionShift),INDEX($FK$245:$ID$316,$FJ211-GM$169,73-GM$169+SwaptionShift):INDEX($FK$245:$ID$316,$FJ211-GM$169,72-GM$169+SwaptionMonthsToGo+SwaptionShift))/SQRT(SUM(INDEX($FK366:$ID366,1+SwaptionShift):INDEX($FK366:$ID366,SwaptionMonthsToGo+SwaptionShift))*SUM(INDEX($FK$325:$ID$396,GM$169,1+SwaptionShift):INDEX($FK$325:$ID$396,GM$169,SwaptionMonthsToGo+SwaptionShift))))))</f>
        <v/>
      </c>
      <c r="GN211" s="150" t="str">
        <f aca="false">IF(OR(GN$169&lt;SwaptionFirstMonthPosition+1,$FJ211&lt;SwaptionFirstMonthPosition+1,GN$169&gt;SwaptionFirstMonthPosition+SwaptionNumOfMonths+1,$FJ211&gt;SwaptionFirstMonthPosition+SwaptionNumOfMonths+1),"",IF($FJ211=GN$169,1,IF($FJ211&lt;GN$169,INDEX($FK$170:$ID$241,GN$169,$FJ211),SUMPRODUCT(INDEX($FK$325:$ID$396,GN$169,1+SwaptionShift):INDEX($FK$325:$ID$396,GN$169,SwaptionMonthsToGo+SwaptionShift),INDEX($FK$245:$ID$316,$FJ211-GN$169,73-GN$169+SwaptionShift):INDEX($FK$245:$ID$316,$FJ211-GN$169,72-GN$169+SwaptionMonthsToGo+SwaptionShift))/SQRT(SUM(INDEX($FK366:$ID366,1+SwaptionShift):INDEX($FK366:$ID366,SwaptionMonthsToGo+SwaptionShift))*SUM(INDEX($FK$325:$ID$396,GN$169,1+SwaptionShift):INDEX($FK$325:$ID$396,GN$169,SwaptionMonthsToGo+SwaptionShift))))))</f>
        <v/>
      </c>
      <c r="GO211" s="150" t="str">
        <f aca="false">IF(OR(GO$169&lt;SwaptionFirstMonthPosition+1,$FJ211&lt;SwaptionFirstMonthPosition+1,GO$169&gt;SwaptionFirstMonthPosition+SwaptionNumOfMonths+1,$FJ211&gt;SwaptionFirstMonthPosition+SwaptionNumOfMonths+1),"",IF($FJ211=GO$169,1,IF($FJ211&lt;GO$169,INDEX($FK$170:$ID$241,GO$169,$FJ211),SUMPRODUCT(INDEX($FK$325:$ID$396,GO$169,1+SwaptionShift):INDEX($FK$325:$ID$396,GO$169,SwaptionMonthsToGo+SwaptionShift),INDEX($FK$245:$ID$316,$FJ211-GO$169,73-GO$169+SwaptionShift):INDEX($FK$245:$ID$316,$FJ211-GO$169,72-GO$169+SwaptionMonthsToGo+SwaptionShift))/SQRT(SUM(INDEX($FK366:$ID366,1+SwaptionShift):INDEX($FK366:$ID366,SwaptionMonthsToGo+SwaptionShift))*SUM(INDEX($FK$325:$ID$396,GO$169,1+SwaptionShift):INDEX($FK$325:$ID$396,GO$169,SwaptionMonthsToGo+SwaptionShift))))))</f>
        <v/>
      </c>
      <c r="GP211" s="150" t="str">
        <f aca="false">IF(OR(GP$169&lt;SwaptionFirstMonthPosition+1,$FJ211&lt;SwaptionFirstMonthPosition+1,GP$169&gt;SwaptionFirstMonthPosition+SwaptionNumOfMonths+1,$FJ211&gt;SwaptionFirstMonthPosition+SwaptionNumOfMonths+1),"",IF($FJ211=GP$169,1,IF($FJ211&lt;GP$169,INDEX($FK$170:$ID$241,GP$169,$FJ211),SUMPRODUCT(INDEX($FK$325:$ID$396,GP$169,1+SwaptionShift):INDEX($FK$325:$ID$396,GP$169,SwaptionMonthsToGo+SwaptionShift),INDEX($FK$245:$ID$316,$FJ211-GP$169,73-GP$169+SwaptionShift):INDEX($FK$245:$ID$316,$FJ211-GP$169,72-GP$169+SwaptionMonthsToGo+SwaptionShift))/SQRT(SUM(INDEX($FK366:$ID366,1+SwaptionShift):INDEX($FK366:$ID366,SwaptionMonthsToGo+SwaptionShift))*SUM(INDEX($FK$325:$ID$396,GP$169,1+SwaptionShift):INDEX($FK$325:$ID$396,GP$169,SwaptionMonthsToGo+SwaptionShift))))))</f>
        <v/>
      </c>
      <c r="GQ211" s="150" t="str">
        <f aca="false">IF(OR(GQ$169&lt;SwaptionFirstMonthPosition+1,$FJ211&lt;SwaptionFirstMonthPosition+1,GQ$169&gt;SwaptionFirstMonthPosition+SwaptionNumOfMonths+1,$FJ211&gt;SwaptionFirstMonthPosition+SwaptionNumOfMonths+1),"",IF($FJ211=GQ$169,1,IF($FJ211&lt;GQ$169,INDEX($FK$170:$ID$241,GQ$169,$FJ211),SUMPRODUCT(INDEX($FK$325:$ID$396,GQ$169,1+SwaptionShift):INDEX($FK$325:$ID$396,GQ$169,SwaptionMonthsToGo+SwaptionShift),INDEX($FK$245:$ID$316,$FJ211-GQ$169,73-GQ$169+SwaptionShift):INDEX($FK$245:$ID$316,$FJ211-GQ$169,72-GQ$169+SwaptionMonthsToGo+SwaptionShift))/SQRT(SUM(INDEX($FK366:$ID366,1+SwaptionShift):INDEX($FK366:$ID366,SwaptionMonthsToGo+SwaptionShift))*SUM(INDEX($FK$325:$ID$396,GQ$169,1+SwaptionShift):INDEX($FK$325:$ID$396,GQ$169,SwaptionMonthsToGo+SwaptionShift))))))</f>
        <v/>
      </c>
      <c r="GR211" s="150" t="str">
        <f aca="false">IF(OR(GR$169&lt;SwaptionFirstMonthPosition+1,$FJ211&lt;SwaptionFirstMonthPosition+1,GR$169&gt;SwaptionFirstMonthPosition+SwaptionNumOfMonths+1,$FJ211&gt;SwaptionFirstMonthPosition+SwaptionNumOfMonths+1),"",IF($FJ211=GR$169,1,IF($FJ211&lt;GR$169,INDEX($FK$170:$ID$241,GR$169,$FJ211),SUMPRODUCT(INDEX($FK$325:$ID$396,GR$169,1+SwaptionShift):INDEX($FK$325:$ID$396,GR$169,SwaptionMonthsToGo+SwaptionShift),INDEX($FK$245:$ID$316,$FJ211-GR$169,73-GR$169+SwaptionShift):INDEX($FK$245:$ID$316,$FJ211-GR$169,72-GR$169+SwaptionMonthsToGo+SwaptionShift))/SQRT(SUM(INDEX($FK366:$ID366,1+SwaptionShift):INDEX($FK366:$ID366,SwaptionMonthsToGo+SwaptionShift))*SUM(INDEX($FK$325:$ID$396,GR$169,1+SwaptionShift):INDEX($FK$325:$ID$396,GR$169,SwaptionMonthsToGo+SwaptionShift))))))</f>
        <v/>
      </c>
      <c r="GS211" s="150" t="str">
        <f aca="false">IF(OR(GS$169&lt;SwaptionFirstMonthPosition+1,$FJ211&lt;SwaptionFirstMonthPosition+1,GS$169&gt;SwaptionFirstMonthPosition+SwaptionNumOfMonths+1,$FJ211&gt;SwaptionFirstMonthPosition+SwaptionNumOfMonths+1),"",IF($FJ211=GS$169,1,IF($FJ211&lt;GS$169,INDEX($FK$170:$ID$241,GS$169,$FJ211),SUMPRODUCT(INDEX($FK$325:$ID$396,GS$169,1+SwaptionShift):INDEX($FK$325:$ID$396,GS$169,SwaptionMonthsToGo+SwaptionShift),INDEX($FK$245:$ID$316,$FJ211-GS$169,73-GS$169+SwaptionShift):INDEX($FK$245:$ID$316,$FJ211-GS$169,72-GS$169+SwaptionMonthsToGo+SwaptionShift))/SQRT(SUM(INDEX($FK366:$ID366,1+SwaptionShift):INDEX($FK366:$ID366,SwaptionMonthsToGo+SwaptionShift))*SUM(INDEX($FK$325:$ID$396,GS$169,1+SwaptionShift):INDEX($FK$325:$ID$396,GS$169,SwaptionMonthsToGo+SwaptionShift))))))</f>
        <v/>
      </c>
      <c r="GT211" s="150" t="str">
        <f aca="false">IF(OR(GT$169&lt;SwaptionFirstMonthPosition+1,$FJ211&lt;SwaptionFirstMonthPosition+1,GT$169&gt;SwaptionFirstMonthPosition+SwaptionNumOfMonths+1,$FJ211&gt;SwaptionFirstMonthPosition+SwaptionNumOfMonths+1),"",IF($FJ211=GT$169,1,IF($FJ211&lt;GT$169,INDEX($FK$170:$ID$241,GT$169,$FJ211),SUMPRODUCT(INDEX($FK$325:$ID$396,GT$169,1+SwaptionShift):INDEX($FK$325:$ID$396,GT$169,SwaptionMonthsToGo+SwaptionShift),INDEX($FK$245:$ID$316,$FJ211-GT$169,73-GT$169+SwaptionShift):INDEX($FK$245:$ID$316,$FJ211-GT$169,72-GT$169+SwaptionMonthsToGo+SwaptionShift))/SQRT(SUM(INDEX($FK366:$ID366,1+SwaptionShift):INDEX($FK366:$ID366,SwaptionMonthsToGo+SwaptionShift))*SUM(INDEX($FK$325:$ID$396,GT$169,1+SwaptionShift):INDEX($FK$325:$ID$396,GT$169,SwaptionMonthsToGo+SwaptionShift))))))</f>
        <v/>
      </c>
      <c r="GU211" s="150" t="str">
        <f aca="false">IF(OR(GU$169&lt;SwaptionFirstMonthPosition+1,$FJ211&lt;SwaptionFirstMonthPosition+1,GU$169&gt;SwaptionFirstMonthPosition+SwaptionNumOfMonths+1,$FJ211&gt;SwaptionFirstMonthPosition+SwaptionNumOfMonths+1),"",IF($FJ211=GU$169,1,IF($FJ211&lt;GU$169,INDEX($FK$170:$ID$241,GU$169,$FJ211),SUMPRODUCT(INDEX($FK$325:$ID$396,GU$169,1+SwaptionShift):INDEX($FK$325:$ID$396,GU$169,SwaptionMonthsToGo+SwaptionShift),INDEX($FK$245:$ID$316,$FJ211-GU$169,73-GU$169+SwaptionShift):INDEX($FK$245:$ID$316,$FJ211-GU$169,72-GU$169+SwaptionMonthsToGo+SwaptionShift))/SQRT(SUM(INDEX($FK366:$ID366,1+SwaptionShift):INDEX($FK366:$ID366,SwaptionMonthsToGo+SwaptionShift))*SUM(INDEX($FK$325:$ID$396,GU$169,1+SwaptionShift):INDEX($FK$325:$ID$396,GU$169,SwaptionMonthsToGo+SwaptionShift))))))</f>
        <v/>
      </c>
      <c r="GV211" s="150" t="str">
        <f aca="false">IF(OR(GV$169&lt;SwaptionFirstMonthPosition+1,$FJ211&lt;SwaptionFirstMonthPosition+1,GV$169&gt;SwaptionFirstMonthPosition+SwaptionNumOfMonths+1,$FJ211&gt;SwaptionFirstMonthPosition+SwaptionNumOfMonths+1),"",IF($FJ211=GV$169,1,IF($FJ211&lt;GV$169,INDEX($FK$170:$ID$241,GV$169,$FJ211),SUMPRODUCT(INDEX($FK$325:$ID$396,GV$169,1+SwaptionShift):INDEX($FK$325:$ID$396,GV$169,SwaptionMonthsToGo+SwaptionShift),INDEX($FK$245:$ID$316,$FJ211-GV$169,73-GV$169+SwaptionShift):INDEX($FK$245:$ID$316,$FJ211-GV$169,72-GV$169+SwaptionMonthsToGo+SwaptionShift))/SQRT(SUM(INDEX($FK366:$ID366,1+SwaptionShift):INDEX($FK366:$ID366,SwaptionMonthsToGo+SwaptionShift))*SUM(INDEX($FK$325:$ID$396,GV$169,1+SwaptionShift):INDEX($FK$325:$ID$396,GV$169,SwaptionMonthsToGo+SwaptionShift))))))</f>
        <v/>
      </c>
      <c r="GW211" s="150" t="str">
        <f aca="false">IF(OR(GW$169&lt;SwaptionFirstMonthPosition+1,$FJ211&lt;SwaptionFirstMonthPosition+1,GW$169&gt;SwaptionFirstMonthPosition+SwaptionNumOfMonths+1,$FJ211&gt;SwaptionFirstMonthPosition+SwaptionNumOfMonths+1),"",IF($FJ211=GW$169,1,IF($FJ211&lt;GW$169,INDEX($FK$170:$ID$241,GW$169,$FJ211),SUMPRODUCT(INDEX($FK$325:$ID$396,GW$169,1+SwaptionShift):INDEX($FK$325:$ID$396,GW$169,SwaptionMonthsToGo+SwaptionShift),INDEX($FK$245:$ID$316,$FJ211-GW$169,73-GW$169+SwaptionShift):INDEX($FK$245:$ID$316,$FJ211-GW$169,72-GW$169+SwaptionMonthsToGo+SwaptionShift))/SQRT(SUM(INDEX($FK366:$ID366,1+SwaptionShift):INDEX($FK366:$ID366,SwaptionMonthsToGo+SwaptionShift))*SUM(INDEX($FK$325:$ID$396,GW$169,1+SwaptionShift):INDEX($FK$325:$ID$396,GW$169,SwaptionMonthsToGo+SwaptionShift))))))</f>
        <v/>
      </c>
      <c r="GX211" s="150" t="str">
        <f aca="false">IF(OR(GX$169&lt;SwaptionFirstMonthPosition+1,$FJ211&lt;SwaptionFirstMonthPosition+1,GX$169&gt;SwaptionFirstMonthPosition+SwaptionNumOfMonths+1,$FJ211&gt;SwaptionFirstMonthPosition+SwaptionNumOfMonths+1),"",IF($FJ211=GX$169,1,IF($FJ211&lt;GX$169,INDEX($FK$170:$ID$241,GX$169,$FJ211),SUMPRODUCT(INDEX($FK$325:$ID$396,GX$169,1+SwaptionShift):INDEX($FK$325:$ID$396,GX$169,SwaptionMonthsToGo+SwaptionShift),INDEX($FK$245:$ID$316,$FJ211-GX$169,73-GX$169+SwaptionShift):INDEX($FK$245:$ID$316,$FJ211-GX$169,72-GX$169+SwaptionMonthsToGo+SwaptionShift))/SQRT(SUM(INDEX($FK366:$ID366,1+SwaptionShift):INDEX($FK366:$ID366,SwaptionMonthsToGo+SwaptionShift))*SUM(INDEX($FK$325:$ID$396,GX$169,1+SwaptionShift):INDEX($FK$325:$ID$396,GX$169,SwaptionMonthsToGo+SwaptionShift))))))</f>
        <v/>
      </c>
      <c r="GY211" s="150" t="str">
        <f aca="false">IF(OR(GY$169&lt;SwaptionFirstMonthPosition+1,$FJ211&lt;SwaptionFirstMonthPosition+1,GY$169&gt;SwaptionFirstMonthPosition+SwaptionNumOfMonths+1,$FJ211&gt;SwaptionFirstMonthPosition+SwaptionNumOfMonths+1),"",IF($FJ211=GY$169,1,IF($FJ211&lt;GY$169,INDEX($FK$170:$ID$241,GY$169,$FJ211),SUMPRODUCT(INDEX($FK$325:$ID$396,GY$169,1+SwaptionShift):INDEX($FK$325:$ID$396,GY$169,SwaptionMonthsToGo+SwaptionShift),INDEX($FK$245:$ID$316,$FJ211-GY$169,73-GY$169+SwaptionShift):INDEX($FK$245:$ID$316,$FJ211-GY$169,72-GY$169+SwaptionMonthsToGo+SwaptionShift))/SQRT(SUM(INDEX($FK366:$ID366,1+SwaptionShift):INDEX($FK366:$ID366,SwaptionMonthsToGo+SwaptionShift))*SUM(INDEX($FK$325:$ID$396,GY$169,1+SwaptionShift):INDEX($FK$325:$ID$396,GY$169,SwaptionMonthsToGo+SwaptionShift))))))</f>
        <v/>
      </c>
      <c r="GZ211" s="150" t="str">
        <f aca="false">IF(OR(GZ$169&lt;SwaptionFirstMonthPosition+1,$FJ211&lt;SwaptionFirstMonthPosition+1,GZ$169&gt;SwaptionFirstMonthPosition+SwaptionNumOfMonths+1,$FJ211&gt;SwaptionFirstMonthPosition+SwaptionNumOfMonths+1),"",IF($FJ211=GZ$169,1,IF($FJ211&lt;GZ$169,INDEX($FK$170:$ID$241,GZ$169,$FJ211),SUMPRODUCT(INDEX($FK$325:$ID$396,GZ$169,1+SwaptionShift):INDEX($FK$325:$ID$396,GZ$169,SwaptionMonthsToGo+SwaptionShift),INDEX($FK$245:$ID$316,$FJ211-GZ$169,73-GZ$169+SwaptionShift):INDEX($FK$245:$ID$316,$FJ211-GZ$169,72-GZ$169+SwaptionMonthsToGo+SwaptionShift))/SQRT(SUM(INDEX($FK366:$ID366,1+SwaptionShift):INDEX($FK366:$ID366,SwaptionMonthsToGo+SwaptionShift))*SUM(INDEX($FK$325:$ID$396,GZ$169,1+SwaptionShift):INDEX($FK$325:$ID$396,GZ$169,SwaptionMonthsToGo+SwaptionShift))))))</f>
        <v/>
      </c>
      <c r="HA211" s="150" t="str">
        <f aca="false">IF(OR(HA$169&lt;SwaptionFirstMonthPosition+1,$FJ211&lt;SwaptionFirstMonthPosition+1,HA$169&gt;SwaptionFirstMonthPosition+SwaptionNumOfMonths+1,$FJ211&gt;SwaptionFirstMonthPosition+SwaptionNumOfMonths+1),"",IF($FJ211=HA$169,1,IF($FJ211&lt;HA$169,INDEX($FK$170:$ID$241,HA$169,$FJ211),SUMPRODUCT(INDEX($FK$325:$ID$396,HA$169,1+SwaptionShift):INDEX($FK$325:$ID$396,HA$169,SwaptionMonthsToGo+SwaptionShift),INDEX($FK$245:$ID$316,$FJ211-HA$169,73-HA$169+SwaptionShift):INDEX($FK$245:$ID$316,$FJ211-HA$169,72-HA$169+SwaptionMonthsToGo+SwaptionShift))/SQRT(SUM(INDEX($FK366:$ID366,1+SwaptionShift):INDEX($FK366:$ID366,SwaptionMonthsToGo+SwaptionShift))*SUM(INDEX($FK$325:$ID$396,HA$169,1+SwaptionShift):INDEX($FK$325:$ID$396,HA$169,SwaptionMonthsToGo+SwaptionShift))))))</f>
        <v/>
      </c>
      <c r="HB211" s="150" t="str">
        <f aca="false">IF(OR(HB$169&lt;SwaptionFirstMonthPosition+1,$FJ211&lt;SwaptionFirstMonthPosition+1,HB$169&gt;SwaptionFirstMonthPosition+SwaptionNumOfMonths+1,$FJ211&gt;SwaptionFirstMonthPosition+SwaptionNumOfMonths+1),"",IF($FJ211=HB$169,1,IF($FJ211&lt;HB$169,INDEX($FK$170:$ID$241,HB$169,$FJ211),SUMPRODUCT(INDEX($FK$325:$ID$396,HB$169,1+SwaptionShift):INDEX($FK$325:$ID$396,HB$169,SwaptionMonthsToGo+SwaptionShift),INDEX($FK$245:$ID$316,$FJ211-HB$169,73-HB$169+SwaptionShift):INDEX($FK$245:$ID$316,$FJ211-HB$169,72-HB$169+SwaptionMonthsToGo+SwaptionShift))/SQRT(SUM(INDEX($FK366:$ID366,1+SwaptionShift):INDEX($FK366:$ID366,SwaptionMonthsToGo+SwaptionShift))*SUM(INDEX($FK$325:$ID$396,HB$169,1+SwaptionShift):INDEX($FK$325:$ID$396,HB$169,SwaptionMonthsToGo+SwaptionShift))))))</f>
        <v/>
      </c>
      <c r="HC211" s="150" t="str">
        <f aca="false">IF(OR(HC$169&lt;SwaptionFirstMonthPosition+1,$FJ211&lt;SwaptionFirstMonthPosition+1,HC$169&gt;SwaptionFirstMonthPosition+SwaptionNumOfMonths+1,$FJ211&gt;SwaptionFirstMonthPosition+SwaptionNumOfMonths+1),"",IF($FJ211=HC$169,1,IF($FJ211&lt;HC$169,INDEX($FK$170:$ID$241,HC$169,$FJ211),SUMPRODUCT(INDEX($FK$325:$ID$396,HC$169,1+SwaptionShift):INDEX($FK$325:$ID$396,HC$169,SwaptionMonthsToGo+SwaptionShift),INDEX($FK$245:$ID$316,$FJ211-HC$169,73-HC$169+SwaptionShift):INDEX($FK$245:$ID$316,$FJ211-HC$169,72-HC$169+SwaptionMonthsToGo+SwaptionShift))/SQRT(SUM(INDEX($FK366:$ID366,1+SwaptionShift):INDEX($FK366:$ID366,SwaptionMonthsToGo+SwaptionShift))*SUM(INDEX($FK$325:$ID$396,HC$169,1+SwaptionShift):INDEX($FK$325:$ID$396,HC$169,SwaptionMonthsToGo+SwaptionShift))))))</f>
        <v/>
      </c>
      <c r="HD211" s="150" t="str">
        <f aca="false">IF(OR(HD$169&lt;SwaptionFirstMonthPosition+1,$FJ211&lt;SwaptionFirstMonthPosition+1,HD$169&gt;SwaptionFirstMonthPosition+SwaptionNumOfMonths+1,$FJ211&gt;SwaptionFirstMonthPosition+SwaptionNumOfMonths+1),"",IF($FJ211=HD$169,1,IF($FJ211&lt;HD$169,INDEX($FK$170:$ID$241,HD$169,$FJ211),SUMPRODUCT(INDEX($FK$325:$ID$396,HD$169,1+SwaptionShift):INDEX($FK$325:$ID$396,HD$169,SwaptionMonthsToGo+SwaptionShift),INDEX($FK$245:$ID$316,$FJ211-HD$169,73-HD$169+SwaptionShift):INDEX($FK$245:$ID$316,$FJ211-HD$169,72-HD$169+SwaptionMonthsToGo+SwaptionShift))/SQRT(SUM(INDEX($FK366:$ID366,1+SwaptionShift):INDEX($FK366:$ID366,SwaptionMonthsToGo+SwaptionShift))*SUM(INDEX($FK$325:$ID$396,HD$169,1+SwaptionShift):INDEX($FK$325:$ID$396,HD$169,SwaptionMonthsToGo+SwaptionShift))))))</f>
        <v/>
      </c>
      <c r="HE211" s="150" t="str">
        <f aca="false">IF(OR(HE$169&lt;SwaptionFirstMonthPosition+1,$FJ211&lt;SwaptionFirstMonthPosition+1,HE$169&gt;SwaptionFirstMonthPosition+SwaptionNumOfMonths+1,$FJ211&gt;SwaptionFirstMonthPosition+SwaptionNumOfMonths+1),"",IF($FJ211=HE$169,1,IF($FJ211&lt;HE$169,INDEX($FK$170:$ID$241,HE$169,$FJ211),SUMPRODUCT(INDEX($FK$325:$ID$396,HE$169,1+SwaptionShift):INDEX($FK$325:$ID$396,HE$169,SwaptionMonthsToGo+SwaptionShift),INDEX($FK$245:$ID$316,$FJ211-HE$169,73-HE$169+SwaptionShift):INDEX($FK$245:$ID$316,$FJ211-HE$169,72-HE$169+SwaptionMonthsToGo+SwaptionShift))/SQRT(SUM(INDEX($FK366:$ID366,1+SwaptionShift):INDEX($FK366:$ID366,SwaptionMonthsToGo+SwaptionShift))*SUM(INDEX($FK$325:$ID$396,HE$169,1+SwaptionShift):INDEX($FK$325:$ID$396,HE$169,SwaptionMonthsToGo+SwaptionShift))))))</f>
        <v/>
      </c>
      <c r="HF211" s="150" t="str">
        <f aca="false">IF(OR(HF$169&lt;SwaptionFirstMonthPosition+1,$FJ211&lt;SwaptionFirstMonthPosition+1,HF$169&gt;SwaptionFirstMonthPosition+SwaptionNumOfMonths+1,$FJ211&gt;SwaptionFirstMonthPosition+SwaptionNumOfMonths+1),"",IF($FJ211=HF$169,1,IF($FJ211&lt;HF$169,INDEX($FK$170:$ID$241,HF$169,$FJ211),SUMPRODUCT(INDEX($FK$325:$ID$396,HF$169,1+SwaptionShift):INDEX($FK$325:$ID$396,HF$169,SwaptionMonthsToGo+SwaptionShift),INDEX($FK$245:$ID$316,$FJ211-HF$169,73-HF$169+SwaptionShift):INDEX($FK$245:$ID$316,$FJ211-HF$169,72-HF$169+SwaptionMonthsToGo+SwaptionShift))/SQRT(SUM(INDEX($FK366:$ID366,1+SwaptionShift):INDEX($FK366:$ID366,SwaptionMonthsToGo+SwaptionShift))*SUM(INDEX($FK$325:$ID$396,HF$169,1+SwaptionShift):INDEX($FK$325:$ID$396,HF$169,SwaptionMonthsToGo+SwaptionShift))))))</f>
        <v/>
      </c>
      <c r="HG211" s="150" t="str">
        <f aca="false">IF(OR(HG$169&lt;SwaptionFirstMonthPosition+1,$FJ211&lt;SwaptionFirstMonthPosition+1,HG$169&gt;SwaptionFirstMonthPosition+SwaptionNumOfMonths+1,$FJ211&gt;SwaptionFirstMonthPosition+SwaptionNumOfMonths+1),"",IF($FJ211=HG$169,1,IF($FJ211&lt;HG$169,INDEX($FK$170:$ID$241,HG$169,$FJ211),SUMPRODUCT(INDEX($FK$325:$ID$396,HG$169,1+SwaptionShift):INDEX($FK$325:$ID$396,HG$169,SwaptionMonthsToGo+SwaptionShift),INDEX($FK$245:$ID$316,$FJ211-HG$169,73-HG$169+SwaptionShift):INDEX($FK$245:$ID$316,$FJ211-HG$169,72-HG$169+SwaptionMonthsToGo+SwaptionShift))/SQRT(SUM(INDEX($FK366:$ID366,1+SwaptionShift):INDEX($FK366:$ID366,SwaptionMonthsToGo+SwaptionShift))*SUM(INDEX($FK$325:$ID$396,HG$169,1+SwaptionShift):INDEX($FK$325:$ID$396,HG$169,SwaptionMonthsToGo+SwaptionShift))))))</f>
        <v/>
      </c>
      <c r="HH211" s="150" t="str">
        <f aca="false">IF(OR(HH$169&lt;SwaptionFirstMonthPosition+1,$FJ211&lt;SwaptionFirstMonthPosition+1,HH$169&gt;SwaptionFirstMonthPosition+SwaptionNumOfMonths+1,$FJ211&gt;SwaptionFirstMonthPosition+SwaptionNumOfMonths+1),"",IF($FJ211=HH$169,1,IF($FJ211&lt;HH$169,INDEX($FK$170:$ID$241,HH$169,$FJ211),SUMPRODUCT(INDEX($FK$325:$ID$396,HH$169,1+SwaptionShift):INDEX($FK$325:$ID$396,HH$169,SwaptionMonthsToGo+SwaptionShift),INDEX($FK$245:$ID$316,$FJ211-HH$169,73-HH$169+SwaptionShift):INDEX($FK$245:$ID$316,$FJ211-HH$169,72-HH$169+SwaptionMonthsToGo+SwaptionShift))/SQRT(SUM(INDEX($FK366:$ID366,1+SwaptionShift):INDEX($FK366:$ID366,SwaptionMonthsToGo+SwaptionShift))*SUM(INDEX($FK$325:$ID$396,HH$169,1+SwaptionShift):INDEX($FK$325:$ID$396,HH$169,SwaptionMonthsToGo+SwaptionShift))))))</f>
        <v/>
      </c>
      <c r="HI211" s="150" t="str">
        <f aca="false">IF(OR(HI$169&lt;SwaptionFirstMonthPosition+1,$FJ211&lt;SwaptionFirstMonthPosition+1,HI$169&gt;SwaptionFirstMonthPosition+SwaptionNumOfMonths+1,$FJ211&gt;SwaptionFirstMonthPosition+SwaptionNumOfMonths+1),"",IF($FJ211=HI$169,1,IF($FJ211&lt;HI$169,INDEX($FK$170:$ID$241,HI$169,$FJ211),SUMPRODUCT(INDEX($FK$325:$ID$396,HI$169,1+SwaptionShift):INDEX($FK$325:$ID$396,HI$169,SwaptionMonthsToGo+SwaptionShift),INDEX($FK$245:$ID$316,$FJ211-HI$169,73-HI$169+SwaptionShift):INDEX($FK$245:$ID$316,$FJ211-HI$169,72-HI$169+SwaptionMonthsToGo+SwaptionShift))/SQRT(SUM(INDEX($FK366:$ID366,1+SwaptionShift):INDEX($FK366:$ID366,SwaptionMonthsToGo+SwaptionShift))*SUM(INDEX($FK$325:$ID$396,HI$169,1+SwaptionShift):INDEX($FK$325:$ID$396,HI$169,SwaptionMonthsToGo+SwaptionShift))))))</f>
        <v/>
      </c>
      <c r="HJ211" s="150" t="str">
        <f aca="false">IF(OR(HJ$169&lt;SwaptionFirstMonthPosition+1,$FJ211&lt;SwaptionFirstMonthPosition+1,HJ$169&gt;SwaptionFirstMonthPosition+SwaptionNumOfMonths+1,$FJ211&gt;SwaptionFirstMonthPosition+SwaptionNumOfMonths+1),"",IF($FJ211=HJ$169,1,IF($FJ211&lt;HJ$169,INDEX($FK$170:$ID$241,HJ$169,$FJ211),SUMPRODUCT(INDEX($FK$325:$ID$396,HJ$169,1+SwaptionShift):INDEX($FK$325:$ID$396,HJ$169,SwaptionMonthsToGo+SwaptionShift),INDEX($FK$245:$ID$316,$FJ211-HJ$169,73-HJ$169+SwaptionShift):INDEX($FK$245:$ID$316,$FJ211-HJ$169,72-HJ$169+SwaptionMonthsToGo+SwaptionShift))/SQRT(SUM(INDEX($FK366:$ID366,1+SwaptionShift):INDEX($FK366:$ID366,SwaptionMonthsToGo+SwaptionShift))*SUM(INDEX($FK$325:$ID$396,HJ$169,1+SwaptionShift):INDEX($FK$325:$ID$396,HJ$169,SwaptionMonthsToGo+SwaptionShift))))))</f>
        <v/>
      </c>
      <c r="HK211" s="150" t="str">
        <f aca="false">IF(OR(HK$169&lt;SwaptionFirstMonthPosition+1,$FJ211&lt;SwaptionFirstMonthPosition+1,HK$169&gt;SwaptionFirstMonthPosition+SwaptionNumOfMonths+1,$FJ211&gt;SwaptionFirstMonthPosition+SwaptionNumOfMonths+1),"",IF($FJ211=HK$169,1,IF($FJ211&lt;HK$169,INDEX($FK$170:$ID$241,HK$169,$FJ211),SUMPRODUCT(INDEX($FK$325:$ID$396,HK$169,1+SwaptionShift):INDEX($FK$325:$ID$396,HK$169,SwaptionMonthsToGo+SwaptionShift),INDEX($FK$245:$ID$316,$FJ211-HK$169,73-HK$169+SwaptionShift):INDEX($FK$245:$ID$316,$FJ211-HK$169,72-HK$169+SwaptionMonthsToGo+SwaptionShift))/SQRT(SUM(INDEX($FK366:$ID366,1+SwaptionShift):INDEX($FK366:$ID366,SwaptionMonthsToGo+SwaptionShift))*SUM(INDEX($FK$325:$ID$396,HK$169,1+SwaptionShift):INDEX($FK$325:$ID$396,HK$169,SwaptionMonthsToGo+SwaptionShift))))))</f>
        <v/>
      </c>
      <c r="HL211" s="150" t="str">
        <f aca="false">IF(OR(HL$169&lt;SwaptionFirstMonthPosition+1,$FJ211&lt;SwaptionFirstMonthPosition+1,HL$169&gt;SwaptionFirstMonthPosition+SwaptionNumOfMonths+1,$FJ211&gt;SwaptionFirstMonthPosition+SwaptionNumOfMonths+1),"",IF($FJ211=HL$169,1,IF($FJ211&lt;HL$169,INDEX($FK$170:$ID$241,HL$169,$FJ211),SUMPRODUCT(INDEX($FK$325:$ID$396,HL$169,1+SwaptionShift):INDEX($FK$325:$ID$396,HL$169,SwaptionMonthsToGo+SwaptionShift),INDEX($FK$245:$ID$316,$FJ211-HL$169,73-HL$169+SwaptionShift):INDEX($FK$245:$ID$316,$FJ211-HL$169,72-HL$169+SwaptionMonthsToGo+SwaptionShift))/SQRT(SUM(INDEX($FK366:$ID366,1+SwaptionShift):INDEX($FK366:$ID366,SwaptionMonthsToGo+SwaptionShift))*SUM(INDEX($FK$325:$ID$396,HL$169,1+SwaptionShift):INDEX($FK$325:$ID$396,HL$169,SwaptionMonthsToGo+SwaptionShift))))))</f>
        <v/>
      </c>
      <c r="HM211" s="150" t="str">
        <f aca="false">IF(OR(HM$169&lt;SwaptionFirstMonthPosition+1,$FJ211&lt;SwaptionFirstMonthPosition+1,HM$169&gt;SwaptionFirstMonthPosition+SwaptionNumOfMonths+1,$FJ211&gt;SwaptionFirstMonthPosition+SwaptionNumOfMonths+1),"",IF($FJ211=HM$169,1,IF($FJ211&lt;HM$169,INDEX($FK$170:$ID$241,HM$169,$FJ211),SUMPRODUCT(INDEX($FK$325:$ID$396,HM$169,1+SwaptionShift):INDEX($FK$325:$ID$396,HM$169,SwaptionMonthsToGo+SwaptionShift),INDEX($FK$245:$ID$316,$FJ211-HM$169,73-HM$169+SwaptionShift):INDEX($FK$245:$ID$316,$FJ211-HM$169,72-HM$169+SwaptionMonthsToGo+SwaptionShift))/SQRT(SUM(INDEX($FK366:$ID366,1+SwaptionShift):INDEX($FK366:$ID366,SwaptionMonthsToGo+SwaptionShift))*SUM(INDEX($FK$325:$ID$396,HM$169,1+SwaptionShift):INDEX($FK$325:$ID$396,HM$169,SwaptionMonthsToGo+SwaptionShift))))))</f>
        <v/>
      </c>
      <c r="HN211" s="150" t="str">
        <f aca="false">IF(OR(HN$169&lt;SwaptionFirstMonthPosition+1,$FJ211&lt;SwaptionFirstMonthPosition+1,HN$169&gt;SwaptionFirstMonthPosition+SwaptionNumOfMonths+1,$FJ211&gt;SwaptionFirstMonthPosition+SwaptionNumOfMonths+1),"",IF($FJ211=HN$169,1,IF($FJ211&lt;HN$169,INDEX($FK$170:$ID$241,HN$169,$FJ211),SUMPRODUCT(INDEX($FK$325:$ID$396,HN$169,1+SwaptionShift):INDEX($FK$325:$ID$396,HN$169,SwaptionMonthsToGo+SwaptionShift),INDEX($FK$245:$ID$316,$FJ211-HN$169,73-HN$169+SwaptionShift):INDEX($FK$245:$ID$316,$FJ211-HN$169,72-HN$169+SwaptionMonthsToGo+SwaptionShift))/SQRT(SUM(INDEX($FK366:$ID366,1+SwaptionShift):INDEX($FK366:$ID366,SwaptionMonthsToGo+SwaptionShift))*SUM(INDEX($FK$325:$ID$396,HN$169,1+SwaptionShift):INDEX($FK$325:$ID$396,HN$169,SwaptionMonthsToGo+SwaptionShift))))))</f>
        <v/>
      </c>
      <c r="HO211" s="150" t="str">
        <f aca="false">IF(OR(HO$169&lt;SwaptionFirstMonthPosition+1,$FJ211&lt;SwaptionFirstMonthPosition+1,HO$169&gt;SwaptionFirstMonthPosition+SwaptionNumOfMonths+1,$FJ211&gt;SwaptionFirstMonthPosition+SwaptionNumOfMonths+1),"",IF($FJ211=HO$169,1,IF($FJ211&lt;HO$169,INDEX($FK$170:$ID$241,HO$169,$FJ211),SUMPRODUCT(INDEX($FK$325:$ID$396,HO$169,1+SwaptionShift):INDEX($FK$325:$ID$396,HO$169,SwaptionMonthsToGo+SwaptionShift),INDEX($FK$245:$ID$316,$FJ211-HO$169,73-HO$169+SwaptionShift):INDEX($FK$245:$ID$316,$FJ211-HO$169,72-HO$169+SwaptionMonthsToGo+SwaptionShift))/SQRT(SUM(INDEX($FK366:$ID366,1+SwaptionShift):INDEX($FK366:$ID366,SwaptionMonthsToGo+SwaptionShift))*SUM(INDEX($FK$325:$ID$396,HO$169,1+SwaptionShift):INDEX($FK$325:$ID$396,HO$169,SwaptionMonthsToGo+SwaptionShift))))))</f>
        <v/>
      </c>
      <c r="HP211" s="150" t="str">
        <f aca="false">IF(OR(HP$169&lt;SwaptionFirstMonthPosition+1,$FJ211&lt;SwaptionFirstMonthPosition+1,HP$169&gt;SwaptionFirstMonthPosition+SwaptionNumOfMonths+1,$FJ211&gt;SwaptionFirstMonthPosition+SwaptionNumOfMonths+1),"",IF($FJ211=HP$169,1,IF($FJ211&lt;HP$169,INDEX($FK$170:$ID$241,HP$169,$FJ211),SUMPRODUCT(INDEX($FK$325:$ID$396,HP$169,1+SwaptionShift):INDEX($FK$325:$ID$396,HP$169,SwaptionMonthsToGo+SwaptionShift),INDEX($FK$245:$ID$316,$FJ211-HP$169,73-HP$169+SwaptionShift):INDEX($FK$245:$ID$316,$FJ211-HP$169,72-HP$169+SwaptionMonthsToGo+SwaptionShift))/SQRT(SUM(INDEX($FK366:$ID366,1+SwaptionShift):INDEX($FK366:$ID366,SwaptionMonthsToGo+SwaptionShift))*SUM(INDEX($FK$325:$ID$396,HP$169,1+SwaptionShift):INDEX($FK$325:$ID$396,HP$169,SwaptionMonthsToGo+SwaptionShift))))))</f>
        <v/>
      </c>
      <c r="HQ211" s="150" t="str">
        <f aca="false">IF(OR(HQ$169&lt;SwaptionFirstMonthPosition+1,$FJ211&lt;SwaptionFirstMonthPosition+1,HQ$169&gt;SwaptionFirstMonthPosition+SwaptionNumOfMonths+1,$FJ211&gt;SwaptionFirstMonthPosition+SwaptionNumOfMonths+1),"",IF($FJ211=HQ$169,1,IF($FJ211&lt;HQ$169,INDEX($FK$170:$ID$241,HQ$169,$FJ211),SUMPRODUCT(INDEX($FK$325:$ID$396,HQ$169,1+SwaptionShift):INDEX($FK$325:$ID$396,HQ$169,SwaptionMonthsToGo+SwaptionShift),INDEX($FK$245:$ID$316,$FJ211-HQ$169,73-HQ$169+SwaptionShift):INDEX($FK$245:$ID$316,$FJ211-HQ$169,72-HQ$169+SwaptionMonthsToGo+SwaptionShift))/SQRT(SUM(INDEX($FK366:$ID366,1+SwaptionShift):INDEX($FK366:$ID366,SwaptionMonthsToGo+SwaptionShift))*SUM(INDEX($FK$325:$ID$396,HQ$169,1+SwaptionShift):INDEX($FK$325:$ID$396,HQ$169,SwaptionMonthsToGo+SwaptionShift))))))</f>
        <v/>
      </c>
      <c r="HR211" s="150" t="str">
        <f aca="false">IF(OR(HR$169&lt;SwaptionFirstMonthPosition+1,$FJ211&lt;SwaptionFirstMonthPosition+1,HR$169&gt;SwaptionFirstMonthPosition+SwaptionNumOfMonths+1,$FJ211&gt;SwaptionFirstMonthPosition+SwaptionNumOfMonths+1),"",IF($FJ211=HR$169,1,IF($FJ211&lt;HR$169,INDEX($FK$170:$ID$241,HR$169,$FJ211),SUMPRODUCT(INDEX($FK$325:$ID$396,HR$169,1+SwaptionShift):INDEX($FK$325:$ID$396,HR$169,SwaptionMonthsToGo+SwaptionShift),INDEX($FK$245:$ID$316,$FJ211-HR$169,73-HR$169+SwaptionShift):INDEX($FK$245:$ID$316,$FJ211-HR$169,72-HR$169+SwaptionMonthsToGo+SwaptionShift))/SQRT(SUM(INDEX($FK366:$ID366,1+SwaptionShift):INDEX($FK366:$ID366,SwaptionMonthsToGo+SwaptionShift))*SUM(INDEX($FK$325:$ID$396,HR$169,1+SwaptionShift):INDEX($FK$325:$ID$396,HR$169,SwaptionMonthsToGo+SwaptionShift))))))</f>
        <v/>
      </c>
      <c r="HS211" s="150" t="str">
        <f aca="false">IF(OR(HS$169&lt;SwaptionFirstMonthPosition+1,$FJ211&lt;SwaptionFirstMonthPosition+1,HS$169&gt;SwaptionFirstMonthPosition+SwaptionNumOfMonths+1,$FJ211&gt;SwaptionFirstMonthPosition+SwaptionNumOfMonths+1),"",IF($FJ211=HS$169,1,IF($FJ211&lt;HS$169,INDEX($FK$170:$ID$241,HS$169,$FJ211),SUMPRODUCT(INDEX($FK$325:$ID$396,HS$169,1+SwaptionShift):INDEX($FK$325:$ID$396,HS$169,SwaptionMonthsToGo+SwaptionShift),INDEX($FK$245:$ID$316,$FJ211-HS$169,73-HS$169+SwaptionShift):INDEX($FK$245:$ID$316,$FJ211-HS$169,72-HS$169+SwaptionMonthsToGo+SwaptionShift))/SQRT(SUM(INDEX($FK366:$ID366,1+SwaptionShift):INDEX($FK366:$ID366,SwaptionMonthsToGo+SwaptionShift))*SUM(INDEX($FK$325:$ID$396,HS$169,1+SwaptionShift):INDEX($FK$325:$ID$396,HS$169,SwaptionMonthsToGo+SwaptionShift))))))</f>
        <v/>
      </c>
      <c r="HT211" s="150" t="str">
        <f aca="false">IF(OR(HT$169&lt;SwaptionFirstMonthPosition+1,$FJ211&lt;SwaptionFirstMonthPosition+1,HT$169&gt;SwaptionFirstMonthPosition+SwaptionNumOfMonths+1,$FJ211&gt;SwaptionFirstMonthPosition+SwaptionNumOfMonths+1),"",IF($FJ211=HT$169,1,IF($FJ211&lt;HT$169,INDEX($FK$170:$ID$241,HT$169,$FJ211),SUMPRODUCT(INDEX($FK$325:$ID$396,HT$169,1+SwaptionShift):INDEX($FK$325:$ID$396,HT$169,SwaptionMonthsToGo+SwaptionShift),INDEX($FK$245:$ID$316,$FJ211-HT$169,73-HT$169+SwaptionShift):INDEX($FK$245:$ID$316,$FJ211-HT$169,72-HT$169+SwaptionMonthsToGo+SwaptionShift))/SQRT(SUM(INDEX($FK366:$ID366,1+SwaptionShift):INDEX($FK366:$ID366,SwaptionMonthsToGo+SwaptionShift))*SUM(INDEX($FK$325:$ID$396,HT$169,1+SwaptionShift):INDEX($FK$325:$ID$396,HT$169,SwaptionMonthsToGo+SwaptionShift))))))</f>
        <v/>
      </c>
      <c r="HU211" s="150" t="str">
        <f aca="false">IF(OR(HU$169&lt;SwaptionFirstMonthPosition+1,$FJ211&lt;SwaptionFirstMonthPosition+1,HU$169&gt;SwaptionFirstMonthPosition+SwaptionNumOfMonths+1,$FJ211&gt;SwaptionFirstMonthPosition+SwaptionNumOfMonths+1),"",IF($FJ211=HU$169,1,IF($FJ211&lt;HU$169,INDEX($FK$170:$ID$241,HU$169,$FJ211),SUMPRODUCT(INDEX($FK$325:$ID$396,HU$169,1+SwaptionShift):INDEX($FK$325:$ID$396,HU$169,SwaptionMonthsToGo+SwaptionShift),INDEX($FK$245:$ID$316,$FJ211-HU$169,73-HU$169+SwaptionShift):INDEX($FK$245:$ID$316,$FJ211-HU$169,72-HU$169+SwaptionMonthsToGo+SwaptionShift))/SQRT(SUM(INDEX($FK366:$ID366,1+SwaptionShift):INDEX($FK366:$ID366,SwaptionMonthsToGo+SwaptionShift))*SUM(INDEX($FK$325:$ID$396,HU$169,1+SwaptionShift):INDEX($FK$325:$ID$396,HU$169,SwaptionMonthsToGo+SwaptionShift))))))</f>
        <v/>
      </c>
      <c r="HV211" s="150" t="str">
        <f aca="false">IF(OR(HV$169&lt;SwaptionFirstMonthPosition+1,$FJ211&lt;SwaptionFirstMonthPosition+1,HV$169&gt;SwaptionFirstMonthPosition+SwaptionNumOfMonths+1,$FJ211&gt;SwaptionFirstMonthPosition+SwaptionNumOfMonths+1),"",IF($FJ211=HV$169,1,IF($FJ211&lt;HV$169,INDEX($FK$170:$ID$241,HV$169,$FJ211),SUMPRODUCT(INDEX($FK$325:$ID$396,HV$169,1+SwaptionShift):INDEX($FK$325:$ID$396,HV$169,SwaptionMonthsToGo+SwaptionShift),INDEX($FK$245:$ID$316,$FJ211-HV$169,73-HV$169+SwaptionShift):INDEX($FK$245:$ID$316,$FJ211-HV$169,72-HV$169+SwaptionMonthsToGo+SwaptionShift))/SQRT(SUM(INDEX($FK366:$ID366,1+SwaptionShift):INDEX($FK366:$ID366,SwaptionMonthsToGo+SwaptionShift))*SUM(INDEX($FK$325:$ID$396,HV$169,1+SwaptionShift):INDEX($FK$325:$ID$396,HV$169,SwaptionMonthsToGo+SwaptionShift))))))</f>
        <v/>
      </c>
      <c r="HW211" s="150" t="str">
        <f aca="false">IF(OR(HW$169&lt;SwaptionFirstMonthPosition+1,$FJ211&lt;SwaptionFirstMonthPosition+1,HW$169&gt;SwaptionFirstMonthPosition+SwaptionNumOfMonths+1,$FJ211&gt;SwaptionFirstMonthPosition+SwaptionNumOfMonths+1),"",IF($FJ211=HW$169,1,IF($FJ211&lt;HW$169,INDEX($FK$170:$ID$241,HW$169,$FJ211),SUMPRODUCT(INDEX($FK$325:$ID$396,HW$169,1+SwaptionShift):INDEX($FK$325:$ID$396,HW$169,SwaptionMonthsToGo+SwaptionShift),INDEX($FK$245:$ID$316,$FJ211-HW$169,73-HW$169+SwaptionShift):INDEX($FK$245:$ID$316,$FJ211-HW$169,72-HW$169+SwaptionMonthsToGo+SwaptionShift))/SQRT(SUM(INDEX($FK366:$ID366,1+SwaptionShift):INDEX($FK366:$ID366,SwaptionMonthsToGo+SwaptionShift))*SUM(INDEX($FK$325:$ID$396,HW$169,1+SwaptionShift):INDEX($FK$325:$ID$396,HW$169,SwaptionMonthsToGo+SwaptionShift))))))</f>
        <v/>
      </c>
      <c r="HX211" s="150" t="str">
        <f aca="false">IF(OR(HX$169&lt;SwaptionFirstMonthPosition+1,$FJ211&lt;SwaptionFirstMonthPosition+1,HX$169&gt;SwaptionFirstMonthPosition+SwaptionNumOfMonths+1,$FJ211&gt;SwaptionFirstMonthPosition+SwaptionNumOfMonths+1),"",IF($FJ211=HX$169,1,IF($FJ211&lt;HX$169,INDEX($FK$170:$ID$241,HX$169,$FJ211),SUMPRODUCT(INDEX($FK$325:$ID$396,HX$169,1+SwaptionShift):INDEX($FK$325:$ID$396,HX$169,SwaptionMonthsToGo+SwaptionShift),INDEX($FK$245:$ID$316,$FJ211-HX$169,73-HX$169+SwaptionShift):INDEX($FK$245:$ID$316,$FJ211-HX$169,72-HX$169+SwaptionMonthsToGo+SwaptionShift))/SQRT(SUM(INDEX($FK366:$ID366,1+SwaptionShift):INDEX($FK366:$ID366,SwaptionMonthsToGo+SwaptionShift))*SUM(INDEX($FK$325:$ID$396,HX$169,1+SwaptionShift):INDEX($FK$325:$ID$396,HX$169,SwaptionMonthsToGo+SwaptionShift))))))</f>
        <v/>
      </c>
      <c r="HY211" s="150" t="str">
        <f aca="false">IF(OR(HY$169&lt;SwaptionFirstMonthPosition+1,$FJ211&lt;SwaptionFirstMonthPosition+1,HY$169&gt;SwaptionFirstMonthPosition+SwaptionNumOfMonths+1,$FJ211&gt;SwaptionFirstMonthPosition+SwaptionNumOfMonths+1),"",IF($FJ211=HY$169,1,IF($FJ211&lt;HY$169,INDEX($FK$170:$ID$241,HY$169,$FJ211),SUMPRODUCT(INDEX($FK$325:$ID$396,HY$169,1+SwaptionShift):INDEX($FK$325:$ID$396,HY$169,SwaptionMonthsToGo+SwaptionShift),INDEX($FK$245:$ID$316,$FJ211-HY$169,73-HY$169+SwaptionShift):INDEX($FK$245:$ID$316,$FJ211-HY$169,72-HY$169+SwaptionMonthsToGo+SwaptionShift))/SQRT(SUM(INDEX($FK366:$ID366,1+SwaptionShift):INDEX($FK366:$ID366,SwaptionMonthsToGo+SwaptionShift))*SUM(INDEX($FK$325:$ID$396,HY$169,1+SwaptionShift):INDEX($FK$325:$ID$396,HY$169,SwaptionMonthsToGo+SwaptionShift))))))</f>
        <v/>
      </c>
      <c r="HZ211" s="150" t="str">
        <f aca="false">IF(OR(HZ$169&lt;SwaptionFirstMonthPosition+1,$FJ211&lt;SwaptionFirstMonthPosition+1,HZ$169&gt;SwaptionFirstMonthPosition+SwaptionNumOfMonths+1,$FJ211&gt;SwaptionFirstMonthPosition+SwaptionNumOfMonths+1),"",IF($FJ211=HZ$169,1,IF($FJ211&lt;HZ$169,INDEX($FK$170:$ID$241,HZ$169,$FJ211),SUMPRODUCT(INDEX($FK$325:$ID$396,HZ$169,1+SwaptionShift):INDEX($FK$325:$ID$396,HZ$169,SwaptionMonthsToGo+SwaptionShift),INDEX($FK$245:$ID$316,$FJ211-HZ$169,73-HZ$169+SwaptionShift):INDEX($FK$245:$ID$316,$FJ211-HZ$169,72-HZ$169+SwaptionMonthsToGo+SwaptionShift))/SQRT(SUM(INDEX($FK366:$ID366,1+SwaptionShift):INDEX($FK366:$ID366,SwaptionMonthsToGo+SwaptionShift))*SUM(INDEX($FK$325:$ID$396,HZ$169,1+SwaptionShift):INDEX($FK$325:$ID$396,HZ$169,SwaptionMonthsToGo+SwaptionShift))))))</f>
        <v/>
      </c>
      <c r="IA211" s="150" t="str">
        <f aca="false">IF(OR(IA$169&lt;SwaptionFirstMonthPosition+1,$FJ211&lt;SwaptionFirstMonthPosition+1,IA$169&gt;SwaptionFirstMonthPosition+SwaptionNumOfMonths+1,$FJ211&gt;SwaptionFirstMonthPosition+SwaptionNumOfMonths+1),"",IF($FJ211=IA$169,1,IF($FJ211&lt;IA$169,INDEX($FK$170:$ID$241,IA$169,$FJ211),SUMPRODUCT(INDEX($FK$325:$ID$396,IA$169,1+SwaptionShift):INDEX($FK$325:$ID$396,IA$169,SwaptionMonthsToGo+SwaptionShift),INDEX($FK$245:$ID$316,$FJ211-IA$169,73-IA$169+SwaptionShift):INDEX($FK$245:$ID$316,$FJ211-IA$169,72-IA$169+SwaptionMonthsToGo+SwaptionShift))/SQRT(SUM(INDEX($FK366:$ID366,1+SwaptionShift):INDEX($FK366:$ID366,SwaptionMonthsToGo+SwaptionShift))*SUM(INDEX($FK$325:$ID$396,IA$169,1+SwaptionShift):INDEX($FK$325:$ID$396,IA$169,SwaptionMonthsToGo+SwaptionShift))))))</f>
        <v/>
      </c>
      <c r="IB211" s="150" t="str">
        <f aca="false">IF(OR(IB$169&lt;SwaptionFirstMonthPosition+1,$FJ211&lt;SwaptionFirstMonthPosition+1,IB$169&gt;SwaptionFirstMonthPosition+SwaptionNumOfMonths+1,$FJ211&gt;SwaptionFirstMonthPosition+SwaptionNumOfMonths+1),"",IF($FJ211=IB$169,1,IF($FJ211&lt;IB$169,INDEX($FK$170:$ID$241,IB$169,$FJ211),SUMPRODUCT(INDEX($FK$325:$ID$396,IB$169,1+SwaptionShift):INDEX($FK$325:$ID$396,IB$169,SwaptionMonthsToGo+SwaptionShift),INDEX($FK$245:$ID$316,$FJ211-IB$169,73-IB$169+SwaptionShift):INDEX($FK$245:$ID$316,$FJ211-IB$169,72-IB$169+SwaptionMonthsToGo+SwaptionShift))/SQRT(SUM(INDEX($FK366:$ID366,1+SwaptionShift):INDEX($FK366:$ID366,SwaptionMonthsToGo+SwaptionShift))*SUM(INDEX($FK$325:$ID$396,IB$169,1+SwaptionShift):INDEX($FK$325:$ID$396,IB$169,SwaptionMonthsToGo+SwaptionShift))))))</f>
        <v/>
      </c>
      <c r="IC211" s="150" t="str">
        <f aca="false">IF(OR(IC$169&lt;SwaptionFirstMonthPosition+1,$FJ211&lt;SwaptionFirstMonthPosition+1,IC$169&gt;SwaptionFirstMonthPosition+SwaptionNumOfMonths+1,$FJ211&gt;SwaptionFirstMonthPosition+SwaptionNumOfMonths+1),"",IF($FJ211=IC$169,1,IF($FJ211&lt;IC$169,INDEX($FK$170:$ID$241,IC$169,$FJ211),SUMPRODUCT(INDEX($FK$325:$ID$396,IC$169,1+SwaptionShift):INDEX($FK$325:$ID$396,IC$169,SwaptionMonthsToGo+SwaptionShift),INDEX($FK$245:$ID$316,$FJ211-IC$169,73-IC$169+SwaptionShift):INDEX($FK$245:$ID$316,$FJ211-IC$169,72-IC$169+SwaptionMonthsToGo+SwaptionShift))/SQRT(SUM(INDEX($FK366:$ID366,1+SwaptionShift):INDEX($FK366:$ID366,SwaptionMonthsToGo+SwaptionShift))*SUM(INDEX($FK$325:$ID$396,IC$169,1+SwaptionShift):INDEX($FK$325:$ID$396,IC$169,SwaptionMonthsToGo+SwaptionShift))))))</f>
        <v/>
      </c>
      <c r="ID211" s="572" t="str">
        <f aca="false">IF(OR(ID$169&lt;SwaptionFirstMonthPosition+1,$FJ211&lt;SwaptionFirstMonthPosition+1,ID$169&gt;SwaptionFirstMonthPosition+SwaptionNumOfMonths+1,$FJ211&gt;SwaptionFirstMonthPosition+SwaptionNumOfMonths+1),"",IF($FJ211=ID$169,1,IF($FJ211&lt;ID$169,INDEX($FK$170:$ID$241,ID$169,$FJ211),SUMPRODUCT(INDEX($FK$325:$ID$396,ID$169,1+SwaptionShift):INDEX($FK$325:$ID$396,ID$169,SwaptionMonthsToGo+SwaptionShift),INDEX($FK$245:$ID$316,$FJ211-ID$169,73-ID$169+SwaptionShift):INDEX($FK$245:$ID$316,$FJ211-ID$169,72-ID$169+SwaptionMonthsToGo+SwaptionShift))/SQRT(SUM(INDEX($FK366:$ID366,1+SwaptionShift):INDEX($FK366:$ID366,SwaptionMonthsToGo+SwaptionShift))*SUM(INDEX($FK$325:$ID$396,ID$169,1+SwaptionShift):INDEX($FK$325:$ID$396,ID$169,SwaptionMonthsToGo+SwaptionShift))))))</f>
        <v/>
      </c>
      <c r="IE211" s="129"/>
    </row>
    <row r="212" customFormat="false" ht="12.75" hidden="false" customHeight="false" outlineLevel="0" collapsed="false">
      <c r="H212" s="219" t="n">
        <f aca="false">VLOOKUP(I212,$EJ$20:$EL$54,3)</f>
        <v>0</v>
      </c>
      <c r="I212" s="511" t="n">
        <f aca="false">EOMONTH(I211,0)+1</f>
        <v>42614</v>
      </c>
      <c r="J212" s="512"/>
      <c r="K212" s="513" t="s">
        <v>280</v>
      </c>
      <c r="L212" s="514" t="n">
        <f aca="false">IF(ISNUMBER(K212),J212+K212/100,IF(K212="extra",L211+VLOOKUP(BF212,PriceSpreadTable,2)/12,IF(K212="inter",interpolateprices($K$19:$L$200,ROW(K212)-ROW(FirstPricingMonth)+1),interpolatechanges($J$19:$K$200,ROW(K212)-ROW(FirstPricingMonth)+1))))</f>
        <v>4.35</v>
      </c>
      <c r="M212" s="515"/>
      <c r="N212" s="516" t="n">
        <v>0</v>
      </c>
      <c r="O212" s="515" t="n">
        <f aca="false">M212+N212</f>
        <v>0</v>
      </c>
      <c r="P212" s="512"/>
      <c r="Q212" s="513" t="s">
        <v>280</v>
      </c>
      <c r="R212" s="512" t="e">
        <f aca="false">IF(ISNUMBER(Q212),P212+Q212/100,IF(Q212="extra",(Z210*AL210-R211*AM210)/AN210,IF(Q212="inter",interpolateprices($Q$19:$R$260,ROW(Q212)-ROW(FirstPricingMonth)+1),interpolatechanges($P$19:$Q$260,ROW(Q212)-ROW(FirstPricingMonth)+1))))</f>
        <v>#VALUE!</v>
      </c>
      <c r="S212" s="597" t="n">
        <f aca="false">S$19+(S211-S$19)*S$18</f>
        <v>0.36</v>
      </c>
      <c r="T212" s="575" t="n">
        <f aca="false">SQRT((1-(1-T211^2/U211)*T$18)*U212)</f>
        <v>0.99999999999999</v>
      </c>
      <c r="U212" s="576" t="n">
        <f aca="false">1-(1-U211)*U$18</f>
        <v>1</v>
      </c>
      <c r="V212" s="521" t="n">
        <v>0</v>
      </c>
      <c r="W212" s="577" t="n">
        <f aca="false">(J213*AJ212+J214*AK212)/AI212</f>
        <v>0</v>
      </c>
      <c r="X212" s="578" t="n">
        <f aca="false">(L213*AJ212+L214*AK212)/AI212</f>
        <v>4.40113636363637</v>
      </c>
      <c r="Y212" s="579" t="n">
        <f aca="false">IF(Q214="extra",W212-AA212,(P213*AM212+P214*AN212)/AL212)</f>
        <v>-1.2669</v>
      </c>
      <c r="Z212" s="579" t="n">
        <f aca="false">IF(Q214="extra",X212-AB212,(R213*AM212+R214*AN212)/AL212)</f>
        <v>3.13423636363637</v>
      </c>
      <c r="AA212" s="523" t="n">
        <f aca="false">IF(Q214="extra",INDEX(BrentSeasonalityTable,INT((BG212-1)/3)+1)*VLOOKUP(MAX(BF212,$AB$4),PriceSpreadTable,3),W212-Y212)</f>
        <v>1.2669</v>
      </c>
      <c r="AB212" s="524" t="n">
        <f aca="false">IF(Q214="extra",INDEX(BrentSeasonalityTable,INT((BG212-1)/3)+1)*VLOOKUP(MAX(BF212,$AB$4),PriceSpreadTable,3),X212-Z212)</f>
        <v>1.2669</v>
      </c>
      <c r="AC212" s="646" t="n">
        <v>42602</v>
      </c>
      <c r="AD212" s="646" t="n">
        <v>42598</v>
      </c>
      <c r="AE212" s="646" t="n">
        <v>42597</v>
      </c>
      <c r="AF212" s="646" t="n">
        <v>42593</v>
      </c>
      <c r="AG212" s="438" t="s">
        <v>278</v>
      </c>
      <c r="AH212" s="439" t="s">
        <v>278</v>
      </c>
      <c r="AI212" s="528" t="n">
        <v>22</v>
      </c>
      <c r="AJ212" s="529" t="n">
        <v>14</v>
      </c>
      <c r="AK212" s="529" t="n">
        <v>8</v>
      </c>
      <c r="AL212" s="530" t="n">
        <v>22</v>
      </c>
      <c r="AM212" s="529" t="n">
        <v>10</v>
      </c>
      <c r="AN212" s="531" t="n">
        <v>12</v>
      </c>
      <c r="AO212" s="532"/>
      <c r="AP212" s="465" t="n">
        <f aca="false">(1+AO212/2)^(-2*BL212)</f>
        <v>1</v>
      </c>
      <c r="AQ212" s="532"/>
      <c r="AR212" s="465" t="n">
        <f aca="false">(1+AQ212/2)^(-2*BH212/365.25)</f>
        <v>1</v>
      </c>
      <c r="AS212" s="580" t="n">
        <f aca="false">(O213*AJ212+O214*AK212)/AI212</f>
        <v>0</v>
      </c>
      <c r="AT212" s="468" t="n">
        <f aca="false">O212*VLOOKUP(BF212,BrentVolTable,2)+VLOOKUP(BF212,BrentVolTable,3)</f>
        <v>0</v>
      </c>
      <c r="AU212" s="468" t="n">
        <f aca="false">(AT213*AM212+AT214*AN212)/AL212</f>
        <v>0</v>
      </c>
      <c r="AV212" s="595" t="n">
        <f aca="false">SQRT(MAX(0.000000000001,(O212^2*BH212-S212^2*(BH212-BH211))/BH211))</f>
        <v>0.0345893978599237</v>
      </c>
      <c r="AW212" s="451" t="n">
        <f aca="false">IF($I212-DateToday+15&gt;=$T$8,"",IF($I212-DateToday+15&lt;$T$5,1,MATCH($I212-DateToday+15,$T$5:$T$8)))</f>
        <v>1</v>
      </c>
      <c r="AX212" s="468" t="n">
        <f aca="false">IF($AW212="",AX211^2/AX210,INDEX(U$5:U$8,$AW212)^((INDEX($T$5:$T$8,$AW212+1)-($I212-DateToday+15))/(INDEX($T$5:$T$8,$AW212+1)-INDEX($T$5:$T$8,$AW212)))/INDEX(U$5:U$8,$AW212+1)^((INDEX($T$5:$T$8,$AW212)-($I212-DateToday+15))/(INDEX($T$5:$T$8,$AW212+1)-INDEX($T$5:$T$8,$AW212))))</f>
        <v>0.206981312382491</v>
      </c>
      <c r="AY212" s="468" t="n">
        <f aca="false">IF($AW212="",AY211^2/AY210,INDEX(V$5:V$8,$AW212)^((INDEX($T$5:$T$8,$AW212+1)-($I212-DateToday+15))/(INDEX($T$5:$T$8,$AW212+1)-INDEX($T$5:$T$8,$AW212)))/INDEX(V$5:V$8,$AW212+1)^((INDEX($T$5:$T$8,$AW212)-($I212-DateToday+15))/(INDEX($T$5:$T$8,$AW212+1)-INDEX($T$5:$T$8,$AW212))))</f>
        <v>1.6004335383949</v>
      </c>
      <c r="AZ212" s="468" t="n">
        <f aca="false">IF($AW212="",AZ211^2/AZ210,INDEX(W$5:W$8,$AW212)^((INDEX($T$5:$T$8,$AW212+1)-($I212-DateToday+15))/(INDEX($T$5:$T$8,$AW212+1)-INDEX($T$5:$T$8,$AW212)))/INDEX(W$5:W$8,$AW212+1)^((INDEX($T$5:$T$8,$AW212)-($I212-DateToday+15))/(INDEX($T$5:$T$8,$AW212+1)-INDEX($T$5:$T$8,$AW212))))</f>
        <v>96.5795932251695</v>
      </c>
      <c r="BA212" s="468" t="n">
        <f aca="false">IF($AW212="",BA211^2/BA210,INDEX(X$5:X$8,$AW212)^((INDEX($T$5:$T$8,$AW212+1)-($I212-DateToday+15))/(INDEX($T$5:$T$8,$AW212+1)-INDEX($T$5:$T$8,$AW212)))/INDEX(X$5:X$8,$AW212+1)^((INDEX($T$5:$T$8,$AW212)-($I212-DateToday+15))/(INDEX($T$5:$T$8,$AW212+1)-INDEX($T$5:$T$8,$AW212))))</f>
        <v>208.23094744909</v>
      </c>
      <c r="BB212" s="468" t="n">
        <f aca="false">IF($AW212="",BB211^2/BB210,INDEX(Y$5:Y$8,$AW212)^((INDEX($T$5:$T$8,$AW212+1)-($I212-DateToday+15))/(INDEX($T$5:$T$8,$AW212+1)-INDEX($T$5:$T$8,$AW212)))/INDEX(Y$5:Y$8,$AW212+1)^((INDEX($T$5:$T$8,$AW212)-($I212-DateToday+15))/(INDEX($T$5:$T$8,$AW212+1)-INDEX($T$5:$T$8,$AW212))))</f>
        <v>860.30404367209</v>
      </c>
      <c r="BC212" s="468" t="n">
        <f aca="false">IF($AW212="",BC211^2/BC210,INDEX(Z$5:Z$8,$AW212)^((INDEX($T$5:$T$8,$AW212+1)-($I212-DateToday+15))/(INDEX($T$5:$T$8,$AW212+1)-INDEX($T$5:$T$8,$AW212)))/INDEX(Z$5:Z$8,$AW212+1)^((INDEX($T$5:$T$8,$AW212)-($I212-DateToday+15))/(INDEX($T$5:$T$8,$AW212+1)-INDEX($T$5:$T$8,$AW212))))</f>
        <v>2066.12540100518</v>
      </c>
      <c r="BD212" s="535" t="n">
        <f aca="false">IF(OR(DateStart&gt;=I213,DateEnd&lt;I212),0,IF(VolumeOverrideFlag,V212,Volume))</f>
        <v>0</v>
      </c>
      <c r="BE212" s="536" t="n">
        <f aca="false">IF(OR(DateStart2&gt;=I213,DateEnd2&lt;I212),0,IF(VolumeOverrideFlag,V212,VolumeSwaption))</f>
        <v>0</v>
      </c>
      <c r="BF212" s="537" t="n">
        <f aca="false">YEAR(I212)</f>
        <v>2016</v>
      </c>
      <c r="BG212" s="538" t="n">
        <f aca="false">MONTH(I212)</f>
        <v>9</v>
      </c>
      <c r="BH212" s="539" t="n">
        <f aca="false">AD212-DateToday+1</f>
        <v>-3327</v>
      </c>
      <c r="BI212" s="540" t="n">
        <f aca="false">(I212-DateToday+1)/365.25</f>
        <v>-9.06502395619439</v>
      </c>
      <c r="BJ212" s="541" t="n">
        <f aca="false">BI212+(BL212-BI212)*CHOOSE(Underlying,AJ212/AI212,AM212/AL212)</f>
        <v>-9.0144981643955</v>
      </c>
      <c r="BK212" s="541" t="n">
        <f aca="false">BJ212+1/365.25</f>
        <v>-9.01176031360836</v>
      </c>
      <c r="BL212" s="541" t="n">
        <f aca="false">(I213-DateToday)/365.25</f>
        <v>-8.98562628336756</v>
      </c>
      <c r="BM212" s="542" t="e">
        <f aca="false">MAX(BI212-(BJ212-BI212)*(S213^2/O213^2-1),0)</f>
        <v>#DIV/0!</v>
      </c>
      <c r="BN212" s="541" t="e">
        <f aca="false">MAX(BL212+(BL212-BK212)*(S214^2/O214^2-1),0)</f>
        <v>#DIV/0!</v>
      </c>
      <c r="BO212" s="530" t="n">
        <f aca="false">CHOOSE(Underlying,AI212,AL212)</f>
        <v>22</v>
      </c>
      <c r="BP212" s="529" t="n">
        <f aca="false">CHOOSE(Underlying,AJ212,AM212)</f>
        <v>14</v>
      </c>
      <c r="BQ212" s="529" t="n">
        <f aca="false">CHOOSE(Underlying,AK212,AN212)</f>
        <v>8</v>
      </c>
      <c r="BR212" s="463" t="str">
        <f aca="false">IF(BD212,IF(Underlying=1,X212,Z212)+UnderlyingPriceAsian-SwapPriceCurve,"")</f>
        <v/>
      </c>
      <c r="BS212" s="463" t="str">
        <f aca="false">IF(BD212,Strike1/BR212-1,"")</f>
        <v/>
      </c>
      <c r="BT212" s="464" t="str">
        <f aca="false">IF(BD212,Strike2/BR212-1,"")</f>
        <v/>
      </c>
      <c r="BU212" s="465" t="str">
        <f aca="false">IF(BD212,IF(Underlying=1,L213,R213)+UnderlyingPriceAsian-SwapPriceCurve,"")</f>
        <v/>
      </c>
      <c r="BV212" s="465" t="str">
        <f aca="false">IF(BD212,IF(Underlying=1,L214,R214)+UnderlyingPriceAsian-SwapPriceCurve,"")</f>
        <v/>
      </c>
      <c r="BW212" s="466" t="str">
        <f aca="false">IF(BD212,IF(Underlying=1,O213,AT213),"")</f>
        <v/>
      </c>
      <c r="BX212" s="467" t="str">
        <f aca="false">IF(BD212,IF(Underlying=1,O214,AT214),"")</f>
        <v/>
      </c>
      <c r="BY212" s="466" t="str">
        <f aca="false">IF(BD212,IF(BS212&gt;0,IF(BS212&gt;0.2,BC212-BB212,IF(BS212&gt;0.1,BB212-BA212,BA212)),IF(BS212&lt;-0.2,AX212-AY212,IF(BS212&lt;-0.1,AY212-AZ212,AZ212))),"")</f>
        <v/>
      </c>
      <c r="BZ212" s="467" t="str">
        <f aca="false">IF(BD212,IF(BT212&gt;0,IF(BT212&gt;0.2,BC212-BB212,IF(BT212&gt;0.1,BB212-BA212,BA212)),IF(BT212&lt;-0.2,AX212-AY212,IF(BT212&lt;-0.1,AY212-AZ212,AZ212))),"")</f>
        <v/>
      </c>
      <c r="CA212" s="468" t="str">
        <f aca="false">IF($BD212,$BW212+IF(VolSkewFlag=1,IF(BS212&gt;0,$BA212*MIN(BS212/10%,1)+($BB212-$BA212)*MAX(0,MIN(BS212/10%-1,1))+($BC212-$BB212)*MAX(0,BS212/10%-2),$AZ212*MIN(-BS212/10%,1)+($AY212-$AZ212)*MAX(0,MIN(-BS212/10%-1,1))+($AX212-$AY212)*MAX(0,-BS212/10%-2)),0),"")</f>
        <v/>
      </c>
      <c r="CB212" s="468" t="str">
        <f aca="false">IF($BD212,$BX212+IF(VolSkewFlag=1,IF(BS212&gt;0,$BA212*MIN(BS212/10%,1)+($BB212-$BA212)*MAX(0,MIN(BS212/10%-1,1))+($BC212-$BB212)*MAX(0,BS212/10%-2),$AZ212*MIN(-BS212/10%,1)+($AY212-$AZ212)*MAX(0,MIN(-BS212/10%-1,1))+($AX212-$AY212)*MAX(0,-BS212/10%-2)),0),"")</f>
        <v/>
      </c>
      <c r="CC212" s="468" t="str">
        <f aca="false">IF($BD212,$BW212+IF(VolSkewFlag=1,IF(BT212&gt;0,$BA212*MIN(BT212/10%,1)+($BB212-$BA212)*MAX(0,MIN(BT212/10%-1,1))+($BC212-$BB212)*MAX(0,BT212/10%-2),$AZ212*MIN(-BT212/10%,1)+($AY212-$AZ212)*MAX(0,MIN(-BT212/10%-1,1))+($AX212-$AY212)*MAX(0,-BT212/10%-2)),0),"")</f>
        <v/>
      </c>
      <c r="CD212" s="468" t="str">
        <f aca="false">IF($BD212,$BX212+IF(VolSkewFlag=1,IF(BT212&gt;0,$BA212*MIN(BT212/10%,1)+($BB212-$BA212)*MAX(0,MIN(BT212/10%-1,1))+($BC212-$BB212)*MAX(0,BT212/10%-2),$AZ212*MIN(-BT212/10%,1)+($AY212-$AZ212)*MAX(0,MIN(-BT212/10%-1,1))+($AX212-$AY212)*MAX(0,-BT212/10%-2)),0),"")</f>
        <v/>
      </c>
      <c r="CE212" s="469" t="n">
        <v>1</v>
      </c>
      <c r="CF212" s="470" t="n">
        <f aca="false">IF(BD212,xCrudeAPO(BU212,BV212,CA212,CB212,S213,S214,BI212,BL212,BP212,BQ212,0,Strike1,AO212,CE212,0,BL212,IF(OptControl=4,0,1),0,1),0)</f>
        <v>0</v>
      </c>
      <c r="CG212" s="470" t="n">
        <f aca="false">IF(BD212,xCrudeAPO(BU212,BV212,CA212,CB212,S213,S214,BI212,BL212,BP212,BQ212,0,Strike1,AO212,CE212,0,BL212,IF(OptControl=4,0,1),1,1)+xCrudeAPO(BU212,BV212,CA212,CB212,S213,S214,BI212,BL212,BP212,BQ212,0,Strike1,AO212,CE212,0,BL212,IF(OptControl=4,0,1),1,2)+IF(OR(VolSkewFlag=2,ABS(BS212)&lt;0.0001),0,IF(BS212&gt;0,-1,1)*CH212*Strike1/BR212^2*BY212/10%),0)</f>
        <v>0</v>
      </c>
      <c r="CH212" s="470" t="n">
        <f aca="false">IF(BD212,(xCrudeAPO(BU212,BV212,CA212,CB212,S213,S214,BI212,BL212,BP212,BQ212,0,Strike1,AO212,CE212,0,BL212,IF(OptControl=4,0,1),3,1)+xCrudeAPO(BU212,BV212,CA212,CB212,S213,S214,BI212,BL212,BP212,BQ212,0,Strike1,AO212,CE212,0,BL212,IF(OptControl=4,0,1),3,2))/100,0)</f>
        <v>0</v>
      </c>
      <c r="CI212" s="470" t="n">
        <f aca="false">IF(BD212,xCrudeAPO(BU212,BV212,CA212,CB212,S213,S214,BI212-DaysForThetaCalculation/365.25,BL212-DaysForThetaCalculation/365.25,BP212,BQ212,0,Strike1,AO212,CE212,0,BL212,IF(OptControl=4,0,1),0,1)-xCrudeAPO(BU212,BV212,CA212,CB212,S213,S214,BI212,BL212,BP212,BQ212,0,Strike1,AO212,CE212,0,BL212,IF(OptControl=4,0,1),0,1),0)</f>
        <v>0</v>
      </c>
      <c r="CJ212" s="471" t="n">
        <f aca="false">IF(BD212,xCrudeAPO(BU212,BV212,CC212,CD212,S213,S214,BI212,BL212,BP212,BQ212,0,Strike2,AO212,CE212,0,BL212,IF(OptControl=3,1,0),0,1),0)</f>
        <v>0</v>
      </c>
      <c r="CK212" s="470" t="n">
        <f aca="false">IF(BD212,xCrudeAPO(BU212,BV212,CC212,CD212,S213,S214,BI212,BL212,BP212,BQ212,0,Strike2,AO212,CE212,0,BL212,IF(OptControl=3,1,0),1,1)+xCrudeAPO(BU212,BV212,CC212,CD212,S213,S214,BI212,BL212,BP212,BQ212,0,Strike2,AO212,CE212,0,BL212,IF(OptControl=3,1,0),1,2)+IF(OR(VolSkewFlag=2,ABS(BT212)&lt;0.0001),0,IF(BT212&gt;0,-1,1)*CL212*Strike2/BR212^2*BZ212/10%),0)</f>
        <v>0</v>
      </c>
      <c r="CL212" s="470" t="n">
        <f aca="false">IF(BD212,(xCrudeAPO(BU212,BV212,CC212,CD212,S213,S214,BI212,BL212,BP212,BQ212,0,Strike2,AO212,CE212,0,BL212,IF(OptControl=3,1,0),3,1)+xCrudeAPO(BU212,BV212,CC212,CD212,S213,S214,BI212,BL212,BP212,BQ212,0,Strike2,AO212,CE212,0,BL212,IF(OptControl=3,1,0),3,2))/100,0)</f>
        <v>0</v>
      </c>
      <c r="CM212" s="472" t="n">
        <f aca="false">IF(BD212,xCrudeAPO(BU212,BV212,CC212,CD212,S213,S214,BI212-DaysForThetaCalculation/365.25,BL212-DaysForThetaCalculation/365.25,BP212,BQ212,0,Strike2,AO212,CE212,0,BL212,IF(OptControl=3,1,0),0,1)-xCrudeAPO(BU212,BV212,CC212,CD212,S213,S214,BI212,BL212,BP212,BQ212,0,Strike2,AO212,CE212,0,BL212,IF(OptControl=3,1,0),0,1),0)</f>
        <v>0</v>
      </c>
      <c r="CN212" s="3"/>
      <c r="CO212" s="543" t="str">
        <f aca="false">IF(BD212,CHOOSE(Underlying,AD212,AF212)-DateToday+1,"")</f>
        <v/>
      </c>
      <c r="CP212" s="582" t="str">
        <f aca="false">IF(BD212,CHOOSE(Underlying,L212,R212),"")</f>
        <v/>
      </c>
      <c r="CQ212" s="544" t="str">
        <f aca="false">IF(BD212,Strike1/CP212-1,"")</f>
        <v/>
      </c>
      <c r="CR212" s="544" t="str">
        <f aca="false">IF(BD212,Strike2/CP212-1,"")</f>
        <v/>
      </c>
      <c r="CS212" s="544" t="str">
        <f aca="false">IF(BD212,IF(CQ212&gt;0,IF(CQ212&gt;0.2,BC211-BB211,IF(CQ212&gt;0.1,BB211-BA211,BA211)),IF(CQ212&lt;-0.2,AX211-AY211,IF(CQ212&lt;-0.1,AY211-AZ211,AZ211))),"")</f>
        <v/>
      </c>
      <c r="CT212" s="544" t="str">
        <f aca="false">IF(BD212,IF(CR212&gt;0,IF(CR212&gt;0.2,BC211-BB211,IF(CR212&gt;0.1,BB211-BA211,BA211)),IF(CR212&lt;-0.2,AX211-AY211,IF(CR212&lt;-0.1,AY211-AZ211,AZ211))),"")</f>
        <v/>
      </c>
      <c r="CU212" s="545" t="str">
        <f aca="false">IF(BD212,CHOOSE(Underlying,O212,AT212),"")</f>
        <v/>
      </c>
      <c r="CV212" s="545" t="str">
        <f aca="false">IF(BD212,CU212+IF(VolSkewFlag=1,IF(CQ212&gt;0,BA211*MIN(CQ212/10%,1)+(BB211-BA211)*MAX(0,MIN(CQ212/10%-1,1))+(BC211-BB211)*MAX(0,CQ212/10%-2),AZ211*MIN(-CQ212/10%,1)+(AY211-AZ211)*MAX(0,MIN(-CQ212/10%-1,1))+(AX211-AY211)*MAX(0,-CQ212/10%-2)),0),"")</f>
        <v/>
      </c>
      <c r="CW212" s="545" t="str">
        <f aca="false">IF(BD212,CU212+IF(VolSkewFlag=1,IF(CR212&gt;0,BA211*MIN(CR212/10%,1)+(BB211-BA211)*MAX(0,MIN(CR212/10%-1,1))+(BC211-BB211)*MAX(0,CR212/10%-2),AZ211*MIN(-CR212/10%,1)+(AY211-AZ211)*MAX(0,MIN(-CR212/10%-1,1))+(AX211-AY211)*MAX(0,-CR212/10%-2)),0),"")</f>
        <v/>
      </c>
      <c r="CX212" s="470" t="n">
        <f aca="false">IF(BD212,EURO(CP212,Strike1,AO212,AO212,CV212,CO212,IF(OptControl=4,0,1),0),0)</f>
        <v>0</v>
      </c>
      <c r="CY212" s="470" t="n">
        <f aca="false">IF(BD212,EURO(CP212,Strike1,AO212,AO212,CV212,CO212,IF(OptControl=4,0,1),1)+IF(OR(VolSkewFlag=2,ABS(CQ212)&lt;0.0001),0,IF(CQ212&gt;0,-1,1)*CZ212*100*Strike1/CP212^2*CS212/10%),0)</f>
        <v>0</v>
      </c>
      <c r="CZ212" s="470" t="n">
        <f aca="false">IF(BD212,EURO(CP212,Strike1,AO212,AO212,CV212,CO212,IF(OptControl=4,0,1),3)/100,0)</f>
        <v>0</v>
      </c>
      <c r="DA212" s="470" t="n">
        <f aca="false">IF(BD212,EURO(CP212,Strike1,AO212,AO212,CV212,CO212,IF(OptControl=4,0,1),0)-EURO(CP212,Strike1,AO212,AO212,CV212,CO212-1,IF(OptControl=4,0,1),0),0)</f>
        <v>0</v>
      </c>
      <c r="DB212" s="470" t="n">
        <f aca="false">IF(BD212,EURO(CP212,Strike2,AO212,AO212,CW212,CO212,IF(OptControl=3,1,0),0),0)</f>
        <v>0</v>
      </c>
      <c r="DC212" s="470" t="n">
        <f aca="false">IF(BD212,EURO(CP212,Strike2,AO212,AO212,CW212,CO212,IF(OptControl=3,1,0),1)+IF(OR(VolSkewFlag=2,ABS(CR212)&lt;0.0001),0,IF(CR212&gt;0,-1,1)*DD212*100*Strike2/CP212^2*CT212/10%),0)</f>
        <v>0</v>
      </c>
      <c r="DD212" s="470" t="n">
        <f aca="false">IF(BD212,EURO(CP212,Strike2,AO212,AO212,CW212,CO212,IF(OptControl=3,1,0),3)/100,0)</f>
        <v>0</v>
      </c>
      <c r="DE212" s="472" t="n">
        <f aca="false">IF(BD212,EURO(CP212,Strike2,AO212,AO212,CW212,CO212,IF(OptControl=3,1,0),0)-EURO(CP212,Strike2,AO212,AO212,CW212,CO212-1,IF(OptControl=3,1,0),0),0)</f>
        <v>0</v>
      </c>
      <c r="DG212" s="481" t="n">
        <f aca="false">EOMONTH(DG211,0)+1</f>
        <v>51533</v>
      </c>
      <c r="DH212" s="478" t="n">
        <v>23.7600000000001</v>
      </c>
      <c r="DI212" s="479" t="n">
        <v>23.8242857142858</v>
      </c>
      <c r="DJ212" s="480" t="n">
        <f aca="false">DG212</f>
        <v>51533</v>
      </c>
      <c r="DK212" s="478" t="n">
        <v>22.5658261626765</v>
      </c>
      <c r="DL212" s="479" t="n">
        <v>22.6557857142858</v>
      </c>
      <c r="DM212" s="481" t="n">
        <f aca="false">DG212</f>
        <v>51533</v>
      </c>
      <c r="DN212" s="482" t="n">
        <f aca="false">DK212+BrentPhyBrentSpread</f>
        <v>22.6158261626765</v>
      </c>
      <c r="DO212" s="481" t="n">
        <f aca="false">DG212</f>
        <v>51533</v>
      </c>
      <c r="DP212" s="483" t="n">
        <f aca="false">DL212+DQ212</f>
        <v>22.6557857142858</v>
      </c>
      <c r="DQ212" s="546" t="n">
        <v>0</v>
      </c>
      <c r="DR212" s="480" t="n">
        <f aca="false">DG212</f>
        <v>51533</v>
      </c>
      <c r="DS212" s="485" t="n">
        <v>0.109399999999998</v>
      </c>
      <c r="DT212" s="486" t="n">
        <v>0.108628571428569</v>
      </c>
      <c r="DU212" s="480" t="n">
        <f aca="false">DG212</f>
        <v>51533</v>
      </c>
      <c r="DV212" s="485" t="n">
        <v>0.109399999999998</v>
      </c>
      <c r="DW212" s="486" t="n">
        <v>0.108628571428569</v>
      </c>
      <c r="DX212" s="481" t="n">
        <f aca="false">DG212</f>
        <v>51533</v>
      </c>
      <c r="DY212" s="486" t="n">
        <v>0.35</v>
      </c>
      <c r="DZ212" s="481" t="n">
        <f aca="false">DR212</f>
        <v>51533</v>
      </c>
      <c r="EA212" s="486" t="n">
        <f aca="false">DT212</f>
        <v>0.108628571428569</v>
      </c>
      <c r="EB212" s="195"/>
      <c r="EC212" s="547" t="str">
        <f aca="false">IF(BD212,IF(Underlying=1,AS212,AU212),"")</f>
        <v/>
      </c>
      <c r="ED212" s="548" t="str">
        <f aca="false">IF($BD212,$EC212+IF(VolSkewFlag=1,IF(BS212&gt;0,$BA212*MIN(BS212/10%,1)+($BB212-$BA212)*MAX(0,MIN(BS212/10%-1,1))+($BC212-$BB212)*MAX(0,BS212/10%-2),$AZ212*MIN(-BS212/10%,1)+($AY212-$AZ212)*MAX(0,MIN(-BS212/10%-1,1))+($AX212-$AY212)*MAX(0,-BS212/10%-2)),0),"")</f>
        <v/>
      </c>
      <c r="EE212" s="549" t="str">
        <f aca="false">IF($BD212,$EC212+IF(VolSkewFlag=1,IF(BT212&gt;0,$BA212*MIN(BT212/10%,1)+($BB212-$BA212)*MAX(0,MIN(BT212/10%-1,1))+($BC212-$BB212)*MAX(0,BT212/10%-2),$AZ212*MIN(-BT212/10%,1)+($AY212-$AZ212)*MAX(0,MIN(-BT212/10%-1,1))+($AX212-$AY212)*MAX(0,-BT212/10%-2)),0),"")</f>
        <v/>
      </c>
      <c r="EF212" s="550" t="n">
        <f aca="false">IF(BD212,xASN(BR212,Strike1,AO212,ED212,0,BO212,0,BI212,BL212,IF(OptControl=4,0,1),0),0)</f>
        <v>0</v>
      </c>
      <c r="EG212" s="551" t="n">
        <f aca="false">IF(BD212,xASN(BR212,Strike2,AO212,EE212,0,BO212,0,BI212,BL212,IF(OptControl=3,1,0),0),0)</f>
        <v>0</v>
      </c>
      <c r="EL212" s="1"/>
      <c r="EM212" s="195"/>
      <c r="EN212" s="240"/>
      <c r="EO212" s="240"/>
      <c r="EP212" s="195"/>
      <c r="EQ212" s="407" t="s">
        <v>440</v>
      </c>
      <c r="ES212" s="1"/>
      <c r="EU212" s="672"/>
      <c r="FJ212" s="571" t="n">
        <v>43</v>
      </c>
      <c r="FK212" s="150" t="str">
        <f aca="false">IF(OR(FK$169&lt;SwaptionFirstMonthPosition+1,$FJ212&lt;SwaptionFirstMonthPosition+1,FK$169&gt;SwaptionFirstMonthPosition+SwaptionNumOfMonths+1,$FJ212&gt;SwaptionFirstMonthPosition+SwaptionNumOfMonths+1),"",IF($FJ212=FK$169,1,IF($FJ212&lt;FK$169,INDEX($FK$170:$ID$241,FK$169,$FJ212),SUMPRODUCT(INDEX($FK$325:$ID$396,FK$169,1+SwaptionShift):INDEX($FK$325:$ID$396,FK$169,SwaptionMonthsToGo+SwaptionShift),INDEX($FK$245:$ID$316,$FJ212-FK$169,73-FK$169+SwaptionShift):INDEX($FK$245:$ID$316,$FJ212-FK$169,72-FK$169+SwaptionMonthsToGo+SwaptionShift))/SQRT(SUM(INDEX($FK367:$ID367,1+SwaptionShift):INDEX($FK367:$ID367,SwaptionMonthsToGo+SwaptionShift))*SUM(INDEX($FK$325:$ID$396,FK$169,1+SwaptionShift):INDEX($FK$325:$ID$396,FK$169,SwaptionMonthsToGo+SwaptionShift))))))</f>
        <v/>
      </c>
      <c r="FL212" s="150" t="str">
        <f aca="false">IF(OR(FL$169&lt;SwaptionFirstMonthPosition+1,$FJ212&lt;SwaptionFirstMonthPosition+1,FL$169&gt;SwaptionFirstMonthPosition+SwaptionNumOfMonths+1,$FJ212&gt;SwaptionFirstMonthPosition+SwaptionNumOfMonths+1),"",IF($FJ212=FL$169,1,IF($FJ212&lt;FL$169,INDEX($FK$170:$ID$241,FL$169,$FJ212),SUMPRODUCT(INDEX($FK$325:$ID$396,FL$169,1+SwaptionShift):INDEX($FK$325:$ID$396,FL$169,SwaptionMonthsToGo+SwaptionShift),INDEX($FK$245:$ID$316,$FJ212-FL$169,73-FL$169+SwaptionShift):INDEX($FK$245:$ID$316,$FJ212-FL$169,72-FL$169+SwaptionMonthsToGo+SwaptionShift))/SQRT(SUM(INDEX($FK367:$ID367,1+SwaptionShift):INDEX($FK367:$ID367,SwaptionMonthsToGo+SwaptionShift))*SUM(INDEX($FK$325:$ID$396,FL$169,1+SwaptionShift):INDEX($FK$325:$ID$396,FL$169,SwaptionMonthsToGo+SwaptionShift))))))</f>
        <v/>
      </c>
      <c r="FM212" s="150" t="str">
        <f aca="false">IF(OR(FM$169&lt;SwaptionFirstMonthPosition+1,$FJ212&lt;SwaptionFirstMonthPosition+1,FM$169&gt;SwaptionFirstMonthPosition+SwaptionNumOfMonths+1,$FJ212&gt;SwaptionFirstMonthPosition+SwaptionNumOfMonths+1),"",IF($FJ212=FM$169,1,IF($FJ212&lt;FM$169,INDEX($FK$170:$ID$241,FM$169,$FJ212),SUMPRODUCT(INDEX($FK$325:$ID$396,FM$169,1+SwaptionShift):INDEX($FK$325:$ID$396,FM$169,SwaptionMonthsToGo+SwaptionShift),INDEX($FK$245:$ID$316,$FJ212-FM$169,73-FM$169+SwaptionShift):INDEX($FK$245:$ID$316,$FJ212-FM$169,72-FM$169+SwaptionMonthsToGo+SwaptionShift))/SQRT(SUM(INDEX($FK367:$ID367,1+SwaptionShift):INDEX($FK367:$ID367,SwaptionMonthsToGo+SwaptionShift))*SUM(INDEX($FK$325:$ID$396,FM$169,1+SwaptionShift):INDEX($FK$325:$ID$396,FM$169,SwaptionMonthsToGo+SwaptionShift))))))</f>
        <v/>
      </c>
      <c r="FN212" s="150" t="str">
        <f aca="false">IF(OR(FN$169&lt;SwaptionFirstMonthPosition+1,$FJ212&lt;SwaptionFirstMonthPosition+1,FN$169&gt;SwaptionFirstMonthPosition+SwaptionNumOfMonths+1,$FJ212&gt;SwaptionFirstMonthPosition+SwaptionNumOfMonths+1),"",IF($FJ212=FN$169,1,IF($FJ212&lt;FN$169,INDEX($FK$170:$ID$241,FN$169,$FJ212),SUMPRODUCT(INDEX($FK$325:$ID$396,FN$169,1+SwaptionShift):INDEX($FK$325:$ID$396,FN$169,SwaptionMonthsToGo+SwaptionShift),INDEX($FK$245:$ID$316,$FJ212-FN$169,73-FN$169+SwaptionShift):INDEX($FK$245:$ID$316,$FJ212-FN$169,72-FN$169+SwaptionMonthsToGo+SwaptionShift))/SQRT(SUM(INDEX($FK367:$ID367,1+SwaptionShift):INDEX($FK367:$ID367,SwaptionMonthsToGo+SwaptionShift))*SUM(INDEX($FK$325:$ID$396,FN$169,1+SwaptionShift):INDEX($FK$325:$ID$396,FN$169,SwaptionMonthsToGo+SwaptionShift))))))</f>
        <v/>
      </c>
      <c r="FO212" s="150" t="str">
        <f aca="false">IF(OR(FO$169&lt;SwaptionFirstMonthPosition+1,$FJ212&lt;SwaptionFirstMonthPosition+1,FO$169&gt;SwaptionFirstMonthPosition+SwaptionNumOfMonths+1,$FJ212&gt;SwaptionFirstMonthPosition+SwaptionNumOfMonths+1),"",IF($FJ212=FO$169,1,IF($FJ212&lt;FO$169,INDEX($FK$170:$ID$241,FO$169,$FJ212),SUMPRODUCT(INDEX($FK$325:$ID$396,FO$169,1+SwaptionShift):INDEX($FK$325:$ID$396,FO$169,SwaptionMonthsToGo+SwaptionShift),INDEX($FK$245:$ID$316,$FJ212-FO$169,73-FO$169+SwaptionShift):INDEX($FK$245:$ID$316,$FJ212-FO$169,72-FO$169+SwaptionMonthsToGo+SwaptionShift))/SQRT(SUM(INDEX($FK367:$ID367,1+SwaptionShift):INDEX($FK367:$ID367,SwaptionMonthsToGo+SwaptionShift))*SUM(INDEX($FK$325:$ID$396,FO$169,1+SwaptionShift):INDEX($FK$325:$ID$396,FO$169,SwaptionMonthsToGo+SwaptionShift))))))</f>
        <v/>
      </c>
      <c r="FP212" s="150" t="str">
        <f aca="false">IF(OR(FP$169&lt;SwaptionFirstMonthPosition+1,$FJ212&lt;SwaptionFirstMonthPosition+1,FP$169&gt;SwaptionFirstMonthPosition+SwaptionNumOfMonths+1,$FJ212&gt;SwaptionFirstMonthPosition+SwaptionNumOfMonths+1),"",IF($FJ212=FP$169,1,IF($FJ212&lt;FP$169,INDEX($FK$170:$ID$241,FP$169,$FJ212),SUMPRODUCT(INDEX($FK$325:$ID$396,FP$169,1+SwaptionShift):INDEX($FK$325:$ID$396,FP$169,SwaptionMonthsToGo+SwaptionShift),INDEX($FK$245:$ID$316,$FJ212-FP$169,73-FP$169+SwaptionShift):INDEX($FK$245:$ID$316,$FJ212-FP$169,72-FP$169+SwaptionMonthsToGo+SwaptionShift))/SQRT(SUM(INDEX($FK367:$ID367,1+SwaptionShift):INDEX($FK367:$ID367,SwaptionMonthsToGo+SwaptionShift))*SUM(INDEX($FK$325:$ID$396,FP$169,1+SwaptionShift):INDEX($FK$325:$ID$396,FP$169,SwaptionMonthsToGo+SwaptionShift))))))</f>
        <v/>
      </c>
      <c r="FQ212" s="150" t="str">
        <f aca="false">IF(OR(FQ$169&lt;SwaptionFirstMonthPosition+1,$FJ212&lt;SwaptionFirstMonthPosition+1,FQ$169&gt;SwaptionFirstMonthPosition+SwaptionNumOfMonths+1,$FJ212&gt;SwaptionFirstMonthPosition+SwaptionNumOfMonths+1),"",IF($FJ212=FQ$169,1,IF($FJ212&lt;FQ$169,INDEX($FK$170:$ID$241,FQ$169,$FJ212),SUMPRODUCT(INDEX($FK$325:$ID$396,FQ$169,1+SwaptionShift):INDEX($FK$325:$ID$396,FQ$169,SwaptionMonthsToGo+SwaptionShift),INDEX($FK$245:$ID$316,$FJ212-FQ$169,73-FQ$169+SwaptionShift):INDEX($FK$245:$ID$316,$FJ212-FQ$169,72-FQ$169+SwaptionMonthsToGo+SwaptionShift))/SQRT(SUM(INDEX($FK367:$ID367,1+SwaptionShift):INDEX($FK367:$ID367,SwaptionMonthsToGo+SwaptionShift))*SUM(INDEX($FK$325:$ID$396,FQ$169,1+SwaptionShift):INDEX($FK$325:$ID$396,FQ$169,SwaptionMonthsToGo+SwaptionShift))))))</f>
        <v/>
      </c>
      <c r="FR212" s="150" t="str">
        <f aca="false">IF(OR(FR$169&lt;SwaptionFirstMonthPosition+1,$FJ212&lt;SwaptionFirstMonthPosition+1,FR$169&gt;SwaptionFirstMonthPosition+SwaptionNumOfMonths+1,$FJ212&gt;SwaptionFirstMonthPosition+SwaptionNumOfMonths+1),"",IF($FJ212=FR$169,1,IF($FJ212&lt;FR$169,INDEX($FK$170:$ID$241,FR$169,$FJ212),SUMPRODUCT(INDEX($FK$325:$ID$396,FR$169,1+SwaptionShift):INDEX($FK$325:$ID$396,FR$169,SwaptionMonthsToGo+SwaptionShift),INDEX($FK$245:$ID$316,$FJ212-FR$169,73-FR$169+SwaptionShift):INDEX($FK$245:$ID$316,$FJ212-FR$169,72-FR$169+SwaptionMonthsToGo+SwaptionShift))/SQRT(SUM(INDEX($FK367:$ID367,1+SwaptionShift):INDEX($FK367:$ID367,SwaptionMonthsToGo+SwaptionShift))*SUM(INDEX($FK$325:$ID$396,FR$169,1+SwaptionShift):INDEX($FK$325:$ID$396,FR$169,SwaptionMonthsToGo+SwaptionShift))))))</f>
        <v/>
      </c>
      <c r="FS212" s="150" t="str">
        <f aca="false">IF(OR(FS$169&lt;SwaptionFirstMonthPosition+1,$FJ212&lt;SwaptionFirstMonthPosition+1,FS$169&gt;SwaptionFirstMonthPosition+SwaptionNumOfMonths+1,$FJ212&gt;SwaptionFirstMonthPosition+SwaptionNumOfMonths+1),"",IF($FJ212=FS$169,1,IF($FJ212&lt;FS$169,INDEX($FK$170:$ID$241,FS$169,$FJ212),SUMPRODUCT(INDEX($FK$325:$ID$396,FS$169,1+SwaptionShift):INDEX($FK$325:$ID$396,FS$169,SwaptionMonthsToGo+SwaptionShift),INDEX($FK$245:$ID$316,$FJ212-FS$169,73-FS$169+SwaptionShift):INDEX($FK$245:$ID$316,$FJ212-FS$169,72-FS$169+SwaptionMonthsToGo+SwaptionShift))/SQRT(SUM(INDEX($FK367:$ID367,1+SwaptionShift):INDEX($FK367:$ID367,SwaptionMonthsToGo+SwaptionShift))*SUM(INDEX($FK$325:$ID$396,FS$169,1+SwaptionShift):INDEX($FK$325:$ID$396,FS$169,SwaptionMonthsToGo+SwaptionShift))))))</f>
        <v/>
      </c>
      <c r="FT212" s="150" t="str">
        <f aca="false">IF(OR(FT$169&lt;SwaptionFirstMonthPosition+1,$FJ212&lt;SwaptionFirstMonthPosition+1,FT$169&gt;SwaptionFirstMonthPosition+SwaptionNumOfMonths+1,$FJ212&gt;SwaptionFirstMonthPosition+SwaptionNumOfMonths+1),"",IF($FJ212=FT$169,1,IF($FJ212&lt;FT$169,INDEX($FK$170:$ID$241,FT$169,$FJ212),SUMPRODUCT(INDEX($FK$325:$ID$396,FT$169,1+SwaptionShift):INDEX($FK$325:$ID$396,FT$169,SwaptionMonthsToGo+SwaptionShift),INDEX($FK$245:$ID$316,$FJ212-FT$169,73-FT$169+SwaptionShift):INDEX($FK$245:$ID$316,$FJ212-FT$169,72-FT$169+SwaptionMonthsToGo+SwaptionShift))/SQRT(SUM(INDEX($FK367:$ID367,1+SwaptionShift):INDEX($FK367:$ID367,SwaptionMonthsToGo+SwaptionShift))*SUM(INDEX($FK$325:$ID$396,FT$169,1+SwaptionShift):INDEX($FK$325:$ID$396,FT$169,SwaptionMonthsToGo+SwaptionShift))))))</f>
        <v/>
      </c>
      <c r="FU212" s="150" t="str">
        <f aca="false">IF(OR(FU$169&lt;SwaptionFirstMonthPosition+1,$FJ212&lt;SwaptionFirstMonthPosition+1,FU$169&gt;SwaptionFirstMonthPosition+SwaptionNumOfMonths+1,$FJ212&gt;SwaptionFirstMonthPosition+SwaptionNumOfMonths+1),"",IF($FJ212=FU$169,1,IF($FJ212&lt;FU$169,INDEX($FK$170:$ID$241,FU$169,$FJ212),SUMPRODUCT(INDEX($FK$325:$ID$396,FU$169,1+SwaptionShift):INDEX($FK$325:$ID$396,FU$169,SwaptionMonthsToGo+SwaptionShift),INDEX($FK$245:$ID$316,$FJ212-FU$169,73-FU$169+SwaptionShift):INDEX($FK$245:$ID$316,$FJ212-FU$169,72-FU$169+SwaptionMonthsToGo+SwaptionShift))/SQRT(SUM(INDEX($FK367:$ID367,1+SwaptionShift):INDEX($FK367:$ID367,SwaptionMonthsToGo+SwaptionShift))*SUM(INDEX($FK$325:$ID$396,FU$169,1+SwaptionShift):INDEX($FK$325:$ID$396,FU$169,SwaptionMonthsToGo+SwaptionShift))))))</f>
        <v/>
      </c>
      <c r="FV212" s="150" t="str">
        <f aca="false">IF(OR(FV$169&lt;SwaptionFirstMonthPosition+1,$FJ212&lt;SwaptionFirstMonthPosition+1,FV$169&gt;SwaptionFirstMonthPosition+SwaptionNumOfMonths+1,$FJ212&gt;SwaptionFirstMonthPosition+SwaptionNumOfMonths+1),"",IF($FJ212=FV$169,1,IF($FJ212&lt;FV$169,INDEX($FK$170:$ID$241,FV$169,$FJ212),SUMPRODUCT(INDEX($FK$325:$ID$396,FV$169,1+SwaptionShift):INDEX($FK$325:$ID$396,FV$169,SwaptionMonthsToGo+SwaptionShift),INDEX($FK$245:$ID$316,$FJ212-FV$169,73-FV$169+SwaptionShift):INDEX($FK$245:$ID$316,$FJ212-FV$169,72-FV$169+SwaptionMonthsToGo+SwaptionShift))/SQRT(SUM(INDEX($FK367:$ID367,1+SwaptionShift):INDEX($FK367:$ID367,SwaptionMonthsToGo+SwaptionShift))*SUM(INDEX($FK$325:$ID$396,FV$169,1+SwaptionShift):INDEX($FK$325:$ID$396,FV$169,SwaptionMonthsToGo+SwaptionShift))))))</f>
        <v/>
      </c>
      <c r="FW212" s="150" t="str">
        <f aca="false">IF(OR(FW$169&lt;SwaptionFirstMonthPosition+1,$FJ212&lt;SwaptionFirstMonthPosition+1,FW$169&gt;SwaptionFirstMonthPosition+SwaptionNumOfMonths+1,$FJ212&gt;SwaptionFirstMonthPosition+SwaptionNumOfMonths+1),"",IF($FJ212=FW$169,1,IF($FJ212&lt;FW$169,INDEX($FK$170:$ID$241,FW$169,$FJ212),SUMPRODUCT(INDEX($FK$325:$ID$396,FW$169,1+SwaptionShift):INDEX($FK$325:$ID$396,FW$169,SwaptionMonthsToGo+SwaptionShift),INDEX($FK$245:$ID$316,$FJ212-FW$169,73-FW$169+SwaptionShift):INDEX($FK$245:$ID$316,$FJ212-FW$169,72-FW$169+SwaptionMonthsToGo+SwaptionShift))/SQRT(SUM(INDEX($FK367:$ID367,1+SwaptionShift):INDEX($FK367:$ID367,SwaptionMonthsToGo+SwaptionShift))*SUM(INDEX($FK$325:$ID$396,FW$169,1+SwaptionShift):INDEX($FK$325:$ID$396,FW$169,SwaptionMonthsToGo+SwaptionShift))))))</f>
        <v/>
      </c>
      <c r="FX212" s="150" t="str">
        <f aca="false">IF(OR(FX$169&lt;SwaptionFirstMonthPosition+1,$FJ212&lt;SwaptionFirstMonthPosition+1,FX$169&gt;SwaptionFirstMonthPosition+SwaptionNumOfMonths+1,$FJ212&gt;SwaptionFirstMonthPosition+SwaptionNumOfMonths+1),"",IF($FJ212=FX$169,1,IF($FJ212&lt;FX$169,INDEX($FK$170:$ID$241,FX$169,$FJ212),SUMPRODUCT(INDEX($FK$325:$ID$396,FX$169,1+SwaptionShift):INDEX($FK$325:$ID$396,FX$169,SwaptionMonthsToGo+SwaptionShift),INDEX($FK$245:$ID$316,$FJ212-FX$169,73-FX$169+SwaptionShift):INDEX($FK$245:$ID$316,$FJ212-FX$169,72-FX$169+SwaptionMonthsToGo+SwaptionShift))/SQRT(SUM(INDEX($FK367:$ID367,1+SwaptionShift):INDEX($FK367:$ID367,SwaptionMonthsToGo+SwaptionShift))*SUM(INDEX($FK$325:$ID$396,FX$169,1+SwaptionShift):INDEX($FK$325:$ID$396,FX$169,SwaptionMonthsToGo+SwaptionShift))))))</f>
        <v/>
      </c>
      <c r="FY212" s="150" t="str">
        <f aca="false">IF(OR(FY$169&lt;SwaptionFirstMonthPosition+1,$FJ212&lt;SwaptionFirstMonthPosition+1,FY$169&gt;SwaptionFirstMonthPosition+SwaptionNumOfMonths+1,$FJ212&gt;SwaptionFirstMonthPosition+SwaptionNumOfMonths+1),"",IF($FJ212=FY$169,1,IF($FJ212&lt;FY$169,INDEX($FK$170:$ID$241,FY$169,$FJ212),SUMPRODUCT(INDEX($FK$325:$ID$396,FY$169,1+SwaptionShift):INDEX($FK$325:$ID$396,FY$169,SwaptionMonthsToGo+SwaptionShift),INDEX($FK$245:$ID$316,$FJ212-FY$169,73-FY$169+SwaptionShift):INDEX($FK$245:$ID$316,$FJ212-FY$169,72-FY$169+SwaptionMonthsToGo+SwaptionShift))/SQRT(SUM(INDEX($FK367:$ID367,1+SwaptionShift):INDEX($FK367:$ID367,SwaptionMonthsToGo+SwaptionShift))*SUM(INDEX($FK$325:$ID$396,FY$169,1+SwaptionShift):INDEX($FK$325:$ID$396,FY$169,SwaptionMonthsToGo+SwaptionShift))))))</f>
        <v/>
      </c>
      <c r="FZ212" s="150" t="str">
        <f aca="false">IF(OR(FZ$169&lt;SwaptionFirstMonthPosition+1,$FJ212&lt;SwaptionFirstMonthPosition+1,FZ$169&gt;SwaptionFirstMonthPosition+SwaptionNumOfMonths+1,$FJ212&gt;SwaptionFirstMonthPosition+SwaptionNumOfMonths+1),"",IF($FJ212=FZ$169,1,IF($FJ212&lt;FZ$169,INDEX($FK$170:$ID$241,FZ$169,$FJ212),SUMPRODUCT(INDEX($FK$325:$ID$396,FZ$169,1+SwaptionShift):INDEX($FK$325:$ID$396,FZ$169,SwaptionMonthsToGo+SwaptionShift),INDEX($FK$245:$ID$316,$FJ212-FZ$169,73-FZ$169+SwaptionShift):INDEX($FK$245:$ID$316,$FJ212-FZ$169,72-FZ$169+SwaptionMonthsToGo+SwaptionShift))/SQRT(SUM(INDEX($FK367:$ID367,1+SwaptionShift):INDEX($FK367:$ID367,SwaptionMonthsToGo+SwaptionShift))*SUM(INDEX($FK$325:$ID$396,FZ$169,1+SwaptionShift):INDEX($FK$325:$ID$396,FZ$169,SwaptionMonthsToGo+SwaptionShift))))))</f>
        <v/>
      </c>
      <c r="GA212" s="150" t="str">
        <f aca="false">IF(OR(GA$169&lt;SwaptionFirstMonthPosition+1,$FJ212&lt;SwaptionFirstMonthPosition+1,GA$169&gt;SwaptionFirstMonthPosition+SwaptionNumOfMonths+1,$FJ212&gt;SwaptionFirstMonthPosition+SwaptionNumOfMonths+1),"",IF($FJ212=GA$169,1,IF($FJ212&lt;GA$169,INDEX($FK$170:$ID$241,GA$169,$FJ212),SUMPRODUCT(INDEX($FK$325:$ID$396,GA$169,1+SwaptionShift):INDEX($FK$325:$ID$396,GA$169,SwaptionMonthsToGo+SwaptionShift),INDEX($FK$245:$ID$316,$FJ212-GA$169,73-GA$169+SwaptionShift):INDEX($FK$245:$ID$316,$FJ212-GA$169,72-GA$169+SwaptionMonthsToGo+SwaptionShift))/SQRT(SUM(INDEX($FK367:$ID367,1+SwaptionShift):INDEX($FK367:$ID367,SwaptionMonthsToGo+SwaptionShift))*SUM(INDEX($FK$325:$ID$396,GA$169,1+SwaptionShift):INDEX($FK$325:$ID$396,GA$169,SwaptionMonthsToGo+SwaptionShift))))))</f>
        <v/>
      </c>
      <c r="GB212" s="150" t="str">
        <f aca="false">IF(OR(GB$169&lt;SwaptionFirstMonthPosition+1,$FJ212&lt;SwaptionFirstMonthPosition+1,GB$169&gt;SwaptionFirstMonthPosition+SwaptionNumOfMonths+1,$FJ212&gt;SwaptionFirstMonthPosition+SwaptionNumOfMonths+1),"",IF($FJ212=GB$169,1,IF($FJ212&lt;GB$169,INDEX($FK$170:$ID$241,GB$169,$FJ212),SUMPRODUCT(INDEX($FK$325:$ID$396,GB$169,1+SwaptionShift):INDEX($FK$325:$ID$396,GB$169,SwaptionMonthsToGo+SwaptionShift),INDEX($FK$245:$ID$316,$FJ212-GB$169,73-GB$169+SwaptionShift):INDEX($FK$245:$ID$316,$FJ212-GB$169,72-GB$169+SwaptionMonthsToGo+SwaptionShift))/SQRT(SUM(INDEX($FK367:$ID367,1+SwaptionShift):INDEX($FK367:$ID367,SwaptionMonthsToGo+SwaptionShift))*SUM(INDEX($FK$325:$ID$396,GB$169,1+SwaptionShift):INDEX($FK$325:$ID$396,GB$169,SwaptionMonthsToGo+SwaptionShift))))))</f>
        <v/>
      </c>
      <c r="GC212" s="150" t="str">
        <f aca="false">IF(OR(GC$169&lt;SwaptionFirstMonthPosition+1,$FJ212&lt;SwaptionFirstMonthPosition+1,GC$169&gt;SwaptionFirstMonthPosition+SwaptionNumOfMonths+1,$FJ212&gt;SwaptionFirstMonthPosition+SwaptionNumOfMonths+1),"",IF($FJ212=GC$169,1,IF($FJ212&lt;GC$169,INDEX($FK$170:$ID$241,GC$169,$FJ212),SUMPRODUCT(INDEX($FK$325:$ID$396,GC$169,1+SwaptionShift):INDEX($FK$325:$ID$396,GC$169,SwaptionMonthsToGo+SwaptionShift),INDEX($FK$245:$ID$316,$FJ212-GC$169,73-GC$169+SwaptionShift):INDEX($FK$245:$ID$316,$FJ212-GC$169,72-GC$169+SwaptionMonthsToGo+SwaptionShift))/SQRT(SUM(INDEX($FK367:$ID367,1+SwaptionShift):INDEX($FK367:$ID367,SwaptionMonthsToGo+SwaptionShift))*SUM(INDEX($FK$325:$ID$396,GC$169,1+SwaptionShift):INDEX($FK$325:$ID$396,GC$169,SwaptionMonthsToGo+SwaptionShift))))))</f>
        <v/>
      </c>
      <c r="GD212" s="150" t="str">
        <f aca="false">IF(OR(GD$169&lt;SwaptionFirstMonthPosition+1,$FJ212&lt;SwaptionFirstMonthPosition+1,GD$169&gt;SwaptionFirstMonthPosition+SwaptionNumOfMonths+1,$FJ212&gt;SwaptionFirstMonthPosition+SwaptionNumOfMonths+1),"",IF($FJ212=GD$169,1,IF($FJ212&lt;GD$169,INDEX($FK$170:$ID$241,GD$169,$FJ212),SUMPRODUCT(INDEX($FK$325:$ID$396,GD$169,1+SwaptionShift):INDEX($FK$325:$ID$396,GD$169,SwaptionMonthsToGo+SwaptionShift),INDEX($FK$245:$ID$316,$FJ212-GD$169,73-GD$169+SwaptionShift):INDEX($FK$245:$ID$316,$FJ212-GD$169,72-GD$169+SwaptionMonthsToGo+SwaptionShift))/SQRT(SUM(INDEX($FK367:$ID367,1+SwaptionShift):INDEX($FK367:$ID367,SwaptionMonthsToGo+SwaptionShift))*SUM(INDEX($FK$325:$ID$396,GD$169,1+SwaptionShift):INDEX($FK$325:$ID$396,GD$169,SwaptionMonthsToGo+SwaptionShift))))))</f>
        <v/>
      </c>
      <c r="GE212" s="150" t="str">
        <f aca="false">IF(OR(GE$169&lt;SwaptionFirstMonthPosition+1,$FJ212&lt;SwaptionFirstMonthPosition+1,GE$169&gt;SwaptionFirstMonthPosition+SwaptionNumOfMonths+1,$FJ212&gt;SwaptionFirstMonthPosition+SwaptionNumOfMonths+1),"",IF($FJ212=GE$169,1,IF($FJ212&lt;GE$169,INDEX($FK$170:$ID$241,GE$169,$FJ212),SUMPRODUCT(INDEX($FK$325:$ID$396,GE$169,1+SwaptionShift):INDEX($FK$325:$ID$396,GE$169,SwaptionMonthsToGo+SwaptionShift),INDEX($FK$245:$ID$316,$FJ212-GE$169,73-GE$169+SwaptionShift):INDEX($FK$245:$ID$316,$FJ212-GE$169,72-GE$169+SwaptionMonthsToGo+SwaptionShift))/SQRT(SUM(INDEX($FK367:$ID367,1+SwaptionShift):INDEX($FK367:$ID367,SwaptionMonthsToGo+SwaptionShift))*SUM(INDEX($FK$325:$ID$396,GE$169,1+SwaptionShift):INDEX($FK$325:$ID$396,GE$169,SwaptionMonthsToGo+SwaptionShift))))))</f>
        <v/>
      </c>
      <c r="GF212" s="150" t="str">
        <f aca="false">IF(OR(GF$169&lt;SwaptionFirstMonthPosition+1,$FJ212&lt;SwaptionFirstMonthPosition+1,GF$169&gt;SwaptionFirstMonthPosition+SwaptionNumOfMonths+1,$FJ212&gt;SwaptionFirstMonthPosition+SwaptionNumOfMonths+1),"",IF($FJ212=GF$169,1,IF($FJ212&lt;GF$169,INDEX($FK$170:$ID$241,GF$169,$FJ212),SUMPRODUCT(INDEX($FK$325:$ID$396,GF$169,1+SwaptionShift):INDEX($FK$325:$ID$396,GF$169,SwaptionMonthsToGo+SwaptionShift),INDEX($FK$245:$ID$316,$FJ212-GF$169,73-GF$169+SwaptionShift):INDEX($FK$245:$ID$316,$FJ212-GF$169,72-GF$169+SwaptionMonthsToGo+SwaptionShift))/SQRT(SUM(INDEX($FK367:$ID367,1+SwaptionShift):INDEX($FK367:$ID367,SwaptionMonthsToGo+SwaptionShift))*SUM(INDEX($FK$325:$ID$396,GF$169,1+SwaptionShift):INDEX($FK$325:$ID$396,GF$169,SwaptionMonthsToGo+SwaptionShift))))))</f>
        <v/>
      </c>
      <c r="GG212" s="150" t="str">
        <f aca="false">IF(OR(GG$169&lt;SwaptionFirstMonthPosition+1,$FJ212&lt;SwaptionFirstMonthPosition+1,GG$169&gt;SwaptionFirstMonthPosition+SwaptionNumOfMonths+1,$FJ212&gt;SwaptionFirstMonthPosition+SwaptionNumOfMonths+1),"",IF($FJ212=GG$169,1,IF($FJ212&lt;GG$169,INDEX($FK$170:$ID$241,GG$169,$FJ212),SUMPRODUCT(INDEX($FK$325:$ID$396,GG$169,1+SwaptionShift):INDEX($FK$325:$ID$396,GG$169,SwaptionMonthsToGo+SwaptionShift),INDEX($FK$245:$ID$316,$FJ212-GG$169,73-GG$169+SwaptionShift):INDEX($FK$245:$ID$316,$FJ212-GG$169,72-GG$169+SwaptionMonthsToGo+SwaptionShift))/SQRT(SUM(INDEX($FK367:$ID367,1+SwaptionShift):INDEX($FK367:$ID367,SwaptionMonthsToGo+SwaptionShift))*SUM(INDEX($FK$325:$ID$396,GG$169,1+SwaptionShift):INDEX($FK$325:$ID$396,GG$169,SwaptionMonthsToGo+SwaptionShift))))))</f>
        <v/>
      </c>
      <c r="GH212" s="150" t="str">
        <f aca="false">IF(OR(GH$169&lt;SwaptionFirstMonthPosition+1,$FJ212&lt;SwaptionFirstMonthPosition+1,GH$169&gt;SwaptionFirstMonthPosition+SwaptionNumOfMonths+1,$FJ212&gt;SwaptionFirstMonthPosition+SwaptionNumOfMonths+1),"",IF($FJ212=GH$169,1,IF($FJ212&lt;GH$169,INDEX($FK$170:$ID$241,GH$169,$FJ212),SUMPRODUCT(INDEX($FK$325:$ID$396,GH$169,1+SwaptionShift):INDEX($FK$325:$ID$396,GH$169,SwaptionMonthsToGo+SwaptionShift),INDEX($FK$245:$ID$316,$FJ212-GH$169,73-GH$169+SwaptionShift):INDEX($FK$245:$ID$316,$FJ212-GH$169,72-GH$169+SwaptionMonthsToGo+SwaptionShift))/SQRT(SUM(INDEX($FK367:$ID367,1+SwaptionShift):INDEX($FK367:$ID367,SwaptionMonthsToGo+SwaptionShift))*SUM(INDEX($FK$325:$ID$396,GH$169,1+SwaptionShift):INDEX($FK$325:$ID$396,GH$169,SwaptionMonthsToGo+SwaptionShift))))))</f>
        <v/>
      </c>
      <c r="GI212" s="150" t="str">
        <f aca="false">IF(OR(GI$169&lt;SwaptionFirstMonthPosition+1,$FJ212&lt;SwaptionFirstMonthPosition+1,GI$169&gt;SwaptionFirstMonthPosition+SwaptionNumOfMonths+1,$FJ212&gt;SwaptionFirstMonthPosition+SwaptionNumOfMonths+1),"",IF($FJ212=GI$169,1,IF($FJ212&lt;GI$169,INDEX($FK$170:$ID$241,GI$169,$FJ212),SUMPRODUCT(INDEX($FK$325:$ID$396,GI$169,1+SwaptionShift):INDEX($FK$325:$ID$396,GI$169,SwaptionMonthsToGo+SwaptionShift),INDEX($FK$245:$ID$316,$FJ212-GI$169,73-GI$169+SwaptionShift):INDEX($FK$245:$ID$316,$FJ212-GI$169,72-GI$169+SwaptionMonthsToGo+SwaptionShift))/SQRT(SUM(INDEX($FK367:$ID367,1+SwaptionShift):INDEX($FK367:$ID367,SwaptionMonthsToGo+SwaptionShift))*SUM(INDEX($FK$325:$ID$396,GI$169,1+SwaptionShift):INDEX($FK$325:$ID$396,GI$169,SwaptionMonthsToGo+SwaptionShift))))))</f>
        <v/>
      </c>
      <c r="GJ212" s="150" t="str">
        <f aca="false">IF(OR(GJ$169&lt;SwaptionFirstMonthPosition+1,$FJ212&lt;SwaptionFirstMonthPosition+1,GJ$169&gt;SwaptionFirstMonthPosition+SwaptionNumOfMonths+1,$FJ212&gt;SwaptionFirstMonthPosition+SwaptionNumOfMonths+1),"",IF($FJ212=GJ$169,1,IF($FJ212&lt;GJ$169,INDEX($FK$170:$ID$241,GJ$169,$FJ212),SUMPRODUCT(INDEX($FK$325:$ID$396,GJ$169,1+SwaptionShift):INDEX($FK$325:$ID$396,GJ$169,SwaptionMonthsToGo+SwaptionShift),INDEX($FK$245:$ID$316,$FJ212-GJ$169,73-GJ$169+SwaptionShift):INDEX($FK$245:$ID$316,$FJ212-GJ$169,72-GJ$169+SwaptionMonthsToGo+SwaptionShift))/SQRT(SUM(INDEX($FK367:$ID367,1+SwaptionShift):INDEX($FK367:$ID367,SwaptionMonthsToGo+SwaptionShift))*SUM(INDEX($FK$325:$ID$396,GJ$169,1+SwaptionShift):INDEX($FK$325:$ID$396,GJ$169,SwaptionMonthsToGo+SwaptionShift))))))</f>
        <v/>
      </c>
      <c r="GK212" s="150" t="str">
        <f aca="false">IF(OR(GK$169&lt;SwaptionFirstMonthPosition+1,$FJ212&lt;SwaptionFirstMonthPosition+1,GK$169&gt;SwaptionFirstMonthPosition+SwaptionNumOfMonths+1,$FJ212&gt;SwaptionFirstMonthPosition+SwaptionNumOfMonths+1),"",IF($FJ212=GK$169,1,IF($FJ212&lt;GK$169,INDEX($FK$170:$ID$241,GK$169,$FJ212),SUMPRODUCT(INDEX($FK$325:$ID$396,GK$169,1+SwaptionShift):INDEX($FK$325:$ID$396,GK$169,SwaptionMonthsToGo+SwaptionShift),INDEX($FK$245:$ID$316,$FJ212-GK$169,73-GK$169+SwaptionShift):INDEX($FK$245:$ID$316,$FJ212-GK$169,72-GK$169+SwaptionMonthsToGo+SwaptionShift))/SQRT(SUM(INDEX($FK367:$ID367,1+SwaptionShift):INDEX($FK367:$ID367,SwaptionMonthsToGo+SwaptionShift))*SUM(INDEX($FK$325:$ID$396,GK$169,1+SwaptionShift):INDEX($FK$325:$ID$396,GK$169,SwaptionMonthsToGo+SwaptionShift))))))</f>
        <v/>
      </c>
      <c r="GL212" s="150" t="str">
        <f aca="false">IF(OR(GL$169&lt;SwaptionFirstMonthPosition+1,$FJ212&lt;SwaptionFirstMonthPosition+1,GL$169&gt;SwaptionFirstMonthPosition+SwaptionNumOfMonths+1,$FJ212&gt;SwaptionFirstMonthPosition+SwaptionNumOfMonths+1),"",IF($FJ212=GL$169,1,IF($FJ212&lt;GL$169,INDEX($FK$170:$ID$241,GL$169,$FJ212),SUMPRODUCT(INDEX($FK$325:$ID$396,GL$169,1+SwaptionShift):INDEX($FK$325:$ID$396,GL$169,SwaptionMonthsToGo+SwaptionShift),INDEX($FK$245:$ID$316,$FJ212-GL$169,73-GL$169+SwaptionShift):INDEX($FK$245:$ID$316,$FJ212-GL$169,72-GL$169+SwaptionMonthsToGo+SwaptionShift))/SQRT(SUM(INDEX($FK367:$ID367,1+SwaptionShift):INDEX($FK367:$ID367,SwaptionMonthsToGo+SwaptionShift))*SUM(INDEX($FK$325:$ID$396,GL$169,1+SwaptionShift):INDEX($FK$325:$ID$396,GL$169,SwaptionMonthsToGo+SwaptionShift))))))</f>
        <v/>
      </c>
      <c r="GM212" s="150" t="str">
        <f aca="false">IF(OR(GM$169&lt;SwaptionFirstMonthPosition+1,$FJ212&lt;SwaptionFirstMonthPosition+1,GM$169&gt;SwaptionFirstMonthPosition+SwaptionNumOfMonths+1,$FJ212&gt;SwaptionFirstMonthPosition+SwaptionNumOfMonths+1),"",IF($FJ212=GM$169,1,IF($FJ212&lt;GM$169,INDEX($FK$170:$ID$241,GM$169,$FJ212),SUMPRODUCT(INDEX($FK$325:$ID$396,GM$169,1+SwaptionShift):INDEX($FK$325:$ID$396,GM$169,SwaptionMonthsToGo+SwaptionShift),INDEX($FK$245:$ID$316,$FJ212-GM$169,73-GM$169+SwaptionShift):INDEX($FK$245:$ID$316,$FJ212-GM$169,72-GM$169+SwaptionMonthsToGo+SwaptionShift))/SQRT(SUM(INDEX($FK367:$ID367,1+SwaptionShift):INDEX($FK367:$ID367,SwaptionMonthsToGo+SwaptionShift))*SUM(INDEX($FK$325:$ID$396,GM$169,1+SwaptionShift):INDEX($FK$325:$ID$396,GM$169,SwaptionMonthsToGo+SwaptionShift))))))</f>
        <v/>
      </c>
      <c r="GN212" s="150" t="str">
        <f aca="false">IF(OR(GN$169&lt;SwaptionFirstMonthPosition+1,$FJ212&lt;SwaptionFirstMonthPosition+1,GN$169&gt;SwaptionFirstMonthPosition+SwaptionNumOfMonths+1,$FJ212&gt;SwaptionFirstMonthPosition+SwaptionNumOfMonths+1),"",IF($FJ212=GN$169,1,IF($FJ212&lt;GN$169,INDEX($FK$170:$ID$241,GN$169,$FJ212),SUMPRODUCT(INDEX($FK$325:$ID$396,GN$169,1+SwaptionShift):INDEX($FK$325:$ID$396,GN$169,SwaptionMonthsToGo+SwaptionShift),INDEX($FK$245:$ID$316,$FJ212-GN$169,73-GN$169+SwaptionShift):INDEX($FK$245:$ID$316,$FJ212-GN$169,72-GN$169+SwaptionMonthsToGo+SwaptionShift))/SQRT(SUM(INDEX($FK367:$ID367,1+SwaptionShift):INDEX($FK367:$ID367,SwaptionMonthsToGo+SwaptionShift))*SUM(INDEX($FK$325:$ID$396,GN$169,1+SwaptionShift):INDEX($FK$325:$ID$396,GN$169,SwaptionMonthsToGo+SwaptionShift))))))</f>
        <v/>
      </c>
      <c r="GO212" s="150" t="str">
        <f aca="false">IF(OR(GO$169&lt;SwaptionFirstMonthPosition+1,$FJ212&lt;SwaptionFirstMonthPosition+1,GO$169&gt;SwaptionFirstMonthPosition+SwaptionNumOfMonths+1,$FJ212&gt;SwaptionFirstMonthPosition+SwaptionNumOfMonths+1),"",IF($FJ212=GO$169,1,IF($FJ212&lt;GO$169,INDEX($FK$170:$ID$241,GO$169,$FJ212),SUMPRODUCT(INDEX($FK$325:$ID$396,GO$169,1+SwaptionShift):INDEX($FK$325:$ID$396,GO$169,SwaptionMonthsToGo+SwaptionShift),INDEX($FK$245:$ID$316,$FJ212-GO$169,73-GO$169+SwaptionShift):INDEX($FK$245:$ID$316,$FJ212-GO$169,72-GO$169+SwaptionMonthsToGo+SwaptionShift))/SQRT(SUM(INDEX($FK367:$ID367,1+SwaptionShift):INDEX($FK367:$ID367,SwaptionMonthsToGo+SwaptionShift))*SUM(INDEX($FK$325:$ID$396,GO$169,1+SwaptionShift):INDEX($FK$325:$ID$396,GO$169,SwaptionMonthsToGo+SwaptionShift))))))</f>
        <v/>
      </c>
      <c r="GP212" s="150" t="str">
        <f aca="false">IF(OR(GP$169&lt;SwaptionFirstMonthPosition+1,$FJ212&lt;SwaptionFirstMonthPosition+1,GP$169&gt;SwaptionFirstMonthPosition+SwaptionNumOfMonths+1,$FJ212&gt;SwaptionFirstMonthPosition+SwaptionNumOfMonths+1),"",IF($FJ212=GP$169,1,IF($FJ212&lt;GP$169,INDEX($FK$170:$ID$241,GP$169,$FJ212),SUMPRODUCT(INDEX($FK$325:$ID$396,GP$169,1+SwaptionShift):INDEX($FK$325:$ID$396,GP$169,SwaptionMonthsToGo+SwaptionShift),INDEX($FK$245:$ID$316,$FJ212-GP$169,73-GP$169+SwaptionShift):INDEX($FK$245:$ID$316,$FJ212-GP$169,72-GP$169+SwaptionMonthsToGo+SwaptionShift))/SQRT(SUM(INDEX($FK367:$ID367,1+SwaptionShift):INDEX($FK367:$ID367,SwaptionMonthsToGo+SwaptionShift))*SUM(INDEX($FK$325:$ID$396,GP$169,1+SwaptionShift):INDEX($FK$325:$ID$396,GP$169,SwaptionMonthsToGo+SwaptionShift))))))</f>
        <v/>
      </c>
      <c r="GQ212" s="150" t="str">
        <f aca="false">IF(OR(GQ$169&lt;SwaptionFirstMonthPosition+1,$FJ212&lt;SwaptionFirstMonthPosition+1,GQ$169&gt;SwaptionFirstMonthPosition+SwaptionNumOfMonths+1,$FJ212&gt;SwaptionFirstMonthPosition+SwaptionNumOfMonths+1),"",IF($FJ212=GQ$169,1,IF($FJ212&lt;GQ$169,INDEX($FK$170:$ID$241,GQ$169,$FJ212),SUMPRODUCT(INDEX($FK$325:$ID$396,GQ$169,1+SwaptionShift):INDEX($FK$325:$ID$396,GQ$169,SwaptionMonthsToGo+SwaptionShift),INDEX($FK$245:$ID$316,$FJ212-GQ$169,73-GQ$169+SwaptionShift):INDEX($FK$245:$ID$316,$FJ212-GQ$169,72-GQ$169+SwaptionMonthsToGo+SwaptionShift))/SQRT(SUM(INDEX($FK367:$ID367,1+SwaptionShift):INDEX($FK367:$ID367,SwaptionMonthsToGo+SwaptionShift))*SUM(INDEX($FK$325:$ID$396,GQ$169,1+SwaptionShift):INDEX($FK$325:$ID$396,GQ$169,SwaptionMonthsToGo+SwaptionShift))))))</f>
        <v/>
      </c>
      <c r="GR212" s="150" t="str">
        <f aca="false">IF(OR(GR$169&lt;SwaptionFirstMonthPosition+1,$FJ212&lt;SwaptionFirstMonthPosition+1,GR$169&gt;SwaptionFirstMonthPosition+SwaptionNumOfMonths+1,$FJ212&gt;SwaptionFirstMonthPosition+SwaptionNumOfMonths+1),"",IF($FJ212=GR$169,1,IF($FJ212&lt;GR$169,INDEX($FK$170:$ID$241,GR$169,$FJ212),SUMPRODUCT(INDEX($FK$325:$ID$396,GR$169,1+SwaptionShift):INDEX($FK$325:$ID$396,GR$169,SwaptionMonthsToGo+SwaptionShift),INDEX($FK$245:$ID$316,$FJ212-GR$169,73-GR$169+SwaptionShift):INDEX($FK$245:$ID$316,$FJ212-GR$169,72-GR$169+SwaptionMonthsToGo+SwaptionShift))/SQRT(SUM(INDEX($FK367:$ID367,1+SwaptionShift):INDEX($FK367:$ID367,SwaptionMonthsToGo+SwaptionShift))*SUM(INDEX($FK$325:$ID$396,GR$169,1+SwaptionShift):INDEX($FK$325:$ID$396,GR$169,SwaptionMonthsToGo+SwaptionShift))))))</f>
        <v/>
      </c>
      <c r="GS212" s="150" t="str">
        <f aca="false">IF(OR(GS$169&lt;SwaptionFirstMonthPosition+1,$FJ212&lt;SwaptionFirstMonthPosition+1,GS$169&gt;SwaptionFirstMonthPosition+SwaptionNumOfMonths+1,$FJ212&gt;SwaptionFirstMonthPosition+SwaptionNumOfMonths+1),"",IF($FJ212=GS$169,1,IF($FJ212&lt;GS$169,INDEX($FK$170:$ID$241,GS$169,$FJ212),SUMPRODUCT(INDEX($FK$325:$ID$396,GS$169,1+SwaptionShift):INDEX($FK$325:$ID$396,GS$169,SwaptionMonthsToGo+SwaptionShift),INDEX($FK$245:$ID$316,$FJ212-GS$169,73-GS$169+SwaptionShift):INDEX($FK$245:$ID$316,$FJ212-GS$169,72-GS$169+SwaptionMonthsToGo+SwaptionShift))/SQRT(SUM(INDEX($FK367:$ID367,1+SwaptionShift):INDEX($FK367:$ID367,SwaptionMonthsToGo+SwaptionShift))*SUM(INDEX($FK$325:$ID$396,GS$169,1+SwaptionShift):INDEX($FK$325:$ID$396,GS$169,SwaptionMonthsToGo+SwaptionShift))))))</f>
        <v/>
      </c>
      <c r="GT212" s="150" t="str">
        <f aca="false">IF(OR(GT$169&lt;SwaptionFirstMonthPosition+1,$FJ212&lt;SwaptionFirstMonthPosition+1,GT$169&gt;SwaptionFirstMonthPosition+SwaptionNumOfMonths+1,$FJ212&gt;SwaptionFirstMonthPosition+SwaptionNumOfMonths+1),"",IF($FJ212=GT$169,1,IF($FJ212&lt;GT$169,INDEX($FK$170:$ID$241,GT$169,$FJ212),SUMPRODUCT(INDEX($FK$325:$ID$396,GT$169,1+SwaptionShift):INDEX($FK$325:$ID$396,GT$169,SwaptionMonthsToGo+SwaptionShift),INDEX($FK$245:$ID$316,$FJ212-GT$169,73-GT$169+SwaptionShift):INDEX($FK$245:$ID$316,$FJ212-GT$169,72-GT$169+SwaptionMonthsToGo+SwaptionShift))/SQRT(SUM(INDEX($FK367:$ID367,1+SwaptionShift):INDEX($FK367:$ID367,SwaptionMonthsToGo+SwaptionShift))*SUM(INDEX($FK$325:$ID$396,GT$169,1+SwaptionShift):INDEX($FK$325:$ID$396,GT$169,SwaptionMonthsToGo+SwaptionShift))))))</f>
        <v/>
      </c>
      <c r="GU212" s="150" t="str">
        <f aca="false">IF(OR(GU$169&lt;SwaptionFirstMonthPosition+1,$FJ212&lt;SwaptionFirstMonthPosition+1,GU$169&gt;SwaptionFirstMonthPosition+SwaptionNumOfMonths+1,$FJ212&gt;SwaptionFirstMonthPosition+SwaptionNumOfMonths+1),"",IF($FJ212=GU$169,1,IF($FJ212&lt;GU$169,INDEX($FK$170:$ID$241,GU$169,$FJ212),SUMPRODUCT(INDEX($FK$325:$ID$396,GU$169,1+SwaptionShift):INDEX($FK$325:$ID$396,GU$169,SwaptionMonthsToGo+SwaptionShift),INDEX($FK$245:$ID$316,$FJ212-GU$169,73-GU$169+SwaptionShift):INDEX($FK$245:$ID$316,$FJ212-GU$169,72-GU$169+SwaptionMonthsToGo+SwaptionShift))/SQRT(SUM(INDEX($FK367:$ID367,1+SwaptionShift):INDEX($FK367:$ID367,SwaptionMonthsToGo+SwaptionShift))*SUM(INDEX($FK$325:$ID$396,GU$169,1+SwaptionShift):INDEX($FK$325:$ID$396,GU$169,SwaptionMonthsToGo+SwaptionShift))))))</f>
        <v/>
      </c>
      <c r="GV212" s="150" t="str">
        <f aca="false">IF(OR(GV$169&lt;SwaptionFirstMonthPosition+1,$FJ212&lt;SwaptionFirstMonthPosition+1,GV$169&gt;SwaptionFirstMonthPosition+SwaptionNumOfMonths+1,$FJ212&gt;SwaptionFirstMonthPosition+SwaptionNumOfMonths+1),"",IF($FJ212=GV$169,1,IF($FJ212&lt;GV$169,INDEX($FK$170:$ID$241,GV$169,$FJ212),SUMPRODUCT(INDEX($FK$325:$ID$396,GV$169,1+SwaptionShift):INDEX($FK$325:$ID$396,GV$169,SwaptionMonthsToGo+SwaptionShift),INDEX($FK$245:$ID$316,$FJ212-GV$169,73-GV$169+SwaptionShift):INDEX($FK$245:$ID$316,$FJ212-GV$169,72-GV$169+SwaptionMonthsToGo+SwaptionShift))/SQRT(SUM(INDEX($FK367:$ID367,1+SwaptionShift):INDEX($FK367:$ID367,SwaptionMonthsToGo+SwaptionShift))*SUM(INDEX($FK$325:$ID$396,GV$169,1+SwaptionShift):INDEX($FK$325:$ID$396,GV$169,SwaptionMonthsToGo+SwaptionShift))))))</f>
        <v/>
      </c>
      <c r="GW212" s="150" t="str">
        <f aca="false">IF(OR(GW$169&lt;SwaptionFirstMonthPosition+1,$FJ212&lt;SwaptionFirstMonthPosition+1,GW$169&gt;SwaptionFirstMonthPosition+SwaptionNumOfMonths+1,$FJ212&gt;SwaptionFirstMonthPosition+SwaptionNumOfMonths+1),"",IF($FJ212=GW$169,1,IF($FJ212&lt;GW$169,INDEX($FK$170:$ID$241,GW$169,$FJ212),SUMPRODUCT(INDEX($FK$325:$ID$396,GW$169,1+SwaptionShift):INDEX($FK$325:$ID$396,GW$169,SwaptionMonthsToGo+SwaptionShift),INDEX($FK$245:$ID$316,$FJ212-GW$169,73-GW$169+SwaptionShift):INDEX($FK$245:$ID$316,$FJ212-GW$169,72-GW$169+SwaptionMonthsToGo+SwaptionShift))/SQRT(SUM(INDEX($FK367:$ID367,1+SwaptionShift):INDEX($FK367:$ID367,SwaptionMonthsToGo+SwaptionShift))*SUM(INDEX($FK$325:$ID$396,GW$169,1+SwaptionShift):INDEX($FK$325:$ID$396,GW$169,SwaptionMonthsToGo+SwaptionShift))))))</f>
        <v/>
      </c>
      <c r="GX212" s="150" t="str">
        <f aca="false">IF(OR(GX$169&lt;SwaptionFirstMonthPosition+1,$FJ212&lt;SwaptionFirstMonthPosition+1,GX$169&gt;SwaptionFirstMonthPosition+SwaptionNumOfMonths+1,$FJ212&gt;SwaptionFirstMonthPosition+SwaptionNumOfMonths+1),"",IF($FJ212=GX$169,1,IF($FJ212&lt;GX$169,INDEX($FK$170:$ID$241,GX$169,$FJ212),SUMPRODUCT(INDEX($FK$325:$ID$396,GX$169,1+SwaptionShift):INDEX($FK$325:$ID$396,GX$169,SwaptionMonthsToGo+SwaptionShift),INDEX($FK$245:$ID$316,$FJ212-GX$169,73-GX$169+SwaptionShift):INDEX($FK$245:$ID$316,$FJ212-GX$169,72-GX$169+SwaptionMonthsToGo+SwaptionShift))/SQRT(SUM(INDEX($FK367:$ID367,1+SwaptionShift):INDEX($FK367:$ID367,SwaptionMonthsToGo+SwaptionShift))*SUM(INDEX($FK$325:$ID$396,GX$169,1+SwaptionShift):INDEX($FK$325:$ID$396,GX$169,SwaptionMonthsToGo+SwaptionShift))))))</f>
        <v/>
      </c>
      <c r="GY212" s="150" t="str">
        <f aca="false">IF(OR(GY$169&lt;SwaptionFirstMonthPosition+1,$FJ212&lt;SwaptionFirstMonthPosition+1,GY$169&gt;SwaptionFirstMonthPosition+SwaptionNumOfMonths+1,$FJ212&gt;SwaptionFirstMonthPosition+SwaptionNumOfMonths+1),"",IF($FJ212=GY$169,1,IF($FJ212&lt;GY$169,INDEX($FK$170:$ID$241,GY$169,$FJ212),SUMPRODUCT(INDEX($FK$325:$ID$396,GY$169,1+SwaptionShift):INDEX($FK$325:$ID$396,GY$169,SwaptionMonthsToGo+SwaptionShift),INDEX($FK$245:$ID$316,$FJ212-GY$169,73-GY$169+SwaptionShift):INDEX($FK$245:$ID$316,$FJ212-GY$169,72-GY$169+SwaptionMonthsToGo+SwaptionShift))/SQRT(SUM(INDEX($FK367:$ID367,1+SwaptionShift):INDEX($FK367:$ID367,SwaptionMonthsToGo+SwaptionShift))*SUM(INDEX($FK$325:$ID$396,GY$169,1+SwaptionShift):INDEX($FK$325:$ID$396,GY$169,SwaptionMonthsToGo+SwaptionShift))))))</f>
        <v/>
      </c>
      <c r="GZ212" s="150" t="str">
        <f aca="false">IF(OR(GZ$169&lt;SwaptionFirstMonthPosition+1,$FJ212&lt;SwaptionFirstMonthPosition+1,GZ$169&gt;SwaptionFirstMonthPosition+SwaptionNumOfMonths+1,$FJ212&gt;SwaptionFirstMonthPosition+SwaptionNumOfMonths+1),"",IF($FJ212=GZ$169,1,IF($FJ212&lt;GZ$169,INDEX($FK$170:$ID$241,GZ$169,$FJ212),SUMPRODUCT(INDEX($FK$325:$ID$396,GZ$169,1+SwaptionShift):INDEX($FK$325:$ID$396,GZ$169,SwaptionMonthsToGo+SwaptionShift),INDEX($FK$245:$ID$316,$FJ212-GZ$169,73-GZ$169+SwaptionShift):INDEX($FK$245:$ID$316,$FJ212-GZ$169,72-GZ$169+SwaptionMonthsToGo+SwaptionShift))/SQRT(SUM(INDEX($FK367:$ID367,1+SwaptionShift):INDEX($FK367:$ID367,SwaptionMonthsToGo+SwaptionShift))*SUM(INDEX($FK$325:$ID$396,GZ$169,1+SwaptionShift):INDEX($FK$325:$ID$396,GZ$169,SwaptionMonthsToGo+SwaptionShift))))))</f>
        <v/>
      </c>
      <c r="HA212" s="150" t="str">
        <f aca="false">IF(OR(HA$169&lt;SwaptionFirstMonthPosition+1,$FJ212&lt;SwaptionFirstMonthPosition+1,HA$169&gt;SwaptionFirstMonthPosition+SwaptionNumOfMonths+1,$FJ212&gt;SwaptionFirstMonthPosition+SwaptionNumOfMonths+1),"",IF($FJ212=HA$169,1,IF($FJ212&lt;HA$169,INDEX($FK$170:$ID$241,HA$169,$FJ212),SUMPRODUCT(INDEX($FK$325:$ID$396,HA$169,1+SwaptionShift):INDEX($FK$325:$ID$396,HA$169,SwaptionMonthsToGo+SwaptionShift),INDEX($FK$245:$ID$316,$FJ212-HA$169,73-HA$169+SwaptionShift):INDEX($FK$245:$ID$316,$FJ212-HA$169,72-HA$169+SwaptionMonthsToGo+SwaptionShift))/SQRT(SUM(INDEX($FK367:$ID367,1+SwaptionShift):INDEX($FK367:$ID367,SwaptionMonthsToGo+SwaptionShift))*SUM(INDEX($FK$325:$ID$396,HA$169,1+SwaptionShift):INDEX($FK$325:$ID$396,HA$169,SwaptionMonthsToGo+SwaptionShift))))))</f>
        <v/>
      </c>
      <c r="HB212" s="150" t="str">
        <f aca="false">IF(OR(HB$169&lt;SwaptionFirstMonthPosition+1,$FJ212&lt;SwaptionFirstMonthPosition+1,HB$169&gt;SwaptionFirstMonthPosition+SwaptionNumOfMonths+1,$FJ212&gt;SwaptionFirstMonthPosition+SwaptionNumOfMonths+1),"",IF($FJ212=HB$169,1,IF($FJ212&lt;HB$169,INDEX($FK$170:$ID$241,HB$169,$FJ212),SUMPRODUCT(INDEX($FK$325:$ID$396,HB$169,1+SwaptionShift):INDEX($FK$325:$ID$396,HB$169,SwaptionMonthsToGo+SwaptionShift),INDEX($FK$245:$ID$316,$FJ212-HB$169,73-HB$169+SwaptionShift):INDEX($FK$245:$ID$316,$FJ212-HB$169,72-HB$169+SwaptionMonthsToGo+SwaptionShift))/SQRT(SUM(INDEX($FK367:$ID367,1+SwaptionShift):INDEX($FK367:$ID367,SwaptionMonthsToGo+SwaptionShift))*SUM(INDEX($FK$325:$ID$396,HB$169,1+SwaptionShift):INDEX($FK$325:$ID$396,HB$169,SwaptionMonthsToGo+SwaptionShift))))))</f>
        <v/>
      </c>
      <c r="HC212" s="150" t="str">
        <f aca="false">IF(OR(HC$169&lt;SwaptionFirstMonthPosition+1,$FJ212&lt;SwaptionFirstMonthPosition+1,HC$169&gt;SwaptionFirstMonthPosition+SwaptionNumOfMonths+1,$FJ212&gt;SwaptionFirstMonthPosition+SwaptionNumOfMonths+1),"",IF($FJ212=HC$169,1,IF($FJ212&lt;HC$169,INDEX($FK$170:$ID$241,HC$169,$FJ212),SUMPRODUCT(INDEX($FK$325:$ID$396,HC$169,1+SwaptionShift):INDEX($FK$325:$ID$396,HC$169,SwaptionMonthsToGo+SwaptionShift),INDEX($FK$245:$ID$316,$FJ212-HC$169,73-HC$169+SwaptionShift):INDEX($FK$245:$ID$316,$FJ212-HC$169,72-HC$169+SwaptionMonthsToGo+SwaptionShift))/SQRT(SUM(INDEX($FK367:$ID367,1+SwaptionShift):INDEX($FK367:$ID367,SwaptionMonthsToGo+SwaptionShift))*SUM(INDEX($FK$325:$ID$396,HC$169,1+SwaptionShift):INDEX($FK$325:$ID$396,HC$169,SwaptionMonthsToGo+SwaptionShift))))))</f>
        <v/>
      </c>
      <c r="HD212" s="150" t="str">
        <f aca="false">IF(OR(HD$169&lt;SwaptionFirstMonthPosition+1,$FJ212&lt;SwaptionFirstMonthPosition+1,HD$169&gt;SwaptionFirstMonthPosition+SwaptionNumOfMonths+1,$FJ212&gt;SwaptionFirstMonthPosition+SwaptionNumOfMonths+1),"",IF($FJ212=HD$169,1,IF($FJ212&lt;HD$169,INDEX($FK$170:$ID$241,HD$169,$FJ212),SUMPRODUCT(INDEX($FK$325:$ID$396,HD$169,1+SwaptionShift):INDEX($FK$325:$ID$396,HD$169,SwaptionMonthsToGo+SwaptionShift),INDEX($FK$245:$ID$316,$FJ212-HD$169,73-HD$169+SwaptionShift):INDEX($FK$245:$ID$316,$FJ212-HD$169,72-HD$169+SwaptionMonthsToGo+SwaptionShift))/SQRT(SUM(INDEX($FK367:$ID367,1+SwaptionShift):INDEX($FK367:$ID367,SwaptionMonthsToGo+SwaptionShift))*SUM(INDEX($FK$325:$ID$396,HD$169,1+SwaptionShift):INDEX($FK$325:$ID$396,HD$169,SwaptionMonthsToGo+SwaptionShift))))))</f>
        <v/>
      </c>
      <c r="HE212" s="150" t="str">
        <f aca="false">IF(OR(HE$169&lt;SwaptionFirstMonthPosition+1,$FJ212&lt;SwaptionFirstMonthPosition+1,HE$169&gt;SwaptionFirstMonthPosition+SwaptionNumOfMonths+1,$FJ212&gt;SwaptionFirstMonthPosition+SwaptionNumOfMonths+1),"",IF($FJ212=HE$169,1,IF($FJ212&lt;HE$169,INDEX($FK$170:$ID$241,HE$169,$FJ212),SUMPRODUCT(INDEX($FK$325:$ID$396,HE$169,1+SwaptionShift):INDEX($FK$325:$ID$396,HE$169,SwaptionMonthsToGo+SwaptionShift),INDEX($FK$245:$ID$316,$FJ212-HE$169,73-HE$169+SwaptionShift):INDEX($FK$245:$ID$316,$FJ212-HE$169,72-HE$169+SwaptionMonthsToGo+SwaptionShift))/SQRT(SUM(INDEX($FK367:$ID367,1+SwaptionShift):INDEX($FK367:$ID367,SwaptionMonthsToGo+SwaptionShift))*SUM(INDEX($FK$325:$ID$396,HE$169,1+SwaptionShift):INDEX($FK$325:$ID$396,HE$169,SwaptionMonthsToGo+SwaptionShift))))))</f>
        <v/>
      </c>
      <c r="HF212" s="150" t="str">
        <f aca="false">IF(OR(HF$169&lt;SwaptionFirstMonthPosition+1,$FJ212&lt;SwaptionFirstMonthPosition+1,HF$169&gt;SwaptionFirstMonthPosition+SwaptionNumOfMonths+1,$FJ212&gt;SwaptionFirstMonthPosition+SwaptionNumOfMonths+1),"",IF($FJ212=HF$169,1,IF($FJ212&lt;HF$169,INDEX($FK$170:$ID$241,HF$169,$FJ212),SUMPRODUCT(INDEX($FK$325:$ID$396,HF$169,1+SwaptionShift):INDEX($FK$325:$ID$396,HF$169,SwaptionMonthsToGo+SwaptionShift),INDEX($FK$245:$ID$316,$FJ212-HF$169,73-HF$169+SwaptionShift):INDEX($FK$245:$ID$316,$FJ212-HF$169,72-HF$169+SwaptionMonthsToGo+SwaptionShift))/SQRT(SUM(INDEX($FK367:$ID367,1+SwaptionShift):INDEX($FK367:$ID367,SwaptionMonthsToGo+SwaptionShift))*SUM(INDEX($FK$325:$ID$396,HF$169,1+SwaptionShift):INDEX($FK$325:$ID$396,HF$169,SwaptionMonthsToGo+SwaptionShift))))))</f>
        <v/>
      </c>
      <c r="HG212" s="150" t="str">
        <f aca="false">IF(OR(HG$169&lt;SwaptionFirstMonthPosition+1,$FJ212&lt;SwaptionFirstMonthPosition+1,HG$169&gt;SwaptionFirstMonthPosition+SwaptionNumOfMonths+1,$FJ212&gt;SwaptionFirstMonthPosition+SwaptionNumOfMonths+1),"",IF($FJ212=HG$169,1,IF($FJ212&lt;HG$169,INDEX($FK$170:$ID$241,HG$169,$FJ212),SUMPRODUCT(INDEX($FK$325:$ID$396,HG$169,1+SwaptionShift):INDEX($FK$325:$ID$396,HG$169,SwaptionMonthsToGo+SwaptionShift),INDEX($FK$245:$ID$316,$FJ212-HG$169,73-HG$169+SwaptionShift):INDEX($FK$245:$ID$316,$FJ212-HG$169,72-HG$169+SwaptionMonthsToGo+SwaptionShift))/SQRT(SUM(INDEX($FK367:$ID367,1+SwaptionShift):INDEX($FK367:$ID367,SwaptionMonthsToGo+SwaptionShift))*SUM(INDEX($FK$325:$ID$396,HG$169,1+SwaptionShift):INDEX($FK$325:$ID$396,HG$169,SwaptionMonthsToGo+SwaptionShift))))))</f>
        <v/>
      </c>
      <c r="HH212" s="150" t="str">
        <f aca="false">IF(OR(HH$169&lt;SwaptionFirstMonthPosition+1,$FJ212&lt;SwaptionFirstMonthPosition+1,HH$169&gt;SwaptionFirstMonthPosition+SwaptionNumOfMonths+1,$FJ212&gt;SwaptionFirstMonthPosition+SwaptionNumOfMonths+1),"",IF($FJ212=HH$169,1,IF($FJ212&lt;HH$169,INDEX($FK$170:$ID$241,HH$169,$FJ212),SUMPRODUCT(INDEX($FK$325:$ID$396,HH$169,1+SwaptionShift):INDEX($FK$325:$ID$396,HH$169,SwaptionMonthsToGo+SwaptionShift),INDEX($FK$245:$ID$316,$FJ212-HH$169,73-HH$169+SwaptionShift):INDEX($FK$245:$ID$316,$FJ212-HH$169,72-HH$169+SwaptionMonthsToGo+SwaptionShift))/SQRT(SUM(INDEX($FK367:$ID367,1+SwaptionShift):INDEX($FK367:$ID367,SwaptionMonthsToGo+SwaptionShift))*SUM(INDEX($FK$325:$ID$396,HH$169,1+SwaptionShift):INDEX($FK$325:$ID$396,HH$169,SwaptionMonthsToGo+SwaptionShift))))))</f>
        <v/>
      </c>
      <c r="HI212" s="150" t="str">
        <f aca="false">IF(OR(HI$169&lt;SwaptionFirstMonthPosition+1,$FJ212&lt;SwaptionFirstMonthPosition+1,HI$169&gt;SwaptionFirstMonthPosition+SwaptionNumOfMonths+1,$FJ212&gt;SwaptionFirstMonthPosition+SwaptionNumOfMonths+1),"",IF($FJ212=HI$169,1,IF($FJ212&lt;HI$169,INDEX($FK$170:$ID$241,HI$169,$FJ212),SUMPRODUCT(INDEX($FK$325:$ID$396,HI$169,1+SwaptionShift):INDEX($FK$325:$ID$396,HI$169,SwaptionMonthsToGo+SwaptionShift),INDEX($FK$245:$ID$316,$FJ212-HI$169,73-HI$169+SwaptionShift):INDEX($FK$245:$ID$316,$FJ212-HI$169,72-HI$169+SwaptionMonthsToGo+SwaptionShift))/SQRT(SUM(INDEX($FK367:$ID367,1+SwaptionShift):INDEX($FK367:$ID367,SwaptionMonthsToGo+SwaptionShift))*SUM(INDEX($FK$325:$ID$396,HI$169,1+SwaptionShift):INDEX($FK$325:$ID$396,HI$169,SwaptionMonthsToGo+SwaptionShift))))))</f>
        <v/>
      </c>
      <c r="HJ212" s="150" t="str">
        <f aca="false">IF(OR(HJ$169&lt;SwaptionFirstMonthPosition+1,$FJ212&lt;SwaptionFirstMonthPosition+1,HJ$169&gt;SwaptionFirstMonthPosition+SwaptionNumOfMonths+1,$FJ212&gt;SwaptionFirstMonthPosition+SwaptionNumOfMonths+1),"",IF($FJ212=HJ$169,1,IF($FJ212&lt;HJ$169,INDEX($FK$170:$ID$241,HJ$169,$FJ212),SUMPRODUCT(INDEX($FK$325:$ID$396,HJ$169,1+SwaptionShift):INDEX($FK$325:$ID$396,HJ$169,SwaptionMonthsToGo+SwaptionShift),INDEX($FK$245:$ID$316,$FJ212-HJ$169,73-HJ$169+SwaptionShift):INDEX($FK$245:$ID$316,$FJ212-HJ$169,72-HJ$169+SwaptionMonthsToGo+SwaptionShift))/SQRT(SUM(INDEX($FK367:$ID367,1+SwaptionShift):INDEX($FK367:$ID367,SwaptionMonthsToGo+SwaptionShift))*SUM(INDEX($FK$325:$ID$396,HJ$169,1+SwaptionShift):INDEX($FK$325:$ID$396,HJ$169,SwaptionMonthsToGo+SwaptionShift))))))</f>
        <v/>
      </c>
      <c r="HK212" s="150" t="str">
        <f aca="false">IF(OR(HK$169&lt;SwaptionFirstMonthPosition+1,$FJ212&lt;SwaptionFirstMonthPosition+1,HK$169&gt;SwaptionFirstMonthPosition+SwaptionNumOfMonths+1,$FJ212&gt;SwaptionFirstMonthPosition+SwaptionNumOfMonths+1),"",IF($FJ212=HK$169,1,IF($FJ212&lt;HK$169,INDEX($FK$170:$ID$241,HK$169,$FJ212),SUMPRODUCT(INDEX($FK$325:$ID$396,HK$169,1+SwaptionShift):INDEX($FK$325:$ID$396,HK$169,SwaptionMonthsToGo+SwaptionShift),INDEX($FK$245:$ID$316,$FJ212-HK$169,73-HK$169+SwaptionShift):INDEX($FK$245:$ID$316,$FJ212-HK$169,72-HK$169+SwaptionMonthsToGo+SwaptionShift))/SQRT(SUM(INDEX($FK367:$ID367,1+SwaptionShift):INDEX($FK367:$ID367,SwaptionMonthsToGo+SwaptionShift))*SUM(INDEX($FK$325:$ID$396,HK$169,1+SwaptionShift):INDEX($FK$325:$ID$396,HK$169,SwaptionMonthsToGo+SwaptionShift))))))</f>
        <v/>
      </c>
      <c r="HL212" s="150" t="str">
        <f aca="false">IF(OR(HL$169&lt;SwaptionFirstMonthPosition+1,$FJ212&lt;SwaptionFirstMonthPosition+1,HL$169&gt;SwaptionFirstMonthPosition+SwaptionNumOfMonths+1,$FJ212&gt;SwaptionFirstMonthPosition+SwaptionNumOfMonths+1),"",IF($FJ212=HL$169,1,IF($FJ212&lt;HL$169,INDEX($FK$170:$ID$241,HL$169,$FJ212),SUMPRODUCT(INDEX($FK$325:$ID$396,HL$169,1+SwaptionShift):INDEX($FK$325:$ID$396,HL$169,SwaptionMonthsToGo+SwaptionShift),INDEX($FK$245:$ID$316,$FJ212-HL$169,73-HL$169+SwaptionShift):INDEX($FK$245:$ID$316,$FJ212-HL$169,72-HL$169+SwaptionMonthsToGo+SwaptionShift))/SQRT(SUM(INDEX($FK367:$ID367,1+SwaptionShift):INDEX($FK367:$ID367,SwaptionMonthsToGo+SwaptionShift))*SUM(INDEX($FK$325:$ID$396,HL$169,1+SwaptionShift):INDEX($FK$325:$ID$396,HL$169,SwaptionMonthsToGo+SwaptionShift))))))</f>
        <v/>
      </c>
      <c r="HM212" s="150" t="str">
        <f aca="false">IF(OR(HM$169&lt;SwaptionFirstMonthPosition+1,$FJ212&lt;SwaptionFirstMonthPosition+1,HM$169&gt;SwaptionFirstMonthPosition+SwaptionNumOfMonths+1,$FJ212&gt;SwaptionFirstMonthPosition+SwaptionNumOfMonths+1),"",IF($FJ212=HM$169,1,IF($FJ212&lt;HM$169,INDEX($FK$170:$ID$241,HM$169,$FJ212),SUMPRODUCT(INDEX($FK$325:$ID$396,HM$169,1+SwaptionShift):INDEX($FK$325:$ID$396,HM$169,SwaptionMonthsToGo+SwaptionShift),INDEX($FK$245:$ID$316,$FJ212-HM$169,73-HM$169+SwaptionShift):INDEX($FK$245:$ID$316,$FJ212-HM$169,72-HM$169+SwaptionMonthsToGo+SwaptionShift))/SQRT(SUM(INDEX($FK367:$ID367,1+SwaptionShift):INDEX($FK367:$ID367,SwaptionMonthsToGo+SwaptionShift))*SUM(INDEX($FK$325:$ID$396,HM$169,1+SwaptionShift):INDEX($FK$325:$ID$396,HM$169,SwaptionMonthsToGo+SwaptionShift))))))</f>
        <v/>
      </c>
      <c r="HN212" s="150" t="str">
        <f aca="false">IF(OR(HN$169&lt;SwaptionFirstMonthPosition+1,$FJ212&lt;SwaptionFirstMonthPosition+1,HN$169&gt;SwaptionFirstMonthPosition+SwaptionNumOfMonths+1,$FJ212&gt;SwaptionFirstMonthPosition+SwaptionNumOfMonths+1),"",IF($FJ212=HN$169,1,IF($FJ212&lt;HN$169,INDEX($FK$170:$ID$241,HN$169,$FJ212),SUMPRODUCT(INDEX($FK$325:$ID$396,HN$169,1+SwaptionShift):INDEX($FK$325:$ID$396,HN$169,SwaptionMonthsToGo+SwaptionShift),INDEX($FK$245:$ID$316,$FJ212-HN$169,73-HN$169+SwaptionShift):INDEX($FK$245:$ID$316,$FJ212-HN$169,72-HN$169+SwaptionMonthsToGo+SwaptionShift))/SQRT(SUM(INDEX($FK367:$ID367,1+SwaptionShift):INDEX($FK367:$ID367,SwaptionMonthsToGo+SwaptionShift))*SUM(INDEX($FK$325:$ID$396,HN$169,1+SwaptionShift):INDEX($FK$325:$ID$396,HN$169,SwaptionMonthsToGo+SwaptionShift))))))</f>
        <v/>
      </c>
      <c r="HO212" s="150" t="str">
        <f aca="false">IF(OR(HO$169&lt;SwaptionFirstMonthPosition+1,$FJ212&lt;SwaptionFirstMonthPosition+1,HO$169&gt;SwaptionFirstMonthPosition+SwaptionNumOfMonths+1,$FJ212&gt;SwaptionFirstMonthPosition+SwaptionNumOfMonths+1),"",IF($FJ212=HO$169,1,IF($FJ212&lt;HO$169,INDEX($FK$170:$ID$241,HO$169,$FJ212),SUMPRODUCT(INDEX($FK$325:$ID$396,HO$169,1+SwaptionShift):INDEX($FK$325:$ID$396,HO$169,SwaptionMonthsToGo+SwaptionShift),INDEX($FK$245:$ID$316,$FJ212-HO$169,73-HO$169+SwaptionShift):INDEX($FK$245:$ID$316,$FJ212-HO$169,72-HO$169+SwaptionMonthsToGo+SwaptionShift))/SQRT(SUM(INDEX($FK367:$ID367,1+SwaptionShift):INDEX($FK367:$ID367,SwaptionMonthsToGo+SwaptionShift))*SUM(INDEX($FK$325:$ID$396,HO$169,1+SwaptionShift):INDEX($FK$325:$ID$396,HO$169,SwaptionMonthsToGo+SwaptionShift))))))</f>
        <v/>
      </c>
      <c r="HP212" s="150" t="str">
        <f aca="false">IF(OR(HP$169&lt;SwaptionFirstMonthPosition+1,$FJ212&lt;SwaptionFirstMonthPosition+1,HP$169&gt;SwaptionFirstMonthPosition+SwaptionNumOfMonths+1,$FJ212&gt;SwaptionFirstMonthPosition+SwaptionNumOfMonths+1),"",IF($FJ212=HP$169,1,IF($FJ212&lt;HP$169,INDEX($FK$170:$ID$241,HP$169,$FJ212),SUMPRODUCT(INDEX($FK$325:$ID$396,HP$169,1+SwaptionShift):INDEX($FK$325:$ID$396,HP$169,SwaptionMonthsToGo+SwaptionShift),INDEX($FK$245:$ID$316,$FJ212-HP$169,73-HP$169+SwaptionShift):INDEX($FK$245:$ID$316,$FJ212-HP$169,72-HP$169+SwaptionMonthsToGo+SwaptionShift))/SQRT(SUM(INDEX($FK367:$ID367,1+SwaptionShift):INDEX($FK367:$ID367,SwaptionMonthsToGo+SwaptionShift))*SUM(INDEX($FK$325:$ID$396,HP$169,1+SwaptionShift):INDEX($FK$325:$ID$396,HP$169,SwaptionMonthsToGo+SwaptionShift))))))</f>
        <v/>
      </c>
      <c r="HQ212" s="150" t="str">
        <f aca="false">IF(OR(HQ$169&lt;SwaptionFirstMonthPosition+1,$FJ212&lt;SwaptionFirstMonthPosition+1,HQ$169&gt;SwaptionFirstMonthPosition+SwaptionNumOfMonths+1,$FJ212&gt;SwaptionFirstMonthPosition+SwaptionNumOfMonths+1),"",IF($FJ212=HQ$169,1,IF($FJ212&lt;HQ$169,INDEX($FK$170:$ID$241,HQ$169,$FJ212),SUMPRODUCT(INDEX($FK$325:$ID$396,HQ$169,1+SwaptionShift):INDEX($FK$325:$ID$396,HQ$169,SwaptionMonthsToGo+SwaptionShift),INDEX($FK$245:$ID$316,$FJ212-HQ$169,73-HQ$169+SwaptionShift):INDEX($FK$245:$ID$316,$FJ212-HQ$169,72-HQ$169+SwaptionMonthsToGo+SwaptionShift))/SQRT(SUM(INDEX($FK367:$ID367,1+SwaptionShift):INDEX($FK367:$ID367,SwaptionMonthsToGo+SwaptionShift))*SUM(INDEX($FK$325:$ID$396,HQ$169,1+SwaptionShift):INDEX($FK$325:$ID$396,HQ$169,SwaptionMonthsToGo+SwaptionShift))))))</f>
        <v/>
      </c>
      <c r="HR212" s="150" t="str">
        <f aca="false">IF(OR(HR$169&lt;SwaptionFirstMonthPosition+1,$FJ212&lt;SwaptionFirstMonthPosition+1,HR$169&gt;SwaptionFirstMonthPosition+SwaptionNumOfMonths+1,$FJ212&gt;SwaptionFirstMonthPosition+SwaptionNumOfMonths+1),"",IF($FJ212=HR$169,1,IF($FJ212&lt;HR$169,INDEX($FK$170:$ID$241,HR$169,$FJ212),SUMPRODUCT(INDEX($FK$325:$ID$396,HR$169,1+SwaptionShift):INDEX($FK$325:$ID$396,HR$169,SwaptionMonthsToGo+SwaptionShift),INDEX($FK$245:$ID$316,$FJ212-HR$169,73-HR$169+SwaptionShift):INDEX($FK$245:$ID$316,$FJ212-HR$169,72-HR$169+SwaptionMonthsToGo+SwaptionShift))/SQRT(SUM(INDEX($FK367:$ID367,1+SwaptionShift):INDEX($FK367:$ID367,SwaptionMonthsToGo+SwaptionShift))*SUM(INDEX($FK$325:$ID$396,HR$169,1+SwaptionShift):INDEX($FK$325:$ID$396,HR$169,SwaptionMonthsToGo+SwaptionShift))))))</f>
        <v/>
      </c>
      <c r="HS212" s="150" t="str">
        <f aca="false">IF(OR(HS$169&lt;SwaptionFirstMonthPosition+1,$FJ212&lt;SwaptionFirstMonthPosition+1,HS$169&gt;SwaptionFirstMonthPosition+SwaptionNumOfMonths+1,$FJ212&gt;SwaptionFirstMonthPosition+SwaptionNumOfMonths+1),"",IF($FJ212=HS$169,1,IF($FJ212&lt;HS$169,INDEX($FK$170:$ID$241,HS$169,$FJ212),SUMPRODUCT(INDEX($FK$325:$ID$396,HS$169,1+SwaptionShift):INDEX($FK$325:$ID$396,HS$169,SwaptionMonthsToGo+SwaptionShift),INDEX($FK$245:$ID$316,$FJ212-HS$169,73-HS$169+SwaptionShift):INDEX($FK$245:$ID$316,$FJ212-HS$169,72-HS$169+SwaptionMonthsToGo+SwaptionShift))/SQRT(SUM(INDEX($FK367:$ID367,1+SwaptionShift):INDEX($FK367:$ID367,SwaptionMonthsToGo+SwaptionShift))*SUM(INDEX($FK$325:$ID$396,HS$169,1+SwaptionShift):INDEX($FK$325:$ID$396,HS$169,SwaptionMonthsToGo+SwaptionShift))))))</f>
        <v/>
      </c>
      <c r="HT212" s="150" t="str">
        <f aca="false">IF(OR(HT$169&lt;SwaptionFirstMonthPosition+1,$FJ212&lt;SwaptionFirstMonthPosition+1,HT$169&gt;SwaptionFirstMonthPosition+SwaptionNumOfMonths+1,$FJ212&gt;SwaptionFirstMonthPosition+SwaptionNumOfMonths+1),"",IF($FJ212=HT$169,1,IF($FJ212&lt;HT$169,INDEX($FK$170:$ID$241,HT$169,$FJ212),SUMPRODUCT(INDEX($FK$325:$ID$396,HT$169,1+SwaptionShift):INDEX($FK$325:$ID$396,HT$169,SwaptionMonthsToGo+SwaptionShift),INDEX($FK$245:$ID$316,$FJ212-HT$169,73-HT$169+SwaptionShift):INDEX($FK$245:$ID$316,$FJ212-HT$169,72-HT$169+SwaptionMonthsToGo+SwaptionShift))/SQRT(SUM(INDEX($FK367:$ID367,1+SwaptionShift):INDEX($FK367:$ID367,SwaptionMonthsToGo+SwaptionShift))*SUM(INDEX($FK$325:$ID$396,HT$169,1+SwaptionShift):INDEX($FK$325:$ID$396,HT$169,SwaptionMonthsToGo+SwaptionShift))))))</f>
        <v/>
      </c>
      <c r="HU212" s="150" t="str">
        <f aca="false">IF(OR(HU$169&lt;SwaptionFirstMonthPosition+1,$FJ212&lt;SwaptionFirstMonthPosition+1,HU$169&gt;SwaptionFirstMonthPosition+SwaptionNumOfMonths+1,$FJ212&gt;SwaptionFirstMonthPosition+SwaptionNumOfMonths+1),"",IF($FJ212=HU$169,1,IF($FJ212&lt;HU$169,INDEX($FK$170:$ID$241,HU$169,$FJ212),SUMPRODUCT(INDEX($FK$325:$ID$396,HU$169,1+SwaptionShift):INDEX($FK$325:$ID$396,HU$169,SwaptionMonthsToGo+SwaptionShift),INDEX($FK$245:$ID$316,$FJ212-HU$169,73-HU$169+SwaptionShift):INDEX($FK$245:$ID$316,$FJ212-HU$169,72-HU$169+SwaptionMonthsToGo+SwaptionShift))/SQRT(SUM(INDEX($FK367:$ID367,1+SwaptionShift):INDEX($FK367:$ID367,SwaptionMonthsToGo+SwaptionShift))*SUM(INDEX($FK$325:$ID$396,HU$169,1+SwaptionShift):INDEX($FK$325:$ID$396,HU$169,SwaptionMonthsToGo+SwaptionShift))))))</f>
        <v/>
      </c>
      <c r="HV212" s="150" t="str">
        <f aca="false">IF(OR(HV$169&lt;SwaptionFirstMonthPosition+1,$FJ212&lt;SwaptionFirstMonthPosition+1,HV$169&gt;SwaptionFirstMonthPosition+SwaptionNumOfMonths+1,$FJ212&gt;SwaptionFirstMonthPosition+SwaptionNumOfMonths+1),"",IF($FJ212=HV$169,1,IF($FJ212&lt;HV$169,INDEX($FK$170:$ID$241,HV$169,$FJ212),SUMPRODUCT(INDEX($FK$325:$ID$396,HV$169,1+SwaptionShift):INDEX($FK$325:$ID$396,HV$169,SwaptionMonthsToGo+SwaptionShift),INDEX($FK$245:$ID$316,$FJ212-HV$169,73-HV$169+SwaptionShift):INDEX($FK$245:$ID$316,$FJ212-HV$169,72-HV$169+SwaptionMonthsToGo+SwaptionShift))/SQRT(SUM(INDEX($FK367:$ID367,1+SwaptionShift):INDEX($FK367:$ID367,SwaptionMonthsToGo+SwaptionShift))*SUM(INDEX($FK$325:$ID$396,HV$169,1+SwaptionShift):INDEX($FK$325:$ID$396,HV$169,SwaptionMonthsToGo+SwaptionShift))))))</f>
        <v/>
      </c>
      <c r="HW212" s="150" t="str">
        <f aca="false">IF(OR(HW$169&lt;SwaptionFirstMonthPosition+1,$FJ212&lt;SwaptionFirstMonthPosition+1,HW$169&gt;SwaptionFirstMonthPosition+SwaptionNumOfMonths+1,$FJ212&gt;SwaptionFirstMonthPosition+SwaptionNumOfMonths+1),"",IF($FJ212=HW$169,1,IF($FJ212&lt;HW$169,INDEX($FK$170:$ID$241,HW$169,$FJ212),SUMPRODUCT(INDEX($FK$325:$ID$396,HW$169,1+SwaptionShift):INDEX($FK$325:$ID$396,HW$169,SwaptionMonthsToGo+SwaptionShift),INDEX($FK$245:$ID$316,$FJ212-HW$169,73-HW$169+SwaptionShift):INDEX($FK$245:$ID$316,$FJ212-HW$169,72-HW$169+SwaptionMonthsToGo+SwaptionShift))/SQRT(SUM(INDEX($FK367:$ID367,1+SwaptionShift):INDEX($FK367:$ID367,SwaptionMonthsToGo+SwaptionShift))*SUM(INDEX($FK$325:$ID$396,HW$169,1+SwaptionShift):INDEX($FK$325:$ID$396,HW$169,SwaptionMonthsToGo+SwaptionShift))))))</f>
        <v/>
      </c>
      <c r="HX212" s="150" t="str">
        <f aca="false">IF(OR(HX$169&lt;SwaptionFirstMonthPosition+1,$FJ212&lt;SwaptionFirstMonthPosition+1,HX$169&gt;SwaptionFirstMonthPosition+SwaptionNumOfMonths+1,$FJ212&gt;SwaptionFirstMonthPosition+SwaptionNumOfMonths+1),"",IF($FJ212=HX$169,1,IF($FJ212&lt;HX$169,INDEX($FK$170:$ID$241,HX$169,$FJ212),SUMPRODUCT(INDEX($FK$325:$ID$396,HX$169,1+SwaptionShift):INDEX($FK$325:$ID$396,HX$169,SwaptionMonthsToGo+SwaptionShift),INDEX($FK$245:$ID$316,$FJ212-HX$169,73-HX$169+SwaptionShift):INDEX($FK$245:$ID$316,$FJ212-HX$169,72-HX$169+SwaptionMonthsToGo+SwaptionShift))/SQRT(SUM(INDEX($FK367:$ID367,1+SwaptionShift):INDEX($FK367:$ID367,SwaptionMonthsToGo+SwaptionShift))*SUM(INDEX($FK$325:$ID$396,HX$169,1+SwaptionShift):INDEX($FK$325:$ID$396,HX$169,SwaptionMonthsToGo+SwaptionShift))))))</f>
        <v/>
      </c>
      <c r="HY212" s="150" t="str">
        <f aca="false">IF(OR(HY$169&lt;SwaptionFirstMonthPosition+1,$FJ212&lt;SwaptionFirstMonthPosition+1,HY$169&gt;SwaptionFirstMonthPosition+SwaptionNumOfMonths+1,$FJ212&gt;SwaptionFirstMonthPosition+SwaptionNumOfMonths+1),"",IF($FJ212=HY$169,1,IF($FJ212&lt;HY$169,INDEX($FK$170:$ID$241,HY$169,$FJ212),SUMPRODUCT(INDEX($FK$325:$ID$396,HY$169,1+SwaptionShift):INDEX($FK$325:$ID$396,HY$169,SwaptionMonthsToGo+SwaptionShift),INDEX($FK$245:$ID$316,$FJ212-HY$169,73-HY$169+SwaptionShift):INDEX($FK$245:$ID$316,$FJ212-HY$169,72-HY$169+SwaptionMonthsToGo+SwaptionShift))/SQRT(SUM(INDEX($FK367:$ID367,1+SwaptionShift):INDEX($FK367:$ID367,SwaptionMonthsToGo+SwaptionShift))*SUM(INDEX($FK$325:$ID$396,HY$169,1+SwaptionShift):INDEX($FK$325:$ID$396,HY$169,SwaptionMonthsToGo+SwaptionShift))))))</f>
        <v/>
      </c>
      <c r="HZ212" s="150" t="str">
        <f aca="false">IF(OR(HZ$169&lt;SwaptionFirstMonthPosition+1,$FJ212&lt;SwaptionFirstMonthPosition+1,HZ$169&gt;SwaptionFirstMonthPosition+SwaptionNumOfMonths+1,$FJ212&gt;SwaptionFirstMonthPosition+SwaptionNumOfMonths+1),"",IF($FJ212=HZ$169,1,IF($FJ212&lt;HZ$169,INDEX($FK$170:$ID$241,HZ$169,$FJ212),SUMPRODUCT(INDEX($FK$325:$ID$396,HZ$169,1+SwaptionShift):INDEX($FK$325:$ID$396,HZ$169,SwaptionMonthsToGo+SwaptionShift),INDEX($FK$245:$ID$316,$FJ212-HZ$169,73-HZ$169+SwaptionShift):INDEX($FK$245:$ID$316,$FJ212-HZ$169,72-HZ$169+SwaptionMonthsToGo+SwaptionShift))/SQRT(SUM(INDEX($FK367:$ID367,1+SwaptionShift):INDEX($FK367:$ID367,SwaptionMonthsToGo+SwaptionShift))*SUM(INDEX($FK$325:$ID$396,HZ$169,1+SwaptionShift):INDEX($FK$325:$ID$396,HZ$169,SwaptionMonthsToGo+SwaptionShift))))))</f>
        <v/>
      </c>
      <c r="IA212" s="150" t="str">
        <f aca="false">IF(OR(IA$169&lt;SwaptionFirstMonthPosition+1,$FJ212&lt;SwaptionFirstMonthPosition+1,IA$169&gt;SwaptionFirstMonthPosition+SwaptionNumOfMonths+1,$FJ212&gt;SwaptionFirstMonthPosition+SwaptionNumOfMonths+1),"",IF($FJ212=IA$169,1,IF($FJ212&lt;IA$169,INDEX($FK$170:$ID$241,IA$169,$FJ212),SUMPRODUCT(INDEX($FK$325:$ID$396,IA$169,1+SwaptionShift):INDEX($FK$325:$ID$396,IA$169,SwaptionMonthsToGo+SwaptionShift),INDEX($FK$245:$ID$316,$FJ212-IA$169,73-IA$169+SwaptionShift):INDEX($FK$245:$ID$316,$FJ212-IA$169,72-IA$169+SwaptionMonthsToGo+SwaptionShift))/SQRT(SUM(INDEX($FK367:$ID367,1+SwaptionShift):INDEX($FK367:$ID367,SwaptionMonthsToGo+SwaptionShift))*SUM(INDEX($FK$325:$ID$396,IA$169,1+SwaptionShift):INDEX($FK$325:$ID$396,IA$169,SwaptionMonthsToGo+SwaptionShift))))))</f>
        <v/>
      </c>
      <c r="IB212" s="150" t="str">
        <f aca="false">IF(OR(IB$169&lt;SwaptionFirstMonthPosition+1,$FJ212&lt;SwaptionFirstMonthPosition+1,IB$169&gt;SwaptionFirstMonthPosition+SwaptionNumOfMonths+1,$FJ212&gt;SwaptionFirstMonthPosition+SwaptionNumOfMonths+1),"",IF($FJ212=IB$169,1,IF($FJ212&lt;IB$169,INDEX($FK$170:$ID$241,IB$169,$FJ212),SUMPRODUCT(INDEX($FK$325:$ID$396,IB$169,1+SwaptionShift):INDEX($FK$325:$ID$396,IB$169,SwaptionMonthsToGo+SwaptionShift),INDEX($FK$245:$ID$316,$FJ212-IB$169,73-IB$169+SwaptionShift):INDEX($FK$245:$ID$316,$FJ212-IB$169,72-IB$169+SwaptionMonthsToGo+SwaptionShift))/SQRT(SUM(INDEX($FK367:$ID367,1+SwaptionShift):INDEX($FK367:$ID367,SwaptionMonthsToGo+SwaptionShift))*SUM(INDEX($FK$325:$ID$396,IB$169,1+SwaptionShift):INDEX($FK$325:$ID$396,IB$169,SwaptionMonthsToGo+SwaptionShift))))))</f>
        <v/>
      </c>
      <c r="IC212" s="150" t="str">
        <f aca="false">IF(OR(IC$169&lt;SwaptionFirstMonthPosition+1,$FJ212&lt;SwaptionFirstMonthPosition+1,IC$169&gt;SwaptionFirstMonthPosition+SwaptionNumOfMonths+1,$FJ212&gt;SwaptionFirstMonthPosition+SwaptionNumOfMonths+1),"",IF($FJ212=IC$169,1,IF($FJ212&lt;IC$169,INDEX($FK$170:$ID$241,IC$169,$FJ212),SUMPRODUCT(INDEX($FK$325:$ID$396,IC$169,1+SwaptionShift):INDEX($FK$325:$ID$396,IC$169,SwaptionMonthsToGo+SwaptionShift),INDEX($FK$245:$ID$316,$FJ212-IC$169,73-IC$169+SwaptionShift):INDEX($FK$245:$ID$316,$FJ212-IC$169,72-IC$169+SwaptionMonthsToGo+SwaptionShift))/SQRT(SUM(INDEX($FK367:$ID367,1+SwaptionShift):INDEX($FK367:$ID367,SwaptionMonthsToGo+SwaptionShift))*SUM(INDEX($FK$325:$ID$396,IC$169,1+SwaptionShift):INDEX($FK$325:$ID$396,IC$169,SwaptionMonthsToGo+SwaptionShift))))))</f>
        <v/>
      </c>
      <c r="ID212" s="572" t="str">
        <f aca="false">IF(OR(ID$169&lt;SwaptionFirstMonthPosition+1,$FJ212&lt;SwaptionFirstMonthPosition+1,ID$169&gt;SwaptionFirstMonthPosition+SwaptionNumOfMonths+1,$FJ212&gt;SwaptionFirstMonthPosition+SwaptionNumOfMonths+1),"",IF($FJ212=ID$169,1,IF($FJ212&lt;ID$169,INDEX($FK$170:$ID$241,ID$169,$FJ212),SUMPRODUCT(INDEX($FK$325:$ID$396,ID$169,1+SwaptionShift):INDEX($FK$325:$ID$396,ID$169,SwaptionMonthsToGo+SwaptionShift),INDEX($FK$245:$ID$316,$FJ212-ID$169,73-ID$169+SwaptionShift):INDEX($FK$245:$ID$316,$FJ212-ID$169,72-ID$169+SwaptionMonthsToGo+SwaptionShift))/SQRT(SUM(INDEX($FK367:$ID367,1+SwaptionShift):INDEX($FK367:$ID367,SwaptionMonthsToGo+SwaptionShift))*SUM(INDEX($FK$325:$ID$396,ID$169,1+SwaptionShift):INDEX($FK$325:$ID$396,ID$169,SwaptionMonthsToGo+SwaptionShift))))))</f>
        <v/>
      </c>
      <c r="IE212" s="129"/>
    </row>
    <row r="213" customFormat="false" ht="12.75" hidden="false" customHeight="false" outlineLevel="0" collapsed="false">
      <c r="H213" s="219" t="n">
        <f aca="false">VLOOKUP(I213,$EJ$20:$EL$54,3)</f>
        <v>0</v>
      </c>
      <c r="I213" s="511" t="n">
        <f aca="false">EOMONTH(I212,0)+1</f>
        <v>42644</v>
      </c>
      <c r="J213" s="512"/>
      <c r="K213" s="513" t="s">
        <v>280</v>
      </c>
      <c r="L213" s="514" t="n">
        <f aca="false">IF(ISNUMBER(K213),J213+K213/100,IF(K213="extra",L212+VLOOKUP(BF213,PriceSpreadTable,2)/12,IF(K213="inter",interpolateprices($K$19:$L$200,ROW(K213)-ROW(FirstPricingMonth)+1),interpolatechanges($J$19:$K$200,ROW(K213)-ROW(FirstPricingMonth)+1))))</f>
        <v>4.3875</v>
      </c>
      <c r="M213" s="515"/>
      <c r="N213" s="516" t="n">
        <v>0</v>
      </c>
      <c r="O213" s="515" t="n">
        <f aca="false">M213+N213</f>
        <v>0</v>
      </c>
      <c r="P213" s="512"/>
      <c r="Q213" s="513" t="s">
        <v>280</v>
      </c>
      <c r="R213" s="512" t="e">
        <f aca="false">IF(ISNUMBER(Q213),P213+Q213/100,IF(Q213="extra",(Z211*AL211-R212*AM211)/AN211,IF(Q213="inter",interpolateprices($Q$19:$R$260,ROW(Q213)-ROW(FirstPricingMonth)+1),interpolatechanges($P$19:$Q$260,ROW(Q213)-ROW(FirstPricingMonth)+1))))</f>
        <v>#VALUE!</v>
      </c>
      <c r="S213" s="597" t="n">
        <f aca="false">S$19+(S212-S$19)*S$18</f>
        <v>0.36</v>
      </c>
      <c r="T213" s="575" t="n">
        <f aca="false">SQRT((1-(1-T212^2/U212)*T$18)*U213)</f>
        <v>0.999999999999992</v>
      </c>
      <c r="U213" s="576" t="n">
        <f aca="false">1-(1-U212)*U$18</f>
        <v>1</v>
      </c>
      <c r="V213" s="521" t="n">
        <v>0</v>
      </c>
      <c r="W213" s="577" t="n">
        <f aca="false">(J214*AJ213+J215*AK213)/AI213</f>
        <v>0</v>
      </c>
      <c r="X213" s="578" t="n">
        <f aca="false">(L214*AJ213+L215*AK213)/AI213</f>
        <v>4.4375</v>
      </c>
      <c r="Y213" s="579" t="n">
        <f aca="false">IF(Q215="extra",W213-AA213,(P214*AM213+P215*AN213)/AL213)</f>
        <v>-1.1931</v>
      </c>
      <c r="Z213" s="579" t="n">
        <f aca="false">IF(Q215="extra",X213-AB213,(R214*AM213+R215*AN213)/AL213)</f>
        <v>3.2444</v>
      </c>
      <c r="AA213" s="523" t="n">
        <f aca="false">IF(Q215="extra",INDEX(BrentSeasonalityTable,INT((BG213-1)/3)+1)*VLOOKUP(MAX(BF213,$AB$4),PriceSpreadTable,3),W213-Y213)</f>
        <v>1.1931</v>
      </c>
      <c r="AB213" s="524" t="n">
        <f aca="false">IF(Q215="extra",INDEX(BrentSeasonalityTable,INT((BG213-1)/3)+1)*VLOOKUP(MAX(BF213,$AB$4),PriceSpreadTable,3),X213-Z213)</f>
        <v>1.1931</v>
      </c>
      <c r="AC213" s="646" t="n">
        <v>42633</v>
      </c>
      <c r="AD213" s="646" t="n">
        <v>42629</v>
      </c>
      <c r="AE213" s="646" t="n">
        <v>42628</v>
      </c>
      <c r="AF213" s="646" t="n">
        <v>42624</v>
      </c>
      <c r="AG213" s="438" t="s">
        <v>278</v>
      </c>
      <c r="AH213" s="439" t="s">
        <v>278</v>
      </c>
      <c r="AI213" s="528" t="n">
        <v>21</v>
      </c>
      <c r="AJ213" s="529" t="n">
        <v>14</v>
      </c>
      <c r="AK213" s="529" t="n">
        <v>7</v>
      </c>
      <c r="AL213" s="530" t="n">
        <v>21</v>
      </c>
      <c r="AM213" s="529" t="n">
        <v>10</v>
      </c>
      <c r="AN213" s="531" t="n">
        <v>11</v>
      </c>
      <c r="AO213" s="532"/>
      <c r="AP213" s="465" t="n">
        <f aca="false">(1+AO213/2)^(-2*BL213)</f>
        <v>1</v>
      </c>
      <c r="AQ213" s="532"/>
      <c r="AR213" s="465" t="n">
        <f aca="false">(1+AQ213/2)^(-2*BH213/365.25)</f>
        <v>1</v>
      </c>
      <c r="AS213" s="580" t="n">
        <f aca="false">(O214*AJ213+O215*AK213)/AI213</f>
        <v>0</v>
      </c>
      <c r="AT213" s="468" t="n">
        <f aca="false">O213*VLOOKUP(BF213,BrentVolTable,2)+VLOOKUP(BF213,BrentVolTable,3)</f>
        <v>0</v>
      </c>
      <c r="AU213" s="468" t="n">
        <f aca="false">(AT214*AM213+AT215*AN213)/AL213</f>
        <v>0</v>
      </c>
      <c r="AV213" s="595" t="n">
        <f aca="false">SQRT(MAX(0.000000000001,(O213^2*BH213-S213^2*(BH213-BH212))/BH212))</f>
        <v>0.0347501710980472</v>
      </c>
      <c r="AW213" s="451" t="n">
        <f aca="false">IF($I213-DateToday+15&gt;=$T$8,"",IF($I213-DateToday+15&lt;$T$5,1,MATCH($I213-DateToday+15,$T$5:$T$8)))</f>
        <v>1</v>
      </c>
      <c r="AX213" s="468" t="n">
        <f aca="false">IF($AW213="",AX212^2/AX211,INDEX(U$5:U$8,$AW213)^((INDEX($T$5:$T$8,$AW213+1)-($I213-DateToday+15))/(INDEX($T$5:$T$8,$AW213+1)-INDEX($T$5:$T$8,$AW213)))/INDEX(U$5:U$8,$AW213+1)^((INDEX($T$5:$T$8,$AW213)-($I213-DateToday+15))/(INDEX($T$5:$T$8,$AW213+1)-INDEX($T$5:$T$8,$AW213))))</f>
        <v>0.202665413058642</v>
      </c>
      <c r="AY213" s="468" t="n">
        <f aca="false">IF($AW213="",AY212^2/AY211,INDEX(V$5:V$8,$AW213)^((INDEX($T$5:$T$8,$AW213+1)-($I213-DateToday+15))/(INDEX($T$5:$T$8,$AW213+1)-INDEX($T$5:$T$8,$AW213)))/INDEX(V$5:V$8,$AW213+1)^((INDEX($T$5:$T$8,$AW213)-($I213-DateToday+15))/(INDEX($T$5:$T$8,$AW213+1)-INDEX($T$5:$T$8,$AW213))))</f>
        <v>1.53533205647862</v>
      </c>
      <c r="AZ213" s="468" t="n">
        <f aca="false">IF($AW213="",AZ212^2/AZ211,INDEX(W$5:W$8,$AW213)^((INDEX($T$5:$T$8,$AW213+1)-($I213-DateToday+15))/(INDEX($T$5:$T$8,$AW213+1)-INDEX($T$5:$T$8,$AW213)))/INDEX(W$5:W$8,$AW213+1)^((INDEX($T$5:$T$8,$AW213)-($I213-DateToday+15))/(INDEX($T$5:$T$8,$AW213+1)-INDEX($T$5:$T$8,$AW213))))</f>
        <v>89.0568070006159</v>
      </c>
      <c r="BA213" s="468" t="n">
        <f aca="false">IF($AW213="",BA212^2/BA211,INDEX(X$5:X$8,$AW213)^((INDEX($T$5:$T$8,$AW213+1)-($I213-DateToday+15))/(INDEX($T$5:$T$8,$AW213+1)-INDEX($T$5:$T$8,$AW213)))/INDEX(X$5:X$8,$AW213+1)^((INDEX($T$5:$T$8,$AW213)-($I213-DateToday+15))/(INDEX($T$5:$T$8,$AW213+1)-INDEX($T$5:$T$8,$AW213))))</f>
        <v>188.007651838162</v>
      </c>
      <c r="BB213" s="468" t="n">
        <f aca="false">IF($AW213="",BB212^2/BB211,INDEX(Y$5:Y$8,$AW213)^((INDEX($T$5:$T$8,$AW213+1)-($I213-DateToday+15))/(INDEX($T$5:$T$8,$AW213+1)-INDEX($T$5:$T$8,$AW213)))/INDEX(Y$5:Y$8,$AW213+1)^((INDEX($T$5:$T$8,$AW213)-($I213-DateToday+15))/(INDEX($T$5:$T$8,$AW213+1)-INDEX($T$5:$T$8,$AW213))))</f>
        <v>769.208995553686</v>
      </c>
      <c r="BC213" s="468" t="n">
        <f aca="false">IF($AW213="",BC212^2/BC211,INDEX(Z$5:Z$8,$AW213)^((INDEX($T$5:$T$8,$AW213+1)-($I213-DateToday+15))/(INDEX($T$5:$T$8,$AW213+1)-INDEX($T$5:$T$8,$AW213)))/INDEX(Z$5:Z$8,$AW213+1)^((INDEX($T$5:$T$8,$AW213)-($I213-DateToday+15))/(INDEX($T$5:$T$8,$AW213+1)-INDEX($T$5:$T$8,$AW213))))</f>
        <v>1836.97047437066</v>
      </c>
      <c r="BD213" s="535" t="n">
        <f aca="false">IF(OR(DateStart&gt;=I214,DateEnd&lt;I213),0,IF(VolumeOverrideFlag,V213,Volume))</f>
        <v>0</v>
      </c>
      <c r="BE213" s="536" t="n">
        <f aca="false">IF(OR(DateStart2&gt;=I214,DateEnd2&lt;I213),0,IF(VolumeOverrideFlag,V213,VolumeSwaption))</f>
        <v>0</v>
      </c>
      <c r="BF213" s="537" t="n">
        <f aca="false">YEAR(I213)</f>
        <v>2016</v>
      </c>
      <c r="BG213" s="538" t="n">
        <f aca="false">MONTH(I213)</f>
        <v>10</v>
      </c>
      <c r="BH213" s="539" t="n">
        <f aca="false">AD213-DateToday+1</f>
        <v>-3296</v>
      </c>
      <c r="BI213" s="540" t="n">
        <f aca="false">(I213-DateToday+1)/365.25</f>
        <v>-8.98288843258042</v>
      </c>
      <c r="BJ213" s="541" t="n">
        <f aca="false">BI213+(BL213-BI213)*CHOOSE(Underlying,AJ213/AI213,AM213/AL213)</f>
        <v>-8.92813141683778</v>
      </c>
      <c r="BK213" s="541" t="n">
        <f aca="false">BJ213+1/365.25</f>
        <v>-8.92539356605065</v>
      </c>
      <c r="BL213" s="541" t="n">
        <f aca="false">(I214-DateToday)/365.25</f>
        <v>-8.90075290896646</v>
      </c>
      <c r="BM213" s="542" t="e">
        <f aca="false">MAX(BI213-(BJ213-BI213)*(S214^2/O214^2-1),0)</f>
        <v>#DIV/0!</v>
      </c>
      <c r="BN213" s="541" t="e">
        <f aca="false">MAX(BL213+(BL213-BK213)*(S215^2/O215^2-1),0)</f>
        <v>#DIV/0!</v>
      </c>
      <c r="BO213" s="530" t="n">
        <f aca="false">CHOOSE(Underlying,AI213,AL213)</f>
        <v>21</v>
      </c>
      <c r="BP213" s="529" t="n">
        <f aca="false">CHOOSE(Underlying,AJ213,AM213)</f>
        <v>14</v>
      </c>
      <c r="BQ213" s="529" t="n">
        <f aca="false">CHOOSE(Underlying,AK213,AN213)</f>
        <v>7</v>
      </c>
      <c r="BR213" s="463" t="str">
        <f aca="false">IF(BD213,IF(Underlying=1,X213,Z213)+UnderlyingPriceAsian-SwapPriceCurve,"")</f>
        <v/>
      </c>
      <c r="BS213" s="463" t="str">
        <f aca="false">IF(BD213,Strike1/BR213-1,"")</f>
        <v/>
      </c>
      <c r="BT213" s="464" t="str">
        <f aca="false">IF(BD213,Strike2/BR213-1,"")</f>
        <v/>
      </c>
      <c r="BU213" s="465" t="str">
        <f aca="false">IF(BD213,IF(Underlying=1,L214,R214)+UnderlyingPriceAsian-SwapPriceCurve,"")</f>
        <v/>
      </c>
      <c r="BV213" s="465" t="str">
        <f aca="false">IF(BD213,IF(Underlying=1,L215,R215)+UnderlyingPriceAsian-SwapPriceCurve,"")</f>
        <v/>
      </c>
      <c r="BW213" s="466" t="str">
        <f aca="false">IF(BD213,IF(Underlying=1,O214,AT214),"")</f>
        <v/>
      </c>
      <c r="BX213" s="467" t="str">
        <f aca="false">IF(BD213,IF(Underlying=1,O215,AT215),"")</f>
        <v/>
      </c>
      <c r="BY213" s="466" t="str">
        <f aca="false">IF(BD213,IF(BS213&gt;0,IF(BS213&gt;0.2,BC213-BB213,IF(BS213&gt;0.1,BB213-BA213,BA213)),IF(BS213&lt;-0.2,AX213-AY213,IF(BS213&lt;-0.1,AY213-AZ213,AZ213))),"")</f>
        <v/>
      </c>
      <c r="BZ213" s="467" t="str">
        <f aca="false">IF(BD213,IF(BT213&gt;0,IF(BT213&gt;0.2,BC213-BB213,IF(BT213&gt;0.1,BB213-BA213,BA213)),IF(BT213&lt;-0.2,AX213-AY213,IF(BT213&lt;-0.1,AY213-AZ213,AZ213))),"")</f>
        <v/>
      </c>
      <c r="CA213" s="468" t="str">
        <f aca="false">IF($BD213,$BW213+IF(VolSkewFlag=1,IF(BS213&gt;0,$BA213*MIN(BS213/10%,1)+($BB213-$BA213)*MAX(0,MIN(BS213/10%-1,1))+($BC213-$BB213)*MAX(0,BS213/10%-2),$AZ213*MIN(-BS213/10%,1)+($AY213-$AZ213)*MAX(0,MIN(-BS213/10%-1,1))+($AX213-$AY213)*MAX(0,-BS213/10%-2)),0),"")</f>
        <v/>
      </c>
      <c r="CB213" s="468" t="str">
        <f aca="false">IF($BD213,$BX213+IF(VolSkewFlag=1,IF(BS213&gt;0,$BA213*MIN(BS213/10%,1)+($BB213-$BA213)*MAX(0,MIN(BS213/10%-1,1))+($BC213-$BB213)*MAX(0,BS213/10%-2),$AZ213*MIN(-BS213/10%,1)+($AY213-$AZ213)*MAX(0,MIN(-BS213/10%-1,1))+($AX213-$AY213)*MAX(0,-BS213/10%-2)),0),"")</f>
        <v/>
      </c>
      <c r="CC213" s="468" t="str">
        <f aca="false">IF($BD213,$BW213+IF(VolSkewFlag=1,IF(BT213&gt;0,$BA213*MIN(BT213/10%,1)+($BB213-$BA213)*MAX(0,MIN(BT213/10%-1,1))+($BC213-$BB213)*MAX(0,BT213/10%-2),$AZ213*MIN(-BT213/10%,1)+($AY213-$AZ213)*MAX(0,MIN(-BT213/10%-1,1))+($AX213-$AY213)*MAX(0,-BT213/10%-2)),0),"")</f>
        <v/>
      </c>
      <c r="CD213" s="468" t="str">
        <f aca="false">IF($BD213,$BX213+IF(VolSkewFlag=1,IF(BT213&gt;0,$BA213*MIN(BT213/10%,1)+($BB213-$BA213)*MAX(0,MIN(BT213/10%-1,1))+($BC213-$BB213)*MAX(0,BT213/10%-2),$AZ213*MIN(-BT213/10%,1)+($AY213-$AZ213)*MAX(0,MIN(-BT213/10%-1,1))+($AX213-$AY213)*MAX(0,-BT213/10%-2)),0),"")</f>
        <v/>
      </c>
      <c r="CE213" s="469" t="n">
        <v>1</v>
      </c>
      <c r="CF213" s="470" t="n">
        <f aca="false">IF(BD213,xCrudeAPO(BU213,BV213,CA213,CB213,S214,S215,BI213,BL213,BP213,BQ213,0,Strike1,AO213,CE213,0,BL213,IF(OptControl=4,0,1),0,1),0)</f>
        <v>0</v>
      </c>
      <c r="CG213" s="470" t="n">
        <f aca="false">IF(BD213,xCrudeAPO(BU213,BV213,CA213,CB213,S214,S215,BI213,BL213,BP213,BQ213,0,Strike1,AO213,CE213,0,BL213,IF(OptControl=4,0,1),1,1)+xCrudeAPO(BU213,BV213,CA213,CB213,S214,S215,BI213,BL213,BP213,BQ213,0,Strike1,AO213,CE213,0,BL213,IF(OptControl=4,0,1),1,2)+IF(OR(VolSkewFlag=2,ABS(BS213)&lt;0.0001),0,IF(BS213&gt;0,-1,1)*CH213*Strike1/BR213^2*BY213/10%),0)</f>
        <v>0</v>
      </c>
      <c r="CH213" s="470" t="n">
        <f aca="false">IF(BD213,(xCrudeAPO(BU213,BV213,CA213,CB213,S214,S215,BI213,BL213,BP213,BQ213,0,Strike1,AO213,CE213,0,BL213,IF(OptControl=4,0,1),3,1)+xCrudeAPO(BU213,BV213,CA213,CB213,S214,S215,BI213,BL213,BP213,BQ213,0,Strike1,AO213,CE213,0,BL213,IF(OptControl=4,0,1),3,2))/100,0)</f>
        <v>0</v>
      </c>
      <c r="CI213" s="470" t="n">
        <f aca="false">IF(BD213,xCrudeAPO(BU213,BV213,CA213,CB213,S214,S215,BI213-DaysForThetaCalculation/365.25,BL213-DaysForThetaCalculation/365.25,BP213,BQ213,0,Strike1,AO213,CE213,0,BL213,IF(OptControl=4,0,1),0,1)-xCrudeAPO(BU213,BV213,CA213,CB213,S214,S215,BI213,BL213,BP213,BQ213,0,Strike1,AO213,CE213,0,BL213,IF(OptControl=4,0,1),0,1),0)</f>
        <v>0</v>
      </c>
      <c r="CJ213" s="471" t="n">
        <f aca="false">IF(BD213,xCrudeAPO(BU213,BV213,CC213,CD213,S214,S215,BI213,BL213,BP213,BQ213,0,Strike2,AO213,CE213,0,BL213,IF(OptControl=3,1,0),0,1),0)</f>
        <v>0</v>
      </c>
      <c r="CK213" s="470" t="n">
        <f aca="false">IF(BD213,xCrudeAPO(BU213,BV213,CC213,CD213,S214,S215,BI213,BL213,BP213,BQ213,0,Strike2,AO213,CE213,0,BL213,IF(OptControl=3,1,0),1,1)+xCrudeAPO(BU213,BV213,CC213,CD213,S214,S215,BI213,BL213,BP213,BQ213,0,Strike2,AO213,CE213,0,BL213,IF(OptControl=3,1,0),1,2)+IF(OR(VolSkewFlag=2,ABS(BT213)&lt;0.0001),0,IF(BT213&gt;0,-1,1)*CL213*Strike2/BR213^2*BZ213/10%),0)</f>
        <v>0</v>
      </c>
      <c r="CL213" s="470" t="n">
        <f aca="false">IF(BD213,(xCrudeAPO(BU213,BV213,CC213,CD213,S214,S215,BI213,BL213,BP213,BQ213,0,Strike2,AO213,CE213,0,BL213,IF(OptControl=3,1,0),3,1)+xCrudeAPO(BU213,BV213,CC213,CD213,S214,S215,BI213,BL213,BP213,BQ213,0,Strike2,AO213,CE213,0,BL213,IF(OptControl=3,1,0),3,2))/100,0)</f>
        <v>0</v>
      </c>
      <c r="CM213" s="472" t="n">
        <f aca="false">IF(BD213,xCrudeAPO(BU213,BV213,CC213,CD213,S214,S215,BI213-DaysForThetaCalculation/365.25,BL213-DaysForThetaCalculation/365.25,BP213,BQ213,0,Strike2,AO213,CE213,0,BL213,IF(OptControl=3,1,0),0,1)-xCrudeAPO(BU213,BV213,CC213,CD213,S214,S215,BI213,BL213,BP213,BQ213,0,Strike2,AO213,CE213,0,BL213,IF(OptControl=3,1,0),0,1),0)</f>
        <v>0</v>
      </c>
      <c r="CN213" s="3"/>
      <c r="CO213" s="543" t="str">
        <f aca="false">IF(BD213,CHOOSE(Underlying,AD213,AF213)-DateToday+1,"")</f>
        <v/>
      </c>
      <c r="CP213" s="582" t="str">
        <f aca="false">IF(BD213,CHOOSE(Underlying,L213,R213),"")</f>
        <v/>
      </c>
      <c r="CQ213" s="544" t="str">
        <f aca="false">IF(BD213,Strike1/CP213-1,"")</f>
        <v/>
      </c>
      <c r="CR213" s="544" t="str">
        <f aca="false">IF(BD213,Strike2/CP213-1,"")</f>
        <v/>
      </c>
      <c r="CS213" s="544" t="str">
        <f aca="false">IF(BD213,IF(CQ213&gt;0,IF(CQ213&gt;0.2,BC212-BB212,IF(CQ213&gt;0.1,BB212-BA212,BA212)),IF(CQ213&lt;-0.2,AX212-AY212,IF(CQ213&lt;-0.1,AY212-AZ212,AZ212))),"")</f>
        <v/>
      </c>
      <c r="CT213" s="544" t="str">
        <f aca="false">IF(BD213,IF(CR213&gt;0,IF(CR213&gt;0.2,BC212-BB212,IF(CR213&gt;0.1,BB212-BA212,BA212)),IF(CR213&lt;-0.2,AX212-AY212,IF(CR213&lt;-0.1,AY212-AZ212,AZ212))),"")</f>
        <v/>
      </c>
      <c r="CU213" s="545" t="str">
        <f aca="false">IF(BD213,CHOOSE(Underlying,O213,AT213),"")</f>
        <v/>
      </c>
      <c r="CV213" s="545" t="str">
        <f aca="false">IF(BD213,CU213+IF(VolSkewFlag=1,IF(CQ213&gt;0,BA212*MIN(CQ213/10%,1)+(BB212-BA212)*MAX(0,MIN(CQ213/10%-1,1))+(BC212-BB212)*MAX(0,CQ213/10%-2),AZ212*MIN(-CQ213/10%,1)+(AY212-AZ212)*MAX(0,MIN(-CQ213/10%-1,1))+(AX212-AY212)*MAX(0,-CQ213/10%-2)),0),"")</f>
        <v/>
      </c>
      <c r="CW213" s="545" t="str">
        <f aca="false">IF(BD213,CU213+IF(VolSkewFlag=1,IF(CR213&gt;0,BA212*MIN(CR213/10%,1)+(BB212-BA212)*MAX(0,MIN(CR213/10%-1,1))+(BC212-BB212)*MAX(0,CR213/10%-2),AZ212*MIN(-CR213/10%,1)+(AY212-AZ212)*MAX(0,MIN(-CR213/10%-1,1))+(AX212-AY212)*MAX(0,-CR213/10%-2)),0),"")</f>
        <v/>
      </c>
      <c r="CX213" s="470" t="n">
        <f aca="false">IF(BD213,EURO(CP213,Strike1,AO213,AO213,CV213,CO213,IF(OptControl=4,0,1),0),0)</f>
        <v>0</v>
      </c>
      <c r="CY213" s="470" t="n">
        <f aca="false">IF(BD213,EURO(CP213,Strike1,AO213,AO213,CV213,CO213,IF(OptControl=4,0,1),1)+IF(OR(VolSkewFlag=2,ABS(CQ213)&lt;0.0001),0,IF(CQ213&gt;0,-1,1)*CZ213*100*Strike1/CP213^2*CS213/10%),0)</f>
        <v>0</v>
      </c>
      <c r="CZ213" s="470" t="n">
        <f aca="false">IF(BD213,EURO(CP213,Strike1,AO213,AO213,CV213,CO213,IF(OptControl=4,0,1),3)/100,0)</f>
        <v>0</v>
      </c>
      <c r="DA213" s="470" t="n">
        <f aca="false">IF(BD213,EURO(CP213,Strike1,AO213,AO213,CV213,CO213,IF(OptControl=4,0,1),0)-EURO(CP213,Strike1,AO213,AO213,CV213,CO213-1,IF(OptControl=4,0,1),0),0)</f>
        <v>0</v>
      </c>
      <c r="DB213" s="470" t="n">
        <f aca="false">IF(BD213,EURO(CP213,Strike2,AO213,AO213,CW213,CO213,IF(OptControl=3,1,0),0),0)</f>
        <v>0</v>
      </c>
      <c r="DC213" s="470" t="n">
        <f aca="false">IF(BD213,EURO(CP213,Strike2,AO213,AO213,CW213,CO213,IF(OptControl=3,1,0),1)+IF(OR(VolSkewFlag=2,ABS(CR213)&lt;0.0001),0,IF(CR213&gt;0,-1,1)*DD213*100*Strike2/CP213^2*CT213/10%),0)</f>
        <v>0</v>
      </c>
      <c r="DD213" s="470" t="n">
        <f aca="false">IF(BD213,EURO(CP213,Strike2,AO213,AO213,CW213,CO213,IF(OptControl=3,1,0),3)/100,0)</f>
        <v>0</v>
      </c>
      <c r="DE213" s="472" t="n">
        <f aca="false">IF(BD213,EURO(CP213,Strike2,AO213,AO213,CW213,CO213,IF(OptControl=3,1,0),0)-EURO(CP213,Strike2,AO213,AO213,CW213,CO213-1,IF(OptControl=3,1,0),0),0)</f>
        <v>0</v>
      </c>
      <c r="DG213" s="481" t="n">
        <f aca="false">EOMONTH(DG212,0)+1</f>
        <v>51561</v>
      </c>
      <c r="DH213" s="478" t="n">
        <v>23.8100000000001</v>
      </c>
      <c r="DI213" s="479" t="n">
        <v>23.8795652173914</v>
      </c>
      <c r="DJ213" s="480" t="n">
        <f aca="false">DG213</f>
        <v>51561</v>
      </c>
      <c r="DK213" s="478" t="n">
        <v>22.6443240487194</v>
      </c>
      <c r="DL213" s="479" t="n">
        <v>22.7110652173914</v>
      </c>
      <c r="DM213" s="481" t="n">
        <f aca="false">DG213</f>
        <v>51561</v>
      </c>
      <c r="DN213" s="482" t="n">
        <f aca="false">DK213+BrentPhyBrentSpread</f>
        <v>22.6943240487194</v>
      </c>
      <c r="DO213" s="481" t="n">
        <f aca="false">DG213</f>
        <v>51561</v>
      </c>
      <c r="DP213" s="483" t="n">
        <f aca="false">DL213+DQ213</f>
        <v>22.7110652173914</v>
      </c>
      <c r="DQ213" s="546" t="n">
        <v>0</v>
      </c>
      <c r="DR213" s="480" t="n">
        <f aca="false">DG213</f>
        <v>51561</v>
      </c>
      <c r="DS213" s="485" t="n">
        <v>0.108799999999998</v>
      </c>
      <c r="DT213" s="486" t="n">
        <v>0.107965217391302</v>
      </c>
      <c r="DU213" s="480" t="n">
        <f aca="false">DG213</f>
        <v>51561</v>
      </c>
      <c r="DV213" s="485" t="n">
        <v>0.108799999999998</v>
      </c>
      <c r="DW213" s="486" t="n">
        <v>0.107965217391302</v>
      </c>
      <c r="DX213" s="481" t="n">
        <f aca="false">DG213</f>
        <v>51561</v>
      </c>
      <c r="DY213" s="486" t="n">
        <v>0.35</v>
      </c>
      <c r="DZ213" s="481" t="n">
        <f aca="false">DR213</f>
        <v>51561</v>
      </c>
      <c r="EA213" s="486" t="n">
        <f aca="false">DT213</f>
        <v>0.107965217391302</v>
      </c>
      <c r="EB213" s="195"/>
      <c r="EC213" s="547" t="str">
        <f aca="false">IF(BD213,IF(Underlying=1,AS213,AU213),"")</f>
        <v/>
      </c>
      <c r="ED213" s="548" t="str">
        <f aca="false">IF($BD213,$EC213+IF(VolSkewFlag=1,IF(BS213&gt;0,$BA213*MIN(BS213/10%,1)+($BB213-$BA213)*MAX(0,MIN(BS213/10%-1,1))+($BC213-$BB213)*MAX(0,BS213/10%-2),$AZ213*MIN(-BS213/10%,1)+($AY213-$AZ213)*MAX(0,MIN(-BS213/10%-1,1))+($AX213-$AY213)*MAX(0,-BS213/10%-2)),0),"")</f>
        <v/>
      </c>
      <c r="EE213" s="549" t="str">
        <f aca="false">IF($BD213,$EC213+IF(VolSkewFlag=1,IF(BT213&gt;0,$BA213*MIN(BT213/10%,1)+($BB213-$BA213)*MAX(0,MIN(BT213/10%-1,1))+($BC213-$BB213)*MAX(0,BT213/10%-2),$AZ213*MIN(-BT213/10%,1)+($AY213-$AZ213)*MAX(0,MIN(-BT213/10%-1,1))+($AX213-$AY213)*MAX(0,-BT213/10%-2)),0),"")</f>
        <v/>
      </c>
      <c r="EF213" s="550" t="n">
        <f aca="false">IF(BD213,xASN(BR213,Strike1,AO213,ED213,0,BO213,0,BI213,BL213,IF(OptControl=4,0,1),0),0)</f>
        <v>0</v>
      </c>
      <c r="EG213" s="551" t="n">
        <f aca="false">IF(BD213,xASN(BR213,Strike2,AO213,EE213,0,BO213,0,BI213,BL213,IF(OptControl=3,1,0),0),0)</f>
        <v>0</v>
      </c>
      <c r="EL213" s="1"/>
      <c r="EM213" s="195"/>
      <c r="EN213" s="240"/>
      <c r="EO213" s="240"/>
      <c r="EP213" s="195"/>
      <c r="EQ213" s="407" t="s">
        <v>441</v>
      </c>
      <c r="ES213" s="1"/>
      <c r="EU213" s="672"/>
      <c r="FJ213" s="571" t="n">
        <v>44</v>
      </c>
      <c r="FK213" s="150" t="str">
        <f aca="false">IF(OR(FK$169&lt;SwaptionFirstMonthPosition+1,$FJ213&lt;SwaptionFirstMonthPosition+1,FK$169&gt;SwaptionFirstMonthPosition+SwaptionNumOfMonths+1,$FJ213&gt;SwaptionFirstMonthPosition+SwaptionNumOfMonths+1),"",IF($FJ213=FK$169,1,IF($FJ213&lt;FK$169,INDEX($FK$170:$ID$241,FK$169,$FJ213),SUMPRODUCT(INDEX($FK$325:$ID$396,FK$169,1+SwaptionShift):INDEX($FK$325:$ID$396,FK$169,SwaptionMonthsToGo+SwaptionShift),INDEX($FK$245:$ID$316,$FJ213-FK$169,73-FK$169+SwaptionShift):INDEX($FK$245:$ID$316,$FJ213-FK$169,72-FK$169+SwaptionMonthsToGo+SwaptionShift))/SQRT(SUM(INDEX($FK368:$ID368,1+SwaptionShift):INDEX($FK368:$ID368,SwaptionMonthsToGo+SwaptionShift))*SUM(INDEX($FK$325:$ID$396,FK$169,1+SwaptionShift):INDEX($FK$325:$ID$396,FK$169,SwaptionMonthsToGo+SwaptionShift))))))</f>
        <v/>
      </c>
      <c r="FL213" s="150" t="str">
        <f aca="false">IF(OR(FL$169&lt;SwaptionFirstMonthPosition+1,$FJ213&lt;SwaptionFirstMonthPosition+1,FL$169&gt;SwaptionFirstMonthPosition+SwaptionNumOfMonths+1,$FJ213&gt;SwaptionFirstMonthPosition+SwaptionNumOfMonths+1),"",IF($FJ213=FL$169,1,IF($FJ213&lt;FL$169,INDEX($FK$170:$ID$241,FL$169,$FJ213),SUMPRODUCT(INDEX($FK$325:$ID$396,FL$169,1+SwaptionShift):INDEX($FK$325:$ID$396,FL$169,SwaptionMonthsToGo+SwaptionShift),INDEX($FK$245:$ID$316,$FJ213-FL$169,73-FL$169+SwaptionShift):INDEX($FK$245:$ID$316,$FJ213-FL$169,72-FL$169+SwaptionMonthsToGo+SwaptionShift))/SQRT(SUM(INDEX($FK368:$ID368,1+SwaptionShift):INDEX($FK368:$ID368,SwaptionMonthsToGo+SwaptionShift))*SUM(INDEX($FK$325:$ID$396,FL$169,1+SwaptionShift):INDEX($FK$325:$ID$396,FL$169,SwaptionMonthsToGo+SwaptionShift))))))</f>
        <v/>
      </c>
      <c r="FM213" s="150" t="str">
        <f aca="false">IF(OR(FM$169&lt;SwaptionFirstMonthPosition+1,$FJ213&lt;SwaptionFirstMonthPosition+1,FM$169&gt;SwaptionFirstMonthPosition+SwaptionNumOfMonths+1,$FJ213&gt;SwaptionFirstMonthPosition+SwaptionNumOfMonths+1),"",IF($FJ213=FM$169,1,IF($FJ213&lt;FM$169,INDEX($FK$170:$ID$241,FM$169,$FJ213),SUMPRODUCT(INDEX($FK$325:$ID$396,FM$169,1+SwaptionShift):INDEX($FK$325:$ID$396,FM$169,SwaptionMonthsToGo+SwaptionShift),INDEX($FK$245:$ID$316,$FJ213-FM$169,73-FM$169+SwaptionShift):INDEX($FK$245:$ID$316,$FJ213-FM$169,72-FM$169+SwaptionMonthsToGo+SwaptionShift))/SQRT(SUM(INDEX($FK368:$ID368,1+SwaptionShift):INDEX($FK368:$ID368,SwaptionMonthsToGo+SwaptionShift))*SUM(INDEX($FK$325:$ID$396,FM$169,1+SwaptionShift):INDEX($FK$325:$ID$396,FM$169,SwaptionMonthsToGo+SwaptionShift))))))</f>
        <v/>
      </c>
      <c r="FN213" s="150" t="str">
        <f aca="false">IF(OR(FN$169&lt;SwaptionFirstMonthPosition+1,$FJ213&lt;SwaptionFirstMonthPosition+1,FN$169&gt;SwaptionFirstMonthPosition+SwaptionNumOfMonths+1,$FJ213&gt;SwaptionFirstMonthPosition+SwaptionNumOfMonths+1),"",IF($FJ213=FN$169,1,IF($FJ213&lt;FN$169,INDEX($FK$170:$ID$241,FN$169,$FJ213),SUMPRODUCT(INDEX($FK$325:$ID$396,FN$169,1+SwaptionShift):INDEX($FK$325:$ID$396,FN$169,SwaptionMonthsToGo+SwaptionShift),INDEX($FK$245:$ID$316,$FJ213-FN$169,73-FN$169+SwaptionShift):INDEX($FK$245:$ID$316,$FJ213-FN$169,72-FN$169+SwaptionMonthsToGo+SwaptionShift))/SQRT(SUM(INDEX($FK368:$ID368,1+SwaptionShift):INDEX($FK368:$ID368,SwaptionMonthsToGo+SwaptionShift))*SUM(INDEX($FK$325:$ID$396,FN$169,1+SwaptionShift):INDEX($FK$325:$ID$396,FN$169,SwaptionMonthsToGo+SwaptionShift))))))</f>
        <v/>
      </c>
      <c r="FO213" s="150" t="str">
        <f aca="false">IF(OR(FO$169&lt;SwaptionFirstMonthPosition+1,$FJ213&lt;SwaptionFirstMonthPosition+1,FO$169&gt;SwaptionFirstMonthPosition+SwaptionNumOfMonths+1,$FJ213&gt;SwaptionFirstMonthPosition+SwaptionNumOfMonths+1),"",IF($FJ213=FO$169,1,IF($FJ213&lt;FO$169,INDEX($FK$170:$ID$241,FO$169,$FJ213),SUMPRODUCT(INDEX($FK$325:$ID$396,FO$169,1+SwaptionShift):INDEX($FK$325:$ID$396,FO$169,SwaptionMonthsToGo+SwaptionShift),INDEX($FK$245:$ID$316,$FJ213-FO$169,73-FO$169+SwaptionShift):INDEX($FK$245:$ID$316,$FJ213-FO$169,72-FO$169+SwaptionMonthsToGo+SwaptionShift))/SQRT(SUM(INDEX($FK368:$ID368,1+SwaptionShift):INDEX($FK368:$ID368,SwaptionMonthsToGo+SwaptionShift))*SUM(INDEX($FK$325:$ID$396,FO$169,1+SwaptionShift):INDEX($FK$325:$ID$396,FO$169,SwaptionMonthsToGo+SwaptionShift))))))</f>
        <v/>
      </c>
      <c r="FP213" s="150" t="str">
        <f aca="false">IF(OR(FP$169&lt;SwaptionFirstMonthPosition+1,$FJ213&lt;SwaptionFirstMonthPosition+1,FP$169&gt;SwaptionFirstMonthPosition+SwaptionNumOfMonths+1,$FJ213&gt;SwaptionFirstMonthPosition+SwaptionNumOfMonths+1),"",IF($FJ213=FP$169,1,IF($FJ213&lt;FP$169,INDEX($FK$170:$ID$241,FP$169,$FJ213),SUMPRODUCT(INDEX($FK$325:$ID$396,FP$169,1+SwaptionShift):INDEX($FK$325:$ID$396,FP$169,SwaptionMonthsToGo+SwaptionShift),INDEX($FK$245:$ID$316,$FJ213-FP$169,73-FP$169+SwaptionShift):INDEX($FK$245:$ID$316,$FJ213-FP$169,72-FP$169+SwaptionMonthsToGo+SwaptionShift))/SQRT(SUM(INDEX($FK368:$ID368,1+SwaptionShift):INDEX($FK368:$ID368,SwaptionMonthsToGo+SwaptionShift))*SUM(INDEX($FK$325:$ID$396,FP$169,1+SwaptionShift):INDEX($FK$325:$ID$396,FP$169,SwaptionMonthsToGo+SwaptionShift))))))</f>
        <v/>
      </c>
      <c r="FQ213" s="150" t="str">
        <f aca="false">IF(OR(FQ$169&lt;SwaptionFirstMonthPosition+1,$FJ213&lt;SwaptionFirstMonthPosition+1,FQ$169&gt;SwaptionFirstMonthPosition+SwaptionNumOfMonths+1,$FJ213&gt;SwaptionFirstMonthPosition+SwaptionNumOfMonths+1),"",IF($FJ213=FQ$169,1,IF($FJ213&lt;FQ$169,INDEX($FK$170:$ID$241,FQ$169,$FJ213),SUMPRODUCT(INDEX($FK$325:$ID$396,FQ$169,1+SwaptionShift):INDEX($FK$325:$ID$396,FQ$169,SwaptionMonthsToGo+SwaptionShift),INDEX($FK$245:$ID$316,$FJ213-FQ$169,73-FQ$169+SwaptionShift):INDEX($FK$245:$ID$316,$FJ213-FQ$169,72-FQ$169+SwaptionMonthsToGo+SwaptionShift))/SQRT(SUM(INDEX($FK368:$ID368,1+SwaptionShift):INDEX($FK368:$ID368,SwaptionMonthsToGo+SwaptionShift))*SUM(INDEX($FK$325:$ID$396,FQ$169,1+SwaptionShift):INDEX($FK$325:$ID$396,FQ$169,SwaptionMonthsToGo+SwaptionShift))))))</f>
        <v/>
      </c>
      <c r="FR213" s="150" t="str">
        <f aca="false">IF(OR(FR$169&lt;SwaptionFirstMonthPosition+1,$FJ213&lt;SwaptionFirstMonthPosition+1,FR$169&gt;SwaptionFirstMonthPosition+SwaptionNumOfMonths+1,$FJ213&gt;SwaptionFirstMonthPosition+SwaptionNumOfMonths+1),"",IF($FJ213=FR$169,1,IF($FJ213&lt;FR$169,INDEX($FK$170:$ID$241,FR$169,$FJ213),SUMPRODUCT(INDEX($FK$325:$ID$396,FR$169,1+SwaptionShift):INDEX($FK$325:$ID$396,FR$169,SwaptionMonthsToGo+SwaptionShift),INDEX($FK$245:$ID$316,$FJ213-FR$169,73-FR$169+SwaptionShift):INDEX($FK$245:$ID$316,$FJ213-FR$169,72-FR$169+SwaptionMonthsToGo+SwaptionShift))/SQRT(SUM(INDEX($FK368:$ID368,1+SwaptionShift):INDEX($FK368:$ID368,SwaptionMonthsToGo+SwaptionShift))*SUM(INDEX($FK$325:$ID$396,FR$169,1+SwaptionShift):INDEX($FK$325:$ID$396,FR$169,SwaptionMonthsToGo+SwaptionShift))))))</f>
        <v/>
      </c>
      <c r="FS213" s="150" t="str">
        <f aca="false">IF(OR(FS$169&lt;SwaptionFirstMonthPosition+1,$FJ213&lt;SwaptionFirstMonthPosition+1,FS$169&gt;SwaptionFirstMonthPosition+SwaptionNumOfMonths+1,$FJ213&gt;SwaptionFirstMonthPosition+SwaptionNumOfMonths+1),"",IF($FJ213=FS$169,1,IF($FJ213&lt;FS$169,INDEX($FK$170:$ID$241,FS$169,$FJ213),SUMPRODUCT(INDEX($FK$325:$ID$396,FS$169,1+SwaptionShift):INDEX($FK$325:$ID$396,FS$169,SwaptionMonthsToGo+SwaptionShift),INDEX($FK$245:$ID$316,$FJ213-FS$169,73-FS$169+SwaptionShift):INDEX($FK$245:$ID$316,$FJ213-FS$169,72-FS$169+SwaptionMonthsToGo+SwaptionShift))/SQRT(SUM(INDEX($FK368:$ID368,1+SwaptionShift):INDEX($FK368:$ID368,SwaptionMonthsToGo+SwaptionShift))*SUM(INDEX($FK$325:$ID$396,FS$169,1+SwaptionShift):INDEX($FK$325:$ID$396,FS$169,SwaptionMonthsToGo+SwaptionShift))))))</f>
        <v/>
      </c>
      <c r="FT213" s="150" t="str">
        <f aca="false">IF(OR(FT$169&lt;SwaptionFirstMonthPosition+1,$FJ213&lt;SwaptionFirstMonthPosition+1,FT$169&gt;SwaptionFirstMonthPosition+SwaptionNumOfMonths+1,$FJ213&gt;SwaptionFirstMonthPosition+SwaptionNumOfMonths+1),"",IF($FJ213=FT$169,1,IF($FJ213&lt;FT$169,INDEX($FK$170:$ID$241,FT$169,$FJ213),SUMPRODUCT(INDEX($FK$325:$ID$396,FT$169,1+SwaptionShift):INDEX($FK$325:$ID$396,FT$169,SwaptionMonthsToGo+SwaptionShift),INDEX($FK$245:$ID$316,$FJ213-FT$169,73-FT$169+SwaptionShift):INDEX($FK$245:$ID$316,$FJ213-FT$169,72-FT$169+SwaptionMonthsToGo+SwaptionShift))/SQRT(SUM(INDEX($FK368:$ID368,1+SwaptionShift):INDEX($FK368:$ID368,SwaptionMonthsToGo+SwaptionShift))*SUM(INDEX($FK$325:$ID$396,FT$169,1+SwaptionShift):INDEX($FK$325:$ID$396,FT$169,SwaptionMonthsToGo+SwaptionShift))))))</f>
        <v/>
      </c>
      <c r="FU213" s="150" t="str">
        <f aca="false">IF(OR(FU$169&lt;SwaptionFirstMonthPosition+1,$FJ213&lt;SwaptionFirstMonthPosition+1,FU$169&gt;SwaptionFirstMonthPosition+SwaptionNumOfMonths+1,$FJ213&gt;SwaptionFirstMonthPosition+SwaptionNumOfMonths+1),"",IF($FJ213=FU$169,1,IF($FJ213&lt;FU$169,INDEX($FK$170:$ID$241,FU$169,$FJ213),SUMPRODUCT(INDEX($FK$325:$ID$396,FU$169,1+SwaptionShift):INDEX($FK$325:$ID$396,FU$169,SwaptionMonthsToGo+SwaptionShift),INDEX($FK$245:$ID$316,$FJ213-FU$169,73-FU$169+SwaptionShift):INDEX($FK$245:$ID$316,$FJ213-FU$169,72-FU$169+SwaptionMonthsToGo+SwaptionShift))/SQRT(SUM(INDEX($FK368:$ID368,1+SwaptionShift):INDEX($FK368:$ID368,SwaptionMonthsToGo+SwaptionShift))*SUM(INDEX($FK$325:$ID$396,FU$169,1+SwaptionShift):INDEX($FK$325:$ID$396,FU$169,SwaptionMonthsToGo+SwaptionShift))))))</f>
        <v/>
      </c>
      <c r="FV213" s="150" t="str">
        <f aca="false">IF(OR(FV$169&lt;SwaptionFirstMonthPosition+1,$FJ213&lt;SwaptionFirstMonthPosition+1,FV$169&gt;SwaptionFirstMonthPosition+SwaptionNumOfMonths+1,$FJ213&gt;SwaptionFirstMonthPosition+SwaptionNumOfMonths+1),"",IF($FJ213=FV$169,1,IF($FJ213&lt;FV$169,INDEX($FK$170:$ID$241,FV$169,$FJ213),SUMPRODUCT(INDEX($FK$325:$ID$396,FV$169,1+SwaptionShift):INDEX($FK$325:$ID$396,FV$169,SwaptionMonthsToGo+SwaptionShift),INDEX($FK$245:$ID$316,$FJ213-FV$169,73-FV$169+SwaptionShift):INDEX($FK$245:$ID$316,$FJ213-FV$169,72-FV$169+SwaptionMonthsToGo+SwaptionShift))/SQRT(SUM(INDEX($FK368:$ID368,1+SwaptionShift):INDEX($FK368:$ID368,SwaptionMonthsToGo+SwaptionShift))*SUM(INDEX($FK$325:$ID$396,FV$169,1+SwaptionShift):INDEX($FK$325:$ID$396,FV$169,SwaptionMonthsToGo+SwaptionShift))))))</f>
        <v/>
      </c>
      <c r="FW213" s="150" t="str">
        <f aca="false">IF(OR(FW$169&lt;SwaptionFirstMonthPosition+1,$FJ213&lt;SwaptionFirstMonthPosition+1,FW$169&gt;SwaptionFirstMonthPosition+SwaptionNumOfMonths+1,$FJ213&gt;SwaptionFirstMonthPosition+SwaptionNumOfMonths+1),"",IF($FJ213=FW$169,1,IF($FJ213&lt;FW$169,INDEX($FK$170:$ID$241,FW$169,$FJ213),SUMPRODUCT(INDEX($FK$325:$ID$396,FW$169,1+SwaptionShift):INDEX($FK$325:$ID$396,FW$169,SwaptionMonthsToGo+SwaptionShift),INDEX($FK$245:$ID$316,$FJ213-FW$169,73-FW$169+SwaptionShift):INDEX($FK$245:$ID$316,$FJ213-FW$169,72-FW$169+SwaptionMonthsToGo+SwaptionShift))/SQRT(SUM(INDEX($FK368:$ID368,1+SwaptionShift):INDEX($FK368:$ID368,SwaptionMonthsToGo+SwaptionShift))*SUM(INDEX($FK$325:$ID$396,FW$169,1+SwaptionShift):INDEX($FK$325:$ID$396,FW$169,SwaptionMonthsToGo+SwaptionShift))))))</f>
        <v/>
      </c>
      <c r="FX213" s="150" t="str">
        <f aca="false">IF(OR(FX$169&lt;SwaptionFirstMonthPosition+1,$FJ213&lt;SwaptionFirstMonthPosition+1,FX$169&gt;SwaptionFirstMonthPosition+SwaptionNumOfMonths+1,$FJ213&gt;SwaptionFirstMonthPosition+SwaptionNumOfMonths+1),"",IF($FJ213=FX$169,1,IF($FJ213&lt;FX$169,INDEX($FK$170:$ID$241,FX$169,$FJ213),SUMPRODUCT(INDEX($FK$325:$ID$396,FX$169,1+SwaptionShift):INDEX($FK$325:$ID$396,FX$169,SwaptionMonthsToGo+SwaptionShift),INDEX($FK$245:$ID$316,$FJ213-FX$169,73-FX$169+SwaptionShift):INDEX($FK$245:$ID$316,$FJ213-FX$169,72-FX$169+SwaptionMonthsToGo+SwaptionShift))/SQRT(SUM(INDEX($FK368:$ID368,1+SwaptionShift):INDEX($FK368:$ID368,SwaptionMonthsToGo+SwaptionShift))*SUM(INDEX($FK$325:$ID$396,FX$169,1+SwaptionShift):INDEX($FK$325:$ID$396,FX$169,SwaptionMonthsToGo+SwaptionShift))))))</f>
        <v/>
      </c>
      <c r="FY213" s="150" t="str">
        <f aca="false">IF(OR(FY$169&lt;SwaptionFirstMonthPosition+1,$FJ213&lt;SwaptionFirstMonthPosition+1,FY$169&gt;SwaptionFirstMonthPosition+SwaptionNumOfMonths+1,$FJ213&gt;SwaptionFirstMonthPosition+SwaptionNumOfMonths+1),"",IF($FJ213=FY$169,1,IF($FJ213&lt;FY$169,INDEX($FK$170:$ID$241,FY$169,$FJ213),SUMPRODUCT(INDEX($FK$325:$ID$396,FY$169,1+SwaptionShift):INDEX($FK$325:$ID$396,FY$169,SwaptionMonthsToGo+SwaptionShift),INDEX($FK$245:$ID$316,$FJ213-FY$169,73-FY$169+SwaptionShift):INDEX($FK$245:$ID$316,$FJ213-FY$169,72-FY$169+SwaptionMonthsToGo+SwaptionShift))/SQRT(SUM(INDEX($FK368:$ID368,1+SwaptionShift):INDEX($FK368:$ID368,SwaptionMonthsToGo+SwaptionShift))*SUM(INDEX($FK$325:$ID$396,FY$169,1+SwaptionShift):INDEX($FK$325:$ID$396,FY$169,SwaptionMonthsToGo+SwaptionShift))))))</f>
        <v/>
      </c>
      <c r="FZ213" s="150" t="str">
        <f aca="false">IF(OR(FZ$169&lt;SwaptionFirstMonthPosition+1,$FJ213&lt;SwaptionFirstMonthPosition+1,FZ$169&gt;SwaptionFirstMonthPosition+SwaptionNumOfMonths+1,$FJ213&gt;SwaptionFirstMonthPosition+SwaptionNumOfMonths+1),"",IF($FJ213=FZ$169,1,IF($FJ213&lt;FZ$169,INDEX($FK$170:$ID$241,FZ$169,$FJ213),SUMPRODUCT(INDEX($FK$325:$ID$396,FZ$169,1+SwaptionShift):INDEX($FK$325:$ID$396,FZ$169,SwaptionMonthsToGo+SwaptionShift),INDEX($FK$245:$ID$316,$FJ213-FZ$169,73-FZ$169+SwaptionShift):INDEX($FK$245:$ID$316,$FJ213-FZ$169,72-FZ$169+SwaptionMonthsToGo+SwaptionShift))/SQRT(SUM(INDEX($FK368:$ID368,1+SwaptionShift):INDEX($FK368:$ID368,SwaptionMonthsToGo+SwaptionShift))*SUM(INDEX($FK$325:$ID$396,FZ$169,1+SwaptionShift):INDEX($FK$325:$ID$396,FZ$169,SwaptionMonthsToGo+SwaptionShift))))))</f>
        <v/>
      </c>
      <c r="GA213" s="150" t="str">
        <f aca="false">IF(OR(GA$169&lt;SwaptionFirstMonthPosition+1,$FJ213&lt;SwaptionFirstMonthPosition+1,GA$169&gt;SwaptionFirstMonthPosition+SwaptionNumOfMonths+1,$FJ213&gt;SwaptionFirstMonthPosition+SwaptionNumOfMonths+1),"",IF($FJ213=GA$169,1,IF($FJ213&lt;GA$169,INDEX($FK$170:$ID$241,GA$169,$FJ213),SUMPRODUCT(INDEX($FK$325:$ID$396,GA$169,1+SwaptionShift):INDEX($FK$325:$ID$396,GA$169,SwaptionMonthsToGo+SwaptionShift),INDEX($FK$245:$ID$316,$FJ213-GA$169,73-GA$169+SwaptionShift):INDEX($FK$245:$ID$316,$FJ213-GA$169,72-GA$169+SwaptionMonthsToGo+SwaptionShift))/SQRT(SUM(INDEX($FK368:$ID368,1+SwaptionShift):INDEX($FK368:$ID368,SwaptionMonthsToGo+SwaptionShift))*SUM(INDEX($FK$325:$ID$396,GA$169,1+SwaptionShift):INDEX($FK$325:$ID$396,GA$169,SwaptionMonthsToGo+SwaptionShift))))))</f>
        <v/>
      </c>
      <c r="GB213" s="150" t="str">
        <f aca="false">IF(OR(GB$169&lt;SwaptionFirstMonthPosition+1,$FJ213&lt;SwaptionFirstMonthPosition+1,GB$169&gt;SwaptionFirstMonthPosition+SwaptionNumOfMonths+1,$FJ213&gt;SwaptionFirstMonthPosition+SwaptionNumOfMonths+1),"",IF($FJ213=GB$169,1,IF($FJ213&lt;GB$169,INDEX($FK$170:$ID$241,GB$169,$FJ213),SUMPRODUCT(INDEX($FK$325:$ID$396,GB$169,1+SwaptionShift):INDEX($FK$325:$ID$396,GB$169,SwaptionMonthsToGo+SwaptionShift),INDEX($FK$245:$ID$316,$FJ213-GB$169,73-GB$169+SwaptionShift):INDEX($FK$245:$ID$316,$FJ213-GB$169,72-GB$169+SwaptionMonthsToGo+SwaptionShift))/SQRT(SUM(INDEX($FK368:$ID368,1+SwaptionShift):INDEX($FK368:$ID368,SwaptionMonthsToGo+SwaptionShift))*SUM(INDEX($FK$325:$ID$396,GB$169,1+SwaptionShift):INDEX($FK$325:$ID$396,GB$169,SwaptionMonthsToGo+SwaptionShift))))))</f>
        <v/>
      </c>
      <c r="GC213" s="150" t="str">
        <f aca="false">IF(OR(GC$169&lt;SwaptionFirstMonthPosition+1,$FJ213&lt;SwaptionFirstMonthPosition+1,GC$169&gt;SwaptionFirstMonthPosition+SwaptionNumOfMonths+1,$FJ213&gt;SwaptionFirstMonthPosition+SwaptionNumOfMonths+1),"",IF($FJ213=GC$169,1,IF($FJ213&lt;GC$169,INDEX($FK$170:$ID$241,GC$169,$FJ213),SUMPRODUCT(INDEX($FK$325:$ID$396,GC$169,1+SwaptionShift):INDEX($FK$325:$ID$396,GC$169,SwaptionMonthsToGo+SwaptionShift),INDEX($FK$245:$ID$316,$FJ213-GC$169,73-GC$169+SwaptionShift):INDEX($FK$245:$ID$316,$FJ213-GC$169,72-GC$169+SwaptionMonthsToGo+SwaptionShift))/SQRT(SUM(INDEX($FK368:$ID368,1+SwaptionShift):INDEX($FK368:$ID368,SwaptionMonthsToGo+SwaptionShift))*SUM(INDEX($FK$325:$ID$396,GC$169,1+SwaptionShift):INDEX($FK$325:$ID$396,GC$169,SwaptionMonthsToGo+SwaptionShift))))))</f>
        <v/>
      </c>
      <c r="GD213" s="150" t="str">
        <f aca="false">IF(OR(GD$169&lt;SwaptionFirstMonthPosition+1,$FJ213&lt;SwaptionFirstMonthPosition+1,GD$169&gt;SwaptionFirstMonthPosition+SwaptionNumOfMonths+1,$FJ213&gt;SwaptionFirstMonthPosition+SwaptionNumOfMonths+1),"",IF($FJ213=GD$169,1,IF($FJ213&lt;GD$169,INDEX($FK$170:$ID$241,GD$169,$FJ213),SUMPRODUCT(INDEX($FK$325:$ID$396,GD$169,1+SwaptionShift):INDEX($FK$325:$ID$396,GD$169,SwaptionMonthsToGo+SwaptionShift),INDEX($FK$245:$ID$316,$FJ213-GD$169,73-GD$169+SwaptionShift):INDEX($FK$245:$ID$316,$FJ213-GD$169,72-GD$169+SwaptionMonthsToGo+SwaptionShift))/SQRT(SUM(INDEX($FK368:$ID368,1+SwaptionShift):INDEX($FK368:$ID368,SwaptionMonthsToGo+SwaptionShift))*SUM(INDEX($FK$325:$ID$396,GD$169,1+SwaptionShift):INDEX($FK$325:$ID$396,GD$169,SwaptionMonthsToGo+SwaptionShift))))))</f>
        <v/>
      </c>
      <c r="GE213" s="150" t="str">
        <f aca="false">IF(OR(GE$169&lt;SwaptionFirstMonthPosition+1,$FJ213&lt;SwaptionFirstMonthPosition+1,GE$169&gt;SwaptionFirstMonthPosition+SwaptionNumOfMonths+1,$FJ213&gt;SwaptionFirstMonthPosition+SwaptionNumOfMonths+1),"",IF($FJ213=GE$169,1,IF($FJ213&lt;GE$169,INDEX($FK$170:$ID$241,GE$169,$FJ213),SUMPRODUCT(INDEX($FK$325:$ID$396,GE$169,1+SwaptionShift):INDEX($FK$325:$ID$396,GE$169,SwaptionMonthsToGo+SwaptionShift),INDEX($FK$245:$ID$316,$FJ213-GE$169,73-GE$169+SwaptionShift):INDEX($FK$245:$ID$316,$FJ213-GE$169,72-GE$169+SwaptionMonthsToGo+SwaptionShift))/SQRT(SUM(INDEX($FK368:$ID368,1+SwaptionShift):INDEX($FK368:$ID368,SwaptionMonthsToGo+SwaptionShift))*SUM(INDEX($FK$325:$ID$396,GE$169,1+SwaptionShift):INDEX($FK$325:$ID$396,GE$169,SwaptionMonthsToGo+SwaptionShift))))))</f>
        <v/>
      </c>
      <c r="GF213" s="150" t="str">
        <f aca="false">IF(OR(GF$169&lt;SwaptionFirstMonthPosition+1,$FJ213&lt;SwaptionFirstMonthPosition+1,GF$169&gt;SwaptionFirstMonthPosition+SwaptionNumOfMonths+1,$FJ213&gt;SwaptionFirstMonthPosition+SwaptionNumOfMonths+1),"",IF($FJ213=GF$169,1,IF($FJ213&lt;GF$169,INDEX($FK$170:$ID$241,GF$169,$FJ213),SUMPRODUCT(INDEX($FK$325:$ID$396,GF$169,1+SwaptionShift):INDEX($FK$325:$ID$396,GF$169,SwaptionMonthsToGo+SwaptionShift),INDEX($FK$245:$ID$316,$FJ213-GF$169,73-GF$169+SwaptionShift):INDEX($FK$245:$ID$316,$FJ213-GF$169,72-GF$169+SwaptionMonthsToGo+SwaptionShift))/SQRT(SUM(INDEX($FK368:$ID368,1+SwaptionShift):INDEX($FK368:$ID368,SwaptionMonthsToGo+SwaptionShift))*SUM(INDEX($FK$325:$ID$396,GF$169,1+SwaptionShift):INDEX($FK$325:$ID$396,GF$169,SwaptionMonthsToGo+SwaptionShift))))))</f>
        <v/>
      </c>
      <c r="GG213" s="150" t="str">
        <f aca="false">IF(OR(GG$169&lt;SwaptionFirstMonthPosition+1,$FJ213&lt;SwaptionFirstMonthPosition+1,GG$169&gt;SwaptionFirstMonthPosition+SwaptionNumOfMonths+1,$FJ213&gt;SwaptionFirstMonthPosition+SwaptionNumOfMonths+1),"",IF($FJ213=GG$169,1,IF($FJ213&lt;GG$169,INDEX($FK$170:$ID$241,GG$169,$FJ213),SUMPRODUCT(INDEX($FK$325:$ID$396,GG$169,1+SwaptionShift):INDEX($FK$325:$ID$396,GG$169,SwaptionMonthsToGo+SwaptionShift),INDEX($FK$245:$ID$316,$FJ213-GG$169,73-GG$169+SwaptionShift):INDEX($FK$245:$ID$316,$FJ213-GG$169,72-GG$169+SwaptionMonthsToGo+SwaptionShift))/SQRT(SUM(INDEX($FK368:$ID368,1+SwaptionShift):INDEX($FK368:$ID368,SwaptionMonthsToGo+SwaptionShift))*SUM(INDEX($FK$325:$ID$396,GG$169,1+SwaptionShift):INDEX($FK$325:$ID$396,GG$169,SwaptionMonthsToGo+SwaptionShift))))))</f>
        <v/>
      </c>
      <c r="GH213" s="150" t="str">
        <f aca="false">IF(OR(GH$169&lt;SwaptionFirstMonthPosition+1,$FJ213&lt;SwaptionFirstMonthPosition+1,GH$169&gt;SwaptionFirstMonthPosition+SwaptionNumOfMonths+1,$FJ213&gt;SwaptionFirstMonthPosition+SwaptionNumOfMonths+1),"",IF($FJ213=GH$169,1,IF($FJ213&lt;GH$169,INDEX($FK$170:$ID$241,GH$169,$FJ213),SUMPRODUCT(INDEX($FK$325:$ID$396,GH$169,1+SwaptionShift):INDEX($FK$325:$ID$396,GH$169,SwaptionMonthsToGo+SwaptionShift),INDEX($FK$245:$ID$316,$FJ213-GH$169,73-GH$169+SwaptionShift):INDEX($FK$245:$ID$316,$FJ213-GH$169,72-GH$169+SwaptionMonthsToGo+SwaptionShift))/SQRT(SUM(INDEX($FK368:$ID368,1+SwaptionShift):INDEX($FK368:$ID368,SwaptionMonthsToGo+SwaptionShift))*SUM(INDEX($FK$325:$ID$396,GH$169,1+SwaptionShift):INDEX($FK$325:$ID$396,GH$169,SwaptionMonthsToGo+SwaptionShift))))))</f>
        <v/>
      </c>
      <c r="GI213" s="150" t="str">
        <f aca="false">IF(OR(GI$169&lt;SwaptionFirstMonthPosition+1,$FJ213&lt;SwaptionFirstMonthPosition+1,GI$169&gt;SwaptionFirstMonthPosition+SwaptionNumOfMonths+1,$FJ213&gt;SwaptionFirstMonthPosition+SwaptionNumOfMonths+1),"",IF($FJ213=GI$169,1,IF($FJ213&lt;GI$169,INDEX($FK$170:$ID$241,GI$169,$FJ213),SUMPRODUCT(INDEX($FK$325:$ID$396,GI$169,1+SwaptionShift):INDEX($FK$325:$ID$396,GI$169,SwaptionMonthsToGo+SwaptionShift),INDEX($FK$245:$ID$316,$FJ213-GI$169,73-GI$169+SwaptionShift):INDEX($FK$245:$ID$316,$FJ213-GI$169,72-GI$169+SwaptionMonthsToGo+SwaptionShift))/SQRT(SUM(INDEX($FK368:$ID368,1+SwaptionShift):INDEX($FK368:$ID368,SwaptionMonthsToGo+SwaptionShift))*SUM(INDEX($FK$325:$ID$396,GI$169,1+SwaptionShift):INDEX($FK$325:$ID$396,GI$169,SwaptionMonthsToGo+SwaptionShift))))))</f>
        <v/>
      </c>
      <c r="GJ213" s="150" t="str">
        <f aca="false">IF(OR(GJ$169&lt;SwaptionFirstMonthPosition+1,$FJ213&lt;SwaptionFirstMonthPosition+1,GJ$169&gt;SwaptionFirstMonthPosition+SwaptionNumOfMonths+1,$FJ213&gt;SwaptionFirstMonthPosition+SwaptionNumOfMonths+1),"",IF($FJ213=GJ$169,1,IF($FJ213&lt;GJ$169,INDEX($FK$170:$ID$241,GJ$169,$FJ213),SUMPRODUCT(INDEX($FK$325:$ID$396,GJ$169,1+SwaptionShift):INDEX($FK$325:$ID$396,GJ$169,SwaptionMonthsToGo+SwaptionShift),INDEX($FK$245:$ID$316,$FJ213-GJ$169,73-GJ$169+SwaptionShift):INDEX($FK$245:$ID$316,$FJ213-GJ$169,72-GJ$169+SwaptionMonthsToGo+SwaptionShift))/SQRT(SUM(INDEX($FK368:$ID368,1+SwaptionShift):INDEX($FK368:$ID368,SwaptionMonthsToGo+SwaptionShift))*SUM(INDEX($FK$325:$ID$396,GJ$169,1+SwaptionShift):INDEX($FK$325:$ID$396,GJ$169,SwaptionMonthsToGo+SwaptionShift))))))</f>
        <v/>
      </c>
      <c r="GK213" s="150" t="str">
        <f aca="false">IF(OR(GK$169&lt;SwaptionFirstMonthPosition+1,$FJ213&lt;SwaptionFirstMonthPosition+1,GK$169&gt;SwaptionFirstMonthPosition+SwaptionNumOfMonths+1,$FJ213&gt;SwaptionFirstMonthPosition+SwaptionNumOfMonths+1),"",IF($FJ213=GK$169,1,IF($FJ213&lt;GK$169,INDEX($FK$170:$ID$241,GK$169,$FJ213),SUMPRODUCT(INDEX($FK$325:$ID$396,GK$169,1+SwaptionShift):INDEX($FK$325:$ID$396,GK$169,SwaptionMonthsToGo+SwaptionShift),INDEX($FK$245:$ID$316,$FJ213-GK$169,73-GK$169+SwaptionShift):INDEX($FK$245:$ID$316,$FJ213-GK$169,72-GK$169+SwaptionMonthsToGo+SwaptionShift))/SQRT(SUM(INDEX($FK368:$ID368,1+SwaptionShift):INDEX($FK368:$ID368,SwaptionMonthsToGo+SwaptionShift))*SUM(INDEX($FK$325:$ID$396,GK$169,1+SwaptionShift):INDEX($FK$325:$ID$396,GK$169,SwaptionMonthsToGo+SwaptionShift))))))</f>
        <v/>
      </c>
      <c r="GL213" s="150" t="str">
        <f aca="false">IF(OR(GL$169&lt;SwaptionFirstMonthPosition+1,$FJ213&lt;SwaptionFirstMonthPosition+1,GL$169&gt;SwaptionFirstMonthPosition+SwaptionNumOfMonths+1,$FJ213&gt;SwaptionFirstMonthPosition+SwaptionNumOfMonths+1),"",IF($FJ213=GL$169,1,IF($FJ213&lt;GL$169,INDEX($FK$170:$ID$241,GL$169,$FJ213),SUMPRODUCT(INDEX($FK$325:$ID$396,GL$169,1+SwaptionShift):INDEX($FK$325:$ID$396,GL$169,SwaptionMonthsToGo+SwaptionShift),INDEX($FK$245:$ID$316,$FJ213-GL$169,73-GL$169+SwaptionShift):INDEX($FK$245:$ID$316,$FJ213-GL$169,72-GL$169+SwaptionMonthsToGo+SwaptionShift))/SQRT(SUM(INDEX($FK368:$ID368,1+SwaptionShift):INDEX($FK368:$ID368,SwaptionMonthsToGo+SwaptionShift))*SUM(INDEX($FK$325:$ID$396,GL$169,1+SwaptionShift):INDEX($FK$325:$ID$396,GL$169,SwaptionMonthsToGo+SwaptionShift))))))</f>
        <v/>
      </c>
      <c r="GM213" s="150" t="str">
        <f aca="false">IF(OR(GM$169&lt;SwaptionFirstMonthPosition+1,$FJ213&lt;SwaptionFirstMonthPosition+1,GM$169&gt;SwaptionFirstMonthPosition+SwaptionNumOfMonths+1,$FJ213&gt;SwaptionFirstMonthPosition+SwaptionNumOfMonths+1),"",IF($FJ213=GM$169,1,IF($FJ213&lt;GM$169,INDEX($FK$170:$ID$241,GM$169,$FJ213),SUMPRODUCT(INDEX($FK$325:$ID$396,GM$169,1+SwaptionShift):INDEX($FK$325:$ID$396,GM$169,SwaptionMonthsToGo+SwaptionShift),INDEX($FK$245:$ID$316,$FJ213-GM$169,73-GM$169+SwaptionShift):INDEX($FK$245:$ID$316,$FJ213-GM$169,72-GM$169+SwaptionMonthsToGo+SwaptionShift))/SQRT(SUM(INDEX($FK368:$ID368,1+SwaptionShift):INDEX($FK368:$ID368,SwaptionMonthsToGo+SwaptionShift))*SUM(INDEX($FK$325:$ID$396,GM$169,1+SwaptionShift):INDEX($FK$325:$ID$396,GM$169,SwaptionMonthsToGo+SwaptionShift))))))</f>
        <v/>
      </c>
      <c r="GN213" s="150" t="str">
        <f aca="false">IF(OR(GN$169&lt;SwaptionFirstMonthPosition+1,$FJ213&lt;SwaptionFirstMonthPosition+1,GN$169&gt;SwaptionFirstMonthPosition+SwaptionNumOfMonths+1,$FJ213&gt;SwaptionFirstMonthPosition+SwaptionNumOfMonths+1),"",IF($FJ213=GN$169,1,IF($FJ213&lt;GN$169,INDEX($FK$170:$ID$241,GN$169,$FJ213),SUMPRODUCT(INDEX($FK$325:$ID$396,GN$169,1+SwaptionShift):INDEX($FK$325:$ID$396,GN$169,SwaptionMonthsToGo+SwaptionShift),INDEX($FK$245:$ID$316,$FJ213-GN$169,73-GN$169+SwaptionShift):INDEX($FK$245:$ID$316,$FJ213-GN$169,72-GN$169+SwaptionMonthsToGo+SwaptionShift))/SQRT(SUM(INDEX($FK368:$ID368,1+SwaptionShift):INDEX($FK368:$ID368,SwaptionMonthsToGo+SwaptionShift))*SUM(INDEX($FK$325:$ID$396,GN$169,1+SwaptionShift):INDEX($FK$325:$ID$396,GN$169,SwaptionMonthsToGo+SwaptionShift))))))</f>
        <v/>
      </c>
      <c r="GO213" s="150" t="str">
        <f aca="false">IF(OR(GO$169&lt;SwaptionFirstMonthPosition+1,$FJ213&lt;SwaptionFirstMonthPosition+1,GO$169&gt;SwaptionFirstMonthPosition+SwaptionNumOfMonths+1,$FJ213&gt;SwaptionFirstMonthPosition+SwaptionNumOfMonths+1),"",IF($FJ213=GO$169,1,IF($FJ213&lt;GO$169,INDEX($FK$170:$ID$241,GO$169,$FJ213),SUMPRODUCT(INDEX($FK$325:$ID$396,GO$169,1+SwaptionShift):INDEX($FK$325:$ID$396,GO$169,SwaptionMonthsToGo+SwaptionShift),INDEX($FK$245:$ID$316,$FJ213-GO$169,73-GO$169+SwaptionShift):INDEX($FK$245:$ID$316,$FJ213-GO$169,72-GO$169+SwaptionMonthsToGo+SwaptionShift))/SQRT(SUM(INDEX($FK368:$ID368,1+SwaptionShift):INDEX($FK368:$ID368,SwaptionMonthsToGo+SwaptionShift))*SUM(INDEX($FK$325:$ID$396,GO$169,1+SwaptionShift):INDEX($FK$325:$ID$396,GO$169,SwaptionMonthsToGo+SwaptionShift))))))</f>
        <v/>
      </c>
      <c r="GP213" s="150" t="str">
        <f aca="false">IF(OR(GP$169&lt;SwaptionFirstMonthPosition+1,$FJ213&lt;SwaptionFirstMonthPosition+1,GP$169&gt;SwaptionFirstMonthPosition+SwaptionNumOfMonths+1,$FJ213&gt;SwaptionFirstMonthPosition+SwaptionNumOfMonths+1),"",IF($FJ213=GP$169,1,IF($FJ213&lt;GP$169,INDEX($FK$170:$ID$241,GP$169,$FJ213),SUMPRODUCT(INDEX($FK$325:$ID$396,GP$169,1+SwaptionShift):INDEX($FK$325:$ID$396,GP$169,SwaptionMonthsToGo+SwaptionShift),INDEX($FK$245:$ID$316,$FJ213-GP$169,73-GP$169+SwaptionShift):INDEX($FK$245:$ID$316,$FJ213-GP$169,72-GP$169+SwaptionMonthsToGo+SwaptionShift))/SQRT(SUM(INDEX($FK368:$ID368,1+SwaptionShift):INDEX($FK368:$ID368,SwaptionMonthsToGo+SwaptionShift))*SUM(INDEX($FK$325:$ID$396,GP$169,1+SwaptionShift):INDEX($FK$325:$ID$396,GP$169,SwaptionMonthsToGo+SwaptionShift))))))</f>
        <v/>
      </c>
      <c r="GQ213" s="150" t="str">
        <f aca="false">IF(OR(GQ$169&lt;SwaptionFirstMonthPosition+1,$FJ213&lt;SwaptionFirstMonthPosition+1,GQ$169&gt;SwaptionFirstMonthPosition+SwaptionNumOfMonths+1,$FJ213&gt;SwaptionFirstMonthPosition+SwaptionNumOfMonths+1),"",IF($FJ213=GQ$169,1,IF($FJ213&lt;GQ$169,INDEX($FK$170:$ID$241,GQ$169,$FJ213),SUMPRODUCT(INDEX($FK$325:$ID$396,GQ$169,1+SwaptionShift):INDEX($FK$325:$ID$396,GQ$169,SwaptionMonthsToGo+SwaptionShift),INDEX($FK$245:$ID$316,$FJ213-GQ$169,73-GQ$169+SwaptionShift):INDEX($FK$245:$ID$316,$FJ213-GQ$169,72-GQ$169+SwaptionMonthsToGo+SwaptionShift))/SQRT(SUM(INDEX($FK368:$ID368,1+SwaptionShift):INDEX($FK368:$ID368,SwaptionMonthsToGo+SwaptionShift))*SUM(INDEX($FK$325:$ID$396,GQ$169,1+SwaptionShift):INDEX($FK$325:$ID$396,GQ$169,SwaptionMonthsToGo+SwaptionShift))))))</f>
        <v/>
      </c>
      <c r="GR213" s="150" t="str">
        <f aca="false">IF(OR(GR$169&lt;SwaptionFirstMonthPosition+1,$FJ213&lt;SwaptionFirstMonthPosition+1,GR$169&gt;SwaptionFirstMonthPosition+SwaptionNumOfMonths+1,$FJ213&gt;SwaptionFirstMonthPosition+SwaptionNumOfMonths+1),"",IF($FJ213=GR$169,1,IF($FJ213&lt;GR$169,INDEX($FK$170:$ID$241,GR$169,$FJ213),SUMPRODUCT(INDEX($FK$325:$ID$396,GR$169,1+SwaptionShift):INDEX($FK$325:$ID$396,GR$169,SwaptionMonthsToGo+SwaptionShift),INDEX($FK$245:$ID$316,$FJ213-GR$169,73-GR$169+SwaptionShift):INDEX($FK$245:$ID$316,$FJ213-GR$169,72-GR$169+SwaptionMonthsToGo+SwaptionShift))/SQRT(SUM(INDEX($FK368:$ID368,1+SwaptionShift):INDEX($FK368:$ID368,SwaptionMonthsToGo+SwaptionShift))*SUM(INDEX($FK$325:$ID$396,GR$169,1+SwaptionShift):INDEX($FK$325:$ID$396,GR$169,SwaptionMonthsToGo+SwaptionShift))))))</f>
        <v/>
      </c>
      <c r="GS213" s="150" t="str">
        <f aca="false">IF(OR(GS$169&lt;SwaptionFirstMonthPosition+1,$FJ213&lt;SwaptionFirstMonthPosition+1,GS$169&gt;SwaptionFirstMonthPosition+SwaptionNumOfMonths+1,$FJ213&gt;SwaptionFirstMonthPosition+SwaptionNumOfMonths+1),"",IF($FJ213=GS$169,1,IF($FJ213&lt;GS$169,INDEX($FK$170:$ID$241,GS$169,$FJ213),SUMPRODUCT(INDEX($FK$325:$ID$396,GS$169,1+SwaptionShift):INDEX($FK$325:$ID$396,GS$169,SwaptionMonthsToGo+SwaptionShift),INDEX($FK$245:$ID$316,$FJ213-GS$169,73-GS$169+SwaptionShift):INDEX($FK$245:$ID$316,$FJ213-GS$169,72-GS$169+SwaptionMonthsToGo+SwaptionShift))/SQRT(SUM(INDEX($FK368:$ID368,1+SwaptionShift):INDEX($FK368:$ID368,SwaptionMonthsToGo+SwaptionShift))*SUM(INDEX($FK$325:$ID$396,GS$169,1+SwaptionShift):INDEX($FK$325:$ID$396,GS$169,SwaptionMonthsToGo+SwaptionShift))))))</f>
        <v/>
      </c>
      <c r="GT213" s="150" t="str">
        <f aca="false">IF(OR(GT$169&lt;SwaptionFirstMonthPosition+1,$FJ213&lt;SwaptionFirstMonthPosition+1,GT$169&gt;SwaptionFirstMonthPosition+SwaptionNumOfMonths+1,$FJ213&gt;SwaptionFirstMonthPosition+SwaptionNumOfMonths+1),"",IF($FJ213=GT$169,1,IF($FJ213&lt;GT$169,INDEX($FK$170:$ID$241,GT$169,$FJ213),SUMPRODUCT(INDEX($FK$325:$ID$396,GT$169,1+SwaptionShift):INDEX($FK$325:$ID$396,GT$169,SwaptionMonthsToGo+SwaptionShift),INDEX($FK$245:$ID$316,$FJ213-GT$169,73-GT$169+SwaptionShift):INDEX($FK$245:$ID$316,$FJ213-GT$169,72-GT$169+SwaptionMonthsToGo+SwaptionShift))/SQRT(SUM(INDEX($FK368:$ID368,1+SwaptionShift):INDEX($FK368:$ID368,SwaptionMonthsToGo+SwaptionShift))*SUM(INDEX($FK$325:$ID$396,GT$169,1+SwaptionShift):INDEX($FK$325:$ID$396,GT$169,SwaptionMonthsToGo+SwaptionShift))))))</f>
        <v/>
      </c>
      <c r="GU213" s="150" t="str">
        <f aca="false">IF(OR(GU$169&lt;SwaptionFirstMonthPosition+1,$FJ213&lt;SwaptionFirstMonthPosition+1,GU$169&gt;SwaptionFirstMonthPosition+SwaptionNumOfMonths+1,$FJ213&gt;SwaptionFirstMonthPosition+SwaptionNumOfMonths+1),"",IF($FJ213=GU$169,1,IF($FJ213&lt;GU$169,INDEX($FK$170:$ID$241,GU$169,$FJ213),SUMPRODUCT(INDEX($FK$325:$ID$396,GU$169,1+SwaptionShift):INDEX($FK$325:$ID$396,GU$169,SwaptionMonthsToGo+SwaptionShift),INDEX($FK$245:$ID$316,$FJ213-GU$169,73-GU$169+SwaptionShift):INDEX($FK$245:$ID$316,$FJ213-GU$169,72-GU$169+SwaptionMonthsToGo+SwaptionShift))/SQRT(SUM(INDEX($FK368:$ID368,1+SwaptionShift):INDEX($FK368:$ID368,SwaptionMonthsToGo+SwaptionShift))*SUM(INDEX($FK$325:$ID$396,GU$169,1+SwaptionShift):INDEX($FK$325:$ID$396,GU$169,SwaptionMonthsToGo+SwaptionShift))))))</f>
        <v/>
      </c>
      <c r="GV213" s="150" t="str">
        <f aca="false">IF(OR(GV$169&lt;SwaptionFirstMonthPosition+1,$FJ213&lt;SwaptionFirstMonthPosition+1,GV$169&gt;SwaptionFirstMonthPosition+SwaptionNumOfMonths+1,$FJ213&gt;SwaptionFirstMonthPosition+SwaptionNumOfMonths+1),"",IF($FJ213=GV$169,1,IF($FJ213&lt;GV$169,INDEX($FK$170:$ID$241,GV$169,$FJ213),SUMPRODUCT(INDEX($FK$325:$ID$396,GV$169,1+SwaptionShift):INDEX($FK$325:$ID$396,GV$169,SwaptionMonthsToGo+SwaptionShift),INDEX($FK$245:$ID$316,$FJ213-GV$169,73-GV$169+SwaptionShift):INDEX($FK$245:$ID$316,$FJ213-GV$169,72-GV$169+SwaptionMonthsToGo+SwaptionShift))/SQRT(SUM(INDEX($FK368:$ID368,1+SwaptionShift):INDEX($FK368:$ID368,SwaptionMonthsToGo+SwaptionShift))*SUM(INDEX($FK$325:$ID$396,GV$169,1+SwaptionShift):INDEX($FK$325:$ID$396,GV$169,SwaptionMonthsToGo+SwaptionShift))))))</f>
        <v/>
      </c>
      <c r="GW213" s="150" t="str">
        <f aca="false">IF(OR(GW$169&lt;SwaptionFirstMonthPosition+1,$FJ213&lt;SwaptionFirstMonthPosition+1,GW$169&gt;SwaptionFirstMonthPosition+SwaptionNumOfMonths+1,$FJ213&gt;SwaptionFirstMonthPosition+SwaptionNumOfMonths+1),"",IF($FJ213=GW$169,1,IF($FJ213&lt;GW$169,INDEX($FK$170:$ID$241,GW$169,$FJ213),SUMPRODUCT(INDEX($FK$325:$ID$396,GW$169,1+SwaptionShift):INDEX($FK$325:$ID$396,GW$169,SwaptionMonthsToGo+SwaptionShift),INDEX($FK$245:$ID$316,$FJ213-GW$169,73-GW$169+SwaptionShift):INDEX($FK$245:$ID$316,$FJ213-GW$169,72-GW$169+SwaptionMonthsToGo+SwaptionShift))/SQRT(SUM(INDEX($FK368:$ID368,1+SwaptionShift):INDEX($FK368:$ID368,SwaptionMonthsToGo+SwaptionShift))*SUM(INDEX($FK$325:$ID$396,GW$169,1+SwaptionShift):INDEX($FK$325:$ID$396,GW$169,SwaptionMonthsToGo+SwaptionShift))))))</f>
        <v/>
      </c>
      <c r="GX213" s="150" t="str">
        <f aca="false">IF(OR(GX$169&lt;SwaptionFirstMonthPosition+1,$FJ213&lt;SwaptionFirstMonthPosition+1,GX$169&gt;SwaptionFirstMonthPosition+SwaptionNumOfMonths+1,$FJ213&gt;SwaptionFirstMonthPosition+SwaptionNumOfMonths+1),"",IF($FJ213=GX$169,1,IF($FJ213&lt;GX$169,INDEX($FK$170:$ID$241,GX$169,$FJ213),SUMPRODUCT(INDEX($FK$325:$ID$396,GX$169,1+SwaptionShift):INDEX($FK$325:$ID$396,GX$169,SwaptionMonthsToGo+SwaptionShift),INDEX($FK$245:$ID$316,$FJ213-GX$169,73-GX$169+SwaptionShift):INDEX($FK$245:$ID$316,$FJ213-GX$169,72-GX$169+SwaptionMonthsToGo+SwaptionShift))/SQRT(SUM(INDEX($FK368:$ID368,1+SwaptionShift):INDEX($FK368:$ID368,SwaptionMonthsToGo+SwaptionShift))*SUM(INDEX($FK$325:$ID$396,GX$169,1+SwaptionShift):INDEX($FK$325:$ID$396,GX$169,SwaptionMonthsToGo+SwaptionShift))))))</f>
        <v/>
      </c>
      <c r="GY213" s="150" t="str">
        <f aca="false">IF(OR(GY$169&lt;SwaptionFirstMonthPosition+1,$FJ213&lt;SwaptionFirstMonthPosition+1,GY$169&gt;SwaptionFirstMonthPosition+SwaptionNumOfMonths+1,$FJ213&gt;SwaptionFirstMonthPosition+SwaptionNumOfMonths+1),"",IF($FJ213=GY$169,1,IF($FJ213&lt;GY$169,INDEX($FK$170:$ID$241,GY$169,$FJ213),SUMPRODUCT(INDEX($FK$325:$ID$396,GY$169,1+SwaptionShift):INDEX($FK$325:$ID$396,GY$169,SwaptionMonthsToGo+SwaptionShift),INDEX($FK$245:$ID$316,$FJ213-GY$169,73-GY$169+SwaptionShift):INDEX($FK$245:$ID$316,$FJ213-GY$169,72-GY$169+SwaptionMonthsToGo+SwaptionShift))/SQRT(SUM(INDEX($FK368:$ID368,1+SwaptionShift):INDEX($FK368:$ID368,SwaptionMonthsToGo+SwaptionShift))*SUM(INDEX($FK$325:$ID$396,GY$169,1+SwaptionShift):INDEX($FK$325:$ID$396,GY$169,SwaptionMonthsToGo+SwaptionShift))))))</f>
        <v/>
      </c>
      <c r="GZ213" s="150" t="str">
        <f aca="false">IF(OR(GZ$169&lt;SwaptionFirstMonthPosition+1,$FJ213&lt;SwaptionFirstMonthPosition+1,GZ$169&gt;SwaptionFirstMonthPosition+SwaptionNumOfMonths+1,$FJ213&gt;SwaptionFirstMonthPosition+SwaptionNumOfMonths+1),"",IF($FJ213=GZ$169,1,IF($FJ213&lt;GZ$169,INDEX($FK$170:$ID$241,GZ$169,$FJ213),SUMPRODUCT(INDEX($FK$325:$ID$396,GZ$169,1+SwaptionShift):INDEX($FK$325:$ID$396,GZ$169,SwaptionMonthsToGo+SwaptionShift),INDEX($FK$245:$ID$316,$FJ213-GZ$169,73-GZ$169+SwaptionShift):INDEX($FK$245:$ID$316,$FJ213-GZ$169,72-GZ$169+SwaptionMonthsToGo+SwaptionShift))/SQRT(SUM(INDEX($FK368:$ID368,1+SwaptionShift):INDEX($FK368:$ID368,SwaptionMonthsToGo+SwaptionShift))*SUM(INDEX($FK$325:$ID$396,GZ$169,1+SwaptionShift):INDEX($FK$325:$ID$396,GZ$169,SwaptionMonthsToGo+SwaptionShift))))))</f>
        <v/>
      </c>
      <c r="HA213" s="150" t="str">
        <f aca="false">IF(OR(HA$169&lt;SwaptionFirstMonthPosition+1,$FJ213&lt;SwaptionFirstMonthPosition+1,HA$169&gt;SwaptionFirstMonthPosition+SwaptionNumOfMonths+1,$FJ213&gt;SwaptionFirstMonthPosition+SwaptionNumOfMonths+1),"",IF($FJ213=HA$169,1,IF($FJ213&lt;HA$169,INDEX($FK$170:$ID$241,HA$169,$FJ213),SUMPRODUCT(INDEX($FK$325:$ID$396,HA$169,1+SwaptionShift):INDEX($FK$325:$ID$396,HA$169,SwaptionMonthsToGo+SwaptionShift),INDEX($FK$245:$ID$316,$FJ213-HA$169,73-HA$169+SwaptionShift):INDEX($FK$245:$ID$316,$FJ213-HA$169,72-HA$169+SwaptionMonthsToGo+SwaptionShift))/SQRT(SUM(INDEX($FK368:$ID368,1+SwaptionShift):INDEX($FK368:$ID368,SwaptionMonthsToGo+SwaptionShift))*SUM(INDEX($FK$325:$ID$396,HA$169,1+SwaptionShift):INDEX($FK$325:$ID$396,HA$169,SwaptionMonthsToGo+SwaptionShift))))))</f>
        <v/>
      </c>
      <c r="HB213" s="150" t="str">
        <f aca="false">IF(OR(HB$169&lt;SwaptionFirstMonthPosition+1,$FJ213&lt;SwaptionFirstMonthPosition+1,HB$169&gt;SwaptionFirstMonthPosition+SwaptionNumOfMonths+1,$FJ213&gt;SwaptionFirstMonthPosition+SwaptionNumOfMonths+1),"",IF($FJ213=HB$169,1,IF($FJ213&lt;HB$169,INDEX($FK$170:$ID$241,HB$169,$FJ213),SUMPRODUCT(INDEX($FK$325:$ID$396,HB$169,1+SwaptionShift):INDEX($FK$325:$ID$396,HB$169,SwaptionMonthsToGo+SwaptionShift),INDEX($FK$245:$ID$316,$FJ213-HB$169,73-HB$169+SwaptionShift):INDEX($FK$245:$ID$316,$FJ213-HB$169,72-HB$169+SwaptionMonthsToGo+SwaptionShift))/SQRT(SUM(INDEX($FK368:$ID368,1+SwaptionShift):INDEX($FK368:$ID368,SwaptionMonthsToGo+SwaptionShift))*SUM(INDEX($FK$325:$ID$396,HB$169,1+SwaptionShift):INDEX($FK$325:$ID$396,HB$169,SwaptionMonthsToGo+SwaptionShift))))))</f>
        <v/>
      </c>
      <c r="HC213" s="150" t="str">
        <f aca="false">IF(OR(HC$169&lt;SwaptionFirstMonthPosition+1,$FJ213&lt;SwaptionFirstMonthPosition+1,HC$169&gt;SwaptionFirstMonthPosition+SwaptionNumOfMonths+1,$FJ213&gt;SwaptionFirstMonthPosition+SwaptionNumOfMonths+1),"",IF($FJ213=HC$169,1,IF($FJ213&lt;HC$169,INDEX($FK$170:$ID$241,HC$169,$FJ213),SUMPRODUCT(INDEX($FK$325:$ID$396,HC$169,1+SwaptionShift):INDEX($FK$325:$ID$396,HC$169,SwaptionMonthsToGo+SwaptionShift),INDEX($FK$245:$ID$316,$FJ213-HC$169,73-HC$169+SwaptionShift):INDEX($FK$245:$ID$316,$FJ213-HC$169,72-HC$169+SwaptionMonthsToGo+SwaptionShift))/SQRT(SUM(INDEX($FK368:$ID368,1+SwaptionShift):INDEX($FK368:$ID368,SwaptionMonthsToGo+SwaptionShift))*SUM(INDEX($FK$325:$ID$396,HC$169,1+SwaptionShift):INDEX($FK$325:$ID$396,HC$169,SwaptionMonthsToGo+SwaptionShift))))))</f>
        <v/>
      </c>
      <c r="HD213" s="150" t="str">
        <f aca="false">IF(OR(HD$169&lt;SwaptionFirstMonthPosition+1,$FJ213&lt;SwaptionFirstMonthPosition+1,HD$169&gt;SwaptionFirstMonthPosition+SwaptionNumOfMonths+1,$FJ213&gt;SwaptionFirstMonthPosition+SwaptionNumOfMonths+1),"",IF($FJ213=HD$169,1,IF($FJ213&lt;HD$169,INDEX($FK$170:$ID$241,HD$169,$FJ213),SUMPRODUCT(INDEX($FK$325:$ID$396,HD$169,1+SwaptionShift):INDEX($FK$325:$ID$396,HD$169,SwaptionMonthsToGo+SwaptionShift),INDEX($FK$245:$ID$316,$FJ213-HD$169,73-HD$169+SwaptionShift):INDEX($FK$245:$ID$316,$FJ213-HD$169,72-HD$169+SwaptionMonthsToGo+SwaptionShift))/SQRT(SUM(INDEX($FK368:$ID368,1+SwaptionShift):INDEX($FK368:$ID368,SwaptionMonthsToGo+SwaptionShift))*SUM(INDEX($FK$325:$ID$396,HD$169,1+SwaptionShift):INDEX($FK$325:$ID$396,HD$169,SwaptionMonthsToGo+SwaptionShift))))))</f>
        <v/>
      </c>
      <c r="HE213" s="150" t="str">
        <f aca="false">IF(OR(HE$169&lt;SwaptionFirstMonthPosition+1,$FJ213&lt;SwaptionFirstMonthPosition+1,HE$169&gt;SwaptionFirstMonthPosition+SwaptionNumOfMonths+1,$FJ213&gt;SwaptionFirstMonthPosition+SwaptionNumOfMonths+1),"",IF($FJ213=HE$169,1,IF($FJ213&lt;HE$169,INDEX($FK$170:$ID$241,HE$169,$FJ213),SUMPRODUCT(INDEX($FK$325:$ID$396,HE$169,1+SwaptionShift):INDEX($FK$325:$ID$396,HE$169,SwaptionMonthsToGo+SwaptionShift),INDEX($FK$245:$ID$316,$FJ213-HE$169,73-HE$169+SwaptionShift):INDEX($FK$245:$ID$316,$FJ213-HE$169,72-HE$169+SwaptionMonthsToGo+SwaptionShift))/SQRT(SUM(INDEX($FK368:$ID368,1+SwaptionShift):INDEX($FK368:$ID368,SwaptionMonthsToGo+SwaptionShift))*SUM(INDEX($FK$325:$ID$396,HE$169,1+SwaptionShift):INDEX($FK$325:$ID$396,HE$169,SwaptionMonthsToGo+SwaptionShift))))))</f>
        <v/>
      </c>
      <c r="HF213" s="150" t="str">
        <f aca="false">IF(OR(HF$169&lt;SwaptionFirstMonthPosition+1,$FJ213&lt;SwaptionFirstMonthPosition+1,HF$169&gt;SwaptionFirstMonthPosition+SwaptionNumOfMonths+1,$FJ213&gt;SwaptionFirstMonthPosition+SwaptionNumOfMonths+1),"",IF($FJ213=HF$169,1,IF($FJ213&lt;HF$169,INDEX($FK$170:$ID$241,HF$169,$FJ213),SUMPRODUCT(INDEX($FK$325:$ID$396,HF$169,1+SwaptionShift):INDEX($FK$325:$ID$396,HF$169,SwaptionMonthsToGo+SwaptionShift),INDEX($FK$245:$ID$316,$FJ213-HF$169,73-HF$169+SwaptionShift):INDEX($FK$245:$ID$316,$FJ213-HF$169,72-HF$169+SwaptionMonthsToGo+SwaptionShift))/SQRT(SUM(INDEX($FK368:$ID368,1+SwaptionShift):INDEX($FK368:$ID368,SwaptionMonthsToGo+SwaptionShift))*SUM(INDEX($FK$325:$ID$396,HF$169,1+SwaptionShift):INDEX($FK$325:$ID$396,HF$169,SwaptionMonthsToGo+SwaptionShift))))))</f>
        <v/>
      </c>
      <c r="HG213" s="150" t="str">
        <f aca="false">IF(OR(HG$169&lt;SwaptionFirstMonthPosition+1,$FJ213&lt;SwaptionFirstMonthPosition+1,HG$169&gt;SwaptionFirstMonthPosition+SwaptionNumOfMonths+1,$FJ213&gt;SwaptionFirstMonthPosition+SwaptionNumOfMonths+1),"",IF($FJ213=HG$169,1,IF($FJ213&lt;HG$169,INDEX($FK$170:$ID$241,HG$169,$FJ213),SUMPRODUCT(INDEX($FK$325:$ID$396,HG$169,1+SwaptionShift):INDEX($FK$325:$ID$396,HG$169,SwaptionMonthsToGo+SwaptionShift),INDEX($FK$245:$ID$316,$FJ213-HG$169,73-HG$169+SwaptionShift):INDEX($FK$245:$ID$316,$FJ213-HG$169,72-HG$169+SwaptionMonthsToGo+SwaptionShift))/SQRT(SUM(INDEX($FK368:$ID368,1+SwaptionShift):INDEX($FK368:$ID368,SwaptionMonthsToGo+SwaptionShift))*SUM(INDEX($FK$325:$ID$396,HG$169,1+SwaptionShift):INDEX($FK$325:$ID$396,HG$169,SwaptionMonthsToGo+SwaptionShift))))))</f>
        <v/>
      </c>
      <c r="HH213" s="150" t="str">
        <f aca="false">IF(OR(HH$169&lt;SwaptionFirstMonthPosition+1,$FJ213&lt;SwaptionFirstMonthPosition+1,HH$169&gt;SwaptionFirstMonthPosition+SwaptionNumOfMonths+1,$FJ213&gt;SwaptionFirstMonthPosition+SwaptionNumOfMonths+1),"",IF($FJ213=HH$169,1,IF($FJ213&lt;HH$169,INDEX($FK$170:$ID$241,HH$169,$FJ213),SUMPRODUCT(INDEX($FK$325:$ID$396,HH$169,1+SwaptionShift):INDEX($FK$325:$ID$396,HH$169,SwaptionMonthsToGo+SwaptionShift),INDEX($FK$245:$ID$316,$FJ213-HH$169,73-HH$169+SwaptionShift):INDEX($FK$245:$ID$316,$FJ213-HH$169,72-HH$169+SwaptionMonthsToGo+SwaptionShift))/SQRT(SUM(INDEX($FK368:$ID368,1+SwaptionShift):INDEX($FK368:$ID368,SwaptionMonthsToGo+SwaptionShift))*SUM(INDEX($FK$325:$ID$396,HH$169,1+SwaptionShift):INDEX($FK$325:$ID$396,HH$169,SwaptionMonthsToGo+SwaptionShift))))))</f>
        <v/>
      </c>
      <c r="HI213" s="150" t="str">
        <f aca="false">IF(OR(HI$169&lt;SwaptionFirstMonthPosition+1,$FJ213&lt;SwaptionFirstMonthPosition+1,HI$169&gt;SwaptionFirstMonthPosition+SwaptionNumOfMonths+1,$FJ213&gt;SwaptionFirstMonthPosition+SwaptionNumOfMonths+1),"",IF($FJ213=HI$169,1,IF($FJ213&lt;HI$169,INDEX($FK$170:$ID$241,HI$169,$FJ213),SUMPRODUCT(INDEX($FK$325:$ID$396,HI$169,1+SwaptionShift):INDEX($FK$325:$ID$396,HI$169,SwaptionMonthsToGo+SwaptionShift),INDEX($FK$245:$ID$316,$FJ213-HI$169,73-HI$169+SwaptionShift):INDEX($FK$245:$ID$316,$FJ213-HI$169,72-HI$169+SwaptionMonthsToGo+SwaptionShift))/SQRT(SUM(INDEX($FK368:$ID368,1+SwaptionShift):INDEX($FK368:$ID368,SwaptionMonthsToGo+SwaptionShift))*SUM(INDEX($FK$325:$ID$396,HI$169,1+SwaptionShift):INDEX($FK$325:$ID$396,HI$169,SwaptionMonthsToGo+SwaptionShift))))))</f>
        <v/>
      </c>
      <c r="HJ213" s="150" t="str">
        <f aca="false">IF(OR(HJ$169&lt;SwaptionFirstMonthPosition+1,$FJ213&lt;SwaptionFirstMonthPosition+1,HJ$169&gt;SwaptionFirstMonthPosition+SwaptionNumOfMonths+1,$FJ213&gt;SwaptionFirstMonthPosition+SwaptionNumOfMonths+1),"",IF($FJ213=HJ$169,1,IF($FJ213&lt;HJ$169,INDEX($FK$170:$ID$241,HJ$169,$FJ213),SUMPRODUCT(INDEX($FK$325:$ID$396,HJ$169,1+SwaptionShift):INDEX($FK$325:$ID$396,HJ$169,SwaptionMonthsToGo+SwaptionShift),INDEX($FK$245:$ID$316,$FJ213-HJ$169,73-HJ$169+SwaptionShift):INDEX($FK$245:$ID$316,$FJ213-HJ$169,72-HJ$169+SwaptionMonthsToGo+SwaptionShift))/SQRT(SUM(INDEX($FK368:$ID368,1+SwaptionShift):INDEX($FK368:$ID368,SwaptionMonthsToGo+SwaptionShift))*SUM(INDEX($FK$325:$ID$396,HJ$169,1+SwaptionShift):INDEX($FK$325:$ID$396,HJ$169,SwaptionMonthsToGo+SwaptionShift))))))</f>
        <v/>
      </c>
      <c r="HK213" s="150" t="str">
        <f aca="false">IF(OR(HK$169&lt;SwaptionFirstMonthPosition+1,$FJ213&lt;SwaptionFirstMonthPosition+1,HK$169&gt;SwaptionFirstMonthPosition+SwaptionNumOfMonths+1,$FJ213&gt;SwaptionFirstMonthPosition+SwaptionNumOfMonths+1),"",IF($FJ213=HK$169,1,IF($FJ213&lt;HK$169,INDEX($FK$170:$ID$241,HK$169,$FJ213),SUMPRODUCT(INDEX($FK$325:$ID$396,HK$169,1+SwaptionShift):INDEX($FK$325:$ID$396,HK$169,SwaptionMonthsToGo+SwaptionShift),INDEX($FK$245:$ID$316,$FJ213-HK$169,73-HK$169+SwaptionShift):INDEX($FK$245:$ID$316,$FJ213-HK$169,72-HK$169+SwaptionMonthsToGo+SwaptionShift))/SQRT(SUM(INDEX($FK368:$ID368,1+SwaptionShift):INDEX($FK368:$ID368,SwaptionMonthsToGo+SwaptionShift))*SUM(INDEX($FK$325:$ID$396,HK$169,1+SwaptionShift):INDEX($FK$325:$ID$396,HK$169,SwaptionMonthsToGo+SwaptionShift))))))</f>
        <v/>
      </c>
      <c r="HL213" s="150" t="str">
        <f aca="false">IF(OR(HL$169&lt;SwaptionFirstMonthPosition+1,$FJ213&lt;SwaptionFirstMonthPosition+1,HL$169&gt;SwaptionFirstMonthPosition+SwaptionNumOfMonths+1,$FJ213&gt;SwaptionFirstMonthPosition+SwaptionNumOfMonths+1),"",IF($FJ213=HL$169,1,IF($FJ213&lt;HL$169,INDEX($FK$170:$ID$241,HL$169,$FJ213),SUMPRODUCT(INDEX($FK$325:$ID$396,HL$169,1+SwaptionShift):INDEX($FK$325:$ID$396,HL$169,SwaptionMonthsToGo+SwaptionShift),INDEX($FK$245:$ID$316,$FJ213-HL$169,73-HL$169+SwaptionShift):INDEX($FK$245:$ID$316,$FJ213-HL$169,72-HL$169+SwaptionMonthsToGo+SwaptionShift))/SQRT(SUM(INDEX($FK368:$ID368,1+SwaptionShift):INDEX($FK368:$ID368,SwaptionMonthsToGo+SwaptionShift))*SUM(INDEX($FK$325:$ID$396,HL$169,1+SwaptionShift):INDEX($FK$325:$ID$396,HL$169,SwaptionMonthsToGo+SwaptionShift))))))</f>
        <v/>
      </c>
      <c r="HM213" s="150" t="str">
        <f aca="false">IF(OR(HM$169&lt;SwaptionFirstMonthPosition+1,$FJ213&lt;SwaptionFirstMonthPosition+1,HM$169&gt;SwaptionFirstMonthPosition+SwaptionNumOfMonths+1,$FJ213&gt;SwaptionFirstMonthPosition+SwaptionNumOfMonths+1),"",IF($FJ213=HM$169,1,IF($FJ213&lt;HM$169,INDEX($FK$170:$ID$241,HM$169,$FJ213),SUMPRODUCT(INDEX($FK$325:$ID$396,HM$169,1+SwaptionShift):INDEX($FK$325:$ID$396,HM$169,SwaptionMonthsToGo+SwaptionShift),INDEX($FK$245:$ID$316,$FJ213-HM$169,73-HM$169+SwaptionShift):INDEX($FK$245:$ID$316,$FJ213-HM$169,72-HM$169+SwaptionMonthsToGo+SwaptionShift))/SQRT(SUM(INDEX($FK368:$ID368,1+SwaptionShift):INDEX($FK368:$ID368,SwaptionMonthsToGo+SwaptionShift))*SUM(INDEX($FK$325:$ID$396,HM$169,1+SwaptionShift):INDEX($FK$325:$ID$396,HM$169,SwaptionMonthsToGo+SwaptionShift))))))</f>
        <v/>
      </c>
      <c r="HN213" s="150" t="str">
        <f aca="false">IF(OR(HN$169&lt;SwaptionFirstMonthPosition+1,$FJ213&lt;SwaptionFirstMonthPosition+1,HN$169&gt;SwaptionFirstMonthPosition+SwaptionNumOfMonths+1,$FJ213&gt;SwaptionFirstMonthPosition+SwaptionNumOfMonths+1),"",IF($FJ213=HN$169,1,IF($FJ213&lt;HN$169,INDEX($FK$170:$ID$241,HN$169,$FJ213),SUMPRODUCT(INDEX($FK$325:$ID$396,HN$169,1+SwaptionShift):INDEX($FK$325:$ID$396,HN$169,SwaptionMonthsToGo+SwaptionShift),INDEX($FK$245:$ID$316,$FJ213-HN$169,73-HN$169+SwaptionShift):INDEX($FK$245:$ID$316,$FJ213-HN$169,72-HN$169+SwaptionMonthsToGo+SwaptionShift))/SQRT(SUM(INDEX($FK368:$ID368,1+SwaptionShift):INDEX($FK368:$ID368,SwaptionMonthsToGo+SwaptionShift))*SUM(INDEX($FK$325:$ID$396,HN$169,1+SwaptionShift):INDEX($FK$325:$ID$396,HN$169,SwaptionMonthsToGo+SwaptionShift))))))</f>
        <v/>
      </c>
      <c r="HO213" s="150" t="str">
        <f aca="false">IF(OR(HO$169&lt;SwaptionFirstMonthPosition+1,$FJ213&lt;SwaptionFirstMonthPosition+1,HO$169&gt;SwaptionFirstMonthPosition+SwaptionNumOfMonths+1,$FJ213&gt;SwaptionFirstMonthPosition+SwaptionNumOfMonths+1),"",IF($FJ213=HO$169,1,IF($FJ213&lt;HO$169,INDEX($FK$170:$ID$241,HO$169,$FJ213),SUMPRODUCT(INDEX($FK$325:$ID$396,HO$169,1+SwaptionShift):INDEX($FK$325:$ID$396,HO$169,SwaptionMonthsToGo+SwaptionShift),INDEX($FK$245:$ID$316,$FJ213-HO$169,73-HO$169+SwaptionShift):INDEX($FK$245:$ID$316,$FJ213-HO$169,72-HO$169+SwaptionMonthsToGo+SwaptionShift))/SQRT(SUM(INDEX($FK368:$ID368,1+SwaptionShift):INDEX($FK368:$ID368,SwaptionMonthsToGo+SwaptionShift))*SUM(INDEX($FK$325:$ID$396,HO$169,1+SwaptionShift):INDEX($FK$325:$ID$396,HO$169,SwaptionMonthsToGo+SwaptionShift))))))</f>
        <v/>
      </c>
      <c r="HP213" s="150" t="str">
        <f aca="false">IF(OR(HP$169&lt;SwaptionFirstMonthPosition+1,$FJ213&lt;SwaptionFirstMonthPosition+1,HP$169&gt;SwaptionFirstMonthPosition+SwaptionNumOfMonths+1,$FJ213&gt;SwaptionFirstMonthPosition+SwaptionNumOfMonths+1),"",IF($FJ213=HP$169,1,IF($FJ213&lt;HP$169,INDEX($FK$170:$ID$241,HP$169,$FJ213),SUMPRODUCT(INDEX($FK$325:$ID$396,HP$169,1+SwaptionShift):INDEX($FK$325:$ID$396,HP$169,SwaptionMonthsToGo+SwaptionShift),INDEX($FK$245:$ID$316,$FJ213-HP$169,73-HP$169+SwaptionShift):INDEX($FK$245:$ID$316,$FJ213-HP$169,72-HP$169+SwaptionMonthsToGo+SwaptionShift))/SQRT(SUM(INDEX($FK368:$ID368,1+SwaptionShift):INDEX($FK368:$ID368,SwaptionMonthsToGo+SwaptionShift))*SUM(INDEX($FK$325:$ID$396,HP$169,1+SwaptionShift):INDEX($FK$325:$ID$396,HP$169,SwaptionMonthsToGo+SwaptionShift))))))</f>
        <v/>
      </c>
      <c r="HQ213" s="150" t="str">
        <f aca="false">IF(OR(HQ$169&lt;SwaptionFirstMonthPosition+1,$FJ213&lt;SwaptionFirstMonthPosition+1,HQ$169&gt;SwaptionFirstMonthPosition+SwaptionNumOfMonths+1,$FJ213&gt;SwaptionFirstMonthPosition+SwaptionNumOfMonths+1),"",IF($FJ213=HQ$169,1,IF($FJ213&lt;HQ$169,INDEX($FK$170:$ID$241,HQ$169,$FJ213),SUMPRODUCT(INDEX($FK$325:$ID$396,HQ$169,1+SwaptionShift):INDEX($FK$325:$ID$396,HQ$169,SwaptionMonthsToGo+SwaptionShift),INDEX($FK$245:$ID$316,$FJ213-HQ$169,73-HQ$169+SwaptionShift):INDEX($FK$245:$ID$316,$FJ213-HQ$169,72-HQ$169+SwaptionMonthsToGo+SwaptionShift))/SQRT(SUM(INDEX($FK368:$ID368,1+SwaptionShift):INDEX($FK368:$ID368,SwaptionMonthsToGo+SwaptionShift))*SUM(INDEX($FK$325:$ID$396,HQ$169,1+SwaptionShift):INDEX($FK$325:$ID$396,HQ$169,SwaptionMonthsToGo+SwaptionShift))))))</f>
        <v/>
      </c>
      <c r="HR213" s="150" t="str">
        <f aca="false">IF(OR(HR$169&lt;SwaptionFirstMonthPosition+1,$FJ213&lt;SwaptionFirstMonthPosition+1,HR$169&gt;SwaptionFirstMonthPosition+SwaptionNumOfMonths+1,$FJ213&gt;SwaptionFirstMonthPosition+SwaptionNumOfMonths+1),"",IF($FJ213=HR$169,1,IF($FJ213&lt;HR$169,INDEX($FK$170:$ID$241,HR$169,$FJ213),SUMPRODUCT(INDEX($FK$325:$ID$396,HR$169,1+SwaptionShift):INDEX($FK$325:$ID$396,HR$169,SwaptionMonthsToGo+SwaptionShift),INDEX($FK$245:$ID$316,$FJ213-HR$169,73-HR$169+SwaptionShift):INDEX($FK$245:$ID$316,$FJ213-HR$169,72-HR$169+SwaptionMonthsToGo+SwaptionShift))/SQRT(SUM(INDEX($FK368:$ID368,1+SwaptionShift):INDEX($FK368:$ID368,SwaptionMonthsToGo+SwaptionShift))*SUM(INDEX($FK$325:$ID$396,HR$169,1+SwaptionShift):INDEX($FK$325:$ID$396,HR$169,SwaptionMonthsToGo+SwaptionShift))))))</f>
        <v/>
      </c>
      <c r="HS213" s="150" t="str">
        <f aca="false">IF(OR(HS$169&lt;SwaptionFirstMonthPosition+1,$FJ213&lt;SwaptionFirstMonthPosition+1,HS$169&gt;SwaptionFirstMonthPosition+SwaptionNumOfMonths+1,$FJ213&gt;SwaptionFirstMonthPosition+SwaptionNumOfMonths+1),"",IF($FJ213=HS$169,1,IF($FJ213&lt;HS$169,INDEX($FK$170:$ID$241,HS$169,$FJ213),SUMPRODUCT(INDEX($FK$325:$ID$396,HS$169,1+SwaptionShift):INDEX($FK$325:$ID$396,HS$169,SwaptionMonthsToGo+SwaptionShift),INDEX($FK$245:$ID$316,$FJ213-HS$169,73-HS$169+SwaptionShift):INDEX($FK$245:$ID$316,$FJ213-HS$169,72-HS$169+SwaptionMonthsToGo+SwaptionShift))/SQRT(SUM(INDEX($FK368:$ID368,1+SwaptionShift):INDEX($FK368:$ID368,SwaptionMonthsToGo+SwaptionShift))*SUM(INDEX($FK$325:$ID$396,HS$169,1+SwaptionShift):INDEX($FK$325:$ID$396,HS$169,SwaptionMonthsToGo+SwaptionShift))))))</f>
        <v/>
      </c>
      <c r="HT213" s="150" t="str">
        <f aca="false">IF(OR(HT$169&lt;SwaptionFirstMonthPosition+1,$FJ213&lt;SwaptionFirstMonthPosition+1,HT$169&gt;SwaptionFirstMonthPosition+SwaptionNumOfMonths+1,$FJ213&gt;SwaptionFirstMonthPosition+SwaptionNumOfMonths+1),"",IF($FJ213=HT$169,1,IF($FJ213&lt;HT$169,INDEX($FK$170:$ID$241,HT$169,$FJ213),SUMPRODUCT(INDEX($FK$325:$ID$396,HT$169,1+SwaptionShift):INDEX($FK$325:$ID$396,HT$169,SwaptionMonthsToGo+SwaptionShift),INDEX($FK$245:$ID$316,$FJ213-HT$169,73-HT$169+SwaptionShift):INDEX($FK$245:$ID$316,$FJ213-HT$169,72-HT$169+SwaptionMonthsToGo+SwaptionShift))/SQRT(SUM(INDEX($FK368:$ID368,1+SwaptionShift):INDEX($FK368:$ID368,SwaptionMonthsToGo+SwaptionShift))*SUM(INDEX($FK$325:$ID$396,HT$169,1+SwaptionShift):INDEX($FK$325:$ID$396,HT$169,SwaptionMonthsToGo+SwaptionShift))))))</f>
        <v/>
      </c>
      <c r="HU213" s="150" t="str">
        <f aca="false">IF(OR(HU$169&lt;SwaptionFirstMonthPosition+1,$FJ213&lt;SwaptionFirstMonthPosition+1,HU$169&gt;SwaptionFirstMonthPosition+SwaptionNumOfMonths+1,$FJ213&gt;SwaptionFirstMonthPosition+SwaptionNumOfMonths+1),"",IF($FJ213=HU$169,1,IF($FJ213&lt;HU$169,INDEX($FK$170:$ID$241,HU$169,$FJ213),SUMPRODUCT(INDEX($FK$325:$ID$396,HU$169,1+SwaptionShift):INDEX($FK$325:$ID$396,HU$169,SwaptionMonthsToGo+SwaptionShift),INDEX($FK$245:$ID$316,$FJ213-HU$169,73-HU$169+SwaptionShift):INDEX($FK$245:$ID$316,$FJ213-HU$169,72-HU$169+SwaptionMonthsToGo+SwaptionShift))/SQRT(SUM(INDEX($FK368:$ID368,1+SwaptionShift):INDEX($FK368:$ID368,SwaptionMonthsToGo+SwaptionShift))*SUM(INDEX($FK$325:$ID$396,HU$169,1+SwaptionShift):INDEX($FK$325:$ID$396,HU$169,SwaptionMonthsToGo+SwaptionShift))))))</f>
        <v/>
      </c>
      <c r="HV213" s="150" t="str">
        <f aca="false">IF(OR(HV$169&lt;SwaptionFirstMonthPosition+1,$FJ213&lt;SwaptionFirstMonthPosition+1,HV$169&gt;SwaptionFirstMonthPosition+SwaptionNumOfMonths+1,$FJ213&gt;SwaptionFirstMonthPosition+SwaptionNumOfMonths+1),"",IF($FJ213=HV$169,1,IF($FJ213&lt;HV$169,INDEX($FK$170:$ID$241,HV$169,$FJ213),SUMPRODUCT(INDEX($FK$325:$ID$396,HV$169,1+SwaptionShift):INDEX($FK$325:$ID$396,HV$169,SwaptionMonthsToGo+SwaptionShift),INDEX($FK$245:$ID$316,$FJ213-HV$169,73-HV$169+SwaptionShift):INDEX($FK$245:$ID$316,$FJ213-HV$169,72-HV$169+SwaptionMonthsToGo+SwaptionShift))/SQRT(SUM(INDEX($FK368:$ID368,1+SwaptionShift):INDEX($FK368:$ID368,SwaptionMonthsToGo+SwaptionShift))*SUM(INDEX($FK$325:$ID$396,HV$169,1+SwaptionShift):INDEX($FK$325:$ID$396,HV$169,SwaptionMonthsToGo+SwaptionShift))))))</f>
        <v/>
      </c>
      <c r="HW213" s="150" t="str">
        <f aca="false">IF(OR(HW$169&lt;SwaptionFirstMonthPosition+1,$FJ213&lt;SwaptionFirstMonthPosition+1,HW$169&gt;SwaptionFirstMonthPosition+SwaptionNumOfMonths+1,$FJ213&gt;SwaptionFirstMonthPosition+SwaptionNumOfMonths+1),"",IF($FJ213=HW$169,1,IF($FJ213&lt;HW$169,INDEX($FK$170:$ID$241,HW$169,$FJ213),SUMPRODUCT(INDEX($FK$325:$ID$396,HW$169,1+SwaptionShift):INDEX($FK$325:$ID$396,HW$169,SwaptionMonthsToGo+SwaptionShift),INDEX($FK$245:$ID$316,$FJ213-HW$169,73-HW$169+SwaptionShift):INDEX($FK$245:$ID$316,$FJ213-HW$169,72-HW$169+SwaptionMonthsToGo+SwaptionShift))/SQRT(SUM(INDEX($FK368:$ID368,1+SwaptionShift):INDEX($FK368:$ID368,SwaptionMonthsToGo+SwaptionShift))*SUM(INDEX($FK$325:$ID$396,HW$169,1+SwaptionShift):INDEX($FK$325:$ID$396,HW$169,SwaptionMonthsToGo+SwaptionShift))))))</f>
        <v/>
      </c>
      <c r="HX213" s="150" t="str">
        <f aca="false">IF(OR(HX$169&lt;SwaptionFirstMonthPosition+1,$FJ213&lt;SwaptionFirstMonthPosition+1,HX$169&gt;SwaptionFirstMonthPosition+SwaptionNumOfMonths+1,$FJ213&gt;SwaptionFirstMonthPosition+SwaptionNumOfMonths+1),"",IF($FJ213=HX$169,1,IF($FJ213&lt;HX$169,INDEX($FK$170:$ID$241,HX$169,$FJ213),SUMPRODUCT(INDEX($FK$325:$ID$396,HX$169,1+SwaptionShift):INDEX($FK$325:$ID$396,HX$169,SwaptionMonthsToGo+SwaptionShift),INDEX($FK$245:$ID$316,$FJ213-HX$169,73-HX$169+SwaptionShift):INDEX($FK$245:$ID$316,$FJ213-HX$169,72-HX$169+SwaptionMonthsToGo+SwaptionShift))/SQRT(SUM(INDEX($FK368:$ID368,1+SwaptionShift):INDEX($FK368:$ID368,SwaptionMonthsToGo+SwaptionShift))*SUM(INDEX($FK$325:$ID$396,HX$169,1+SwaptionShift):INDEX($FK$325:$ID$396,HX$169,SwaptionMonthsToGo+SwaptionShift))))))</f>
        <v/>
      </c>
      <c r="HY213" s="150" t="str">
        <f aca="false">IF(OR(HY$169&lt;SwaptionFirstMonthPosition+1,$FJ213&lt;SwaptionFirstMonthPosition+1,HY$169&gt;SwaptionFirstMonthPosition+SwaptionNumOfMonths+1,$FJ213&gt;SwaptionFirstMonthPosition+SwaptionNumOfMonths+1),"",IF($FJ213=HY$169,1,IF($FJ213&lt;HY$169,INDEX($FK$170:$ID$241,HY$169,$FJ213),SUMPRODUCT(INDEX($FK$325:$ID$396,HY$169,1+SwaptionShift):INDEX($FK$325:$ID$396,HY$169,SwaptionMonthsToGo+SwaptionShift),INDEX($FK$245:$ID$316,$FJ213-HY$169,73-HY$169+SwaptionShift):INDEX($FK$245:$ID$316,$FJ213-HY$169,72-HY$169+SwaptionMonthsToGo+SwaptionShift))/SQRT(SUM(INDEX($FK368:$ID368,1+SwaptionShift):INDEX($FK368:$ID368,SwaptionMonthsToGo+SwaptionShift))*SUM(INDEX($FK$325:$ID$396,HY$169,1+SwaptionShift):INDEX($FK$325:$ID$396,HY$169,SwaptionMonthsToGo+SwaptionShift))))))</f>
        <v/>
      </c>
      <c r="HZ213" s="150" t="str">
        <f aca="false">IF(OR(HZ$169&lt;SwaptionFirstMonthPosition+1,$FJ213&lt;SwaptionFirstMonthPosition+1,HZ$169&gt;SwaptionFirstMonthPosition+SwaptionNumOfMonths+1,$FJ213&gt;SwaptionFirstMonthPosition+SwaptionNumOfMonths+1),"",IF($FJ213=HZ$169,1,IF($FJ213&lt;HZ$169,INDEX($FK$170:$ID$241,HZ$169,$FJ213),SUMPRODUCT(INDEX($FK$325:$ID$396,HZ$169,1+SwaptionShift):INDEX($FK$325:$ID$396,HZ$169,SwaptionMonthsToGo+SwaptionShift),INDEX($FK$245:$ID$316,$FJ213-HZ$169,73-HZ$169+SwaptionShift):INDEX($FK$245:$ID$316,$FJ213-HZ$169,72-HZ$169+SwaptionMonthsToGo+SwaptionShift))/SQRT(SUM(INDEX($FK368:$ID368,1+SwaptionShift):INDEX($FK368:$ID368,SwaptionMonthsToGo+SwaptionShift))*SUM(INDEX($FK$325:$ID$396,HZ$169,1+SwaptionShift):INDEX($FK$325:$ID$396,HZ$169,SwaptionMonthsToGo+SwaptionShift))))))</f>
        <v/>
      </c>
      <c r="IA213" s="150" t="str">
        <f aca="false">IF(OR(IA$169&lt;SwaptionFirstMonthPosition+1,$FJ213&lt;SwaptionFirstMonthPosition+1,IA$169&gt;SwaptionFirstMonthPosition+SwaptionNumOfMonths+1,$FJ213&gt;SwaptionFirstMonthPosition+SwaptionNumOfMonths+1),"",IF($FJ213=IA$169,1,IF($FJ213&lt;IA$169,INDEX($FK$170:$ID$241,IA$169,$FJ213),SUMPRODUCT(INDEX($FK$325:$ID$396,IA$169,1+SwaptionShift):INDEX($FK$325:$ID$396,IA$169,SwaptionMonthsToGo+SwaptionShift),INDEX($FK$245:$ID$316,$FJ213-IA$169,73-IA$169+SwaptionShift):INDEX($FK$245:$ID$316,$FJ213-IA$169,72-IA$169+SwaptionMonthsToGo+SwaptionShift))/SQRT(SUM(INDEX($FK368:$ID368,1+SwaptionShift):INDEX($FK368:$ID368,SwaptionMonthsToGo+SwaptionShift))*SUM(INDEX($FK$325:$ID$396,IA$169,1+SwaptionShift):INDEX($FK$325:$ID$396,IA$169,SwaptionMonthsToGo+SwaptionShift))))))</f>
        <v/>
      </c>
      <c r="IB213" s="150" t="str">
        <f aca="false">IF(OR(IB$169&lt;SwaptionFirstMonthPosition+1,$FJ213&lt;SwaptionFirstMonthPosition+1,IB$169&gt;SwaptionFirstMonthPosition+SwaptionNumOfMonths+1,$FJ213&gt;SwaptionFirstMonthPosition+SwaptionNumOfMonths+1),"",IF($FJ213=IB$169,1,IF($FJ213&lt;IB$169,INDEX($FK$170:$ID$241,IB$169,$FJ213),SUMPRODUCT(INDEX($FK$325:$ID$396,IB$169,1+SwaptionShift):INDEX($FK$325:$ID$396,IB$169,SwaptionMonthsToGo+SwaptionShift),INDEX($FK$245:$ID$316,$FJ213-IB$169,73-IB$169+SwaptionShift):INDEX($FK$245:$ID$316,$FJ213-IB$169,72-IB$169+SwaptionMonthsToGo+SwaptionShift))/SQRT(SUM(INDEX($FK368:$ID368,1+SwaptionShift):INDEX($FK368:$ID368,SwaptionMonthsToGo+SwaptionShift))*SUM(INDEX($FK$325:$ID$396,IB$169,1+SwaptionShift):INDEX($FK$325:$ID$396,IB$169,SwaptionMonthsToGo+SwaptionShift))))))</f>
        <v/>
      </c>
      <c r="IC213" s="150" t="str">
        <f aca="false">IF(OR(IC$169&lt;SwaptionFirstMonthPosition+1,$FJ213&lt;SwaptionFirstMonthPosition+1,IC$169&gt;SwaptionFirstMonthPosition+SwaptionNumOfMonths+1,$FJ213&gt;SwaptionFirstMonthPosition+SwaptionNumOfMonths+1),"",IF($FJ213=IC$169,1,IF($FJ213&lt;IC$169,INDEX($FK$170:$ID$241,IC$169,$FJ213),SUMPRODUCT(INDEX($FK$325:$ID$396,IC$169,1+SwaptionShift):INDEX($FK$325:$ID$396,IC$169,SwaptionMonthsToGo+SwaptionShift),INDEX($FK$245:$ID$316,$FJ213-IC$169,73-IC$169+SwaptionShift):INDEX($FK$245:$ID$316,$FJ213-IC$169,72-IC$169+SwaptionMonthsToGo+SwaptionShift))/SQRT(SUM(INDEX($FK368:$ID368,1+SwaptionShift):INDEX($FK368:$ID368,SwaptionMonthsToGo+SwaptionShift))*SUM(INDEX($FK$325:$ID$396,IC$169,1+SwaptionShift):INDEX($FK$325:$ID$396,IC$169,SwaptionMonthsToGo+SwaptionShift))))))</f>
        <v/>
      </c>
      <c r="ID213" s="572" t="str">
        <f aca="false">IF(OR(ID$169&lt;SwaptionFirstMonthPosition+1,$FJ213&lt;SwaptionFirstMonthPosition+1,ID$169&gt;SwaptionFirstMonthPosition+SwaptionNumOfMonths+1,$FJ213&gt;SwaptionFirstMonthPosition+SwaptionNumOfMonths+1),"",IF($FJ213=ID$169,1,IF($FJ213&lt;ID$169,INDEX($FK$170:$ID$241,ID$169,$FJ213),SUMPRODUCT(INDEX($FK$325:$ID$396,ID$169,1+SwaptionShift):INDEX($FK$325:$ID$396,ID$169,SwaptionMonthsToGo+SwaptionShift),INDEX($FK$245:$ID$316,$FJ213-ID$169,73-ID$169+SwaptionShift):INDEX($FK$245:$ID$316,$FJ213-ID$169,72-ID$169+SwaptionMonthsToGo+SwaptionShift))/SQRT(SUM(INDEX($FK368:$ID368,1+SwaptionShift):INDEX($FK368:$ID368,SwaptionMonthsToGo+SwaptionShift))*SUM(INDEX($FK$325:$ID$396,ID$169,1+SwaptionShift):INDEX($FK$325:$ID$396,ID$169,SwaptionMonthsToGo+SwaptionShift))))))</f>
        <v/>
      </c>
      <c r="IE213" s="129"/>
    </row>
    <row r="214" customFormat="false" ht="12.75" hidden="false" customHeight="false" outlineLevel="0" collapsed="false">
      <c r="H214" s="219" t="n">
        <f aca="false">VLOOKUP(I214,$EJ$20:$EL$54,3)</f>
        <v>0</v>
      </c>
      <c r="I214" s="511" t="n">
        <f aca="false">EOMONTH(I213,0)+1</f>
        <v>42675</v>
      </c>
      <c r="J214" s="512"/>
      <c r="K214" s="513" t="s">
        <v>280</v>
      </c>
      <c r="L214" s="514" t="n">
        <f aca="false">IF(ISNUMBER(K214),J214+K214/100,IF(K214="extra",L213+VLOOKUP(BF214,PriceSpreadTable,2)/12,IF(K214="inter",interpolateprices($K$19:$L$200,ROW(K214)-ROW(FirstPricingMonth)+1),interpolatechanges($J$19:$K$200,ROW(K214)-ROW(FirstPricingMonth)+1))))</f>
        <v>4.425</v>
      </c>
      <c r="M214" s="515"/>
      <c r="N214" s="516" t="n">
        <v>0</v>
      </c>
      <c r="O214" s="515" t="n">
        <f aca="false">M214+N214</f>
        <v>0</v>
      </c>
      <c r="P214" s="512"/>
      <c r="Q214" s="513" t="s">
        <v>280</v>
      </c>
      <c r="R214" s="512" t="e">
        <f aca="false">IF(ISNUMBER(Q214),P214+Q214/100,IF(Q214="extra",(Z212*AL212-R213*AM212)/AN212,IF(Q214="inter",interpolateprices($Q$19:$R$260,ROW(Q214)-ROW(FirstPricingMonth)+1),interpolatechanges($P$19:$Q$260,ROW(Q214)-ROW(FirstPricingMonth)+1))))</f>
        <v>#VALUE!</v>
      </c>
      <c r="S214" s="597" t="n">
        <f aca="false">S$19+(S213-S$19)*S$18</f>
        <v>0.36</v>
      </c>
      <c r="T214" s="575" t="n">
        <f aca="false">SQRT((1-(1-T213^2/U213)*T$18)*U214)</f>
        <v>0.999999999999993</v>
      </c>
      <c r="U214" s="576" t="n">
        <f aca="false">1-(1-U213)*U$18</f>
        <v>1</v>
      </c>
      <c r="V214" s="521" t="n">
        <v>0</v>
      </c>
      <c r="W214" s="577" t="n">
        <f aca="false">(J215*AJ214+J216*AK214)/AI214</f>
        <v>0</v>
      </c>
      <c r="X214" s="578" t="n">
        <f aca="false">(L215*AJ214+L216*AK214)/AI214</f>
        <v>4.47613636363637</v>
      </c>
      <c r="Y214" s="579" t="n">
        <f aca="false">IF(Q216="extra",W214-AA214,(P215*AM214+P216*AN214)/AL214)</f>
        <v>-1.1931</v>
      </c>
      <c r="Z214" s="579" t="n">
        <f aca="false">IF(Q216="extra",X214-AB214,(R215*AM214+R216*AN214)/AL214)</f>
        <v>3.28303636363637</v>
      </c>
      <c r="AA214" s="523" t="n">
        <f aca="false">IF(Q216="extra",INDEX(BrentSeasonalityTable,INT((BG214-1)/3)+1)*VLOOKUP(MAX(BF214,$AB$4),PriceSpreadTable,3),W214-Y214)</f>
        <v>1.1931</v>
      </c>
      <c r="AB214" s="524" t="n">
        <f aca="false">IF(Q216="extra",INDEX(BrentSeasonalityTable,INT((BG214-1)/3)+1)*VLOOKUP(MAX(BF214,$AB$4),PriceSpreadTable,3),X214-Z214)</f>
        <v>1.1931</v>
      </c>
      <c r="AC214" s="646" t="n">
        <v>42663</v>
      </c>
      <c r="AD214" s="646" t="n">
        <v>42659</v>
      </c>
      <c r="AE214" s="646" t="n">
        <v>42658</v>
      </c>
      <c r="AF214" s="646" t="n">
        <v>42654</v>
      </c>
      <c r="AG214" s="438" t="s">
        <v>278</v>
      </c>
      <c r="AH214" s="439" t="s">
        <v>278</v>
      </c>
      <c r="AI214" s="528" t="n">
        <v>22</v>
      </c>
      <c r="AJ214" s="529" t="n">
        <v>14</v>
      </c>
      <c r="AK214" s="529" t="n">
        <v>8</v>
      </c>
      <c r="AL214" s="530" t="n">
        <v>22</v>
      </c>
      <c r="AM214" s="529" t="n">
        <v>10</v>
      </c>
      <c r="AN214" s="531" t="n">
        <v>12</v>
      </c>
      <c r="AO214" s="532"/>
      <c r="AP214" s="465" t="n">
        <f aca="false">(1+AO214/2)^(-2*BL214)</f>
        <v>1</v>
      </c>
      <c r="AQ214" s="532"/>
      <c r="AR214" s="465" t="n">
        <f aca="false">(1+AQ214/2)^(-2*BH214/365.25)</f>
        <v>1</v>
      </c>
      <c r="AS214" s="580" t="n">
        <f aca="false">(O215*AJ214+O216*AK214)/AI214</f>
        <v>0</v>
      </c>
      <c r="AT214" s="468" t="n">
        <f aca="false">O214*VLOOKUP(BF214,BrentVolTable,2)+VLOOKUP(BF214,BrentVolTable,3)</f>
        <v>0</v>
      </c>
      <c r="AU214" s="468" t="n">
        <f aca="false">(AT215*AM214+AT216*AN214)/AL214</f>
        <v>0</v>
      </c>
      <c r="AV214" s="595" t="n">
        <f aca="false">SQRT(MAX(0.000000000001,(O214^2*BH214-S214^2*(BH214-BH213))/BH213))</f>
        <v>0.0343454749637479</v>
      </c>
      <c r="AW214" s="451" t="n">
        <f aca="false">IF($I214-DateToday+15&gt;=$T$8,"",IF($I214-DateToday+15&lt;$T$5,1,MATCH($I214-DateToday+15,$T$5:$T$8)))</f>
        <v>1</v>
      </c>
      <c r="AX214" s="468" t="n">
        <f aca="false">IF($AW214="",AX213^2/AX212,INDEX(U$5:U$8,$AW214)^((INDEX($T$5:$T$8,$AW214+1)-($I214-DateToday+15))/(INDEX($T$5:$T$8,$AW214+1)-INDEX($T$5:$T$8,$AW214)))/INDEX(U$5:U$8,$AW214+1)^((INDEX($T$5:$T$8,$AW214)-($I214-DateToday+15))/(INDEX($T$5:$T$8,$AW214+1)-INDEX($T$5:$T$8,$AW214))))</f>
        <v>0.19830017165212</v>
      </c>
      <c r="AY214" s="468" t="n">
        <f aca="false">IF($AW214="",AY213^2/AY212,INDEX(V$5:V$8,$AW214)^((INDEX($T$5:$T$8,$AW214+1)-($I214-DateToday+15))/(INDEX($T$5:$T$8,$AW214+1)-INDEX($T$5:$T$8,$AW214)))/INDEX(V$5:V$8,$AW214+1)^((INDEX($T$5:$T$8,$AW214)-($I214-DateToday+15))/(INDEX($T$5:$T$8,$AW214+1)-INDEX($T$5:$T$8,$AW214))))</f>
        <v>1.4708412936588</v>
      </c>
      <c r="AZ214" s="468" t="n">
        <f aca="false">IF($AW214="",AZ213^2/AZ212,INDEX(W$5:W$8,$AW214)^((INDEX($T$5:$T$8,$AW214+1)-($I214-DateToday+15))/(INDEX($T$5:$T$8,$AW214+1)-INDEX($T$5:$T$8,$AW214)))/INDEX(W$5:W$8,$AW214+1)^((INDEX($T$5:$T$8,$AW214)-($I214-DateToday+15))/(INDEX($T$5:$T$8,$AW214+1)-INDEX($T$5:$T$8,$AW214))))</f>
        <v>81.898307457506</v>
      </c>
      <c r="BA214" s="468" t="n">
        <f aca="false">IF($AW214="",BA213^2/BA212,INDEX(X$5:X$8,$AW214)^((INDEX($T$5:$T$8,$AW214+1)-($I214-DateToday+15))/(INDEX($T$5:$T$8,$AW214+1)-INDEX($T$5:$T$8,$AW214)))/INDEX(X$5:X$8,$AW214+1)^((INDEX($T$5:$T$8,$AW214)-($I214-DateToday+15))/(INDEX($T$5:$T$8,$AW214+1)-INDEX($T$5:$T$8,$AW214))))</f>
        <v>169.171337779599</v>
      </c>
      <c r="BB214" s="468" t="n">
        <f aca="false">IF($AW214="",BB213^2/BB212,INDEX(Y$5:Y$8,$AW214)^((INDEX($T$5:$T$8,$AW214+1)-($I214-DateToday+15))/(INDEX($T$5:$T$8,$AW214+1)-INDEX($T$5:$T$8,$AW214)))/INDEX(Y$5:Y$8,$AW214+1)^((INDEX($T$5:$T$8,$AW214)-($I214-DateToday+15))/(INDEX($T$5:$T$8,$AW214+1)-INDEX($T$5:$T$8,$AW214))))</f>
        <v>685.198638082213</v>
      </c>
      <c r="BC214" s="468" t="n">
        <f aca="false">IF($AW214="",BC213^2/BC212,INDEX(Z$5:Z$8,$AW214)^((INDEX($T$5:$T$8,$AW214+1)-($I214-DateToday+15))/(INDEX($T$5:$T$8,$AW214+1)-INDEX($T$5:$T$8,$AW214)))/INDEX(Z$5:Z$8,$AW214+1)^((INDEX($T$5:$T$8,$AW214)-($I214-DateToday+15))/(INDEX($T$5:$T$8,$AW214+1)-INDEX($T$5:$T$8,$AW214))))</f>
        <v>1626.84380634962</v>
      </c>
      <c r="BD214" s="535" t="n">
        <f aca="false">IF(OR(DateStart&gt;=I215,DateEnd&lt;I214),0,IF(VolumeOverrideFlag,V214,Volume))</f>
        <v>0</v>
      </c>
      <c r="BE214" s="536" t="n">
        <f aca="false">IF(OR(DateStart2&gt;=I215,DateEnd2&lt;I214),0,IF(VolumeOverrideFlag,V214,VolumeSwaption))</f>
        <v>0</v>
      </c>
      <c r="BF214" s="537" t="n">
        <f aca="false">YEAR(I214)</f>
        <v>2016</v>
      </c>
      <c r="BG214" s="538" t="n">
        <f aca="false">MONTH(I214)</f>
        <v>11</v>
      </c>
      <c r="BH214" s="539" t="n">
        <f aca="false">AD214-DateToday+1</f>
        <v>-3266</v>
      </c>
      <c r="BI214" s="540" t="n">
        <f aca="false">(I214-DateToday+1)/365.25</f>
        <v>-8.89801505817933</v>
      </c>
      <c r="BJ214" s="541" t="n">
        <f aca="false">BI214+(BL214-BI214)*CHOOSE(Underlying,AJ214/AI214,AM214/AL214)</f>
        <v>-8.84748926638044</v>
      </c>
      <c r="BK214" s="541" t="n">
        <f aca="false">BJ214+1/365.25</f>
        <v>-8.8447514155933</v>
      </c>
      <c r="BL214" s="541" t="n">
        <f aca="false">(I215-DateToday)/365.25</f>
        <v>-8.8186173853525</v>
      </c>
      <c r="BM214" s="542" t="e">
        <f aca="false">MAX(BI214-(BJ214-BI214)*(S215^2/O215^2-1),0)</f>
        <v>#DIV/0!</v>
      </c>
      <c r="BN214" s="541" t="e">
        <f aca="false">MAX(BL214+(BL214-BK214)*(S216^2/O216^2-1),0)</f>
        <v>#DIV/0!</v>
      </c>
      <c r="BO214" s="530" t="n">
        <f aca="false">CHOOSE(Underlying,AI214,AL214)</f>
        <v>22</v>
      </c>
      <c r="BP214" s="529" t="n">
        <f aca="false">CHOOSE(Underlying,AJ214,AM214)</f>
        <v>14</v>
      </c>
      <c r="BQ214" s="529" t="n">
        <f aca="false">CHOOSE(Underlying,AK214,AN214)</f>
        <v>8</v>
      </c>
      <c r="BR214" s="463" t="str">
        <f aca="false">IF(BD214,IF(Underlying=1,X214,Z214)+UnderlyingPriceAsian-SwapPriceCurve,"")</f>
        <v/>
      </c>
      <c r="BS214" s="463" t="str">
        <f aca="false">IF(BD214,Strike1/BR214-1,"")</f>
        <v/>
      </c>
      <c r="BT214" s="464" t="str">
        <f aca="false">IF(BD214,Strike2/BR214-1,"")</f>
        <v/>
      </c>
      <c r="BU214" s="465" t="str">
        <f aca="false">IF(BD214,IF(Underlying=1,L215,R215)+UnderlyingPriceAsian-SwapPriceCurve,"")</f>
        <v/>
      </c>
      <c r="BV214" s="465" t="str">
        <f aca="false">IF(BD214,IF(Underlying=1,L216,R216)+UnderlyingPriceAsian-SwapPriceCurve,"")</f>
        <v/>
      </c>
      <c r="BW214" s="466" t="str">
        <f aca="false">IF(BD214,IF(Underlying=1,O215,AT215),"")</f>
        <v/>
      </c>
      <c r="BX214" s="467" t="str">
        <f aca="false">IF(BD214,IF(Underlying=1,O216,AT216),"")</f>
        <v/>
      </c>
      <c r="BY214" s="466" t="str">
        <f aca="false">IF(BD214,IF(BS214&gt;0,IF(BS214&gt;0.2,BC214-BB214,IF(BS214&gt;0.1,BB214-BA214,BA214)),IF(BS214&lt;-0.2,AX214-AY214,IF(BS214&lt;-0.1,AY214-AZ214,AZ214))),"")</f>
        <v/>
      </c>
      <c r="BZ214" s="467" t="str">
        <f aca="false">IF(BD214,IF(BT214&gt;0,IF(BT214&gt;0.2,BC214-BB214,IF(BT214&gt;0.1,BB214-BA214,BA214)),IF(BT214&lt;-0.2,AX214-AY214,IF(BT214&lt;-0.1,AY214-AZ214,AZ214))),"")</f>
        <v/>
      </c>
      <c r="CA214" s="468" t="str">
        <f aca="false">IF($BD214,$BW214+IF(VolSkewFlag=1,IF(BS214&gt;0,$BA214*MIN(BS214/10%,1)+($BB214-$BA214)*MAX(0,MIN(BS214/10%-1,1))+($BC214-$BB214)*MAX(0,BS214/10%-2),$AZ214*MIN(-BS214/10%,1)+($AY214-$AZ214)*MAX(0,MIN(-BS214/10%-1,1))+($AX214-$AY214)*MAX(0,-BS214/10%-2)),0),"")</f>
        <v/>
      </c>
      <c r="CB214" s="468" t="str">
        <f aca="false">IF($BD214,$BX214+IF(VolSkewFlag=1,IF(BS214&gt;0,$BA214*MIN(BS214/10%,1)+($BB214-$BA214)*MAX(0,MIN(BS214/10%-1,1))+($BC214-$BB214)*MAX(0,BS214/10%-2),$AZ214*MIN(-BS214/10%,1)+($AY214-$AZ214)*MAX(0,MIN(-BS214/10%-1,1))+($AX214-$AY214)*MAX(0,-BS214/10%-2)),0),"")</f>
        <v/>
      </c>
      <c r="CC214" s="468" t="str">
        <f aca="false">IF($BD214,$BW214+IF(VolSkewFlag=1,IF(BT214&gt;0,$BA214*MIN(BT214/10%,1)+($BB214-$BA214)*MAX(0,MIN(BT214/10%-1,1))+($BC214-$BB214)*MAX(0,BT214/10%-2),$AZ214*MIN(-BT214/10%,1)+($AY214-$AZ214)*MAX(0,MIN(-BT214/10%-1,1))+($AX214-$AY214)*MAX(0,-BT214/10%-2)),0),"")</f>
        <v/>
      </c>
      <c r="CD214" s="468" t="str">
        <f aca="false">IF($BD214,$BX214+IF(VolSkewFlag=1,IF(BT214&gt;0,$BA214*MIN(BT214/10%,1)+($BB214-$BA214)*MAX(0,MIN(BT214/10%-1,1))+($BC214-$BB214)*MAX(0,BT214/10%-2),$AZ214*MIN(-BT214/10%,1)+($AY214-$AZ214)*MAX(0,MIN(-BT214/10%-1,1))+($AX214-$AY214)*MAX(0,-BT214/10%-2)),0),"")</f>
        <v/>
      </c>
      <c r="CE214" s="469" t="n">
        <v>1</v>
      </c>
      <c r="CF214" s="470" t="n">
        <f aca="false">IF(BD214,xCrudeAPO(BU214,BV214,CA214,CB214,S215,S216,BI214,BL214,BP214,BQ214,0,Strike1,AO214,CE214,0,BL214,IF(OptControl=4,0,1),0,1),0)</f>
        <v>0</v>
      </c>
      <c r="CG214" s="470" t="n">
        <f aca="false">IF(BD214,xCrudeAPO(BU214,BV214,CA214,CB214,S215,S216,BI214,BL214,BP214,BQ214,0,Strike1,AO214,CE214,0,BL214,IF(OptControl=4,0,1),1,1)+xCrudeAPO(BU214,BV214,CA214,CB214,S215,S216,BI214,BL214,BP214,BQ214,0,Strike1,AO214,CE214,0,BL214,IF(OptControl=4,0,1),1,2)+IF(OR(VolSkewFlag=2,ABS(BS214)&lt;0.0001),0,IF(BS214&gt;0,-1,1)*CH214*Strike1/BR214^2*BY214/10%),0)</f>
        <v>0</v>
      </c>
      <c r="CH214" s="470" t="n">
        <f aca="false">IF(BD214,(xCrudeAPO(BU214,BV214,CA214,CB214,S215,S216,BI214,BL214,BP214,BQ214,0,Strike1,AO214,CE214,0,BL214,IF(OptControl=4,0,1),3,1)+xCrudeAPO(BU214,BV214,CA214,CB214,S215,S216,BI214,BL214,BP214,BQ214,0,Strike1,AO214,CE214,0,BL214,IF(OptControl=4,0,1),3,2))/100,0)</f>
        <v>0</v>
      </c>
      <c r="CI214" s="470" t="n">
        <f aca="false">IF(BD214,xCrudeAPO(BU214,BV214,CA214,CB214,S215,S216,BI214-DaysForThetaCalculation/365.25,BL214-DaysForThetaCalculation/365.25,BP214,BQ214,0,Strike1,AO214,CE214,0,BL214,IF(OptControl=4,0,1),0,1)-xCrudeAPO(BU214,BV214,CA214,CB214,S215,S216,BI214,BL214,BP214,BQ214,0,Strike1,AO214,CE214,0,BL214,IF(OptControl=4,0,1),0,1),0)</f>
        <v>0</v>
      </c>
      <c r="CJ214" s="471" t="n">
        <f aca="false">IF(BD214,xCrudeAPO(BU214,BV214,CC214,CD214,S215,S216,BI214,BL214,BP214,BQ214,0,Strike2,AO214,CE214,0,BL214,IF(OptControl=3,1,0),0,1),0)</f>
        <v>0</v>
      </c>
      <c r="CK214" s="470" t="n">
        <f aca="false">IF(BD214,xCrudeAPO(BU214,BV214,CC214,CD214,S215,S216,BI214,BL214,BP214,BQ214,0,Strike2,AO214,CE214,0,BL214,IF(OptControl=3,1,0),1,1)+xCrudeAPO(BU214,BV214,CC214,CD214,S215,S216,BI214,BL214,BP214,BQ214,0,Strike2,AO214,CE214,0,BL214,IF(OptControl=3,1,0),1,2)+IF(OR(VolSkewFlag=2,ABS(BT214)&lt;0.0001),0,IF(BT214&gt;0,-1,1)*CL214*Strike2/BR214^2*BZ214/10%),0)</f>
        <v>0</v>
      </c>
      <c r="CL214" s="470" t="n">
        <f aca="false">IF(BD214,(xCrudeAPO(BU214,BV214,CC214,CD214,S215,S216,BI214,BL214,BP214,BQ214,0,Strike2,AO214,CE214,0,BL214,IF(OptControl=3,1,0),3,1)+xCrudeAPO(BU214,BV214,CC214,CD214,S215,S216,BI214,BL214,BP214,BQ214,0,Strike2,AO214,CE214,0,BL214,IF(OptControl=3,1,0),3,2))/100,0)</f>
        <v>0</v>
      </c>
      <c r="CM214" s="472" t="n">
        <f aca="false">IF(BD214,xCrudeAPO(BU214,BV214,CC214,CD214,S215,S216,BI214-DaysForThetaCalculation/365.25,BL214-DaysForThetaCalculation/365.25,BP214,BQ214,0,Strike2,AO214,CE214,0,BL214,IF(OptControl=3,1,0),0,1)-xCrudeAPO(BU214,BV214,CC214,CD214,S215,S216,BI214,BL214,BP214,BQ214,0,Strike2,AO214,CE214,0,BL214,IF(OptControl=3,1,0),0,1),0)</f>
        <v>0</v>
      </c>
      <c r="CN214" s="3"/>
      <c r="CO214" s="543" t="str">
        <f aca="false">IF(BD214,CHOOSE(Underlying,AD214,AF214)-DateToday+1,"")</f>
        <v/>
      </c>
      <c r="CP214" s="582" t="str">
        <f aca="false">IF(BD214,CHOOSE(Underlying,L214,R214),"")</f>
        <v/>
      </c>
      <c r="CQ214" s="544" t="str">
        <f aca="false">IF(BD214,Strike1/CP214-1,"")</f>
        <v/>
      </c>
      <c r="CR214" s="544" t="str">
        <f aca="false">IF(BD214,Strike2/CP214-1,"")</f>
        <v/>
      </c>
      <c r="CS214" s="544" t="str">
        <f aca="false">IF(BD214,IF(CQ214&gt;0,IF(CQ214&gt;0.2,BC213-BB213,IF(CQ214&gt;0.1,BB213-BA213,BA213)),IF(CQ214&lt;-0.2,AX213-AY213,IF(CQ214&lt;-0.1,AY213-AZ213,AZ213))),"")</f>
        <v/>
      </c>
      <c r="CT214" s="544" t="str">
        <f aca="false">IF(BD214,IF(CR214&gt;0,IF(CR214&gt;0.2,BC213-BB213,IF(CR214&gt;0.1,BB213-BA213,BA213)),IF(CR214&lt;-0.2,AX213-AY213,IF(CR214&lt;-0.1,AY213-AZ213,AZ213))),"")</f>
        <v/>
      </c>
      <c r="CU214" s="545" t="str">
        <f aca="false">IF(BD214,CHOOSE(Underlying,O214,AT214),"")</f>
        <v/>
      </c>
      <c r="CV214" s="545" t="str">
        <f aca="false">IF(BD214,CU214+IF(VolSkewFlag=1,IF(CQ214&gt;0,BA213*MIN(CQ214/10%,1)+(BB213-BA213)*MAX(0,MIN(CQ214/10%-1,1))+(BC213-BB213)*MAX(0,CQ214/10%-2),AZ213*MIN(-CQ214/10%,1)+(AY213-AZ213)*MAX(0,MIN(-CQ214/10%-1,1))+(AX213-AY213)*MAX(0,-CQ214/10%-2)),0),"")</f>
        <v/>
      </c>
      <c r="CW214" s="545" t="str">
        <f aca="false">IF(BD214,CU214+IF(VolSkewFlag=1,IF(CR214&gt;0,BA213*MIN(CR214/10%,1)+(BB213-BA213)*MAX(0,MIN(CR214/10%-1,1))+(BC213-BB213)*MAX(0,CR214/10%-2),AZ213*MIN(-CR214/10%,1)+(AY213-AZ213)*MAX(0,MIN(-CR214/10%-1,1))+(AX213-AY213)*MAX(0,-CR214/10%-2)),0),"")</f>
        <v/>
      </c>
      <c r="CX214" s="470" t="n">
        <f aca="false">IF(BD214,EURO(CP214,Strike1,AO214,AO214,CV214,CO214,IF(OptControl=4,0,1),0),0)</f>
        <v>0</v>
      </c>
      <c r="CY214" s="470" t="n">
        <f aca="false">IF(BD214,EURO(CP214,Strike1,AO214,AO214,CV214,CO214,IF(OptControl=4,0,1),1)+IF(OR(VolSkewFlag=2,ABS(CQ214)&lt;0.0001),0,IF(CQ214&gt;0,-1,1)*CZ214*100*Strike1/CP214^2*CS214/10%),0)</f>
        <v>0</v>
      </c>
      <c r="CZ214" s="470" t="n">
        <f aca="false">IF(BD214,EURO(CP214,Strike1,AO214,AO214,CV214,CO214,IF(OptControl=4,0,1),3)/100,0)</f>
        <v>0</v>
      </c>
      <c r="DA214" s="470" t="n">
        <f aca="false">IF(BD214,EURO(CP214,Strike1,AO214,AO214,CV214,CO214,IF(OptControl=4,0,1),0)-EURO(CP214,Strike1,AO214,AO214,CV214,CO214-1,IF(OptControl=4,0,1),0),0)</f>
        <v>0</v>
      </c>
      <c r="DB214" s="470" t="n">
        <f aca="false">IF(BD214,EURO(CP214,Strike2,AO214,AO214,CW214,CO214,IF(OptControl=3,1,0),0),0)</f>
        <v>0</v>
      </c>
      <c r="DC214" s="470" t="n">
        <f aca="false">IF(BD214,EURO(CP214,Strike2,AO214,AO214,CW214,CO214,IF(OptControl=3,1,0),1)+IF(OR(VolSkewFlag=2,ABS(CR214)&lt;0.0001),0,IF(CR214&gt;0,-1,1)*DD214*100*Strike2/CP214^2*CT214/10%),0)</f>
        <v>0</v>
      </c>
      <c r="DD214" s="470" t="n">
        <f aca="false">IF(BD214,EURO(CP214,Strike2,AO214,AO214,CW214,CO214,IF(OptControl=3,1,0),3)/100,0)</f>
        <v>0</v>
      </c>
      <c r="DE214" s="472" t="n">
        <f aca="false">IF(BD214,EURO(CP214,Strike2,AO214,AO214,CW214,CO214,IF(OptControl=3,1,0),0)-EURO(CP214,Strike2,AO214,AO214,CW214,CO214-1,IF(OptControl=3,1,0),0),0)</f>
        <v>0</v>
      </c>
      <c r="DG214" s="481" t="n">
        <f aca="false">EOMONTH(DG213,0)+1</f>
        <v>51592</v>
      </c>
      <c r="DH214" s="478" t="n">
        <v>23.8600000000001</v>
      </c>
      <c r="DI214" s="479" t="n">
        <v>23.9266666666668</v>
      </c>
      <c r="DJ214" s="480" t="n">
        <f aca="false">DG214</f>
        <v>51592</v>
      </c>
      <c r="DK214" s="478" t="n">
        <v>22.6662054102553</v>
      </c>
      <c r="DL214" s="479" t="n">
        <v>22.6351666666668</v>
      </c>
      <c r="DM214" s="481" t="n">
        <f aca="false">DG214</f>
        <v>51592</v>
      </c>
      <c r="DN214" s="482" t="n">
        <f aca="false">DK214+BrentPhyBrentSpread</f>
        <v>22.7162054102553</v>
      </c>
      <c r="DO214" s="481" t="n">
        <f aca="false">DG214</f>
        <v>51592</v>
      </c>
      <c r="DP214" s="483" t="n">
        <f aca="false">DL214+DQ214</f>
        <v>22.6351666666668</v>
      </c>
      <c r="DQ214" s="546" t="n">
        <v>0</v>
      </c>
      <c r="DR214" s="480" t="n">
        <f aca="false">DG214</f>
        <v>51592</v>
      </c>
      <c r="DS214" s="485" t="n">
        <v>0.108199999999998</v>
      </c>
      <c r="DT214" s="486" t="n">
        <v>0.107399999999998</v>
      </c>
      <c r="DU214" s="480" t="n">
        <f aca="false">DG214</f>
        <v>51592</v>
      </c>
      <c r="DV214" s="485" t="n">
        <v>0.108199999999998</v>
      </c>
      <c r="DW214" s="486" t="n">
        <v>0.107399999999998</v>
      </c>
      <c r="DX214" s="481" t="n">
        <f aca="false">DG214</f>
        <v>51592</v>
      </c>
      <c r="DY214" s="486" t="n">
        <v>0.35</v>
      </c>
      <c r="DZ214" s="481" t="n">
        <f aca="false">DR214</f>
        <v>51592</v>
      </c>
      <c r="EA214" s="486" t="n">
        <f aca="false">DT214</f>
        <v>0.107399999999998</v>
      </c>
      <c r="EB214" s="195"/>
      <c r="EC214" s="547" t="str">
        <f aca="false">IF(BD214,IF(Underlying=1,AS214,AU214),"")</f>
        <v/>
      </c>
      <c r="ED214" s="548" t="str">
        <f aca="false">IF($BD214,$EC214+IF(VolSkewFlag=1,IF(BS214&gt;0,$BA214*MIN(BS214/10%,1)+($BB214-$BA214)*MAX(0,MIN(BS214/10%-1,1))+($BC214-$BB214)*MAX(0,BS214/10%-2),$AZ214*MIN(-BS214/10%,1)+($AY214-$AZ214)*MAX(0,MIN(-BS214/10%-1,1))+($AX214-$AY214)*MAX(0,-BS214/10%-2)),0),"")</f>
        <v/>
      </c>
      <c r="EE214" s="549" t="str">
        <f aca="false">IF($BD214,$EC214+IF(VolSkewFlag=1,IF(BT214&gt;0,$BA214*MIN(BT214/10%,1)+($BB214-$BA214)*MAX(0,MIN(BT214/10%-1,1))+($BC214-$BB214)*MAX(0,BT214/10%-2),$AZ214*MIN(-BT214/10%,1)+($AY214-$AZ214)*MAX(0,MIN(-BT214/10%-1,1))+($AX214-$AY214)*MAX(0,-BT214/10%-2)),0),"")</f>
        <v/>
      </c>
      <c r="EF214" s="550" t="n">
        <f aca="false">IF(BD214,xASN(BR214,Strike1,AO214,ED214,0,BO214,0,BI214,BL214,IF(OptControl=4,0,1),0),0)</f>
        <v>0</v>
      </c>
      <c r="EG214" s="551" t="n">
        <f aca="false">IF(BD214,xASN(BR214,Strike2,AO214,EE214,0,BO214,0,BI214,BL214,IF(OptControl=3,1,0),0),0)</f>
        <v>0</v>
      </c>
      <c r="EL214" s="1"/>
      <c r="EM214" s="195"/>
      <c r="EN214" s="240"/>
      <c r="EO214" s="240"/>
      <c r="EP214" s="195"/>
      <c r="EQ214" s="407" t="s">
        <v>442</v>
      </c>
      <c r="ES214" s="1"/>
      <c r="EU214" s="672"/>
      <c r="FJ214" s="571" t="n">
        <v>45</v>
      </c>
      <c r="FK214" s="150" t="str">
        <f aca="false">IF(OR(FK$169&lt;SwaptionFirstMonthPosition+1,$FJ214&lt;SwaptionFirstMonthPosition+1,FK$169&gt;SwaptionFirstMonthPosition+SwaptionNumOfMonths+1,$FJ214&gt;SwaptionFirstMonthPosition+SwaptionNumOfMonths+1),"",IF($FJ214=FK$169,1,IF($FJ214&lt;FK$169,INDEX($FK$170:$ID$241,FK$169,$FJ214),SUMPRODUCT(INDEX($FK$325:$ID$396,FK$169,1+SwaptionShift):INDEX($FK$325:$ID$396,FK$169,SwaptionMonthsToGo+SwaptionShift),INDEX($FK$245:$ID$316,$FJ214-FK$169,73-FK$169+SwaptionShift):INDEX($FK$245:$ID$316,$FJ214-FK$169,72-FK$169+SwaptionMonthsToGo+SwaptionShift))/SQRT(SUM(INDEX($FK369:$ID369,1+SwaptionShift):INDEX($FK369:$ID369,SwaptionMonthsToGo+SwaptionShift))*SUM(INDEX($FK$325:$ID$396,FK$169,1+SwaptionShift):INDEX($FK$325:$ID$396,FK$169,SwaptionMonthsToGo+SwaptionShift))))))</f>
        <v/>
      </c>
      <c r="FL214" s="150" t="str">
        <f aca="false">IF(OR(FL$169&lt;SwaptionFirstMonthPosition+1,$FJ214&lt;SwaptionFirstMonthPosition+1,FL$169&gt;SwaptionFirstMonthPosition+SwaptionNumOfMonths+1,$FJ214&gt;SwaptionFirstMonthPosition+SwaptionNumOfMonths+1),"",IF($FJ214=FL$169,1,IF($FJ214&lt;FL$169,INDEX($FK$170:$ID$241,FL$169,$FJ214),SUMPRODUCT(INDEX($FK$325:$ID$396,FL$169,1+SwaptionShift):INDEX($FK$325:$ID$396,FL$169,SwaptionMonthsToGo+SwaptionShift),INDEX($FK$245:$ID$316,$FJ214-FL$169,73-FL$169+SwaptionShift):INDEX($FK$245:$ID$316,$FJ214-FL$169,72-FL$169+SwaptionMonthsToGo+SwaptionShift))/SQRT(SUM(INDEX($FK369:$ID369,1+SwaptionShift):INDEX($FK369:$ID369,SwaptionMonthsToGo+SwaptionShift))*SUM(INDEX($FK$325:$ID$396,FL$169,1+SwaptionShift):INDEX($FK$325:$ID$396,FL$169,SwaptionMonthsToGo+SwaptionShift))))))</f>
        <v/>
      </c>
      <c r="FM214" s="150" t="str">
        <f aca="false">IF(OR(FM$169&lt;SwaptionFirstMonthPosition+1,$FJ214&lt;SwaptionFirstMonthPosition+1,FM$169&gt;SwaptionFirstMonthPosition+SwaptionNumOfMonths+1,$FJ214&gt;SwaptionFirstMonthPosition+SwaptionNumOfMonths+1),"",IF($FJ214=FM$169,1,IF($FJ214&lt;FM$169,INDEX($FK$170:$ID$241,FM$169,$FJ214),SUMPRODUCT(INDEX($FK$325:$ID$396,FM$169,1+SwaptionShift):INDEX($FK$325:$ID$396,FM$169,SwaptionMonthsToGo+SwaptionShift),INDEX($FK$245:$ID$316,$FJ214-FM$169,73-FM$169+SwaptionShift):INDEX($FK$245:$ID$316,$FJ214-FM$169,72-FM$169+SwaptionMonthsToGo+SwaptionShift))/SQRT(SUM(INDEX($FK369:$ID369,1+SwaptionShift):INDEX($FK369:$ID369,SwaptionMonthsToGo+SwaptionShift))*SUM(INDEX($FK$325:$ID$396,FM$169,1+SwaptionShift):INDEX($FK$325:$ID$396,FM$169,SwaptionMonthsToGo+SwaptionShift))))))</f>
        <v/>
      </c>
      <c r="FN214" s="150" t="str">
        <f aca="false">IF(OR(FN$169&lt;SwaptionFirstMonthPosition+1,$FJ214&lt;SwaptionFirstMonthPosition+1,FN$169&gt;SwaptionFirstMonthPosition+SwaptionNumOfMonths+1,$FJ214&gt;SwaptionFirstMonthPosition+SwaptionNumOfMonths+1),"",IF($FJ214=FN$169,1,IF($FJ214&lt;FN$169,INDEX($FK$170:$ID$241,FN$169,$FJ214),SUMPRODUCT(INDEX($FK$325:$ID$396,FN$169,1+SwaptionShift):INDEX($FK$325:$ID$396,FN$169,SwaptionMonthsToGo+SwaptionShift),INDEX($FK$245:$ID$316,$FJ214-FN$169,73-FN$169+SwaptionShift):INDEX($FK$245:$ID$316,$FJ214-FN$169,72-FN$169+SwaptionMonthsToGo+SwaptionShift))/SQRT(SUM(INDEX($FK369:$ID369,1+SwaptionShift):INDEX($FK369:$ID369,SwaptionMonthsToGo+SwaptionShift))*SUM(INDEX($FK$325:$ID$396,FN$169,1+SwaptionShift):INDEX($FK$325:$ID$396,FN$169,SwaptionMonthsToGo+SwaptionShift))))))</f>
        <v/>
      </c>
      <c r="FO214" s="150" t="str">
        <f aca="false">IF(OR(FO$169&lt;SwaptionFirstMonthPosition+1,$FJ214&lt;SwaptionFirstMonthPosition+1,FO$169&gt;SwaptionFirstMonthPosition+SwaptionNumOfMonths+1,$FJ214&gt;SwaptionFirstMonthPosition+SwaptionNumOfMonths+1),"",IF($FJ214=FO$169,1,IF($FJ214&lt;FO$169,INDEX($FK$170:$ID$241,FO$169,$FJ214),SUMPRODUCT(INDEX($FK$325:$ID$396,FO$169,1+SwaptionShift):INDEX($FK$325:$ID$396,FO$169,SwaptionMonthsToGo+SwaptionShift),INDEX($FK$245:$ID$316,$FJ214-FO$169,73-FO$169+SwaptionShift):INDEX($FK$245:$ID$316,$FJ214-FO$169,72-FO$169+SwaptionMonthsToGo+SwaptionShift))/SQRT(SUM(INDEX($FK369:$ID369,1+SwaptionShift):INDEX($FK369:$ID369,SwaptionMonthsToGo+SwaptionShift))*SUM(INDEX($FK$325:$ID$396,FO$169,1+SwaptionShift):INDEX($FK$325:$ID$396,FO$169,SwaptionMonthsToGo+SwaptionShift))))))</f>
        <v/>
      </c>
      <c r="FP214" s="150" t="str">
        <f aca="false">IF(OR(FP$169&lt;SwaptionFirstMonthPosition+1,$FJ214&lt;SwaptionFirstMonthPosition+1,FP$169&gt;SwaptionFirstMonthPosition+SwaptionNumOfMonths+1,$FJ214&gt;SwaptionFirstMonthPosition+SwaptionNumOfMonths+1),"",IF($FJ214=FP$169,1,IF($FJ214&lt;FP$169,INDEX($FK$170:$ID$241,FP$169,$FJ214),SUMPRODUCT(INDEX($FK$325:$ID$396,FP$169,1+SwaptionShift):INDEX($FK$325:$ID$396,FP$169,SwaptionMonthsToGo+SwaptionShift),INDEX($FK$245:$ID$316,$FJ214-FP$169,73-FP$169+SwaptionShift):INDEX($FK$245:$ID$316,$FJ214-FP$169,72-FP$169+SwaptionMonthsToGo+SwaptionShift))/SQRT(SUM(INDEX($FK369:$ID369,1+SwaptionShift):INDEX($FK369:$ID369,SwaptionMonthsToGo+SwaptionShift))*SUM(INDEX($FK$325:$ID$396,FP$169,1+SwaptionShift):INDEX($FK$325:$ID$396,FP$169,SwaptionMonthsToGo+SwaptionShift))))))</f>
        <v/>
      </c>
      <c r="FQ214" s="150" t="str">
        <f aca="false">IF(OR(FQ$169&lt;SwaptionFirstMonthPosition+1,$FJ214&lt;SwaptionFirstMonthPosition+1,FQ$169&gt;SwaptionFirstMonthPosition+SwaptionNumOfMonths+1,$FJ214&gt;SwaptionFirstMonthPosition+SwaptionNumOfMonths+1),"",IF($FJ214=FQ$169,1,IF($FJ214&lt;FQ$169,INDEX($FK$170:$ID$241,FQ$169,$FJ214),SUMPRODUCT(INDEX($FK$325:$ID$396,FQ$169,1+SwaptionShift):INDEX($FK$325:$ID$396,FQ$169,SwaptionMonthsToGo+SwaptionShift),INDEX($FK$245:$ID$316,$FJ214-FQ$169,73-FQ$169+SwaptionShift):INDEX($FK$245:$ID$316,$FJ214-FQ$169,72-FQ$169+SwaptionMonthsToGo+SwaptionShift))/SQRT(SUM(INDEX($FK369:$ID369,1+SwaptionShift):INDEX($FK369:$ID369,SwaptionMonthsToGo+SwaptionShift))*SUM(INDEX($FK$325:$ID$396,FQ$169,1+SwaptionShift):INDEX($FK$325:$ID$396,FQ$169,SwaptionMonthsToGo+SwaptionShift))))))</f>
        <v/>
      </c>
      <c r="FR214" s="150" t="str">
        <f aca="false">IF(OR(FR$169&lt;SwaptionFirstMonthPosition+1,$FJ214&lt;SwaptionFirstMonthPosition+1,FR$169&gt;SwaptionFirstMonthPosition+SwaptionNumOfMonths+1,$FJ214&gt;SwaptionFirstMonthPosition+SwaptionNumOfMonths+1),"",IF($FJ214=FR$169,1,IF($FJ214&lt;FR$169,INDEX($FK$170:$ID$241,FR$169,$FJ214),SUMPRODUCT(INDEX($FK$325:$ID$396,FR$169,1+SwaptionShift):INDEX($FK$325:$ID$396,FR$169,SwaptionMonthsToGo+SwaptionShift),INDEX($FK$245:$ID$316,$FJ214-FR$169,73-FR$169+SwaptionShift):INDEX($FK$245:$ID$316,$FJ214-FR$169,72-FR$169+SwaptionMonthsToGo+SwaptionShift))/SQRT(SUM(INDEX($FK369:$ID369,1+SwaptionShift):INDEX($FK369:$ID369,SwaptionMonthsToGo+SwaptionShift))*SUM(INDEX($FK$325:$ID$396,FR$169,1+SwaptionShift):INDEX($FK$325:$ID$396,FR$169,SwaptionMonthsToGo+SwaptionShift))))))</f>
        <v/>
      </c>
      <c r="FS214" s="150" t="str">
        <f aca="false">IF(OR(FS$169&lt;SwaptionFirstMonthPosition+1,$FJ214&lt;SwaptionFirstMonthPosition+1,FS$169&gt;SwaptionFirstMonthPosition+SwaptionNumOfMonths+1,$FJ214&gt;SwaptionFirstMonthPosition+SwaptionNumOfMonths+1),"",IF($FJ214=FS$169,1,IF($FJ214&lt;FS$169,INDEX($FK$170:$ID$241,FS$169,$FJ214),SUMPRODUCT(INDEX($FK$325:$ID$396,FS$169,1+SwaptionShift):INDEX($FK$325:$ID$396,FS$169,SwaptionMonthsToGo+SwaptionShift),INDEX($FK$245:$ID$316,$FJ214-FS$169,73-FS$169+SwaptionShift):INDEX($FK$245:$ID$316,$FJ214-FS$169,72-FS$169+SwaptionMonthsToGo+SwaptionShift))/SQRT(SUM(INDEX($FK369:$ID369,1+SwaptionShift):INDEX($FK369:$ID369,SwaptionMonthsToGo+SwaptionShift))*SUM(INDEX($FK$325:$ID$396,FS$169,1+SwaptionShift):INDEX($FK$325:$ID$396,FS$169,SwaptionMonthsToGo+SwaptionShift))))))</f>
        <v/>
      </c>
      <c r="FT214" s="150" t="str">
        <f aca="false">IF(OR(FT$169&lt;SwaptionFirstMonthPosition+1,$FJ214&lt;SwaptionFirstMonthPosition+1,FT$169&gt;SwaptionFirstMonthPosition+SwaptionNumOfMonths+1,$FJ214&gt;SwaptionFirstMonthPosition+SwaptionNumOfMonths+1),"",IF($FJ214=FT$169,1,IF($FJ214&lt;FT$169,INDEX($FK$170:$ID$241,FT$169,$FJ214),SUMPRODUCT(INDEX($FK$325:$ID$396,FT$169,1+SwaptionShift):INDEX($FK$325:$ID$396,FT$169,SwaptionMonthsToGo+SwaptionShift),INDEX($FK$245:$ID$316,$FJ214-FT$169,73-FT$169+SwaptionShift):INDEX($FK$245:$ID$316,$FJ214-FT$169,72-FT$169+SwaptionMonthsToGo+SwaptionShift))/SQRT(SUM(INDEX($FK369:$ID369,1+SwaptionShift):INDEX($FK369:$ID369,SwaptionMonthsToGo+SwaptionShift))*SUM(INDEX($FK$325:$ID$396,FT$169,1+SwaptionShift):INDEX($FK$325:$ID$396,FT$169,SwaptionMonthsToGo+SwaptionShift))))))</f>
        <v/>
      </c>
      <c r="FU214" s="150" t="str">
        <f aca="false">IF(OR(FU$169&lt;SwaptionFirstMonthPosition+1,$FJ214&lt;SwaptionFirstMonthPosition+1,FU$169&gt;SwaptionFirstMonthPosition+SwaptionNumOfMonths+1,$FJ214&gt;SwaptionFirstMonthPosition+SwaptionNumOfMonths+1),"",IF($FJ214=FU$169,1,IF($FJ214&lt;FU$169,INDEX($FK$170:$ID$241,FU$169,$FJ214),SUMPRODUCT(INDEX($FK$325:$ID$396,FU$169,1+SwaptionShift):INDEX($FK$325:$ID$396,FU$169,SwaptionMonthsToGo+SwaptionShift),INDEX($FK$245:$ID$316,$FJ214-FU$169,73-FU$169+SwaptionShift):INDEX($FK$245:$ID$316,$FJ214-FU$169,72-FU$169+SwaptionMonthsToGo+SwaptionShift))/SQRT(SUM(INDEX($FK369:$ID369,1+SwaptionShift):INDEX($FK369:$ID369,SwaptionMonthsToGo+SwaptionShift))*SUM(INDEX($FK$325:$ID$396,FU$169,1+SwaptionShift):INDEX($FK$325:$ID$396,FU$169,SwaptionMonthsToGo+SwaptionShift))))))</f>
        <v/>
      </c>
      <c r="FV214" s="150" t="str">
        <f aca="false">IF(OR(FV$169&lt;SwaptionFirstMonthPosition+1,$FJ214&lt;SwaptionFirstMonthPosition+1,FV$169&gt;SwaptionFirstMonthPosition+SwaptionNumOfMonths+1,$FJ214&gt;SwaptionFirstMonthPosition+SwaptionNumOfMonths+1),"",IF($FJ214=FV$169,1,IF($FJ214&lt;FV$169,INDEX($FK$170:$ID$241,FV$169,$FJ214),SUMPRODUCT(INDEX($FK$325:$ID$396,FV$169,1+SwaptionShift):INDEX($FK$325:$ID$396,FV$169,SwaptionMonthsToGo+SwaptionShift),INDEX($FK$245:$ID$316,$FJ214-FV$169,73-FV$169+SwaptionShift):INDEX($FK$245:$ID$316,$FJ214-FV$169,72-FV$169+SwaptionMonthsToGo+SwaptionShift))/SQRT(SUM(INDEX($FK369:$ID369,1+SwaptionShift):INDEX($FK369:$ID369,SwaptionMonthsToGo+SwaptionShift))*SUM(INDEX($FK$325:$ID$396,FV$169,1+SwaptionShift):INDEX($FK$325:$ID$396,FV$169,SwaptionMonthsToGo+SwaptionShift))))))</f>
        <v/>
      </c>
      <c r="FW214" s="150" t="str">
        <f aca="false">IF(OR(FW$169&lt;SwaptionFirstMonthPosition+1,$FJ214&lt;SwaptionFirstMonthPosition+1,FW$169&gt;SwaptionFirstMonthPosition+SwaptionNumOfMonths+1,$FJ214&gt;SwaptionFirstMonthPosition+SwaptionNumOfMonths+1),"",IF($FJ214=FW$169,1,IF($FJ214&lt;FW$169,INDEX($FK$170:$ID$241,FW$169,$FJ214),SUMPRODUCT(INDEX($FK$325:$ID$396,FW$169,1+SwaptionShift):INDEX($FK$325:$ID$396,FW$169,SwaptionMonthsToGo+SwaptionShift),INDEX($FK$245:$ID$316,$FJ214-FW$169,73-FW$169+SwaptionShift):INDEX($FK$245:$ID$316,$FJ214-FW$169,72-FW$169+SwaptionMonthsToGo+SwaptionShift))/SQRT(SUM(INDEX($FK369:$ID369,1+SwaptionShift):INDEX($FK369:$ID369,SwaptionMonthsToGo+SwaptionShift))*SUM(INDEX($FK$325:$ID$396,FW$169,1+SwaptionShift):INDEX($FK$325:$ID$396,FW$169,SwaptionMonthsToGo+SwaptionShift))))))</f>
        <v/>
      </c>
      <c r="FX214" s="150" t="str">
        <f aca="false">IF(OR(FX$169&lt;SwaptionFirstMonthPosition+1,$FJ214&lt;SwaptionFirstMonthPosition+1,FX$169&gt;SwaptionFirstMonthPosition+SwaptionNumOfMonths+1,$FJ214&gt;SwaptionFirstMonthPosition+SwaptionNumOfMonths+1),"",IF($FJ214=FX$169,1,IF($FJ214&lt;FX$169,INDEX($FK$170:$ID$241,FX$169,$FJ214),SUMPRODUCT(INDEX($FK$325:$ID$396,FX$169,1+SwaptionShift):INDEX($FK$325:$ID$396,FX$169,SwaptionMonthsToGo+SwaptionShift),INDEX($FK$245:$ID$316,$FJ214-FX$169,73-FX$169+SwaptionShift):INDEX($FK$245:$ID$316,$FJ214-FX$169,72-FX$169+SwaptionMonthsToGo+SwaptionShift))/SQRT(SUM(INDEX($FK369:$ID369,1+SwaptionShift):INDEX($FK369:$ID369,SwaptionMonthsToGo+SwaptionShift))*SUM(INDEX($FK$325:$ID$396,FX$169,1+SwaptionShift):INDEX($FK$325:$ID$396,FX$169,SwaptionMonthsToGo+SwaptionShift))))))</f>
        <v/>
      </c>
      <c r="FY214" s="150" t="str">
        <f aca="false">IF(OR(FY$169&lt;SwaptionFirstMonthPosition+1,$FJ214&lt;SwaptionFirstMonthPosition+1,FY$169&gt;SwaptionFirstMonthPosition+SwaptionNumOfMonths+1,$FJ214&gt;SwaptionFirstMonthPosition+SwaptionNumOfMonths+1),"",IF($FJ214=FY$169,1,IF($FJ214&lt;FY$169,INDEX($FK$170:$ID$241,FY$169,$FJ214),SUMPRODUCT(INDEX($FK$325:$ID$396,FY$169,1+SwaptionShift):INDEX($FK$325:$ID$396,FY$169,SwaptionMonthsToGo+SwaptionShift),INDEX($FK$245:$ID$316,$FJ214-FY$169,73-FY$169+SwaptionShift):INDEX($FK$245:$ID$316,$FJ214-FY$169,72-FY$169+SwaptionMonthsToGo+SwaptionShift))/SQRT(SUM(INDEX($FK369:$ID369,1+SwaptionShift):INDEX($FK369:$ID369,SwaptionMonthsToGo+SwaptionShift))*SUM(INDEX($FK$325:$ID$396,FY$169,1+SwaptionShift):INDEX($FK$325:$ID$396,FY$169,SwaptionMonthsToGo+SwaptionShift))))))</f>
        <v/>
      </c>
      <c r="FZ214" s="150" t="str">
        <f aca="false">IF(OR(FZ$169&lt;SwaptionFirstMonthPosition+1,$FJ214&lt;SwaptionFirstMonthPosition+1,FZ$169&gt;SwaptionFirstMonthPosition+SwaptionNumOfMonths+1,$FJ214&gt;SwaptionFirstMonthPosition+SwaptionNumOfMonths+1),"",IF($FJ214=FZ$169,1,IF($FJ214&lt;FZ$169,INDEX($FK$170:$ID$241,FZ$169,$FJ214),SUMPRODUCT(INDEX($FK$325:$ID$396,FZ$169,1+SwaptionShift):INDEX($FK$325:$ID$396,FZ$169,SwaptionMonthsToGo+SwaptionShift),INDEX($FK$245:$ID$316,$FJ214-FZ$169,73-FZ$169+SwaptionShift):INDEX($FK$245:$ID$316,$FJ214-FZ$169,72-FZ$169+SwaptionMonthsToGo+SwaptionShift))/SQRT(SUM(INDEX($FK369:$ID369,1+SwaptionShift):INDEX($FK369:$ID369,SwaptionMonthsToGo+SwaptionShift))*SUM(INDEX($FK$325:$ID$396,FZ$169,1+SwaptionShift):INDEX($FK$325:$ID$396,FZ$169,SwaptionMonthsToGo+SwaptionShift))))))</f>
        <v/>
      </c>
      <c r="GA214" s="150" t="str">
        <f aca="false">IF(OR(GA$169&lt;SwaptionFirstMonthPosition+1,$FJ214&lt;SwaptionFirstMonthPosition+1,GA$169&gt;SwaptionFirstMonthPosition+SwaptionNumOfMonths+1,$FJ214&gt;SwaptionFirstMonthPosition+SwaptionNumOfMonths+1),"",IF($FJ214=GA$169,1,IF($FJ214&lt;GA$169,INDEX($FK$170:$ID$241,GA$169,$FJ214),SUMPRODUCT(INDEX($FK$325:$ID$396,GA$169,1+SwaptionShift):INDEX($FK$325:$ID$396,GA$169,SwaptionMonthsToGo+SwaptionShift),INDEX($FK$245:$ID$316,$FJ214-GA$169,73-GA$169+SwaptionShift):INDEX($FK$245:$ID$316,$FJ214-GA$169,72-GA$169+SwaptionMonthsToGo+SwaptionShift))/SQRT(SUM(INDEX($FK369:$ID369,1+SwaptionShift):INDEX($FK369:$ID369,SwaptionMonthsToGo+SwaptionShift))*SUM(INDEX($FK$325:$ID$396,GA$169,1+SwaptionShift):INDEX($FK$325:$ID$396,GA$169,SwaptionMonthsToGo+SwaptionShift))))))</f>
        <v/>
      </c>
      <c r="GB214" s="150" t="str">
        <f aca="false">IF(OR(GB$169&lt;SwaptionFirstMonthPosition+1,$FJ214&lt;SwaptionFirstMonthPosition+1,GB$169&gt;SwaptionFirstMonthPosition+SwaptionNumOfMonths+1,$FJ214&gt;SwaptionFirstMonthPosition+SwaptionNumOfMonths+1),"",IF($FJ214=GB$169,1,IF($FJ214&lt;GB$169,INDEX($FK$170:$ID$241,GB$169,$FJ214),SUMPRODUCT(INDEX($FK$325:$ID$396,GB$169,1+SwaptionShift):INDEX($FK$325:$ID$396,GB$169,SwaptionMonthsToGo+SwaptionShift),INDEX($FK$245:$ID$316,$FJ214-GB$169,73-GB$169+SwaptionShift):INDEX($FK$245:$ID$316,$FJ214-GB$169,72-GB$169+SwaptionMonthsToGo+SwaptionShift))/SQRT(SUM(INDEX($FK369:$ID369,1+SwaptionShift):INDEX($FK369:$ID369,SwaptionMonthsToGo+SwaptionShift))*SUM(INDEX($FK$325:$ID$396,GB$169,1+SwaptionShift):INDEX($FK$325:$ID$396,GB$169,SwaptionMonthsToGo+SwaptionShift))))))</f>
        <v/>
      </c>
      <c r="GC214" s="150" t="str">
        <f aca="false">IF(OR(GC$169&lt;SwaptionFirstMonthPosition+1,$FJ214&lt;SwaptionFirstMonthPosition+1,GC$169&gt;SwaptionFirstMonthPosition+SwaptionNumOfMonths+1,$FJ214&gt;SwaptionFirstMonthPosition+SwaptionNumOfMonths+1),"",IF($FJ214=GC$169,1,IF($FJ214&lt;GC$169,INDEX($FK$170:$ID$241,GC$169,$FJ214),SUMPRODUCT(INDEX($FK$325:$ID$396,GC$169,1+SwaptionShift):INDEX($FK$325:$ID$396,GC$169,SwaptionMonthsToGo+SwaptionShift),INDEX($FK$245:$ID$316,$FJ214-GC$169,73-GC$169+SwaptionShift):INDEX($FK$245:$ID$316,$FJ214-GC$169,72-GC$169+SwaptionMonthsToGo+SwaptionShift))/SQRT(SUM(INDEX($FK369:$ID369,1+SwaptionShift):INDEX($FK369:$ID369,SwaptionMonthsToGo+SwaptionShift))*SUM(INDEX($FK$325:$ID$396,GC$169,1+SwaptionShift):INDEX($FK$325:$ID$396,GC$169,SwaptionMonthsToGo+SwaptionShift))))))</f>
        <v/>
      </c>
      <c r="GD214" s="150" t="str">
        <f aca="false">IF(OR(GD$169&lt;SwaptionFirstMonthPosition+1,$FJ214&lt;SwaptionFirstMonthPosition+1,GD$169&gt;SwaptionFirstMonthPosition+SwaptionNumOfMonths+1,$FJ214&gt;SwaptionFirstMonthPosition+SwaptionNumOfMonths+1),"",IF($FJ214=GD$169,1,IF($FJ214&lt;GD$169,INDEX($FK$170:$ID$241,GD$169,$FJ214),SUMPRODUCT(INDEX($FK$325:$ID$396,GD$169,1+SwaptionShift):INDEX($FK$325:$ID$396,GD$169,SwaptionMonthsToGo+SwaptionShift),INDEX($FK$245:$ID$316,$FJ214-GD$169,73-GD$169+SwaptionShift):INDEX($FK$245:$ID$316,$FJ214-GD$169,72-GD$169+SwaptionMonthsToGo+SwaptionShift))/SQRT(SUM(INDEX($FK369:$ID369,1+SwaptionShift):INDEX($FK369:$ID369,SwaptionMonthsToGo+SwaptionShift))*SUM(INDEX($FK$325:$ID$396,GD$169,1+SwaptionShift):INDEX($FK$325:$ID$396,GD$169,SwaptionMonthsToGo+SwaptionShift))))))</f>
        <v/>
      </c>
      <c r="GE214" s="150" t="str">
        <f aca="false">IF(OR(GE$169&lt;SwaptionFirstMonthPosition+1,$FJ214&lt;SwaptionFirstMonthPosition+1,GE$169&gt;SwaptionFirstMonthPosition+SwaptionNumOfMonths+1,$FJ214&gt;SwaptionFirstMonthPosition+SwaptionNumOfMonths+1),"",IF($FJ214=GE$169,1,IF($FJ214&lt;GE$169,INDEX($FK$170:$ID$241,GE$169,$FJ214),SUMPRODUCT(INDEX($FK$325:$ID$396,GE$169,1+SwaptionShift):INDEX($FK$325:$ID$396,GE$169,SwaptionMonthsToGo+SwaptionShift),INDEX($FK$245:$ID$316,$FJ214-GE$169,73-GE$169+SwaptionShift):INDEX($FK$245:$ID$316,$FJ214-GE$169,72-GE$169+SwaptionMonthsToGo+SwaptionShift))/SQRT(SUM(INDEX($FK369:$ID369,1+SwaptionShift):INDEX($FK369:$ID369,SwaptionMonthsToGo+SwaptionShift))*SUM(INDEX($FK$325:$ID$396,GE$169,1+SwaptionShift):INDEX($FK$325:$ID$396,GE$169,SwaptionMonthsToGo+SwaptionShift))))))</f>
        <v/>
      </c>
      <c r="GF214" s="150" t="str">
        <f aca="false">IF(OR(GF$169&lt;SwaptionFirstMonthPosition+1,$FJ214&lt;SwaptionFirstMonthPosition+1,GF$169&gt;SwaptionFirstMonthPosition+SwaptionNumOfMonths+1,$FJ214&gt;SwaptionFirstMonthPosition+SwaptionNumOfMonths+1),"",IF($FJ214=GF$169,1,IF($FJ214&lt;GF$169,INDEX($FK$170:$ID$241,GF$169,$FJ214),SUMPRODUCT(INDEX($FK$325:$ID$396,GF$169,1+SwaptionShift):INDEX($FK$325:$ID$396,GF$169,SwaptionMonthsToGo+SwaptionShift),INDEX($FK$245:$ID$316,$FJ214-GF$169,73-GF$169+SwaptionShift):INDEX($FK$245:$ID$316,$FJ214-GF$169,72-GF$169+SwaptionMonthsToGo+SwaptionShift))/SQRT(SUM(INDEX($FK369:$ID369,1+SwaptionShift):INDEX($FK369:$ID369,SwaptionMonthsToGo+SwaptionShift))*SUM(INDEX($FK$325:$ID$396,GF$169,1+SwaptionShift):INDEX($FK$325:$ID$396,GF$169,SwaptionMonthsToGo+SwaptionShift))))))</f>
        <v/>
      </c>
      <c r="GG214" s="150" t="str">
        <f aca="false">IF(OR(GG$169&lt;SwaptionFirstMonthPosition+1,$FJ214&lt;SwaptionFirstMonthPosition+1,GG$169&gt;SwaptionFirstMonthPosition+SwaptionNumOfMonths+1,$FJ214&gt;SwaptionFirstMonthPosition+SwaptionNumOfMonths+1),"",IF($FJ214=GG$169,1,IF($FJ214&lt;GG$169,INDEX($FK$170:$ID$241,GG$169,$FJ214),SUMPRODUCT(INDEX($FK$325:$ID$396,GG$169,1+SwaptionShift):INDEX($FK$325:$ID$396,GG$169,SwaptionMonthsToGo+SwaptionShift),INDEX($FK$245:$ID$316,$FJ214-GG$169,73-GG$169+SwaptionShift):INDEX($FK$245:$ID$316,$FJ214-GG$169,72-GG$169+SwaptionMonthsToGo+SwaptionShift))/SQRT(SUM(INDEX($FK369:$ID369,1+SwaptionShift):INDEX($FK369:$ID369,SwaptionMonthsToGo+SwaptionShift))*SUM(INDEX($FK$325:$ID$396,GG$169,1+SwaptionShift):INDEX($FK$325:$ID$396,GG$169,SwaptionMonthsToGo+SwaptionShift))))))</f>
        <v/>
      </c>
      <c r="GH214" s="150" t="str">
        <f aca="false">IF(OR(GH$169&lt;SwaptionFirstMonthPosition+1,$FJ214&lt;SwaptionFirstMonthPosition+1,GH$169&gt;SwaptionFirstMonthPosition+SwaptionNumOfMonths+1,$FJ214&gt;SwaptionFirstMonthPosition+SwaptionNumOfMonths+1),"",IF($FJ214=GH$169,1,IF($FJ214&lt;GH$169,INDEX($FK$170:$ID$241,GH$169,$FJ214),SUMPRODUCT(INDEX($FK$325:$ID$396,GH$169,1+SwaptionShift):INDEX($FK$325:$ID$396,GH$169,SwaptionMonthsToGo+SwaptionShift),INDEX($FK$245:$ID$316,$FJ214-GH$169,73-GH$169+SwaptionShift):INDEX($FK$245:$ID$316,$FJ214-GH$169,72-GH$169+SwaptionMonthsToGo+SwaptionShift))/SQRT(SUM(INDEX($FK369:$ID369,1+SwaptionShift):INDEX($FK369:$ID369,SwaptionMonthsToGo+SwaptionShift))*SUM(INDEX($FK$325:$ID$396,GH$169,1+SwaptionShift):INDEX($FK$325:$ID$396,GH$169,SwaptionMonthsToGo+SwaptionShift))))))</f>
        <v/>
      </c>
      <c r="GI214" s="150" t="str">
        <f aca="false">IF(OR(GI$169&lt;SwaptionFirstMonthPosition+1,$FJ214&lt;SwaptionFirstMonthPosition+1,GI$169&gt;SwaptionFirstMonthPosition+SwaptionNumOfMonths+1,$FJ214&gt;SwaptionFirstMonthPosition+SwaptionNumOfMonths+1),"",IF($FJ214=GI$169,1,IF($FJ214&lt;GI$169,INDEX($FK$170:$ID$241,GI$169,$FJ214),SUMPRODUCT(INDEX($FK$325:$ID$396,GI$169,1+SwaptionShift):INDEX($FK$325:$ID$396,GI$169,SwaptionMonthsToGo+SwaptionShift),INDEX($FK$245:$ID$316,$FJ214-GI$169,73-GI$169+SwaptionShift):INDEX($FK$245:$ID$316,$FJ214-GI$169,72-GI$169+SwaptionMonthsToGo+SwaptionShift))/SQRT(SUM(INDEX($FK369:$ID369,1+SwaptionShift):INDEX($FK369:$ID369,SwaptionMonthsToGo+SwaptionShift))*SUM(INDEX($FK$325:$ID$396,GI$169,1+SwaptionShift):INDEX($FK$325:$ID$396,GI$169,SwaptionMonthsToGo+SwaptionShift))))))</f>
        <v/>
      </c>
      <c r="GJ214" s="150" t="str">
        <f aca="false">IF(OR(GJ$169&lt;SwaptionFirstMonthPosition+1,$FJ214&lt;SwaptionFirstMonthPosition+1,GJ$169&gt;SwaptionFirstMonthPosition+SwaptionNumOfMonths+1,$FJ214&gt;SwaptionFirstMonthPosition+SwaptionNumOfMonths+1),"",IF($FJ214=GJ$169,1,IF($FJ214&lt;GJ$169,INDEX($FK$170:$ID$241,GJ$169,$FJ214),SUMPRODUCT(INDEX($FK$325:$ID$396,GJ$169,1+SwaptionShift):INDEX($FK$325:$ID$396,GJ$169,SwaptionMonthsToGo+SwaptionShift),INDEX($FK$245:$ID$316,$FJ214-GJ$169,73-GJ$169+SwaptionShift):INDEX($FK$245:$ID$316,$FJ214-GJ$169,72-GJ$169+SwaptionMonthsToGo+SwaptionShift))/SQRT(SUM(INDEX($FK369:$ID369,1+SwaptionShift):INDEX($FK369:$ID369,SwaptionMonthsToGo+SwaptionShift))*SUM(INDEX($FK$325:$ID$396,GJ$169,1+SwaptionShift):INDEX($FK$325:$ID$396,GJ$169,SwaptionMonthsToGo+SwaptionShift))))))</f>
        <v/>
      </c>
      <c r="GK214" s="150" t="str">
        <f aca="false">IF(OR(GK$169&lt;SwaptionFirstMonthPosition+1,$FJ214&lt;SwaptionFirstMonthPosition+1,GK$169&gt;SwaptionFirstMonthPosition+SwaptionNumOfMonths+1,$FJ214&gt;SwaptionFirstMonthPosition+SwaptionNumOfMonths+1),"",IF($FJ214=GK$169,1,IF($FJ214&lt;GK$169,INDEX($FK$170:$ID$241,GK$169,$FJ214),SUMPRODUCT(INDEX($FK$325:$ID$396,GK$169,1+SwaptionShift):INDEX($FK$325:$ID$396,GK$169,SwaptionMonthsToGo+SwaptionShift),INDEX($FK$245:$ID$316,$FJ214-GK$169,73-GK$169+SwaptionShift):INDEX($FK$245:$ID$316,$FJ214-GK$169,72-GK$169+SwaptionMonthsToGo+SwaptionShift))/SQRT(SUM(INDEX($FK369:$ID369,1+SwaptionShift):INDEX($FK369:$ID369,SwaptionMonthsToGo+SwaptionShift))*SUM(INDEX($FK$325:$ID$396,GK$169,1+SwaptionShift):INDEX($FK$325:$ID$396,GK$169,SwaptionMonthsToGo+SwaptionShift))))))</f>
        <v/>
      </c>
      <c r="GL214" s="150" t="str">
        <f aca="false">IF(OR(GL$169&lt;SwaptionFirstMonthPosition+1,$FJ214&lt;SwaptionFirstMonthPosition+1,GL$169&gt;SwaptionFirstMonthPosition+SwaptionNumOfMonths+1,$FJ214&gt;SwaptionFirstMonthPosition+SwaptionNumOfMonths+1),"",IF($FJ214=GL$169,1,IF($FJ214&lt;GL$169,INDEX($FK$170:$ID$241,GL$169,$FJ214),SUMPRODUCT(INDEX($FK$325:$ID$396,GL$169,1+SwaptionShift):INDEX($FK$325:$ID$396,GL$169,SwaptionMonthsToGo+SwaptionShift),INDEX($FK$245:$ID$316,$FJ214-GL$169,73-GL$169+SwaptionShift):INDEX($FK$245:$ID$316,$FJ214-GL$169,72-GL$169+SwaptionMonthsToGo+SwaptionShift))/SQRT(SUM(INDEX($FK369:$ID369,1+SwaptionShift):INDEX($FK369:$ID369,SwaptionMonthsToGo+SwaptionShift))*SUM(INDEX($FK$325:$ID$396,GL$169,1+SwaptionShift):INDEX($FK$325:$ID$396,GL$169,SwaptionMonthsToGo+SwaptionShift))))))</f>
        <v/>
      </c>
      <c r="GM214" s="150" t="str">
        <f aca="false">IF(OR(GM$169&lt;SwaptionFirstMonthPosition+1,$FJ214&lt;SwaptionFirstMonthPosition+1,GM$169&gt;SwaptionFirstMonthPosition+SwaptionNumOfMonths+1,$FJ214&gt;SwaptionFirstMonthPosition+SwaptionNumOfMonths+1),"",IF($FJ214=GM$169,1,IF($FJ214&lt;GM$169,INDEX($FK$170:$ID$241,GM$169,$FJ214),SUMPRODUCT(INDEX($FK$325:$ID$396,GM$169,1+SwaptionShift):INDEX($FK$325:$ID$396,GM$169,SwaptionMonthsToGo+SwaptionShift),INDEX($FK$245:$ID$316,$FJ214-GM$169,73-GM$169+SwaptionShift):INDEX($FK$245:$ID$316,$FJ214-GM$169,72-GM$169+SwaptionMonthsToGo+SwaptionShift))/SQRT(SUM(INDEX($FK369:$ID369,1+SwaptionShift):INDEX($FK369:$ID369,SwaptionMonthsToGo+SwaptionShift))*SUM(INDEX($FK$325:$ID$396,GM$169,1+SwaptionShift):INDEX($FK$325:$ID$396,GM$169,SwaptionMonthsToGo+SwaptionShift))))))</f>
        <v/>
      </c>
      <c r="GN214" s="150" t="str">
        <f aca="false">IF(OR(GN$169&lt;SwaptionFirstMonthPosition+1,$FJ214&lt;SwaptionFirstMonthPosition+1,GN$169&gt;SwaptionFirstMonthPosition+SwaptionNumOfMonths+1,$FJ214&gt;SwaptionFirstMonthPosition+SwaptionNumOfMonths+1),"",IF($FJ214=GN$169,1,IF($FJ214&lt;GN$169,INDEX($FK$170:$ID$241,GN$169,$FJ214),SUMPRODUCT(INDEX($FK$325:$ID$396,GN$169,1+SwaptionShift):INDEX($FK$325:$ID$396,GN$169,SwaptionMonthsToGo+SwaptionShift),INDEX($FK$245:$ID$316,$FJ214-GN$169,73-GN$169+SwaptionShift):INDEX($FK$245:$ID$316,$FJ214-GN$169,72-GN$169+SwaptionMonthsToGo+SwaptionShift))/SQRT(SUM(INDEX($FK369:$ID369,1+SwaptionShift):INDEX($FK369:$ID369,SwaptionMonthsToGo+SwaptionShift))*SUM(INDEX($FK$325:$ID$396,GN$169,1+SwaptionShift):INDEX($FK$325:$ID$396,GN$169,SwaptionMonthsToGo+SwaptionShift))))))</f>
        <v/>
      </c>
      <c r="GO214" s="150" t="str">
        <f aca="false">IF(OR(GO$169&lt;SwaptionFirstMonthPosition+1,$FJ214&lt;SwaptionFirstMonthPosition+1,GO$169&gt;SwaptionFirstMonthPosition+SwaptionNumOfMonths+1,$FJ214&gt;SwaptionFirstMonthPosition+SwaptionNumOfMonths+1),"",IF($FJ214=GO$169,1,IF($FJ214&lt;GO$169,INDEX($FK$170:$ID$241,GO$169,$FJ214),SUMPRODUCT(INDEX($FK$325:$ID$396,GO$169,1+SwaptionShift):INDEX($FK$325:$ID$396,GO$169,SwaptionMonthsToGo+SwaptionShift),INDEX($FK$245:$ID$316,$FJ214-GO$169,73-GO$169+SwaptionShift):INDEX($FK$245:$ID$316,$FJ214-GO$169,72-GO$169+SwaptionMonthsToGo+SwaptionShift))/SQRT(SUM(INDEX($FK369:$ID369,1+SwaptionShift):INDEX($FK369:$ID369,SwaptionMonthsToGo+SwaptionShift))*SUM(INDEX($FK$325:$ID$396,GO$169,1+SwaptionShift):INDEX($FK$325:$ID$396,GO$169,SwaptionMonthsToGo+SwaptionShift))))))</f>
        <v/>
      </c>
      <c r="GP214" s="150" t="str">
        <f aca="false">IF(OR(GP$169&lt;SwaptionFirstMonthPosition+1,$FJ214&lt;SwaptionFirstMonthPosition+1,GP$169&gt;SwaptionFirstMonthPosition+SwaptionNumOfMonths+1,$FJ214&gt;SwaptionFirstMonthPosition+SwaptionNumOfMonths+1),"",IF($FJ214=GP$169,1,IF($FJ214&lt;GP$169,INDEX($FK$170:$ID$241,GP$169,$FJ214),SUMPRODUCT(INDEX($FK$325:$ID$396,GP$169,1+SwaptionShift):INDEX($FK$325:$ID$396,GP$169,SwaptionMonthsToGo+SwaptionShift),INDEX($FK$245:$ID$316,$FJ214-GP$169,73-GP$169+SwaptionShift):INDEX($FK$245:$ID$316,$FJ214-GP$169,72-GP$169+SwaptionMonthsToGo+SwaptionShift))/SQRT(SUM(INDEX($FK369:$ID369,1+SwaptionShift):INDEX($FK369:$ID369,SwaptionMonthsToGo+SwaptionShift))*SUM(INDEX($FK$325:$ID$396,GP$169,1+SwaptionShift):INDEX($FK$325:$ID$396,GP$169,SwaptionMonthsToGo+SwaptionShift))))))</f>
        <v/>
      </c>
      <c r="GQ214" s="150" t="str">
        <f aca="false">IF(OR(GQ$169&lt;SwaptionFirstMonthPosition+1,$FJ214&lt;SwaptionFirstMonthPosition+1,GQ$169&gt;SwaptionFirstMonthPosition+SwaptionNumOfMonths+1,$FJ214&gt;SwaptionFirstMonthPosition+SwaptionNumOfMonths+1),"",IF($FJ214=GQ$169,1,IF($FJ214&lt;GQ$169,INDEX($FK$170:$ID$241,GQ$169,$FJ214),SUMPRODUCT(INDEX($FK$325:$ID$396,GQ$169,1+SwaptionShift):INDEX($FK$325:$ID$396,GQ$169,SwaptionMonthsToGo+SwaptionShift),INDEX($FK$245:$ID$316,$FJ214-GQ$169,73-GQ$169+SwaptionShift):INDEX($FK$245:$ID$316,$FJ214-GQ$169,72-GQ$169+SwaptionMonthsToGo+SwaptionShift))/SQRT(SUM(INDEX($FK369:$ID369,1+SwaptionShift):INDEX($FK369:$ID369,SwaptionMonthsToGo+SwaptionShift))*SUM(INDEX($FK$325:$ID$396,GQ$169,1+SwaptionShift):INDEX($FK$325:$ID$396,GQ$169,SwaptionMonthsToGo+SwaptionShift))))))</f>
        <v/>
      </c>
      <c r="GR214" s="150" t="str">
        <f aca="false">IF(OR(GR$169&lt;SwaptionFirstMonthPosition+1,$FJ214&lt;SwaptionFirstMonthPosition+1,GR$169&gt;SwaptionFirstMonthPosition+SwaptionNumOfMonths+1,$FJ214&gt;SwaptionFirstMonthPosition+SwaptionNumOfMonths+1),"",IF($FJ214=GR$169,1,IF($FJ214&lt;GR$169,INDEX($FK$170:$ID$241,GR$169,$FJ214),SUMPRODUCT(INDEX($FK$325:$ID$396,GR$169,1+SwaptionShift):INDEX($FK$325:$ID$396,GR$169,SwaptionMonthsToGo+SwaptionShift),INDEX($FK$245:$ID$316,$FJ214-GR$169,73-GR$169+SwaptionShift):INDEX($FK$245:$ID$316,$FJ214-GR$169,72-GR$169+SwaptionMonthsToGo+SwaptionShift))/SQRT(SUM(INDEX($FK369:$ID369,1+SwaptionShift):INDEX($FK369:$ID369,SwaptionMonthsToGo+SwaptionShift))*SUM(INDEX($FK$325:$ID$396,GR$169,1+SwaptionShift):INDEX($FK$325:$ID$396,GR$169,SwaptionMonthsToGo+SwaptionShift))))))</f>
        <v/>
      </c>
      <c r="GS214" s="150" t="str">
        <f aca="false">IF(OR(GS$169&lt;SwaptionFirstMonthPosition+1,$FJ214&lt;SwaptionFirstMonthPosition+1,GS$169&gt;SwaptionFirstMonthPosition+SwaptionNumOfMonths+1,$FJ214&gt;SwaptionFirstMonthPosition+SwaptionNumOfMonths+1),"",IF($FJ214=GS$169,1,IF($FJ214&lt;GS$169,INDEX($FK$170:$ID$241,GS$169,$FJ214),SUMPRODUCT(INDEX($FK$325:$ID$396,GS$169,1+SwaptionShift):INDEX($FK$325:$ID$396,GS$169,SwaptionMonthsToGo+SwaptionShift),INDEX($FK$245:$ID$316,$FJ214-GS$169,73-GS$169+SwaptionShift):INDEX($FK$245:$ID$316,$FJ214-GS$169,72-GS$169+SwaptionMonthsToGo+SwaptionShift))/SQRT(SUM(INDEX($FK369:$ID369,1+SwaptionShift):INDEX($FK369:$ID369,SwaptionMonthsToGo+SwaptionShift))*SUM(INDEX($FK$325:$ID$396,GS$169,1+SwaptionShift):INDEX($FK$325:$ID$396,GS$169,SwaptionMonthsToGo+SwaptionShift))))))</f>
        <v/>
      </c>
      <c r="GT214" s="150" t="str">
        <f aca="false">IF(OR(GT$169&lt;SwaptionFirstMonthPosition+1,$FJ214&lt;SwaptionFirstMonthPosition+1,GT$169&gt;SwaptionFirstMonthPosition+SwaptionNumOfMonths+1,$FJ214&gt;SwaptionFirstMonthPosition+SwaptionNumOfMonths+1),"",IF($FJ214=GT$169,1,IF($FJ214&lt;GT$169,INDEX($FK$170:$ID$241,GT$169,$FJ214),SUMPRODUCT(INDEX($FK$325:$ID$396,GT$169,1+SwaptionShift):INDEX($FK$325:$ID$396,GT$169,SwaptionMonthsToGo+SwaptionShift),INDEX($FK$245:$ID$316,$FJ214-GT$169,73-GT$169+SwaptionShift):INDEX($FK$245:$ID$316,$FJ214-GT$169,72-GT$169+SwaptionMonthsToGo+SwaptionShift))/SQRT(SUM(INDEX($FK369:$ID369,1+SwaptionShift):INDEX($FK369:$ID369,SwaptionMonthsToGo+SwaptionShift))*SUM(INDEX($FK$325:$ID$396,GT$169,1+SwaptionShift):INDEX($FK$325:$ID$396,GT$169,SwaptionMonthsToGo+SwaptionShift))))))</f>
        <v/>
      </c>
      <c r="GU214" s="150" t="str">
        <f aca="false">IF(OR(GU$169&lt;SwaptionFirstMonthPosition+1,$FJ214&lt;SwaptionFirstMonthPosition+1,GU$169&gt;SwaptionFirstMonthPosition+SwaptionNumOfMonths+1,$FJ214&gt;SwaptionFirstMonthPosition+SwaptionNumOfMonths+1),"",IF($FJ214=GU$169,1,IF($FJ214&lt;GU$169,INDEX($FK$170:$ID$241,GU$169,$FJ214),SUMPRODUCT(INDEX($FK$325:$ID$396,GU$169,1+SwaptionShift):INDEX($FK$325:$ID$396,GU$169,SwaptionMonthsToGo+SwaptionShift),INDEX($FK$245:$ID$316,$FJ214-GU$169,73-GU$169+SwaptionShift):INDEX($FK$245:$ID$316,$FJ214-GU$169,72-GU$169+SwaptionMonthsToGo+SwaptionShift))/SQRT(SUM(INDEX($FK369:$ID369,1+SwaptionShift):INDEX($FK369:$ID369,SwaptionMonthsToGo+SwaptionShift))*SUM(INDEX($FK$325:$ID$396,GU$169,1+SwaptionShift):INDEX($FK$325:$ID$396,GU$169,SwaptionMonthsToGo+SwaptionShift))))))</f>
        <v/>
      </c>
      <c r="GV214" s="150" t="str">
        <f aca="false">IF(OR(GV$169&lt;SwaptionFirstMonthPosition+1,$FJ214&lt;SwaptionFirstMonthPosition+1,GV$169&gt;SwaptionFirstMonthPosition+SwaptionNumOfMonths+1,$FJ214&gt;SwaptionFirstMonthPosition+SwaptionNumOfMonths+1),"",IF($FJ214=GV$169,1,IF($FJ214&lt;GV$169,INDEX($FK$170:$ID$241,GV$169,$FJ214),SUMPRODUCT(INDEX($FK$325:$ID$396,GV$169,1+SwaptionShift):INDEX($FK$325:$ID$396,GV$169,SwaptionMonthsToGo+SwaptionShift),INDEX($FK$245:$ID$316,$FJ214-GV$169,73-GV$169+SwaptionShift):INDEX($FK$245:$ID$316,$FJ214-GV$169,72-GV$169+SwaptionMonthsToGo+SwaptionShift))/SQRT(SUM(INDEX($FK369:$ID369,1+SwaptionShift):INDEX($FK369:$ID369,SwaptionMonthsToGo+SwaptionShift))*SUM(INDEX($FK$325:$ID$396,GV$169,1+SwaptionShift):INDEX($FK$325:$ID$396,GV$169,SwaptionMonthsToGo+SwaptionShift))))))</f>
        <v/>
      </c>
      <c r="GW214" s="150" t="str">
        <f aca="false">IF(OR(GW$169&lt;SwaptionFirstMonthPosition+1,$FJ214&lt;SwaptionFirstMonthPosition+1,GW$169&gt;SwaptionFirstMonthPosition+SwaptionNumOfMonths+1,$FJ214&gt;SwaptionFirstMonthPosition+SwaptionNumOfMonths+1),"",IF($FJ214=GW$169,1,IF($FJ214&lt;GW$169,INDEX($FK$170:$ID$241,GW$169,$FJ214),SUMPRODUCT(INDEX($FK$325:$ID$396,GW$169,1+SwaptionShift):INDEX($FK$325:$ID$396,GW$169,SwaptionMonthsToGo+SwaptionShift),INDEX($FK$245:$ID$316,$FJ214-GW$169,73-GW$169+SwaptionShift):INDEX($FK$245:$ID$316,$FJ214-GW$169,72-GW$169+SwaptionMonthsToGo+SwaptionShift))/SQRT(SUM(INDEX($FK369:$ID369,1+SwaptionShift):INDEX($FK369:$ID369,SwaptionMonthsToGo+SwaptionShift))*SUM(INDEX($FK$325:$ID$396,GW$169,1+SwaptionShift):INDEX($FK$325:$ID$396,GW$169,SwaptionMonthsToGo+SwaptionShift))))))</f>
        <v/>
      </c>
      <c r="GX214" s="150" t="str">
        <f aca="false">IF(OR(GX$169&lt;SwaptionFirstMonthPosition+1,$FJ214&lt;SwaptionFirstMonthPosition+1,GX$169&gt;SwaptionFirstMonthPosition+SwaptionNumOfMonths+1,$FJ214&gt;SwaptionFirstMonthPosition+SwaptionNumOfMonths+1),"",IF($FJ214=GX$169,1,IF($FJ214&lt;GX$169,INDEX($FK$170:$ID$241,GX$169,$FJ214),SUMPRODUCT(INDEX($FK$325:$ID$396,GX$169,1+SwaptionShift):INDEX($FK$325:$ID$396,GX$169,SwaptionMonthsToGo+SwaptionShift),INDEX($FK$245:$ID$316,$FJ214-GX$169,73-GX$169+SwaptionShift):INDEX($FK$245:$ID$316,$FJ214-GX$169,72-GX$169+SwaptionMonthsToGo+SwaptionShift))/SQRT(SUM(INDEX($FK369:$ID369,1+SwaptionShift):INDEX($FK369:$ID369,SwaptionMonthsToGo+SwaptionShift))*SUM(INDEX($FK$325:$ID$396,GX$169,1+SwaptionShift):INDEX($FK$325:$ID$396,GX$169,SwaptionMonthsToGo+SwaptionShift))))))</f>
        <v/>
      </c>
      <c r="GY214" s="150" t="str">
        <f aca="false">IF(OR(GY$169&lt;SwaptionFirstMonthPosition+1,$FJ214&lt;SwaptionFirstMonthPosition+1,GY$169&gt;SwaptionFirstMonthPosition+SwaptionNumOfMonths+1,$FJ214&gt;SwaptionFirstMonthPosition+SwaptionNumOfMonths+1),"",IF($FJ214=GY$169,1,IF($FJ214&lt;GY$169,INDEX($FK$170:$ID$241,GY$169,$FJ214),SUMPRODUCT(INDEX($FK$325:$ID$396,GY$169,1+SwaptionShift):INDEX($FK$325:$ID$396,GY$169,SwaptionMonthsToGo+SwaptionShift),INDEX($FK$245:$ID$316,$FJ214-GY$169,73-GY$169+SwaptionShift):INDEX($FK$245:$ID$316,$FJ214-GY$169,72-GY$169+SwaptionMonthsToGo+SwaptionShift))/SQRT(SUM(INDEX($FK369:$ID369,1+SwaptionShift):INDEX($FK369:$ID369,SwaptionMonthsToGo+SwaptionShift))*SUM(INDEX($FK$325:$ID$396,GY$169,1+SwaptionShift):INDEX($FK$325:$ID$396,GY$169,SwaptionMonthsToGo+SwaptionShift))))))</f>
        <v/>
      </c>
      <c r="GZ214" s="150" t="str">
        <f aca="false">IF(OR(GZ$169&lt;SwaptionFirstMonthPosition+1,$FJ214&lt;SwaptionFirstMonthPosition+1,GZ$169&gt;SwaptionFirstMonthPosition+SwaptionNumOfMonths+1,$FJ214&gt;SwaptionFirstMonthPosition+SwaptionNumOfMonths+1),"",IF($FJ214=GZ$169,1,IF($FJ214&lt;GZ$169,INDEX($FK$170:$ID$241,GZ$169,$FJ214),SUMPRODUCT(INDEX($FK$325:$ID$396,GZ$169,1+SwaptionShift):INDEX($FK$325:$ID$396,GZ$169,SwaptionMonthsToGo+SwaptionShift),INDEX($FK$245:$ID$316,$FJ214-GZ$169,73-GZ$169+SwaptionShift):INDEX($FK$245:$ID$316,$FJ214-GZ$169,72-GZ$169+SwaptionMonthsToGo+SwaptionShift))/SQRT(SUM(INDEX($FK369:$ID369,1+SwaptionShift):INDEX($FK369:$ID369,SwaptionMonthsToGo+SwaptionShift))*SUM(INDEX($FK$325:$ID$396,GZ$169,1+SwaptionShift):INDEX($FK$325:$ID$396,GZ$169,SwaptionMonthsToGo+SwaptionShift))))))</f>
        <v/>
      </c>
      <c r="HA214" s="150" t="str">
        <f aca="false">IF(OR(HA$169&lt;SwaptionFirstMonthPosition+1,$FJ214&lt;SwaptionFirstMonthPosition+1,HA$169&gt;SwaptionFirstMonthPosition+SwaptionNumOfMonths+1,$FJ214&gt;SwaptionFirstMonthPosition+SwaptionNumOfMonths+1),"",IF($FJ214=HA$169,1,IF($FJ214&lt;HA$169,INDEX($FK$170:$ID$241,HA$169,$FJ214),SUMPRODUCT(INDEX($FK$325:$ID$396,HA$169,1+SwaptionShift):INDEX($FK$325:$ID$396,HA$169,SwaptionMonthsToGo+SwaptionShift),INDEX($FK$245:$ID$316,$FJ214-HA$169,73-HA$169+SwaptionShift):INDEX($FK$245:$ID$316,$FJ214-HA$169,72-HA$169+SwaptionMonthsToGo+SwaptionShift))/SQRT(SUM(INDEX($FK369:$ID369,1+SwaptionShift):INDEX($FK369:$ID369,SwaptionMonthsToGo+SwaptionShift))*SUM(INDEX($FK$325:$ID$396,HA$169,1+SwaptionShift):INDEX($FK$325:$ID$396,HA$169,SwaptionMonthsToGo+SwaptionShift))))))</f>
        <v/>
      </c>
      <c r="HB214" s="150" t="str">
        <f aca="false">IF(OR(HB$169&lt;SwaptionFirstMonthPosition+1,$FJ214&lt;SwaptionFirstMonthPosition+1,HB$169&gt;SwaptionFirstMonthPosition+SwaptionNumOfMonths+1,$FJ214&gt;SwaptionFirstMonthPosition+SwaptionNumOfMonths+1),"",IF($FJ214=HB$169,1,IF($FJ214&lt;HB$169,INDEX($FK$170:$ID$241,HB$169,$FJ214),SUMPRODUCT(INDEX($FK$325:$ID$396,HB$169,1+SwaptionShift):INDEX($FK$325:$ID$396,HB$169,SwaptionMonthsToGo+SwaptionShift),INDEX($FK$245:$ID$316,$FJ214-HB$169,73-HB$169+SwaptionShift):INDEX($FK$245:$ID$316,$FJ214-HB$169,72-HB$169+SwaptionMonthsToGo+SwaptionShift))/SQRT(SUM(INDEX($FK369:$ID369,1+SwaptionShift):INDEX($FK369:$ID369,SwaptionMonthsToGo+SwaptionShift))*SUM(INDEX($FK$325:$ID$396,HB$169,1+SwaptionShift):INDEX($FK$325:$ID$396,HB$169,SwaptionMonthsToGo+SwaptionShift))))))</f>
        <v/>
      </c>
      <c r="HC214" s="150" t="str">
        <f aca="false">IF(OR(HC$169&lt;SwaptionFirstMonthPosition+1,$FJ214&lt;SwaptionFirstMonthPosition+1,HC$169&gt;SwaptionFirstMonthPosition+SwaptionNumOfMonths+1,$FJ214&gt;SwaptionFirstMonthPosition+SwaptionNumOfMonths+1),"",IF($FJ214=HC$169,1,IF($FJ214&lt;HC$169,INDEX($FK$170:$ID$241,HC$169,$FJ214),SUMPRODUCT(INDEX($FK$325:$ID$396,HC$169,1+SwaptionShift):INDEX($FK$325:$ID$396,HC$169,SwaptionMonthsToGo+SwaptionShift),INDEX($FK$245:$ID$316,$FJ214-HC$169,73-HC$169+SwaptionShift):INDEX($FK$245:$ID$316,$FJ214-HC$169,72-HC$169+SwaptionMonthsToGo+SwaptionShift))/SQRT(SUM(INDEX($FK369:$ID369,1+SwaptionShift):INDEX($FK369:$ID369,SwaptionMonthsToGo+SwaptionShift))*SUM(INDEX($FK$325:$ID$396,HC$169,1+SwaptionShift):INDEX($FK$325:$ID$396,HC$169,SwaptionMonthsToGo+SwaptionShift))))))</f>
        <v/>
      </c>
      <c r="HD214" s="150" t="str">
        <f aca="false">IF(OR(HD$169&lt;SwaptionFirstMonthPosition+1,$FJ214&lt;SwaptionFirstMonthPosition+1,HD$169&gt;SwaptionFirstMonthPosition+SwaptionNumOfMonths+1,$FJ214&gt;SwaptionFirstMonthPosition+SwaptionNumOfMonths+1),"",IF($FJ214=HD$169,1,IF($FJ214&lt;HD$169,INDEX($FK$170:$ID$241,HD$169,$FJ214),SUMPRODUCT(INDEX($FK$325:$ID$396,HD$169,1+SwaptionShift):INDEX($FK$325:$ID$396,HD$169,SwaptionMonthsToGo+SwaptionShift),INDEX($FK$245:$ID$316,$FJ214-HD$169,73-HD$169+SwaptionShift):INDEX($FK$245:$ID$316,$FJ214-HD$169,72-HD$169+SwaptionMonthsToGo+SwaptionShift))/SQRT(SUM(INDEX($FK369:$ID369,1+SwaptionShift):INDEX($FK369:$ID369,SwaptionMonthsToGo+SwaptionShift))*SUM(INDEX($FK$325:$ID$396,HD$169,1+SwaptionShift):INDEX($FK$325:$ID$396,HD$169,SwaptionMonthsToGo+SwaptionShift))))))</f>
        <v/>
      </c>
      <c r="HE214" s="150" t="str">
        <f aca="false">IF(OR(HE$169&lt;SwaptionFirstMonthPosition+1,$FJ214&lt;SwaptionFirstMonthPosition+1,HE$169&gt;SwaptionFirstMonthPosition+SwaptionNumOfMonths+1,$FJ214&gt;SwaptionFirstMonthPosition+SwaptionNumOfMonths+1),"",IF($FJ214=HE$169,1,IF($FJ214&lt;HE$169,INDEX($FK$170:$ID$241,HE$169,$FJ214),SUMPRODUCT(INDEX($FK$325:$ID$396,HE$169,1+SwaptionShift):INDEX($FK$325:$ID$396,HE$169,SwaptionMonthsToGo+SwaptionShift),INDEX($FK$245:$ID$316,$FJ214-HE$169,73-HE$169+SwaptionShift):INDEX($FK$245:$ID$316,$FJ214-HE$169,72-HE$169+SwaptionMonthsToGo+SwaptionShift))/SQRT(SUM(INDEX($FK369:$ID369,1+SwaptionShift):INDEX($FK369:$ID369,SwaptionMonthsToGo+SwaptionShift))*SUM(INDEX($FK$325:$ID$396,HE$169,1+SwaptionShift):INDEX($FK$325:$ID$396,HE$169,SwaptionMonthsToGo+SwaptionShift))))))</f>
        <v/>
      </c>
      <c r="HF214" s="150" t="str">
        <f aca="false">IF(OR(HF$169&lt;SwaptionFirstMonthPosition+1,$FJ214&lt;SwaptionFirstMonthPosition+1,HF$169&gt;SwaptionFirstMonthPosition+SwaptionNumOfMonths+1,$FJ214&gt;SwaptionFirstMonthPosition+SwaptionNumOfMonths+1),"",IF($FJ214=HF$169,1,IF($FJ214&lt;HF$169,INDEX($FK$170:$ID$241,HF$169,$FJ214),SUMPRODUCT(INDEX($FK$325:$ID$396,HF$169,1+SwaptionShift):INDEX($FK$325:$ID$396,HF$169,SwaptionMonthsToGo+SwaptionShift),INDEX($FK$245:$ID$316,$FJ214-HF$169,73-HF$169+SwaptionShift):INDEX($FK$245:$ID$316,$FJ214-HF$169,72-HF$169+SwaptionMonthsToGo+SwaptionShift))/SQRT(SUM(INDEX($FK369:$ID369,1+SwaptionShift):INDEX($FK369:$ID369,SwaptionMonthsToGo+SwaptionShift))*SUM(INDEX($FK$325:$ID$396,HF$169,1+SwaptionShift):INDEX($FK$325:$ID$396,HF$169,SwaptionMonthsToGo+SwaptionShift))))))</f>
        <v/>
      </c>
      <c r="HG214" s="150" t="str">
        <f aca="false">IF(OR(HG$169&lt;SwaptionFirstMonthPosition+1,$FJ214&lt;SwaptionFirstMonthPosition+1,HG$169&gt;SwaptionFirstMonthPosition+SwaptionNumOfMonths+1,$FJ214&gt;SwaptionFirstMonthPosition+SwaptionNumOfMonths+1),"",IF($FJ214=HG$169,1,IF($FJ214&lt;HG$169,INDEX($FK$170:$ID$241,HG$169,$FJ214),SUMPRODUCT(INDEX($FK$325:$ID$396,HG$169,1+SwaptionShift):INDEX($FK$325:$ID$396,HG$169,SwaptionMonthsToGo+SwaptionShift),INDEX($FK$245:$ID$316,$FJ214-HG$169,73-HG$169+SwaptionShift):INDEX($FK$245:$ID$316,$FJ214-HG$169,72-HG$169+SwaptionMonthsToGo+SwaptionShift))/SQRT(SUM(INDEX($FK369:$ID369,1+SwaptionShift):INDEX($FK369:$ID369,SwaptionMonthsToGo+SwaptionShift))*SUM(INDEX($FK$325:$ID$396,HG$169,1+SwaptionShift):INDEX($FK$325:$ID$396,HG$169,SwaptionMonthsToGo+SwaptionShift))))))</f>
        <v/>
      </c>
      <c r="HH214" s="150" t="str">
        <f aca="false">IF(OR(HH$169&lt;SwaptionFirstMonthPosition+1,$FJ214&lt;SwaptionFirstMonthPosition+1,HH$169&gt;SwaptionFirstMonthPosition+SwaptionNumOfMonths+1,$FJ214&gt;SwaptionFirstMonthPosition+SwaptionNumOfMonths+1),"",IF($FJ214=HH$169,1,IF($FJ214&lt;HH$169,INDEX($FK$170:$ID$241,HH$169,$FJ214),SUMPRODUCT(INDEX($FK$325:$ID$396,HH$169,1+SwaptionShift):INDEX($FK$325:$ID$396,HH$169,SwaptionMonthsToGo+SwaptionShift),INDEX($FK$245:$ID$316,$FJ214-HH$169,73-HH$169+SwaptionShift):INDEX($FK$245:$ID$316,$FJ214-HH$169,72-HH$169+SwaptionMonthsToGo+SwaptionShift))/SQRT(SUM(INDEX($FK369:$ID369,1+SwaptionShift):INDEX($FK369:$ID369,SwaptionMonthsToGo+SwaptionShift))*SUM(INDEX($FK$325:$ID$396,HH$169,1+SwaptionShift):INDEX($FK$325:$ID$396,HH$169,SwaptionMonthsToGo+SwaptionShift))))))</f>
        <v/>
      </c>
      <c r="HI214" s="150" t="str">
        <f aca="false">IF(OR(HI$169&lt;SwaptionFirstMonthPosition+1,$FJ214&lt;SwaptionFirstMonthPosition+1,HI$169&gt;SwaptionFirstMonthPosition+SwaptionNumOfMonths+1,$FJ214&gt;SwaptionFirstMonthPosition+SwaptionNumOfMonths+1),"",IF($FJ214=HI$169,1,IF($FJ214&lt;HI$169,INDEX($FK$170:$ID$241,HI$169,$FJ214),SUMPRODUCT(INDEX($FK$325:$ID$396,HI$169,1+SwaptionShift):INDEX($FK$325:$ID$396,HI$169,SwaptionMonthsToGo+SwaptionShift),INDEX($FK$245:$ID$316,$FJ214-HI$169,73-HI$169+SwaptionShift):INDEX($FK$245:$ID$316,$FJ214-HI$169,72-HI$169+SwaptionMonthsToGo+SwaptionShift))/SQRT(SUM(INDEX($FK369:$ID369,1+SwaptionShift):INDEX($FK369:$ID369,SwaptionMonthsToGo+SwaptionShift))*SUM(INDEX($FK$325:$ID$396,HI$169,1+SwaptionShift):INDEX($FK$325:$ID$396,HI$169,SwaptionMonthsToGo+SwaptionShift))))))</f>
        <v/>
      </c>
      <c r="HJ214" s="150" t="str">
        <f aca="false">IF(OR(HJ$169&lt;SwaptionFirstMonthPosition+1,$FJ214&lt;SwaptionFirstMonthPosition+1,HJ$169&gt;SwaptionFirstMonthPosition+SwaptionNumOfMonths+1,$FJ214&gt;SwaptionFirstMonthPosition+SwaptionNumOfMonths+1),"",IF($FJ214=HJ$169,1,IF($FJ214&lt;HJ$169,INDEX($FK$170:$ID$241,HJ$169,$FJ214),SUMPRODUCT(INDEX($FK$325:$ID$396,HJ$169,1+SwaptionShift):INDEX($FK$325:$ID$396,HJ$169,SwaptionMonthsToGo+SwaptionShift),INDEX($FK$245:$ID$316,$FJ214-HJ$169,73-HJ$169+SwaptionShift):INDEX($FK$245:$ID$316,$FJ214-HJ$169,72-HJ$169+SwaptionMonthsToGo+SwaptionShift))/SQRT(SUM(INDEX($FK369:$ID369,1+SwaptionShift):INDEX($FK369:$ID369,SwaptionMonthsToGo+SwaptionShift))*SUM(INDEX($FK$325:$ID$396,HJ$169,1+SwaptionShift):INDEX($FK$325:$ID$396,HJ$169,SwaptionMonthsToGo+SwaptionShift))))))</f>
        <v/>
      </c>
      <c r="HK214" s="150" t="str">
        <f aca="false">IF(OR(HK$169&lt;SwaptionFirstMonthPosition+1,$FJ214&lt;SwaptionFirstMonthPosition+1,HK$169&gt;SwaptionFirstMonthPosition+SwaptionNumOfMonths+1,$FJ214&gt;SwaptionFirstMonthPosition+SwaptionNumOfMonths+1),"",IF($FJ214=HK$169,1,IF($FJ214&lt;HK$169,INDEX($FK$170:$ID$241,HK$169,$FJ214),SUMPRODUCT(INDEX($FK$325:$ID$396,HK$169,1+SwaptionShift):INDEX($FK$325:$ID$396,HK$169,SwaptionMonthsToGo+SwaptionShift),INDEX($FK$245:$ID$316,$FJ214-HK$169,73-HK$169+SwaptionShift):INDEX($FK$245:$ID$316,$FJ214-HK$169,72-HK$169+SwaptionMonthsToGo+SwaptionShift))/SQRT(SUM(INDEX($FK369:$ID369,1+SwaptionShift):INDEX($FK369:$ID369,SwaptionMonthsToGo+SwaptionShift))*SUM(INDEX($FK$325:$ID$396,HK$169,1+SwaptionShift):INDEX($FK$325:$ID$396,HK$169,SwaptionMonthsToGo+SwaptionShift))))))</f>
        <v/>
      </c>
      <c r="HL214" s="150" t="str">
        <f aca="false">IF(OR(HL$169&lt;SwaptionFirstMonthPosition+1,$FJ214&lt;SwaptionFirstMonthPosition+1,HL$169&gt;SwaptionFirstMonthPosition+SwaptionNumOfMonths+1,$FJ214&gt;SwaptionFirstMonthPosition+SwaptionNumOfMonths+1),"",IF($FJ214=HL$169,1,IF($FJ214&lt;HL$169,INDEX($FK$170:$ID$241,HL$169,$FJ214),SUMPRODUCT(INDEX($FK$325:$ID$396,HL$169,1+SwaptionShift):INDEX($FK$325:$ID$396,HL$169,SwaptionMonthsToGo+SwaptionShift),INDEX($FK$245:$ID$316,$FJ214-HL$169,73-HL$169+SwaptionShift):INDEX($FK$245:$ID$316,$FJ214-HL$169,72-HL$169+SwaptionMonthsToGo+SwaptionShift))/SQRT(SUM(INDEX($FK369:$ID369,1+SwaptionShift):INDEX($FK369:$ID369,SwaptionMonthsToGo+SwaptionShift))*SUM(INDEX($FK$325:$ID$396,HL$169,1+SwaptionShift):INDEX($FK$325:$ID$396,HL$169,SwaptionMonthsToGo+SwaptionShift))))))</f>
        <v/>
      </c>
      <c r="HM214" s="150" t="str">
        <f aca="false">IF(OR(HM$169&lt;SwaptionFirstMonthPosition+1,$FJ214&lt;SwaptionFirstMonthPosition+1,HM$169&gt;SwaptionFirstMonthPosition+SwaptionNumOfMonths+1,$FJ214&gt;SwaptionFirstMonthPosition+SwaptionNumOfMonths+1),"",IF($FJ214=HM$169,1,IF($FJ214&lt;HM$169,INDEX($FK$170:$ID$241,HM$169,$FJ214),SUMPRODUCT(INDEX($FK$325:$ID$396,HM$169,1+SwaptionShift):INDEX($FK$325:$ID$396,HM$169,SwaptionMonthsToGo+SwaptionShift),INDEX($FK$245:$ID$316,$FJ214-HM$169,73-HM$169+SwaptionShift):INDEX($FK$245:$ID$316,$FJ214-HM$169,72-HM$169+SwaptionMonthsToGo+SwaptionShift))/SQRT(SUM(INDEX($FK369:$ID369,1+SwaptionShift):INDEX($FK369:$ID369,SwaptionMonthsToGo+SwaptionShift))*SUM(INDEX($FK$325:$ID$396,HM$169,1+SwaptionShift):INDEX($FK$325:$ID$396,HM$169,SwaptionMonthsToGo+SwaptionShift))))))</f>
        <v/>
      </c>
      <c r="HN214" s="150" t="str">
        <f aca="false">IF(OR(HN$169&lt;SwaptionFirstMonthPosition+1,$FJ214&lt;SwaptionFirstMonthPosition+1,HN$169&gt;SwaptionFirstMonthPosition+SwaptionNumOfMonths+1,$FJ214&gt;SwaptionFirstMonthPosition+SwaptionNumOfMonths+1),"",IF($FJ214=HN$169,1,IF($FJ214&lt;HN$169,INDEX($FK$170:$ID$241,HN$169,$FJ214),SUMPRODUCT(INDEX($FK$325:$ID$396,HN$169,1+SwaptionShift):INDEX($FK$325:$ID$396,HN$169,SwaptionMonthsToGo+SwaptionShift),INDEX($FK$245:$ID$316,$FJ214-HN$169,73-HN$169+SwaptionShift):INDEX($FK$245:$ID$316,$FJ214-HN$169,72-HN$169+SwaptionMonthsToGo+SwaptionShift))/SQRT(SUM(INDEX($FK369:$ID369,1+SwaptionShift):INDEX($FK369:$ID369,SwaptionMonthsToGo+SwaptionShift))*SUM(INDEX($FK$325:$ID$396,HN$169,1+SwaptionShift):INDEX($FK$325:$ID$396,HN$169,SwaptionMonthsToGo+SwaptionShift))))))</f>
        <v/>
      </c>
      <c r="HO214" s="150" t="str">
        <f aca="false">IF(OR(HO$169&lt;SwaptionFirstMonthPosition+1,$FJ214&lt;SwaptionFirstMonthPosition+1,HO$169&gt;SwaptionFirstMonthPosition+SwaptionNumOfMonths+1,$FJ214&gt;SwaptionFirstMonthPosition+SwaptionNumOfMonths+1),"",IF($FJ214=HO$169,1,IF($FJ214&lt;HO$169,INDEX($FK$170:$ID$241,HO$169,$FJ214),SUMPRODUCT(INDEX($FK$325:$ID$396,HO$169,1+SwaptionShift):INDEX($FK$325:$ID$396,HO$169,SwaptionMonthsToGo+SwaptionShift),INDEX($FK$245:$ID$316,$FJ214-HO$169,73-HO$169+SwaptionShift):INDEX($FK$245:$ID$316,$FJ214-HO$169,72-HO$169+SwaptionMonthsToGo+SwaptionShift))/SQRT(SUM(INDEX($FK369:$ID369,1+SwaptionShift):INDEX($FK369:$ID369,SwaptionMonthsToGo+SwaptionShift))*SUM(INDEX($FK$325:$ID$396,HO$169,1+SwaptionShift):INDEX($FK$325:$ID$396,HO$169,SwaptionMonthsToGo+SwaptionShift))))))</f>
        <v/>
      </c>
      <c r="HP214" s="150" t="str">
        <f aca="false">IF(OR(HP$169&lt;SwaptionFirstMonthPosition+1,$FJ214&lt;SwaptionFirstMonthPosition+1,HP$169&gt;SwaptionFirstMonthPosition+SwaptionNumOfMonths+1,$FJ214&gt;SwaptionFirstMonthPosition+SwaptionNumOfMonths+1),"",IF($FJ214=HP$169,1,IF($FJ214&lt;HP$169,INDEX($FK$170:$ID$241,HP$169,$FJ214),SUMPRODUCT(INDEX($FK$325:$ID$396,HP$169,1+SwaptionShift):INDEX($FK$325:$ID$396,HP$169,SwaptionMonthsToGo+SwaptionShift),INDEX($FK$245:$ID$316,$FJ214-HP$169,73-HP$169+SwaptionShift):INDEX($FK$245:$ID$316,$FJ214-HP$169,72-HP$169+SwaptionMonthsToGo+SwaptionShift))/SQRT(SUM(INDEX($FK369:$ID369,1+SwaptionShift):INDEX($FK369:$ID369,SwaptionMonthsToGo+SwaptionShift))*SUM(INDEX($FK$325:$ID$396,HP$169,1+SwaptionShift):INDEX($FK$325:$ID$396,HP$169,SwaptionMonthsToGo+SwaptionShift))))))</f>
        <v/>
      </c>
      <c r="HQ214" s="150" t="str">
        <f aca="false">IF(OR(HQ$169&lt;SwaptionFirstMonthPosition+1,$FJ214&lt;SwaptionFirstMonthPosition+1,HQ$169&gt;SwaptionFirstMonthPosition+SwaptionNumOfMonths+1,$FJ214&gt;SwaptionFirstMonthPosition+SwaptionNumOfMonths+1),"",IF($FJ214=HQ$169,1,IF($FJ214&lt;HQ$169,INDEX($FK$170:$ID$241,HQ$169,$FJ214),SUMPRODUCT(INDEX($FK$325:$ID$396,HQ$169,1+SwaptionShift):INDEX($FK$325:$ID$396,HQ$169,SwaptionMonthsToGo+SwaptionShift),INDEX($FK$245:$ID$316,$FJ214-HQ$169,73-HQ$169+SwaptionShift):INDEX($FK$245:$ID$316,$FJ214-HQ$169,72-HQ$169+SwaptionMonthsToGo+SwaptionShift))/SQRT(SUM(INDEX($FK369:$ID369,1+SwaptionShift):INDEX($FK369:$ID369,SwaptionMonthsToGo+SwaptionShift))*SUM(INDEX($FK$325:$ID$396,HQ$169,1+SwaptionShift):INDEX($FK$325:$ID$396,HQ$169,SwaptionMonthsToGo+SwaptionShift))))))</f>
        <v/>
      </c>
      <c r="HR214" s="150" t="str">
        <f aca="false">IF(OR(HR$169&lt;SwaptionFirstMonthPosition+1,$FJ214&lt;SwaptionFirstMonthPosition+1,HR$169&gt;SwaptionFirstMonthPosition+SwaptionNumOfMonths+1,$FJ214&gt;SwaptionFirstMonthPosition+SwaptionNumOfMonths+1),"",IF($FJ214=HR$169,1,IF($FJ214&lt;HR$169,INDEX($FK$170:$ID$241,HR$169,$FJ214),SUMPRODUCT(INDEX($FK$325:$ID$396,HR$169,1+SwaptionShift):INDEX($FK$325:$ID$396,HR$169,SwaptionMonthsToGo+SwaptionShift),INDEX($FK$245:$ID$316,$FJ214-HR$169,73-HR$169+SwaptionShift):INDEX($FK$245:$ID$316,$FJ214-HR$169,72-HR$169+SwaptionMonthsToGo+SwaptionShift))/SQRT(SUM(INDEX($FK369:$ID369,1+SwaptionShift):INDEX($FK369:$ID369,SwaptionMonthsToGo+SwaptionShift))*SUM(INDEX($FK$325:$ID$396,HR$169,1+SwaptionShift):INDEX($FK$325:$ID$396,HR$169,SwaptionMonthsToGo+SwaptionShift))))))</f>
        <v/>
      </c>
      <c r="HS214" s="150" t="str">
        <f aca="false">IF(OR(HS$169&lt;SwaptionFirstMonthPosition+1,$FJ214&lt;SwaptionFirstMonthPosition+1,HS$169&gt;SwaptionFirstMonthPosition+SwaptionNumOfMonths+1,$FJ214&gt;SwaptionFirstMonthPosition+SwaptionNumOfMonths+1),"",IF($FJ214=HS$169,1,IF($FJ214&lt;HS$169,INDEX($FK$170:$ID$241,HS$169,$FJ214),SUMPRODUCT(INDEX($FK$325:$ID$396,HS$169,1+SwaptionShift):INDEX($FK$325:$ID$396,HS$169,SwaptionMonthsToGo+SwaptionShift),INDEX($FK$245:$ID$316,$FJ214-HS$169,73-HS$169+SwaptionShift):INDEX($FK$245:$ID$316,$FJ214-HS$169,72-HS$169+SwaptionMonthsToGo+SwaptionShift))/SQRT(SUM(INDEX($FK369:$ID369,1+SwaptionShift):INDEX($FK369:$ID369,SwaptionMonthsToGo+SwaptionShift))*SUM(INDEX($FK$325:$ID$396,HS$169,1+SwaptionShift):INDEX($FK$325:$ID$396,HS$169,SwaptionMonthsToGo+SwaptionShift))))))</f>
        <v/>
      </c>
      <c r="HT214" s="150" t="str">
        <f aca="false">IF(OR(HT$169&lt;SwaptionFirstMonthPosition+1,$FJ214&lt;SwaptionFirstMonthPosition+1,HT$169&gt;SwaptionFirstMonthPosition+SwaptionNumOfMonths+1,$FJ214&gt;SwaptionFirstMonthPosition+SwaptionNumOfMonths+1),"",IF($FJ214=HT$169,1,IF($FJ214&lt;HT$169,INDEX($FK$170:$ID$241,HT$169,$FJ214),SUMPRODUCT(INDEX($FK$325:$ID$396,HT$169,1+SwaptionShift):INDEX($FK$325:$ID$396,HT$169,SwaptionMonthsToGo+SwaptionShift),INDEX($FK$245:$ID$316,$FJ214-HT$169,73-HT$169+SwaptionShift):INDEX($FK$245:$ID$316,$FJ214-HT$169,72-HT$169+SwaptionMonthsToGo+SwaptionShift))/SQRT(SUM(INDEX($FK369:$ID369,1+SwaptionShift):INDEX($FK369:$ID369,SwaptionMonthsToGo+SwaptionShift))*SUM(INDEX($FK$325:$ID$396,HT$169,1+SwaptionShift):INDEX($FK$325:$ID$396,HT$169,SwaptionMonthsToGo+SwaptionShift))))))</f>
        <v/>
      </c>
      <c r="HU214" s="150" t="str">
        <f aca="false">IF(OR(HU$169&lt;SwaptionFirstMonthPosition+1,$FJ214&lt;SwaptionFirstMonthPosition+1,HU$169&gt;SwaptionFirstMonthPosition+SwaptionNumOfMonths+1,$FJ214&gt;SwaptionFirstMonthPosition+SwaptionNumOfMonths+1),"",IF($FJ214=HU$169,1,IF($FJ214&lt;HU$169,INDEX($FK$170:$ID$241,HU$169,$FJ214),SUMPRODUCT(INDEX($FK$325:$ID$396,HU$169,1+SwaptionShift):INDEX($FK$325:$ID$396,HU$169,SwaptionMonthsToGo+SwaptionShift),INDEX($FK$245:$ID$316,$FJ214-HU$169,73-HU$169+SwaptionShift):INDEX($FK$245:$ID$316,$FJ214-HU$169,72-HU$169+SwaptionMonthsToGo+SwaptionShift))/SQRT(SUM(INDEX($FK369:$ID369,1+SwaptionShift):INDEX($FK369:$ID369,SwaptionMonthsToGo+SwaptionShift))*SUM(INDEX($FK$325:$ID$396,HU$169,1+SwaptionShift):INDEX($FK$325:$ID$396,HU$169,SwaptionMonthsToGo+SwaptionShift))))))</f>
        <v/>
      </c>
      <c r="HV214" s="150" t="str">
        <f aca="false">IF(OR(HV$169&lt;SwaptionFirstMonthPosition+1,$FJ214&lt;SwaptionFirstMonthPosition+1,HV$169&gt;SwaptionFirstMonthPosition+SwaptionNumOfMonths+1,$FJ214&gt;SwaptionFirstMonthPosition+SwaptionNumOfMonths+1),"",IF($FJ214=HV$169,1,IF($FJ214&lt;HV$169,INDEX($FK$170:$ID$241,HV$169,$FJ214),SUMPRODUCT(INDEX($FK$325:$ID$396,HV$169,1+SwaptionShift):INDEX($FK$325:$ID$396,HV$169,SwaptionMonthsToGo+SwaptionShift),INDEX($FK$245:$ID$316,$FJ214-HV$169,73-HV$169+SwaptionShift):INDEX($FK$245:$ID$316,$FJ214-HV$169,72-HV$169+SwaptionMonthsToGo+SwaptionShift))/SQRT(SUM(INDEX($FK369:$ID369,1+SwaptionShift):INDEX($FK369:$ID369,SwaptionMonthsToGo+SwaptionShift))*SUM(INDEX($FK$325:$ID$396,HV$169,1+SwaptionShift):INDEX($FK$325:$ID$396,HV$169,SwaptionMonthsToGo+SwaptionShift))))))</f>
        <v/>
      </c>
      <c r="HW214" s="150" t="str">
        <f aca="false">IF(OR(HW$169&lt;SwaptionFirstMonthPosition+1,$FJ214&lt;SwaptionFirstMonthPosition+1,HW$169&gt;SwaptionFirstMonthPosition+SwaptionNumOfMonths+1,$FJ214&gt;SwaptionFirstMonthPosition+SwaptionNumOfMonths+1),"",IF($FJ214=HW$169,1,IF($FJ214&lt;HW$169,INDEX($FK$170:$ID$241,HW$169,$FJ214),SUMPRODUCT(INDEX($FK$325:$ID$396,HW$169,1+SwaptionShift):INDEX($FK$325:$ID$396,HW$169,SwaptionMonthsToGo+SwaptionShift),INDEX($FK$245:$ID$316,$FJ214-HW$169,73-HW$169+SwaptionShift):INDEX($FK$245:$ID$316,$FJ214-HW$169,72-HW$169+SwaptionMonthsToGo+SwaptionShift))/SQRT(SUM(INDEX($FK369:$ID369,1+SwaptionShift):INDEX($FK369:$ID369,SwaptionMonthsToGo+SwaptionShift))*SUM(INDEX($FK$325:$ID$396,HW$169,1+SwaptionShift):INDEX($FK$325:$ID$396,HW$169,SwaptionMonthsToGo+SwaptionShift))))))</f>
        <v/>
      </c>
      <c r="HX214" s="150" t="str">
        <f aca="false">IF(OR(HX$169&lt;SwaptionFirstMonthPosition+1,$FJ214&lt;SwaptionFirstMonthPosition+1,HX$169&gt;SwaptionFirstMonthPosition+SwaptionNumOfMonths+1,$FJ214&gt;SwaptionFirstMonthPosition+SwaptionNumOfMonths+1),"",IF($FJ214=HX$169,1,IF($FJ214&lt;HX$169,INDEX($FK$170:$ID$241,HX$169,$FJ214),SUMPRODUCT(INDEX($FK$325:$ID$396,HX$169,1+SwaptionShift):INDEX($FK$325:$ID$396,HX$169,SwaptionMonthsToGo+SwaptionShift),INDEX($FK$245:$ID$316,$FJ214-HX$169,73-HX$169+SwaptionShift):INDEX($FK$245:$ID$316,$FJ214-HX$169,72-HX$169+SwaptionMonthsToGo+SwaptionShift))/SQRT(SUM(INDEX($FK369:$ID369,1+SwaptionShift):INDEX($FK369:$ID369,SwaptionMonthsToGo+SwaptionShift))*SUM(INDEX($FK$325:$ID$396,HX$169,1+SwaptionShift):INDEX($FK$325:$ID$396,HX$169,SwaptionMonthsToGo+SwaptionShift))))))</f>
        <v/>
      </c>
      <c r="HY214" s="150" t="str">
        <f aca="false">IF(OR(HY$169&lt;SwaptionFirstMonthPosition+1,$FJ214&lt;SwaptionFirstMonthPosition+1,HY$169&gt;SwaptionFirstMonthPosition+SwaptionNumOfMonths+1,$FJ214&gt;SwaptionFirstMonthPosition+SwaptionNumOfMonths+1),"",IF($FJ214=HY$169,1,IF($FJ214&lt;HY$169,INDEX($FK$170:$ID$241,HY$169,$FJ214),SUMPRODUCT(INDEX($FK$325:$ID$396,HY$169,1+SwaptionShift):INDEX($FK$325:$ID$396,HY$169,SwaptionMonthsToGo+SwaptionShift),INDEX($FK$245:$ID$316,$FJ214-HY$169,73-HY$169+SwaptionShift):INDEX($FK$245:$ID$316,$FJ214-HY$169,72-HY$169+SwaptionMonthsToGo+SwaptionShift))/SQRT(SUM(INDEX($FK369:$ID369,1+SwaptionShift):INDEX($FK369:$ID369,SwaptionMonthsToGo+SwaptionShift))*SUM(INDEX($FK$325:$ID$396,HY$169,1+SwaptionShift):INDEX($FK$325:$ID$396,HY$169,SwaptionMonthsToGo+SwaptionShift))))))</f>
        <v/>
      </c>
      <c r="HZ214" s="150" t="str">
        <f aca="false">IF(OR(HZ$169&lt;SwaptionFirstMonthPosition+1,$FJ214&lt;SwaptionFirstMonthPosition+1,HZ$169&gt;SwaptionFirstMonthPosition+SwaptionNumOfMonths+1,$FJ214&gt;SwaptionFirstMonthPosition+SwaptionNumOfMonths+1),"",IF($FJ214=HZ$169,1,IF($FJ214&lt;HZ$169,INDEX($FK$170:$ID$241,HZ$169,$FJ214),SUMPRODUCT(INDEX($FK$325:$ID$396,HZ$169,1+SwaptionShift):INDEX($FK$325:$ID$396,HZ$169,SwaptionMonthsToGo+SwaptionShift),INDEX($FK$245:$ID$316,$FJ214-HZ$169,73-HZ$169+SwaptionShift):INDEX($FK$245:$ID$316,$FJ214-HZ$169,72-HZ$169+SwaptionMonthsToGo+SwaptionShift))/SQRT(SUM(INDEX($FK369:$ID369,1+SwaptionShift):INDEX($FK369:$ID369,SwaptionMonthsToGo+SwaptionShift))*SUM(INDEX($FK$325:$ID$396,HZ$169,1+SwaptionShift):INDEX($FK$325:$ID$396,HZ$169,SwaptionMonthsToGo+SwaptionShift))))))</f>
        <v/>
      </c>
      <c r="IA214" s="150" t="str">
        <f aca="false">IF(OR(IA$169&lt;SwaptionFirstMonthPosition+1,$FJ214&lt;SwaptionFirstMonthPosition+1,IA$169&gt;SwaptionFirstMonthPosition+SwaptionNumOfMonths+1,$FJ214&gt;SwaptionFirstMonthPosition+SwaptionNumOfMonths+1),"",IF($FJ214=IA$169,1,IF($FJ214&lt;IA$169,INDEX($FK$170:$ID$241,IA$169,$FJ214),SUMPRODUCT(INDEX($FK$325:$ID$396,IA$169,1+SwaptionShift):INDEX($FK$325:$ID$396,IA$169,SwaptionMonthsToGo+SwaptionShift),INDEX($FK$245:$ID$316,$FJ214-IA$169,73-IA$169+SwaptionShift):INDEX($FK$245:$ID$316,$FJ214-IA$169,72-IA$169+SwaptionMonthsToGo+SwaptionShift))/SQRT(SUM(INDEX($FK369:$ID369,1+SwaptionShift):INDEX($FK369:$ID369,SwaptionMonthsToGo+SwaptionShift))*SUM(INDEX($FK$325:$ID$396,IA$169,1+SwaptionShift):INDEX($FK$325:$ID$396,IA$169,SwaptionMonthsToGo+SwaptionShift))))))</f>
        <v/>
      </c>
      <c r="IB214" s="150" t="str">
        <f aca="false">IF(OR(IB$169&lt;SwaptionFirstMonthPosition+1,$FJ214&lt;SwaptionFirstMonthPosition+1,IB$169&gt;SwaptionFirstMonthPosition+SwaptionNumOfMonths+1,$FJ214&gt;SwaptionFirstMonthPosition+SwaptionNumOfMonths+1),"",IF($FJ214=IB$169,1,IF($FJ214&lt;IB$169,INDEX($FK$170:$ID$241,IB$169,$FJ214),SUMPRODUCT(INDEX($FK$325:$ID$396,IB$169,1+SwaptionShift):INDEX($FK$325:$ID$396,IB$169,SwaptionMonthsToGo+SwaptionShift),INDEX($FK$245:$ID$316,$FJ214-IB$169,73-IB$169+SwaptionShift):INDEX($FK$245:$ID$316,$FJ214-IB$169,72-IB$169+SwaptionMonthsToGo+SwaptionShift))/SQRT(SUM(INDEX($FK369:$ID369,1+SwaptionShift):INDEX($FK369:$ID369,SwaptionMonthsToGo+SwaptionShift))*SUM(INDEX($FK$325:$ID$396,IB$169,1+SwaptionShift):INDEX($FK$325:$ID$396,IB$169,SwaptionMonthsToGo+SwaptionShift))))))</f>
        <v/>
      </c>
      <c r="IC214" s="150" t="str">
        <f aca="false">IF(OR(IC$169&lt;SwaptionFirstMonthPosition+1,$FJ214&lt;SwaptionFirstMonthPosition+1,IC$169&gt;SwaptionFirstMonthPosition+SwaptionNumOfMonths+1,$FJ214&gt;SwaptionFirstMonthPosition+SwaptionNumOfMonths+1),"",IF($FJ214=IC$169,1,IF($FJ214&lt;IC$169,INDEX($FK$170:$ID$241,IC$169,$FJ214),SUMPRODUCT(INDEX($FK$325:$ID$396,IC$169,1+SwaptionShift):INDEX($FK$325:$ID$396,IC$169,SwaptionMonthsToGo+SwaptionShift),INDEX($FK$245:$ID$316,$FJ214-IC$169,73-IC$169+SwaptionShift):INDEX($FK$245:$ID$316,$FJ214-IC$169,72-IC$169+SwaptionMonthsToGo+SwaptionShift))/SQRT(SUM(INDEX($FK369:$ID369,1+SwaptionShift):INDEX($FK369:$ID369,SwaptionMonthsToGo+SwaptionShift))*SUM(INDEX($FK$325:$ID$396,IC$169,1+SwaptionShift):INDEX($FK$325:$ID$396,IC$169,SwaptionMonthsToGo+SwaptionShift))))))</f>
        <v/>
      </c>
      <c r="ID214" s="572" t="str">
        <f aca="false">IF(OR(ID$169&lt;SwaptionFirstMonthPosition+1,$FJ214&lt;SwaptionFirstMonthPosition+1,ID$169&gt;SwaptionFirstMonthPosition+SwaptionNumOfMonths+1,$FJ214&gt;SwaptionFirstMonthPosition+SwaptionNumOfMonths+1),"",IF($FJ214=ID$169,1,IF($FJ214&lt;ID$169,INDEX($FK$170:$ID$241,ID$169,$FJ214),SUMPRODUCT(INDEX($FK$325:$ID$396,ID$169,1+SwaptionShift):INDEX($FK$325:$ID$396,ID$169,SwaptionMonthsToGo+SwaptionShift),INDEX($FK$245:$ID$316,$FJ214-ID$169,73-ID$169+SwaptionShift):INDEX($FK$245:$ID$316,$FJ214-ID$169,72-ID$169+SwaptionMonthsToGo+SwaptionShift))/SQRT(SUM(INDEX($FK369:$ID369,1+SwaptionShift):INDEX($FK369:$ID369,SwaptionMonthsToGo+SwaptionShift))*SUM(INDEX($FK$325:$ID$396,ID$169,1+SwaptionShift):INDEX($FK$325:$ID$396,ID$169,SwaptionMonthsToGo+SwaptionShift))))))</f>
        <v/>
      </c>
      <c r="IE214" s="129"/>
    </row>
    <row r="215" customFormat="false" ht="12.75" hidden="false" customHeight="false" outlineLevel="0" collapsed="false">
      <c r="H215" s="219" t="n">
        <f aca="false">VLOOKUP(I215,$EJ$20:$EL$54,3)</f>
        <v>0</v>
      </c>
      <c r="I215" s="511" t="n">
        <f aca="false">EOMONTH(I214,0)+1</f>
        <v>42705</v>
      </c>
      <c r="J215" s="512"/>
      <c r="K215" s="513" t="s">
        <v>280</v>
      </c>
      <c r="L215" s="514" t="n">
        <f aca="false">IF(ISNUMBER(K215),J215+K215/100,IF(K215="extra",L214+VLOOKUP(BF215,PriceSpreadTable,2)/12,IF(K215="inter",interpolateprices($K$19:$L$200,ROW(K215)-ROW(FirstPricingMonth)+1),interpolatechanges($J$19:$K$200,ROW(K215)-ROW(FirstPricingMonth)+1))))</f>
        <v>4.4625</v>
      </c>
      <c r="M215" s="515"/>
      <c r="N215" s="516" t="n">
        <v>0</v>
      </c>
      <c r="O215" s="515" t="n">
        <f aca="false">M215+N215</f>
        <v>0</v>
      </c>
      <c r="P215" s="512"/>
      <c r="Q215" s="513" t="s">
        <v>280</v>
      </c>
      <c r="R215" s="512" t="e">
        <f aca="false">IF(ISNUMBER(Q215),P215+Q215/100,IF(Q215="extra",(Z213*AL213-R214*AM213)/AN213,IF(Q215="inter",interpolateprices($Q$19:$R$260,ROW(Q215)-ROW(FirstPricingMonth)+1),interpolatechanges($P$19:$Q$260,ROW(Q215)-ROW(FirstPricingMonth)+1))))</f>
        <v>#VALUE!</v>
      </c>
      <c r="S215" s="597" t="n">
        <f aca="false">S$19+(S214-S$19)*S$18</f>
        <v>0.36</v>
      </c>
      <c r="T215" s="575" t="n">
        <f aca="false">SQRT((1-(1-T214^2/U214)*T$18)*U215)</f>
        <v>0.999999999999994</v>
      </c>
      <c r="U215" s="576" t="n">
        <f aca="false">1-(1-U214)*U$18</f>
        <v>1</v>
      </c>
      <c r="V215" s="521" t="n">
        <v>0</v>
      </c>
      <c r="W215" s="577" t="n">
        <f aca="false">(J216*AJ215+J217*AK215)/AI215</f>
        <v>0</v>
      </c>
      <c r="X215" s="578" t="n">
        <f aca="false">(L216*AJ215+L217*AK215)/AI215</f>
        <v>4.51363636363637</v>
      </c>
      <c r="Y215" s="579" t="n">
        <f aca="false">IF(Q217="extra",W215-AA215,(P216*AM215+P217*AN215)/AL215)</f>
        <v>-1.1931</v>
      </c>
      <c r="Z215" s="579" t="n">
        <f aca="false">IF(Q217="extra",X215-AB215,(R216*AM215+R217*AN215)/AL215)</f>
        <v>3.32053636363637</v>
      </c>
      <c r="AA215" s="523" t="n">
        <f aca="false">IF(Q217="extra",INDEX(BrentSeasonalityTable,INT((BG215-1)/3)+1)*VLOOKUP(MAX(BF215,$AB$4),PriceSpreadTable,3),W215-Y215)</f>
        <v>1.1931</v>
      </c>
      <c r="AB215" s="524" t="n">
        <f aca="false">IF(Q217="extra",INDEX(BrentSeasonalityTable,INT((BG215-1)/3)+1)*VLOOKUP(MAX(BF215,$AB$4),PriceSpreadTable,3),X215-Z215)</f>
        <v>1.1931</v>
      </c>
      <c r="AC215" s="646" t="n">
        <v>42694</v>
      </c>
      <c r="AD215" s="646" t="n">
        <v>42690</v>
      </c>
      <c r="AE215" s="646" t="n">
        <v>42689</v>
      </c>
      <c r="AF215" s="646" t="n">
        <v>42685</v>
      </c>
      <c r="AG215" s="438" t="s">
        <v>278</v>
      </c>
      <c r="AH215" s="439" t="s">
        <v>278</v>
      </c>
      <c r="AI215" s="528" t="n">
        <v>22</v>
      </c>
      <c r="AJ215" s="529" t="n">
        <v>14</v>
      </c>
      <c r="AK215" s="529" t="n">
        <v>8</v>
      </c>
      <c r="AL215" s="530" t="n">
        <v>22</v>
      </c>
      <c r="AM215" s="529" t="n">
        <v>10</v>
      </c>
      <c r="AN215" s="531" t="n">
        <v>12</v>
      </c>
      <c r="AO215" s="532"/>
      <c r="AP215" s="465" t="n">
        <f aca="false">(1+AO215/2)^(-2*BL215)</f>
        <v>1</v>
      </c>
      <c r="AQ215" s="532"/>
      <c r="AR215" s="465" t="n">
        <f aca="false">(1+AQ215/2)^(-2*BH215/365.25)</f>
        <v>1</v>
      </c>
      <c r="AS215" s="580" t="n">
        <f aca="false">(O216*AJ215+O217*AK215)/AI215</f>
        <v>0</v>
      </c>
      <c r="AT215" s="468" t="n">
        <f aca="false">O215*VLOOKUP(BF215,BrentVolTable,2)+VLOOKUP(BF215,BrentVolTable,3)</f>
        <v>0</v>
      </c>
      <c r="AU215" s="468" t="n">
        <f aca="false">(AT216*AM215+AT217*AN215)/AL215</f>
        <v>0</v>
      </c>
      <c r="AV215" s="595" t="n">
        <f aca="false">SQRT(MAX(0.000000000001,(O215^2*BH215-S215^2*(BH215-BH214))/BH214))</f>
        <v>0.0350731891574318</v>
      </c>
      <c r="AW215" s="451" t="n">
        <f aca="false">IF($I215-DateToday+15&gt;=$T$8,"",IF($I215-DateToday+15&lt;$T$5,1,MATCH($I215-DateToday+15,$T$5:$T$8)))</f>
        <v>1</v>
      </c>
      <c r="AX215" s="468" t="n">
        <f aca="false">IF($AW215="",AX214^2/AX213,INDEX(U$5:U$8,$AW215)^((INDEX($T$5:$T$8,$AW215+1)-($I215-DateToday+15))/(INDEX($T$5:$T$8,$AW215+1)-INDEX($T$5:$T$8,$AW215)))/INDEX(U$5:U$8,$AW215+1)^((INDEX($T$5:$T$8,$AW215)-($I215-DateToday+15))/(INDEX($T$5:$T$8,$AW215+1)-INDEX($T$5:$T$8,$AW215))))</f>
        <v>0.194165288329074</v>
      </c>
      <c r="AY215" s="468" t="n">
        <f aca="false">IF($AW215="",AY214^2/AY213,INDEX(V$5:V$8,$AW215)^((INDEX($T$5:$T$8,$AW215+1)-($I215-DateToday+15))/(INDEX($T$5:$T$8,$AW215+1)-INDEX($T$5:$T$8,$AW215)))/INDEX(V$5:V$8,$AW215+1)^((INDEX($T$5:$T$8,$AW215)-($I215-DateToday+15))/(INDEX($T$5:$T$8,$AW215+1)-INDEX($T$5:$T$8,$AW215))))</f>
        <v>1.4110112878612</v>
      </c>
      <c r="AZ215" s="468" t="n">
        <f aca="false">IF($AW215="",AZ214^2/AZ213,INDEX(W$5:W$8,$AW215)^((INDEX($T$5:$T$8,$AW215+1)-($I215-DateToday+15))/(INDEX($T$5:$T$8,$AW215+1)-INDEX($T$5:$T$8,$AW215)))/INDEX(W$5:W$8,$AW215+1)^((INDEX($T$5:$T$8,$AW215)-($I215-DateToday+15))/(INDEX($T$5:$T$8,$AW215+1)-INDEX($T$5:$T$8,$AW215))))</f>
        <v>75.5190772435293</v>
      </c>
      <c r="BA215" s="468" t="n">
        <f aca="false">IF($AW215="",BA214^2/BA213,INDEX(X$5:X$8,$AW215)^((INDEX($T$5:$T$8,$AW215+1)-($I215-DateToday+15))/(INDEX($T$5:$T$8,$AW215+1)-INDEX($T$5:$T$8,$AW215)))/INDEX(X$5:X$8,$AW215+1)^((INDEX($T$5:$T$8,$AW215)-($I215-DateToday+15))/(INDEX($T$5:$T$8,$AW215+1)-INDEX($T$5:$T$8,$AW215))))</f>
        <v>152.741493826411</v>
      </c>
      <c r="BB215" s="468" t="n">
        <f aca="false">IF($AW215="",BB214^2/BB213,INDEX(Y$5:Y$8,$AW215)^((INDEX($T$5:$T$8,$AW215+1)-($I215-DateToday+15))/(INDEX($T$5:$T$8,$AW215+1)-INDEX($T$5:$T$8,$AW215)))/INDEX(Y$5:Y$8,$AW215+1)^((INDEX($T$5:$T$8,$AW215)-($I215-DateToday+15))/(INDEX($T$5:$T$8,$AW215+1)-INDEX($T$5:$T$8,$AW215))))</f>
        <v>612.644982934504</v>
      </c>
      <c r="BC215" s="468" t="n">
        <f aca="false">IF($AW215="",BC214^2/BC213,INDEX(Z$5:Z$8,$AW215)^((INDEX($T$5:$T$8,$AW215+1)-($I215-DateToday+15))/(INDEX($T$5:$T$8,$AW215+1)-INDEX($T$5:$T$8,$AW215)))/INDEX(Z$5:Z$8,$AW215+1)^((INDEX($T$5:$T$8,$AW215)-($I215-DateToday+15))/(INDEX($T$5:$T$8,$AW215+1)-INDEX($T$5:$T$8,$AW215))))</f>
        <v>1446.40980514692</v>
      </c>
      <c r="BD215" s="535" t="n">
        <f aca="false">IF(OR(DateStart&gt;=I216,DateEnd&lt;I215),0,IF(VolumeOverrideFlag,V215,Volume))</f>
        <v>0</v>
      </c>
      <c r="BE215" s="536" t="n">
        <f aca="false">IF(OR(DateStart2&gt;=I216,DateEnd2&lt;I215),0,IF(VolumeOverrideFlag,V215,VolumeSwaption))</f>
        <v>0</v>
      </c>
      <c r="BF215" s="537" t="n">
        <f aca="false">YEAR(I215)</f>
        <v>2016</v>
      </c>
      <c r="BG215" s="538" t="n">
        <f aca="false">MONTH(I215)</f>
        <v>12</v>
      </c>
      <c r="BH215" s="539" t="n">
        <f aca="false">AD215-DateToday+1</f>
        <v>-3235</v>
      </c>
      <c r="BI215" s="540" t="n">
        <f aca="false">(I215-DateToday+1)/365.25</f>
        <v>-8.81587953456537</v>
      </c>
      <c r="BJ215" s="541" t="n">
        <f aca="false">BI215+(BL215-BI215)*CHOOSE(Underlying,AJ215/AI215,AM215/AL215)</f>
        <v>-8.76361147408375</v>
      </c>
      <c r="BK215" s="541" t="n">
        <f aca="false">BJ215+1/365.25</f>
        <v>-8.76087362329662</v>
      </c>
      <c r="BL215" s="541" t="n">
        <f aca="false">(I216-DateToday)/365.25</f>
        <v>-8.7337440109514</v>
      </c>
      <c r="BM215" s="542" t="e">
        <f aca="false">MAX(BI215-(BJ215-BI215)*(S216^2/O216^2-1),0)</f>
        <v>#DIV/0!</v>
      </c>
      <c r="BN215" s="541" t="e">
        <f aca="false">MAX(BL215+(BL215-BK215)*(S217^2/O217^2-1),0)</f>
        <v>#DIV/0!</v>
      </c>
      <c r="BO215" s="530" t="n">
        <f aca="false">CHOOSE(Underlying,AI215,AL215)</f>
        <v>22</v>
      </c>
      <c r="BP215" s="529" t="n">
        <f aca="false">CHOOSE(Underlying,AJ215,AM215)</f>
        <v>14</v>
      </c>
      <c r="BQ215" s="529" t="n">
        <f aca="false">CHOOSE(Underlying,AK215,AN215)</f>
        <v>8</v>
      </c>
      <c r="BR215" s="463" t="str">
        <f aca="false">IF(BD215,IF(Underlying=1,X215,Z215)+UnderlyingPriceAsian-SwapPriceCurve,"")</f>
        <v/>
      </c>
      <c r="BS215" s="463" t="str">
        <f aca="false">IF(BD215,Strike1/BR215-1,"")</f>
        <v/>
      </c>
      <c r="BT215" s="464" t="str">
        <f aca="false">IF(BD215,Strike2/BR215-1,"")</f>
        <v/>
      </c>
      <c r="BU215" s="465" t="str">
        <f aca="false">IF(BD215,IF(Underlying=1,L216,R216)+UnderlyingPriceAsian-SwapPriceCurve,"")</f>
        <v/>
      </c>
      <c r="BV215" s="465" t="str">
        <f aca="false">IF(BD215,IF(Underlying=1,L217,R217)+UnderlyingPriceAsian-SwapPriceCurve,"")</f>
        <v/>
      </c>
      <c r="BW215" s="466" t="str">
        <f aca="false">IF(BD215,IF(Underlying=1,O216,AT216),"")</f>
        <v/>
      </c>
      <c r="BX215" s="467" t="str">
        <f aca="false">IF(BD215,IF(Underlying=1,O217,AT217),"")</f>
        <v/>
      </c>
      <c r="BY215" s="466" t="str">
        <f aca="false">IF(BD215,IF(BS215&gt;0,IF(BS215&gt;0.2,BC215-BB215,IF(BS215&gt;0.1,BB215-BA215,BA215)),IF(BS215&lt;-0.2,AX215-AY215,IF(BS215&lt;-0.1,AY215-AZ215,AZ215))),"")</f>
        <v/>
      </c>
      <c r="BZ215" s="467" t="str">
        <f aca="false">IF(BD215,IF(BT215&gt;0,IF(BT215&gt;0.2,BC215-BB215,IF(BT215&gt;0.1,BB215-BA215,BA215)),IF(BT215&lt;-0.2,AX215-AY215,IF(BT215&lt;-0.1,AY215-AZ215,AZ215))),"")</f>
        <v/>
      </c>
      <c r="CA215" s="468" t="str">
        <f aca="false">IF($BD215,$BW215+IF(VolSkewFlag=1,IF(BS215&gt;0,$BA215*MIN(BS215/10%,1)+($BB215-$BA215)*MAX(0,MIN(BS215/10%-1,1))+($BC215-$BB215)*MAX(0,BS215/10%-2),$AZ215*MIN(-BS215/10%,1)+($AY215-$AZ215)*MAX(0,MIN(-BS215/10%-1,1))+($AX215-$AY215)*MAX(0,-BS215/10%-2)),0),"")</f>
        <v/>
      </c>
      <c r="CB215" s="468" t="str">
        <f aca="false">IF($BD215,$BX215+IF(VolSkewFlag=1,IF(BS215&gt;0,$BA215*MIN(BS215/10%,1)+($BB215-$BA215)*MAX(0,MIN(BS215/10%-1,1))+($BC215-$BB215)*MAX(0,BS215/10%-2),$AZ215*MIN(-BS215/10%,1)+($AY215-$AZ215)*MAX(0,MIN(-BS215/10%-1,1))+($AX215-$AY215)*MAX(0,-BS215/10%-2)),0),"")</f>
        <v/>
      </c>
      <c r="CC215" s="468" t="str">
        <f aca="false">IF($BD215,$BW215+IF(VolSkewFlag=1,IF(BT215&gt;0,$BA215*MIN(BT215/10%,1)+($BB215-$BA215)*MAX(0,MIN(BT215/10%-1,1))+($BC215-$BB215)*MAX(0,BT215/10%-2),$AZ215*MIN(-BT215/10%,1)+($AY215-$AZ215)*MAX(0,MIN(-BT215/10%-1,1))+($AX215-$AY215)*MAX(0,-BT215/10%-2)),0),"")</f>
        <v/>
      </c>
      <c r="CD215" s="468" t="str">
        <f aca="false">IF($BD215,$BX215+IF(VolSkewFlag=1,IF(BT215&gt;0,$BA215*MIN(BT215/10%,1)+($BB215-$BA215)*MAX(0,MIN(BT215/10%-1,1))+($BC215-$BB215)*MAX(0,BT215/10%-2),$AZ215*MIN(-BT215/10%,1)+($AY215-$AZ215)*MAX(0,MIN(-BT215/10%-1,1))+($AX215-$AY215)*MAX(0,-BT215/10%-2)),0),"")</f>
        <v/>
      </c>
      <c r="CE215" s="469" t="n">
        <v>1</v>
      </c>
      <c r="CF215" s="470" t="n">
        <f aca="false">IF(BD215,xCrudeAPO(BU215,BV215,CA215,CB215,S216,S217,BI215,BL215,BP215,BQ215,0,Strike1,AO215,CE215,0,BL215,IF(OptControl=4,0,1),0,1),0)</f>
        <v>0</v>
      </c>
      <c r="CG215" s="470" t="n">
        <f aca="false">IF(BD215,xCrudeAPO(BU215,BV215,CA215,CB215,S216,S217,BI215,BL215,BP215,BQ215,0,Strike1,AO215,CE215,0,BL215,IF(OptControl=4,0,1),1,1)+xCrudeAPO(BU215,BV215,CA215,CB215,S216,S217,BI215,BL215,BP215,BQ215,0,Strike1,AO215,CE215,0,BL215,IF(OptControl=4,0,1),1,2)+IF(OR(VolSkewFlag=2,ABS(BS215)&lt;0.0001),0,IF(BS215&gt;0,-1,1)*CH215*Strike1/BR215^2*BY215/10%),0)</f>
        <v>0</v>
      </c>
      <c r="CH215" s="470" t="n">
        <f aca="false">IF(BD215,(xCrudeAPO(BU215,BV215,CA215,CB215,S216,S217,BI215,BL215,BP215,BQ215,0,Strike1,AO215,CE215,0,BL215,IF(OptControl=4,0,1),3,1)+xCrudeAPO(BU215,BV215,CA215,CB215,S216,S217,BI215,BL215,BP215,BQ215,0,Strike1,AO215,CE215,0,BL215,IF(OptControl=4,0,1),3,2))/100,0)</f>
        <v>0</v>
      </c>
      <c r="CI215" s="470" t="n">
        <f aca="false">IF(BD215,xCrudeAPO(BU215,BV215,CA215,CB215,S216,S217,BI215-DaysForThetaCalculation/365.25,BL215-DaysForThetaCalculation/365.25,BP215,BQ215,0,Strike1,AO215,CE215,0,BL215,IF(OptControl=4,0,1),0,1)-xCrudeAPO(BU215,BV215,CA215,CB215,S216,S217,BI215,BL215,BP215,BQ215,0,Strike1,AO215,CE215,0,BL215,IF(OptControl=4,0,1),0,1),0)</f>
        <v>0</v>
      </c>
      <c r="CJ215" s="471" t="n">
        <f aca="false">IF(BD215,xCrudeAPO(BU215,BV215,CC215,CD215,S216,S217,BI215,BL215,BP215,BQ215,0,Strike2,AO215,CE215,0,BL215,IF(OptControl=3,1,0),0,1),0)</f>
        <v>0</v>
      </c>
      <c r="CK215" s="470" t="n">
        <f aca="false">IF(BD215,xCrudeAPO(BU215,BV215,CC215,CD215,S216,S217,BI215,BL215,BP215,BQ215,0,Strike2,AO215,CE215,0,BL215,IF(OptControl=3,1,0),1,1)+xCrudeAPO(BU215,BV215,CC215,CD215,S216,S217,BI215,BL215,BP215,BQ215,0,Strike2,AO215,CE215,0,BL215,IF(OptControl=3,1,0),1,2)+IF(OR(VolSkewFlag=2,ABS(BT215)&lt;0.0001),0,IF(BT215&gt;0,-1,1)*CL215*Strike2/BR215^2*BZ215/10%),0)</f>
        <v>0</v>
      </c>
      <c r="CL215" s="470" t="n">
        <f aca="false">IF(BD215,(xCrudeAPO(BU215,BV215,CC215,CD215,S216,S217,BI215,BL215,BP215,BQ215,0,Strike2,AO215,CE215,0,BL215,IF(OptControl=3,1,0),3,1)+xCrudeAPO(BU215,BV215,CC215,CD215,S216,S217,BI215,BL215,BP215,BQ215,0,Strike2,AO215,CE215,0,BL215,IF(OptControl=3,1,0),3,2))/100,0)</f>
        <v>0</v>
      </c>
      <c r="CM215" s="472" t="n">
        <f aca="false">IF(BD215,xCrudeAPO(BU215,BV215,CC215,CD215,S216,S217,BI215-DaysForThetaCalculation/365.25,BL215-DaysForThetaCalculation/365.25,BP215,BQ215,0,Strike2,AO215,CE215,0,BL215,IF(OptControl=3,1,0),0,1)-xCrudeAPO(BU215,BV215,CC215,CD215,S216,S217,BI215,BL215,BP215,BQ215,0,Strike2,AO215,CE215,0,BL215,IF(OptControl=3,1,0),0,1),0)</f>
        <v>0</v>
      </c>
      <c r="CN215" s="3"/>
      <c r="CO215" s="543" t="str">
        <f aca="false">IF(BD215,CHOOSE(Underlying,AD215,AF215)-DateToday+1,"")</f>
        <v/>
      </c>
      <c r="CP215" s="582" t="str">
        <f aca="false">IF(BD215,CHOOSE(Underlying,L215,R215),"")</f>
        <v/>
      </c>
      <c r="CQ215" s="544" t="str">
        <f aca="false">IF(BD215,Strike1/CP215-1,"")</f>
        <v/>
      </c>
      <c r="CR215" s="544" t="str">
        <f aca="false">IF(BD215,Strike2/CP215-1,"")</f>
        <v/>
      </c>
      <c r="CS215" s="544" t="str">
        <f aca="false">IF(BD215,IF(CQ215&gt;0,IF(CQ215&gt;0.2,BC214-BB214,IF(CQ215&gt;0.1,BB214-BA214,BA214)),IF(CQ215&lt;-0.2,AX214-AY214,IF(CQ215&lt;-0.1,AY214-AZ214,AZ214))),"")</f>
        <v/>
      </c>
      <c r="CT215" s="544" t="str">
        <f aca="false">IF(BD215,IF(CR215&gt;0,IF(CR215&gt;0.2,BC214-BB214,IF(CR215&gt;0.1,BB214-BA214,BA214)),IF(CR215&lt;-0.2,AX214-AY214,IF(CR215&lt;-0.1,AY214-AZ214,AZ214))),"")</f>
        <v/>
      </c>
      <c r="CU215" s="545" t="str">
        <f aca="false">IF(BD215,CHOOSE(Underlying,O215,AT215),"")</f>
        <v/>
      </c>
      <c r="CV215" s="545" t="str">
        <f aca="false">IF(BD215,CU215+IF(VolSkewFlag=1,IF(CQ215&gt;0,BA214*MIN(CQ215/10%,1)+(BB214-BA214)*MAX(0,MIN(CQ215/10%-1,1))+(BC214-BB214)*MAX(0,CQ215/10%-2),AZ214*MIN(-CQ215/10%,1)+(AY214-AZ214)*MAX(0,MIN(-CQ215/10%-1,1))+(AX214-AY214)*MAX(0,-CQ215/10%-2)),0),"")</f>
        <v/>
      </c>
      <c r="CW215" s="545" t="str">
        <f aca="false">IF(BD215,CU215+IF(VolSkewFlag=1,IF(CR215&gt;0,BA214*MIN(CR215/10%,1)+(BB214-BA214)*MAX(0,MIN(CR215/10%-1,1))+(BC214-BB214)*MAX(0,CR215/10%-2),AZ214*MIN(-CR215/10%,1)+(AY214-AZ214)*MAX(0,MIN(-CR215/10%-1,1))+(AX214-AY214)*MAX(0,-CR215/10%-2)),0),"")</f>
        <v/>
      </c>
      <c r="CX215" s="470" t="n">
        <f aca="false">IF(BD215,EURO(CP215,Strike1,AO215,AO215,CV215,CO215,IF(OptControl=4,0,1),0),0)</f>
        <v>0</v>
      </c>
      <c r="CY215" s="470" t="n">
        <f aca="false">IF(BD215,EURO(CP215,Strike1,AO215,AO215,CV215,CO215,IF(OptControl=4,0,1),1)+IF(OR(VolSkewFlag=2,ABS(CQ215)&lt;0.0001),0,IF(CQ215&gt;0,-1,1)*CZ215*100*Strike1/CP215^2*CS215/10%),0)</f>
        <v>0</v>
      </c>
      <c r="CZ215" s="470" t="n">
        <f aca="false">IF(BD215,EURO(CP215,Strike1,AO215,AO215,CV215,CO215,IF(OptControl=4,0,1),3)/100,0)</f>
        <v>0</v>
      </c>
      <c r="DA215" s="470" t="n">
        <f aca="false">IF(BD215,EURO(CP215,Strike1,AO215,AO215,CV215,CO215,IF(OptControl=4,0,1),0)-EURO(CP215,Strike1,AO215,AO215,CV215,CO215-1,IF(OptControl=4,0,1),0),0)</f>
        <v>0</v>
      </c>
      <c r="DB215" s="470" t="n">
        <f aca="false">IF(BD215,EURO(CP215,Strike2,AO215,AO215,CW215,CO215,IF(OptControl=3,1,0),0),0)</f>
        <v>0</v>
      </c>
      <c r="DC215" s="470" t="n">
        <f aca="false">IF(BD215,EURO(CP215,Strike2,AO215,AO215,CW215,CO215,IF(OptControl=3,1,0),1)+IF(OR(VolSkewFlag=2,ABS(CR215)&lt;0.0001),0,IF(CR215&gt;0,-1,1)*DD215*100*Strike2/CP215^2*CT215/10%),0)</f>
        <v>0</v>
      </c>
      <c r="DD215" s="470" t="n">
        <f aca="false">IF(BD215,EURO(CP215,Strike2,AO215,AO215,CW215,CO215,IF(OptControl=3,1,0),3)/100,0)</f>
        <v>0</v>
      </c>
      <c r="DE215" s="472" t="n">
        <f aca="false">IF(BD215,EURO(CP215,Strike2,AO215,AO215,CW215,CO215,IF(OptControl=3,1,0),0)-EURO(CP215,Strike2,AO215,AO215,CW215,CO215-1,IF(OptControl=3,1,0),0),0)</f>
        <v>0</v>
      </c>
      <c r="DG215" s="481" t="n">
        <f aca="false">EOMONTH(DG214,0)+1</f>
        <v>51622</v>
      </c>
      <c r="DH215" s="478" t="n">
        <v>23.9100000000001</v>
      </c>
      <c r="DI215" s="479" t="n">
        <v>23.9759090909092</v>
      </c>
      <c r="DJ215" s="480" t="n">
        <f aca="false">DG215</f>
        <v>51622</v>
      </c>
      <c r="DK215" s="478" t="n">
        <v>22.7455727613422</v>
      </c>
      <c r="DL215" s="479" t="n">
        <v>22.6844090909092</v>
      </c>
      <c r="DM215" s="481" t="n">
        <f aca="false">DG215</f>
        <v>51622</v>
      </c>
      <c r="DN215" s="482" t="n">
        <f aca="false">DK215+BrentPhyBrentSpread</f>
        <v>22.7955727613422</v>
      </c>
      <c r="DO215" s="481" t="n">
        <f aca="false">DG215</f>
        <v>51622</v>
      </c>
      <c r="DP215" s="483" t="n">
        <f aca="false">DL215+DQ215</f>
        <v>22.6844090909092</v>
      </c>
      <c r="DQ215" s="546" t="n">
        <v>0</v>
      </c>
      <c r="DR215" s="480" t="n">
        <f aca="false">DG215</f>
        <v>51622</v>
      </c>
      <c r="DS215" s="485" t="n">
        <v>0.107599999999998</v>
      </c>
      <c r="DT215" s="486" t="n">
        <v>0.106809090909089</v>
      </c>
      <c r="DU215" s="480" t="n">
        <f aca="false">DG215</f>
        <v>51622</v>
      </c>
      <c r="DV215" s="485" t="n">
        <v>0.107599999999998</v>
      </c>
      <c r="DW215" s="486" t="n">
        <v>0.106809090909089</v>
      </c>
      <c r="DX215" s="481" t="n">
        <f aca="false">DG215</f>
        <v>51622</v>
      </c>
      <c r="DY215" s="486" t="n">
        <v>0.35</v>
      </c>
      <c r="DZ215" s="481" t="n">
        <f aca="false">DR215</f>
        <v>51622</v>
      </c>
      <c r="EA215" s="486" t="n">
        <f aca="false">DT215</f>
        <v>0.106809090909089</v>
      </c>
      <c r="EB215" s="195"/>
      <c r="EC215" s="547" t="str">
        <f aca="false">IF(BD215,IF(Underlying=1,AS215,AU215),"")</f>
        <v/>
      </c>
      <c r="ED215" s="548" t="str">
        <f aca="false">IF($BD215,$EC215+IF(VolSkewFlag=1,IF(BS215&gt;0,$BA215*MIN(BS215/10%,1)+($BB215-$BA215)*MAX(0,MIN(BS215/10%-1,1))+($BC215-$BB215)*MAX(0,BS215/10%-2),$AZ215*MIN(-BS215/10%,1)+($AY215-$AZ215)*MAX(0,MIN(-BS215/10%-1,1))+($AX215-$AY215)*MAX(0,-BS215/10%-2)),0),"")</f>
        <v/>
      </c>
      <c r="EE215" s="549" t="str">
        <f aca="false">IF($BD215,$EC215+IF(VolSkewFlag=1,IF(BT215&gt;0,$BA215*MIN(BT215/10%,1)+($BB215-$BA215)*MAX(0,MIN(BT215/10%-1,1))+($BC215-$BB215)*MAX(0,BT215/10%-2),$AZ215*MIN(-BT215/10%,1)+($AY215-$AZ215)*MAX(0,MIN(-BT215/10%-1,1))+($AX215-$AY215)*MAX(0,-BT215/10%-2)),0),"")</f>
        <v/>
      </c>
      <c r="EF215" s="550" t="n">
        <f aca="false">IF(BD215,xASN(BR215,Strike1,AO215,ED215,0,BO215,0,BI215,BL215,IF(OptControl=4,0,1),0),0)</f>
        <v>0</v>
      </c>
      <c r="EG215" s="551" t="n">
        <f aca="false">IF(BD215,xASN(BR215,Strike2,AO215,EE215,0,BO215,0,BI215,BL215,IF(OptControl=3,1,0),0),0)</f>
        <v>0</v>
      </c>
      <c r="EL215" s="1"/>
      <c r="EM215" s="195"/>
      <c r="EN215" s="240"/>
      <c r="EO215" s="240"/>
      <c r="EP215" s="195"/>
      <c r="EQ215" s="407" t="s">
        <v>443</v>
      </c>
      <c r="ES215" s="1"/>
      <c r="EU215" s="672"/>
      <c r="FJ215" s="571" t="n">
        <v>46</v>
      </c>
      <c r="FK215" s="150" t="str">
        <f aca="false">IF(OR(FK$169&lt;SwaptionFirstMonthPosition+1,$FJ215&lt;SwaptionFirstMonthPosition+1,FK$169&gt;SwaptionFirstMonthPosition+SwaptionNumOfMonths+1,$FJ215&gt;SwaptionFirstMonthPosition+SwaptionNumOfMonths+1),"",IF($FJ215=FK$169,1,IF($FJ215&lt;FK$169,INDEX($FK$170:$ID$241,FK$169,$FJ215),SUMPRODUCT(INDEX($FK$325:$ID$396,FK$169,1+SwaptionShift):INDEX($FK$325:$ID$396,FK$169,SwaptionMonthsToGo+SwaptionShift),INDEX($FK$245:$ID$316,$FJ215-FK$169,73-FK$169+SwaptionShift):INDEX($FK$245:$ID$316,$FJ215-FK$169,72-FK$169+SwaptionMonthsToGo+SwaptionShift))/SQRT(SUM(INDEX($FK370:$ID370,1+SwaptionShift):INDEX($FK370:$ID370,SwaptionMonthsToGo+SwaptionShift))*SUM(INDEX($FK$325:$ID$396,FK$169,1+SwaptionShift):INDEX($FK$325:$ID$396,FK$169,SwaptionMonthsToGo+SwaptionShift))))))</f>
        <v/>
      </c>
      <c r="FL215" s="150" t="str">
        <f aca="false">IF(OR(FL$169&lt;SwaptionFirstMonthPosition+1,$FJ215&lt;SwaptionFirstMonthPosition+1,FL$169&gt;SwaptionFirstMonthPosition+SwaptionNumOfMonths+1,$FJ215&gt;SwaptionFirstMonthPosition+SwaptionNumOfMonths+1),"",IF($FJ215=FL$169,1,IF($FJ215&lt;FL$169,INDEX($FK$170:$ID$241,FL$169,$FJ215),SUMPRODUCT(INDEX($FK$325:$ID$396,FL$169,1+SwaptionShift):INDEX($FK$325:$ID$396,FL$169,SwaptionMonthsToGo+SwaptionShift),INDEX($FK$245:$ID$316,$FJ215-FL$169,73-FL$169+SwaptionShift):INDEX($FK$245:$ID$316,$FJ215-FL$169,72-FL$169+SwaptionMonthsToGo+SwaptionShift))/SQRT(SUM(INDEX($FK370:$ID370,1+SwaptionShift):INDEX($FK370:$ID370,SwaptionMonthsToGo+SwaptionShift))*SUM(INDEX($FK$325:$ID$396,FL$169,1+SwaptionShift):INDEX($FK$325:$ID$396,FL$169,SwaptionMonthsToGo+SwaptionShift))))))</f>
        <v/>
      </c>
      <c r="FM215" s="150" t="str">
        <f aca="false">IF(OR(FM$169&lt;SwaptionFirstMonthPosition+1,$FJ215&lt;SwaptionFirstMonthPosition+1,FM$169&gt;SwaptionFirstMonthPosition+SwaptionNumOfMonths+1,$FJ215&gt;SwaptionFirstMonthPosition+SwaptionNumOfMonths+1),"",IF($FJ215=FM$169,1,IF($FJ215&lt;FM$169,INDEX($FK$170:$ID$241,FM$169,$FJ215),SUMPRODUCT(INDEX($FK$325:$ID$396,FM$169,1+SwaptionShift):INDEX($FK$325:$ID$396,FM$169,SwaptionMonthsToGo+SwaptionShift),INDEX($FK$245:$ID$316,$FJ215-FM$169,73-FM$169+SwaptionShift):INDEX($FK$245:$ID$316,$FJ215-FM$169,72-FM$169+SwaptionMonthsToGo+SwaptionShift))/SQRT(SUM(INDEX($FK370:$ID370,1+SwaptionShift):INDEX($FK370:$ID370,SwaptionMonthsToGo+SwaptionShift))*SUM(INDEX($FK$325:$ID$396,FM$169,1+SwaptionShift):INDEX($FK$325:$ID$396,FM$169,SwaptionMonthsToGo+SwaptionShift))))))</f>
        <v/>
      </c>
      <c r="FN215" s="150" t="str">
        <f aca="false">IF(OR(FN$169&lt;SwaptionFirstMonthPosition+1,$FJ215&lt;SwaptionFirstMonthPosition+1,FN$169&gt;SwaptionFirstMonthPosition+SwaptionNumOfMonths+1,$FJ215&gt;SwaptionFirstMonthPosition+SwaptionNumOfMonths+1),"",IF($FJ215=FN$169,1,IF($FJ215&lt;FN$169,INDEX($FK$170:$ID$241,FN$169,$FJ215),SUMPRODUCT(INDEX($FK$325:$ID$396,FN$169,1+SwaptionShift):INDEX($FK$325:$ID$396,FN$169,SwaptionMonthsToGo+SwaptionShift),INDEX($FK$245:$ID$316,$FJ215-FN$169,73-FN$169+SwaptionShift):INDEX($FK$245:$ID$316,$FJ215-FN$169,72-FN$169+SwaptionMonthsToGo+SwaptionShift))/SQRT(SUM(INDEX($FK370:$ID370,1+SwaptionShift):INDEX($FK370:$ID370,SwaptionMonthsToGo+SwaptionShift))*SUM(INDEX($FK$325:$ID$396,FN$169,1+SwaptionShift):INDEX($FK$325:$ID$396,FN$169,SwaptionMonthsToGo+SwaptionShift))))))</f>
        <v/>
      </c>
      <c r="FO215" s="150" t="str">
        <f aca="false">IF(OR(FO$169&lt;SwaptionFirstMonthPosition+1,$FJ215&lt;SwaptionFirstMonthPosition+1,FO$169&gt;SwaptionFirstMonthPosition+SwaptionNumOfMonths+1,$FJ215&gt;SwaptionFirstMonthPosition+SwaptionNumOfMonths+1),"",IF($FJ215=FO$169,1,IF($FJ215&lt;FO$169,INDEX($FK$170:$ID$241,FO$169,$FJ215),SUMPRODUCT(INDEX($FK$325:$ID$396,FO$169,1+SwaptionShift):INDEX($FK$325:$ID$396,FO$169,SwaptionMonthsToGo+SwaptionShift),INDEX($FK$245:$ID$316,$FJ215-FO$169,73-FO$169+SwaptionShift):INDEX($FK$245:$ID$316,$FJ215-FO$169,72-FO$169+SwaptionMonthsToGo+SwaptionShift))/SQRT(SUM(INDEX($FK370:$ID370,1+SwaptionShift):INDEX($FK370:$ID370,SwaptionMonthsToGo+SwaptionShift))*SUM(INDEX($FK$325:$ID$396,FO$169,1+SwaptionShift):INDEX($FK$325:$ID$396,FO$169,SwaptionMonthsToGo+SwaptionShift))))))</f>
        <v/>
      </c>
      <c r="FP215" s="150" t="str">
        <f aca="false">IF(OR(FP$169&lt;SwaptionFirstMonthPosition+1,$FJ215&lt;SwaptionFirstMonthPosition+1,FP$169&gt;SwaptionFirstMonthPosition+SwaptionNumOfMonths+1,$FJ215&gt;SwaptionFirstMonthPosition+SwaptionNumOfMonths+1),"",IF($FJ215=FP$169,1,IF($FJ215&lt;FP$169,INDEX($FK$170:$ID$241,FP$169,$FJ215),SUMPRODUCT(INDEX($FK$325:$ID$396,FP$169,1+SwaptionShift):INDEX($FK$325:$ID$396,FP$169,SwaptionMonthsToGo+SwaptionShift),INDEX($FK$245:$ID$316,$FJ215-FP$169,73-FP$169+SwaptionShift):INDEX($FK$245:$ID$316,$FJ215-FP$169,72-FP$169+SwaptionMonthsToGo+SwaptionShift))/SQRT(SUM(INDEX($FK370:$ID370,1+SwaptionShift):INDEX($FK370:$ID370,SwaptionMonthsToGo+SwaptionShift))*SUM(INDEX($FK$325:$ID$396,FP$169,1+SwaptionShift):INDEX($FK$325:$ID$396,FP$169,SwaptionMonthsToGo+SwaptionShift))))))</f>
        <v/>
      </c>
      <c r="FQ215" s="150" t="str">
        <f aca="false">IF(OR(FQ$169&lt;SwaptionFirstMonthPosition+1,$FJ215&lt;SwaptionFirstMonthPosition+1,FQ$169&gt;SwaptionFirstMonthPosition+SwaptionNumOfMonths+1,$FJ215&gt;SwaptionFirstMonthPosition+SwaptionNumOfMonths+1),"",IF($FJ215=FQ$169,1,IF($FJ215&lt;FQ$169,INDEX($FK$170:$ID$241,FQ$169,$FJ215),SUMPRODUCT(INDEX($FK$325:$ID$396,FQ$169,1+SwaptionShift):INDEX($FK$325:$ID$396,FQ$169,SwaptionMonthsToGo+SwaptionShift),INDEX($FK$245:$ID$316,$FJ215-FQ$169,73-FQ$169+SwaptionShift):INDEX($FK$245:$ID$316,$FJ215-FQ$169,72-FQ$169+SwaptionMonthsToGo+SwaptionShift))/SQRT(SUM(INDEX($FK370:$ID370,1+SwaptionShift):INDEX($FK370:$ID370,SwaptionMonthsToGo+SwaptionShift))*SUM(INDEX($FK$325:$ID$396,FQ$169,1+SwaptionShift):INDEX($FK$325:$ID$396,FQ$169,SwaptionMonthsToGo+SwaptionShift))))))</f>
        <v/>
      </c>
      <c r="FR215" s="150" t="str">
        <f aca="false">IF(OR(FR$169&lt;SwaptionFirstMonthPosition+1,$FJ215&lt;SwaptionFirstMonthPosition+1,FR$169&gt;SwaptionFirstMonthPosition+SwaptionNumOfMonths+1,$FJ215&gt;SwaptionFirstMonthPosition+SwaptionNumOfMonths+1),"",IF($FJ215=FR$169,1,IF($FJ215&lt;FR$169,INDEX($FK$170:$ID$241,FR$169,$FJ215),SUMPRODUCT(INDEX($FK$325:$ID$396,FR$169,1+SwaptionShift):INDEX($FK$325:$ID$396,FR$169,SwaptionMonthsToGo+SwaptionShift),INDEX($FK$245:$ID$316,$FJ215-FR$169,73-FR$169+SwaptionShift):INDEX($FK$245:$ID$316,$FJ215-FR$169,72-FR$169+SwaptionMonthsToGo+SwaptionShift))/SQRT(SUM(INDEX($FK370:$ID370,1+SwaptionShift):INDEX($FK370:$ID370,SwaptionMonthsToGo+SwaptionShift))*SUM(INDEX($FK$325:$ID$396,FR$169,1+SwaptionShift):INDEX($FK$325:$ID$396,FR$169,SwaptionMonthsToGo+SwaptionShift))))))</f>
        <v/>
      </c>
      <c r="FS215" s="150" t="str">
        <f aca="false">IF(OR(FS$169&lt;SwaptionFirstMonthPosition+1,$FJ215&lt;SwaptionFirstMonthPosition+1,FS$169&gt;SwaptionFirstMonthPosition+SwaptionNumOfMonths+1,$FJ215&gt;SwaptionFirstMonthPosition+SwaptionNumOfMonths+1),"",IF($FJ215=FS$169,1,IF($FJ215&lt;FS$169,INDEX($FK$170:$ID$241,FS$169,$FJ215),SUMPRODUCT(INDEX($FK$325:$ID$396,FS$169,1+SwaptionShift):INDEX($FK$325:$ID$396,FS$169,SwaptionMonthsToGo+SwaptionShift),INDEX($FK$245:$ID$316,$FJ215-FS$169,73-FS$169+SwaptionShift):INDEX($FK$245:$ID$316,$FJ215-FS$169,72-FS$169+SwaptionMonthsToGo+SwaptionShift))/SQRT(SUM(INDEX($FK370:$ID370,1+SwaptionShift):INDEX($FK370:$ID370,SwaptionMonthsToGo+SwaptionShift))*SUM(INDEX($FK$325:$ID$396,FS$169,1+SwaptionShift):INDEX($FK$325:$ID$396,FS$169,SwaptionMonthsToGo+SwaptionShift))))))</f>
        <v/>
      </c>
      <c r="FT215" s="150" t="str">
        <f aca="false">IF(OR(FT$169&lt;SwaptionFirstMonthPosition+1,$FJ215&lt;SwaptionFirstMonthPosition+1,FT$169&gt;SwaptionFirstMonthPosition+SwaptionNumOfMonths+1,$FJ215&gt;SwaptionFirstMonthPosition+SwaptionNumOfMonths+1),"",IF($FJ215=FT$169,1,IF($FJ215&lt;FT$169,INDEX($FK$170:$ID$241,FT$169,$FJ215),SUMPRODUCT(INDEX($FK$325:$ID$396,FT$169,1+SwaptionShift):INDEX($FK$325:$ID$396,FT$169,SwaptionMonthsToGo+SwaptionShift),INDEX($FK$245:$ID$316,$FJ215-FT$169,73-FT$169+SwaptionShift):INDEX($FK$245:$ID$316,$FJ215-FT$169,72-FT$169+SwaptionMonthsToGo+SwaptionShift))/SQRT(SUM(INDEX($FK370:$ID370,1+SwaptionShift):INDEX($FK370:$ID370,SwaptionMonthsToGo+SwaptionShift))*SUM(INDEX($FK$325:$ID$396,FT$169,1+SwaptionShift):INDEX($FK$325:$ID$396,FT$169,SwaptionMonthsToGo+SwaptionShift))))))</f>
        <v/>
      </c>
      <c r="FU215" s="150" t="str">
        <f aca="false">IF(OR(FU$169&lt;SwaptionFirstMonthPosition+1,$FJ215&lt;SwaptionFirstMonthPosition+1,FU$169&gt;SwaptionFirstMonthPosition+SwaptionNumOfMonths+1,$FJ215&gt;SwaptionFirstMonthPosition+SwaptionNumOfMonths+1),"",IF($FJ215=FU$169,1,IF($FJ215&lt;FU$169,INDEX($FK$170:$ID$241,FU$169,$FJ215),SUMPRODUCT(INDEX($FK$325:$ID$396,FU$169,1+SwaptionShift):INDEX($FK$325:$ID$396,FU$169,SwaptionMonthsToGo+SwaptionShift),INDEX($FK$245:$ID$316,$FJ215-FU$169,73-FU$169+SwaptionShift):INDEX($FK$245:$ID$316,$FJ215-FU$169,72-FU$169+SwaptionMonthsToGo+SwaptionShift))/SQRT(SUM(INDEX($FK370:$ID370,1+SwaptionShift):INDEX($FK370:$ID370,SwaptionMonthsToGo+SwaptionShift))*SUM(INDEX($FK$325:$ID$396,FU$169,1+SwaptionShift):INDEX($FK$325:$ID$396,FU$169,SwaptionMonthsToGo+SwaptionShift))))))</f>
        <v/>
      </c>
      <c r="FV215" s="150" t="str">
        <f aca="false">IF(OR(FV$169&lt;SwaptionFirstMonthPosition+1,$FJ215&lt;SwaptionFirstMonthPosition+1,FV$169&gt;SwaptionFirstMonthPosition+SwaptionNumOfMonths+1,$FJ215&gt;SwaptionFirstMonthPosition+SwaptionNumOfMonths+1),"",IF($FJ215=FV$169,1,IF($FJ215&lt;FV$169,INDEX($FK$170:$ID$241,FV$169,$FJ215),SUMPRODUCT(INDEX($FK$325:$ID$396,FV$169,1+SwaptionShift):INDEX($FK$325:$ID$396,FV$169,SwaptionMonthsToGo+SwaptionShift),INDEX($FK$245:$ID$316,$FJ215-FV$169,73-FV$169+SwaptionShift):INDEX($FK$245:$ID$316,$FJ215-FV$169,72-FV$169+SwaptionMonthsToGo+SwaptionShift))/SQRT(SUM(INDEX($FK370:$ID370,1+SwaptionShift):INDEX($FK370:$ID370,SwaptionMonthsToGo+SwaptionShift))*SUM(INDEX($FK$325:$ID$396,FV$169,1+SwaptionShift):INDEX($FK$325:$ID$396,FV$169,SwaptionMonthsToGo+SwaptionShift))))))</f>
        <v/>
      </c>
      <c r="FW215" s="150" t="str">
        <f aca="false">IF(OR(FW$169&lt;SwaptionFirstMonthPosition+1,$FJ215&lt;SwaptionFirstMonthPosition+1,FW$169&gt;SwaptionFirstMonthPosition+SwaptionNumOfMonths+1,$FJ215&gt;SwaptionFirstMonthPosition+SwaptionNumOfMonths+1),"",IF($FJ215=FW$169,1,IF($FJ215&lt;FW$169,INDEX($FK$170:$ID$241,FW$169,$FJ215),SUMPRODUCT(INDEX($FK$325:$ID$396,FW$169,1+SwaptionShift):INDEX($FK$325:$ID$396,FW$169,SwaptionMonthsToGo+SwaptionShift),INDEX($FK$245:$ID$316,$FJ215-FW$169,73-FW$169+SwaptionShift):INDEX($FK$245:$ID$316,$FJ215-FW$169,72-FW$169+SwaptionMonthsToGo+SwaptionShift))/SQRT(SUM(INDEX($FK370:$ID370,1+SwaptionShift):INDEX($FK370:$ID370,SwaptionMonthsToGo+SwaptionShift))*SUM(INDEX($FK$325:$ID$396,FW$169,1+SwaptionShift):INDEX($FK$325:$ID$396,FW$169,SwaptionMonthsToGo+SwaptionShift))))))</f>
        <v/>
      </c>
      <c r="FX215" s="150" t="str">
        <f aca="false">IF(OR(FX$169&lt;SwaptionFirstMonthPosition+1,$FJ215&lt;SwaptionFirstMonthPosition+1,FX$169&gt;SwaptionFirstMonthPosition+SwaptionNumOfMonths+1,$FJ215&gt;SwaptionFirstMonthPosition+SwaptionNumOfMonths+1),"",IF($FJ215=FX$169,1,IF($FJ215&lt;FX$169,INDEX($FK$170:$ID$241,FX$169,$FJ215),SUMPRODUCT(INDEX($FK$325:$ID$396,FX$169,1+SwaptionShift):INDEX($FK$325:$ID$396,FX$169,SwaptionMonthsToGo+SwaptionShift),INDEX($FK$245:$ID$316,$FJ215-FX$169,73-FX$169+SwaptionShift):INDEX($FK$245:$ID$316,$FJ215-FX$169,72-FX$169+SwaptionMonthsToGo+SwaptionShift))/SQRT(SUM(INDEX($FK370:$ID370,1+SwaptionShift):INDEX($FK370:$ID370,SwaptionMonthsToGo+SwaptionShift))*SUM(INDEX($FK$325:$ID$396,FX$169,1+SwaptionShift):INDEX($FK$325:$ID$396,FX$169,SwaptionMonthsToGo+SwaptionShift))))))</f>
        <v/>
      </c>
      <c r="FY215" s="150" t="str">
        <f aca="false">IF(OR(FY$169&lt;SwaptionFirstMonthPosition+1,$FJ215&lt;SwaptionFirstMonthPosition+1,FY$169&gt;SwaptionFirstMonthPosition+SwaptionNumOfMonths+1,$FJ215&gt;SwaptionFirstMonthPosition+SwaptionNumOfMonths+1),"",IF($FJ215=FY$169,1,IF($FJ215&lt;FY$169,INDEX($FK$170:$ID$241,FY$169,$FJ215),SUMPRODUCT(INDEX($FK$325:$ID$396,FY$169,1+SwaptionShift):INDEX($FK$325:$ID$396,FY$169,SwaptionMonthsToGo+SwaptionShift),INDEX($FK$245:$ID$316,$FJ215-FY$169,73-FY$169+SwaptionShift):INDEX($FK$245:$ID$316,$FJ215-FY$169,72-FY$169+SwaptionMonthsToGo+SwaptionShift))/SQRT(SUM(INDEX($FK370:$ID370,1+SwaptionShift):INDEX($FK370:$ID370,SwaptionMonthsToGo+SwaptionShift))*SUM(INDEX($FK$325:$ID$396,FY$169,1+SwaptionShift):INDEX($FK$325:$ID$396,FY$169,SwaptionMonthsToGo+SwaptionShift))))))</f>
        <v/>
      </c>
      <c r="FZ215" s="150" t="str">
        <f aca="false">IF(OR(FZ$169&lt;SwaptionFirstMonthPosition+1,$FJ215&lt;SwaptionFirstMonthPosition+1,FZ$169&gt;SwaptionFirstMonthPosition+SwaptionNumOfMonths+1,$FJ215&gt;SwaptionFirstMonthPosition+SwaptionNumOfMonths+1),"",IF($FJ215=FZ$169,1,IF($FJ215&lt;FZ$169,INDEX($FK$170:$ID$241,FZ$169,$FJ215),SUMPRODUCT(INDEX($FK$325:$ID$396,FZ$169,1+SwaptionShift):INDEX($FK$325:$ID$396,FZ$169,SwaptionMonthsToGo+SwaptionShift),INDEX($FK$245:$ID$316,$FJ215-FZ$169,73-FZ$169+SwaptionShift):INDEX($FK$245:$ID$316,$FJ215-FZ$169,72-FZ$169+SwaptionMonthsToGo+SwaptionShift))/SQRT(SUM(INDEX($FK370:$ID370,1+SwaptionShift):INDEX($FK370:$ID370,SwaptionMonthsToGo+SwaptionShift))*SUM(INDEX($FK$325:$ID$396,FZ$169,1+SwaptionShift):INDEX($FK$325:$ID$396,FZ$169,SwaptionMonthsToGo+SwaptionShift))))))</f>
        <v/>
      </c>
      <c r="GA215" s="150" t="str">
        <f aca="false">IF(OR(GA$169&lt;SwaptionFirstMonthPosition+1,$FJ215&lt;SwaptionFirstMonthPosition+1,GA$169&gt;SwaptionFirstMonthPosition+SwaptionNumOfMonths+1,$FJ215&gt;SwaptionFirstMonthPosition+SwaptionNumOfMonths+1),"",IF($FJ215=GA$169,1,IF($FJ215&lt;GA$169,INDEX($FK$170:$ID$241,GA$169,$FJ215),SUMPRODUCT(INDEX($FK$325:$ID$396,GA$169,1+SwaptionShift):INDEX($FK$325:$ID$396,GA$169,SwaptionMonthsToGo+SwaptionShift),INDEX($FK$245:$ID$316,$FJ215-GA$169,73-GA$169+SwaptionShift):INDEX($FK$245:$ID$316,$FJ215-GA$169,72-GA$169+SwaptionMonthsToGo+SwaptionShift))/SQRT(SUM(INDEX($FK370:$ID370,1+SwaptionShift):INDEX($FK370:$ID370,SwaptionMonthsToGo+SwaptionShift))*SUM(INDEX($FK$325:$ID$396,GA$169,1+SwaptionShift):INDEX($FK$325:$ID$396,GA$169,SwaptionMonthsToGo+SwaptionShift))))))</f>
        <v/>
      </c>
      <c r="GB215" s="150" t="str">
        <f aca="false">IF(OR(GB$169&lt;SwaptionFirstMonthPosition+1,$FJ215&lt;SwaptionFirstMonthPosition+1,GB$169&gt;SwaptionFirstMonthPosition+SwaptionNumOfMonths+1,$FJ215&gt;SwaptionFirstMonthPosition+SwaptionNumOfMonths+1),"",IF($FJ215=GB$169,1,IF($FJ215&lt;GB$169,INDEX($FK$170:$ID$241,GB$169,$FJ215),SUMPRODUCT(INDEX($FK$325:$ID$396,GB$169,1+SwaptionShift):INDEX($FK$325:$ID$396,GB$169,SwaptionMonthsToGo+SwaptionShift),INDEX($FK$245:$ID$316,$FJ215-GB$169,73-GB$169+SwaptionShift):INDEX($FK$245:$ID$316,$FJ215-GB$169,72-GB$169+SwaptionMonthsToGo+SwaptionShift))/SQRT(SUM(INDEX($FK370:$ID370,1+SwaptionShift):INDEX($FK370:$ID370,SwaptionMonthsToGo+SwaptionShift))*SUM(INDEX($FK$325:$ID$396,GB$169,1+SwaptionShift):INDEX($FK$325:$ID$396,GB$169,SwaptionMonthsToGo+SwaptionShift))))))</f>
        <v/>
      </c>
      <c r="GC215" s="150" t="str">
        <f aca="false">IF(OR(GC$169&lt;SwaptionFirstMonthPosition+1,$FJ215&lt;SwaptionFirstMonthPosition+1,GC$169&gt;SwaptionFirstMonthPosition+SwaptionNumOfMonths+1,$FJ215&gt;SwaptionFirstMonthPosition+SwaptionNumOfMonths+1),"",IF($FJ215=GC$169,1,IF($FJ215&lt;GC$169,INDEX($FK$170:$ID$241,GC$169,$FJ215),SUMPRODUCT(INDEX($FK$325:$ID$396,GC$169,1+SwaptionShift):INDEX($FK$325:$ID$396,GC$169,SwaptionMonthsToGo+SwaptionShift),INDEX($FK$245:$ID$316,$FJ215-GC$169,73-GC$169+SwaptionShift):INDEX($FK$245:$ID$316,$FJ215-GC$169,72-GC$169+SwaptionMonthsToGo+SwaptionShift))/SQRT(SUM(INDEX($FK370:$ID370,1+SwaptionShift):INDEX($FK370:$ID370,SwaptionMonthsToGo+SwaptionShift))*SUM(INDEX($FK$325:$ID$396,GC$169,1+SwaptionShift):INDEX($FK$325:$ID$396,GC$169,SwaptionMonthsToGo+SwaptionShift))))))</f>
        <v/>
      </c>
      <c r="GD215" s="150" t="str">
        <f aca="false">IF(OR(GD$169&lt;SwaptionFirstMonthPosition+1,$FJ215&lt;SwaptionFirstMonthPosition+1,GD$169&gt;SwaptionFirstMonthPosition+SwaptionNumOfMonths+1,$FJ215&gt;SwaptionFirstMonthPosition+SwaptionNumOfMonths+1),"",IF($FJ215=GD$169,1,IF($FJ215&lt;GD$169,INDEX($FK$170:$ID$241,GD$169,$FJ215),SUMPRODUCT(INDEX($FK$325:$ID$396,GD$169,1+SwaptionShift):INDEX($FK$325:$ID$396,GD$169,SwaptionMonthsToGo+SwaptionShift),INDEX($FK$245:$ID$316,$FJ215-GD$169,73-GD$169+SwaptionShift):INDEX($FK$245:$ID$316,$FJ215-GD$169,72-GD$169+SwaptionMonthsToGo+SwaptionShift))/SQRT(SUM(INDEX($FK370:$ID370,1+SwaptionShift):INDEX($FK370:$ID370,SwaptionMonthsToGo+SwaptionShift))*SUM(INDEX($FK$325:$ID$396,GD$169,1+SwaptionShift):INDEX($FK$325:$ID$396,GD$169,SwaptionMonthsToGo+SwaptionShift))))))</f>
        <v/>
      </c>
      <c r="GE215" s="150" t="str">
        <f aca="false">IF(OR(GE$169&lt;SwaptionFirstMonthPosition+1,$FJ215&lt;SwaptionFirstMonthPosition+1,GE$169&gt;SwaptionFirstMonthPosition+SwaptionNumOfMonths+1,$FJ215&gt;SwaptionFirstMonthPosition+SwaptionNumOfMonths+1),"",IF($FJ215=GE$169,1,IF($FJ215&lt;GE$169,INDEX($FK$170:$ID$241,GE$169,$FJ215),SUMPRODUCT(INDEX($FK$325:$ID$396,GE$169,1+SwaptionShift):INDEX($FK$325:$ID$396,GE$169,SwaptionMonthsToGo+SwaptionShift),INDEX($FK$245:$ID$316,$FJ215-GE$169,73-GE$169+SwaptionShift):INDEX($FK$245:$ID$316,$FJ215-GE$169,72-GE$169+SwaptionMonthsToGo+SwaptionShift))/SQRT(SUM(INDEX($FK370:$ID370,1+SwaptionShift):INDEX($FK370:$ID370,SwaptionMonthsToGo+SwaptionShift))*SUM(INDEX($FK$325:$ID$396,GE$169,1+SwaptionShift):INDEX($FK$325:$ID$396,GE$169,SwaptionMonthsToGo+SwaptionShift))))))</f>
        <v/>
      </c>
      <c r="GF215" s="150" t="str">
        <f aca="false">IF(OR(GF$169&lt;SwaptionFirstMonthPosition+1,$FJ215&lt;SwaptionFirstMonthPosition+1,GF$169&gt;SwaptionFirstMonthPosition+SwaptionNumOfMonths+1,$FJ215&gt;SwaptionFirstMonthPosition+SwaptionNumOfMonths+1),"",IF($FJ215=GF$169,1,IF($FJ215&lt;GF$169,INDEX($FK$170:$ID$241,GF$169,$FJ215),SUMPRODUCT(INDEX($FK$325:$ID$396,GF$169,1+SwaptionShift):INDEX($FK$325:$ID$396,GF$169,SwaptionMonthsToGo+SwaptionShift),INDEX($FK$245:$ID$316,$FJ215-GF$169,73-GF$169+SwaptionShift):INDEX($FK$245:$ID$316,$FJ215-GF$169,72-GF$169+SwaptionMonthsToGo+SwaptionShift))/SQRT(SUM(INDEX($FK370:$ID370,1+SwaptionShift):INDEX($FK370:$ID370,SwaptionMonthsToGo+SwaptionShift))*SUM(INDEX($FK$325:$ID$396,GF$169,1+SwaptionShift):INDEX($FK$325:$ID$396,GF$169,SwaptionMonthsToGo+SwaptionShift))))))</f>
        <v/>
      </c>
      <c r="GG215" s="150" t="str">
        <f aca="false">IF(OR(GG$169&lt;SwaptionFirstMonthPosition+1,$FJ215&lt;SwaptionFirstMonthPosition+1,GG$169&gt;SwaptionFirstMonthPosition+SwaptionNumOfMonths+1,$FJ215&gt;SwaptionFirstMonthPosition+SwaptionNumOfMonths+1),"",IF($FJ215=GG$169,1,IF($FJ215&lt;GG$169,INDEX($FK$170:$ID$241,GG$169,$FJ215),SUMPRODUCT(INDEX($FK$325:$ID$396,GG$169,1+SwaptionShift):INDEX($FK$325:$ID$396,GG$169,SwaptionMonthsToGo+SwaptionShift),INDEX($FK$245:$ID$316,$FJ215-GG$169,73-GG$169+SwaptionShift):INDEX($FK$245:$ID$316,$FJ215-GG$169,72-GG$169+SwaptionMonthsToGo+SwaptionShift))/SQRT(SUM(INDEX($FK370:$ID370,1+SwaptionShift):INDEX($FK370:$ID370,SwaptionMonthsToGo+SwaptionShift))*SUM(INDEX($FK$325:$ID$396,GG$169,1+SwaptionShift):INDEX($FK$325:$ID$396,GG$169,SwaptionMonthsToGo+SwaptionShift))))))</f>
        <v/>
      </c>
      <c r="GH215" s="150" t="str">
        <f aca="false">IF(OR(GH$169&lt;SwaptionFirstMonthPosition+1,$FJ215&lt;SwaptionFirstMonthPosition+1,GH$169&gt;SwaptionFirstMonthPosition+SwaptionNumOfMonths+1,$FJ215&gt;SwaptionFirstMonthPosition+SwaptionNumOfMonths+1),"",IF($FJ215=GH$169,1,IF($FJ215&lt;GH$169,INDEX($FK$170:$ID$241,GH$169,$FJ215),SUMPRODUCT(INDEX($FK$325:$ID$396,GH$169,1+SwaptionShift):INDEX($FK$325:$ID$396,GH$169,SwaptionMonthsToGo+SwaptionShift),INDEX($FK$245:$ID$316,$FJ215-GH$169,73-GH$169+SwaptionShift):INDEX($FK$245:$ID$316,$FJ215-GH$169,72-GH$169+SwaptionMonthsToGo+SwaptionShift))/SQRT(SUM(INDEX($FK370:$ID370,1+SwaptionShift):INDEX($FK370:$ID370,SwaptionMonthsToGo+SwaptionShift))*SUM(INDEX($FK$325:$ID$396,GH$169,1+SwaptionShift):INDEX($FK$325:$ID$396,GH$169,SwaptionMonthsToGo+SwaptionShift))))))</f>
        <v/>
      </c>
      <c r="GI215" s="150" t="str">
        <f aca="false">IF(OR(GI$169&lt;SwaptionFirstMonthPosition+1,$FJ215&lt;SwaptionFirstMonthPosition+1,GI$169&gt;SwaptionFirstMonthPosition+SwaptionNumOfMonths+1,$FJ215&gt;SwaptionFirstMonthPosition+SwaptionNumOfMonths+1),"",IF($FJ215=GI$169,1,IF($FJ215&lt;GI$169,INDEX($FK$170:$ID$241,GI$169,$FJ215),SUMPRODUCT(INDEX($FK$325:$ID$396,GI$169,1+SwaptionShift):INDEX($FK$325:$ID$396,GI$169,SwaptionMonthsToGo+SwaptionShift),INDEX($FK$245:$ID$316,$FJ215-GI$169,73-GI$169+SwaptionShift):INDEX($FK$245:$ID$316,$FJ215-GI$169,72-GI$169+SwaptionMonthsToGo+SwaptionShift))/SQRT(SUM(INDEX($FK370:$ID370,1+SwaptionShift):INDEX($FK370:$ID370,SwaptionMonthsToGo+SwaptionShift))*SUM(INDEX($FK$325:$ID$396,GI$169,1+SwaptionShift):INDEX($FK$325:$ID$396,GI$169,SwaptionMonthsToGo+SwaptionShift))))))</f>
        <v/>
      </c>
      <c r="GJ215" s="150" t="str">
        <f aca="false">IF(OR(GJ$169&lt;SwaptionFirstMonthPosition+1,$FJ215&lt;SwaptionFirstMonthPosition+1,GJ$169&gt;SwaptionFirstMonthPosition+SwaptionNumOfMonths+1,$FJ215&gt;SwaptionFirstMonthPosition+SwaptionNumOfMonths+1),"",IF($FJ215=GJ$169,1,IF($FJ215&lt;GJ$169,INDEX($FK$170:$ID$241,GJ$169,$FJ215),SUMPRODUCT(INDEX($FK$325:$ID$396,GJ$169,1+SwaptionShift):INDEX($FK$325:$ID$396,GJ$169,SwaptionMonthsToGo+SwaptionShift),INDEX($FK$245:$ID$316,$FJ215-GJ$169,73-GJ$169+SwaptionShift):INDEX($FK$245:$ID$316,$FJ215-GJ$169,72-GJ$169+SwaptionMonthsToGo+SwaptionShift))/SQRT(SUM(INDEX($FK370:$ID370,1+SwaptionShift):INDEX($FK370:$ID370,SwaptionMonthsToGo+SwaptionShift))*SUM(INDEX($FK$325:$ID$396,GJ$169,1+SwaptionShift):INDEX($FK$325:$ID$396,GJ$169,SwaptionMonthsToGo+SwaptionShift))))))</f>
        <v/>
      </c>
      <c r="GK215" s="150" t="str">
        <f aca="false">IF(OR(GK$169&lt;SwaptionFirstMonthPosition+1,$FJ215&lt;SwaptionFirstMonthPosition+1,GK$169&gt;SwaptionFirstMonthPosition+SwaptionNumOfMonths+1,$FJ215&gt;SwaptionFirstMonthPosition+SwaptionNumOfMonths+1),"",IF($FJ215=GK$169,1,IF($FJ215&lt;GK$169,INDEX($FK$170:$ID$241,GK$169,$FJ215),SUMPRODUCT(INDEX($FK$325:$ID$396,GK$169,1+SwaptionShift):INDEX($FK$325:$ID$396,GK$169,SwaptionMonthsToGo+SwaptionShift),INDEX($FK$245:$ID$316,$FJ215-GK$169,73-GK$169+SwaptionShift):INDEX($FK$245:$ID$316,$FJ215-GK$169,72-GK$169+SwaptionMonthsToGo+SwaptionShift))/SQRT(SUM(INDEX($FK370:$ID370,1+SwaptionShift):INDEX($FK370:$ID370,SwaptionMonthsToGo+SwaptionShift))*SUM(INDEX($FK$325:$ID$396,GK$169,1+SwaptionShift):INDEX($FK$325:$ID$396,GK$169,SwaptionMonthsToGo+SwaptionShift))))))</f>
        <v/>
      </c>
      <c r="GL215" s="150" t="str">
        <f aca="false">IF(OR(GL$169&lt;SwaptionFirstMonthPosition+1,$FJ215&lt;SwaptionFirstMonthPosition+1,GL$169&gt;SwaptionFirstMonthPosition+SwaptionNumOfMonths+1,$FJ215&gt;SwaptionFirstMonthPosition+SwaptionNumOfMonths+1),"",IF($FJ215=GL$169,1,IF($FJ215&lt;GL$169,INDEX($FK$170:$ID$241,GL$169,$FJ215),SUMPRODUCT(INDEX($FK$325:$ID$396,GL$169,1+SwaptionShift):INDEX($FK$325:$ID$396,GL$169,SwaptionMonthsToGo+SwaptionShift),INDEX($FK$245:$ID$316,$FJ215-GL$169,73-GL$169+SwaptionShift):INDEX($FK$245:$ID$316,$FJ215-GL$169,72-GL$169+SwaptionMonthsToGo+SwaptionShift))/SQRT(SUM(INDEX($FK370:$ID370,1+SwaptionShift):INDEX($FK370:$ID370,SwaptionMonthsToGo+SwaptionShift))*SUM(INDEX($FK$325:$ID$396,GL$169,1+SwaptionShift):INDEX($FK$325:$ID$396,GL$169,SwaptionMonthsToGo+SwaptionShift))))))</f>
        <v/>
      </c>
      <c r="GM215" s="150" t="str">
        <f aca="false">IF(OR(GM$169&lt;SwaptionFirstMonthPosition+1,$FJ215&lt;SwaptionFirstMonthPosition+1,GM$169&gt;SwaptionFirstMonthPosition+SwaptionNumOfMonths+1,$FJ215&gt;SwaptionFirstMonthPosition+SwaptionNumOfMonths+1),"",IF($FJ215=GM$169,1,IF($FJ215&lt;GM$169,INDEX($FK$170:$ID$241,GM$169,$FJ215),SUMPRODUCT(INDEX($FK$325:$ID$396,GM$169,1+SwaptionShift):INDEX($FK$325:$ID$396,GM$169,SwaptionMonthsToGo+SwaptionShift),INDEX($FK$245:$ID$316,$FJ215-GM$169,73-GM$169+SwaptionShift):INDEX($FK$245:$ID$316,$FJ215-GM$169,72-GM$169+SwaptionMonthsToGo+SwaptionShift))/SQRT(SUM(INDEX($FK370:$ID370,1+SwaptionShift):INDEX($FK370:$ID370,SwaptionMonthsToGo+SwaptionShift))*SUM(INDEX($FK$325:$ID$396,GM$169,1+SwaptionShift):INDEX($FK$325:$ID$396,GM$169,SwaptionMonthsToGo+SwaptionShift))))))</f>
        <v/>
      </c>
      <c r="GN215" s="150" t="str">
        <f aca="false">IF(OR(GN$169&lt;SwaptionFirstMonthPosition+1,$FJ215&lt;SwaptionFirstMonthPosition+1,GN$169&gt;SwaptionFirstMonthPosition+SwaptionNumOfMonths+1,$FJ215&gt;SwaptionFirstMonthPosition+SwaptionNumOfMonths+1),"",IF($FJ215=GN$169,1,IF($FJ215&lt;GN$169,INDEX($FK$170:$ID$241,GN$169,$FJ215),SUMPRODUCT(INDEX($FK$325:$ID$396,GN$169,1+SwaptionShift):INDEX($FK$325:$ID$396,GN$169,SwaptionMonthsToGo+SwaptionShift),INDEX($FK$245:$ID$316,$FJ215-GN$169,73-GN$169+SwaptionShift):INDEX($FK$245:$ID$316,$FJ215-GN$169,72-GN$169+SwaptionMonthsToGo+SwaptionShift))/SQRT(SUM(INDEX($FK370:$ID370,1+SwaptionShift):INDEX($FK370:$ID370,SwaptionMonthsToGo+SwaptionShift))*SUM(INDEX($FK$325:$ID$396,GN$169,1+SwaptionShift):INDEX($FK$325:$ID$396,GN$169,SwaptionMonthsToGo+SwaptionShift))))))</f>
        <v/>
      </c>
      <c r="GO215" s="150" t="str">
        <f aca="false">IF(OR(GO$169&lt;SwaptionFirstMonthPosition+1,$FJ215&lt;SwaptionFirstMonthPosition+1,GO$169&gt;SwaptionFirstMonthPosition+SwaptionNumOfMonths+1,$FJ215&gt;SwaptionFirstMonthPosition+SwaptionNumOfMonths+1),"",IF($FJ215=GO$169,1,IF($FJ215&lt;GO$169,INDEX($FK$170:$ID$241,GO$169,$FJ215),SUMPRODUCT(INDEX($FK$325:$ID$396,GO$169,1+SwaptionShift):INDEX($FK$325:$ID$396,GO$169,SwaptionMonthsToGo+SwaptionShift),INDEX($FK$245:$ID$316,$FJ215-GO$169,73-GO$169+SwaptionShift):INDEX($FK$245:$ID$316,$FJ215-GO$169,72-GO$169+SwaptionMonthsToGo+SwaptionShift))/SQRT(SUM(INDEX($FK370:$ID370,1+SwaptionShift):INDEX($FK370:$ID370,SwaptionMonthsToGo+SwaptionShift))*SUM(INDEX($FK$325:$ID$396,GO$169,1+SwaptionShift):INDEX($FK$325:$ID$396,GO$169,SwaptionMonthsToGo+SwaptionShift))))))</f>
        <v/>
      </c>
      <c r="GP215" s="150" t="str">
        <f aca="false">IF(OR(GP$169&lt;SwaptionFirstMonthPosition+1,$FJ215&lt;SwaptionFirstMonthPosition+1,GP$169&gt;SwaptionFirstMonthPosition+SwaptionNumOfMonths+1,$FJ215&gt;SwaptionFirstMonthPosition+SwaptionNumOfMonths+1),"",IF($FJ215=GP$169,1,IF($FJ215&lt;GP$169,INDEX($FK$170:$ID$241,GP$169,$FJ215),SUMPRODUCT(INDEX($FK$325:$ID$396,GP$169,1+SwaptionShift):INDEX($FK$325:$ID$396,GP$169,SwaptionMonthsToGo+SwaptionShift),INDEX($FK$245:$ID$316,$FJ215-GP$169,73-GP$169+SwaptionShift):INDEX($FK$245:$ID$316,$FJ215-GP$169,72-GP$169+SwaptionMonthsToGo+SwaptionShift))/SQRT(SUM(INDEX($FK370:$ID370,1+SwaptionShift):INDEX($FK370:$ID370,SwaptionMonthsToGo+SwaptionShift))*SUM(INDEX($FK$325:$ID$396,GP$169,1+SwaptionShift):INDEX($FK$325:$ID$396,GP$169,SwaptionMonthsToGo+SwaptionShift))))))</f>
        <v/>
      </c>
      <c r="GQ215" s="150" t="str">
        <f aca="false">IF(OR(GQ$169&lt;SwaptionFirstMonthPosition+1,$FJ215&lt;SwaptionFirstMonthPosition+1,GQ$169&gt;SwaptionFirstMonthPosition+SwaptionNumOfMonths+1,$FJ215&gt;SwaptionFirstMonthPosition+SwaptionNumOfMonths+1),"",IF($FJ215=GQ$169,1,IF($FJ215&lt;GQ$169,INDEX($FK$170:$ID$241,GQ$169,$FJ215),SUMPRODUCT(INDEX($FK$325:$ID$396,GQ$169,1+SwaptionShift):INDEX($FK$325:$ID$396,GQ$169,SwaptionMonthsToGo+SwaptionShift),INDEX($FK$245:$ID$316,$FJ215-GQ$169,73-GQ$169+SwaptionShift):INDEX($FK$245:$ID$316,$FJ215-GQ$169,72-GQ$169+SwaptionMonthsToGo+SwaptionShift))/SQRT(SUM(INDEX($FK370:$ID370,1+SwaptionShift):INDEX($FK370:$ID370,SwaptionMonthsToGo+SwaptionShift))*SUM(INDEX($FK$325:$ID$396,GQ$169,1+SwaptionShift):INDEX($FK$325:$ID$396,GQ$169,SwaptionMonthsToGo+SwaptionShift))))))</f>
        <v/>
      </c>
      <c r="GR215" s="150" t="str">
        <f aca="false">IF(OR(GR$169&lt;SwaptionFirstMonthPosition+1,$FJ215&lt;SwaptionFirstMonthPosition+1,GR$169&gt;SwaptionFirstMonthPosition+SwaptionNumOfMonths+1,$FJ215&gt;SwaptionFirstMonthPosition+SwaptionNumOfMonths+1),"",IF($FJ215=GR$169,1,IF($FJ215&lt;GR$169,INDEX($FK$170:$ID$241,GR$169,$FJ215),SUMPRODUCT(INDEX($FK$325:$ID$396,GR$169,1+SwaptionShift):INDEX($FK$325:$ID$396,GR$169,SwaptionMonthsToGo+SwaptionShift),INDEX($FK$245:$ID$316,$FJ215-GR$169,73-GR$169+SwaptionShift):INDEX($FK$245:$ID$316,$FJ215-GR$169,72-GR$169+SwaptionMonthsToGo+SwaptionShift))/SQRT(SUM(INDEX($FK370:$ID370,1+SwaptionShift):INDEX($FK370:$ID370,SwaptionMonthsToGo+SwaptionShift))*SUM(INDEX($FK$325:$ID$396,GR$169,1+SwaptionShift):INDEX($FK$325:$ID$396,GR$169,SwaptionMonthsToGo+SwaptionShift))))))</f>
        <v/>
      </c>
      <c r="GS215" s="150" t="str">
        <f aca="false">IF(OR(GS$169&lt;SwaptionFirstMonthPosition+1,$FJ215&lt;SwaptionFirstMonthPosition+1,GS$169&gt;SwaptionFirstMonthPosition+SwaptionNumOfMonths+1,$FJ215&gt;SwaptionFirstMonthPosition+SwaptionNumOfMonths+1),"",IF($FJ215=GS$169,1,IF($FJ215&lt;GS$169,INDEX($FK$170:$ID$241,GS$169,$FJ215),SUMPRODUCT(INDEX($FK$325:$ID$396,GS$169,1+SwaptionShift):INDEX($FK$325:$ID$396,GS$169,SwaptionMonthsToGo+SwaptionShift),INDEX($FK$245:$ID$316,$FJ215-GS$169,73-GS$169+SwaptionShift):INDEX($FK$245:$ID$316,$FJ215-GS$169,72-GS$169+SwaptionMonthsToGo+SwaptionShift))/SQRT(SUM(INDEX($FK370:$ID370,1+SwaptionShift):INDEX($FK370:$ID370,SwaptionMonthsToGo+SwaptionShift))*SUM(INDEX($FK$325:$ID$396,GS$169,1+SwaptionShift):INDEX($FK$325:$ID$396,GS$169,SwaptionMonthsToGo+SwaptionShift))))))</f>
        <v/>
      </c>
      <c r="GT215" s="150" t="str">
        <f aca="false">IF(OR(GT$169&lt;SwaptionFirstMonthPosition+1,$FJ215&lt;SwaptionFirstMonthPosition+1,GT$169&gt;SwaptionFirstMonthPosition+SwaptionNumOfMonths+1,$FJ215&gt;SwaptionFirstMonthPosition+SwaptionNumOfMonths+1),"",IF($FJ215=GT$169,1,IF($FJ215&lt;GT$169,INDEX($FK$170:$ID$241,GT$169,$FJ215),SUMPRODUCT(INDEX($FK$325:$ID$396,GT$169,1+SwaptionShift):INDEX($FK$325:$ID$396,GT$169,SwaptionMonthsToGo+SwaptionShift),INDEX($FK$245:$ID$316,$FJ215-GT$169,73-GT$169+SwaptionShift):INDEX($FK$245:$ID$316,$FJ215-GT$169,72-GT$169+SwaptionMonthsToGo+SwaptionShift))/SQRT(SUM(INDEX($FK370:$ID370,1+SwaptionShift):INDEX($FK370:$ID370,SwaptionMonthsToGo+SwaptionShift))*SUM(INDEX($FK$325:$ID$396,GT$169,1+SwaptionShift):INDEX($FK$325:$ID$396,GT$169,SwaptionMonthsToGo+SwaptionShift))))))</f>
        <v/>
      </c>
      <c r="GU215" s="150" t="str">
        <f aca="false">IF(OR(GU$169&lt;SwaptionFirstMonthPosition+1,$FJ215&lt;SwaptionFirstMonthPosition+1,GU$169&gt;SwaptionFirstMonthPosition+SwaptionNumOfMonths+1,$FJ215&gt;SwaptionFirstMonthPosition+SwaptionNumOfMonths+1),"",IF($FJ215=GU$169,1,IF($FJ215&lt;GU$169,INDEX($FK$170:$ID$241,GU$169,$FJ215),SUMPRODUCT(INDEX($FK$325:$ID$396,GU$169,1+SwaptionShift):INDEX($FK$325:$ID$396,GU$169,SwaptionMonthsToGo+SwaptionShift),INDEX($FK$245:$ID$316,$FJ215-GU$169,73-GU$169+SwaptionShift):INDEX($FK$245:$ID$316,$FJ215-GU$169,72-GU$169+SwaptionMonthsToGo+SwaptionShift))/SQRT(SUM(INDEX($FK370:$ID370,1+SwaptionShift):INDEX($FK370:$ID370,SwaptionMonthsToGo+SwaptionShift))*SUM(INDEX($FK$325:$ID$396,GU$169,1+SwaptionShift):INDEX($FK$325:$ID$396,GU$169,SwaptionMonthsToGo+SwaptionShift))))))</f>
        <v/>
      </c>
      <c r="GV215" s="150" t="str">
        <f aca="false">IF(OR(GV$169&lt;SwaptionFirstMonthPosition+1,$FJ215&lt;SwaptionFirstMonthPosition+1,GV$169&gt;SwaptionFirstMonthPosition+SwaptionNumOfMonths+1,$FJ215&gt;SwaptionFirstMonthPosition+SwaptionNumOfMonths+1),"",IF($FJ215=GV$169,1,IF($FJ215&lt;GV$169,INDEX($FK$170:$ID$241,GV$169,$FJ215),SUMPRODUCT(INDEX($FK$325:$ID$396,GV$169,1+SwaptionShift):INDEX($FK$325:$ID$396,GV$169,SwaptionMonthsToGo+SwaptionShift),INDEX($FK$245:$ID$316,$FJ215-GV$169,73-GV$169+SwaptionShift):INDEX($FK$245:$ID$316,$FJ215-GV$169,72-GV$169+SwaptionMonthsToGo+SwaptionShift))/SQRT(SUM(INDEX($FK370:$ID370,1+SwaptionShift):INDEX($FK370:$ID370,SwaptionMonthsToGo+SwaptionShift))*SUM(INDEX($FK$325:$ID$396,GV$169,1+SwaptionShift):INDEX($FK$325:$ID$396,GV$169,SwaptionMonthsToGo+SwaptionShift))))))</f>
        <v/>
      </c>
      <c r="GW215" s="150" t="str">
        <f aca="false">IF(OR(GW$169&lt;SwaptionFirstMonthPosition+1,$FJ215&lt;SwaptionFirstMonthPosition+1,GW$169&gt;SwaptionFirstMonthPosition+SwaptionNumOfMonths+1,$FJ215&gt;SwaptionFirstMonthPosition+SwaptionNumOfMonths+1),"",IF($FJ215=GW$169,1,IF($FJ215&lt;GW$169,INDEX($FK$170:$ID$241,GW$169,$FJ215),SUMPRODUCT(INDEX($FK$325:$ID$396,GW$169,1+SwaptionShift):INDEX($FK$325:$ID$396,GW$169,SwaptionMonthsToGo+SwaptionShift),INDEX($FK$245:$ID$316,$FJ215-GW$169,73-GW$169+SwaptionShift):INDEX($FK$245:$ID$316,$FJ215-GW$169,72-GW$169+SwaptionMonthsToGo+SwaptionShift))/SQRT(SUM(INDEX($FK370:$ID370,1+SwaptionShift):INDEX($FK370:$ID370,SwaptionMonthsToGo+SwaptionShift))*SUM(INDEX($FK$325:$ID$396,GW$169,1+SwaptionShift):INDEX($FK$325:$ID$396,GW$169,SwaptionMonthsToGo+SwaptionShift))))))</f>
        <v/>
      </c>
      <c r="GX215" s="150" t="str">
        <f aca="false">IF(OR(GX$169&lt;SwaptionFirstMonthPosition+1,$FJ215&lt;SwaptionFirstMonthPosition+1,GX$169&gt;SwaptionFirstMonthPosition+SwaptionNumOfMonths+1,$FJ215&gt;SwaptionFirstMonthPosition+SwaptionNumOfMonths+1),"",IF($FJ215=GX$169,1,IF($FJ215&lt;GX$169,INDEX($FK$170:$ID$241,GX$169,$FJ215),SUMPRODUCT(INDEX($FK$325:$ID$396,GX$169,1+SwaptionShift):INDEX($FK$325:$ID$396,GX$169,SwaptionMonthsToGo+SwaptionShift),INDEX($FK$245:$ID$316,$FJ215-GX$169,73-GX$169+SwaptionShift):INDEX($FK$245:$ID$316,$FJ215-GX$169,72-GX$169+SwaptionMonthsToGo+SwaptionShift))/SQRT(SUM(INDEX($FK370:$ID370,1+SwaptionShift):INDEX($FK370:$ID370,SwaptionMonthsToGo+SwaptionShift))*SUM(INDEX($FK$325:$ID$396,GX$169,1+SwaptionShift):INDEX($FK$325:$ID$396,GX$169,SwaptionMonthsToGo+SwaptionShift))))))</f>
        <v/>
      </c>
      <c r="GY215" s="150" t="str">
        <f aca="false">IF(OR(GY$169&lt;SwaptionFirstMonthPosition+1,$FJ215&lt;SwaptionFirstMonthPosition+1,GY$169&gt;SwaptionFirstMonthPosition+SwaptionNumOfMonths+1,$FJ215&gt;SwaptionFirstMonthPosition+SwaptionNumOfMonths+1),"",IF($FJ215=GY$169,1,IF($FJ215&lt;GY$169,INDEX($FK$170:$ID$241,GY$169,$FJ215),SUMPRODUCT(INDEX($FK$325:$ID$396,GY$169,1+SwaptionShift):INDEX($FK$325:$ID$396,GY$169,SwaptionMonthsToGo+SwaptionShift),INDEX($FK$245:$ID$316,$FJ215-GY$169,73-GY$169+SwaptionShift):INDEX($FK$245:$ID$316,$FJ215-GY$169,72-GY$169+SwaptionMonthsToGo+SwaptionShift))/SQRT(SUM(INDEX($FK370:$ID370,1+SwaptionShift):INDEX($FK370:$ID370,SwaptionMonthsToGo+SwaptionShift))*SUM(INDEX($FK$325:$ID$396,GY$169,1+SwaptionShift):INDEX($FK$325:$ID$396,GY$169,SwaptionMonthsToGo+SwaptionShift))))))</f>
        <v/>
      </c>
      <c r="GZ215" s="150" t="str">
        <f aca="false">IF(OR(GZ$169&lt;SwaptionFirstMonthPosition+1,$FJ215&lt;SwaptionFirstMonthPosition+1,GZ$169&gt;SwaptionFirstMonthPosition+SwaptionNumOfMonths+1,$FJ215&gt;SwaptionFirstMonthPosition+SwaptionNumOfMonths+1),"",IF($FJ215=GZ$169,1,IF($FJ215&lt;GZ$169,INDEX($FK$170:$ID$241,GZ$169,$FJ215),SUMPRODUCT(INDEX($FK$325:$ID$396,GZ$169,1+SwaptionShift):INDEX($FK$325:$ID$396,GZ$169,SwaptionMonthsToGo+SwaptionShift),INDEX($FK$245:$ID$316,$FJ215-GZ$169,73-GZ$169+SwaptionShift):INDEX($FK$245:$ID$316,$FJ215-GZ$169,72-GZ$169+SwaptionMonthsToGo+SwaptionShift))/SQRT(SUM(INDEX($FK370:$ID370,1+SwaptionShift):INDEX($FK370:$ID370,SwaptionMonthsToGo+SwaptionShift))*SUM(INDEX($FK$325:$ID$396,GZ$169,1+SwaptionShift):INDEX($FK$325:$ID$396,GZ$169,SwaptionMonthsToGo+SwaptionShift))))))</f>
        <v/>
      </c>
      <c r="HA215" s="150" t="str">
        <f aca="false">IF(OR(HA$169&lt;SwaptionFirstMonthPosition+1,$FJ215&lt;SwaptionFirstMonthPosition+1,HA$169&gt;SwaptionFirstMonthPosition+SwaptionNumOfMonths+1,$FJ215&gt;SwaptionFirstMonthPosition+SwaptionNumOfMonths+1),"",IF($FJ215=HA$169,1,IF($FJ215&lt;HA$169,INDEX($FK$170:$ID$241,HA$169,$FJ215),SUMPRODUCT(INDEX($FK$325:$ID$396,HA$169,1+SwaptionShift):INDEX($FK$325:$ID$396,HA$169,SwaptionMonthsToGo+SwaptionShift),INDEX($FK$245:$ID$316,$FJ215-HA$169,73-HA$169+SwaptionShift):INDEX($FK$245:$ID$316,$FJ215-HA$169,72-HA$169+SwaptionMonthsToGo+SwaptionShift))/SQRT(SUM(INDEX($FK370:$ID370,1+SwaptionShift):INDEX($FK370:$ID370,SwaptionMonthsToGo+SwaptionShift))*SUM(INDEX($FK$325:$ID$396,HA$169,1+SwaptionShift):INDEX($FK$325:$ID$396,HA$169,SwaptionMonthsToGo+SwaptionShift))))))</f>
        <v/>
      </c>
      <c r="HB215" s="150" t="str">
        <f aca="false">IF(OR(HB$169&lt;SwaptionFirstMonthPosition+1,$FJ215&lt;SwaptionFirstMonthPosition+1,HB$169&gt;SwaptionFirstMonthPosition+SwaptionNumOfMonths+1,$FJ215&gt;SwaptionFirstMonthPosition+SwaptionNumOfMonths+1),"",IF($FJ215=HB$169,1,IF($FJ215&lt;HB$169,INDEX($FK$170:$ID$241,HB$169,$FJ215),SUMPRODUCT(INDEX($FK$325:$ID$396,HB$169,1+SwaptionShift):INDEX($FK$325:$ID$396,HB$169,SwaptionMonthsToGo+SwaptionShift),INDEX($FK$245:$ID$316,$FJ215-HB$169,73-HB$169+SwaptionShift):INDEX($FK$245:$ID$316,$FJ215-HB$169,72-HB$169+SwaptionMonthsToGo+SwaptionShift))/SQRT(SUM(INDEX($FK370:$ID370,1+SwaptionShift):INDEX($FK370:$ID370,SwaptionMonthsToGo+SwaptionShift))*SUM(INDEX($FK$325:$ID$396,HB$169,1+SwaptionShift):INDEX($FK$325:$ID$396,HB$169,SwaptionMonthsToGo+SwaptionShift))))))</f>
        <v/>
      </c>
      <c r="HC215" s="150" t="str">
        <f aca="false">IF(OR(HC$169&lt;SwaptionFirstMonthPosition+1,$FJ215&lt;SwaptionFirstMonthPosition+1,HC$169&gt;SwaptionFirstMonthPosition+SwaptionNumOfMonths+1,$FJ215&gt;SwaptionFirstMonthPosition+SwaptionNumOfMonths+1),"",IF($FJ215=HC$169,1,IF($FJ215&lt;HC$169,INDEX($FK$170:$ID$241,HC$169,$FJ215),SUMPRODUCT(INDEX($FK$325:$ID$396,HC$169,1+SwaptionShift):INDEX($FK$325:$ID$396,HC$169,SwaptionMonthsToGo+SwaptionShift),INDEX($FK$245:$ID$316,$FJ215-HC$169,73-HC$169+SwaptionShift):INDEX($FK$245:$ID$316,$FJ215-HC$169,72-HC$169+SwaptionMonthsToGo+SwaptionShift))/SQRT(SUM(INDEX($FK370:$ID370,1+SwaptionShift):INDEX($FK370:$ID370,SwaptionMonthsToGo+SwaptionShift))*SUM(INDEX($FK$325:$ID$396,HC$169,1+SwaptionShift):INDEX($FK$325:$ID$396,HC$169,SwaptionMonthsToGo+SwaptionShift))))))</f>
        <v/>
      </c>
      <c r="HD215" s="150" t="str">
        <f aca="false">IF(OR(HD$169&lt;SwaptionFirstMonthPosition+1,$FJ215&lt;SwaptionFirstMonthPosition+1,HD$169&gt;SwaptionFirstMonthPosition+SwaptionNumOfMonths+1,$FJ215&gt;SwaptionFirstMonthPosition+SwaptionNumOfMonths+1),"",IF($FJ215=HD$169,1,IF($FJ215&lt;HD$169,INDEX($FK$170:$ID$241,HD$169,$FJ215),SUMPRODUCT(INDEX($FK$325:$ID$396,HD$169,1+SwaptionShift):INDEX($FK$325:$ID$396,HD$169,SwaptionMonthsToGo+SwaptionShift),INDEX($FK$245:$ID$316,$FJ215-HD$169,73-HD$169+SwaptionShift):INDEX($FK$245:$ID$316,$FJ215-HD$169,72-HD$169+SwaptionMonthsToGo+SwaptionShift))/SQRT(SUM(INDEX($FK370:$ID370,1+SwaptionShift):INDEX($FK370:$ID370,SwaptionMonthsToGo+SwaptionShift))*SUM(INDEX($FK$325:$ID$396,HD$169,1+SwaptionShift):INDEX($FK$325:$ID$396,HD$169,SwaptionMonthsToGo+SwaptionShift))))))</f>
        <v/>
      </c>
      <c r="HE215" s="150" t="str">
        <f aca="false">IF(OR(HE$169&lt;SwaptionFirstMonthPosition+1,$FJ215&lt;SwaptionFirstMonthPosition+1,HE$169&gt;SwaptionFirstMonthPosition+SwaptionNumOfMonths+1,$FJ215&gt;SwaptionFirstMonthPosition+SwaptionNumOfMonths+1),"",IF($FJ215=HE$169,1,IF($FJ215&lt;HE$169,INDEX($FK$170:$ID$241,HE$169,$FJ215),SUMPRODUCT(INDEX($FK$325:$ID$396,HE$169,1+SwaptionShift):INDEX($FK$325:$ID$396,HE$169,SwaptionMonthsToGo+SwaptionShift),INDEX($FK$245:$ID$316,$FJ215-HE$169,73-HE$169+SwaptionShift):INDEX($FK$245:$ID$316,$FJ215-HE$169,72-HE$169+SwaptionMonthsToGo+SwaptionShift))/SQRT(SUM(INDEX($FK370:$ID370,1+SwaptionShift):INDEX($FK370:$ID370,SwaptionMonthsToGo+SwaptionShift))*SUM(INDEX($FK$325:$ID$396,HE$169,1+SwaptionShift):INDEX($FK$325:$ID$396,HE$169,SwaptionMonthsToGo+SwaptionShift))))))</f>
        <v/>
      </c>
      <c r="HF215" s="150" t="str">
        <f aca="false">IF(OR(HF$169&lt;SwaptionFirstMonthPosition+1,$FJ215&lt;SwaptionFirstMonthPosition+1,HF$169&gt;SwaptionFirstMonthPosition+SwaptionNumOfMonths+1,$FJ215&gt;SwaptionFirstMonthPosition+SwaptionNumOfMonths+1),"",IF($FJ215=HF$169,1,IF($FJ215&lt;HF$169,INDEX($FK$170:$ID$241,HF$169,$FJ215),SUMPRODUCT(INDEX($FK$325:$ID$396,HF$169,1+SwaptionShift):INDEX($FK$325:$ID$396,HF$169,SwaptionMonthsToGo+SwaptionShift),INDEX($FK$245:$ID$316,$FJ215-HF$169,73-HF$169+SwaptionShift):INDEX($FK$245:$ID$316,$FJ215-HF$169,72-HF$169+SwaptionMonthsToGo+SwaptionShift))/SQRT(SUM(INDEX($FK370:$ID370,1+SwaptionShift):INDEX($FK370:$ID370,SwaptionMonthsToGo+SwaptionShift))*SUM(INDEX($FK$325:$ID$396,HF$169,1+SwaptionShift):INDEX($FK$325:$ID$396,HF$169,SwaptionMonthsToGo+SwaptionShift))))))</f>
        <v/>
      </c>
      <c r="HG215" s="150" t="str">
        <f aca="false">IF(OR(HG$169&lt;SwaptionFirstMonthPosition+1,$FJ215&lt;SwaptionFirstMonthPosition+1,HG$169&gt;SwaptionFirstMonthPosition+SwaptionNumOfMonths+1,$FJ215&gt;SwaptionFirstMonthPosition+SwaptionNumOfMonths+1),"",IF($FJ215=HG$169,1,IF($FJ215&lt;HG$169,INDEX($FK$170:$ID$241,HG$169,$FJ215),SUMPRODUCT(INDEX($FK$325:$ID$396,HG$169,1+SwaptionShift):INDEX($FK$325:$ID$396,HG$169,SwaptionMonthsToGo+SwaptionShift),INDEX($FK$245:$ID$316,$FJ215-HG$169,73-HG$169+SwaptionShift):INDEX($FK$245:$ID$316,$FJ215-HG$169,72-HG$169+SwaptionMonthsToGo+SwaptionShift))/SQRT(SUM(INDEX($FK370:$ID370,1+SwaptionShift):INDEX($FK370:$ID370,SwaptionMonthsToGo+SwaptionShift))*SUM(INDEX($FK$325:$ID$396,HG$169,1+SwaptionShift):INDEX($FK$325:$ID$396,HG$169,SwaptionMonthsToGo+SwaptionShift))))))</f>
        <v/>
      </c>
      <c r="HH215" s="150" t="str">
        <f aca="false">IF(OR(HH$169&lt;SwaptionFirstMonthPosition+1,$FJ215&lt;SwaptionFirstMonthPosition+1,HH$169&gt;SwaptionFirstMonthPosition+SwaptionNumOfMonths+1,$FJ215&gt;SwaptionFirstMonthPosition+SwaptionNumOfMonths+1),"",IF($FJ215=HH$169,1,IF($FJ215&lt;HH$169,INDEX($FK$170:$ID$241,HH$169,$FJ215),SUMPRODUCT(INDEX($FK$325:$ID$396,HH$169,1+SwaptionShift):INDEX($FK$325:$ID$396,HH$169,SwaptionMonthsToGo+SwaptionShift),INDEX($FK$245:$ID$316,$FJ215-HH$169,73-HH$169+SwaptionShift):INDEX($FK$245:$ID$316,$FJ215-HH$169,72-HH$169+SwaptionMonthsToGo+SwaptionShift))/SQRT(SUM(INDEX($FK370:$ID370,1+SwaptionShift):INDEX($FK370:$ID370,SwaptionMonthsToGo+SwaptionShift))*SUM(INDEX($FK$325:$ID$396,HH$169,1+SwaptionShift):INDEX($FK$325:$ID$396,HH$169,SwaptionMonthsToGo+SwaptionShift))))))</f>
        <v/>
      </c>
      <c r="HI215" s="150" t="str">
        <f aca="false">IF(OR(HI$169&lt;SwaptionFirstMonthPosition+1,$FJ215&lt;SwaptionFirstMonthPosition+1,HI$169&gt;SwaptionFirstMonthPosition+SwaptionNumOfMonths+1,$FJ215&gt;SwaptionFirstMonthPosition+SwaptionNumOfMonths+1),"",IF($FJ215=HI$169,1,IF($FJ215&lt;HI$169,INDEX($FK$170:$ID$241,HI$169,$FJ215),SUMPRODUCT(INDEX($FK$325:$ID$396,HI$169,1+SwaptionShift):INDEX($FK$325:$ID$396,HI$169,SwaptionMonthsToGo+SwaptionShift),INDEX($FK$245:$ID$316,$FJ215-HI$169,73-HI$169+SwaptionShift):INDEX($FK$245:$ID$316,$FJ215-HI$169,72-HI$169+SwaptionMonthsToGo+SwaptionShift))/SQRT(SUM(INDEX($FK370:$ID370,1+SwaptionShift):INDEX($FK370:$ID370,SwaptionMonthsToGo+SwaptionShift))*SUM(INDEX($FK$325:$ID$396,HI$169,1+SwaptionShift):INDEX($FK$325:$ID$396,HI$169,SwaptionMonthsToGo+SwaptionShift))))))</f>
        <v/>
      </c>
      <c r="HJ215" s="150" t="str">
        <f aca="false">IF(OR(HJ$169&lt;SwaptionFirstMonthPosition+1,$FJ215&lt;SwaptionFirstMonthPosition+1,HJ$169&gt;SwaptionFirstMonthPosition+SwaptionNumOfMonths+1,$FJ215&gt;SwaptionFirstMonthPosition+SwaptionNumOfMonths+1),"",IF($FJ215=HJ$169,1,IF($FJ215&lt;HJ$169,INDEX($FK$170:$ID$241,HJ$169,$FJ215),SUMPRODUCT(INDEX($FK$325:$ID$396,HJ$169,1+SwaptionShift):INDEX($FK$325:$ID$396,HJ$169,SwaptionMonthsToGo+SwaptionShift),INDEX($FK$245:$ID$316,$FJ215-HJ$169,73-HJ$169+SwaptionShift):INDEX($FK$245:$ID$316,$FJ215-HJ$169,72-HJ$169+SwaptionMonthsToGo+SwaptionShift))/SQRT(SUM(INDEX($FK370:$ID370,1+SwaptionShift):INDEX($FK370:$ID370,SwaptionMonthsToGo+SwaptionShift))*SUM(INDEX($FK$325:$ID$396,HJ$169,1+SwaptionShift):INDEX($FK$325:$ID$396,HJ$169,SwaptionMonthsToGo+SwaptionShift))))))</f>
        <v/>
      </c>
      <c r="HK215" s="150" t="str">
        <f aca="false">IF(OR(HK$169&lt;SwaptionFirstMonthPosition+1,$FJ215&lt;SwaptionFirstMonthPosition+1,HK$169&gt;SwaptionFirstMonthPosition+SwaptionNumOfMonths+1,$FJ215&gt;SwaptionFirstMonthPosition+SwaptionNumOfMonths+1),"",IF($FJ215=HK$169,1,IF($FJ215&lt;HK$169,INDEX($FK$170:$ID$241,HK$169,$FJ215),SUMPRODUCT(INDEX($FK$325:$ID$396,HK$169,1+SwaptionShift):INDEX($FK$325:$ID$396,HK$169,SwaptionMonthsToGo+SwaptionShift),INDEX($FK$245:$ID$316,$FJ215-HK$169,73-HK$169+SwaptionShift):INDEX($FK$245:$ID$316,$FJ215-HK$169,72-HK$169+SwaptionMonthsToGo+SwaptionShift))/SQRT(SUM(INDEX($FK370:$ID370,1+SwaptionShift):INDEX($FK370:$ID370,SwaptionMonthsToGo+SwaptionShift))*SUM(INDEX($FK$325:$ID$396,HK$169,1+SwaptionShift):INDEX($FK$325:$ID$396,HK$169,SwaptionMonthsToGo+SwaptionShift))))))</f>
        <v/>
      </c>
      <c r="HL215" s="150" t="str">
        <f aca="false">IF(OR(HL$169&lt;SwaptionFirstMonthPosition+1,$FJ215&lt;SwaptionFirstMonthPosition+1,HL$169&gt;SwaptionFirstMonthPosition+SwaptionNumOfMonths+1,$FJ215&gt;SwaptionFirstMonthPosition+SwaptionNumOfMonths+1),"",IF($FJ215=HL$169,1,IF($FJ215&lt;HL$169,INDEX($FK$170:$ID$241,HL$169,$FJ215),SUMPRODUCT(INDEX($FK$325:$ID$396,HL$169,1+SwaptionShift):INDEX($FK$325:$ID$396,HL$169,SwaptionMonthsToGo+SwaptionShift),INDEX($FK$245:$ID$316,$FJ215-HL$169,73-HL$169+SwaptionShift):INDEX($FK$245:$ID$316,$FJ215-HL$169,72-HL$169+SwaptionMonthsToGo+SwaptionShift))/SQRT(SUM(INDEX($FK370:$ID370,1+SwaptionShift):INDEX($FK370:$ID370,SwaptionMonthsToGo+SwaptionShift))*SUM(INDEX($FK$325:$ID$396,HL$169,1+SwaptionShift):INDEX($FK$325:$ID$396,HL$169,SwaptionMonthsToGo+SwaptionShift))))))</f>
        <v/>
      </c>
      <c r="HM215" s="150" t="str">
        <f aca="false">IF(OR(HM$169&lt;SwaptionFirstMonthPosition+1,$FJ215&lt;SwaptionFirstMonthPosition+1,HM$169&gt;SwaptionFirstMonthPosition+SwaptionNumOfMonths+1,$FJ215&gt;SwaptionFirstMonthPosition+SwaptionNumOfMonths+1),"",IF($FJ215=HM$169,1,IF($FJ215&lt;HM$169,INDEX($FK$170:$ID$241,HM$169,$FJ215),SUMPRODUCT(INDEX($FK$325:$ID$396,HM$169,1+SwaptionShift):INDEX($FK$325:$ID$396,HM$169,SwaptionMonthsToGo+SwaptionShift),INDEX($FK$245:$ID$316,$FJ215-HM$169,73-HM$169+SwaptionShift):INDEX($FK$245:$ID$316,$FJ215-HM$169,72-HM$169+SwaptionMonthsToGo+SwaptionShift))/SQRT(SUM(INDEX($FK370:$ID370,1+SwaptionShift):INDEX($FK370:$ID370,SwaptionMonthsToGo+SwaptionShift))*SUM(INDEX($FK$325:$ID$396,HM$169,1+SwaptionShift):INDEX($FK$325:$ID$396,HM$169,SwaptionMonthsToGo+SwaptionShift))))))</f>
        <v/>
      </c>
      <c r="HN215" s="150" t="str">
        <f aca="false">IF(OR(HN$169&lt;SwaptionFirstMonthPosition+1,$FJ215&lt;SwaptionFirstMonthPosition+1,HN$169&gt;SwaptionFirstMonthPosition+SwaptionNumOfMonths+1,$FJ215&gt;SwaptionFirstMonthPosition+SwaptionNumOfMonths+1),"",IF($FJ215=HN$169,1,IF($FJ215&lt;HN$169,INDEX($FK$170:$ID$241,HN$169,$FJ215),SUMPRODUCT(INDEX($FK$325:$ID$396,HN$169,1+SwaptionShift):INDEX($FK$325:$ID$396,HN$169,SwaptionMonthsToGo+SwaptionShift),INDEX($FK$245:$ID$316,$FJ215-HN$169,73-HN$169+SwaptionShift):INDEX($FK$245:$ID$316,$FJ215-HN$169,72-HN$169+SwaptionMonthsToGo+SwaptionShift))/SQRT(SUM(INDEX($FK370:$ID370,1+SwaptionShift):INDEX($FK370:$ID370,SwaptionMonthsToGo+SwaptionShift))*SUM(INDEX($FK$325:$ID$396,HN$169,1+SwaptionShift):INDEX($FK$325:$ID$396,HN$169,SwaptionMonthsToGo+SwaptionShift))))))</f>
        <v/>
      </c>
      <c r="HO215" s="150" t="str">
        <f aca="false">IF(OR(HO$169&lt;SwaptionFirstMonthPosition+1,$FJ215&lt;SwaptionFirstMonthPosition+1,HO$169&gt;SwaptionFirstMonthPosition+SwaptionNumOfMonths+1,$FJ215&gt;SwaptionFirstMonthPosition+SwaptionNumOfMonths+1),"",IF($FJ215=HO$169,1,IF($FJ215&lt;HO$169,INDEX($FK$170:$ID$241,HO$169,$FJ215),SUMPRODUCT(INDEX($FK$325:$ID$396,HO$169,1+SwaptionShift):INDEX($FK$325:$ID$396,HO$169,SwaptionMonthsToGo+SwaptionShift),INDEX($FK$245:$ID$316,$FJ215-HO$169,73-HO$169+SwaptionShift):INDEX($FK$245:$ID$316,$FJ215-HO$169,72-HO$169+SwaptionMonthsToGo+SwaptionShift))/SQRT(SUM(INDEX($FK370:$ID370,1+SwaptionShift):INDEX($FK370:$ID370,SwaptionMonthsToGo+SwaptionShift))*SUM(INDEX($FK$325:$ID$396,HO$169,1+SwaptionShift):INDEX($FK$325:$ID$396,HO$169,SwaptionMonthsToGo+SwaptionShift))))))</f>
        <v/>
      </c>
      <c r="HP215" s="150" t="str">
        <f aca="false">IF(OR(HP$169&lt;SwaptionFirstMonthPosition+1,$FJ215&lt;SwaptionFirstMonthPosition+1,HP$169&gt;SwaptionFirstMonthPosition+SwaptionNumOfMonths+1,$FJ215&gt;SwaptionFirstMonthPosition+SwaptionNumOfMonths+1),"",IF($FJ215=HP$169,1,IF($FJ215&lt;HP$169,INDEX($FK$170:$ID$241,HP$169,$FJ215),SUMPRODUCT(INDEX($FK$325:$ID$396,HP$169,1+SwaptionShift):INDEX($FK$325:$ID$396,HP$169,SwaptionMonthsToGo+SwaptionShift),INDEX($FK$245:$ID$316,$FJ215-HP$169,73-HP$169+SwaptionShift):INDEX($FK$245:$ID$316,$FJ215-HP$169,72-HP$169+SwaptionMonthsToGo+SwaptionShift))/SQRT(SUM(INDEX($FK370:$ID370,1+SwaptionShift):INDEX($FK370:$ID370,SwaptionMonthsToGo+SwaptionShift))*SUM(INDEX($FK$325:$ID$396,HP$169,1+SwaptionShift):INDEX($FK$325:$ID$396,HP$169,SwaptionMonthsToGo+SwaptionShift))))))</f>
        <v/>
      </c>
      <c r="HQ215" s="150" t="str">
        <f aca="false">IF(OR(HQ$169&lt;SwaptionFirstMonthPosition+1,$FJ215&lt;SwaptionFirstMonthPosition+1,HQ$169&gt;SwaptionFirstMonthPosition+SwaptionNumOfMonths+1,$FJ215&gt;SwaptionFirstMonthPosition+SwaptionNumOfMonths+1),"",IF($FJ215=HQ$169,1,IF($FJ215&lt;HQ$169,INDEX($FK$170:$ID$241,HQ$169,$FJ215),SUMPRODUCT(INDEX($FK$325:$ID$396,HQ$169,1+SwaptionShift):INDEX($FK$325:$ID$396,HQ$169,SwaptionMonthsToGo+SwaptionShift),INDEX($FK$245:$ID$316,$FJ215-HQ$169,73-HQ$169+SwaptionShift):INDEX($FK$245:$ID$316,$FJ215-HQ$169,72-HQ$169+SwaptionMonthsToGo+SwaptionShift))/SQRT(SUM(INDEX($FK370:$ID370,1+SwaptionShift):INDEX($FK370:$ID370,SwaptionMonthsToGo+SwaptionShift))*SUM(INDEX($FK$325:$ID$396,HQ$169,1+SwaptionShift):INDEX($FK$325:$ID$396,HQ$169,SwaptionMonthsToGo+SwaptionShift))))))</f>
        <v/>
      </c>
      <c r="HR215" s="150" t="str">
        <f aca="false">IF(OR(HR$169&lt;SwaptionFirstMonthPosition+1,$FJ215&lt;SwaptionFirstMonthPosition+1,HR$169&gt;SwaptionFirstMonthPosition+SwaptionNumOfMonths+1,$FJ215&gt;SwaptionFirstMonthPosition+SwaptionNumOfMonths+1),"",IF($FJ215=HR$169,1,IF($FJ215&lt;HR$169,INDEX($FK$170:$ID$241,HR$169,$FJ215),SUMPRODUCT(INDEX($FK$325:$ID$396,HR$169,1+SwaptionShift):INDEX($FK$325:$ID$396,HR$169,SwaptionMonthsToGo+SwaptionShift),INDEX($FK$245:$ID$316,$FJ215-HR$169,73-HR$169+SwaptionShift):INDEX($FK$245:$ID$316,$FJ215-HR$169,72-HR$169+SwaptionMonthsToGo+SwaptionShift))/SQRT(SUM(INDEX($FK370:$ID370,1+SwaptionShift):INDEX($FK370:$ID370,SwaptionMonthsToGo+SwaptionShift))*SUM(INDEX($FK$325:$ID$396,HR$169,1+SwaptionShift):INDEX($FK$325:$ID$396,HR$169,SwaptionMonthsToGo+SwaptionShift))))))</f>
        <v/>
      </c>
      <c r="HS215" s="150" t="str">
        <f aca="false">IF(OR(HS$169&lt;SwaptionFirstMonthPosition+1,$FJ215&lt;SwaptionFirstMonthPosition+1,HS$169&gt;SwaptionFirstMonthPosition+SwaptionNumOfMonths+1,$FJ215&gt;SwaptionFirstMonthPosition+SwaptionNumOfMonths+1),"",IF($FJ215=HS$169,1,IF($FJ215&lt;HS$169,INDEX($FK$170:$ID$241,HS$169,$FJ215),SUMPRODUCT(INDEX($FK$325:$ID$396,HS$169,1+SwaptionShift):INDEX($FK$325:$ID$396,HS$169,SwaptionMonthsToGo+SwaptionShift),INDEX($FK$245:$ID$316,$FJ215-HS$169,73-HS$169+SwaptionShift):INDEX($FK$245:$ID$316,$FJ215-HS$169,72-HS$169+SwaptionMonthsToGo+SwaptionShift))/SQRT(SUM(INDEX($FK370:$ID370,1+SwaptionShift):INDEX($FK370:$ID370,SwaptionMonthsToGo+SwaptionShift))*SUM(INDEX($FK$325:$ID$396,HS$169,1+SwaptionShift):INDEX($FK$325:$ID$396,HS$169,SwaptionMonthsToGo+SwaptionShift))))))</f>
        <v/>
      </c>
      <c r="HT215" s="150" t="str">
        <f aca="false">IF(OR(HT$169&lt;SwaptionFirstMonthPosition+1,$FJ215&lt;SwaptionFirstMonthPosition+1,HT$169&gt;SwaptionFirstMonthPosition+SwaptionNumOfMonths+1,$FJ215&gt;SwaptionFirstMonthPosition+SwaptionNumOfMonths+1),"",IF($FJ215=HT$169,1,IF($FJ215&lt;HT$169,INDEX($FK$170:$ID$241,HT$169,$FJ215),SUMPRODUCT(INDEX($FK$325:$ID$396,HT$169,1+SwaptionShift):INDEX($FK$325:$ID$396,HT$169,SwaptionMonthsToGo+SwaptionShift),INDEX($FK$245:$ID$316,$FJ215-HT$169,73-HT$169+SwaptionShift):INDEX($FK$245:$ID$316,$FJ215-HT$169,72-HT$169+SwaptionMonthsToGo+SwaptionShift))/SQRT(SUM(INDEX($FK370:$ID370,1+SwaptionShift):INDEX($FK370:$ID370,SwaptionMonthsToGo+SwaptionShift))*SUM(INDEX($FK$325:$ID$396,HT$169,1+SwaptionShift):INDEX($FK$325:$ID$396,HT$169,SwaptionMonthsToGo+SwaptionShift))))))</f>
        <v/>
      </c>
      <c r="HU215" s="150" t="str">
        <f aca="false">IF(OR(HU$169&lt;SwaptionFirstMonthPosition+1,$FJ215&lt;SwaptionFirstMonthPosition+1,HU$169&gt;SwaptionFirstMonthPosition+SwaptionNumOfMonths+1,$FJ215&gt;SwaptionFirstMonthPosition+SwaptionNumOfMonths+1),"",IF($FJ215=HU$169,1,IF($FJ215&lt;HU$169,INDEX($FK$170:$ID$241,HU$169,$FJ215),SUMPRODUCT(INDEX($FK$325:$ID$396,HU$169,1+SwaptionShift):INDEX($FK$325:$ID$396,HU$169,SwaptionMonthsToGo+SwaptionShift),INDEX($FK$245:$ID$316,$FJ215-HU$169,73-HU$169+SwaptionShift):INDEX($FK$245:$ID$316,$FJ215-HU$169,72-HU$169+SwaptionMonthsToGo+SwaptionShift))/SQRT(SUM(INDEX($FK370:$ID370,1+SwaptionShift):INDEX($FK370:$ID370,SwaptionMonthsToGo+SwaptionShift))*SUM(INDEX($FK$325:$ID$396,HU$169,1+SwaptionShift):INDEX($FK$325:$ID$396,HU$169,SwaptionMonthsToGo+SwaptionShift))))))</f>
        <v/>
      </c>
      <c r="HV215" s="150" t="str">
        <f aca="false">IF(OR(HV$169&lt;SwaptionFirstMonthPosition+1,$FJ215&lt;SwaptionFirstMonthPosition+1,HV$169&gt;SwaptionFirstMonthPosition+SwaptionNumOfMonths+1,$FJ215&gt;SwaptionFirstMonthPosition+SwaptionNumOfMonths+1),"",IF($FJ215=HV$169,1,IF($FJ215&lt;HV$169,INDEX($FK$170:$ID$241,HV$169,$FJ215),SUMPRODUCT(INDEX($FK$325:$ID$396,HV$169,1+SwaptionShift):INDEX($FK$325:$ID$396,HV$169,SwaptionMonthsToGo+SwaptionShift),INDEX($FK$245:$ID$316,$FJ215-HV$169,73-HV$169+SwaptionShift):INDEX($FK$245:$ID$316,$FJ215-HV$169,72-HV$169+SwaptionMonthsToGo+SwaptionShift))/SQRT(SUM(INDEX($FK370:$ID370,1+SwaptionShift):INDEX($FK370:$ID370,SwaptionMonthsToGo+SwaptionShift))*SUM(INDEX($FK$325:$ID$396,HV$169,1+SwaptionShift):INDEX($FK$325:$ID$396,HV$169,SwaptionMonthsToGo+SwaptionShift))))))</f>
        <v/>
      </c>
      <c r="HW215" s="150" t="str">
        <f aca="false">IF(OR(HW$169&lt;SwaptionFirstMonthPosition+1,$FJ215&lt;SwaptionFirstMonthPosition+1,HW$169&gt;SwaptionFirstMonthPosition+SwaptionNumOfMonths+1,$FJ215&gt;SwaptionFirstMonthPosition+SwaptionNumOfMonths+1),"",IF($FJ215=HW$169,1,IF($FJ215&lt;HW$169,INDEX($FK$170:$ID$241,HW$169,$FJ215),SUMPRODUCT(INDEX($FK$325:$ID$396,HW$169,1+SwaptionShift):INDEX($FK$325:$ID$396,HW$169,SwaptionMonthsToGo+SwaptionShift),INDEX($FK$245:$ID$316,$FJ215-HW$169,73-HW$169+SwaptionShift):INDEX($FK$245:$ID$316,$FJ215-HW$169,72-HW$169+SwaptionMonthsToGo+SwaptionShift))/SQRT(SUM(INDEX($FK370:$ID370,1+SwaptionShift):INDEX($FK370:$ID370,SwaptionMonthsToGo+SwaptionShift))*SUM(INDEX($FK$325:$ID$396,HW$169,1+SwaptionShift):INDEX($FK$325:$ID$396,HW$169,SwaptionMonthsToGo+SwaptionShift))))))</f>
        <v/>
      </c>
      <c r="HX215" s="150" t="str">
        <f aca="false">IF(OR(HX$169&lt;SwaptionFirstMonthPosition+1,$FJ215&lt;SwaptionFirstMonthPosition+1,HX$169&gt;SwaptionFirstMonthPosition+SwaptionNumOfMonths+1,$FJ215&gt;SwaptionFirstMonthPosition+SwaptionNumOfMonths+1),"",IF($FJ215=HX$169,1,IF($FJ215&lt;HX$169,INDEX($FK$170:$ID$241,HX$169,$FJ215),SUMPRODUCT(INDEX($FK$325:$ID$396,HX$169,1+SwaptionShift):INDEX($FK$325:$ID$396,HX$169,SwaptionMonthsToGo+SwaptionShift),INDEX($FK$245:$ID$316,$FJ215-HX$169,73-HX$169+SwaptionShift):INDEX($FK$245:$ID$316,$FJ215-HX$169,72-HX$169+SwaptionMonthsToGo+SwaptionShift))/SQRT(SUM(INDEX($FK370:$ID370,1+SwaptionShift):INDEX($FK370:$ID370,SwaptionMonthsToGo+SwaptionShift))*SUM(INDEX($FK$325:$ID$396,HX$169,1+SwaptionShift):INDEX($FK$325:$ID$396,HX$169,SwaptionMonthsToGo+SwaptionShift))))))</f>
        <v/>
      </c>
      <c r="HY215" s="150" t="str">
        <f aca="false">IF(OR(HY$169&lt;SwaptionFirstMonthPosition+1,$FJ215&lt;SwaptionFirstMonthPosition+1,HY$169&gt;SwaptionFirstMonthPosition+SwaptionNumOfMonths+1,$FJ215&gt;SwaptionFirstMonthPosition+SwaptionNumOfMonths+1),"",IF($FJ215=HY$169,1,IF($FJ215&lt;HY$169,INDEX($FK$170:$ID$241,HY$169,$FJ215),SUMPRODUCT(INDEX($FK$325:$ID$396,HY$169,1+SwaptionShift):INDEX($FK$325:$ID$396,HY$169,SwaptionMonthsToGo+SwaptionShift),INDEX($FK$245:$ID$316,$FJ215-HY$169,73-HY$169+SwaptionShift):INDEX($FK$245:$ID$316,$FJ215-HY$169,72-HY$169+SwaptionMonthsToGo+SwaptionShift))/SQRT(SUM(INDEX($FK370:$ID370,1+SwaptionShift):INDEX($FK370:$ID370,SwaptionMonthsToGo+SwaptionShift))*SUM(INDEX($FK$325:$ID$396,HY$169,1+SwaptionShift):INDEX($FK$325:$ID$396,HY$169,SwaptionMonthsToGo+SwaptionShift))))))</f>
        <v/>
      </c>
      <c r="HZ215" s="150" t="str">
        <f aca="false">IF(OR(HZ$169&lt;SwaptionFirstMonthPosition+1,$FJ215&lt;SwaptionFirstMonthPosition+1,HZ$169&gt;SwaptionFirstMonthPosition+SwaptionNumOfMonths+1,$FJ215&gt;SwaptionFirstMonthPosition+SwaptionNumOfMonths+1),"",IF($FJ215=HZ$169,1,IF($FJ215&lt;HZ$169,INDEX($FK$170:$ID$241,HZ$169,$FJ215),SUMPRODUCT(INDEX($FK$325:$ID$396,HZ$169,1+SwaptionShift):INDEX($FK$325:$ID$396,HZ$169,SwaptionMonthsToGo+SwaptionShift),INDEX($FK$245:$ID$316,$FJ215-HZ$169,73-HZ$169+SwaptionShift):INDEX($FK$245:$ID$316,$FJ215-HZ$169,72-HZ$169+SwaptionMonthsToGo+SwaptionShift))/SQRT(SUM(INDEX($FK370:$ID370,1+SwaptionShift):INDEX($FK370:$ID370,SwaptionMonthsToGo+SwaptionShift))*SUM(INDEX($FK$325:$ID$396,HZ$169,1+SwaptionShift):INDEX($FK$325:$ID$396,HZ$169,SwaptionMonthsToGo+SwaptionShift))))))</f>
        <v/>
      </c>
      <c r="IA215" s="150" t="str">
        <f aca="false">IF(OR(IA$169&lt;SwaptionFirstMonthPosition+1,$FJ215&lt;SwaptionFirstMonthPosition+1,IA$169&gt;SwaptionFirstMonthPosition+SwaptionNumOfMonths+1,$FJ215&gt;SwaptionFirstMonthPosition+SwaptionNumOfMonths+1),"",IF($FJ215=IA$169,1,IF($FJ215&lt;IA$169,INDEX($FK$170:$ID$241,IA$169,$FJ215),SUMPRODUCT(INDEX($FK$325:$ID$396,IA$169,1+SwaptionShift):INDEX($FK$325:$ID$396,IA$169,SwaptionMonthsToGo+SwaptionShift),INDEX($FK$245:$ID$316,$FJ215-IA$169,73-IA$169+SwaptionShift):INDEX($FK$245:$ID$316,$FJ215-IA$169,72-IA$169+SwaptionMonthsToGo+SwaptionShift))/SQRT(SUM(INDEX($FK370:$ID370,1+SwaptionShift):INDEX($FK370:$ID370,SwaptionMonthsToGo+SwaptionShift))*SUM(INDEX($FK$325:$ID$396,IA$169,1+SwaptionShift):INDEX($FK$325:$ID$396,IA$169,SwaptionMonthsToGo+SwaptionShift))))))</f>
        <v/>
      </c>
      <c r="IB215" s="150" t="str">
        <f aca="false">IF(OR(IB$169&lt;SwaptionFirstMonthPosition+1,$FJ215&lt;SwaptionFirstMonthPosition+1,IB$169&gt;SwaptionFirstMonthPosition+SwaptionNumOfMonths+1,$FJ215&gt;SwaptionFirstMonthPosition+SwaptionNumOfMonths+1),"",IF($FJ215=IB$169,1,IF($FJ215&lt;IB$169,INDEX($FK$170:$ID$241,IB$169,$FJ215),SUMPRODUCT(INDEX($FK$325:$ID$396,IB$169,1+SwaptionShift):INDEX($FK$325:$ID$396,IB$169,SwaptionMonthsToGo+SwaptionShift),INDEX($FK$245:$ID$316,$FJ215-IB$169,73-IB$169+SwaptionShift):INDEX($FK$245:$ID$316,$FJ215-IB$169,72-IB$169+SwaptionMonthsToGo+SwaptionShift))/SQRT(SUM(INDEX($FK370:$ID370,1+SwaptionShift):INDEX($FK370:$ID370,SwaptionMonthsToGo+SwaptionShift))*SUM(INDEX($FK$325:$ID$396,IB$169,1+SwaptionShift):INDEX($FK$325:$ID$396,IB$169,SwaptionMonthsToGo+SwaptionShift))))))</f>
        <v/>
      </c>
      <c r="IC215" s="150" t="str">
        <f aca="false">IF(OR(IC$169&lt;SwaptionFirstMonthPosition+1,$FJ215&lt;SwaptionFirstMonthPosition+1,IC$169&gt;SwaptionFirstMonthPosition+SwaptionNumOfMonths+1,$FJ215&gt;SwaptionFirstMonthPosition+SwaptionNumOfMonths+1),"",IF($FJ215=IC$169,1,IF($FJ215&lt;IC$169,INDEX($FK$170:$ID$241,IC$169,$FJ215),SUMPRODUCT(INDEX($FK$325:$ID$396,IC$169,1+SwaptionShift):INDEX($FK$325:$ID$396,IC$169,SwaptionMonthsToGo+SwaptionShift),INDEX($FK$245:$ID$316,$FJ215-IC$169,73-IC$169+SwaptionShift):INDEX($FK$245:$ID$316,$FJ215-IC$169,72-IC$169+SwaptionMonthsToGo+SwaptionShift))/SQRT(SUM(INDEX($FK370:$ID370,1+SwaptionShift):INDEX($FK370:$ID370,SwaptionMonthsToGo+SwaptionShift))*SUM(INDEX($FK$325:$ID$396,IC$169,1+SwaptionShift):INDEX($FK$325:$ID$396,IC$169,SwaptionMonthsToGo+SwaptionShift))))))</f>
        <v/>
      </c>
      <c r="ID215" s="572" t="str">
        <f aca="false">IF(OR(ID$169&lt;SwaptionFirstMonthPosition+1,$FJ215&lt;SwaptionFirstMonthPosition+1,ID$169&gt;SwaptionFirstMonthPosition+SwaptionNumOfMonths+1,$FJ215&gt;SwaptionFirstMonthPosition+SwaptionNumOfMonths+1),"",IF($FJ215=ID$169,1,IF($FJ215&lt;ID$169,INDEX($FK$170:$ID$241,ID$169,$FJ215),SUMPRODUCT(INDEX($FK$325:$ID$396,ID$169,1+SwaptionShift):INDEX($FK$325:$ID$396,ID$169,SwaptionMonthsToGo+SwaptionShift),INDEX($FK$245:$ID$316,$FJ215-ID$169,73-ID$169+SwaptionShift):INDEX($FK$245:$ID$316,$FJ215-ID$169,72-ID$169+SwaptionMonthsToGo+SwaptionShift))/SQRT(SUM(INDEX($FK370:$ID370,1+SwaptionShift):INDEX($FK370:$ID370,SwaptionMonthsToGo+SwaptionShift))*SUM(INDEX($FK$325:$ID$396,ID$169,1+SwaptionShift):INDEX($FK$325:$ID$396,ID$169,SwaptionMonthsToGo+SwaptionShift))))))</f>
        <v/>
      </c>
      <c r="IE215" s="129"/>
    </row>
    <row r="216" customFormat="false" ht="12.75" hidden="false" customHeight="false" outlineLevel="0" collapsed="false">
      <c r="H216" s="219" t="n">
        <f aca="false">VLOOKUP(I216,$EJ$20:$EL$54,3)</f>
        <v>0</v>
      </c>
      <c r="I216" s="511" t="n">
        <f aca="false">EOMONTH(I215,0)+1</f>
        <v>42736</v>
      </c>
      <c r="J216" s="512"/>
      <c r="K216" s="513" t="s">
        <v>280</v>
      </c>
      <c r="L216" s="514" t="n">
        <f aca="false">IF(ISNUMBER(K216),J216+K216/100,IF(K216="extra",L215+VLOOKUP(BF216,PriceSpreadTable,2)/12,IF(K216="inter",interpolateprices($K$19:$L$200,ROW(K216)-ROW(FirstPricingMonth)+1),interpolatechanges($J$19:$K$200,ROW(K216)-ROW(FirstPricingMonth)+1))))</f>
        <v>4.5</v>
      </c>
      <c r="M216" s="515"/>
      <c r="N216" s="516" t="n">
        <v>0</v>
      </c>
      <c r="O216" s="515" t="n">
        <f aca="false">M216+N216</f>
        <v>0</v>
      </c>
      <c r="P216" s="512"/>
      <c r="Q216" s="513" t="s">
        <v>280</v>
      </c>
      <c r="R216" s="512" t="e">
        <f aca="false">IF(ISNUMBER(Q216),P216+Q216/100,IF(Q216="extra",(Z214*AL214-R215*AM214)/AN214,IF(Q216="inter",interpolateprices($Q$19:$R$260,ROW(Q216)-ROW(FirstPricingMonth)+1),interpolatechanges($P$19:$Q$260,ROW(Q216)-ROW(FirstPricingMonth)+1))))</f>
        <v>#VALUE!</v>
      </c>
      <c r="S216" s="597" t="n">
        <f aca="false">S$19+(S215-S$19)*S$18</f>
        <v>0.36</v>
      </c>
      <c r="T216" s="575" t="n">
        <f aca="false">SQRT((1-(1-T215^2/U215)*T$18)*U216)</f>
        <v>0.999999999999995</v>
      </c>
      <c r="U216" s="576" t="n">
        <f aca="false">1-(1-U215)*U$18</f>
        <v>1</v>
      </c>
      <c r="V216" s="521" t="n">
        <v>0</v>
      </c>
      <c r="W216" s="577" t="n">
        <f aca="false">(J217*AJ216+J218*AK216)/AI216</f>
        <v>0</v>
      </c>
      <c r="X216" s="578" t="n">
        <f aca="false">(L217*AJ216+L218*AK216)/AI216</f>
        <v>4.54943181818182</v>
      </c>
      <c r="Y216" s="579" t="n">
        <f aca="false">IF(Q218="extra",W216-AA216,(P217*AM216+P218*AN216)/AL216)</f>
        <v>-1.1685</v>
      </c>
      <c r="Z216" s="579" t="n">
        <f aca="false">IF(Q218="extra",X216-AB216,(R217*AM216+R218*AN216)/AL216)</f>
        <v>3.38093181818182</v>
      </c>
      <c r="AA216" s="523" t="n">
        <f aca="false">IF(Q218="extra",INDEX(BrentSeasonalityTable,INT((BG216-1)/3)+1)*VLOOKUP(MAX(BF216,$AB$4),PriceSpreadTable,3),W216-Y216)</f>
        <v>1.1685</v>
      </c>
      <c r="AB216" s="524" t="n">
        <f aca="false">IF(Q218="extra",INDEX(BrentSeasonalityTable,INT((BG216-1)/3)+1)*VLOOKUP(MAX(BF216,$AB$4),PriceSpreadTable,3),X216-Z216)</f>
        <v>1.1685</v>
      </c>
      <c r="AC216" s="646" t="n">
        <v>42724</v>
      </c>
      <c r="AD216" s="646" t="n">
        <v>42720</v>
      </c>
      <c r="AE216" s="646" t="n">
        <v>42719</v>
      </c>
      <c r="AF216" s="646" t="n">
        <v>42715</v>
      </c>
      <c r="AG216" s="438" t="s">
        <v>278</v>
      </c>
      <c r="AH216" s="439" t="s">
        <v>278</v>
      </c>
      <c r="AI216" s="528" t="n">
        <v>22</v>
      </c>
      <c r="AJ216" s="529" t="n">
        <v>15</v>
      </c>
      <c r="AK216" s="529" t="n">
        <v>7</v>
      </c>
      <c r="AL216" s="530" t="n">
        <v>22</v>
      </c>
      <c r="AM216" s="529" t="n">
        <v>10</v>
      </c>
      <c r="AN216" s="531" t="n">
        <v>12</v>
      </c>
      <c r="AO216" s="532"/>
      <c r="AP216" s="465" t="n">
        <f aca="false">(1+AO216/2)^(-2*BL216)</f>
        <v>1</v>
      </c>
      <c r="AQ216" s="532"/>
      <c r="AR216" s="465" t="n">
        <f aca="false">(1+AQ216/2)^(-2*BH216/365.25)</f>
        <v>1</v>
      </c>
      <c r="AS216" s="580" t="n">
        <f aca="false">(O217*AJ216+O218*AK216)/AI216</f>
        <v>0</v>
      </c>
      <c r="AT216" s="468" t="n">
        <f aca="false">O216*VLOOKUP(BF216,BrentVolTable,2)+VLOOKUP(BF216,BrentVolTable,3)</f>
        <v>0</v>
      </c>
      <c r="AU216" s="468" t="n">
        <f aca="false">(AT217*AM216+AT218*AN216)/AL216</f>
        <v>0</v>
      </c>
      <c r="AV216" s="595" t="n">
        <f aca="false">SQRT(MAX(0.000000000001,(O216^2*BH216-S216^2*(BH216-BH215))/BH215))</f>
        <v>0.0346677763068951</v>
      </c>
      <c r="AW216" s="451" t="n">
        <f aca="false">IF($I216-DateToday+15&gt;=$T$8,"",IF($I216-DateToday+15&lt;$T$5,1,MATCH($I216-DateToday+15,$T$5:$T$8)))</f>
        <v>1</v>
      </c>
      <c r="AX216" s="468" t="n">
        <f aca="false">IF($AW216="",AX215^2/AX214,INDEX(U$5:U$8,$AW216)^((INDEX($T$5:$T$8,$AW216+1)-($I216-DateToday+15))/(INDEX($T$5:$T$8,$AW216+1)-INDEX($T$5:$T$8,$AW216)))/INDEX(U$5:U$8,$AW216+1)^((INDEX($T$5:$T$8,$AW216)-($I216-DateToday+15))/(INDEX($T$5:$T$8,$AW216+1)-INDEX($T$5:$T$8,$AW216))))</f>
        <v>0.189983132412425</v>
      </c>
      <c r="AY216" s="468" t="n">
        <f aca="false">IF($AW216="",AY215^2/AY214,INDEX(V$5:V$8,$AW216)^((INDEX($T$5:$T$8,$AW216+1)-($I216-DateToday+15))/(INDEX($T$5:$T$8,$AW216+1)-INDEX($T$5:$T$8,$AW216)))/INDEX(V$5:V$8,$AW216+1)^((INDEX($T$5:$T$8,$AW216)-($I216-DateToday+15))/(INDEX($T$5:$T$8,$AW216+1)-INDEX($T$5:$T$8,$AW216))))</f>
        <v>1.35174254927298</v>
      </c>
      <c r="AZ216" s="468" t="n">
        <f aca="false">IF($AW216="",AZ215^2/AZ214,INDEX(W$5:W$8,$AW216)^((INDEX($T$5:$T$8,$AW216+1)-($I216-DateToday+15))/(INDEX($T$5:$T$8,$AW216+1)-INDEX($T$5:$T$8,$AW216)))/INDEX(W$5:W$8,$AW216+1)^((INDEX($T$5:$T$8,$AW216)-($I216-DateToday+15))/(INDEX($T$5:$T$8,$AW216+1)-INDEX($T$5:$T$8,$AW216))))</f>
        <v>69.4487576559413</v>
      </c>
      <c r="BA216" s="468" t="n">
        <f aca="false">IF($AW216="",BA215^2/BA214,INDEX(X$5:X$8,$AW216)^((INDEX($T$5:$T$8,$AW216+1)-($I216-DateToday+15))/(INDEX($T$5:$T$8,$AW216+1)-INDEX($T$5:$T$8,$AW216)))/INDEX(X$5:X$8,$AW216+1)^((INDEX($T$5:$T$8,$AW216)-($I216-DateToday+15))/(INDEX($T$5:$T$8,$AW216+1)-INDEX($T$5:$T$8,$AW216))))</f>
        <v>137.438463766948</v>
      </c>
      <c r="BB216" s="468" t="n">
        <f aca="false">IF($AW216="",BB215^2/BB214,INDEX(Y$5:Y$8,$AW216)^((INDEX($T$5:$T$8,$AW216+1)-($I216-DateToday+15))/(INDEX($T$5:$T$8,$AW216+1)-INDEX($T$5:$T$8,$AW216)))/INDEX(Y$5:Y$8,$AW216+1)^((INDEX($T$5:$T$8,$AW216)-($I216-DateToday+15))/(INDEX($T$5:$T$8,$AW216+1)-INDEX($T$5:$T$8,$AW216))))</f>
        <v>545.734007741885</v>
      </c>
      <c r="BC216" s="468" t="n">
        <f aca="false">IF($AW216="",BC215^2/BC214,INDEX(Z$5:Z$8,$AW216)^((INDEX($T$5:$T$8,$AW216+1)-($I216-DateToday+15))/(INDEX($T$5:$T$8,$AW216+1)-INDEX($T$5:$T$8,$AW216)))/INDEX(Z$5:Z$8,$AW216+1)^((INDEX($T$5:$T$8,$AW216)-($I216-DateToday+15))/(INDEX($T$5:$T$8,$AW216+1)-INDEX($T$5:$T$8,$AW216))))</f>
        <v>1280.95843987519</v>
      </c>
      <c r="BD216" s="535" t="n">
        <f aca="false">IF(OR(DateStart&gt;=I217,DateEnd&lt;I216),0,IF(VolumeOverrideFlag,V216,Volume))</f>
        <v>0</v>
      </c>
      <c r="BE216" s="536" t="n">
        <f aca="false">IF(OR(DateStart2&gt;=I217,DateEnd2&lt;I216),0,IF(VolumeOverrideFlag,V216,VolumeSwaption))</f>
        <v>0</v>
      </c>
      <c r="BF216" s="537" t="n">
        <f aca="false">YEAR(I216)</f>
        <v>2017</v>
      </c>
      <c r="BG216" s="538" t="n">
        <f aca="false">MONTH(I216)</f>
        <v>1</v>
      </c>
      <c r="BH216" s="539" t="n">
        <f aca="false">AD216-DateToday+1</f>
        <v>-3205</v>
      </c>
      <c r="BI216" s="540" t="n">
        <f aca="false">(I216-DateToday+1)/365.25</f>
        <v>-8.73100616016427</v>
      </c>
      <c r="BJ216" s="541" t="n">
        <f aca="false">BI216+(BL216-BI216)*CHOOSE(Underlying,AJ216/AI216,AM216/AL216)</f>
        <v>-8.67500466679111</v>
      </c>
      <c r="BK216" s="541" t="n">
        <f aca="false">BJ216+1/365.25</f>
        <v>-8.67226681600398</v>
      </c>
      <c r="BL216" s="541" t="n">
        <f aca="false">(I217-DateToday)/365.25</f>
        <v>-8.64887063655031</v>
      </c>
      <c r="BM216" s="542" t="e">
        <f aca="false">MAX(BI216-(BJ216-BI216)*(S217^2/O217^2-1),0)</f>
        <v>#DIV/0!</v>
      </c>
      <c r="BN216" s="541" t="e">
        <f aca="false">MAX(BL216+(BL216-BK216)*(S218^2/O218^2-1),0)</f>
        <v>#DIV/0!</v>
      </c>
      <c r="BO216" s="530" t="n">
        <f aca="false">CHOOSE(Underlying,AI216,AL216)</f>
        <v>22</v>
      </c>
      <c r="BP216" s="529" t="n">
        <f aca="false">CHOOSE(Underlying,AJ216,AM216)</f>
        <v>15</v>
      </c>
      <c r="BQ216" s="529" t="n">
        <f aca="false">CHOOSE(Underlying,AK216,AN216)</f>
        <v>7</v>
      </c>
      <c r="BR216" s="463" t="str">
        <f aca="false">IF(BD216,IF(Underlying=1,X216,Z216)+UnderlyingPriceAsian-SwapPriceCurve,"")</f>
        <v/>
      </c>
      <c r="BS216" s="463" t="str">
        <f aca="false">IF(BD216,Strike1/BR216-1,"")</f>
        <v/>
      </c>
      <c r="BT216" s="464" t="str">
        <f aca="false">IF(BD216,Strike2/BR216-1,"")</f>
        <v/>
      </c>
      <c r="BU216" s="465" t="str">
        <f aca="false">IF(BD216,IF(Underlying=1,L217,R217)+UnderlyingPriceAsian-SwapPriceCurve,"")</f>
        <v/>
      </c>
      <c r="BV216" s="465" t="str">
        <f aca="false">IF(BD216,IF(Underlying=1,L218,R218)+UnderlyingPriceAsian-SwapPriceCurve,"")</f>
        <v/>
      </c>
      <c r="BW216" s="466" t="str">
        <f aca="false">IF(BD216,IF(Underlying=1,O217,AT217),"")</f>
        <v/>
      </c>
      <c r="BX216" s="467" t="str">
        <f aca="false">IF(BD216,IF(Underlying=1,O218,AT218),"")</f>
        <v/>
      </c>
      <c r="BY216" s="466" t="str">
        <f aca="false">IF(BD216,IF(BS216&gt;0,IF(BS216&gt;0.2,BC216-BB216,IF(BS216&gt;0.1,BB216-BA216,BA216)),IF(BS216&lt;-0.2,AX216-AY216,IF(BS216&lt;-0.1,AY216-AZ216,AZ216))),"")</f>
        <v/>
      </c>
      <c r="BZ216" s="467" t="str">
        <f aca="false">IF(BD216,IF(BT216&gt;0,IF(BT216&gt;0.2,BC216-BB216,IF(BT216&gt;0.1,BB216-BA216,BA216)),IF(BT216&lt;-0.2,AX216-AY216,IF(BT216&lt;-0.1,AY216-AZ216,AZ216))),"")</f>
        <v/>
      </c>
      <c r="CA216" s="468" t="str">
        <f aca="false">IF($BD216,$BW216+IF(VolSkewFlag=1,IF(BS216&gt;0,$BA216*MIN(BS216/10%,1)+($BB216-$BA216)*MAX(0,MIN(BS216/10%-1,1))+($BC216-$BB216)*MAX(0,BS216/10%-2),$AZ216*MIN(-BS216/10%,1)+($AY216-$AZ216)*MAX(0,MIN(-BS216/10%-1,1))+($AX216-$AY216)*MAX(0,-BS216/10%-2)),0),"")</f>
        <v/>
      </c>
      <c r="CB216" s="468" t="str">
        <f aca="false">IF($BD216,$BX216+IF(VolSkewFlag=1,IF(BS216&gt;0,$BA216*MIN(BS216/10%,1)+($BB216-$BA216)*MAX(0,MIN(BS216/10%-1,1))+($BC216-$BB216)*MAX(0,BS216/10%-2),$AZ216*MIN(-BS216/10%,1)+($AY216-$AZ216)*MAX(0,MIN(-BS216/10%-1,1))+($AX216-$AY216)*MAX(0,-BS216/10%-2)),0),"")</f>
        <v/>
      </c>
      <c r="CC216" s="468" t="str">
        <f aca="false">IF($BD216,$BW216+IF(VolSkewFlag=1,IF(BT216&gt;0,$BA216*MIN(BT216/10%,1)+($BB216-$BA216)*MAX(0,MIN(BT216/10%-1,1))+($BC216-$BB216)*MAX(0,BT216/10%-2),$AZ216*MIN(-BT216/10%,1)+($AY216-$AZ216)*MAX(0,MIN(-BT216/10%-1,1))+($AX216-$AY216)*MAX(0,-BT216/10%-2)),0),"")</f>
        <v/>
      </c>
      <c r="CD216" s="468" t="str">
        <f aca="false">IF($BD216,$BX216+IF(VolSkewFlag=1,IF(BT216&gt;0,$BA216*MIN(BT216/10%,1)+($BB216-$BA216)*MAX(0,MIN(BT216/10%-1,1))+($BC216-$BB216)*MAX(0,BT216/10%-2),$AZ216*MIN(-BT216/10%,1)+($AY216-$AZ216)*MAX(0,MIN(-BT216/10%-1,1))+($AX216-$AY216)*MAX(0,-BT216/10%-2)),0),"")</f>
        <v/>
      </c>
      <c r="CE216" s="469" t="n">
        <v>1</v>
      </c>
      <c r="CF216" s="470" t="n">
        <f aca="false">IF(BD216,xCrudeAPO(BU216,BV216,CA216,CB216,S217,S218,BI216,BL216,BP216,BQ216,0,Strike1,AO216,CE216,0,BL216,IF(OptControl=4,0,1),0,1),0)</f>
        <v>0</v>
      </c>
      <c r="CG216" s="470" t="n">
        <f aca="false">IF(BD216,xCrudeAPO(BU216,BV216,CA216,CB216,S217,S218,BI216,BL216,BP216,BQ216,0,Strike1,AO216,CE216,0,BL216,IF(OptControl=4,0,1),1,1)+xCrudeAPO(BU216,BV216,CA216,CB216,S217,S218,BI216,BL216,BP216,BQ216,0,Strike1,AO216,CE216,0,BL216,IF(OptControl=4,0,1),1,2)+IF(OR(VolSkewFlag=2,ABS(BS216)&lt;0.0001),0,IF(BS216&gt;0,-1,1)*CH216*Strike1/BR216^2*BY216/10%),0)</f>
        <v>0</v>
      </c>
      <c r="CH216" s="470" t="n">
        <f aca="false">IF(BD216,(xCrudeAPO(BU216,BV216,CA216,CB216,S217,S218,BI216,BL216,BP216,BQ216,0,Strike1,AO216,CE216,0,BL216,IF(OptControl=4,0,1),3,1)+xCrudeAPO(BU216,BV216,CA216,CB216,S217,S218,BI216,BL216,BP216,BQ216,0,Strike1,AO216,CE216,0,BL216,IF(OptControl=4,0,1),3,2))/100,0)</f>
        <v>0</v>
      </c>
      <c r="CI216" s="470" t="n">
        <f aca="false">IF(BD216,xCrudeAPO(BU216,BV216,CA216,CB216,S217,S218,BI216-DaysForThetaCalculation/365.25,BL216-DaysForThetaCalculation/365.25,BP216,BQ216,0,Strike1,AO216,CE216,0,BL216,IF(OptControl=4,0,1),0,1)-xCrudeAPO(BU216,BV216,CA216,CB216,S217,S218,BI216,BL216,BP216,BQ216,0,Strike1,AO216,CE216,0,BL216,IF(OptControl=4,0,1),0,1),0)</f>
        <v>0</v>
      </c>
      <c r="CJ216" s="471" t="n">
        <f aca="false">IF(BD216,xCrudeAPO(BU216,BV216,CC216,CD216,S217,S218,BI216,BL216,BP216,BQ216,0,Strike2,AO216,CE216,0,BL216,IF(OptControl=3,1,0),0,1),0)</f>
        <v>0</v>
      </c>
      <c r="CK216" s="470" t="n">
        <f aca="false">IF(BD216,xCrudeAPO(BU216,BV216,CC216,CD216,S217,S218,BI216,BL216,BP216,BQ216,0,Strike2,AO216,CE216,0,BL216,IF(OptControl=3,1,0),1,1)+xCrudeAPO(BU216,BV216,CC216,CD216,S217,S218,BI216,BL216,BP216,BQ216,0,Strike2,AO216,CE216,0,BL216,IF(OptControl=3,1,0),1,2)+IF(OR(VolSkewFlag=2,ABS(BT216)&lt;0.0001),0,IF(BT216&gt;0,-1,1)*CL216*Strike2/BR216^2*BZ216/10%),0)</f>
        <v>0</v>
      </c>
      <c r="CL216" s="470" t="n">
        <f aca="false">IF(BD216,(xCrudeAPO(BU216,BV216,CC216,CD216,S217,S218,BI216,BL216,BP216,BQ216,0,Strike2,AO216,CE216,0,BL216,IF(OptControl=3,1,0),3,1)+xCrudeAPO(BU216,BV216,CC216,CD216,S217,S218,BI216,BL216,BP216,BQ216,0,Strike2,AO216,CE216,0,BL216,IF(OptControl=3,1,0),3,2))/100,0)</f>
        <v>0</v>
      </c>
      <c r="CM216" s="472" t="n">
        <f aca="false">IF(BD216,xCrudeAPO(BU216,BV216,CC216,CD216,S217,S218,BI216-DaysForThetaCalculation/365.25,BL216-DaysForThetaCalculation/365.25,BP216,BQ216,0,Strike2,AO216,CE216,0,BL216,IF(OptControl=3,1,0),0,1)-xCrudeAPO(BU216,BV216,CC216,CD216,S217,S218,BI216,BL216,BP216,BQ216,0,Strike2,AO216,CE216,0,BL216,IF(OptControl=3,1,0),0,1),0)</f>
        <v>0</v>
      </c>
      <c r="CN216" s="3"/>
      <c r="CO216" s="543" t="str">
        <f aca="false">IF(BD216,CHOOSE(Underlying,AD216,AF216)-DateToday+1,"")</f>
        <v/>
      </c>
      <c r="CP216" s="582" t="str">
        <f aca="false">IF(BD216,CHOOSE(Underlying,L216,R216),"")</f>
        <v/>
      </c>
      <c r="CQ216" s="544" t="str">
        <f aca="false">IF(BD216,Strike1/CP216-1,"")</f>
        <v/>
      </c>
      <c r="CR216" s="544" t="str">
        <f aca="false">IF(BD216,Strike2/CP216-1,"")</f>
        <v/>
      </c>
      <c r="CS216" s="544" t="str">
        <f aca="false">IF(BD216,IF(CQ216&gt;0,IF(CQ216&gt;0.2,BC215-BB215,IF(CQ216&gt;0.1,BB215-BA215,BA215)),IF(CQ216&lt;-0.2,AX215-AY215,IF(CQ216&lt;-0.1,AY215-AZ215,AZ215))),"")</f>
        <v/>
      </c>
      <c r="CT216" s="544" t="str">
        <f aca="false">IF(BD216,IF(CR216&gt;0,IF(CR216&gt;0.2,BC215-BB215,IF(CR216&gt;0.1,BB215-BA215,BA215)),IF(CR216&lt;-0.2,AX215-AY215,IF(CR216&lt;-0.1,AY215-AZ215,AZ215))),"")</f>
        <v/>
      </c>
      <c r="CU216" s="545" t="str">
        <f aca="false">IF(BD216,CHOOSE(Underlying,O216,AT216),"")</f>
        <v/>
      </c>
      <c r="CV216" s="545" t="str">
        <f aca="false">IF(BD216,CU216+IF(VolSkewFlag=1,IF(CQ216&gt;0,BA215*MIN(CQ216/10%,1)+(BB215-BA215)*MAX(0,MIN(CQ216/10%-1,1))+(BC215-BB215)*MAX(0,CQ216/10%-2),AZ215*MIN(-CQ216/10%,1)+(AY215-AZ215)*MAX(0,MIN(-CQ216/10%-1,1))+(AX215-AY215)*MAX(0,-CQ216/10%-2)),0),"")</f>
        <v/>
      </c>
      <c r="CW216" s="545" t="str">
        <f aca="false">IF(BD216,CU216+IF(VolSkewFlag=1,IF(CR216&gt;0,BA215*MIN(CR216/10%,1)+(BB215-BA215)*MAX(0,MIN(CR216/10%-1,1))+(BC215-BB215)*MAX(0,CR216/10%-2),AZ215*MIN(-CR216/10%,1)+(AY215-AZ215)*MAX(0,MIN(-CR216/10%-1,1))+(AX215-AY215)*MAX(0,-CR216/10%-2)),0),"")</f>
        <v/>
      </c>
      <c r="CX216" s="470" t="n">
        <f aca="false">IF(BD216,EURO(CP216,Strike1,AO216,AO216,CV216,CO216,IF(OptControl=4,0,1),0),0)</f>
        <v>0</v>
      </c>
      <c r="CY216" s="470" t="n">
        <f aca="false">IF(BD216,EURO(CP216,Strike1,AO216,AO216,CV216,CO216,IF(OptControl=4,0,1),1)+IF(OR(VolSkewFlag=2,ABS(CQ216)&lt;0.0001),0,IF(CQ216&gt;0,-1,1)*CZ216*100*Strike1/CP216^2*CS216/10%),0)</f>
        <v>0</v>
      </c>
      <c r="CZ216" s="470" t="n">
        <f aca="false">IF(BD216,EURO(CP216,Strike1,AO216,AO216,CV216,CO216,IF(OptControl=4,0,1),3)/100,0)</f>
        <v>0</v>
      </c>
      <c r="DA216" s="470" t="n">
        <f aca="false">IF(BD216,EURO(CP216,Strike1,AO216,AO216,CV216,CO216,IF(OptControl=4,0,1),0)-EURO(CP216,Strike1,AO216,AO216,CV216,CO216-1,IF(OptControl=4,0,1),0),0)</f>
        <v>0</v>
      </c>
      <c r="DB216" s="470" t="n">
        <f aca="false">IF(BD216,EURO(CP216,Strike2,AO216,AO216,CW216,CO216,IF(OptControl=3,1,0),0),0)</f>
        <v>0</v>
      </c>
      <c r="DC216" s="470" t="n">
        <f aca="false">IF(BD216,EURO(CP216,Strike2,AO216,AO216,CW216,CO216,IF(OptControl=3,1,0),1)+IF(OR(VolSkewFlag=2,ABS(CR216)&lt;0.0001),0,IF(CR216&gt;0,-1,1)*DD216*100*Strike2/CP216^2*CT216/10%),0)</f>
        <v>0</v>
      </c>
      <c r="DD216" s="470" t="n">
        <f aca="false">IF(BD216,EURO(CP216,Strike2,AO216,AO216,CW216,CO216,IF(OptControl=3,1,0),3)/100,0)</f>
        <v>0</v>
      </c>
      <c r="DE216" s="472" t="n">
        <f aca="false">IF(BD216,EURO(CP216,Strike2,AO216,AO216,CW216,CO216,IF(OptControl=3,1,0),0)-EURO(CP216,Strike2,AO216,AO216,CW216,CO216-1,IF(OptControl=3,1,0),0),0)</f>
        <v>0</v>
      </c>
      <c r="DG216" s="481" t="n">
        <f aca="false">EOMONTH(DG215,0)+1</f>
        <v>51653</v>
      </c>
      <c r="DH216" s="478" t="n">
        <v>23.9600000000001</v>
      </c>
      <c r="DI216" s="479" t="n">
        <v>24.0281818181819</v>
      </c>
      <c r="DJ216" s="480" t="n">
        <f aca="false">DG216</f>
        <v>51653</v>
      </c>
      <c r="DK216" s="478" t="n">
        <v>22.534797489689</v>
      </c>
      <c r="DL216" s="479" t="n">
        <v>22.7366818181819</v>
      </c>
      <c r="DM216" s="481" t="n">
        <f aca="false">DG216</f>
        <v>51653</v>
      </c>
      <c r="DN216" s="482" t="n">
        <f aca="false">DK216+BrentPhyBrentSpread</f>
        <v>22.5847974896891</v>
      </c>
      <c r="DO216" s="481" t="n">
        <f aca="false">DG216</f>
        <v>51653</v>
      </c>
      <c r="DP216" s="483" t="n">
        <f aca="false">DL216+DQ216</f>
        <v>22.7366818181819</v>
      </c>
      <c r="DQ216" s="546" t="n">
        <v>0</v>
      </c>
      <c r="DR216" s="480" t="n">
        <f aca="false">DG216</f>
        <v>51653</v>
      </c>
      <c r="DS216" s="485" t="n">
        <v>0.106999999999998</v>
      </c>
      <c r="DT216" s="486" t="n">
        <v>0.106181818181816</v>
      </c>
      <c r="DU216" s="480" t="n">
        <f aca="false">DG216</f>
        <v>51653</v>
      </c>
      <c r="DV216" s="485" t="n">
        <v>0.106999999999998</v>
      </c>
      <c r="DW216" s="486" t="n">
        <v>0.106181818181816</v>
      </c>
      <c r="DX216" s="481" t="n">
        <f aca="false">DG216</f>
        <v>51653</v>
      </c>
      <c r="DY216" s="486" t="n">
        <v>0.35</v>
      </c>
      <c r="DZ216" s="481" t="n">
        <f aca="false">DR216</f>
        <v>51653</v>
      </c>
      <c r="EA216" s="486" t="n">
        <f aca="false">DT216</f>
        <v>0.106181818181816</v>
      </c>
      <c r="EB216" s="195"/>
      <c r="EC216" s="547" t="str">
        <f aca="false">IF(BD216,IF(Underlying=1,AS216,AU216),"")</f>
        <v/>
      </c>
      <c r="ED216" s="548" t="str">
        <f aca="false">IF($BD216,$EC216+IF(VolSkewFlag=1,IF(BS216&gt;0,$BA216*MIN(BS216/10%,1)+($BB216-$BA216)*MAX(0,MIN(BS216/10%-1,1))+($BC216-$BB216)*MAX(0,BS216/10%-2),$AZ216*MIN(-BS216/10%,1)+($AY216-$AZ216)*MAX(0,MIN(-BS216/10%-1,1))+($AX216-$AY216)*MAX(0,-BS216/10%-2)),0),"")</f>
        <v/>
      </c>
      <c r="EE216" s="549" t="str">
        <f aca="false">IF($BD216,$EC216+IF(VolSkewFlag=1,IF(BT216&gt;0,$BA216*MIN(BT216/10%,1)+($BB216-$BA216)*MAX(0,MIN(BT216/10%-1,1))+($BC216-$BB216)*MAX(0,BT216/10%-2),$AZ216*MIN(-BT216/10%,1)+($AY216-$AZ216)*MAX(0,MIN(-BT216/10%-1,1))+($AX216-$AY216)*MAX(0,-BT216/10%-2)),0),"")</f>
        <v/>
      </c>
      <c r="EF216" s="550" t="n">
        <f aca="false">IF(BD216,xASN(BR216,Strike1,AO216,ED216,0,BO216,0,BI216,BL216,IF(OptControl=4,0,1),0),0)</f>
        <v>0</v>
      </c>
      <c r="EG216" s="551" t="n">
        <f aca="false">IF(BD216,xASN(BR216,Strike2,AO216,EE216,0,BO216,0,BI216,BL216,IF(OptControl=3,1,0),0),0)</f>
        <v>0</v>
      </c>
      <c r="EL216" s="1"/>
      <c r="EM216" s="195"/>
      <c r="EN216" s="240"/>
      <c r="EO216" s="240"/>
      <c r="EP216" s="195"/>
      <c r="EQ216" s="407" t="s">
        <v>444</v>
      </c>
      <c r="ES216" s="1"/>
      <c r="EU216" s="672"/>
      <c r="FJ216" s="571" t="n">
        <v>47</v>
      </c>
      <c r="FK216" s="150" t="str">
        <f aca="false">IF(OR(FK$169&lt;SwaptionFirstMonthPosition+1,$FJ216&lt;SwaptionFirstMonthPosition+1,FK$169&gt;SwaptionFirstMonthPosition+SwaptionNumOfMonths+1,$FJ216&gt;SwaptionFirstMonthPosition+SwaptionNumOfMonths+1),"",IF($FJ216=FK$169,1,IF($FJ216&lt;FK$169,INDEX($FK$170:$ID$241,FK$169,$FJ216),SUMPRODUCT(INDEX($FK$325:$ID$396,FK$169,1+SwaptionShift):INDEX($FK$325:$ID$396,FK$169,SwaptionMonthsToGo+SwaptionShift),INDEX($FK$245:$ID$316,$FJ216-FK$169,73-FK$169+SwaptionShift):INDEX($FK$245:$ID$316,$FJ216-FK$169,72-FK$169+SwaptionMonthsToGo+SwaptionShift))/SQRT(SUM(INDEX($FK371:$ID371,1+SwaptionShift):INDEX($FK371:$ID371,SwaptionMonthsToGo+SwaptionShift))*SUM(INDEX($FK$325:$ID$396,FK$169,1+SwaptionShift):INDEX($FK$325:$ID$396,FK$169,SwaptionMonthsToGo+SwaptionShift))))))</f>
        <v/>
      </c>
      <c r="FL216" s="150" t="str">
        <f aca="false">IF(OR(FL$169&lt;SwaptionFirstMonthPosition+1,$FJ216&lt;SwaptionFirstMonthPosition+1,FL$169&gt;SwaptionFirstMonthPosition+SwaptionNumOfMonths+1,$FJ216&gt;SwaptionFirstMonthPosition+SwaptionNumOfMonths+1),"",IF($FJ216=FL$169,1,IF($FJ216&lt;FL$169,INDEX($FK$170:$ID$241,FL$169,$FJ216),SUMPRODUCT(INDEX($FK$325:$ID$396,FL$169,1+SwaptionShift):INDEX($FK$325:$ID$396,FL$169,SwaptionMonthsToGo+SwaptionShift),INDEX($FK$245:$ID$316,$FJ216-FL$169,73-FL$169+SwaptionShift):INDEX($FK$245:$ID$316,$FJ216-FL$169,72-FL$169+SwaptionMonthsToGo+SwaptionShift))/SQRT(SUM(INDEX($FK371:$ID371,1+SwaptionShift):INDEX($FK371:$ID371,SwaptionMonthsToGo+SwaptionShift))*SUM(INDEX($FK$325:$ID$396,FL$169,1+SwaptionShift):INDEX($FK$325:$ID$396,FL$169,SwaptionMonthsToGo+SwaptionShift))))))</f>
        <v/>
      </c>
      <c r="FM216" s="150" t="str">
        <f aca="false">IF(OR(FM$169&lt;SwaptionFirstMonthPosition+1,$FJ216&lt;SwaptionFirstMonthPosition+1,FM$169&gt;SwaptionFirstMonthPosition+SwaptionNumOfMonths+1,$FJ216&gt;SwaptionFirstMonthPosition+SwaptionNumOfMonths+1),"",IF($FJ216=FM$169,1,IF($FJ216&lt;FM$169,INDEX($FK$170:$ID$241,FM$169,$FJ216),SUMPRODUCT(INDEX($FK$325:$ID$396,FM$169,1+SwaptionShift):INDEX($FK$325:$ID$396,FM$169,SwaptionMonthsToGo+SwaptionShift),INDEX($FK$245:$ID$316,$FJ216-FM$169,73-FM$169+SwaptionShift):INDEX($FK$245:$ID$316,$FJ216-FM$169,72-FM$169+SwaptionMonthsToGo+SwaptionShift))/SQRT(SUM(INDEX($FK371:$ID371,1+SwaptionShift):INDEX($FK371:$ID371,SwaptionMonthsToGo+SwaptionShift))*SUM(INDEX($FK$325:$ID$396,FM$169,1+SwaptionShift):INDEX($FK$325:$ID$396,FM$169,SwaptionMonthsToGo+SwaptionShift))))))</f>
        <v/>
      </c>
      <c r="FN216" s="150" t="str">
        <f aca="false">IF(OR(FN$169&lt;SwaptionFirstMonthPosition+1,$FJ216&lt;SwaptionFirstMonthPosition+1,FN$169&gt;SwaptionFirstMonthPosition+SwaptionNumOfMonths+1,$FJ216&gt;SwaptionFirstMonthPosition+SwaptionNumOfMonths+1),"",IF($FJ216=FN$169,1,IF($FJ216&lt;FN$169,INDEX($FK$170:$ID$241,FN$169,$FJ216),SUMPRODUCT(INDEX($FK$325:$ID$396,FN$169,1+SwaptionShift):INDEX($FK$325:$ID$396,FN$169,SwaptionMonthsToGo+SwaptionShift),INDEX($FK$245:$ID$316,$FJ216-FN$169,73-FN$169+SwaptionShift):INDEX($FK$245:$ID$316,$FJ216-FN$169,72-FN$169+SwaptionMonthsToGo+SwaptionShift))/SQRT(SUM(INDEX($FK371:$ID371,1+SwaptionShift):INDEX($FK371:$ID371,SwaptionMonthsToGo+SwaptionShift))*SUM(INDEX($FK$325:$ID$396,FN$169,1+SwaptionShift):INDEX($FK$325:$ID$396,FN$169,SwaptionMonthsToGo+SwaptionShift))))))</f>
        <v/>
      </c>
      <c r="FO216" s="150" t="str">
        <f aca="false">IF(OR(FO$169&lt;SwaptionFirstMonthPosition+1,$FJ216&lt;SwaptionFirstMonthPosition+1,FO$169&gt;SwaptionFirstMonthPosition+SwaptionNumOfMonths+1,$FJ216&gt;SwaptionFirstMonthPosition+SwaptionNumOfMonths+1),"",IF($FJ216=FO$169,1,IF($FJ216&lt;FO$169,INDEX($FK$170:$ID$241,FO$169,$FJ216),SUMPRODUCT(INDEX($FK$325:$ID$396,FO$169,1+SwaptionShift):INDEX($FK$325:$ID$396,FO$169,SwaptionMonthsToGo+SwaptionShift),INDEX($FK$245:$ID$316,$FJ216-FO$169,73-FO$169+SwaptionShift):INDEX($FK$245:$ID$316,$FJ216-FO$169,72-FO$169+SwaptionMonthsToGo+SwaptionShift))/SQRT(SUM(INDEX($FK371:$ID371,1+SwaptionShift):INDEX($FK371:$ID371,SwaptionMonthsToGo+SwaptionShift))*SUM(INDEX($FK$325:$ID$396,FO$169,1+SwaptionShift):INDEX($FK$325:$ID$396,FO$169,SwaptionMonthsToGo+SwaptionShift))))))</f>
        <v/>
      </c>
      <c r="FP216" s="150" t="str">
        <f aca="false">IF(OR(FP$169&lt;SwaptionFirstMonthPosition+1,$FJ216&lt;SwaptionFirstMonthPosition+1,FP$169&gt;SwaptionFirstMonthPosition+SwaptionNumOfMonths+1,$FJ216&gt;SwaptionFirstMonthPosition+SwaptionNumOfMonths+1),"",IF($FJ216=FP$169,1,IF($FJ216&lt;FP$169,INDEX($FK$170:$ID$241,FP$169,$FJ216),SUMPRODUCT(INDEX($FK$325:$ID$396,FP$169,1+SwaptionShift):INDEX($FK$325:$ID$396,FP$169,SwaptionMonthsToGo+SwaptionShift),INDEX($FK$245:$ID$316,$FJ216-FP$169,73-FP$169+SwaptionShift):INDEX($FK$245:$ID$316,$FJ216-FP$169,72-FP$169+SwaptionMonthsToGo+SwaptionShift))/SQRT(SUM(INDEX($FK371:$ID371,1+SwaptionShift):INDEX($FK371:$ID371,SwaptionMonthsToGo+SwaptionShift))*SUM(INDEX($FK$325:$ID$396,FP$169,1+SwaptionShift):INDEX($FK$325:$ID$396,FP$169,SwaptionMonthsToGo+SwaptionShift))))))</f>
        <v/>
      </c>
      <c r="FQ216" s="150" t="str">
        <f aca="false">IF(OR(FQ$169&lt;SwaptionFirstMonthPosition+1,$FJ216&lt;SwaptionFirstMonthPosition+1,FQ$169&gt;SwaptionFirstMonthPosition+SwaptionNumOfMonths+1,$FJ216&gt;SwaptionFirstMonthPosition+SwaptionNumOfMonths+1),"",IF($FJ216=FQ$169,1,IF($FJ216&lt;FQ$169,INDEX($FK$170:$ID$241,FQ$169,$FJ216),SUMPRODUCT(INDEX($FK$325:$ID$396,FQ$169,1+SwaptionShift):INDEX($FK$325:$ID$396,FQ$169,SwaptionMonthsToGo+SwaptionShift),INDEX($FK$245:$ID$316,$FJ216-FQ$169,73-FQ$169+SwaptionShift):INDEX($FK$245:$ID$316,$FJ216-FQ$169,72-FQ$169+SwaptionMonthsToGo+SwaptionShift))/SQRT(SUM(INDEX($FK371:$ID371,1+SwaptionShift):INDEX($FK371:$ID371,SwaptionMonthsToGo+SwaptionShift))*SUM(INDEX($FK$325:$ID$396,FQ$169,1+SwaptionShift):INDEX($FK$325:$ID$396,FQ$169,SwaptionMonthsToGo+SwaptionShift))))))</f>
        <v/>
      </c>
      <c r="FR216" s="150" t="str">
        <f aca="false">IF(OR(FR$169&lt;SwaptionFirstMonthPosition+1,$FJ216&lt;SwaptionFirstMonthPosition+1,FR$169&gt;SwaptionFirstMonthPosition+SwaptionNumOfMonths+1,$FJ216&gt;SwaptionFirstMonthPosition+SwaptionNumOfMonths+1),"",IF($FJ216=FR$169,1,IF($FJ216&lt;FR$169,INDEX($FK$170:$ID$241,FR$169,$FJ216),SUMPRODUCT(INDEX($FK$325:$ID$396,FR$169,1+SwaptionShift):INDEX($FK$325:$ID$396,FR$169,SwaptionMonthsToGo+SwaptionShift),INDEX($FK$245:$ID$316,$FJ216-FR$169,73-FR$169+SwaptionShift):INDEX($FK$245:$ID$316,$FJ216-FR$169,72-FR$169+SwaptionMonthsToGo+SwaptionShift))/SQRT(SUM(INDEX($FK371:$ID371,1+SwaptionShift):INDEX($FK371:$ID371,SwaptionMonthsToGo+SwaptionShift))*SUM(INDEX($FK$325:$ID$396,FR$169,1+SwaptionShift):INDEX($FK$325:$ID$396,FR$169,SwaptionMonthsToGo+SwaptionShift))))))</f>
        <v/>
      </c>
      <c r="FS216" s="150" t="str">
        <f aca="false">IF(OR(FS$169&lt;SwaptionFirstMonthPosition+1,$FJ216&lt;SwaptionFirstMonthPosition+1,FS$169&gt;SwaptionFirstMonthPosition+SwaptionNumOfMonths+1,$FJ216&gt;SwaptionFirstMonthPosition+SwaptionNumOfMonths+1),"",IF($FJ216=FS$169,1,IF($FJ216&lt;FS$169,INDEX($FK$170:$ID$241,FS$169,$FJ216),SUMPRODUCT(INDEX($FK$325:$ID$396,FS$169,1+SwaptionShift):INDEX($FK$325:$ID$396,FS$169,SwaptionMonthsToGo+SwaptionShift),INDEX($FK$245:$ID$316,$FJ216-FS$169,73-FS$169+SwaptionShift):INDEX($FK$245:$ID$316,$FJ216-FS$169,72-FS$169+SwaptionMonthsToGo+SwaptionShift))/SQRT(SUM(INDEX($FK371:$ID371,1+SwaptionShift):INDEX($FK371:$ID371,SwaptionMonthsToGo+SwaptionShift))*SUM(INDEX($FK$325:$ID$396,FS$169,1+SwaptionShift):INDEX($FK$325:$ID$396,FS$169,SwaptionMonthsToGo+SwaptionShift))))))</f>
        <v/>
      </c>
      <c r="FT216" s="150" t="str">
        <f aca="false">IF(OR(FT$169&lt;SwaptionFirstMonthPosition+1,$FJ216&lt;SwaptionFirstMonthPosition+1,FT$169&gt;SwaptionFirstMonthPosition+SwaptionNumOfMonths+1,$FJ216&gt;SwaptionFirstMonthPosition+SwaptionNumOfMonths+1),"",IF($FJ216=FT$169,1,IF($FJ216&lt;FT$169,INDEX($FK$170:$ID$241,FT$169,$FJ216),SUMPRODUCT(INDEX($FK$325:$ID$396,FT$169,1+SwaptionShift):INDEX($FK$325:$ID$396,FT$169,SwaptionMonthsToGo+SwaptionShift),INDEX($FK$245:$ID$316,$FJ216-FT$169,73-FT$169+SwaptionShift):INDEX($FK$245:$ID$316,$FJ216-FT$169,72-FT$169+SwaptionMonthsToGo+SwaptionShift))/SQRT(SUM(INDEX($FK371:$ID371,1+SwaptionShift):INDEX($FK371:$ID371,SwaptionMonthsToGo+SwaptionShift))*SUM(INDEX($FK$325:$ID$396,FT$169,1+SwaptionShift):INDEX($FK$325:$ID$396,FT$169,SwaptionMonthsToGo+SwaptionShift))))))</f>
        <v/>
      </c>
      <c r="FU216" s="150" t="str">
        <f aca="false">IF(OR(FU$169&lt;SwaptionFirstMonthPosition+1,$FJ216&lt;SwaptionFirstMonthPosition+1,FU$169&gt;SwaptionFirstMonthPosition+SwaptionNumOfMonths+1,$FJ216&gt;SwaptionFirstMonthPosition+SwaptionNumOfMonths+1),"",IF($FJ216=FU$169,1,IF($FJ216&lt;FU$169,INDEX($FK$170:$ID$241,FU$169,$FJ216),SUMPRODUCT(INDEX($FK$325:$ID$396,FU$169,1+SwaptionShift):INDEX($FK$325:$ID$396,FU$169,SwaptionMonthsToGo+SwaptionShift),INDEX($FK$245:$ID$316,$FJ216-FU$169,73-FU$169+SwaptionShift):INDEX($FK$245:$ID$316,$FJ216-FU$169,72-FU$169+SwaptionMonthsToGo+SwaptionShift))/SQRT(SUM(INDEX($FK371:$ID371,1+SwaptionShift):INDEX($FK371:$ID371,SwaptionMonthsToGo+SwaptionShift))*SUM(INDEX($FK$325:$ID$396,FU$169,1+SwaptionShift):INDEX($FK$325:$ID$396,FU$169,SwaptionMonthsToGo+SwaptionShift))))))</f>
        <v/>
      </c>
      <c r="FV216" s="150" t="str">
        <f aca="false">IF(OR(FV$169&lt;SwaptionFirstMonthPosition+1,$FJ216&lt;SwaptionFirstMonthPosition+1,FV$169&gt;SwaptionFirstMonthPosition+SwaptionNumOfMonths+1,$FJ216&gt;SwaptionFirstMonthPosition+SwaptionNumOfMonths+1),"",IF($FJ216=FV$169,1,IF($FJ216&lt;FV$169,INDEX($FK$170:$ID$241,FV$169,$FJ216),SUMPRODUCT(INDEX($FK$325:$ID$396,FV$169,1+SwaptionShift):INDEX($FK$325:$ID$396,FV$169,SwaptionMonthsToGo+SwaptionShift),INDEX($FK$245:$ID$316,$FJ216-FV$169,73-FV$169+SwaptionShift):INDEX($FK$245:$ID$316,$FJ216-FV$169,72-FV$169+SwaptionMonthsToGo+SwaptionShift))/SQRT(SUM(INDEX($FK371:$ID371,1+SwaptionShift):INDEX($FK371:$ID371,SwaptionMonthsToGo+SwaptionShift))*SUM(INDEX($FK$325:$ID$396,FV$169,1+SwaptionShift):INDEX($FK$325:$ID$396,FV$169,SwaptionMonthsToGo+SwaptionShift))))))</f>
        <v/>
      </c>
      <c r="FW216" s="150" t="str">
        <f aca="false">IF(OR(FW$169&lt;SwaptionFirstMonthPosition+1,$FJ216&lt;SwaptionFirstMonthPosition+1,FW$169&gt;SwaptionFirstMonthPosition+SwaptionNumOfMonths+1,$FJ216&gt;SwaptionFirstMonthPosition+SwaptionNumOfMonths+1),"",IF($FJ216=FW$169,1,IF($FJ216&lt;FW$169,INDEX($FK$170:$ID$241,FW$169,$FJ216),SUMPRODUCT(INDEX($FK$325:$ID$396,FW$169,1+SwaptionShift):INDEX($FK$325:$ID$396,FW$169,SwaptionMonthsToGo+SwaptionShift),INDEX($FK$245:$ID$316,$FJ216-FW$169,73-FW$169+SwaptionShift):INDEX($FK$245:$ID$316,$FJ216-FW$169,72-FW$169+SwaptionMonthsToGo+SwaptionShift))/SQRT(SUM(INDEX($FK371:$ID371,1+SwaptionShift):INDEX($FK371:$ID371,SwaptionMonthsToGo+SwaptionShift))*SUM(INDEX($FK$325:$ID$396,FW$169,1+SwaptionShift):INDEX($FK$325:$ID$396,FW$169,SwaptionMonthsToGo+SwaptionShift))))))</f>
        <v/>
      </c>
      <c r="FX216" s="150" t="str">
        <f aca="false">IF(OR(FX$169&lt;SwaptionFirstMonthPosition+1,$FJ216&lt;SwaptionFirstMonthPosition+1,FX$169&gt;SwaptionFirstMonthPosition+SwaptionNumOfMonths+1,$FJ216&gt;SwaptionFirstMonthPosition+SwaptionNumOfMonths+1),"",IF($FJ216=FX$169,1,IF($FJ216&lt;FX$169,INDEX($FK$170:$ID$241,FX$169,$FJ216),SUMPRODUCT(INDEX($FK$325:$ID$396,FX$169,1+SwaptionShift):INDEX($FK$325:$ID$396,FX$169,SwaptionMonthsToGo+SwaptionShift),INDEX($FK$245:$ID$316,$FJ216-FX$169,73-FX$169+SwaptionShift):INDEX($FK$245:$ID$316,$FJ216-FX$169,72-FX$169+SwaptionMonthsToGo+SwaptionShift))/SQRT(SUM(INDEX($FK371:$ID371,1+SwaptionShift):INDEX($FK371:$ID371,SwaptionMonthsToGo+SwaptionShift))*SUM(INDEX($FK$325:$ID$396,FX$169,1+SwaptionShift):INDEX($FK$325:$ID$396,FX$169,SwaptionMonthsToGo+SwaptionShift))))))</f>
        <v/>
      </c>
      <c r="FY216" s="150" t="str">
        <f aca="false">IF(OR(FY$169&lt;SwaptionFirstMonthPosition+1,$FJ216&lt;SwaptionFirstMonthPosition+1,FY$169&gt;SwaptionFirstMonthPosition+SwaptionNumOfMonths+1,$FJ216&gt;SwaptionFirstMonthPosition+SwaptionNumOfMonths+1),"",IF($FJ216=FY$169,1,IF($FJ216&lt;FY$169,INDEX($FK$170:$ID$241,FY$169,$FJ216),SUMPRODUCT(INDEX($FK$325:$ID$396,FY$169,1+SwaptionShift):INDEX($FK$325:$ID$396,FY$169,SwaptionMonthsToGo+SwaptionShift),INDEX($FK$245:$ID$316,$FJ216-FY$169,73-FY$169+SwaptionShift):INDEX($FK$245:$ID$316,$FJ216-FY$169,72-FY$169+SwaptionMonthsToGo+SwaptionShift))/SQRT(SUM(INDEX($FK371:$ID371,1+SwaptionShift):INDEX($FK371:$ID371,SwaptionMonthsToGo+SwaptionShift))*SUM(INDEX($FK$325:$ID$396,FY$169,1+SwaptionShift):INDEX($FK$325:$ID$396,FY$169,SwaptionMonthsToGo+SwaptionShift))))))</f>
        <v/>
      </c>
      <c r="FZ216" s="150" t="str">
        <f aca="false">IF(OR(FZ$169&lt;SwaptionFirstMonthPosition+1,$FJ216&lt;SwaptionFirstMonthPosition+1,FZ$169&gt;SwaptionFirstMonthPosition+SwaptionNumOfMonths+1,$FJ216&gt;SwaptionFirstMonthPosition+SwaptionNumOfMonths+1),"",IF($FJ216=FZ$169,1,IF($FJ216&lt;FZ$169,INDEX($FK$170:$ID$241,FZ$169,$FJ216),SUMPRODUCT(INDEX($FK$325:$ID$396,FZ$169,1+SwaptionShift):INDEX($FK$325:$ID$396,FZ$169,SwaptionMonthsToGo+SwaptionShift),INDEX($FK$245:$ID$316,$FJ216-FZ$169,73-FZ$169+SwaptionShift):INDEX($FK$245:$ID$316,$FJ216-FZ$169,72-FZ$169+SwaptionMonthsToGo+SwaptionShift))/SQRT(SUM(INDEX($FK371:$ID371,1+SwaptionShift):INDEX($FK371:$ID371,SwaptionMonthsToGo+SwaptionShift))*SUM(INDEX($FK$325:$ID$396,FZ$169,1+SwaptionShift):INDEX($FK$325:$ID$396,FZ$169,SwaptionMonthsToGo+SwaptionShift))))))</f>
        <v/>
      </c>
      <c r="GA216" s="150" t="str">
        <f aca="false">IF(OR(GA$169&lt;SwaptionFirstMonthPosition+1,$FJ216&lt;SwaptionFirstMonthPosition+1,GA$169&gt;SwaptionFirstMonthPosition+SwaptionNumOfMonths+1,$FJ216&gt;SwaptionFirstMonthPosition+SwaptionNumOfMonths+1),"",IF($FJ216=GA$169,1,IF($FJ216&lt;GA$169,INDEX($FK$170:$ID$241,GA$169,$FJ216),SUMPRODUCT(INDEX($FK$325:$ID$396,GA$169,1+SwaptionShift):INDEX($FK$325:$ID$396,GA$169,SwaptionMonthsToGo+SwaptionShift),INDEX($FK$245:$ID$316,$FJ216-GA$169,73-GA$169+SwaptionShift):INDEX($FK$245:$ID$316,$FJ216-GA$169,72-GA$169+SwaptionMonthsToGo+SwaptionShift))/SQRT(SUM(INDEX($FK371:$ID371,1+SwaptionShift):INDEX($FK371:$ID371,SwaptionMonthsToGo+SwaptionShift))*SUM(INDEX($FK$325:$ID$396,GA$169,1+SwaptionShift):INDEX($FK$325:$ID$396,GA$169,SwaptionMonthsToGo+SwaptionShift))))))</f>
        <v/>
      </c>
      <c r="GB216" s="150" t="str">
        <f aca="false">IF(OR(GB$169&lt;SwaptionFirstMonthPosition+1,$FJ216&lt;SwaptionFirstMonthPosition+1,GB$169&gt;SwaptionFirstMonthPosition+SwaptionNumOfMonths+1,$FJ216&gt;SwaptionFirstMonthPosition+SwaptionNumOfMonths+1),"",IF($FJ216=GB$169,1,IF($FJ216&lt;GB$169,INDEX($FK$170:$ID$241,GB$169,$FJ216),SUMPRODUCT(INDEX($FK$325:$ID$396,GB$169,1+SwaptionShift):INDEX($FK$325:$ID$396,GB$169,SwaptionMonthsToGo+SwaptionShift),INDEX($FK$245:$ID$316,$FJ216-GB$169,73-GB$169+SwaptionShift):INDEX($FK$245:$ID$316,$FJ216-GB$169,72-GB$169+SwaptionMonthsToGo+SwaptionShift))/SQRT(SUM(INDEX($FK371:$ID371,1+SwaptionShift):INDEX($FK371:$ID371,SwaptionMonthsToGo+SwaptionShift))*SUM(INDEX($FK$325:$ID$396,GB$169,1+SwaptionShift):INDEX($FK$325:$ID$396,GB$169,SwaptionMonthsToGo+SwaptionShift))))))</f>
        <v/>
      </c>
      <c r="GC216" s="150" t="str">
        <f aca="false">IF(OR(GC$169&lt;SwaptionFirstMonthPosition+1,$FJ216&lt;SwaptionFirstMonthPosition+1,GC$169&gt;SwaptionFirstMonthPosition+SwaptionNumOfMonths+1,$FJ216&gt;SwaptionFirstMonthPosition+SwaptionNumOfMonths+1),"",IF($FJ216=GC$169,1,IF($FJ216&lt;GC$169,INDEX($FK$170:$ID$241,GC$169,$FJ216),SUMPRODUCT(INDEX($FK$325:$ID$396,GC$169,1+SwaptionShift):INDEX($FK$325:$ID$396,GC$169,SwaptionMonthsToGo+SwaptionShift),INDEX($FK$245:$ID$316,$FJ216-GC$169,73-GC$169+SwaptionShift):INDEX($FK$245:$ID$316,$FJ216-GC$169,72-GC$169+SwaptionMonthsToGo+SwaptionShift))/SQRT(SUM(INDEX($FK371:$ID371,1+SwaptionShift):INDEX($FK371:$ID371,SwaptionMonthsToGo+SwaptionShift))*SUM(INDEX($FK$325:$ID$396,GC$169,1+SwaptionShift):INDEX($FK$325:$ID$396,GC$169,SwaptionMonthsToGo+SwaptionShift))))))</f>
        <v/>
      </c>
      <c r="GD216" s="150" t="str">
        <f aca="false">IF(OR(GD$169&lt;SwaptionFirstMonthPosition+1,$FJ216&lt;SwaptionFirstMonthPosition+1,GD$169&gt;SwaptionFirstMonthPosition+SwaptionNumOfMonths+1,$FJ216&gt;SwaptionFirstMonthPosition+SwaptionNumOfMonths+1),"",IF($FJ216=GD$169,1,IF($FJ216&lt;GD$169,INDEX($FK$170:$ID$241,GD$169,$FJ216),SUMPRODUCT(INDEX($FK$325:$ID$396,GD$169,1+SwaptionShift):INDEX($FK$325:$ID$396,GD$169,SwaptionMonthsToGo+SwaptionShift),INDEX($FK$245:$ID$316,$FJ216-GD$169,73-GD$169+SwaptionShift):INDEX($FK$245:$ID$316,$FJ216-GD$169,72-GD$169+SwaptionMonthsToGo+SwaptionShift))/SQRT(SUM(INDEX($FK371:$ID371,1+SwaptionShift):INDEX($FK371:$ID371,SwaptionMonthsToGo+SwaptionShift))*SUM(INDEX($FK$325:$ID$396,GD$169,1+SwaptionShift):INDEX($FK$325:$ID$396,GD$169,SwaptionMonthsToGo+SwaptionShift))))))</f>
        <v/>
      </c>
      <c r="GE216" s="150" t="str">
        <f aca="false">IF(OR(GE$169&lt;SwaptionFirstMonthPosition+1,$FJ216&lt;SwaptionFirstMonthPosition+1,GE$169&gt;SwaptionFirstMonthPosition+SwaptionNumOfMonths+1,$FJ216&gt;SwaptionFirstMonthPosition+SwaptionNumOfMonths+1),"",IF($FJ216=GE$169,1,IF($FJ216&lt;GE$169,INDEX($FK$170:$ID$241,GE$169,$FJ216),SUMPRODUCT(INDEX($FK$325:$ID$396,GE$169,1+SwaptionShift):INDEX($FK$325:$ID$396,GE$169,SwaptionMonthsToGo+SwaptionShift),INDEX($FK$245:$ID$316,$FJ216-GE$169,73-GE$169+SwaptionShift):INDEX($FK$245:$ID$316,$FJ216-GE$169,72-GE$169+SwaptionMonthsToGo+SwaptionShift))/SQRT(SUM(INDEX($FK371:$ID371,1+SwaptionShift):INDEX($FK371:$ID371,SwaptionMonthsToGo+SwaptionShift))*SUM(INDEX($FK$325:$ID$396,GE$169,1+SwaptionShift):INDEX($FK$325:$ID$396,GE$169,SwaptionMonthsToGo+SwaptionShift))))))</f>
        <v/>
      </c>
      <c r="GF216" s="150" t="str">
        <f aca="false">IF(OR(GF$169&lt;SwaptionFirstMonthPosition+1,$FJ216&lt;SwaptionFirstMonthPosition+1,GF$169&gt;SwaptionFirstMonthPosition+SwaptionNumOfMonths+1,$FJ216&gt;SwaptionFirstMonthPosition+SwaptionNumOfMonths+1),"",IF($FJ216=GF$169,1,IF($FJ216&lt;GF$169,INDEX($FK$170:$ID$241,GF$169,$FJ216),SUMPRODUCT(INDEX($FK$325:$ID$396,GF$169,1+SwaptionShift):INDEX($FK$325:$ID$396,GF$169,SwaptionMonthsToGo+SwaptionShift),INDEX($FK$245:$ID$316,$FJ216-GF$169,73-GF$169+SwaptionShift):INDEX($FK$245:$ID$316,$FJ216-GF$169,72-GF$169+SwaptionMonthsToGo+SwaptionShift))/SQRT(SUM(INDEX($FK371:$ID371,1+SwaptionShift):INDEX($FK371:$ID371,SwaptionMonthsToGo+SwaptionShift))*SUM(INDEX($FK$325:$ID$396,GF$169,1+SwaptionShift):INDEX($FK$325:$ID$396,GF$169,SwaptionMonthsToGo+SwaptionShift))))))</f>
        <v/>
      </c>
      <c r="GG216" s="150" t="str">
        <f aca="false">IF(OR(GG$169&lt;SwaptionFirstMonthPosition+1,$FJ216&lt;SwaptionFirstMonthPosition+1,GG$169&gt;SwaptionFirstMonthPosition+SwaptionNumOfMonths+1,$FJ216&gt;SwaptionFirstMonthPosition+SwaptionNumOfMonths+1),"",IF($FJ216=GG$169,1,IF($FJ216&lt;GG$169,INDEX($FK$170:$ID$241,GG$169,$FJ216),SUMPRODUCT(INDEX($FK$325:$ID$396,GG$169,1+SwaptionShift):INDEX($FK$325:$ID$396,GG$169,SwaptionMonthsToGo+SwaptionShift),INDEX($FK$245:$ID$316,$FJ216-GG$169,73-GG$169+SwaptionShift):INDEX($FK$245:$ID$316,$FJ216-GG$169,72-GG$169+SwaptionMonthsToGo+SwaptionShift))/SQRT(SUM(INDEX($FK371:$ID371,1+SwaptionShift):INDEX($FK371:$ID371,SwaptionMonthsToGo+SwaptionShift))*SUM(INDEX($FK$325:$ID$396,GG$169,1+SwaptionShift):INDEX($FK$325:$ID$396,GG$169,SwaptionMonthsToGo+SwaptionShift))))))</f>
        <v/>
      </c>
      <c r="GH216" s="150" t="str">
        <f aca="false">IF(OR(GH$169&lt;SwaptionFirstMonthPosition+1,$FJ216&lt;SwaptionFirstMonthPosition+1,GH$169&gt;SwaptionFirstMonthPosition+SwaptionNumOfMonths+1,$FJ216&gt;SwaptionFirstMonthPosition+SwaptionNumOfMonths+1),"",IF($FJ216=GH$169,1,IF($FJ216&lt;GH$169,INDEX($FK$170:$ID$241,GH$169,$FJ216),SUMPRODUCT(INDEX($FK$325:$ID$396,GH$169,1+SwaptionShift):INDEX($FK$325:$ID$396,GH$169,SwaptionMonthsToGo+SwaptionShift),INDEX($FK$245:$ID$316,$FJ216-GH$169,73-GH$169+SwaptionShift):INDEX($FK$245:$ID$316,$FJ216-GH$169,72-GH$169+SwaptionMonthsToGo+SwaptionShift))/SQRT(SUM(INDEX($FK371:$ID371,1+SwaptionShift):INDEX($FK371:$ID371,SwaptionMonthsToGo+SwaptionShift))*SUM(INDEX($FK$325:$ID$396,GH$169,1+SwaptionShift):INDEX($FK$325:$ID$396,GH$169,SwaptionMonthsToGo+SwaptionShift))))))</f>
        <v/>
      </c>
      <c r="GI216" s="150" t="str">
        <f aca="false">IF(OR(GI$169&lt;SwaptionFirstMonthPosition+1,$FJ216&lt;SwaptionFirstMonthPosition+1,GI$169&gt;SwaptionFirstMonthPosition+SwaptionNumOfMonths+1,$FJ216&gt;SwaptionFirstMonthPosition+SwaptionNumOfMonths+1),"",IF($FJ216=GI$169,1,IF($FJ216&lt;GI$169,INDEX($FK$170:$ID$241,GI$169,$FJ216),SUMPRODUCT(INDEX($FK$325:$ID$396,GI$169,1+SwaptionShift):INDEX($FK$325:$ID$396,GI$169,SwaptionMonthsToGo+SwaptionShift),INDEX($FK$245:$ID$316,$FJ216-GI$169,73-GI$169+SwaptionShift):INDEX($FK$245:$ID$316,$FJ216-GI$169,72-GI$169+SwaptionMonthsToGo+SwaptionShift))/SQRT(SUM(INDEX($FK371:$ID371,1+SwaptionShift):INDEX($FK371:$ID371,SwaptionMonthsToGo+SwaptionShift))*SUM(INDEX($FK$325:$ID$396,GI$169,1+SwaptionShift):INDEX($FK$325:$ID$396,GI$169,SwaptionMonthsToGo+SwaptionShift))))))</f>
        <v/>
      </c>
      <c r="GJ216" s="150" t="str">
        <f aca="false">IF(OR(GJ$169&lt;SwaptionFirstMonthPosition+1,$FJ216&lt;SwaptionFirstMonthPosition+1,GJ$169&gt;SwaptionFirstMonthPosition+SwaptionNumOfMonths+1,$FJ216&gt;SwaptionFirstMonthPosition+SwaptionNumOfMonths+1),"",IF($FJ216=GJ$169,1,IF($FJ216&lt;GJ$169,INDEX($FK$170:$ID$241,GJ$169,$FJ216),SUMPRODUCT(INDEX($FK$325:$ID$396,GJ$169,1+SwaptionShift):INDEX($FK$325:$ID$396,GJ$169,SwaptionMonthsToGo+SwaptionShift),INDEX($FK$245:$ID$316,$FJ216-GJ$169,73-GJ$169+SwaptionShift):INDEX($FK$245:$ID$316,$FJ216-GJ$169,72-GJ$169+SwaptionMonthsToGo+SwaptionShift))/SQRT(SUM(INDEX($FK371:$ID371,1+SwaptionShift):INDEX($FK371:$ID371,SwaptionMonthsToGo+SwaptionShift))*SUM(INDEX($FK$325:$ID$396,GJ$169,1+SwaptionShift):INDEX($FK$325:$ID$396,GJ$169,SwaptionMonthsToGo+SwaptionShift))))))</f>
        <v/>
      </c>
      <c r="GK216" s="150" t="str">
        <f aca="false">IF(OR(GK$169&lt;SwaptionFirstMonthPosition+1,$FJ216&lt;SwaptionFirstMonthPosition+1,GK$169&gt;SwaptionFirstMonthPosition+SwaptionNumOfMonths+1,$FJ216&gt;SwaptionFirstMonthPosition+SwaptionNumOfMonths+1),"",IF($FJ216=GK$169,1,IF($FJ216&lt;GK$169,INDEX($FK$170:$ID$241,GK$169,$FJ216),SUMPRODUCT(INDEX($FK$325:$ID$396,GK$169,1+SwaptionShift):INDEX($FK$325:$ID$396,GK$169,SwaptionMonthsToGo+SwaptionShift),INDEX($FK$245:$ID$316,$FJ216-GK$169,73-GK$169+SwaptionShift):INDEX($FK$245:$ID$316,$FJ216-GK$169,72-GK$169+SwaptionMonthsToGo+SwaptionShift))/SQRT(SUM(INDEX($FK371:$ID371,1+SwaptionShift):INDEX($FK371:$ID371,SwaptionMonthsToGo+SwaptionShift))*SUM(INDEX($FK$325:$ID$396,GK$169,1+SwaptionShift):INDEX($FK$325:$ID$396,GK$169,SwaptionMonthsToGo+SwaptionShift))))))</f>
        <v/>
      </c>
      <c r="GL216" s="150" t="str">
        <f aca="false">IF(OR(GL$169&lt;SwaptionFirstMonthPosition+1,$FJ216&lt;SwaptionFirstMonthPosition+1,GL$169&gt;SwaptionFirstMonthPosition+SwaptionNumOfMonths+1,$FJ216&gt;SwaptionFirstMonthPosition+SwaptionNumOfMonths+1),"",IF($FJ216=GL$169,1,IF($FJ216&lt;GL$169,INDEX($FK$170:$ID$241,GL$169,$FJ216),SUMPRODUCT(INDEX($FK$325:$ID$396,GL$169,1+SwaptionShift):INDEX($FK$325:$ID$396,GL$169,SwaptionMonthsToGo+SwaptionShift),INDEX($FK$245:$ID$316,$FJ216-GL$169,73-GL$169+SwaptionShift):INDEX($FK$245:$ID$316,$FJ216-GL$169,72-GL$169+SwaptionMonthsToGo+SwaptionShift))/SQRT(SUM(INDEX($FK371:$ID371,1+SwaptionShift):INDEX($FK371:$ID371,SwaptionMonthsToGo+SwaptionShift))*SUM(INDEX($FK$325:$ID$396,GL$169,1+SwaptionShift):INDEX($FK$325:$ID$396,GL$169,SwaptionMonthsToGo+SwaptionShift))))))</f>
        <v/>
      </c>
      <c r="GM216" s="150" t="str">
        <f aca="false">IF(OR(GM$169&lt;SwaptionFirstMonthPosition+1,$FJ216&lt;SwaptionFirstMonthPosition+1,GM$169&gt;SwaptionFirstMonthPosition+SwaptionNumOfMonths+1,$FJ216&gt;SwaptionFirstMonthPosition+SwaptionNumOfMonths+1),"",IF($FJ216=GM$169,1,IF($FJ216&lt;GM$169,INDEX($FK$170:$ID$241,GM$169,$FJ216),SUMPRODUCT(INDEX($FK$325:$ID$396,GM$169,1+SwaptionShift):INDEX($FK$325:$ID$396,GM$169,SwaptionMonthsToGo+SwaptionShift),INDEX($FK$245:$ID$316,$FJ216-GM$169,73-GM$169+SwaptionShift):INDEX($FK$245:$ID$316,$FJ216-GM$169,72-GM$169+SwaptionMonthsToGo+SwaptionShift))/SQRT(SUM(INDEX($FK371:$ID371,1+SwaptionShift):INDEX($FK371:$ID371,SwaptionMonthsToGo+SwaptionShift))*SUM(INDEX($FK$325:$ID$396,GM$169,1+SwaptionShift):INDEX($FK$325:$ID$396,GM$169,SwaptionMonthsToGo+SwaptionShift))))))</f>
        <v/>
      </c>
      <c r="GN216" s="150" t="str">
        <f aca="false">IF(OR(GN$169&lt;SwaptionFirstMonthPosition+1,$FJ216&lt;SwaptionFirstMonthPosition+1,GN$169&gt;SwaptionFirstMonthPosition+SwaptionNumOfMonths+1,$FJ216&gt;SwaptionFirstMonthPosition+SwaptionNumOfMonths+1),"",IF($FJ216=GN$169,1,IF($FJ216&lt;GN$169,INDEX($FK$170:$ID$241,GN$169,$FJ216),SUMPRODUCT(INDEX($FK$325:$ID$396,GN$169,1+SwaptionShift):INDEX($FK$325:$ID$396,GN$169,SwaptionMonthsToGo+SwaptionShift),INDEX($FK$245:$ID$316,$FJ216-GN$169,73-GN$169+SwaptionShift):INDEX($FK$245:$ID$316,$FJ216-GN$169,72-GN$169+SwaptionMonthsToGo+SwaptionShift))/SQRT(SUM(INDEX($FK371:$ID371,1+SwaptionShift):INDEX($FK371:$ID371,SwaptionMonthsToGo+SwaptionShift))*SUM(INDEX($FK$325:$ID$396,GN$169,1+SwaptionShift):INDEX($FK$325:$ID$396,GN$169,SwaptionMonthsToGo+SwaptionShift))))))</f>
        <v/>
      </c>
      <c r="GO216" s="150" t="str">
        <f aca="false">IF(OR(GO$169&lt;SwaptionFirstMonthPosition+1,$FJ216&lt;SwaptionFirstMonthPosition+1,GO$169&gt;SwaptionFirstMonthPosition+SwaptionNumOfMonths+1,$FJ216&gt;SwaptionFirstMonthPosition+SwaptionNumOfMonths+1),"",IF($FJ216=GO$169,1,IF($FJ216&lt;GO$169,INDEX($FK$170:$ID$241,GO$169,$FJ216),SUMPRODUCT(INDEX($FK$325:$ID$396,GO$169,1+SwaptionShift):INDEX($FK$325:$ID$396,GO$169,SwaptionMonthsToGo+SwaptionShift),INDEX($FK$245:$ID$316,$FJ216-GO$169,73-GO$169+SwaptionShift):INDEX($FK$245:$ID$316,$FJ216-GO$169,72-GO$169+SwaptionMonthsToGo+SwaptionShift))/SQRT(SUM(INDEX($FK371:$ID371,1+SwaptionShift):INDEX($FK371:$ID371,SwaptionMonthsToGo+SwaptionShift))*SUM(INDEX($FK$325:$ID$396,GO$169,1+SwaptionShift):INDEX($FK$325:$ID$396,GO$169,SwaptionMonthsToGo+SwaptionShift))))))</f>
        <v/>
      </c>
      <c r="GP216" s="150" t="str">
        <f aca="false">IF(OR(GP$169&lt;SwaptionFirstMonthPosition+1,$FJ216&lt;SwaptionFirstMonthPosition+1,GP$169&gt;SwaptionFirstMonthPosition+SwaptionNumOfMonths+1,$FJ216&gt;SwaptionFirstMonthPosition+SwaptionNumOfMonths+1),"",IF($FJ216=GP$169,1,IF($FJ216&lt;GP$169,INDEX($FK$170:$ID$241,GP$169,$FJ216),SUMPRODUCT(INDEX($FK$325:$ID$396,GP$169,1+SwaptionShift):INDEX($FK$325:$ID$396,GP$169,SwaptionMonthsToGo+SwaptionShift),INDEX($FK$245:$ID$316,$FJ216-GP$169,73-GP$169+SwaptionShift):INDEX($FK$245:$ID$316,$FJ216-GP$169,72-GP$169+SwaptionMonthsToGo+SwaptionShift))/SQRT(SUM(INDEX($FK371:$ID371,1+SwaptionShift):INDEX($FK371:$ID371,SwaptionMonthsToGo+SwaptionShift))*SUM(INDEX($FK$325:$ID$396,GP$169,1+SwaptionShift):INDEX($FK$325:$ID$396,GP$169,SwaptionMonthsToGo+SwaptionShift))))))</f>
        <v/>
      </c>
      <c r="GQ216" s="150" t="str">
        <f aca="false">IF(OR(GQ$169&lt;SwaptionFirstMonthPosition+1,$FJ216&lt;SwaptionFirstMonthPosition+1,GQ$169&gt;SwaptionFirstMonthPosition+SwaptionNumOfMonths+1,$FJ216&gt;SwaptionFirstMonthPosition+SwaptionNumOfMonths+1),"",IF($FJ216=GQ$169,1,IF($FJ216&lt;GQ$169,INDEX($FK$170:$ID$241,GQ$169,$FJ216),SUMPRODUCT(INDEX($FK$325:$ID$396,GQ$169,1+SwaptionShift):INDEX($FK$325:$ID$396,GQ$169,SwaptionMonthsToGo+SwaptionShift),INDEX($FK$245:$ID$316,$FJ216-GQ$169,73-GQ$169+SwaptionShift):INDEX($FK$245:$ID$316,$FJ216-GQ$169,72-GQ$169+SwaptionMonthsToGo+SwaptionShift))/SQRT(SUM(INDEX($FK371:$ID371,1+SwaptionShift):INDEX($FK371:$ID371,SwaptionMonthsToGo+SwaptionShift))*SUM(INDEX($FK$325:$ID$396,GQ$169,1+SwaptionShift):INDEX($FK$325:$ID$396,GQ$169,SwaptionMonthsToGo+SwaptionShift))))))</f>
        <v/>
      </c>
      <c r="GR216" s="150" t="str">
        <f aca="false">IF(OR(GR$169&lt;SwaptionFirstMonthPosition+1,$FJ216&lt;SwaptionFirstMonthPosition+1,GR$169&gt;SwaptionFirstMonthPosition+SwaptionNumOfMonths+1,$FJ216&gt;SwaptionFirstMonthPosition+SwaptionNumOfMonths+1),"",IF($FJ216=GR$169,1,IF($FJ216&lt;GR$169,INDEX($FK$170:$ID$241,GR$169,$FJ216),SUMPRODUCT(INDEX($FK$325:$ID$396,GR$169,1+SwaptionShift):INDEX($FK$325:$ID$396,GR$169,SwaptionMonthsToGo+SwaptionShift),INDEX($FK$245:$ID$316,$FJ216-GR$169,73-GR$169+SwaptionShift):INDEX($FK$245:$ID$316,$FJ216-GR$169,72-GR$169+SwaptionMonthsToGo+SwaptionShift))/SQRT(SUM(INDEX($FK371:$ID371,1+SwaptionShift):INDEX($FK371:$ID371,SwaptionMonthsToGo+SwaptionShift))*SUM(INDEX($FK$325:$ID$396,GR$169,1+SwaptionShift):INDEX($FK$325:$ID$396,GR$169,SwaptionMonthsToGo+SwaptionShift))))))</f>
        <v/>
      </c>
      <c r="GS216" s="150" t="str">
        <f aca="false">IF(OR(GS$169&lt;SwaptionFirstMonthPosition+1,$FJ216&lt;SwaptionFirstMonthPosition+1,GS$169&gt;SwaptionFirstMonthPosition+SwaptionNumOfMonths+1,$FJ216&gt;SwaptionFirstMonthPosition+SwaptionNumOfMonths+1),"",IF($FJ216=GS$169,1,IF($FJ216&lt;GS$169,INDEX($FK$170:$ID$241,GS$169,$FJ216),SUMPRODUCT(INDEX($FK$325:$ID$396,GS$169,1+SwaptionShift):INDEX($FK$325:$ID$396,GS$169,SwaptionMonthsToGo+SwaptionShift),INDEX($FK$245:$ID$316,$FJ216-GS$169,73-GS$169+SwaptionShift):INDEX($FK$245:$ID$316,$FJ216-GS$169,72-GS$169+SwaptionMonthsToGo+SwaptionShift))/SQRT(SUM(INDEX($FK371:$ID371,1+SwaptionShift):INDEX($FK371:$ID371,SwaptionMonthsToGo+SwaptionShift))*SUM(INDEX($FK$325:$ID$396,GS$169,1+SwaptionShift):INDEX($FK$325:$ID$396,GS$169,SwaptionMonthsToGo+SwaptionShift))))))</f>
        <v/>
      </c>
      <c r="GT216" s="150" t="str">
        <f aca="false">IF(OR(GT$169&lt;SwaptionFirstMonthPosition+1,$FJ216&lt;SwaptionFirstMonthPosition+1,GT$169&gt;SwaptionFirstMonthPosition+SwaptionNumOfMonths+1,$FJ216&gt;SwaptionFirstMonthPosition+SwaptionNumOfMonths+1),"",IF($FJ216=GT$169,1,IF($FJ216&lt;GT$169,INDEX($FK$170:$ID$241,GT$169,$FJ216),SUMPRODUCT(INDEX($FK$325:$ID$396,GT$169,1+SwaptionShift):INDEX($FK$325:$ID$396,GT$169,SwaptionMonthsToGo+SwaptionShift),INDEX($FK$245:$ID$316,$FJ216-GT$169,73-GT$169+SwaptionShift):INDEX($FK$245:$ID$316,$FJ216-GT$169,72-GT$169+SwaptionMonthsToGo+SwaptionShift))/SQRT(SUM(INDEX($FK371:$ID371,1+SwaptionShift):INDEX($FK371:$ID371,SwaptionMonthsToGo+SwaptionShift))*SUM(INDEX($FK$325:$ID$396,GT$169,1+SwaptionShift):INDEX($FK$325:$ID$396,GT$169,SwaptionMonthsToGo+SwaptionShift))))))</f>
        <v/>
      </c>
      <c r="GU216" s="150" t="str">
        <f aca="false">IF(OR(GU$169&lt;SwaptionFirstMonthPosition+1,$FJ216&lt;SwaptionFirstMonthPosition+1,GU$169&gt;SwaptionFirstMonthPosition+SwaptionNumOfMonths+1,$FJ216&gt;SwaptionFirstMonthPosition+SwaptionNumOfMonths+1),"",IF($FJ216=GU$169,1,IF($FJ216&lt;GU$169,INDEX($FK$170:$ID$241,GU$169,$FJ216),SUMPRODUCT(INDEX($FK$325:$ID$396,GU$169,1+SwaptionShift):INDEX($FK$325:$ID$396,GU$169,SwaptionMonthsToGo+SwaptionShift),INDEX($FK$245:$ID$316,$FJ216-GU$169,73-GU$169+SwaptionShift):INDEX($FK$245:$ID$316,$FJ216-GU$169,72-GU$169+SwaptionMonthsToGo+SwaptionShift))/SQRT(SUM(INDEX($FK371:$ID371,1+SwaptionShift):INDEX($FK371:$ID371,SwaptionMonthsToGo+SwaptionShift))*SUM(INDEX($FK$325:$ID$396,GU$169,1+SwaptionShift):INDEX($FK$325:$ID$396,GU$169,SwaptionMonthsToGo+SwaptionShift))))))</f>
        <v/>
      </c>
      <c r="GV216" s="150" t="str">
        <f aca="false">IF(OR(GV$169&lt;SwaptionFirstMonthPosition+1,$FJ216&lt;SwaptionFirstMonthPosition+1,GV$169&gt;SwaptionFirstMonthPosition+SwaptionNumOfMonths+1,$FJ216&gt;SwaptionFirstMonthPosition+SwaptionNumOfMonths+1),"",IF($FJ216=GV$169,1,IF($FJ216&lt;GV$169,INDEX($FK$170:$ID$241,GV$169,$FJ216),SUMPRODUCT(INDEX($FK$325:$ID$396,GV$169,1+SwaptionShift):INDEX($FK$325:$ID$396,GV$169,SwaptionMonthsToGo+SwaptionShift),INDEX($FK$245:$ID$316,$FJ216-GV$169,73-GV$169+SwaptionShift):INDEX($FK$245:$ID$316,$FJ216-GV$169,72-GV$169+SwaptionMonthsToGo+SwaptionShift))/SQRT(SUM(INDEX($FK371:$ID371,1+SwaptionShift):INDEX($FK371:$ID371,SwaptionMonthsToGo+SwaptionShift))*SUM(INDEX($FK$325:$ID$396,GV$169,1+SwaptionShift):INDEX($FK$325:$ID$396,GV$169,SwaptionMonthsToGo+SwaptionShift))))))</f>
        <v/>
      </c>
      <c r="GW216" s="150" t="str">
        <f aca="false">IF(OR(GW$169&lt;SwaptionFirstMonthPosition+1,$FJ216&lt;SwaptionFirstMonthPosition+1,GW$169&gt;SwaptionFirstMonthPosition+SwaptionNumOfMonths+1,$FJ216&gt;SwaptionFirstMonthPosition+SwaptionNumOfMonths+1),"",IF($FJ216=GW$169,1,IF($FJ216&lt;GW$169,INDEX($FK$170:$ID$241,GW$169,$FJ216),SUMPRODUCT(INDEX($FK$325:$ID$396,GW$169,1+SwaptionShift):INDEX($FK$325:$ID$396,GW$169,SwaptionMonthsToGo+SwaptionShift),INDEX($FK$245:$ID$316,$FJ216-GW$169,73-GW$169+SwaptionShift):INDEX($FK$245:$ID$316,$FJ216-GW$169,72-GW$169+SwaptionMonthsToGo+SwaptionShift))/SQRT(SUM(INDEX($FK371:$ID371,1+SwaptionShift):INDEX($FK371:$ID371,SwaptionMonthsToGo+SwaptionShift))*SUM(INDEX($FK$325:$ID$396,GW$169,1+SwaptionShift):INDEX($FK$325:$ID$396,GW$169,SwaptionMonthsToGo+SwaptionShift))))))</f>
        <v/>
      </c>
      <c r="GX216" s="150" t="str">
        <f aca="false">IF(OR(GX$169&lt;SwaptionFirstMonthPosition+1,$FJ216&lt;SwaptionFirstMonthPosition+1,GX$169&gt;SwaptionFirstMonthPosition+SwaptionNumOfMonths+1,$FJ216&gt;SwaptionFirstMonthPosition+SwaptionNumOfMonths+1),"",IF($FJ216=GX$169,1,IF($FJ216&lt;GX$169,INDEX($FK$170:$ID$241,GX$169,$FJ216),SUMPRODUCT(INDEX($FK$325:$ID$396,GX$169,1+SwaptionShift):INDEX($FK$325:$ID$396,GX$169,SwaptionMonthsToGo+SwaptionShift),INDEX($FK$245:$ID$316,$FJ216-GX$169,73-GX$169+SwaptionShift):INDEX($FK$245:$ID$316,$FJ216-GX$169,72-GX$169+SwaptionMonthsToGo+SwaptionShift))/SQRT(SUM(INDEX($FK371:$ID371,1+SwaptionShift):INDEX($FK371:$ID371,SwaptionMonthsToGo+SwaptionShift))*SUM(INDEX($FK$325:$ID$396,GX$169,1+SwaptionShift):INDEX($FK$325:$ID$396,GX$169,SwaptionMonthsToGo+SwaptionShift))))))</f>
        <v/>
      </c>
      <c r="GY216" s="150" t="str">
        <f aca="false">IF(OR(GY$169&lt;SwaptionFirstMonthPosition+1,$FJ216&lt;SwaptionFirstMonthPosition+1,GY$169&gt;SwaptionFirstMonthPosition+SwaptionNumOfMonths+1,$FJ216&gt;SwaptionFirstMonthPosition+SwaptionNumOfMonths+1),"",IF($FJ216=GY$169,1,IF($FJ216&lt;GY$169,INDEX($FK$170:$ID$241,GY$169,$FJ216),SUMPRODUCT(INDEX($FK$325:$ID$396,GY$169,1+SwaptionShift):INDEX($FK$325:$ID$396,GY$169,SwaptionMonthsToGo+SwaptionShift),INDEX($FK$245:$ID$316,$FJ216-GY$169,73-GY$169+SwaptionShift):INDEX($FK$245:$ID$316,$FJ216-GY$169,72-GY$169+SwaptionMonthsToGo+SwaptionShift))/SQRT(SUM(INDEX($FK371:$ID371,1+SwaptionShift):INDEX($FK371:$ID371,SwaptionMonthsToGo+SwaptionShift))*SUM(INDEX($FK$325:$ID$396,GY$169,1+SwaptionShift):INDEX($FK$325:$ID$396,GY$169,SwaptionMonthsToGo+SwaptionShift))))))</f>
        <v/>
      </c>
      <c r="GZ216" s="150" t="str">
        <f aca="false">IF(OR(GZ$169&lt;SwaptionFirstMonthPosition+1,$FJ216&lt;SwaptionFirstMonthPosition+1,GZ$169&gt;SwaptionFirstMonthPosition+SwaptionNumOfMonths+1,$FJ216&gt;SwaptionFirstMonthPosition+SwaptionNumOfMonths+1),"",IF($FJ216=GZ$169,1,IF($FJ216&lt;GZ$169,INDEX($FK$170:$ID$241,GZ$169,$FJ216),SUMPRODUCT(INDEX($FK$325:$ID$396,GZ$169,1+SwaptionShift):INDEX($FK$325:$ID$396,GZ$169,SwaptionMonthsToGo+SwaptionShift),INDEX($FK$245:$ID$316,$FJ216-GZ$169,73-GZ$169+SwaptionShift):INDEX($FK$245:$ID$316,$FJ216-GZ$169,72-GZ$169+SwaptionMonthsToGo+SwaptionShift))/SQRT(SUM(INDEX($FK371:$ID371,1+SwaptionShift):INDEX($FK371:$ID371,SwaptionMonthsToGo+SwaptionShift))*SUM(INDEX($FK$325:$ID$396,GZ$169,1+SwaptionShift):INDEX($FK$325:$ID$396,GZ$169,SwaptionMonthsToGo+SwaptionShift))))))</f>
        <v/>
      </c>
      <c r="HA216" s="150" t="str">
        <f aca="false">IF(OR(HA$169&lt;SwaptionFirstMonthPosition+1,$FJ216&lt;SwaptionFirstMonthPosition+1,HA$169&gt;SwaptionFirstMonthPosition+SwaptionNumOfMonths+1,$FJ216&gt;SwaptionFirstMonthPosition+SwaptionNumOfMonths+1),"",IF($FJ216=HA$169,1,IF($FJ216&lt;HA$169,INDEX($FK$170:$ID$241,HA$169,$FJ216),SUMPRODUCT(INDEX($FK$325:$ID$396,HA$169,1+SwaptionShift):INDEX($FK$325:$ID$396,HA$169,SwaptionMonthsToGo+SwaptionShift),INDEX($FK$245:$ID$316,$FJ216-HA$169,73-HA$169+SwaptionShift):INDEX($FK$245:$ID$316,$FJ216-HA$169,72-HA$169+SwaptionMonthsToGo+SwaptionShift))/SQRT(SUM(INDEX($FK371:$ID371,1+SwaptionShift):INDEX($FK371:$ID371,SwaptionMonthsToGo+SwaptionShift))*SUM(INDEX($FK$325:$ID$396,HA$169,1+SwaptionShift):INDEX($FK$325:$ID$396,HA$169,SwaptionMonthsToGo+SwaptionShift))))))</f>
        <v/>
      </c>
      <c r="HB216" s="150" t="str">
        <f aca="false">IF(OR(HB$169&lt;SwaptionFirstMonthPosition+1,$FJ216&lt;SwaptionFirstMonthPosition+1,HB$169&gt;SwaptionFirstMonthPosition+SwaptionNumOfMonths+1,$FJ216&gt;SwaptionFirstMonthPosition+SwaptionNumOfMonths+1),"",IF($FJ216=HB$169,1,IF($FJ216&lt;HB$169,INDEX($FK$170:$ID$241,HB$169,$FJ216),SUMPRODUCT(INDEX($FK$325:$ID$396,HB$169,1+SwaptionShift):INDEX($FK$325:$ID$396,HB$169,SwaptionMonthsToGo+SwaptionShift),INDEX($FK$245:$ID$316,$FJ216-HB$169,73-HB$169+SwaptionShift):INDEX($FK$245:$ID$316,$FJ216-HB$169,72-HB$169+SwaptionMonthsToGo+SwaptionShift))/SQRT(SUM(INDEX($FK371:$ID371,1+SwaptionShift):INDEX($FK371:$ID371,SwaptionMonthsToGo+SwaptionShift))*SUM(INDEX($FK$325:$ID$396,HB$169,1+SwaptionShift):INDEX($FK$325:$ID$396,HB$169,SwaptionMonthsToGo+SwaptionShift))))))</f>
        <v/>
      </c>
      <c r="HC216" s="150" t="str">
        <f aca="false">IF(OR(HC$169&lt;SwaptionFirstMonthPosition+1,$FJ216&lt;SwaptionFirstMonthPosition+1,HC$169&gt;SwaptionFirstMonthPosition+SwaptionNumOfMonths+1,$FJ216&gt;SwaptionFirstMonthPosition+SwaptionNumOfMonths+1),"",IF($FJ216=HC$169,1,IF($FJ216&lt;HC$169,INDEX($FK$170:$ID$241,HC$169,$FJ216),SUMPRODUCT(INDEX($FK$325:$ID$396,HC$169,1+SwaptionShift):INDEX($FK$325:$ID$396,HC$169,SwaptionMonthsToGo+SwaptionShift),INDEX($FK$245:$ID$316,$FJ216-HC$169,73-HC$169+SwaptionShift):INDEX($FK$245:$ID$316,$FJ216-HC$169,72-HC$169+SwaptionMonthsToGo+SwaptionShift))/SQRT(SUM(INDEX($FK371:$ID371,1+SwaptionShift):INDEX($FK371:$ID371,SwaptionMonthsToGo+SwaptionShift))*SUM(INDEX($FK$325:$ID$396,HC$169,1+SwaptionShift):INDEX($FK$325:$ID$396,HC$169,SwaptionMonthsToGo+SwaptionShift))))))</f>
        <v/>
      </c>
      <c r="HD216" s="150" t="str">
        <f aca="false">IF(OR(HD$169&lt;SwaptionFirstMonthPosition+1,$FJ216&lt;SwaptionFirstMonthPosition+1,HD$169&gt;SwaptionFirstMonthPosition+SwaptionNumOfMonths+1,$FJ216&gt;SwaptionFirstMonthPosition+SwaptionNumOfMonths+1),"",IF($FJ216=HD$169,1,IF($FJ216&lt;HD$169,INDEX($FK$170:$ID$241,HD$169,$FJ216),SUMPRODUCT(INDEX($FK$325:$ID$396,HD$169,1+SwaptionShift):INDEX($FK$325:$ID$396,HD$169,SwaptionMonthsToGo+SwaptionShift),INDEX($FK$245:$ID$316,$FJ216-HD$169,73-HD$169+SwaptionShift):INDEX($FK$245:$ID$316,$FJ216-HD$169,72-HD$169+SwaptionMonthsToGo+SwaptionShift))/SQRT(SUM(INDEX($FK371:$ID371,1+SwaptionShift):INDEX($FK371:$ID371,SwaptionMonthsToGo+SwaptionShift))*SUM(INDEX($FK$325:$ID$396,HD$169,1+SwaptionShift):INDEX($FK$325:$ID$396,HD$169,SwaptionMonthsToGo+SwaptionShift))))))</f>
        <v/>
      </c>
      <c r="HE216" s="150" t="str">
        <f aca="false">IF(OR(HE$169&lt;SwaptionFirstMonthPosition+1,$FJ216&lt;SwaptionFirstMonthPosition+1,HE$169&gt;SwaptionFirstMonthPosition+SwaptionNumOfMonths+1,$FJ216&gt;SwaptionFirstMonthPosition+SwaptionNumOfMonths+1),"",IF($FJ216=HE$169,1,IF($FJ216&lt;HE$169,INDEX($FK$170:$ID$241,HE$169,$FJ216),SUMPRODUCT(INDEX($FK$325:$ID$396,HE$169,1+SwaptionShift):INDEX($FK$325:$ID$396,HE$169,SwaptionMonthsToGo+SwaptionShift),INDEX($FK$245:$ID$316,$FJ216-HE$169,73-HE$169+SwaptionShift):INDEX($FK$245:$ID$316,$FJ216-HE$169,72-HE$169+SwaptionMonthsToGo+SwaptionShift))/SQRT(SUM(INDEX($FK371:$ID371,1+SwaptionShift):INDEX($FK371:$ID371,SwaptionMonthsToGo+SwaptionShift))*SUM(INDEX($FK$325:$ID$396,HE$169,1+SwaptionShift):INDEX($FK$325:$ID$396,HE$169,SwaptionMonthsToGo+SwaptionShift))))))</f>
        <v/>
      </c>
      <c r="HF216" s="150" t="str">
        <f aca="false">IF(OR(HF$169&lt;SwaptionFirstMonthPosition+1,$FJ216&lt;SwaptionFirstMonthPosition+1,HF$169&gt;SwaptionFirstMonthPosition+SwaptionNumOfMonths+1,$FJ216&gt;SwaptionFirstMonthPosition+SwaptionNumOfMonths+1),"",IF($FJ216=HF$169,1,IF($FJ216&lt;HF$169,INDEX($FK$170:$ID$241,HF$169,$FJ216),SUMPRODUCT(INDEX($FK$325:$ID$396,HF$169,1+SwaptionShift):INDEX($FK$325:$ID$396,HF$169,SwaptionMonthsToGo+SwaptionShift),INDEX($FK$245:$ID$316,$FJ216-HF$169,73-HF$169+SwaptionShift):INDEX($FK$245:$ID$316,$FJ216-HF$169,72-HF$169+SwaptionMonthsToGo+SwaptionShift))/SQRT(SUM(INDEX($FK371:$ID371,1+SwaptionShift):INDEX($FK371:$ID371,SwaptionMonthsToGo+SwaptionShift))*SUM(INDEX($FK$325:$ID$396,HF$169,1+SwaptionShift):INDEX($FK$325:$ID$396,HF$169,SwaptionMonthsToGo+SwaptionShift))))))</f>
        <v/>
      </c>
      <c r="HG216" s="150" t="str">
        <f aca="false">IF(OR(HG$169&lt;SwaptionFirstMonthPosition+1,$FJ216&lt;SwaptionFirstMonthPosition+1,HG$169&gt;SwaptionFirstMonthPosition+SwaptionNumOfMonths+1,$FJ216&gt;SwaptionFirstMonthPosition+SwaptionNumOfMonths+1),"",IF($FJ216=HG$169,1,IF($FJ216&lt;HG$169,INDEX($FK$170:$ID$241,HG$169,$FJ216),SUMPRODUCT(INDEX($FK$325:$ID$396,HG$169,1+SwaptionShift):INDEX($FK$325:$ID$396,HG$169,SwaptionMonthsToGo+SwaptionShift),INDEX($FK$245:$ID$316,$FJ216-HG$169,73-HG$169+SwaptionShift):INDEX($FK$245:$ID$316,$FJ216-HG$169,72-HG$169+SwaptionMonthsToGo+SwaptionShift))/SQRT(SUM(INDEX($FK371:$ID371,1+SwaptionShift):INDEX($FK371:$ID371,SwaptionMonthsToGo+SwaptionShift))*SUM(INDEX($FK$325:$ID$396,HG$169,1+SwaptionShift):INDEX($FK$325:$ID$396,HG$169,SwaptionMonthsToGo+SwaptionShift))))))</f>
        <v/>
      </c>
      <c r="HH216" s="150" t="str">
        <f aca="false">IF(OR(HH$169&lt;SwaptionFirstMonthPosition+1,$FJ216&lt;SwaptionFirstMonthPosition+1,HH$169&gt;SwaptionFirstMonthPosition+SwaptionNumOfMonths+1,$FJ216&gt;SwaptionFirstMonthPosition+SwaptionNumOfMonths+1),"",IF($FJ216=HH$169,1,IF($FJ216&lt;HH$169,INDEX($FK$170:$ID$241,HH$169,$FJ216),SUMPRODUCT(INDEX($FK$325:$ID$396,HH$169,1+SwaptionShift):INDEX($FK$325:$ID$396,HH$169,SwaptionMonthsToGo+SwaptionShift),INDEX($FK$245:$ID$316,$FJ216-HH$169,73-HH$169+SwaptionShift):INDEX($FK$245:$ID$316,$FJ216-HH$169,72-HH$169+SwaptionMonthsToGo+SwaptionShift))/SQRT(SUM(INDEX($FK371:$ID371,1+SwaptionShift):INDEX($FK371:$ID371,SwaptionMonthsToGo+SwaptionShift))*SUM(INDEX($FK$325:$ID$396,HH$169,1+SwaptionShift):INDEX($FK$325:$ID$396,HH$169,SwaptionMonthsToGo+SwaptionShift))))))</f>
        <v/>
      </c>
      <c r="HI216" s="150" t="str">
        <f aca="false">IF(OR(HI$169&lt;SwaptionFirstMonthPosition+1,$FJ216&lt;SwaptionFirstMonthPosition+1,HI$169&gt;SwaptionFirstMonthPosition+SwaptionNumOfMonths+1,$FJ216&gt;SwaptionFirstMonthPosition+SwaptionNumOfMonths+1),"",IF($FJ216=HI$169,1,IF($FJ216&lt;HI$169,INDEX($FK$170:$ID$241,HI$169,$FJ216),SUMPRODUCT(INDEX($FK$325:$ID$396,HI$169,1+SwaptionShift):INDEX($FK$325:$ID$396,HI$169,SwaptionMonthsToGo+SwaptionShift),INDEX($FK$245:$ID$316,$FJ216-HI$169,73-HI$169+SwaptionShift):INDEX($FK$245:$ID$316,$FJ216-HI$169,72-HI$169+SwaptionMonthsToGo+SwaptionShift))/SQRT(SUM(INDEX($FK371:$ID371,1+SwaptionShift):INDEX($FK371:$ID371,SwaptionMonthsToGo+SwaptionShift))*SUM(INDEX($FK$325:$ID$396,HI$169,1+SwaptionShift):INDEX($FK$325:$ID$396,HI$169,SwaptionMonthsToGo+SwaptionShift))))))</f>
        <v/>
      </c>
      <c r="HJ216" s="150" t="str">
        <f aca="false">IF(OR(HJ$169&lt;SwaptionFirstMonthPosition+1,$FJ216&lt;SwaptionFirstMonthPosition+1,HJ$169&gt;SwaptionFirstMonthPosition+SwaptionNumOfMonths+1,$FJ216&gt;SwaptionFirstMonthPosition+SwaptionNumOfMonths+1),"",IF($FJ216=HJ$169,1,IF($FJ216&lt;HJ$169,INDEX($FK$170:$ID$241,HJ$169,$FJ216),SUMPRODUCT(INDEX($FK$325:$ID$396,HJ$169,1+SwaptionShift):INDEX($FK$325:$ID$396,HJ$169,SwaptionMonthsToGo+SwaptionShift),INDEX($FK$245:$ID$316,$FJ216-HJ$169,73-HJ$169+SwaptionShift):INDEX($FK$245:$ID$316,$FJ216-HJ$169,72-HJ$169+SwaptionMonthsToGo+SwaptionShift))/SQRT(SUM(INDEX($FK371:$ID371,1+SwaptionShift):INDEX($FK371:$ID371,SwaptionMonthsToGo+SwaptionShift))*SUM(INDEX($FK$325:$ID$396,HJ$169,1+SwaptionShift):INDEX($FK$325:$ID$396,HJ$169,SwaptionMonthsToGo+SwaptionShift))))))</f>
        <v/>
      </c>
      <c r="HK216" s="150" t="str">
        <f aca="false">IF(OR(HK$169&lt;SwaptionFirstMonthPosition+1,$FJ216&lt;SwaptionFirstMonthPosition+1,HK$169&gt;SwaptionFirstMonthPosition+SwaptionNumOfMonths+1,$FJ216&gt;SwaptionFirstMonthPosition+SwaptionNumOfMonths+1),"",IF($FJ216=HK$169,1,IF($FJ216&lt;HK$169,INDEX($FK$170:$ID$241,HK$169,$FJ216),SUMPRODUCT(INDEX($FK$325:$ID$396,HK$169,1+SwaptionShift):INDEX($FK$325:$ID$396,HK$169,SwaptionMonthsToGo+SwaptionShift),INDEX($FK$245:$ID$316,$FJ216-HK$169,73-HK$169+SwaptionShift):INDEX($FK$245:$ID$316,$FJ216-HK$169,72-HK$169+SwaptionMonthsToGo+SwaptionShift))/SQRT(SUM(INDEX($FK371:$ID371,1+SwaptionShift):INDEX($FK371:$ID371,SwaptionMonthsToGo+SwaptionShift))*SUM(INDEX($FK$325:$ID$396,HK$169,1+SwaptionShift):INDEX($FK$325:$ID$396,HK$169,SwaptionMonthsToGo+SwaptionShift))))))</f>
        <v/>
      </c>
      <c r="HL216" s="150" t="str">
        <f aca="false">IF(OR(HL$169&lt;SwaptionFirstMonthPosition+1,$FJ216&lt;SwaptionFirstMonthPosition+1,HL$169&gt;SwaptionFirstMonthPosition+SwaptionNumOfMonths+1,$FJ216&gt;SwaptionFirstMonthPosition+SwaptionNumOfMonths+1),"",IF($FJ216=HL$169,1,IF($FJ216&lt;HL$169,INDEX($FK$170:$ID$241,HL$169,$FJ216),SUMPRODUCT(INDEX($FK$325:$ID$396,HL$169,1+SwaptionShift):INDEX($FK$325:$ID$396,HL$169,SwaptionMonthsToGo+SwaptionShift),INDEX($FK$245:$ID$316,$FJ216-HL$169,73-HL$169+SwaptionShift):INDEX($FK$245:$ID$316,$FJ216-HL$169,72-HL$169+SwaptionMonthsToGo+SwaptionShift))/SQRT(SUM(INDEX($FK371:$ID371,1+SwaptionShift):INDEX($FK371:$ID371,SwaptionMonthsToGo+SwaptionShift))*SUM(INDEX($FK$325:$ID$396,HL$169,1+SwaptionShift):INDEX($FK$325:$ID$396,HL$169,SwaptionMonthsToGo+SwaptionShift))))))</f>
        <v/>
      </c>
      <c r="HM216" s="150" t="str">
        <f aca="false">IF(OR(HM$169&lt;SwaptionFirstMonthPosition+1,$FJ216&lt;SwaptionFirstMonthPosition+1,HM$169&gt;SwaptionFirstMonthPosition+SwaptionNumOfMonths+1,$FJ216&gt;SwaptionFirstMonthPosition+SwaptionNumOfMonths+1),"",IF($FJ216=HM$169,1,IF($FJ216&lt;HM$169,INDEX($FK$170:$ID$241,HM$169,$FJ216),SUMPRODUCT(INDEX($FK$325:$ID$396,HM$169,1+SwaptionShift):INDEX($FK$325:$ID$396,HM$169,SwaptionMonthsToGo+SwaptionShift),INDEX($FK$245:$ID$316,$FJ216-HM$169,73-HM$169+SwaptionShift):INDEX($FK$245:$ID$316,$FJ216-HM$169,72-HM$169+SwaptionMonthsToGo+SwaptionShift))/SQRT(SUM(INDEX($FK371:$ID371,1+SwaptionShift):INDEX($FK371:$ID371,SwaptionMonthsToGo+SwaptionShift))*SUM(INDEX($FK$325:$ID$396,HM$169,1+SwaptionShift):INDEX($FK$325:$ID$396,HM$169,SwaptionMonthsToGo+SwaptionShift))))))</f>
        <v/>
      </c>
      <c r="HN216" s="150" t="str">
        <f aca="false">IF(OR(HN$169&lt;SwaptionFirstMonthPosition+1,$FJ216&lt;SwaptionFirstMonthPosition+1,HN$169&gt;SwaptionFirstMonthPosition+SwaptionNumOfMonths+1,$FJ216&gt;SwaptionFirstMonthPosition+SwaptionNumOfMonths+1),"",IF($FJ216=HN$169,1,IF($FJ216&lt;HN$169,INDEX($FK$170:$ID$241,HN$169,$FJ216),SUMPRODUCT(INDEX($FK$325:$ID$396,HN$169,1+SwaptionShift):INDEX($FK$325:$ID$396,HN$169,SwaptionMonthsToGo+SwaptionShift),INDEX($FK$245:$ID$316,$FJ216-HN$169,73-HN$169+SwaptionShift):INDEX($FK$245:$ID$316,$FJ216-HN$169,72-HN$169+SwaptionMonthsToGo+SwaptionShift))/SQRT(SUM(INDEX($FK371:$ID371,1+SwaptionShift):INDEX($FK371:$ID371,SwaptionMonthsToGo+SwaptionShift))*SUM(INDEX($FK$325:$ID$396,HN$169,1+SwaptionShift):INDEX($FK$325:$ID$396,HN$169,SwaptionMonthsToGo+SwaptionShift))))))</f>
        <v/>
      </c>
      <c r="HO216" s="150" t="str">
        <f aca="false">IF(OR(HO$169&lt;SwaptionFirstMonthPosition+1,$FJ216&lt;SwaptionFirstMonthPosition+1,HO$169&gt;SwaptionFirstMonthPosition+SwaptionNumOfMonths+1,$FJ216&gt;SwaptionFirstMonthPosition+SwaptionNumOfMonths+1),"",IF($FJ216=HO$169,1,IF($FJ216&lt;HO$169,INDEX($FK$170:$ID$241,HO$169,$FJ216),SUMPRODUCT(INDEX($FK$325:$ID$396,HO$169,1+SwaptionShift):INDEX($FK$325:$ID$396,HO$169,SwaptionMonthsToGo+SwaptionShift),INDEX($FK$245:$ID$316,$FJ216-HO$169,73-HO$169+SwaptionShift):INDEX($FK$245:$ID$316,$FJ216-HO$169,72-HO$169+SwaptionMonthsToGo+SwaptionShift))/SQRT(SUM(INDEX($FK371:$ID371,1+SwaptionShift):INDEX($FK371:$ID371,SwaptionMonthsToGo+SwaptionShift))*SUM(INDEX($FK$325:$ID$396,HO$169,1+SwaptionShift):INDEX($FK$325:$ID$396,HO$169,SwaptionMonthsToGo+SwaptionShift))))))</f>
        <v/>
      </c>
      <c r="HP216" s="150" t="str">
        <f aca="false">IF(OR(HP$169&lt;SwaptionFirstMonthPosition+1,$FJ216&lt;SwaptionFirstMonthPosition+1,HP$169&gt;SwaptionFirstMonthPosition+SwaptionNumOfMonths+1,$FJ216&gt;SwaptionFirstMonthPosition+SwaptionNumOfMonths+1),"",IF($FJ216=HP$169,1,IF($FJ216&lt;HP$169,INDEX($FK$170:$ID$241,HP$169,$FJ216),SUMPRODUCT(INDEX($FK$325:$ID$396,HP$169,1+SwaptionShift):INDEX($FK$325:$ID$396,HP$169,SwaptionMonthsToGo+SwaptionShift),INDEX($FK$245:$ID$316,$FJ216-HP$169,73-HP$169+SwaptionShift):INDEX($FK$245:$ID$316,$FJ216-HP$169,72-HP$169+SwaptionMonthsToGo+SwaptionShift))/SQRT(SUM(INDEX($FK371:$ID371,1+SwaptionShift):INDEX($FK371:$ID371,SwaptionMonthsToGo+SwaptionShift))*SUM(INDEX($FK$325:$ID$396,HP$169,1+SwaptionShift):INDEX($FK$325:$ID$396,HP$169,SwaptionMonthsToGo+SwaptionShift))))))</f>
        <v/>
      </c>
      <c r="HQ216" s="150" t="str">
        <f aca="false">IF(OR(HQ$169&lt;SwaptionFirstMonthPosition+1,$FJ216&lt;SwaptionFirstMonthPosition+1,HQ$169&gt;SwaptionFirstMonthPosition+SwaptionNumOfMonths+1,$FJ216&gt;SwaptionFirstMonthPosition+SwaptionNumOfMonths+1),"",IF($FJ216=HQ$169,1,IF($FJ216&lt;HQ$169,INDEX($FK$170:$ID$241,HQ$169,$FJ216),SUMPRODUCT(INDEX($FK$325:$ID$396,HQ$169,1+SwaptionShift):INDEX($FK$325:$ID$396,HQ$169,SwaptionMonthsToGo+SwaptionShift),INDEX($FK$245:$ID$316,$FJ216-HQ$169,73-HQ$169+SwaptionShift):INDEX($FK$245:$ID$316,$FJ216-HQ$169,72-HQ$169+SwaptionMonthsToGo+SwaptionShift))/SQRT(SUM(INDEX($FK371:$ID371,1+SwaptionShift):INDEX($FK371:$ID371,SwaptionMonthsToGo+SwaptionShift))*SUM(INDEX($FK$325:$ID$396,HQ$169,1+SwaptionShift):INDEX($FK$325:$ID$396,HQ$169,SwaptionMonthsToGo+SwaptionShift))))))</f>
        <v/>
      </c>
      <c r="HR216" s="150" t="str">
        <f aca="false">IF(OR(HR$169&lt;SwaptionFirstMonthPosition+1,$FJ216&lt;SwaptionFirstMonthPosition+1,HR$169&gt;SwaptionFirstMonthPosition+SwaptionNumOfMonths+1,$FJ216&gt;SwaptionFirstMonthPosition+SwaptionNumOfMonths+1),"",IF($FJ216=HR$169,1,IF($FJ216&lt;HR$169,INDEX($FK$170:$ID$241,HR$169,$FJ216),SUMPRODUCT(INDEX($FK$325:$ID$396,HR$169,1+SwaptionShift):INDEX($FK$325:$ID$396,HR$169,SwaptionMonthsToGo+SwaptionShift),INDEX($FK$245:$ID$316,$FJ216-HR$169,73-HR$169+SwaptionShift):INDEX($FK$245:$ID$316,$FJ216-HR$169,72-HR$169+SwaptionMonthsToGo+SwaptionShift))/SQRT(SUM(INDEX($FK371:$ID371,1+SwaptionShift):INDEX($FK371:$ID371,SwaptionMonthsToGo+SwaptionShift))*SUM(INDEX($FK$325:$ID$396,HR$169,1+SwaptionShift):INDEX($FK$325:$ID$396,HR$169,SwaptionMonthsToGo+SwaptionShift))))))</f>
        <v/>
      </c>
      <c r="HS216" s="150" t="str">
        <f aca="false">IF(OR(HS$169&lt;SwaptionFirstMonthPosition+1,$FJ216&lt;SwaptionFirstMonthPosition+1,HS$169&gt;SwaptionFirstMonthPosition+SwaptionNumOfMonths+1,$FJ216&gt;SwaptionFirstMonthPosition+SwaptionNumOfMonths+1),"",IF($FJ216=HS$169,1,IF($FJ216&lt;HS$169,INDEX($FK$170:$ID$241,HS$169,$FJ216),SUMPRODUCT(INDEX($FK$325:$ID$396,HS$169,1+SwaptionShift):INDEX($FK$325:$ID$396,HS$169,SwaptionMonthsToGo+SwaptionShift),INDEX($FK$245:$ID$316,$FJ216-HS$169,73-HS$169+SwaptionShift):INDEX($FK$245:$ID$316,$FJ216-HS$169,72-HS$169+SwaptionMonthsToGo+SwaptionShift))/SQRT(SUM(INDEX($FK371:$ID371,1+SwaptionShift):INDEX($FK371:$ID371,SwaptionMonthsToGo+SwaptionShift))*SUM(INDEX($FK$325:$ID$396,HS$169,1+SwaptionShift):INDEX($FK$325:$ID$396,HS$169,SwaptionMonthsToGo+SwaptionShift))))))</f>
        <v/>
      </c>
      <c r="HT216" s="150" t="str">
        <f aca="false">IF(OR(HT$169&lt;SwaptionFirstMonthPosition+1,$FJ216&lt;SwaptionFirstMonthPosition+1,HT$169&gt;SwaptionFirstMonthPosition+SwaptionNumOfMonths+1,$FJ216&gt;SwaptionFirstMonthPosition+SwaptionNumOfMonths+1),"",IF($FJ216=HT$169,1,IF($FJ216&lt;HT$169,INDEX($FK$170:$ID$241,HT$169,$FJ216),SUMPRODUCT(INDEX($FK$325:$ID$396,HT$169,1+SwaptionShift):INDEX($FK$325:$ID$396,HT$169,SwaptionMonthsToGo+SwaptionShift),INDEX($FK$245:$ID$316,$FJ216-HT$169,73-HT$169+SwaptionShift):INDEX($FK$245:$ID$316,$FJ216-HT$169,72-HT$169+SwaptionMonthsToGo+SwaptionShift))/SQRT(SUM(INDEX($FK371:$ID371,1+SwaptionShift):INDEX($FK371:$ID371,SwaptionMonthsToGo+SwaptionShift))*SUM(INDEX($FK$325:$ID$396,HT$169,1+SwaptionShift):INDEX($FK$325:$ID$396,HT$169,SwaptionMonthsToGo+SwaptionShift))))))</f>
        <v/>
      </c>
      <c r="HU216" s="150" t="str">
        <f aca="false">IF(OR(HU$169&lt;SwaptionFirstMonthPosition+1,$FJ216&lt;SwaptionFirstMonthPosition+1,HU$169&gt;SwaptionFirstMonthPosition+SwaptionNumOfMonths+1,$FJ216&gt;SwaptionFirstMonthPosition+SwaptionNumOfMonths+1),"",IF($FJ216=HU$169,1,IF($FJ216&lt;HU$169,INDEX($FK$170:$ID$241,HU$169,$FJ216),SUMPRODUCT(INDEX($FK$325:$ID$396,HU$169,1+SwaptionShift):INDEX($FK$325:$ID$396,HU$169,SwaptionMonthsToGo+SwaptionShift),INDEX($FK$245:$ID$316,$FJ216-HU$169,73-HU$169+SwaptionShift):INDEX($FK$245:$ID$316,$FJ216-HU$169,72-HU$169+SwaptionMonthsToGo+SwaptionShift))/SQRT(SUM(INDEX($FK371:$ID371,1+SwaptionShift):INDEX($FK371:$ID371,SwaptionMonthsToGo+SwaptionShift))*SUM(INDEX($FK$325:$ID$396,HU$169,1+SwaptionShift):INDEX($FK$325:$ID$396,HU$169,SwaptionMonthsToGo+SwaptionShift))))))</f>
        <v/>
      </c>
      <c r="HV216" s="150" t="str">
        <f aca="false">IF(OR(HV$169&lt;SwaptionFirstMonthPosition+1,$FJ216&lt;SwaptionFirstMonthPosition+1,HV$169&gt;SwaptionFirstMonthPosition+SwaptionNumOfMonths+1,$FJ216&gt;SwaptionFirstMonthPosition+SwaptionNumOfMonths+1),"",IF($FJ216=HV$169,1,IF($FJ216&lt;HV$169,INDEX($FK$170:$ID$241,HV$169,$FJ216),SUMPRODUCT(INDEX($FK$325:$ID$396,HV$169,1+SwaptionShift):INDEX($FK$325:$ID$396,HV$169,SwaptionMonthsToGo+SwaptionShift),INDEX($FK$245:$ID$316,$FJ216-HV$169,73-HV$169+SwaptionShift):INDEX($FK$245:$ID$316,$FJ216-HV$169,72-HV$169+SwaptionMonthsToGo+SwaptionShift))/SQRT(SUM(INDEX($FK371:$ID371,1+SwaptionShift):INDEX($FK371:$ID371,SwaptionMonthsToGo+SwaptionShift))*SUM(INDEX($FK$325:$ID$396,HV$169,1+SwaptionShift):INDEX($FK$325:$ID$396,HV$169,SwaptionMonthsToGo+SwaptionShift))))))</f>
        <v/>
      </c>
      <c r="HW216" s="150" t="str">
        <f aca="false">IF(OR(HW$169&lt;SwaptionFirstMonthPosition+1,$FJ216&lt;SwaptionFirstMonthPosition+1,HW$169&gt;SwaptionFirstMonthPosition+SwaptionNumOfMonths+1,$FJ216&gt;SwaptionFirstMonthPosition+SwaptionNumOfMonths+1),"",IF($FJ216=HW$169,1,IF($FJ216&lt;HW$169,INDEX($FK$170:$ID$241,HW$169,$FJ216),SUMPRODUCT(INDEX($FK$325:$ID$396,HW$169,1+SwaptionShift):INDEX($FK$325:$ID$396,HW$169,SwaptionMonthsToGo+SwaptionShift),INDEX($FK$245:$ID$316,$FJ216-HW$169,73-HW$169+SwaptionShift):INDEX($FK$245:$ID$316,$FJ216-HW$169,72-HW$169+SwaptionMonthsToGo+SwaptionShift))/SQRT(SUM(INDEX($FK371:$ID371,1+SwaptionShift):INDEX($FK371:$ID371,SwaptionMonthsToGo+SwaptionShift))*SUM(INDEX($FK$325:$ID$396,HW$169,1+SwaptionShift):INDEX($FK$325:$ID$396,HW$169,SwaptionMonthsToGo+SwaptionShift))))))</f>
        <v/>
      </c>
      <c r="HX216" s="150" t="str">
        <f aca="false">IF(OR(HX$169&lt;SwaptionFirstMonthPosition+1,$FJ216&lt;SwaptionFirstMonthPosition+1,HX$169&gt;SwaptionFirstMonthPosition+SwaptionNumOfMonths+1,$FJ216&gt;SwaptionFirstMonthPosition+SwaptionNumOfMonths+1),"",IF($FJ216=HX$169,1,IF($FJ216&lt;HX$169,INDEX($FK$170:$ID$241,HX$169,$FJ216),SUMPRODUCT(INDEX($FK$325:$ID$396,HX$169,1+SwaptionShift):INDEX($FK$325:$ID$396,HX$169,SwaptionMonthsToGo+SwaptionShift),INDEX($FK$245:$ID$316,$FJ216-HX$169,73-HX$169+SwaptionShift):INDEX($FK$245:$ID$316,$FJ216-HX$169,72-HX$169+SwaptionMonthsToGo+SwaptionShift))/SQRT(SUM(INDEX($FK371:$ID371,1+SwaptionShift):INDEX($FK371:$ID371,SwaptionMonthsToGo+SwaptionShift))*SUM(INDEX($FK$325:$ID$396,HX$169,1+SwaptionShift):INDEX($FK$325:$ID$396,HX$169,SwaptionMonthsToGo+SwaptionShift))))))</f>
        <v/>
      </c>
      <c r="HY216" s="150" t="str">
        <f aca="false">IF(OR(HY$169&lt;SwaptionFirstMonthPosition+1,$FJ216&lt;SwaptionFirstMonthPosition+1,HY$169&gt;SwaptionFirstMonthPosition+SwaptionNumOfMonths+1,$FJ216&gt;SwaptionFirstMonthPosition+SwaptionNumOfMonths+1),"",IF($FJ216=HY$169,1,IF($FJ216&lt;HY$169,INDEX($FK$170:$ID$241,HY$169,$FJ216),SUMPRODUCT(INDEX($FK$325:$ID$396,HY$169,1+SwaptionShift):INDEX($FK$325:$ID$396,HY$169,SwaptionMonthsToGo+SwaptionShift),INDEX($FK$245:$ID$316,$FJ216-HY$169,73-HY$169+SwaptionShift):INDEX($FK$245:$ID$316,$FJ216-HY$169,72-HY$169+SwaptionMonthsToGo+SwaptionShift))/SQRT(SUM(INDEX($FK371:$ID371,1+SwaptionShift):INDEX($FK371:$ID371,SwaptionMonthsToGo+SwaptionShift))*SUM(INDEX($FK$325:$ID$396,HY$169,1+SwaptionShift):INDEX($FK$325:$ID$396,HY$169,SwaptionMonthsToGo+SwaptionShift))))))</f>
        <v/>
      </c>
      <c r="HZ216" s="150" t="str">
        <f aca="false">IF(OR(HZ$169&lt;SwaptionFirstMonthPosition+1,$FJ216&lt;SwaptionFirstMonthPosition+1,HZ$169&gt;SwaptionFirstMonthPosition+SwaptionNumOfMonths+1,$FJ216&gt;SwaptionFirstMonthPosition+SwaptionNumOfMonths+1),"",IF($FJ216=HZ$169,1,IF($FJ216&lt;HZ$169,INDEX($FK$170:$ID$241,HZ$169,$FJ216),SUMPRODUCT(INDEX($FK$325:$ID$396,HZ$169,1+SwaptionShift):INDEX($FK$325:$ID$396,HZ$169,SwaptionMonthsToGo+SwaptionShift),INDEX($FK$245:$ID$316,$FJ216-HZ$169,73-HZ$169+SwaptionShift):INDEX($FK$245:$ID$316,$FJ216-HZ$169,72-HZ$169+SwaptionMonthsToGo+SwaptionShift))/SQRT(SUM(INDEX($FK371:$ID371,1+SwaptionShift):INDEX($FK371:$ID371,SwaptionMonthsToGo+SwaptionShift))*SUM(INDEX($FK$325:$ID$396,HZ$169,1+SwaptionShift):INDEX($FK$325:$ID$396,HZ$169,SwaptionMonthsToGo+SwaptionShift))))))</f>
        <v/>
      </c>
      <c r="IA216" s="150" t="str">
        <f aca="false">IF(OR(IA$169&lt;SwaptionFirstMonthPosition+1,$FJ216&lt;SwaptionFirstMonthPosition+1,IA$169&gt;SwaptionFirstMonthPosition+SwaptionNumOfMonths+1,$FJ216&gt;SwaptionFirstMonthPosition+SwaptionNumOfMonths+1),"",IF($FJ216=IA$169,1,IF($FJ216&lt;IA$169,INDEX($FK$170:$ID$241,IA$169,$FJ216),SUMPRODUCT(INDEX($FK$325:$ID$396,IA$169,1+SwaptionShift):INDEX($FK$325:$ID$396,IA$169,SwaptionMonthsToGo+SwaptionShift),INDEX($FK$245:$ID$316,$FJ216-IA$169,73-IA$169+SwaptionShift):INDEX($FK$245:$ID$316,$FJ216-IA$169,72-IA$169+SwaptionMonthsToGo+SwaptionShift))/SQRT(SUM(INDEX($FK371:$ID371,1+SwaptionShift):INDEX($FK371:$ID371,SwaptionMonthsToGo+SwaptionShift))*SUM(INDEX($FK$325:$ID$396,IA$169,1+SwaptionShift):INDEX($FK$325:$ID$396,IA$169,SwaptionMonthsToGo+SwaptionShift))))))</f>
        <v/>
      </c>
      <c r="IB216" s="150" t="str">
        <f aca="false">IF(OR(IB$169&lt;SwaptionFirstMonthPosition+1,$FJ216&lt;SwaptionFirstMonthPosition+1,IB$169&gt;SwaptionFirstMonthPosition+SwaptionNumOfMonths+1,$FJ216&gt;SwaptionFirstMonthPosition+SwaptionNumOfMonths+1),"",IF($FJ216=IB$169,1,IF($FJ216&lt;IB$169,INDEX($FK$170:$ID$241,IB$169,$FJ216),SUMPRODUCT(INDEX($FK$325:$ID$396,IB$169,1+SwaptionShift):INDEX($FK$325:$ID$396,IB$169,SwaptionMonthsToGo+SwaptionShift),INDEX($FK$245:$ID$316,$FJ216-IB$169,73-IB$169+SwaptionShift):INDEX($FK$245:$ID$316,$FJ216-IB$169,72-IB$169+SwaptionMonthsToGo+SwaptionShift))/SQRT(SUM(INDEX($FK371:$ID371,1+SwaptionShift):INDEX($FK371:$ID371,SwaptionMonthsToGo+SwaptionShift))*SUM(INDEX($FK$325:$ID$396,IB$169,1+SwaptionShift):INDEX($FK$325:$ID$396,IB$169,SwaptionMonthsToGo+SwaptionShift))))))</f>
        <v/>
      </c>
      <c r="IC216" s="150" t="str">
        <f aca="false">IF(OR(IC$169&lt;SwaptionFirstMonthPosition+1,$FJ216&lt;SwaptionFirstMonthPosition+1,IC$169&gt;SwaptionFirstMonthPosition+SwaptionNumOfMonths+1,$FJ216&gt;SwaptionFirstMonthPosition+SwaptionNumOfMonths+1),"",IF($FJ216=IC$169,1,IF($FJ216&lt;IC$169,INDEX($FK$170:$ID$241,IC$169,$FJ216),SUMPRODUCT(INDEX($FK$325:$ID$396,IC$169,1+SwaptionShift):INDEX($FK$325:$ID$396,IC$169,SwaptionMonthsToGo+SwaptionShift),INDEX($FK$245:$ID$316,$FJ216-IC$169,73-IC$169+SwaptionShift):INDEX($FK$245:$ID$316,$FJ216-IC$169,72-IC$169+SwaptionMonthsToGo+SwaptionShift))/SQRT(SUM(INDEX($FK371:$ID371,1+SwaptionShift):INDEX($FK371:$ID371,SwaptionMonthsToGo+SwaptionShift))*SUM(INDEX($FK$325:$ID$396,IC$169,1+SwaptionShift):INDEX($FK$325:$ID$396,IC$169,SwaptionMonthsToGo+SwaptionShift))))))</f>
        <v/>
      </c>
      <c r="ID216" s="572" t="str">
        <f aca="false">IF(OR(ID$169&lt;SwaptionFirstMonthPosition+1,$FJ216&lt;SwaptionFirstMonthPosition+1,ID$169&gt;SwaptionFirstMonthPosition+SwaptionNumOfMonths+1,$FJ216&gt;SwaptionFirstMonthPosition+SwaptionNumOfMonths+1),"",IF($FJ216=ID$169,1,IF($FJ216&lt;ID$169,INDEX($FK$170:$ID$241,ID$169,$FJ216),SUMPRODUCT(INDEX($FK$325:$ID$396,ID$169,1+SwaptionShift):INDEX($FK$325:$ID$396,ID$169,SwaptionMonthsToGo+SwaptionShift),INDEX($FK$245:$ID$316,$FJ216-ID$169,73-ID$169+SwaptionShift):INDEX($FK$245:$ID$316,$FJ216-ID$169,72-ID$169+SwaptionMonthsToGo+SwaptionShift))/SQRT(SUM(INDEX($FK371:$ID371,1+SwaptionShift):INDEX($FK371:$ID371,SwaptionMonthsToGo+SwaptionShift))*SUM(INDEX($FK$325:$ID$396,ID$169,1+SwaptionShift):INDEX($FK$325:$ID$396,ID$169,SwaptionMonthsToGo+SwaptionShift))))))</f>
        <v/>
      </c>
      <c r="IE216" s="129"/>
    </row>
    <row r="217" customFormat="false" ht="12.75" hidden="false" customHeight="false" outlineLevel="0" collapsed="false">
      <c r="H217" s="219" t="n">
        <f aca="false">VLOOKUP(I217,$EJ$20:$EL$54,3)</f>
        <v>0</v>
      </c>
      <c r="I217" s="511" t="n">
        <f aca="false">EOMONTH(I216,0)+1</f>
        <v>42767</v>
      </c>
      <c r="J217" s="512"/>
      <c r="K217" s="513" t="s">
        <v>280</v>
      </c>
      <c r="L217" s="514" t="n">
        <f aca="false">IF(ISNUMBER(K217),J217+K217/100,IF(K217="extra",L216+VLOOKUP(BF217,PriceSpreadTable,2)/12,IF(K217="inter",interpolateprices($K$19:$L$200,ROW(K217)-ROW(FirstPricingMonth)+1),interpolatechanges($J$19:$K$200,ROW(K217)-ROW(FirstPricingMonth)+1))))</f>
        <v>4.5375</v>
      </c>
      <c r="M217" s="515"/>
      <c r="N217" s="516" t="n">
        <v>0</v>
      </c>
      <c r="O217" s="515" t="n">
        <f aca="false">M217+N217</f>
        <v>0</v>
      </c>
      <c r="P217" s="512"/>
      <c r="Q217" s="513" t="s">
        <v>280</v>
      </c>
      <c r="R217" s="512" t="e">
        <f aca="false">IF(ISNUMBER(Q217),P217+Q217/100,IF(Q217="extra",(Z215*AL215-R216*AM215)/AN215,IF(Q217="inter",interpolateprices($Q$19:$R$260,ROW(Q217)-ROW(FirstPricingMonth)+1),interpolatechanges($P$19:$Q$260,ROW(Q217)-ROW(FirstPricingMonth)+1))))</f>
        <v>#VALUE!</v>
      </c>
      <c r="S217" s="597" t="n">
        <f aca="false">S$19+(S216-S$19)*S$18</f>
        <v>0.36</v>
      </c>
      <c r="T217" s="575" t="n">
        <f aca="false">SQRT((1-(1-T216^2/U216)*T$18)*U217)</f>
        <v>0.999999999999995</v>
      </c>
      <c r="U217" s="576" t="n">
        <f aca="false">1-(1-U216)*U$18</f>
        <v>1</v>
      </c>
      <c r="V217" s="521" t="n">
        <v>0</v>
      </c>
      <c r="W217" s="577" t="n">
        <f aca="false">(J218*AJ217+J219*AK217)/AI217</f>
        <v>0</v>
      </c>
      <c r="X217" s="578" t="n">
        <f aca="false">(L218*AJ217+L219*AK217)/AI217</f>
        <v>4.58625</v>
      </c>
      <c r="Y217" s="579" t="n">
        <f aca="false">IF(Q219="extra",W217-AA217,(P218*AM217+P219*AN217)/AL217)</f>
        <v>-1.1685</v>
      </c>
      <c r="Z217" s="579" t="n">
        <f aca="false">IF(Q219="extra",X217-AB217,(R218*AM217+R219*AN217)/AL217)</f>
        <v>3.41775</v>
      </c>
      <c r="AA217" s="523" t="n">
        <f aca="false">IF(Q219="extra",INDEX(BrentSeasonalityTable,INT((BG217-1)/3)+1)*VLOOKUP(MAX(BF217,$AB$4),PriceSpreadTable,3),W217-Y217)</f>
        <v>1.1685</v>
      </c>
      <c r="AB217" s="524" t="n">
        <f aca="false">IF(Q219="extra",INDEX(BrentSeasonalityTable,INT((BG217-1)/3)+1)*VLOOKUP(MAX(BF217,$AB$4),PriceSpreadTable,3),X217-Z217)</f>
        <v>1.1685</v>
      </c>
      <c r="AC217" s="646" t="n">
        <v>42755</v>
      </c>
      <c r="AD217" s="646" t="n">
        <v>42751</v>
      </c>
      <c r="AE217" s="646" t="n">
        <v>42750</v>
      </c>
      <c r="AF217" s="646" t="n">
        <v>42746</v>
      </c>
      <c r="AG217" s="438" t="s">
        <v>278</v>
      </c>
      <c r="AH217" s="439" t="s">
        <v>278</v>
      </c>
      <c r="AI217" s="528" t="n">
        <v>20</v>
      </c>
      <c r="AJ217" s="529" t="n">
        <v>14</v>
      </c>
      <c r="AK217" s="529" t="n">
        <v>6</v>
      </c>
      <c r="AL217" s="530" t="n">
        <v>20</v>
      </c>
      <c r="AM217" s="529" t="n">
        <v>10</v>
      </c>
      <c r="AN217" s="531" t="n">
        <v>10</v>
      </c>
      <c r="AO217" s="532"/>
      <c r="AP217" s="465" t="n">
        <f aca="false">(1+AO217/2)^(-2*BL217)</f>
        <v>1</v>
      </c>
      <c r="AQ217" s="532"/>
      <c r="AR217" s="465" t="n">
        <f aca="false">(1+AQ217/2)^(-2*BH217/365.25)</f>
        <v>1</v>
      </c>
      <c r="AS217" s="580" t="n">
        <f aca="false">(O218*AJ217+O219*AK217)/AI217</f>
        <v>0</v>
      </c>
      <c r="AT217" s="468" t="n">
        <f aca="false">O217*VLOOKUP(BF217,BrentVolTable,2)+VLOOKUP(BF217,BrentVolTable,3)</f>
        <v>0</v>
      </c>
      <c r="AU217" s="468" t="n">
        <f aca="false">(AT218*AM217+AT219*AN217)/AL217</f>
        <v>0</v>
      </c>
      <c r="AV217" s="595" t="n">
        <f aca="false">SQRT(MAX(0.000000000001,(O217^2*BH217-S217^2*(BH217-BH216))/BH216))</f>
        <v>0.0354053857718521</v>
      </c>
      <c r="AW217" s="451" t="n">
        <f aca="false">IF($I217-DateToday+15&gt;=$T$8,"",IF($I217-DateToday+15&lt;$T$5,1,MATCH($I217-DateToday+15,$T$5:$T$8)))</f>
        <v>1</v>
      </c>
      <c r="AX217" s="468" t="n">
        <f aca="false">IF($AW217="",AX216^2/AX215,INDEX(U$5:U$8,$AW217)^((INDEX($T$5:$T$8,$AW217+1)-($I217-DateToday+15))/(INDEX($T$5:$T$8,$AW217+1)-INDEX($T$5:$T$8,$AW217)))/INDEX(U$5:U$8,$AW217+1)^((INDEX($T$5:$T$8,$AW217)-($I217-DateToday+15))/(INDEX($T$5:$T$8,$AW217+1)-INDEX($T$5:$T$8,$AW217))))</f>
        <v>0.185891056593313</v>
      </c>
      <c r="AY217" s="468" t="n">
        <f aca="false">IF($AW217="",AY216^2/AY215,INDEX(V$5:V$8,$AW217)^((INDEX($T$5:$T$8,$AW217+1)-($I217-DateToday+15))/(INDEX($T$5:$T$8,$AW217+1)-INDEX($T$5:$T$8,$AW217)))/INDEX(V$5:V$8,$AW217+1)^((INDEX($T$5:$T$8,$AW217)-($I217-DateToday+15))/(INDEX($T$5:$T$8,$AW217+1)-INDEX($T$5:$T$8,$AW217))))</f>
        <v>1.29496336084219</v>
      </c>
      <c r="AZ217" s="468" t="n">
        <f aca="false">IF($AW217="",AZ216^2/AZ215,INDEX(W$5:W$8,$AW217)^((INDEX($T$5:$T$8,$AW217+1)-($I217-DateToday+15))/(INDEX($T$5:$T$8,$AW217+1)-INDEX($T$5:$T$8,$AW217)))/INDEX(W$5:W$8,$AW217+1)^((INDEX($T$5:$T$8,$AW217)-($I217-DateToday+15))/(INDEX($T$5:$T$8,$AW217+1)-INDEX($T$5:$T$8,$AW217))))</f>
        <v>63.8663780861667</v>
      </c>
      <c r="BA217" s="468" t="n">
        <f aca="false">IF($AW217="",BA216^2/BA215,INDEX(X$5:X$8,$AW217)^((INDEX($T$5:$T$8,$AW217+1)-($I217-DateToday+15))/(INDEX($T$5:$T$8,$AW217+1)-INDEX($T$5:$T$8,$AW217)))/INDEX(X$5:X$8,$AW217+1)^((INDEX($T$5:$T$8,$AW217)-($I217-DateToday+15))/(INDEX($T$5:$T$8,$AW217+1)-INDEX($T$5:$T$8,$AW217))))</f>
        <v>123.668630241932</v>
      </c>
      <c r="BB217" s="468" t="n">
        <f aca="false">IF($AW217="",BB216^2/BB215,INDEX(Y$5:Y$8,$AW217)^((INDEX($T$5:$T$8,$AW217+1)-($I217-DateToday+15))/(INDEX($T$5:$T$8,$AW217+1)-INDEX($T$5:$T$8,$AW217)))/INDEX(Y$5:Y$8,$AW217+1)^((INDEX($T$5:$T$8,$AW217)-($I217-DateToday+15))/(INDEX($T$5:$T$8,$AW217+1)-INDEX($T$5:$T$8,$AW217))))</f>
        <v>486.130818829964</v>
      </c>
      <c r="BC217" s="468" t="n">
        <f aca="false">IF($AW217="",BC216^2/BC215,INDEX(Z$5:Z$8,$AW217)^((INDEX($T$5:$T$8,$AW217+1)-($I217-DateToday+15))/(INDEX($T$5:$T$8,$AW217+1)-INDEX($T$5:$T$8,$AW217)))/INDEX(Z$5:Z$8,$AW217+1)^((INDEX($T$5:$T$8,$AW217)-($I217-DateToday+15))/(INDEX($T$5:$T$8,$AW217+1)-INDEX($T$5:$T$8,$AW217))))</f>
        <v>1134.43266137207</v>
      </c>
      <c r="BD217" s="535" t="n">
        <f aca="false">IF(OR(DateStart&gt;=I218,DateEnd&lt;I217),0,IF(VolumeOverrideFlag,V217,Volume))</f>
        <v>0</v>
      </c>
      <c r="BE217" s="536" t="n">
        <f aca="false">IF(OR(DateStart2&gt;=I218,DateEnd2&lt;I217),0,IF(VolumeOverrideFlag,V217,VolumeSwaption))</f>
        <v>0</v>
      </c>
      <c r="BF217" s="537" t="n">
        <f aca="false">YEAR(I217)</f>
        <v>2017</v>
      </c>
      <c r="BG217" s="538" t="n">
        <f aca="false">MONTH(I217)</f>
        <v>2</v>
      </c>
      <c r="BH217" s="539" t="n">
        <f aca="false">AD217-DateToday+1</f>
        <v>-3174</v>
      </c>
      <c r="BI217" s="540" t="n">
        <f aca="false">(I217-DateToday+1)/365.25</f>
        <v>-8.64613278576318</v>
      </c>
      <c r="BJ217" s="541" t="n">
        <f aca="false">BI217+(BL217-BI217)*CHOOSE(Underlying,AJ217/AI217,AM217/AL217)</f>
        <v>-8.59438740588638</v>
      </c>
      <c r="BK217" s="541" t="n">
        <f aca="false">BJ217+1/365.25</f>
        <v>-8.59164955509925</v>
      </c>
      <c r="BL217" s="541" t="n">
        <f aca="false">(I218-DateToday)/365.25</f>
        <v>-8.57221081451061</v>
      </c>
      <c r="BM217" s="542" t="e">
        <f aca="false">MAX(BI217-(BJ217-BI217)*(S218^2/O218^2-1),0)</f>
        <v>#DIV/0!</v>
      </c>
      <c r="BN217" s="541" t="e">
        <f aca="false">MAX(BL217+(BL217-BK217)*(S219^2/O219^2-1),0)</f>
        <v>#DIV/0!</v>
      </c>
      <c r="BO217" s="530" t="n">
        <f aca="false">CHOOSE(Underlying,AI217,AL217)</f>
        <v>20</v>
      </c>
      <c r="BP217" s="529" t="n">
        <f aca="false">CHOOSE(Underlying,AJ217,AM217)</f>
        <v>14</v>
      </c>
      <c r="BQ217" s="529" t="n">
        <f aca="false">CHOOSE(Underlying,AK217,AN217)</f>
        <v>6</v>
      </c>
      <c r="BR217" s="463" t="str">
        <f aca="false">IF(BD217,IF(Underlying=1,X217,Z217)+UnderlyingPriceAsian-SwapPriceCurve,"")</f>
        <v/>
      </c>
      <c r="BS217" s="463" t="str">
        <f aca="false">IF(BD217,Strike1/BR217-1,"")</f>
        <v/>
      </c>
      <c r="BT217" s="464" t="str">
        <f aca="false">IF(BD217,Strike2/BR217-1,"")</f>
        <v/>
      </c>
      <c r="BU217" s="465" t="str">
        <f aca="false">IF(BD217,IF(Underlying=1,L218,R218)+UnderlyingPriceAsian-SwapPriceCurve,"")</f>
        <v/>
      </c>
      <c r="BV217" s="465" t="str">
        <f aca="false">IF(BD217,IF(Underlying=1,L219,R219)+UnderlyingPriceAsian-SwapPriceCurve,"")</f>
        <v/>
      </c>
      <c r="BW217" s="466" t="str">
        <f aca="false">IF(BD217,IF(Underlying=1,O218,AT218),"")</f>
        <v/>
      </c>
      <c r="BX217" s="467" t="str">
        <f aca="false">IF(BD217,IF(Underlying=1,O219,AT219),"")</f>
        <v/>
      </c>
      <c r="BY217" s="466" t="str">
        <f aca="false">IF(BD217,IF(BS217&gt;0,IF(BS217&gt;0.2,BC217-BB217,IF(BS217&gt;0.1,BB217-BA217,BA217)),IF(BS217&lt;-0.2,AX217-AY217,IF(BS217&lt;-0.1,AY217-AZ217,AZ217))),"")</f>
        <v/>
      </c>
      <c r="BZ217" s="467" t="str">
        <f aca="false">IF(BD217,IF(BT217&gt;0,IF(BT217&gt;0.2,BC217-BB217,IF(BT217&gt;0.1,BB217-BA217,BA217)),IF(BT217&lt;-0.2,AX217-AY217,IF(BT217&lt;-0.1,AY217-AZ217,AZ217))),"")</f>
        <v/>
      </c>
      <c r="CA217" s="468" t="str">
        <f aca="false">IF($BD217,$BW217+IF(VolSkewFlag=1,IF(BS217&gt;0,$BA217*MIN(BS217/10%,1)+($BB217-$BA217)*MAX(0,MIN(BS217/10%-1,1))+($BC217-$BB217)*MAX(0,BS217/10%-2),$AZ217*MIN(-BS217/10%,1)+($AY217-$AZ217)*MAX(0,MIN(-BS217/10%-1,1))+($AX217-$AY217)*MAX(0,-BS217/10%-2)),0),"")</f>
        <v/>
      </c>
      <c r="CB217" s="468" t="str">
        <f aca="false">IF($BD217,$BX217+IF(VolSkewFlag=1,IF(BS217&gt;0,$BA217*MIN(BS217/10%,1)+($BB217-$BA217)*MAX(0,MIN(BS217/10%-1,1))+($BC217-$BB217)*MAX(0,BS217/10%-2),$AZ217*MIN(-BS217/10%,1)+($AY217-$AZ217)*MAX(0,MIN(-BS217/10%-1,1))+($AX217-$AY217)*MAX(0,-BS217/10%-2)),0),"")</f>
        <v/>
      </c>
      <c r="CC217" s="468" t="str">
        <f aca="false">IF($BD217,$BW217+IF(VolSkewFlag=1,IF(BT217&gt;0,$BA217*MIN(BT217/10%,1)+($BB217-$BA217)*MAX(0,MIN(BT217/10%-1,1))+($BC217-$BB217)*MAX(0,BT217/10%-2),$AZ217*MIN(-BT217/10%,1)+($AY217-$AZ217)*MAX(0,MIN(-BT217/10%-1,1))+($AX217-$AY217)*MAX(0,-BT217/10%-2)),0),"")</f>
        <v/>
      </c>
      <c r="CD217" s="468" t="str">
        <f aca="false">IF($BD217,$BX217+IF(VolSkewFlag=1,IF(BT217&gt;0,$BA217*MIN(BT217/10%,1)+($BB217-$BA217)*MAX(0,MIN(BT217/10%-1,1))+($BC217-$BB217)*MAX(0,BT217/10%-2),$AZ217*MIN(-BT217/10%,1)+($AY217-$AZ217)*MAX(0,MIN(-BT217/10%-1,1))+($AX217-$AY217)*MAX(0,-BT217/10%-2)),0),"")</f>
        <v/>
      </c>
      <c r="CE217" s="469" t="n">
        <v>1</v>
      </c>
      <c r="CF217" s="470" t="n">
        <f aca="false">IF(BD217,xCrudeAPO(BU217,BV217,CA217,CB217,S218,S219,BI217,BL217,BP217,BQ217,0,Strike1,AO217,CE217,0,BL217,IF(OptControl=4,0,1),0,1),0)</f>
        <v>0</v>
      </c>
      <c r="CG217" s="470" t="n">
        <f aca="false">IF(BD217,xCrudeAPO(BU217,BV217,CA217,CB217,S218,S219,BI217,BL217,BP217,BQ217,0,Strike1,AO217,CE217,0,BL217,IF(OptControl=4,0,1),1,1)+xCrudeAPO(BU217,BV217,CA217,CB217,S218,S219,BI217,BL217,BP217,BQ217,0,Strike1,AO217,CE217,0,BL217,IF(OptControl=4,0,1),1,2)+IF(OR(VolSkewFlag=2,ABS(BS217)&lt;0.0001),0,IF(BS217&gt;0,-1,1)*CH217*Strike1/BR217^2*BY217/10%),0)</f>
        <v>0</v>
      </c>
      <c r="CH217" s="470" t="n">
        <f aca="false">IF(BD217,(xCrudeAPO(BU217,BV217,CA217,CB217,S218,S219,BI217,BL217,BP217,BQ217,0,Strike1,AO217,CE217,0,BL217,IF(OptControl=4,0,1),3,1)+xCrudeAPO(BU217,BV217,CA217,CB217,S218,S219,BI217,BL217,BP217,BQ217,0,Strike1,AO217,CE217,0,BL217,IF(OptControl=4,0,1),3,2))/100,0)</f>
        <v>0</v>
      </c>
      <c r="CI217" s="470" t="n">
        <f aca="false">IF(BD217,xCrudeAPO(BU217,BV217,CA217,CB217,S218,S219,BI217-DaysForThetaCalculation/365.25,BL217-DaysForThetaCalculation/365.25,BP217,BQ217,0,Strike1,AO217,CE217,0,BL217,IF(OptControl=4,0,1),0,1)-xCrudeAPO(BU217,BV217,CA217,CB217,S218,S219,BI217,BL217,BP217,BQ217,0,Strike1,AO217,CE217,0,BL217,IF(OptControl=4,0,1),0,1),0)</f>
        <v>0</v>
      </c>
      <c r="CJ217" s="471" t="n">
        <f aca="false">IF(BD217,xCrudeAPO(BU217,BV217,CC217,CD217,S218,S219,BI217,BL217,BP217,BQ217,0,Strike2,AO217,CE217,0,BL217,IF(OptControl=3,1,0),0,1),0)</f>
        <v>0</v>
      </c>
      <c r="CK217" s="470" t="n">
        <f aca="false">IF(BD217,xCrudeAPO(BU217,BV217,CC217,CD217,S218,S219,BI217,BL217,BP217,BQ217,0,Strike2,AO217,CE217,0,BL217,IF(OptControl=3,1,0),1,1)+xCrudeAPO(BU217,BV217,CC217,CD217,S218,S219,BI217,BL217,BP217,BQ217,0,Strike2,AO217,CE217,0,BL217,IF(OptControl=3,1,0),1,2)+IF(OR(VolSkewFlag=2,ABS(BT217)&lt;0.0001),0,IF(BT217&gt;0,-1,1)*CL217*Strike2/BR217^2*BZ217/10%),0)</f>
        <v>0</v>
      </c>
      <c r="CL217" s="470" t="n">
        <f aca="false">IF(BD217,(xCrudeAPO(BU217,BV217,CC217,CD217,S218,S219,BI217,BL217,BP217,BQ217,0,Strike2,AO217,CE217,0,BL217,IF(OptControl=3,1,0),3,1)+xCrudeAPO(BU217,BV217,CC217,CD217,S218,S219,BI217,BL217,BP217,BQ217,0,Strike2,AO217,CE217,0,BL217,IF(OptControl=3,1,0),3,2))/100,0)</f>
        <v>0</v>
      </c>
      <c r="CM217" s="472" t="n">
        <f aca="false">IF(BD217,xCrudeAPO(BU217,BV217,CC217,CD217,S218,S219,BI217-DaysForThetaCalculation/365.25,BL217-DaysForThetaCalculation/365.25,BP217,BQ217,0,Strike2,AO217,CE217,0,BL217,IF(OptControl=3,1,0),0,1)-xCrudeAPO(BU217,BV217,CC217,CD217,S218,S219,BI217,BL217,BP217,BQ217,0,Strike2,AO217,CE217,0,BL217,IF(OptControl=3,1,0),0,1),0)</f>
        <v>0</v>
      </c>
      <c r="CN217" s="3"/>
      <c r="CO217" s="543" t="str">
        <f aca="false">IF(BD217,CHOOSE(Underlying,AD217,AF217)-DateToday+1,"")</f>
        <v/>
      </c>
      <c r="CP217" s="582" t="str">
        <f aca="false">IF(BD217,CHOOSE(Underlying,L217,R217),"")</f>
        <v/>
      </c>
      <c r="CQ217" s="544" t="str">
        <f aca="false">IF(BD217,Strike1/CP217-1,"")</f>
        <v/>
      </c>
      <c r="CR217" s="544" t="str">
        <f aca="false">IF(BD217,Strike2/CP217-1,"")</f>
        <v/>
      </c>
      <c r="CS217" s="544" t="str">
        <f aca="false">IF(BD217,IF(CQ217&gt;0,IF(CQ217&gt;0.2,BC216-BB216,IF(CQ217&gt;0.1,BB216-BA216,BA216)),IF(CQ217&lt;-0.2,AX216-AY216,IF(CQ217&lt;-0.1,AY216-AZ216,AZ216))),"")</f>
        <v/>
      </c>
      <c r="CT217" s="544" t="str">
        <f aca="false">IF(BD217,IF(CR217&gt;0,IF(CR217&gt;0.2,BC216-BB216,IF(CR217&gt;0.1,BB216-BA216,BA216)),IF(CR217&lt;-0.2,AX216-AY216,IF(CR217&lt;-0.1,AY216-AZ216,AZ216))),"")</f>
        <v/>
      </c>
      <c r="CU217" s="545" t="str">
        <f aca="false">IF(BD217,CHOOSE(Underlying,O217,AT217),"")</f>
        <v/>
      </c>
      <c r="CV217" s="545" t="str">
        <f aca="false">IF(BD217,CU217+IF(VolSkewFlag=1,IF(CQ217&gt;0,BA216*MIN(CQ217/10%,1)+(BB216-BA216)*MAX(0,MIN(CQ217/10%-1,1))+(BC216-BB216)*MAX(0,CQ217/10%-2),AZ216*MIN(-CQ217/10%,1)+(AY216-AZ216)*MAX(0,MIN(-CQ217/10%-1,1))+(AX216-AY216)*MAX(0,-CQ217/10%-2)),0),"")</f>
        <v/>
      </c>
      <c r="CW217" s="545" t="str">
        <f aca="false">IF(BD217,CU217+IF(VolSkewFlag=1,IF(CR217&gt;0,BA216*MIN(CR217/10%,1)+(BB216-BA216)*MAX(0,MIN(CR217/10%-1,1))+(BC216-BB216)*MAX(0,CR217/10%-2),AZ216*MIN(-CR217/10%,1)+(AY216-AZ216)*MAX(0,MIN(-CR217/10%-1,1))+(AX216-AY216)*MAX(0,-CR217/10%-2)),0),"")</f>
        <v/>
      </c>
      <c r="CX217" s="470" t="n">
        <f aca="false">IF(BD217,EURO(CP217,Strike1,AO217,AO217,CV217,CO217,IF(OptControl=4,0,1),0),0)</f>
        <v>0</v>
      </c>
      <c r="CY217" s="470" t="n">
        <f aca="false">IF(BD217,EURO(CP217,Strike1,AO217,AO217,CV217,CO217,IF(OptControl=4,0,1),1)+IF(OR(VolSkewFlag=2,ABS(CQ217)&lt;0.0001),0,IF(CQ217&gt;0,-1,1)*CZ217*100*Strike1/CP217^2*CS217/10%),0)</f>
        <v>0</v>
      </c>
      <c r="CZ217" s="470" t="n">
        <f aca="false">IF(BD217,EURO(CP217,Strike1,AO217,AO217,CV217,CO217,IF(OptControl=4,0,1),3)/100,0)</f>
        <v>0</v>
      </c>
      <c r="DA217" s="470" t="n">
        <f aca="false">IF(BD217,EURO(CP217,Strike1,AO217,AO217,CV217,CO217,IF(OptControl=4,0,1),0)-EURO(CP217,Strike1,AO217,AO217,CV217,CO217-1,IF(OptControl=4,0,1),0),0)</f>
        <v>0</v>
      </c>
      <c r="DB217" s="470" t="n">
        <f aca="false">IF(BD217,EURO(CP217,Strike2,AO217,AO217,CW217,CO217,IF(OptControl=3,1,0),0),0)</f>
        <v>0</v>
      </c>
      <c r="DC217" s="470" t="n">
        <f aca="false">IF(BD217,EURO(CP217,Strike2,AO217,AO217,CW217,CO217,IF(OptControl=3,1,0),1)+IF(OR(VolSkewFlag=2,ABS(CR217)&lt;0.0001),0,IF(CR217&gt;0,-1,1)*DD217*100*Strike2/CP217^2*CT217/10%),0)</f>
        <v>0</v>
      </c>
      <c r="DD217" s="470" t="n">
        <f aca="false">IF(BD217,EURO(CP217,Strike2,AO217,AO217,CW217,CO217,IF(OptControl=3,1,0),3)/100,0)</f>
        <v>0</v>
      </c>
      <c r="DE217" s="472" t="n">
        <f aca="false">IF(BD217,EURO(CP217,Strike2,AO217,AO217,CW217,CO217,IF(OptControl=3,1,0),0)-EURO(CP217,Strike2,AO217,AO217,CW217,CO217-1,IF(OptControl=3,1,0),0),0)</f>
        <v>0</v>
      </c>
      <c r="DG217" s="481" t="n">
        <f aca="false">EOMONTH(DG216,0)+1</f>
        <v>51683</v>
      </c>
      <c r="DH217" s="478" t="n">
        <v>24.0100000000001</v>
      </c>
      <c r="DI217" s="479" t="n">
        <v>24.0775000000001</v>
      </c>
      <c r="DJ217" s="480" t="n">
        <f aca="false">DG217</f>
        <v>51683</v>
      </c>
      <c r="DK217" s="478" t="n">
        <v>22.8090854252593</v>
      </c>
      <c r="DL217" s="479" t="n">
        <v>22.8106000000001</v>
      </c>
      <c r="DM217" s="481" t="n">
        <f aca="false">DG217</f>
        <v>51683</v>
      </c>
      <c r="DN217" s="482" t="n">
        <f aca="false">DK217+BrentPhyBrentSpread</f>
        <v>22.8590854252593</v>
      </c>
      <c r="DO217" s="481" t="n">
        <f aca="false">DG217</f>
        <v>51683</v>
      </c>
      <c r="DP217" s="483" t="n">
        <f aca="false">DL217+DQ217</f>
        <v>22.8106000000001</v>
      </c>
      <c r="DQ217" s="546" t="n">
        <v>0</v>
      </c>
      <c r="DR217" s="480" t="n">
        <f aca="false">DG217</f>
        <v>51683</v>
      </c>
      <c r="DS217" s="485" t="n">
        <v>0.106399999999998</v>
      </c>
      <c r="DT217" s="486" t="n">
        <v>0.105589999999998</v>
      </c>
      <c r="DU217" s="480" t="n">
        <f aca="false">DG217</f>
        <v>51683</v>
      </c>
      <c r="DV217" s="485" t="n">
        <v>0.106399999999998</v>
      </c>
      <c r="DW217" s="486" t="n">
        <v>0.105589999999998</v>
      </c>
      <c r="DX217" s="481" t="n">
        <f aca="false">DG217</f>
        <v>51683</v>
      </c>
      <c r="DY217" s="486" t="n">
        <v>0.35</v>
      </c>
      <c r="DZ217" s="481" t="n">
        <f aca="false">DR217</f>
        <v>51683</v>
      </c>
      <c r="EA217" s="486" t="n">
        <f aca="false">DT217</f>
        <v>0.105589999999998</v>
      </c>
      <c r="EB217" s="195"/>
      <c r="EC217" s="547" t="str">
        <f aca="false">IF(BD217,IF(Underlying=1,AS217,AU217),"")</f>
        <v/>
      </c>
      <c r="ED217" s="548" t="str">
        <f aca="false">IF($BD217,$EC217+IF(VolSkewFlag=1,IF(BS217&gt;0,$BA217*MIN(BS217/10%,1)+($BB217-$BA217)*MAX(0,MIN(BS217/10%-1,1))+($BC217-$BB217)*MAX(0,BS217/10%-2),$AZ217*MIN(-BS217/10%,1)+($AY217-$AZ217)*MAX(0,MIN(-BS217/10%-1,1))+($AX217-$AY217)*MAX(0,-BS217/10%-2)),0),"")</f>
        <v/>
      </c>
      <c r="EE217" s="549" t="str">
        <f aca="false">IF($BD217,$EC217+IF(VolSkewFlag=1,IF(BT217&gt;0,$BA217*MIN(BT217/10%,1)+($BB217-$BA217)*MAX(0,MIN(BT217/10%-1,1))+($BC217-$BB217)*MAX(0,BT217/10%-2),$AZ217*MIN(-BT217/10%,1)+($AY217-$AZ217)*MAX(0,MIN(-BT217/10%-1,1))+($AX217-$AY217)*MAX(0,-BT217/10%-2)),0),"")</f>
        <v/>
      </c>
      <c r="EF217" s="550" t="n">
        <f aca="false">IF(BD217,xASN(BR217,Strike1,AO217,ED217,0,BO217,0,BI217,BL217,IF(OptControl=4,0,1),0),0)</f>
        <v>0</v>
      </c>
      <c r="EG217" s="551" t="n">
        <f aca="false">IF(BD217,xASN(BR217,Strike2,AO217,EE217,0,BO217,0,BI217,BL217,IF(OptControl=3,1,0),0),0)</f>
        <v>0</v>
      </c>
      <c r="EL217" s="1"/>
      <c r="EM217" s="195"/>
      <c r="EN217" s="240"/>
      <c r="EO217" s="240"/>
      <c r="EP217" s="195"/>
      <c r="EQ217" s="407" t="s">
        <v>445</v>
      </c>
      <c r="ES217" s="1"/>
      <c r="EU217" s="672"/>
      <c r="FJ217" s="571" t="n">
        <v>48</v>
      </c>
      <c r="FK217" s="150" t="str">
        <f aca="false">IF(OR(FK$169&lt;SwaptionFirstMonthPosition+1,$FJ217&lt;SwaptionFirstMonthPosition+1,FK$169&gt;SwaptionFirstMonthPosition+SwaptionNumOfMonths+1,$FJ217&gt;SwaptionFirstMonthPosition+SwaptionNumOfMonths+1),"",IF($FJ217=FK$169,1,IF($FJ217&lt;FK$169,INDEX($FK$170:$ID$241,FK$169,$FJ217),SUMPRODUCT(INDEX($FK$325:$ID$396,FK$169,1+SwaptionShift):INDEX($FK$325:$ID$396,FK$169,SwaptionMonthsToGo+SwaptionShift),INDEX($FK$245:$ID$316,$FJ217-FK$169,73-FK$169+SwaptionShift):INDEX($FK$245:$ID$316,$FJ217-FK$169,72-FK$169+SwaptionMonthsToGo+SwaptionShift))/SQRT(SUM(INDEX($FK372:$ID372,1+SwaptionShift):INDEX($FK372:$ID372,SwaptionMonthsToGo+SwaptionShift))*SUM(INDEX($FK$325:$ID$396,FK$169,1+SwaptionShift):INDEX($FK$325:$ID$396,FK$169,SwaptionMonthsToGo+SwaptionShift))))))</f>
        <v/>
      </c>
      <c r="FL217" s="150" t="str">
        <f aca="false">IF(OR(FL$169&lt;SwaptionFirstMonthPosition+1,$FJ217&lt;SwaptionFirstMonthPosition+1,FL$169&gt;SwaptionFirstMonthPosition+SwaptionNumOfMonths+1,$FJ217&gt;SwaptionFirstMonthPosition+SwaptionNumOfMonths+1),"",IF($FJ217=FL$169,1,IF($FJ217&lt;FL$169,INDEX($FK$170:$ID$241,FL$169,$FJ217),SUMPRODUCT(INDEX($FK$325:$ID$396,FL$169,1+SwaptionShift):INDEX($FK$325:$ID$396,FL$169,SwaptionMonthsToGo+SwaptionShift),INDEX($FK$245:$ID$316,$FJ217-FL$169,73-FL$169+SwaptionShift):INDEX($FK$245:$ID$316,$FJ217-FL$169,72-FL$169+SwaptionMonthsToGo+SwaptionShift))/SQRT(SUM(INDEX($FK372:$ID372,1+SwaptionShift):INDEX($FK372:$ID372,SwaptionMonthsToGo+SwaptionShift))*SUM(INDEX($FK$325:$ID$396,FL$169,1+SwaptionShift):INDEX($FK$325:$ID$396,FL$169,SwaptionMonthsToGo+SwaptionShift))))))</f>
        <v/>
      </c>
      <c r="FM217" s="150" t="str">
        <f aca="false">IF(OR(FM$169&lt;SwaptionFirstMonthPosition+1,$FJ217&lt;SwaptionFirstMonthPosition+1,FM$169&gt;SwaptionFirstMonthPosition+SwaptionNumOfMonths+1,$FJ217&gt;SwaptionFirstMonthPosition+SwaptionNumOfMonths+1),"",IF($FJ217=FM$169,1,IF($FJ217&lt;FM$169,INDEX($FK$170:$ID$241,FM$169,$FJ217),SUMPRODUCT(INDEX($FK$325:$ID$396,FM$169,1+SwaptionShift):INDEX($FK$325:$ID$396,FM$169,SwaptionMonthsToGo+SwaptionShift),INDEX($FK$245:$ID$316,$FJ217-FM$169,73-FM$169+SwaptionShift):INDEX($FK$245:$ID$316,$FJ217-FM$169,72-FM$169+SwaptionMonthsToGo+SwaptionShift))/SQRT(SUM(INDEX($FK372:$ID372,1+SwaptionShift):INDEX($FK372:$ID372,SwaptionMonthsToGo+SwaptionShift))*SUM(INDEX($FK$325:$ID$396,FM$169,1+SwaptionShift):INDEX($FK$325:$ID$396,FM$169,SwaptionMonthsToGo+SwaptionShift))))))</f>
        <v/>
      </c>
      <c r="FN217" s="150" t="str">
        <f aca="false">IF(OR(FN$169&lt;SwaptionFirstMonthPosition+1,$FJ217&lt;SwaptionFirstMonthPosition+1,FN$169&gt;SwaptionFirstMonthPosition+SwaptionNumOfMonths+1,$FJ217&gt;SwaptionFirstMonthPosition+SwaptionNumOfMonths+1),"",IF($FJ217=FN$169,1,IF($FJ217&lt;FN$169,INDEX($FK$170:$ID$241,FN$169,$FJ217),SUMPRODUCT(INDEX($FK$325:$ID$396,FN$169,1+SwaptionShift):INDEX($FK$325:$ID$396,FN$169,SwaptionMonthsToGo+SwaptionShift),INDEX($FK$245:$ID$316,$FJ217-FN$169,73-FN$169+SwaptionShift):INDEX($FK$245:$ID$316,$FJ217-FN$169,72-FN$169+SwaptionMonthsToGo+SwaptionShift))/SQRT(SUM(INDEX($FK372:$ID372,1+SwaptionShift):INDEX($FK372:$ID372,SwaptionMonthsToGo+SwaptionShift))*SUM(INDEX($FK$325:$ID$396,FN$169,1+SwaptionShift):INDEX($FK$325:$ID$396,FN$169,SwaptionMonthsToGo+SwaptionShift))))))</f>
        <v/>
      </c>
      <c r="FO217" s="150" t="str">
        <f aca="false">IF(OR(FO$169&lt;SwaptionFirstMonthPosition+1,$FJ217&lt;SwaptionFirstMonthPosition+1,FO$169&gt;SwaptionFirstMonthPosition+SwaptionNumOfMonths+1,$FJ217&gt;SwaptionFirstMonthPosition+SwaptionNumOfMonths+1),"",IF($FJ217=FO$169,1,IF($FJ217&lt;FO$169,INDEX($FK$170:$ID$241,FO$169,$FJ217),SUMPRODUCT(INDEX($FK$325:$ID$396,FO$169,1+SwaptionShift):INDEX($FK$325:$ID$396,FO$169,SwaptionMonthsToGo+SwaptionShift),INDEX($FK$245:$ID$316,$FJ217-FO$169,73-FO$169+SwaptionShift):INDEX($FK$245:$ID$316,$FJ217-FO$169,72-FO$169+SwaptionMonthsToGo+SwaptionShift))/SQRT(SUM(INDEX($FK372:$ID372,1+SwaptionShift):INDEX($FK372:$ID372,SwaptionMonthsToGo+SwaptionShift))*SUM(INDEX($FK$325:$ID$396,FO$169,1+SwaptionShift):INDEX($FK$325:$ID$396,FO$169,SwaptionMonthsToGo+SwaptionShift))))))</f>
        <v/>
      </c>
      <c r="FP217" s="150" t="str">
        <f aca="false">IF(OR(FP$169&lt;SwaptionFirstMonthPosition+1,$FJ217&lt;SwaptionFirstMonthPosition+1,FP$169&gt;SwaptionFirstMonthPosition+SwaptionNumOfMonths+1,$FJ217&gt;SwaptionFirstMonthPosition+SwaptionNumOfMonths+1),"",IF($FJ217=FP$169,1,IF($FJ217&lt;FP$169,INDEX($FK$170:$ID$241,FP$169,$FJ217),SUMPRODUCT(INDEX($FK$325:$ID$396,FP$169,1+SwaptionShift):INDEX($FK$325:$ID$396,FP$169,SwaptionMonthsToGo+SwaptionShift),INDEX($FK$245:$ID$316,$FJ217-FP$169,73-FP$169+SwaptionShift):INDEX($FK$245:$ID$316,$FJ217-FP$169,72-FP$169+SwaptionMonthsToGo+SwaptionShift))/SQRT(SUM(INDEX($FK372:$ID372,1+SwaptionShift):INDEX($FK372:$ID372,SwaptionMonthsToGo+SwaptionShift))*SUM(INDEX($FK$325:$ID$396,FP$169,1+SwaptionShift):INDEX($FK$325:$ID$396,FP$169,SwaptionMonthsToGo+SwaptionShift))))))</f>
        <v/>
      </c>
      <c r="FQ217" s="150" t="str">
        <f aca="false">IF(OR(FQ$169&lt;SwaptionFirstMonthPosition+1,$FJ217&lt;SwaptionFirstMonthPosition+1,FQ$169&gt;SwaptionFirstMonthPosition+SwaptionNumOfMonths+1,$FJ217&gt;SwaptionFirstMonthPosition+SwaptionNumOfMonths+1),"",IF($FJ217=FQ$169,1,IF($FJ217&lt;FQ$169,INDEX($FK$170:$ID$241,FQ$169,$FJ217),SUMPRODUCT(INDEX($FK$325:$ID$396,FQ$169,1+SwaptionShift):INDEX($FK$325:$ID$396,FQ$169,SwaptionMonthsToGo+SwaptionShift),INDEX($FK$245:$ID$316,$FJ217-FQ$169,73-FQ$169+SwaptionShift):INDEX($FK$245:$ID$316,$FJ217-FQ$169,72-FQ$169+SwaptionMonthsToGo+SwaptionShift))/SQRT(SUM(INDEX($FK372:$ID372,1+SwaptionShift):INDEX($FK372:$ID372,SwaptionMonthsToGo+SwaptionShift))*SUM(INDEX($FK$325:$ID$396,FQ$169,1+SwaptionShift):INDEX($FK$325:$ID$396,FQ$169,SwaptionMonthsToGo+SwaptionShift))))))</f>
        <v/>
      </c>
      <c r="FR217" s="150" t="str">
        <f aca="false">IF(OR(FR$169&lt;SwaptionFirstMonthPosition+1,$FJ217&lt;SwaptionFirstMonthPosition+1,FR$169&gt;SwaptionFirstMonthPosition+SwaptionNumOfMonths+1,$FJ217&gt;SwaptionFirstMonthPosition+SwaptionNumOfMonths+1),"",IF($FJ217=FR$169,1,IF($FJ217&lt;FR$169,INDEX($FK$170:$ID$241,FR$169,$FJ217),SUMPRODUCT(INDEX($FK$325:$ID$396,FR$169,1+SwaptionShift):INDEX($FK$325:$ID$396,FR$169,SwaptionMonthsToGo+SwaptionShift),INDEX($FK$245:$ID$316,$FJ217-FR$169,73-FR$169+SwaptionShift):INDEX($FK$245:$ID$316,$FJ217-FR$169,72-FR$169+SwaptionMonthsToGo+SwaptionShift))/SQRT(SUM(INDEX($FK372:$ID372,1+SwaptionShift):INDEX($FK372:$ID372,SwaptionMonthsToGo+SwaptionShift))*SUM(INDEX($FK$325:$ID$396,FR$169,1+SwaptionShift):INDEX($FK$325:$ID$396,FR$169,SwaptionMonthsToGo+SwaptionShift))))))</f>
        <v/>
      </c>
      <c r="FS217" s="150" t="str">
        <f aca="false">IF(OR(FS$169&lt;SwaptionFirstMonthPosition+1,$FJ217&lt;SwaptionFirstMonthPosition+1,FS$169&gt;SwaptionFirstMonthPosition+SwaptionNumOfMonths+1,$FJ217&gt;SwaptionFirstMonthPosition+SwaptionNumOfMonths+1),"",IF($FJ217=FS$169,1,IF($FJ217&lt;FS$169,INDEX($FK$170:$ID$241,FS$169,$FJ217),SUMPRODUCT(INDEX($FK$325:$ID$396,FS$169,1+SwaptionShift):INDEX($FK$325:$ID$396,FS$169,SwaptionMonthsToGo+SwaptionShift),INDEX($FK$245:$ID$316,$FJ217-FS$169,73-FS$169+SwaptionShift):INDEX($FK$245:$ID$316,$FJ217-FS$169,72-FS$169+SwaptionMonthsToGo+SwaptionShift))/SQRT(SUM(INDEX($FK372:$ID372,1+SwaptionShift):INDEX($FK372:$ID372,SwaptionMonthsToGo+SwaptionShift))*SUM(INDEX($FK$325:$ID$396,FS$169,1+SwaptionShift):INDEX($FK$325:$ID$396,FS$169,SwaptionMonthsToGo+SwaptionShift))))))</f>
        <v/>
      </c>
      <c r="FT217" s="150" t="str">
        <f aca="false">IF(OR(FT$169&lt;SwaptionFirstMonthPosition+1,$FJ217&lt;SwaptionFirstMonthPosition+1,FT$169&gt;SwaptionFirstMonthPosition+SwaptionNumOfMonths+1,$FJ217&gt;SwaptionFirstMonthPosition+SwaptionNumOfMonths+1),"",IF($FJ217=FT$169,1,IF($FJ217&lt;FT$169,INDEX($FK$170:$ID$241,FT$169,$FJ217),SUMPRODUCT(INDEX($FK$325:$ID$396,FT$169,1+SwaptionShift):INDEX($FK$325:$ID$396,FT$169,SwaptionMonthsToGo+SwaptionShift),INDEX($FK$245:$ID$316,$FJ217-FT$169,73-FT$169+SwaptionShift):INDEX($FK$245:$ID$316,$FJ217-FT$169,72-FT$169+SwaptionMonthsToGo+SwaptionShift))/SQRT(SUM(INDEX($FK372:$ID372,1+SwaptionShift):INDEX($FK372:$ID372,SwaptionMonthsToGo+SwaptionShift))*SUM(INDEX($FK$325:$ID$396,FT$169,1+SwaptionShift):INDEX($FK$325:$ID$396,FT$169,SwaptionMonthsToGo+SwaptionShift))))))</f>
        <v/>
      </c>
      <c r="FU217" s="150" t="str">
        <f aca="false">IF(OR(FU$169&lt;SwaptionFirstMonthPosition+1,$FJ217&lt;SwaptionFirstMonthPosition+1,FU$169&gt;SwaptionFirstMonthPosition+SwaptionNumOfMonths+1,$FJ217&gt;SwaptionFirstMonthPosition+SwaptionNumOfMonths+1),"",IF($FJ217=FU$169,1,IF($FJ217&lt;FU$169,INDEX($FK$170:$ID$241,FU$169,$FJ217),SUMPRODUCT(INDEX($FK$325:$ID$396,FU$169,1+SwaptionShift):INDEX($FK$325:$ID$396,FU$169,SwaptionMonthsToGo+SwaptionShift),INDEX($FK$245:$ID$316,$FJ217-FU$169,73-FU$169+SwaptionShift):INDEX($FK$245:$ID$316,$FJ217-FU$169,72-FU$169+SwaptionMonthsToGo+SwaptionShift))/SQRT(SUM(INDEX($FK372:$ID372,1+SwaptionShift):INDEX($FK372:$ID372,SwaptionMonthsToGo+SwaptionShift))*SUM(INDEX($FK$325:$ID$396,FU$169,1+SwaptionShift):INDEX($FK$325:$ID$396,FU$169,SwaptionMonthsToGo+SwaptionShift))))))</f>
        <v/>
      </c>
      <c r="FV217" s="150" t="str">
        <f aca="false">IF(OR(FV$169&lt;SwaptionFirstMonthPosition+1,$FJ217&lt;SwaptionFirstMonthPosition+1,FV$169&gt;SwaptionFirstMonthPosition+SwaptionNumOfMonths+1,$FJ217&gt;SwaptionFirstMonthPosition+SwaptionNumOfMonths+1),"",IF($FJ217=FV$169,1,IF($FJ217&lt;FV$169,INDEX($FK$170:$ID$241,FV$169,$FJ217),SUMPRODUCT(INDEX($FK$325:$ID$396,FV$169,1+SwaptionShift):INDEX($FK$325:$ID$396,FV$169,SwaptionMonthsToGo+SwaptionShift),INDEX($FK$245:$ID$316,$FJ217-FV$169,73-FV$169+SwaptionShift):INDEX($FK$245:$ID$316,$FJ217-FV$169,72-FV$169+SwaptionMonthsToGo+SwaptionShift))/SQRT(SUM(INDEX($FK372:$ID372,1+SwaptionShift):INDEX($FK372:$ID372,SwaptionMonthsToGo+SwaptionShift))*SUM(INDEX($FK$325:$ID$396,FV$169,1+SwaptionShift):INDEX($FK$325:$ID$396,FV$169,SwaptionMonthsToGo+SwaptionShift))))))</f>
        <v/>
      </c>
      <c r="FW217" s="150" t="str">
        <f aca="false">IF(OR(FW$169&lt;SwaptionFirstMonthPosition+1,$FJ217&lt;SwaptionFirstMonthPosition+1,FW$169&gt;SwaptionFirstMonthPosition+SwaptionNumOfMonths+1,$FJ217&gt;SwaptionFirstMonthPosition+SwaptionNumOfMonths+1),"",IF($FJ217=FW$169,1,IF($FJ217&lt;FW$169,INDEX($FK$170:$ID$241,FW$169,$FJ217),SUMPRODUCT(INDEX($FK$325:$ID$396,FW$169,1+SwaptionShift):INDEX($FK$325:$ID$396,FW$169,SwaptionMonthsToGo+SwaptionShift),INDEX($FK$245:$ID$316,$FJ217-FW$169,73-FW$169+SwaptionShift):INDEX($FK$245:$ID$316,$FJ217-FW$169,72-FW$169+SwaptionMonthsToGo+SwaptionShift))/SQRT(SUM(INDEX($FK372:$ID372,1+SwaptionShift):INDEX($FK372:$ID372,SwaptionMonthsToGo+SwaptionShift))*SUM(INDEX($FK$325:$ID$396,FW$169,1+SwaptionShift):INDEX($FK$325:$ID$396,FW$169,SwaptionMonthsToGo+SwaptionShift))))))</f>
        <v/>
      </c>
      <c r="FX217" s="150" t="str">
        <f aca="false">IF(OR(FX$169&lt;SwaptionFirstMonthPosition+1,$FJ217&lt;SwaptionFirstMonthPosition+1,FX$169&gt;SwaptionFirstMonthPosition+SwaptionNumOfMonths+1,$FJ217&gt;SwaptionFirstMonthPosition+SwaptionNumOfMonths+1),"",IF($FJ217=FX$169,1,IF($FJ217&lt;FX$169,INDEX($FK$170:$ID$241,FX$169,$FJ217),SUMPRODUCT(INDEX($FK$325:$ID$396,FX$169,1+SwaptionShift):INDEX($FK$325:$ID$396,FX$169,SwaptionMonthsToGo+SwaptionShift),INDEX($FK$245:$ID$316,$FJ217-FX$169,73-FX$169+SwaptionShift):INDEX($FK$245:$ID$316,$FJ217-FX$169,72-FX$169+SwaptionMonthsToGo+SwaptionShift))/SQRT(SUM(INDEX($FK372:$ID372,1+SwaptionShift):INDEX($FK372:$ID372,SwaptionMonthsToGo+SwaptionShift))*SUM(INDEX($FK$325:$ID$396,FX$169,1+SwaptionShift):INDEX($FK$325:$ID$396,FX$169,SwaptionMonthsToGo+SwaptionShift))))))</f>
        <v/>
      </c>
      <c r="FY217" s="150" t="str">
        <f aca="false">IF(OR(FY$169&lt;SwaptionFirstMonthPosition+1,$FJ217&lt;SwaptionFirstMonthPosition+1,FY$169&gt;SwaptionFirstMonthPosition+SwaptionNumOfMonths+1,$FJ217&gt;SwaptionFirstMonthPosition+SwaptionNumOfMonths+1),"",IF($FJ217=FY$169,1,IF($FJ217&lt;FY$169,INDEX($FK$170:$ID$241,FY$169,$FJ217),SUMPRODUCT(INDEX($FK$325:$ID$396,FY$169,1+SwaptionShift):INDEX($FK$325:$ID$396,FY$169,SwaptionMonthsToGo+SwaptionShift),INDEX($FK$245:$ID$316,$FJ217-FY$169,73-FY$169+SwaptionShift):INDEX($FK$245:$ID$316,$FJ217-FY$169,72-FY$169+SwaptionMonthsToGo+SwaptionShift))/SQRT(SUM(INDEX($FK372:$ID372,1+SwaptionShift):INDEX($FK372:$ID372,SwaptionMonthsToGo+SwaptionShift))*SUM(INDEX($FK$325:$ID$396,FY$169,1+SwaptionShift):INDEX($FK$325:$ID$396,FY$169,SwaptionMonthsToGo+SwaptionShift))))))</f>
        <v/>
      </c>
      <c r="FZ217" s="150" t="str">
        <f aca="false">IF(OR(FZ$169&lt;SwaptionFirstMonthPosition+1,$FJ217&lt;SwaptionFirstMonthPosition+1,FZ$169&gt;SwaptionFirstMonthPosition+SwaptionNumOfMonths+1,$FJ217&gt;SwaptionFirstMonthPosition+SwaptionNumOfMonths+1),"",IF($FJ217=FZ$169,1,IF($FJ217&lt;FZ$169,INDEX($FK$170:$ID$241,FZ$169,$FJ217),SUMPRODUCT(INDEX($FK$325:$ID$396,FZ$169,1+SwaptionShift):INDEX($FK$325:$ID$396,FZ$169,SwaptionMonthsToGo+SwaptionShift),INDEX($FK$245:$ID$316,$FJ217-FZ$169,73-FZ$169+SwaptionShift):INDEX($FK$245:$ID$316,$FJ217-FZ$169,72-FZ$169+SwaptionMonthsToGo+SwaptionShift))/SQRT(SUM(INDEX($FK372:$ID372,1+SwaptionShift):INDEX($FK372:$ID372,SwaptionMonthsToGo+SwaptionShift))*SUM(INDEX($FK$325:$ID$396,FZ$169,1+SwaptionShift):INDEX($FK$325:$ID$396,FZ$169,SwaptionMonthsToGo+SwaptionShift))))))</f>
        <v/>
      </c>
      <c r="GA217" s="150" t="str">
        <f aca="false">IF(OR(GA$169&lt;SwaptionFirstMonthPosition+1,$FJ217&lt;SwaptionFirstMonthPosition+1,GA$169&gt;SwaptionFirstMonthPosition+SwaptionNumOfMonths+1,$FJ217&gt;SwaptionFirstMonthPosition+SwaptionNumOfMonths+1),"",IF($FJ217=GA$169,1,IF($FJ217&lt;GA$169,INDEX($FK$170:$ID$241,GA$169,$FJ217),SUMPRODUCT(INDEX($FK$325:$ID$396,GA$169,1+SwaptionShift):INDEX($FK$325:$ID$396,GA$169,SwaptionMonthsToGo+SwaptionShift),INDEX($FK$245:$ID$316,$FJ217-GA$169,73-GA$169+SwaptionShift):INDEX($FK$245:$ID$316,$FJ217-GA$169,72-GA$169+SwaptionMonthsToGo+SwaptionShift))/SQRT(SUM(INDEX($FK372:$ID372,1+SwaptionShift):INDEX($FK372:$ID372,SwaptionMonthsToGo+SwaptionShift))*SUM(INDEX($FK$325:$ID$396,GA$169,1+SwaptionShift):INDEX($FK$325:$ID$396,GA$169,SwaptionMonthsToGo+SwaptionShift))))))</f>
        <v/>
      </c>
      <c r="GB217" s="150" t="str">
        <f aca="false">IF(OR(GB$169&lt;SwaptionFirstMonthPosition+1,$FJ217&lt;SwaptionFirstMonthPosition+1,GB$169&gt;SwaptionFirstMonthPosition+SwaptionNumOfMonths+1,$FJ217&gt;SwaptionFirstMonthPosition+SwaptionNumOfMonths+1),"",IF($FJ217=GB$169,1,IF($FJ217&lt;GB$169,INDEX($FK$170:$ID$241,GB$169,$FJ217),SUMPRODUCT(INDEX($FK$325:$ID$396,GB$169,1+SwaptionShift):INDEX($FK$325:$ID$396,GB$169,SwaptionMonthsToGo+SwaptionShift),INDEX($FK$245:$ID$316,$FJ217-GB$169,73-GB$169+SwaptionShift):INDEX($FK$245:$ID$316,$FJ217-GB$169,72-GB$169+SwaptionMonthsToGo+SwaptionShift))/SQRT(SUM(INDEX($FK372:$ID372,1+SwaptionShift):INDEX($FK372:$ID372,SwaptionMonthsToGo+SwaptionShift))*SUM(INDEX($FK$325:$ID$396,GB$169,1+SwaptionShift):INDEX($FK$325:$ID$396,GB$169,SwaptionMonthsToGo+SwaptionShift))))))</f>
        <v/>
      </c>
      <c r="GC217" s="150" t="str">
        <f aca="false">IF(OR(GC$169&lt;SwaptionFirstMonthPosition+1,$FJ217&lt;SwaptionFirstMonthPosition+1,GC$169&gt;SwaptionFirstMonthPosition+SwaptionNumOfMonths+1,$FJ217&gt;SwaptionFirstMonthPosition+SwaptionNumOfMonths+1),"",IF($FJ217=GC$169,1,IF($FJ217&lt;GC$169,INDEX($FK$170:$ID$241,GC$169,$FJ217),SUMPRODUCT(INDEX($FK$325:$ID$396,GC$169,1+SwaptionShift):INDEX($FK$325:$ID$396,GC$169,SwaptionMonthsToGo+SwaptionShift),INDEX($FK$245:$ID$316,$FJ217-GC$169,73-GC$169+SwaptionShift):INDEX($FK$245:$ID$316,$FJ217-GC$169,72-GC$169+SwaptionMonthsToGo+SwaptionShift))/SQRT(SUM(INDEX($FK372:$ID372,1+SwaptionShift):INDEX($FK372:$ID372,SwaptionMonthsToGo+SwaptionShift))*SUM(INDEX($FK$325:$ID$396,GC$169,1+SwaptionShift):INDEX($FK$325:$ID$396,GC$169,SwaptionMonthsToGo+SwaptionShift))))))</f>
        <v/>
      </c>
      <c r="GD217" s="150" t="str">
        <f aca="false">IF(OR(GD$169&lt;SwaptionFirstMonthPosition+1,$FJ217&lt;SwaptionFirstMonthPosition+1,GD$169&gt;SwaptionFirstMonthPosition+SwaptionNumOfMonths+1,$FJ217&gt;SwaptionFirstMonthPosition+SwaptionNumOfMonths+1),"",IF($FJ217=GD$169,1,IF($FJ217&lt;GD$169,INDEX($FK$170:$ID$241,GD$169,$FJ217),SUMPRODUCT(INDEX($FK$325:$ID$396,GD$169,1+SwaptionShift):INDEX($FK$325:$ID$396,GD$169,SwaptionMonthsToGo+SwaptionShift),INDEX($FK$245:$ID$316,$FJ217-GD$169,73-GD$169+SwaptionShift):INDEX($FK$245:$ID$316,$FJ217-GD$169,72-GD$169+SwaptionMonthsToGo+SwaptionShift))/SQRT(SUM(INDEX($FK372:$ID372,1+SwaptionShift):INDEX($FK372:$ID372,SwaptionMonthsToGo+SwaptionShift))*SUM(INDEX($FK$325:$ID$396,GD$169,1+SwaptionShift):INDEX($FK$325:$ID$396,GD$169,SwaptionMonthsToGo+SwaptionShift))))))</f>
        <v/>
      </c>
      <c r="GE217" s="150" t="str">
        <f aca="false">IF(OR(GE$169&lt;SwaptionFirstMonthPosition+1,$FJ217&lt;SwaptionFirstMonthPosition+1,GE$169&gt;SwaptionFirstMonthPosition+SwaptionNumOfMonths+1,$FJ217&gt;SwaptionFirstMonthPosition+SwaptionNumOfMonths+1),"",IF($FJ217=GE$169,1,IF($FJ217&lt;GE$169,INDEX($FK$170:$ID$241,GE$169,$FJ217),SUMPRODUCT(INDEX($FK$325:$ID$396,GE$169,1+SwaptionShift):INDEX($FK$325:$ID$396,GE$169,SwaptionMonthsToGo+SwaptionShift),INDEX($FK$245:$ID$316,$FJ217-GE$169,73-GE$169+SwaptionShift):INDEX($FK$245:$ID$316,$FJ217-GE$169,72-GE$169+SwaptionMonthsToGo+SwaptionShift))/SQRT(SUM(INDEX($FK372:$ID372,1+SwaptionShift):INDEX($FK372:$ID372,SwaptionMonthsToGo+SwaptionShift))*SUM(INDEX($FK$325:$ID$396,GE$169,1+SwaptionShift):INDEX($FK$325:$ID$396,GE$169,SwaptionMonthsToGo+SwaptionShift))))))</f>
        <v/>
      </c>
      <c r="GF217" s="150" t="str">
        <f aca="false">IF(OR(GF$169&lt;SwaptionFirstMonthPosition+1,$FJ217&lt;SwaptionFirstMonthPosition+1,GF$169&gt;SwaptionFirstMonthPosition+SwaptionNumOfMonths+1,$FJ217&gt;SwaptionFirstMonthPosition+SwaptionNumOfMonths+1),"",IF($FJ217=GF$169,1,IF($FJ217&lt;GF$169,INDEX($FK$170:$ID$241,GF$169,$FJ217),SUMPRODUCT(INDEX($FK$325:$ID$396,GF$169,1+SwaptionShift):INDEX($FK$325:$ID$396,GF$169,SwaptionMonthsToGo+SwaptionShift),INDEX($FK$245:$ID$316,$FJ217-GF$169,73-GF$169+SwaptionShift):INDEX($FK$245:$ID$316,$FJ217-GF$169,72-GF$169+SwaptionMonthsToGo+SwaptionShift))/SQRT(SUM(INDEX($FK372:$ID372,1+SwaptionShift):INDEX($FK372:$ID372,SwaptionMonthsToGo+SwaptionShift))*SUM(INDEX($FK$325:$ID$396,GF$169,1+SwaptionShift):INDEX($FK$325:$ID$396,GF$169,SwaptionMonthsToGo+SwaptionShift))))))</f>
        <v/>
      </c>
      <c r="GG217" s="150" t="str">
        <f aca="false">IF(OR(GG$169&lt;SwaptionFirstMonthPosition+1,$FJ217&lt;SwaptionFirstMonthPosition+1,GG$169&gt;SwaptionFirstMonthPosition+SwaptionNumOfMonths+1,$FJ217&gt;SwaptionFirstMonthPosition+SwaptionNumOfMonths+1),"",IF($FJ217=GG$169,1,IF($FJ217&lt;GG$169,INDEX($FK$170:$ID$241,GG$169,$FJ217),SUMPRODUCT(INDEX($FK$325:$ID$396,GG$169,1+SwaptionShift):INDEX($FK$325:$ID$396,GG$169,SwaptionMonthsToGo+SwaptionShift),INDEX($FK$245:$ID$316,$FJ217-GG$169,73-GG$169+SwaptionShift):INDEX($FK$245:$ID$316,$FJ217-GG$169,72-GG$169+SwaptionMonthsToGo+SwaptionShift))/SQRT(SUM(INDEX($FK372:$ID372,1+SwaptionShift):INDEX($FK372:$ID372,SwaptionMonthsToGo+SwaptionShift))*SUM(INDEX($FK$325:$ID$396,GG$169,1+SwaptionShift):INDEX($FK$325:$ID$396,GG$169,SwaptionMonthsToGo+SwaptionShift))))))</f>
        <v/>
      </c>
      <c r="GH217" s="150" t="str">
        <f aca="false">IF(OR(GH$169&lt;SwaptionFirstMonthPosition+1,$FJ217&lt;SwaptionFirstMonthPosition+1,GH$169&gt;SwaptionFirstMonthPosition+SwaptionNumOfMonths+1,$FJ217&gt;SwaptionFirstMonthPosition+SwaptionNumOfMonths+1),"",IF($FJ217=GH$169,1,IF($FJ217&lt;GH$169,INDEX($FK$170:$ID$241,GH$169,$FJ217),SUMPRODUCT(INDEX($FK$325:$ID$396,GH$169,1+SwaptionShift):INDEX($FK$325:$ID$396,GH$169,SwaptionMonthsToGo+SwaptionShift),INDEX($FK$245:$ID$316,$FJ217-GH$169,73-GH$169+SwaptionShift):INDEX($FK$245:$ID$316,$FJ217-GH$169,72-GH$169+SwaptionMonthsToGo+SwaptionShift))/SQRT(SUM(INDEX($FK372:$ID372,1+SwaptionShift):INDEX($FK372:$ID372,SwaptionMonthsToGo+SwaptionShift))*SUM(INDEX($FK$325:$ID$396,GH$169,1+SwaptionShift):INDEX($FK$325:$ID$396,GH$169,SwaptionMonthsToGo+SwaptionShift))))))</f>
        <v/>
      </c>
      <c r="GI217" s="150" t="str">
        <f aca="false">IF(OR(GI$169&lt;SwaptionFirstMonthPosition+1,$FJ217&lt;SwaptionFirstMonthPosition+1,GI$169&gt;SwaptionFirstMonthPosition+SwaptionNumOfMonths+1,$FJ217&gt;SwaptionFirstMonthPosition+SwaptionNumOfMonths+1),"",IF($FJ217=GI$169,1,IF($FJ217&lt;GI$169,INDEX($FK$170:$ID$241,GI$169,$FJ217),SUMPRODUCT(INDEX($FK$325:$ID$396,GI$169,1+SwaptionShift):INDEX($FK$325:$ID$396,GI$169,SwaptionMonthsToGo+SwaptionShift),INDEX($FK$245:$ID$316,$FJ217-GI$169,73-GI$169+SwaptionShift):INDEX($FK$245:$ID$316,$FJ217-GI$169,72-GI$169+SwaptionMonthsToGo+SwaptionShift))/SQRT(SUM(INDEX($FK372:$ID372,1+SwaptionShift):INDEX($FK372:$ID372,SwaptionMonthsToGo+SwaptionShift))*SUM(INDEX($FK$325:$ID$396,GI$169,1+SwaptionShift):INDEX($FK$325:$ID$396,GI$169,SwaptionMonthsToGo+SwaptionShift))))))</f>
        <v/>
      </c>
      <c r="GJ217" s="150" t="str">
        <f aca="false">IF(OR(GJ$169&lt;SwaptionFirstMonthPosition+1,$FJ217&lt;SwaptionFirstMonthPosition+1,GJ$169&gt;SwaptionFirstMonthPosition+SwaptionNumOfMonths+1,$FJ217&gt;SwaptionFirstMonthPosition+SwaptionNumOfMonths+1),"",IF($FJ217=GJ$169,1,IF($FJ217&lt;GJ$169,INDEX($FK$170:$ID$241,GJ$169,$FJ217),SUMPRODUCT(INDEX($FK$325:$ID$396,GJ$169,1+SwaptionShift):INDEX($FK$325:$ID$396,GJ$169,SwaptionMonthsToGo+SwaptionShift),INDEX($FK$245:$ID$316,$FJ217-GJ$169,73-GJ$169+SwaptionShift):INDEX($FK$245:$ID$316,$FJ217-GJ$169,72-GJ$169+SwaptionMonthsToGo+SwaptionShift))/SQRT(SUM(INDEX($FK372:$ID372,1+SwaptionShift):INDEX($FK372:$ID372,SwaptionMonthsToGo+SwaptionShift))*SUM(INDEX($FK$325:$ID$396,GJ$169,1+SwaptionShift):INDEX($FK$325:$ID$396,GJ$169,SwaptionMonthsToGo+SwaptionShift))))))</f>
        <v/>
      </c>
      <c r="GK217" s="150" t="str">
        <f aca="false">IF(OR(GK$169&lt;SwaptionFirstMonthPosition+1,$FJ217&lt;SwaptionFirstMonthPosition+1,GK$169&gt;SwaptionFirstMonthPosition+SwaptionNumOfMonths+1,$FJ217&gt;SwaptionFirstMonthPosition+SwaptionNumOfMonths+1),"",IF($FJ217=GK$169,1,IF($FJ217&lt;GK$169,INDEX($FK$170:$ID$241,GK$169,$FJ217),SUMPRODUCT(INDEX($FK$325:$ID$396,GK$169,1+SwaptionShift):INDEX($FK$325:$ID$396,GK$169,SwaptionMonthsToGo+SwaptionShift),INDEX($FK$245:$ID$316,$FJ217-GK$169,73-GK$169+SwaptionShift):INDEX($FK$245:$ID$316,$FJ217-GK$169,72-GK$169+SwaptionMonthsToGo+SwaptionShift))/SQRT(SUM(INDEX($FK372:$ID372,1+SwaptionShift):INDEX($FK372:$ID372,SwaptionMonthsToGo+SwaptionShift))*SUM(INDEX($FK$325:$ID$396,GK$169,1+SwaptionShift):INDEX($FK$325:$ID$396,GK$169,SwaptionMonthsToGo+SwaptionShift))))))</f>
        <v/>
      </c>
      <c r="GL217" s="150" t="str">
        <f aca="false">IF(OR(GL$169&lt;SwaptionFirstMonthPosition+1,$FJ217&lt;SwaptionFirstMonthPosition+1,GL$169&gt;SwaptionFirstMonthPosition+SwaptionNumOfMonths+1,$FJ217&gt;SwaptionFirstMonthPosition+SwaptionNumOfMonths+1),"",IF($FJ217=GL$169,1,IF($FJ217&lt;GL$169,INDEX($FK$170:$ID$241,GL$169,$FJ217),SUMPRODUCT(INDEX($FK$325:$ID$396,GL$169,1+SwaptionShift):INDEX($FK$325:$ID$396,GL$169,SwaptionMonthsToGo+SwaptionShift),INDEX($FK$245:$ID$316,$FJ217-GL$169,73-GL$169+SwaptionShift):INDEX($FK$245:$ID$316,$FJ217-GL$169,72-GL$169+SwaptionMonthsToGo+SwaptionShift))/SQRT(SUM(INDEX($FK372:$ID372,1+SwaptionShift):INDEX($FK372:$ID372,SwaptionMonthsToGo+SwaptionShift))*SUM(INDEX($FK$325:$ID$396,GL$169,1+SwaptionShift):INDEX($FK$325:$ID$396,GL$169,SwaptionMonthsToGo+SwaptionShift))))))</f>
        <v/>
      </c>
      <c r="GM217" s="150" t="str">
        <f aca="false">IF(OR(GM$169&lt;SwaptionFirstMonthPosition+1,$FJ217&lt;SwaptionFirstMonthPosition+1,GM$169&gt;SwaptionFirstMonthPosition+SwaptionNumOfMonths+1,$FJ217&gt;SwaptionFirstMonthPosition+SwaptionNumOfMonths+1),"",IF($FJ217=GM$169,1,IF($FJ217&lt;GM$169,INDEX($FK$170:$ID$241,GM$169,$FJ217),SUMPRODUCT(INDEX($FK$325:$ID$396,GM$169,1+SwaptionShift):INDEX($FK$325:$ID$396,GM$169,SwaptionMonthsToGo+SwaptionShift),INDEX($FK$245:$ID$316,$FJ217-GM$169,73-GM$169+SwaptionShift):INDEX($FK$245:$ID$316,$FJ217-GM$169,72-GM$169+SwaptionMonthsToGo+SwaptionShift))/SQRT(SUM(INDEX($FK372:$ID372,1+SwaptionShift):INDEX($FK372:$ID372,SwaptionMonthsToGo+SwaptionShift))*SUM(INDEX($FK$325:$ID$396,GM$169,1+SwaptionShift):INDEX($FK$325:$ID$396,GM$169,SwaptionMonthsToGo+SwaptionShift))))))</f>
        <v/>
      </c>
      <c r="GN217" s="150" t="str">
        <f aca="false">IF(OR(GN$169&lt;SwaptionFirstMonthPosition+1,$FJ217&lt;SwaptionFirstMonthPosition+1,GN$169&gt;SwaptionFirstMonthPosition+SwaptionNumOfMonths+1,$FJ217&gt;SwaptionFirstMonthPosition+SwaptionNumOfMonths+1),"",IF($FJ217=GN$169,1,IF($FJ217&lt;GN$169,INDEX($FK$170:$ID$241,GN$169,$FJ217),SUMPRODUCT(INDEX($FK$325:$ID$396,GN$169,1+SwaptionShift):INDEX($FK$325:$ID$396,GN$169,SwaptionMonthsToGo+SwaptionShift),INDEX($FK$245:$ID$316,$FJ217-GN$169,73-GN$169+SwaptionShift):INDEX($FK$245:$ID$316,$FJ217-GN$169,72-GN$169+SwaptionMonthsToGo+SwaptionShift))/SQRT(SUM(INDEX($FK372:$ID372,1+SwaptionShift):INDEX($FK372:$ID372,SwaptionMonthsToGo+SwaptionShift))*SUM(INDEX($FK$325:$ID$396,GN$169,1+SwaptionShift):INDEX($FK$325:$ID$396,GN$169,SwaptionMonthsToGo+SwaptionShift))))))</f>
        <v/>
      </c>
      <c r="GO217" s="150" t="str">
        <f aca="false">IF(OR(GO$169&lt;SwaptionFirstMonthPosition+1,$FJ217&lt;SwaptionFirstMonthPosition+1,GO$169&gt;SwaptionFirstMonthPosition+SwaptionNumOfMonths+1,$FJ217&gt;SwaptionFirstMonthPosition+SwaptionNumOfMonths+1),"",IF($FJ217=GO$169,1,IF($FJ217&lt;GO$169,INDEX($FK$170:$ID$241,GO$169,$FJ217),SUMPRODUCT(INDEX($FK$325:$ID$396,GO$169,1+SwaptionShift):INDEX($FK$325:$ID$396,GO$169,SwaptionMonthsToGo+SwaptionShift),INDEX($FK$245:$ID$316,$FJ217-GO$169,73-GO$169+SwaptionShift):INDEX($FK$245:$ID$316,$FJ217-GO$169,72-GO$169+SwaptionMonthsToGo+SwaptionShift))/SQRT(SUM(INDEX($FK372:$ID372,1+SwaptionShift):INDEX($FK372:$ID372,SwaptionMonthsToGo+SwaptionShift))*SUM(INDEX($FK$325:$ID$396,GO$169,1+SwaptionShift):INDEX($FK$325:$ID$396,GO$169,SwaptionMonthsToGo+SwaptionShift))))))</f>
        <v/>
      </c>
      <c r="GP217" s="150" t="str">
        <f aca="false">IF(OR(GP$169&lt;SwaptionFirstMonthPosition+1,$FJ217&lt;SwaptionFirstMonthPosition+1,GP$169&gt;SwaptionFirstMonthPosition+SwaptionNumOfMonths+1,$FJ217&gt;SwaptionFirstMonthPosition+SwaptionNumOfMonths+1),"",IF($FJ217=GP$169,1,IF($FJ217&lt;GP$169,INDEX($FK$170:$ID$241,GP$169,$FJ217),SUMPRODUCT(INDEX($FK$325:$ID$396,GP$169,1+SwaptionShift):INDEX($FK$325:$ID$396,GP$169,SwaptionMonthsToGo+SwaptionShift),INDEX($FK$245:$ID$316,$FJ217-GP$169,73-GP$169+SwaptionShift):INDEX($FK$245:$ID$316,$FJ217-GP$169,72-GP$169+SwaptionMonthsToGo+SwaptionShift))/SQRT(SUM(INDEX($FK372:$ID372,1+SwaptionShift):INDEX($FK372:$ID372,SwaptionMonthsToGo+SwaptionShift))*SUM(INDEX($FK$325:$ID$396,GP$169,1+SwaptionShift):INDEX($FK$325:$ID$396,GP$169,SwaptionMonthsToGo+SwaptionShift))))))</f>
        <v/>
      </c>
      <c r="GQ217" s="150" t="str">
        <f aca="false">IF(OR(GQ$169&lt;SwaptionFirstMonthPosition+1,$FJ217&lt;SwaptionFirstMonthPosition+1,GQ$169&gt;SwaptionFirstMonthPosition+SwaptionNumOfMonths+1,$FJ217&gt;SwaptionFirstMonthPosition+SwaptionNumOfMonths+1),"",IF($FJ217=GQ$169,1,IF($FJ217&lt;GQ$169,INDEX($FK$170:$ID$241,GQ$169,$FJ217),SUMPRODUCT(INDEX($FK$325:$ID$396,GQ$169,1+SwaptionShift):INDEX($FK$325:$ID$396,GQ$169,SwaptionMonthsToGo+SwaptionShift),INDEX($FK$245:$ID$316,$FJ217-GQ$169,73-GQ$169+SwaptionShift):INDEX($FK$245:$ID$316,$FJ217-GQ$169,72-GQ$169+SwaptionMonthsToGo+SwaptionShift))/SQRT(SUM(INDEX($FK372:$ID372,1+SwaptionShift):INDEX($FK372:$ID372,SwaptionMonthsToGo+SwaptionShift))*SUM(INDEX($FK$325:$ID$396,GQ$169,1+SwaptionShift):INDEX($FK$325:$ID$396,GQ$169,SwaptionMonthsToGo+SwaptionShift))))))</f>
        <v/>
      </c>
      <c r="GR217" s="150" t="str">
        <f aca="false">IF(OR(GR$169&lt;SwaptionFirstMonthPosition+1,$FJ217&lt;SwaptionFirstMonthPosition+1,GR$169&gt;SwaptionFirstMonthPosition+SwaptionNumOfMonths+1,$FJ217&gt;SwaptionFirstMonthPosition+SwaptionNumOfMonths+1),"",IF($FJ217=GR$169,1,IF($FJ217&lt;GR$169,INDEX($FK$170:$ID$241,GR$169,$FJ217),SUMPRODUCT(INDEX($FK$325:$ID$396,GR$169,1+SwaptionShift):INDEX($FK$325:$ID$396,GR$169,SwaptionMonthsToGo+SwaptionShift),INDEX($FK$245:$ID$316,$FJ217-GR$169,73-GR$169+SwaptionShift):INDEX($FK$245:$ID$316,$FJ217-GR$169,72-GR$169+SwaptionMonthsToGo+SwaptionShift))/SQRT(SUM(INDEX($FK372:$ID372,1+SwaptionShift):INDEX($FK372:$ID372,SwaptionMonthsToGo+SwaptionShift))*SUM(INDEX($FK$325:$ID$396,GR$169,1+SwaptionShift):INDEX($FK$325:$ID$396,GR$169,SwaptionMonthsToGo+SwaptionShift))))))</f>
        <v/>
      </c>
      <c r="GS217" s="150" t="str">
        <f aca="false">IF(OR(GS$169&lt;SwaptionFirstMonthPosition+1,$FJ217&lt;SwaptionFirstMonthPosition+1,GS$169&gt;SwaptionFirstMonthPosition+SwaptionNumOfMonths+1,$FJ217&gt;SwaptionFirstMonthPosition+SwaptionNumOfMonths+1),"",IF($FJ217=GS$169,1,IF($FJ217&lt;GS$169,INDEX($FK$170:$ID$241,GS$169,$FJ217),SUMPRODUCT(INDEX($FK$325:$ID$396,GS$169,1+SwaptionShift):INDEX($FK$325:$ID$396,GS$169,SwaptionMonthsToGo+SwaptionShift),INDEX($FK$245:$ID$316,$FJ217-GS$169,73-GS$169+SwaptionShift):INDEX($FK$245:$ID$316,$FJ217-GS$169,72-GS$169+SwaptionMonthsToGo+SwaptionShift))/SQRT(SUM(INDEX($FK372:$ID372,1+SwaptionShift):INDEX($FK372:$ID372,SwaptionMonthsToGo+SwaptionShift))*SUM(INDEX($FK$325:$ID$396,GS$169,1+SwaptionShift):INDEX($FK$325:$ID$396,GS$169,SwaptionMonthsToGo+SwaptionShift))))))</f>
        <v/>
      </c>
      <c r="GT217" s="150" t="str">
        <f aca="false">IF(OR(GT$169&lt;SwaptionFirstMonthPosition+1,$FJ217&lt;SwaptionFirstMonthPosition+1,GT$169&gt;SwaptionFirstMonthPosition+SwaptionNumOfMonths+1,$FJ217&gt;SwaptionFirstMonthPosition+SwaptionNumOfMonths+1),"",IF($FJ217=GT$169,1,IF($FJ217&lt;GT$169,INDEX($FK$170:$ID$241,GT$169,$FJ217),SUMPRODUCT(INDEX($FK$325:$ID$396,GT$169,1+SwaptionShift):INDEX($FK$325:$ID$396,GT$169,SwaptionMonthsToGo+SwaptionShift),INDEX($FK$245:$ID$316,$FJ217-GT$169,73-GT$169+SwaptionShift):INDEX($FK$245:$ID$316,$FJ217-GT$169,72-GT$169+SwaptionMonthsToGo+SwaptionShift))/SQRT(SUM(INDEX($FK372:$ID372,1+SwaptionShift):INDEX($FK372:$ID372,SwaptionMonthsToGo+SwaptionShift))*SUM(INDEX($FK$325:$ID$396,GT$169,1+SwaptionShift):INDEX($FK$325:$ID$396,GT$169,SwaptionMonthsToGo+SwaptionShift))))))</f>
        <v/>
      </c>
      <c r="GU217" s="150" t="str">
        <f aca="false">IF(OR(GU$169&lt;SwaptionFirstMonthPosition+1,$FJ217&lt;SwaptionFirstMonthPosition+1,GU$169&gt;SwaptionFirstMonthPosition+SwaptionNumOfMonths+1,$FJ217&gt;SwaptionFirstMonthPosition+SwaptionNumOfMonths+1),"",IF($FJ217=GU$169,1,IF($FJ217&lt;GU$169,INDEX($FK$170:$ID$241,GU$169,$FJ217),SUMPRODUCT(INDEX($FK$325:$ID$396,GU$169,1+SwaptionShift):INDEX($FK$325:$ID$396,GU$169,SwaptionMonthsToGo+SwaptionShift),INDEX($FK$245:$ID$316,$FJ217-GU$169,73-GU$169+SwaptionShift):INDEX($FK$245:$ID$316,$FJ217-GU$169,72-GU$169+SwaptionMonthsToGo+SwaptionShift))/SQRT(SUM(INDEX($FK372:$ID372,1+SwaptionShift):INDEX($FK372:$ID372,SwaptionMonthsToGo+SwaptionShift))*SUM(INDEX($FK$325:$ID$396,GU$169,1+SwaptionShift):INDEX($FK$325:$ID$396,GU$169,SwaptionMonthsToGo+SwaptionShift))))))</f>
        <v/>
      </c>
      <c r="GV217" s="150" t="str">
        <f aca="false">IF(OR(GV$169&lt;SwaptionFirstMonthPosition+1,$FJ217&lt;SwaptionFirstMonthPosition+1,GV$169&gt;SwaptionFirstMonthPosition+SwaptionNumOfMonths+1,$FJ217&gt;SwaptionFirstMonthPosition+SwaptionNumOfMonths+1),"",IF($FJ217=GV$169,1,IF($FJ217&lt;GV$169,INDEX($FK$170:$ID$241,GV$169,$FJ217),SUMPRODUCT(INDEX($FK$325:$ID$396,GV$169,1+SwaptionShift):INDEX($FK$325:$ID$396,GV$169,SwaptionMonthsToGo+SwaptionShift),INDEX($FK$245:$ID$316,$FJ217-GV$169,73-GV$169+SwaptionShift):INDEX($FK$245:$ID$316,$FJ217-GV$169,72-GV$169+SwaptionMonthsToGo+SwaptionShift))/SQRT(SUM(INDEX($FK372:$ID372,1+SwaptionShift):INDEX($FK372:$ID372,SwaptionMonthsToGo+SwaptionShift))*SUM(INDEX($FK$325:$ID$396,GV$169,1+SwaptionShift):INDEX($FK$325:$ID$396,GV$169,SwaptionMonthsToGo+SwaptionShift))))))</f>
        <v/>
      </c>
      <c r="GW217" s="150" t="str">
        <f aca="false">IF(OR(GW$169&lt;SwaptionFirstMonthPosition+1,$FJ217&lt;SwaptionFirstMonthPosition+1,GW$169&gt;SwaptionFirstMonthPosition+SwaptionNumOfMonths+1,$FJ217&gt;SwaptionFirstMonthPosition+SwaptionNumOfMonths+1),"",IF($FJ217=GW$169,1,IF($FJ217&lt;GW$169,INDEX($FK$170:$ID$241,GW$169,$FJ217),SUMPRODUCT(INDEX($FK$325:$ID$396,GW$169,1+SwaptionShift):INDEX($FK$325:$ID$396,GW$169,SwaptionMonthsToGo+SwaptionShift),INDEX($FK$245:$ID$316,$FJ217-GW$169,73-GW$169+SwaptionShift):INDEX($FK$245:$ID$316,$FJ217-GW$169,72-GW$169+SwaptionMonthsToGo+SwaptionShift))/SQRT(SUM(INDEX($FK372:$ID372,1+SwaptionShift):INDEX($FK372:$ID372,SwaptionMonthsToGo+SwaptionShift))*SUM(INDEX($FK$325:$ID$396,GW$169,1+SwaptionShift):INDEX($FK$325:$ID$396,GW$169,SwaptionMonthsToGo+SwaptionShift))))))</f>
        <v/>
      </c>
      <c r="GX217" s="150" t="str">
        <f aca="false">IF(OR(GX$169&lt;SwaptionFirstMonthPosition+1,$FJ217&lt;SwaptionFirstMonthPosition+1,GX$169&gt;SwaptionFirstMonthPosition+SwaptionNumOfMonths+1,$FJ217&gt;SwaptionFirstMonthPosition+SwaptionNumOfMonths+1),"",IF($FJ217=GX$169,1,IF($FJ217&lt;GX$169,INDEX($FK$170:$ID$241,GX$169,$FJ217),SUMPRODUCT(INDEX($FK$325:$ID$396,GX$169,1+SwaptionShift):INDEX($FK$325:$ID$396,GX$169,SwaptionMonthsToGo+SwaptionShift),INDEX($FK$245:$ID$316,$FJ217-GX$169,73-GX$169+SwaptionShift):INDEX($FK$245:$ID$316,$FJ217-GX$169,72-GX$169+SwaptionMonthsToGo+SwaptionShift))/SQRT(SUM(INDEX($FK372:$ID372,1+SwaptionShift):INDEX($FK372:$ID372,SwaptionMonthsToGo+SwaptionShift))*SUM(INDEX($FK$325:$ID$396,GX$169,1+SwaptionShift):INDEX($FK$325:$ID$396,GX$169,SwaptionMonthsToGo+SwaptionShift))))))</f>
        <v/>
      </c>
      <c r="GY217" s="150" t="str">
        <f aca="false">IF(OR(GY$169&lt;SwaptionFirstMonthPosition+1,$FJ217&lt;SwaptionFirstMonthPosition+1,GY$169&gt;SwaptionFirstMonthPosition+SwaptionNumOfMonths+1,$FJ217&gt;SwaptionFirstMonthPosition+SwaptionNumOfMonths+1),"",IF($FJ217=GY$169,1,IF($FJ217&lt;GY$169,INDEX($FK$170:$ID$241,GY$169,$FJ217),SUMPRODUCT(INDEX($FK$325:$ID$396,GY$169,1+SwaptionShift):INDEX($FK$325:$ID$396,GY$169,SwaptionMonthsToGo+SwaptionShift),INDEX($FK$245:$ID$316,$FJ217-GY$169,73-GY$169+SwaptionShift):INDEX($FK$245:$ID$316,$FJ217-GY$169,72-GY$169+SwaptionMonthsToGo+SwaptionShift))/SQRT(SUM(INDEX($FK372:$ID372,1+SwaptionShift):INDEX($FK372:$ID372,SwaptionMonthsToGo+SwaptionShift))*SUM(INDEX($FK$325:$ID$396,GY$169,1+SwaptionShift):INDEX($FK$325:$ID$396,GY$169,SwaptionMonthsToGo+SwaptionShift))))))</f>
        <v/>
      </c>
      <c r="GZ217" s="150" t="str">
        <f aca="false">IF(OR(GZ$169&lt;SwaptionFirstMonthPosition+1,$FJ217&lt;SwaptionFirstMonthPosition+1,GZ$169&gt;SwaptionFirstMonthPosition+SwaptionNumOfMonths+1,$FJ217&gt;SwaptionFirstMonthPosition+SwaptionNumOfMonths+1),"",IF($FJ217=GZ$169,1,IF($FJ217&lt;GZ$169,INDEX($FK$170:$ID$241,GZ$169,$FJ217),SUMPRODUCT(INDEX($FK$325:$ID$396,GZ$169,1+SwaptionShift):INDEX($FK$325:$ID$396,GZ$169,SwaptionMonthsToGo+SwaptionShift),INDEX($FK$245:$ID$316,$FJ217-GZ$169,73-GZ$169+SwaptionShift):INDEX($FK$245:$ID$316,$FJ217-GZ$169,72-GZ$169+SwaptionMonthsToGo+SwaptionShift))/SQRT(SUM(INDEX($FK372:$ID372,1+SwaptionShift):INDEX($FK372:$ID372,SwaptionMonthsToGo+SwaptionShift))*SUM(INDEX($FK$325:$ID$396,GZ$169,1+SwaptionShift):INDEX($FK$325:$ID$396,GZ$169,SwaptionMonthsToGo+SwaptionShift))))))</f>
        <v/>
      </c>
      <c r="HA217" s="150" t="str">
        <f aca="false">IF(OR(HA$169&lt;SwaptionFirstMonthPosition+1,$FJ217&lt;SwaptionFirstMonthPosition+1,HA$169&gt;SwaptionFirstMonthPosition+SwaptionNumOfMonths+1,$FJ217&gt;SwaptionFirstMonthPosition+SwaptionNumOfMonths+1),"",IF($FJ217=HA$169,1,IF($FJ217&lt;HA$169,INDEX($FK$170:$ID$241,HA$169,$FJ217),SUMPRODUCT(INDEX($FK$325:$ID$396,HA$169,1+SwaptionShift):INDEX($FK$325:$ID$396,HA$169,SwaptionMonthsToGo+SwaptionShift),INDEX($FK$245:$ID$316,$FJ217-HA$169,73-HA$169+SwaptionShift):INDEX($FK$245:$ID$316,$FJ217-HA$169,72-HA$169+SwaptionMonthsToGo+SwaptionShift))/SQRT(SUM(INDEX($FK372:$ID372,1+SwaptionShift):INDEX($FK372:$ID372,SwaptionMonthsToGo+SwaptionShift))*SUM(INDEX($FK$325:$ID$396,HA$169,1+SwaptionShift):INDEX($FK$325:$ID$396,HA$169,SwaptionMonthsToGo+SwaptionShift))))))</f>
        <v/>
      </c>
      <c r="HB217" s="150" t="str">
        <f aca="false">IF(OR(HB$169&lt;SwaptionFirstMonthPosition+1,$FJ217&lt;SwaptionFirstMonthPosition+1,HB$169&gt;SwaptionFirstMonthPosition+SwaptionNumOfMonths+1,$FJ217&gt;SwaptionFirstMonthPosition+SwaptionNumOfMonths+1),"",IF($FJ217=HB$169,1,IF($FJ217&lt;HB$169,INDEX($FK$170:$ID$241,HB$169,$FJ217),SUMPRODUCT(INDEX($FK$325:$ID$396,HB$169,1+SwaptionShift):INDEX($FK$325:$ID$396,HB$169,SwaptionMonthsToGo+SwaptionShift),INDEX($FK$245:$ID$316,$FJ217-HB$169,73-HB$169+SwaptionShift):INDEX($FK$245:$ID$316,$FJ217-HB$169,72-HB$169+SwaptionMonthsToGo+SwaptionShift))/SQRT(SUM(INDEX($FK372:$ID372,1+SwaptionShift):INDEX($FK372:$ID372,SwaptionMonthsToGo+SwaptionShift))*SUM(INDEX($FK$325:$ID$396,HB$169,1+SwaptionShift):INDEX($FK$325:$ID$396,HB$169,SwaptionMonthsToGo+SwaptionShift))))))</f>
        <v/>
      </c>
      <c r="HC217" s="150" t="str">
        <f aca="false">IF(OR(HC$169&lt;SwaptionFirstMonthPosition+1,$FJ217&lt;SwaptionFirstMonthPosition+1,HC$169&gt;SwaptionFirstMonthPosition+SwaptionNumOfMonths+1,$FJ217&gt;SwaptionFirstMonthPosition+SwaptionNumOfMonths+1),"",IF($FJ217=HC$169,1,IF($FJ217&lt;HC$169,INDEX($FK$170:$ID$241,HC$169,$FJ217),SUMPRODUCT(INDEX($FK$325:$ID$396,HC$169,1+SwaptionShift):INDEX($FK$325:$ID$396,HC$169,SwaptionMonthsToGo+SwaptionShift),INDEX($FK$245:$ID$316,$FJ217-HC$169,73-HC$169+SwaptionShift):INDEX($FK$245:$ID$316,$FJ217-HC$169,72-HC$169+SwaptionMonthsToGo+SwaptionShift))/SQRT(SUM(INDEX($FK372:$ID372,1+SwaptionShift):INDEX($FK372:$ID372,SwaptionMonthsToGo+SwaptionShift))*SUM(INDEX($FK$325:$ID$396,HC$169,1+SwaptionShift):INDEX($FK$325:$ID$396,HC$169,SwaptionMonthsToGo+SwaptionShift))))))</f>
        <v/>
      </c>
      <c r="HD217" s="150" t="str">
        <f aca="false">IF(OR(HD$169&lt;SwaptionFirstMonthPosition+1,$FJ217&lt;SwaptionFirstMonthPosition+1,HD$169&gt;SwaptionFirstMonthPosition+SwaptionNumOfMonths+1,$FJ217&gt;SwaptionFirstMonthPosition+SwaptionNumOfMonths+1),"",IF($FJ217=HD$169,1,IF($FJ217&lt;HD$169,INDEX($FK$170:$ID$241,HD$169,$FJ217),SUMPRODUCT(INDEX($FK$325:$ID$396,HD$169,1+SwaptionShift):INDEX($FK$325:$ID$396,HD$169,SwaptionMonthsToGo+SwaptionShift),INDEX($FK$245:$ID$316,$FJ217-HD$169,73-HD$169+SwaptionShift):INDEX($FK$245:$ID$316,$FJ217-HD$169,72-HD$169+SwaptionMonthsToGo+SwaptionShift))/SQRT(SUM(INDEX($FK372:$ID372,1+SwaptionShift):INDEX($FK372:$ID372,SwaptionMonthsToGo+SwaptionShift))*SUM(INDEX($FK$325:$ID$396,HD$169,1+SwaptionShift):INDEX($FK$325:$ID$396,HD$169,SwaptionMonthsToGo+SwaptionShift))))))</f>
        <v/>
      </c>
      <c r="HE217" s="150" t="str">
        <f aca="false">IF(OR(HE$169&lt;SwaptionFirstMonthPosition+1,$FJ217&lt;SwaptionFirstMonthPosition+1,HE$169&gt;SwaptionFirstMonthPosition+SwaptionNumOfMonths+1,$FJ217&gt;SwaptionFirstMonthPosition+SwaptionNumOfMonths+1),"",IF($FJ217=HE$169,1,IF($FJ217&lt;HE$169,INDEX($FK$170:$ID$241,HE$169,$FJ217),SUMPRODUCT(INDEX($FK$325:$ID$396,HE$169,1+SwaptionShift):INDEX($FK$325:$ID$396,HE$169,SwaptionMonthsToGo+SwaptionShift),INDEX($FK$245:$ID$316,$FJ217-HE$169,73-HE$169+SwaptionShift):INDEX($FK$245:$ID$316,$FJ217-HE$169,72-HE$169+SwaptionMonthsToGo+SwaptionShift))/SQRT(SUM(INDEX($FK372:$ID372,1+SwaptionShift):INDEX($FK372:$ID372,SwaptionMonthsToGo+SwaptionShift))*SUM(INDEX($FK$325:$ID$396,HE$169,1+SwaptionShift):INDEX($FK$325:$ID$396,HE$169,SwaptionMonthsToGo+SwaptionShift))))))</f>
        <v/>
      </c>
      <c r="HF217" s="150" t="str">
        <f aca="false">IF(OR(HF$169&lt;SwaptionFirstMonthPosition+1,$FJ217&lt;SwaptionFirstMonthPosition+1,HF$169&gt;SwaptionFirstMonthPosition+SwaptionNumOfMonths+1,$FJ217&gt;SwaptionFirstMonthPosition+SwaptionNumOfMonths+1),"",IF($FJ217=HF$169,1,IF($FJ217&lt;HF$169,INDEX($FK$170:$ID$241,HF$169,$FJ217),SUMPRODUCT(INDEX($FK$325:$ID$396,HF$169,1+SwaptionShift):INDEX($FK$325:$ID$396,HF$169,SwaptionMonthsToGo+SwaptionShift),INDEX($FK$245:$ID$316,$FJ217-HF$169,73-HF$169+SwaptionShift):INDEX($FK$245:$ID$316,$FJ217-HF$169,72-HF$169+SwaptionMonthsToGo+SwaptionShift))/SQRT(SUM(INDEX($FK372:$ID372,1+SwaptionShift):INDEX($FK372:$ID372,SwaptionMonthsToGo+SwaptionShift))*SUM(INDEX($FK$325:$ID$396,HF$169,1+SwaptionShift):INDEX($FK$325:$ID$396,HF$169,SwaptionMonthsToGo+SwaptionShift))))))</f>
        <v/>
      </c>
      <c r="HG217" s="150" t="str">
        <f aca="false">IF(OR(HG$169&lt;SwaptionFirstMonthPosition+1,$FJ217&lt;SwaptionFirstMonthPosition+1,HG$169&gt;SwaptionFirstMonthPosition+SwaptionNumOfMonths+1,$FJ217&gt;SwaptionFirstMonthPosition+SwaptionNumOfMonths+1),"",IF($FJ217=HG$169,1,IF($FJ217&lt;HG$169,INDEX($FK$170:$ID$241,HG$169,$FJ217),SUMPRODUCT(INDEX($FK$325:$ID$396,HG$169,1+SwaptionShift):INDEX($FK$325:$ID$396,HG$169,SwaptionMonthsToGo+SwaptionShift),INDEX($FK$245:$ID$316,$FJ217-HG$169,73-HG$169+SwaptionShift):INDEX($FK$245:$ID$316,$FJ217-HG$169,72-HG$169+SwaptionMonthsToGo+SwaptionShift))/SQRT(SUM(INDEX($FK372:$ID372,1+SwaptionShift):INDEX($FK372:$ID372,SwaptionMonthsToGo+SwaptionShift))*SUM(INDEX($FK$325:$ID$396,HG$169,1+SwaptionShift):INDEX($FK$325:$ID$396,HG$169,SwaptionMonthsToGo+SwaptionShift))))))</f>
        <v/>
      </c>
      <c r="HH217" s="150" t="str">
        <f aca="false">IF(OR(HH$169&lt;SwaptionFirstMonthPosition+1,$FJ217&lt;SwaptionFirstMonthPosition+1,HH$169&gt;SwaptionFirstMonthPosition+SwaptionNumOfMonths+1,$FJ217&gt;SwaptionFirstMonthPosition+SwaptionNumOfMonths+1),"",IF($FJ217=HH$169,1,IF($FJ217&lt;HH$169,INDEX($FK$170:$ID$241,HH$169,$FJ217),SUMPRODUCT(INDEX($FK$325:$ID$396,HH$169,1+SwaptionShift):INDEX($FK$325:$ID$396,HH$169,SwaptionMonthsToGo+SwaptionShift),INDEX($FK$245:$ID$316,$FJ217-HH$169,73-HH$169+SwaptionShift):INDEX($FK$245:$ID$316,$FJ217-HH$169,72-HH$169+SwaptionMonthsToGo+SwaptionShift))/SQRT(SUM(INDEX($FK372:$ID372,1+SwaptionShift):INDEX($FK372:$ID372,SwaptionMonthsToGo+SwaptionShift))*SUM(INDEX($FK$325:$ID$396,HH$169,1+SwaptionShift):INDEX($FK$325:$ID$396,HH$169,SwaptionMonthsToGo+SwaptionShift))))))</f>
        <v/>
      </c>
      <c r="HI217" s="150" t="str">
        <f aca="false">IF(OR(HI$169&lt;SwaptionFirstMonthPosition+1,$FJ217&lt;SwaptionFirstMonthPosition+1,HI$169&gt;SwaptionFirstMonthPosition+SwaptionNumOfMonths+1,$FJ217&gt;SwaptionFirstMonthPosition+SwaptionNumOfMonths+1),"",IF($FJ217=HI$169,1,IF($FJ217&lt;HI$169,INDEX($FK$170:$ID$241,HI$169,$FJ217),SUMPRODUCT(INDEX($FK$325:$ID$396,HI$169,1+SwaptionShift):INDEX($FK$325:$ID$396,HI$169,SwaptionMonthsToGo+SwaptionShift),INDEX($FK$245:$ID$316,$FJ217-HI$169,73-HI$169+SwaptionShift):INDEX($FK$245:$ID$316,$FJ217-HI$169,72-HI$169+SwaptionMonthsToGo+SwaptionShift))/SQRT(SUM(INDEX($FK372:$ID372,1+SwaptionShift):INDEX($FK372:$ID372,SwaptionMonthsToGo+SwaptionShift))*SUM(INDEX($FK$325:$ID$396,HI$169,1+SwaptionShift):INDEX($FK$325:$ID$396,HI$169,SwaptionMonthsToGo+SwaptionShift))))))</f>
        <v/>
      </c>
      <c r="HJ217" s="150" t="str">
        <f aca="false">IF(OR(HJ$169&lt;SwaptionFirstMonthPosition+1,$FJ217&lt;SwaptionFirstMonthPosition+1,HJ$169&gt;SwaptionFirstMonthPosition+SwaptionNumOfMonths+1,$FJ217&gt;SwaptionFirstMonthPosition+SwaptionNumOfMonths+1),"",IF($FJ217=HJ$169,1,IF($FJ217&lt;HJ$169,INDEX($FK$170:$ID$241,HJ$169,$FJ217),SUMPRODUCT(INDEX($FK$325:$ID$396,HJ$169,1+SwaptionShift):INDEX($FK$325:$ID$396,HJ$169,SwaptionMonthsToGo+SwaptionShift),INDEX($FK$245:$ID$316,$FJ217-HJ$169,73-HJ$169+SwaptionShift):INDEX($FK$245:$ID$316,$FJ217-HJ$169,72-HJ$169+SwaptionMonthsToGo+SwaptionShift))/SQRT(SUM(INDEX($FK372:$ID372,1+SwaptionShift):INDEX($FK372:$ID372,SwaptionMonthsToGo+SwaptionShift))*SUM(INDEX($FK$325:$ID$396,HJ$169,1+SwaptionShift):INDEX($FK$325:$ID$396,HJ$169,SwaptionMonthsToGo+SwaptionShift))))))</f>
        <v/>
      </c>
      <c r="HK217" s="150" t="str">
        <f aca="false">IF(OR(HK$169&lt;SwaptionFirstMonthPosition+1,$FJ217&lt;SwaptionFirstMonthPosition+1,HK$169&gt;SwaptionFirstMonthPosition+SwaptionNumOfMonths+1,$FJ217&gt;SwaptionFirstMonthPosition+SwaptionNumOfMonths+1),"",IF($FJ217=HK$169,1,IF($FJ217&lt;HK$169,INDEX($FK$170:$ID$241,HK$169,$FJ217),SUMPRODUCT(INDEX($FK$325:$ID$396,HK$169,1+SwaptionShift):INDEX($FK$325:$ID$396,HK$169,SwaptionMonthsToGo+SwaptionShift),INDEX($FK$245:$ID$316,$FJ217-HK$169,73-HK$169+SwaptionShift):INDEX($FK$245:$ID$316,$FJ217-HK$169,72-HK$169+SwaptionMonthsToGo+SwaptionShift))/SQRT(SUM(INDEX($FK372:$ID372,1+SwaptionShift):INDEX($FK372:$ID372,SwaptionMonthsToGo+SwaptionShift))*SUM(INDEX($FK$325:$ID$396,HK$169,1+SwaptionShift):INDEX($FK$325:$ID$396,HK$169,SwaptionMonthsToGo+SwaptionShift))))))</f>
        <v/>
      </c>
      <c r="HL217" s="150" t="str">
        <f aca="false">IF(OR(HL$169&lt;SwaptionFirstMonthPosition+1,$FJ217&lt;SwaptionFirstMonthPosition+1,HL$169&gt;SwaptionFirstMonthPosition+SwaptionNumOfMonths+1,$FJ217&gt;SwaptionFirstMonthPosition+SwaptionNumOfMonths+1),"",IF($FJ217=HL$169,1,IF($FJ217&lt;HL$169,INDEX($FK$170:$ID$241,HL$169,$FJ217),SUMPRODUCT(INDEX($FK$325:$ID$396,HL$169,1+SwaptionShift):INDEX($FK$325:$ID$396,HL$169,SwaptionMonthsToGo+SwaptionShift),INDEX($FK$245:$ID$316,$FJ217-HL$169,73-HL$169+SwaptionShift):INDEX($FK$245:$ID$316,$FJ217-HL$169,72-HL$169+SwaptionMonthsToGo+SwaptionShift))/SQRT(SUM(INDEX($FK372:$ID372,1+SwaptionShift):INDEX($FK372:$ID372,SwaptionMonthsToGo+SwaptionShift))*SUM(INDEX($FK$325:$ID$396,HL$169,1+SwaptionShift):INDEX($FK$325:$ID$396,HL$169,SwaptionMonthsToGo+SwaptionShift))))))</f>
        <v/>
      </c>
      <c r="HM217" s="150" t="str">
        <f aca="false">IF(OR(HM$169&lt;SwaptionFirstMonthPosition+1,$FJ217&lt;SwaptionFirstMonthPosition+1,HM$169&gt;SwaptionFirstMonthPosition+SwaptionNumOfMonths+1,$FJ217&gt;SwaptionFirstMonthPosition+SwaptionNumOfMonths+1),"",IF($FJ217=HM$169,1,IF($FJ217&lt;HM$169,INDEX($FK$170:$ID$241,HM$169,$FJ217),SUMPRODUCT(INDEX($FK$325:$ID$396,HM$169,1+SwaptionShift):INDEX($FK$325:$ID$396,HM$169,SwaptionMonthsToGo+SwaptionShift),INDEX($FK$245:$ID$316,$FJ217-HM$169,73-HM$169+SwaptionShift):INDEX($FK$245:$ID$316,$FJ217-HM$169,72-HM$169+SwaptionMonthsToGo+SwaptionShift))/SQRT(SUM(INDEX($FK372:$ID372,1+SwaptionShift):INDEX($FK372:$ID372,SwaptionMonthsToGo+SwaptionShift))*SUM(INDEX($FK$325:$ID$396,HM$169,1+SwaptionShift):INDEX($FK$325:$ID$396,HM$169,SwaptionMonthsToGo+SwaptionShift))))))</f>
        <v/>
      </c>
      <c r="HN217" s="150" t="str">
        <f aca="false">IF(OR(HN$169&lt;SwaptionFirstMonthPosition+1,$FJ217&lt;SwaptionFirstMonthPosition+1,HN$169&gt;SwaptionFirstMonthPosition+SwaptionNumOfMonths+1,$FJ217&gt;SwaptionFirstMonthPosition+SwaptionNumOfMonths+1),"",IF($FJ217=HN$169,1,IF($FJ217&lt;HN$169,INDEX($FK$170:$ID$241,HN$169,$FJ217),SUMPRODUCT(INDEX($FK$325:$ID$396,HN$169,1+SwaptionShift):INDEX($FK$325:$ID$396,HN$169,SwaptionMonthsToGo+SwaptionShift),INDEX($FK$245:$ID$316,$FJ217-HN$169,73-HN$169+SwaptionShift):INDEX($FK$245:$ID$316,$FJ217-HN$169,72-HN$169+SwaptionMonthsToGo+SwaptionShift))/SQRT(SUM(INDEX($FK372:$ID372,1+SwaptionShift):INDEX($FK372:$ID372,SwaptionMonthsToGo+SwaptionShift))*SUM(INDEX($FK$325:$ID$396,HN$169,1+SwaptionShift):INDEX($FK$325:$ID$396,HN$169,SwaptionMonthsToGo+SwaptionShift))))))</f>
        <v/>
      </c>
      <c r="HO217" s="150" t="str">
        <f aca="false">IF(OR(HO$169&lt;SwaptionFirstMonthPosition+1,$FJ217&lt;SwaptionFirstMonthPosition+1,HO$169&gt;SwaptionFirstMonthPosition+SwaptionNumOfMonths+1,$FJ217&gt;SwaptionFirstMonthPosition+SwaptionNumOfMonths+1),"",IF($FJ217=HO$169,1,IF($FJ217&lt;HO$169,INDEX($FK$170:$ID$241,HO$169,$FJ217),SUMPRODUCT(INDEX($FK$325:$ID$396,HO$169,1+SwaptionShift):INDEX($FK$325:$ID$396,HO$169,SwaptionMonthsToGo+SwaptionShift),INDEX($FK$245:$ID$316,$FJ217-HO$169,73-HO$169+SwaptionShift):INDEX($FK$245:$ID$316,$FJ217-HO$169,72-HO$169+SwaptionMonthsToGo+SwaptionShift))/SQRT(SUM(INDEX($FK372:$ID372,1+SwaptionShift):INDEX($FK372:$ID372,SwaptionMonthsToGo+SwaptionShift))*SUM(INDEX($FK$325:$ID$396,HO$169,1+SwaptionShift):INDEX($FK$325:$ID$396,HO$169,SwaptionMonthsToGo+SwaptionShift))))))</f>
        <v/>
      </c>
      <c r="HP217" s="150" t="str">
        <f aca="false">IF(OR(HP$169&lt;SwaptionFirstMonthPosition+1,$FJ217&lt;SwaptionFirstMonthPosition+1,HP$169&gt;SwaptionFirstMonthPosition+SwaptionNumOfMonths+1,$FJ217&gt;SwaptionFirstMonthPosition+SwaptionNumOfMonths+1),"",IF($FJ217=HP$169,1,IF($FJ217&lt;HP$169,INDEX($FK$170:$ID$241,HP$169,$FJ217),SUMPRODUCT(INDEX($FK$325:$ID$396,HP$169,1+SwaptionShift):INDEX($FK$325:$ID$396,HP$169,SwaptionMonthsToGo+SwaptionShift),INDEX($FK$245:$ID$316,$FJ217-HP$169,73-HP$169+SwaptionShift):INDEX($FK$245:$ID$316,$FJ217-HP$169,72-HP$169+SwaptionMonthsToGo+SwaptionShift))/SQRT(SUM(INDEX($FK372:$ID372,1+SwaptionShift):INDEX($FK372:$ID372,SwaptionMonthsToGo+SwaptionShift))*SUM(INDEX($FK$325:$ID$396,HP$169,1+SwaptionShift):INDEX($FK$325:$ID$396,HP$169,SwaptionMonthsToGo+SwaptionShift))))))</f>
        <v/>
      </c>
      <c r="HQ217" s="150" t="str">
        <f aca="false">IF(OR(HQ$169&lt;SwaptionFirstMonthPosition+1,$FJ217&lt;SwaptionFirstMonthPosition+1,HQ$169&gt;SwaptionFirstMonthPosition+SwaptionNumOfMonths+1,$FJ217&gt;SwaptionFirstMonthPosition+SwaptionNumOfMonths+1),"",IF($FJ217=HQ$169,1,IF($FJ217&lt;HQ$169,INDEX($FK$170:$ID$241,HQ$169,$FJ217),SUMPRODUCT(INDEX($FK$325:$ID$396,HQ$169,1+SwaptionShift):INDEX($FK$325:$ID$396,HQ$169,SwaptionMonthsToGo+SwaptionShift),INDEX($FK$245:$ID$316,$FJ217-HQ$169,73-HQ$169+SwaptionShift):INDEX($FK$245:$ID$316,$FJ217-HQ$169,72-HQ$169+SwaptionMonthsToGo+SwaptionShift))/SQRT(SUM(INDEX($FK372:$ID372,1+SwaptionShift):INDEX($FK372:$ID372,SwaptionMonthsToGo+SwaptionShift))*SUM(INDEX($FK$325:$ID$396,HQ$169,1+SwaptionShift):INDEX($FK$325:$ID$396,HQ$169,SwaptionMonthsToGo+SwaptionShift))))))</f>
        <v/>
      </c>
      <c r="HR217" s="150" t="str">
        <f aca="false">IF(OR(HR$169&lt;SwaptionFirstMonthPosition+1,$FJ217&lt;SwaptionFirstMonthPosition+1,HR$169&gt;SwaptionFirstMonthPosition+SwaptionNumOfMonths+1,$FJ217&gt;SwaptionFirstMonthPosition+SwaptionNumOfMonths+1),"",IF($FJ217=HR$169,1,IF($FJ217&lt;HR$169,INDEX($FK$170:$ID$241,HR$169,$FJ217),SUMPRODUCT(INDEX($FK$325:$ID$396,HR$169,1+SwaptionShift):INDEX($FK$325:$ID$396,HR$169,SwaptionMonthsToGo+SwaptionShift),INDEX($FK$245:$ID$316,$FJ217-HR$169,73-HR$169+SwaptionShift):INDEX($FK$245:$ID$316,$FJ217-HR$169,72-HR$169+SwaptionMonthsToGo+SwaptionShift))/SQRT(SUM(INDEX($FK372:$ID372,1+SwaptionShift):INDEX($FK372:$ID372,SwaptionMonthsToGo+SwaptionShift))*SUM(INDEX($FK$325:$ID$396,HR$169,1+SwaptionShift):INDEX($FK$325:$ID$396,HR$169,SwaptionMonthsToGo+SwaptionShift))))))</f>
        <v/>
      </c>
      <c r="HS217" s="150" t="str">
        <f aca="false">IF(OR(HS$169&lt;SwaptionFirstMonthPosition+1,$FJ217&lt;SwaptionFirstMonthPosition+1,HS$169&gt;SwaptionFirstMonthPosition+SwaptionNumOfMonths+1,$FJ217&gt;SwaptionFirstMonthPosition+SwaptionNumOfMonths+1),"",IF($FJ217=HS$169,1,IF($FJ217&lt;HS$169,INDEX($FK$170:$ID$241,HS$169,$FJ217),SUMPRODUCT(INDEX($FK$325:$ID$396,HS$169,1+SwaptionShift):INDEX($FK$325:$ID$396,HS$169,SwaptionMonthsToGo+SwaptionShift),INDEX($FK$245:$ID$316,$FJ217-HS$169,73-HS$169+SwaptionShift):INDEX($FK$245:$ID$316,$FJ217-HS$169,72-HS$169+SwaptionMonthsToGo+SwaptionShift))/SQRT(SUM(INDEX($FK372:$ID372,1+SwaptionShift):INDEX($FK372:$ID372,SwaptionMonthsToGo+SwaptionShift))*SUM(INDEX($FK$325:$ID$396,HS$169,1+SwaptionShift):INDEX($FK$325:$ID$396,HS$169,SwaptionMonthsToGo+SwaptionShift))))))</f>
        <v/>
      </c>
      <c r="HT217" s="150" t="str">
        <f aca="false">IF(OR(HT$169&lt;SwaptionFirstMonthPosition+1,$FJ217&lt;SwaptionFirstMonthPosition+1,HT$169&gt;SwaptionFirstMonthPosition+SwaptionNumOfMonths+1,$FJ217&gt;SwaptionFirstMonthPosition+SwaptionNumOfMonths+1),"",IF($FJ217=HT$169,1,IF($FJ217&lt;HT$169,INDEX($FK$170:$ID$241,HT$169,$FJ217),SUMPRODUCT(INDEX($FK$325:$ID$396,HT$169,1+SwaptionShift):INDEX($FK$325:$ID$396,HT$169,SwaptionMonthsToGo+SwaptionShift),INDEX($FK$245:$ID$316,$FJ217-HT$169,73-HT$169+SwaptionShift):INDEX($FK$245:$ID$316,$FJ217-HT$169,72-HT$169+SwaptionMonthsToGo+SwaptionShift))/SQRT(SUM(INDEX($FK372:$ID372,1+SwaptionShift):INDEX($FK372:$ID372,SwaptionMonthsToGo+SwaptionShift))*SUM(INDEX($FK$325:$ID$396,HT$169,1+SwaptionShift):INDEX($FK$325:$ID$396,HT$169,SwaptionMonthsToGo+SwaptionShift))))))</f>
        <v/>
      </c>
      <c r="HU217" s="150" t="str">
        <f aca="false">IF(OR(HU$169&lt;SwaptionFirstMonthPosition+1,$FJ217&lt;SwaptionFirstMonthPosition+1,HU$169&gt;SwaptionFirstMonthPosition+SwaptionNumOfMonths+1,$FJ217&gt;SwaptionFirstMonthPosition+SwaptionNumOfMonths+1),"",IF($FJ217=HU$169,1,IF($FJ217&lt;HU$169,INDEX($FK$170:$ID$241,HU$169,$FJ217),SUMPRODUCT(INDEX($FK$325:$ID$396,HU$169,1+SwaptionShift):INDEX($FK$325:$ID$396,HU$169,SwaptionMonthsToGo+SwaptionShift),INDEX($FK$245:$ID$316,$FJ217-HU$169,73-HU$169+SwaptionShift):INDEX($FK$245:$ID$316,$FJ217-HU$169,72-HU$169+SwaptionMonthsToGo+SwaptionShift))/SQRT(SUM(INDEX($FK372:$ID372,1+SwaptionShift):INDEX($FK372:$ID372,SwaptionMonthsToGo+SwaptionShift))*SUM(INDEX($FK$325:$ID$396,HU$169,1+SwaptionShift):INDEX($FK$325:$ID$396,HU$169,SwaptionMonthsToGo+SwaptionShift))))))</f>
        <v/>
      </c>
      <c r="HV217" s="150" t="str">
        <f aca="false">IF(OR(HV$169&lt;SwaptionFirstMonthPosition+1,$FJ217&lt;SwaptionFirstMonthPosition+1,HV$169&gt;SwaptionFirstMonthPosition+SwaptionNumOfMonths+1,$FJ217&gt;SwaptionFirstMonthPosition+SwaptionNumOfMonths+1),"",IF($FJ217=HV$169,1,IF($FJ217&lt;HV$169,INDEX($FK$170:$ID$241,HV$169,$FJ217),SUMPRODUCT(INDEX($FK$325:$ID$396,HV$169,1+SwaptionShift):INDEX($FK$325:$ID$396,HV$169,SwaptionMonthsToGo+SwaptionShift),INDEX($FK$245:$ID$316,$FJ217-HV$169,73-HV$169+SwaptionShift):INDEX($FK$245:$ID$316,$FJ217-HV$169,72-HV$169+SwaptionMonthsToGo+SwaptionShift))/SQRT(SUM(INDEX($FK372:$ID372,1+SwaptionShift):INDEX($FK372:$ID372,SwaptionMonthsToGo+SwaptionShift))*SUM(INDEX($FK$325:$ID$396,HV$169,1+SwaptionShift):INDEX($FK$325:$ID$396,HV$169,SwaptionMonthsToGo+SwaptionShift))))))</f>
        <v/>
      </c>
      <c r="HW217" s="150" t="str">
        <f aca="false">IF(OR(HW$169&lt;SwaptionFirstMonthPosition+1,$FJ217&lt;SwaptionFirstMonthPosition+1,HW$169&gt;SwaptionFirstMonthPosition+SwaptionNumOfMonths+1,$FJ217&gt;SwaptionFirstMonthPosition+SwaptionNumOfMonths+1),"",IF($FJ217=HW$169,1,IF($FJ217&lt;HW$169,INDEX($FK$170:$ID$241,HW$169,$FJ217),SUMPRODUCT(INDEX($FK$325:$ID$396,HW$169,1+SwaptionShift):INDEX($FK$325:$ID$396,HW$169,SwaptionMonthsToGo+SwaptionShift),INDEX($FK$245:$ID$316,$FJ217-HW$169,73-HW$169+SwaptionShift):INDEX($FK$245:$ID$316,$FJ217-HW$169,72-HW$169+SwaptionMonthsToGo+SwaptionShift))/SQRT(SUM(INDEX($FK372:$ID372,1+SwaptionShift):INDEX($FK372:$ID372,SwaptionMonthsToGo+SwaptionShift))*SUM(INDEX($FK$325:$ID$396,HW$169,1+SwaptionShift):INDEX($FK$325:$ID$396,HW$169,SwaptionMonthsToGo+SwaptionShift))))))</f>
        <v/>
      </c>
      <c r="HX217" s="150" t="str">
        <f aca="false">IF(OR(HX$169&lt;SwaptionFirstMonthPosition+1,$FJ217&lt;SwaptionFirstMonthPosition+1,HX$169&gt;SwaptionFirstMonthPosition+SwaptionNumOfMonths+1,$FJ217&gt;SwaptionFirstMonthPosition+SwaptionNumOfMonths+1),"",IF($FJ217=HX$169,1,IF($FJ217&lt;HX$169,INDEX($FK$170:$ID$241,HX$169,$FJ217),SUMPRODUCT(INDEX($FK$325:$ID$396,HX$169,1+SwaptionShift):INDEX($FK$325:$ID$396,HX$169,SwaptionMonthsToGo+SwaptionShift),INDEX($FK$245:$ID$316,$FJ217-HX$169,73-HX$169+SwaptionShift):INDEX($FK$245:$ID$316,$FJ217-HX$169,72-HX$169+SwaptionMonthsToGo+SwaptionShift))/SQRT(SUM(INDEX($FK372:$ID372,1+SwaptionShift):INDEX($FK372:$ID372,SwaptionMonthsToGo+SwaptionShift))*SUM(INDEX($FK$325:$ID$396,HX$169,1+SwaptionShift):INDEX($FK$325:$ID$396,HX$169,SwaptionMonthsToGo+SwaptionShift))))))</f>
        <v/>
      </c>
      <c r="HY217" s="150" t="str">
        <f aca="false">IF(OR(HY$169&lt;SwaptionFirstMonthPosition+1,$FJ217&lt;SwaptionFirstMonthPosition+1,HY$169&gt;SwaptionFirstMonthPosition+SwaptionNumOfMonths+1,$FJ217&gt;SwaptionFirstMonthPosition+SwaptionNumOfMonths+1),"",IF($FJ217=HY$169,1,IF($FJ217&lt;HY$169,INDEX($FK$170:$ID$241,HY$169,$FJ217),SUMPRODUCT(INDEX($FK$325:$ID$396,HY$169,1+SwaptionShift):INDEX($FK$325:$ID$396,HY$169,SwaptionMonthsToGo+SwaptionShift),INDEX($FK$245:$ID$316,$FJ217-HY$169,73-HY$169+SwaptionShift):INDEX($FK$245:$ID$316,$FJ217-HY$169,72-HY$169+SwaptionMonthsToGo+SwaptionShift))/SQRT(SUM(INDEX($FK372:$ID372,1+SwaptionShift):INDEX($FK372:$ID372,SwaptionMonthsToGo+SwaptionShift))*SUM(INDEX($FK$325:$ID$396,HY$169,1+SwaptionShift):INDEX($FK$325:$ID$396,HY$169,SwaptionMonthsToGo+SwaptionShift))))))</f>
        <v/>
      </c>
      <c r="HZ217" s="150" t="str">
        <f aca="false">IF(OR(HZ$169&lt;SwaptionFirstMonthPosition+1,$FJ217&lt;SwaptionFirstMonthPosition+1,HZ$169&gt;SwaptionFirstMonthPosition+SwaptionNumOfMonths+1,$FJ217&gt;SwaptionFirstMonthPosition+SwaptionNumOfMonths+1),"",IF($FJ217=HZ$169,1,IF($FJ217&lt;HZ$169,INDEX($FK$170:$ID$241,HZ$169,$FJ217),SUMPRODUCT(INDEX($FK$325:$ID$396,HZ$169,1+SwaptionShift):INDEX($FK$325:$ID$396,HZ$169,SwaptionMonthsToGo+SwaptionShift),INDEX($FK$245:$ID$316,$FJ217-HZ$169,73-HZ$169+SwaptionShift):INDEX($FK$245:$ID$316,$FJ217-HZ$169,72-HZ$169+SwaptionMonthsToGo+SwaptionShift))/SQRT(SUM(INDEX($FK372:$ID372,1+SwaptionShift):INDEX($FK372:$ID372,SwaptionMonthsToGo+SwaptionShift))*SUM(INDEX($FK$325:$ID$396,HZ$169,1+SwaptionShift):INDEX($FK$325:$ID$396,HZ$169,SwaptionMonthsToGo+SwaptionShift))))))</f>
        <v/>
      </c>
      <c r="IA217" s="150" t="str">
        <f aca="false">IF(OR(IA$169&lt;SwaptionFirstMonthPosition+1,$FJ217&lt;SwaptionFirstMonthPosition+1,IA$169&gt;SwaptionFirstMonthPosition+SwaptionNumOfMonths+1,$FJ217&gt;SwaptionFirstMonthPosition+SwaptionNumOfMonths+1),"",IF($FJ217=IA$169,1,IF($FJ217&lt;IA$169,INDEX($FK$170:$ID$241,IA$169,$FJ217),SUMPRODUCT(INDEX($FK$325:$ID$396,IA$169,1+SwaptionShift):INDEX($FK$325:$ID$396,IA$169,SwaptionMonthsToGo+SwaptionShift),INDEX($FK$245:$ID$316,$FJ217-IA$169,73-IA$169+SwaptionShift):INDEX($FK$245:$ID$316,$FJ217-IA$169,72-IA$169+SwaptionMonthsToGo+SwaptionShift))/SQRT(SUM(INDEX($FK372:$ID372,1+SwaptionShift):INDEX($FK372:$ID372,SwaptionMonthsToGo+SwaptionShift))*SUM(INDEX($FK$325:$ID$396,IA$169,1+SwaptionShift):INDEX($FK$325:$ID$396,IA$169,SwaptionMonthsToGo+SwaptionShift))))))</f>
        <v/>
      </c>
      <c r="IB217" s="150" t="str">
        <f aca="false">IF(OR(IB$169&lt;SwaptionFirstMonthPosition+1,$FJ217&lt;SwaptionFirstMonthPosition+1,IB$169&gt;SwaptionFirstMonthPosition+SwaptionNumOfMonths+1,$FJ217&gt;SwaptionFirstMonthPosition+SwaptionNumOfMonths+1),"",IF($FJ217=IB$169,1,IF($FJ217&lt;IB$169,INDEX($FK$170:$ID$241,IB$169,$FJ217),SUMPRODUCT(INDEX($FK$325:$ID$396,IB$169,1+SwaptionShift):INDEX($FK$325:$ID$396,IB$169,SwaptionMonthsToGo+SwaptionShift),INDEX($FK$245:$ID$316,$FJ217-IB$169,73-IB$169+SwaptionShift):INDEX($FK$245:$ID$316,$FJ217-IB$169,72-IB$169+SwaptionMonthsToGo+SwaptionShift))/SQRT(SUM(INDEX($FK372:$ID372,1+SwaptionShift):INDEX($FK372:$ID372,SwaptionMonthsToGo+SwaptionShift))*SUM(INDEX($FK$325:$ID$396,IB$169,1+SwaptionShift):INDEX($FK$325:$ID$396,IB$169,SwaptionMonthsToGo+SwaptionShift))))))</f>
        <v/>
      </c>
      <c r="IC217" s="150" t="str">
        <f aca="false">IF(OR(IC$169&lt;SwaptionFirstMonthPosition+1,$FJ217&lt;SwaptionFirstMonthPosition+1,IC$169&gt;SwaptionFirstMonthPosition+SwaptionNumOfMonths+1,$FJ217&gt;SwaptionFirstMonthPosition+SwaptionNumOfMonths+1),"",IF($FJ217=IC$169,1,IF($FJ217&lt;IC$169,INDEX($FK$170:$ID$241,IC$169,$FJ217),SUMPRODUCT(INDEX($FK$325:$ID$396,IC$169,1+SwaptionShift):INDEX($FK$325:$ID$396,IC$169,SwaptionMonthsToGo+SwaptionShift),INDEX($FK$245:$ID$316,$FJ217-IC$169,73-IC$169+SwaptionShift):INDEX($FK$245:$ID$316,$FJ217-IC$169,72-IC$169+SwaptionMonthsToGo+SwaptionShift))/SQRT(SUM(INDEX($FK372:$ID372,1+SwaptionShift):INDEX($FK372:$ID372,SwaptionMonthsToGo+SwaptionShift))*SUM(INDEX($FK$325:$ID$396,IC$169,1+SwaptionShift):INDEX($FK$325:$ID$396,IC$169,SwaptionMonthsToGo+SwaptionShift))))))</f>
        <v/>
      </c>
      <c r="ID217" s="572" t="str">
        <f aca="false">IF(OR(ID$169&lt;SwaptionFirstMonthPosition+1,$FJ217&lt;SwaptionFirstMonthPosition+1,ID$169&gt;SwaptionFirstMonthPosition+SwaptionNumOfMonths+1,$FJ217&gt;SwaptionFirstMonthPosition+SwaptionNumOfMonths+1),"",IF($FJ217=ID$169,1,IF($FJ217&lt;ID$169,INDEX($FK$170:$ID$241,ID$169,$FJ217),SUMPRODUCT(INDEX($FK$325:$ID$396,ID$169,1+SwaptionShift):INDEX($FK$325:$ID$396,ID$169,SwaptionMonthsToGo+SwaptionShift),INDEX($FK$245:$ID$316,$FJ217-ID$169,73-ID$169+SwaptionShift):INDEX($FK$245:$ID$316,$FJ217-ID$169,72-ID$169+SwaptionMonthsToGo+SwaptionShift))/SQRT(SUM(INDEX($FK372:$ID372,1+SwaptionShift):INDEX($FK372:$ID372,SwaptionMonthsToGo+SwaptionShift))*SUM(INDEX($FK$325:$ID$396,ID$169,1+SwaptionShift):INDEX($FK$325:$ID$396,ID$169,SwaptionMonthsToGo+SwaptionShift))))))</f>
        <v/>
      </c>
      <c r="IE217" s="129"/>
    </row>
    <row r="218" customFormat="false" ht="12.75" hidden="false" customHeight="false" outlineLevel="0" collapsed="false">
      <c r="H218" s="219" t="n">
        <f aca="false">VLOOKUP(I218,$EJ$20:$EL$54,3)</f>
        <v>0</v>
      </c>
      <c r="I218" s="511" t="n">
        <f aca="false">EOMONTH(I217,0)+1</f>
        <v>42795</v>
      </c>
      <c r="J218" s="512"/>
      <c r="K218" s="513" t="s">
        <v>280</v>
      </c>
      <c r="L218" s="514" t="n">
        <f aca="false">IF(ISNUMBER(K218),J218+K218/100,IF(K218="extra",L217+VLOOKUP(BF218,PriceSpreadTable,2)/12,IF(K218="inter",interpolateprices($K$19:$L$200,ROW(K218)-ROW(FirstPricingMonth)+1),interpolatechanges($J$19:$K$200,ROW(K218)-ROW(FirstPricingMonth)+1))))</f>
        <v>4.575</v>
      </c>
      <c r="M218" s="515"/>
      <c r="N218" s="516" t="n">
        <v>0</v>
      </c>
      <c r="O218" s="515" t="n">
        <f aca="false">M218+N218</f>
        <v>0</v>
      </c>
      <c r="P218" s="512"/>
      <c r="Q218" s="513" t="s">
        <v>280</v>
      </c>
      <c r="R218" s="512" t="e">
        <f aca="false">IF(ISNUMBER(Q218),P218+Q218/100,IF(Q218="extra",(Z216*AL216-R217*AM216)/AN216,IF(Q218="inter",interpolateprices($Q$19:$R$260,ROW(Q218)-ROW(FirstPricingMonth)+1),interpolatechanges($P$19:$Q$260,ROW(Q218)-ROW(FirstPricingMonth)+1))))</f>
        <v>#VALUE!</v>
      </c>
      <c r="S218" s="597" t="n">
        <f aca="false">S$19+(S217-S$19)*S$18</f>
        <v>0.36</v>
      </c>
      <c r="T218" s="575" t="n">
        <f aca="false">SQRT((1-(1-T217^2/U217)*T$18)*U218)</f>
        <v>0.999999999999996</v>
      </c>
      <c r="U218" s="576" t="n">
        <f aca="false">1-(1-U217)*U$18</f>
        <v>1</v>
      </c>
      <c r="V218" s="521" t="n">
        <v>0</v>
      </c>
      <c r="W218" s="577" t="n">
        <f aca="false">(J219*AJ218+J220*AK218)/AI218</f>
        <v>0</v>
      </c>
      <c r="X218" s="578" t="n">
        <f aca="false">(L219*AJ218+L220*AK218)/AI218</f>
        <v>4.62717391304348</v>
      </c>
      <c r="Y218" s="579" t="n">
        <f aca="false">IF(Q220="extra",W218-AA218,(P219*AM218+P220*AN218)/AL218)</f>
        <v>-1.1685</v>
      </c>
      <c r="Z218" s="579" t="n">
        <f aca="false">IF(Q220="extra",X218-AB218,(R219*AM218+R220*AN218)/AL218)</f>
        <v>3.45867391304348</v>
      </c>
      <c r="AA218" s="523" t="n">
        <f aca="false">IF(Q220="extra",INDEX(BrentSeasonalityTable,INT((BG218-1)/3)+1)*VLOOKUP(MAX(BF218,$AB$4),PriceSpreadTable,3),W218-Y218)</f>
        <v>1.1685</v>
      </c>
      <c r="AB218" s="524" t="n">
        <f aca="false">IF(Q220="extra",INDEX(BrentSeasonalityTable,INT((BG218-1)/3)+1)*VLOOKUP(MAX(BF218,$AB$4),PriceSpreadTable,3),X218-Z218)</f>
        <v>1.1685</v>
      </c>
      <c r="AC218" s="646" t="n">
        <v>42786</v>
      </c>
      <c r="AD218" s="646" t="n">
        <v>42782</v>
      </c>
      <c r="AE218" s="646" t="n">
        <v>42781</v>
      </c>
      <c r="AF218" s="646" t="n">
        <v>42777</v>
      </c>
      <c r="AG218" s="438" t="s">
        <v>278</v>
      </c>
      <c r="AH218" s="439" t="s">
        <v>278</v>
      </c>
      <c r="AI218" s="528" t="n">
        <v>23</v>
      </c>
      <c r="AJ218" s="529" t="n">
        <v>14</v>
      </c>
      <c r="AK218" s="529" t="n">
        <v>9</v>
      </c>
      <c r="AL218" s="530" t="n">
        <v>23</v>
      </c>
      <c r="AM218" s="529" t="n">
        <v>10</v>
      </c>
      <c r="AN218" s="531" t="n">
        <v>13</v>
      </c>
      <c r="AO218" s="532"/>
      <c r="AP218" s="465" t="n">
        <f aca="false">(1+AO218/2)^(-2*BL218)</f>
        <v>1</v>
      </c>
      <c r="AQ218" s="532"/>
      <c r="AR218" s="465" t="n">
        <f aca="false">(1+AQ218/2)^(-2*BH218/365.25)</f>
        <v>1</v>
      </c>
      <c r="AS218" s="580" t="n">
        <f aca="false">(O219*AJ218+O220*AK218)/AI218</f>
        <v>0</v>
      </c>
      <c r="AT218" s="468" t="n">
        <f aca="false">O218*VLOOKUP(BF218,BrentVolTable,2)+VLOOKUP(BF218,BrentVolTable,3)</f>
        <v>0</v>
      </c>
      <c r="AU218" s="468" t="n">
        <f aca="false">(AT219*AM218+AT220*AN218)/AL218</f>
        <v>0</v>
      </c>
      <c r="AV218" s="595" t="n">
        <f aca="false">SQRT(MAX(0.000000000001,(O218^2*BH218-S218^2*(BH218-BH217))/BH217))</f>
        <v>0.0355778652964848</v>
      </c>
      <c r="AW218" s="451" t="n">
        <f aca="false">IF($I218-DateToday+15&gt;=$T$8,"",IF($I218-DateToday+15&lt;$T$5,1,MATCH($I218-DateToday+15,$T$5:$T$8)))</f>
        <v>1</v>
      </c>
      <c r="AX218" s="468" t="n">
        <f aca="false">IF($AW218="",AX217^2/AX216,INDEX(U$5:U$8,$AW218)^((INDEX($T$5:$T$8,$AW218+1)-($I218-DateToday+15))/(INDEX($T$5:$T$8,$AW218+1)-INDEX($T$5:$T$8,$AW218)))/INDEX(U$5:U$8,$AW218+1)^((INDEX($T$5:$T$8,$AW218)-($I218-DateToday+15))/(INDEX($T$5:$T$8,$AW218+1)-INDEX($T$5:$T$8,$AW218))))</f>
        <v>0.182270799142809</v>
      </c>
      <c r="AY218" s="468" t="n">
        <f aca="false">IF($AW218="",AY217^2/AY216,INDEX(V$5:V$8,$AW218)^((INDEX($T$5:$T$8,$AW218+1)-($I218-DateToday+15))/(INDEX($T$5:$T$8,$AW218+1)-INDEX($T$5:$T$8,$AW218)))/INDEX(V$5:V$8,$AW218+1)^((INDEX($T$5:$T$8,$AW218)-($I218-DateToday+15))/(INDEX($T$5:$T$8,$AW218+1)-INDEX($T$5:$T$8,$AW218))))</f>
        <v>1.24573168224545</v>
      </c>
      <c r="AZ218" s="468" t="n">
        <f aca="false">IF($AW218="",AZ217^2/AZ216,INDEX(W$5:W$8,$AW218)^((INDEX($T$5:$T$8,$AW218+1)-($I218-DateToday+15))/(INDEX($T$5:$T$8,$AW218+1)-INDEX($T$5:$T$8,$AW218)))/INDEX(W$5:W$8,$AW218+1)^((INDEX($T$5:$T$8,$AW218)-($I218-DateToday+15))/(INDEX($T$5:$T$8,$AW218+1)-INDEX($T$5:$T$8,$AW218))))</f>
        <v>59.2109350310235</v>
      </c>
      <c r="BA218" s="468" t="n">
        <f aca="false">IF($AW218="",BA217^2/BA216,INDEX(X$5:X$8,$AW218)^((INDEX($T$5:$T$8,$AW218+1)-($I218-DateToday+15))/(INDEX($T$5:$T$8,$AW218+1)-INDEX($T$5:$T$8,$AW218)))/INDEX(X$5:X$8,$AW218+1)^((INDEX($T$5:$T$8,$AW218)-($I218-DateToday+15))/(INDEX($T$5:$T$8,$AW218+1)-INDEX($T$5:$T$8,$AW218))))</f>
        <v>112.421087980183</v>
      </c>
      <c r="BB218" s="468" t="n">
        <f aca="false">IF($AW218="",BB217^2/BB216,INDEX(Y$5:Y$8,$AW218)^((INDEX($T$5:$T$8,$AW218+1)-($I218-DateToday+15))/(INDEX($T$5:$T$8,$AW218+1)-INDEX($T$5:$T$8,$AW218)))/INDEX(Y$5:Y$8,$AW218+1)^((INDEX($T$5:$T$8,$AW218)-($I218-DateToday+15))/(INDEX($T$5:$T$8,$AW218+1)-INDEX($T$5:$T$8,$AW218))))</f>
        <v>437.911199291848</v>
      </c>
      <c r="BC218" s="468" t="n">
        <f aca="false">IF($AW218="",BC217^2/BC216,INDEX(Z$5:Z$8,$AW218)^((INDEX($T$5:$T$8,$AW218+1)-($I218-DateToday+15))/(INDEX($T$5:$T$8,$AW218+1)-INDEX($T$5:$T$8,$AW218)))/INDEX(Z$5:Z$8,$AW218+1)^((INDEX($T$5:$T$8,$AW218)-($I218-DateToday+15))/(INDEX($T$5:$T$8,$AW218+1)-INDEX($T$5:$T$8,$AW218))))</f>
        <v>1016.54791548946</v>
      </c>
      <c r="BD218" s="535" t="n">
        <f aca="false">IF(OR(DateStart&gt;=I219,DateEnd&lt;I218),0,IF(VolumeOverrideFlag,V218,Volume))</f>
        <v>0</v>
      </c>
      <c r="BE218" s="536" t="n">
        <f aca="false">IF(OR(DateStart2&gt;=I219,DateEnd2&lt;I218),0,IF(VolumeOverrideFlag,V218,VolumeSwaption))</f>
        <v>0</v>
      </c>
      <c r="BF218" s="537" t="n">
        <f aca="false">YEAR(I218)</f>
        <v>2017</v>
      </c>
      <c r="BG218" s="538" t="n">
        <f aca="false">MONTH(I218)</f>
        <v>3</v>
      </c>
      <c r="BH218" s="539" t="n">
        <f aca="false">AD218-DateToday+1</f>
        <v>-3143</v>
      </c>
      <c r="BI218" s="540" t="n">
        <f aca="false">(I218-DateToday+1)/365.25</f>
        <v>-8.56947296372348</v>
      </c>
      <c r="BJ218" s="541" t="n">
        <f aca="false">BI218+(BL218-BI218)*CHOOSE(Underlying,AJ218/AI218,AM218/AL218)</f>
        <v>-8.51947742761063</v>
      </c>
      <c r="BK218" s="541" t="n">
        <f aca="false">BJ218+1/365.25</f>
        <v>-8.5167395768235</v>
      </c>
      <c r="BL218" s="541" t="n">
        <f aca="false">(I219-DateToday)/365.25</f>
        <v>-8.48733744010951</v>
      </c>
      <c r="BM218" s="542" t="e">
        <f aca="false">MAX(BI218-(BJ218-BI218)*(S219^2/O219^2-1),0)</f>
        <v>#DIV/0!</v>
      </c>
      <c r="BN218" s="541" t="e">
        <f aca="false">MAX(BL218+(BL218-BK218)*(S220^2/O220^2-1),0)</f>
        <v>#DIV/0!</v>
      </c>
      <c r="BO218" s="530" t="n">
        <f aca="false">CHOOSE(Underlying,AI218,AL218)</f>
        <v>23</v>
      </c>
      <c r="BP218" s="529" t="n">
        <f aca="false">CHOOSE(Underlying,AJ218,AM218)</f>
        <v>14</v>
      </c>
      <c r="BQ218" s="529" t="n">
        <f aca="false">CHOOSE(Underlying,AK218,AN218)</f>
        <v>9</v>
      </c>
      <c r="BR218" s="463" t="str">
        <f aca="false">IF(BD218,IF(Underlying=1,X218,Z218)+UnderlyingPriceAsian-SwapPriceCurve,"")</f>
        <v/>
      </c>
      <c r="BS218" s="463" t="str">
        <f aca="false">IF(BD218,Strike1/BR218-1,"")</f>
        <v/>
      </c>
      <c r="BT218" s="464" t="str">
        <f aca="false">IF(BD218,Strike2/BR218-1,"")</f>
        <v/>
      </c>
      <c r="BU218" s="465" t="str">
        <f aca="false">IF(BD218,IF(Underlying=1,L219,R219)+UnderlyingPriceAsian-SwapPriceCurve,"")</f>
        <v/>
      </c>
      <c r="BV218" s="465" t="str">
        <f aca="false">IF(BD218,IF(Underlying=1,L220,R220)+UnderlyingPriceAsian-SwapPriceCurve,"")</f>
        <v/>
      </c>
      <c r="BW218" s="466" t="str">
        <f aca="false">IF(BD218,IF(Underlying=1,O219,AT219),"")</f>
        <v/>
      </c>
      <c r="BX218" s="467" t="str">
        <f aca="false">IF(BD218,IF(Underlying=1,O220,AT220),"")</f>
        <v/>
      </c>
      <c r="BY218" s="466" t="str">
        <f aca="false">IF(BD218,IF(BS218&gt;0,IF(BS218&gt;0.2,BC218-BB218,IF(BS218&gt;0.1,BB218-BA218,BA218)),IF(BS218&lt;-0.2,AX218-AY218,IF(BS218&lt;-0.1,AY218-AZ218,AZ218))),"")</f>
        <v/>
      </c>
      <c r="BZ218" s="467" t="str">
        <f aca="false">IF(BD218,IF(BT218&gt;0,IF(BT218&gt;0.2,BC218-BB218,IF(BT218&gt;0.1,BB218-BA218,BA218)),IF(BT218&lt;-0.2,AX218-AY218,IF(BT218&lt;-0.1,AY218-AZ218,AZ218))),"")</f>
        <v/>
      </c>
      <c r="CA218" s="468" t="str">
        <f aca="false">IF($BD218,$BW218+IF(VolSkewFlag=1,IF(BS218&gt;0,$BA218*MIN(BS218/10%,1)+($BB218-$BA218)*MAX(0,MIN(BS218/10%-1,1))+($BC218-$BB218)*MAX(0,BS218/10%-2),$AZ218*MIN(-BS218/10%,1)+($AY218-$AZ218)*MAX(0,MIN(-BS218/10%-1,1))+($AX218-$AY218)*MAX(0,-BS218/10%-2)),0),"")</f>
        <v/>
      </c>
      <c r="CB218" s="468" t="str">
        <f aca="false">IF($BD218,$BX218+IF(VolSkewFlag=1,IF(BS218&gt;0,$BA218*MIN(BS218/10%,1)+($BB218-$BA218)*MAX(0,MIN(BS218/10%-1,1))+($BC218-$BB218)*MAX(0,BS218/10%-2),$AZ218*MIN(-BS218/10%,1)+($AY218-$AZ218)*MAX(0,MIN(-BS218/10%-1,1))+($AX218-$AY218)*MAX(0,-BS218/10%-2)),0),"")</f>
        <v/>
      </c>
      <c r="CC218" s="468" t="str">
        <f aca="false">IF($BD218,$BW218+IF(VolSkewFlag=1,IF(BT218&gt;0,$BA218*MIN(BT218/10%,1)+($BB218-$BA218)*MAX(0,MIN(BT218/10%-1,1))+($BC218-$BB218)*MAX(0,BT218/10%-2),$AZ218*MIN(-BT218/10%,1)+($AY218-$AZ218)*MAX(0,MIN(-BT218/10%-1,1))+($AX218-$AY218)*MAX(0,-BT218/10%-2)),0),"")</f>
        <v/>
      </c>
      <c r="CD218" s="468" t="str">
        <f aca="false">IF($BD218,$BX218+IF(VolSkewFlag=1,IF(BT218&gt;0,$BA218*MIN(BT218/10%,1)+($BB218-$BA218)*MAX(0,MIN(BT218/10%-1,1))+($BC218-$BB218)*MAX(0,BT218/10%-2),$AZ218*MIN(-BT218/10%,1)+($AY218-$AZ218)*MAX(0,MIN(-BT218/10%-1,1))+($AX218-$AY218)*MAX(0,-BT218/10%-2)),0),"")</f>
        <v/>
      </c>
      <c r="CE218" s="469" t="n">
        <v>1</v>
      </c>
      <c r="CF218" s="470" t="n">
        <f aca="false">IF(BD218,xCrudeAPO(BU218,BV218,CA218,CB218,S219,S220,BI218,BL218,BP218,BQ218,0,Strike1,AO218,CE218,0,BL218,IF(OptControl=4,0,1),0,1),0)</f>
        <v>0</v>
      </c>
      <c r="CG218" s="470" t="n">
        <f aca="false">IF(BD218,xCrudeAPO(BU218,BV218,CA218,CB218,S219,S220,BI218,BL218,BP218,BQ218,0,Strike1,AO218,CE218,0,BL218,IF(OptControl=4,0,1),1,1)+xCrudeAPO(BU218,BV218,CA218,CB218,S219,S220,BI218,BL218,BP218,BQ218,0,Strike1,AO218,CE218,0,BL218,IF(OptControl=4,0,1),1,2)+IF(OR(VolSkewFlag=2,ABS(BS218)&lt;0.0001),0,IF(BS218&gt;0,-1,1)*CH218*Strike1/BR218^2*BY218/10%),0)</f>
        <v>0</v>
      </c>
      <c r="CH218" s="470" t="n">
        <f aca="false">IF(BD218,(xCrudeAPO(BU218,BV218,CA218,CB218,S219,S220,BI218,BL218,BP218,BQ218,0,Strike1,AO218,CE218,0,BL218,IF(OptControl=4,0,1),3,1)+xCrudeAPO(BU218,BV218,CA218,CB218,S219,S220,BI218,BL218,BP218,BQ218,0,Strike1,AO218,CE218,0,BL218,IF(OptControl=4,0,1),3,2))/100,0)</f>
        <v>0</v>
      </c>
      <c r="CI218" s="470" t="n">
        <f aca="false">IF(BD218,xCrudeAPO(BU218,BV218,CA218,CB218,S219,S220,BI218-DaysForThetaCalculation/365.25,BL218-DaysForThetaCalculation/365.25,BP218,BQ218,0,Strike1,AO218,CE218,0,BL218,IF(OptControl=4,0,1),0,1)-xCrudeAPO(BU218,BV218,CA218,CB218,S219,S220,BI218,BL218,BP218,BQ218,0,Strike1,AO218,CE218,0,BL218,IF(OptControl=4,0,1),0,1),0)</f>
        <v>0</v>
      </c>
      <c r="CJ218" s="471" t="n">
        <f aca="false">IF(BD218,xCrudeAPO(BU218,BV218,CC218,CD218,S219,S220,BI218,BL218,BP218,BQ218,0,Strike2,AO218,CE218,0,BL218,IF(OptControl=3,1,0),0,1),0)</f>
        <v>0</v>
      </c>
      <c r="CK218" s="470" t="n">
        <f aca="false">IF(BD218,xCrudeAPO(BU218,BV218,CC218,CD218,S219,S220,BI218,BL218,BP218,BQ218,0,Strike2,AO218,CE218,0,BL218,IF(OptControl=3,1,0),1,1)+xCrudeAPO(BU218,BV218,CC218,CD218,S219,S220,BI218,BL218,BP218,BQ218,0,Strike2,AO218,CE218,0,BL218,IF(OptControl=3,1,0),1,2)+IF(OR(VolSkewFlag=2,ABS(BT218)&lt;0.0001),0,IF(BT218&gt;0,-1,1)*CL218*Strike2/BR218^2*BZ218/10%),0)</f>
        <v>0</v>
      </c>
      <c r="CL218" s="470" t="n">
        <f aca="false">IF(BD218,(xCrudeAPO(BU218,BV218,CC218,CD218,S219,S220,BI218,BL218,BP218,BQ218,0,Strike2,AO218,CE218,0,BL218,IF(OptControl=3,1,0),3,1)+xCrudeAPO(BU218,BV218,CC218,CD218,S219,S220,BI218,BL218,BP218,BQ218,0,Strike2,AO218,CE218,0,BL218,IF(OptControl=3,1,0),3,2))/100,0)</f>
        <v>0</v>
      </c>
      <c r="CM218" s="472" t="n">
        <f aca="false">IF(BD218,xCrudeAPO(BU218,BV218,CC218,CD218,S219,S220,BI218-DaysForThetaCalculation/365.25,BL218-DaysForThetaCalculation/365.25,BP218,BQ218,0,Strike2,AO218,CE218,0,BL218,IF(OptControl=3,1,0),0,1)-xCrudeAPO(BU218,BV218,CC218,CD218,S219,S220,BI218,BL218,BP218,BQ218,0,Strike2,AO218,CE218,0,BL218,IF(OptControl=3,1,0),0,1),0)</f>
        <v>0</v>
      </c>
      <c r="CN218" s="3"/>
      <c r="CO218" s="543" t="str">
        <f aca="false">IF(BD218,CHOOSE(Underlying,AD218,AF218)-DateToday+1,"")</f>
        <v/>
      </c>
      <c r="CP218" s="582" t="str">
        <f aca="false">IF(BD218,CHOOSE(Underlying,L218,R218),"")</f>
        <v/>
      </c>
      <c r="CQ218" s="544" t="str">
        <f aca="false">IF(BD218,Strike1/CP218-1,"")</f>
        <v/>
      </c>
      <c r="CR218" s="544" t="str">
        <f aca="false">IF(BD218,Strike2/CP218-1,"")</f>
        <v/>
      </c>
      <c r="CS218" s="544" t="str">
        <f aca="false">IF(BD218,IF(CQ218&gt;0,IF(CQ218&gt;0.2,BC217-BB217,IF(CQ218&gt;0.1,BB217-BA217,BA217)),IF(CQ218&lt;-0.2,AX217-AY217,IF(CQ218&lt;-0.1,AY217-AZ217,AZ217))),"")</f>
        <v/>
      </c>
      <c r="CT218" s="544" t="str">
        <f aca="false">IF(BD218,IF(CR218&gt;0,IF(CR218&gt;0.2,BC217-BB217,IF(CR218&gt;0.1,BB217-BA217,BA217)),IF(CR218&lt;-0.2,AX217-AY217,IF(CR218&lt;-0.1,AY217-AZ217,AZ217))),"")</f>
        <v/>
      </c>
      <c r="CU218" s="545" t="str">
        <f aca="false">IF(BD218,CHOOSE(Underlying,O218,AT218),"")</f>
        <v/>
      </c>
      <c r="CV218" s="545" t="str">
        <f aca="false">IF(BD218,CU218+IF(VolSkewFlag=1,IF(CQ218&gt;0,BA217*MIN(CQ218/10%,1)+(BB217-BA217)*MAX(0,MIN(CQ218/10%-1,1))+(BC217-BB217)*MAX(0,CQ218/10%-2),AZ217*MIN(-CQ218/10%,1)+(AY217-AZ217)*MAX(0,MIN(-CQ218/10%-1,1))+(AX217-AY217)*MAX(0,-CQ218/10%-2)),0),"")</f>
        <v/>
      </c>
      <c r="CW218" s="545" t="str">
        <f aca="false">IF(BD218,CU218+IF(VolSkewFlag=1,IF(CR218&gt;0,BA217*MIN(CR218/10%,1)+(BB217-BA217)*MAX(0,MIN(CR218/10%-1,1))+(BC217-BB217)*MAX(0,CR218/10%-2),AZ217*MIN(-CR218/10%,1)+(AY217-AZ217)*MAX(0,MIN(-CR218/10%-1,1))+(AX217-AY217)*MAX(0,-CR218/10%-2)),0),"")</f>
        <v/>
      </c>
      <c r="CX218" s="470" t="n">
        <f aca="false">IF(BD218,EURO(CP218,Strike1,AO218,AO218,CV218,CO218,IF(OptControl=4,0,1),0),0)</f>
        <v>0</v>
      </c>
      <c r="CY218" s="470" t="n">
        <f aca="false">IF(BD218,EURO(CP218,Strike1,AO218,AO218,CV218,CO218,IF(OptControl=4,0,1),1)+IF(OR(VolSkewFlag=2,ABS(CQ218)&lt;0.0001),0,IF(CQ218&gt;0,-1,1)*CZ218*100*Strike1/CP218^2*CS218/10%),0)</f>
        <v>0</v>
      </c>
      <c r="CZ218" s="470" t="n">
        <f aca="false">IF(BD218,EURO(CP218,Strike1,AO218,AO218,CV218,CO218,IF(OptControl=4,0,1),3)/100,0)</f>
        <v>0</v>
      </c>
      <c r="DA218" s="470" t="n">
        <f aca="false">IF(BD218,EURO(CP218,Strike1,AO218,AO218,CV218,CO218,IF(OptControl=4,0,1),0)-EURO(CP218,Strike1,AO218,AO218,CV218,CO218-1,IF(OptControl=4,0,1),0),0)</f>
        <v>0</v>
      </c>
      <c r="DB218" s="470" t="n">
        <f aca="false">IF(BD218,EURO(CP218,Strike2,AO218,AO218,CW218,CO218,IF(OptControl=3,1,0),0),0)</f>
        <v>0</v>
      </c>
      <c r="DC218" s="470" t="n">
        <f aca="false">IF(BD218,EURO(CP218,Strike2,AO218,AO218,CW218,CO218,IF(OptControl=3,1,0),1)+IF(OR(VolSkewFlag=2,ABS(CR218)&lt;0.0001),0,IF(CR218&gt;0,-1,1)*DD218*100*Strike2/CP218^2*CT218/10%),0)</f>
        <v>0</v>
      </c>
      <c r="DD218" s="470" t="n">
        <f aca="false">IF(BD218,EURO(CP218,Strike2,AO218,AO218,CW218,CO218,IF(OptControl=3,1,0),3)/100,0)</f>
        <v>0</v>
      </c>
      <c r="DE218" s="472" t="n">
        <f aca="false">IF(BD218,EURO(CP218,Strike2,AO218,AO218,CW218,CO218,IF(OptControl=3,1,0),0)-EURO(CP218,Strike2,AO218,AO218,CW218,CO218-1,IF(OptControl=3,1,0),0),0)</f>
        <v>0</v>
      </c>
      <c r="DG218" s="481" t="n">
        <f aca="false">EOMONTH(DG217,0)+1</f>
        <v>51714</v>
      </c>
      <c r="DH218" s="478" t="n">
        <v>24.0600000000001</v>
      </c>
      <c r="DI218" s="479" t="n">
        <v>24.1273913043479</v>
      </c>
      <c r="DJ218" s="480" t="n">
        <f aca="false">DG218</f>
        <v>51714</v>
      </c>
      <c r="DK218" s="478" t="n">
        <v>22.6763454789508</v>
      </c>
      <c r="DL218" s="479" t="n">
        <v>22.8604913043479</v>
      </c>
      <c r="DM218" s="481" t="n">
        <f aca="false">DG218</f>
        <v>51714</v>
      </c>
      <c r="DN218" s="482" t="n">
        <f aca="false">DK218+BrentPhyBrentSpread</f>
        <v>22.7263454789508</v>
      </c>
      <c r="DO218" s="481" t="n">
        <f aca="false">DG218</f>
        <v>51714</v>
      </c>
      <c r="DP218" s="483" t="n">
        <f aca="false">DL218+DQ218</f>
        <v>22.8604913043479</v>
      </c>
      <c r="DQ218" s="546" t="n">
        <v>0</v>
      </c>
      <c r="DR218" s="480" t="n">
        <f aca="false">DG218</f>
        <v>51714</v>
      </c>
      <c r="DS218" s="485" t="n">
        <v>0.105799999999998</v>
      </c>
      <c r="DT218" s="486" t="n">
        <v>0.104991304347824</v>
      </c>
      <c r="DU218" s="480" t="n">
        <f aca="false">DG218</f>
        <v>51714</v>
      </c>
      <c r="DV218" s="485" t="n">
        <v>0.105799999999998</v>
      </c>
      <c r="DW218" s="486" t="n">
        <v>0.104991304347824</v>
      </c>
      <c r="DX218" s="481" t="n">
        <f aca="false">DG218</f>
        <v>51714</v>
      </c>
      <c r="DY218" s="486" t="n">
        <v>0.35</v>
      </c>
      <c r="DZ218" s="481" t="n">
        <f aca="false">DR218</f>
        <v>51714</v>
      </c>
      <c r="EA218" s="486" t="n">
        <f aca="false">DT218</f>
        <v>0.104991304347824</v>
      </c>
      <c r="EB218" s="195"/>
      <c r="EC218" s="547" t="str">
        <f aca="false">IF(BD218,IF(Underlying=1,AS218,AU218),"")</f>
        <v/>
      </c>
      <c r="ED218" s="548" t="str">
        <f aca="false">IF($BD218,$EC218+IF(VolSkewFlag=1,IF(BS218&gt;0,$BA218*MIN(BS218/10%,1)+($BB218-$BA218)*MAX(0,MIN(BS218/10%-1,1))+($BC218-$BB218)*MAX(0,BS218/10%-2),$AZ218*MIN(-BS218/10%,1)+($AY218-$AZ218)*MAX(0,MIN(-BS218/10%-1,1))+($AX218-$AY218)*MAX(0,-BS218/10%-2)),0),"")</f>
        <v/>
      </c>
      <c r="EE218" s="549" t="str">
        <f aca="false">IF($BD218,$EC218+IF(VolSkewFlag=1,IF(BT218&gt;0,$BA218*MIN(BT218/10%,1)+($BB218-$BA218)*MAX(0,MIN(BT218/10%-1,1))+($BC218-$BB218)*MAX(0,BT218/10%-2),$AZ218*MIN(-BT218/10%,1)+($AY218-$AZ218)*MAX(0,MIN(-BT218/10%-1,1))+($AX218-$AY218)*MAX(0,-BT218/10%-2)),0),"")</f>
        <v/>
      </c>
      <c r="EF218" s="550" t="n">
        <f aca="false">IF(BD218,xASN(BR218,Strike1,AO218,ED218,0,BO218,0,BI218,BL218,IF(OptControl=4,0,1),0),0)</f>
        <v>0</v>
      </c>
      <c r="EG218" s="551" t="n">
        <f aca="false">IF(BD218,xASN(BR218,Strike2,AO218,EE218,0,BO218,0,BI218,BL218,IF(OptControl=3,1,0),0),0)</f>
        <v>0</v>
      </c>
      <c r="EL218" s="1"/>
      <c r="EM218" s="195"/>
      <c r="EN218" s="240"/>
      <c r="EO218" s="240"/>
      <c r="EP218" s="195"/>
      <c r="EQ218" s="407" t="s">
        <v>446</v>
      </c>
      <c r="ES218" s="1"/>
      <c r="EU218" s="672"/>
      <c r="FJ218" s="571" t="n">
        <v>49</v>
      </c>
      <c r="FK218" s="150" t="str">
        <f aca="false">IF(OR(FK$169&lt;SwaptionFirstMonthPosition+1,$FJ218&lt;SwaptionFirstMonthPosition+1,FK$169&gt;SwaptionFirstMonthPosition+SwaptionNumOfMonths+1,$FJ218&gt;SwaptionFirstMonthPosition+SwaptionNumOfMonths+1),"",IF($FJ218=FK$169,1,IF($FJ218&lt;FK$169,INDEX($FK$170:$ID$241,FK$169,$FJ218),SUMPRODUCT(INDEX($FK$325:$ID$396,FK$169,1+SwaptionShift):INDEX($FK$325:$ID$396,FK$169,SwaptionMonthsToGo+SwaptionShift),INDEX($FK$245:$ID$316,$FJ218-FK$169,73-FK$169+SwaptionShift):INDEX($FK$245:$ID$316,$FJ218-FK$169,72-FK$169+SwaptionMonthsToGo+SwaptionShift))/SQRT(SUM(INDEX($FK373:$ID373,1+SwaptionShift):INDEX($FK373:$ID373,SwaptionMonthsToGo+SwaptionShift))*SUM(INDEX($FK$325:$ID$396,FK$169,1+SwaptionShift):INDEX($FK$325:$ID$396,FK$169,SwaptionMonthsToGo+SwaptionShift))))))</f>
        <v/>
      </c>
      <c r="FL218" s="150" t="str">
        <f aca="false">IF(OR(FL$169&lt;SwaptionFirstMonthPosition+1,$FJ218&lt;SwaptionFirstMonthPosition+1,FL$169&gt;SwaptionFirstMonthPosition+SwaptionNumOfMonths+1,$FJ218&gt;SwaptionFirstMonthPosition+SwaptionNumOfMonths+1),"",IF($FJ218=FL$169,1,IF($FJ218&lt;FL$169,INDEX($FK$170:$ID$241,FL$169,$FJ218),SUMPRODUCT(INDEX($FK$325:$ID$396,FL$169,1+SwaptionShift):INDEX($FK$325:$ID$396,FL$169,SwaptionMonthsToGo+SwaptionShift),INDEX($FK$245:$ID$316,$FJ218-FL$169,73-FL$169+SwaptionShift):INDEX($FK$245:$ID$316,$FJ218-FL$169,72-FL$169+SwaptionMonthsToGo+SwaptionShift))/SQRT(SUM(INDEX($FK373:$ID373,1+SwaptionShift):INDEX($FK373:$ID373,SwaptionMonthsToGo+SwaptionShift))*SUM(INDEX($FK$325:$ID$396,FL$169,1+SwaptionShift):INDEX($FK$325:$ID$396,FL$169,SwaptionMonthsToGo+SwaptionShift))))))</f>
        <v/>
      </c>
      <c r="FM218" s="150" t="str">
        <f aca="false">IF(OR(FM$169&lt;SwaptionFirstMonthPosition+1,$FJ218&lt;SwaptionFirstMonthPosition+1,FM$169&gt;SwaptionFirstMonthPosition+SwaptionNumOfMonths+1,$FJ218&gt;SwaptionFirstMonthPosition+SwaptionNumOfMonths+1),"",IF($FJ218=FM$169,1,IF($FJ218&lt;FM$169,INDEX($FK$170:$ID$241,FM$169,$FJ218),SUMPRODUCT(INDEX($FK$325:$ID$396,FM$169,1+SwaptionShift):INDEX($FK$325:$ID$396,FM$169,SwaptionMonthsToGo+SwaptionShift),INDEX($FK$245:$ID$316,$FJ218-FM$169,73-FM$169+SwaptionShift):INDEX($FK$245:$ID$316,$FJ218-FM$169,72-FM$169+SwaptionMonthsToGo+SwaptionShift))/SQRT(SUM(INDEX($FK373:$ID373,1+SwaptionShift):INDEX($FK373:$ID373,SwaptionMonthsToGo+SwaptionShift))*SUM(INDEX($FK$325:$ID$396,FM$169,1+SwaptionShift):INDEX($FK$325:$ID$396,FM$169,SwaptionMonthsToGo+SwaptionShift))))))</f>
        <v/>
      </c>
      <c r="FN218" s="150" t="str">
        <f aca="false">IF(OR(FN$169&lt;SwaptionFirstMonthPosition+1,$FJ218&lt;SwaptionFirstMonthPosition+1,FN$169&gt;SwaptionFirstMonthPosition+SwaptionNumOfMonths+1,$FJ218&gt;SwaptionFirstMonthPosition+SwaptionNumOfMonths+1),"",IF($FJ218=FN$169,1,IF($FJ218&lt;FN$169,INDEX($FK$170:$ID$241,FN$169,$FJ218),SUMPRODUCT(INDEX($FK$325:$ID$396,FN$169,1+SwaptionShift):INDEX($FK$325:$ID$396,FN$169,SwaptionMonthsToGo+SwaptionShift),INDEX($FK$245:$ID$316,$FJ218-FN$169,73-FN$169+SwaptionShift):INDEX($FK$245:$ID$316,$FJ218-FN$169,72-FN$169+SwaptionMonthsToGo+SwaptionShift))/SQRT(SUM(INDEX($FK373:$ID373,1+SwaptionShift):INDEX($FK373:$ID373,SwaptionMonthsToGo+SwaptionShift))*SUM(INDEX($FK$325:$ID$396,FN$169,1+SwaptionShift):INDEX($FK$325:$ID$396,FN$169,SwaptionMonthsToGo+SwaptionShift))))))</f>
        <v/>
      </c>
      <c r="FO218" s="150" t="str">
        <f aca="false">IF(OR(FO$169&lt;SwaptionFirstMonthPosition+1,$FJ218&lt;SwaptionFirstMonthPosition+1,FO$169&gt;SwaptionFirstMonthPosition+SwaptionNumOfMonths+1,$FJ218&gt;SwaptionFirstMonthPosition+SwaptionNumOfMonths+1),"",IF($FJ218=FO$169,1,IF($FJ218&lt;FO$169,INDEX($FK$170:$ID$241,FO$169,$FJ218),SUMPRODUCT(INDEX($FK$325:$ID$396,FO$169,1+SwaptionShift):INDEX($FK$325:$ID$396,FO$169,SwaptionMonthsToGo+SwaptionShift),INDEX($FK$245:$ID$316,$FJ218-FO$169,73-FO$169+SwaptionShift):INDEX($FK$245:$ID$316,$FJ218-FO$169,72-FO$169+SwaptionMonthsToGo+SwaptionShift))/SQRT(SUM(INDEX($FK373:$ID373,1+SwaptionShift):INDEX($FK373:$ID373,SwaptionMonthsToGo+SwaptionShift))*SUM(INDEX($FK$325:$ID$396,FO$169,1+SwaptionShift):INDEX($FK$325:$ID$396,FO$169,SwaptionMonthsToGo+SwaptionShift))))))</f>
        <v/>
      </c>
      <c r="FP218" s="150" t="str">
        <f aca="false">IF(OR(FP$169&lt;SwaptionFirstMonthPosition+1,$FJ218&lt;SwaptionFirstMonthPosition+1,FP$169&gt;SwaptionFirstMonthPosition+SwaptionNumOfMonths+1,$FJ218&gt;SwaptionFirstMonthPosition+SwaptionNumOfMonths+1),"",IF($FJ218=FP$169,1,IF($FJ218&lt;FP$169,INDEX($FK$170:$ID$241,FP$169,$FJ218),SUMPRODUCT(INDEX($FK$325:$ID$396,FP$169,1+SwaptionShift):INDEX($FK$325:$ID$396,FP$169,SwaptionMonthsToGo+SwaptionShift),INDEX($FK$245:$ID$316,$FJ218-FP$169,73-FP$169+SwaptionShift):INDEX($FK$245:$ID$316,$FJ218-FP$169,72-FP$169+SwaptionMonthsToGo+SwaptionShift))/SQRT(SUM(INDEX($FK373:$ID373,1+SwaptionShift):INDEX($FK373:$ID373,SwaptionMonthsToGo+SwaptionShift))*SUM(INDEX($FK$325:$ID$396,FP$169,1+SwaptionShift):INDEX($FK$325:$ID$396,FP$169,SwaptionMonthsToGo+SwaptionShift))))))</f>
        <v/>
      </c>
      <c r="FQ218" s="150" t="str">
        <f aca="false">IF(OR(FQ$169&lt;SwaptionFirstMonthPosition+1,$FJ218&lt;SwaptionFirstMonthPosition+1,FQ$169&gt;SwaptionFirstMonthPosition+SwaptionNumOfMonths+1,$FJ218&gt;SwaptionFirstMonthPosition+SwaptionNumOfMonths+1),"",IF($FJ218=FQ$169,1,IF($FJ218&lt;FQ$169,INDEX($FK$170:$ID$241,FQ$169,$FJ218),SUMPRODUCT(INDEX($FK$325:$ID$396,FQ$169,1+SwaptionShift):INDEX($FK$325:$ID$396,FQ$169,SwaptionMonthsToGo+SwaptionShift),INDEX($FK$245:$ID$316,$FJ218-FQ$169,73-FQ$169+SwaptionShift):INDEX($FK$245:$ID$316,$FJ218-FQ$169,72-FQ$169+SwaptionMonthsToGo+SwaptionShift))/SQRT(SUM(INDEX($FK373:$ID373,1+SwaptionShift):INDEX($FK373:$ID373,SwaptionMonthsToGo+SwaptionShift))*SUM(INDEX($FK$325:$ID$396,FQ$169,1+SwaptionShift):INDEX($FK$325:$ID$396,FQ$169,SwaptionMonthsToGo+SwaptionShift))))))</f>
        <v/>
      </c>
      <c r="FR218" s="150" t="str">
        <f aca="false">IF(OR(FR$169&lt;SwaptionFirstMonthPosition+1,$FJ218&lt;SwaptionFirstMonthPosition+1,FR$169&gt;SwaptionFirstMonthPosition+SwaptionNumOfMonths+1,$FJ218&gt;SwaptionFirstMonthPosition+SwaptionNumOfMonths+1),"",IF($FJ218=FR$169,1,IF($FJ218&lt;FR$169,INDEX($FK$170:$ID$241,FR$169,$FJ218),SUMPRODUCT(INDEX($FK$325:$ID$396,FR$169,1+SwaptionShift):INDEX($FK$325:$ID$396,FR$169,SwaptionMonthsToGo+SwaptionShift),INDEX($FK$245:$ID$316,$FJ218-FR$169,73-FR$169+SwaptionShift):INDEX($FK$245:$ID$316,$FJ218-FR$169,72-FR$169+SwaptionMonthsToGo+SwaptionShift))/SQRT(SUM(INDEX($FK373:$ID373,1+SwaptionShift):INDEX($FK373:$ID373,SwaptionMonthsToGo+SwaptionShift))*SUM(INDEX($FK$325:$ID$396,FR$169,1+SwaptionShift):INDEX($FK$325:$ID$396,FR$169,SwaptionMonthsToGo+SwaptionShift))))))</f>
        <v/>
      </c>
      <c r="FS218" s="150" t="str">
        <f aca="false">IF(OR(FS$169&lt;SwaptionFirstMonthPosition+1,$FJ218&lt;SwaptionFirstMonthPosition+1,FS$169&gt;SwaptionFirstMonthPosition+SwaptionNumOfMonths+1,$FJ218&gt;SwaptionFirstMonthPosition+SwaptionNumOfMonths+1),"",IF($FJ218=FS$169,1,IF($FJ218&lt;FS$169,INDEX($FK$170:$ID$241,FS$169,$FJ218),SUMPRODUCT(INDEX($FK$325:$ID$396,FS$169,1+SwaptionShift):INDEX($FK$325:$ID$396,FS$169,SwaptionMonthsToGo+SwaptionShift),INDEX($FK$245:$ID$316,$FJ218-FS$169,73-FS$169+SwaptionShift):INDEX($FK$245:$ID$316,$FJ218-FS$169,72-FS$169+SwaptionMonthsToGo+SwaptionShift))/SQRT(SUM(INDEX($FK373:$ID373,1+SwaptionShift):INDEX($FK373:$ID373,SwaptionMonthsToGo+SwaptionShift))*SUM(INDEX($FK$325:$ID$396,FS$169,1+SwaptionShift):INDEX($FK$325:$ID$396,FS$169,SwaptionMonthsToGo+SwaptionShift))))))</f>
        <v/>
      </c>
      <c r="FT218" s="150" t="str">
        <f aca="false">IF(OR(FT$169&lt;SwaptionFirstMonthPosition+1,$FJ218&lt;SwaptionFirstMonthPosition+1,FT$169&gt;SwaptionFirstMonthPosition+SwaptionNumOfMonths+1,$FJ218&gt;SwaptionFirstMonthPosition+SwaptionNumOfMonths+1),"",IF($FJ218=FT$169,1,IF($FJ218&lt;FT$169,INDEX($FK$170:$ID$241,FT$169,$FJ218),SUMPRODUCT(INDEX($FK$325:$ID$396,FT$169,1+SwaptionShift):INDEX($FK$325:$ID$396,FT$169,SwaptionMonthsToGo+SwaptionShift),INDEX($FK$245:$ID$316,$FJ218-FT$169,73-FT$169+SwaptionShift):INDEX($FK$245:$ID$316,$FJ218-FT$169,72-FT$169+SwaptionMonthsToGo+SwaptionShift))/SQRT(SUM(INDEX($FK373:$ID373,1+SwaptionShift):INDEX($FK373:$ID373,SwaptionMonthsToGo+SwaptionShift))*SUM(INDEX($FK$325:$ID$396,FT$169,1+SwaptionShift):INDEX($FK$325:$ID$396,FT$169,SwaptionMonthsToGo+SwaptionShift))))))</f>
        <v/>
      </c>
      <c r="FU218" s="150" t="str">
        <f aca="false">IF(OR(FU$169&lt;SwaptionFirstMonthPosition+1,$FJ218&lt;SwaptionFirstMonthPosition+1,FU$169&gt;SwaptionFirstMonthPosition+SwaptionNumOfMonths+1,$FJ218&gt;SwaptionFirstMonthPosition+SwaptionNumOfMonths+1),"",IF($FJ218=FU$169,1,IF($FJ218&lt;FU$169,INDEX($FK$170:$ID$241,FU$169,$FJ218),SUMPRODUCT(INDEX($FK$325:$ID$396,FU$169,1+SwaptionShift):INDEX($FK$325:$ID$396,FU$169,SwaptionMonthsToGo+SwaptionShift),INDEX($FK$245:$ID$316,$FJ218-FU$169,73-FU$169+SwaptionShift):INDEX($FK$245:$ID$316,$FJ218-FU$169,72-FU$169+SwaptionMonthsToGo+SwaptionShift))/SQRT(SUM(INDEX($FK373:$ID373,1+SwaptionShift):INDEX($FK373:$ID373,SwaptionMonthsToGo+SwaptionShift))*SUM(INDEX($FK$325:$ID$396,FU$169,1+SwaptionShift):INDEX($FK$325:$ID$396,FU$169,SwaptionMonthsToGo+SwaptionShift))))))</f>
        <v/>
      </c>
      <c r="FV218" s="150" t="str">
        <f aca="false">IF(OR(FV$169&lt;SwaptionFirstMonthPosition+1,$FJ218&lt;SwaptionFirstMonthPosition+1,FV$169&gt;SwaptionFirstMonthPosition+SwaptionNumOfMonths+1,$FJ218&gt;SwaptionFirstMonthPosition+SwaptionNumOfMonths+1),"",IF($FJ218=FV$169,1,IF($FJ218&lt;FV$169,INDEX($FK$170:$ID$241,FV$169,$FJ218),SUMPRODUCT(INDEX($FK$325:$ID$396,FV$169,1+SwaptionShift):INDEX($FK$325:$ID$396,FV$169,SwaptionMonthsToGo+SwaptionShift),INDEX($FK$245:$ID$316,$FJ218-FV$169,73-FV$169+SwaptionShift):INDEX($FK$245:$ID$316,$FJ218-FV$169,72-FV$169+SwaptionMonthsToGo+SwaptionShift))/SQRT(SUM(INDEX($FK373:$ID373,1+SwaptionShift):INDEX($FK373:$ID373,SwaptionMonthsToGo+SwaptionShift))*SUM(INDEX($FK$325:$ID$396,FV$169,1+SwaptionShift):INDEX($FK$325:$ID$396,FV$169,SwaptionMonthsToGo+SwaptionShift))))))</f>
        <v/>
      </c>
      <c r="FW218" s="150" t="str">
        <f aca="false">IF(OR(FW$169&lt;SwaptionFirstMonthPosition+1,$FJ218&lt;SwaptionFirstMonthPosition+1,FW$169&gt;SwaptionFirstMonthPosition+SwaptionNumOfMonths+1,$FJ218&gt;SwaptionFirstMonthPosition+SwaptionNumOfMonths+1),"",IF($FJ218=FW$169,1,IF($FJ218&lt;FW$169,INDEX($FK$170:$ID$241,FW$169,$FJ218),SUMPRODUCT(INDEX($FK$325:$ID$396,FW$169,1+SwaptionShift):INDEX($FK$325:$ID$396,FW$169,SwaptionMonthsToGo+SwaptionShift),INDEX($FK$245:$ID$316,$FJ218-FW$169,73-FW$169+SwaptionShift):INDEX($FK$245:$ID$316,$FJ218-FW$169,72-FW$169+SwaptionMonthsToGo+SwaptionShift))/SQRT(SUM(INDEX($FK373:$ID373,1+SwaptionShift):INDEX($FK373:$ID373,SwaptionMonthsToGo+SwaptionShift))*SUM(INDEX($FK$325:$ID$396,FW$169,1+SwaptionShift):INDEX($FK$325:$ID$396,FW$169,SwaptionMonthsToGo+SwaptionShift))))))</f>
        <v/>
      </c>
      <c r="FX218" s="150" t="str">
        <f aca="false">IF(OR(FX$169&lt;SwaptionFirstMonthPosition+1,$FJ218&lt;SwaptionFirstMonthPosition+1,FX$169&gt;SwaptionFirstMonthPosition+SwaptionNumOfMonths+1,$FJ218&gt;SwaptionFirstMonthPosition+SwaptionNumOfMonths+1),"",IF($FJ218=FX$169,1,IF($FJ218&lt;FX$169,INDEX($FK$170:$ID$241,FX$169,$FJ218),SUMPRODUCT(INDEX($FK$325:$ID$396,FX$169,1+SwaptionShift):INDEX($FK$325:$ID$396,FX$169,SwaptionMonthsToGo+SwaptionShift),INDEX($FK$245:$ID$316,$FJ218-FX$169,73-FX$169+SwaptionShift):INDEX($FK$245:$ID$316,$FJ218-FX$169,72-FX$169+SwaptionMonthsToGo+SwaptionShift))/SQRT(SUM(INDEX($FK373:$ID373,1+SwaptionShift):INDEX($FK373:$ID373,SwaptionMonthsToGo+SwaptionShift))*SUM(INDEX($FK$325:$ID$396,FX$169,1+SwaptionShift):INDEX($FK$325:$ID$396,FX$169,SwaptionMonthsToGo+SwaptionShift))))))</f>
        <v/>
      </c>
      <c r="FY218" s="150" t="str">
        <f aca="false">IF(OR(FY$169&lt;SwaptionFirstMonthPosition+1,$FJ218&lt;SwaptionFirstMonthPosition+1,FY$169&gt;SwaptionFirstMonthPosition+SwaptionNumOfMonths+1,$FJ218&gt;SwaptionFirstMonthPosition+SwaptionNumOfMonths+1),"",IF($FJ218=FY$169,1,IF($FJ218&lt;FY$169,INDEX($FK$170:$ID$241,FY$169,$FJ218),SUMPRODUCT(INDEX($FK$325:$ID$396,FY$169,1+SwaptionShift):INDEX($FK$325:$ID$396,FY$169,SwaptionMonthsToGo+SwaptionShift),INDEX($FK$245:$ID$316,$FJ218-FY$169,73-FY$169+SwaptionShift):INDEX($FK$245:$ID$316,$FJ218-FY$169,72-FY$169+SwaptionMonthsToGo+SwaptionShift))/SQRT(SUM(INDEX($FK373:$ID373,1+SwaptionShift):INDEX($FK373:$ID373,SwaptionMonthsToGo+SwaptionShift))*SUM(INDEX($FK$325:$ID$396,FY$169,1+SwaptionShift):INDEX($FK$325:$ID$396,FY$169,SwaptionMonthsToGo+SwaptionShift))))))</f>
        <v/>
      </c>
      <c r="FZ218" s="150" t="str">
        <f aca="false">IF(OR(FZ$169&lt;SwaptionFirstMonthPosition+1,$FJ218&lt;SwaptionFirstMonthPosition+1,FZ$169&gt;SwaptionFirstMonthPosition+SwaptionNumOfMonths+1,$FJ218&gt;SwaptionFirstMonthPosition+SwaptionNumOfMonths+1),"",IF($FJ218=FZ$169,1,IF($FJ218&lt;FZ$169,INDEX($FK$170:$ID$241,FZ$169,$FJ218),SUMPRODUCT(INDEX($FK$325:$ID$396,FZ$169,1+SwaptionShift):INDEX($FK$325:$ID$396,FZ$169,SwaptionMonthsToGo+SwaptionShift),INDEX($FK$245:$ID$316,$FJ218-FZ$169,73-FZ$169+SwaptionShift):INDEX($FK$245:$ID$316,$FJ218-FZ$169,72-FZ$169+SwaptionMonthsToGo+SwaptionShift))/SQRT(SUM(INDEX($FK373:$ID373,1+SwaptionShift):INDEX($FK373:$ID373,SwaptionMonthsToGo+SwaptionShift))*SUM(INDEX($FK$325:$ID$396,FZ$169,1+SwaptionShift):INDEX($FK$325:$ID$396,FZ$169,SwaptionMonthsToGo+SwaptionShift))))))</f>
        <v/>
      </c>
      <c r="GA218" s="150" t="str">
        <f aca="false">IF(OR(GA$169&lt;SwaptionFirstMonthPosition+1,$FJ218&lt;SwaptionFirstMonthPosition+1,GA$169&gt;SwaptionFirstMonthPosition+SwaptionNumOfMonths+1,$FJ218&gt;SwaptionFirstMonthPosition+SwaptionNumOfMonths+1),"",IF($FJ218=GA$169,1,IF($FJ218&lt;GA$169,INDEX($FK$170:$ID$241,GA$169,$FJ218),SUMPRODUCT(INDEX($FK$325:$ID$396,GA$169,1+SwaptionShift):INDEX($FK$325:$ID$396,GA$169,SwaptionMonthsToGo+SwaptionShift),INDEX($FK$245:$ID$316,$FJ218-GA$169,73-GA$169+SwaptionShift):INDEX($FK$245:$ID$316,$FJ218-GA$169,72-GA$169+SwaptionMonthsToGo+SwaptionShift))/SQRT(SUM(INDEX($FK373:$ID373,1+SwaptionShift):INDEX($FK373:$ID373,SwaptionMonthsToGo+SwaptionShift))*SUM(INDEX($FK$325:$ID$396,GA$169,1+SwaptionShift):INDEX($FK$325:$ID$396,GA$169,SwaptionMonthsToGo+SwaptionShift))))))</f>
        <v/>
      </c>
      <c r="GB218" s="150" t="str">
        <f aca="false">IF(OR(GB$169&lt;SwaptionFirstMonthPosition+1,$FJ218&lt;SwaptionFirstMonthPosition+1,GB$169&gt;SwaptionFirstMonthPosition+SwaptionNumOfMonths+1,$FJ218&gt;SwaptionFirstMonthPosition+SwaptionNumOfMonths+1),"",IF($FJ218=GB$169,1,IF($FJ218&lt;GB$169,INDEX($FK$170:$ID$241,GB$169,$FJ218),SUMPRODUCT(INDEX($FK$325:$ID$396,GB$169,1+SwaptionShift):INDEX($FK$325:$ID$396,GB$169,SwaptionMonthsToGo+SwaptionShift),INDEX($FK$245:$ID$316,$FJ218-GB$169,73-GB$169+SwaptionShift):INDEX($FK$245:$ID$316,$FJ218-GB$169,72-GB$169+SwaptionMonthsToGo+SwaptionShift))/SQRT(SUM(INDEX($FK373:$ID373,1+SwaptionShift):INDEX($FK373:$ID373,SwaptionMonthsToGo+SwaptionShift))*SUM(INDEX($FK$325:$ID$396,GB$169,1+SwaptionShift):INDEX($FK$325:$ID$396,GB$169,SwaptionMonthsToGo+SwaptionShift))))))</f>
        <v/>
      </c>
      <c r="GC218" s="150" t="str">
        <f aca="false">IF(OR(GC$169&lt;SwaptionFirstMonthPosition+1,$FJ218&lt;SwaptionFirstMonthPosition+1,GC$169&gt;SwaptionFirstMonthPosition+SwaptionNumOfMonths+1,$FJ218&gt;SwaptionFirstMonthPosition+SwaptionNumOfMonths+1),"",IF($FJ218=GC$169,1,IF($FJ218&lt;GC$169,INDEX($FK$170:$ID$241,GC$169,$FJ218),SUMPRODUCT(INDEX($FK$325:$ID$396,GC$169,1+SwaptionShift):INDEX($FK$325:$ID$396,GC$169,SwaptionMonthsToGo+SwaptionShift),INDEX($FK$245:$ID$316,$FJ218-GC$169,73-GC$169+SwaptionShift):INDEX($FK$245:$ID$316,$FJ218-GC$169,72-GC$169+SwaptionMonthsToGo+SwaptionShift))/SQRT(SUM(INDEX($FK373:$ID373,1+SwaptionShift):INDEX($FK373:$ID373,SwaptionMonthsToGo+SwaptionShift))*SUM(INDEX($FK$325:$ID$396,GC$169,1+SwaptionShift):INDEX($FK$325:$ID$396,GC$169,SwaptionMonthsToGo+SwaptionShift))))))</f>
        <v/>
      </c>
      <c r="GD218" s="150" t="str">
        <f aca="false">IF(OR(GD$169&lt;SwaptionFirstMonthPosition+1,$FJ218&lt;SwaptionFirstMonthPosition+1,GD$169&gt;SwaptionFirstMonthPosition+SwaptionNumOfMonths+1,$FJ218&gt;SwaptionFirstMonthPosition+SwaptionNumOfMonths+1),"",IF($FJ218=GD$169,1,IF($FJ218&lt;GD$169,INDEX($FK$170:$ID$241,GD$169,$FJ218),SUMPRODUCT(INDEX($FK$325:$ID$396,GD$169,1+SwaptionShift):INDEX($FK$325:$ID$396,GD$169,SwaptionMonthsToGo+SwaptionShift),INDEX($FK$245:$ID$316,$FJ218-GD$169,73-GD$169+SwaptionShift):INDEX($FK$245:$ID$316,$FJ218-GD$169,72-GD$169+SwaptionMonthsToGo+SwaptionShift))/SQRT(SUM(INDEX($FK373:$ID373,1+SwaptionShift):INDEX($FK373:$ID373,SwaptionMonthsToGo+SwaptionShift))*SUM(INDEX($FK$325:$ID$396,GD$169,1+SwaptionShift):INDEX($FK$325:$ID$396,GD$169,SwaptionMonthsToGo+SwaptionShift))))))</f>
        <v/>
      </c>
      <c r="GE218" s="150" t="str">
        <f aca="false">IF(OR(GE$169&lt;SwaptionFirstMonthPosition+1,$FJ218&lt;SwaptionFirstMonthPosition+1,GE$169&gt;SwaptionFirstMonthPosition+SwaptionNumOfMonths+1,$FJ218&gt;SwaptionFirstMonthPosition+SwaptionNumOfMonths+1),"",IF($FJ218=GE$169,1,IF($FJ218&lt;GE$169,INDEX($FK$170:$ID$241,GE$169,$FJ218),SUMPRODUCT(INDEX($FK$325:$ID$396,GE$169,1+SwaptionShift):INDEX($FK$325:$ID$396,GE$169,SwaptionMonthsToGo+SwaptionShift),INDEX($FK$245:$ID$316,$FJ218-GE$169,73-GE$169+SwaptionShift):INDEX($FK$245:$ID$316,$FJ218-GE$169,72-GE$169+SwaptionMonthsToGo+SwaptionShift))/SQRT(SUM(INDEX($FK373:$ID373,1+SwaptionShift):INDEX($FK373:$ID373,SwaptionMonthsToGo+SwaptionShift))*SUM(INDEX($FK$325:$ID$396,GE$169,1+SwaptionShift):INDEX($FK$325:$ID$396,GE$169,SwaptionMonthsToGo+SwaptionShift))))))</f>
        <v/>
      </c>
      <c r="GF218" s="150" t="str">
        <f aca="false">IF(OR(GF$169&lt;SwaptionFirstMonthPosition+1,$FJ218&lt;SwaptionFirstMonthPosition+1,GF$169&gt;SwaptionFirstMonthPosition+SwaptionNumOfMonths+1,$FJ218&gt;SwaptionFirstMonthPosition+SwaptionNumOfMonths+1),"",IF($FJ218=GF$169,1,IF($FJ218&lt;GF$169,INDEX($FK$170:$ID$241,GF$169,$FJ218),SUMPRODUCT(INDEX($FK$325:$ID$396,GF$169,1+SwaptionShift):INDEX($FK$325:$ID$396,GF$169,SwaptionMonthsToGo+SwaptionShift),INDEX($FK$245:$ID$316,$FJ218-GF$169,73-GF$169+SwaptionShift):INDEX($FK$245:$ID$316,$FJ218-GF$169,72-GF$169+SwaptionMonthsToGo+SwaptionShift))/SQRT(SUM(INDEX($FK373:$ID373,1+SwaptionShift):INDEX($FK373:$ID373,SwaptionMonthsToGo+SwaptionShift))*SUM(INDEX($FK$325:$ID$396,GF$169,1+SwaptionShift):INDEX($FK$325:$ID$396,GF$169,SwaptionMonthsToGo+SwaptionShift))))))</f>
        <v/>
      </c>
      <c r="GG218" s="150" t="str">
        <f aca="false">IF(OR(GG$169&lt;SwaptionFirstMonthPosition+1,$FJ218&lt;SwaptionFirstMonthPosition+1,GG$169&gt;SwaptionFirstMonthPosition+SwaptionNumOfMonths+1,$FJ218&gt;SwaptionFirstMonthPosition+SwaptionNumOfMonths+1),"",IF($FJ218=GG$169,1,IF($FJ218&lt;GG$169,INDEX($FK$170:$ID$241,GG$169,$FJ218),SUMPRODUCT(INDEX($FK$325:$ID$396,GG$169,1+SwaptionShift):INDEX($FK$325:$ID$396,GG$169,SwaptionMonthsToGo+SwaptionShift),INDEX($FK$245:$ID$316,$FJ218-GG$169,73-GG$169+SwaptionShift):INDEX($FK$245:$ID$316,$FJ218-GG$169,72-GG$169+SwaptionMonthsToGo+SwaptionShift))/SQRT(SUM(INDEX($FK373:$ID373,1+SwaptionShift):INDEX($FK373:$ID373,SwaptionMonthsToGo+SwaptionShift))*SUM(INDEX($FK$325:$ID$396,GG$169,1+SwaptionShift):INDEX($FK$325:$ID$396,GG$169,SwaptionMonthsToGo+SwaptionShift))))))</f>
        <v/>
      </c>
      <c r="GH218" s="150" t="str">
        <f aca="false">IF(OR(GH$169&lt;SwaptionFirstMonthPosition+1,$FJ218&lt;SwaptionFirstMonthPosition+1,GH$169&gt;SwaptionFirstMonthPosition+SwaptionNumOfMonths+1,$FJ218&gt;SwaptionFirstMonthPosition+SwaptionNumOfMonths+1),"",IF($FJ218=GH$169,1,IF($FJ218&lt;GH$169,INDEX($FK$170:$ID$241,GH$169,$FJ218),SUMPRODUCT(INDEX($FK$325:$ID$396,GH$169,1+SwaptionShift):INDEX($FK$325:$ID$396,GH$169,SwaptionMonthsToGo+SwaptionShift),INDEX($FK$245:$ID$316,$FJ218-GH$169,73-GH$169+SwaptionShift):INDEX($FK$245:$ID$316,$FJ218-GH$169,72-GH$169+SwaptionMonthsToGo+SwaptionShift))/SQRT(SUM(INDEX($FK373:$ID373,1+SwaptionShift):INDEX($FK373:$ID373,SwaptionMonthsToGo+SwaptionShift))*SUM(INDEX($FK$325:$ID$396,GH$169,1+SwaptionShift):INDEX($FK$325:$ID$396,GH$169,SwaptionMonthsToGo+SwaptionShift))))))</f>
        <v/>
      </c>
      <c r="GI218" s="150" t="str">
        <f aca="false">IF(OR(GI$169&lt;SwaptionFirstMonthPosition+1,$FJ218&lt;SwaptionFirstMonthPosition+1,GI$169&gt;SwaptionFirstMonthPosition+SwaptionNumOfMonths+1,$FJ218&gt;SwaptionFirstMonthPosition+SwaptionNumOfMonths+1),"",IF($FJ218=GI$169,1,IF($FJ218&lt;GI$169,INDEX($FK$170:$ID$241,GI$169,$FJ218),SUMPRODUCT(INDEX($FK$325:$ID$396,GI$169,1+SwaptionShift):INDEX($FK$325:$ID$396,GI$169,SwaptionMonthsToGo+SwaptionShift),INDEX($FK$245:$ID$316,$FJ218-GI$169,73-GI$169+SwaptionShift):INDEX($FK$245:$ID$316,$FJ218-GI$169,72-GI$169+SwaptionMonthsToGo+SwaptionShift))/SQRT(SUM(INDEX($FK373:$ID373,1+SwaptionShift):INDEX($FK373:$ID373,SwaptionMonthsToGo+SwaptionShift))*SUM(INDEX($FK$325:$ID$396,GI$169,1+SwaptionShift):INDEX($FK$325:$ID$396,GI$169,SwaptionMonthsToGo+SwaptionShift))))))</f>
        <v/>
      </c>
      <c r="GJ218" s="150" t="str">
        <f aca="false">IF(OR(GJ$169&lt;SwaptionFirstMonthPosition+1,$FJ218&lt;SwaptionFirstMonthPosition+1,GJ$169&gt;SwaptionFirstMonthPosition+SwaptionNumOfMonths+1,$FJ218&gt;SwaptionFirstMonthPosition+SwaptionNumOfMonths+1),"",IF($FJ218=GJ$169,1,IF($FJ218&lt;GJ$169,INDEX($FK$170:$ID$241,GJ$169,$FJ218),SUMPRODUCT(INDEX($FK$325:$ID$396,GJ$169,1+SwaptionShift):INDEX($FK$325:$ID$396,GJ$169,SwaptionMonthsToGo+SwaptionShift),INDEX($FK$245:$ID$316,$FJ218-GJ$169,73-GJ$169+SwaptionShift):INDEX($FK$245:$ID$316,$FJ218-GJ$169,72-GJ$169+SwaptionMonthsToGo+SwaptionShift))/SQRT(SUM(INDEX($FK373:$ID373,1+SwaptionShift):INDEX($FK373:$ID373,SwaptionMonthsToGo+SwaptionShift))*SUM(INDEX($FK$325:$ID$396,GJ$169,1+SwaptionShift):INDEX($FK$325:$ID$396,GJ$169,SwaptionMonthsToGo+SwaptionShift))))))</f>
        <v/>
      </c>
      <c r="GK218" s="150" t="str">
        <f aca="false">IF(OR(GK$169&lt;SwaptionFirstMonthPosition+1,$FJ218&lt;SwaptionFirstMonthPosition+1,GK$169&gt;SwaptionFirstMonthPosition+SwaptionNumOfMonths+1,$FJ218&gt;SwaptionFirstMonthPosition+SwaptionNumOfMonths+1),"",IF($FJ218=GK$169,1,IF($FJ218&lt;GK$169,INDEX($FK$170:$ID$241,GK$169,$FJ218),SUMPRODUCT(INDEX($FK$325:$ID$396,GK$169,1+SwaptionShift):INDEX($FK$325:$ID$396,GK$169,SwaptionMonthsToGo+SwaptionShift),INDEX($FK$245:$ID$316,$FJ218-GK$169,73-GK$169+SwaptionShift):INDEX($FK$245:$ID$316,$FJ218-GK$169,72-GK$169+SwaptionMonthsToGo+SwaptionShift))/SQRT(SUM(INDEX($FK373:$ID373,1+SwaptionShift):INDEX($FK373:$ID373,SwaptionMonthsToGo+SwaptionShift))*SUM(INDEX($FK$325:$ID$396,GK$169,1+SwaptionShift):INDEX($FK$325:$ID$396,GK$169,SwaptionMonthsToGo+SwaptionShift))))))</f>
        <v/>
      </c>
      <c r="GL218" s="150" t="str">
        <f aca="false">IF(OR(GL$169&lt;SwaptionFirstMonthPosition+1,$FJ218&lt;SwaptionFirstMonthPosition+1,GL$169&gt;SwaptionFirstMonthPosition+SwaptionNumOfMonths+1,$FJ218&gt;SwaptionFirstMonthPosition+SwaptionNumOfMonths+1),"",IF($FJ218=GL$169,1,IF($FJ218&lt;GL$169,INDEX($FK$170:$ID$241,GL$169,$FJ218),SUMPRODUCT(INDEX($FK$325:$ID$396,GL$169,1+SwaptionShift):INDEX($FK$325:$ID$396,GL$169,SwaptionMonthsToGo+SwaptionShift),INDEX($FK$245:$ID$316,$FJ218-GL$169,73-GL$169+SwaptionShift):INDEX($FK$245:$ID$316,$FJ218-GL$169,72-GL$169+SwaptionMonthsToGo+SwaptionShift))/SQRT(SUM(INDEX($FK373:$ID373,1+SwaptionShift):INDEX($FK373:$ID373,SwaptionMonthsToGo+SwaptionShift))*SUM(INDEX($FK$325:$ID$396,GL$169,1+SwaptionShift):INDEX($FK$325:$ID$396,GL$169,SwaptionMonthsToGo+SwaptionShift))))))</f>
        <v/>
      </c>
      <c r="GM218" s="150" t="str">
        <f aca="false">IF(OR(GM$169&lt;SwaptionFirstMonthPosition+1,$FJ218&lt;SwaptionFirstMonthPosition+1,GM$169&gt;SwaptionFirstMonthPosition+SwaptionNumOfMonths+1,$FJ218&gt;SwaptionFirstMonthPosition+SwaptionNumOfMonths+1),"",IF($FJ218=GM$169,1,IF($FJ218&lt;GM$169,INDEX($FK$170:$ID$241,GM$169,$FJ218),SUMPRODUCT(INDEX($FK$325:$ID$396,GM$169,1+SwaptionShift):INDEX($FK$325:$ID$396,GM$169,SwaptionMonthsToGo+SwaptionShift),INDEX($FK$245:$ID$316,$FJ218-GM$169,73-GM$169+SwaptionShift):INDEX($FK$245:$ID$316,$FJ218-GM$169,72-GM$169+SwaptionMonthsToGo+SwaptionShift))/SQRT(SUM(INDEX($FK373:$ID373,1+SwaptionShift):INDEX($FK373:$ID373,SwaptionMonthsToGo+SwaptionShift))*SUM(INDEX($FK$325:$ID$396,GM$169,1+SwaptionShift):INDEX($FK$325:$ID$396,GM$169,SwaptionMonthsToGo+SwaptionShift))))))</f>
        <v/>
      </c>
      <c r="GN218" s="150" t="str">
        <f aca="false">IF(OR(GN$169&lt;SwaptionFirstMonthPosition+1,$FJ218&lt;SwaptionFirstMonthPosition+1,GN$169&gt;SwaptionFirstMonthPosition+SwaptionNumOfMonths+1,$FJ218&gt;SwaptionFirstMonthPosition+SwaptionNumOfMonths+1),"",IF($FJ218=GN$169,1,IF($FJ218&lt;GN$169,INDEX($FK$170:$ID$241,GN$169,$FJ218),SUMPRODUCT(INDEX($FK$325:$ID$396,GN$169,1+SwaptionShift):INDEX($FK$325:$ID$396,GN$169,SwaptionMonthsToGo+SwaptionShift),INDEX($FK$245:$ID$316,$FJ218-GN$169,73-GN$169+SwaptionShift):INDEX($FK$245:$ID$316,$FJ218-GN$169,72-GN$169+SwaptionMonthsToGo+SwaptionShift))/SQRT(SUM(INDEX($FK373:$ID373,1+SwaptionShift):INDEX($FK373:$ID373,SwaptionMonthsToGo+SwaptionShift))*SUM(INDEX($FK$325:$ID$396,GN$169,1+SwaptionShift):INDEX($FK$325:$ID$396,GN$169,SwaptionMonthsToGo+SwaptionShift))))))</f>
        <v/>
      </c>
      <c r="GO218" s="150" t="str">
        <f aca="false">IF(OR(GO$169&lt;SwaptionFirstMonthPosition+1,$FJ218&lt;SwaptionFirstMonthPosition+1,GO$169&gt;SwaptionFirstMonthPosition+SwaptionNumOfMonths+1,$FJ218&gt;SwaptionFirstMonthPosition+SwaptionNumOfMonths+1),"",IF($FJ218=GO$169,1,IF($FJ218&lt;GO$169,INDEX($FK$170:$ID$241,GO$169,$FJ218),SUMPRODUCT(INDEX($FK$325:$ID$396,GO$169,1+SwaptionShift):INDEX($FK$325:$ID$396,GO$169,SwaptionMonthsToGo+SwaptionShift),INDEX($FK$245:$ID$316,$FJ218-GO$169,73-GO$169+SwaptionShift):INDEX($FK$245:$ID$316,$FJ218-GO$169,72-GO$169+SwaptionMonthsToGo+SwaptionShift))/SQRT(SUM(INDEX($FK373:$ID373,1+SwaptionShift):INDEX($FK373:$ID373,SwaptionMonthsToGo+SwaptionShift))*SUM(INDEX($FK$325:$ID$396,GO$169,1+SwaptionShift):INDEX($FK$325:$ID$396,GO$169,SwaptionMonthsToGo+SwaptionShift))))))</f>
        <v/>
      </c>
      <c r="GP218" s="150" t="str">
        <f aca="false">IF(OR(GP$169&lt;SwaptionFirstMonthPosition+1,$FJ218&lt;SwaptionFirstMonthPosition+1,GP$169&gt;SwaptionFirstMonthPosition+SwaptionNumOfMonths+1,$FJ218&gt;SwaptionFirstMonthPosition+SwaptionNumOfMonths+1),"",IF($FJ218=GP$169,1,IF($FJ218&lt;GP$169,INDEX($FK$170:$ID$241,GP$169,$FJ218),SUMPRODUCT(INDEX($FK$325:$ID$396,GP$169,1+SwaptionShift):INDEX($FK$325:$ID$396,GP$169,SwaptionMonthsToGo+SwaptionShift),INDEX($FK$245:$ID$316,$FJ218-GP$169,73-GP$169+SwaptionShift):INDEX($FK$245:$ID$316,$FJ218-GP$169,72-GP$169+SwaptionMonthsToGo+SwaptionShift))/SQRT(SUM(INDEX($FK373:$ID373,1+SwaptionShift):INDEX($FK373:$ID373,SwaptionMonthsToGo+SwaptionShift))*SUM(INDEX($FK$325:$ID$396,GP$169,1+SwaptionShift):INDEX($FK$325:$ID$396,GP$169,SwaptionMonthsToGo+SwaptionShift))))))</f>
        <v/>
      </c>
      <c r="GQ218" s="150" t="str">
        <f aca="false">IF(OR(GQ$169&lt;SwaptionFirstMonthPosition+1,$FJ218&lt;SwaptionFirstMonthPosition+1,GQ$169&gt;SwaptionFirstMonthPosition+SwaptionNumOfMonths+1,$FJ218&gt;SwaptionFirstMonthPosition+SwaptionNumOfMonths+1),"",IF($FJ218=GQ$169,1,IF($FJ218&lt;GQ$169,INDEX($FK$170:$ID$241,GQ$169,$FJ218),SUMPRODUCT(INDEX($FK$325:$ID$396,GQ$169,1+SwaptionShift):INDEX($FK$325:$ID$396,GQ$169,SwaptionMonthsToGo+SwaptionShift),INDEX($FK$245:$ID$316,$FJ218-GQ$169,73-GQ$169+SwaptionShift):INDEX($FK$245:$ID$316,$FJ218-GQ$169,72-GQ$169+SwaptionMonthsToGo+SwaptionShift))/SQRT(SUM(INDEX($FK373:$ID373,1+SwaptionShift):INDEX($FK373:$ID373,SwaptionMonthsToGo+SwaptionShift))*SUM(INDEX($FK$325:$ID$396,GQ$169,1+SwaptionShift):INDEX($FK$325:$ID$396,GQ$169,SwaptionMonthsToGo+SwaptionShift))))))</f>
        <v/>
      </c>
      <c r="GR218" s="150" t="str">
        <f aca="false">IF(OR(GR$169&lt;SwaptionFirstMonthPosition+1,$FJ218&lt;SwaptionFirstMonthPosition+1,GR$169&gt;SwaptionFirstMonthPosition+SwaptionNumOfMonths+1,$FJ218&gt;SwaptionFirstMonthPosition+SwaptionNumOfMonths+1),"",IF($FJ218=GR$169,1,IF($FJ218&lt;GR$169,INDEX($FK$170:$ID$241,GR$169,$FJ218),SUMPRODUCT(INDEX($FK$325:$ID$396,GR$169,1+SwaptionShift):INDEX($FK$325:$ID$396,GR$169,SwaptionMonthsToGo+SwaptionShift),INDEX($FK$245:$ID$316,$FJ218-GR$169,73-GR$169+SwaptionShift):INDEX($FK$245:$ID$316,$FJ218-GR$169,72-GR$169+SwaptionMonthsToGo+SwaptionShift))/SQRT(SUM(INDEX($FK373:$ID373,1+SwaptionShift):INDEX($FK373:$ID373,SwaptionMonthsToGo+SwaptionShift))*SUM(INDEX($FK$325:$ID$396,GR$169,1+SwaptionShift):INDEX($FK$325:$ID$396,GR$169,SwaptionMonthsToGo+SwaptionShift))))))</f>
        <v/>
      </c>
      <c r="GS218" s="150" t="str">
        <f aca="false">IF(OR(GS$169&lt;SwaptionFirstMonthPosition+1,$FJ218&lt;SwaptionFirstMonthPosition+1,GS$169&gt;SwaptionFirstMonthPosition+SwaptionNumOfMonths+1,$FJ218&gt;SwaptionFirstMonthPosition+SwaptionNumOfMonths+1),"",IF($FJ218=GS$169,1,IF($FJ218&lt;GS$169,INDEX($FK$170:$ID$241,GS$169,$FJ218),SUMPRODUCT(INDEX($FK$325:$ID$396,GS$169,1+SwaptionShift):INDEX($FK$325:$ID$396,GS$169,SwaptionMonthsToGo+SwaptionShift),INDEX($FK$245:$ID$316,$FJ218-GS$169,73-GS$169+SwaptionShift):INDEX($FK$245:$ID$316,$FJ218-GS$169,72-GS$169+SwaptionMonthsToGo+SwaptionShift))/SQRT(SUM(INDEX($FK373:$ID373,1+SwaptionShift):INDEX($FK373:$ID373,SwaptionMonthsToGo+SwaptionShift))*SUM(INDEX($FK$325:$ID$396,GS$169,1+SwaptionShift):INDEX($FK$325:$ID$396,GS$169,SwaptionMonthsToGo+SwaptionShift))))))</f>
        <v/>
      </c>
      <c r="GT218" s="150" t="str">
        <f aca="false">IF(OR(GT$169&lt;SwaptionFirstMonthPosition+1,$FJ218&lt;SwaptionFirstMonthPosition+1,GT$169&gt;SwaptionFirstMonthPosition+SwaptionNumOfMonths+1,$FJ218&gt;SwaptionFirstMonthPosition+SwaptionNumOfMonths+1),"",IF($FJ218=GT$169,1,IF($FJ218&lt;GT$169,INDEX($FK$170:$ID$241,GT$169,$FJ218),SUMPRODUCT(INDEX($FK$325:$ID$396,GT$169,1+SwaptionShift):INDEX($FK$325:$ID$396,GT$169,SwaptionMonthsToGo+SwaptionShift),INDEX($FK$245:$ID$316,$FJ218-GT$169,73-GT$169+SwaptionShift):INDEX($FK$245:$ID$316,$FJ218-GT$169,72-GT$169+SwaptionMonthsToGo+SwaptionShift))/SQRT(SUM(INDEX($FK373:$ID373,1+SwaptionShift):INDEX($FK373:$ID373,SwaptionMonthsToGo+SwaptionShift))*SUM(INDEX($FK$325:$ID$396,GT$169,1+SwaptionShift):INDEX($FK$325:$ID$396,GT$169,SwaptionMonthsToGo+SwaptionShift))))))</f>
        <v/>
      </c>
      <c r="GU218" s="150" t="str">
        <f aca="false">IF(OR(GU$169&lt;SwaptionFirstMonthPosition+1,$FJ218&lt;SwaptionFirstMonthPosition+1,GU$169&gt;SwaptionFirstMonthPosition+SwaptionNumOfMonths+1,$FJ218&gt;SwaptionFirstMonthPosition+SwaptionNumOfMonths+1),"",IF($FJ218=GU$169,1,IF($FJ218&lt;GU$169,INDEX($FK$170:$ID$241,GU$169,$FJ218),SUMPRODUCT(INDEX($FK$325:$ID$396,GU$169,1+SwaptionShift):INDEX($FK$325:$ID$396,GU$169,SwaptionMonthsToGo+SwaptionShift),INDEX($FK$245:$ID$316,$FJ218-GU$169,73-GU$169+SwaptionShift):INDEX($FK$245:$ID$316,$FJ218-GU$169,72-GU$169+SwaptionMonthsToGo+SwaptionShift))/SQRT(SUM(INDEX($FK373:$ID373,1+SwaptionShift):INDEX($FK373:$ID373,SwaptionMonthsToGo+SwaptionShift))*SUM(INDEX($FK$325:$ID$396,GU$169,1+SwaptionShift):INDEX($FK$325:$ID$396,GU$169,SwaptionMonthsToGo+SwaptionShift))))))</f>
        <v/>
      </c>
      <c r="GV218" s="150" t="str">
        <f aca="false">IF(OR(GV$169&lt;SwaptionFirstMonthPosition+1,$FJ218&lt;SwaptionFirstMonthPosition+1,GV$169&gt;SwaptionFirstMonthPosition+SwaptionNumOfMonths+1,$FJ218&gt;SwaptionFirstMonthPosition+SwaptionNumOfMonths+1),"",IF($FJ218=GV$169,1,IF($FJ218&lt;GV$169,INDEX($FK$170:$ID$241,GV$169,$FJ218),SUMPRODUCT(INDEX($FK$325:$ID$396,GV$169,1+SwaptionShift):INDEX($FK$325:$ID$396,GV$169,SwaptionMonthsToGo+SwaptionShift),INDEX($FK$245:$ID$316,$FJ218-GV$169,73-GV$169+SwaptionShift):INDEX($FK$245:$ID$316,$FJ218-GV$169,72-GV$169+SwaptionMonthsToGo+SwaptionShift))/SQRT(SUM(INDEX($FK373:$ID373,1+SwaptionShift):INDEX($FK373:$ID373,SwaptionMonthsToGo+SwaptionShift))*SUM(INDEX($FK$325:$ID$396,GV$169,1+SwaptionShift):INDEX($FK$325:$ID$396,GV$169,SwaptionMonthsToGo+SwaptionShift))))))</f>
        <v/>
      </c>
      <c r="GW218" s="150" t="str">
        <f aca="false">IF(OR(GW$169&lt;SwaptionFirstMonthPosition+1,$FJ218&lt;SwaptionFirstMonthPosition+1,GW$169&gt;SwaptionFirstMonthPosition+SwaptionNumOfMonths+1,$FJ218&gt;SwaptionFirstMonthPosition+SwaptionNumOfMonths+1),"",IF($FJ218=GW$169,1,IF($FJ218&lt;GW$169,INDEX($FK$170:$ID$241,GW$169,$FJ218),SUMPRODUCT(INDEX($FK$325:$ID$396,GW$169,1+SwaptionShift):INDEX($FK$325:$ID$396,GW$169,SwaptionMonthsToGo+SwaptionShift),INDEX($FK$245:$ID$316,$FJ218-GW$169,73-GW$169+SwaptionShift):INDEX($FK$245:$ID$316,$FJ218-GW$169,72-GW$169+SwaptionMonthsToGo+SwaptionShift))/SQRT(SUM(INDEX($FK373:$ID373,1+SwaptionShift):INDEX($FK373:$ID373,SwaptionMonthsToGo+SwaptionShift))*SUM(INDEX($FK$325:$ID$396,GW$169,1+SwaptionShift):INDEX($FK$325:$ID$396,GW$169,SwaptionMonthsToGo+SwaptionShift))))))</f>
        <v/>
      </c>
      <c r="GX218" s="150" t="str">
        <f aca="false">IF(OR(GX$169&lt;SwaptionFirstMonthPosition+1,$FJ218&lt;SwaptionFirstMonthPosition+1,GX$169&gt;SwaptionFirstMonthPosition+SwaptionNumOfMonths+1,$FJ218&gt;SwaptionFirstMonthPosition+SwaptionNumOfMonths+1),"",IF($FJ218=GX$169,1,IF($FJ218&lt;GX$169,INDEX($FK$170:$ID$241,GX$169,$FJ218),SUMPRODUCT(INDEX($FK$325:$ID$396,GX$169,1+SwaptionShift):INDEX($FK$325:$ID$396,GX$169,SwaptionMonthsToGo+SwaptionShift),INDEX($FK$245:$ID$316,$FJ218-GX$169,73-GX$169+SwaptionShift):INDEX($FK$245:$ID$316,$FJ218-GX$169,72-GX$169+SwaptionMonthsToGo+SwaptionShift))/SQRT(SUM(INDEX($FK373:$ID373,1+SwaptionShift):INDEX($FK373:$ID373,SwaptionMonthsToGo+SwaptionShift))*SUM(INDEX($FK$325:$ID$396,GX$169,1+SwaptionShift):INDEX($FK$325:$ID$396,GX$169,SwaptionMonthsToGo+SwaptionShift))))))</f>
        <v/>
      </c>
      <c r="GY218" s="150" t="str">
        <f aca="false">IF(OR(GY$169&lt;SwaptionFirstMonthPosition+1,$FJ218&lt;SwaptionFirstMonthPosition+1,GY$169&gt;SwaptionFirstMonthPosition+SwaptionNumOfMonths+1,$FJ218&gt;SwaptionFirstMonthPosition+SwaptionNumOfMonths+1),"",IF($FJ218=GY$169,1,IF($FJ218&lt;GY$169,INDEX($FK$170:$ID$241,GY$169,$FJ218),SUMPRODUCT(INDEX($FK$325:$ID$396,GY$169,1+SwaptionShift):INDEX($FK$325:$ID$396,GY$169,SwaptionMonthsToGo+SwaptionShift),INDEX($FK$245:$ID$316,$FJ218-GY$169,73-GY$169+SwaptionShift):INDEX($FK$245:$ID$316,$FJ218-GY$169,72-GY$169+SwaptionMonthsToGo+SwaptionShift))/SQRT(SUM(INDEX($FK373:$ID373,1+SwaptionShift):INDEX($FK373:$ID373,SwaptionMonthsToGo+SwaptionShift))*SUM(INDEX($FK$325:$ID$396,GY$169,1+SwaptionShift):INDEX($FK$325:$ID$396,GY$169,SwaptionMonthsToGo+SwaptionShift))))))</f>
        <v/>
      </c>
      <c r="GZ218" s="150" t="str">
        <f aca="false">IF(OR(GZ$169&lt;SwaptionFirstMonthPosition+1,$FJ218&lt;SwaptionFirstMonthPosition+1,GZ$169&gt;SwaptionFirstMonthPosition+SwaptionNumOfMonths+1,$FJ218&gt;SwaptionFirstMonthPosition+SwaptionNumOfMonths+1),"",IF($FJ218=GZ$169,1,IF($FJ218&lt;GZ$169,INDEX($FK$170:$ID$241,GZ$169,$FJ218),SUMPRODUCT(INDEX($FK$325:$ID$396,GZ$169,1+SwaptionShift):INDEX($FK$325:$ID$396,GZ$169,SwaptionMonthsToGo+SwaptionShift),INDEX($FK$245:$ID$316,$FJ218-GZ$169,73-GZ$169+SwaptionShift):INDEX($FK$245:$ID$316,$FJ218-GZ$169,72-GZ$169+SwaptionMonthsToGo+SwaptionShift))/SQRT(SUM(INDEX($FK373:$ID373,1+SwaptionShift):INDEX($FK373:$ID373,SwaptionMonthsToGo+SwaptionShift))*SUM(INDEX($FK$325:$ID$396,GZ$169,1+SwaptionShift):INDEX($FK$325:$ID$396,GZ$169,SwaptionMonthsToGo+SwaptionShift))))))</f>
        <v/>
      </c>
      <c r="HA218" s="150" t="str">
        <f aca="false">IF(OR(HA$169&lt;SwaptionFirstMonthPosition+1,$FJ218&lt;SwaptionFirstMonthPosition+1,HA$169&gt;SwaptionFirstMonthPosition+SwaptionNumOfMonths+1,$FJ218&gt;SwaptionFirstMonthPosition+SwaptionNumOfMonths+1),"",IF($FJ218=HA$169,1,IF($FJ218&lt;HA$169,INDEX($FK$170:$ID$241,HA$169,$FJ218),SUMPRODUCT(INDEX($FK$325:$ID$396,HA$169,1+SwaptionShift):INDEX($FK$325:$ID$396,HA$169,SwaptionMonthsToGo+SwaptionShift),INDEX($FK$245:$ID$316,$FJ218-HA$169,73-HA$169+SwaptionShift):INDEX($FK$245:$ID$316,$FJ218-HA$169,72-HA$169+SwaptionMonthsToGo+SwaptionShift))/SQRT(SUM(INDEX($FK373:$ID373,1+SwaptionShift):INDEX($FK373:$ID373,SwaptionMonthsToGo+SwaptionShift))*SUM(INDEX($FK$325:$ID$396,HA$169,1+SwaptionShift):INDEX($FK$325:$ID$396,HA$169,SwaptionMonthsToGo+SwaptionShift))))))</f>
        <v/>
      </c>
      <c r="HB218" s="150" t="str">
        <f aca="false">IF(OR(HB$169&lt;SwaptionFirstMonthPosition+1,$FJ218&lt;SwaptionFirstMonthPosition+1,HB$169&gt;SwaptionFirstMonthPosition+SwaptionNumOfMonths+1,$FJ218&gt;SwaptionFirstMonthPosition+SwaptionNumOfMonths+1),"",IF($FJ218=HB$169,1,IF($FJ218&lt;HB$169,INDEX($FK$170:$ID$241,HB$169,$FJ218),SUMPRODUCT(INDEX($FK$325:$ID$396,HB$169,1+SwaptionShift):INDEX($FK$325:$ID$396,HB$169,SwaptionMonthsToGo+SwaptionShift),INDEX($FK$245:$ID$316,$FJ218-HB$169,73-HB$169+SwaptionShift):INDEX($FK$245:$ID$316,$FJ218-HB$169,72-HB$169+SwaptionMonthsToGo+SwaptionShift))/SQRT(SUM(INDEX($FK373:$ID373,1+SwaptionShift):INDEX($FK373:$ID373,SwaptionMonthsToGo+SwaptionShift))*SUM(INDEX($FK$325:$ID$396,HB$169,1+SwaptionShift):INDEX($FK$325:$ID$396,HB$169,SwaptionMonthsToGo+SwaptionShift))))))</f>
        <v/>
      </c>
      <c r="HC218" s="150" t="str">
        <f aca="false">IF(OR(HC$169&lt;SwaptionFirstMonthPosition+1,$FJ218&lt;SwaptionFirstMonthPosition+1,HC$169&gt;SwaptionFirstMonthPosition+SwaptionNumOfMonths+1,$FJ218&gt;SwaptionFirstMonthPosition+SwaptionNumOfMonths+1),"",IF($FJ218=HC$169,1,IF($FJ218&lt;HC$169,INDEX($FK$170:$ID$241,HC$169,$FJ218),SUMPRODUCT(INDEX($FK$325:$ID$396,HC$169,1+SwaptionShift):INDEX($FK$325:$ID$396,HC$169,SwaptionMonthsToGo+SwaptionShift),INDEX($FK$245:$ID$316,$FJ218-HC$169,73-HC$169+SwaptionShift):INDEX($FK$245:$ID$316,$FJ218-HC$169,72-HC$169+SwaptionMonthsToGo+SwaptionShift))/SQRT(SUM(INDEX($FK373:$ID373,1+SwaptionShift):INDEX($FK373:$ID373,SwaptionMonthsToGo+SwaptionShift))*SUM(INDEX($FK$325:$ID$396,HC$169,1+SwaptionShift):INDEX($FK$325:$ID$396,HC$169,SwaptionMonthsToGo+SwaptionShift))))))</f>
        <v/>
      </c>
      <c r="HD218" s="150" t="str">
        <f aca="false">IF(OR(HD$169&lt;SwaptionFirstMonthPosition+1,$FJ218&lt;SwaptionFirstMonthPosition+1,HD$169&gt;SwaptionFirstMonthPosition+SwaptionNumOfMonths+1,$FJ218&gt;SwaptionFirstMonthPosition+SwaptionNumOfMonths+1),"",IF($FJ218=HD$169,1,IF($FJ218&lt;HD$169,INDEX($FK$170:$ID$241,HD$169,$FJ218),SUMPRODUCT(INDEX($FK$325:$ID$396,HD$169,1+SwaptionShift):INDEX($FK$325:$ID$396,HD$169,SwaptionMonthsToGo+SwaptionShift),INDEX($FK$245:$ID$316,$FJ218-HD$169,73-HD$169+SwaptionShift):INDEX($FK$245:$ID$316,$FJ218-HD$169,72-HD$169+SwaptionMonthsToGo+SwaptionShift))/SQRT(SUM(INDEX($FK373:$ID373,1+SwaptionShift):INDEX($FK373:$ID373,SwaptionMonthsToGo+SwaptionShift))*SUM(INDEX($FK$325:$ID$396,HD$169,1+SwaptionShift):INDEX($FK$325:$ID$396,HD$169,SwaptionMonthsToGo+SwaptionShift))))))</f>
        <v/>
      </c>
      <c r="HE218" s="150" t="str">
        <f aca="false">IF(OR(HE$169&lt;SwaptionFirstMonthPosition+1,$FJ218&lt;SwaptionFirstMonthPosition+1,HE$169&gt;SwaptionFirstMonthPosition+SwaptionNumOfMonths+1,$FJ218&gt;SwaptionFirstMonthPosition+SwaptionNumOfMonths+1),"",IF($FJ218=HE$169,1,IF($FJ218&lt;HE$169,INDEX($FK$170:$ID$241,HE$169,$FJ218),SUMPRODUCT(INDEX($FK$325:$ID$396,HE$169,1+SwaptionShift):INDEX($FK$325:$ID$396,HE$169,SwaptionMonthsToGo+SwaptionShift),INDEX($FK$245:$ID$316,$FJ218-HE$169,73-HE$169+SwaptionShift):INDEX($FK$245:$ID$316,$FJ218-HE$169,72-HE$169+SwaptionMonthsToGo+SwaptionShift))/SQRT(SUM(INDEX($FK373:$ID373,1+SwaptionShift):INDEX($FK373:$ID373,SwaptionMonthsToGo+SwaptionShift))*SUM(INDEX($FK$325:$ID$396,HE$169,1+SwaptionShift):INDEX($FK$325:$ID$396,HE$169,SwaptionMonthsToGo+SwaptionShift))))))</f>
        <v/>
      </c>
      <c r="HF218" s="150" t="str">
        <f aca="false">IF(OR(HF$169&lt;SwaptionFirstMonthPosition+1,$FJ218&lt;SwaptionFirstMonthPosition+1,HF$169&gt;SwaptionFirstMonthPosition+SwaptionNumOfMonths+1,$FJ218&gt;SwaptionFirstMonthPosition+SwaptionNumOfMonths+1),"",IF($FJ218=HF$169,1,IF($FJ218&lt;HF$169,INDEX($FK$170:$ID$241,HF$169,$FJ218),SUMPRODUCT(INDEX($FK$325:$ID$396,HF$169,1+SwaptionShift):INDEX($FK$325:$ID$396,HF$169,SwaptionMonthsToGo+SwaptionShift),INDEX($FK$245:$ID$316,$FJ218-HF$169,73-HF$169+SwaptionShift):INDEX($FK$245:$ID$316,$FJ218-HF$169,72-HF$169+SwaptionMonthsToGo+SwaptionShift))/SQRT(SUM(INDEX($FK373:$ID373,1+SwaptionShift):INDEX($FK373:$ID373,SwaptionMonthsToGo+SwaptionShift))*SUM(INDEX($FK$325:$ID$396,HF$169,1+SwaptionShift):INDEX($FK$325:$ID$396,HF$169,SwaptionMonthsToGo+SwaptionShift))))))</f>
        <v/>
      </c>
      <c r="HG218" s="150" t="str">
        <f aca="false">IF(OR(HG$169&lt;SwaptionFirstMonthPosition+1,$FJ218&lt;SwaptionFirstMonthPosition+1,HG$169&gt;SwaptionFirstMonthPosition+SwaptionNumOfMonths+1,$FJ218&gt;SwaptionFirstMonthPosition+SwaptionNumOfMonths+1),"",IF($FJ218=HG$169,1,IF($FJ218&lt;HG$169,INDEX($FK$170:$ID$241,HG$169,$FJ218),SUMPRODUCT(INDEX($FK$325:$ID$396,HG$169,1+SwaptionShift):INDEX($FK$325:$ID$396,HG$169,SwaptionMonthsToGo+SwaptionShift),INDEX($FK$245:$ID$316,$FJ218-HG$169,73-HG$169+SwaptionShift):INDEX($FK$245:$ID$316,$FJ218-HG$169,72-HG$169+SwaptionMonthsToGo+SwaptionShift))/SQRT(SUM(INDEX($FK373:$ID373,1+SwaptionShift):INDEX($FK373:$ID373,SwaptionMonthsToGo+SwaptionShift))*SUM(INDEX($FK$325:$ID$396,HG$169,1+SwaptionShift):INDEX($FK$325:$ID$396,HG$169,SwaptionMonthsToGo+SwaptionShift))))))</f>
        <v/>
      </c>
      <c r="HH218" s="150" t="str">
        <f aca="false">IF(OR(HH$169&lt;SwaptionFirstMonthPosition+1,$FJ218&lt;SwaptionFirstMonthPosition+1,HH$169&gt;SwaptionFirstMonthPosition+SwaptionNumOfMonths+1,$FJ218&gt;SwaptionFirstMonthPosition+SwaptionNumOfMonths+1),"",IF($FJ218=HH$169,1,IF($FJ218&lt;HH$169,INDEX($FK$170:$ID$241,HH$169,$FJ218),SUMPRODUCT(INDEX($FK$325:$ID$396,HH$169,1+SwaptionShift):INDEX($FK$325:$ID$396,HH$169,SwaptionMonthsToGo+SwaptionShift),INDEX($FK$245:$ID$316,$FJ218-HH$169,73-HH$169+SwaptionShift):INDEX($FK$245:$ID$316,$FJ218-HH$169,72-HH$169+SwaptionMonthsToGo+SwaptionShift))/SQRT(SUM(INDEX($FK373:$ID373,1+SwaptionShift):INDEX($FK373:$ID373,SwaptionMonthsToGo+SwaptionShift))*SUM(INDEX($FK$325:$ID$396,HH$169,1+SwaptionShift):INDEX($FK$325:$ID$396,HH$169,SwaptionMonthsToGo+SwaptionShift))))))</f>
        <v/>
      </c>
      <c r="HI218" s="150" t="str">
        <f aca="false">IF(OR(HI$169&lt;SwaptionFirstMonthPosition+1,$FJ218&lt;SwaptionFirstMonthPosition+1,HI$169&gt;SwaptionFirstMonthPosition+SwaptionNumOfMonths+1,$FJ218&gt;SwaptionFirstMonthPosition+SwaptionNumOfMonths+1),"",IF($FJ218=HI$169,1,IF($FJ218&lt;HI$169,INDEX($FK$170:$ID$241,HI$169,$FJ218),SUMPRODUCT(INDEX($FK$325:$ID$396,HI$169,1+SwaptionShift):INDEX($FK$325:$ID$396,HI$169,SwaptionMonthsToGo+SwaptionShift),INDEX($FK$245:$ID$316,$FJ218-HI$169,73-HI$169+SwaptionShift):INDEX($FK$245:$ID$316,$FJ218-HI$169,72-HI$169+SwaptionMonthsToGo+SwaptionShift))/SQRT(SUM(INDEX($FK373:$ID373,1+SwaptionShift):INDEX($FK373:$ID373,SwaptionMonthsToGo+SwaptionShift))*SUM(INDEX($FK$325:$ID$396,HI$169,1+SwaptionShift):INDEX($FK$325:$ID$396,HI$169,SwaptionMonthsToGo+SwaptionShift))))))</f>
        <v/>
      </c>
      <c r="HJ218" s="150" t="str">
        <f aca="false">IF(OR(HJ$169&lt;SwaptionFirstMonthPosition+1,$FJ218&lt;SwaptionFirstMonthPosition+1,HJ$169&gt;SwaptionFirstMonthPosition+SwaptionNumOfMonths+1,$FJ218&gt;SwaptionFirstMonthPosition+SwaptionNumOfMonths+1),"",IF($FJ218=HJ$169,1,IF($FJ218&lt;HJ$169,INDEX($FK$170:$ID$241,HJ$169,$FJ218),SUMPRODUCT(INDEX($FK$325:$ID$396,HJ$169,1+SwaptionShift):INDEX($FK$325:$ID$396,HJ$169,SwaptionMonthsToGo+SwaptionShift),INDEX($FK$245:$ID$316,$FJ218-HJ$169,73-HJ$169+SwaptionShift):INDEX($FK$245:$ID$316,$FJ218-HJ$169,72-HJ$169+SwaptionMonthsToGo+SwaptionShift))/SQRT(SUM(INDEX($FK373:$ID373,1+SwaptionShift):INDEX($FK373:$ID373,SwaptionMonthsToGo+SwaptionShift))*SUM(INDEX($FK$325:$ID$396,HJ$169,1+SwaptionShift):INDEX($FK$325:$ID$396,HJ$169,SwaptionMonthsToGo+SwaptionShift))))))</f>
        <v/>
      </c>
      <c r="HK218" s="150" t="str">
        <f aca="false">IF(OR(HK$169&lt;SwaptionFirstMonthPosition+1,$FJ218&lt;SwaptionFirstMonthPosition+1,HK$169&gt;SwaptionFirstMonthPosition+SwaptionNumOfMonths+1,$FJ218&gt;SwaptionFirstMonthPosition+SwaptionNumOfMonths+1),"",IF($FJ218=HK$169,1,IF($FJ218&lt;HK$169,INDEX($FK$170:$ID$241,HK$169,$FJ218),SUMPRODUCT(INDEX($FK$325:$ID$396,HK$169,1+SwaptionShift):INDEX($FK$325:$ID$396,HK$169,SwaptionMonthsToGo+SwaptionShift),INDEX($FK$245:$ID$316,$FJ218-HK$169,73-HK$169+SwaptionShift):INDEX($FK$245:$ID$316,$FJ218-HK$169,72-HK$169+SwaptionMonthsToGo+SwaptionShift))/SQRT(SUM(INDEX($FK373:$ID373,1+SwaptionShift):INDEX($FK373:$ID373,SwaptionMonthsToGo+SwaptionShift))*SUM(INDEX($FK$325:$ID$396,HK$169,1+SwaptionShift):INDEX($FK$325:$ID$396,HK$169,SwaptionMonthsToGo+SwaptionShift))))))</f>
        <v/>
      </c>
      <c r="HL218" s="150" t="str">
        <f aca="false">IF(OR(HL$169&lt;SwaptionFirstMonthPosition+1,$FJ218&lt;SwaptionFirstMonthPosition+1,HL$169&gt;SwaptionFirstMonthPosition+SwaptionNumOfMonths+1,$FJ218&gt;SwaptionFirstMonthPosition+SwaptionNumOfMonths+1),"",IF($FJ218=HL$169,1,IF($FJ218&lt;HL$169,INDEX($FK$170:$ID$241,HL$169,$FJ218),SUMPRODUCT(INDEX($FK$325:$ID$396,HL$169,1+SwaptionShift):INDEX($FK$325:$ID$396,HL$169,SwaptionMonthsToGo+SwaptionShift),INDEX($FK$245:$ID$316,$FJ218-HL$169,73-HL$169+SwaptionShift):INDEX($FK$245:$ID$316,$FJ218-HL$169,72-HL$169+SwaptionMonthsToGo+SwaptionShift))/SQRT(SUM(INDEX($FK373:$ID373,1+SwaptionShift):INDEX($FK373:$ID373,SwaptionMonthsToGo+SwaptionShift))*SUM(INDEX($FK$325:$ID$396,HL$169,1+SwaptionShift):INDEX($FK$325:$ID$396,HL$169,SwaptionMonthsToGo+SwaptionShift))))))</f>
        <v/>
      </c>
      <c r="HM218" s="150" t="str">
        <f aca="false">IF(OR(HM$169&lt;SwaptionFirstMonthPosition+1,$FJ218&lt;SwaptionFirstMonthPosition+1,HM$169&gt;SwaptionFirstMonthPosition+SwaptionNumOfMonths+1,$FJ218&gt;SwaptionFirstMonthPosition+SwaptionNumOfMonths+1),"",IF($FJ218=HM$169,1,IF($FJ218&lt;HM$169,INDEX($FK$170:$ID$241,HM$169,$FJ218),SUMPRODUCT(INDEX($FK$325:$ID$396,HM$169,1+SwaptionShift):INDEX($FK$325:$ID$396,HM$169,SwaptionMonthsToGo+SwaptionShift),INDEX($FK$245:$ID$316,$FJ218-HM$169,73-HM$169+SwaptionShift):INDEX($FK$245:$ID$316,$FJ218-HM$169,72-HM$169+SwaptionMonthsToGo+SwaptionShift))/SQRT(SUM(INDEX($FK373:$ID373,1+SwaptionShift):INDEX($FK373:$ID373,SwaptionMonthsToGo+SwaptionShift))*SUM(INDEX($FK$325:$ID$396,HM$169,1+SwaptionShift):INDEX($FK$325:$ID$396,HM$169,SwaptionMonthsToGo+SwaptionShift))))))</f>
        <v/>
      </c>
      <c r="HN218" s="150" t="str">
        <f aca="false">IF(OR(HN$169&lt;SwaptionFirstMonthPosition+1,$FJ218&lt;SwaptionFirstMonthPosition+1,HN$169&gt;SwaptionFirstMonthPosition+SwaptionNumOfMonths+1,$FJ218&gt;SwaptionFirstMonthPosition+SwaptionNumOfMonths+1),"",IF($FJ218=HN$169,1,IF($FJ218&lt;HN$169,INDEX($FK$170:$ID$241,HN$169,$FJ218),SUMPRODUCT(INDEX($FK$325:$ID$396,HN$169,1+SwaptionShift):INDEX($FK$325:$ID$396,HN$169,SwaptionMonthsToGo+SwaptionShift),INDEX($FK$245:$ID$316,$FJ218-HN$169,73-HN$169+SwaptionShift):INDEX($FK$245:$ID$316,$FJ218-HN$169,72-HN$169+SwaptionMonthsToGo+SwaptionShift))/SQRT(SUM(INDEX($FK373:$ID373,1+SwaptionShift):INDEX($FK373:$ID373,SwaptionMonthsToGo+SwaptionShift))*SUM(INDEX($FK$325:$ID$396,HN$169,1+SwaptionShift):INDEX($FK$325:$ID$396,HN$169,SwaptionMonthsToGo+SwaptionShift))))))</f>
        <v/>
      </c>
      <c r="HO218" s="150" t="str">
        <f aca="false">IF(OR(HO$169&lt;SwaptionFirstMonthPosition+1,$FJ218&lt;SwaptionFirstMonthPosition+1,HO$169&gt;SwaptionFirstMonthPosition+SwaptionNumOfMonths+1,$FJ218&gt;SwaptionFirstMonthPosition+SwaptionNumOfMonths+1),"",IF($FJ218=HO$169,1,IF($FJ218&lt;HO$169,INDEX($FK$170:$ID$241,HO$169,$FJ218),SUMPRODUCT(INDEX($FK$325:$ID$396,HO$169,1+SwaptionShift):INDEX($FK$325:$ID$396,HO$169,SwaptionMonthsToGo+SwaptionShift),INDEX($FK$245:$ID$316,$FJ218-HO$169,73-HO$169+SwaptionShift):INDEX($FK$245:$ID$316,$FJ218-HO$169,72-HO$169+SwaptionMonthsToGo+SwaptionShift))/SQRT(SUM(INDEX($FK373:$ID373,1+SwaptionShift):INDEX($FK373:$ID373,SwaptionMonthsToGo+SwaptionShift))*SUM(INDEX($FK$325:$ID$396,HO$169,1+SwaptionShift):INDEX($FK$325:$ID$396,HO$169,SwaptionMonthsToGo+SwaptionShift))))))</f>
        <v/>
      </c>
      <c r="HP218" s="150" t="str">
        <f aca="false">IF(OR(HP$169&lt;SwaptionFirstMonthPosition+1,$FJ218&lt;SwaptionFirstMonthPosition+1,HP$169&gt;SwaptionFirstMonthPosition+SwaptionNumOfMonths+1,$FJ218&gt;SwaptionFirstMonthPosition+SwaptionNumOfMonths+1),"",IF($FJ218=HP$169,1,IF($FJ218&lt;HP$169,INDEX($FK$170:$ID$241,HP$169,$FJ218),SUMPRODUCT(INDEX($FK$325:$ID$396,HP$169,1+SwaptionShift):INDEX($FK$325:$ID$396,HP$169,SwaptionMonthsToGo+SwaptionShift),INDEX($FK$245:$ID$316,$FJ218-HP$169,73-HP$169+SwaptionShift):INDEX($FK$245:$ID$316,$FJ218-HP$169,72-HP$169+SwaptionMonthsToGo+SwaptionShift))/SQRT(SUM(INDEX($FK373:$ID373,1+SwaptionShift):INDEX($FK373:$ID373,SwaptionMonthsToGo+SwaptionShift))*SUM(INDEX($FK$325:$ID$396,HP$169,1+SwaptionShift):INDEX($FK$325:$ID$396,HP$169,SwaptionMonthsToGo+SwaptionShift))))))</f>
        <v/>
      </c>
      <c r="HQ218" s="150" t="str">
        <f aca="false">IF(OR(HQ$169&lt;SwaptionFirstMonthPosition+1,$FJ218&lt;SwaptionFirstMonthPosition+1,HQ$169&gt;SwaptionFirstMonthPosition+SwaptionNumOfMonths+1,$FJ218&gt;SwaptionFirstMonthPosition+SwaptionNumOfMonths+1),"",IF($FJ218=HQ$169,1,IF($FJ218&lt;HQ$169,INDEX($FK$170:$ID$241,HQ$169,$FJ218),SUMPRODUCT(INDEX($FK$325:$ID$396,HQ$169,1+SwaptionShift):INDEX($FK$325:$ID$396,HQ$169,SwaptionMonthsToGo+SwaptionShift),INDEX($FK$245:$ID$316,$FJ218-HQ$169,73-HQ$169+SwaptionShift):INDEX($FK$245:$ID$316,$FJ218-HQ$169,72-HQ$169+SwaptionMonthsToGo+SwaptionShift))/SQRT(SUM(INDEX($FK373:$ID373,1+SwaptionShift):INDEX($FK373:$ID373,SwaptionMonthsToGo+SwaptionShift))*SUM(INDEX($FK$325:$ID$396,HQ$169,1+SwaptionShift):INDEX($FK$325:$ID$396,HQ$169,SwaptionMonthsToGo+SwaptionShift))))))</f>
        <v/>
      </c>
      <c r="HR218" s="150" t="str">
        <f aca="false">IF(OR(HR$169&lt;SwaptionFirstMonthPosition+1,$FJ218&lt;SwaptionFirstMonthPosition+1,HR$169&gt;SwaptionFirstMonthPosition+SwaptionNumOfMonths+1,$FJ218&gt;SwaptionFirstMonthPosition+SwaptionNumOfMonths+1),"",IF($FJ218=HR$169,1,IF($FJ218&lt;HR$169,INDEX($FK$170:$ID$241,HR$169,$FJ218),SUMPRODUCT(INDEX($FK$325:$ID$396,HR$169,1+SwaptionShift):INDEX($FK$325:$ID$396,HR$169,SwaptionMonthsToGo+SwaptionShift),INDEX($FK$245:$ID$316,$FJ218-HR$169,73-HR$169+SwaptionShift):INDEX($FK$245:$ID$316,$FJ218-HR$169,72-HR$169+SwaptionMonthsToGo+SwaptionShift))/SQRT(SUM(INDEX($FK373:$ID373,1+SwaptionShift):INDEX($FK373:$ID373,SwaptionMonthsToGo+SwaptionShift))*SUM(INDEX($FK$325:$ID$396,HR$169,1+SwaptionShift):INDEX($FK$325:$ID$396,HR$169,SwaptionMonthsToGo+SwaptionShift))))))</f>
        <v/>
      </c>
      <c r="HS218" s="150" t="str">
        <f aca="false">IF(OR(HS$169&lt;SwaptionFirstMonthPosition+1,$FJ218&lt;SwaptionFirstMonthPosition+1,HS$169&gt;SwaptionFirstMonthPosition+SwaptionNumOfMonths+1,$FJ218&gt;SwaptionFirstMonthPosition+SwaptionNumOfMonths+1),"",IF($FJ218=HS$169,1,IF($FJ218&lt;HS$169,INDEX($FK$170:$ID$241,HS$169,$FJ218),SUMPRODUCT(INDEX($FK$325:$ID$396,HS$169,1+SwaptionShift):INDEX($FK$325:$ID$396,HS$169,SwaptionMonthsToGo+SwaptionShift),INDEX($FK$245:$ID$316,$FJ218-HS$169,73-HS$169+SwaptionShift):INDEX($FK$245:$ID$316,$FJ218-HS$169,72-HS$169+SwaptionMonthsToGo+SwaptionShift))/SQRT(SUM(INDEX($FK373:$ID373,1+SwaptionShift):INDEX($FK373:$ID373,SwaptionMonthsToGo+SwaptionShift))*SUM(INDEX($FK$325:$ID$396,HS$169,1+SwaptionShift):INDEX($FK$325:$ID$396,HS$169,SwaptionMonthsToGo+SwaptionShift))))))</f>
        <v/>
      </c>
      <c r="HT218" s="150" t="str">
        <f aca="false">IF(OR(HT$169&lt;SwaptionFirstMonthPosition+1,$FJ218&lt;SwaptionFirstMonthPosition+1,HT$169&gt;SwaptionFirstMonthPosition+SwaptionNumOfMonths+1,$FJ218&gt;SwaptionFirstMonthPosition+SwaptionNumOfMonths+1),"",IF($FJ218=HT$169,1,IF($FJ218&lt;HT$169,INDEX($FK$170:$ID$241,HT$169,$FJ218),SUMPRODUCT(INDEX($FK$325:$ID$396,HT$169,1+SwaptionShift):INDEX($FK$325:$ID$396,HT$169,SwaptionMonthsToGo+SwaptionShift),INDEX($FK$245:$ID$316,$FJ218-HT$169,73-HT$169+SwaptionShift):INDEX($FK$245:$ID$316,$FJ218-HT$169,72-HT$169+SwaptionMonthsToGo+SwaptionShift))/SQRT(SUM(INDEX($FK373:$ID373,1+SwaptionShift):INDEX($FK373:$ID373,SwaptionMonthsToGo+SwaptionShift))*SUM(INDEX($FK$325:$ID$396,HT$169,1+SwaptionShift):INDEX($FK$325:$ID$396,HT$169,SwaptionMonthsToGo+SwaptionShift))))))</f>
        <v/>
      </c>
      <c r="HU218" s="150" t="str">
        <f aca="false">IF(OR(HU$169&lt;SwaptionFirstMonthPosition+1,$FJ218&lt;SwaptionFirstMonthPosition+1,HU$169&gt;SwaptionFirstMonthPosition+SwaptionNumOfMonths+1,$FJ218&gt;SwaptionFirstMonthPosition+SwaptionNumOfMonths+1),"",IF($FJ218=HU$169,1,IF($FJ218&lt;HU$169,INDEX($FK$170:$ID$241,HU$169,$FJ218),SUMPRODUCT(INDEX($FK$325:$ID$396,HU$169,1+SwaptionShift):INDEX($FK$325:$ID$396,HU$169,SwaptionMonthsToGo+SwaptionShift),INDEX($FK$245:$ID$316,$FJ218-HU$169,73-HU$169+SwaptionShift):INDEX($FK$245:$ID$316,$FJ218-HU$169,72-HU$169+SwaptionMonthsToGo+SwaptionShift))/SQRT(SUM(INDEX($FK373:$ID373,1+SwaptionShift):INDEX($FK373:$ID373,SwaptionMonthsToGo+SwaptionShift))*SUM(INDEX($FK$325:$ID$396,HU$169,1+SwaptionShift):INDEX($FK$325:$ID$396,HU$169,SwaptionMonthsToGo+SwaptionShift))))))</f>
        <v/>
      </c>
      <c r="HV218" s="150" t="str">
        <f aca="false">IF(OR(HV$169&lt;SwaptionFirstMonthPosition+1,$FJ218&lt;SwaptionFirstMonthPosition+1,HV$169&gt;SwaptionFirstMonthPosition+SwaptionNumOfMonths+1,$FJ218&gt;SwaptionFirstMonthPosition+SwaptionNumOfMonths+1),"",IF($FJ218=HV$169,1,IF($FJ218&lt;HV$169,INDEX($FK$170:$ID$241,HV$169,$FJ218),SUMPRODUCT(INDEX($FK$325:$ID$396,HV$169,1+SwaptionShift):INDEX($FK$325:$ID$396,HV$169,SwaptionMonthsToGo+SwaptionShift),INDEX($FK$245:$ID$316,$FJ218-HV$169,73-HV$169+SwaptionShift):INDEX($FK$245:$ID$316,$FJ218-HV$169,72-HV$169+SwaptionMonthsToGo+SwaptionShift))/SQRT(SUM(INDEX($FK373:$ID373,1+SwaptionShift):INDEX($FK373:$ID373,SwaptionMonthsToGo+SwaptionShift))*SUM(INDEX($FK$325:$ID$396,HV$169,1+SwaptionShift):INDEX($FK$325:$ID$396,HV$169,SwaptionMonthsToGo+SwaptionShift))))))</f>
        <v/>
      </c>
      <c r="HW218" s="150" t="str">
        <f aca="false">IF(OR(HW$169&lt;SwaptionFirstMonthPosition+1,$FJ218&lt;SwaptionFirstMonthPosition+1,HW$169&gt;SwaptionFirstMonthPosition+SwaptionNumOfMonths+1,$FJ218&gt;SwaptionFirstMonthPosition+SwaptionNumOfMonths+1),"",IF($FJ218=HW$169,1,IF($FJ218&lt;HW$169,INDEX($FK$170:$ID$241,HW$169,$FJ218),SUMPRODUCT(INDEX($FK$325:$ID$396,HW$169,1+SwaptionShift):INDEX($FK$325:$ID$396,HW$169,SwaptionMonthsToGo+SwaptionShift),INDEX($FK$245:$ID$316,$FJ218-HW$169,73-HW$169+SwaptionShift):INDEX($FK$245:$ID$316,$FJ218-HW$169,72-HW$169+SwaptionMonthsToGo+SwaptionShift))/SQRT(SUM(INDEX($FK373:$ID373,1+SwaptionShift):INDEX($FK373:$ID373,SwaptionMonthsToGo+SwaptionShift))*SUM(INDEX($FK$325:$ID$396,HW$169,1+SwaptionShift):INDEX($FK$325:$ID$396,HW$169,SwaptionMonthsToGo+SwaptionShift))))))</f>
        <v/>
      </c>
      <c r="HX218" s="150" t="str">
        <f aca="false">IF(OR(HX$169&lt;SwaptionFirstMonthPosition+1,$FJ218&lt;SwaptionFirstMonthPosition+1,HX$169&gt;SwaptionFirstMonthPosition+SwaptionNumOfMonths+1,$FJ218&gt;SwaptionFirstMonthPosition+SwaptionNumOfMonths+1),"",IF($FJ218=HX$169,1,IF($FJ218&lt;HX$169,INDEX($FK$170:$ID$241,HX$169,$FJ218),SUMPRODUCT(INDEX($FK$325:$ID$396,HX$169,1+SwaptionShift):INDEX($FK$325:$ID$396,HX$169,SwaptionMonthsToGo+SwaptionShift),INDEX($FK$245:$ID$316,$FJ218-HX$169,73-HX$169+SwaptionShift):INDEX($FK$245:$ID$316,$FJ218-HX$169,72-HX$169+SwaptionMonthsToGo+SwaptionShift))/SQRT(SUM(INDEX($FK373:$ID373,1+SwaptionShift):INDEX($FK373:$ID373,SwaptionMonthsToGo+SwaptionShift))*SUM(INDEX($FK$325:$ID$396,HX$169,1+SwaptionShift):INDEX($FK$325:$ID$396,HX$169,SwaptionMonthsToGo+SwaptionShift))))))</f>
        <v/>
      </c>
      <c r="HY218" s="150" t="str">
        <f aca="false">IF(OR(HY$169&lt;SwaptionFirstMonthPosition+1,$FJ218&lt;SwaptionFirstMonthPosition+1,HY$169&gt;SwaptionFirstMonthPosition+SwaptionNumOfMonths+1,$FJ218&gt;SwaptionFirstMonthPosition+SwaptionNumOfMonths+1),"",IF($FJ218=HY$169,1,IF($FJ218&lt;HY$169,INDEX($FK$170:$ID$241,HY$169,$FJ218),SUMPRODUCT(INDEX($FK$325:$ID$396,HY$169,1+SwaptionShift):INDEX($FK$325:$ID$396,HY$169,SwaptionMonthsToGo+SwaptionShift),INDEX($FK$245:$ID$316,$FJ218-HY$169,73-HY$169+SwaptionShift):INDEX($FK$245:$ID$316,$FJ218-HY$169,72-HY$169+SwaptionMonthsToGo+SwaptionShift))/SQRT(SUM(INDEX($FK373:$ID373,1+SwaptionShift):INDEX($FK373:$ID373,SwaptionMonthsToGo+SwaptionShift))*SUM(INDEX($FK$325:$ID$396,HY$169,1+SwaptionShift):INDEX($FK$325:$ID$396,HY$169,SwaptionMonthsToGo+SwaptionShift))))))</f>
        <v/>
      </c>
      <c r="HZ218" s="150" t="str">
        <f aca="false">IF(OR(HZ$169&lt;SwaptionFirstMonthPosition+1,$FJ218&lt;SwaptionFirstMonthPosition+1,HZ$169&gt;SwaptionFirstMonthPosition+SwaptionNumOfMonths+1,$FJ218&gt;SwaptionFirstMonthPosition+SwaptionNumOfMonths+1),"",IF($FJ218=HZ$169,1,IF($FJ218&lt;HZ$169,INDEX($FK$170:$ID$241,HZ$169,$FJ218),SUMPRODUCT(INDEX($FK$325:$ID$396,HZ$169,1+SwaptionShift):INDEX($FK$325:$ID$396,HZ$169,SwaptionMonthsToGo+SwaptionShift),INDEX($FK$245:$ID$316,$FJ218-HZ$169,73-HZ$169+SwaptionShift):INDEX($FK$245:$ID$316,$FJ218-HZ$169,72-HZ$169+SwaptionMonthsToGo+SwaptionShift))/SQRT(SUM(INDEX($FK373:$ID373,1+SwaptionShift):INDEX($FK373:$ID373,SwaptionMonthsToGo+SwaptionShift))*SUM(INDEX($FK$325:$ID$396,HZ$169,1+SwaptionShift):INDEX($FK$325:$ID$396,HZ$169,SwaptionMonthsToGo+SwaptionShift))))))</f>
        <v/>
      </c>
      <c r="IA218" s="150" t="str">
        <f aca="false">IF(OR(IA$169&lt;SwaptionFirstMonthPosition+1,$FJ218&lt;SwaptionFirstMonthPosition+1,IA$169&gt;SwaptionFirstMonthPosition+SwaptionNumOfMonths+1,$FJ218&gt;SwaptionFirstMonthPosition+SwaptionNumOfMonths+1),"",IF($FJ218=IA$169,1,IF($FJ218&lt;IA$169,INDEX($FK$170:$ID$241,IA$169,$FJ218),SUMPRODUCT(INDEX($FK$325:$ID$396,IA$169,1+SwaptionShift):INDEX($FK$325:$ID$396,IA$169,SwaptionMonthsToGo+SwaptionShift),INDEX($FK$245:$ID$316,$FJ218-IA$169,73-IA$169+SwaptionShift):INDEX($FK$245:$ID$316,$FJ218-IA$169,72-IA$169+SwaptionMonthsToGo+SwaptionShift))/SQRT(SUM(INDEX($FK373:$ID373,1+SwaptionShift):INDEX($FK373:$ID373,SwaptionMonthsToGo+SwaptionShift))*SUM(INDEX($FK$325:$ID$396,IA$169,1+SwaptionShift):INDEX($FK$325:$ID$396,IA$169,SwaptionMonthsToGo+SwaptionShift))))))</f>
        <v/>
      </c>
      <c r="IB218" s="150" t="str">
        <f aca="false">IF(OR(IB$169&lt;SwaptionFirstMonthPosition+1,$FJ218&lt;SwaptionFirstMonthPosition+1,IB$169&gt;SwaptionFirstMonthPosition+SwaptionNumOfMonths+1,$FJ218&gt;SwaptionFirstMonthPosition+SwaptionNumOfMonths+1),"",IF($FJ218=IB$169,1,IF($FJ218&lt;IB$169,INDEX($FK$170:$ID$241,IB$169,$FJ218),SUMPRODUCT(INDEX($FK$325:$ID$396,IB$169,1+SwaptionShift):INDEX($FK$325:$ID$396,IB$169,SwaptionMonthsToGo+SwaptionShift),INDEX($FK$245:$ID$316,$FJ218-IB$169,73-IB$169+SwaptionShift):INDEX($FK$245:$ID$316,$FJ218-IB$169,72-IB$169+SwaptionMonthsToGo+SwaptionShift))/SQRT(SUM(INDEX($FK373:$ID373,1+SwaptionShift):INDEX($FK373:$ID373,SwaptionMonthsToGo+SwaptionShift))*SUM(INDEX($FK$325:$ID$396,IB$169,1+SwaptionShift):INDEX($FK$325:$ID$396,IB$169,SwaptionMonthsToGo+SwaptionShift))))))</f>
        <v/>
      </c>
      <c r="IC218" s="150" t="str">
        <f aca="false">IF(OR(IC$169&lt;SwaptionFirstMonthPosition+1,$FJ218&lt;SwaptionFirstMonthPosition+1,IC$169&gt;SwaptionFirstMonthPosition+SwaptionNumOfMonths+1,$FJ218&gt;SwaptionFirstMonthPosition+SwaptionNumOfMonths+1),"",IF($FJ218=IC$169,1,IF($FJ218&lt;IC$169,INDEX($FK$170:$ID$241,IC$169,$FJ218),SUMPRODUCT(INDEX($FK$325:$ID$396,IC$169,1+SwaptionShift):INDEX($FK$325:$ID$396,IC$169,SwaptionMonthsToGo+SwaptionShift),INDEX($FK$245:$ID$316,$FJ218-IC$169,73-IC$169+SwaptionShift):INDEX($FK$245:$ID$316,$FJ218-IC$169,72-IC$169+SwaptionMonthsToGo+SwaptionShift))/SQRT(SUM(INDEX($FK373:$ID373,1+SwaptionShift):INDEX($FK373:$ID373,SwaptionMonthsToGo+SwaptionShift))*SUM(INDEX($FK$325:$ID$396,IC$169,1+SwaptionShift):INDEX($FK$325:$ID$396,IC$169,SwaptionMonthsToGo+SwaptionShift))))))</f>
        <v/>
      </c>
      <c r="ID218" s="572" t="str">
        <f aca="false">IF(OR(ID$169&lt;SwaptionFirstMonthPosition+1,$FJ218&lt;SwaptionFirstMonthPosition+1,ID$169&gt;SwaptionFirstMonthPosition+SwaptionNumOfMonths+1,$FJ218&gt;SwaptionFirstMonthPosition+SwaptionNumOfMonths+1),"",IF($FJ218=ID$169,1,IF($FJ218&lt;ID$169,INDEX($FK$170:$ID$241,ID$169,$FJ218),SUMPRODUCT(INDEX($FK$325:$ID$396,ID$169,1+SwaptionShift):INDEX($FK$325:$ID$396,ID$169,SwaptionMonthsToGo+SwaptionShift),INDEX($FK$245:$ID$316,$FJ218-ID$169,73-ID$169+SwaptionShift):INDEX($FK$245:$ID$316,$FJ218-ID$169,72-ID$169+SwaptionMonthsToGo+SwaptionShift))/SQRT(SUM(INDEX($FK373:$ID373,1+SwaptionShift):INDEX($FK373:$ID373,SwaptionMonthsToGo+SwaptionShift))*SUM(INDEX($FK$325:$ID$396,ID$169,1+SwaptionShift):INDEX($FK$325:$ID$396,ID$169,SwaptionMonthsToGo+SwaptionShift))))))</f>
        <v/>
      </c>
      <c r="IE218" s="129"/>
    </row>
    <row r="219" customFormat="false" ht="12.75" hidden="false" customHeight="false" outlineLevel="0" collapsed="false">
      <c r="H219" s="219" t="n">
        <f aca="false">VLOOKUP(I219,$EJ$20:$EL$54,3)</f>
        <v>0</v>
      </c>
      <c r="I219" s="511" t="n">
        <f aca="false">EOMONTH(I218,0)+1</f>
        <v>42826</v>
      </c>
      <c r="J219" s="512"/>
      <c r="K219" s="513" t="s">
        <v>280</v>
      </c>
      <c r="L219" s="514" t="n">
        <f aca="false">IF(ISNUMBER(K219),J219+K219/100,IF(K219="extra",L218+VLOOKUP(BF219,PriceSpreadTable,2)/12,IF(K219="inter",interpolateprices($K$19:$L$200,ROW(K219)-ROW(FirstPricingMonth)+1),interpolatechanges($J$19:$K$200,ROW(K219)-ROW(FirstPricingMonth)+1))))</f>
        <v>4.6125</v>
      </c>
      <c r="M219" s="515"/>
      <c r="N219" s="516" t="n">
        <v>0</v>
      </c>
      <c r="O219" s="515" t="n">
        <f aca="false">M219+N219</f>
        <v>0</v>
      </c>
      <c r="P219" s="512"/>
      <c r="Q219" s="513" t="s">
        <v>280</v>
      </c>
      <c r="R219" s="512" t="e">
        <f aca="false">IF(ISNUMBER(Q219),P219+Q219/100,IF(Q219="extra",(Z217*AL217-R218*AM217)/AN217,IF(Q219="inter",interpolateprices($Q$19:$R$260,ROW(Q219)-ROW(FirstPricingMonth)+1),interpolatechanges($P$19:$Q$260,ROW(Q219)-ROW(FirstPricingMonth)+1))))</f>
        <v>#VALUE!</v>
      </c>
      <c r="S219" s="597" t="n">
        <f aca="false">S$19+(S218-S$19)*S$18</f>
        <v>0.36</v>
      </c>
      <c r="T219" s="575" t="n">
        <f aca="false">SQRT((1-(1-T218^2/U218)*T$18)*U219)</f>
        <v>0.999999999999997</v>
      </c>
      <c r="U219" s="576" t="n">
        <f aca="false">1-(1-U218)*U$18</f>
        <v>1</v>
      </c>
      <c r="V219" s="521" t="n">
        <v>0</v>
      </c>
      <c r="W219" s="577" t="n">
        <f aca="false">(J220*AJ219+J221*AK219)/AI219</f>
        <v>0</v>
      </c>
      <c r="X219" s="578" t="n">
        <f aca="false">(L220*AJ219+L221*AK219)/AI219</f>
        <v>4.66125</v>
      </c>
      <c r="Y219" s="579" t="n">
        <f aca="false">IF(Q221="extra",W219-AA219,(P220*AM219+P221*AN219)/AL219)</f>
        <v>-1.2915</v>
      </c>
      <c r="Z219" s="579" t="n">
        <f aca="false">IF(Q221="extra",X219-AB219,(R220*AM219+R221*AN219)/AL219)</f>
        <v>3.36975</v>
      </c>
      <c r="AA219" s="523" t="n">
        <f aca="false">IF(Q221="extra",INDEX(BrentSeasonalityTable,INT((BG219-1)/3)+1)*VLOOKUP(MAX(BF219,$AB$4),PriceSpreadTable,3),W219-Y219)</f>
        <v>1.2915</v>
      </c>
      <c r="AB219" s="524" t="n">
        <f aca="false">IF(Q221="extra",INDEX(BrentSeasonalityTable,INT((BG219-1)/3)+1)*VLOOKUP(MAX(BF219,$AB$4),PriceSpreadTable,3),X219-Z219)</f>
        <v>1.2915</v>
      </c>
      <c r="AC219" s="646" t="n">
        <v>42814</v>
      </c>
      <c r="AD219" s="646" t="n">
        <v>42810</v>
      </c>
      <c r="AE219" s="646" t="n">
        <v>42809</v>
      </c>
      <c r="AF219" s="646" t="n">
        <v>42805</v>
      </c>
      <c r="AG219" s="438" t="s">
        <v>278</v>
      </c>
      <c r="AH219" s="439" t="s">
        <v>278</v>
      </c>
      <c r="AI219" s="528" t="n">
        <v>20</v>
      </c>
      <c r="AJ219" s="529" t="n">
        <v>14</v>
      </c>
      <c r="AK219" s="529" t="n">
        <v>6</v>
      </c>
      <c r="AL219" s="530" t="n">
        <v>20</v>
      </c>
      <c r="AM219" s="529" t="n">
        <v>10</v>
      </c>
      <c r="AN219" s="531" t="n">
        <v>10</v>
      </c>
      <c r="AO219" s="532"/>
      <c r="AP219" s="465" t="n">
        <f aca="false">(1+AO219/2)^(-2*BL219)</f>
        <v>1</v>
      </c>
      <c r="AQ219" s="532"/>
      <c r="AR219" s="465" t="n">
        <f aca="false">(1+AQ219/2)^(-2*BH219/365.25)</f>
        <v>1</v>
      </c>
      <c r="AS219" s="580" t="n">
        <f aca="false">(O220*AJ219+O221*AK219)/AI219</f>
        <v>0</v>
      </c>
      <c r="AT219" s="468" t="n">
        <f aca="false">O219*VLOOKUP(BF219,BrentVolTable,2)+VLOOKUP(BF219,BrentVolTable,3)</f>
        <v>0</v>
      </c>
      <c r="AU219" s="468" t="n">
        <f aca="false">(AT220*AM219+AT221*AN219)/AL219</f>
        <v>0</v>
      </c>
      <c r="AV219" s="595" t="n">
        <f aca="false">SQRT(MAX(0.000000000001,(O219^2*BH219-S219^2*(BH219-BH218))/BH218))</f>
        <v>0.0339789008291766</v>
      </c>
      <c r="AW219" s="451" t="n">
        <f aca="false">IF($I219-DateToday+15&gt;=$T$8,"",IF($I219-DateToday+15&lt;$T$5,1,MATCH($I219-DateToday+15,$T$5:$T$8)))</f>
        <v>1</v>
      </c>
      <c r="AX219" s="468" t="n">
        <f aca="false">IF($AW219="",AX218^2/AX217,INDEX(U$5:U$8,$AW219)^((INDEX($T$5:$T$8,$AW219+1)-($I219-DateToday+15))/(INDEX($T$5:$T$8,$AW219+1)-INDEX($T$5:$T$8,$AW219)))/INDEX(U$5:U$8,$AW219+1)^((INDEX($T$5:$T$8,$AW219)-($I219-DateToday+15))/(INDEX($T$5:$T$8,$AW219+1)-INDEX($T$5:$T$8,$AW219))))</f>
        <v>0.178344840452523</v>
      </c>
      <c r="AY219" s="468" t="n">
        <f aca="false">IF($AW219="",AY218^2/AY217,INDEX(V$5:V$8,$AW219)^((INDEX($T$5:$T$8,$AW219+1)-($I219-DateToday+15))/(INDEX($T$5:$T$8,$AW219+1)-INDEX($T$5:$T$8,$AW219)))/INDEX(V$5:V$8,$AW219+1)^((INDEX($T$5:$T$8,$AW219)-($I219-DateToday+15))/(INDEX($T$5:$T$8,$AW219+1)-INDEX($T$5:$T$8,$AW219))))</f>
        <v>1.19340542088862</v>
      </c>
      <c r="AZ219" s="468" t="n">
        <f aca="false">IF($AW219="",AZ218^2/AZ217,INDEX(W$5:W$8,$AW219)^((INDEX($T$5:$T$8,$AW219+1)-($I219-DateToday+15))/(INDEX($T$5:$T$8,$AW219+1)-INDEX($T$5:$T$8,$AW219)))/INDEX(W$5:W$8,$AW219+1)^((INDEX($T$5:$T$8,$AW219)-($I219-DateToday+15))/(INDEX($T$5:$T$8,$AW219+1)-INDEX($T$5:$T$8,$AW219))))</f>
        <v>54.4514846797016</v>
      </c>
      <c r="BA219" s="468" t="n">
        <f aca="false">IF($AW219="",BA218^2/BA217,INDEX(X$5:X$8,$AW219)^((INDEX($T$5:$T$8,$AW219+1)-($I219-DateToday+15))/(INDEX($T$5:$T$8,$AW219+1)-INDEX($T$5:$T$8,$AW219)))/INDEX(X$5:X$8,$AW219+1)^((INDEX($T$5:$T$8,$AW219)-($I219-DateToday+15))/(INDEX($T$5:$T$8,$AW219+1)-INDEX($T$5:$T$8,$AW219))))</f>
        <v>101.157722370878</v>
      </c>
      <c r="BB219" s="468" t="n">
        <f aca="false">IF($AW219="",BB218^2/BB217,INDEX(Y$5:Y$8,$AW219)^((INDEX($T$5:$T$8,$AW219+1)-($I219-DateToday+15))/(INDEX($T$5:$T$8,$AW219+1)-INDEX($T$5:$T$8,$AW219)))/INDEX(Y$5:Y$8,$AW219+1)^((INDEX($T$5:$T$8,$AW219)-($I219-DateToday+15))/(INDEX($T$5:$T$8,$AW219+1)-INDEX($T$5:$T$8,$AW219))))</f>
        <v>390.084046195714</v>
      </c>
      <c r="BC219" s="468" t="n">
        <f aca="false">IF($AW219="",BC218^2/BC217,INDEX(Z$5:Z$8,$AW219)^((INDEX($T$5:$T$8,$AW219+1)-($I219-DateToday+15))/(INDEX($T$5:$T$8,$AW219+1)-INDEX($T$5:$T$8,$AW219)))/INDEX(Z$5:Z$8,$AW219+1)^((INDEX($T$5:$T$8,$AW219)-($I219-DateToday+15))/(INDEX($T$5:$T$8,$AW219+1)-INDEX($T$5:$T$8,$AW219))))</f>
        <v>900.267425766988</v>
      </c>
      <c r="BD219" s="535" t="n">
        <f aca="false">IF(OR(DateStart&gt;=I220,DateEnd&lt;I219),0,IF(VolumeOverrideFlag,V219,Volume))</f>
        <v>0</v>
      </c>
      <c r="BE219" s="536" t="n">
        <f aca="false">IF(OR(DateStart2&gt;=I220,DateEnd2&lt;I219),0,IF(VolumeOverrideFlag,V219,VolumeSwaption))</f>
        <v>0</v>
      </c>
      <c r="BF219" s="537" t="n">
        <f aca="false">YEAR(I219)</f>
        <v>2017</v>
      </c>
      <c r="BG219" s="538" t="n">
        <f aca="false">MONTH(I219)</f>
        <v>4</v>
      </c>
      <c r="BH219" s="539" t="n">
        <f aca="false">AD219-DateToday+1</f>
        <v>-3115</v>
      </c>
      <c r="BI219" s="540" t="n">
        <f aca="false">(I219-DateToday+1)/365.25</f>
        <v>-8.48459958932238</v>
      </c>
      <c r="BJ219" s="541" t="n">
        <f aca="false">BI219+(BL219-BI219)*CHOOSE(Underlying,AJ219/AI219,AM219/AL219)</f>
        <v>-8.4290212183436</v>
      </c>
      <c r="BK219" s="541" t="n">
        <f aca="false">BJ219+1/365.25</f>
        <v>-8.42628336755647</v>
      </c>
      <c r="BL219" s="541" t="n">
        <f aca="false">(I220-DateToday)/365.25</f>
        <v>-8.40520191649555</v>
      </c>
      <c r="BM219" s="542" t="e">
        <f aca="false">MAX(BI219-(BJ219-BI219)*(S220^2/O220^2-1),0)</f>
        <v>#DIV/0!</v>
      </c>
      <c r="BN219" s="541" t="e">
        <f aca="false">MAX(BL219+(BL219-BK219)*(S221^2/O221^2-1),0)</f>
        <v>#DIV/0!</v>
      </c>
      <c r="BO219" s="530" t="n">
        <f aca="false">CHOOSE(Underlying,AI219,AL219)</f>
        <v>20</v>
      </c>
      <c r="BP219" s="529" t="n">
        <f aca="false">CHOOSE(Underlying,AJ219,AM219)</f>
        <v>14</v>
      </c>
      <c r="BQ219" s="529" t="n">
        <f aca="false">CHOOSE(Underlying,AK219,AN219)</f>
        <v>6</v>
      </c>
      <c r="BR219" s="463" t="str">
        <f aca="false">IF(BD219,IF(Underlying=1,X219,Z219)+UnderlyingPriceAsian-SwapPriceCurve,"")</f>
        <v/>
      </c>
      <c r="BS219" s="463" t="str">
        <f aca="false">IF(BD219,Strike1/BR219-1,"")</f>
        <v/>
      </c>
      <c r="BT219" s="464" t="str">
        <f aca="false">IF(BD219,Strike2/BR219-1,"")</f>
        <v/>
      </c>
      <c r="BU219" s="465" t="str">
        <f aca="false">IF(BD219,IF(Underlying=1,L220,R220)+UnderlyingPriceAsian-SwapPriceCurve,"")</f>
        <v/>
      </c>
      <c r="BV219" s="465" t="str">
        <f aca="false">IF(BD219,IF(Underlying=1,L221,R221)+UnderlyingPriceAsian-SwapPriceCurve,"")</f>
        <v/>
      </c>
      <c r="BW219" s="466" t="str">
        <f aca="false">IF(BD219,IF(Underlying=1,O220,AT220),"")</f>
        <v/>
      </c>
      <c r="BX219" s="467" t="str">
        <f aca="false">IF(BD219,IF(Underlying=1,O221,AT221),"")</f>
        <v/>
      </c>
      <c r="BY219" s="466" t="str">
        <f aca="false">IF(BD219,IF(BS219&gt;0,IF(BS219&gt;0.2,BC219-BB219,IF(BS219&gt;0.1,BB219-BA219,BA219)),IF(BS219&lt;-0.2,AX219-AY219,IF(BS219&lt;-0.1,AY219-AZ219,AZ219))),"")</f>
        <v/>
      </c>
      <c r="BZ219" s="467" t="str">
        <f aca="false">IF(BD219,IF(BT219&gt;0,IF(BT219&gt;0.2,BC219-BB219,IF(BT219&gt;0.1,BB219-BA219,BA219)),IF(BT219&lt;-0.2,AX219-AY219,IF(BT219&lt;-0.1,AY219-AZ219,AZ219))),"")</f>
        <v/>
      </c>
      <c r="CA219" s="468" t="str">
        <f aca="false">IF($BD219,$BW219+IF(VolSkewFlag=1,IF(BS219&gt;0,$BA219*MIN(BS219/10%,1)+($BB219-$BA219)*MAX(0,MIN(BS219/10%-1,1))+($BC219-$BB219)*MAX(0,BS219/10%-2),$AZ219*MIN(-BS219/10%,1)+($AY219-$AZ219)*MAX(0,MIN(-BS219/10%-1,1))+($AX219-$AY219)*MAX(0,-BS219/10%-2)),0),"")</f>
        <v/>
      </c>
      <c r="CB219" s="468" t="str">
        <f aca="false">IF($BD219,$BX219+IF(VolSkewFlag=1,IF(BS219&gt;0,$BA219*MIN(BS219/10%,1)+($BB219-$BA219)*MAX(0,MIN(BS219/10%-1,1))+($BC219-$BB219)*MAX(0,BS219/10%-2),$AZ219*MIN(-BS219/10%,1)+($AY219-$AZ219)*MAX(0,MIN(-BS219/10%-1,1))+($AX219-$AY219)*MAX(0,-BS219/10%-2)),0),"")</f>
        <v/>
      </c>
      <c r="CC219" s="468" t="str">
        <f aca="false">IF($BD219,$BW219+IF(VolSkewFlag=1,IF(BT219&gt;0,$BA219*MIN(BT219/10%,1)+($BB219-$BA219)*MAX(0,MIN(BT219/10%-1,1))+($BC219-$BB219)*MAX(0,BT219/10%-2),$AZ219*MIN(-BT219/10%,1)+($AY219-$AZ219)*MAX(0,MIN(-BT219/10%-1,1))+($AX219-$AY219)*MAX(0,-BT219/10%-2)),0),"")</f>
        <v/>
      </c>
      <c r="CD219" s="468" t="str">
        <f aca="false">IF($BD219,$BX219+IF(VolSkewFlag=1,IF(BT219&gt;0,$BA219*MIN(BT219/10%,1)+($BB219-$BA219)*MAX(0,MIN(BT219/10%-1,1))+($BC219-$BB219)*MAX(0,BT219/10%-2),$AZ219*MIN(-BT219/10%,1)+($AY219-$AZ219)*MAX(0,MIN(-BT219/10%-1,1))+($AX219-$AY219)*MAX(0,-BT219/10%-2)),0),"")</f>
        <v/>
      </c>
      <c r="CE219" s="469" t="n">
        <v>1</v>
      </c>
      <c r="CF219" s="470" t="n">
        <f aca="false">IF(BD219,xCrudeAPO(BU219,BV219,CA219,CB219,S220,S221,BI219,BL219,BP219,BQ219,0,Strike1,AO219,CE219,0,BL219,IF(OptControl=4,0,1),0,1),0)</f>
        <v>0</v>
      </c>
      <c r="CG219" s="470" t="n">
        <f aca="false">IF(BD219,xCrudeAPO(BU219,BV219,CA219,CB219,S220,S221,BI219,BL219,BP219,BQ219,0,Strike1,AO219,CE219,0,BL219,IF(OptControl=4,0,1),1,1)+xCrudeAPO(BU219,BV219,CA219,CB219,S220,S221,BI219,BL219,BP219,BQ219,0,Strike1,AO219,CE219,0,BL219,IF(OptControl=4,0,1),1,2)+IF(OR(VolSkewFlag=2,ABS(BS219)&lt;0.0001),0,IF(BS219&gt;0,-1,1)*CH219*Strike1/BR219^2*BY219/10%),0)</f>
        <v>0</v>
      </c>
      <c r="CH219" s="470" t="n">
        <f aca="false">IF(BD219,(xCrudeAPO(BU219,BV219,CA219,CB219,S220,S221,BI219,BL219,BP219,BQ219,0,Strike1,AO219,CE219,0,BL219,IF(OptControl=4,0,1),3,1)+xCrudeAPO(BU219,BV219,CA219,CB219,S220,S221,BI219,BL219,BP219,BQ219,0,Strike1,AO219,CE219,0,BL219,IF(OptControl=4,0,1),3,2))/100,0)</f>
        <v>0</v>
      </c>
      <c r="CI219" s="470" t="n">
        <f aca="false">IF(BD219,xCrudeAPO(BU219,BV219,CA219,CB219,S220,S221,BI219-DaysForThetaCalculation/365.25,BL219-DaysForThetaCalculation/365.25,BP219,BQ219,0,Strike1,AO219,CE219,0,BL219,IF(OptControl=4,0,1),0,1)-xCrudeAPO(BU219,BV219,CA219,CB219,S220,S221,BI219,BL219,BP219,BQ219,0,Strike1,AO219,CE219,0,BL219,IF(OptControl=4,0,1),0,1),0)</f>
        <v>0</v>
      </c>
      <c r="CJ219" s="471" t="n">
        <f aca="false">IF(BD219,xCrudeAPO(BU219,BV219,CC219,CD219,S220,S221,BI219,BL219,BP219,BQ219,0,Strike2,AO219,CE219,0,BL219,IF(OptControl=3,1,0),0,1),0)</f>
        <v>0</v>
      </c>
      <c r="CK219" s="470" t="n">
        <f aca="false">IF(BD219,xCrudeAPO(BU219,BV219,CC219,CD219,S220,S221,BI219,BL219,BP219,BQ219,0,Strike2,AO219,CE219,0,BL219,IF(OptControl=3,1,0),1,1)+xCrudeAPO(BU219,BV219,CC219,CD219,S220,S221,BI219,BL219,BP219,BQ219,0,Strike2,AO219,CE219,0,BL219,IF(OptControl=3,1,0),1,2)+IF(OR(VolSkewFlag=2,ABS(BT219)&lt;0.0001),0,IF(BT219&gt;0,-1,1)*CL219*Strike2/BR219^2*BZ219/10%),0)</f>
        <v>0</v>
      </c>
      <c r="CL219" s="470" t="n">
        <f aca="false">IF(BD219,(xCrudeAPO(BU219,BV219,CC219,CD219,S220,S221,BI219,BL219,BP219,BQ219,0,Strike2,AO219,CE219,0,BL219,IF(OptControl=3,1,0),3,1)+xCrudeAPO(BU219,BV219,CC219,CD219,S220,S221,BI219,BL219,BP219,BQ219,0,Strike2,AO219,CE219,0,BL219,IF(OptControl=3,1,0),3,2))/100,0)</f>
        <v>0</v>
      </c>
      <c r="CM219" s="472" t="n">
        <f aca="false">IF(BD219,xCrudeAPO(BU219,BV219,CC219,CD219,S220,S221,BI219-DaysForThetaCalculation/365.25,BL219-DaysForThetaCalculation/365.25,BP219,BQ219,0,Strike2,AO219,CE219,0,BL219,IF(OptControl=3,1,0),0,1)-xCrudeAPO(BU219,BV219,CC219,CD219,S220,S221,BI219,BL219,BP219,BQ219,0,Strike2,AO219,CE219,0,BL219,IF(OptControl=3,1,0),0,1),0)</f>
        <v>0</v>
      </c>
      <c r="CN219" s="3"/>
      <c r="CO219" s="543" t="str">
        <f aca="false">IF(BD219,CHOOSE(Underlying,AD219,AF219)-DateToday+1,"")</f>
        <v/>
      </c>
      <c r="CP219" s="582" t="str">
        <f aca="false">IF(BD219,CHOOSE(Underlying,L219,R219),"")</f>
        <v/>
      </c>
      <c r="CQ219" s="544" t="str">
        <f aca="false">IF(BD219,Strike1/CP219-1,"")</f>
        <v/>
      </c>
      <c r="CR219" s="544" t="str">
        <f aca="false">IF(BD219,Strike2/CP219-1,"")</f>
        <v/>
      </c>
      <c r="CS219" s="544" t="str">
        <f aca="false">IF(BD219,IF(CQ219&gt;0,IF(CQ219&gt;0.2,BC218-BB218,IF(CQ219&gt;0.1,BB218-BA218,BA218)),IF(CQ219&lt;-0.2,AX218-AY218,IF(CQ219&lt;-0.1,AY218-AZ218,AZ218))),"")</f>
        <v/>
      </c>
      <c r="CT219" s="544" t="str">
        <f aca="false">IF(BD219,IF(CR219&gt;0,IF(CR219&gt;0.2,BC218-BB218,IF(CR219&gt;0.1,BB218-BA218,BA218)),IF(CR219&lt;-0.2,AX218-AY218,IF(CR219&lt;-0.1,AY218-AZ218,AZ218))),"")</f>
        <v/>
      </c>
      <c r="CU219" s="545" t="str">
        <f aca="false">IF(BD219,CHOOSE(Underlying,O219,AT219),"")</f>
        <v/>
      </c>
      <c r="CV219" s="545" t="str">
        <f aca="false">IF(BD219,CU219+IF(VolSkewFlag=1,IF(CQ219&gt;0,BA218*MIN(CQ219/10%,1)+(BB218-BA218)*MAX(0,MIN(CQ219/10%-1,1))+(BC218-BB218)*MAX(0,CQ219/10%-2),AZ218*MIN(-CQ219/10%,1)+(AY218-AZ218)*MAX(0,MIN(-CQ219/10%-1,1))+(AX218-AY218)*MAX(0,-CQ219/10%-2)),0),"")</f>
        <v/>
      </c>
      <c r="CW219" s="545" t="str">
        <f aca="false">IF(BD219,CU219+IF(VolSkewFlag=1,IF(CR219&gt;0,BA218*MIN(CR219/10%,1)+(BB218-BA218)*MAX(0,MIN(CR219/10%-1,1))+(BC218-BB218)*MAX(0,CR219/10%-2),AZ218*MIN(-CR219/10%,1)+(AY218-AZ218)*MAX(0,MIN(-CR219/10%-1,1))+(AX218-AY218)*MAX(0,-CR219/10%-2)),0),"")</f>
        <v/>
      </c>
      <c r="CX219" s="470" t="n">
        <f aca="false">IF(BD219,EURO(CP219,Strike1,AO219,AO219,CV219,CO219,IF(OptControl=4,0,1),0),0)</f>
        <v>0</v>
      </c>
      <c r="CY219" s="470" t="n">
        <f aca="false">IF(BD219,EURO(CP219,Strike1,AO219,AO219,CV219,CO219,IF(OptControl=4,0,1),1)+IF(OR(VolSkewFlag=2,ABS(CQ219)&lt;0.0001),0,IF(CQ219&gt;0,-1,1)*CZ219*100*Strike1/CP219^2*CS219/10%),0)</f>
        <v>0</v>
      </c>
      <c r="CZ219" s="470" t="n">
        <f aca="false">IF(BD219,EURO(CP219,Strike1,AO219,AO219,CV219,CO219,IF(OptControl=4,0,1),3)/100,0)</f>
        <v>0</v>
      </c>
      <c r="DA219" s="470" t="n">
        <f aca="false">IF(BD219,EURO(CP219,Strike1,AO219,AO219,CV219,CO219,IF(OptControl=4,0,1),0)-EURO(CP219,Strike1,AO219,AO219,CV219,CO219-1,IF(OptControl=4,0,1),0),0)</f>
        <v>0</v>
      </c>
      <c r="DB219" s="470" t="n">
        <f aca="false">IF(BD219,EURO(CP219,Strike2,AO219,AO219,CW219,CO219,IF(OptControl=3,1,0),0),0)</f>
        <v>0</v>
      </c>
      <c r="DC219" s="470" t="n">
        <f aca="false">IF(BD219,EURO(CP219,Strike2,AO219,AO219,CW219,CO219,IF(OptControl=3,1,0),1)+IF(OR(VolSkewFlag=2,ABS(CR219)&lt;0.0001),0,IF(CR219&gt;0,-1,1)*DD219*100*Strike2/CP219^2*CT219/10%),0)</f>
        <v>0</v>
      </c>
      <c r="DD219" s="470" t="n">
        <f aca="false">IF(BD219,EURO(CP219,Strike2,AO219,AO219,CW219,CO219,IF(OptControl=3,1,0),3)/100,0)</f>
        <v>0</v>
      </c>
      <c r="DE219" s="472" t="n">
        <f aca="false">IF(BD219,EURO(CP219,Strike2,AO219,AO219,CW219,CO219,IF(OptControl=3,1,0),0)-EURO(CP219,Strike2,AO219,AO219,CW219,CO219-1,IF(OptControl=3,1,0),0),0)</f>
        <v>0</v>
      </c>
      <c r="DG219" s="481" t="n">
        <f aca="false">EOMONTH(DG218,0)+1</f>
        <v>51745</v>
      </c>
      <c r="DH219" s="478" t="n">
        <v>24.1100000000001</v>
      </c>
      <c r="DI219" s="479" t="n">
        <v>24.1781818181819</v>
      </c>
      <c r="DJ219" s="480" t="n">
        <f aca="false">DG219</f>
        <v>51745</v>
      </c>
      <c r="DK219" s="478" t="n">
        <v>22.9326495645904</v>
      </c>
      <c r="DL219" s="479" t="n">
        <v>22.9112818181819</v>
      </c>
      <c r="DM219" s="481" t="n">
        <f aca="false">DG219</f>
        <v>51745</v>
      </c>
      <c r="DN219" s="482" t="n">
        <f aca="false">DK219+BrentPhyBrentSpread</f>
        <v>22.9826495645904</v>
      </c>
      <c r="DO219" s="481" t="n">
        <f aca="false">DG219</f>
        <v>51745</v>
      </c>
      <c r="DP219" s="483" t="n">
        <f aca="false">DL219+DQ219</f>
        <v>22.9112818181819</v>
      </c>
      <c r="DQ219" s="546" t="n">
        <v>0</v>
      </c>
      <c r="DR219" s="480" t="n">
        <f aca="false">DG219</f>
        <v>51745</v>
      </c>
      <c r="DS219" s="485" t="n">
        <v>0.105199999999998</v>
      </c>
      <c r="DT219" s="486" t="n">
        <v>0.104381818181816</v>
      </c>
      <c r="DU219" s="480" t="n">
        <f aca="false">DG219</f>
        <v>51745</v>
      </c>
      <c r="DV219" s="485" t="n">
        <v>0.105199999999998</v>
      </c>
      <c r="DW219" s="486" t="n">
        <v>0.104381818181816</v>
      </c>
      <c r="DX219" s="481" t="n">
        <f aca="false">DG219</f>
        <v>51745</v>
      </c>
      <c r="DY219" s="486" t="n">
        <v>0.35</v>
      </c>
      <c r="DZ219" s="481" t="n">
        <f aca="false">DR219</f>
        <v>51745</v>
      </c>
      <c r="EA219" s="486" t="n">
        <f aca="false">DT219</f>
        <v>0.104381818181816</v>
      </c>
      <c r="EB219" s="195"/>
      <c r="EC219" s="547" t="str">
        <f aca="false">IF(BD219,IF(Underlying=1,AS219,AU219),"")</f>
        <v/>
      </c>
      <c r="ED219" s="548" t="str">
        <f aca="false">IF($BD219,$EC219+IF(VolSkewFlag=1,IF(BS219&gt;0,$BA219*MIN(BS219/10%,1)+($BB219-$BA219)*MAX(0,MIN(BS219/10%-1,1))+($BC219-$BB219)*MAX(0,BS219/10%-2),$AZ219*MIN(-BS219/10%,1)+($AY219-$AZ219)*MAX(0,MIN(-BS219/10%-1,1))+($AX219-$AY219)*MAX(0,-BS219/10%-2)),0),"")</f>
        <v/>
      </c>
      <c r="EE219" s="549" t="str">
        <f aca="false">IF($BD219,$EC219+IF(VolSkewFlag=1,IF(BT219&gt;0,$BA219*MIN(BT219/10%,1)+($BB219-$BA219)*MAX(0,MIN(BT219/10%-1,1))+($BC219-$BB219)*MAX(0,BT219/10%-2),$AZ219*MIN(-BT219/10%,1)+($AY219-$AZ219)*MAX(0,MIN(-BT219/10%-1,1))+($AX219-$AY219)*MAX(0,-BT219/10%-2)),0),"")</f>
        <v/>
      </c>
      <c r="EF219" s="550" t="n">
        <f aca="false">IF(BD219,xASN(BR219,Strike1,AO219,ED219,0,BO219,0,BI219,BL219,IF(OptControl=4,0,1),0),0)</f>
        <v>0</v>
      </c>
      <c r="EG219" s="551" t="n">
        <f aca="false">IF(BD219,xASN(BR219,Strike2,AO219,EE219,0,BO219,0,BI219,BL219,IF(OptControl=3,1,0),0),0)</f>
        <v>0</v>
      </c>
      <c r="EL219" s="1"/>
      <c r="EM219" s="195"/>
      <c r="EN219" s="240"/>
      <c r="EO219" s="240"/>
      <c r="EP219" s="195"/>
      <c r="EQ219" s="407" t="s">
        <v>447</v>
      </c>
      <c r="ES219" s="1"/>
      <c r="EU219" s="672"/>
      <c r="FJ219" s="571" t="n">
        <v>50</v>
      </c>
      <c r="FK219" s="150" t="str">
        <f aca="false">IF(OR(FK$169&lt;SwaptionFirstMonthPosition+1,$FJ219&lt;SwaptionFirstMonthPosition+1,FK$169&gt;SwaptionFirstMonthPosition+SwaptionNumOfMonths+1,$FJ219&gt;SwaptionFirstMonthPosition+SwaptionNumOfMonths+1),"",IF($FJ219=FK$169,1,IF($FJ219&lt;FK$169,INDEX($FK$170:$ID$241,FK$169,$FJ219),SUMPRODUCT(INDEX($FK$325:$ID$396,FK$169,1+SwaptionShift):INDEX($FK$325:$ID$396,FK$169,SwaptionMonthsToGo+SwaptionShift),INDEX($FK$245:$ID$316,$FJ219-FK$169,73-FK$169+SwaptionShift):INDEX($FK$245:$ID$316,$FJ219-FK$169,72-FK$169+SwaptionMonthsToGo+SwaptionShift))/SQRT(SUM(INDEX($FK374:$ID374,1+SwaptionShift):INDEX($FK374:$ID374,SwaptionMonthsToGo+SwaptionShift))*SUM(INDEX($FK$325:$ID$396,FK$169,1+SwaptionShift):INDEX($FK$325:$ID$396,FK$169,SwaptionMonthsToGo+SwaptionShift))))))</f>
        <v/>
      </c>
      <c r="FL219" s="150" t="str">
        <f aca="false">IF(OR(FL$169&lt;SwaptionFirstMonthPosition+1,$FJ219&lt;SwaptionFirstMonthPosition+1,FL$169&gt;SwaptionFirstMonthPosition+SwaptionNumOfMonths+1,$FJ219&gt;SwaptionFirstMonthPosition+SwaptionNumOfMonths+1),"",IF($FJ219=FL$169,1,IF($FJ219&lt;FL$169,INDEX($FK$170:$ID$241,FL$169,$FJ219),SUMPRODUCT(INDEX($FK$325:$ID$396,FL$169,1+SwaptionShift):INDEX($FK$325:$ID$396,FL$169,SwaptionMonthsToGo+SwaptionShift),INDEX($FK$245:$ID$316,$FJ219-FL$169,73-FL$169+SwaptionShift):INDEX($FK$245:$ID$316,$FJ219-FL$169,72-FL$169+SwaptionMonthsToGo+SwaptionShift))/SQRT(SUM(INDEX($FK374:$ID374,1+SwaptionShift):INDEX($FK374:$ID374,SwaptionMonthsToGo+SwaptionShift))*SUM(INDEX($FK$325:$ID$396,FL$169,1+SwaptionShift):INDEX($FK$325:$ID$396,FL$169,SwaptionMonthsToGo+SwaptionShift))))))</f>
        <v/>
      </c>
      <c r="FM219" s="150" t="str">
        <f aca="false">IF(OR(FM$169&lt;SwaptionFirstMonthPosition+1,$FJ219&lt;SwaptionFirstMonthPosition+1,FM$169&gt;SwaptionFirstMonthPosition+SwaptionNumOfMonths+1,$FJ219&gt;SwaptionFirstMonthPosition+SwaptionNumOfMonths+1),"",IF($FJ219=FM$169,1,IF($FJ219&lt;FM$169,INDEX($FK$170:$ID$241,FM$169,$FJ219),SUMPRODUCT(INDEX($FK$325:$ID$396,FM$169,1+SwaptionShift):INDEX($FK$325:$ID$396,FM$169,SwaptionMonthsToGo+SwaptionShift),INDEX($FK$245:$ID$316,$FJ219-FM$169,73-FM$169+SwaptionShift):INDEX($FK$245:$ID$316,$FJ219-FM$169,72-FM$169+SwaptionMonthsToGo+SwaptionShift))/SQRT(SUM(INDEX($FK374:$ID374,1+SwaptionShift):INDEX($FK374:$ID374,SwaptionMonthsToGo+SwaptionShift))*SUM(INDEX($FK$325:$ID$396,FM$169,1+SwaptionShift):INDEX($FK$325:$ID$396,FM$169,SwaptionMonthsToGo+SwaptionShift))))))</f>
        <v/>
      </c>
      <c r="FN219" s="150" t="str">
        <f aca="false">IF(OR(FN$169&lt;SwaptionFirstMonthPosition+1,$FJ219&lt;SwaptionFirstMonthPosition+1,FN$169&gt;SwaptionFirstMonthPosition+SwaptionNumOfMonths+1,$FJ219&gt;SwaptionFirstMonthPosition+SwaptionNumOfMonths+1),"",IF($FJ219=FN$169,1,IF($FJ219&lt;FN$169,INDEX($FK$170:$ID$241,FN$169,$FJ219),SUMPRODUCT(INDEX($FK$325:$ID$396,FN$169,1+SwaptionShift):INDEX($FK$325:$ID$396,FN$169,SwaptionMonthsToGo+SwaptionShift),INDEX($FK$245:$ID$316,$FJ219-FN$169,73-FN$169+SwaptionShift):INDEX($FK$245:$ID$316,$FJ219-FN$169,72-FN$169+SwaptionMonthsToGo+SwaptionShift))/SQRT(SUM(INDEX($FK374:$ID374,1+SwaptionShift):INDEX($FK374:$ID374,SwaptionMonthsToGo+SwaptionShift))*SUM(INDEX($FK$325:$ID$396,FN$169,1+SwaptionShift):INDEX($FK$325:$ID$396,FN$169,SwaptionMonthsToGo+SwaptionShift))))))</f>
        <v/>
      </c>
      <c r="FO219" s="150" t="str">
        <f aca="false">IF(OR(FO$169&lt;SwaptionFirstMonthPosition+1,$FJ219&lt;SwaptionFirstMonthPosition+1,FO$169&gt;SwaptionFirstMonthPosition+SwaptionNumOfMonths+1,$FJ219&gt;SwaptionFirstMonthPosition+SwaptionNumOfMonths+1),"",IF($FJ219=FO$169,1,IF($FJ219&lt;FO$169,INDEX($FK$170:$ID$241,FO$169,$FJ219),SUMPRODUCT(INDEX($FK$325:$ID$396,FO$169,1+SwaptionShift):INDEX($FK$325:$ID$396,FO$169,SwaptionMonthsToGo+SwaptionShift),INDEX($FK$245:$ID$316,$FJ219-FO$169,73-FO$169+SwaptionShift):INDEX($FK$245:$ID$316,$FJ219-FO$169,72-FO$169+SwaptionMonthsToGo+SwaptionShift))/SQRT(SUM(INDEX($FK374:$ID374,1+SwaptionShift):INDEX($FK374:$ID374,SwaptionMonthsToGo+SwaptionShift))*SUM(INDEX($FK$325:$ID$396,FO$169,1+SwaptionShift):INDEX($FK$325:$ID$396,FO$169,SwaptionMonthsToGo+SwaptionShift))))))</f>
        <v/>
      </c>
      <c r="FP219" s="150" t="str">
        <f aca="false">IF(OR(FP$169&lt;SwaptionFirstMonthPosition+1,$FJ219&lt;SwaptionFirstMonthPosition+1,FP$169&gt;SwaptionFirstMonthPosition+SwaptionNumOfMonths+1,$FJ219&gt;SwaptionFirstMonthPosition+SwaptionNumOfMonths+1),"",IF($FJ219=FP$169,1,IF($FJ219&lt;FP$169,INDEX($FK$170:$ID$241,FP$169,$FJ219),SUMPRODUCT(INDEX($FK$325:$ID$396,FP$169,1+SwaptionShift):INDEX($FK$325:$ID$396,FP$169,SwaptionMonthsToGo+SwaptionShift),INDEX($FK$245:$ID$316,$FJ219-FP$169,73-FP$169+SwaptionShift):INDEX($FK$245:$ID$316,$FJ219-FP$169,72-FP$169+SwaptionMonthsToGo+SwaptionShift))/SQRT(SUM(INDEX($FK374:$ID374,1+SwaptionShift):INDEX($FK374:$ID374,SwaptionMonthsToGo+SwaptionShift))*SUM(INDEX($FK$325:$ID$396,FP$169,1+SwaptionShift):INDEX($FK$325:$ID$396,FP$169,SwaptionMonthsToGo+SwaptionShift))))))</f>
        <v/>
      </c>
      <c r="FQ219" s="150" t="str">
        <f aca="false">IF(OR(FQ$169&lt;SwaptionFirstMonthPosition+1,$FJ219&lt;SwaptionFirstMonthPosition+1,FQ$169&gt;SwaptionFirstMonthPosition+SwaptionNumOfMonths+1,$FJ219&gt;SwaptionFirstMonthPosition+SwaptionNumOfMonths+1),"",IF($FJ219=FQ$169,1,IF($FJ219&lt;FQ$169,INDEX($FK$170:$ID$241,FQ$169,$FJ219),SUMPRODUCT(INDEX($FK$325:$ID$396,FQ$169,1+SwaptionShift):INDEX($FK$325:$ID$396,FQ$169,SwaptionMonthsToGo+SwaptionShift),INDEX($FK$245:$ID$316,$FJ219-FQ$169,73-FQ$169+SwaptionShift):INDEX($FK$245:$ID$316,$FJ219-FQ$169,72-FQ$169+SwaptionMonthsToGo+SwaptionShift))/SQRT(SUM(INDEX($FK374:$ID374,1+SwaptionShift):INDEX($FK374:$ID374,SwaptionMonthsToGo+SwaptionShift))*SUM(INDEX($FK$325:$ID$396,FQ$169,1+SwaptionShift):INDEX($FK$325:$ID$396,FQ$169,SwaptionMonthsToGo+SwaptionShift))))))</f>
        <v/>
      </c>
      <c r="FR219" s="150" t="str">
        <f aca="false">IF(OR(FR$169&lt;SwaptionFirstMonthPosition+1,$FJ219&lt;SwaptionFirstMonthPosition+1,FR$169&gt;SwaptionFirstMonthPosition+SwaptionNumOfMonths+1,$FJ219&gt;SwaptionFirstMonthPosition+SwaptionNumOfMonths+1),"",IF($FJ219=FR$169,1,IF($FJ219&lt;FR$169,INDEX($FK$170:$ID$241,FR$169,$FJ219),SUMPRODUCT(INDEX($FK$325:$ID$396,FR$169,1+SwaptionShift):INDEX($FK$325:$ID$396,FR$169,SwaptionMonthsToGo+SwaptionShift),INDEX($FK$245:$ID$316,$FJ219-FR$169,73-FR$169+SwaptionShift):INDEX($FK$245:$ID$316,$FJ219-FR$169,72-FR$169+SwaptionMonthsToGo+SwaptionShift))/SQRT(SUM(INDEX($FK374:$ID374,1+SwaptionShift):INDEX($FK374:$ID374,SwaptionMonthsToGo+SwaptionShift))*SUM(INDEX($FK$325:$ID$396,FR$169,1+SwaptionShift):INDEX($FK$325:$ID$396,FR$169,SwaptionMonthsToGo+SwaptionShift))))))</f>
        <v/>
      </c>
      <c r="FS219" s="150" t="str">
        <f aca="false">IF(OR(FS$169&lt;SwaptionFirstMonthPosition+1,$FJ219&lt;SwaptionFirstMonthPosition+1,FS$169&gt;SwaptionFirstMonthPosition+SwaptionNumOfMonths+1,$FJ219&gt;SwaptionFirstMonthPosition+SwaptionNumOfMonths+1),"",IF($FJ219=FS$169,1,IF($FJ219&lt;FS$169,INDEX($FK$170:$ID$241,FS$169,$FJ219),SUMPRODUCT(INDEX($FK$325:$ID$396,FS$169,1+SwaptionShift):INDEX($FK$325:$ID$396,FS$169,SwaptionMonthsToGo+SwaptionShift),INDEX($FK$245:$ID$316,$FJ219-FS$169,73-FS$169+SwaptionShift):INDEX($FK$245:$ID$316,$FJ219-FS$169,72-FS$169+SwaptionMonthsToGo+SwaptionShift))/SQRT(SUM(INDEX($FK374:$ID374,1+SwaptionShift):INDEX($FK374:$ID374,SwaptionMonthsToGo+SwaptionShift))*SUM(INDEX($FK$325:$ID$396,FS$169,1+SwaptionShift):INDEX($FK$325:$ID$396,FS$169,SwaptionMonthsToGo+SwaptionShift))))))</f>
        <v/>
      </c>
      <c r="FT219" s="150" t="str">
        <f aca="false">IF(OR(FT$169&lt;SwaptionFirstMonthPosition+1,$FJ219&lt;SwaptionFirstMonthPosition+1,FT$169&gt;SwaptionFirstMonthPosition+SwaptionNumOfMonths+1,$FJ219&gt;SwaptionFirstMonthPosition+SwaptionNumOfMonths+1),"",IF($FJ219=FT$169,1,IF($FJ219&lt;FT$169,INDEX($FK$170:$ID$241,FT$169,$FJ219),SUMPRODUCT(INDEX($FK$325:$ID$396,FT$169,1+SwaptionShift):INDEX($FK$325:$ID$396,FT$169,SwaptionMonthsToGo+SwaptionShift),INDEX($FK$245:$ID$316,$FJ219-FT$169,73-FT$169+SwaptionShift):INDEX($FK$245:$ID$316,$FJ219-FT$169,72-FT$169+SwaptionMonthsToGo+SwaptionShift))/SQRT(SUM(INDEX($FK374:$ID374,1+SwaptionShift):INDEX($FK374:$ID374,SwaptionMonthsToGo+SwaptionShift))*SUM(INDEX($FK$325:$ID$396,FT$169,1+SwaptionShift):INDEX($FK$325:$ID$396,FT$169,SwaptionMonthsToGo+SwaptionShift))))))</f>
        <v/>
      </c>
      <c r="FU219" s="150" t="str">
        <f aca="false">IF(OR(FU$169&lt;SwaptionFirstMonthPosition+1,$FJ219&lt;SwaptionFirstMonthPosition+1,FU$169&gt;SwaptionFirstMonthPosition+SwaptionNumOfMonths+1,$FJ219&gt;SwaptionFirstMonthPosition+SwaptionNumOfMonths+1),"",IF($FJ219=FU$169,1,IF($FJ219&lt;FU$169,INDEX($FK$170:$ID$241,FU$169,$FJ219),SUMPRODUCT(INDEX($FK$325:$ID$396,FU$169,1+SwaptionShift):INDEX($FK$325:$ID$396,FU$169,SwaptionMonthsToGo+SwaptionShift),INDEX($FK$245:$ID$316,$FJ219-FU$169,73-FU$169+SwaptionShift):INDEX($FK$245:$ID$316,$FJ219-FU$169,72-FU$169+SwaptionMonthsToGo+SwaptionShift))/SQRT(SUM(INDEX($FK374:$ID374,1+SwaptionShift):INDEX($FK374:$ID374,SwaptionMonthsToGo+SwaptionShift))*SUM(INDEX($FK$325:$ID$396,FU$169,1+SwaptionShift):INDEX($FK$325:$ID$396,FU$169,SwaptionMonthsToGo+SwaptionShift))))))</f>
        <v/>
      </c>
      <c r="FV219" s="150" t="str">
        <f aca="false">IF(OR(FV$169&lt;SwaptionFirstMonthPosition+1,$FJ219&lt;SwaptionFirstMonthPosition+1,FV$169&gt;SwaptionFirstMonthPosition+SwaptionNumOfMonths+1,$FJ219&gt;SwaptionFirstMonthPosition+SwaptionNumOfMonths+1),"",IF($FJ219=FV$169,1,IF($FJ219&lt;FV$169,INDEX($FK$170:$ID$241,FV$169,$FJ219),SUMPRODUCT(INDEX($FK$325:$ID$396,FV$169,1+SwaptionShift):INDEX($FK$325:$ID$396,FV$169,SwaptionMonthsToGo+SwaptionShift),INDEX($FK$245:$ID$316,$FJ219-FV$169,73-FV$169+SwaptionShift):INDEX($FK$245:$ID$316,$FJ219-FV$169,72-FV$169+SwaptionMonthsToGo+SwaptionShift))/SQRT(SUM(INDEX($FK374:$ID374,1+SwaptionShift):INDEX($FK374:$ID374,SwaptionMonthsToGo+SwaptionShift))*SUM(INDEX($FK$325:$ID$396,FV$169,1+SwaptionShift):INDEX($FK$325:$ID$396,FV$169,SwaptionMonthsToGo+SwaptionShift))))))</f>
        <v/>
      </c>
      <c r="FW219" s="150" t="str">
        <f aca="false">IF(OR(FW$169&lt;SwaptionFirstMonthPosition+1,$FJ219&lt;SwaptionFirstMonthPosition+1,FW$169&gt;SwaptionFirstMonthPosition+SwaptionNumOfMonths+1,$FJ219&gt;SwaptionFirstMonthPosition+SwaptionNumOfMonths+1),"",IF($FJ219=FW$169,1,IF($FJ219&lt;FW$169,INDEX($FK$170:$ID$241,FW$169,$FJ219),SUMPRODUCT(INDEX($FK$325:$ID$396,FW$169,1+SwaptionShift):INDEX($FK$325:$ID$396,FW$169,SwaptionMonthsToGo+SwaptionShift),INDEX($FK$245:$ID$316,$FJ219-FW$169,73-FW$169+SwaptionShift):INDEX($FK$245:$ID$316,$FJ219-FW$169,72-FW$169+SwaptionMonthsToGo+SwaptionShift))/SQRT(SUM(INDEX($FK374:$ID374,1+SwaptionShift):INDEX($FK374:$ID374,SwaptionMonthsToGo+SwaptionShift))*SUM(INDEX($FK$325:$ID$396,FW$169,1+SwaptionShift):INDEX($FK$325:$ID$396,FW$169,SwaptionMonthsToGo+SwaptionShift))))))</f>
        <v/>
      </c>
      <c r="FX219" s="150" t="str">
        <f aca="false">IF(OR(FX$169&lt;SwaptionFirstMonthPosition+1,$FJ219&lt;SwaptionFirstMonthPosition+1,FX$169&gt;SwaptionFirstMonthPosition+SwaptionNumOfMonths+1,$FJ219&gt;SwaptionFirstMonthPosition+SwaptionNumOfMonths+1),"",IF($FJ219=FX$169,1,IF($FJ219&lt;FX$169,INDEX($FK$170:$ID$241,FX$169,$FJ219),SUMPRODUCT(INDEX($FK$325:$ID$396,FX$169,1+SwaptionShift):INDEX($FK$325:$ID$396,FX$169,SwaptionMonthsToGo+SwaptionShift),INDEX($FK$245:$ID$316,$FJ219-FX$169,73-FX$169+SwaptionShift):INDEX($FK$245:$ID$316,$FJ219-FX$169,72-FX$169+SwaptionMonthsToGo+SwaptionShift))/SQRT(SUM(INDEX($FK374:$ID374,1+SwaptionShift):INDEX($FK374:$ID374,SwaptionMonthsToGo+SwaptionShift))*SUM(INDEX($FK$325:$ID$396,FX$169,1+SwaptionShift):INDEX($FK$325:$ID$396,FX$169,SwaptionMonthsToGo+SwaptionShift))))))</f>
        <v/>
      </c>
      <c r="FY219" s="150" t="str">
        <f aca="false">IF(OR(FY$169&lt;SwaptionFirstMonthPosition+1,$FJ219&lt;SwaptionFirstMonthPosition+1,FY$169&gt;SwaptionFirstMonthPosition+SwaptionNumOfMonths+1,$FJ219&gt;SwaptionFirstMonthPosition+SwaptionNumOfMonths+1),"",IF($FJ219=FY$169,1,IF($FJ219&lt;FY$169,INDEX($FK$170:$ID$241,FY$169,$FJ219),SUMPRODUCT(INDEX($FK$325:$ID$396,FY$169,1+SwaptionShift):INDEX($FK$325:$ID$396,FY$169,SwaptionMonthsToGo+SwaptionShift),INDEX($FK$245:$ID$316,$FJ219-FY$169,73-FY$169+SwaptionShift):INDEX($FK$245:$ID$316,$FJ219-FY$169,72-FY$169+SwaptionMonthsToGo+SwaptionShift))/SQRT(SUM(INDEX($FK374:$ID374,1+SwaptionShift):INDEX($FK374:$ID374,SwaptionMonthsToGo+SwaptionShift))*SUM(INDEX($FK$325:$ID$396,FY$169,1+SwaptionShift):INDEX($FK$325:$ID$396,FY$169,SwaptionMonthsToGo+SwaptionShift))))))</f>
        <v/>
      </c>
      <c r="FZ219" s="150" t="str">
        <f aca="false">IF(OR(FZ$169&lt;SwaptionFirstMonthPosition+1,$FJ219&lt;SwaptionFirstMonthPosition+1,FZ$169&gt;SwaptionFirstMonthPosition+SwaptionNumOfMonths+1,$FJ219&gt;SwaptionFirstMonthPosition+SwaptionNumOfMonths+1),"",IF($FJ219=FZ$169,1,IF($FJ219&lt;FZ$169,INDEX($FK$170:$ID$241,FZ$169,$FJ219),SUMPRODUCT(INDEX($FK$325:$ID$396,FZ$169,1+SwaptionShift):INDEX($FK$325:$ID$396,FZ$169,SwaptionMonthsToGo+SwaptionShift),INDEX($FK$245:$ID$316,$FJ219-FZ$169,73-FZ$169+SwaptionShift):INDEX($FK$245:$ID$316,$FJ219-FZ$169,72-FZ$169+SwaptionMonthsToGo+SwaptionShift))/SQRT(SUM(INDEX($FK374:$ID374,1+SwaptionShift):INDEX($FK374:$ID374,SwaptionMonthsToGo+SwaptionShift))*SUM(INDEX($FK$325:$ID$396,FZ$169,1+SwaptionShift):INDEX($FK$325:$ID$396,FZ$169,SwaptionMonthsToGo+SwaptionShift))))))</f>
        <v/>
      </c>
      <c r="GA219" s="150" t="str">
        <f aca="false">IF(OR(GA$169&lt;SwaptionFirstMonthPosition+1,$FJ219&lt;SwaptionFirstMonthPosition+1,GA$169&gt;SwaptionFirstMonthPosition+SwaptionNumOfMonths+1,$FJ219&gt;SwaptionFirstMonthPosition+SwaptionNumOfMonths+1),"",IF($FJ219=GA$169,1,IF($FJ219&lt;GA$169,INDEX($FK$170:$ID$241,GA$169,$FJ219),SUMPRODUCT(INDEX($FK$325:$ID$396,GA$169,1+SwaptionShift):INDEX($FK$325:$ID$396,GA$169,SwaptionMonthsToGo+SwaptionShift),INDEX($FK$245:$ID$316,$FJ219-GA$169,73-GA$169+SwaptionShift):INDEX($FK$245:$ID$316,$FJ219-GA$169,72-GA$169+SwaptionMonthsToGo+SwaptionShift))/SQRT(SUM(INDEX($FK374:$ID374,1+SwaptionShift):INDEX($FK374:$ID374,SwaptionMonthsToGo+SwaptionShift))*SUM(INDEX($FK$325:$ID$396,GA$169,1+SwaptionShift):INDEX($FK$325:$ID$396,GA$169,SwaptionMonthsToGo+SwaptionShift))))))</f>
        <v/>
      </c>
      <c r="GB219" s="150" t="str">
        <f aca="false">IF(OR(GB$169&lt;SwaptionFirstMonthPosition+1,$FJ219&lt;SwaptionFirstMonthPosition+1,GB$169&gt;SwaptionFirstMonthPosition+SwaptionNumOfMonths+1,$FJ219&gt;SwaptionFirstMonthPosition+SwaptionNumOfMonths+1),"",IF($FJ219=GB$169,1,IF($FJ219&lt;GB$169,INDEX($FK$170:$ID$241,GB$169,$FJ219),SUMPRODUCT(INDEX($FK$325:$ID$396,GB$169,1+SwaptionShift):INDEX($FK$325:$ID$396,GB$169,SwaptionMonthsToGo+SwaptionShift),INDEX($FK$245:$ID$316,$FJ219-GB$169,73-GB$169+SwaptionShift):INDEX($FK$245:$ID$316,$FJ219-GB$169,72-GB$169+SwaptionMonthsToGo+SwaptionShift))/SQRT(SUM(INDEX($FK374:$ID374,1+SwaptionShift):INDEX($FK374:$ID374,SwaptionMonthsToGo+SwaptionShift))*SUM(INDEX($FK$325:$ID$396,GB$169,1+SwaptionShift):INDEX($FK$325:$ID$396,GB$169,SwaptionMonthsToGo+SwaptionShift))))))</f>
        <v/>
      </c>
      <c r="GC219" s="150" t="str">
        <f aca="false">IF(OR(GC$169&lt;SwaptionFirstMonthPosition+1,$FJ219&lt;SwaptionFirstMonthPosition+1,GC$169&gt;SwaptionFirstMonthPosition+SwaptionNumOfMonths+1,$FJ219&gt;SwaptionFirstMonthPosition+SwaptionNumOfMonths+1),"",IF($FJ219=GC$169,1,IF($FJ219&lt;GC$169,INDEX($FK$170:$ID$241,GC$169,$FJ219),SUMPRODUCT(INDEX($FK$325:$ID$396,GC$169,1+SwaptionShift):INDEX($FK$325:$ID$396,GC$169,SwaptionMonthsToGo+SwaptionShift),INDEX($FK$245:$ID$316,$FJ219-GC$169,73-GC$169+SwaptionShift):INDEX($FK$245:$ID$316,$FJ219-GC$169,72-GC$169+SwaptionMonthsToGo+SwaptionShift))/SQRT(SUM(INDEX($FK374:$ID374,1+SwaptionShift):INDEX($FK374:$ID374,SwaptionMonthsToGo+SwaptionShift))*SUM(INDEX($FK$325:$ID$396,GC$169,1+SwaptionShift):INDEX($FK$325:$ID$396,GC$169,SwaptionMonthsToGo+SwaptionShift))))))</f>
        <v/>
      </c>
      <c r="GD219" s="150" t="str">
        <f aca="false">IF(OR(GD$169&lt;SwaptionFirstMonthPosition+1,$FJ219&lt;SwaptionFirstMonthPosition+1,GD$169&gt;SwaptionFirstMonthPosition+SwaptionNumOfMonths+1,$FJ219&gt;SwaptionFirstMonthPosition+SwaptionNumOfMonths+1),"",IF($FJ219=GD$169,1,IF($FJ219&lt;GD$169,INDEX($FK$170:$ID$241,GD$169,$FJ219),SUMPRODUCT(INDEX($FK$325:$ID$396,GD$169,1+SwaptionShift):INDEX($FK$325:$ID$396,GD$169,SwaptionMonthsToGo+SwaptionShift),INDEX($FK$245:$ID$316,$FJ219-GD$169,73-GD$169+SwaptionShift):INDEX($FK$245:$ID$316,$FJ219-GD$169,72-GD$169+SwaptionMonthsToGo+SwaptionShift))/SQRT(SUM(INDEX($FK374:$ID374,1+SwaptionShift):INDEX($FK374:$ID374,SwaptionMonthsToGo+SwaptionShift))*SUM(INDEX($FK$325:$ID$396,GD$169,1+SwaptionShift):INDEX($FK$325:$ID$396,GD$169,SwaptionMonthsToGo+SwaptionShift))))))</f>
        <v/>
      </c>
      <c r="GE219" s="150" t="str">
        <f aca="false">IF(OR(GE$169&lt;SwaptionFirstMonthPosition+1,$FJ219&lt;SwaptionFirstMonthPosition+1,GE$169&gt;SwaptionFirstMonthPosition+SwaptionNumOfMonths+1,$FJ219&gt;SwaptionFirstMonthPosition+SwaptionNumOfMonths+1),"",IF($FJ219=GE$169,1,IF($FJ219&lt;GE$169,INDEX($FK$170:$ID$241,GE$169,$FJ219),SUMPRODUCT(INDEX($FK$325:$ID$396,GE$169,1+SwaptionShift):INDEX($FK$325:$ID$396,GE$169,SwaptionMonthsToGo+SwaptionShift),INDEX($FK$245:$ID$316,$FJ219-GE$169,73-GE$169+SwaptionShift):INDEX($FK$245:$ID$316,$FJ219-GE$169,72-GE$169+SwaptionMonthsToGo+SwaptionShift))/SQRT(SUM(INDEX($FK374:$ID374,1+SwaptionShift):INDEX($FK374:$ID374,SwaptionMonthsToGo+SwaptionShift))*SUM(INDEX($FK$325:$ID$396,GE$169,1+SwaptionShift):INDEX($FK$325:$ID$396,GE$169,SwaptionMonthsToGo+SwaptionShift))))))</f>
        <v/>
      </c>
      <c r="GF219" s="150" t="str">
        <f aca="false">IF(OR(GF$169&lt;SwaptionFirstMonthPosition+1,$FJ219&lt;SwaptionFirstMonthPosition+1,GF$169&gt;SwaptionFirstMonthPosition+SwaptionNumOfMonths+1,$FJ219&gt;SwaptionFirstMonthPosition+SwaptionNumOfMonths+1),"",IF($FJ219=GF$169,1,IF($FJ219&lt;GF$169,INDEX($FK$170:$ID$241,GF$169,$FJ219),SUMPRODUCT(INDEX($FK$325:$ID$396,GF$169,1+SwaptionShift):INDEX($FK$325:$ID$396,GF$169,SwaptionMonthsToGo+SwaptionShift),INDEX($FK$245:$ID$316,$FJ219-GF$169,73-GF$169+SwaptionShift):INDEX($FK$245:$ID$316,$FJ219-GF$169,72-GF$169+SwaptionMonthsToGo+SwaptionShift))/SQRT(SUM(INDEX($FK374:$ID374,1+SwaptionShift):INDEX($FK374:$ID374,SwaptionMonthsToGo+SwaptionShift))*SUM(INDEX($FK$325:$ID$396,GF$169,1+SwaptionShift):INDEX($FK$325:$ID$396,GF$169,SwaptionMonthsToGo+SwaptionShift))))))</f>
        <v/>
      </c>
      <c r="GG219" s="150" t="str">
        <f aca="false">IF(OR(GG$169&lt;SwaptionFirstMonthPosition+1,$FJ219&lt;SwaptionFirstMonthPosition+1,GG$169&gt;SwaptionFirstMonthPosition+SwaptionNumOfMonths+1,$FJ219&gt;SwaptionFirstMonthPosition+SwaptionNumOfMonths+1),"",IF($FJ219=GG$169,1,IF($FJ219&lt;GG$169,INDEX($FK$170:$ID$241,GG$169,$FJ219),SUMPRODUCT(INDEX($FK$325:$ID$396,GG$169,1+SwaptionShift):INDEX($FK$325:$ID$396,GG$169,SwaptionMonthsToGo+SwaptionShift),INDEX($FK$245:$ID$316,$FJ219-GG$169,73-GG$169+SwaptionShift):INDEX($FK$245:$ID$316,$FJ219-GG$169,72-GG$169+SwaptionMonthsToGo+SwaptionShift))/SQRT(SUM(INDEX($FK374:$ID374,1+SwaptionShift):INDEX($FK374:$ID374,SwaptionMonthsToGo+SwaptionShift))*SUM(INDEX($FK$325:$ID$396,GG$169,1+SwaptionShift):INDEX($FK$325:$ID$396,GG$169,SwaptionMonthsToGo+SwaptionShift))))))</f>
        <v/>
      </c>
      <c r="GH219" s="150" t="str">
        <f aca="false">IF(OR(GH$169&lt;SwaptionFirstMonthPosition+1,$FJ219&lt;SwaptionFirstMonthPosition+1,GH$169&gt;SwaptionFirstMonthPosition+SwaptionNumOfMonths+1,$FJ219&gt;SwaptionFirstMonthPosition+SwaptionNumOfMonths+1),"",IF($FJ219=GH$169,1,IF($FJ219&lt;GH$169,INDEX($FK$170:$ID$241,GH$169,$FJ219),SUMPRODUCT(INDEX($FK$325:$ID$396,GH$169,1+SwaptionShift):INDEX($FK$325:$ID$396,GH$169,SwaptionMonthsToGo+SwaptionShift),INDEX($FK$245:$ID$316,$FJ219-GH$169,73-GH$169+SwaptionShift):INDEX($FK$245:$ID$316,$FJ219-GH$169,72-GH$169+SwaptionMonthsToGo+SwaptionShift))/SQRT(SUM(INDEX($FK374:$ID374,1+SwaptionShift):INDEX($FK374:$ID374,SwaptionMonthsToGo+SwaptionShift))*SUM(INDEX($FK$325:$ID$396,GH$169,1+SwaptionShift):INDEX($FK$325:$ID$396,GH$169,SwaptionMonthsToGo+SwaptionShift))))))</f>
        <v/>
      </c>
      <c r="GI219" s="150" t="str">
        <f aca="false">IF(OR(GI$169&lt;SwaptionFirstMonthPosition+1,$FJ219&lt;SwaptionFirstMonthPosition+1,GI$169&gt;SwaptionFirstMonthPosition+SwaptionNumOfMonths+1,$FJ219&gt;SwaptionFirstMonthPosition+SwaptionNumOfMonths+1),"",IF($FJ219=GI$169,1,IF($FJ219&lt;GI$169,INDEX($FK$170:$ID$241,GI$169,$FJ219),SUMPRODUCT(INDEX($FK$325:$ID$396,GI$169,1+SwaptionShift):INDEX($FK$325:$ID$396,GI$169,SwaptionMonthsToGo+SwaptionShift),INDEX($FK$245:$ID$316,$FJ219-GI$169,73-GI$169+SwaptionShift):INDEX($FK$245:$ID$316,$FJ219-GI$169,72-GI$169+SwaptionMonthsToGo+SwaptionShift))/SQRT(SUM(INDEX($FK374:$ID374,1+SwaptionShift):INDEX($FK374:$ID374,SwaptionMonthsToGo+SwaptionShift))*SUM(INDEX($FK$325:$ID$396,GI$169,1+SwaptionShift):INDEX($FK$325:$ID$396,GI$169,SwaptionMonthsToGo+SwaptionShift))))))</f>
        <v/>
      </c>
      <c r="GJ219" s="150" t="str">
        <f aca="false">IF(OR(GJ$169&lt;SwaptionFirstMonthPosition+1,$FJ219&lt;SwaptionFirstMonthPosition+1,GJ$169&gt;SwaptionFirstMonthPosition+SwaptionNumOfMonths+1,$FJ219&gt;SwaptionFirstMonthPosition+SwaptionNumOfMonths+1),"",IF($FJ219=GJ$169,1,IF($FJ219&lt;GJ$169,INDEX($FK$170:$ID$241,GJ$169,$FJ219),SUMPRODUCT(INDEX($FK$325:$ID$396,GJ$169,1+SwaptionShift):INDEX($FK$325:$ID$396,GJ$169,SwaptionMonthsToGo+SwaptionShift),INDEX($FK$245:$ID$316,$FJ219-GJ$169,73-GJ$169+SwaptionShift):INDEX($FK$245:$ID$316,$FJ219-GJ$169,72-GJ$169+SwaptionMonthsToGo+SwaptionShift))/SQRT(SUM(INDEX($FK374:$ID374,1+SwaptionShift):INDEX($FK374:$ID374,SwaptionMonthsToGo+SwaptionShift))*SUM(INDEX($FK$325:$ID$396,GJ$169,1+SwaptionShift):INDEX($FK$325:$ID$396,GJ$169,SwaptionMonthsToGo+SwaptionShift))))))</f>
        <v/>
      </c>
      <c r="GK219" s="150" t="str">
        <f aca="false">IF(OR(GK$169&lt;SwaptionFirstMonthPosition+1,$FJ219&lt;SwaptionFirstMonthPosition+1,GK$169&gt;SwaptionFirstMonthPosition+SwaptionNumOfMonths+1,$FJ219&gt;SwaptionFirstMonthPosition+SwaptionNumOfMonths+1),"",IF($FJ219=GK$169,1,IF($FJ219&lt;GK$169,INDEX($FK$170:$ID$241,GK$169,$FJ219),SUMPRODUCT(INDEX($FK$325:$ID$396,GK$169,1+SwaptionShift):INDEX($FK$325:$ID$396,GK$169,SwaptionMonthsToGo+SwaptionShift),INDEX($FK$245:$ID$316,$FJ219-GK$169,73-GK$169+SwaptionShift):INDEX($FK$245:$ID$316,$FJ219-GK$169,72-GK$169+SwaptionMonthsToGo+SwaptionShift))/SQRT(SUM(INDEX($FK374:$ID374,1+SwaptionShift):INDEX($FK374:$ID374,SwaptionMonthsToGo+SwaptionShift))*SUM(INDEX($FK$325:$ID$396,GK$169,1+SwaptionShift):INDEX($FK$325:$ID$396,GK$169,SwaptionMonthsToGo+SwaptionShift))))))</f>
        <v/>
      </c>
      <c r="GL219" s="150" t="str">
        <f aca="false">IF(OR(GL$169&lt;SwaptionFirstMonthPosition+1,$FJ219&lt;SwaptionFirstMonthPosition+1,GL$169&gt;SwaptionFirstMonthPosition+SwaptionNumOfMonths+1,$FJ219&gt;SwaptionFirstMonthPosition+SwaptionNumOfMonths+1),"",IF($FJ219=GL$169,1,IF($FJ219&lt;GL$169,INDEX($FK$170:$ID$241,GL$169,$FJ219),SUMPRODUCT(INDEX($FK$325:$ID$396,GL$169,1+SwaptionShift):INDEX($FK$325:$ID$396,GL$169,SwaptionMonthsToGo+SwaptionShift),INDEX($FK$245:$ID$316,$FJ219-GL$169,73-GL$169+SwaptionShift):INDEX($FK$245:$ID$316,$FJ219-GL$169,72-GL$169+SwaptionMonthsToGo+SwaptionShift))/SQRT(SUM(INDEX($FK374:$ID374,1+SwaptionShift):INDEX($FK374:$ID374,SwaptionMonthsToGo+SwaptionShift))*SUM(INDEX($FK$325:$ID$396,GL$169,1+SwaptionShift):INDEX($FK$325:$ID$396,GL$169,SwaptionMonthsToGo+SwaptionShift))))))</f>
        <v/>
      </c>
      <c r="GM219" s="150" t="str">
        <f aca="false">IF(OR(GM$169&lt;SwaptionFirstMonthPosition+1,$FJ219&lt;SwaptionFirstMonthPosition+1,GM$169&gt;SwaptionFirstMonthPosition+SwaptionNumOfMonths+1,$FJ219&gt;SwaptionFirstMonthPosition+SwaptionNumOfMonths+1),"",IF($FJ219=GM$169,1,IF($FJ219&lt;GM$169,INDEX($FK$170:$ID$241,GM$169,$FJ219),SUMPRODUCT(INDEX($FK$325:$ID$396,GM$169,1+SwaptionShift):INDEX($FK$325:$ID$396,GM$169,SwaptionMonthsToGo+SwaptionShift),INDEX($FK$245:$ID$316,$FJ219-GM$169,73-GM$169+SwaptionShift):INDEX($FK$245:$ID$316,$FJ219-GM$169,72-GM$169+SwaptionMonthsToGo+SwaptionShift))/SQRT(SUM(INDEX($FK374:$ID374,1+SwaptionShift):INDEX($FK374:$ID374,SwaptionMonthsToGo+SwaptionShift))*SUM(INDEX($FK$325:$ID$396,GM$169,1+SwaptionShift):INDEX($FK$325:$ID$396,GM$169,SwaptionMonthsToGo+SwaptionShift))))))</f>
        <v/>
      </c>
      <c r="GN219" s="150" t="str">
        <f aca="false">IF(OR(GN$169&lt;SwaptionFirstMonthPosition+1,$FJ219&lt;SwaptionFirstMonthPosition+1,GN$169&gt;SwaptionFirstMonthPosition+SwaptionNumOfMonths+1,$FJ219&gt;SwaptionFirstMonthPosition+SwaptionNumOfMonths+1),"",IF($FJ219=GN$169,1,IF($FJ219&lt;GN$169,INDEX($FK$170:$ID$241,GN$169,$FJ219),SUMPRODUCT(INDEX($FK$325:$ID$396,GN$169,1+SwaptionShift):INDEX($FK$325:$ID$396,GN$169,SwaptionMonthsToGo+SwaptionShift),INDEX($FK$245:$ID$316,$FJ219-GN$169,73-GN$169+SwaptionShift):INDEX($FK$245:$ID$316,$FJ219-GN$169,72-GN$169+SwaptionMonthsToGo+SwaptionShift))/SQRT(SUM(INDEX($FK374:$ID374,1+SwaptionShift):INDEX($FK374:$ID374,SwaptionMonthsToGo+SwaptionShift))*SUM(INDEX($FK$325:$ID$396,GN$169,1+SwaptionShift):INDEX($FK$325:$ID$396,GN$169,SwaptionMonthsToGo+SwaptionShift))))))</f>
        <v/>
      </c>
      <c r="GO219" s="150" t="str">
        <f aca="false">IF(OR(GO$169&lt;SwaptionFirstMonthPosition+1,$FJ219&lt;SwaptionFirstMonthPosition+1,GO$169&gt;SwaptionFirstMonthPosition+SwaptionNumOfMonths+1,$FJ219&gt;SwaptionFirstMonthPosition+SwaptionNumOfMonths+1),"",IF($FJ219=GO$169,1,IF($FJ219&lt;GO$169,INDEX($FK$170:$ID$241,GO$169,$FJ219),SUMPRODUCT(INDEX($FK$325:$ID$396,GO$169,1+SwaptionShift):INDEX($FK$325:$ID$396,GO$169,SwaptionMonthsToGo+SwaptionShift),INDEX($FK$245:$ID$316,$FJ219-GO$169,73-GO$169+SwaptionShift):INDEX($FK$245:$ID$316,$FJ219-GO$169,72-GO$169+SwaptionMonthsToGo+SwaptionShift))/SQRT(SUM(INDEX($FK374:$ID374,1+SwaptionShift):INDEX($FK374:$ID374,SwaptionMonthsToGo+SwaptionShift))*SUM(INDEX($FK$325:$ID$396,GO$169,1+SwaptionShift):INDEX($FK$325:$ID$396,GO$169,SwaptionMonthsToGo+SwaptionShift))))))</f>
        <v/>
      </c>
      <c r="GP219" s="150" t="str">
        <f aca="false">IF(OR(GP$169&lt;SwaptionFirstMonthPosition+1,$FJ219&lt;SwaptionFirstMonthPosition+1,GP$169&gt;SwaptionFirstMonthPosition+SwaptionNumOfMonths+1,$FJ219&gt;SwaptionFirstMonthPosition+SwaptionNumOfMonths+1),"",IF($FJ219=GP$169,1,IF($FJ219&lt;GP$169,INDEX($FK$170:$ID$241,GP$169,$FJ219),SUMPRODUCT(INDEX($FK$325:$ID$396,GP$169,1+SwaptionShift):INDEX($FK$325:$ID$396,GP$169,SwaptionMonthsToGo+SwaptionShift),INDEX($FK$245:$ID$316,$FJ219-GP$169,73-GP$169+SwaptionShift):INDEX($FK$245:$ID$316,$FJ219-GP$169,72-GP$169+SwaptionMonthsToGo+SwaptionShift))/SQRT(SUM(INDEX($FK374:$ID374,1+SwaptionShift):INDEX($FK374:$ID374,SwaptionMonthsToGo+SwaptionShift))*SUM(INDEX($FK$325:$ID$396,GP$169,1+SwaptionShift):INDEX($FK$325:$ID$396,GP$169,SwaptionMonthsToGo+SwaptionShift))))))</f>
        <v/>
      </c>
      <c r="GQ219" s="150" t="str">
        <f aca="false">IF(OR(GQ$169&lt;SwaptionFirstMonthPosition+1,$FJ219&lt;SwaptionFirstMonthPosition+1,GQ$169&gt;SwaptionFirstMonthPosition+SwaptionNumOfMonths+1,$FJ219&gt;SwaptionFirstMonthPosition+SwaptionNumOfMonths+1),"",IF($FJ219=GQ$169,1,IF($FJ219&lt;GQ$169,INDEX($FK$170:$ID$241,GQ$169,$FJ219),SUMPRODUCT(INDEX($FK$325:$ID$396,GQ$169,1+SwaptionShift):INDEX($FK$325:$ID$396,GQ$169,SwaptionMonthsToGo+SwaptionShift),INDEX($FK$245:$ID$316,$FJ219-GQ$169,73-GQ$169+SwaptionShift):INDEX($FK$245:$ID$316,$FJ219-GQ$169,72-GQ$169+SwaptionMonthsToGo+SwaptionShift))/SQRT(SUM(INDEX($FK374:$ID374,1+SwaptionShift):INDEX($FK374:$ID374,SwaptionMonthsToGo+SwaptionShift))*SUM(INDEX($FK$325:$ID$396,GQ$169,1+SwaptionShift):INDEX($FK$325:$ID$396,GQ$169,SwaptionMonthsToGo+SwaptionShift))))))</f>
        <v/>
      </c>
      <c r="GR219" s="150" t="str">
        <f aca="false">IF(OR(GR$169&lt;SwaptionFirstMonthPosition+1,$FJ219&lt;SwaptionFirstMonthPosition+1,GR$169&gt;SwaptionFirstMonthPosition+SwaptionNumOfMonths+1,$FJ219&gt;SwaptionFirstMonthPosition+SwaptionNumOfMonths+1),"",IF($FJ219=GR$169,1,IF($FJ219&lt;GR$169,INDEX($FK$170:$ID$241,GR$169,$FJ219),SUMPRODUCT(INDEX($FK$325:$ID$396,GR$169,1+SwaptionShift):INDEX($FK$325:$ID$396,GR$169,SwaptionMonthsToGo+SwaptionShift),INDEX($FK$245:$ID$316,$FJ219-GR$169,73-GR$169+SwaptionShift):INDEX($FK$245:$ID$316,$FJ219-GR$169,72-GR$169+SwaptionMonthsToGo+SwaptionShift))/SQRT(SUM(INDEX($FK374:$ID374,1+SwaptionShift):INDEX($FK374:$ID374,SwaptionMonthsToGo+SwaptionShift))*SUM(INDEX($FK$325:$ID$396,GR$169,1+SwaptionShift):INDEX($FK$325:$ID$396,GR$169,SwaptionMonthsToGo+SwaptionShift))))))</f>
        <v/>
      </c>
      <c r="GS219" s="150" t="str">
        <f aca="false">IF(OR(GS$169&lt;SwaptionFirstMonthPosition+1,$FJ219&lt;SwaptionFirstMonthPosition+1,GS$169&gt;SwaptionFirstMonthPosition+SwaptionNumOfMonths+1,$FJ219&gt;SwaptionFirstMonthPosition+SwaptionNumOfMonths+1),"",IF($FJ219=GS$169,1,IF($FJ219&lt;GS$169,INDEX($FK$170:$ID$241,GS$169,$FJ219),SUMPRODUCT(INDEX($FK$325:$ID$396,GS$169,1+SwaptionShift):INDEX($FK$325:$ID$396,GS$169,SwaptionMonthsToGo+SwaptionShift),INDEX($FK$245:$ID$316,$FJ219-GS$169,73-GS$169+SwaptionShift):INDEX($FK$245:$ID$316,$FJ219-GS$169,72-GS$169+SwaptionMonthsToGo+SwaptionShift))/SQRT(SUM(INDEX($FK374:$ID374,1+SwaptionShift):INDEX($FK374:$ID374,SwaptionMonthsToGo+SwaptionShift))*SUM(INDEX($FK$325:$ID$396,GS$169,1+SwaptionShift):INDEX($FK$325:$ID$396,GS$169,SwaptionMonthsToGo+SwaptionShift))))))</f>
        <v/>
      </c>
      <c r="GT219" s="150" t="str">
        <f aca="false">IF(OR(GT$169&lt;SwaptionFirstMonthPosition+1,$FJ219&lt;SwaptionFirstMonthPosition+1,GT$169&gt;SwaptionFirstMonthPosition+SwaptionNumOfMonths+1,$FJ219&gt;SwaptionFirstMonthPosition+SwaptionNumOfMonths+1),"",IF($FJ219=GT$169,1,IF($FJ219&lt;GT$169,INDEX($FK$170:$ID$241,GT$169,$FJ219),SUMPRODUCT(INDEX($FK$325:$ID$396,GT$169,1+SwaptionShift):INDEX($FK$325:$ID$396,GT$169,SwaptionMonthsToGo+SwaptionShift),INDEX($FK$245:$ID$316,$FJ219-GT$169,73-GT$169+SwaptionShift):INDEX($FK$245:$ID$316,$FJ219-GT$169,72-GT$169+SwaptionMonthsToGo+SwaptionShift))/SQRT(SUM(INDEX($FK374:$ID374,1+SwaptionShift):INDEX($FK374:$ID374,SwaptionMonthsToGo+SwaptionShift))*SUM(INDEX($FK$325:$ID$396,GT$169,1+SwaptionShift):INDEX($FK$325:$ID$396,GT$169,SwaptionMonthsToGo+SwaptionShift))))))</f>
        <v/>
      </c>
      <c r="GU219" s="150" t="str">
        <f aca="false">IF(OR(GU$169&lt;SwaptionFirstMonthPosition+1,$FJ219&lt;SwaptionFirstMonthPosition+1,GU$169&gt;SwaptionFirstMonthPosition+SwaptionNumOfMonths+1,$FJ219&gt;SwaptionFirstMonthPosition+SwaptionNumOfMonths+1),"",IF($FJ219=GU$169,1,IF($FJ219&lt;GU$169,INDEX($FK$170:$ID$241,GU$169,$FJ219),SUMPRODUCT(INDEX($FK$325:$ID$396,GU$169,1+SwaptionShift):INDEX($FK$325:$ID$396,GU$169,SwaptionMonthsToGo+SwaptionShift),INDEX($FK$245:$ID$316,$FJ219-GU$169,73-GU$169+SwaptionShift):INDEX($FK$245:$ID$316,$FJ219-GU$169,72-GU$169+SwaptionMonthsToGo+SwaptionShift))/SQRT(SUM(INDEX($FK374:$ID374,1+SwaptionShift):INDEX($FK374:$ID374,SwaptionMonthsToGo+SwaptionShift))*SUM(INDEX($FK$325:$ID$396,GU$169,1+SwaptionShift):INDEX($FK$325:$ID$396,GU$169,SwaptionMonthsToGo+SwaptionShift))))))</f>
        <v/>
      </c>
      <c r="GV219" s="150" t="str">
        <f aca="false">IF(OR(GV$169&lt;SwaptionFirstMonthPosition+1,$FJ219&lt;SwaptionFirstMonthPosition+1,GV$169&gt;SwaptionFirstMonthPosition+SwaptionNumOfMonths+1,$FJ219&gt;SwaptionFirstMonthPosition+SwaptionNumOfMonths+1),"",IF($FJ219=GV$169,1,IF($FJ219&lt;GV$169,INDEX($FK$170:$ID$241,GV$169,$FJ219),SUMPRODUCT(INDEX($FK$325:$ID$396,GV$169,1+SwaptionShift):INDEX($FK$325:$ID$396,GV$169,SwaptionMonthsToGo+SwaptionShift),INDEX($FK$245:$ID$316,$FJ219-GV$169,73-GV$169+SwaptionShift):INDEX($FK$245:$ID$316,$FJ219-GV$169,72-GV$169+SwaptionMonthsToGo+SwaptionShift))/SQRT(SUM(INDEX($FK374:$ID374,1+SwaptionShift):INDEX($FK374:$ID374,SwaptionMonthsToGo+SwaptionShift))*SUM(INDEX($FK$325:$ID$396,GV$169,1+SwaptionShift):INDEX($FK$325:$ID$396,GV$169,SwaptionMonthsToGo+SwaptionShift))))))</f>
        <v/>
      </c>
      <c r="GW219" s="150" t="str">
        <f aca="false">IF(OR(GW$169&lt;SwaptionFirstMonthPosition+1,$FJ219&lt;SwaptionFirstMonthPosition+1,GW$169&gt;SwaptionFirstMonthPosition+SwaptionNumOfMonths+1,$FJ219&gt;SwaptionFirstMonthPosition+SwaptionNumOfMonths+1),"",IF($FJ219=GW$169,1,IF($FJ219&lt;GW$169,INDEX($FK$170:$ID$241,GW$169,$FJ219),SUMPRODUCT(INDEX($FK$325:$ID$396,GW$169,1+SwaptionShift):INDEX($FK$325:$ID$396,GW$169,SwaptionMonthsToGo+SwaptionShift),INDEX($FK$245:$ID$316,$FJ219-GW$169,73-GW$169+SwaptionShift):INDEX($FK$245:$ID$316,$FJ219-GW$169,72-GW$169+SwaptionMonthsToGo+SwaptionShift))/SQRT(SUM(INDEX($FK374:$ID374,1+SwaptionShift):INDEX($FK374:$ID374,SwaptionMonthsToGo+SwaptionShift))*SUM(INDEX($FK$325:$ID$396,GW$169,1+SwaptionShift):INDEX($FK$325:$ID$396,GW$169,SwaptionMonthsToGo+SwaptionShift))))))</f>
        <v/>
      </c>
      <c r="GX219" s="150" t="str">
        <f aca="false">IF(OR(GX$169&lt;SwaptionFirstMonthPosition+1,$FJ219&lt;SwaptionFirstMonthPosition+1,GX$169&gt;SwaptionFirstMonthPosition+SwaptionNumOfMonths+1,$FJ219&gt;SwaptionFirstMonthPosition+SwaptionNumOfMonths+1),"",IF($FJ219=GX$169,1,IF($FJ219&lt;GX$169,INDEX($FK$170:$ID$241,GX$169,$FJ219),SUMPRODUCT(INDEX($FK$325:$ID$396,GX$169,1+SwaptionShift):INDEX($FK$325:$ID$396,GX$169,SwaptionMonthsToGo+SwaptionShift),INDEX($FK$245:$ID$316,$FJ219-GX$169,73-GX$169+SwaptionShift):INDEX($FK$245:$ID$316,$FJ219-GX$169,72-GX$169+SwaptionMonthsToGo+SwaptionShift))/SQRT(SUM(INDEX($FK374:$ID374,1+SwaptionShift):INDEX($FK374:$ID374,SwaptionMonthsToGo+SwaptionShift))*SUM(INDEX($FK$325:$ID$396,GX$169,1+SwaptionShift):INDEX($FK$325:$ID$396,GX$169,SwaptionMonthsToGo+SwaptionShift))))))</f>
        <v/>
      </c>
      <c r="GY219" s="150" t="str">
        <f aca="false">IF(OR(GY$169&lt;SwaptionFirstMonthPosition+1,$FJ219&lt;SwaptionFirstMonthPosition+1,GY$169&gt;SwaptionFirstMonthPosition+SwaptionNumOfMonths+1,$FJ219&gt;SwaptionFirstMonthPosition+SwaptionNumOfMonths+1),"",IF($FJ219=GY$169,1,IF($FJ219&lt;GY$169,INDEX($FK$170:$ID$241,GY$169,$FJ219),SUMPRODUCT(INDEX($FK$325:$ID$396,GY$169,1+SwaptionShift):INDEX($FK$325:$ID$396,GY$169,SwaptionMonthsToGo+SwaptionShift),INDEX($FK$245:$ID$316,$FJ219-GY$169,73-GY$169+SwaptionShift):INDEX($FK$245:$ID$316,$FJ219-GY$169,72-GY$169+SwaptionMonthsToGo+SwaptionShift))/SQRT(SUM(INDEX($FK374:$ID374,1+SwaptionShift):INDEX($FK374:$ID374,SwaptionMonthsToGo+SwaptionShift))*SUM(INDEX($FK$325:$ID$396,GY$169,1+SwaptionShift):INDEX($FK$325:$ID$396,GY$169,SwaptionMonthsToGo+SwaptionShift))))))</f>
        <v/>
      </c>
      <c r="GZ219" s="150" t="str">
        <f aca="false">IF(OR(GZ$169&lt;SwaptionFirstMonthPosition+1,$FJ219&lt;SwaptionFirstMonthPosition+1,GZ$169&gt;SwaptionFirstMonthPosition+SwaptionNumOfMonths+1,$FJ219&gt;SwaptionFirstMonthPosition+SwaptionNumOfMonths+1),"",IF($FJ219=GZ$169,1,IF($FJ219&lt;GZ$169,INDEX($FK$170:$ID$241,GZ$169,$FJ219),SUMPRODUCT(INDEX($FK$325:$ID$396,GZ$169,1+SwaptionShift):INDEX($FK$325:$ID$396,GZ$169,SwaptionMonthsToGo+SwaptionShift),INDEX($FK$245:$ID$316,$FJ219-GZ$169,73-GZ$169+SwaptionShift):INDEX($FK$245:$ID$316,$FJ219-GZ$169,72-GZ$169+SwaptionMonthsToGo+SwaptionShift))/SQRT(SUM(INDEX($FK374:$ID374,1+SwaptionShift):INDEX($FK374:$ID374,SwaptionMonthsToGo+SwaptionShift))*SUM(INDEX($FK$325:$ID$396,GZ$169,1+SwaptionShift):INDEX($FK$325:$ID$396,GZ$169,SwaptionMonthsToGo+SwaptionShift))))))</f>
        <v/>
      </c>
      <c r="HA219" s="150" t="str">
        <f aca="false">IF(OR(HA$169&lt;SwaptionFirstMonthPosition+1,$FJ219&lt;SwaptionFirstMonthPosition+1,HA$169&gt;SwaptionFirstMonthPosition+SwaptionNumOfMonths+1,$FJ219&gt;SwaptionFirstMonthPosition+SwaptionNumOfMonths+1),"",IF($FJ219=HA$169,1,IF($FJ219&lt;HA$169,INDEX($FK$170:$ID$241,HA$169,$FJ219),SUMPRODUCT(INDEX($FK$325:$ID$396,HA$169,1+SwaptionShift):INDEX($FK$325:$ID$396,HA$169,SwaptionMonthsToGo+SwaptionShift),INDEX($FK$245:$ID$316,$FJ219-HA$169,73-HA$169+SwaptionShift):INDEX($FK$245:$ID$316,$FJ219-HA$169,72-HA$169+SwaptionMonthsToGo+SwaptionShift))/SQRT(SUM(INDEX($FK374:$ID374,1+SwaptionShift):INDEX($FK374:$ID374,SwaptionMonthsToGo+SwaptionShift))*SUM(INDEX($FK$325:$ID$396,HA$169,1+SwaptionShift):INDEX($FK$325:$ID$396,HA$169,SwaptionMonthsToGo+SwaptionShift))))))</f>
        <v/>
      </c>
      <c r="HB219" s="150" t="str">
        <f aca="false">IF(OR(HB$169&lt;SwaptionFirstMonthPosition+1,$FJ219&lt;SwaptionFirstMonthPosition+1,HB$169&gt;SwaptionFirstMonthPosition+SwaptionNumOfMonths+1,$FJ219&gt;SwaptionFirstMonthPosition+SwaptionNumOfMonths+1),"",IF($FJ219=HB$169,1,IF($FJ219&lt;HB$169,INDEX($FK$170:$ID$241,HB$169,$FJ219),SUMPRODUCT(INDEX($FK$325:$ID$396,HB$169,1+SwaptionShift):INDEX($FK$325:$ID$396,HB$169,SwaptionMonthsToGo+SwaptionShift),INDEX($FK$245:$ID$316,$FJ219-HB$169,73-HB$169+SwaptionShift):INDEX($FK$245:$ID$316,$FJ219-HB$169,72-HB$169+SwaptionMonthsToGo+SwaptionShift))/SQRT(SUM(INDEX($FK374:$ID374,1+SwaptionShift):INDEX($FK374:$ID374,SwaptionMonthsToGo+SwaptionShift))*SUM(INDEX($FK$325:$ID$396,HB$169,1+SwaptionShift):INDEX($FK$325:$ID$396,HB$169,SwaptionMonthsToGo+SwaptionShift))))))</f>
        <v/>
      </c>
      <c r="HC219" s="150" t="str">
        <f aca="false">IF(OR(HC$169&lt;SwaptionFirstMonthPosition+1,$FJ219&lt;SwaptionFirstMonthPosition+1,HC$169&gt;SwaptionFirstMonthPosition+SwaptionNumOfMonths+1,$FJ219&gt;SwaptionFirstMonthPosition+SwaptionNumOfMonths+1),"",IF($FJ219=HC$169,1,IF($FJ219&lt;HC$169,INDEX($FK$170:$ID$241,HC$169,$FJ219),SUMPRODUCT(INDEX($FK$325:$ID$396,HC$169,1+SwaptionShift):INDEX($FK$325:$ID$396,HC$169,SwaptionMonthsToGo+SwaptionShift),INDEX($FK$245:$ID$316,$FJ219-HC$169,73-HC$169+SwaptionShift):INDEX($FK$245:$ID$316,$FJ219-HC$169,72-HC$169+SwaptionMonthsToGo+SwaptionShift))/SQRT(SUM(INDEX($FK374:$ID374,1+SwaptionShift):INDEX($FK374:$ID374,SwaptionMonthsToGo+SwaptionShift))*SUM(INDEX($FK$325:$ID$396,HC$169,1+SwaptionShift):INDEX($FK$325:$ID$396,HC$169,SwaptionMonthsToGo+SwaptionShift))))))</f>
        <v/>
      </c>
      <c r="HD219" s="150" t="str">
        <f aca="false">IF(OR(HD$169&lt;SwaptionFirstMonthPosition+1,$FJ219&lt;SwaptionFirstMonthPosition+1,HD$169&gt;SwaptionFirstMonthPosition+SwaptionNumOfMonths+1,$FJ219&gt;SwaptionFirstMonthPosition+SwaptionNumOfMonths+1),"",IF($FJ219=HD$169,1,IF($FJ219&lt;HD$169,INDEX($FK$170:$ID$241,HD$169,$FJ219),SUMPRODUCT(INDEX($FK$325:$ID$396,HD$169,1+SwaptionShift):INDEX($FK$325:$ID$396,HD$169,SwaptionMonthsToGo+SwaptionShift),INDEX($FK$245:$ID$316,$FJ219-HD$169,73-HD$169+SwaptionShift):INDEX($FK$245:$ID$316,$FJ219-HD$169,72-HD$169+SwaptionMonthsToGo+SwaptionShift))/SQRT(SUM(INDEX($FK374:$ID374,1+SwaptionShift):INDEX($FK374:$ID374,SwaptionMonthsToGo+SwaptionShift))*SUM(INDEX($FK$325:$ID$396,HD$169,1+SwaptionShift):INDEX($FK$325:$ID$396,HD$169,SwaptionMonthsToGo+SwaptionShift))))))</f>
        <v/>
      </c>
      <c r="HE219" s="150" t="str">
        <f aca="false">IF(OR(HE$169&lt;SwaptionFirstMonthPosition+1,$FJ219&lt;SwaptionFirstMonthPosition+1,HE$169&gt;SwaptionFirstMonthPosition+SwaptionNumOfMonths+1,$FJ219&gt;SwaptionFirstMonthPosition+SwaptionNumOfMonths+1),"",IF($FJ219=HE$169,1,IF($FJ219&lt;HE$169,INDEX($FK$170:$ID$241,HE$169,$FJ219),SUMPRODUCT(INDEX($FK$325:$ID$396,HE$169,1+SwaptionShift):INDEX($FK$325:$ID$396,HE$169,SwaptionMonthsToGo+SwaptionShift),INDEX($FK$245:$ID$316,$FJ219-HE$169,73-HE$169+SwaptionShift):INDEX($FK$245:$ID$316,$FJ219-HE$169,72-HE$169+SwaptionMonthsToGo+SwaptionShift))/SQRT(SUM(INDEX($FK374:$ID374,1+SwaptionShift):INDEX($FK374:$ID374,SwaptionMonthsToGo+SwaptionShift))*SUM(INDEX($FK$325:$ID$396,HE$169,1+SwaptionShift):INDEX($FK$325:$ID$396,HE$169,SwaptionMonthsToGo+SwaptionShift))))))</f>
        <v/>
      </c>
      <c r="HF219" s="150" t="str">
        <f aca="false">IF(OR(HF$169&lt;SwaptionFirstMonthPosition+1,$FJ219&lt;SwaptionFirstMonthPosition+1,HF$169&gt;SwaptionFirstMonthPosition+SwaptionNumOfMonths+1,$FJ219&gt;SwaptionFirstMonthPosition+SwaptionNumOfMonths+1),"",IF($FJ219=HF$169,1,IF($FJ219&lt;HF$169,INDEX($FK$170:$ID$241,HF$169,$FJ219),SUMPRODUCT(INDEX($FK$325:$ID$396,HF$169,1+SwaptionShift):INDEX($FK$325:$ID$396,HF$169,SwaptionMonthsToGo+SwaptionShift),INDEX($FK$245:$ID$316,$FJ219-HF$169,73-HF$169+SwaptionShift):INDEX($FK$245:$ID$316,$FJ219-HF$169,72-HF$169+SwaptionMonthsToGo+SwaptionShift))/SQRT(SUM(INDEX($FK374:$ID374,1+SwaptionShift):INDEX($FK374:$ID374,SwaptionMonthsToGo+SwaptionShift))*SUM(INDEX($FK$325:$ID$396,HF$169,1+SwaptionShift):INDEX($FK$325:$ID$396,HF$169,SwaptionMonthsToGo+SwaptionShift))))))</f>
        <v/>
      </c>
      <c r="HG219" s="150" t="str">
        <f aca="false">IF(OR(HG$169&lt;SwaptionFirstMonthPosition+1,$FJ219&lt;SwaptionFirstMonthPosition+1,HG$169&gt;SwaptionFirstMonthPosition+SwaptionNumOfMonths+1,$FJ219&gt;SwaptionFirstMonthPosition+SwaptionNumOfMonths+1),"",IF($FJ219=HG$169,1,IF($FJ219&lt;HG$169,INDEX($FK$170:$ID$241,HG$169,$FJ219),SUMPRODUCT(INDEX($FK$325:$ID$396,HG$169,1+SwaptionShift):INDEX($FK$325:$ID$396,HG$169,SwaptionMonthsToGo+SwaptionShift),INDEX($FK$245:$ID$316,$FJ219-HG$169,73-HG$169+SwaptionShift):INDEX($FK$245:$ID$316,$FJ219-HG$169,72-HG$169+SwaptionMonthsToGo+SwaptionShift))/SQRT(SUM(INDEX($FK374:$ID374,1+SwaptionShift):INDEX($FK374:$ID374,SwaptionMonthsToGo+SwaptionShift))*SUM(INDEX($FK$325:$ID$396,HG$169,1+SwaptionShift):INDEX($FK$325:$ID$396,HG$169,SwaptionMonthsToGo+SwaptionShift))))))</f>
        <v/>
      </c>
      <c r="HH219" s="150" t="str">
        <f aca="false">IF(OR(HH$169&lt;SwaptionFirstMonthPosition+1,$FJ219&lt;SwaptionFirstMonthPosition+1,HH$169&gt;SwaptionFirstMonthPosition+SwaptionNumOfMonths+1,$FJ219&gt;SwaptionFirstMonthPosition+SwaptionNumOfMonths+1),"",IF($FJ219=HH$169,1,IF($FJ219&lt;HH$169,INDEX($FK$170:$ID$241,HH$169,$FJ219),SUMPRODUCT(INDEX($FK$325:$ID$396,HH$169,1+SwaptionShift):INDEX($FK$325:$ID$396,HH$169,SwaptionMonthsToGo+SwaptionShift),INDEX($FK$245:$ID$316,$FJ219-HH$169,73-HH$169+SwaptionShift):INDEX($FK$245:$ID$316,$FJ219-HH$169,72-HH$169+SwaptionMonthsToGo+SwaptionShift))/SQRT(SUM(INDEX($FK374:$ID374,1+SwaptionShift):INDEX($FK374:$ID374,SwaptionMonthsToGo+SwaptionShift))*SUM(INDEX($FK$325:$ID$396,HH$169,1+SwaptionShift):INDEX($FK$325:$ID$396,HH$169,SwaptionMonthsToGo+SwaptionShift))))))</f>
        <v/>
      </c>
      <c r="HI219" s="150" t="str">
        <f aca="false">IF(OR(HI$169&lt;SwaptionFirstMonthPosition+1,$FJ219&lt;SwaptionFirstMonthPosition+1,HI$169&gt;SwaptionFirstMonthPosition+SwaptionNumOfMonths+1,$FJ219&gt;SwaptionFirstMonthPosition+SwaptionNumOfMonths+1),"",IF($FJ219=HI$169,1,IF($FJ219&lt;HI$169,INDEX($FK$170:$ID$241,HI$169,$FJ219),SUMPRODUCT(INDEX($FK$325:$ID$396,HI$169,1+SwaptionShift):INDEX($FK$325:$ID$396,HI$169,SwaptionMonthsToGo+SwaptionShift),INDEX($FK$245:$ID$316,$FJ219-HI$169,73-HI$169+SwaptionShift):INDEX($FK$245:$ID$316,$FJ219-HI$169,72-HI$169+SwaptionMonthsToGo+SwaptionShift))/SQRT(SUM(INDEX($FK374:$ID374,1+SwaptionShift):INDEX($FK374:$ID374,SwaptionMonthsToGo+SwaptionShift))*SUM(INDEX($FK$325:$ID$396,HI$169,1+SwaptionShift):INDEX($FK$325:$ID$396,HI$169,SwaptionMonthsToGo+SwaptionShift))))))</f>
        <v/>
      </c>
      <c r="HJ219" s="150" t="str">
        <f aca="false">IF(OR(HJ$169&lt;SwaptionFirstMonthPosition+1,$FJ219&lt;SwaptionFirstMonthPosition+1,HJ$169&gt;SwaptionFirstMonthPosition+SwaptionNumOfMonths+1,$FJ219&gt;SwaptionFirstMonthPosition+SwaptionNumOfMonths+1),"",IF($FJ219=HJ$169,1,IF($FJ219&lt;HJ$169,INDEX($FK$170:$ID$241,HJ$169,$FJ219),SUMPRODUCT(INDEX($FK$325:$ID$396,HJ$169,1+SwaptionShift):INDEX($FK$325:$ID$396,HJ$169,SwaptionMonthsToGo+SwaptionShift),INDEX($FK$245:$ID$316,$FJ219-HJ$169,73-HJ$169+SwaptionShift):INDEX($FK$245:$ID$316,$FJ219-HJ$169,72-HJ$169+SwaptionMonthsToGo+SwaptionShift))/SQRT(SUM(INDEX($FK374:$ID374,1+SwaptionShift):INDEX($FK374:$ID374,SwaptionMonthsToGo+SwaptionShift))*SUM(INDEX($FK$325:$ID$396,HJ$169,1+SwaptionShift):INDEX($FK$325:$ID$396,HJ$169,SwaptionMonthsToGo+SwaptionShift))))))</f>
        <v/>
      </c>
      <c r="HK219" s="150" t="str">
        <f aca="false">IF(OR(HK$169&lt;SwaptionFirstMonthPosition+1,$FJ219&lt;SwaptionFirstMonthPosition+1,HK$169&gt;SwaptionFirstMonthPosition+SwaptionNumOfMonths+1,$FJ219&gt;SwaptionFirstMonthPosition+SwaptionNumOfMonths+1),"",IF($FJ219=HK$169,1,IF($FJ219&lt;HK$169,INDEX($FK$170:$ID$241,HK$169,$FJ219),SUMPRODUCT(INDEX($FK$325:$ID$396,HK$169,1+SwaptionShift):INDEX($FK$325:$ID$396,HK$169,SwaptionMonthsToGo+SwaptionShift),INDEX($FK$245:$ID$316,$FJ219-HK$169,73-HK$169+SwaptionShift):INDEX($FK$245:$ID$316,$FJ219-HK$169,72-HK$169+SwaptionMonthsToGo+SwaptionShift))/SQRT(SUM(INDEX($FK374:$ID374,1+SwaptionShift):INDEX($FK374:$ID374,SwaptionMonthsToGo+SwaptionShift))*SUM(INDEX($FK$325:$ID$396,HK$169,1+SwaptionShift):INDEX($FK$325:$ID$396,HK$169,SwaptionMonthsToGo+SwaptionShift))))))</f>
        <v/>
      </c>
      <c r="HL219" s="150" t="str">
        <f aca="false">IF(OR(HL$169&lt;SwaptionFirstMonthPosition+1,$FJ219&lt;SwaptionFirstMonthPosition+1,HL$169&gt;SwaptionFirstMonthPosition+SwaptionNumOfMonths+1,$FJ219&gt;SwaptionFirstMonthPosition+SwaptionNumOfMonths+1),"",IF($FJ219=HL$169,1,IF($FJ219&lt;HL$169,INDEX($FK$170:$ID$241,HL$169,$FJ219),SUMPRODUCT(INDEX($FK$325:$ID$396,HL$169,1+SwaptionShift):INDEX($FK$325:$ID$396,HL$169,SwaptionMonthsToGo+SwaptionShift),INDEX($FK$245:$ID$316,$FJ219-HL$169,73-HL$169+SwaptionShift):INDEX($FK$245:$ID$316,$FJ219-HL$169,72-HL$169+SwaptionMonthsToGo+SwaptionShift))/SQRT(SUM(INDEX($FK374:$ID374,1+SwaptionShift):INDEX($FK374:$ID374,SwaptionMonthsToGo+SwaptionShift))*SUM(INDEX($FK$325:$ID$396,HL$169,1+SwaptionShift):INDEX($FK$325:$ID$396,HL$169,SwaptionMonthsToGo+SwaptionShift))))))</f>
        <v/>
      </c>
      <c r="HM219" s="150" t="str">
        <f aca="false">IF(OR(HM$169&lt;SwaptionFirstMonthPosition+1,$FJ219&lt;SwaptionFirstMonthPosition+1,HM$169&gt;SwaptionFirstMonthPosition+SwaptionNumOfMonths+1,$FJ219&gt;SwaptionFirstMonthPosition+SwaptionNumOfMonths+1),"",IF($FJ219=HM$169,1,IF($FJ219&lt;HM$169,INDEX($FK$170:$ID$241,HM$169,$FJ219),SUMPRODUCT(INDEX($FK$325:$ID$396,HM$169,1+SwaptionShift):INDEX($FK$325:$ID$396,HM$169,SwaptionMonthsToGo+SwaptionShift),INDEX($FK$245:$ID$316,$FJ219-HM$169,73-HM$169+SwaptionShift):INDEX($FK$245:$ID$316,$FJ219-HM$169,72-HM$169+SwaptionMonthsToGo+SwaptionShift))/SQRT(SUM(INDEX($FK374:$ID374,1+SwaptionShift):INDEX($FK374:$ID374,SwaptionMonthsToGo+SwaptionShift))*SUM(INDEX($FK$325:$ID$396,HM$169,1+SwaptionShift):INDEX($FK$325:$ID$396,HM$169,SwaptionMonthsToGo+SwaptionShift))))))</f>
        <v/>
      </c>
      <c r="HN219" s="150" t="str">
        <f aca="false">IF(OR(HN$169&lt;SwaptionFirstMonthPosition+1,$FJ219&lt;SwaptionFirstMonthPosition+1,HN$169&gt;SwaptionFirstMonthPosition+SwaptionNumOfMonths+1,$FJ219&gt;SwaptionFirstMonthPosition+SwaptionNumOfMonths+1),"",IF($FJ219=HN$169,1,IF($FJ219&lt;HN$169,INDEX($FK$170:$ID$241,HN$169,$FJ219),SUMPRODUCT(INDEX($FK$325:$ID$396,HN$169,1+SwaptionShift):INDEX($FK$325:$ID$396,HN$169,SwaptionMonthsToGo+SwaptionShift),INDEX($FK$245:$ID$316,$FJ219-HN$169,73-HN$169+SwaptionShift):INDEX($FK$245:$ID$316,$FJ219-HN$169,72-HN$169+SwaptionMonthsToGo+SwaptionShift))/SQRT(SUM(INDEX($FK374:$ID374,1+SwaptionShift):INDEX($FK374:$ID374,SwaptionMonthsToGo+SwaptionShift))*SUM(INDEX($FK$325:$ID$396,HN$169,1+SwaptionShift):INDEX($FK$325:$ID$396,HN$169,SwaptionMonthsToGo+SwaptionShift))))))</f>
        <v/>
      </c>
      <c r="HO219" s="150" t="str">
        <f aca="false">IF(OR(HO$169&lt;SwaptionFirstMonthPosition+1,$FJ219&lt;SwaptionFirstMonthPosition+1,HO$169&gt;SwaptionFirstMonthPosition+SwaptionNumOfMonths+1,$FJ219&gt;SwaptionFirstMonthPosition+SwaptionNumOfMonths+1),"",IF($FJ219=HO$169,1,IF($FJ219&lt;HO$169,INDEX($FK$170:$ID$241,HO$169,$FJ219),SUMPRODUCT(INDEX($FK$325:$ID$396,HO$169,1+SwaptionShift):INDEX($FK$325:$ID$396,HO$169,SwaptionMonthsToGo+SwaptionShift),INDEX($FK$245:$ID$316,$FJ219-HO$169,73-HO$169+SwaptionShift):INDEX($FK$245:$ID$316,$FJ219-HO$169,72-HO$169+SwaptionMonthsToGo+SwaptionShift))/SQRT(SUM(INDEX($FK374:$ID374,1+SwaptionShift):INDEX($FK374:$ID374,SwaptionMonthsToGo+SwaptionShift))*SUM(INDEX($FK$325:$ID$396,HO$169,1+SwaptionShift):INDEX($FK$325:$ID$396,HO$169,SwaptionMonthsToGo+SwaptionShift))))))</f>
        <v/>
      </c>
      <c r="HP219" s="150" t="str">
        <f aca="false">IF(OR(HP$169&lt;SwaptionFirstMonthPosition+1,$FJ219&lt;SwaptionFirstMonthPosition+1,HP$169&gt;SwaptionFirstMonthPosition+SwaptionNumOfMonths+1,$FJ219&gt;SwaptionFirstMonthPosition+SwaptionNumOfMonths+1),"",IF($FJ219=HP$169,1,IF($FJ219&lt;HP$169,INDEX($FK$170:$ID$241,HP$169,$FJ219),SUMPRODUCT(INDEX($FK$325:$ID$396,HP$169,1+SwaptionShift):INDEX($FK$325:$ID$396,HP$169,SwaptionMonthsToGo+SwaptionShift),INDEX($FK$245:$ID$316,$FJ219-HP$169,73-HP$169+SwaptionShift):INDEX($FK$245:$ID$316,$FJ219-HP$169,72-HP$169+SwaptionMonthsToGo+SwaptionShift))/SQRT(SUM(INDEX($FK374:$ID374,1+SwaptionShift):INDEX($FK374:$ID374,SwaptionMonthsToGo+SwaptionShift))*SUM(INDEX($FK$325:$ID$396,HP$169,1+SwaptionShift):INDEX($FK$325:$ID$396,HP$169,SwaptionMonthsToGo+SwaptionShift))))))</f>
        <v/>
      </c>
      <c r="HQ219" s="150" t="str">
        <f aca="false">IF(OR(HQ$169&lt;SwaptionFirstMonthPosition+1,$FJ219&lt;SwaptionFirstMonthPosition+1,HQ$169&gt;SwaptionFirstMonthPosition+SwaptionNumOfMonths+1,$FJ219&gt;SwaptionFirstMonthPosition+SwaptionNumOfMonths+1),"",IF($FJ219=HQ$169,1,IF($FJ219&lt;HQ$169,INDEX($FK$170:$ID$241,HQ$169,$FJ219),SUMPRODUCT(INDEX($FK$325:$ID$396,HQ$169,1+SwaptionShift):INDEX($FK$325:$ID$396,HQ$169,SwaptionMonthsToGo+SwaptionShift),INDEX($FK$245:$ID$316,$FJ219-HQ$169,73-HQ$169+SwaptionShift):INDEX($FK$245:$ID$316,$FJ219-HQ$169,72-HQ$169+SwaptionMonthsToGo+SwaptionShift))/SQRT(SUM(INDEX($FK374:$ID374,1+SwaptionShift):INDEX($FK374:$ID374,SwaptionMonthsToGo+SwaptionShift))*SUM(INDEX($FK$325:$ID$396,HQ$169,1+SwaptionShift):INDEX($FK$325:$ID$396,HQ$169,SwaptionMonthsToGo+SwaptionShift))))))</f>
        <v/>
      </c>
      <c r="HR219" s="150" t="str">
        <f aca="false">IF(OR(HR$169&lt;SwaptionFirstMonthPosition+1,$FJ219&lt;SwaptionFirstMonthPosition+1,HR$169&gt;SwaptionFirstMonthPosition+SwaptionNumOfMonths+1,$FJ219&gt;SwaptionFirstMonthPosition+SwaptionNumOfMonths+1),"",IF($FJ219=HR$169,1,IF($FJ219&lt;HR$169,INDEX($FK$170:$ID$241,HR$169,$FJ219),SUMPRODUCT(INDEX($FK$325:$ID$396,HR$169,1+SwaptionShift):INDEX($FK$325:$ID$396,HR$169,SwaptionMonthsToGo+SwaptionShift),INDEX($FK$245:$ID$316,$FJ219-HR$169,73-HR$169+SwaptionShift):INDEX($FK$245:$ID$316,$FJ219-HR$169,72-HR$169+SwaptionMonthsToGo+SwaptionShift))/SQRT(SUM(INDEX($FK374:$ID374,1+SwaptionShift):INDEX($FK374:$ID374,SwaptionMonthsToGo+SwaptionShift))*SUM(INDEX($FK$325:$ID$396,HR$169,1+SwaptionShift):INDEX($FK$325:$ID$396,HR$169,SwaptionMonthsToGo+SwaptionShift))))))</f>
        <v/>
      </c>
      <c r="HS219" s="150" t="str">
        <f aca="false">IF(OR(HS$169&lt;SwaptionFirstMonthPosition+1,$FJ219&lt;SwaptionFirstMonthPosition+1,HS$169&gt;SwaptionFirstMonthPosition+SwaptionNumOfMonths+1,$FJ219&gt;SwaptionFirstMonthPosition+SwaptionNumOfMonths+1),"",IF($FJ219=HS$169,1,IF($FJ219&lt;HS$169,INDEX($FK$170:$ID$241,HS$169,$FJ219),SUMPRODUCT(INDEX($FK$325:$ID$396,HS$169,1+SwaptionShift):INDEX($FK$325:$ID$396,HS$169,SwaptionMonthsToGo+SwaptionShift),INDEX($FK$245:$ID$316,$FJ219-HS$169,73-HS$169+SwaptionShift):INDEX($FK$245:$ID$316,$FJ219-HS$169,72-HS$169+SwaptionMonthsToGo+SwaptionShift))/SQRT(SUM(INDEX($FK374:$ID374,1+SwaptionShift):INDEX($FK374:$ID374,SwaptionMonthsToGo+SwaptionShift))*SUM(INDEX($FK$325:$ID$396,HS$169,1+SwaptionShift):INDEX($FK$325:$ID$396,HS$169,SwaptionMonthsToGo+SwaptionShift))))))</f>
        <v/>
      </c>
      <c r="HT219" s="150" t="str">
        <f aca="false">IF(OR(HT$169&lt;SwaptionFirstMonthPosition+1,$FJ219&lt;SwaptionFirstMonthPosition+1,HT$169&gt;SwaptionFirstMonthPosition+SwaptionNumOfMonths+1,$FJ219&gt;SwaptionFirstMonthPosition+SwaptionNumOfMonths+1),"",IF($FJ219=HT$169,1,IF($FJ219&lt;HT$169,INDEX($FK$170:$ID$241,HT$169,$FJ219),SUMPRODUCT(INDEX($FK$325:$ID$396,HT$169,1+SwaptionShift):INDEX($FK$325:$ID$396,HT$169,SwaptionMonthsToGo+SwaptionShift),INDEX($FK$245:$ID$316,$FJ219-HT$169,73-HT$169+SwaptionShift):INDEX($FK$245:$ID$316,$FJ219-HT$169,72-HT$169+SwaptionMonthsToGo+SwaptionShift))/SQRT(SUM(INDEX($FK374:$ID374,1+SwaptionShift):INDEX($FK374:$ID374,SwaptionMonthsToGo+SwaptionShift))*SUM(INDEX($FK$325:$ID$396,HT$169,1+SwaptionShift):INDEX($FK$325:$ID$396,HT$169,SwaptionMonthsToGo+SwaptionShift))))))</f>
        <v/>
      </c>
      <c r="HU219" s="150" t="str">
        <f aca="false">IF(OR(HU$169&lt;SwaptionFirstMonthPosition+1,$FJ219&lt;SwaptionFirstMonthPosition+1,HU$169&gt;SwaptionFirstMonthPosition+SwaptionNumOfMonths+1,$FJ219&gt;SwaptionFirstMonthPosition+SwaptionNumOfMonths+1),"",IF($FJ219=HU$169,1,IF($FJ219&lt;HU$169,INDEX($FK$170:$ID$241,HU$169,$FJ219),SUMPRODUCT(INDEX($FK$325:$ID$396,HU$169,1+SwaptionShift):INDEX($FK$325:$ID$396,HU$169,SwaptionMonthsToGo+SwaptionShift),INDEX($FK$245:$ID$316,$FJ219-HU$169,73-HU$169+SwaptionShift):INDEX($FK$245:$ID$316,$FJ219-HU$169,72-HU$169+SwaptionMonthsToGo+SwaptionShift))/SQRT(SUM(INDEX($FK374:$ID374,1+SwaptionShift):INDEX($FK374:$ID374,SwaptionMonthsToGo+SwaptionShift))*SUM(INDEX($FK$325:$ID$396,HU$169,1+SwaptionShift):INDEX($FK$325:$ID$396,HU$169,SwaptionMonthsToGo+SwaptionShift))))))</f>
        <v/>
      </c>
      <c r="HV219" s="150" t="str">
        <f aca="false">IF(OR(HV$169&lt;SwaptionFirstMonthPosition+1,$FJ219&lt;SwaptionFirstMonthPosition+1,HV$169&gt;SwaptionFirstMonthPosition+SwaptionNumOfMonths+1,$FJ219&gt;SwaptionFirstMonthPosition+SwaptionNumOfMonths+1),"",IF($FJ219=HV$169,1,IF($FJ219&lt;HV$169,INDEX($FK$170:$ID$241,HV$169,$FJ219),SUMPRODUCT(INDEX($FK$325:$ID$396,HV$169,1+SwaptionShift):INDEX($FK$325:$ID$396,HV$169,SwaptionMonthsToGo+SwaptionShift),INDEX($FK$245:$ID$316,$FJ219-HV$169,73-HV$169+SwaptionShift):INDEX($FK$245:$ID$316,$FJ219-HV$169,72-HV$169+SwaptionMonthsToGo+SwaptionShift))/SQRT(SUM(INDEX($FK374:$ID374,1+SwaptionShift):INDEX($FK374:$ID374,SwaptionMonthsToGo+SwaptionShift))*SUM(INDEX($FK$325:$ID$396,HV$169,1+SwaptionShift):INDEX($FK$325:$ID$396,HV$169,SwaptionMonthsToGo+SwaptionShift))))))</f>
        <v/>
      </c>
      <c r="HW219" s="150" t="str">
        <f aca="false">IF(OR(HW$169&lt;SwaptionFirstMonthPosition+1,$FJ219&lt;SwaptionFirstMonthPosition+1,HW$169&gt;SwaptionFirstMonthPosition+SwaptionNumOfMonths+1,$FJ219&gt;SwaptionFirstMonthPosition+SwaptionNumOfMonths+1),"",IF($FJ219=HW$169,1,IF($FJ219&lt;HW$169,INDEX($FK$170:$ID$241,HW$169,$FJ219),SUMPRODUCT(INDEX($FK$325:$ID$396,HW$169,1+SwaptionShift):INDEX($FK$325:$ID$396,HW$169,SwaptionMonthsToGo+SwaptionShift),INDEX($FK$245:$ID$316,$FJ219-HW$169,73-HW$169+SwaptionShift):INDEX($FK$245:$ID$316,$FJ219-HW$169,72-HW$169+SwaptionMonthsToGo+SwaptionShift))/SQRT(SUM(INDEX($FK374:$ID374,1+SwaptionShift):INDEX($FK374:$ID374,SwaptionMonthsToGo+SwaptionShift))*SUM(INDEX($FK$325:$ID$396,HW$169,1+SwaptionShift):INDEX($FK$325:$ID$396,HW$169,SwaptionMonthsToGo+SwaptionShift))))))</f>
        <v/>
      </c>
      <c r="HX219" s="150" t="str">
        <f aca="false">IF(OR(HX$169&lt;SwaptionFirstMonthPosition+1,$FJ219&lt;SwaptionFirstMonthPosition+1,HX$169&gt;SwaptionFirstMonthPosition+SwaptionNumOfMonths+1,$FJ219&gt;SwaptionFirstMonthPosition+SwaptionNumOfMonths+1),"",IF($FJ219=HX$169,1,IF($FJ219&lt;HX$169,INDEX($FK$170:$ID$241,HX$169,$FJ219),SUMPRODUCT(INDEX($FK$325:$ID$396,HX$169,1+SwaptionShift):INDEX($FK$325:$ID$396,HX$169,SwaptionMonthsToGo+SwaptionShift),INDEX($FK$245:$ID$316,$FJ219-HX$169,73-HX$169+SwaptionShift):INDEX($FK$245:$ID$316,$FJ219-HX$169,72-HX$169+SwaptionMonthsToGo+SwaptionShift))/SQRT(SUM(INDEX($FK374:$ID374,1+SwaptionShift):INDEX($FK374:$ID374,SwaptionMonthsToGo+SwaptionShift))*SUM(INDEX($FK$325:$ID$396,HX$169,1+SwaptionShift):INDEX($FK$325:$ID$396,HX$169,SwaptionMonthsToGo+SwaptionShift))))))</f>
        <v/>
      </c>
      <c r="HY219" s="150" t="str">
        <f aca="false">IF(OR(HY$169&lt;SwaptionFirstMonthPosition+1,$FJ219&lt;SwaptionFirstMonthPosition+1,HY$169&gt;SwaptionFirstMonthPosition+SwaptionNumOfMonths+1,$FJ219&gt;SwaptionFirstMonthPosition+SwaptionNumOfMonths+1),"",IF($FJ219=HY$169,1,IF($FJ219&lt;HY$169,INDEX($FK$170:$ID$241,HY$169,$FJ219),SUMPRODUCT(INDEX($FK$325:$ID$396,HY$169,1+SwaptionShift):INDEX($FK$325:$ID$396,HY$169,SwaptionMonthsToGo+SwaptionShift),INDEX($FK$245:$ID$316,$FJ219-HY$169,73-HY$169+SwaptionShift):INDEX($FK$245:$ID$316,$FJ219-HY$169,72-HY$169+SwaptionMonthsToGo+SwaptionShift))/SQRT(SUM(INDEX($FK374:$ID374,1+SwaptionShift):INDEX($FK374:$ID374,SwaptionMonthsToGo+SwaptionShift))*SUM(INDEX($FK$325:$ID$396,HY$169,1+SwaptionShift):INDEX($FK$325:$ID$396,HY$169,SwaptionMonthsToGo+SwaptionShift))))))</f>
        <v/>
      </c>
      <c r="HZ219" s="150" t="str">
        <f aca="false">IF(OR(HZ$169&lt;SwaptionFirstMonthPosition+1,$FJ219&lt;SwaptionFirstMonthPosition+1,HZ$169&gt;SwaptionFirstMonthPosition+SwaptionNumOfMonths+1,$FJ219&gt;SwaptionFirstMonthPosition+SwaptionNumOfMonths+1),"",IF($FJ219=HZ$169,1,IF($FJ219&lt;HZ$169,INDEX($FK$170:$ID$241,HZ$169,$FJ219),SUMPRODUCT(INDEX($FK$325:$ID$396,HZ$169,1+SwaptionShift):INDEX($FK$325:$ID$396,HZ$169,SwaptionMonthsToGo+SwaptionShift),INDEX($FK$245:$ID$316,$FJ219-HZ$169,73-HZ$169+SwaptionShift):INDEX($FK$245:$ID$316,$FJ219-HZ$169,72-HZ$169+SwaptionMonthsToGo+SwaptionShift))/SQRT(SUM(INDEX($FK374:$ID374,1+SwaptionShift):INDEX($FK374:$ID374,SwaptionMonthsToGo+SwaptionShift))*SUM(INDEX($FK$325:$ID$396,HZ$169,1+SwaptionShift):INDEX($FK$325:$ID$396,HZ$169,SwaptionMonthsToGo+SwaptionShift))))))</f>
        <v/>
      </c>
      <c r="IA219" s="150" t="str">
        <f aca="false">IF(OR(IA$169&lt;SwaptionFirstMonthPosition+1,$FJ219&lt;SwaptionFirstMonthPosition+1,IA$169&gt;SwaptionFirstMonthPosition+SwaptionNumOfMonths+1,$FJ219&gt;SwaptionFirstMonthPosition+SwaptionNumOfMonths+1),"",IF($FJ219=IA$169,1,IF($FJ219&lt;IA$169,INDEX($FK$170:$ID$241,IA$169,$FJ219),SUMPRODUCT(INDEX($FK$325:$ID$396,IA$169,1+SwaptionShift):INDEX($FK$325:$ID$396,IA$169,SwaptionMonthsToGo+SwaptionShift),INDEX($FK$245:$ID$316,$FJ219-IA$169,73-IA$169+SwaptionShift):INDEX($FK$245:$ID$316,$FJ219-IA$169,72-IA$169+SwaptionMonthsToGo+SwaptionShift))/SQRT(SUM(INDEX($FK374:$ID374,1+SwaptionShift):INDEX($FK374:$ID374,SwaptionMonthsToGo+SwaptionShift))*SUM(INDEX($FK$325:$ID$396,IA$169,1+SwaptionShift):INDEX($FK$325:$ID$396,IA$169,SwaptionMonthsToGo+SwaptionShift))))))</f>
        <v/>
      </c>
      <c r="IB219" s="150" t="str">
        <f aca="false">IF(OR(IB$169&lt;SwaptionFirstMonthPosition+1,$FJ219&lt;SwaptionFirstMonthPosition+1,IB$169&gt;SwaptionFirstMonthPosition+SwaptionNumOfMonths+1,$FJ219&gt;SwaptionFirstMonthPosition+SwaptionNumOfMonths+1),"",IF($FJ219=IB$169,1,IF($FJ219&lt;IB$169,INDEX($FK$170:$ID$241,IB$169,$FJ219),SUMPRODUCT(INDEX($FK$325:$ID$396,IB$169,1+SwaptionShift):INDEX($FK$325:$ID$396,IB$169,SwaptionMonthsToGo+SwaptionShift),INDEX($FK$245:$ID$316,$FJ219-IB$169,73-IB$169+SwaptionShift):INDEX($FK$245:$ID$316,$FJ219-IB$169,72-IB$169+SwaptionMonthsToGo+SwaptionShift))/SQRT(SUM(INDEX($FK374:$ID374,1+SwaptionShift):INDEX($FK374:$ID374,SwaptionMonthsToGo+SwaptionShift))*SUM(INDEX($FK$325:$ID$396,IB$169,1+SwaptionShift):INDEX($FK$325:$ID$396,IB$169,SwaptionMonthsToGo+SwaptionShift))))))</f>
        <v/>
      </c>
      <c r="IC219" s="150" t="str">
        <f aca="false">IF(OR(IC$169&lt;SwaptionFirstMonthPosition+1,$FJ219&lt;SwaptionFirstMonthPosition+1,IC$169&gt;SwaptionFirstMonthPosition+SwaptionNumOfMonths+1,$FJ219&gt;SwaptionFirstMonthPosition+SwaptionNumOfMonths+1),"",IF($FJ219=IC$169,1,IF($FJ219&lt;IC$169,INDEX($FK$170:$ID$241,IC$169,$FJ219),SUMPRODUCT(INDEX($FK$325:$ID$396,IC$169,1+SwaptionShift):INDEX($FK$325:$ID$396,IC$169,SwaptionMonthsToGo+SwaptionShift),INDEX($FK$245:$ID$316,$FJ219-IC$169,73-IC$169+SwaptionShift):INDEX($FK$245:$ID$316,$FJ219-IC$169,72-IC$169+SwaptionMonthsToGo+SwaptionShift))/SQRT(SUM(INDEX($FK374:$ID374,1+SwaptionShift):INDEX($FK374:$ID374,SwaptionMonthsToGo+SwaptionShift))*SUM(INDEX($FK$325:$ID$396,IC$169,1+SwaptionShift):INDEX($FK$325:$ID$396,IC$169,SwaptionMonthsToGo+SwaptionShift))))))</f>
        <v/>
      </c>
      <c r="ID219" s="572" t="str">
        <f aca="false">IF(OR(ID$169&lt;SwaptionFirstMonthPosition+1,$FJ219&lt;SwaptionFirstMonthPosition+1,ID$169&gt;SwaptionFirstMonthPosition+SwaptionNumOfMonths+1,$FJ219&gt;SwaptionFirstMonthPosition+SwaptionNumOfMonths+1),"",IF($FJ219=ID$169,1,IF($FJ219&lt;ID$169,INDEX($FK$170:$ID$241,ID$169,$FJ219),SUMPRODUCT(INDEX($FK$325:$ID$396,ID$169,1+SwaptionShift):INDEX($FK$325:$ID$396,ID$169,SwaptionMonthsToGo+SwaptionShift),INDEX($FK$245:$ID$316,$FJ219-ID$169,73-ID$169+SwaptionShift):INDEX($FK$245:$ID$316,$FJ219-ID$169,72-ID$169+SwaptionMonthsToGo+SwaptionShift))/SQRT(SUM(INDEX($FK374:$ID374,1+SwaptionShift):INDEX($FK374:$ID374,SwaptionMonthsToGo+SwaptionShift))*SUM(INDEX($FK$325:$ID$396,ID$169,1+SwaptionShift):INDEX($FK$325:$ID$396,ID$169,SwaptionMonthsToGo+SwaptionShift))))))</f>
        <v/>
      </c>
      <c r="IE219" s="129"/>
    </row>
    <row r="220" customFormat="false" ht="12.75" hidden="false" customHeight="false" outlineLevel="0" collapsed="false">
      <c r="H220" s="219" t="n">
        <f aca="false">VLOOKUP(I220,$EJ$20:$EL$54,3)</f>
        <v>0</v>
      </c>
      <c r="I220" s="511" t="n">
        <f aca="false">EOMONTH(I219,0)+1</f>
        <v>42856</v>
      </c>
      <c r="J220" s="512"/>
      <c r="K220" s="513" t="s">
        <v>280</v>
      </c>
      <c r="L220" s="514" t="n">
        <f aca="false">IF(ISNUMBER(K220),J220+K220/100,IF(K220="extra",L219+VLOOKUP(BF220,PriceSpreadTable,2)/12,IF(K220="inter",interpolateprices($K$19:$L$200,ROW(K220)-ROW(FirstPricingMonth)+1),interpolatechanges($J$19:$K$200,ROW(K220)-ROW(FirstPricingMonth)+1))))</f>
        <v>4.65</v>
      </c>
      <c r="M220" s="515"/>
      <c r="N220" s="516" t="n">
        <v>0</v>
      </c>
      <c r="O220" s="515" t="n">
        <f aca="false">M220+N220</f>
        <v>0</v>
      </c>
      <c r="P220" s="512"/>
      <c r="Q220" s="513" t="s">
        <v>280</v>
      </c>
      <c r="R220" s="512" t="e">
        <f aca="false">IF(ISNUMBER(Q220),P220+Q220/100,IF(Q220="extra",(Z218*AL218-R219*AM218)/AN218,IF(Q220="inter",interpolateprices($Q$19:$R$260,ROW(Q220)-ROW(FirstPricingMonth)+1),interpolatechanges($P$19:$Q$260,ROW(Q220)-ROW(FirstPricingMonth)+1))))</f>
        <v>#VALUE!</v>
      </c>
      <c r="S220" s="597" t="n">
        <f aca="false">S$19+(S219-S$19)*S$18</f>
        <v>0.36</v>
      </c>
      <c r="T220" s="575" t="n">
        <f aca="false">SQRT((1-(1-T219^2/U219)*T$18)*U220)</f>
        <v>0.999999999999997</v>
      </c>
      <c r="U220" s="576" t="n">
        <f aca="false">1-(1-U219)*U$18</f>
        <v>1</v>
      </c>
      <c r="V220" s="521" t="n">
        <v>0</v>
      </c>
      <c r="W220" s="577" t="n">
        <f aca="false">(J221*AJ220+J222*AK220)/AI220</f>
        <v>0</v>
      </c>
      <c r="X220" s="578" t="n">
        <f aca="false">(L221*AJ220+L222*AK220)/AI220</f>
        <v>4.70054347826087</v>
      </c>
      <c r="Y220" s="579" t="n">
        <f aca="false">IF(Q222="extra",W220-AA220,(P221*AM220+P222*AN220)/AL220)</f>
        <v>-1.2915</v>
      </c>
      <c r="Z220" s="579" t="n">
        <f aca="false">IF(Q222="extra",X220-AB220,(R221*AM220+R222*AN220)/AL220)</f>
        <v>3.40904347826087</v>
      </c>
      <c r="AA220" s="523" t="n">
        <f aca="false">IF(Q222="extra",INDEX(BrentSeasonalityTable,INT((BG220-1)/3)+1)*VLOOKUP(MAX(BF220,$AB$4),PriceSpreadTable,3),W220-Y220)</f>
        <v>1.2915</v>
      </c>
      <c r="AB220" s="524" t="n">
        <f aca="false">IF(Q222="extra",INDEX(BrentSeasonalityTable,INT((BG220-1)/3)+1)*VLOOKUP(MAX(BF220,$AB$4),PriceSpreadTable,3),X220-Z220)</f>
        <v>1.2915</v>
      </c>
      <c r="AC220" s="646" t="n">
        <v>42845</v>
      </c>
      <c r="AD220" s="646" t="n">
        <v>42841</v>
      </c>
      <c r="AE220" s="646" t="n">
        <v>42840</v>
      </c>
      <c r="AF220" s="646" t="n">
        <v>42836</v>
      </c>
      <c r="AG220" s="438" t="s">
        <v>278</v>
      </c>
      <c r="AH220" s="439" t="s">
        <v>278</v>
      </c>
      <c r="AI220" s="528" t="n">
        <v>23</v>
      </c>
      <c r="AJ220" s="529" t="n">
        <v>15</v>
      </c>
      <c r="AK220" s="529" t="n">
        <v>8</v>
      </c>
      <c r="AL220" s="530" t="n">
        <v>23</v>
      </c>
      <c r="AM220" s="529" t="n">
        <v>10</v>
      </c>
      <c r="AN220" s="531" t="n">
        <v>13</v>
      </c>
      <c r="AO220" s="532"/>
      <c r="AP220" s="465" t="n">
        <f aca="false">(1+AO220/2)^(-2*BL220)</f>
        <v>1</v>
      </c>
      <c r="AQ220" s="532"/>
      <c r="AR220" s="465" t="n">
        <f aca="false">(1+AQ220/2)^(-2*BH220/365.25)</f>
        <v>1</v>
      </c>
      <c r="AS220" s="580" t="n">
        <f aca="false">(O221*AJ220+O222*AK220)/AI220</f>
        <v>0</v>
      </c>
      <c r="AT220" s="468" t="n">
        <f aca="false">O220*VLOOKUP(BF220,BrentVolTable,2)+VLOOKUP(BF220,BrentVolTable,3)</f>
        <v>0</v>
      </c>
      <c r="AU220" s="468" t="n">
        <f aca="false">(AT221*AM220+AT222*AN220)/AL220</f>
        <v>0</v>
      </c>
      <c r="AV220" s="595" t="n">
        <f aca="false">SQRT(MAX(0.000000000001,(O220^2*BH220-S220^2*(BH220-BH219))/BH219))</f>
        <v>0.0359132180336782</v>
      </c>
      <c r="AW220" s="451" t="n">
        <f aca="false">IF($I220-DateToday+15&gt;=$T$8,"",IF($I220-DateToday+15&lt;$T$5,1,MATCH($I220-DateToday+15,$T$5:$T$8)))</f>
        <v>1</v>
      </c>
      <c r="AX220" s="468" t="n">
        <f aca="false">IF($AW220="",AX219^2/AX218,INDEX(U$5:U$8,$AW220)^((INDEX($T$5:$T$8,$AW220+1)-($I220-DateToday+15))/(INDEX($T$5:$T$8,$AW220+1)-INDEX($T$5:$T$8,$AW220)))/INDEX(U$5:U$8,$AW220+1)^((INDEX($T$5:$T$8,$AW220)-($I220-DateToday+15))/(INDEX($T$5:$T$8,$AW220+1)-INDEX($T$5:$T$8,$AW220))))</f>
        <v>0.174626058464617</v>
      </c>
      <c r="AY220" s="468" t="n">
        <f aca="false">IF($AW220="",AY219^2/AY218,INDEX(V$5:V$8,$AW220)^((INDEX($T$5:$T$8,$AW220+1)-($I220-DateToday+15))/(INDEX($T$5:$T$8,$AW220+1)-INDEX($T$5:$T$8,$AW220)))/INDEX(V$5:V$8,$AW220+1)^((INDEX($T$5:$T$8,$AW220)-($I220-DateToday+15))/(INDEX($T$5:$T$8,$AW220+1)-INDEX($T$5:$T$8,$AW220))))</f>
        <v>1.14486078622376</v>
      </c>
      <c r="AZ220" s="468" t="n">
        <f aca="false">IF($AW220="",AZ219^2/AZ218,INDEX(W$5:W$8,$AW220)^((INDEX($T$5:$T$8,$AW220+1)-($I220-DateToday+15))/(INDEX($T$5:$T$8,$AW220+1)-INDEX($T$5:$T$8,$AW220)))/INDEX(W$5:W$8,$AW220+1)^((INDEX($T$5:$T$8,$AW220)-($I220-DateToday+15))/(INDEX($T$5:$T$8,$AW220+1)-INDEX($T$5:$T$8,$AW220))))</f>
        <v>50.2101448150789</v>
      </c>
      <c r="BA220" s="468" t="n">
        <f aca="false">IF($AW220="",BA219^2/BA218,INDEX(X$5:X$8,$AW220)^((INDEX($T$5:$T$8,$AW220+1)-($I220-DateToday+15))/(INDEX($T$5:$T$8,$AW220+1)-INDEX($T$5:$T$8,$AW220)))/INDEX(X$5:X$8,$AW220+1)^((INDEX($T$5:$T$8,$AW220)-($I220-DateToday+15))/(INDEX($T$5:$T$8,$AW220+1)-INDEX($T$5:$T$8,$AW220))))</f>
        <v>91.333330041613</v>
      </c>
      <c r="BB220" s="468" t="n">
        <f aca="false">IF($AW220="",BB219^2/BB218,INDEX(Y$5:Y$8,$AW220)^((INDEX($T$5:$T$8,$AW220+1)-($I220-DateToday+15))/(INDEX($T$5:$T$8,$AW220+1)-INDEX($T$5:$T$8,$AW220)))/INDEX(Y$5:Y$8,$AW220+1)^((INDEX($T$5:$T$8,$AW220)-($I220-DateToday+15))/(INDEX($T$5:$T$8,$AW220+1)-INDEX($T$5:$T$8,$AW220))))</f>
        <v>348.779201449495</v>
      </c>
      <c r="BC220" s="468" t="n">
        <f aca="false">IF($AW220="",BC219^2/BC218,INDEX(Z$5:Z$8,$AW220)^((INDEX($T$5:$T$8,$AW220+1)-($I220-DateToday+15))/(INDEX($T$5:$T$8,$AW220+1)-INDEX($T$5:$T$8,$AW220)))/INDEX(Z$5:Z$8,$AW220+1)^((INDEX($T$5:$T$8,$AW220)-($I220-DateToday+15))/(INDEX($T$5:$T$8,$AW220+1)-INDEX($T$5:$T$8,$AW220))))</f>
        <v>800.418347970102</v>
      </c>
      <c r="BD220" s="535" t="n">
        <f aca="false">IF(OR(DateStart&gt;=I221,DateEnd&lt;I220),0,IF(VolumeOverrideFlag,V220,Volume))</f>
        <v>0</v>
      </c>
      <c r="BE220" s="536" t="n">
        <f aca="false">IF(OR(DateStart2&gt;=I221,DateEnd2&lt;I220),0,IF(VolumeOverrideFlag,V220,VolumeSwaption))</f>
        <v>0</v>
      </c>
      <c r="BF220" s="537" t="n">
        <f aca="false">YEAR(I220)</f>
        <v>2017</v>
      </c>
      <c r="BG220" s="538" t="n">
        <f aca="false">MONTH(I220)</f>
        <v>5</v>
      </c>
      <c r="BH220" s="539" t="n">
        <f aca="false">AD220-DateToday+1</f>
        <v>-3084</v>
      </c>
      <c r="BI220" s="540" t="n">
        <f aca="false">(I220-DateToday+1)/365.25</f>
        <v>-8.40246406570842</v>
      </c>
      <c r="BJ220" s="541" t="n">
        <f aca="false">BI220+(BL220-BI220)*CHOOSE(Underlying,AJ220/AI220,AM220/AL220)</f>
        <v>-8.34889741987323</v>
      </c>
      <c r="BK220" s="541" t="n">
        <f aca="false">BJ220+1/365.25</f>
        <v>-8.34615956908609</v>
      </c>
      <c r="BL220" s="541" t="n">
        <f aca="false">(I221-DateToday)/365.25</f>
        <v>-8.32032854209446</v>
      </c>
      <c r="BM220" s="542" t="e">
        <f aca="false">MAX(BI220-(BJ220-BI220)*(S221^2/O221^2-1),0)</f>
        <v>#DIV/0!</v>
      </c>
      <c r="BN220" s="541" t="e">
        <f aca="false">MAX(BL220+(BL220-BK220)*(S222^2/O222^2-1),0)</f>
        <v>#DIV/0!</v>
      </c>
      <c r="BO220" s="530" t="n">
        <f aca="false">CHOOSE(Underlying,AI220,AL220)</f>
        <v>23</v>
      </c>
      <c r="BP220" s="529" t="n">
        <f aca="false">CHOOSE(Underlying,AJ220,AM220)</f>
        <v>15</v>
      </c>
      <c r="BQ220" s="529" t="n">
        <f aca="false">CHOOSE(Underlying,AK220,AN220)</f>
        <v>8</v>
      </c>
      <c r="BR220" s="463" t="str">
        <f aca="false">IF(BD220,IF(Underlying=1,X220,Z220)+UnderlyingPriceAsian-SwapPriceCurve,"")</f>
        <v/>
      </c>
      <c r="BS220" s="463" t="str">
        <f aca="false">IF(BD220,Strike1/BR220-1,"")</f>
        <v/>
      </c>
      <c r="BT220" s="464" t="str">
        <f aca="false">IF(BD220,Strike2/BR220-1,"")</f>
        <v/>
      </c>
      <c r="BU220" s="465" t="str">
        <f aca="false">IF(BD220,IF(Underlying=1,L221,R221)+UnderlyingPriceAsian-SwapPriceCurve,"")</f>
        <v/>
      </c>
      <c r="BV220" s="465" t="str">
        <f aca="false">IF(BD220,IF(Underlying=1,L222,R222)+UnderlyingPriceAsian-SwapPriceCurve,"")</f>
        <v/>
      </c>
      <c r="BW220" s="466" t="str">
        <f aca="false">IF(BD220,IF(Underlying=1,O221,AT221),"")</f>
        <v/>
      </c>
      <c r="BX220" s="467" t="str">
        <f aca="false">IF(BD220,IF(Underlying=1,O222,AT222),"")</f>
        <v/>
      </c>
      <c r="BY220" s="466" t="str">
        <f aca="false">IF(BD220,IF(BS220&gt;0,IF(BS220&gt;0.2,BC220-BB220,IF(BS220&gt;0.1,BB220-BA220,BA220)),IF(BS220&lt;-0.2,AX220-AY220,IF(BS220&lt;-0.1,AY220-AZ220,AZ220))),"")</f>
        <v/>
      </c>
      <c r="BZ220" s="467" t="str">
        <f aca="false">IF(BD220,IF(BT220&gt;0,IF(BT220&gt;0.2,BC220-BB220,IF(BT220&gt;0.1,BB220-BA220,BA220)),IF(BT220&lt;-0.2,AX220-AY220,IF(BT220&lt;-0.1,AY220-AZ220,AZ220))),"")</f>
        <v/>
      </c>
      <c r="CA220" s="468" t="str">
        <f aca="false">IF($BD220,$BW220+IF(VolSkewFlag=1,IF(BS220&gt;0,$BA220*MIN(BS220/10%,1)+($BB220-$BA220)*MAX(0,MIN(BS220/10%-1,1))+($BC220-$BB220)*MAX(0,BS220/10%-2),$AZ220*MIN(-BS220/10%,1)+($AY220-$AZ220)*MAX(0,MIN(-BS220/10%-1,1))+($AX220-$AY220)*MAX(0,-BS220/10%-2)),0),"")</f>
        <v/>
      </c>
      <c r="CB220" s="468" t="str">
        <f aca="false">IF($BD220,$BX220+IF(VolSkewFlag=1,IF(BS220&gt;0,$BA220*MIN(BS220/10%,1)+($BB220-$BA220)*MAX(0,MIN(BS220/10%-1,1))+($BC220-$BB220)*MAX(0,BS220/10%-2),$AZ220*MIN(-BS220/10%,1)+($AY220-$AZ220)*MAX(0,MIN(-BS220/10%-1,1))+($AX220-$AY220)*MAX(0,-BS220/10%-2)),0),"")</f>
        <v/>
      </c>
      <c r="CC220" s="468" t="str">
        <f aca="false">IF($BD220,$BW220+IF(VolSkewFlag=1,IF(BT220&gt;0,$BA220*MIN(BT220/10%,1)+($BB220-$BA220)*MAX(0,MIN(BT220/10%-1,1))+($BC220-$BB220)*MAX(0,BT220/10%-2),$AZ220*MIN(-BT220/10%,1)+($AY220-$AZ220)*MAX(0,MIN(-BT220/10%-1,1))+($AX220-$AY220)*MAX(0,-BT220/10%-2)),0),"")</f>
        <v/>
      </c>
      <c r="CD220" s="468" t="str">
        <f aca="false">IF($BD220,$BX220+IF(VolSkewFlag=1,IF(BT220&gt;0,$BA220*MIN(BT220/10%,1)+($BB220-$BA220)*MAX(0,MIN(BT220/10%-1,1))+($BC220-$BB220)*MAX(0,BT220/10%-2),$AZ220*MIN(-BT220/10%,1)+($AY220-$AZ220)*MAX(0,MIN(-BT220/10%-1,1))+($AX220-$AY220)*MAX(0,-BT220/10%-2)),0),"")</f>
        <v/>
      </c>
      <c r="CE220" s="469" t="n">
        <v>1</v>
      </c>
      <c r="CF220" s="470" t="n">
        <f aca="false">IF(BD220,xCrudeAPO(BU220,BV220,CA220,CB220,S221,S222,BI220,BL220,BP220,BQ220,0,Strike1,AO220,CE220,0,BL220,IF(OptControl=4,0,1),0,1),0)</f>
        <v>0</v>
      </c>
      <c r="CG220" s="470" t="n">
        <f aca="false">IF(BD220,xCrudeAPO(BU220,BV220,CA220,CB220,S221,S222,BI220,BL220,BP220,BQ220,0,Strike1,AO220,CE220,0,BL220,IF(OptControl=4,0,1),1,1)+xCrudeAPO(BU220,BV220,CA220,CB220,S221,S222,BI220,BL220,BP220,BQ220,0,Strike1,AO220,CE220,0,BL220,IF(OptControl=4,0,1),1,2)+IF(OR(VolSkewFlag=2,ABS(BS220)&lt;0.0001),0,IF(BS220&gt;0,-1,1)*CH220*Strike1/BR220^2*BY220/10%),0)</f>
        <v>0</v>
      </c>
      <c r="CH220" s="470" t="n">
        <f aca="false">IF(BD220,(xCrudeAPO(BU220,BV220,CA220,CB220,S221,S222,BI220,BL220,BP220,BQ220,0,Strike1,AO220,CE220,0,BL220,IF(OptControl=4,0,1),3,1)+xCrudeAPO(BU220,BV220,CA220,CB220,S221,S222,BI220,BL220,BP220,BQ220,0,Strike1,AO220,CE220,0,BL220,IF(OptControl=4,0,1),3,2))/100,0)</f>
        <v>0</v>
      </c>
      <c r="CI220" s="470" t="n">
        <f aca="false">IF(BD220,xCrudeAPO(BU220,BV220,CA220,CB220,S221,S222,BI220-DaysForThetaCalculation/365.25,BL220-DaysForThetaCalculation/365.25,BP220,BQ220,0,Strike1,AO220,CE220,0,BL220,IF(OptControl=4,0,1),0,1)-xCrudeAPO(BU220,BV220,CA220,CB220,S221,S222,BI220,BL220,BP220,BQ220,0,Strike1,AO220,CE220,0,BL220,IF(OptControl=4,0,1),0,1),0)</f>
        <v>0</v>
      </c>
      <c r="CJ220" s="471" t="n">
        <f aca="false">IF(BD220,xCrudeAPO(BU220,BV220,CC220,CD220,S221,S222,BI220,BL220,BP220,BQ220,0,Strike2,AO220,CE220,0,BL220,IF(OptControl=3,1,0),0,1),0)</f>
        <v>0</v>
      </c>
      <c r="CK220" s="470" t="n">
        <f aca="false">IF(BD220,xCrudeAPO(BU220,BV220,CC220,CD220,S221,S222,BI220,BL220,BP220,BQ220,0,Strike2,AO220,CE220,0,BL220,IF(OptControl=3,1,0),1,1)+xCrudeAPO(BU220,BV220,CC220,CD220,S221,S222,BI220,BL220,BP220,BQ220,0,Strike2,AO220,CE220,0,BL220,IF(OptControl=3,1,0),1,2)+IF(OR(VolSkewFlag=2,ABS(BT220)&lt;0.0001),0,IF(BT220&gt;0,-1,1)*CL220*Strike2/BR220^2*BZ220/10%),0)</f>
        <v>0</v>
      </c>
      <c r="CL220" s="470" t="n">
        <f aca="false">IF(BD220,(xCrudeAPO(BU220,BV220,CC220,CD220,S221,S222,BI220,BL220,BP220,BQ220,0,Strike2,AO220,CE220,0,BL220,IF(OptControl=3,1,0),3,1)+xCrudeAPO(BU220,BV220,CC220,CD220,S221,S222,BI220,BL220,BP220,BQ220,0,Strike2,AO220,CE220,0,BL220,IF(OptControl=3,1,0),3,2))/100,0)</f>
        <v>0</v>
      </c>
      <c r="CM220" s="472" t="n">
        <f aca="false">IF(BD220,xCrudeAPO(BU220,BV220,CC220,CD220,S221,S222,BI220-DaysForThetaCalculation/365.25,BL220-DaysForThetaCalculation/365.25,BP220,BQ220,0,Strike2,AO220,CE220,0,BL220,IF(OptControl=3,1,0),0,1)-xCrudeAPO(BU220,BV220,CC220,CD220,S221,S222,BI220,BL220,BP220,BQ220,0,Strike2,AO220,CE220,0,BL220,IF(OptControl=3,1,0),0,1),0)</f>
        <v>0</v>
      </c>
      <c r="CN220" s="3"/>
      <c r="CO220" s="543" t="str">
        <f aca="false">IF(BD220,CHOOSE(Underlying,AD220,AF220)-DateToday+1,"")</f>
        <v/>
      </c>
      <c r="CP220" s="582" t="str">
        <f aca="false">IF(BD220,CHOOSE(Underlying,L220,R220),"")</f>
        <v/>
      </c>
      <c r="CQ220" s="544" t="str">
        <f aca="false">IF(BD220,Strike1/CP220-1,"")</f>
        <v/>
      </c>
      <c r="CR220" s="544" t="str">
        <f aca="false">IF(BD220,Strike2/CP220-1,"")</f>
        <v/>
      </c>
      <c r="CS220" s="544" t="str">
        <f aca="false">IF(BD220,IF(CQ220&gt;0,IF(CQ220&gt;0.2,BC219-BB219,IF(CQ220&gt;0.1,BB219-BA219,BA219)),IF(CQ220&lt;-0.2,AX219-AY219,IF(CQ220&lt;-0.1,AY219-AZ219,AZ219))),"")</f>
        <v/>
      </c>
      <c r="CT220" s="544" t="str">
        <f aca="false">IF(BD220,IF(CR220&gt;0,IF(CR220&gt;0.2,BC219-BB219,IF(CR220&gt;0.1,BB219-BA219,BA219)),IF(CR220&lt;-0.2,AX219-AY219,IF(CR220&lt;-0.1,AY219-AZ219,AZ219))),"")</f>
        <v/>
      </c>
      <c r="CU220" s="545" t="str">
        <f aca="false">IF(BD220,CHOOSE(Underlying,O220,AT220),"")</f>
        <v/>
      </c>
      <c r="CV220" s="545" t="str">
        <f aca="false">IF(BD220,CU220+IF(VolSkewFlag=1,IF(CQ220&gt;0,BA219*MIN(CQ220/10%,1)+(BB219-BA219)*MAX(0,MIN(CQ220/10%-1,1))+(BC219-BB219)*MAX(0,CQ220/10%-2),AZ219*MIN(-CQ220/10%,1)+(AY219-AZ219)*MAX(0,MIN(-CQ220/10%-1,1))+(AX219-AY219)*MAX(0,-CQ220/10%-2)),0),"")</f>
        <v/>
      </c>
      <c r="CW220" s="545" t="str">
        <f aca="false">IF(BD220,CU220+IF(VolSkewFlag=1,IF(CR220&gt;0,BA219*MIN(CR220/10%,1)+(BB219-BA219)*MAX(0,MIN(CR220/10%-1,1))+(BC219-BB219)*MAX(0,CR220/10%-2),AZ219*MIN(-CR220/10%,1)+(AY219-AZ219)*MAX(0,MIN(-CR220/10%-1,1))+(AX219-AY219)*MAX(0,-CR220/10%-2)),0),"")</f>
        <v/>
      </c>
      <c r="CX220" s="470" t="n">
        <f aca="false">IF(BD220,EURO(CP220,Strike1,AO220,AO220,CV220,CO220,IF(OptControl=4,0,1),0),0)</f>
        <v>0</v>
      </c>
      <c r="CY220" s="470" t="n">
        <f aca="false">IF(BD220,EURO(CP220,Strike1,AO220,AO220,CV220,CO220,IF(OptControl=4,0,1),1)+IF(OR(VolSkewFlag=2,ABS(CQ220)&lt;0.0001),0,IF(CQ220&gt;0,-1,1)*CZ220*100*Strike1/CP220^2*CS220/10%),0)</f>
        <v>0</v>
      </c>
      <c r="CZ220" s="470" t="n">
        <f aca="false">IF(BD220,EURO(CP220,Strike1,AO220,AO220,CV220,CO220,IF(OptControl=4,0,1),3)/100,0)</f>
        <v>0</v>
      </c>
      <c r="DA220" s="470" t="n">
        <f aca="false">IF(BD220,EURO(CP220,Strike1,AO220,AO220,CV220,CO220,IF(OptControl=4,0,1),0)-EURO(CP220,Strike1,AO220,AO220,CV220,CO220-1,IF(OptControl=4,0,1),0),0)</f>
        <v>0</v>
      </c>
      <c r="DB220" s="470" t="n">
        <f aca="false">IF(BD220,EURO(CP220,Strike2,AO220,AO220,CW220,CO220,IF(OptControl=3,1,0),0),0)</f>
        <v>0</v>
      </c>
      <c r="DC220" s="470" t="n">
        <f aca="false">IF(BD220,EURO(CP220,Strike2,AO220,AO220,CW220,CO220,IF(OptControl=3,1,0),1)+IF(OR(VolSkewFlag=2,ABS(CR220)&lt;0.0001),0,IF(CR220&gt;0,-1,1)*DD220*100*Strike2/CP220^2*CT220/10%),0)</f>
        <v>0</v>
      </c>
      <c r="DD220" s="470" t="n">
        <f aca="false">IF(BD220,EURO(CP220,Strike2,AO220,AO220,CW220,CO220,IF(OptControl=3,1,0),3)/100,0)</f>
        <v>0</v>
      </c>
      <c r="DE220" s="472" t="n">
        <f aca="false">IF(BD220,EURO(CP220,Strike2,AO220,AO220,CW220,CO220,IF(OptControl=3,1,0),0)-EURO(CP220,Strike2,AO220,AO220,CW220,CO220-1,IF(OptControl=3,1,0),0),0)</f>
        <v>0</v>
      </c>
      <c r="DG220" s="481" t="n">
        <f aca="false">EOMONTH(DG219,0)+1</f>
        <v>51775</v>
      </c>
      <c r="DH220" s="478" t="n">
        <v>24.1600000000001</v>
      </c>
      <c r="DI220" s="479" t="n">
        <v>24.2266666666668</v>
      </c>
      <c r="DJ220" s="480" t="n">
        <f aca="false">DG220</f>
        <v>51775</v>
      </c>
      <c r="DK220" s="478" t="n">
        <v>22.8049849503153</v>
      </c>
      <c r="DL220" s="479" t="n">
        <v>23.0335666666668</v>
      </c>
      <c r="DM220" s="481" t="n">
        <f aca="false">DG220</f>
        <v>51775</v>
      </c>
      <c r="DN220" s="482" t="n">
        <f aca="false">DK220+BrentPhyBrentSpread</f>
        <v>22.8549849503153</v>
      </c>
      <c r="DO220" s="481" t="n">
        <f aca="false">DG220</f>
        <v>51775</v>
      </c>
      <c r="DP220" s="483" t="n">
        <f aca="false">DL220+DQ220</f>
        <v>23.0335666666668</v>
      </c>
      <c r="DQ220" s="546" t="n">
        <v>0</v>
      </c>
      <c r="DR220" s="480" t="n">
        <f aca="false">DG220</f>
        <v>51775</v>
      </c>
      <c r="DS220" s="485" t="n">
        <v>0.104599999999998</v>
      </c>
      <c r="DT220" s="486" t="n">
        <v>0.103799999999998</v>
      </c>
      <c r="DU220" s="480" t="n">
        <f aca="false">DG220</f>
        <v>51775</v>
      </c>
      <c r="DV220" s="485" t="n">
        <v>0.104599999999998</v>
      </c>
      <c r="DW220" s="486" t="n">
        <v>0.103799999999998</v>
      </c>
      <c r="DX220" s="481" t="n">
        <f aca="false">DG220</f>
        <v>51775</v>
      </c>
      <c r="DY220" s="486" t="n">
        <v>0.35</v>
      </c>
      <c r="DZ220" s="481" t="n">
        <f aca="false">DR220</f>
        <v>51775</v>
      </c>
      <c r="EA220" s="486" t="n">
        <f aca="false">DT220</f>
        <v>0.103799999999998</v>
      </c>
      <c r="EB220" s="195"/>
      <c r="EC220" s="547" t="str">
        <f aca="false">IF(BD220,IF(Underlying=1,AS220,AU220),"")</f>
        <v/>
      </c>
      <c r="ED220" s="548" t="str">
        <f aca="false">IF($BD220,$EC220+IF(VolSkewFlag=1,IF(BS220&gt;0,$BA220*MIN(BS220/10%,1)+($BB220-$BA220)*MAX(0,MIN(BS220/10%-1,1))+($BC220-$BB220)*MAX(0,BS220/10%-2),$AZ220*MIN(-BS220/10%,1)+($AY220-$AZ220)*MAX(0,MIN(-BS220/10%-1,1))+($AX220-$AY220)*MAX(0,-BS220/10%-2)),0),"")</f>
        <v/>
      </c>
      <c r="EE220" s="549" t="str">
        <f aca="false">IF($BD220,$EC220+IF(VolSkewFlag=1,IF(BT220&gt;0,$BA220*MIN(BT220/10%,1)+($BB220-$BA220)*MAX(0,MIN(BT220/10%-1,1))+($BC220-$BB220)*MAX(0,BT220/10%-2),$AZ220*MIN(-BT220/10%,1)+($AY220-$AZ220)*MAX(0,MIN(-BT220/10%-1,1))+($AX220-$AY220)*MAX(0,-BT220/10%-2)),0),"")</f>
        <v/>
      </c>
      <c r="EF220" s="550" t="n">
        <f aca="false">IF(BD220,xASN(BR220,Strike1,AO220,ED220,0,BO220,0,BI220,BL220,IF(OptControl=4,0,1),0),0)</f>
        <v>0</v>
      </c>
      <c r="EG220" s="551" t="n">
        <f aca="false">IF(BD220,xASN(BR220,Strike2,AO220,EE220,0,BO220,0,BI220,BL220,IF(OptControl=3,1,0),0),0)</f>
        <v>0</v>
      </c>
      <c r="EL220" s="1"/>
      <c r="EM220" s="195"/>
      <c r="EN220" s="240"/>
      <c r="EO220" s="240"/>
      <c r="EP220" s="195"/>
      <c r="EQ220" s="407" t="s">
        <v>448</v>
      </c>
      <c r="ES220" s="1"/>
      <c r="EU220" s="672"/>
      <c r="FJ220" s="571" t="n">
        <v>51</v>
      </c>
      <c r="FK220" s="150" t="str">
        <f aca="false">IF(OR(FK$169&lt;SwaptionFirstMonthPosition+1,$FJ220&lt;SwaptionFirstMonthPosition+1,FK$169&gt;SwaptionFirstMonthPosition+SwaptionNumOfMonths+1,$FJ220&gt;SwaptionFirstMonthPosition+SwaptionNumOfMonths+1),"",IF($FJ220=FK$169,1,IF($FJ220&lt;FK$169,INDEX($FK$170:$ID$241,FK$169,$FJ220),SUMPRODUCT(INDEX($FK$325:$ID$396,FK$169,1+SwaptionShift):INDEX($FK$325:$ID$396,FK$169,SwaptionMonthsToGo+SwaptionShift),INDEX($FK$245:$ID$316,$FJ220-FK$169,73-FK$169+SwaptionShift):INDEX($FK$245:$ID$316,$FJ220-FK$169,72-FK$169+SwaptionMonthsToGo+SwaptionShift))/SQRT(SUM(INDEX($FK375:$ID375,1+SwaptionShift):INDEX($FK375:$ID375,SwaptionMonthsToGo+SwaptionShift))*SUM(INDEX($FK$325:$ID$396,FK$169,1+SwaptionShift):INDEX($FK$325:$ID$396,FK$169,SwaptionMonthsToGo+SwaptionShift))))))</f>
        <v/>
      </c>
      <c r="FL220" s="150" t="str">
        <f aca="false">IF(OR(FL$169&lt;SwaptionFirstMonthPosition+1,$FJ220&lt;SwaptionFirstMonthPosition+1,FL$169&gt;SwaptionFirstMonthPosition+SwaptionNumOfMonths+1,$FJ220&gt;SwaptionFirstMonthPosition+SwaptionNumOfMonths+1),"",IF($FJ220=FL$169,1,IF($FJ220&lt;FL$169,INDEX($FK$170:$ID$241,FL$169,$FJ220),SUMPRODUCT(INDEX($FK$325:$ID$396,FL$169,1+SwaptionShift):INDEX($FK$325:$ID$396,FL$169,SwaptionMonthsToGo+SwaptionShift),INDEX($FK$245:$ID$316,$FJ220-FL$169,73-FL$169+SwaptionShift):INDEX($FK$245:$ID$316,$FJ220-FL$169,72-FL$169+SwaptionMonthsToGo+SwaptionShift))/SQRT(SUM(INDEX($FK375:$ID375,1+SwaptionShift):INDEX($FK375:$ID375,SwaptionMonthsToGo+SwaptionShift))*SUM(INDEX($FK$325:$ID$396,FL$169,1+SwaptionShift):INDEX($FK$325:$ID$396,FL$169,SwaptionMonthsToGo+SwaptionShift))))))</f>
        <v/>
      </c>
      <c r="FM220" s="150" t="str">
        <f aca="false">IF(OR(FM$169&lt;SwaptionFirstMonthPosition+1,$FJ220&lt;SwaptionFirstMonthPosition+1,FM$169&gt;SwaptionFirstMonthPosition+SwaptionNumOfMonths+1,$FJ220&gt;SwaptionFirstMonthPosition+SwaptionNumOfMonths+1),"",IF($FJ220=FM$169,1,IF($FJ220&lt;FM$169,INDEX($FK$170:$ID$241,FM$169,$FJ220),SUMPRODUCT(INDEX($FK$325:$ID$396,FM$169,1+SwaptionShift):INDEX($FK$325:$ID$396,FM$169,SwaptionMonthsToGo+SwaptionShift),INDEX($FK$245:$ID$316,$FJ220-FM$169,73-FM$169+SwaptionShift):INDEX($FK$245:$ID$316,$FJ220-FM$169,72-FM$169+SwaptionMonthsToGo+SwaptionShift))/SQRT(SUM(INDEX($FK375:$ID375,1+SwaptionShift):INDEX($FK375:$ID375,SwaptionMonthsToGo+SwaptionShift))*SUM(INDEX($FK$325:$ID$396,FM$169,1+SwaptionShift):INDEX($FK$325:$ID$396,FM$169,SwaptionMonthsToGo+SwaptionShift))))))</f>
        <v/>
      </c>
      <c r="FN220" s="150" t="str">
        <f aca="false">IF(OR(FN$169&lt;SwaptionFirstMonthPosition+1,$FJ220&lt;SwaptionFirstMonthPosition+1,FN$169&gt;SwaptionFirstMonthPosition+SwaptionNumOfMonths+1,$FJ220&gt;SwaptionFirstMonthPosition+SwaptionNumOfMonths+1),"",IF($FJ220=FN$169,1,IF($FJ220&lt;FN$169,INDEX($FK$170:$ID$241,FN$169,$FJ220),SUMPRODUCT(INDEX($FK$325:$ID$396,FN$169,1+SwaptionShift):INDEX($FK$325:$ID$396,FN$169,SwaptionMonthsToGo+SwaptionShift),INDEX($FK$245:$ID$316,$FJ220-FN$169,73-FN$169+SwaptionShift):INDEX($FK$245:$ID$316,$FJ220-FN$169,72-FN$169+SwaptionMonthsToGo+SwaptionShift))/SQRT(SUM(INDEX($FK375:$ID375,1+SwaptionShift):INDEX($FK375:$ID375,SwaptionMonthsToGo+SwaptionShift))*SUM(INDEX($FK$325:$ID$396,FN$169,1+SwaptionShift):INDEX($FK$325:$ID$396,FN$169,SwaptionMonthsToGo+SwaptionShift))))))</f>
        <v/>
      </c>
      <c r="FO220" s="150" t="str">
        <f aca="false">IF(OR(FO$169&lt;SwaptionFirstMonthPosition+1,$FJ220&lt;SwaptionFirstMonthPosition+1,FO$169&gt;SwaptionFirstMonthPosition+SwaptionNumOfMonths+1,$FJ220&gt;SwaptionFirstMonthPosition+SwaptionNumOfMonths+1),"",IF($FJ220=FO$169,1,IF($FJ220&lt;FO$169,INDEX($FK$170:$ID$241,FO$169,$FJ220),SUMPRODUCT(INDEX($FK$325:$ID$396,FO$169,1+SwaptionShift):INDEX($FK$325:$ID$396,FO$169,SwaptionMonthsToGo+SwaptionShift),INDEX($FK$245:$ID$316,$FJ220-FO$169,73-FO$169+SwaptionShift):INDEX($FK$245:$ID$316,$FJ220-FO$169,72-FO$169+SwaptionMonthsToGo+SwaptionShift))/SQRT(SUM(INDEX($FK375:$ID375,1+SwaptionShift):INDEX($FK375:$ID375,SwaptionMonthsToGo+SwaptionShift))*SUM(INDEX($FK$325:$ID$396,FO$169,1+SwaptionShift):INDEX($FK$325:$ID$396,FO$169,SwaptionMonthsToGo+SwaptionShift))))))</f>
        <v/>
      </c>
      <c r="FP220" s="150" t="str">
        <f aca="false">IF(OR(FP$169&lt;SwaptionFirstMonthPosition+1,$FJ220&lt;SwaptionFirstMonthPosition+1,FP$169&gt;SwaptionFirstMonthPosition+SwaptionNumOfMonths+1,$FJ220&gt;SwaptionFirstMonthPosition+SwaptionNumOfMonths+1),"",IF($FJ220=FP$169,1,IF($FJ220&lt;FP$169,INDEX($FK$170:$ID$241,FP$169,$FJ220),SUMPRODUCT(INDEX($FK$325:$ID$396,FP$169,1+SwaptionShift):INDEX($FK$325:$ID$396,FP$169,SwaptionMonthsToGo+SwaptionShift),INDEX($FK$245:$ID$316,$FJ220-FP$169,73-FP$169+SwaptionShift):INDEX($FK$245:$ID$316,$FJ220-FP$169,72-FP$169+SwaptionMonthsToGo+SwaptionShift))/SQRT(SUM(INDEX($FK375:$ID375,1+SwaptionShift):INDEX($FK375:$ID375,SwaptionMonthsToGo+SwaptionShift))*SUM(INDEX($FK$325:$ID$396,FP$169,1+SwaptionShift):INDEX($FK$325:$ID$396,FP$169,SwaptionMonthsToGo+SwaptionShift))))))</f>
        <v/>
      </c>
      <c r="FQ220" s="150" t="str">
        <f aca="false">IF(OR(FQ$169&lt;SwaptionFirstMonthPosition+1,$FJ220&lt;SwaptionFirstMonthPosition+1,FQ$169&gt;SwaptionFirstMonthPosition+SwaptionNumOfMonths+1,$FJ220&gt;SwaptionFirstMonthPosition+SwaptionNumOfMonths+1),"",IF($FJ220=FQ$169,1,IF($FJ220&lt;FQ$169,INDEX($FK$170:$ID$241,FQ$169,$FJ220),SUMPRODUCT(INDEX($FK$325:$ID$396,FQ$169,1+SwaptionShift):INDEX($FK$325:$ID$396,FQ$169,SwaptionMonthsToGo+SwaptionShift),INDEX($FK$245:$ID$316,$FJ220-FQ$169,73-FQ$169+SwaptionShift):INDEX($FK$245:$ID$316,$FJ220-FQ$169,72-FQ$169+SwaptionMonthsToGo+SwaptionShift))/SQRT(SUM(INDEX($FK375:$ID375,1+SwaptionShift):INDEX($FK375:$ID375,SwaptionMonthsToGo+SwaptionShift))*SUM(INDEX($FK$325:$ID$396,FQ$169,1+SwaptionShift):INDEX($FK$325:$ID$396,FQ$169,SwaptionMonthsToGo+SwaptionShift))))))</f>
        <v/>
      </c>
      <c r="FR220" s="150" t="str">
        <f aca="false">IF(OR(FR$169&lt;SwaptionFirstMonthPosition+1,$FJ220&lt;SwaptionFirstMonthPosition+1,FR$169&gt;SwaptionFirstMonthPosition+SwaptionNumOfMonths+1,$FJ220&gt;SwaptionFirstMonthPosition+SwaptionNumOfMonths+1),"",IF($FJ220=FR$169,1,IF($FJ220&lt;FR$169,INDEX($FK$170:$ID$241,FR$169,$FJ220),SUMPRODUCT(INDEX($FK$325:$ID$396,FR$169,1+SwaptionShift):INDEX($FK$325:$ID$396,FR$169,SwaptionMonthsToGo+SwaptionShift),INDEX($FK$245:$ID$316,$FJ220-FR$169,73-FR$169+SwaptionShift):INDEX($FK$245:$ID$316,$FJ220-FR$169,72-FR$169+SwaptionMonthsToGo+SwaptionShift))/SQRT(SUM(INDEX($FK375:$ID375,1+SwaptionShift):INDEX($FK375:$ID375,SwaptionMonthsToGo+SwaptionShift))*SUM(INDEX($FK$325:$ID$396,FR$169,1+SwaptionShift):INDEX($FK$325:$ID$396,FR$169,SwaptionMonthsToGo+SwaptionShift))))))</f>
        <v/>
      </c>
      <c r="FS220" s="150" t="str">
        <f aca="false">IF(OR(FS$169&lt;SwaptionFirstMonthPosition+1,$FJ220&lt;SwaptionFirstMonthPosition+1,FS$169&gt;SwaptionFirstMonthPosition+SwaptionNumOfMonths+1,$FJ220&gt;SwaptionFirstMonthPosition+SwaptionNumOfMonths+1),"",IF($FJ220=FS$169,1,IF($FJ220&lt;FS$169,INDEX($FK$170:$ID$241,FS$169,$FJ220),SUMPRODUCT(INDEX($FK$325:$ID$396,FS$169,1+SwaptionShift):INDEX($FK$325:$ID$396,FS$169,SwaptionMonthsToGo+SwaptionShift),INDEX($FK$245:$ID$316,$FJ220-FS$169,73-FS$169+SwaptionShift):INDEX($FK$245:$ID$316,$FJ220-FS$169,72-FS$169+SwaptionMonthsToGo+SwaptionShift))/SQRT(SUM(INDEX($FK375:$ID375,1+SwaptionShift):INDEX($FK375:$ID375,SwaptionMonthsToGo+SwaptionShift))*SUM(INDEX($FK$325:$ID$396,FS$169,1+SwaptionShift):INDEX($FK$325:$ID$396,FS$169,SwaptionMonthsToGo+SwaptionShift))))))</f>
        <v/>
      </c>
      <c r="FT220" s="150" t="str">
        <f aca="false">IF(OR(FT$169&lt;SwaptionFirstMonthPosition+1,$FJ220&lt;SwaptionFirstMonthPosition+1,FT$169&gt;SwaptionFirstMonthPosition+SwaptionNumOfMonths+1,$FJ220&gt;SwaptionFirstMonthPosition+SwaptionNumOfMonths+1),"",IF($FJ220=FT$169,1,IF($FJ220&lt;FT$169,INDEX($FK$170:$ID$241,FT$169,$FJ220),SUMPRODUCT(INDEX($FK$325:$ID$396,FT$169,1+SwaptionShift):INDEX($FK$325:$ID$396,FT$169,SwaptionMonthsToGo+SwaptionShift),INDEX($FK$245:$ID$316,$FJ220-FT$169,73-FT$169+SwaptionShift):INDEX($FK$245:$ID$316,$FJ220-FT$169,72-FT$169+SwaptionMonthsToGo+SwaptionShift))/SQRT(SUM(INDEX($FK375:$ID375,1+SwaptionShift):INDEX($FK375:$ID375,SwaptionMonthsToGo+SwaptionShift))*SUM(INDEX($FK$325:$ID$396,FT$169,1+SwaptionShift):INDEX($FK$325:$ID$396,FT$169,SwaptionMonthsToGo+SwaptionShift))))))</f>
        <v/>
      </c>
      <c r="FU220" s="150" t="str">
        <f aca="false">IF(OR(FU$169&lt;SwaptionFirstMonthPosition+1,$FJ220&lt;SwaptionFirstMonthPosition+1,FU$169&gt;SwaptionFirstMonthPosition+SwaptionNumOfMonths+1,$FJ220&gt;SwaptionFirstMonthPosition+SwaptionNumOfMonths+1),"",IF($FJ220=FU$169,1,IF($FJ220&lt;FU$169,INDEX($FK$170:$ID$241,FU$169,$FJ220),SUMPRODUCT(INDEX($FK$325:$ID$396,FU$169,1+SwaptionShift):INDEX($FK$325:$ID$396,FU$169,SwaptionMonthsToGo+SwaptionShift),INDEX($FK$245:$ID$316,$FJ220-FU$169,73-FU$169+SwaptionShift):INDEX($FK$245:$ID$316,$FJ220-FU$169,72-FU$169+SwaptionMonthsToGo+SwaptionShift))/SQRT(SUM(INDEX($FK375:$ID375,1+SwaptionShift):INDEX($FK375:$ID375,SwaptionMonthsToGo+SwaptionShift))*SUM(INDEX($FK$325:$ID$396,FU$169,1+SwaptionShift):INDEX($FK$325:$ID$396,FU$169,SwaptionMonthsToGo+SwaptionShift))))))</f>
        <v/>
      </c>
      <c r="FV220" s="150" t="str">
        <f aca="false">IF(OR(FV$169&lt;SwaptionFirstMonthPosition+1,$FJ220&lt;SwaptionFirstMonthPosition+1,FV$169&gt;SwaptionFirstMonthPosition+SwaptionNumOfMonths+1,$FJ220&gt;SwaptionFirstMonthPosition+SwaptionNumOfMonths+1),"",IF($FJ220=FV$169,1,IF($FJ220&lt;FV$169,INDEX($FK$170:$ID$241,FV$169,$FJ220),SUMPRODUCT(INDEX($FK$325:$ID$396,FV$169,1+SwaptionShift):INDEX($FK$325:$ID$396,FV$169,SwaptionMonthsToGo+SwaptionShift),INDEX($FK$245:$ID$316,$FJ220-FV$169,73-FV$169+SwaptionShift):INDEX($FK$245:$ID$316,$FJ220-FV$169,72-FV$169+SwaptionMonthsToGo+SwaptionShift))/SQRT(SUM(INDEX($FK375:$ID375,1+SwaptionShift):INDEX($FK375:$ID375,SwaptionMonthsToGo+SwaptionShift))*SUM(INDEX($FK$325:$ID$396,FV$169,1+SwaptionShift):INDEX($FK$325:$ID$396,FV$169,SwaptionMonthsToGo+SwaptionShift))))))</f>
        <v/>
      </c>
      <c r="FW220" s="150" t="str">
        <f aca="false">IF(OR(FW$169&lt;SwaptionFirstMonthPosition+1,$FJ220&lt;SwaptionFirstMonthPosition+1,FW$169&gt;SwaptionFirstMonthPosition+SwaptionNumOfMonths+1,$FJ220&gt;SwaptionFirstMonthPosition+SwaptionNumOfMonths+1),"",IF($FJ220=FW$169,1,IF($FJ220&lt;FW$169,INDEX($FK$170:$ID$241,FW$169,$FJ220),SUMPRODUCT(INDEX($FK$325:$ID$396,FW$169,1+SwaptionShift):INDEX($FK$325:$ID$396,FW$169,SwaptionMonthsToGo+SwaptionShift),INDEX($FK$245:$ID$316,$FJ220-FW$169,73-FW$169+SwaptionShift):INDEX($FK$245:$ID$316,$FJ220-FW$169,72-FW$169+SwaptionMonthsToGo+SwaptionShift))/SQRT(SUM(INDEX($FK375:$ID375,1+SwaptionShift):INDEX($FK375:$ID375,SwaptionMonthsToGo+SwaptionShift))*SUM(INDEX($FK$325:$ID$396,FW$169,1+SwaptionShift):INDEX($FK$325:$ID$396,FW$169,SwaptionMonthsToGo+SwaptionShift))))))</f>
        <v/>
      </c>
      <c r="FX220" s="150" t="str">
        <f aca="false">IF(OR(FX$169&lt;SwaptionFirstMonthPosition+1,$FJ220&lt;SwaptionFirstMonthPosition+1,FX$169&gt;SwaptionFirstMonthPosition+SwaptionNumOfMonths+1,$FJ220&gt;SwaptionFirstMonthPosition+SwaptionNumOfMonths+1),"",IF($FJ220=FX$169,1,IF($FJ220&lt;FX$169,INDEX($FK$170:$ID$241,FX$169,$FJ220),SUMPRODUCT(INDEX($FK$325:$ID$396,FX$169,1+SwaptionShift):INDEX($FK$325:$ID$396,FX$169,SwaptionMonthsToGo+SwaptionShift),INDEX($FK$245:$ID$316,$FJ220-FX$169,73-FX$169+SwaptionShift):INDEX($FK$245:$ID$316,$FJ220-FX$169,72-FX$169+SwaptionMonthsToGo+SwaptionShift))/SQRT(SUM(INDEX($FK375:$ID375,1+SwaptionShift):INDEX($FK375:$ID375,SwaptionMonthsToGo+SwaptionShift))*SUM(INDEX($FK$325:$ID$396,FX$169,1+SwaptionShift):INDEX($FK$325:$ID$396,FX$169,SwaptionMonthsToGo+SwaptionShift))))))</f>
        <v/>
      </c>
      <c r="FY220" s="150" t="str">
        <f aca="false">IF(OR(FY$169&lt;SwaptionFirstMonthPosition+1,$FJ220&lt;SwaptionFirstMonthPosition+1,FY$169&gt;SwaptionFirstMonthPosition+SwaptionNumOfMonths+1,$FJ220&gt;SwaptionFirstMonthPosition+SwaptionNumOfMonths+1),"",IF($FJ220=FY$169,1,IF($FJ220&lt;FY$169,INDEX($FK$170:$ID$241,FY$169,$FJ220),SUMPRODUCT(INDEX($FK$325:$ID$396,FY$169,1+SwaptionShift):INDEX($FK$325:$ID$396,FY$169,SwaptionMonthsToGo+SwaptionShift),INDEX($FK$245:$ID$316,$FJ220-FY$169,73-FY$169+SwaptionShift):INDEX($FK$245:$ID$316,$FJ220-FY$169,72-FY$169+SwaptionMonthsToGo+SwaptionShift))/SQRT(SUM(INDEX($FK375:$ID375,1+SwaptionShift):INDEX($FK375:$ID375,SwaptionMonthsToGo+SwaptionShift))*SUM(INDEX($FK$325:$ID$396,FY$169,1+SwaptionShift):INDEX($FK$325:$ID$396,FY$169,SwaptionMonthsToGo+SwaptionShift))))))</f>
        <v/>
      </c>
      <c r="FZ220" s="150" t="str">
        <f aca="false">IF(OR(FZ$169&lt;SwaptionFirstMonthPosition+1,$FJ220&lt;SwaptionFirstMonthPosition+1,FZ$169&gt;SwaptionFirstMonthPosition+SwaptionNumOfMonths+1,$FJ220&gt;SwaptionFirstMonthPosition+SwaptionNumOfMonths+1),"",IF($FJ220=FZ$169,1,IF($FJ220&lt;FZ$169,INDEX($FK$170:$ID$241,FZ$169,$FJ220),SUMPRODUCT(INDEX($FK$325:$ID$396,FZ$169,1+SwaptionShift):INDEX($FK$325:$ID$396,FZ$169,SwaptionMonthsToGo+SwaptionShift),INDEX($FK$245:$ID$316,$FJ220-FZ$169,73-FZ$169+SwaptionShift):INDEX($FK$245:$ID$316,$FJ220-FZ$169,72-FZ$169+SwaptionMonthsToGo+SwaptionShift))/SQRT(SUM(INDEX($FK375:$ID375,1+SwaptionShift):INDEX($FK375:$ID375,SwaptionMonthsToGo+SwaptionShift))*SUM(INDEX($FK$325:$ID$396,FZ$169,1+SwaptionShift):INDEX($FK$325:$ID$396,FZ$169,SwaptionMonthsToGo+SwaptionShift))))))</f>
        <v/>
      </c>
      <c r="GA220" s="150" t="str">
        <f aca="false">IF(OR(GA$169&lt;SwaptionFirstMonthPosition+1,$FJ220&lt;SwaptionFirstMonthPosition+1,GA$169&gt;SwaptionFirstMonthPosition+SwaptionNumOfMonths+1,$FJ220&gt;SwaptionFirstMonthPosition+SwaptionNumOfMonths+1),"",IF($FJ220=GA$169,1,IF($FJ220&lt;GA$169,INDEX($FK$170:$ID$241,GA$169,$FJ220),SUMPRODUCT(INDEX($FK$325:$ID$396,GA$169,1+SwaptionShift):INDEX($FK$325:$ID$396,GA$169,SwaptionMonthsToGo+SwaptionShift),INDEX($FK$245:$ID$316,$FJ220-GA$169,73-GA$169+SwaptionShift):INDEX($FK$245:$ID$316,$FJ220-GA$169,72-GA$169+SwaptionMonthsToGo+SwaptionShift))/SQRT(SUM(INDEX($FK375:$ID375,1+SwaptionShift):INDEX($FK375:$ID375,SwaptionMonthsToGo+SwaptionShift))*SUM(INDEX($FK$325:$ID$396,GA$169,1+SwaptionShift):INDEX($FK$325:$ID$396,GA$169,SwaptionMonthsToGo+SwaptionShift))))))</f>
        <v/>
      </c>
      <c r="GB220" s="150" t="str">
        <f aca="false">IF(OR(GB$169&lt;SwaptionFirstMonthPosition+1,$FJ220&lt;SwaptionFirstMonthPosition+1,GB$169&gt;SwaptionFirstMonthPosition+SwaptionNumOfMonths+1,$FJ220&gt;SwaptionFirstMonthPosition+SwaptionNumOfMonths+1),"",IF($FJ220=GB$169,1,IF($FJ220&lt;GB$169,INDEX($FK$170:$ID$241,GB$169,$FJ220),SUMPRODUCT(INDEX($FK$325:$ID$396,GB$169,1+SwaptionShift):INDEX($FK$325:$ID$396,GB$169,SwaptionMonthsToGo+SwaptionShift),INDEX($FK$245:$ID$316,$FJ220-GB$169,73-GB$169+SwaptionShift):INDEX($FK$245:$ID$316,$FJ220-GB$169,72-GB$169+SwaptionMonthsToGo+SwaptionShift))/SQRT(SUM(INDEX($FK375:$ID375,1+SwaptionShift):INDEX($FK375:$ID375,SwaptionMonthsToGo+SwaptionShift))*SUM(INDEX($FK$325:$ID$396,GB$169,1+SwaptionShift):INDEX($FK$325:$ID$396,GB$169,SwaptionMonthsToGo+SwaptionShift))))))</f>
        <v/>
      </c>
      <c r="GC220" s="150" t="str">
        <f aca="false">IF(OR(GC$169&lt;SwaptionFirstMonthPosition+1,$FJ220&lt;SwaptionFirstMonthPosition+1,GC$169&gt;SwaptionFirstMonthPosition+SwaptionNumOfMonths+1,$FJ220&gt;SwaptionFirstMonthPosition+SwaptionNumOfMonths+1),"",IF($FJ220=GC$169,1,IF($FJ220&lt;GC$169,INDEX($FK$170:$ID$241,GC$169,$FJ220),SUMPRODUCT(INDEX($FK$325:$ID$396,GC$169,1+SwaptionShift):INDEX($FK$325:$ID$396,GC$169,SwaptionMonthsToGo+SwaptionShift),INDEX($FK$245:$ID$316,$FJ220-GC$169,73-GC$169+SwaptionShift):INDEX($FK$245:$ID$316,$FJ220-GC$169,72-GC$169+SwaptionMonthsToGo+SwaptionShift))/SQRT(SUM(INDEX($FK375:$ID375,1+SwaptionShift):INDEX($FK375:$ID375,SwaptionMonthsToGo+SwaptionShift))*SUM(INDEX($FK$325:$ID$396,GC$169,1+SwaptionShift):INDEX($FK$325:$ID$396,GC$169,SwaptionMonthsToGo+SwaptionShift))))))</f>
        <v/>
      </c>
      <c r="GD220" s="150" t="str">
        <f aca="false">IF(OR(GD$169&lt;SwaptionFirstMonthPosition+1,$FJ220&lt;SwaptionFirstMonthPosition+1,GD$169&gt;SwaptionFirstMonthPosition+SwaptionNumOfMonths+1,$FJ220&gt;SwaptionFirstMonthPosition+SwaptionNumOfMonths+1),"",IF($FJ220=GD$169,1,IF($FJ220&lt;GD$169,INDEX($FK$170:$ID$241,GD$169,$FJ220),SUMPRODUCT(INDEX($FK$325:$ID$396,GD$169,1+SwaptionShift):INDEX($FK$325:$ID$396,GD$169,SwaptionMonthsToGo+SwaptionShift),INDEX($FK$245:$ID$316,$FJ220-GD$169,73-GD$169+SwaptionShift):INDEX($FK$245:$ID$316,$FJ220-GD$169,72-GD$169+SwaptionMonthsToGo+SwaptionShift))/SQRT(SUM(INDEX($FK375:$ID375,1+SwaptionShift):INDEX($FK375:$ID375,SwaptionMonthsToGo+SwaptionShift))*SUM(INDEX($FK$325:$ID$396,GD$169,1+SwaptionShift):INDEX($FK$325:$ID$396,GD$169,SwaptionMonthsToGo+SwaptionShift))))))</f>
        <v/>
      </c>
      <c r="GE220" s="150" t="str">
        <f aca="false">IF(OR(GE$169&lt;SwaptionFirstMonthPosition+1,$FJ220&lt;SwaptionFirstMonthPosition+1,GE$169&gt;SwaptionFirstMonthPosition+SwaptionNumOfMonths+1,$FJ220&gt;SwaptionFirstMonthPosition+SwaptionNumOfMonths+1),"",IF($FJ220=GE$169,1,IF($FJ220&lt;GE$169,INDEX($FK$170:$ID$241,GE$169,$FJ220),SUMPRODUCT(INDEX($FK$325:$ID$396,GE$169,1+SwaptionShift):INDEX($FK$325:$ID$396,GE$169,SwaptionMonthsToGo+SwaptionShift),INDEX($FK$245:$ID$316,$FJ220-GE$169,73-GE$169+SwaptionShift):INDEX($FK$245:$ID$316,$FJ220-GE$169,72-GE$169+SwaptionMonthsToGo+SwaptionShift))/SQRT(SUM(INDEX($FK375:$ID375,1+SwaptionShift):INDEX($FK375:$ID375,SwaptionMonthsToGo+SwaptionShift))*SUM(INDEX($FK$325:$ID$396,GE$169,1+SwaptionShift):INDEX($FK$325:$ID$396,GE$169,SwaptionMonthsToGo+SwaptionShift))))))</f>
        <v/>
      </c>
      <c r="GF220" s="150" t="str">
        <f aca="false">IF(OR(GF$169&lt;SwaptionFirstMonthPosition+1,$FJ220&lt;SwaptionFirstMonthPosition+1,GF$169&gt;SwaptionFirstMonthPosition+SwaptionNumOfMonths+1,$FJ220&gt;SwaptionFirstMonthPosition+SwaptionNumOfMonths+1),"",IF($FJ220=GF$169,1,IF($FJ220&lt;GF$169,INDEX($FK$170:$ID$241,GF$169,$FJ220),SUMPRODUCT(INDEX($FK$325:$ID$396,GF$169,1+SwaptionShift):INDEX($FK$325:$ID$396,GF$169,SwaptionMonthsToGo+SwaptionShift),INDEX($FK$245:$ID$316,$FJ220-GF$169,73-GF$169+SwaptionShift):INDEX($FK$245:$ID$316,$FJ220-GF$169,72-GF$169+SwaptionMonthsToGo+SwaptionShift))/SQRT(SUM(INDEX($FK375:$ID375,1+SwaptionShift):INDEX($FK375:$ID375,SwaptionMonthsToGo+SwaptionShift))*SUM(INDEX($FK$325:$ID$396,GF$169,1+SwaptionShift):INDEX($FK$325:$ID$396,GF$169,SwaptionMonthsToGo+SwaptionShift))))))</f>
        <v/>
      </c>
      <c r="GG220" s="150" t="str">
        <f aca="false">IF(OR(GG$169&lt;SwaptionFirstMonthPosition+1,$FJ220&lt;SwaptionFirstMonthPosition+1,GG$169&gt;SwaptionFirstMonthPosition+SwaptionNumOfMonths+1,$FJ220&gt;SwaptionFirstMonthPosition+SwaptionNumOfMonths+1),"",IF($FJ220=GG$169,1,IF($FJ220&lt;GG$169,INDEX($FK$170:$ID$241,GG$169,$FJ220),SUMPRODUCT(INDEX($FK$325:$ID$396,GG$169,1+SwaptionShift):INDEX($FK$325:$ID$396,GG$169,SwaptionMonthsToGo+SwaptionShift),INDEX($FK$245:$ID$316,$FJ220-GG$169,73-GG$169+SwaptionShift):INDEX($FK$245:$ID$316,$FJ220-GG$169,72-GG$169+SwaptionMonthsToGo+SwaptionShift))/SQRT(SUM(INDEX($FK375:$ID375,1+SwaptionShift):INDEX($FK375:$ID375,SwaptionMonthsToGo+SwaptionShift))*SUM(INDEX($FK$325:$ID$396,GG$169,1+SwaptionShift):INDEX($FK$325:$ID$396,GG$169,SwaptionMonthsToGo+SwaptionShift))))))</f>
        <v/>
      </c>
      <c r="GH220" s="150" t="str">
        <f aca="false">IF(OR(GH$169&lt;SwaptionFirstMonthPosition+1,$FJ220&lt;SwaptionFirstMonthPosition+1,GH$169&gt;SwaptionFirstMonthPosition+SwaptionNumOfMonths+1,$FJ220&gt;SwaptionFirstMonthPosition+SwaptionNumOfMonths+1),"",IF($FJ220=GH$169,1,IF($FJ220&lt;GH$169,INDEX($FK$170:$ID$241,GH$169,$FJ220),SUMPRODUCT(INDEX($FK$325:$ID$396,GH$169,1+SwaptionShift):INDEX($FK$325:$ID$396,GH$169,SwaptionMonthsToGo+SwaptionShift),INDEX($FK$245:$ID$316,$FJ220-GH$169,73-GH$169+SwaptionShift):INDEX($FK$245:$ID$316,$FJ220-GH$169,72-GH$169+SwaptionMonthsToGo+SwaptionShift))/SQRT(SUM(INDEX($FK375:$ID375,1+SwaptionShift):INDEX($FK375:$ID375,SwaptionMonthsToGo+SwaptionShift))*SUM(INDEX($FK$325:$ID$396,GH$169,1+SwaptionShift):INDEX($FK$325:$ID$396,GH$169,SwaptionMonthsToGo+SwaptionShift))))))</f>
        <v/>
      </c>
      <c r="GI220" s="150" t="str">
        <f aca="false">IF(OR(GI$169&lt;SwaptionFirstMonthPosition+1,$FJ220&lt;SwaptionFirstMonthPosition+1,GI$169&gt;SwaptionFirstMonthPosition+SwaptionNumOfMonths+1,$FJ220&gt;SwaptionFirstMonthPosition+SwaptionNumOfMonths+1),"",IF($FJ220=GI$169,1,IF($FJ220&lt;GI$169,INDEX($FK$170:$ID$241,GI$169,$FJ220),SUMPRODUCT(INDEX($FK$325:$ID$396,GI$169,1+SwaptionShift):INDEX($FK$325:$ID$396,GI$169,SwaptionMonthsToGo+SwaptionShift),INDEX($FK$245:$ID$316,$FJ220-GI$169,73-GI$169+SwaptionShift):INDEX($FK$245:$ID$316,$FJ220-GI$169,72-GI$169+SwaptionMonthsToGo+SwaptionShift))/SQRT(SUM(INDEX($FK375:$ID375,1+SwaptionShift):INDEX($FK375:$ID375,SwaptionMonthsToGo+SwaptionShift))*SUM(INDEX($FK$325:$ID$396,GI$169,1+SwaptionShift):INDEX($FK$325:$ID$396,GI$169,SwaptionMonthsToGo+SwaptionShift))))))</f>
        <v/>
      </c>
      <c r="GJ220" s="150" t="str">
        <f aca="false">IF(OR(GJ$169&lt;SwaptionFirstMonthPosition+1,$FJ220&lt;SwaptionFirstMonthPosition+1,GJ$169&gt;SwaptionFirstMonthPosition+SwaptionNumOfMonths+1,$FJ220&gt;SwaptionFirstMonthPosition+SwaptionNumOfMonths+1),"",IF($FJ220=GJ$169,1,IF($FJ220&lt;GJ$169,INDEX($FK$170:$ID$241,GJ$169,$FJ220),SUMPRODUCT(INDEX($FK$325:$ID$396,GJ$169,1+SwaptionShift):INDEX($FK$325:$ID$396,GJ$169,SwaptionMonthsToGo+SwaptionShift),INDEX($FK$245:$ID$316,$FJ220-GJ$169,73-GJ$169+SwaptionShift):INDEX($FK$245:$ID$316,$FJ220-GJ$169,72-GJ$169+SwaptionMonthsToGo+SwaptionShift))/SQRT(SUM(INDEX($FK375:$ID375,1+SwaptionShift):INDEX($FK375:$ID375,SwaptionMonthsToGo+SwaptionShift))*SUM(INDEX($FK$325:$ID$396,GJ$169,1+SwaptionShift):INDEX($FK$325:$ID$396,GJ$169,SwaptionMonthsToGo+SwaptionShift))))))</f>
        <v/>
      </c>
      <c r="GK220" s="150" t="str">
        <f aca="false">IF(OR(GK$169&lt;SwaptionFirstMonthPosition+1,$FJ220&lt;SwaptionFirstMonthPosition+1,GK$169&gt;SwaptionFirstMonthPosition+SwaptionNumOfMonths+1,$FJ220&gt;SwaptionFirstMonthPosition+SwaptionNumOfMonths+1),"",IF($FJ220=GK$169,1,IF($FJ220&lt;GK$169,INDEX($FK$170:$ID$241,GK$169,$FJ220),SUMPRODUCT(INDEX($FK$325:$ID$396,GK$169,1+SwaptionShift):INDEX($FK$325:$ID$396,GK$169,SwaptionMonthsToGo+SwaptionShift),INDEX($FK$245:$ID$316,$FJ220-GK$169,73-GK$169+SwaptionShift):INDEX($FK$245:$ID$316,$FJ220-GK$169,72-GK$169+SwaptionMonthsToGo+SwaptionShift))/SQRT(SUM(INDEX($FK375:$ID375,1+SwaptionShift):INDEX($FK375:$ID375,SwaptionMonthsToGo+SwaptionShift))*SUM(INDEX($FK$325:$ID$396,GK$169,1+SwaptionShift):INDEX($FK$325:$ID$396,GK$169,SwaptionMonthsToGo+SwaptionShift))))))</f>
        <v/>
      </c>
      <c r="GL220" s="150" t="str">
        <f aca="false">IF(OR(GL$169&lt;SwaptionFirstMonthPosition+1,$FJ220&lt;SwaptionFirstMonthPosition+1,GL$169&gt;SwaptionFirstMonthPosition+SwaptionNumOfMonths+1,$FJ220&gt;SwaptionFirstMonthPosition+SwaptionNumOfMonths+1),"",IF($FJ220=GL$169,1,IF($FJ220&lt;GL$169,INDEX($FK$170:$ID$241,GL$169,$FJ220),SUMPRODUCT(INDEX($FK$325:$ID$396,GL$169,1+SwaptionShift):INDEX($FK$325:$ID$396,GL$169,SwaptionMonthsToGo+SwaptionShift),INDEX($FK$245:$ID$316,$FJ220-GL$169,73-GL$169+SwaptionShift):INDEX($FK$245:$ID$316,$FJ220-GL$169,72-GL$169+SwaptionMonthsToGo+SwaptionShift))/SQRT(SUM(INDEX($FK375:$ID375,1+SwaptionShift):INDEX($FK375:$ID375,SwaptionMonthsToGo+SwaptionShift))*SUM(INDEX($FK$325:$ID$396,GL$169,1+SwaptionShift):INDEX($FK$325:$ID$396,GL$169,SwaptionMonthsToGo+SwaptionShift))))))</f>
        <v/>
      </c>
      <c r="GM220" s="150" t="str">
        <f aca="false">IF(OR(GM$169&lt;SwaptionFirstMonthPosition+1,$FJ220&lt;SwaptionFirstMonthPosition+1,GM$169&gt;SwaptionFirstMonthPosition+SwaptionNumOfMonths+1,$FJ220&gt;SwaptionFirstMonthPosition+SwaptionNumOfMonths+1),"",IF($FJ220=GM$169,1,IF($FJ220&lt;GM$169,INDEX($FK$170:$ID$241,GM$169,$FJ220),SUMPRODUCT(INDEX($FK$325:$ID$396,GM$169,1+SwaptionShift):INDEX($FK$325:$ID$396,GM$169,SwaptionMonthsToGo+SwaptionShift),INDEX($FK$245:$ID$316,$FJ220-GM$169,73-GM$169+SwaptionShift):INDEX($FK$245:$ID$316,$FJ220-GM$169,72-GM$169+SwaptionMonthsToGo+SwaptionShift))/SQRT(SUM(INDEX($FK375:$ID375,1+SwaptionShift):INDEX($FK375:$ID375,SwaptionMonthsToGo+SwaptionShift))*SUM(INDEX($FK$325:$ID$396,GM$169,1+SwaptionShift):INDEX($FK$325:$ID$396,GM$169,SwaptionMonthsToGo+SwaptionShift))))))</f>
        <v/>
      </c>
      <c r="GN220" s="150" t="str">
        <f aca="false">IF(OR(GN$169&lt;SwaptionFirstMonthPosition+1,$FJ220&lt;SwaptionFirstMonthPosition+1,GN$169&gt;SwaptionFirstMonthPosition+SwaptionNumOfMonths+1,$FJ220&gt;SwaptionFirstMonthPosition+SwaptionNumOfMonths+1),"",IF($FJ220=GN$169,1,IF($FJ220&lt;GN$169,INDEX($FK$170:$ID$241,GN$169,$FJ220),SUMPRODUCT(INDEX($FK$325:$ID$396,GN$169,1+SwaptionShift):INDEX($FK$325:$ID$396,GN$169,SwaptionMonthsToGo+SwaptionShift),INDEX($FK$245:$ID$316,$FJ220-GN$169,73-GN$169+SwaptionShift):INDEX($FK$245:$ID$316,$FJ220-GN$169,72-GN$169+SwaptionMonthsToGo+SwaptionShift))/SQRT(SUM(INDEX($FK375:$ID375,1+SwaptionShift):INDEX($FK375:$ID375,SwaptionMonthsToGo+SwaptionShift))*SUM(INDEX($FK$325:$ID$396,GN$169,1+SwaptionShift):INDEX($FK$325:$ID$396,GN$169,SwaptionMonthsToGo+SwaptionShift))))))</f>
        <v/>
      </c>
      <c r="GO220" s="150" t="str">
        <f aca="false">IF(OR(GO$169&lt;SwaptionFirstMonthPosition+1,$FJ220&lt;SwaptionFirstMonthPosition+1,GO$169&gt;SwaptionFirstMonthPosition+SwaptionNumOfMonths+1,$FJ220&gt;SwaptionFirstMonthPosition+SwaptionNumOfMonths+1),"",IF($FJ220=GO$169,1,IF($FJ220&lt;GO$169,INDEX($FK$170:$ID$241,GO$169,$FJ220),SUMPRODUCT(INDEX($FK$325:$ID$396,GO$169,1+SwaptionShift):INDEX($FK$325:$ID$396,GO$169,SwaptionMonthsToGo+SwaptionShift),INDEX($FK$245:$ID$316,$FJ220-GO$169,73-GO$169+SwaptionShift):INDEX($FK$245:$ID$316,$FJ220-GO$169,72-GO$169+SwaptionMonthsToGo+SwaptionShift))/SQRT(SUM(INDEX($FK375:$ID375,1+SwaptionShift):INDEX($FK375:$ID375,SwaptionMonthsToGo+SwaptionShift))*SUM(INDEX($FK$325:$ID$396,GO$169,1+SwaptionShift):INDEX($FK$325:$ID$396,GO$169,SwaptionMonthsToGo+SwaptionShift))))))</f>
        <v/>
      </c>
      <c r="GP220" s="150" t="str">
        <f aca="false">IF(OR(GP$169&lt;SwaptionFirstMonthPosition+1,$FJ220&lt;SwaptionFirstMonthPosition+1,GP$169&gt;SwaptionFirstMonthPosition+SwaptionNumOfMonths+1,$FJ220&gt;SwaptionFirstMonthPosition+SwaptionNumOfMonths+1),"",IF($FJ220=GP$169,1,IF($FJ220&lt;GP$169,INDEX($FK$170:$ID$241,GP$169,$FJ220),SUMPRODUCT(INDEX($FK$325:$ID$396,GP$169,1+SwaptionShift):INDEX($FK$325:$ID$396,GP$169,SwaptionMonthsToGo+SwaptionShift),INDEX($FK$245:$ID$316,$FJ220-GP$169,73-GP$169+SwaptionShift):INDEX($FK$245:$ID$316,$FJ220-GP$169,72-GP$169+SwaptionMonthsToGo+SwaptionShift))/SQRT(SUM(INDEX($FK375:$ID375,1+SwaptionShift):INDEX($FK375:$ID375,SwaptionMonthsToGo+SwaptionShift))*SUM(INDEX($FK$325:$ID$396,GP$169,1+SwaptionShift):INDEX($FK$325:$ID$396,GP$169,SwaptionMonthsToGo+SwaptionShift))))))</f>
        <v/>
      </c>
      <c r="GQ220" s="150" t="str">
        <f aca="false">IF(OR(GQ$169&lt;SwaptionFirstMonthPosition+1,$FJ220&lt;SwaptionFirstMonthPosition+1,GQ$169&gt;SwaptionFirstMonthPosition+SwaptionNumOfMonths+1,$FJ220&gt;SwaptionFirstMonthPosition+SwaptionNumOfMonths+1),"",IF($FJ220=GQ$169,1,IF($FJ220&lt;GQ$169,INDEX($FK$170:$ID$241,GQ$169,$FJ220),SUMPRODUCT(INDEX($FK$325:$ID$396,GQ$169,1+SwaptionShift):INDEX($FK$325:$ID$396,GQ$169,SwaptionMonthsToGo+SwaptionShift),INDEX($FK$245:$ID$316,$FJ220-GQ$169,73-GQ$169+SwaptionShift):INDEX($FK$245:$ID$316,$FJ220-GQ$169,72-GQ$169+SwaptionMonthsToGo+SwaptionShift))/SQRT(SUM(INDEX($FK375:$ID375,1+SwaptionShift):INDEX($FK375:$ID375,SwaptionMonthsToGo+SwaptionShift))*SUM(INDEX($FK$325:$ID$396,GQ$169,1+SwaptionShift):INDEX($FK$325:$ID$396,GQ$169,SwaptionMonthsToGo+SwaptionShift))))))</f>
        <v/>
      </c>
      <c r="GR220" s="150" t="str">
        <f aca="false">IF(OR(GR$169&lt;SwaptionFirstMonthPosition+1,$FJ220&lt;SwaptionFirstMonthPosition+1,GR$169&gt;SwaptionFirstMonthPosition+SwaptionNumOfMonths+1,$FJ220&gt;SwaptionFirstMonthPosition+SwaptionNumOfMonths+1),"",IF($FJ220=GR$169,1,IF($FJ220&lt;GR$169,INDEX($FK$170:$ID$241,GR$169,$FJ220),SUMPRODUCT(INDEX($FK$325:$ID$396,GR$169,1+SwaptionShift):INDEX($FK$325:$ID$396,GR$169,SwaptionMonthsToGo+SwaptionShift),INDEX($FK$245:$ID$316,$FJ220-GR$169,73-GR$169+SwaptionShift):INDEX($FK$245:$ID$316,$FJ220-GR$169,72-GR$169+SwaptionMonthsToGo+SwaptionShift))/SQRT(SUM(INDEX($FK375:$ID375,1+SwaptionShift):INDEX($FK375:$ID375,SwaptionMonthsToGo+SwaptionShift))*SUM(INDEX($FK$325:$ID$396,GR$169,1+SwaptionShift):INDEX($FK$325:$ID$396,GR$169,SwaptionMonthsToGo+SwaptionShift))))))</f>
        <v/>
      </c>
      <c r="GS220" s="150" t="str">
        <f aca="false">IF(OR(GS$169&lt;SwaptionFirstMonthPosition+1,$FJ220&lt;SwaptionFirstMonthPosition+1,GS$169&gt;SwaptionFirstMonthPosition+SwaptionNumOfMonths+1,$FJ220&gt;SwaptionFirstMonthPosition+SwaptionNumOfMonths+1),"",IF($FJ220=GS$169,1,IF($FJ220&lt;GS$169,INDEX($FK$170:$ID$241,GS$169,$FJ220),SUMPRODUCT(INDEX($FK$325:$ID$396,GS$169,1+SwaptionShift):INDEX($FK$325:$ID$396,GS$169,SwaptionMonthsToGo+SwaptionShift),INDEX($FK$245:$ID$316,$FJ220-GS$169,73-GS$169+SwaptionShift):INDEX($FK$245:$ID$316,$FJ220-GS$169,72-GS$169+SwaptionMonthsToGo+SwaptionShift))/SQRT(SUM(INDEX($FK375:$ID375,1+SwaptionShift):INDEX($FK375:$ID375,SwaptionMonthsToGo+SwaptionShift))*SUM(INDEX($FK$325:$ID$396,GS$169,1+SwaptionShift):INDEX($FK$325:$ID$396,GS$169,SwaptionMonthsToGo+SwaptionShift))))))</f>
        <v/>
      </c>
      <c r="GT220" s="150" t="str">
        <f aca="false">IF(OR(GT$169&lt;SwaptionFirstMonthPosition+1,$FJ220&lt;SwaptionFirstMonthPosition+1,GT$169&gt;SwaptionFirstMonthPosition+SwaptionNumOfMonths+1,$FJ220&gt;SwaptionFirstMonthPosition+SwaptionNumOfMonths+1),"",IF($FJ220=GT$169,1,IF($FJ220&lt;GT$169,INDEX($FK$170:$ID$241,GT$169,$FJ220),SUMPRODUCT(INDEX($FK$325:$ID$396,GT$169,1+SwaptionShift):INDEX($FK$325:$ID$396,GT$169,SwaptionMonthsToGo+SwaptionShift),INDEX($FK$245:$ID$316,$FJ220-GT$169,73-GT$169+SwaptionShift):INDEX($FK$245:$ID$316,$FJ220-GT$169,72-GT$169+SwaptionMonthsToGo+SwaptionShift))/SQRT(SUM(INDEX($FK375:$ID375,1+SwaptionShift):INDEX($FK375:$ID375,SwaptionMonthsToGo+SwaptionShift))*SUM(INDEX($FK$325:$ID$396,GT$169,1+SwaptionShift):INDEX($FK$325:$ID$396,GT$169,SwaptionMonthsToGo+SwaptionShift))))))</f>
        <v/>
      </c>
      <c r="GU220" s="150" t="str">
        <f aca="false">IF(OR(GU$169&lt;SwaptionFirstMonthPosition+1,$FJ220&lt;SwaptionFirstMonthPosition+1,GU$169&gt;SwaptionFirstMonthPosition+SwaptionNumOfMonths+1,$FJ220&gt;SwaptionFirstMonthPosition+SwaptionNumOfMonths+1),"",IF($FJ220=GU$169,1,IF($FJ220&lt;GU$169,INDEX($FK$170:$ID$241,GU$169,$FJ220),SUMPRODUCT(INDEX($FK$325:$ID$396,GU$169,1+SwaptionShift):INDEX($FK$325:$ID$396,GU$169,SwaptionMonthsToGo+SwaptionShift),INDEX($FK$245:$ID$316,$FJ220-GU$169,73-GU$169+SwaptionShift):INDEX($FK$245:$ID$316,$FJ220-GU$169,72-GU$169+SwaptionMonthsToGo+SwaptionShift))/SQRT(SUM(INDEX($FK375:$ID375,1+SwaptionShift):INDEX($FK375:$ID375,SwaptionMonthsToGo+SwaptionShift))*SUM(INDEX($FK$325:$ID$396,GU$169,1+SwaptionShift):INDEX($FK$325:$ID$396,GU$169,SwaptionMonthsToGo+SwaptionShift))))))</f>
        <v/>
      </c>
      <c r="GV220" s="150" t="str">
        <f aca="false">IF(OR(GV$169&lt;SwaptionFirstMonthPosition+1,$FJ220&lt;SwaptionFirstMonthPosition+1,GV$169&gt;SwaptionFirstMonthPosition+SwaptionNumOfMonths+1,$FJ220&gt;SwaptionFirstMonthPosition+SwaptionNumOfMonths+1),"",IF($FJ220=GV$169,1,IF($FJ220&lt;GV$169,INDEX($FK$170:$ID$241,GV$169,$FJ220),SUMPRODUCT(INDEX($FK$325:$ID$396,GV$169,1+SwaptionShift):INDEX($FK$325:$ID$396,GV$169,SwaptionMonthsToGo+SwaptionShift),INDEX($FK$245:$ID$316,$FJ220-GV$169,73-GV$169+SwaptionShift):INDEX($FK$245:$ID$316,$FJ220-GV$169,72-GV$169+SwaptionMonthsToGo+SwaptionShift))/SQRT(SUM(INDEX($FK375:$ID375,1+SwaptionShift):INDEX($FK375:$ID375,SwaptionMonthsToGo+SwaptionShift))*SUM(INDEX($FK$325:$ID$396,GV$169,1+SwaptionShift):INDEX($FK$325:$ID$396,GV$169,SwaptionMonthsToGo+SwaptionShift))))))</f>
        <v/>
      </c>
      <c r="GW220" s="150" t="str">
        <f aca="false">IF(OR(GW$169&lt;SwaptionFirstMonthPosition+1,$FJ220&lt;SwaptionFirstMonthPosition+1,GW$169&gt;SwaptionFirstMonthPosition+SwaptionNumOfMonths+1,$FJ220&gt;SwaptionFirstMonthPosition+SwaptionNumOfMonths+1),"",IF($FJ220=GW$169,1,IF($FJ220&lt;GW$169,INDEX($FK$170:$ID$241,GW$169,$FJ220),SUMPRODUCT(INDEX($FK$325:$ID$396,GW$169,1+SwaptionShift):INDEX($FK$325:$ID$396,GW$169,SwaptionMonthsToGo+SwaptionShift),INDEX($FK$245:$ID$316,$FJ220-GW$169,73-GW$169+SwaptionShift):INDEX($FK$245:$ID$316,$FJ220-GW$169,72-GW$169+SwaptionMonthsToGo+SwaptionShift))/SQRT(SUM(INDEX($FK375:$ID375,1+SwaptionShift):INDEX($FK375:$ID375,SwaptionMonthsToGo+SwaptionShift))*SUM(INDEX($FK$325:$ID$396,GW$169,1+SwaptionShift):INDEX($FK$325:$ID$396,GW$169,SwaptionMonthsToGo+SwaptionShift))))))</f>
        <v/>
      </c>
      <c r="GX220" s="150" t="str">
        <f aca="false">IF(OR(GX$169&lt;SwaptionFirstMonthPosition+1,$FJ220&lt;SwaptionFirstMonthPosition+1,GX$169&gt;SwaptionFirstMonthPosition+SwaptionNumOfMonths+1,$FJ220&gt;SwaptionFirstMonthPosition+SwaptionNumOfMonths+1),"",IF($FJ220=GX$169,1,IF($FJ220&lt;GX$169,INDEX($FK$170:$ID$241,GX$169,$FJ220),SUMPRODUCT(INDEX($FK$325:$ID$396,GX$169,1+SwaptionShift):INDEX($FK$325:$ID$396,GX$169,SwaptionMonthsToGo+SwaptionShift),INDEX($FK$245:$ID$316,$FJ220-GX$169,73-GX$169+SwaptionShift):INDEX($FK$245:$ID$316,$FJ220-GX$169,72-GX$169+SwaptionMonthsToGo+SwaptionShift))/SQRT(SUM(INDEX($FK375:$ID375,1+SwaptionShift):INDEX($FK375:$ID375,SwaptionMonthsToGo+SwaptionShift))*SUM(INDEX($FK$325:$ID$396,GX$169,1+SwaptionShift):INDEX($FK$325:$ID$396,GX$169,SwaptionMonthsToGo+SwaptionShift))))))</f>
        <v/>
      </c>
      <c r="GY220" s="150" t="str">
        <f aca="false">IF(OR(GY$169&lt;SwaptionFirstMonthPosition+1,$FJ220&lt;SwaptionFirstMonthPosition+1,GY$169&gt;SwaptionFirstMonthPosition+SwaptionNumOfMonths+1,$FJ220&gt;SwaptionFirstMonthPosition+SwaptionNumOfMonths+1),"",IF($FJ220=GY$169,1,IF($FJ220&lt;GY$169,INDEX($FK$170:$ID$241,GY$169,$FJ220),SUMPRODUCT(INDEX($FK$325:$ID$396,GY$169,1+SwaptionShift):INDEX($FK$325:$ID$396,GY$169,SwaptionMonthsToGo+SwaptionShift),INDEX($FK$245:$ID$316,$FJ220-GY$169,73-GY$169+SwaptionShift):INDEX($FK$245:$ID$316,$FJ220-GY$169,72-GY$169+SwaptionMonthsToGo+SwaptionShift))/SQRT(SUM(INDEX($FK375:$ID375,1+SwaptionShift):INDEX($FK375:$ID375,SwaptionMonthsToGo+SwaptionShift))*SUM(INDEX($FK$325:$ID$396,GY$169,1+SwaptionShift):INDEX($FK$325:$ID$396,GY$169,SwaptionMonthsToGo+SwaptionShift))))))</f>
        <v/>
      </c>
      <c r="GZ220" s="150" t="str">
        <f aca="false">IF(OR(GZ$169&lt;SwaptionFirstMonthPosition+1,$FJ220&lt;SwaptionFirstMonthPosition+1,GZ$169&gt;SwaptionFirstMonthPosition+SwaptionNumOfMonths+1,$FJ220&gt;SwaptionFirstMonthPosition+SwaptionNumOfMonths+1),"",IF($FJ220=GZ$169,1,IF($FJ220&lt;GZ$169,INDEX($FK$170:$ID$241,GZ$169,$FJ220),SUMPRODUCT(INDEX($FK$325:$ID$396,GZ$169,1+SwaptionShift):INDEX($FK$325:$ID$396,GZ$169,SwaptionMonthsToGo+SwaptionShift),INDEX($FK$245:$ID$316,$FJ220-GZ$169,73-GZ$169+SwaptionShift):INDEX($FK$245:$ID$316,$FJ220-GZ$169,72-GZ$169+SwaptionMonthsToGo+SwaptionShift))/SQRT(SUM(INDEX($FK375:$ID375,1+SwaptionShift):INDEX($FK375:$ID375,SwaptionMonthsToGo+SwaptionShift))*SUM(INDEX($FK$325:$ID$396,GZ$169,1+SwaptionShift):INDEX($FK$325:$ID$396,GZ$169,SwaptionMonthsToGo+SwaptionShift))))))</f>
        <v/>
      </c>
      <c r="HA220" s="150" t="str">
        <f aca="false">IF(OR(HA$169&lt;SwaptionFirstMonthPosition+1,$FJ220&lt;SwaptionFirstMonthPosition+1,HA$169&gt;SwaptionFirstMonthPosition+SwaptionNumOfMonths+1,$FJ220&gt;SwaptionFirstMonthPosition+SwaptionNumOfMonths+1),"",IF($FJ220=HA$169,1,IF($FJ220&lt;HA$169,INDEX($FK$170:$ID$241,HA$169,$FJ220),SUMPRODUCT(INDEX($FK$325:$ID$396,HA$169,1+SwaptionShift):INDEX($FK$325:$ID$396,HA$169,SwaptionMonthsToGo+SwaptionShift),INDEX($FK$245:$ID$316,$FJ220-HA$169,73-HA$169+SwaptionShift):INDEX($FK$245:$ID$316,$FJ220-HA$169,72-HA$169+SwaptionMonthsToGo+SwaptionShift))/SQRT(SUM(INDEX($FK375:$ID375,1+SwaptionShift):INDEX($FK375:$ID375,SwaptionMonthsToGo+SwaptionShift))*SUM(INDEX($FK$325:$ID$396,HA$169,1+SwaptionShift):INDEX($FK$325:$ID$396,HA$169,SwaptionMonthsToGo+SwaptionShift))))))</f>
        <v/>
      </c>
      <c r="HB220" s="150" t="str">
        <f aca="false">IF(OR(HB$169&lt;SwaptionFirstMonthPosition+1,$FJ220&lt;SwaptionFirstMonthPosition+1,HB$169&gt;SwaptionFirstMonthPosition+SwaptionNumOfMonths+1,$FJ220&gt;SwaptionFirstMonthPosition+SwaptionNumOfMonths+1),"",IF($FJ220=HB$169,1,IF($FJ220&lt;HB$169,INDEX($FK$170:$ID$241,HB$169,$FJ220),SUMPRODUCT(INDEX($FK$325:$ID$396,HB$169,1+SwaptionShift):INDEX($FK$325:$ID$396,HB$169,SwaptionMonthsToGo+SwaptionShift),INDEX($FK$245:$ID$316,$FJ220-HB$169,73-HB$169+SwaptionShift):INDEX($FK$245:$ID$316,$FJ220-HB$169,72-HB$169+SwaptionMonthsToGo+SwaptionShift))/SQRT(SUM(INDEX($FK375:$ID375,1+SwaptionShift):INDEX($FK375:$ID375,SwaptionMonthsToGo+SwaptionShift))*SUM(INDEX($FK$325:$ID$396,HB$169,1+SwaptionShift):INDEX($FK$325:$ID$396,HB$169,SwaptionMonthsToGo+SwaptionShift))))))</f>
        <v/>
      </c>
      <c r="HC220" s="150" t="str">
        <f aca="false">IF(OR(HC$169&lt;SwaptionFirstMonthPosition+1,$FJ220&lt;SwaptionFirstMonthPosition+1,HC$169&gt;SwaptionFirstMonthPosition+SwaptionNumOfMonths+1,$FJ220&gt;SwaptionFirstMonthPosition+SwaptionNumOfMonths+1),"",IF($FJ220=HC$169,1,IF($FJ220&lt;HC$169,INDEX($FK$170:$ID$241,HC$169,$FJ220),SUMPRODUCT(INDEX($FK$325:$ID$396,HC$169,1+SwaptionShift):INDEX($FK$325:$ID$396,HC$169,SwaptionMonthsToGo+SwaptionShift),INDEX($FK$245:$ID$316,$FJ220-HC$169,73-HC$169+SwaptionShift):INDEX($FK$245:$ID$316,$FJ220-HC$169,72-HC$169+SwaptionMonthsToGo+SwaptionShift))/SQRT(SUM(INDEX($FK375:$ID375,1+SwaptionShift):INDEX($FK375:$ID375,SwaptionMonthsToGo+SwaptionShift))*SUM(INDEX($FK$325:$ID$396,HC$169,1+SwaptionShift):INDEX($FK$325:$ID$396,HC$169,SwaptionMonthsToGo+SwaptionShift))))))</f>
        <v/>
      </c>
      <c r="HD220" s="150" t="str">
        <f aca="false">IF(OR(HD$169&lt;SwaptionFirstMonthPosition+1,$FJ220&lt;SwaptionFirstMonthPosition+1,HD$169&gt;SwaptionFirstMonthPosition+SwaptionNumOfMonths+1,$FJ220&gt;SwaptionFirstMonthPosition+SwaptionNumOfMonths+1),"",IF($FJ220=HD$169,1,IF($FJ220&lt;HD$169,INDEX($FK$170:$ID$241,HD$169,$FJ220),SUMPRODUCT(INDEX($FK$325:$ID$396,HD$169,1+SwaptionShift):INDEX($FK$325:$ID$396,HD$169,SwaptionMonthsToGo+SwaptionShift),INDEX($FK$245:$ID$316,$FJ220-HD$169,73-HD$169+SwaptionShift):INDEX($FK$245:$ID$316,$FJ220-HD$169,72-HD$169+SwaptionMonthsToGo+SwaptionShift))/SQRT(SUM(INDEX($FK375:$ID375,1+SwaptionShift):INDEX($FK375:$ID375,SwaptionMonthsToGo+SwaptionShift))*SUM(INDEX($FK$325:$ID$396,HD$169,1+SwaptionShift):INDEX($FK$325:$ID$396,HD$169,SwaptionMonthsToGo+SwaptionShift))))))</f>
        <v/>
      </c>
      <c r="HE220" s="150" t="str">
        <f aca="false">IF(OR(HE$169&lt;SwaptionFirstMonthPosition+1,$FJ220&lt;SwaptionFirstMonthPosition+1,HE$169&gt;SwaptionFirstMonthPosition+SwaptionNumOfMonths+1,$FJ220&gt;SwaptionFirstMonthPosition+SwaptionNumOfMonths+1),"",IF($FJ220=HE$169,1,IF($FJ220&lt;HE$169,INDEX($FK$170:$ID$241,HE$169,$FJ220),SUMPRODUCT(INDEX($FK$325:$ID$396,HE$169,1+SwaptionShift):INDEX($FK$325:$ID$396,HE$169,SwaptionMonthsToGo+SwaptionShift),INDEX($FK$245:$ID$316,$FJ220-HE$169,73-HE$169+SwaptionShift):INDEX($FK$245:$ID$316,$FJ220-HE$169,72-HE$169+SwaptionMonthsToGo+SwaptionShift))/SQRT(SUM(INDEX($FK375:$ID375,1+SwaptionShift):INDEX($FK375:$ID375,SwaptionMonthsToGo+SwaptionShift))*SUM(INDEX($FK$325:$ID$396,HE$169,1+SwaptionShift):INDEX($FK$325:$ID$396,HE$169,SwaptionMonthsToGo+SwaptionShift))))))</f>
        <v/>
      </c>
      <c r="HF220" s="150" t="str">
        <f aca="false">IF(OR(HF$169&lt;SwaptionFirstMonthPosition+1,$FJ220&lt;SwaptionFirstMonthPosition+1,HF$169&gt;SwaptionFirstMonthPosition+SwaptionNumOfMonths+1,$FJ220&gt;SwaptionFirstMonthPosition+SwaptionNumOfMonths+1),"",IF($FJ220=HF$169,1,IF($FJ220&lt;HF$169,INDEX($FK$170:$ID$241,HF$169,$FJ220),SUMPRODUCT(INDEX($FK$325:$ID$396,HF$169,1+SwaptionShift):INDEX($FK$325:$ID$396,HF$169,SwaptionMonthsToGo+SwaptionShift),INDEX($FK$245:$ID$316,$FJ220-HF$169,73-HF$169+SwaptionShift):INDEX($FK$245:$ID$316,$FJ220-HF$169,72-HF$169+SwaptionMonthsToGo+SwaptionShift))/SQRT(SUM(INDEX($FK375:$ID375,1+SwaptionShift):INDEX($FK375:$ID375,SwaptionMonthsToGo+SwaptionShift))*SUM(INDEX($FK$325:$ID$396,HF$169,1+SwaptionShift):INDEX($FK$325:$ID$396,HF$169,SwaptionMonthsToGo+SwaptionShift))))))</f>
        <v/>
      </c>
      <c r="HG220" s="150" t="str">
        <f aca="false">IF(OR(HG$169&lt;SwaptionFirstMonthPosition+1,$FJ220&lt;SwaptionFirstMonthPosition+1,HG$169&gt;SwaptionFirstMonthPosition+SwaptionNumOfMonths+1,$FJ220&gt;SwaptionFirstMonthPosition+SwaptionNumOfMonths+1),"",IF($FJ220=HG$169,1,IF($FJ220&lt;HG$169,INDEX($FK$170:$ID$241,HG$169,$FJ220),SUMPRODUCT(INDEX($FK$325:$ID$396,HG$169,1+SwaptionShift):INDEX($FK$325:$ID$396,HG$169,SwaptionMonthsToGo+SwaptionShift),INDEX($FK$245:$ID$316,$FJ220-HG$169,73-HG$169+SwaptionShift):INDEX($FK$245:$ID$316,$FJ220-HG$169,72-HG$169+SwaptionMonthsToGo+SwaptionShift))/SQRT(SUM(INDEX($FK375:$ID375,1+SwaptionShift):INDEX($FK375:$ID375,SwaptionMonthsToGo+SwaptionShift))*SUM(INDEX($FK$325:$ID$396,HG$169,1+SwaptionShift):INDEX($FK$325:$ID$396,HG$169,SwaptionMonthsToGo+SwaptionShift))))))</f>
        <v/>
      </c>
      <c r="HH220" s="150" t="str">
        <f aca="false">IF(OR(HH$169&lt;SwaptionFirstMonthPosition+1,$FJ220&lt;SwaptionFirstMonthPosition+1,HH$169&gt;SwaptionFirstMonthPosition+SwaptionNumOfMonths+1,$FJ220&gt;SwaptionFirstMonthPosition+SwaptionNumOfMonths+1),"",IF($FJ220=HH$169,1,IF($FJ220&lt;HH$169,INDEX($FK$170:$ID$241,HH$169,$FJ220),SUMPRODUCT(INDEX($FK$325:$ID$396,HH$169,1+SwaptionShift):INDEX($FK$325:$ID$396,HH$169,SwaptionMonthsToGo+SwaptionShift),INDEX($FK$245:$ID$316,$FJ220-HH$169,73-HH$169+SwaptionShift):INDEX($FK$245:$ID$316,$FJ220-HH$169,72-HH$169+SwaptionMonthsToGo+SwaptionShift))/SQRT(SUM(INDEX($FK375:$ID375,1+SwaptionShift):INDEX($FK375:$ID375,SwaptionMonthsToGo+SwaptionShift))*SUM(INDEX($FK$325:$ID$396,HH$169,1+SwaptionShift):INDEX($FK$325:$ID$396,HH$169,SwaptionMonthsToGo+SwaptionShift))))))</f>
        <v/>
      </c>
      <c r="HI220" s="150" t="str">
        <f aca="false">IF(OR(HI$169&lt;SwaptionFirstMonthPosition+1,$FJ220&lt;SwaptionFirstMonthPosition+1,HI$169&gt;SwaptionFirstMonthPosition+SwaptionNumOfMonths+1,$FJ220&gt;SwaptionFirstMonthPosition+SwaptionNumOfMonths+1),"",IF($FJ220=HI$169,1,IF($FJ220&lt;HI$169,INDEX($FK$170:$ID$241,HI$169,$FJ220),SUMPRODUCT(INDEX($FK$325:$ID$396,HI$169,1+SwaptionShift):INDEX($FK$325:$ID$396,HI$169,SwaptionMonthsToGo+SwaptionShift),INDEX($FK$245:$ID$316,$FJ220-HI$169,73-HI$169+SwaptionShift):INDEX($FK$245:$ID$316,$FJ220-HI$169,72-HI$169+SwaptionMonthsToGo+SwaptionShift))/SQRT(SUM(INDEX($FK375:$ID375,1+SwaptionShift):INDEX($FK375:$ID375,SwaptionMonthsToGo+SwaptionShift))*SUM(INDEX($FK$325:$ID$396,HI$169,1+SwaptionShift):INDEX($FK$325:$ID$396,HI$169,SwaptionMonthsToGo+SwaptionShift))))))</f>
        <v/>
      </c>
      <c r="HJ220" s="150" t="str">
        <f aca="false">IF(OR(HJ$169&lt;SwaptionFirstMonthPosition+1,$FJ220&lt;SwaptionFirstMonthPosition+1,HJ$169&gt;SwaptionFirstMonthPosition+SwaptionNumOfMonths+1,$FJ220&gt;SwaptionFirstMonthPosition+SwaptionNumOfMonths+1),"",IF($FJ220=HJ$169,1,IF($FJ220&lt;HJ$169,INDEX($FK$170:$ID$241,HJ$169,$FJ220),SUMPRODUCT(INDEX($FK$325:$ID$396,HJ$169,1+SwaptionShift):INDEX($FK$325:$ID$396,HJ$169,SwaptionMonthsToGo+SwaptionShift),INDEX($FK$245:$ID$316,$FJ220-HJ$169,73-HJ$169+SwaptionShift):INDEX($FK$245:$ID$316,$FJ220-HJ$169,72-HJ$169+SwaptionMonthsToGo+SwaptionShift))/SQRT(SUM(INDEX($FK375:$ID375,1+SwaptionShift):INDEX($FK375:$ID375,SwaptionMonthsToGo+SwaptionShift))*SUM(INDEX($FK$325:$ID$396,HJ$169,1+SwaptionShift):INDEX($FK$325:$ID$396,HJ$169,SwaptionMonthsToGo+SwaptionShift))))))</f>
        <v/>
      </c>
      <c r="HK220" s="150" t="str">
        <f aca="false">IF(OR(HK$169&lt;SwaptionFirstMonthPosition+1,$FJ220&lt;SwaptionFirstMonthPosition+1,HK$169&gt;SwaptionFirstMonthPosition+SwaptionNumOfMonths+1,$FJ220&gt;SwaptionFirstMonthPosition+SwaptionNumOfMonths+1),"",IF($FJ220=HK$169,1,IF($FJ220&lt;HK$169,INDEX($FK$170:$ID$241,HK$169,$FJ220),SUMPRODUCT(INDEX($FK$325:$ID$396,HK$169,1+SwaptionShift):INDEX($FK$325:$ID$396,HK$169,SwaptionMonthsToGo+SwaptionShift),INDEX($FK$245:$ID$316,$FJ220-HK$169,73-HK$169+SwaptionShift):INDEX($FK$245:$ID$316,$FJ220-HK$169,72-HK$169+SwaptionMonthsToGo+SwaptionShift))/SQRT(SUM(INDEX($FK375:$ID375,1+SwaptionShift):INDEX($FK375:$ID375,SwaptionMonthsToGo+SwaptionShift))*SUM(INDEX($FK$325:$ID$396,HK$169,1+SwaptionShift):INDEX($FK$325:$ID$396,HK$169,SwaptionMonthsToGo+SwaptionShift))))))</f>
        <v/>
      </c>
      <c r="HL220" s="150" t="str">
        <f aca="false">IF(OR(HL$169&lt;SwaptionFirstMonthPosition+1,$FJ220&lt;SwaptionFirstMonthPosition+1,HL$169&gt;SwaptionFirstMonthPosition+SwaptionNumOfMonths+1,$FJ220&gt;SwaptionFirstMonthPosition+SwaptionNumOfMonths+1),"",IF($FJ220=HL$169,1,IF($FJ220&lt;HL$169,INDEX($FK$170:$ID$241,HL$169,$FJ220),SUMPRODUCT(INDEX($FK$325:$ID$396,HL$169,1+SwaptionShift):INDEX($FK$325:$ID$396,HL$169,SwaptionMonthsToGo+SwaptionShift),INDEX($FK$245:$ID$316,$FJ220-HL$169,73-HL$169+SwaptionShift):INDEX($FK$245:$ID$316,$FJ220-HL$169,72-HL$169+SwaptionMonthsToGo+SwaptionShift))/SQRT(SUM(INDEX($FK375:$ID375,1+SwaptionShift):INDEX($FK375:$ID375,SwaptionMonthsToGo+SwaptionShift))*SUM(INDEX($FK$325:$ID$396,HL$169,1+SwaptionShift):INDEX($FK$325:$ID$396,HL$169,SwaptionMonthsToGo+SwaptionShift))))))</f>
        <v/>
      </c>
      <c r="HM220" s="150" t="str">
        <f aca="false">IF(OR(HM$169&lt;SwaptionFirstMonthPosition+1,$FJ220&lt;SwaptionFirstMonthPosition+1,HM$169&gt;SwaptionFirstMonthPosition+SwaptionNumOfMonths+1,$FJ220&gt;SwaptionFirstMonthPosition+SwaptionNumOfMonths+1),"",IF($FJ220=HM$169,1,IF($FJ220&lt;HM$169,INDEX($FK$170:$ID$241,HM$169,$FJ220),SUMPRODUCT(INDEX($FK$325:$ID$396,HM$169,1+SwaptionShift):INDEX($FK$325:$ID$396,HM$169,SwaptionMonthsToGo+SwaptionShift),INDEX($FK$245:$ID$316,$FJ220-HM$169,73-HM$169+SwaptionShift):INDEX($FK$245:$ID$316,$FJ220-HM$169,72-HM$169+SwaptionMonthsToGo+SwaptionShift))/SQRT(SUM(INDEX($FK375:$ID375,1+SwaptionShift):INDEX($FK375:$ID375,SwaptionMonthsToGo+SwaptionShift))*SUM(INDEX($FK$325:$ID$396,HM$169,1+SwaptionShift):INDEX($FK$325:$ID$396,HM$169,SwaptionMonthsToGo+SwaptionShift))))))</f>
        <v/>
      </c>
      <c r="HN220" s="150" t="str">
        <f aca="false">IF(OR(HN$169&lt;SwaptionFirstMonthPosition+1,$FJ220&lt;SwaptionFirstMonthPosition+1,HN$169&gt;SwaptionFirstMonthPosition+SwaptionNumOfMonths+1,$FJ220&gt;SwaptionFirstMonthPosition+SwaptionNumOfMonths+1),"",IF($FJ220=HN$169,1,IF($FJ220&lt;HN$169,INDEX($FK$170:$ID$241,HN$169,$FJ220),SUMPRODUCT(INDEX($FK$325:$ID$396,HN$169,1+SwaptionShift):INDEX($FK$325:$ID$396,HN$169,SwaptionMonthsToGo+SwaptionShift),INDEX($FK$245:$ID$316,$FJ220-HN$169,73-HN$169+SwaptionShift):INDEX($FK$245:$ID$316,$FJ220-HN$169,72-HN$169+SwaptionMonthsToGo+SwaptionShift))/SQRT(SUM(INDEX($FK375:$ID375,1+SwaptionShift):INDEX($FK375:$ID375,SwaptionMonthsToGo+SwaptionShift))*SUM(INDEX($FK$325:$ID$396,HN$169,1+SwaptionShift):INDEX($FK$325:$ID$396,HN$169,SwaptionMonthsToGo+SwaptionShift))))))</f>
        <v/>
      </c>
      <c r="HO220" s="150" t="str">
        <f aca="false">IF(OR(HO$169&lt;SwaptionFirstMonthPosition+1,$FJ220&lt;SwaptionFirstMonthPosition+1,HO$169&gt;SwaptionFirstMonthPosition+SwaptionNumOfMonths+1,$FJ220&gt;SwaptionFirstMonthPosition+SwaptionNumOfMonths+1),"",IF($FJ220=HO$169,1,IF($FJ220&lt;HO$169,INDEX($FK$170:$ID$241,HO$169,$FJ220),SUMPRODUCT(INDEX($FK$325:$ID$396,HO$169,1+SwaptionShift):INDEX($FK$325:$ID$396,HO$169,SwaptionMonthsToGo+SwaptionShift),INDEX($FK$245:$ID$316,$FJ220-HO$169,73-HO$169+SwaptionShift):INDEX($FK$245:$ID$316,$FJ220-HO$169,72-HO$169+SwaptionMonthsToGo+SwaptionShift))/SQRT(SUM(INDEX($FK375:$ID375,1+SwaptionShift):INDEX($FK375:$ID375,SwaptionMonthsToGo+SwaptionShift))*SUM(INDEX($FK$325:$ID$396,HO$169,1+SwaptionShift):INDEX($FK$325:$ID$396,HO$169,SwaptionMonthsToGo+SwaptionShift))))))</f>
        <v/>
      </c>
      <c r="HP220" s="150" t="str">
        <f aca="false">IF(OR(HP$169&lt;SwaptionFirstMonthPosition+1,$FJ220&lt;SwaptionFirstMonthPosition+1,HP$169&gt;SwaptionFirstMonthPosition+SwaptionNumOfMonths+1,$FJ220&gt;SwaptionFirstMonthPosition+SwaptionNumOfMonths+1),"",IF($FJ220=HP$169,1,IF($FJ220&lt;HP$169,INDEX($FK$170:$ID$241,HP$169,$FJ220),SUMPRODUCT(INDEX($FK$325:$ID$396,HP$169,1+SwaptionShift):INDEX($FK$325:$ID$396,HP$169,SwaptionMonthsToGo+SwaptionShift),INDEX($FK$245:$ID$316,$FJ220-HP$169,73-HP$169+SwaptionShift):INDEX($FK$245:$ID$316,$FJ220-HP$169,72-HP$169+SwaptionMonthsToGo+SwaptionShift))/SQRT(SUM(INDEX($FK375:$ID375,1+SwaptionShift):INDEX($FK375:$ID375,SwaptionMonthsToGo+SwaptionShift))*SUM(INDEX($FK$325:$ID$396,HP$169,1+SwaptionShift):INDEX($FK$325:$ID$396,HP$169,SwaptionMonthsToGo+SwaptionShift))))))</f>
        <v/>
      </c>
      <c r="HQ220" s="150" t="str">
        <f aca="false">IF(OR(HQ$169&lt;SwaptionFirstMonthPosition+1,$FJ220&lt;SwaptionFirstMonthPosition+1,HQ$169&gt;SwaptionFirstMonthPosition+SwaptionNumOfMonths+1,$FJ220&gt;SwaptionFirstMonthPosition+SwaptionNumOfMonths+1),"",IF($FJ220=HQ$169,1,IF($FJ220&lt;HQ$169,INDEX($FK$170:$ID$241,HQ$169,$FJ220),SUMPRODUCT(INDEX($FK$325:$ID$396,HQ$169,1+SwaptionShift):INDEX($FK$325:$ID$396,HQ$169,SwaptionMonthsToGo+SwaptionShift),INDEX($FK$245:$ID$316,$FJ220-HQ$169,73-HQ$169+SwaptionShift):INDEX($FK$245:$ID$316,$FJ220-HQ$169,72-HQ$169+SwaptionMonthsToGo+SwaptionShift))/SQRT(SUM(INDEX($FK375:$ID375,1+SwaptionShift):INDEX($FK375:$ID375,SwaptionMonthsToGo+SwaptionShift))*SUM(INDEX($FK$325:$ID$396,HQ$169,1+SwaptionShift):INDEX($FK$325:$ID$396,HQ$169,SwaptionMonthsToGo+SwaptionShift))))))</f>
        <v/>
      </c>
      <c r="HR220" s="150" t="str">
        <f aca="false">IF(OR(HR$169&lt;SwaptionFirstMonthPosition+1,$FJ220&lt;SwaptionFirstMonthPosition+1,HR$169&gt;SwaptionFirstMonthPosition+SwaptionNumOfMonths+1,$FJ220&gt;SwaptionFirstMonthPosition+SwaptionNumOfMonths+1),"",IF($FJ220=HR$169,1,IF($FJ220&lt;HR$169,INDEX($FK$170:$ID$241,HR$169,$FJ220),SUMPRODUCT(INDEX($FK$325:$ID$396,HR$169,1+SwaptionShift):INDEX($FK$325:$ID$396,HR$169,SwaptionMonthsToGo+SwaptionShift),INDEX($FK$245:$ID$316,$FJ220-HR$169,73-HR$169+SwaptionShift):INDEX($FK$245:$ID$316,$FJ220-HR$169,72-HR$169+SwaptionMonthsToGo+SwaptionShift))/SQRT(SUM(INDEX($FK375:$ID375,1+SwaptionShift):INDEX($FK375:$ID375,SwaptionMonthsToGo+SwaptionShift))*SUM(INDEX($FK$325:$ID$396,HR$169,1+SwaptionShift):INDEX($FK$325:$ID$396,HR$169,SwaptionMonthsToGo+SwaptionShift))))))</f>
        <v/>
      </c>
      <c r="HS220" s="150" t="str">
        <f aca="false">IF(OR(HS$169&lt;SwaptionFirstMonthPosition+1,$FJ220&lt;SwaptionFirstMonthPosition+1,HS$169&gt;SwaptionFirstMonthPosition+SwaptionNumOfMonths+1,$FJ220&gt;SwaptionFirstMonthPosition+SwaptionNumOfMonths+1),"",IF($FJ220=HS$169,1,IF($FJ220&lt;HS$169,INDEX($FK$170:$ID$241,HS$169,$FJ220),SUMPRODUCT(INDEX($FK$325:$ID$396,HS$169,1+SwaptionShift):INDEX($FK$325:$ID$396,HS$169,SwaptionMonthsToGo+SwaptionShift),INDEX($FK$245:$ID$316,$FJ220-HS$169,73-HS$169+SwaptionShift):INDEX($FK$245:$ID$316,$FJ220-HS$169,72-HS$169+SwaptionMonthsToGo+SwaptionShift))/SQRT(SUM(INDEX($FK375:$ID375,1+SwaptionShift):INDEX($FK375:$ID375,SwaptionMonthsToGo+SwaptionShift))*SUM(INDEX($FK$325:$ID$396,HS$169,1+SwaptionShift):INDEX($FK$325:$ID$396,HS$169,SwaptionMonthsToGo+SwaptionShift))))))</f>
        <v/>
      </c>
      <c r="HT220" s="150" t="str">
        <f aca="false">IF(OR(HT$169&lt;SwaptionFirstMonthPosition+1,$FJ220&lt;SwaptionFirstMonthPosition+1,HT$169&gt;SwaptionFirstMonthPosition+SwaptionNumOfMonths+1,$FJ220&gt;SwaptionFirstMonthPosition+SwaptionNumOfMonths+1),"",IF($FJ220=HT$169,1,IF($FJ220&lt;HT$169,INDEX($FK$170:$ID$241,HT$169,$FJ220),SUMPRODUCT(INDEX($FK$325:$ID$396,HT$169,1+SwaptionShift):INDEX($FK$325:$ID$396,HT$169,SwaptionMonthsToGo+SwaptionShift),INDEX($FK$245:$ID$316,$FJ220-HT$169,73-HT$169+SwaptionShift):INDEX($FK$245:$ID$316,$FJ220-HT$169,72-HT$169+SwaptionMonthsToGo+SwaptionShift))/SQRT(SUM(INDEX($FK375:$ID375,1+SwaptionShift):INDEX($FK375:$ID375,SwaptionMonthsToGo+SwaptionShift))*SUM(INDEX($FK$325:$ID$396,HT$169,1+SwaptionShift):INDEX($FK$325:$ID$396,HT$169,SwaptionMonthsToGo+SwaptionShift))))))</f>
        <v/>
      </c>
      <c r="HU220" s="150" t="str">
        <f aca="false">IF(OR(HU$169&lt;SwaptionFirstMonthPosition+1,$FJ220&lt;SwaptionFirstMonthPosition+1,HU$169&gt;SwaptionFirstMonthPosition+SwaptionNumOfMonths+1,$FJ220&gt;SwaptionFirstMonthPosition+SwaptionNumOfMonths+1),"",IF($FJ220=HU$169,1,IF($FJ220&lt;HU$169,INDEX($FK$170:$ID$241,HU$169,$FJ220),SUMPRODUCT(INDEX($FK$325:$ID$396,HU$169,1+SwaptionShift):INDEX($FK$325:$ID$396,HU$169,SwaptionMonthsToGo+SwaptionShift),INDEX($FK$245:$ID$316,$FJ220-HU$169,73-HU$169+SwaptionShift):INDEX($FK$245:$ID$316,$FJ220-HU$169,72-HU$169+SwaptionMonthsToGo+SwaptionShift))/SQRT(SUM(INDEX($FK375:$ID375,1+SwaptionShift):INDEX($FK375:$ID375,SwaptionMonthsToGo+SwaptionShift))*SUM(INDEX($FK$325:$ID$396,HU$169,1+SwaptionShift):INDEX($FK$325:$ID$396,HU$169,SwaptionMonthsToGo+SwaptionShift))))))</f>
        <v/>
      </c>
      <c r="HV220" s="150" t="str">
        <f aca="false">IF(OR(HV$169&lt;SwaptionFirstMonthPosition+1,$FJ220&lt;SwaptionFirstMonthPosition+1,HV$169&gt;SwaptionFirstMonthPosition+SwaptionNumOfMonths+1,$FJ220&gt;SwaptionFirstMonthPosition+SwaptionNumOfMonths+1),"",IF($FJ220=HV$169,1,IF($FJ220&lt;HV$169,INDEX($FK$170:$ID$241,HV$169,$FJ220),SUMPRODUCT(INDEX($FK$325:$ID$396,HV$169,1+SwaptionShift):INDEX($FK$325:$ID$396,HV$169,SwaptionMonthsToGo+SwaptionShift),INDEX($FK$245:$ID$316,$FJ220-HV$169,73-HV$169+SwaptionShift):INDEX($FK$245:$ID$316,$FJ220-HV$169,72-HV$169+SwaptionMonthsToGo+SwaptionShift))/SQRT(SUM(INDEX($FK375:$ID375,1+SwaptionShift):INDEX($FK375:$ID375,SwaptionMonthsToGo+SwaptionShift))*SUM(INDEX($FK$325:$ID$396,HV$169,1+SwaptionShift):INDEX($FK$325:$ID$396,HV$169,SwaptionMonthsToGo+SwaptionShift))))))</f>
        <v/>
      </c>
      <c r="HW220" s="150" t="str">
        <f aca="false">IF(OR(HW$169&lt;SwaptionFirstMonthPosition+1,$FJ220&lt;SwaptionFirstMonthPosition+1,HW$169&gt;SwaptionFirstMonthPosition+SwaptionNumOfMonths+1,$FJ220&gt;SwaptionFirstMonthPosition+SwaptionNumOfMonths+1),"",IF($FJ220=HW$169,1,IF($FJ220&lt;HW$169,INDEX($FK$170:$ID$241,HW$169,$FJ220),SUMPRODUCT(INDEX($FK$325:$ID$396,HW$169,1+SwaptionShift):INDEX($FK$325:$ID$396,HW$169,SwaptionMonthsToGo+SwaptionShift),INDEX($FK$245:$ID$316,$FJ220-HW$169,73-HW$169+SwaptionShift):INDEX($FK$245:$ID$316,$FJ220-HW$169,72-HW$169+SwaptionMonthsToGo+SwaptionShift))/SQRT(SUM(INDEX($FK375:$ID375,1+SwaptionShift):INDEX($FK375:$ID375,SwaptionMonthsToGo+SwaptionShift))*SUM(INDEX($FK$325:$ID$396,HW$169,1+SwaptionShift):INDEX($FK$325:$ID$396,HW$169,SwaptionMonthsToGo+SwaptionShift))))))</f>
        <v/>
      </c>
      <c r="HX220" s="150" t="str">
        <f aca="false">IF(OR(HX$169&lt;SwaptionFirstMonthPosition+1,$FJ220&lt;SwaptionFirstMonthPosition+1,HX$169&gt;SwaptionFirstMonthPosition+SwaptionNumOfMonths+1,$FJ220&gt;SwaptionFirstMonthPosition+SwaptionNumOfMonths+1),"",IF($FJ220=HX$169,1,IF($FJ220&lt;HX$169,INDEX($FK$170:$ID$241,HX$169,$FJ220),SUMPRODUCT(INDEX($FK$325:$ID$396,HX$169,1+SwaptionShift):INDEX($FK$325:$ID$396,HX$169,SwaptionMonthsToGo+SwaptionShift),INDEX($FK$245:$ID$316,$FJ220-HX$169,73-HX$169+SwaptionShift):INDEX($FK$245:$ID$316,$FJ220-HX$169,72-HX$169+SwaptionMonthsToGo+SwaptionShift))/SQRT(SUM(INDEX($FK375:$ID375,1+SwaptionShift):INDEX($FK375:$ID375,SwaptionMonthsToGo+SwaptionShift))*SUM(INDEX($FK$325:$ID$396,HX$169,1+SwaptionShift):INDEX($FK$325:$ID$396,HX$169,SwaptionMonthsToGo+SwaptionShift))))))</f>
        <v/>
      </c>
      <c r="HY220" s="150" t="str">
        <f aca="false">IF(OR(HY$169&lt;SwaptionFirstMonthPosition+1,$FJ220&lt;SwaptionFirstMonthPosition+1,HY$169&gt;SwaptionFirstMonthPosition+SwaptionNumOfMonths+1,$FJ220&gt;SwaptionFirstMonthPosition+SwaptionNumOfMonths+1),"",IF($FJ220=HY$169,1,IF($FJ220&lt;HY$169,INDEX($FK$170:$ID$241,HY$169,$FJ220),SUMPRODUCT(INDEX($FK$325:$ID$396,HY$169,1+SwaptionShift):INDEX($FK$325:$ID$396,HY$169,SwaptionMonthsToGo+SwaptionShift),INDEX($FK$245:$ID$316,$FJ220-HY$169,73-HY$169+SwaptionShift):INDEX($FK$245:$ID$316,$FJ220-HY$169,72-HY$169+SwaptionMonthsToGo+SwaptionShift))/SQRT(SUM(INDEX($FK375:$ID375,1+SwaptionShift):INDEX($FK375:$ID375,SwaptionMonthsToGo+SwaptionShift))*SUM(INDEX($FK$325:$ID$396,HY$169,1+SwaptionShift):INDEX($FK$325:$ID$396,HY$169,SwaptionMonthsToGo+SwaptionShift))))))</f>
        <v/>
      </c>
      <c r="HZ220" s="150" t="str">
        <f aca="false">IF(OR(HZ$169&lt;SwaptionFirstMonthPosition+1,$FJ220&lt;SwaptionFirstMonthPosition+1,HZ$169&gt;SwaptionFirstMonthPosition+SwaptionNumOfMonths+1,$FJ220&gt;SwaptionFirstMonthPosition+SwaptionNumOfMonths+1),"",IF($FJ220=HZ$169,1,IF($FJ220&lt;HZ$169,INDEX($FK$170:$ID$241,HZ$169,$FJ220),SUMPRODUCT(INDEX($FK$325:$ID$396,HZ$169,1+SwaptionShift):INDEX($FK$325:$ID$396,HZ$169,SwaptionMonthsToGo+SwaptionShift),INDEX($FK$245:$ID$316,$FJ220-HZ$169,73-HZ$169+SwaptionShift):INDEX($FK$245:$ID$316,$FJ220-HZ$169,72-HZ$169+SwaptionMonthsToGo+SwaptionShift))/SQRT(SUM(INDEX($FK375:$ID375,1+SwaptionShift):INDEX($FK375:$ID375,SwaptionMonthsToGo+SwaptionShift))*SUM(INDEX($FK$325:$ID$396,HZ$169,1+SwaptionShift):INDEX($FK$325:$ID$396,HZ$169,SwaptionMonthsToGo+SwaptionShift))))))</f>
        <v/>
      </c>
      <c r="IA220" s="150" t="str">
        <f aca="false">IF(OR(IA$169&lt;SwaptionFirstMonthPosition+1,$FJ220&lt;SwaptionFirstMonthPosition+1,IA$169&gt;SwaptionFirstMonthPosition+SwaptionNumOfMonths+1,$FJ220&gt;SwaptionFirstMonthPosition+SwaptionNumOfMonths+1),"",IF($FJ220=IA$169,1,IF($FJ220&lt;IA$169,INDEX($FK$170:$ID$241,IA$169,$FJ220),SUMPRODUCT(INDEX($FK$325:$ID$396,IA$169,1+SwaptionShift):INDEX($FK$325:$ID$396,IA$169,SwaptionMonthsToGo+SwaptionShift),INDEX($FK$245:$ID$316,$FJ220-IA$169,73-IA$169+SwaptionShift):INDEX($FK$245:$ID$316,$FJ220-IA$169,72-IA$169+SwaptionMonthsToGo+SwaptionShift))/SQRT(SUM(INDEX($FK375:$ID375,1+SwaptionShift):INDEX($FK375:$ID375,SwaptionMonthsToGo+SwaptionShift))*SUM(INDEX($FK$325:$ID$396,IA$169,1+SwaptionShift):INDEX($FK$325:$ID$396,IA$169,SwaptionMonthsToGo+SwaptionShift))))))</f>
        <v/>
      </c>
      <c r="IB220" s="150" t="str">
        <f aca="false">IF(OR(IB$169&lt;SwaptionFirstMonthPosition+1,$FJ220&lt;SwaptionFirstMonthPosition+1,IB$169&gt;SwaptionFirstMonthPosition+SwaptionNumOfMonths+1,$FJ220&gt;SwaptionFirstMonthPosition+SwaptionNumOfMonths+1),"",IF($FJ220=IB$169,1,IF($FJ220&lt;IB$169,INDEX($FK$170:$ID$241,IB$169,$FJ220),SUMPRODUCT(INDEX($FK$325:$ID$396,IB$169,1+SwaptionShift):INDEX($FK$325:$ID$396,IB$169,SwaptionMonthsToGo+SwaptionShift),INDEX($FK$245:$ID$316,$FJ220-IB$169,73-IB$169+SwaptionShift):INDEX($FK$245:$ID$316,$FJ220-IB$169,72-IB$169+SwaptionMonthsToGo+SwaptionShift))/SQRT(SUM(INDEX($FK375:$ID375,1+SwaptionShift):INDEX($FK375:$ID375,SwaptionMonthsToGo+SwaptionShift))*SUM(INDEX($FK$325:$ID$396,IB$169,1+SwaptionShift):INDEX($FK$325:$ID$396,IB$169,SwaptionMonthsToGo+SwaptionShift))))))</f>
        <v/>
      </c>
      <c r="IC220" s="150" t="str">
        <f aca="false">IF(OR(IC$169&lt;SwaptionFirstMonthPosition+1,$FJ220&lt;SwaptionFirstMonthPosition+1,IC$169&gt;SwaptionFirstMonthPosition+SwaptionNumOfMonths+1,$FJ220&gt;SwaptionFirstMonthPosition+SwaptionNumOfMonths+1),"",IF($FJ220=IC$169,1,IF($FJ220&lt;IC$169,INDEX($FK$170:$ID$241,IC$169,$FJ220),SUMPRODUCT(INDEX($FK$325:$ID$396,IC$169,1+SwaptionShift):INDEX($FK$325:$ID$396,IC$169,SwaptionMonthsToGo+SwaptionShift),INDEX($FK$245:$ID$316,$FJ220-IC$169,73-IC$169+SwaptionShift):INDEX($FK$245:$ID$316,$FJ220-IC$169,72-IC$169+SwaptionMonthsToGo+SwaptionShift))/SQRT(SUM(INDEX($FK375:$ID375,1+SwaptionShift):INDEX($FK375:$ID375,SwaptionMonthsToGo+SwaptionShift))*SUM(INDEX($FK$325:$ID$396,IC$169,1+SwaptionShift):INDEX($FK$325:$ID$396,IC$169,SwaptionMonthsToGo+SwaptionShift))))))</f>
        <v/>
      </c>
      <c r="ID220" s="572" t="str">
        <f aca="false">IF(OR(ID$169&lt;SwaptionFirstMonthPosition+1,$FJ220&lt;SwaptionFirstMonthPosition+1,ID$169&gt;SwaptionFirstMonthPosition+SwaptionNumOfMonths+1,$FJ220&gt;SwaptionFirstMonthPosition+SwaptionNumOfMonths+1),"",IF($FJ220=ID$169,1,IF($FJ220&lt;ID$169,INDEX($FK$170:$ID$241,ID$169,$FJ220),SUMPRODUCT(INDEX($FK$325:$ID$396,ID$169,1+SwaptionShift):INDEX($FK$325:$ID$396,ID$169,SwaptionMonthsToGo+SwaptionShift),INDEX($FK$245:$ID$316,$FJ220-ID$169,73-ID$169+SwaptionShift):INDEX($FK$245:$ID$316,$FJ220-ID$169,72-ID$169+SwaptionMonthsToGo+SwaptionShift))/SQRT(SUM(INDEX($FK375:$ID375,1+SwaptionShift):INDEX($FK375:$ID375,SwaptionMonthsToGo+SwaptionShift))*SUM(INDEX($FK$325:$ID$396,ID$169,1+SwaptionShift):INDEX($FK$325:$ID$396,ID$169,SwaptionMonthsToGo+SwaptionShift))))))</f>
        <v/>
      </c>
      <c r="IE220" s="129"/>
    </row>
    <row r="221" customFormat="false" ht="12.75" hidden="false" customHeight="false" outlineLevel="0" collapsed="false">
      <c r="H221" s="219" t="n">
        <f aca="false">VLOOKUP(I221,$EJ$20:$EL$54,3)</f>
        <v>0</v>
      </c>
      <c r="I221" s="511" t="n">
        <f aca="false">EOMONTH(I220,0)+1</f>
        <v>42887</v>
      </c>
      <c r="J221" s="512"/>
      <c r="K221" s="513" t="s">
        <v>280</v>
      </c>
      <c r="L221" s="514" t="n">
        <f aca="false">IF(ISNUMBER(K221),J221+K221/100,IF(K221="extra",L220+VLOOKUP(BF221,PriceSpreadTable,2)/12,IF(K221="inter",interpolateprices($K$19:$L$200,ROW(K221)-ROW(FirstPricingMonth)+1),interpolatechanges($J$19:$K$200,ROW(K221)-ROW(FirstPricingMonth)+1))))</f>
        <v>4.6875</v>
      </c>
      <c r="M221" s="515"/>
      <c r="N221" s="516" t="n">
        <v>0</v>
      </c>
      <c r="O221" s="515" t="n">
        <f aca="false">M221+N221</f>
        <v>0</v>
      </c>
      <c r="P221" s="512"/>
      <c r="Q221" s="513" t="s">
        <v>280</v>
      </c>
      <c r="R221" s="512" t="e">
        <f aca="false">IF(ISNUMBER(Q221),P221+Q221/100,IF(Q221="extra",(Z219*AL219-R220*AM219)/AN219,IF(Q221="inter",interpolateprices($Q$19:$R$260,ROW(Q221)-ROW(FirstPricingMonth)+1),interpolatechanges($P$19:$Q$260,ROW(Q221)-ROW(FirstPricingMonth)+1))))</f>
        <v>#VALUE!</v>
      </c>
      <c r="S221" s="597" t="n">
        <f aca="false">S$19+(S220-S$19)*S$18</f>
        <v>0.36</v>
      </c>
      <c r="T221" s="575" t="n">
        <f aca="false">SQRT((1-(1-T220^2/U220)*T$18)*U221)</f>
        <v>0.999999999999997</v>
      </c>
      <c r="U221" s="576" t="n">
        <f aca="false">1-(1-U220)*U$18</f>
        <v>1</v>
      </c>
      <c r="V221" s="521" t="n">
        <v>0</v>
      </c>
      <c r="W221" s="577" t="n">
        <f aca="false">(J222*AJ221+J223*AK221)/AI221</f>
        <v>0</v>
      </c>
      <c r="X221" s="578" t="n">
        <f aca="false">(L222*AJ221+L223*AK221)/AI221</f>
        <v>4.73863636363636</v>
      </c>
      <c r="Y221" s="579" t="n">
        <f aca="false">IF(Q223="extra",W221-AA221,(P222*AM221+P223*AN221)/AL221)</f>
        <v>-1.2915</v>
      </c>
      <c r="Z221" s="579" t="n">
        <f aca="false">IF(Q223="extra",X221-AB221,(R222*AM221+R223*AN221)/AL221)</f>
        <v>3.44713636363636</v>
      </c>
      <c r="AA221" s="523" t="n">
        <f aca="false">IF(Q223="extra",INDEX(BrentSeasonalityTable,INT((BG221-1)/3)+1)*VLOOKUP(MAX(BF221,$AB$4),PriceSpreadTable,3),W221-Y221)</f>
        <v>1.2915</v>
      </c>
      <c r="AB221" s="524" t="n">
        <f aca="false">IF(Q223="extra",INDEX(BrentSeasonalityTable,INT((BG221-1)/3)+1)*VLOOKUP(MAX(BF221,$AB$4),PriceSpreadTable,3),X221-Z221)</f>
        <v>1.2915</v>
      </c>
      <c r="AC221" s="646" t="n">
        <v>42875</v>
      </c>
      <c r="AD221" s="646" t="n">
        <v>42871</v>
      </c>
      <c r="AE221" s="646" t="n">
        <v>42870</v>
      </c>
      <c r="AF221" s="646" t="n">
        <v>42866</v>
      </c>
      <c r="AG221" s="438" t="s">
        <v>278</v>
      </c>
      <c r="AH221" s="439" t="s">
        <v>278</v>
      </c>
      <c r="AI221" s="528" t="n">
        <v>22</v>
      </c>
      <c r="AJ221" s="529" t="n">
        <v>14</v>
      </c>
      <c r="AK221" s="529" t="n">
        <v>8</v>
      </c>
      <c r="AL221" s="530" t="n">
        <v>22</v>
      </c>
      <c r="AM221" s="529" t="n">
        <v>10</v>
      </c>
      <c r="AN221" s="531" t="n">
        <v>12</v>
      </c>
      <c r="AO221" s="532"/>
      <c r="AP221" s="465" t="n">
        <f aca="false">(1+AO221/2)^(-2*BL221)</f>
        <v>1</v>
      </c>
      <c r="AQ221" s="532"/>
      <c r="AR221" s="465" t="n">
        <f aca="false">(1+AQ221/2)^(-2*BH221/365.25)</f>
        <v>1</v>
      </c>
      <c r="AS221" s="580" t="n">
        <f aca="false">(O222*AJ221+O223*AK221)/AI221</f>
        <v>0</v>
      </c>
      <c r="AT221" s="468" t="n">
        <f aca="false">O221*VLOOKUP(BF221,BrentVolTable,2)+VLOOKUP(BF221,BrentVolTable,3)</f>
        <v>0</v>
      </c>
      <c r="AU221" s="468" t="n">
        <f aca="false">(AT222*AM221+AT223*AN221)/AL221</f>
        <v>0</v>
      </c>
      <c r="AV221" s="595" t="n">
        <f aca="false">SQRT(MAX(0.000000000001,(O221^2*BH221-S221^2*(BH221-BH220))/BH220))</f>
        <v>0.0355063429418612</v>
      </c>
      <c r="AW221" s="451" t="n">
        <f aca="false">IF($I221-DateToday+15&gt;=$T$8,"",IF($I221-DateToday+15&lt;$T$5,1,MATCH($I221-DateToday+15,$T$5:$T$8)))</f>
        <v>1</v>
      </c>
      <c r="AX221" s="468" t="n">
        <f aca="false">IF($AW221="",AX220^2/AX219,INDEX(U$5:U$8,$AW221)^((INDEX($T$5:$T$8,$AW221+1)-($I221-DateToday+15))/(INDEX($T$5:$T$8,$AW221+1)-INDEX($T$5:$T$8,$AW221)))/INDEX(U$5:U$8,$AW221+1)^((INDEX($T$5:$T$8,$AW221)-($I221-DateToday+15))/(INDEX($T$5:$T$8,$AW221+1)-INDEX($T$5:$T$8,$AW221))))</f>
        <v>0.170864761015965</v>
      </c>
      <c r="AY221" s="468" t="n">
        <f aca="false">IF($AW221="",AY220^2/AY219,INDEX(V$5:V$8,$AW221)^((INDEX($T$5:$T$8,$AW221+1)-($I221-DateToday+15))/(INDEX($T$5:$T$8,$AW221+1)-INDEX($T$5:$T$8,$AW221)))/INDEX(V$5:V$8,$AW221+1)^((INDEX($T$5:$T$8,$AW221)-($I221-DateToday+15))/(INDEX($T$5:$T$8,$AW221+1)-INDEX($T$5:$T$8,$AW221))))</f>
        <v>1.09677155033859</v>
      </c>
      <c r="AZ221" s="468" t="n">
        <f aca="false">IF($AW221="",AZ220^2/AZ219,INDEX(W$5:W$8,$AW221)^((INDEX($T$5:$T$8,$AW221+1)-($I221-DateToday+15))/(INDEX($T$5:$T$8,$AW221+1)-INDEX($T$5:$T$8,$AW221)))/INDEX(W$5:W$8,$AW221+1)^((INDEX($T$5:$T$8,$AW221)-($I221-DateToday+15))/(INDEX($T$5:$T$8,$AW221+1)-INDEX($T$5:$T$8,$AW221))))</f>
        <v>46.174189442058</v>
      </c>
      <c r="BA221" s="468" t="n">
        <f aca="false">IF($AW221="",BA220^2/BA219,INDEX(X$5:X$8,$AW221)^((INDEX($T$5:$T$8,$AW221+1)-($I221-DateToday+15))/(INDEX($T$5:$T$8,$AW221+1)-INDEX($T$5:$T$8,$AW221)))/INDEX(X$5:X$8,$AW221+1)^((INDEX($T$5:$T$8,$AW221)-($I221-DateToday+15))/(INDEX($T$5:$T$8,$AW221+1)-INDEX($T$5:$T$8,$AW221))))</f>
        <v>82.1827275429492</v>
      </c>
      <c r="BB221" s="468" t="n">
        <f aca="false">IF($AW221="",BB220^2/BB219,INDEX(Y$5:Y$8,$AW221)^((INDEX($T$5:$T$8,$AW221+1)-($I221-DateToday+15))/(INDEX($T$5:$T$8,$AW221+1)-INDEX($T$5:$T$8,$AW221)))/INDEX(Y$5:Y$8,$AW221+1)^((INDEX($T$5:$T$8,$AW221)-($I221-DateToday+15))/(INDEX($T$5:$T$8,$AW221+1)-INDEX($T$5:$T$8,$AW221))))</f>
        <v>310.686738202499</v>
      </c>
      <c r="BC221" s="468" t="n">
        <f aca="false">IF($AW221="",BC220^2/BC219,INDEX(Z$5:Z$8,$AW221)^((INDEX($T$5:$T$8,$AW221+1)-($I221-DateToday+15))/(INDEX($T$5:$T$8,$AW221+1)-INDEX($T$5:$T$8,$AW221)))/INDEX(Z$5:Z$8,$AW221+1)^((INDEX($T$5:$T$8,$AW221)-($I221-DateToday+15))/(INDEX($T$5:$T$8,$AW221+1)-INDEX($T$5:$T$8,$AW221))))</f>
        <v>708.860403610934</v>
      </c>
      <c r="BD221" s="535" t="n">
        <f aca="false">IF(OR(DateStart&gt;=I222,DateEnd&lt;I221),0,IF(VolumeOverrideFlag,V221,Volume))</f>
        <v>0</v>
      </c>
      <c r="BE221" s="536" t="n">
        <f aca="false">IF(OR(DateStart2&gt;=I222,DateEnd2&lt;I221),0,IF(VolumeOverrideFlag,V221,VolumeSwaption))</f>
        <v>0</v>
      </c>
      <c r="BF221" s="537" t="n">
        <f aca="false">YEAR(I221)</f>
        <v>2017</v>
      </c>
      <c r="BG221" s="538" t="n">
        <f aca="false">MONTH(I221)</f>
        <v>6</v>
      </c>
      <c r="BH221" s="539" t="n">
        <f aca="false">AD221-DateToday+1</f>
        <v>-3054</v>
      </c>
      <c r="BI221" s="540" t="n">
        <f aca="false">(I221-DateToday+1)/365.25</f>
        <v>-8.31759069130732</v>
      </c>
      <c r="BJ221" s="541" t="n">
        <f aca="false">BI221+(BL221-BI221)*CHOOSE(Underlying,AJ221/AI221,AM221/AL221)</f>
        <v>-8.26706489950843</v>
      </c>
      <c r="BK221" s="541" t="n">
        <f aca="false">BJ221+1/365.25</f>
        <v>-8.2643270487213</v>
      </c>
      <c r="BL221" s="541" t="n">
        <f aca="false">(I222-DateToday)/365.25</f>
        <v>-8.23819301848049</v>
      </c>
      <c r="BM221" s="542" t="e">
        <f aca="false">MAX(BI221-(BJ221-BI221)*(S222^2/O222^2-1),0)</f>
        <v>#DIV/0!</v>
      </c>
      <c r="BN221" s="541" t="e">
        <f aca="false">MAX(BL221+(BL221-BK221)*(S223^2/O223^2-1),0)</f>
        <v>#DIV/0!</v>
      </c>
      <c r="BO221" s="530" t="n">
        <f aca="false">CHOOSE(Underlying,AI221,AL221)</f>
        <v>22</v>
      </c>
      <c r="BP221" s="529" t="n">
        <f aca="false">CHOOSE(Underlying,AJ221,AM221)</f>
        <v>14</v>
      </c>
      <c r="BQ221" s="529" t="n">
        <f aca="false">CHOOSE(Underlying,AK221,AN221)</f>
        <v>8</v>
      </c>
      <c r="BR221" s="463" t="str">
        <f aca="false">IF(BD221,IF(Underlying=1,X221,Z221)+UnderlyingPriceAsian-SwapPriceCurve,"")</f>
        <v/>
      </c>
      <c r="BS221" s="463" t="str">
        <f aca="false">IF(BD221,Strike1/BR221-1,"")</f>
        <v/>
      </c>
      <c r="BT221" s="464" t="str">
        <f aca="false">IF(BD221,Strike2/BR221-1,"")</f>
        <v/>
      </c>
      <c r="BU221" s="465" t="str">
        <f aca="false">IF(BD221,IF(Underlying=1,L222,R222)+UnderlyingPriceAsian-SwapPriceCurve,"")</f>
        <v/>
      </c>
      <c r="BV221" s="465" t="str">
        <f aca="false">IF(BD221,IF(Underlying=1,L223,R223)+UnderlyingPriceAsian-SwapPriceCurve,"")</f>
        <v/>
      </c>
      <c r="BW221" s="466" t="str">
        <f aca="false">IF(BD221,IF(Underlying=1,O222,AT222),"")</f>
        <v/>
      </c>
      <c r="BX221" s="467" t="str">
        <f aca="false">IF(BD221,IF(Underlying=1,O223,AT223),"")</f>
        <v/>
      </c>
      <c r="BY221" s="466" t="str">
        <f aca="false">IF(BD221,IF(BS221&gt;0,IF(BS221&gt;0.2,BC221-BB221,IF(BS221&gt;0.1,BB221-BA221,BA221)),IF(BS221&lt;-0.2,AX221-AY221,IF(BS221&lt;-0.1,AY221-AZ221,AZ221))),"")</f>
        <v/>
      </c>
      <c r="BZ221" s="467" t="str">
        <f aca="false">IF(BD221,IF(BT221&gt;0,IF(BT221&gt;0.2,BC221-BB221,IF(BT221&gt;0.1,BB221-BA221,BA221)),IF(BT221&lt;-0.2,AX221-AY221,IF(BT221&lt;-0.1,AY221-AZ221,AZ221))),"")</f>
        <v/>
      </c>
      <c r="CA221" s="468" t="str">
        <f aca="false">IF($BD221,$BW221+IF(VolSkewFlag=1,IF(BS221&gt;0,$BA221*MIN(BS221/10%,1)+($BB221-$BA221)*MAX(0,MIN(BS221/10%-1,1))+($BC221-$BB221)*MAX(0,BS221/10%-2),$AZ221*MIN(-BS221/10%,1)+($AY221-$AZ221)*MAX(0,MIN(-BS221/10%-1,1))+($AX221-$AY221)*MAX(0,-BS221/10%-2)),0),"")</f>
        <v/>
      </c>
      <c r="CB221" s="468" t="str">
        <f aca="false">IF($BD221,$BX221+IF(VolSkewFlag=1,IF(BS221&gt;0,$BA221*MIN(BS221/10%,1)+($BB221-$BA221)*MAX(0,MIN(BS221/10%-1,1))+($BC221-$BB221)*MAX(0,BS221/10%-2),$AZ221*MIN(-BS221/10%,1)+($AY221-$AZ221)*MAX(0,MIN(-BS221/10%-1,1))+($AX221-$AY221)*MAX(0,-BS221/10%-2)),0),"")</f>
        <v/>
      </c>
      <c r="CC221" s="468" t="str">
        <f aca="false">IF($BD221,$BW221+IF(VolSkewFlag=1,IF(BT221&gt;0,$BA221*MIN(BT221/10%,1)+($BB221-$BA221)*MAX(0,MIN(BT221/10%-1,1))+($BC221-$BB221)*MAX(0,BT221/10%-2),$AZ221*MIN(-BT221/10%,1)+($AY221-$AZ221)*MAX(0,MIN(-BT221/10%-1,1))+($AX221-$AY221)*MAX(0,-BT221/10%-2)),0),"")</f>
        <v/>
      </c>
      <c r="CD221" s="468" t="str">
        <f aca="false">IF($BD221,$BX221+IF(VolSkewFlag=1,IF(BT221&gt;0,$BA221*MIN(BT221/10%,1)+($BB221-$BA221)*MAX(0,MIN(BT221/10%-1,1))+($BC221-$BB221)*MAX(0,BT221/10%-2),$AZ221*MIN(-BT221/10%,1)+($AY221-$AZ221)*MAX(0,MIN(-BT221/10%-1,1))+($AX221-$AY221)*MAX(0,-BT221/10%-2)),0),"")</f>
        <v/>
      </c>
      <c r="CE221" s="469" t="n">
        <v>1</v>
      </c>
      <c r="CF221" s="470" t="n">
        <f aca="false">IF(BD221,xCrudeAPO(BU221,BV221,CA221,CB221,S222,S223,BI221,BL221,BP221,BQ221,0,Strike1,AO221,CE221,0,BL221,IF(OptControl=4,0,1),0,1),0)</f>
        <v>0</v>
      </c>
      <c r="CG221" s="470" t="n">
        <f aca="false">IF(BD221,xCrudeAPO(BU221,BV221,CA221,CB221,S222,S223,BI221,BL221,BP221,BQ221,0,Strike1,AO221,CE221,0,BL221,IF(OptControl=4,0,1),1,1)+xCrudeAPO(BU221,BV221,CA221,CB221,S222,S223,BI221,BL221,BP221,BQ221,0,Strike1,AO221,CE221,0,BL221,IF(OptControl=4,0,1),1,2)+IF(OR(VolSkewFlag=2,ABS(BS221)&lt;0.0001),0,IF(BS221&gt;0,-1,1)*CH221*Strike1/BR221^2*BY221/10%),0)</f>
        <v>0</v>
      </c>
      <c r="CH221" s="470" t="n">
        <f aca="false">IF(BD221,(xCrudeAPO(BU221,BV221,CA221,CB221,S222,S223,BI221,BL221,BP221,BQ221,0,Strike1,AO221,CE221,0,BL221,IF(OptControl=4,0,1),3,1)+xCrudeAPO(BU221,BV221,CA221,CB221,S222,S223,BI221,BL221,BP221,BQ221,0,Strike1,AO221,CE221,0,BL221,IF(OptControl=4,0,1),3,2))/100,0)</f>
        <v>0</v>
      </c>
      <c r="CI221" s="470" t="n">
        <f aca="false">IF(BD221,xCrudeAPO(BU221,BV221,CA221,CB221,S222,S223,BI221-DaysForThetaCalculation/365.25,BL221-DaysForThetaCalculation/365.25,BP221,BQ221,0,Strike1,AO221,CE221,0,BL221,IF(OptControl=4,0,1),0,1)-xCrudeAPO(BU221,BV221,CA221,CB221,S222,S223,BI221,BL221,BP221,BQ221,0,Strike1,AO221,CE221,0,BL221,IF(OptControl=4,0,1),0,1),0)</f>
        <v>0</v>
      </c>
      <c r="CJ221" s="471" t="n">
        <f aca="false">IF(BD221,xCrudeAPO(BU221,BV221,CC221,CD221,S222,S223,BI221,BL221,BP221,BQ221,0,Strike2,AO221,CE221,0,BL221,IF(OptControl=3,1,0),0,1),0)</f>
        <v>0</v>
      </c>
      <c r="CK221" s="470" t="n">
        <f aca="false">IF(BD221,xCrudeAPO(BU221,BV221,CC221,CD221,S222,S223,BI221,BL221,BP221,BQ221,0,Strike2,AO221,CE221,0,BL221,IF(OptControl=3,1,0),1,1)+xCrudeAPO(BU221,BV221,CC221,CD221,S222,S223,BI221,BL221,BP221,BQ221,0,Strike2,AO221,CE221,0,BL221,IF(OptControl=3,1,0),1,2)+IF(OR(VolSkewFlag=2,ABS(BT221)&lt;0.0001),0,IF(BT221&gt;0,-1,1)*CL221*Strike2/BR221^2*BZ221/10%),0)</f>
        <v>0</v>
      </c>
      <c r="CL221" s="470" t="n">
        <f aca="false">IF(BD221,(xCrudeAPO(BU221,BV221,CC221,CD221,S222,S223,BI221,BL221,BP221,BQ221,0,Strike2,AO221,CE221,0,BL221,IF(OptControl=3,1,0),3,1)+xCrudeAPO(BU221,BV221,CC221,CD221,S222,S223,BI221,BL221,BP221,BQ221,0,Strike2,AO221,CE221,0,BL221,IF(OptControl=3,1,0),3,2))/100,0)</f>
        <v>0</v>
      </c>
      <c r="CM221" s="472" t="n">
        <f aca="false">IF(BD221,xCrudeAPO(BU221,BV221,CC221,CD221,S222,S223,BI221-DaysForThetaCalculation/365.25,BL221-DaysForThetaCalculation/365.25,BP221,BQ221,0,Strike2,AO221,CE221,0,BL221,IF(OptControl=3,1,0),0,1)-xCrudeAPO(BU221,BV221,CC221,CD221,S222,S223,BI221,BL221,BP221,BQ221,0,Strike2,AO221,CE221,0,BL221,IF(OptControl=3,1,0),0,1),0)</f>
        <v>0</v>
      </c>
      <c r="CN221" s="3"/>
      <c r="CO221" s="543" t="str">
        <f aca="false">IF(BD221,CHOOSE(Underlying,AD221,AF221)-DateToday+1,"")</f>
        <v/>
      </c>
      <c r="CP221" s="582" t="str">
        <f aca="false">IF(BD221,CHOOSE(Underlying,L221,R221),"")</f>
        <v/>
      </c>
      <c r="CQ221" s="544" t="str">
        <f aca="false">IF(BD221,Strike1/CP221-1,"")</f>
        <v/>
      </c>
      <c r="CR221" s="544" t="str">
        <f aca="false">IF(BD221,Strike2/CP221-1,"")</f>
        <v/>
      </c>
      <c r="CS221" s="544" t="str">
        <f aca="false">IF(BD221,IF(CQ221&gt;0,IF(CQ221&gt;0.2,BC220-BB220,IF(CQ221&gt;0.1,BB220-BA220,BA220)),IF(CQ221&lt;-0.2,AX220-AY220,IF(CQ221&lt;-0.1,AY220-AZ220,AZ220))),"")</f>
        <v/>
      </c>
      <c r="CT221" s="544" t="str">
        <f aca="false">IF(BD221,IF(CR221&gt;0,IF(CR221&gt;0.2,BC220-BB220,IF(CR221&gt;0.1,BB220-BA220,BA220)),IF(CR221&lt;-0.2,AX220-AY220,IF(CR221&lt;-0.1,AY220-AZ220,AZ220))),"")</f>
        <v/>
      </c>
      <c r="CU221" s="545" t="str">
        <f aca="false">IF(BD221,CHOOSE(Underlying,O221,AT221),"")</f>
        <v/>
      </c>
      <c r="CV221" s="545" t="str">
        <f aca="false">IF(BD221,CU221+IF(VolSkewFlag=1,IF(CQ221&gt;0,BA220*MIN(CQ221/10%,1)+(BB220-BA220)*MAX(0,MIN(CQ221/10%-1,1))+(BC220-BB220)*MAX(0,CQ221/10%-2),AZ220*MIN(-CQ221/10%,1)+(AY220-AZ220)*MAX(0,MIN(-CQ221/10%-1,1))+(AX220-AY220)*MAX(0,-CQ221/10%-2)),0),"")</f>
        <v/>
      </c>
      <c r="CW221" s="545" t="str">
        <f aca="false">IF(BD221,CU221+IF(VolSkewFlag=1,IF(CR221&gt;0,BA220*MIN(CR221/10%,1)+(BB220-BA220)*MAX(0,MIN(CR221/10%-1,1))+(BC220-BB220)*MAX(0,CR221/10%-2),AZ220*MIN(-CR221/10%,1)+(AY220-AZ220)*MAX(0,MIN(-CR221/10%-1,1))+(AX220-AY220)*MAX(0,-CR221/10%-2)),0),"")</f>
        <v/>
      </c>
      <c r="CX221" s="470" t="n">
        <f aca="false">IF(BD221,EURO(CP221,Strike1,AO221,AO221,CV221,CO221,IF(OptControl=4,0,1),0),0)</f>
        <v>0</v>
      </c>
      <c r="CY221" s="470" t="n">
        <f aca="false">IF(BD221,EURO(CP221,Strike1,AO221,AO221,CV221,CO221,IF(OptControl=4,0,1),1)+IF(OR(VolSkewFlag=2,ABS(CQ221)&lt;0.0001),0,IF(CQ221&gt;0,-1,1)*CZ221*100*Strike1/CP221^2*CS221/10%),0)</f>
        <v>0</v>
      </c>
      <c r="CZ221" s="470" t="n">
        <f aca="false">IF(BD221,EURO(CP221,Strike1,AO221,AO221,CV221,CO221,IF(OptControl=4,0,1),3)/100,0)</f>
        <v>0</v>
      </c>
      <c r="DA221" s="470" t="n">
        <f aca="false">IF(BD221,EURO(CP221,Strike1,AO221,AO221,CV221,CO221,IF(OptControl=4,0,1),0)-EURO(CP221,Strike1,AO221,AO221,CV221,CO221-1,IF(OptControl=4,0,1),0),0)</f>
        <v>0</v>
      </c>
      <c r="DB221" s="470" t="n">
        <f aca="false">IF(BD221,EURO(CP221,Strike2,AO221,AO221,CW221,CO221,IF(OptControl=3,1,0),0),0)</f>
        <v>0</v>
      </c>
      <c r="DC221" s="470" t="n">
        <f aca="false">IF(BD221,EURO(CP221,Strike2,AO221,AO221,CW221,CO221,IF(OptControl=3,1,0),1)+IF(OR(VolSkewFlag=2,ABS(CR221)&lt;0.0001),0,IF(CR221&gt;0,-1,1)*DD221*100*Strike2/CP221^2*CT221/10%),0)</f>
        <v>0</v>
      </c>
      <c r="DD221" s="470" t="n">
        <f aca="false">IF(BD221,EURO(CP221,Strike2,AO221,AO221,CW221,CO221,IF(OptControl=3,1,0),3)/100,0)</f>
        <v>0</v>
      </c>
      <c r="DE221" s="472" t="n">
        <f aca="false">IF(BD221,EURO(CP221,Strike2,AO221,AO221,CW221,CO221,IF(OptControl=3,1,0),0)-EURO(CP221,Strike2,AO221,AO221,CW221,CO221-1,IF(OptControl=3,1,0),0),0)</f>
        <v>0</v>
      </c>
      <c r="DG221" s="481" t="n">
        <f aca="false">EOMONTH(DG220,0)+1</f>
        <v>51806</v>
      </c>
      <c r="DH221" s="478" t="n">
        <v>24.2100000000001</v>
      </c>
      <c r="DI221" s="479" t="n">
        <v>24.2781818181819</v>
      </c>
      <c r="DJ221" s="480" t="n">
        <f aca="false">DG221</f>
        <v>51806</v>
      </c>
      <c r="DK221" s="478" t="n">
        <v>22.9998625414041</v>
      </c>
      <c r="DL221" s="479" t="n">
        <v>23.0850818181819</v>
      </c>
      <c r="DM221" s="481" t="n">
        <f aca="false">DG221</f>
        <v>51806</v>
      </c>
      <c r="DN221" s="482" t="n">
        <f aca="false">DK221+BrentPhyBrentSpread</f>
        <v>23.0498625414041</v>
      </c>
      <c r="DO221" s="481" t="n">
        <f aca="false">DG221</f>
        <v>51806</v>
      </c>
      <c r="DP221" s="483" t="n">
        <f aca="false">DL221+DQ221</f>
        <v>23.0850818181819</v>
      </c>
      <c r="DQ221" s="546" t="n">
        <v>0</v>
      </c>
      <c r="DR221" s="480" t="n">
        <f aca="false">DG221</f>
        <v>51806</v>
      </c>
      <c r="DS221" s="485" t="n">
        <v>0.103999999999998</v>
      </c>
      <c r="DT221" s="486" t="n">
        <v>0.103181818181816</v>
      </c>
      <c r="DU221" s="480" t="n">
        <f aca="false">DG221</f>
        <v>51806</v>
      </c>
      <c r="DV221" s="485" t="n">
        <v>0.103999999999998</v>
      </c>
      <c r="DW221" s="486" t="n">
        <v>0.103181818181816</v>
      </c>
      <c r="DX221" s="481" t="n">
        <f aca="false">DG221</f>
        <v>51806</v>
      </c>
      <c r="DY221" s="486" t="n">
        <v>0.35</v>
      </c>
      <c r="DZ221" s="481" t="n">
        <f aca="false">DR221</f>
        <v>51806</v>
      </c>
      <c r="EA221" s="486" t="n">
        <f aca="false">DT221</f>
        <v>0.103181818181816</v>
      </c>
      <c r="EB221" s="195"/>
      <c r="EC221" s="547" t="str">
        <f aca="false">IF(BD221,IF(Underlying=1,AS221,AU221),"")</f>
        <v/>
      </c>
      <c r="ED221" s="548" t="str">
        <f aca="false">IF($BD221,$EC221+IF(VolSkewFlag=1,IF(BS221&gt;0,$BA221*MIN(BS221/10%,1)+($BB221-$BA221)*MAX(0,MIN(BS221/10%-1,1))+($BC221-$BB221)*MAX(0,BS221/10%-2),$AZ221*MIN(-BS221/10%,1)+($AY221-$AZ221)*MAX(0,MIN(-BS221/10%-1,1))+($AX221-$AY221)*MAX(0,-BS221/10%-2)),0),"")</f>
        <v/>
      </c>
      <c r="EE221" s="549" t="str">
        <f aca="false">IF($BD221,$EC221+IF(VolSkewFlag=1,IF(BT221&gt;0,$BA221*MIN(BT221/10%,1)+($BB221-$BA221)*MAX(0,MIN(BT221/10%-1,1))+($BC221-$BB221)*MAX(0,BT221/10%-2),$AZ221*MIN(-BT221/10%,1)+($AY221-$AZ221)*MAX(0,MIN(-BT221/10%-1,1))+($AX221-$AY221)*MAX(0,-BT221/10%-2)),0),"")</f>
        <v/>
      </c>
      <c r="EF221" s="550" t="n">
        <f aca="false">IF(BD221,xASN(BR221,Strike1,AO221,ED221,0,BO221,0,BI221,BL221,IF(OptControl=4,0,1),0),0)</f>
        <v>0</v>
      </c>
      <c r="EG221" s="551" t="n">
        <f aca="false">IF(BD221,xASN(BR221,Strike2,AO221,EE221,0,BO221,0,BI221,BL221,IF(OptControl=3,1,0),0),0)</f>
        <v>0</v>
      </c>
      <c r="EL221" s="1"/>
      <c r="EM221" s="195"/>
      <c r="EN221" s="240"/>
      <c r="EO221" s="240"/>
      <c r="EP221" s="195"/>
      <c r="EQ221" s="407" t="s">
        <v>449</v>
      </c>
      <c r="ES221" s="1"/>
      <c r="EU221" s="672"/>
      <c r="FJ221" s="571" t="n">
        <v>52</v>
      </c>
      <c r="FK221" s="150" t="str">
        <f aca="false">IF(OR(FK$169&lt;SwaptionFirstMonthPosition+1,$FJ221&lt;SwaptionFirstMonthPosition+1,FK$169&gt;SwaptionFirstMonthPosition+SwaptionNumOfMonths+1,$FJ221&gt;SwaptionFirstMonthPosition+SwaptionNumOfMonths+1),"",IF($FJ221=FK$169,1,IF($FJ221&lt;FK$169,INDEX($FK$170:$ID$241,FK$169,$FJ221),SUMPRODUCT(INDEX($FK$325:$ID$396,FK$169,1+SwaptionShift):INDEX($FK$325:$ID$396,FK$169,SwaptionMonthsToGo+SwaptionShift),INDEX($FK$245:$ID$316,$FJ221-FK$169,73-FK$169+SwaptionShift):INDEX($FK$245:$ID$316,$FJ221-FK$169,72-FK$169+SwaptionMonthsToGo+SwaptionShift))/SQRT(SUM(INDEX($FK376:$ID376,1+SwaptionShift):INDEX($FK376:$ID376,SwaptionMonthsToGo+SwaptionShift))*SUM(INDEX($FK$325:$ID$396,FK$169,1+SwaptionShift):INDEX($FK$325:$ID$396,FK$169,SwaptionMonthsToGo+SwaptionShift))))))</f>
        <v/>
      </c>
      <c r="FL221" s="150" t="str">
        <f aca="false">IF(OR(FL$169&lt;SwaptionFirstMonthPosition+1,$FJ221&lt;SwaptionFirstMonthPosition+1,FL$169&gt;SwaptionFirstMonthPosition+SwaptionNumOfMonths+1,$FJ221&gt;SwaptionFirstMonthPosition+SwaptionNumOfMonths+1),"",IF($FJ221=FL$169,1,IF($FJ221&lt;FL$169,INDEX($FK$170:$ID$241,FL$169,$FJ221),SUMPRODUCT(INDEX($FK$325:$ID$396,FL$169,1+SwaptionShift):INDEX($FK$325:$ID$396,FL$169,SwaptionMonthsToGo+SwaptionShift),INDEX($FK$245:$ID$316,$FJ221-FL$169,73-FL$169+SwaptionShift):INDEX($FK$245:$ID$316,$FJ221-FL$169,72-FL$169+SwaptionMonthsToGo+SwaptionShift))/SQRT(SUM(INDEX($FK376:$ID376,1+SwaptionShift):INDEX($FK376:$ID376,SwaptionMonthsToGo+SwaptionShift))*SUM(INDEX($FK$325:$ID$396,FL$169,1+SwaptionShift):INDEX($FK$325:$ID$396,FL$169,SwaptionMonthsToGo+SwaptionShift))))))</f>
        <v/>
      </c>
      <c r="FM221" s="150" t="str">
        <f aca="false">IF(OR(FM$169&lt;SwaptionFirstMonthPosition+1,$FJ221&lt;SwaptionFirstMonthPosition+1,FM$169&gt;SwaptionFirstMonthPosition+SwaptionNumOfMonths+1,$FJ221&gt;SwaptionFirstMonthPosition+SwaptionNumOfMonths+1),"",IF($FJ221=FM$169,1,IF($FJ221&lt;FM$169,INDEX($FK$170:$ID$241,FM$169,$FJ221),SUMPRODUCT(INDEX($FK$325:$ID$396,FM$169,1+SwaptionShift):INDEX($FK$325:$ID$396,FM$169,SwaptionMonthsToGo+SwaptionShift),INDEX($FK$245:$ID$316,$FJ221-FM$169,73-FM$169+SwaptionShift):INDEX($FK$245:$ID$316,$FJ221-FM$169,72-FM$169+SwaptionMonthsToGo+SwaptionShift))/SQRT(SUM(INDEX($FK376:$ID376,1+SwaptionShift):INDEX($FK376:$ID376,SwaptionMonthsToGo+SwaptionShift))*SUM(INDEX($FK$325:$ID$396,FM$169,1+SwaptionShift):INDEX($FK$325:$ID$396,FM$169,SwaptionMonthsToGo+SwaptionShift))))))</f>
        <v/>
      </c>
      <c r="FN221" s="150" t="str">
        <f aca="false">IF(OR(FN$169&lt;SwaptionFirstMonthPosition+1,$FJ221&lt;SwaptionFirstMonthPosition+1,FN$169&gt;SwaptionFirstMonthPosition+SwaptionNumOfMonths+1,$FJ221&gt;SwaptionFirstMonthPosition+SwaptionNumOfMonths+1),"",IF($FJ221=FN$169,1,IF($FJ221&lt;FN$169,INDEX($FK$170:$ID$241,FN$169,$FJ221),SUMPRODUCT(INDEX($FK$325:$ID$396,FN$169,1+SwaptionShift):INDEX($FK$325:$ID$396,FN$169,SwaptionMonthsToGo+SwaptionShift),INDEX($FK$245:$ID$316,$FJ221-FN$169,73-FN$169+SwaptionShift):INDEX($FK$245:$ID$316,$FJ221-FN$169,72-FN$169+SwaptionMonthsToGo+SwaptionShift))/SQRT(SUM(INDEX($FK376:$ID376,1+SwaptionShift):INDEX($FK376:$ID376,SwaptionMonthsToGo+SwaptionShift))*SUM(INDEX($FK$325:$ID$396,FN$169,1+SwaptionShift):INDEX($FK$325:$ID$396,FN$169,SwaptionMonthsToGo+SwaptionShift))))))</f>
        <v/>
      </c>
      <c r="FO221" s="150" t="str">
        <f aca="false">IF(OR(FO$169&lt;SwaptionFirstMonthPosition+1,$FJ221&lt;SwaptionFirstMonthPosition+1,FO$169&gt;SwaptionFirstMonthPosition+SwaptionNumOfMonths+1,$FJ221&gt;SwaptionFirstMonthPosition+SwaptionNumOfMonths+1),"",IF($FJ221=FO$169,1,IF($FJ221&lt;FO$169,INDEX($FK$170:$ID$241,FO$169,$FJ221),SUMPRODUCT(INDEX($FK$325:$ID$396,FO$169,1+SwaptionShift):INDEX($FK$325:$ID$396,FO$169,SwaptionMonthsToGo+SwaptionShift),INDEX($FK$245:$ID$316,$FJ221-FO$169,73-FO$169+SwaptionShift):INDEX($FK$245:$ID$316,$FJ221-FO$169,72-FO$169+SwaptionMonthsToGo+SwaptionShift))/SQRT(SUM(INDEX($FK376:$ID376,1+SwaptionShift):INDEX($FK376:$ID376,SwaptionMonthsToGo+SwaptionShift))*SUM(INDEX($FK$325:$ID$396,FO$169,1+SwaptionShift):INDEX($FK$325:$ID$396,FO$169,SwaptionMonthsToGo+SwaptionShift))))))</f>
        <v/>
      </c>
      <c r="FP221" s="150" t="str">
        <f aca="false">IF(OR(FP$169&lt;SwaptionFirstMonthPosition+1,$FJ221&lt;SwaptionFirstMonthPosition+1,FP$169&gt;SwaptionFirstMonthPosition+SwaptionNumOfMonths+1,$FJ221&gt;SwaptionFirstMonthPosition+SwaptionNumOfMonths+1),"",IF($FJ221=FP$169,1,IF($FJ221&lt;FP$169,INDEX($FK$170:$ID$241,FP$169,$FJ221),SUMPRODUCT(INDEX($FK$325:$ID$396,FP$169,1+SwaptionShift):INDEX($FK$325:$ID$396,FP$169,SwaptionMonthsToGo+SwaptionShift),INDEX($FK$245:$ID$316,$FJ221-FP$169,73-FP$169+SwaptionShift):INDEX($FK$245:$ID$316,$FJ221-FP$169,72-FP$169+SwaptionMonthsToGo+SwaptionShift))/SQRT(SUM(INDEX($FK376:$ID376,1+SwaptionShift):INDEX($FK376:$ID376,SwaptionMonthsToGo+SwaptionShift))*SUM(INDEX($FK$325:$ID$396,FP$169,1+SwaptionShift):INDEX($FK$325:$ID$396,FP$169,SwaptionMonthsToGo+SwaptionShift))))))</f>
        <v/>
      </c>
      <c r="FQ221" s="150" t="str">
        <f aca="false">IF(OR(FQ$169&lt;SwaptionFirstMonthPosition+1,$FJ221&lt;SwaptionFirstMonthPosition+1,FQ$169&gt;SwaptionFirstMonthPosition+SwaptionNumOfMonths+1,$FJ221&gt;SwaptionFirstMonthPosition+SwaptionNumOfMonths+1),"",IF($FJ221=FQ$169,1,IF($FJ221&lt;FQ$169,INDEX($FK$170:$ID$241,FQ$169,$FJ221),SUMPRODUCT(INDEX($FK$325:$ID$396,FQ$169,1+SwaptionShift):INDEX($FK$325:$ID$396,FQ$169,SwaptionMonthsToGo+SwaptionShift),INDEX($FK$245:$ID$316,$FJ221-FQ$169,73-FQ$169+SwaptionShift):INDEX($FK$245:$ID$316,$FJ221-FQ$169,72-FQ$169+SwaptionMonthsToGo+SwaptionShift))/SQRT(SUM(INDEX($FK376:$ID376,1+SwaptionShift):INDEX($FK376:$ID376,SwaptionMonthsToGo+SwaptionShift))*SUM(INDEX($FK$325:$ID$396,FQ$169,1+SwaptionShift):INDEX($FK$325:$ID$396,FQ$169,SwaptionMonthsToGo+SwaptionShift))))))</f>
        <v/>
      </c>
      <c r="FR221" s="150" t="str">
        <f aca="false">IF(OR(FR$169&lt;SwaptionFirstMonthPosition+1,$FJ221&lt;SwaptionFirstMonthPosition+1,FR$169&gt;SwaptionFirstMonthPosition+SwaptionNumOfMonths+1,$FJ221&gt;SwaptionFirstMonthPosition+SwaptionNumOfMonths+1),"",IF($FJ221=FR$169,1,IF($FJ221&lt;FR$169,INDEX($FK$170:$ID$241,FR$169,$FJ221),SUMPRODUCT(INDEX($FK$325:$ID$396,FR$169,1+SwaptionShift):INDEX($FK$325:$ID$396,FR$169,SwaptionMonthsToGo+SwaptionShift),INDEX($FK$245:$ID$316,$FJ221-FR$169,73-FR$169+SwaptionShift):INDEX($FK$245:$ID$316,$FJ221-FR$169,72-FR$169+SwaptionMonthsToGo+SwaptionShift))/SQRT(SUM(INDEX($FK376:$ID376,1+SwaptionShift):INDEX($FK376:$ID376,SwaptionMonthsToGo+SwaptionShift))*SUM(INDEX($FK$325:$ID$396,FR$169,1+SwaptionShift):INDEX($FK$325:$ID$396,FR$169,SwaptionMonthsToGo+SwaptionShift))))))</f>
        <v/>
      </c>
      <c r="FS221" s="150" t="str">
        <f aca="false">IF(OR(FS$169&lt;SwaptionFirstMonthPosition+1,$FJ221&lt;SwaptionFirstMonthPosition+1,FS$169&gt;SwaptionFirstMonthPosition+SwaptionNumOfMonths+1,$FJ221&gt;SwaptionFirstMonthPosition+SwaptionNumOfMonths+1),"",IF($FJ221=FS$169,1,IF($FJ221&lt;FS$169,INDEX($FK$170:$ID$241,FS$169,$FJ221),SUMPRODUCT(INDEX($FK$325:$ID$396,FS$169,1+SwaptionShift):INDEX($FK$325:$ID$396,FS$169,SwaptionMonthsToGo+SwaptionShift),INDEX($FK$245:$ID$316,$FJ221-FS$169,73-FS$169+SwaptionShift):INDEX($FK$245:$ID$316,$FJ221-FS$169,72-FS$169+SwaptionMonthsToGo+SwaptionShift))/SQRT(SUM(INDEX($FK376:$ID376,1+SwaptionShift):INDEX($FK376:$ID376,SwaptionMonthsToGo+SwaptionShift))*SUM(INDEX($FK$325:$ID$396,FS$169,1+SwaptionShift):INDEX($FK$325:$ID$396,FS$169,SwaptionMonthsToGo+SwaptionShift))))))</f>
        <v/>
      </c>
      <c r="FT221" s="150" t="str">
        <f aca="false">IF(OR(FT$169&lt;SwaptionFirstMonthPosition+1,$FJ221&lt;SwaptionFirstMonthPosition+1,FT$169&gt;SwaptionFirstMonthPosition+SwaptionNumOfMonths+1,$FJ221&gt;SwaptionFirstMonthPosition+SwaptionNumOfMonths+1),"",IF($FJ221=FT$169,1,IF($FJ221&lt;FT$169,INDEX($FK$170:$ID$241,FT$169,$FJ221),SUMPRODUCT(INDEX($FK$325:$ID$396,FT$169,1+SwaptionShift):INDEX($FK$325:$ID$396,FT$169,SwaptionMonthsToGo+SwaptionShift),INDEX($FK$245:$ID$316,$FJ221-FT$169,73-FT$169+SwaptionShift):INDEX($FK$245:$ID$316,$FJ221-FT$169,72-FT$169+SwaptionMonthsToGo+SwaptionShift))/SQRT(SUM(INDEX($FK376:$ID376,1+SwaptionShift):INDEX($FK376:$ID376,SwaptionMonthsToGo+SwaptionShift))*SUM(INDEX($FK$325:$ID$396,FT$169,1+SwaptionShift):INDEX($FK$325:$ID$396,FT$169,SwaptionMonthsToGo+SwaptionShift))))))</f>
        <v/>
      </c>
      <c r="FU221" s="150" t="str">
        <f aca="false">IF(OR(FU$169&lt;SwaptionFirstMonthPosition+1,$FJ221&lt;SwaptionFirstMonthPosition+1,FU$169&gt;SwaptionFirstMonthPosition+SwaptionNumOfMonths+1,$FJ221&gt;SwaptionFirstMonthPosition+SwaptionNumOfMonths+1),"",IF($FJ221=FU$169,1,IF($FJ221&lt;FU$169,INDEX($FK$170:$ID$241,FU$169,$FJ221),SUMPRODUCT(INDEX($FK$325:$ID$396,FU$169,1+SwaptionShift):INDEX($FK$325:$ID$396,FU$169,SwaptionMonthsToGo+SwaptionShift),INDEX($FK$245:$ID$316,$FJ221-FU$169,73-FU$169+SwaptionShift):INDEX($FK$245:$ID$316,$FJ221-FU$169,72-FU$169+SwaptionMonthsToGo+SwaptionShift))/SQRT(SUM(INDEX($FK376:$ID376,1+SwaptionShift):INDEX($FK376:$ID376,SwaptionMonthsToGo+SwaptionShift))*SUM(INDEX($FK$325:$ID$396,FU$169,1+SwaptionShift):INDEX($FK$325:$ID$396,FU$169,SwaptionMonthsToGo+SwaptionShift))))))</f>
        <v/>
      </c>
      <c r="FV221" s="150" t="str">
        <f aca="false">IF(OR(FV$169&lt;SwaptionFirstMonthPosition+1,$FJ221&lt;SwaptionFirstMonthPosition+1,FV$169&gt;SwaptionFirstMonthPosition+SwaptionNumOfMonths+1,$FJ221&gt;SwaptionFirstMonthPosition+SwaptionNumOfMonths+1),"",IF($FJ221=FV$169,1,IF($FJ221&lt;FV$169,INDEX($FK$170:$ID$241,FV$169,$FJ221),SUMPRODUCT(INDEX($FK$325:$ID$396,FV$169,1+SwaptionShift):INDEX($FK$325:$ID$396,FV$169,SwaptionMonthsToGo+SwaptionShift),INDEX($FK$245:$ID$316,$FJ221-FV$169,73-FV$169+SwaptionShift):INDEX($FK$245:$ID$316,$FJ221-FV$169,72-FV$169+SwaptionMonthsToGo+SwaptionShift))/SQRT(SUM(INDEX($FK376:$ID376,1+SwaptionShift):INDEX($FK376:$ID376,SwaptionMonthsToGo+SwaptionShift))*SUM(INDEX($FK$325:$ID$396,FV$169,1+SwaptionShift):INDEX($FK$325:$ID$396,FV$169,SwaptionMonthsToGo+SwaptionShift))))))</f>
        <v/>
      </c>
      <c r="FW221" s="150" t="str">
        <f aca="false">IF(OR(FW$169&lt;SwaptionFirstMonthPosition+1,$FJ221&lt;SwaptionFirstMonthPosition+1,FW$169&gt;SwaptionFirstMonthPosition+SwaptionNumOfMonths+1,$FJ221&gt;SwaptionFirstMonthPosition+SwaptionNumOfMonths+1),"",IF($FJ221=FW$169,1,IF($FJ221&lt;FW$169,INDEX($FK$170:$ID$241,FW$169,$FJ221),SUMPRODUCT(INDEX($FK$325:$ID$396,FW$169,1+SwaptionShift):INDEX($FK$325:$ID$396,FW$169,SwaptionMonthsToGo+SwaptionShift),INDEX($FK$245:$ID$316,$FJ221-FW$169,73-FW$169+SwaptionShift):INDEX($FK$245:$ID$316,$FJ221-FW$169,72-FW$169+SwaptionMonthsToGo+SwaptionShift))/SQRT(SUM(INDEX($FK376:$ID376,1+SwaptionShift):INDEX($FK376:$ID376,SwaptionMonthsToGo+SwaptionShift))*SUM(INDEX($FK$325:$ID$396,FW$169,1+SwaptionShift):INDEX($FK$325:$ID$396,FW$169,SwaptionMonthsToGo+SwaptionShift))))))</f>
        <v/>
      </c>
      <c r="FX221" s="150" t="str">
        <f aca="false">IF(OR(FX$169&lt;SwaptionFirstMonthPosition+1,$FJ221&lt;SwaptionFirstMonthPosition+1,FX$169&gt;SwaptionFirstMonthPosition+SwaptionNumOfMonths+1,$FJ221&gt;SwaptionFirstMonthPosition+SwaptionNumOfMonths+1),"",IF($FJ221=FX$169,1,IF($FJ221&lt;FX$169,INDEX($FK$170:$ID$241,FX$169,$FJ221),SUMPRODUCT(INDEX($FK$325:$ID$396,FX$169,1+SwaptionShift):INDEX($FK$325:$ID$396,FX$169,SwaptionMonthsToGo+SwaptionShift),INDEX($FK$245:$ID$316,$FJ221-FX$169,73-FX$169+SwaptionShift):INDEX($FK$245:$ID$316,$FJ221-FX$169,72-FX$169+SwaptionMonthsToGo+SwaptionShift))/SQRT(SUM(INDEX($FK376:$ID376,1+SwaptionShift):INDEX($FK376:$ID376,SwaptionMonthsToGo+SwaptionShift))*SUM(INDEX($FK$325:$ID$396,FX$169,1+SwaptionShift):INDEX($FK$325:$ID$396,FX$169,SwaptionMonthsToGo+SwaptionShift))))))</f>
        <v/>
      </c>
      <c r="FY221" s="150" t="str">
        <f aca="false">IF(OR(FY$169&lt;SwaptionFirstMonthPosition+1,$FJ221&lt;SwaptionFirstMonthPosition+1,FY$169&gt;SwaptionFirstMonthPosition+SwaptionNumOfMonths+1,$FJ221&gt;SwaptionFirstMonthPosition+SwaptionNumOfMonths+1),"",IF($FJ221=FY$169,1,IF($FJ221&lt;FY$169,INDEX($FK$170:$ID$241,FY$169,$FJ221),SUMPRODUCT(INDEX($FK$325:$ID$396,FY$169,1+SwaptionShift):INDEX($FK$325:$ID$396,FY$169,SwaptionMonthsToGo+SwaptionShift),INDEX($FK$245:$ID$316,$FJ221-FY$169,73-FY$169+SwaptionShift):INDEX($FK$245:$ID$316,$FJ221-FY$169,72-FY$169+SwaptionMonthsToGo+SwaptionShift))/SQRT(SUM(INDEX($FK376:$ID376,1+SwaptionShift):INDEX($FK376:$ID376,SwaptionMonthsToGo+SwaptionShift))*SUM(INDEX($FK$325:$ID$396,FY$169,1+SwaptionShift):INDEX($FK$325:$ID$396,FY$169,SwaptionMonthsToGo+SwaptionShift))))))</f>
        <v/>
      </c>
      <c r="FZ221" s="150" t="str">
        <f aca="false">IF(OR(FZ$169&lt;SwaptionFirstMonthPosition+1,$FJ221&lt;SwaptionFirstMonthPosition+1,FZ$169&gt;SwaptionFirstMonthPosition+SwaptionNumOfMonths+1,$FJ221&gt;SwaptionFirstMonthPosition+SwaptionNumOfMonths+1),"",IF($FJ221=FZ$169,1,IF($FJ221&lt;FZ$169,INDEX($FK$170:$ID$241,FZ$169,$FJ221),SUMPRODUCT(INDEX($FK$325:$ID$396,FZ$169,1+SwaptionShift):INDEX($FK$325:$ID$396,FZ$169,SwaptionMonthsToGo+SwaptionShift),INDEX($FK$245:$ID$316,$FJ221-FZ$169,73-FZ$169+SwaptionShift):INDEX($FK$245:$ID$316,$FJ221-FZ$169,72-FZ$169+SwaptionMonthsToGo+SwaptionShift))/SQRT(SUM(INDEX($FK376:$ID376,1+SwaptionShift):INDEX($FK376:$ID376,SwaptionMonthsToGo+SwaptionShift))*SUM(INDEX($FK$325:$ID$396,FZ$169,1+SwaptionShift):INDEX($FK$325:$ID$396,FZ$169,SwaptionMonthsToGo+SwaptionShift))))))</f>
        <v/>
      </c>
      <c r="GA221" s="150" t="str">
        <f aca="false">IF(OR(GA$169&lt;SwaptionFirstMonthPosition+1,$FJ221&lt;SwaptionFirstMonthPosition+1,GA$169&gt;SwaptionFirstMonthPosition+SwaptionNumOfMonths+1,$FJ221&gt;SwaptionFirstMonthPosition+SwaptionNumOfMonths+1),"",IF($FJ221=GA$169,1,IF($FJ221&lt;GA$169,INDEX($FK$170:$ID$241,GA$169,$FJ221),SUMPRODUCT(INDEX($FK$325:$ID$396,GA$169,1+SwaptionShift):INDEX($FK$325:$ID$396,GA$169,SwaptionMonthsToGo+SwaptionShift),INDEX($FK$245:$ID$316,$FJ221-GA$169,73-GA$169+SwaptionShift):INDEX($FK$245:$ID$316,$FJ221-GA$169,72-GA$169+SwaptionMonthsToGo+SwaptionShift))/SQRT(SUM(INDEX($FK376:$ID376,1+SwaptionShift):INDEX($FK376:$ID376,SwaptionMonthsToGo+SwaptionShift))*SUM(INDEX($FK$325:$ID$396,GA$169,1+SwaptionShift):INDEX($FK$325:$ID$396,GA$169,SwaptionMonthsToGo+SwaptionShift))))))</f>
        <v/>
      </c>
      <c r="GB221" s="150" t="str">
        <f aca="false">IF(OR(GB$169&lt;SwaptionFirstMonthPosition+1,$FJ221&lt;SwaptionFirstMonthPosition+1,GB$169&gt;SwaptionFirstMonthPosition+SwaptionNumOfMonths+1,$FJ221&gt;SwaptionFirstMonthPosition+SwaptionNumOfMonths+1),"",IF($FJ221=GB$169,1,IF($FJ221&lt;GB$169,INDEX($FK$170:$ID$241,GB$169,$FJ221),SUMPRODUCT(INDEX($FK$325:$ID$396,GB$169,1+SwaptionShift):INDEX($FK$325:$ID$396,GB$169,SwaptionMonthsToGo+SwaptionShift),INDEX($FK$245:$ID$316,$FJ221-GB$169,73-GB$169+SwaptionShift):INDEX($FK$245:$ID$316,$FJ221-GB$169,72-GB$169+SwaptionMonthsToGo+SwaptionShift))/SQRT(SUM(INDEX($FK376:$ID376,1+SwaptionShift):INDEX($FK376:$ID376,SwaptionMonthsToGo+SwaptionShift))*SUM(INDEX($FK$325:$ID$396,GB$169,1+SwaptionShift):INDEX($FK$325:$ID$396,GB$169,SwaptionMonthsToGo+SwaptionShift))))))</f>
        <v/>
      </c>
      <c r="GC221" s="150" t="str">
        <f aca="false">IF(OR(GC$169&lt;SwaptionFirstMonthPosition+1,$FJ221&lt;SwaptionFirstMonthPosition+1,GC$169&gt;SwaptionFirstMonthPosition+SwaptionNumOfMonths+1,$FJ221&gt;SwaptionFirstMonthPosition+SwaptionNumOfMonths+1),"",IF($FJ221=GC$169,1,IF($FJ221&lt;GC$169,INDEX($FK$170:$ID$241,GC$169,$FJ221),SUMPRODUCT(INDEX($FK$325:$ID$396,GC$169,1+SwaptionShift):INDEX($FK$325:$ID$396,GC$169,SwaptionMonthsToGo+SwaptionShift),INDEX($FK$245:$ID$316,$FJ221-GC$169,73-GC$169+SwaptionShift):INDEX($FK$245:$ID$316,$FJ221-GC$169,72-GC$169+SwaptionMonthsToGo+SwaptionShift))/SQRT(SUM(INDEX($FK376:$ID376,1+SwaptionShift):INDEX($FK376:$ID376,SwaptionMonthsToGo+SwaptionShift))*SUM(INDEX($FK$325:$ID$396,GC$169,1+SwaptionShift):INDEX($FK$325:$ID$396,GC$169,SwaptionMonthsToGo+SwaptionShift))))))</f>
        <v/>
      </c>
      <c r="GD221" s="150" t="str">
        <f aca="false">IF(OR(GD$169&lt;SwaptionFirstMonthPosition+1,$FJ221&lt;SwaptionFirstMonthPosition+1,GD$169&gt;SwaptionFirstMonthPosition+SwaptionNumOfMonths+1,$FJ221&gt;SwaptionFirstMonthPosition+SwaptionNumOfMonths+1),"",IF($FJ221=GD$169,1,IF($FJ221&lt;GD$169,INDEX($FK$170:$ID$241,GD$169,$FJ221),SUMPRODUCT(INDEX($FK$325:$ID$396,GD$169,1+SwaptionShift):INDEX($FK$325:$ID$396,GD$169,SwaptionMonthsToGo+SwaptionShift),INDEX($FK$245:$ID$316,$FJ221-GD$169,73-GD$169+SwaptionShift):INDEX($FK$245:$ID$316,$FJ221-GD$169,72-GD$169+SwaptionMonthsToGo+SwaptionShift))/SQRT(SUM(INDEX($FK376:$ID376,1+SwaptionShift):INDEX($FK376:$ID376,SwaptionMonthsToGo+SwaptionShift))*SUM(INDEX($FK$325:$ID$396,GD$169,1+SwaptionShift):INDEX($FK$325:$ID$396,GD$169,SwaptionMonthsToGo+SwaptionShift))))))</f>
        <v/>
      </c>
      <c r="GE221" s="150" t="str">
        <f aca="false">IF(OR(GE$169&lt;SwaptionFirstMonthPosition+1,$FJ221&lt;SwaptionFirstMonthPosition+1,GE$169&gt;SwaptionFirstMonthPosition+SwaptionNumOfMonths+1,$FJ221&gt;SwaptionFirstMonthPosition+SwaptionNumOfMonths+1),"",IF($FJ221=GE$169,1,IF($FJ221&lt;GE$169,INDEX($FK$170:$ID$241,GE$169,$FJ221),SUMPRODUCT(INDEX($FK$325:$ID$396,GE$169,1+SwaptionShift):INDEX($FK$325:$ID$396,GE$169,SwaptionMonthsToGo+SwaptionShift),INDEX($FK$245:$ID$316,$FJ221-GE$169,73-GE$169+SwaptionShift):INDEX($FK$245:$ID$316,$FJ221-GE$169,72-GE$169+SwaptionMonthsToGo+SwaptionShift))/SQRT(SUM(INDEX($FK376:$ID376,1+SwaptionShift):INDEX($FK376:$ID376,SwaptionMonthsToGo+SwaptionShift))*SUM(INDEX($FK$325:$ID$396,GE$169,1+SwaptionShift):INDEX($FK$325:$ID$396,GE$169,SwaptionMonthsToGo+SwaptionShift))))))</f>
        <v/>
      </c>
      <c r="GF221" s="150" t="str">
        <f aca="false">IF(OR(GF$169&lt;SwaptionFirstMonthPosition+1,$FJ221&lt;SwaptionFirstMonthPosition+1,GF$169&gt;SwaptionFirstMonthPosition+SwaptionNumOfMonths+1,$FJ221&gt;SwaptionFirstMonthPosition+SwaptionNumOfMonths+1),"",IF($FJ221=GF$169,1,IF($FJ221&lt;GF$169,INDEX($FK$170:$ID$241,GF$169,$FJ221),SUMPRODUCT(INDEX($FK$325:$ID$396,GF$169,1+SwaptionShift):INDEX($FK$325:$ID$396,GF$169,SwaptionMonthsToGo+SwaptionShift),INDEX($FK$245:$ID$316,$FJ221-GF$169,73-GF$169+SwaptionShift):INDEX($FK$245:$ID$316,$FJ221-GF$169,72-GF$169+SwaptionMonthsToGo+SwaptionShift))/SQRT(SUM(INDEX($FK376:$ID376,1+SwaptionShift):INDEX($FK376:$ID376,SwaptionMonthsToGo+SwaptionShift))*SUM(INDEX($FK$325:$ID$396,GF$169,1+SwaptionShift):INDEX($FK$325:$ID$396,GF$169,SwaptionMonthsToGo+SwaptionShift))))))</f>
        <v/>
      </c>
      <c r="GG221" s="150" t="str">
        <f aca="false">IF(OR(GG$169&lt;SwaptionFirstMonthPosition+1,$FJ221&lt;SwaptionFirstMonthPosition+1,GG$169&gt;SwaptionFirstMonthPosition+SwaptionNumOfMonths+1,$FJ221&gt;SwaptionFirstMonthPosition+SwaptionNumOfMonths+1),"",IF($FJ221=GG$169,1,IF($FJ221&lt;GG$169,INDEX($FK$170:$ID$241,GG$169,$FJ221),SUMPRODUCT(INDEX($FK$325:$ID$396,GG$169,1+SwaptionShift):INDEX($FK$325:$ID$396,GG$169,SwaptionMonthsToGo+SwaptionShift),INDEX($FK$245:$ID$316,$FJ221-GG$169,73-GG$169+SwaptionShift):INDEX($FK$245:$ID$316,$FJ221-GG$169,72-GG$169+SwaptionMonthsToGo+SwaptionShift))/SQRT(SUM(INDEX($FK376:$ID376,1+SwaptionShift):INDEX($FK376:$ID376,SwaptionMonthsToGo+SwaptionShift))*SUM(INDEX($FK$325:$ID$396,GG$169,1+SwaptionShift):INDEX($FK$325:$ID$396,GG$169,SwaptionMonthsToGo+SwaptionShift))))))</f>
        <v/>
      </c>
      <c r="GH221" s="150" t="str">
        <f aca="false">IF(OR(GH$169&lt;SwaptionFirstMonthPosition+1,$FJ221&lt;SwaptionFirstMonthPosition+1,GH$169&gt;SwaptionFirstMonthPosition+SwaptionNumOfMonths+1,$FJ221&gt;SwaptionFirstMonthPosition+SwaptionNumOfMonths+1),"",IF($FJ221=GH$169,1,IF($FJ221&lt;GH$169,INDEX($FK$170:$ID$241,GH$169,$FJ221),SUMPRODUCT(INDEX($FK$325:$ID$396,GH$169,1+SwaptionShift):INDEX($FK$325:$ID$396,GH$169,SwaptionMonthsToGo+SwaptionShift),INDEX($FK$245:$ID$316,$FJ221-GH$169,73-GH$169+SwaptionShift):INDEX($FK$245:$ID$316,$FJ221-GH$169,72-GH$169+SwaptionMonthsToGo+SwaptionShift))/SQRT(SUM(INDEX($FK376:$ID376,1+SwaptionShift):INDEX($FK376:$ID376,SwaptionMonthsToGo+SwaptionShift))*SUM(INDEX($FK$325:$ID$396,GH$169,1+SwaptionShift):INDEX($FK$325:$ID$396,GH$169,SwaptionMonthsToGo+SwaptionShift))))))</f>
        <v/>
      </c>
      <c r="GI221" s="150" t="str">
        <f aca="false">IF(OR(GI$169&lt;SwaptionFirstMonthPosition+1,$FJ221&lt;SwaptionFirstMonthPosition+1,GI$169&gt;SwaptionFirstMonthPosition+SwaptionNumOfMonths+1,$FJ221&gt;SwaptionFirstMonthPosition+SwaptionNumOfMonths+1),"",IF($FJ221=GI$169,1,IF($FJ221&lt;GI$169,INDEX($FK$170:$ID$241,GI$169,$FJ221),SUMPRODUCT(INDEX($FK$325:$ID$396,GI$169,1+SwaptionShift):INDEX($FK$325:$ID$396,GI$169,SwaptionMonthsToGo+SwaptionShift),INDEX($FK$245:$ID$316,$FJ221-GI$169,73-GI$169+SwaptionShift):INDEX($FK$245:$ID$316,$FJ221-GI$169,72-GI$169+SwaptionMonthsToGo+SwaptionShift))/SQRT(SUM(INDEX($FK376:$ID376,1+SwaptionShift):INDEX($FK376:$ID376,SwaptionMonthsToGo+SwaptionShift))*SUM(INDEX($FK$325:$ID$396,GI$169,1+SwaptionShift):INDEX($FK$325:$ID$396,GI$169,SwaptionMonthsToGo+SwaptionShift))))))</f>
        <v/>
      </c>
      <c r="GJ221" s="150" t="str">
        <f aca="false">IF(OR(GJ$169&lt;SwaptionFirstMonthPosition+1,$FJ221&lt;SwaptionFirstMonthPosition+1,GJ$169&gt;SwaptionFirstMonthPosition+SwaptionNumOfMonths+1,$FJ221&gt;SwaptionFirstMonthPosition+SwaptionNumOfMonths+1),"",IF($FJ221=GJ$169,1,IF($FJ221&lt;GJ$169,INDEX($FK$170:$ID$241,GJ$169,$FJ221),SUMPRODUCT(INDEX($FK$325:$ID$396,GJ$169,1+SwaptionShift):INDEX($FK$325:$ID$396,GJ$169,SwaptionMonthsToGo+SwaptionShift),INDEX($FK$245:$ID$316,$FJ221-GJ$169,73-GJ$169+SwaptionShift):INDEX($FK$245:$ID$316,$FJ221-GJ$169,72-GJ$169+SwaptionMonthsToGo+SwaptionShift))/SQRT(SUM(INDEX($FK376:$ID376,1+SwaptionShift):INDEX($FK376:$ID376,SwaptionMonthsToGo+SwaptionShift))*SUM(INDEX($FK$325:$ID$396,GJ$169,1+SwaptionShift):INDEX($FK$325:$ID$396,GJ$169,SwaptionMonthsToGo+SwaptionShift))))))</f>
        <v/>
      </c>
      <c r="GK221" s="150" t="str">
        <f aca="false">IF(OR(GK$169&lt;SwaptionFirstMonthPosition+1,$FJ221&lt;SwaptionFirstMonthPosition+1,GK$169&gt;SwaptionFirstMonthPosition+SwaptionNumOfMonths+1,$FJ221&gt;SwaptionFirstMonthPosition+SwaptionNumOfMonths+1),"",IF($FJ221=GK$169,1,IF($FJ221&lt;GK$169,INDEX($FK$170:$ID$241,GK$169,$FJ221),SUMPRODUCT(INDEX($FK$325:$ID$396,GK$169,1+SwaptionShift):INDEX($FK$325:$ID$396,GK$169,SwaptionMonthsToGo+SwaptionShift),INDEX($FK$245:$ID$316,$FJ221-GK$169,73-GK$169+SwaptionShift):INDEX($FK$245:$ID$316,$FJ221-GK$169,72-GK$169+SwaptionMonthsToGo+SwaptionShift))/SQRT(SUM(INDEX($FK376:$ID376,1+SwaptionShift):INDEX($FK376:$ID376,SwaptionMonthsToGo+SwaptionShift))*SUM(INDEX($FK$325:$ID$396,GK$169,1+SwaptionShift):INDEX($FK$325:$ID$396,GK$169,SwaptionMonthsToGo+SwaptionShift))))))</f>
        <v/>
      </c>
      <c r="GL221" s="150" t="str">
        <f aca="false">IF(OR(GL$169&lt;SwaptionFirstMonthPosition+1,$FJ221&lt;SwaptionFirstMonthPosition+1,GL$169&gt;SwaptionFirstMonthPosition+SwaptionNumOfMonths+1,$FJ221&gt;SwaptionFirstMonthPosition+SwaptionNumOfMonths+1),"",IF($FJ221=GL$169,1,IF($FJ221&lt;GL$169,INDEX($FK$170:$ID$241,GL$169,$FJ221),SUMPRODUCT(INDEX($FK$325:$ID$396,GL$169,1+SwaptionShift):INDEX($FK$325:$ID$396,GL$169,SwaptionMonthsToGo+SwaptionShift),INDEX($FK$245:$ID$316,$FJ221-GL$169,73-GL$169+SwaptionShift):INDEX($FK$245:$ID$316,$FJ221-GL$169,72-GL$169+SwaptionMonthsToGo+SwaptionShift))/SQRT(SUM(INDEX($FK376:$ID376,1+SwaptionShift):INDEX($FK376:$ID376,SwaptionMonthsToGo+SwaptionShift))*SUM(INDEX($FK$325:$ID$396,GL$169,1+SwaptionShift):INDEX($FK$325:$ID$396,GL$169,SwaptionMonthsToGo+SwaptionShift))))))</f>
        <v/>
      </c>
      <c r="GM221" s="150" t="str">
        <f aca="false">IF(OR(GM$169&lt;SwaptionFirstMonthPosition+1,$FJ221&lt;SwaptionFirstMonthPosition+1,GM$169&gt;SwaptionFirstMonthPosition+SwaptionNumOfMonths+1,$FJ221&gt;SwaptionFirstMonthPosition+SwaptionNumOfMonths+1),"",IF($FJ221=GM$169,1,IF($FJ221&lt;GM$169,INDEX($FK$170:$ID$241,GM$169,$FJ221),SUMPRODUCT(INDEX($FK$325:$ID$396,GM$169,1+SwaptionShift):INDEX($FK$325:$ID$396,GM$169,SwaptionMonthsToGo+SwaptionShift),INDEX($FK$245:$ID$316,$FJ221-GM$169,73-GM$169+SwaptionShift):INDEX($FK$245:$ID$316,$FJ221-GM$169,72-GM$169+SwaptionMonthsToGo+SwaptionShift))/SQRT(SUM(INDEX($FK376:$ID376,1+SwaptionShift):INDEX($FK376:$ID376,SwaptionMonthsToGo+SwaptionShift))*SUM(INDEX($FK$325:$ID$396,GM$169,1+SwaptionShift):INDEX($FK$325:$ID$396,GM$169,SwaptionMonthsToGo+SwaptionShift))))))</f>
        <v/>
      </c>
      <c r="GN221" s="150" t="str">
        <f aca="false">IF(OR(GN$169&lt;SwaptionFirstMonthPosition+1,$FJ221&lt;SwaptionFirstMonthPosition+1,GN$169&gt;SwaptionFirstMonthPosition+SwaptionNumOfMonths+1,$FJ221&gt;SwaptionFirstMonthPosition+SwaptionNumOfMonths+1),"",IF($FJ221=GN$169,1,IF($FJ221&lt;GN$169,INDEX($FK$170:$ID$241,GN$169,$FJ221),SUMPRODUCT(INDEX($FK$325:$ID$396,GN$169,1+SwaptionShift):INDEX($FK$325:$ID$396,GN$169,SwaptionMonthsToGo+SwaptionShift),INDEX($FK$245:$ID$316,$FJ221-GN$169,73-GN$169+SwaptionShift):INDEX($FK$245:$ID$316,$FJ221-GN$169,72-GN$169+SwaptionMonthsToGo+SwaptionShift))/SQRT(SUM(INDEX($FK376:$ID376,1+SwaptionShift):INDEX($FK376:$ID376,SwaptionMonthsToGo+SwaptionShift))*SUM(INDEX($FK$325:$ID$396,GN$169,1+SwaptionShift):INDEX($FK$325:$ID$396,GN$169,SwaptionMonthsToGo+SwaptionShift))))))</f>
        <v/>
      </c>
      <c r="GO221" s="150" t="str">
        <f aca="false">IF(OR(GO$169&lt;SwaptionFirstMonthPosition+1,$FJ221&lt;SwaptionFirstMonthPosition+1,GO$169&gt;SwaptionFirstMonthPosition+SwaptionNumOfMonths+1,$FJ221&gt;SwaptionFirstMonthPosition+SwaptionNumOfMonths+1),"",IF($FJ221=GO$169,1,IF($FJ221&lt;GO$169,INDEX($FK$170:$ID$241,GO$169,$FJ221),SUMPRODUCT(INDEX($FK$325:$ID$396,GO$169,1+SwaptionShift):INDEX($FK$325:$ID$396,GO$169,SwaptionMonthsToGo+SwaptionShift),INDEX($FK$245:$ID$316,$FJ221-GO$169,73-GO$169+SwaptionShift):INDEX($FK$245:$ID$316,$FJ221-GO$169,72-GO$169+SwaptionMonthsToGo+SwaptionShift))/SQRT(SUM(INDEX($FK376:$ID376,1+SwaptionShift):INDEX($FK376:$ID376,SwaptionMonthsToGo+SwaptionShift))*SUM(INDEX($FK$325:$ID$396,GO$169,1+SwaptionShift):INDEX($FK$325:$ID$396,GO$169,SwaptionMonthsToGo+SwaptionShift))))))</f>
        <v/>
      </c>
      <c r="GP221" s="150" t="str">
        <f aca="false">IF(OR(GP$169&lt;SwaptionFirstMonthPosition+1,$FJ221&lt;SwaptionFirstMonthPosition+1,GP$169&gt;SwaptionFirstMonthPosition+SwaptionNumOfMonths+1,$FJ221&gt;SwaptionFirstMonthPosition+SwaptionNumOfMonths+1),"",IF($FJ221=GP$169,1,IF($FJ221&lt;GP$169,INDEX($FK$170:$ID$241,GP$169,$FJ221),SUMPRODUCT(INDEX($FK$325:$ID$396,GP$169,1+SwaptionShift):INDEX($FK$325:$ID$396,GP$169,SwaptionMonthsToGo+SwaptionShift),INDEX($FK$245:$ID$316,$FJ221-GP$169,73-GP$169+SwaptionShift):INDEX($FK$245:$ID$316,$FJ221-GP$169,72-GP$169+SwaptionMonthsToGo+SwaptionShift))/SQRT(SUM(INDEX($FK376:$ID376,1+SwaptionShift):INDEX($FK376:$ID376,SwaptionMonthsToGo+SwaptionShift))*SUM(INDEX($FK$325:$ID$396,GP$169,1+SwaptionShift):INDEX($FK$325:$ID$396,GP$169,SwaptionMonthsToGo+SwaptionShift))))))</f>
        <v/>
      </c>
      <c r="GQ221" s="150" t="str">
        <f aca="false">IF(OR(GQ$169&lt;SwaptionFirstMonthPosition+1,$FJ221&lt;SwaptionFirstMonthPosition+1,GQ$169&gt;SwaptionFirstMonthPosition+SwaptionNumOfMonths+1,$FJ221&gt;SwaptionFirstMonthPosition+SwaptionNumOfMonths+1),"",IF($FJ221=GQ$169,1,IF($FJ221&lt;GQ$169,INDEX($FK$170:$ID$241,GQ$169,$FJ221),SUMPRODUCT(INDEX($FK$325:$ID$396,GQ$169,1+SwaptionShift):INDEX($FK$325:$ID$396,GQ$169,SwaptionMonthsToGo+SwaptionShift),INDEX($FK$245:$ID$316,$FJ221-GQ$169,73-GQ$169+SwaptionShift):INDEX($FK$245:$ID$316,$FJ221-GQ$169,72-GQ$169+SwaptionMonthsToGo+SwaptionShift))/SQRT(SUM(INDEX($FK376:$ID376,1+SwaptionShift):INDEX($FK376:$ID376,SwaptionMonthsToGo+SwaptionShift))*SUM(INDEX($FK$325:$ID$396,GQ$169,1+SwaptionShift):INDEX($FK$325:$ID$396,GQ$169,SwaptionMonthsToGo+SwaptionShift))))))</f>
        <v/>
      </c>
      <c r="GR221" s="150" t="str">
        <f aca="false">IF(OR(GR$169&lt;SwaptionFirstMonthPosition+1,$FJ221&lt;SwaptionFirstMonthPosition+1,GR$169&gt;SwaptionFirstMonthPosition+SwaptionNumOfMonths+1,$FJ221&gt;SwaptionFirstMonthPosition+SwaptionNumOfMonths+1),"",IF($FJ221=GR$169,1,IF($FJ221&lt;GR$169,INDEX($FK$170:$ID$241,GR$169,$FJ221),SUMPRODUCT(INDEX($FK$325:$ID$396,GR$169,1+SwaptionShift):INDEX($FK$325:$ID$396,GR$169,SwaptionMonthsToGo+SwaptionShift),INDEX($FK$245:$ID$316,$FJ221-GR$169,73-GR$169+SwaptionShift):INDEX($FK$245:$ID$316,$FJ221-GR$169,72-GR$169+SwaptionMonthsToGo+SwaptionShift))/SQRT(SUM(INDEX($FK376:$ID376,1+SwaptionShift):INDEX($FK376:$ID376,SwaptionMonthsToGo+SwaptionShift))*SUM(INDEX($FK$325:$ID$396,GR$169,1+SwaptionShift):INDEX($FK$325:$ID$396,GR$169,SwaptionMonthsToGo+SwaptionShift))))))</f>
        <v/>
      </c>
      <c r="GS221" s="150" t="str">
        <f aca="false">IF(OR(GS$169&lt;SwaptionFirstMonthPosition+1,$FJ221&lt;SwaptionFirstMonthPosition+1,GS$169&gt;SwaptionFirstMonthPosition+SwaptionNumOfMonths+1,$FJ221&gt;SwaptionFirstMonthPosition+SwaptionNumOfMonths+1),"",IF($FJ221=GS$169,1,IF($FJ221&lt;GS$169,INDEX($FK$170:$ID$241,GS$169,$FJ221),SUMPRODUCT(INDEX($FK$325:$ID$396,GS$169,1+SwaptionShift):INDEX($FK$325:$ID$396,GS$169,SwaptionMonthsToGo+SwaptionShift),INDEX($FK$245:$ID$316,$FJ221-GS$169,73-GS$169+SwaptionShift):INDEX($FK$245:$ID$316,$FJ221-GS$169,72-GS$169+SwaptionMonthsToGo+SwaptionShift))/SQRT(SUM(INDEX($FK376:$ID376,1+SwaptionShift):INDEX($FK376:$ID376,SwaptionMonthsToGo+SwaptionShift))*SUM(INDEX($FK$325:$ID$396,GS$169,1+SwaptionShift):INDEX($FK$325:$ID$396,GS$169,SwaptionMonthsToGo+SwaptionShift))))))</f>
        <v/>
      </c>
      <c r="GT221" s="150" t="str">
        <f aca="false">IF(OR(GT$169&lt;SwaptionFirstMonthPosition+1,$FJ221&lt;SwaptionFirstMonthPosition+1,GT$169&gt;SwaptionFirstMonthPosition+SwaptionNumOfMonths+1,$FJ221&gt;SwaptionFirstMonthPosition+SwaptionNumOfMonths+1),"",IF($FJ221=GT$169,1,IF($FJ221&lt;GT$169,INDEX($FK$170:$ID$241,GT$169,$FJ221),SUMPRODUCT(INDEX($FK$325:$ID$396,GT$169,1+SwaptionShift):INDEX($FK$325:$ID$396,GT$169,SwaptionMonthsToGo+SwaptionShift),INDEX($FK$245:$ID$316,$FJ221-GT$169,73-GT$169+SwaptionShift):INDEX($FK$245:$ID$316,$FJ221-GT$169,72-GT$169+SwaptionMonthsToGo+SwaptionShift))/SQRT(SUM(INDEX($FK376:$ID376,1+SwaptionShift):INDEX($FK376:$ID376,SwaptionMonthsToGo+SwaptionShift))*SUM(INDEX($FK$325:$ID$396,GT$169,1+SwaptionShift):INDEX($FK$325:$ID$396,GT$169,SwaptionMonthsToGo+SwaptionShift))))))</f>
        <v/>
      </c>
      <c r="GU221" s="150" t="str">
        <f aca="false">IF(OR(GU$169&lt;SwaptionFirstMonthPosition+1,$FJ221&lt;SwaptionFirstMonthPosition+1,GU$169&gt;SwaptionFirstMonthPosition+SwaptionNumOfMonths+1,$FJ221&gt;SwaptionFirstMonthPosition+SwaptionNumOfMonths+1),"",IF($FJ221=GU$169,1,IF($FJ221&lt;GU$169,INDEX($FK$170:$ID$241,GU$169,$FJ221),SUMPRODUCT(INDEX($FK$325:$ID$396,GU$169,1+SwaptionShift):INDEX($FK$325:$ID$396,GU$169,SwaptionMonthsToGo+SwaptionShift),INDEX($FK$245:$ID$316,$FJ221-GU$169,73-GU$169+SwaptionShift):INDEX($FK$245:$ID$316,$FJ221-GU$169,72-GU$169+SwaptionMonthsToGo+SwaptionShift))/SQRT(SUM(INDEX($FK376:$ID376,1+SwaptionShift):INDEX($FK376:$ID376,SwaptionMonthsToGo+SwaptionShift))*SUM(INDEX($FK$325:$ID$396,GU$169,1+SwaptionShift):INDEX($FK$325:$ID$396,GU$169,SwaptionMonthsToGo+SwaptionShift))))))</f>
        <v/>
      </c>
      <c r="GV221" s="150" t="str">
        <f aca="false">IF(OR(GV$169&lt;SwaptionFirstMonthPosition+1,$FJ221&lt;SwaptionFirstMonthPosition+1,GV$169&gt;SwaptionFirstMonthPosition+SwaptionNumOfMonths+1,$FJ221&gt;SwaptionFirstMonthPosition+SwaptionNumOfMonths+1),"",IF($FJ221=GV$169,1,IF($FJ221&lt;GV$169,INDEX($FK$170:$ID$241,GV$169,$FJ221),SUMPRODUCT(INDEX($FK$325:$ID$396,GV$169,1+SwaptionShift):INDEX($FK$325:$ID$396,GV$169,SwaptionMonthsToGo+SwaptionShift),INDEX($FK$245:$ID$316,$FJ221-GV$169,73-GV$169+SwaptionShift):INDEX($FK$245:$ID$316,$FJ221-GV$169,72-GV$169+SwaptionMonthsToGo+SwaptionShift))/SQRT(SUM(INDEX($FK376:$ID376,1+SwaptionShift):INDEX($FK376:$ID376,SwaptionMonthsToGo+SwaptionShift))*SUM(INDEX($FK$325:$ID$396,GV$169,1+SwaptionShift):INDEX($FK$325:$ID$396,GV$169,SwaptionMonthsToGo+SwaptionShift))))))</f>
        <v/>
      </c>
      <c r="GW221" s="150" t="str">
        <f aca="false">IF(OR(GW$169&lt;SwaptionFirstMonthPosition+1,$FJ221&lt;SwaptionFirstMonthPosition+1,GW$169&gt;SwaptionFirstMonthPosition+SwaptionNumOfMonths+1,$FJ221&gt;SwaptionFirstMonthPosition+SwaptionNumOfMonths+1),"",IF($FJ221=GW$169,1,IF($FJ221&lt;GW$169,INDEX($FK$170:$ID$241,GW$169,$FJ221),SUMPRODUCT(INDEX($FK$325:$ID$396,GW$169,1+SwaptionShift):INDEX($FK$325:$ID$396,GW$169,SwaptionMonthsToGo+SwaptionShift),INDEX($FK$245:$ID$316,$FJ221-GW$169,73-GW$169+SwaptionShift):INDEX($FK$245:$ID$316,$FJ221-GW$169,72-GW$169+SwaptionMonthsToGo+SwaptionShift))/SQRT(SUM(INDEX($FK376:$ID376,1+SwaptionShift):INDEX($FK376:$ID376,SwaptionMonthsToGo+SwaptionShift))*SUM(INDEX($FK$325:$ID$396,GW$169,1+SwaptionShift):INDEX($FK$325:$ID$396,GW$169,SwaptionMonthsToGo+SwaptionShift))))))</f>
        <v/>
      </c>
      <c r="GX221" s="150" t="str">
        <f aca="false">IF(OR(GX$169&lt;SwaptionFirstMonthPosition+1,$FJ221&lt;SwaptionFirstMonthPosition+1,GX$169&gt;SwaptionFirstMonthPosition+SwaptionNumOfMonths+1,$FJ221&gt;SwaptionFirstMonthPosition+SwaptionNumOfMonths+1),"",IF($FJ221=GX$169,1,IF($FJ221&lt;GX$169,INDEX($FK$170:$ID$241,GX$169,$FJ221),SUMPRODUCT(INDEX($FK$325:$ID$396,GX$169,1+SwaptionShift):INDEX($FK$325:$ID$396,GX$169,SwaptionMonthsToGo+SwaptionShift),INDEX($FK$245:$ID$316,$FJ221-GX$169,73-GX$169+SwaptionShift):INDEX($FK$245:$ID$316,$FJ221-GX$169,72-GX$169+SwaptionMonthsToGo+SwaptionShift))/SQRT(SUM(INDEX($FK376:$ID376,1+SwaptionShift):INDEX($FK376:$ID376,SwaptionMonthsToGo+SwaptionShift))*SUM(INDEX($FK$325:$ID$396,GX$169,1+SwaptionShift):INDEX($FK$325:$ID$396,GX$169,SwaptionMonthsToGo+SwaptionShift))))))</f>
        <v/>
      </c>
      <c r="GY221" s="150" t="str">
        <f aca="false">IF(OR(GY$169&lt;SwaptionFirstMonthPosition+1,$FJ221&lt;SwaptionFirstMonthPosition+1,GY$169&gt;SwaptionFirstMonthPosition+SwaptionNumOfMonths+1,$FJ221&gt;SwaptionFirstMonthPosition+SwaptionNumOfMonths+1),"",IF($FJ221=GY$169,1,IF($FJ221&lt;GY$169,INDEX($FK$170:$ID$241,GY$169,$FJ221),SUMPRODUCT(INDEX($FK$325:$ID$396,GY$169,1+SwaptionShift):INDEX($FK$325:$ID$396,GY$169,SwaptionMonthsToGo+SwaptionShift),INDEX($FK$245:$ID$316,$FJ221-GY$169,73-GY$169+SwaptionShift):INDEX($FK$245:$ID$316,$FJ221-GY$169,72-GY$169+SwaptionMonthsToGo+SwaptionShift))/SQRT(SUM(INDEX($FK376:$ID376,1+SwaptionShift):INDEX($FK376:$ID376,SwaptionMonthsToGo+SwaptionShift))*SUM(INDEX($FK$325:$ID$396,GY$169,1+SwaptionShift):INDEX($FK$325:$ID$396,GY$169,SwaptionMonthsToGo+SwaptionShift))))))</f>
        <v/>
      </c>
      <c r="GZ221" s="150" t="str">
        <f aca="false">IF(OR(GZ$169&lt;SwaptionFirstMonthPosition+1,$FJ221&lt;SwaptionFirstMonthPosition+1,GZ$169&gt;SwaptionFirstMonthPosition+SwaptionNumOfMonths+1,$FJ221&gt;SwaptionFirstMonthPosition+SwaptionNumOfMonths+1),"",IF($FJ221=GZ$169,1,IF($FJ221&lt;GZ$169,INDEX($FK$170:$ID$241,GZ$169,$FJ221),SUMPRODUCT(INDEX($FK$325:$ID$396,GZ$169,1+SwaptionShift):INDEX($FK$325:$ID$396,GZ$169,SwaptionMonthsToGo+SwaptionShift),INDEX($FK$245:$ID$316,$FJ221-GZ$169,73-GZ$169+SwaptionShift):INDEX($FK$245:$ID$316,$FJ221-GZ$169,72-GZ$169+SwaptionMonthsToGo+SwaptionShift))/SQRT(SUM(INDEX($FK376:$ID376,1+SwaptionShift):INDEX($FK376:$ID376,SwaptionMonthsToGo+SwaptionShift))*SUM(INDEX($FK$325:$ID$396,GZ$169,1+SwaptionShift):INDEX($FK$325:$ID$396,GZ$169,SwaptionMonthsToGo+SwaptionShift))))))</f>
        <v/>
      </c>
      <c r="HA221" s="150" t="str">
        <f aca="false">IF(OR(HA$169&lt;SwaptionFirstMonthPosition+1,$FJ221&lt;SwaptionFirstMonthPosition+1,HA$169&gt;SwaptionFirstMonthPosition+SwaptionNumOfMonths+1,$FJ221&gt;SwaptionFirstMonthPosition+SwaptionNumOfMonths+1),"",IF($FJ221=HA$169,1,IF($FJ221&lt;HA$169,INDEX($FK$170:$ID$241,HA$169,$FJ221),SUMPRODUCT(INDEX($FK$325:$ID$396,HA$169,1+SwaptionShift):INDEX($FK$325:$ID$396,HA$169,SwaptionMonthsToGo+SwaptionShift),INDEX($FK$245:$ID$316,$FJ221-HA$169,73-HA$169+SwaptionShift):INDEX($FK$245:$ID$316,$FJ221-HA$169,72-HA$169+SwaptionMonthsToGo+SwaptionShift))/SQRT(SUM(INDEX($FK376:$ID376,1+SwaptionShift):INDEX($FK376:$ID376,SwaptionMonthsToGo+SwaptionShift))*SUM(INDEX($FK$325:$ID$396,HA$169,1+SwaptionShift):INDEX($FK$325:$ID$396,HA$169,SwaptionMonthsToGo+SwaptionShift))))))</f>
        <v/>
      </c>
      <c r="HB221" s="150" t="str">
        <f aca="false">IF(OR(HB$169&lt;SwaptionFirstMonthPosition+1,$FJ221&lt;SwaptionFirstMonthPosition+1,HB$169&gt;SwaptionFirstMonthPosition+SwaptionNumOfMonths+1,$FJ221&gt;SwaptionFirstMonthPosition+SwaptionNumOfMonths+1),"",IF($FJ221=HB$169,1,IF($FJ221&lt;HB$169,INDEX($FK$170:$ID$241,HB$169,$FJ221),SUMPRODUCT(INDEX($FK$325:$ID$396,HB$169,1+SwaptionShift):INDEX($FK$325:$ID$396,HB$169,SwaptionMonthsToGo+SwaptionShift),INDEX($FK$245:$ID$316,$FJ221-HB$169,73-HB$169+SwaptionShift):INDEX($FK$245:$ID$316,$FJ221-HB$169,72-HB$169+SwaptionMonthsToGo+SwaptionShift))/SQRT(SUM(INDEX($FK376:$ID376,1+SwaptionShift):INDEX($FK376:$ID376,SwaptionMonthsToGo+SwaptionShift))*SUM(INDEX($FK$325:$ID$396,HB$169,1+SwaptionShift):INDEX($FK$325:$ID$396,HB$169,SwaptionMonthsToGo+SwaptionShift))))))</f>
        <v/>
      </c>
      <c r="HC221" s="150" t="str">
        <f aca="false">IF(OR(HC$169&lt;SwaptionFirstMonthPosition+1,$FJ221&lt;SwaptionFirstMonthPosition+1,HC$169&gt;SwaptionFirstMonthPosition+SwaptionNumOfMonths+1,$FJ221&gt;SwaptionFirstMonthPosition+SwaptionNumOfMonths+1),"",IF($FJ221=HC$169,1,IF($FJ221&lt;HC$169,INDEX($FK$170:$ID$241,HC$169,$FJ221),SUMPRODUCT(INDEX($FK$325:$ID$396,HC$169,1+SwaptionShift):INDEX($FK$325:$ID$396,HC$169,SwaptionMonthsToGo+SwaptionShift),INDEX($FK$245:$ID$316,$FJ221-HC$169,73-HC$169+SwaptionShift):INDEX($FK$245:$ID$316,$FJ221-HC$169,72-HC$169+SwaptionMonthsToGo+SwaptionShift))/SQRT(SUM(INDEX($FK376:$ID376,1+SwaptionShift):INDEX($FK376:$ID376,SwaptionMonthsToGo+SwaptionShift))*SUM(INDEX($FK$325:$ID$396,HC$169,1+SwaptionShift):INDEX($FK$325:$ID$396,HC$169,SwaptionMonthsToGo+SwaptionShift))))))</f>
        <v/>
      </c>
      <c r="HD221" s="150" t="str">
        <f aca="false">IF(OR(HD$169&lt;SwaptionFirstMonthPosition+1,$FJ221&lt;SwaptionFirstMonthPosition+1,HD$169&gt;SwaptionFirstMonthPosition+SwaptionNumOfMonths+1,$FJ221&gt;SwaptionFirstMonthPosition+SwaptionNumOfMonths+1),"",IF($FJ221=HD$169,1,IF($FJ221&lt;HD$169,INDEX($FK$170:$ID$241,HD$169,$FJ221),SUMPRODUCT(INDEX($FK$325:$ID$396,HD$169,1+SwaptionShift):INDEX($FK$325:$ID$396,HD$169,SwaptionMonthsToGo+SwaptionShift),INDEX($FK$245:$ID$316,$FJ221-HD$169,73-HD$169+SwaptionShift):INDEX($FK$245:$ID$316,$FJ221-HD$169,72-HD$169+SwaptionMonthsToGo+SwaptionShift))/SQRT(SUM(INDEX($FK376:$ID376,1+SwaptionShift):INDEX($FK376:$ID376,SwaptionMonthsToGo+SwaptionShift))*SUM(INDEX($FK$325:$ID$396,HD$169,1+SwaptionShift):INDEX($FK$325:$ID$396,HD$169,SwaptionMonthsToGo+SwaptionShift))))))</f>
        <v/>
      </c>
      <c r="HE221" s="150" t="str">
        <f aca="false">IF(OR(HE$169&lt;SwaptionFirstMonthPosition+1,$FJ221&lt;SwaptionFirstMonthPosition+1,HE$169&gt;SwaptionFirstMonthPosition+SwaptionNumOfMonths+1,$FJ221&gt;SwaptionFirstMonthPosition+SwaptionNumOfMonths+1),"",IF($FJ221=HE$169,1,IF($FJ221&lt;HE$169,INDEX($FK$170:$ID$241,HE$169,$FJ221),SUMPRODUCT(INDEX($FK$325:$ID$396,HE$169,1+SwaptionShift):INDEX($FK$325:$ID$396,HE$169,SwaptionMonthsToGo+SwaptionShift),INDEX($FK$245:$ID$316,$FJ221-HE$169,73-HE$169+SwaptionShift):INDEX($FK$245:$ID$316,$FJ221-HE$169,72-HE$169+SwaptionMonthsToGo+SwaptionShift))/SQRT(SUM(INDEX($FK376:$ID376,1+SwaptionShift):INDEX($FK376:$ID376,SwaptionMonthsToGo+SwaptionShift))*SUM(INDEX($FK$325:$ID$396,HE$169,1+SwaptionShift):INDEX($FK$325:$ID$396,HE$169,SwaptionMonthsToGo+SwaptionShift))))))</f>
        <v/>
      </c>
      <c r="HF221" s="150" t="str">
        <f aca="false">IF(OR(HF$169&lt;SwaptionFirstMonthPosition+1,$FJ221&lt;SwaptionFirstMonthPosition+1,HF$169&gt;SwaptionFirstMonthPosition+SwaptionNumOfMonths+1,$FJ221&gt;SwaptionFirstMonthPosition+SwaptionNumOfMonths+1),"",IF($FJ221=HF$169,1,IF($FJ221&lt;HF$169,INDEX($FK$170:$ID$241,HF$169,$FJ221),SUMPRODUCT(INDEX($FK$325:$ID$396,HF$169,1+SwaptionShift):INDEX($FK$325:$ID$396,HF$169,SwaptionMonthsToGo+SwaptionShift),INDEX($FK$245:$ID$316,$FJ221-HF$169,73-HF$169+SwaptionShift):INDEX($FK$245:$ID$316,$FJ221-HF$169,72-HF$169+SwaptionMonthsToGo+SwaptionShift))/SQRT(SUM(INDEX($FK376:$ID376,1+SwaptionShift):INDEX($FK376:$ID376,SwaptionMonthsToGo+SwaptionShift))*SUM(INDEX($FK$325:$ID$396,HF$169,1+SwaptionShift):INDEX($FK$325:$ID$396,HF$169,SwaptionMonthsToGo+SwaptionShift))))))</f>
        <v/>
      </c>
      <c r="HG221" s="150" t="str">
        <f aca="false">IF(OR(HG$169&lt;SwaptionFirstMonthPosition+1,$FJ221&lt;SwaptionFirstMonthPosition+1,HG$169&gt;SwaptionFirstMonthPosition+SwaptionNumOfMonths+1,$FJ221&gt;SwaptionFirstMonthPosition+SwaptionNumOfMonths+1),"",IF($FJ221=HG$169,1,IF($FJ221&lt;HG$169,INDEX($FK$170:$ID$241,HG$169,$FJ221),SUMPRODUCT(INDEX($FK$325:$ID$396,HG$169,1+SwaptionShift):INDEX($FK$325:$ID$396,HG$169,SwaptionMonthsToGo+SwaptionShift),INDEX($FK$245:$ID$316,$FJ221-HG$169,73-HG$169+SwaptionShift):INDEX($FK$245:$ID$316,$FJ221-HG$169,72-HG$169+SwaptionMonthsToGo+SwaptionShift))/SQRT(SUM(INDEX($FK376:$ID376,1+SwaptionShift):INDEX($FK376:$ID376,SwaptionMonthsToGo+SwaptionShift))*SUM(INDEX($FK$325:$ID$396,HG$169,1+SwaptionShift):INDEX($FK$325:$ID$396,HG$169,SwaptionMonthsToGo+SwaptionShift))))))</f>
        <v/>
      </c>
      <c r="HH221" s="150" t="str">
        <f aca="false">IF(OR(HH$169&lt;SwaptionFirstMonthPosition+1,$FJ221&lt;SwaptionFirstMonthPosition+1,HH$169&gt;SwaptionFirstMonthPosition+SwaptionNumOfMonths+1,$FJ221&gt;SwaptionFirstMonthPosition+SwaptionNumOfMonths+1),"",IF($FJ221=HH$169,1,IF($FJ221&lt;HH$169,INDEX($FK$170:$ID$241,HH$169,$FJ221),SUMPRODUCT(INDEX($FK$325:$ID$396,HH$169,1+SwaptionShift):INDEX($FK$325:$ID$396,HH$169,SwaptionMonthsToGo+SwaptionShift),INDEX($FK$245:$ID$316,$FJ221-HH$169,73-HH$169+SwaptionShift):INDEX($FK$245:$ID$316,$FJ221-HH$169,72-HH$169+SwaptionMonthsToGo+SwaptionShift))/SQRT(SUM(INDEX($FK376:$ID376,1+SwaptionShift):INDEX($FK376:$ID376,SwaptionMonthsToGo+SwaptionShift))*SUM(INDEX($FK$325:$ID$396,HH$169,1+SwaptionShift):INDEX($FK$325:$ID$396,HH$169,SwaptionMonthsToGo+SwaptionShift))))))</f>
        <v/>
      </c>
      <c r="HI221" s="150" t="str">
        <f aca="false">IF(OR(HI$169&lt;SwaptionFirstMonthPosition+1,$FJ221&lt;SwaptionFirstMonthPosition+1,HI$169&gt;SwaptionFirstMonthPosition+SwaptionNumOfMonths+1,$FJ221&gt;SwaptionFirstMonthPosition+SwaptionNumOfMonths+1),"",IF($FJ221=HI$169,1,IF($FJ221&lt;HI$169,INDEX($FK$170:$ID$241,HI$169,$FJ221),SUMPRODUCT(INDEX($FK$325:$ID$396,HI$169,1+SwaptionShift):INDEX($FK$325:$ID$396,HI$169,SwaptionMonthsToGo+SwaptionShift),INDEX($FK$245:$ID$316,$FJ221-HI$169,73-HI$169+SwaptionShift):INDEX($FK$245:$ID$316,$FJ221-HI$169,72-HI$169+SwaptionMonthsToGo+SwaptionShift))/SQRT(SUM(INDEX($FK376:$ID376,1+SwaptionShift):INDEX($FK376:$ID376,SwaptionMonthsToGo+SwaptionShift))*SUM(INDEX($FK$325:$ID$396,HI$169,1+SwaptionShift):INDEX($FK$325:$ID$396,HI$169,SwaptionMonthsToGo+SwaptionShift))))))</f>
        <v/>
      </c>
      <c r="HJ221" s="150" t="str">
        <f aca="false">IF(OR(HJ$169&lt;SwaptionFirstMonthPosition+1,$FJ221&lt;SwaptionFirstMonthPosition+1,HJ$169&gt;SwaptionFirstMonthPosition+SwaptionNumOfMonths+1,$FJ221&gt;SwaptionFirstMonthPosition+SwaptionNumOfMonths+1),"",IF($FJ221=HJ$169,1,IF($FJ221&lt;HJ$169,INDEX($FK$170:$ID$241,HJ$169,$FJ221),SUMPRODUCT(INDEX($FK$325:$ID$396,HJ$169,1+SwaptionShift):INDEX($FK$325:$ID$396,HJ$169,SwaptionMonthsToGo+SwaptionShift),INDEX($FK$245:$ID$316,$FJ221-HJ$169,73-HJ$169+SwaptionShift):INDEX($FK$245:$ID$316,$FJ221-HJ$169,72-HJ$169+SwaptionMonthsToGo+SwaptionShift))/SQRT(SUM(INDEX($FK376:$ID376,1+SwaptionShift):INDEX($FK376:$ID376,SwaptionMonthsToGo+SwaptionShift))*SUM(INDEX($FK$325:$ID$396,HJ$169,1+SwaptionShift):INDEX($FK$325:$ID$396,HJ$169,SwaptionMonthsToGo+SwaptionShift))))))</f>
        <v/>
      </c>
      <c r="HK221" s="150" t="str">
        <f aca="false">IF(OR(HK$169&lt;SwaptionFirstMonthPosition+1,$FJ221&lt;SwaptionFirstMonthPosition+1,HK$169&gt;SwaptionFirstMonthPosition+SwaptionNumOfMonths+1,$FJ221&gt;SwaptionFirstMonthPosition+SwaptionNumOfMonths+1),"",IF($FJ221=HK$169,1,IF($FJ221&lt;HK$169,INDEX($FK$170:$ID$241,HK$169,$FJ221),SUMPRODUCT(INDEX($FK$325:$ID$396,HK$169,1+SwaptionShift):INDEX($FK$325:$ID$396,HK$169,SwaptionMonthsToGo+SwaptionShift),INDEX($FK$245:$ID$316,$FJ221-HK$169,73-HK$169+SwaptionShift):INDEX($FK$245:$ID$316,$FJ221-HK$169,72-HK$169+SwaptionMonthsToGo+SwaptionShift))/SQRT(SUM(INDEX($FK376:$ID376,1+SwaptionShift):INDEX($FK376:$ID376,SwaptionMonthsToGo+SwaptionShift))*SUM(INDEX($FK$325:$ID$396,HK$169,1+SwaptionShift):INDEX($FK$325:$ID$396,HK$169,SwaptionMonthsToGo+SwaptionShift))))))</f>
        <v/>
      </c>
      <c r="HL221" s="150" t="str">
        <f aca="false">IF(OR(HL$169&lt;SwaptionFirstMonthPosition+1,$FJ221&lt;SwaptionFirstMonthPosition+1,HL$169&gt;SwaptionFirstMonthPosition+SwaptionNumOfMonths+1,$FJ221&gt;SwaptionFirstMonthPosition+SwaptionNumOfMonths+1),"",IF($FJ221=HL$169,1,IF($FJ221&lt;HL$169,INDEX($FK$170:$ID$241,HL$169,$FJ221),SUMPRODUCT(INDEX($FK$325:$ID$396,HL$169,1+SwaptionShift):INDEX($FK$325:$ID$396,HL$169,SwaptionMonthsToGo+SwaptionShift),INDEX($FK$245:$ID$316,$FJ221-HL$169,73-HL$169+SwaptionShift):INDEX($FK$245:$ID$316,$FJ221-HL$169,72-HL$169+SwaptionMonthsToGo+SwaptionShift))/SQRT(SUM(INDEX($FK376:$ID376,1+SwaptionShift):INDEX($FK376:$ID376,SwaptionMonthsToGo+SwaptionShift))*SUM(INDEX($FK$325:$ID$396,HL$169,1+SwaptionShift):INDEX($FK$325:$ID$396,HL$169,SwaptionMonthsToGo+SwaptionShift))))))</f>
        <v/>
      </c>
      <c r="HM221" s="150" t="str">
        <f aca="false">IF(OR(HM$169&lt;SwaptionFirstMonthPosition+1,$FJ221&lt;SwaptionFirstMonthPosition+1,HM$169&gt;SwaptionFirstMonthPosition+SwaptionNumOfMonths+1,$FJ221&gt;SwaptionFirstMonthPosition+SwaptionNumOfMonths+1),"",IF($FJ221=HM$169,1,IF($FJ221&lt;HM$169,INDEX($FK$170:$ID$241,HM$169,$FJ221),SUMPRODUCT(INDEX($FK$325:$ID$396,HM$169,1+SwaptionShift):INDEX($FK$325:$ID$396,HM$169,SwaptionMonthsToGo+SwaptionShift),INDEX($FK$245:$ID$316,$FJ221-HM$169,73-HM$169+SwaptionShift):INDEX($FK$245:$ID$316,$FJ221-HM$169,72-HM$169+SwaptionMonthsToGo+SwaptionShift))/SQRT(SUM(INDEX($FK376:$ID376,1+SwaptionShift):INDEX($FK376:$ID376,SwaptionMonthsToGo+SwaptionShift))*SUM(INDEX($FK$325:$ID$396,HM$169,1+SwaptionShift):INDEX($FK$325:$ID$396,HM$169,SwaptionMonthsToGo+SwaptionShift))))))</f>
        <v/>
      </c>
      <c r="HN221" s="150" t="str">
        <f aca="false">IF(OR(HN$169&lt;SwaptionFirstMonthPosition+1,$FJ221&lt;SwaptionFirstMonthPosition+1,HN$169&gt;SwaptionFirstMonthPosition+SwaptionNumOfMonths+1,$FJ221&gt;SwaptionFirstMonthPosition+SwaptionNumOfMonths+1),"",IF($FJ221=HN$169,1,IF($FJ221&lt;HN$169,INDEX($FK$170:$ID$241,HN$169,$FJ221),SUMPRODUCT(INDEX($FK$325:$ID$396,HN$169,1+SwaptionShift):INDEX($FK$325:$ID$396,HN$169,SwaptionMonthsToGo+SwaptionShift),INDEX($FK$245:$ID$316,$FJ221-HN$169,73-HN$169+SwaptionShift):INDEX($FK$245:$ID$316,$FJ221-HN$169,72-HN$169+SwaptionMonthsToGo+SwaptionShift))/SQRT(SUM(INDEX($FK376:$ID376,1+SwaptionShift):INDEX($FK376:$ID376,SwaptionMonthsToGo+SwaptionShift))*SUM(INDEX($FK$325:$ID$396,HN$169,1+SwaptionShift):INDEX($FK$325:$ID$396,HN$169,SwaptionMonthsToGo+SwaptionShift))))))</f>
        <v/>
      </c>
      <c r="HO221" s="150" t="str">
        <f aca="false">IF(OR(HO$169&lt;SwaptionFirstMonthPosition+1,$FJ221&lt;SwaptionFirstMonthPosition+1,HO$169&gt;SwaptionFirstMonthPosition+SwaptionNumOfMonths+1,$FJ221&gt;SwaptionFirstMonthPosition+SwaptionNumOfMonths+1),"",IF($FJ221=HO$169,1,IF($FJ221&lt;HO$169,INDEX($FK$170:$ID$241,HO$169,$FJ221),SUMPRODUCT(INDEX($FK$325:$ID$396,HO$169,1+SwaptionShift):INDEX($FK$325:$ID$396,HO$169,SwaptionMonthsToGo+SwaptionShift),INDEX($FK$245:$ID$316,$FJ221-HO$169,73-HO$169+SwaptionShift):INDEX($FK$245:$ID$316,$FJ221-HO$169,72-HO$169+SwaptionMonthsToGo+SwaptionShift))/SQRT(SUM(INDEX($FK376:$ID376,1+SwaptionShift):INDEX($FK376:$ID376,SwaptionMonthsToGo+SwaptionShift))*SUM(INDEX($FK$325:$ID$396,HO$169,1+SwaptionShift):INDEX($FK$325:$ID$396,HO$169,SwaptionMonthsToGo+SwaptionShift))))))</f>
        <v/>
      </c>
      <c r="HP221" s="150" t="str">
        <f aca="false">IF(OR(HP$169&lt;SwaptionFirstMonthPosition+1,$FJ221&lt;SwaptionFirstMonthPosition+1,HP$169&gt;SwaptionFirstMonthPosition+SwaptionNumOfMonths+1,$FJ221&gt;SwaptionFirstMonthPosition+SwaptionNumOfMonths+1),"",IF($FJ221=HP$169,1,IF($FJ221&lt;HP$169,INDEX($FK$170:$ID$241,HP$169,$FJ221),SUMPRODUCT(INDEX($FK$325:$ID$396,HP$169,1+SwaptionShift):INDEX($FK$325:$ID$396,HP$169,SwaptionMonthsToGo+SwaptionShift),INDEX($FK$245:$ID$316,$FJ221-HP$169,73-HP$169+SwaptionShift):INDEX($FK$245:$ID$316,$FJ221-HP$169,72-HP$169+SwaptionMonthsToGo+SwaptionShift))/SQRT(SUM(INDEX($FK376:$ID376,1+SwaptionShift):INDEX($FK376:$ID376,SwaptionMonthsToGo+SwaptionShift))*SUM(INDEX($FK$325:$ID$396,HP$169,1+SwaptionShift):INDEX($FK$325:$ID$396,HP$169,SwaptionMonthsToGo+SwaptionShift))))))</f>
        <v/>
      </c>
      <c r="HQ221" s="150" t="str">
        <f aca="false">IF(OR(HQ$169&lt;SwaptionFirstMonthPosition+1,$FJ221&lt;SwaptionFirstMonthPosition+1,HQ$169&gt;SwaptionFirstMonthPosition+SwaptionNumOfMonths+1,$FJ221&gt;SwaptionFirstMonthPosition+SwaptionNumOfMonths+1),"",IF($FJ221=HQ$169,1,IF($FJ221&lt;HQ$169,INDEX($FK$170:$ID$241,HQ$169,$FJ221),SUMPRODUCT(INDEX($FK$325:$ID$396,HQ$169,1+SwaptionShift):INDEX($FK$325:$ID$396,HQ$169,SwaptionMonthsToGo+SwaptionShift),INDEX($FK$245:$ID$316,$FJ221-HQ$169,73-HQ$169+SwaptionShift):INDEX($FK$245:$ID$316,$FJ221-HQ$169,72-HQ$169+SwaptionMonthsToGo+SwaptionShift))/SQRT(SUM(INDEX($FK376:$ID376,1+SwaptionShift):INDEX($FK376:$ID376,SwaptionMonthsToGo+SwaptionShift))*SUM(INDEX($FK$325:$ID$396,HQ$169,1+SwaptionShift):INDEX($FK$325:$ID$396,HQ$169,SwaptionMonthsToGo+SwaptionShift))))))</f>
        <v/>
      </c>
      <c r="HR221" s="150" t="str">
        <f aca="false">IF(OR(HR$169&lt;SwaptionFirstMonthPosition+1,$FJ221&lt;SwaptionFirstMonthPosition+1,HR$169&gt;SwaptionFirstMonthPosition+SwaptionNumOfMonths+1,$FJ221&gt;SwaptionFirstMonthPosition+SwaptionNumOfMonths+1),"",IF($FJ221=HR$169,1,IF($FJ221&lt;HR$169,INDEX($FK$170:$ID$241,HR$169,$FJ221),SUMPRODUCT(INDEX($FK$325:$ID$396,HR$169,1+SwaptionShift):INDEX($FK$325:$ID$396,HR$169,SwaptionMonthsToGo+SwaptionShift),INDEX($FK$245:$ID$316,$FJ221-HR$169,73-HR$169+SwaptionShift):INDEX($FK$245:$ID$316,$FJ221-HR$169,72-HR$169+SwaptionMonthsToGo+SwaptionShift))/SQRT(SUM(INDEX($FK376:$ID376,1+SwaptionShift):INDEX($FK376:$ID376,SwaptionMonthsToGo+SwaptionShift))*SUM(INDEX($FK$325:$ID$396,HR$169,1+SwaptionShift):INDEX($FK$325:$ID$396,HR$169,SwaptionMonthsToGo+SwaptionShift))))))</f>
        <v/>
      </c>
      <c r="HS221" s="150" t="str">
        <f aca="false">IF(OR(HS$169&lt;SwaptionFirstMonthPosition+1,$FJ221&lt;SwaptionFirstMonthPosition+1,HS$169&gt;SwaptionFirstMonthPosition+SwaptionNumOfMonths+1,$FJ221&gt;SwaptionFirstMonthPosition+SwaptionNumOfMonths+1),"",IF($FJ221=HS$169,1,IF($FJ221&lt;HS$169,INDEX($FK$170:$ID$241,HS$169,$FJ221),SUMPRODUCT(INDEX($FK$325:$ID$396,HS$169,1+SwaptionShift):INDEX($FK$325:$ID$396,HS$169,SwaptionMonthsToGo+SwaptionShift),INDEX($FK$245:$ID$316,$FJ221-HS$169,73-HS$169+SwaptionShift):INDEX($FK$245:$ID$316,$FJ221-HS$169,72-HS$169+SwaptionMonthsToGo+SwaptionShift))/SQRT(SUM(INDEX($FK376:$ID376,1+SwaptionShift):INDEX($FK376:$ID376,SwaptionMonthsToGo+SwaptionShift))*SUM(INDEX($FK$325:$ID$396,HS$169,1+SwaptionShift):INDEX($FK$325:$ID$396,HS$169,SwaptionMonthsToGo+SwaptionShift))))))</f>
        <v/>
      </c>
      <c r="HT221" s="150" t="str">
        <f aca="false">IF(OR(HT$169&lt;SwaptionFirstMonthPosition+1,$FJ221&lt;SwaptionFirstMonthPosition+1,HT$169&gt;SwaptionFirstMonthPosition+SwaptionNumOfMonths+1,$FJ221&gt;SwaptionFirstMonthPosition+SwaptionNumOfMonths+1),"",IF($FJ221=HT$169,1,IF($FJ221&lt;HT$169,INDEX($FK$170:$ID$241,HT$169,$FJ221),SUMPRODUCT(INDEX($FK$325:$ID$396,HT$169,1+SwaptionShift):INDEX($FK$325:$ID$396,HT$169,SwaptionMonthsToGo+SwaptionShift),INDEX($FK$245:$ID$316,$FJ221-HT$169,73-HT$169+SwaptionShift):INDEX($FK$245:$ID$316,$FJ221-HT$169,72-HT$169+SwaptionMonthsToGo+SwaptionShift))/SQRT(SUM(INDEX($FK376:$ID376,1+SwaptionShift):INDEX($FK376:$ID376,SwaptionMonthsToGo+SwaptionShift))*SUM(INDEX($FK$325:$ID$396,HT$169,1+SwaptionShift):INDEX($FK$325:$ID$396,HT$169,SwaptionMonthsToGo+SwaptionShift))))))</f>
        <v/>
      </c>
      <c r="HU221" s="150" t="str">
        <f aca="false">IF(OR(HU$169&lt;SwaptionFirstMonthPosition+1,$FJ221&lt;SwaptionFirstMonthPosition+1,HU$169&gt;SwaptionFirstMonthPosition+SwaptionNumOfMonths+1,$FJ221&gt;SwaptionFirstMonthPosition+SwaptionNumOfMonths+1),"",IF($FJ221=HU$169,1,IF($FJ221&lt;HU$169,INDEX($FK$170:$ID$241,HU$169,$FJ221),SUMPRODUCT(INDEX($FK$325:$ID$396,HU$169,1+SwaptionShift):INDEX($FK$325:$ID$396,HU$169,SwaptionMonthsToGo+SwaptionShift),INDEX($FK$245:$ID$316,$FJ221-HU$169,73-HU$169+SwaptionShift):INDEX($FK$245:$ID$316,$FJ221-HU$169,72-HU$169+SwaptionMonthsToGo+SwaptionShift))/SQRT(SUM(INDEX($FK376:$ID376,1+SwaptionShift):INDEX($FK376:$ID376,SwaptionMonthsToGo+SwaptionShift))*SUM(INDEX($FK$325:$ID$396,HU$169,1+SwaptionShift):INDEX($FK$325:$ID$396,HU$169,SwaptionMonthsToGo+SwaptionShift))))))</f>
        <v/>
      </c>
      <c r="HV221" s="150" t="str">
        <f aca="false">IF(OR(HV$169&lt;SwaptionFirstMonthPosition+1,$FJ221&lt;SwaptionFirstMonthPosition+1,HV$169&gt;SwaptionFirstMonthPosition+SwaptionNumOfMonths+1,$FJ221&gt;SwaptionFirstMonthPosition+SwaptionNumOfMonths+1),"",IF($FJ221=HV$169,1,IF($FJ221&lt;HV$169,INDEX($FK$170:$ID$241,HV$169,$FJ221),SUMPRODUCT(INDEX($FK$325:$ID$396,HV$169,1+SwaptionShift):INDEX($FK$325:$ID$396,HV$169,SwaptionMonthsToGo+SwaptionShift),INDEX($FK$245:$ID$316,$FJ221-HV$169,73-HV$169+SwaptionShift):INDEX($FK$245:$ID$316,$FJ221-HV$169,72-HV$169+SwaptionMonthsToGo+SwaptionShift))/SQRT(SUM(INDEX($FK376:$ID376,1+SwaptionShift):INDEX($FK376:$ID376,SwaptionMonthsToGo+SwaptionShift))*SUM(INDEX($FK$325:$ID$396,HV$169,1+SwaptionShift):INDEX($FK$325:$ID$396,HV$169,SwaptionMonthsToGo+SwaptionShift))))))</f>
        <v/>
      </c>
      <c r="HW221" s="150" t="str">
        <f aca="false">IF(OR(HW$169&lt;SwaptionFirstMonthPosition+1,$FJ221&lt;SwaptionFirstMonthPosition+1,HW$169&gt;SwaptionFirstMonthPosition+SwaptionNumOfMonths+1,$FJ221&gt;SwaptionFirstMonthPosition+SwaptionNumOfMonths+1),"",IF($FJ221=HW$169,1,IF($FJ221&lt;HW$169,INDEX($FK$170:$ID$241,HW$169,$FJ221),SUMPRODUCT(INDEX($FK$325:$ID$396,HW$169,1+SwaptionShift):INDEX($FK$325:$ID$396,HW$169,SwaptionMonthsToGo+SwaptionShift),INDEX($FK$245:$ID$316,$FJ221-HW$169,73-HW$169+SwaptionShift):INDEX($FK$245:$ID$316,$FJ221-HW$169,72-HW$169+SwaptionMonthsToGo+SwaptionShift))/SQRT(SUM(INDEX($FK376:$ID376,1+SwaptionShift):INDEX($FK376:$ID376,SwaptionMonthsToGo+SwaptionShift))*SUM(INDEX($FK$325:$ID$396,HW$169,1+SwaptionShift):INDEX($FK$325:$ID$396,HW$169,SwaptionMonthsToGo+SwaptionShift))))))</f>
        <v/>
      </c>
      <c r="HX221" s="150" t="str">
        <f aca="false">IF(OR(HX$169&lt;SwaptionFirstMonthPosition+1,$FJ221&lt;SwaptionFirstMonthPosition+1,HX$169&gt;SwaptionFirstMonthPosition+SwaptionNumOfMonths+1,$FJ221&gt;SwaptionFirstMonthPosition+SwaptionNumOfMonths+1),"",IF($FJ221=HX$169,1,IF($FJ221&lt;HX$169,INDEX($FK$170:$ID$241,HX$169,$FJ221),SUMPRODUCT(INDEX($FK$325:$ID$396,HX$169,1+SwaptionShift):INDEX($FK$325:$ID$396,HX$169,SwaptionMonthsToGo+SwaptionShift),INDEX($FK$245:$ID$316,$FJ221-HX$169,73-HX$169+SwaptionShift):INDEX($FK$245:$ID$316,$FJ221-HX$169,72-HX$169+SwaptionMonthsToGo+SwaptionShift))/SQRT(SUM(INDEX($FK376:$ID376,1+SwaptionShift):INDEX($FK376:$ID376,SwaptionMonthsToGo+SwaptionShift))*SUM(INDEX($FK$325:$ID$396,HX$169,1+SwaptionShift):INDEX($FK$325:$ID$396,HX$169,SwaptionMonthsToGo+SwaptionShift))))))</f>
        <v/>
      </c>
      <c r="HY221" s="150" t="str">
        <f aca="false">IF(OR(HY$169&lt;SwaptionFirstMonthPosition+1,$FJ221&lt;SwaptionFirstMonthPosition+1,HY$169&gt;SwaptionFirstMonthPosition+SwaptionNumOfMonths+1,$FJ221&gt;SwaptionFirstMonthPosition+SwaptionNumOfMonths+1),"",IF($FJ221=HY$169,1,IF($FJ221&lt;HY$169,INDEX($FK$170:$ID$241,HY$169,$FJ221),SUMPRODUCT(INDEX($FK$325:$ID$396,HY$169,1+SwaptionShift):INDEX($FK$325:$ID$396,HY$169,SwaptionMonthsToGo+SwaptionShift),INDEX($FK$245:$ID$316,$FJ221-HY$169,73-HY$169+SwaptionShift):INDEX($FK$245:$ID$316,$FJ221-HY$169,72-HY$169+SwaptionMonthsToGo+SwaptionShift))/SQRT(SUM(INDEX($FK376:$ID376,1+SwaptionShift):INDEX($FK376:$ID376,SwaptionMonthsToGo+SwaptionShift))*SUM(INDEX($FK$325:$ID$396,HY$169,1+SwaptionShift):INDEX($FK$325:$ID$396,HY$169,SwaptionMonthsToGo+SwaptionShift))))))</f>
        <v/>
      </c>
      <c r="HZ221" s="150" t="str">
        <f aca="false">IF(OR(HZ$169&lt;SwaptionFirstMonthPosition+1,$FJ221&lt;SwaptionFirstMonthPosition+1,HZ$169&gt;SwaptionFirstMonthPosition+SwaptionNumOfMonths+1,$FJ221&gt;SwaptionFirstMonthPosition+SwaptionNumOfMonths+1),"",IF($FJ221=HZ$169,1,IF($FJ221&lt;HZ$169,INDEX($FK$170:$ID$241,HZ$169,$FJ221),SUMPRODUCT(INDEX($FK$325:$ID$396,HZ$169,1+SwaptionShift):INDEX($FK$325:$ID$396,HZ$169,SwaptionMonthsToGo+SwaptionShift),INDEX($FK$245:$ID$316,$FJ221-HZ$169,73-HZ$169+SwaptionShift):INDEX($FK$245:$ID$316,$FJ221-HZ$169,72-HZ$169+SwaptionMonthsToGo+SwaptionShift))/SQRT(SUM(INDEX($FK376:$ID376,1+SwaptionShift):INDEX($FK376:$ID376,SwaptionMonthsToGo+SwaptionShift))*SUM(INDEX($FK$325:$ID$396,HZ$169,1+SwaptionShift):INDEX($FK$325:$ID$396,HZ$169,SwaptionMonthsToGo+SwaptionShift))))))</f>
        <v/>
      </c>
      <c r="IA221" s="150" t="str">
        <f aca="false">IF(OR(IA$169&lt;SwaptionFirstMonthPosition+1,$FJ221&lt;SwaptionFirstMonthPosition+1,IA$169&gt;SwaptionFirstMonthPosition+SwaptionNumOfMonths+1,$FJ221&gt;SwaptionFirstMonthPosition+SwaptionNumOfMonths+1),"",IF($FJ221=IA$169,1,IF($FJ221&lt;IA$169,INDEX($FK$170:$ID$241,IA$169,$FJ221),SUMPRODUCT(INDEX($FK$325:$ID$396,IA$169,1+SwaptionShift):INDEX($FK$325:$ID$396,IA$169,SwaptionMonthsToGo+SwaptionShift),INDEX($FK$245:$ID$316,$FJ221-IA$169,73-IA$169+SwaptionShift):INDEX($FK$245:$ID$316,$FJ221-IA$169,72-IA$169+SwaptionMonthsToGo+SwaptionShift))/SQRT(SUM(INDEX($FK376:$ID376,1+SwaptionShift):INDEX($FK376:$ID376,SwaptionMonthsToGo+SwaptionShift))*SUM(INDEX($FK$325:$ID$396,IA$169,1+SwaptionShift):INDEX($FK$325:$ID$396,IA$169,SwaptionMonthsToGo+SwaptionShift))))))</f>
        <v/>
      </c>
      <c r="IB221" s="150" t="str">
        <f aca="false">IF(OR(IB$169&lt;SwaptionFirstMonthPosition+1,$FJ221&lt;SwaptionFirstMonthPosition+1,IB$169&gt;SwaptionFirstMonthPosition+SwaptionNumOfMonths+1,$FJ221&gt;SwaptionFirstMonthPosition+SwaptionNumOfMonths+1),"",IF($FJ221=IB$169,1,IF($FJ221&lt;IB$169,INDEX($FK$170:$ID$241,IB$169,$FJ221),SUMPRODUCT(INDEX($FK$325:$ID$396,IB$169,1+SwaptionShift):INDEX($FK$325:$ID$396,IB$169,SwaptionMonthsToGo+SwaptionShift),INDEX($FK$245:$ID$316,$FJ221-IB$169,73-IB$169+SwaptionShift):INDEX($FK$245:$ID$316,$FJ221-IB$169,72-IB$169+SwaptionMonthsToGo+SwaptionShift))/SQRT(SUM(INDEX($FK376:$ID376,1+SwaptionShift):INDEX($FK376:$ID376,SwaptionMonthsToGo+SwaptionShift))*SUM(INDEX($FK$325:$ID$396,IB$169,1+SwaptionShift):INDEX($FK$325:$ID$396,IB$169,SwaptionMonthsToGo+SwaptionShift))))))</f>
        <v/>
      </c>
      <c r="IC221" s="150" t="str">
        <f aca="false">IF(OR(IC$169&lt;SwaptionFirstMonthPosition+1,$FJ221&lt;SwaptionFirstMonthPosition+1,IC$169&gt;SwaptionFirstMonthPosition+SwaptionNumOfMonths+1,$FJ221&gt;SwaptionFirstMonthPosition+SwaptionNumOfMonths+1),"",IF($FJ221=IC$169,1,IF($FJ221&lt;IC$169,INDEX($FK$170:$ID$241,IC$169,$FJ221),SUMPRODUCT(INDEX($FK$325:$ID$396,IC$169,1+SwaptionShift):INDEX($FK$325:$ID$396,IC$169,SwaptionMonthsToGo+SwaptionShift),INDEX($FK$245:$ID$316,$FJ221-IC$169,73-IC$169+SwaptionShift):INDEX($FK$245:$ID$316,$FJ221-IC$169,72-IC$169+SwaptionMonthsToGo+SwaptionShift))/SQRT(SUM(INDEX($FK376:$ID376,1+SwaptionShift):INDEX($FK376:$ID376,SwaptionMonthsToGo+SwaptionShift))*SUM(INDEX($FK$325:$ID$396,IC$169,1+SwaptionShift):INDEX($FK$325:$ID$396,IC$169,SwaptionMonthsToGo+SwaptionShift))))))</f>
        <v/>
      </c>
      <c r="ID221" s="572" t="str">
        <f aca="false">IF(OR(ID$169&lt;SwaptionFirstMonthPosition+1,$FJ221&lt;SwaptionFirstMonthPosition+1,ID$169&gt;SwaptionFirstMonthPosition+SwaptionNumOfMonths+1,$FJ221&gt;SwaptionFirstMonthPosition+SwaptionNumOfMonths+1),"",IF($FJ221=ID$169,1,IF($FJ221&lt;ID$169,INDEX($FK$170:$ID$241,ID$169,$FJ221),SUMPRODUCT(INDEX($FK$325:$ID$396,ID$169,1+SwaptionShift):INDEX($FK$325:$ID$396,ID$169,SwaptionMonthsToGo+SwaptionShift),INDEX($FK$245:$ID$316,$FJ221-ID$169,73-ID$169+SwaptionShift):INDEX($FK$245:$ID$316,$FJ221-ID$169,72-ID$169+SwaptionMonthsToGo+SwaptionShift))/SQRT(SUM(INDEX($FK376:$ID376,1+SwaptionShift):INDEX($FK376:$ID376,SwaptionMonthsToGo+SwaptionShift))*SUM(INDEX($FK$325:$ID$396,ID$169,1+SwaptionShift):INDEX($FK$325:$ID$396,ID$169,SwaptionMonthsToGo+SwaptionShift))))))</f>
        <v/>
      </c>
      <c r="IE221" s="129"/>
    </row>
    <row r="222" customFormat="false" ht="12.75" hidden="false" customHeight="false" outlineLevel="0" collapsed="false">
      <c r="H222" s="219" t="n">
        <f aca="false">VLOOKUP(I222,$EJ$20:$EL$54,3)</f>
        <v>0</v>
      </c>
      <c r="I222" s="511" t="n">
        <f aca="false">EOMONTH(I221,0)+1</f>
        <v>42917</v>
      </c>
      <c r="J222" s="512"/>
      <c r="K222" s="513" t="s">
        <v>280</v>
      </c>
      <c r="L222" s="514" t="n">
        <f aca="false">IF(ISNUMBER(K222),J222+K222/100,IF(K222="extra",L221+VLOOKUP(BF222,PriceSpreadTable,2)/12,IF(K222="inter",interpolateprices($K$19:$L$200,ROW(K222)-ROW(FirstPricingMonth)+1),interpolatechanges($J$19:$K$200,ROW(K222)-ROW(FirstPricingMonth)+1))))</f>
        <v>4.725</v>
      </c>
      <c r="M222" s="515"/>
      <c r="N222" s="516" t="n">
        <v>0</v>
      </c>
      <c r="O222" s="515" t="n">
        <f aca="false">M222+N222</f>
        <v>0</v>
      </c>
      <c r="P222" s="512"/>
      <c r="Q222" s="513" t="s">
        <v>280</v>
      </c>
      <c r="R222" s="512" t="e">
        <f aca="false">IF(ISNUMBER(Q222),P222+Q222/100,IF(Q222="extra",(Z220*AL220-R221*AM220)/AN220,IF(Q222="inter",interpolateprices($Q$19:$R$260,ROW(Q222)-ROW(FirstPricingMonth)+1),interpolatechanges($P$19:$Q$260,ROW(Q222)-ROW(FirstPricingMonth)+1))))</f>
        <v>#VALUE!</v>
      </c>
      <c r="S222" s="597" t="n">
        <f aca="false">S$19+(S221-S$19)*S$18</f>
        <v>0.36</v>
      </c>
      <c r="T222" s="575" t="n">
        <f aca="false">SQRT((1-(1-T221^2/U221)*T$18)*U222)</f>
        <v>0.999999999999998</v>
      </c>
      <c r="U222" s="576" t="n">
        <f aca="false">1-(1-U221)*U$18</f>
        <v>1</v>
      </c>
      <c r="V222" s="521" t="n">
        <v>0</v>
      </c>
      <c r="W222" s="577" t="n">
        <f aca="false">(J223*AJ222+J224*AK222)/AI222</f>
        <v>0</v>
      </c>
      <c r="X222" s="578" t="n">
        <f aca="false">(L223*AJ222+L224*AK222)/AI222</f>
        <v>4.775625</v>
      </c>
      <c r="Y222" s="579" t="n">
        <f aca="false">IF(Q224="extra",W222-AA222,(P223*AM222+P224*AN222)/AL222)</f>
        <v>-1.2669</v>
      </c>
      <c r="Z222" s="579" t="n">
        <f aca="false">IF(Q224="extra",X222-AB222,(R223*AM222+R224*AN222)/AL222)</f>
        <v>3.508725</v>
      </c>
      <c r="AA222" s="523" t="n">
        <f aca="false">IF(Q224="extra",INDEX(BrentSeasonalityTable,INT((BG222-1)/3)+1)*VLOOKUP(MAX(BF222,$AB$4),PriceSpreadTable,3),W222-Y222)</f>
        <v>1.2669</v>
      </c>
      <c r="AB222" s="524" t="n">
        <f aca="false">IF(Q224="extra",INDEX(BrentSeasonalityTable,INT((BG222-1)/3)+1)*VLOOKUP(MAX(BF222,$AB$4),PriceSpreadTable,3),X222-Z222)</f>
        <v>1.2669</v>
      </c>
      <c r="AC222" s="646" t="n">
        <v>42906</v>
      </c>
      <c r="AD222" s="646" t="n">
        <v>42902</v>
      </c>
      <c r="AE222" s="646" t="n">
        <v>42901</v>
      </c>
      <c r="AF222" s="646" t="n">
        <v>42897</v>
      </c>
      <c r="AG222" s="438" t="s">
        <v>278</v>
      </c>
      <c r="AH222" s="439" t="s">
        <v>278</v>
      </c>
      <c r="AI222" s="528" t="n">
        <v>20</v>
      </c>
      <c r="AJ222" s="529" t="n">
        <v>13</v>
      </c>
      <c r="AK222" s="529" t="n">
        <v>7</v>
      </c>
      <c r="AL222" s="530" t="n">
        <v>21</v>
      </c>
      <c r="AM222" s="529" t="n">
        <v>10</v>
      </c>
      <c r="AN222" s="531" t="n">
        <v>11</v>
      </c>
      <c r="AO222" s="532"/>
      <c r="AP222" s="465" t="n">
        <f aca="false">(1+AO222/2)^(-2*BL222)</f>
        <v>1</v>
      </c>
      <c r="AQ222" s="532"/>
      <c r="AR222" s="465" t="n">
        <f aca="false">(1+AQ222/2)^(-2*BH222/365.25)</f>
        <v>1</v>
      </c>
      <c r="AS222" s="580" t="n">
        <f aca="false">(O223*AJ222+O224*AK222)/AI222</f>
        <v>0</v>
      </c>
      <c r="AT222" s="468" t="n">
        <f aca="false">O222*VLOOKUP(BF222,BrentVolTable,2)+VLOOKUP(BF222,BrentVolTable,3)</f>
        <v>0</v>
      </c>
      <c r="AU222" s="468" t="n">
        <f aca="false">(AT223*AM222+AT224*AN222)/AL222</f>
        <v>0</v>
      </c>
      <c r="AV222" s="595" t="n">
        <f aca="false">SQRT(MAX(0.000000000001,(O222^2*BH222-S222^2*(BH222-BH221))/BH221))</f>
        <v>0.0362701065435945</v>
      </c>
      <c r="AW222" s="451" t="n">
        <f aca="false">IF($I222-DateToday+15&gt;=$T$8,"",IF($I222-DateToday+15&lt;$T$5,1,MATCH($I222-DateToday+15,$T$5:$T$8)))</f>
        <v>1</v>
      </c>
      <c r="AX222" s="468" t="n">
        <f aca="false">IF($AW222="",AX221^2/AX220,INDEX(U$5:U$8,$AW222)^((INDEX($T$5:$T$8,$AW222+1)-($I222-DateToday+15))/(INDEX($T$5:$T$8,$AW222+1)-INDEX($T$5:$T$8,$AW222)))/INDEX(U$5:U$8,$AW222+1)^((INDEX($T$5:$T$8,$AW222)-($I222-DateToday+15))/(INDEX($T$5:$T$8,$AW222+1)-INDEX($T$5:$T$8,$AW222))))</f>
        <v>0.167301950933982</v>
      </c>
      <c r="AY222" s="468" t="n">
        <f aca="false">IF($AW222="",AY221^2/AY220,INDEX(V$5:V$8,$AW222)^((INDEX($T$5:$T$8,$AW222+1)-($I222-DateToday+15))/(INDEX($T$5:$T$8,$AW222+1)-INDEX($T$5:$T$8,$AW222)))/INDEX(V$5:V$8,$AW222+1)^((INDEX($T$5:$T$8,$AW222)-($I222-DateToday+15))/(INDEX($T$5:$T$8,$AW222+1)-INDEX($T$5:$T$8,$AW222))))</f>
        <v>1.05215773068428</v>
      </c>
      <c r="AZ222" s="468" t="n">
        <f aca="false">IF($AW222="",AZ221^2/AZ220,INDEX(W$5:W$8,$AW222)^((INDEX($T$5:$T$8,$AW222+1)-($I222-DateToday+15))/(INDEX($T$5:$T$8,$AW222+1)-INDEX($T$5:$T$8,$AW222)))/INDEX(W$5:W$8,$AW222+1)^((INDEX($T$5:$T$8,$AW222)-($I222-DateToday+15))/(INDEX($T$5:$T$8,$AW222+1)-INDEX($T$5:$T$8,$AW222))))</f>
        <v>42.5775853907778</v>
      </c>
      <c r="BA222" s="468" t="n">
        <f aca="false">IF($AW222="",BA221^2/BA220,INDEX(X$5:X$8,$AW222)^((INDEX($T$5:$T$8,$AW222+1)-($I222-DateToday+15))/(INDEX($T$5:$T$8,$AW222+1)-INDEX($T$5:$T$8,$AW222)))/INDEX(X$5:X$8,$AW222+1)^((INDEX($T$5:$T$8,$AW222)-($I222-DateToday+15))/(INDEX($T$5:$T$8,$AW222+1)-INDEX($T$5:$T$8,$AW222))))</f>
        <v>74.2011781451595</v>
      </c>
      <c r="BB222" s="468" t="n">
        <f aca="false">IF($AW222="",BB221^2/BB220,INDEX(Y$5:Y$8,$AW222)^((INDEX($T$5:$T$8,$AW222+1)-($I222-DateToday+15))/(INDEX($T$5:$T$8,$AW222+1)-INDEX($T$5:$T$8,$AW222)))/INDEX(Y$5:Y$8,$AW222+1)^((INDEX($T$5:$T$8,$AW222)-($I222-DateToday+15))/(INDEX($T$5:$T$8,$AW222+1)-INDEX($T$5:$T$8,$AW222))))</f>
        <v>277.789039331408</v>
      </c>
      <c r="BC222" s="468" t="n">
        <f aca="false">IF($AW222="",BC221^2/BC220,INDEX(Z$5:Z$8,$AW222)^((INDEX($T$5:$T$8,$AW222+1)-($I222-DateToday+15))/(INDEX($T$5:$T$8,$AW222+1)-INDEX($T$5:$T$8,$AW222)))/INDEX(Z$5:Z$8,$AW222+1)^((INDEX($T$5:$T$8,$AW222)-($I222-DateToday+15))/(INDEX($T$5:$T$8,$AW222+1)-INDEX($T$5:$T$8,$AW222))))</f>
        <v>630.24036742893</v>
      </c>
      <c r="BD222" s="535" t="n">
        <f aca="false">IF(OR(DateStart&gt;=I223,DateEnd&lt;I222),0,IF(VolumeOverrideFlag,V222,Volume))</f>
        <v>0</v>
      </c>
      <c r="BE222" s="536" t="n">
        <f aca="false">IF(OR(DateStart2&gt;=I223,DateEnd2&lt;I222),0,IF(VolumeOverrideFlag,V222,VolumeSwaption))</f>
        <v>0</v>
      </c>
      <c r="BF222" s="537" t="n">
        <f aca="false">YEAR(I222)</f>
        <v>2017</v>
      </c>
      <c r="BG222" s="538" t="n">
        <f aca="false">MONTH(I222)</f>
        <v>7</v>
      </c>
      <c r="BH222" s="539" t="n">
        <f aca="false">AD222-DateToday+1</f>
        <v>-3023</v>
      </c>
      <c r="BI222" s="540" t="n">
        <f aca="false">(I222-DateToday+1)/365.25</f>
        <v>-8.23545516769336</v>
      </c>
      <c r="BJ222" s="541" t="n">
        <f aca="false">BI222+(BL222-BI222)*CHOOSE(Underlying,AJ222/AI222,AM222/AL222)</f>
        <v>-8.18206707734429</v>
      </c>
      <c r="BK222" s="541" t="n">
        <f aca="false">BJ222+1/365.25</f>
        <v>-8.17932922655715</v>
      </c>
      <c r="BL222" s="541" t="n">
        <f aca="false">(I223-DateToday)/365.25</f>
        <v>-8.1533196440794</v>
      </c>
      <c r="BM222" s="542" t="e">
        <f aca="false">MAX(BI222-(BJ222-BI222)*(S223^2/O223^2-1),0)</f>
        <v>#DIV/0!</v>
      </c>
      <c r="BN222" s="541" t="e">
        <f aca="false">MAX(BL222+(BL222-BK222)*(S224^2/O224^2-1),0)</f>
        <v>#DIV/0!</v>
      </c>
      <c r="BO222" s="530" t="n">
        <f aca="false">CHOOSE(Underlying,AI222,AL222)</f>
        <v>20</v>
      </c>
      <c r="BP222" s="529" t="n">
        <f aca="false">CHOOSE(Underlying,AJ222,AM222)</f>
        <v>13</v>
      </c>
      <c r="BQ222" s="529" t="n">
        <f aca="false">CHOOSE(Underlying,AK222,AN222)</f>
        <v>7</v>
      </c>
      <c r="BR222" s="463" t="str">
        <f aca="false">IF(BD222,IF(Underlying=1,X222,Z222)+UnderlyingPriceAsian-SwapPriceCurve,"")</f>
        <v/>
      </c>
      <c r="BS222" s="463" t="str">
        <f aca="false">IF(BD222,Strike1/BR222-1,"")</f>
        <v/>
      </c>
      <c r="BT222" s="464" t="str">
        <f aca="false">IF(BD222,Strike2/BR222-1,"")</f>
        <v/>
      </c>
      <c r="BU222" s="465" t="str">
        <f aca="false">IF(BD222,IF(Underlying=1,L223,R223)+UnderlyingPriceAsian-SwapPriceCurve,"")</f>
        <v/>
      </c>
      <c r="BV222" s="465" t="str">
        <f aca="false">IF(BD222,IF(Underlying=1,L224,R224)+UnderlyingPriceAsian-SwapPriceCurve,"")</f>
        <v/>
      </c>
      <c r="BW222" s="466" t="str">
        <f aca="false">IF(BD222,IF(Underlying=1,O223,AT223),"")</f>
        <v/>
      </c>
      <c r="BX222" s="467" t="str">
        <f aca="false">IF(BD222,IF(Underlying=1,O224,AT224),"")</f>
        <v/>
      </c>
      <c r="BY222" s="466" t="str">
        <f aca="false">IF(BD222,IF(BS222&gt;0,IF(BS222&gt;0.2,BC222-BB222,IF(BS222&gt;0.1,BB222-BA222,BA222)),IF(BS222&lt;-0.2,AX222-AY222,IF(BS222&lt;-0.1,AY222-AZ222,AZ222))),"")</f>
        <v/>
      </c>
      <c r="BZ222" s="467" t="str">
        <f aca="false">IF(BD222,IF(BT222&gt;0,IF(BT222&gt;0.2,BC222-BB222,IF(BT222&gt;0.1,BB222-BA222,BA222)),IF(BT222&lt;-0.2,AX222-AY222,IF(BT222&lt;-0.1,AY222-AZ222,AZ222))),"")</f>
        <v/>
      </c>
      <c r="CA222" s="468" t="str">
        <f aca="false">IF($BD222,$BW222+IF(VolSkewFlag=1,IF(BS222&gt;0,$BA222*MIN(BS222/10%,1)+($BB222-$BA222)*MAX(0,MIN(BS222/10%-1,1))+($BC222-$BB222)*MAX(0,BS222/10%-2),$AZ222*MIN(-BS222/10%,1)+($AY222-$AZ222)*MAX(0,MIN(-BS222/10%-1,1))+($AX222-$AY222)*MAX(0,-BS222/10%-2)),0),"")</f>
        <v/>
      </c>
      <c r="CB222" s="468" t="str">
        <f aca="false">IF($BD222,$BX222+IF(VolSkewFlag=1,IF(BS222&gt;0,$BA222*MIN(BS222/10%,1)+($BB222-$BA222)*MAX(0,MIN(BS222/10%-1,1))+($BC222-$BB222)*MAX(0,BS222/10%-2),$AZ222*MIN(-BS222/10%,1)+($AY222-$AZ222)*MAX(0,MIN(-BS222/10%-1,1))+($AX222-$AY222)*MAX(0,-BS222/10%-2)),0),"")</f>
        <v/>
      </c>
      <c r="CC222" s="468" t="str">
        <f aca="false">IF($BD222,$BW222+IF(VolSkewFlag=1,IF(BT222&gt;0,$BA222*MIN(BT222/10%,1)+($BB222-$BA222)*MAX(0,MIN(BT222/10%-1,1))+($BC222-$BB222)*MAX(0,BT222/10%-2),$AZ222*MIN(-BT222/10%,1)+($AY222-$AZ222)*MAX(0,MIN(-BT222/10%-1,1))+($AX222-$AY222)*MAX(0,-BT222/10%-2)),0),"")</f>
        <v/>
      </c>
      <c r="CD222" s="468" t="str">
        <f aca="false">IF($BD222,$BX222+IF(VolSkewFlag=1,IF(BT222&gt;0,$BA222*MIN(BT222/10%,1)+($BB222-$BA222)*MAX(0,MIN(BT222/10%-1,1))+($BC222-$BB222)*MAX(0,BT222/10%-2),$AZ222*MIN(-BT222/10%,1)+($AY222-$AZ222)*MAX(0,MIN(-BT222/10%-1,1))+($AX222-$AY222)*MAX(0,-BT222/10%-2)),0),"")</f>
        <v/>
      </c>
      <c r="CE222" s="469" t="n">
        <v>1</v>
      </c>
      <c r="CF222" s="470" t="n">
        <f aca="false">IF(BD222,xCrudeAPO(BU222,BV222,CA222,CB222,S223,S224,BI222,BL222,BP222,BQ222,0,Strike1,AO222,CE222,0,BL222,IF(OptControl=4,0,1),0,1),0)</f>
        <v>0</v>
      </c>
      <c r="CG222" s="470" t="n">
        <f aca="false">IF(BD222,xCrudeAPO(BU222,BV222,CA222,CB222,S223,S224,BI222,BL222,BP222,BQ222,0,Strike1,AO222,CE222,0,BL222,IF(OptControl=4,0,1),1,1)+xCrudeAPO(BU222,BV222,CA222,CB222,S223,S224,BI222,BL222,BP222,BQ222,0,Strike1,AO222,CE222,0,BL222,IF(OptControl=4,0,1),1,2)+IF(OR(VolSkewFlag=2,ABS(BS222)&lt;0.0001),0,IF(BS222&gt;0,-1,1)*CH222*Strike1/BR222^2*BY222/10%),0)</f>
        <v>0</v>
      </c>
      <c r="CH222" s="470" t="n">
        <f aca="false">IF(BD222,(xCrudeAPO(BU222,BV222,CA222,CB222,S223,S224,BI222,BL222,BP222,BQ222,0,Strike1,AO222,CE222,0,BL222,IF(OptControl=4,0,1),3,1)+xCrudeAPO(BU222,BV222,CA222,CB222,S223,S224,BI222,BL222,BP222,BQ222,0,Strike1,AO222,CE222,0,BL222,IF(OptControl=4,0,1),3,2))/100,0)</f>
        <v>0</v>
      </c>
      <c r="CI222" s="470" t="n">
        <f aca="false">IF(BD222,xCrudeAPO(BU222,BV222,CA222,CB222,S223,S224,BI222-DaysForThetaCalculation/365.25,BL222-DaysForThetaCalculation/365.25,BP222,BQ222,0,Strike1,AO222,CE222,0,BL222,IF(OptControl=4,0,1),0,1)-xCrudeAPO(BU222,BV222,CA222,CB222,S223,S224,BI222,BL222,BP222,BQ222,0,Strike1,AO222,CE222,0,BL222,IF(OptControl=4,0,1),0,1),0)</f>
        <v>0</v>
      </c>
      <c r="CJ222" s="471" t="n">
        <f aca="false">IF(BD222,xCrudeAPO(BU222,BV222,CC222,CD222,S223,S224,BI222,BL222,BP222,BQ222,0,Strike2,AO222,CE222,0,BL222,IF(OptControl=3,1,0),0,1),0)</f>
        <v>0</v>
      </c>
      <c r="CK222" s="470" t="n">
        <f aca="false">IF(BD222,xCrudeAPO(BU222,BV222,CC222,CD222,S223,S224,BI222,BL222,BP222,BQ222,0,Strike2,AO222,CE222,0,BL222,IF(OptControl=3,1,0),1,1)+xCrudeAPO(BU222,BV222,CC222,CD222,S223,S224,BI222,BL222,BP222,BQ222,0,Strike2,AO222,CE222,0,BL222,IF(OptControl=3,1,0),1,2)+IF(OR(VolSkewFlag=2,ABS(BT222)&lt;0.0001),0,IF(BT222&gt;0,-1,1)*CL222*Strike2/BR222^2*BZ222/10%),0)</f>
        <v>0</v>
      </c>
      <c r="CL222" s="470" t="n">
        <f aca="false">IF(BD222,(xCrudeAPO(BU222,BV222,CC222,CD222,S223,S224,BI222,BL222,BP222,BQ222,0,Strike2,AO222,CE222,0,BL222,IF(OptControl=3,1,0),3,1)+xCrudeAPO(BU222,BV222,CC222,CD222,S223,S224,BI222,BL222,BP222,BQ222,0,Strike2,AO222,CE222,0,BL222,IF(OptControl=3,1,0),3,2))/100,0)</f>
        <v>0</v>
      </c>
      <c r="CM222" s="472" t="n">
        <f aca="false">IF(BD222,xCrudeAPO(BU222,BV222,CC222,CD222,S223,S224,BI222-DaysForThetaCalculation/365.25,BL222-DaysForThetaCalculation/365.25,BP222,BQ222,0,Strike2,AO222,CE222,0,BL222,IF(OptControl=3,1,0),0,1)-xCrudeAPO(BU222,BV222,CC222,CD222,S223,S224,BI222,BL222,BP222,BQ222,0,Strike2,AO222,CE222,0,BL222,IF(OptControl=3,1,0),0,1),0)</f>
        <v>0</v>
      </c>
      <c r="CN222" s="3"/>
      <c r="CO222" s="543" t="str">
        <f aca="false">IF(BD222,CHOOSE(Underlying,AD222,AF222)-DateToday+1,"")</f>
        <v/>
      </c>
      <c r="CP222" s="582" t="str">
        <f aca="false">IF(BD222,CHOOSE(Underlying,L222,R222),"")</f>
        <v/>
      </c>
      <c r="CQ222" s="544" t="str">
        <f aca="false">IF(BD222,Strike1/CP222-1,"")</f>
        <v/>
      </c>
      <c r="CR222" s="544" t="str">
        <f aca="false">IF(BD222,Strike2/CP222-1,"")</f>
        <v/>
      </c>
      <c r="CS222" s="544" t="str">
        <f aca="false">IF(BD222,IF(CQ222&gt;0,IF(CQ222&gt;0.2,BC221-BB221,IF(CQ222&gt;0.1,BB221-BA221,BA221)),IF(CQ222&lt;-0.2,AX221-AY221,IF(CQ222&lt;-0.1,AY221-AZ221,AZ221))),"")</f>
        <v/>
      </c>
      <c r="CT222" s="544" t="str">
        <f aca="false">IF(BD222,IF(CR222&gt;0,IF(CR222&gt;0.2,BC221-BB221,IF(CR222&gt;0.1,BB221-BA221,BA221)),IF(CR222&lt;-0.2,AX221-AY221,IF(CR222&lt;-0.1,AY221-AZ221,AZ221))),"")</f>
        <v/>
      </c>
      <c r="CU222" s="545" t="str">
        <f aca="false">IF(BD222,CHOOSE(Underlying,O222,AT222),"")</f>
        <v/>
      </c>
      <c r="CV222" s="545" t="str">
        <f aca="false">IF(BD222,CU222+IF(VolSkewFlag=1,IF(CQ222&gt;0,BA221*MIN(CQ222/10%,1)+(BB221-BA221)*MAX(0,MIN(CQ222/10%-1,1))+(BC221-BB221)*MAX(0,CQ222/10%-2),AZ221*MIN(-CQ222/10%,1)+(AY221-AZ221)*MAX(0,MIN(-CQ222/10%-1,1))+(AX221-AY221)*MAX(0,-CQ222/10%-2)),0),"")</f>
        <v/>
      </c>
      <c r="CW222" s="545" t="str">
        <f aca="false">IF(BD222,CU222+IF(VolSkewFlag=1,IF(CR222&gt;0,BA221*MIN(CR222/10%,1)+(BB221-BA221)*MAX(0,MIN(CR222/10%-1,1))+(BC221-BB221)*MAX(0,CR222/10%-2),AZ221*MIN(-CR222/10%,1)+(AY221-AZ221)*MAX(0,MIN(-CR222/10%-1,1))+(AX221-AY221)*MAX(0,-CR222/10%-2)),0),"")</f>
        <v/>
      </c>
      <c r="CX222" s="470" t="n">
        <f aca="false">IF(BD222,EURO(CP222,Strike1,AO222,AO222,CV222,CO222,IF(OptControl=4,0,1),0),0)</f>
        <v>0</v>
      </c>
      <c r="CY222" s="470" t="n">
        <f aca="false">IF(BD222,EURO(CP222,Strike1,AO222,AO222,CV222,CO222,IF(OptControl=4,0,1),1)+IF(OR(VolSkewFlag=2,ABS(CQ222)&lt;0.0001),0,IF(CQ222&gt;0,-1,1)*CZ222*100*Strike1/CP222^2*CS222/10%),0)</f>
        <v>0</v>
      </c>
      <c r="CZ222" s="470" t="n">
        <f aca="false">IF(BD222,EURO(CP222,Strike1,AO222,AO222,CV222,CO222,IF(OptControl=4,0,1),3)/100,0)</f>
        <v>0</v>
      </c>
      <c r="DA222" s="470" t="n">
        <f aca="false">IF(BD222,EURO(CP222,Strike1,AO222,AO222,CV222,CO222,IF(OptControl=4,0,1),0)-EURO(CP222,Strike1,AO222,AO222,CV222,CO222-1,IF(OptControl=4,0,1),0),0)</f>
        <v>0</v>
      </c>
      <c r="DB222" s="470" t="n">
        <f aca="false">IF(BD222,EURO(CP222,Strike2,AO222,AO222,CW222,CO222,IF(OptControl=3,1,0),0),0)</f>
        <v>0</v>
      </c>
      <c r="DC222" s="470" t="n">
        <f aca="false">IF(BD222,EURO(CP222,Strike2,AO222,AO222,CW222,CO222,IF(OptControl=3,1,0),1)+IF(OR(VolSkewFlag=2,ABS(CR222)&lt;0.0001),0,IF(CR222&gt;0,-1,1)*DD222*100*Strike2/CP222^2*CT222/10%),0)</f>
        <v>0</v>
      </c>
      <c r="DD222" s="470" t="n">
        <f aca="false">IF(BD222,EURO(CP222,Strike2,AO222,AO222,CW222,CO222,IF(OptControl=3,1,0),3)/100,0)</f>
        <v>0</v>
      </c>
      <c r="DE222" s="472" t="n">
        <f aca="false">IF(BD222,EURO(CP222,Strike2,AO222,AO222,CW222,CO222,IF(OptControl=3,1,0),0)-EURO(CP222,Strike2,AO222,AO222,CW222,CO222-1,IF(OptControl=3,1,0),0),0)</f>
        <v>0</v>
      </c>
      <c r="DG222" s="481" t="n">
        <f aca="false">EOMONTH(DG221,0)+1</f>
        <v>51836</v>
      </c>
      <c r="DH222" s="478" t="n">
        <v>24.2600000000001</v>
      </c>
      <c r="DI222" s="479" t="n">
        <v>24.3281818181819</v>
      </c>
      <c r="DJ222" s="480" t="n">
        <f aca="false">DG222</f>
        <v>51836</v>
      </c>
      <c r="DK222" s="478" t="n">
        <v>23.0642067805419</v>
      </c>
      <c r="DL222" s="479" t="n">
        <v>23.1350818181819</v>
      </c>
      <c r="DM222" s="481" t="n">
        <f aca="false">DG222</f>
        <v>51836</v>
      </c>
      <c r="DN222" s="482" t="n">
        <f aca="false">DK222+BrentPhyBrentSpread</f>
        <v>23.1142067805419</v>
      </c>
      <c r="DO222" s="481" t="n">
        <f aca="false">DG222</f>
        <v>51836</v>
      </c>
      <c r="DP222" s="483" t="n">
        <f aca="false">DL222+DQ222</f>
        <v>23.1350818181819</v>
      </c>
      <c r="DQ222" s="546" t="n">
        <v>0</v>
      </c>
      <c r="DR222" s="480" t="n">
        <f aca="false">DG222</f>
        <v>51836</v>
      </c>
      <c r="DS222" s="485" t="n">
        <v>0.103399999999998</v>
      </c>
      <c r="DT222" s="486" t="n">
        <v>0.102581818181816</v>
      </c>
      <c r="DU222" s="480" t="n">
        <f aca="false">DG222</f>
        <v>51836</v>
      </c>
      <c r="DV222" s="485" t="n">
        <v>0.103399999999998</v>
      </c>
      <c r="DW222" s="486" t="n">
        <v>0.102581818181816</v>
      </c>
      <c r="DX222" s="481" t="n">
        <f aca="false">DG222</f>
        <v>51836</v>
      </c>
      <c r="DY222" s="486" t="n">
        <v>0.35</v>
      </c>
      <c r="DZ222" s="481" t="n">
        <f aca="false">DR222</f>
        <v>51836</v>
      </c>
      <c r="EA222" s="486" t="n">
        <f aca="false">DT222</f>
        <v>0.102581818181816</v>
      </c>
      <c r="EB222" s="195"/>
      <c r="EC222" s="547" t="str">
        <f aca="false">IF(BD222,IF(Underlying=1,AS222,AU222),"")</f>
        <v/>
      </c>
      <c r="ED222" s="548" t="str">
        <f aca="false">IF($BD222,$EC222+IF(VolSkewFlag=1,IF(BS222&gt;0,$BA222*MIN(BS222/10%,1)+($BB222-$BA222)*MAX(0,MIN(BS222/10%-1,1))+($BC222-$BB222)*MAX(0,BS222/10%-2),$AZ222*MIN(-BS222/10%,1)+($AY222-$AZ222)*MAX(0,MIN(-BS222/10%-1,1))+($AX222-$AY222)*MAX(0,-BS222/10%-2)),0),"")</f>
        <v/>
      </c>
      <c r="EE222" s="549" t="str">
        <f aca="false">IF($BD222,$EC222+IF(VolSkewFlag=1,IF(BT222&gt;0,$BA222*MIN(BT222/10%,1)+($BB222-$BA222)*MAX(0,MIN(BT222/10%-1,1))+($BC222-$BB222)*MAX(0,BT222/10%-2),$AZ222*MIN(-BT222/10%,1)+($AY222-$AZ222)*MAX(0,MIN(-BT222/10%-1,1))+($AX222-$AY222)*MAX(0,-BT222/10%-2)),0),"")</f>
        <v/>
      </c>
      <c r="EF222" s="550" t="n">
        <f aca="false">IF(BD222,xASN(BR222,Strike1,AO222,ED222,0,BO222,0,BI222,BL222,IF(OptControl=4,0,1),0),0)</f>
        <v>0</v>
      </c>
      <c r="EG222" s="551" t="n">
        <f aca="false">IF(BD222,xASN(BR222,Strike2,AO222,EE222,0,BO222,0,BI222,BL222,IF(OptControl=3,1,0),0),0)</f>
        <v>0</v>
      </c>
      <c r="EL222" s="1"/>
      <c r="EM222" s="195"/>
      <c r="EN222" s="240"/>
      <c r="EO222" s="240"/>
      <c r="EP222" s="195"/>
      <c r="EQ222" s="407" t="s">
        <v>450</v>
      </c>
      <c r="ES222" s="1"/>
      <c r="EU222" s="672"/>
      <c r="FJ222" s="571" t="n">
        <v>53</v>
      </c>
      <c r="FK222" s="150" t="str">
        <f aca="false">IF(OR(FK$169&lt;SwaptionFirstMonthPosition+1,$FJ222&lt;SwaptionFirstMonthPosition+1,FK$169&gt;SwaptionFirstMonthPosition+SwaptionNumOfMonths+1,$FJ222&gt;SwaptionFirstMonthPosition+SwaptionNumOfMonths+1),"",IF($FJ222=FK$169,1,IF($FJ222&lt;FK$169,INDEX($FK$170:$ID$241,FK$169,$FJ222),SUMPRODUCT(INDEX($FK$325:$ID$396,FK$169,1+SwaptionShift):INDEX($FK$325:$ID$396,FK$169,SwaptionMonthsToGo+SwaptionShift),INDEX($FK$245:$ID$316,$FJ222-FK$169,73-FK$169+SwaptionShift):INDEX($FK$245:$ID$316,$FJ222-FK$169,72-FK$169+SwaptionMonthsToGo+SwaptionShift))/SQRT(SUM(INDEX($FK377:$ID377,1+SwaptionShift):INDEX($FK377:$ID377,SwaptionMonthsToGo+SwaptionShift))*SUM(INDEX($FK$325:$ID$396,FK$169,1+SwaptionShift):INDEX($FK$325:$ID$396,FK$169,SwaptionMonthsToGo+SwaptionShift))))))</f>
        <v/>
      </c>
      <c r="FL222" s="150" t="str">
        <f aca="false">IF(OR(FL$169&lt;SwaptionFirstMonthPosition+1,$FJ222&lt;SwaptionFirstMonthPosition+1,FL$169&gt;SwaptionFirstMonthPosition+SwaptionNumOfMonths+1,$FJ222&gt;SwaptionFirstMonthPosition+SwaptionNumOfMonths+1),"",IF($FJ222=FL$169,1,IF($FJ222&lt;FL$169,INDEX($FK$170:$ID$241,FL$169,$FJ222),SUMPRODUCT(INDEX($FK$325:$ID$396,FL$169,1+SwaptionShift):INDEX($FK$325:$ID$396,FL$169,SwaptionMonthsToGo+SwaptionShift),INDEX($FK$245:$ID$316,$FJ222-FL$169,73-FL$169+SwaptionShift):INDEX($FK$245:$ID$316,$FJ222-FL$169,72-FL$169+SwaptionMonthsToGo+SwaptionShift))/SQRT(SUM(INDEX($FK377:$ID377,1+SwaptionShift):INDEX($FK377:$ID377,SwaptionMonthsToGo+SwaptionShift))*SUM(INDEX($FK$325:$ID$396,FL$169,1+SwaptionShift):INDEX($FK$325:$ID$396,FL$169,SwaptionMonthsToGo+SwaptionShift))))))</f>
        <v/>
      </c>
      <c r="FM222" s="150" t="str">
        <f aca="false">IF(OR(FM$169&lt;SwaptionFirstMonthPosition+1,$FJ222&lt;SwaptionFirstMonthPosition+1,FM$169&gt;SwaptionFirstMonthPosition+SwaptionNumOfMonths+1,$FJ222&gt;SwaptionFirstMonthPosition+SwaptionNumOfMonths+1),"",IF($FJ222=FM$169,1,IF($FJ222&lt;FM$169,INDEX($FK$170:$ID$241,FM$169,$FJ222),SUMPRODUCT(INDEX($FK$325:$ID$396,FM$169,1+SwaptionShift):INDEX($FK$325:$ID$396,FM$169,SwaptionMonthsToGo+SwaptionShift),INDEX($FK$245:$ID$316,$FJ222-FM$169,73-FM$169+SwaptionShift):INDEX($FK$245:$ID$316,$FJ222-FM$169,72-FM$169+SwaptionMonthsToGo+SwaptionShift))/SQRT(SUM(INDEX($FK377:$ID377,1+SwaptionShift):INDEX($FK377:$ID377,SwaptionMonthsToGo+SwaptionShift))*SUM(INDEX($FK$325:$ID$396,FM$169,1+SwaptionShift):INDEX($FK$325:$ID$396,FM$169,SwaptionMonthsToGo+SwaptionShift))))))</f>
        <v/>
      </c>
      <c r="FN222" s="150" t="str">
        <f aca="false">IF(OR(FN$169&lt;SwaptionFirstMonthPosition+1,$FJ222&lt;SwaptionFirstMonthPosition+1,FN$169&gt;SwaptionFirstMonthPosition+SwaptionNumOfMonths+1,$FJ222&gt;SwaptionFirstMonthPosition+SwaptionNumOfMonths+1),"",IF($FJ222=FN$169,1,IF($FJ222&lt;FN$169,INDEX($FK$170:$ID$241,FN$169,$FJ222),SUMPRODUCT(INDEX($FK$325:$ID$396,FN$169,1+SwaptionShift):INDEX($FK$325:$ID$396,FN$169,SwaptionMonthsToGo+SwaptionShift),INDEX($FK$245:$ID$316,$FJ222-FN$169,73-FN$169+SwaptionShift):INDEX($FK$245:$ID$316,$FJ222-FN$169,72-FN$169+SwaptionMonthsToGo+SwaptionShift))/SQRT(SUM(INDEX($FK377:$ID377,1+SwaptionShift):INDEX($FK377:$ID377,SwaptionMonthsToGo+SwaptionShift))*SUM(INDEX($FK$325:$ID$396,FN$169,1+SwaptionShift):INDEX($FK$325:$ID$396,FN$169,SwaptionMonthsToGo+SwaptionShift))))))</f>
        <v/>
      </c>
      <c r="FO222" s="150" t="str">
        <f aca="false">IF(OR(FO$169&lt;SwaptionFirstMonthPosition+1,$FJ222&lt;SwaptionFirstMonthPosition+1,FO$169&gt;SwaptionFirstMonthPosition+SwaptionNumOfMonths+1,$FJ222&gt;SwaptionFirstMonthPosition+SwaptionNumOfMonths+1),"",IF($FJ222=FO$169,1,IF($FJ222&lt;FO$169,INDEX($FK$170:$ID$241,FO$169,$FJ222),SUMPRODUCT(INDEX($FK$325:$ID$396,FO$169,1+SwaptionShift):INDEX($FK$325:$ID$396,FO$169,SwaptionMonthsToGo+SwaptionShift),INDEX($FK$245:$ID$316,$FJ222-FO$169,73-FO$169+SwaptionShift):INDEX($FK$245:$ID$316,$FJ222-FO$169,72-FO$169+SwaptionMonthsToGo+SwaptionShift))/SQRT(SUM(INDEX($FK377:$ID377,1+SwaptionShift):INDEX($FK377:$ID377,SwaptionMonthsToGo+SwaptionShift))*SUM(INDEX($FK$325:$ID$396,FO$169,1+SwaptionShift):INDEX($FK$325:$ID$396,FO$169,SwaptionMonthsToGo+SwaptionShift))))))</f>
        <v/>
      </c>
      <c r="FP222" s="150" t="str">
        <f aca="false">IF(OR(FP$169&lt;SwaptionFirstMonthPosition+1,$FJ222&lt;SwaptionFirstMonthPosition+1,FP$169&gt;SwaptionFirstMonthPosition+SwaptionNumOfMonths+1,$FJ222&gt;SwaptionFirstMonthPosition+SwaptionNumOfMonths+1),"",IF($FJ222=FP$169,1,IF($FJ222&lt;FP$169,INDEX($FK$170:$ID$241,FP$169,$FJ222),SUMPRODUCT(INDEX($FK$325:$ID$396,FP$169,1+SwaptionShift):INDEX($FK$325:$ID$396,FP$169,SwaptionMonthsToGo+SwaptionShift),INDEX($FK$245:$ID$316,$FJ222-FP$169,73-FP$169+SwaptionShift):INDEX($FK$245:$ID$316,$FJ222-FP$169,72-FP$169+SwaptionMonthsToGo+SwaptionShift))/SQRT(SUM(INDEX($FK377:$ID377,1+SwaptionShift):INDEX($FK377:$ID377,SwaptionMonthsToGo+SwaptionShift))*SUM(INDEX($FK$325:$ID$396,FP$169,1+SwaptionShift):INDEX($FK$325:$ID$396,FP$169,SwaptionMonthsToGo+SwaptionShift))))))</f>
        <v/>
      </c>
      <c r="FQ222" s="150" t="str">
        <f aca="false">IF(OR(FQ$169&lt;SwaptionFirstMonthPosition+1,$FJ222&lt;SwaptionFirstMonthPosition+1,FQ$169&gt;SwaptionFirstMonthPosition+SwaptionNumOfMonths+1,$FJ222&gt;SwaptionFirstMonthPosition+SwaptionNumOfMonths+1),"",IF($FJ222=FQ$169,1,IF($FJ222&lt;FQ$169,INDEX($FK$170:$ID$241,FQ$169,$FJ222),SUMPRODUCT(INDEX($FK$325:$ID$396,FQ$169,1+SwaptionShift):INDEX($FK$325:$ID$396,FQ$169,SwaptionMonthsToGo+SwaptionShift),INDEX($FK$245:$ID$316,$FJ222-FQ$169,73-FQ$169+SwaptionShift):INDEX($FK$245:$ID$316,$FJ222-FQ$169,72-FQ$169+SwaptionMonthsToGo+SwaptionShift))/SQRT(SUM(INDEX($FK377:$ID377,1+SwaptionShift):INDEX($FK377:$ID377,SwaptionMonthsToGo+SwaptionShift))*SUM(INDEX($FK$325:$ID$396,FQ$169,1+SwaptionShift):INDEX($FK$325:$ID$396,FQ$169,SwaptionMonthsToGo+SwaptionShift))))))</f>
        <v/>
      </c>
      <c r="FR222" s="150" t="str">
        <f aca="false">IF(OR(FR$169&lt;SwaptionFirstMonthPosition+1,$FJ222&lt;SwaptionFirstMonthPosition+1,FR$169&gt;SwaptionFirstMonthPosition+SwaptionNumOfMonths+1,$FJ222&gt;SwaptionFirstMonthPosition+SwaptionNumOfMonths+1),"",IF($FJ222=FR$169,1,IF($FJ222&lt;FR$169,INDEX($FK$170:$ID$241,FR$169,$FJ222),SUMPRODUCT(INDEX($FK$325:$ID$396,FR$169,1+SwaptionShift):INDEX($FK$325:$ID$396,FR$169,SwaptionMonthsToGo+SwaptionShift),INDEX($FK$245:$ID$316,$FJ222-FR$169,73-FR$169+SwaptionShift):INDEX($FK$245:$ID$316,$FJ222-FR$169,72-FR$169+SwaptionMonthsToGo+SwaptionShift))/SQRT(SUM(INDEX($FK377:$ID377,1+SwaptionShift):INDEX($FK377:$ID377,SwaptionMonthsToGo+SwaptionShift))*SUM(INDEX($FK$325:$ID$396,FR$169,1+SwaptionShift):INDEX($FK$325:$ID$396,FR$169,SwaptionMonthsToGo+SwaptionShift))))))</f>
        <v/>
      </c>
      <c r="FS222" s="150" t="str">
        <f aca="false">IF(OR(FS$169&lt;SwaptionFirstMonthPosition+1,$FJ222&lt;SwaptionFirstMonthPosition+1,FS$169&gt;SwaptionFirstMonthPosition+SwaptionNumOfMonths+1,$FJ222&gt;SwaptionFirstMonthPosition+SwaptionNumOfMonths+1),"",IF($FJ222=FS$169,1,IF($FJ222&lt;FS$169,INDEX($FK$170:$ID$241,FS$169,$FJ222),SUMPRODUCT(INDEX($FK$325:$ID$396,FS$169,1+SwaptionShift):INDEX($FK$325:$ID$396,FS$169,SwaptionMonthsToGo+SwaptionShift),INDEX($FK$245:$ID$316,$FJ222-FS$169,73-FS$169+SwaptionShift):INDEX($FK$245:$ID$316,$FJ222-FS$169,72-FS$169+SwaptionMonthsToGo+SwaptionShift))/SQRT(SUM(INDEX($FK377:$ID377,1+SwaptionShift):INDEX($FK377:$ID377,SwaptionMonthsToGo+SwaptionShift))*SUM(INDEX($FK$325:$ID$396,FS$169,1+SwaptionShift):INDEX($FK$325:$ID$396,FS$169,SwaptionMonthsToGo+SwaptionShift))))))</f>
        <v/>
      </c>
      <c r="FT222" s="150" t="str">
        <f aca="false">IF(OR(FT$169&lt;SwaptionFirstMonthPosition+1,$FJ222&lt;SwaptionFirstMonthPosition+1,FT$169&gt;SwaptionFirstMonthPosition+SwaptionNumOfMonths+1,$FJ222&gt;SwaptionFirstMonthPosition+SwaptionNumOfMonths+1),"",IF($FJ222=FT$169,1,IF($FJ222&lt;FT$169,INDEX($FK$170:$ID$241,FT$169,$FJ222),SUMPRODUCT(INDEX($FK$325:$ID$396,FT$169,1+SwaptionShift):INDEX($FK$325:$ID$396,FT$169,SwaptionMonthsToGo+SwaptionShift),INDEX($FK$245:$ID$316,$FJ222-FT$169,73-FT$169+SwaptionShift):INDEX($FK$245:$ID$316,$FJ222-FT$169,72-FT$169+SwaptionMonthsToGo+SwaptionShift))/SQRT(SUM(INDEX($FK377:$ID377,1+SwaptionShift):INDEX($FK377:$ID377,SwaptionMonthsToGo+SwaptionShift))*SUM(INDEX($FK$325:$ID$396,FT$169,1+SwaptionShift):INDEX($FK$325:$ID$396,FT$169,SwaptionMonthsToGo+SwaptionShift))))))</f>
        <v/>
      </c>
      <c r="FU222" s="150" t="str">
        <f aca="false">IF(OR(FU$169&lt;SwaptionFirstMonthPosition+1,$FJ222&lt;SwaptionFirstMonthPosition+1,FU$169&gt;SwaptionFirstMonthPosition+SwaptionNumOfMonths+1,$FJ222&gt;SwaptionFirstMonthPosition+SwaptionNumOfMonths+1),"",IF($FJ222=FU$169,1,IF($FJ222&lt;FU$169,INDEX($FK$170:$ID$241,FU$169,$FJ222),SUMPRODUCT(INDEX($FK$325:$ID$396,FU$169,1+SwaptionShift):INDEX($FK$325:$ID$396,FU$169,SwaptionMonthsToGo+SwaptionShift),INDEX($FK$245:$ID$316,$FJ222-FU$169,73-FU$169+SwaptionShift):INDEX($FK$245:$ID$316,$FJ222-FU$169,72-FU$169+SwaptionMonthsToGo+SwaptionShift))/SQRT(SUM(INDEX($FK377:$ID377,1+SwaptionShift):INDEX($FK377:$ID377,SwaptionMonthsToGo+SwaptionShift))*SUM(INDEX($FK$325:$ID$396,FU$169,1+SwaptionShift):INDEX($FK$325:$ID$396,FU$169,SwaptionMonthsToGo+SwaptionShift))))))</f>
        <v/>
      </c>
      <c r="FV222" s="150" t="str">
        <f aca="false">IF(OR(FV$169&lt;SwaptionFirstMonthPosition+1,$FJ222&lt;SwaptionFirstMonthPosition+1,FV$169&gt;SwaptionFirstMonthPosition+SwaptionNumOfMonths+1,$FJ222&gt;SwaptionFirstMonthPosition+SwaptionNumOfMonths+1),"",IF($FJ222=FV$169,1,IF($FJ222&lt;FV$169,INDEX($FK$170:$ID$241,FV$169,$FJ222),SUMPRODUCT(INDEX($FK$325:$ID$396,FV$169,1+SwaptionShift):INDEX($FK$325:$ID$396,FV$169,SwaptionMonthsToGo+SwaptionShift),INDEX($FK$245:$ID$316,$FJ222-FV$169,73-FV$169+SwaptionShift):INDEX($FK$245:$ID$316,$FJ222-FV$169,72-FV$169+SwaptionMonthsToGo+SwaptionShift))/SQRT(SUM(INDEX($FK377:$ID377,1+SwaptionShift):INDEX($FK377:$ID377,SwaptionMonthsToGo+SwaptionShift))*SUM(INDEX($FK$325:$ID$396,FV$169,1+SwaptionShift):INDEX($FK$325:$ID$396,FV$169,SwaptionMonthsToGo+SwaptionShift))))))</f>
        <v/>
      </c>
      <c r="FW222" s="150" t="str">
        <f aca="false">IF(OR(FW$169&lt;SwaptionFirstMonthPosition+1,$FJ222&lt;SwaptionFirstMonthPosition+1,FW$169&gt;SwaptionFirstMonthPosition+SwaptionNumOfMonths+1,$FJ222&gt;SwaptionFirstMonthPosition+SwaptionNumOfMonths+1),"",IF($FJ222=FW$169,1,IF($FJ222&lt;FW$169,INDEX($FK$170:$ID$241,FW$169,$FJ222),SUMPRODUCT(INDEX($FK$325:$ID$396,FW$169,1+SwaptionShift):INDEX($FK$325:$ID$396,FW$169,SwaptionMonthsToGo+SwaptionShift),INDEX($FK$245:$ID$316,$FJ222-FW$169,73-FW$169+SwaptionShift):INDEX($FK$245:$ID$316,$FJ222-FW$169,72-FW$169+SwaptionMonthsToGo+SwaptionShift))/SQRT(SUM(INDEX($FK377:$ID377,1+SwaptionShift):INDEX($FK377:$ID377,SwaptionMonthsToGo+SwaptionShift))*SUM(INDEX($FK$325:$ID$396,FW$169,1+SwaptionShift):INDEX($FK$325:$ID$396,FW$169,SwaptionMonthsToGo+SwaptionShift))))))</f>
        <v/>
      </c>
      <c r="FX222" s="150" t="str">
        <f aca="false">IF(OR(FX$169&lt;SwaptionFirstMonthPosition+1,$FJ222&lt;SwaptionFirstMonthPosition+1,FX$169&gt;SwaptionFirstMonthPosition+SwaptionNumOfMonths+1,$FJ222&gt;SwaptionFirstMonthPosition+SwaptionNumOfMonths+1),"",IF($FJ222=FX$169,1,IF($FJ222&lt;FX$169,INDEX($FK$170:$ID$241,FX$169,$FJ222),SUMPRODUCT(INDEX($FK$325:$ID$396,FX$169,1+SwaptionShift):INDEX($FK$325:$ID$396,FX$169,SwaptionMonthsToGo+SwaptionShift),INDEX($FK$245:$ID$316,$FJ222-FX$169,73-FX$169+SwaptionShift):INDEX($FK$245:$ID$316,$FJ222-FX$169,72-FX$169+SwaptionMonthsToGo+SwaptionShift))/SQRT(SUM(INDEX($FK377:$ID377,1+SwaptionShift):INDEX($FK377:$ID377,SwaptionMonthsToGo+SwaptionShift))*SUM(INDEX($FK$325:$ID$396,FX$169,1+SwaptionShift):INDEX($FK$325:$ID$396,FX$169,SwaptionMonthsToGo+SwaptionShift))))))</f>
        <v/>
      </c>
      <c r="FY222" s="150" t="str">
        <f aca="false">IF(OR(FY$169&lt;SwaptionFirstMonthPosition+1,$FJ222&lt;SwaptionFirstMonthPosition+1,FY$169&gt;SwaptionFirstMonthPosition+SwaptionNumOfMonths+1,$FJ222&gt;SwaptionFirstMonthPosition+SwaptionNumOfMonths+1),"",IF($FJ222=FY$169,1,IF($FJ222&lt;FY$169,INDEX($FK$170:$ID$241,FY$169,$FJ222),SUMPRODUCT(INDEX($FK$325:$ID$396,FY$169,1+SwaptionShift):INDEX($FK$325:$ID$396,FY$169,SwaptionMonthsToGo+SwaptionShift),INDEX($FK$245:$ID$316,$FJ222-FY$169,73-FY$169+SwaptionShift):INDEX($FK$245:$ID$316,$FJ222-FY$169,72-FY$169+SwaptionMonthsToGo+SwaptionShift))/SQRT(SUM(INDEX($FK377:$ID377,1+SwaptionShift):INDEX($FK377:$ID377,SwaptionMonthsToGo+SwaptionShift))*SUM(INDEX($FK$325:$ID$396,FY$169,1+SwaptionShift):INDEX($FK$325:$ID$396,FY$169,SwaptionMonthsToGo+SwaptionShift))))))</f>
        <v/>
      </c>
      <c r="FZ222" s="150" t="str">
        <f aca="false">IF(OR(FZ$169&lt;SwaptionFirstMonthPosition+1,$FJ222&lt;SwaptionFirstMonthPosition+1,FZ$169&gt;SwaptionFirstMonthPosition+SwaptionNumOfMonths+1,$FJ222&gt;SwaptionFirstMonthPosition+SwaptionNumOfMonths+1),"",IF($FJ222=FZ$169,1,IF($FJ222&lt;FZ$169,INDEX($FK$170:$ID$241,FZ$169,$FJ222),SUMPRODUCT(INDEX($FK$325:$ID$396,FZ$169,1+SwaptionShift):INDEX($FK$325:$ID$396,FZ$169,SwaptionMonthsToGo+SwaptionShift),INDEX($FK$245:$ID$316,$FJ222-FZ$169,73-FZ$169+SwaptionShift):INDEX($FK$245:$ID$316,$FJ222-FZ$169,72-FZ$169+SwaptionMonthsToGo+SwaptionShift))/SQRT(SUM(INDEX($FK377:$ID377,1+SwaptionShift):INDEX($FK377:$ID377,SwaptionMonthsToGo+SwaptionShift))*SUM(INDEX($FK$325:$ID$396,FZ$169,1+SwaptionShift):INDEX($FK$325:$ID$396,FZ$169,SwaptionMonthsToGo+SwaptionShift))))))</f>
        <v/>
      </c>
      <c r="GA222" s="150" t="str">
        <f aca="false">IF(OR(GA$169&lt;SwaptionFirstMonthPosition+1,$FJ222&lt;SwaptionFirstMonthPosition+1,GA$169&gt;SwaptionFirstMonthPosition+SwaptionNumOfMonths+1,$FJ222&gt;SwaptionFirstMonthPosition+SwaptionNumOfMonths+1),"",IF($FJ222=GA$169,1,IF($FJ222&lt;GA$169,INDEX($FK$170:$ID$241,GA$169,$FJ222),SUMPRODUCT(INDEX($FK$325:$ID$396,GA$169,1+SwaptionShift):INDEX($FK$325:$ID$396,GA$169,SwaptionMonthsToGo+SwaptionShift),INDEX($FK$245:$ID$316,$FJ222-GA$169,73-GA$169+SwaptionShift):INDEX($FK$245:$ID$316,$FJ222-GA$169,72-GA$169+SwaptionMonthsToGo+SwaptionShift))/SQRT(SUM(INDEX($FK377:$ID377,1+SwaptionShift):INDEX($FK377:$ID377,SwaptionMonthsToGo+SwaptionShift))*SUM(INDEX($FK$325:$ID$396,GA$169,1+SwaptionShift):INDEX($FK$325:$ID$396,GA$169,SwaptionMonthsToGo+SwaptionShift))))))</f>
        <v/>
      </c>
      <c r="GB222" s="150" t="str">
        <f aca="false">IF(OR(GB$169&lt;SwaptionFirstMonthPosition+1,$FJ222&lt;SwaptionFirstMonthPosition+1,GB$169&gt;SwaptionFirstMonthPosition+SwaptionNumOfMonths+1,$FJ222&gt;SwaptionFirstMonthPosition+SwaptionNumOfMonths+1),"",IF($FJ222=GB$169,1,IF($FJ222&lt;GB$169,INDEX($FK$170:$ID$241,GB$169,$FJ222),SUMPRODUCT(INDEX($FK$325:$ID$396,GB$169,1+SwaptionShift):INDEX($FK$325:$ID$396,GB$169,SwaptionMonthsToGo+SwaptionShift),INDEX($FK$245:$ID$316,$FJ222-GB$169,73-GB$169+SwaptionShift):INDEX($FK$245:$ID$316,$FJ222-GB$169,72-GB$169+SwaptionMonthsToGo+SwaptionShift))/SQRT(SUM(INDEX($FK377:$ID377,1+SwaptionShift):INDEX($FK377:$ID377,SwaptionMonthsToGo+SwaptionShift))*SUM(INDEX($FK$325:$ID$396,GB$169,1+SwaptionShift):INDEX($FK$325:$ID$396,GB$169,SwaptionMonthsToGo+SwaptionShift))))))</f>
        <v/>
      </c>
      <c r="GC222" s="150" t="str">
        <f aca="false">IF(OR(GC$169&lt;SwaptionFirstMonthPosition+1,$FJ222&lt;SwaptionFirstMonthPosition+1,GC$169&gt;SwaptionFirstMonthPosition+SwaptionNumOfMonths+1,$FJ222&gt;SwaptionFirstMonthPosition+SwaptionNumOfMonths+1),"",IF($FJ222=GC$169,1,IF($FJ222&lt;GC$169,INDEX($FK$170:$ID$241,GC$169,$FJ222),SUMPRODUCT(INDEX($FK$325:$ID$396,GC$169,1+SwaptionShift):INDEX($FK$325:$ID$396,GC$169,SwaptionMonthsToGo+SwaptionShift),INDEX($FK$245:$ID$316,$FJ222-GC$169,73-GC$169+SwaptionShift):INDEX($FK$245:$ID$316,$FJ222-GC$169,72-GC$169+SwaptionMonthsToGo+SwaptionShift))/SQRT(SUM(INDEX($FK377:$ID377,1+SwaptionShift):INDEX($FK377:$ID377,SwaptionMonthsToGo+SwaptionShift))*SUM(INDEX($FK$325:$ID$396,GC$169,1+SwaptionShift):INDEX($FK$325:$ID$396,GC$169,SwaptionMonthsToGo+SwaptionShift))))))</f>
        <v/>
      </c>
      <c r="GD222" s="150" t="str">
        <f aca="false">IF(OR(GD$169&lt;SwaptionFirstMonthPosition+1,$FJ222&lt;SwaptionFirstMonthPosition+1,GD$169&gt;SwaptionFirstMonthPosition+SwaptionNumOfMonths+1,$FJ222&gt;SwaptionFirstMonthPosition+SwaptionNumOfMonths+1),"",IF($FJ222=GD$169,1,IF($FJ222&lt;GD$169,INDEX($FK$170:$ID$241,GD$169,$FJ222),SUMPRODUCT(INDEX($FK$325:$ID$396,GD$169,1+SwaptionShift):INDEX($FK$325:$ID$396,GD$169,SwaptionMonthsToGo+SwaptionShift),INDEX($FK$245:$ID$316,$FJ222-GD$169,73-GD$169+SwaptionShift):INDEX($FK$245:$ID$316,$FJ222-GD$169,72-GD$169+SwaptionMonthsToGo+SwaptionShift))/SQRT(SUM(INDEX($FK377:$ID377,1+SwaptionShift):INDEX($FK377:$ID377,SwaptionMonthsToGo+SwaptionShift))*SUM(INDEX($FK$325:$ID$396,GD$169,1+SwaptionShift):INDEX($FK$325:$ID$396,GD$169,SwaptionMonthsToGo+SwaptionShift))))))</f>
        <v/>
      </c>
      <c r="GE222" s="150" t="str">
        <f aca="false">IF(OR(GE$169&lt;SwaptionFirstMonthPosition+1,$FJ222&lt;SwaptionFirstMonthPosition+1,GE$169&gt;SwaptionFirstMonthPosition+SwaptionNumOfMonths+1,$FJ222&gt;SwaptionFirstMonthPosition+SwaptionNumOfMonths+1),"",IF($FJ222=GE$169,1,IF($FJ222&lt;GE$169,INDEX($FK$170:$ID$241,GE$169,$FJ222),SUMPRODUCT(INDEX($FK$325:$ID$396,GE$169,1+SwaptionShift):INDEX($FK$325:$ID$396,GE$169,SwaptionMonthsToGo+SwaptionShift),INDEX($FK$245:$ID$316,$FJ222-GE$169,73-GE$169+SwaptionShift):INDEX($FK$245:$ID$316,$FJ222-GE$169,72-GE$169+SwaptionMonthsToGo+SwaptionShift))/SQRT(SUM(INDEX($FK377:$ID377,1+SwaptionShift):INDEX($FK377:$ID377,SwaptionMonthsToGo+SwaptionShift))*SUM(INDEX($FK$325:$ID$396,GE$169,1+SwaptionShift):INDEX($FK$325:$ID$396,GE$169,SwaptionMonthsToGo+SwaptionShift))))))</f>
        <v/>
      </c>
      <c r="GF222" s="150" t="str">
        <f aca="false">IF(OR(GF$169&lt;SwaptionFirstMonthPosition+1,$FJ222&lt;SwaptionFirstMonthPosition+1,GF$169&gt;SwaptionFirstMonthPosition+SwaptionNumOfMonths+1,$FJ222&gt;SwaptionFirstMonthPosition+SwaptionNumOfMonths+1),"",IF($FJ222=GF$169,1,IF($FJ222&lt;GF$169,INDEX($FK$170:$ID$241,GF$169,$FJ222),SUMPRODUCT(INDEX($FK$325:$ID$396,GF$169,1+SwaptionShift):INDEX($FK$325:$ID$396,GF$169,SwaptionMonthsToGo+SwaptionShift),INDEX($FK$245:$ID$316,$FJ222-GF$169,73-GF$169+SwaptionShift):INDEX($FK$245:$ID$316,$FJ222-GF$169,72-GF$169+SwaptionMonthsToGo+SwaptionShift))/SQRT(SUM(INDEX($FK377:$ID377,1+SwaptionShift):INDEX($FK377:$ID377,SwaptionMonthsToGo+SwaptionShift))*SUM(INDEX($FK$325:$ID$396,GF$169,1+SwaptionShift):INDEX($FK$325:$ID$396,GF$169,SwaptionMonthsToGo+SwaptionShift))))))</f>
        <v/>
      </c>
      <c r="GG222" s="150" t="str">
        <f aca="false">IF(OR(GG$169&lt;SwaptionFirstMonthPosition+1,$FJ222&lt;SwaptionFirstMonthPosition+1,GG$169&gt;SwaptionFirstMonthPosition+SwaptionNumOfMonths+1,$FJ222&gt;SwaptionFirstMonthPosition+SwaptionNumOfMonths+1),"",IF($FJ222=GG$169,1,IF($FJ222&lt;GG$169,INDEX($FK$170:$ID$241,GG$169,$FJ222),SUMPRODUCT(INDEX($FK$325:$ID$396,GG$169,1+SwaptionShift):INDEX($FK$325:$ID$396,GG$169,SwaptionMonthsToGo+SwaptionShift),INDEX($FK$245:$ID$316,$FJ222-GG$169,73-GG$169+SwaptionShift):INDEX($FK$245:$ID$316,$FJ222-GG$169,72-GG$169+SwaptionMonthsToGo+SwaptionShift))/SQRT(SUM(INDEX($FK377:$ID377,1+SwaptionShift):INDEX($FK377:$ID377,SwaptionMonthsToGo+SwaptionShift))*SUM(INDEX($FK$325:$ID$396,GG$169,1+SwaptionShift):INDEX($FK$325:$ID$396,GG$169,SwaptionMonthsToGo+SwaptionShift))))))</f>
        <v/>
      </c>
      <c r="GH222" s="150" t="str">
        <f aca="false">IF(OR(GH$169&lt;SwaptionFirstMonthPosition+1,$FJ222&lt;SwaptionFirstMonthPosition+1,GH$169&gt;SwaptionFirstMonthPosition+SwaptionNumOfMonths+1,$FJ222&gt;SwaptionFirstMonthPosition+SwaptionNumOfMonths+1),"",IF($FJ222=GH$169,1,IF($FJ222&lt;GH$169,INDEX($FK$170:$ID$241,GH$169,$FJ222),SUMPRODUCT(INDEX($FK$325:$ID$396,GH$169,1+SwaptionShift):INDEX($FK$325:$ID$396,GH$169,SwaptionMonthsToGo+SwaptionShift),INDEX($FK$245:$ID$316,$FJ222-GH$169,73-GH$169+SwaptionShift):INDEX($FK$245:$ID$316,$FJ222-GH$169,72-GH$169+SwaptionMonthsToGo+SwaptionShift))/SQRT(SUM(INDEX($FK377:$ID377,1+SwaptionShift):INDEX($FK377:$ID377,SwaptionMonthsToGo+SwaptionShift))*SUM(INDEX($FK$325:$ID$396,GH$169,1+SwaptionShift):INDEX($FK$325:$ID$396,GH$169,SwaptionMonthsToGo+SwaptionShift))))))</f>
        <v/>
      </c>
      <c r="GI222" s="150" t="str">
        <f aca="false">IF(OR(GI$169&lt;SwaptionFirstMonthPosition+1,$FJ222&lt;SwaptionFirstMonthPosition+1,GI$169&gt;SwaptionFirstMonthPosition+SwaptionNumOfMonths+1,$FJ222&gt;SwaptionFirstMonthPosition+SwaptionNumOfMonths+1),"",IF($FJ222=GI$169,1,IF($FJ222&lt;GI$169,INDEX($FK$170:$ID$241,GI$169,$FJ222),SUMPRODUCT(INDEX($FK$325:$ID$396,GI$169,1+SwaptionShift):INDEX($FK$325:$ID$396,GI$169,SwaptionMonthsToGo+SwaptionShift),INDEX($FK$245:$ID$316,$FJ222-GI$169,73-GI$169+SwaptionShift):INDEX($FK$245:$ID$316,$FJ222-GI$169,72-GI$169+SwaptionMonthsToGo+SwaptionShift))/SQRT(SUM(INDEX($FK377:$ID377,1+SwaptionShift):INDEX($FK377:$ID377,SwaptionMonthsToGo+SwaptionShift))*SUM(INDEX($FK$325:$ID$396,GI$169,1+SwaptionShift):INDEX($FK$325:$ID$396,GI$169,SwaptionMonthsToGo+SwaptionShift))))))</f>
        <v/>
      </c>
      <c r="GJ222" s="150" t="str">
        <f aca="false">IF(OR(GJ$169&lt;SwaptionFirstMonthPosition+1,$FJ222&lt;SwaptionFirstMonthPosition+1,GJ$169&gt;SwaptionFirstMonthPosition+SwaptionNumOfMonths+1,$FJ222&gt;SwaptionFirstMonthPosition+SwaptionNumOfMonths+1),"",IF($FJ222=GJ$169,1,IF($FJ222&lt;GJ$169,INDEX($FK$170:$ID$241,GJ$169,$FJ222),SUMPRODUCT(INDEX($FK$325:$ID$396,GJ$169,1+SwaptionShift):INDEX($FK$325:$ID$396,GJ$169,SwaptionMonthsToGo+SwaptionShift),INDEX($FK$245:$ID$316,$FJ222-GJ$169,73-GJ$169+SwaptionShift):INDEX($FK$245:$ID$316,$FJ222-GJ$169,72-GJ$169+SwaptionMonthsToGo+SwaptionShift))/SQRT(SUM(INDEX($FK377:$ID377,1+SwaptionShift):INDEX($FK377:$ID377,SwaptionMonthsToGo+SwaptionShift))*SUM(INDEX($FK$325:$ID$396,GJ$169,1+SwaptionShift):INDEX($FK$325:$ID$396,GJ$169,SwaptionMonthsToGo+SwaptionShift))))))</f>
        <v/>
      </c>
      <c r="GK222" s="150" t="str">
        <f aca="false">IF(OR(GK$169&lt;SwaptionFirstMonthPosition+1,$FJ222&lt;SwaptionFirstMonthPosition+1,GK$169&gt;SwaptionFirstMonthPosition+SwaptionNumOfMonths+1,$FJ222&gt;SwaptionFirstMonthPosition+SwaptionNumOfMonths+1),"",IF($FJ222=GK$169,1,IF($FJ222&lt;GK$169,INDEX($FK$170:$ID$241,GK$169,$FJ222),SUMPRODUCT(INDEX($FK$325:$ID$396,GK$169,1+SwaptionShift):INDEX($FK$325:$ID$396,GK$169,SwaptionMonthsToGo+SwaptionShift),INDEX($FK$245:$ID$316,$FJ222-GK$169,73-GK$169+SwaptionShift):INDEX($FK$245:$ID$316,$FJ222-GK$169,72-GK$169+SwaptionMonthsToGo+SwaptionShift))/SQRT(SUM(INDEX($FK377:$ID377,1+SwaptionShift):INDEX($FK377:$ID377,SwaptionMonthsToGo+SwaptionShift))*SUM(INDEX($FK$325:$ID$396,GK$169,1+SwaptionShift):INDEX($FK$325:$ID$396,GK$169,SwaptionMonthsToGo+SwaptionShift))))))</f>
        <v/>
      </c>
      <c r="GL222" s="150" t="str">
        <f aca="false">IF(OR(GL$169&lt;SwaptionFirstMonthPosition+1,$FJ222&lt;SwaptionFirstMonthPosition+1,GL$169&gt;SwaptionFirstMonthPosition+SwaptionNumOfMonths+1,$FJ222&gt;SwaptionFirstMonthPosition+SwaptionNumOfMonths+1),"",IF($FJ222=GL$169,1,IF($FJ222&lt;GL$169,INDEX($FK$170:$ID$241,GL$169,$FJ222),SUMPRODUCT(INDEX($FK$325:$ID$396,GL$169,1+SwaptionShift):INDEX($FK$325:$ID$396,GL$169,SwaptionMonthsToGo+SwaptionShift),INDEX($FK$245:$ID$316,$FJ222-GL$169,73-GL$169+SwaptionShift):INDEX($FK$245:$ID$316,$FJ222-GL$169,72-GL$169+SwaptionMonthsToGo+SwaptionShift))/SQRT(SUM(INDEX($FK377:$ID377,1+SwaptionShift):INDEX($FK377:$ID377,SwaptionMonthsToGo+SwaptionShift))*SUM(INDEX($FK$325:$ID$396,GL$169,1+SwaptionShift):INDEX($FK$325:$ID$396,GL$169,SwaptionMonthsToGo+SwaptionShift))))))</f>
        <v/>
      </c>
      <c r="GM222" s="150" t="str">
        <f aca="false">IF(OR(GM$169&lt;SwaptionFirstMonthPosition+1,$FJ222&lt;SwaptionFirstMonthPosition+1,GM$169&gt;SwaptionFirstMonthPosition+SwaptionNumOfMonths+1,$FJ222&gt;SwaptionFirstMonthPosition+SwaptionNumOfMonths+1),"",IF($FJ222=GM$169,1,IF($FJ222&lt;GM$169,INDEX($FK$170:$ID$241,GM$169,$FJ222),SUMPRODUCT(INDEX($FK$325:$ID$396,GM$169,1+SwaptionShift):INDEX($FK$325:$ID$396,GM$169,SwaptionMonthsToGo+SwaptionShift),INDEX($FK$245:$ID$316,$FJ222-GM$169,73-GM$169+SwaptionShift):INDEX($FK$245:$ID$316,$FJ222-GM$169,72-GM$169+SwaptionMonthsToGo+SwaptionShift))/SQRT(SUM(INDEX($FK377:$ID377,1+SwaptionShift):INDEX($FK377:$ID377,SwaptionMonthsToGo+SwaptionShift))*SUM(INDEX($FK$325:$ID$396,GM$169,1+SwaptionShift):INDEX($FK$325:$ID$396,GM$169,SwaptionMonthsToGo+SwaptionShift))))))</f>
        <v/>
      </c>
      <c r="GN222" s="150" t="str">
        <f aca="false">IF(OR(GN$169&lt;SwaptionFirstMonthPosition+1,$FJ222&lt;SwaptionFirstMonthPosition+1,GN$169&gt;SwaptionFirstMonthPosition+SwaptionNumOfMonths+1,$FJ222&gt;SwaptionFirstMonthPosition+SwaptionNumOfMonths+1),"",IF($FJ222=GN$169,1,IF($FJ222&lt;GN$169,INDEX($FK$170:$ID$241,GN$169,$FJ222),SUMPRODUCT(INDEX($FK$325:$ID$396,GN$169,1+SwaptionShift):INDEX($FK$325:$ID$396,GN$169,SwaptionMonthsToGo+SwaptionShift),INDEX($FK$245:$ID$316,$FJ222-GN$169,73-GN$169+SwaptionShift):INDEX($FK$245:$ID$316,$FJ222-GN$169,72-GN$169+SwaptionMonthsToGo+SwaptionShift))/SQRT(SUM(INDEX($FK377:$ID377,1+SwaptionShift):INDEX($FK377:$ID377,SwaptionMonthsToGo+SwaptionShift))*SUM(INDEX($FK$325:$ID$396,GN$169,1+SwaptionShift):INDEX($FK$325:$ID$396,GN$169,SwaptionMonthsToGo+SwaptionShift))))))</f>
        <v/>
      </c>
      <c r="GO222" s="150" t="str">
        <f aca="false">IF(OR(GO$169&lt;SwaptionFirstMonthPosition+1,$FJ222&lt;SwaptionFirstMonthPosition+1,GO$169&gt;SwaptionFirstMonthPosition+SwaptionNumOfMonths+1,$FJ222&gt;SwaptionFirstMonthPosition+SwaptionNumOfMonths+1),"",IF($FJ222=GO$169,1,IF($FJ222&lt;GO$169,INDEX($FK$170:$ID$241,GO$169,$FJ222),SUMPRODUCT(INDEX($FK$325:$ID$396,GO$169,1+SwaptionShift):INDEX($FK$325:$ID$396,GO$169,SwaptionMonthsToGo+SwaptionShift),INDEX($FK$245:$ID$316,$FJ222-GO$169,73-GO$169+SwaptionShift):INDEX($FK$245:$ID$316,$FJ222-GO$169,72-GO$169+SwaptionMonthsToGo+SwaptionShift))/SQRT(SUM(INDEX($FK377:$ID377,1+SwaptionShift):INDEX($FK377:$ID377,SwaptionMonthsToGo+SwaptionShift))*SUM(INDEX($FK$325:$ID$396,GO$169,1+SwaptionShift):INDEX($FK$325:$ID$396,GO$169,SwaptionMonthsToGo+SwaptionShift))))))</f>
        <v/>
      </c>
      <c r="GP222" s="150" t="str">
        <f aca="false">IF(OR(GP$169&lt;SwaptionFirstMonthPosition+1,$FJ222&lt;SwaptionFirstMonthPosition+1,GP$169&gt;SwaptionFirstMonthPosition+SwaptionNumOfMonths+1,$FJ222&gt;SwaptionFirstMonthPosition+SwaptionNumOfMonths+1),"",IF($FJ222=GP$169,1,IF($FJ222&lt;GP$169,INDEX($FK$170:$ID$241,GP$169,$FJ222),SUMPRODUCT(INDEX($FK$325:$ID$396,GP$169,1+SwaptionShift):INDEX($FK$325:$ID$396,GP$169,SwaptionMonthsToGo+SwaptionShift),INDEX($FK$245:$ID$316,$FJ222-GP$169,73-GP$169+SwaptionShift):INDEX($FK$245:$ID$316,$FJ222-GP$169,72-GP$169+SwaptionMonthsToGo+SwaptionShift))/SQRT(SUM(INDEX($FK377:$ID377,1+SwaptionShift):INDEX($FK377:$ID377,SwaptionMonthsToGo+SwaptionShift))*SUM(INDEX($FK$325:$ID$396,GP$169,1+SwaptionShift):INDEX($FK$325:$ID$396,GP$169,SwaptionMonthsToGo+SwaptionShift))))))</f>
        <v/>
      </c>
      <c r="GQ222" s="150" t="str">
        <f aca="false">IF(OR(GQ$169&lt;SwaptionFirstMonthPosition+1,$FJ222&lt;SwaptionFirstMonthPosition+1,GQ$169&gt;SwaptionFirstMonthPosition+SwaptionNumOfMonths+1,$FJ222&gt;SwaptionFirstMonthPosition+SwaptionNumOfMonths+1),"",IF($FJ222=GQ$169,1,IF($FJ222&lt;GQ$169,INDEX($FK$170:$ID$241,GQ$169,$FJ222),SUMPRODUCT(INDEX($FK$325:$ID$396,GQ$169,1+SwaptionShift):INDEX($FK$325:$ID$396,GQ$169,SwaptionMonthsToGo+SwaptionShift),INDEX($FK$245:$ID$316,$FJ222-GQ$169,73-GQ$169+SwaptionShift):INDEX($FK$245:$ID$316,$FJ222-GQ$169,72-GQ$169+SwaptionMonthsToGo+SwaptionShift))/SQRT(SUM(INDEX($FK377:$ID377,1+SwaptionShift):INDEX($FK377:$ID377,SwaptionMonthsToGo+SwaptionShift))*SUM(INDEX($FK$325:$ID$396,GQ$169,1+SwaptionShift):INDEX($FK$325:$ID$396,GQ$169,SwaptionMonthsToGo+SwaptionShift))))))</f>
        <v/>
      </c>
      <c r="GR222" s="150" t="str">
        <f aca="false">IF(OR(GR$169&lt;SwaptionFirstMonthPosition+1,$FJ222&lt;SwaptionFirstMonthPosition+1,GR$169&gt;SwaptionFirstMonthPosition+SwaptionNumOfMonths+1,$FJ222&gt;SwaptionFirstMonthPosition+SwaptionNumOfMonths+1),"",IF($FJ222=GR$169,1,IF($FJ222&lt;GR$169,INDEX($FK$170:$ID$241,GR$169,$FJ222),SUMPRODUCT(INDEX($FK$325:$ID$396,GR$169,1+SwaptionShift):INDEX($FK$325:$ID$396,GR$169,SwaptionMonthsToGo+SwaptionShift),INDEX($FK$245:$ID$316,$FJ222-GR$169,73-GR$169+SwaptionShift):INDEX($FK$245:$ID$316,$FJ222-GR$169,72-GR$169+SwaptionMonthsToGo+SwaptionShift))/SQRT(SUM(INDEX($FK377:$ID377,1+SwaptionShift):INDEX($FK377:$ID377,SwaptionMonthsToGo+SwaptionShift))*SUM(INDEX($FK$325:$ID$396,GR$169,1+SwaptionShift):INDEX($FK$325:$ID$396,GR$169,SwaptionMonthsToGo+SwaptionShift))))))</f>
        <v/>
      </c>
      <c r="GS222" s="150" t="str">
        <f aca="false">IF(OR(GS$169&lt;SwaptionFirstMonthPosition+1,$FJ222&lt;SwaptionFirstMonthPosition+1,GS$169&gt;SwaptionFirstMonthPosition+SwaptionNumOfMonths+1,$FJ222&gt;SwaptionFirstMonthPosition+SwaptionNumOfMonths+1),"",IF($FJ222=GS$169,1,IF($FJ222&lt;GS$169,INDEX($FK$170:$ID$241,GS$169,$FJ222),SUMPRODUCT(INDEX($FK$325:$ID$396,GS$169,1+SwaptionShift):INDEX($FK$325:$ID$396,GS$169,SwaptionMonthsToGo+SwaptionShift),INDEX($FK$245:$ID$316,$FJ222-GS$169,73-GS$169+SwaptionShift):INDEX($FK$245:$ID$316,$FJ222-GS$169,72-GS$169+SwaptionMonthsToGo+SwaptionShift))/SQRT(SUM(INDEX($FK377:$ID377,1+SwaptionShift):INDEX($FK377:$ID377,SwaptionMonthsToGo+SwaptionShift))*SUM(INDEX($FK$325:$ID$396,GS$169,1+SwaptionShift):INDEX($FK$325:$ID$396,GS$169,SwaptionMonthsToGo+SwaptionShift))))))</f>
        <v/>
      </c>
      <c r="GT222" s="150" t="str">
        <f aca="false">IF(OR(GT$169&lt;SwaptionFirstMonthPosition+1,$FJ222&lt;SwaptionFirstMonthPosition+1,GT$169&gt;SwaptionFirstMonthPosition+SwaptionNumOfMonths+1,$FJ222&gt;SwaptionFirstMonthPosition+SwaptionNumOfMonths+1),"",IF($FJ222=GT$169,1,IF($FJ222&lt;GT$169,INDEX($FK$170:$ID$241,GT$169,$FJ222),SUMPRODUCT(INDEX($FK$325:$ID$396,GT$169,1+SwaptionShift):INDEX($FK$325:$ID$396,GT$169,SwaptionMonthsToGo+SwaptionShift),INDEX($FK$245:$ID$316,$FJ222-GT$169,73-GT$169+SwaptionShift):INDEX($FK$245:$ID$316,$FJ222-GT$169,72-GT$169+SwaptionMonthsToGo+SwaptionShift))/SQRT(SUM(INDEX($FK377:$ID377,1+SwaptionShift):INDEX($FK377:$ID377,SwaptionMonthsToGo+SwaptionShift))*SUM(INDEX($FK$325:$ID$396,GT$169,1+SwaptionShift):INDEX($FK$325:$ID$396,GT$169,SwaptionMonthsToGo+SwaptionShift))))))</f>
        <v/>
      </c>
      <c r="GU222" s="150" t="str">
        <f aca="false">IF(OR(GU$169&lt;SwaptionFirstMonthPosition+1,$FJ222&lt;SwaptionFirstMonthPosition+1,GU$169&gt;SwaptionFirstMonthPosition+SwaptionNumOfMonths+1,$FJ222&gt;SwaptionFirstMonthPosition+SwaptionNumOfMonths+1),"",IF($FJ222=GU$169,1,IF($FJ222&lt;GU$169,INDEX($FK$170:$ID$241,GU$169,$FJ222),SUMPRODUCT(INDEX($FK$325:$ID$396,GU$169,1+SwaptionShift):INDEX($FK$325:$ID$396,GU$169,SwaptionMonthsToGo+SwaptionShift),INDEX($FK$245:$ID$316,$FJ222-GU$169,73-GU$169+SwaptionShift):INDEX($FK$245:$ID$316,$FJ222-GU$169,72-GU$169+SwaptionMonthsToGo+SwaptionShift))/SQRT(SUM(INDEX($FK377:$ID377,1+SwaptionShift):INDEX($FK377:$ID377,SwaptionMonthsToGo+SwaptionShift))*SUM(INDEX($FK$325:$ID$396,GU$169,1+SwaptionShift):INDEX($FK$325:$ID$396,GU$169,SwaptionMonthsToGo+SwaptionShift))))))</f>
        <v/>
      </c>
      <c r="GV222" s="150" t="str">
        <f aca="false">IF(OR(GV$169&lt;SwaptionFirstMonthPosition+1,$FJ222&lt;SwaptionFirstMonthPosition+1,GV$169&gt;SwaptionFirstMonthPosition+SwaptionNumOfMonths+1,$FJ222&gt;SwaptionFirstMonthPosition+SwaptionNumOfMonths+1),"",IF($FJ222=GV$169,1,IF($FJ222&lt;GV$169,INDEX($FK$170:$ID$241,GV$169,$FJ222),SUMPRODUCT(INDEX($FK$325:$ID$396,GV$169,1+SwaptionShift):INDEX($FK$325:$ID$396,GV$169,SwaptionMonthsToGo+SwaptionShift),INDEX($FK$245:$ID$316,$FJ222-GV$169,73-GV$169+SwaptionShift):INDEX($FK$245:$ID$316,$FJ222-GV$169,72-GV$169+SwaptionMonthsToGo+SwaptionShift))/SQRT(SUM(INDEX($FK377:$ID377,1+SwaptionShift):INDEX($FK377:$ID377,SwaptionMonthsToGo+SwaptionShift))*SUM(INDEX($FK$325:$ID$396,GV$169,1+SwaptionShift):INDEX($FK$325:$ID$396,GV$169,SwaptionMonthsToGo+SwaptionShift))))))</f>
        <v/>
      </c>
      <c r="GW222" s="150" t="str">
        <f aca="false">IF(OR(GW$169&lt;SwaptionFirstMonthPosition+1,$FJ222&lt;SwaptionFirstMonthPosition+1,GW$169&gt;SwaptionFirstMonthPosition+SwaptionNumOfMonths+1,$FJ222&gt;SwaptionFirstMonthPosition+SwaptionNumOfMonths+1),"",IF($FJ222=GW$169,1,IF($FJ222&lt;GW$169,INDEX($FK$170:$ID$241,GW$169,$FJ222),SUMPRODUCT(INDEX($FK$325:$ID$396,GW$169,1+SwaptionShift):INDEX($FK$325:$ID$396,GW$169,SwaptionMonthsToGo+SwaptionShift),INDEX($FK$245:$ID$316,$FJ222-GW$169,73-GW$169+SwaptionShift):INDEX($FK$245:$ID$316,$FJ222-GW$169,72-GW$169+SwaptionMonthsToGo+SwaptionShift))/SQRT(SUM(INDEX($FK377:$ID377,1+SwaptionShift):INDEX($FK377:$ID377,SwaptionMonthsToGo+SwaptionShift))*SUM(INDEX($FK$325:$ID$396,GW$169,1+SwaptionShift):INDEX($FK$325:$ID$396,GW$169,SwaptionMonthsToGo+SwaptionShift))))))</f>
        <v/>
      </c>
      <c r="GX222" s="150" t="str">
        <f aca="false">IF(OR(GX$169&lt;SwaptionFirstMonthPosition+1,$FJ222&lt;SwaptionFirstMonthPosition+1,GX$169&gt;SwaptionFirstMonthPosition+SwaptionNumOfMonths+1,$FJ222&gt;SwaptionFirstMonthPosition+SwaptionNumOfMonths+1),"",IF($FJ222=GX$169,1,IF($FJ222&lt;GX$169,INDEX($FK$170:$ID$241,GX$169,$FJ222),SUMPRODUCT(INDEX($FK$325:$ID$396,GX$169,1+SwaptionShift):INDEX($FK$325:$ID$396,GX$169,SwaptionMonthsToGo+SwaptionShift),INDEX($FK$245:$ID$316,$FJ222-GX$169,73-GX$169+SwaptionShift):INDEX($FK$245:$ID$316,$FJ222-GX$169,72-GX$169+SwaptionMonthsToGo+SwaptionShift))/SQRT(SUM(INDEX($FK377:$ID377,1+SwaptionShift):INDEX($FK377:$ID377,SwaptionMonthsToGo+SwaptionShift))*SUM(INDEX($FK$325:$ID$396,GX$169,1+SwaptionShift):INDEX($FK$325:$ID$396,GX$169,SwaptionMonthsToGo+SwaptionShift))))))</f>
        <v/>
      </c>
      <c r="GY222" s="150" t="str">
        <f aca="false">IF(OR(GY$169&lt;SwaptionFirstMonthPosition+1,$FJ222&lt;SwaptionFirstMonthPosition+1,GY$169&gt;SwaptionFirstMonthPosition+SwaptionNumOfMonths+1,$FJ222&gt;SwaptionFirstMonthPosition+SwaptionNumOfMonths+1),"",IF($FJ222=GY$169,1,IF($FJ222&lt;GY$169,INDEX($FK$170:$ID$241,GY$169,$FJ222),SUMPRODUCT(INDEX($FK$325:$ID$396,GY$169,1+SwaptionShift):INDEX($FK$325:$ID$396,GY$169,SwaptionMonthsToGo+SwaptionShift),INDEX($FK$245:$ID$316,$FJ222-GY$169,73-GY$169+SwaptionShift):INDEX($FK$245:$ID$316,$FJ222-GY$169,72-GY$169+SwaptionMonthsToGo+SwaptionShift))/SQRT(SUM(INDEX($FK377:$ID377,1+SwaptionShift):INDEX($FK377:$ID377,SwaptionMonthsToGo+SwaptionShift))*SUM(INDEX($FK$325:$ID$396,GY$169,1+SwaptionShift):INDEX($FK$325:$ID$396,GY$169,SwaptionMonthsToGo+SwaptionShift))))))</f>
        <v/>
      </c>
      <c r="GZ222" s="150" t="str">
        <f aca="false">IF(OR(GZ$169&lt;SwaptionFirstMonthPosition+1,$FJ222&lt;SwaptionFirstMonthPosition+1,GZ$169&gt;SwaptionFirstMonthPosition+SwaptionNumOfMonths+1,$FJ222&gt;SwaptionFirstMonthPosition+SwaptionNumOfMonths+1),"",IF($FJ222=GZ$169,1,IF($FJ222&lt;GZ$169,INDEX($FK$170:$ID$241,GZ$169,$FJ222),SUMPRODUCT(INDEX($FK$325:$ID$396,GZ$169,1+SwaptionShift):INDEX($FK$325:$ID$396,GZ$169,SwaptionMonthsToGo+SwaptionShift),INDEX($FK$245:$ID$316,$FJ222-GZ$169,73-GZ$169+SwaptionShift):INDEX($FK$245:$ID$316,$FJ222-GZ$169,72-GZ$169+SwaptionMonthsToGo+SwaptionShift))/SQRT(SUM(INDEX($FK377:$ID377,1+SwaptionShift):INDEX($FK377:$ID377,SwaptionMonthsToGo+SwaptionShift))*SUM(INDEX($FK$325:$ID$396,GZ$169,1+SwaptionShift):INDEX($FK$325:$ID$396,GZ$169,SwaptionMonthsToGo+SwaptionShift))))))</f>
        <v/>
      </c>
      <c r="HA222" s="150" t="str">
        <f aca="false">IF(OR(HA$169&lt;SwaptionFirstMonthPosition+1,$FJ222&lt;SwaptionFirstMonthPosition+1,HA$169&gt;SwaptionFirstMonthPosition+SwaptionNumOfMonths+1,$FJ222&gt;SwaptionFirstMonthPosition+SwaptionNumOfMonths+1),"",IF($FJ222=HA$169,1,IF($FJ222&lt;HA$169,INDEX($FK$170:$ID$241,HA$169,$FJ222),SUMPRODUCT(INDEX($FK$325:$ID$396,HA$169,1+SwaptionShift):INDEX($FK$325:$ID$396,HA$169,SwaptionMonthsToGo+SwaptionShift),INDEX($FK$245:$ID$316,$FJ222-HA$169,73-HA$169+SwaptionShift):INDEX($FK$245:$ID$316,$FJ222-HA$169,72-HA$169+SwaptionMonthsToGo+SwaptionShift))/SQRT(SUM(INDEX($FK377:$ID377,1+SwaptionShift):INDEX($FK377:$ID377,SwaptionMonthsToGo+SwaptionShift))*SUM(INDEX($FK$325:$ID$396,HA$169,1+SwaptionShift):INDEX($FK$325:$ID$396,HA$169,SwaptionMonthsToGo+SwaptionShift))))))</f>
        <v/>
      </c>
      <c r="HB222" s="150" t="str">
        <f aca="false">IF(OR(HB$169&lt;SwaptionFirstMonthPosition+1,$FJ222&lt;SwaptionFirstMonthPosition+1,HB$169&gt;SwaptionFirstMonthPosition+SwaptionNumOfMonths+1,$FJ222&gt;SwaptionFirstMonthPosition+SwaptionNumOfMonths+1),"",IF($FJ222=HB$169,1,IF($FJ222&lt;HB$169,INDEX($FK$170:$ID$241,HB$169,$FJ222),SUMPRODUCT(INDEX($FK$325:$ID$396,HB$169,1+SwaptionShift):INDEX($FK$325:$ID$396,HB$169,SwaptionMonthsToGo+SwaptionShift),INDEX($FK$245:$ID$316,$FJ222-HB$169,73-HB$169+SwaptionShift):INDEX($FK$245:$ID$316,$FJ222-HB$169,72-HB$169+SwaptionMonthsToGo+SwaptionShift))/SQRT(SUM(INDEX($FK377:$ID377,1+SwaptionShift):INDEX($FK377:$ID377,SwaptionMonthsToGo+SwaptionShift))*SUM(INDEX($FK$325:$ID$396,HB$169,1+SwaptionShift):INDEX($FK$325:$ID$396,HB$169,SwaptionMonthsToGo+SwaptionShift))))))</f>
        <v/>
      </c>
      <c r="HC222" s="150" t="str">
        <f aca="false">IF(OR(HC$169&lt;SwaptionFirstMonthPosition+1,$FJ222&lt;SwaptionFirstMonthPosition+1,HC$169&gt;SwaptionFirstMonthPosition+SwaptionNumOfMonths+1,$FJ222&gt;SwaptionFirstMonthPosition+SwaptionNumOfMonths+1),"",IF($FJ222=HC$169,1,IF($FJ222&lt;HC$169,INDEX($FK$170:$ID$241,HC$169,$FJ222),SUMPRODUCT(INDEX($FK$325:$ID$396,HC$169,1+SwaptionShift):INDEX($FK$325:$ID$396,HC$169,SwaptionMonthsToGo+SwaptionShift),INDEX($FK$245:$ID$316,$FJ222-HC$169,73-HC$169+SwaptionShift):INDEX($FK$245:$ID$316,$FJ222-HC$169,72-HC$169+SwaptionMonthsToGo+SwaptionShift))/SQRT(SUM(INDEX($FK377:$ID377,1+SwaptionShift):INDEX($FK377:$ID377,SwaptionMonthsToGo+SwaptionShift))*SUM(INDEX($FK$325:$ID$396,HC$169,1+SwaptionShift):INDEX($FK$325:$ID$396,HC$169,SwaptionMonthsToGo+SwaptionShift))))))</f>
        <v/>
      </c>
      <c r="HD222" s="150" t="str">
        <f aca="false">IF(OR(HD$169&lt;SwaptionFirstMonthPosition+1,$FJ222&lt;SwaptionFirstMonthPosition+1,HD$169&gt;SwaptionFirstMonthPosition+SwaptionNumOfMonths+1,$FJ222&gt;SwaptionFirstMonthPosition+SwaptionNumOfMonths+1),"",IF($FJ222=HD$169,1,IF($FJ222&lt;HD$169,INDEX($FK$170:$ID$241,HD$169,$FJ222),SUMPRODUCT(INDEX($FK$325:$ID$396,HD$169,1+SwaptionShift):INDEX($FK$325:$ID$396,HD$169,SwaptionMonthsToGo+SwaptionShift),INDEX($FK$245:$ID$316,$FJ222-HD$169,73-HD$169+SwaptionShift):INDEX($FK$245:$ID$316,$FJ222-HD$169,72-HD$169+SwaptionMonthsToGo+SwaptionShift))/SQRT(SUM(INDEX($FK377:$ID377,1+SwaptionShift):INDEX($FK377:$ID377,SwaptionMonthsToGo+SwaptionShift))*SUM(INDEX($FK$325:$ID$396,HD$169,1+SwaptionShift):INDEX($FK$325:$ID$396,HD$169,SwaptionMonthsToGo+SwaptionShift))))))</f>
        <v/>
      </c>
      <c r="HE222" s="150" t="str">
        <f aca="false">IF(OR(HE$169&lt;SwaptionFirstMonthPosition+1,$FJ222&lt;SwaptionFirstMonthPosition+1,HE$169&gt;SwaptionFirstMonthPosition+SwaptionNumOfMonths+1,$FJ222&gt;SwaptionFirstMonthPosition+SwaptionNumOfMonths+1),"",IF($FJ222=HE$169,1,IF($FJ222&lt;HE$169,INDEX($FK$170:$ID$241,HE$169,$FJ222),SUMPRODUCT(INDEX($FK$325:$ID$396,HE$169,1+SwaptionShift):INDEX($FK$325:$ID$396,HE$169,SwaptionMonthsToGo+SwaptionShift),INDEX($FK$245:$ID$316,$FJ222-HE$169,73-HE$169+SwaptionShift):INDEX($FK$245:$ID$316,$FJ222-HE$169,72-HE$169+SwaptionMonthsToGo+SwaptionShift))/SQRT(SUM(INDEX($FK377:$ID377,1+SwaptionShift):INDEX($FK377:$ID377,SwaptionMonthsToGo+SwaptionShift))*SUM(INDEX($FK$325:$ID$396,HE$169,1+SwaptionShift):INDEX($FK$325:$ID$396,HE$169,SwaptionMonthsToGo+SwaptionShift))))))</f>
        <v/>
      </c>
      <c r="HF222" s="150" t="str">
        <f aca="false">IF(OR(HF$169&lt;SwaptionFirstMonthPosition+1,$FJ222&lt;SwaptionFirstMonthPosition+1,HF$169&gt;SwaptionFirstMonthPosition+SwaptionNumOfMonths+1,$FJ222&gt;SwaptionFirstMonthPosition+SwaptionNumOfMonths+1),"",IF($FJ222=HF$169,1,IF($FJ222&lt;HF$169,INDEX($FK$170:$ID$241,HF$169,$FJ222),SUMPRODUCT(INDEX($FK$325:$ID$396,HF$169,1+SwaptionShift):INDEX($FK$325:$ID$396,HF$169,SwaptionMonthsToGo+SwaptionShift),INDEX($FK$245:$ID$316,$FJ222-HF$169,73-HF$169+SwaptionShift):INDEX($FK$245:$ID$316,$FJ222-HF$169,72-HF$169+SwaptionMonthsToGo+SwaptionShift))/SQRT(SUM(INDEX($FK377:$ID377,1+SwaptionShift):INDEX($FK377:$ID377,SwaptionMonthsToGo+SwaptionShift))*SUM(INDEX($FK$325:$ID$396,HF$169,1+SwaptionShift):INDEX($FK$325:$ID$396,HF$169,SwaptionMonthsToGo+SwaptionShift))))))</f>
        <v/>
      </c>
      <c r="HG222" s="150" t="str">
        <f aca="false">IF(OR(HG$169&lt;SwaptionFirstMonthPosition+1,$FJ222&lt;SwaptionFirstMonthPosition+1,HG$169&gt;SwaptionFirstMonthPosition+SwaptionNumOfMonths+1,$FJ222&gt;SwaptionFirstMonthPosition+SwaptionNumOfMonths+1),"",IF($FJ222=HG$169,1,IF($FJ222&lt;HG$169,INDEX($FK$170:$ID$241,HG$169,$FJ222),SUMPRODUCT(INDEX($FK$325:$ID$396,HG$169,1+SwaptionShift):INDEX($FK$325:$ID$396,HG$169,SwaptionMonthsToGo+SwaptionShift),INDEX($FK$245:$ID$316,$FJ222-HG$169,73-HG$169+SwaptionShift):INDEX($FK$245:$ID$316,$FJ222-HG$169,72-HG$169+SwaptionMonthsToGo+SwaptionShift))/SQRT(SUM(INDEX($FK377:$ID377,1+SwaptionShift):INDEX($FK377:$ID377,SwaptionMonthsToGo+SwaptionShift))*SUM(INDEX($FK$325:$ID$396,HG$169,1+SwaptionShift):INDEX($FK$325:$ID$396,HG$169,SwaptionMonthsToGo+SwaptionShift))))))</f>
        <v/>
      </c>
      <c r="HH222" s="150" t="str">
        <f aca="false">IF(OR(HH$169&lt;SwaptionFirstMonthPosition+1,$FJ222&lt;SwaptionFirstMonthPosition+1,HH$169&gt;SwaptionFirstMonthPosition+SwaptionNumOfMonths+1,$FJ222&gt;SwaptionFirstMonthPosition+SwaptionNumOfMonths+1),"",IF($FJ222=HH$169,1,IF($FJ222&lt;HH$169,INDEX($FK$170:$ID$241,HH$169,$FJ222),SUMPRODUCT(INDEX($FK$325:$ID$396,HH$169,1+SwaptionShift):INDEX($FK$325:$ID$396,HH$169,SwaptionMonthsToGo+SwaptionShift),INDEX($FK$245:$ID$316,$FJ222-HH$169,73-HH$169+SwaptionShift):INDEX($FK$245:$ID$316,$FJ222-HH$169,72-HH$169+SwaptionMonthsToGo+SwaptionShift))/SQRT(SUM(INDEX($FK377:$ID377,1+SwaptionShift):INDEX($FK377:$ID377,SwaptionMonthsToGo+SwaptionShift))*SUM(INDEX($FK$325:$ID$396,HH$169,1+SwaptionShift):INDEX($FK$325:$ID$396,HH$169,SwaptionMonthsToGo+SwaptionShift))))))</f>
        <v/>
      </c>
      <c r="HI222" s="150" t="str">
        <f aca="false">IF(OR(HI$169&lt;SwaptionFirstMonthPosition+1,$FJ222&lt;SwaptionFirstMonthPosition+1,HI$169&gt;SwaptionFirstMonthPosition+SwaptionNumOfMonths+1,$FJ222&gt;SwaptionFirstMonthPosition+SwaptionNumOfMonths+1),"",IF($FJ222=HI$169,1,IF($FJ222&lt;HI$169,INDEX($FK$170:$ID$241,HI$169,$FJ222),SUMPRODUCT(INDEX($FK$325:$ID$396,HI$169,1+SwaptionShift):INDEX($FK$325:$ID$396,HI$169,SwaptionMonthsToGo+SwaptionShift),INDEX($FK$245:$ID$316,$FJ222-HI$169,73-HI$169+SwaptionShift):INDEX($FK$245:$ID$316,$FJ222-HI$169,72-HI$169+SwaptionMonthsToGo+SwaptionShift))/SQRT(SUM(INDEX($FK377:$ID377,1+SwaptionShift):INDEX($FK377:$ID377,SwaptionMonthsToGo+SwaptionShift))*SUM(INDEX($FK$325:$ID$396,HI$169,1+SwaptionShift):INDEX($FK$325:$ID$396,HI$169,SwaptionMonthsToGo+SwaptionShift))))))</f>
        <v/>
      </c>
      <c r="HJ222" s="150" t="str">
        <f aca="false">IF(OR(HJ$169&lt;SwaptionFirstMonthPosition+1,$FJ222&lt;SwaptionFirstMonthPosition+1,HJ$169&gt;SwaptionFirstMonthPosition+SwaptionNumOfMonths+1,$FJ222&gt;SwaptionFirstMonthPosition+SwaptionNumOfMonths+1),"",IF($FJ222=HJ$169,1,IF($FJ222&lt;HJ$169,INDEX($FK$170:$ID$241,HJ$169,$FJ222),SUMPRODUCT(INDEX($FK$325:$ID$396,HJ$169,1+SwaptionShift):INDEX($FK$325:$ID$396,HJ$169,SwaptionMonthsToGo+SwaptionShift),INDEX($FK$245:$ID$316,$FJ222-HJ$169,73-HJ$169+SwaptionShift):INDEX($FK$245:$ID$316,$FJ222-HJ$169,72-HJ$169+SwaptionMonthsToGo+SwaptionShift))/SQRT(SUM(INDEX($FK377:$ID377,1+SwaptionShift):INDEX($FK377:$ID377,SwaptionMonthsToGo+SwaptionShift))*SUM(INDEX($FK$325:$ID$396,HJ$169,1+SwaptionShift):INDEX($FK$325:$ID$396,HJ$169,SwaptionMonthsToGo+SwaptionShift))))))</f>
        <v/>
      </c>
      <c r="HK222" s="150" t="str">
        <f aca="false">IF(OR(HK$169&lt;SwaptionFirstMonthPosition+1,$FJ222&lt;SwaptionFirstMonthPosition+1,HK$169&gt;SwaptionFirstMonthPosition+SwaptionNumOfMonths+1,$FJ222&gt;SwaptionFirstMonthPosition+SwaptionNumOfMonths+1),"",IF($FJ222=HK$169,1,IF($FJ222&lt;HK$169,INDEX($FK$170:$ID$241,HK$169,$FJ222),SUMPRODUCT(INDEX($FK$325:$ID$396,HK$169,1+SwaptionShift):INDEX($FK$325:$ID$396,HK$169,SwaptionMonthsToGo+SwaptionShift),INDEX($FK$245:$ID$316,$FJ222-HK$169,73-HK$169+SwaptionShift):INDEX($FK$245:$ID$316,$FJ222-HK$169,72-HK$169+SwaptionMonthsToGo+SwaptionShift))/SQRT(SUM(INDEX($FK377:$ID377,1+SwaptionShift):INDEX($FK377:$ID377,SwaptionMonthsToGo+SwaptionShift))*SUM(INDEX($FK$325:$ID$396,HK$169,1+SwaptionShift):INDEX($FK$325:$ID$396,HK$169,SwaptionMonthsToGo+SwaptionShift))))))</f>
        <v/>
      </c>
      <c r="HL222" s="150" t="str">
        <f aca="false">IF(OR(HL$169&lt;SwaptionFirstMonthPosition+1,$FJ222&lt;SwaptionFirstMonthPosition+1,HL$169&gt;SwaptionFirstMonthPosition+SwaptionNumOfMonths+1,$FJ222&gt;SwaptionFirstMonthPosition+SwaptionNumOfMonths+1),"",IF($FJ222=HL$169,1,IF($FJ222&lt;HL$169,INDEX($FK$170:$ID$241,HL$169,$FJ222),SUMPRODUCT(INDEX($FK$325:$ID$396,HL$169,1+SwaptionShift):INDEX($FK$325:$ID$396,HL$169,SwaptionMonthsToGo+SwaptionShift),INDEX($FK$245:$ID$316,$FJ222-HL$169,73-HL$169+SwaptionShift):INDEX($FK$245:$ID$316,$FJ222-HL$169,72-HL$169+SwaptionMonthsToGo+SwaptionShift))/SQRT(SUM(INDEX($FK377:$ID377,1+SwaptionShift):INDEX($FK377:$ID377,SwaptionMonthsToGo+SwaptionShift))*SUM(INDEX($FK$325:$ID$396,HL$169,1+SwaptionShift):INDEX($FK$325:$ID$396,HL$169,SwaptionMonthsToGo+SwaptionShift))))))</f>
        <v/>
      </c>
      <c r="HM222" s="150" t="str">
        <f aca="false">IF(OR(HM$169&lt;SwaptionFirstMonthPosition+1,$FJ222&lt;SwaptionFirstMonthPosition+1,HM$169&gt;SwaptionFirstMonthPosition+SwaptionNumOfMonths+1,$FJ222&gt;SwaptionFirstMonthPosition+SwaptionNumOfMonths+1),"",IF($FJ222=HM$169,1,IF($FJ222&lt;HM$169,INDEX($FK$170:$ID$241,HM$169,$FJ222),SUMPRODUCT(INDEX($FK$325:$ID$396,HM$169,1+SwaptionShift):INDEX($FK$325:$ID$396,HM$169,SwaptionMonthsToGo+SwaptionShift),INDEX($FK$245:$ID$316,$FJ222-HM$169,73-HM$169+SwaptionShift):INDEX($FK$245:$ID$316,$FJ222-HM$169,72-HM$169+SwaptionMonthsToGo+SwaptionShift))/SQRT(SUM(INDEX($FK377:$ID377,1+SwaptionShift):INDEX($FK377:$ID377,SwaptionMonthsToGo+SwaptionShift))*SUM(INDEX($FK$325:$ID$396,HM$169,1+SwaptionShift):INDEX($FK$325:$ID$396,HM$169,SwaptionMonthsToGo+SwaptionShift))))))</f>
        <v/>
      </c>
      <c r="HN222" s="150" t="str">
        <f aca="false">IF(OR(HN$169&lt;SwaptionFirstMonthPosition+1,$FJ222&lt;SwaptionFirstMonthPosition+1,HN$169&gt;SwaptionFirstMonthPosition+SwaptionNumOfMonths+1,$FJ222&gt;SwaptionFirstMonthPosition+SwaptionNumOfMonths+1),"",IF($FJ222=HN$169,1,IF($FJ222&lt;HN$169,INDEX($FK$170:$ID$241,HN$169,$FJ222),SUMPRODUCT(INDEX($FK$325:$ID$396,HN$169,1+SwaptionShift):INDEX($FK$325:$ID$396,HN$169,SwaptionMonthsToGo+SwaptionShift),INDEX($FK$245:$ID$316,$FJ222-HN$169,73-HN$169+SwaptionShift):INDEX($FK$245:$ID$316,$FJ222-HN$169,72-HN$169+SwaptionMonthsToGo+SwaptionShift))/SQRT(SUM(INDEX($FK377:$ID377,1+SwaptionShift):INDEX($FK377:$ID377,SwaptionMonthsToGo+SwaptionShift))*SUM(INDEX($FK$325:$ID$396,HN$169,1+SwaptionShift):INDEX($FK$325:$ID$396,HN$169,SwaptionMonthsToGo+SwaptionShift))))))</f>
        <v/>
      </c>
      <c r="HO222" s="150" t="str">
        <f aca="false">IF(OR(HO$169&lt;SwaptionFirstMonthPosition+1,$FJ222&lt;SwaptionFirstMonthPosition+1,HO$169&gt;SwaptionFirstMonthPosition+SwaptionNumOfMonths+1,$FJ222&gt;SwaptionFirstMonthPosition+SwaptionNumOfMonths+1),"",IF($FJ222=HO$169,1,IF($FJ222&lt;HO$169,INDEX($FK$170:$ID$241,HO$169,$FJ222),SUMPRODUCT(INDEX($FK$325:$ID$396,HO$169,1+SwaptionShift):INDEX($FK$325:$ID$396,HO$169,SwaptionMonthsToGo+SwaptionShift),INDEX($FK$245:$ID$316,$FJ222-HO$169,73-HO$169+SwaptionShift):INDEX($FK$245:$ID$316,$FJ222-HO$169,72-HO$169+SwaptionMonthsToGo+SwaptionShift))/SQRT(SUM(INDEX($FK377:$ID377,1+SwaptionShift):INDEX($FK377:$ID377,SwaptionMonthsToGo+SwaptionShift))*SUM(INDEX($FK$325:$ID$396,HO$169,1+SwaptionShift):INDEX($FK$325:$ID$396,HO$169,SwaptionMonthsToGo+SwaptionShift))))))</f>
        <v/>
      </c>
      <c r="HP222" s="150" t="str">
        <f aca="false">IF(OR(HP$169&lt;SwaptionFirstMonthPosition+1,$FJ222&lt;SwaptionFirstMonthPosition+1,HP$169&gt;SwaptionFirstMonthPosition+SwaptionNumOfMonths+1,$FJ222&gt;SwaptionFirstMonthPosition+SwaptionNumOfMonths+1),"",IF($FJ222=HP$169,1,IF($FJ222&lt;HP$169,INDEX($FK$170:$ID$241,HP$169,$FJ222),SUMPRODUCT(INDEX($FK$325:$ID$396,HP$169,1+SwaptionShift):INDEX($FK$325:$ID$396,HP$169,SwaptionMonthsToGo+SwaptionShift),INDEX($FK$245:$ID$316,$FJ222-HP$169,73-HP$169+SwaptionShift):INDEX($FK$245:$ID$316,$FJ222-HP$169,72-HP$169+SwaptionMonthsToGo+SwaptionShift))/SQRT(SUM(INDEX($FK377:$ID377,1+SwaptionShift):INDEX($FK377:$ID377,SwaptionMonthsToGo+SwaptionShift))*SUM(INDEX($FK$325:$ID$396,HP$169,1+SwaptionShift):INDEX($FK$325:$ID$396,HP$169,SwaptionMonthsToGo+SwaptionShift))))))</f>
        <v/>
      </c>
      <c r="HQ222" s="150" t="str">
        <f aca="false">IF(OR(HQ$169&lt;SwaptionFirstMonthPosition+1,$FJ222&lt;SwaptionFirstMonthPosition+1,HQ$169&gt;SwaptionFirstMonthPosition+SwaptionNumOfMonths+1,$FJ222&gt;SwaptionFirstMonthPosition+SwaptionNumOfMonths+1),"",IF($FJ222=HQ$169,1,IF($FJ222&lt;HQ$169,INDEX($FK$170:$ID$241,HQ$169,$FJ222),SUMPRODUCT(INDEX($FK$325:$ID$396,HQ$169,1+SwaptionShift):INDEX($FK$325:$ID$396,HQ$169,SwaptionMonthsToGo+SwaptionShift),INDEX($FK$245:$ID$316,$FJ222-HQ$169,73-HQ$169+SwaptionShift):INDEX($FK$245:$ID$316,$FJ222-HQ$169,72-HQ$169+SwaptionMonthsToGo+SwaptionShift))/SQRT(SUM(INDEX($FK377:$ID377,1+SwaptionShift):INDEX($FK377:$ID377,SwaptionMonthsToGo+SwaptionShift))*SUM(INDEX($FK$325:$ID$396,HQ$169,1+SwaptionShift):INDEX($FK$325:$ID$396,HQ$169,SwaptionMonthsToGo+SwaptionShift))))))</f>
        <v/>
      </c>
      <c r="HR222" s="150" t="str">
        <f aca="false">IF(OR(HR$169&lt;SwaptionFirstMonthPosition+1,$FJ222&lt;SwaptionFirstMonthPosition+1,HR$169&gt;SwaptionFirstMonthPosition+SwaptionNumOfMonths+1,$FJ222&gt;SwaptionFirstMonthPosition+SwaptionNumOfMonths+1),"",IF($FJ222=HR$169,1,IF($FJ222&lt;HR$169,INDEX($FK$170:$ID$241,HR$169,$FJ222),SUMPRODUCT(INDEX($FK$325:$ID$396,HR$169,1+SwaptionShift):INDEX($FK$325:$ID$396,HR$169,SwaptionMonthsToGo+SwaptionShift),INDEX($FK$245:$ID$316,$FJ222-HR$169,73-HR$169+SwaptionShift):INDEX($FK$245:$ID$316,$FJ222-HR$169,72-HR$169+SwaptionMonthsToGo+SwaptionShift))/SQRT(SUM(INDEX($FK377:$ID377,1+SwaptionShift):INDEX($FK377:$ID377,SwaptionMonthsToGo+SwaptionShift))*SUM(INDEX($FK$325:$ID$396,HR$169,1+SwaptionShift):INDEX($FK$325:$ID$396,HR$169,SwaptionMonthsToGo+SwaptionShift))))))</f>
        <v/>
      </c>
      <c r="HS222" s="150" t="str">
        <f aca="false">IF(OR(HS$169&lt;SwaptionFirstMonthPosition+1,$FJ222&lt;SwaptionFirstMonthPosition+1,HS$169&gt;SwaptionFirstMonthPosition+SwaptionNumOfMonths+1,$FJ222&gt;SwaptionFirstMonthPosition+SwaptionNumOfMonths+1),"",IF($FJ222=HS$169,1,IF($FJ222&lt;HS$169,INDEX($FK$170:$ID$241,HS$169,$FJ222),SUMPRODUCT(INDEX($FK$325:$ID$396,HS$169,1+SwaptionShift):INDEX($FK$325:$ID$396,HS$169,SwaptionMonthsToGo+SwaptionShift),INDEX($FK$245:$ID$316,$FJ222-HS$169,73-HS$169+SwaptionShift):INDEX($FK$245:$ID$316,$FJ222-HS$169,72-HS$169+SwaptionMonthsToGo+SwaptionShift))/SQRT(SUM(INDEX($FK377:$ID377,1+SwaptionShift):INDEX($FK377:$ID377,SwaptionMonthsToGo+SwaptionShift))*SUM(INDEX($FK$325:$ID$396,HS$169,1+SwaptionShift):INDEX($FK$325:$ID$396,HS$169,SwaptionMonthsToGo+SwaptionShift))))))</f>
        <v/>
      </c>
      <c r="HT222" s="150" t="str">
        <f aca="false">IF(OR(HT$169&lt;SwaptionFirstMonthPosition+1,$FJ222&lt;SwaptionFirstMonthPosition+1,HT$169&gt;SwaptionFirstMonthPosition+SwaptionNumOfMonths+1,$FJ222&gt;SwaptionFirstMonthPosition+SwaptionNumOfMonths+1),"",IF($FJ222=HT$169,1,IF($FJ222&lt;HT$169,INDEX($FK$170:$ID$241,HT$169,$FJ222),SUMPRODUCT(INDEX($FK$325:$ID$396,HT$169,1+SwaptionShift):INDEX($FK$325:$ID$396,HT$169,SwaptionMonthsToGo+SwaptionShift),INDEX($FK$245:$ID$316,$FJ222-HT$169,73-HT$169+SwaptionShift):INDEX($FK$245:$ID$316,$FJ222-HT$169,72-HT$169+SwaptionMonthsToGo+SwaptionShift))/SQRT(SUM(INDEX($FK377:$ID377,1+SwaptionShift):INDEX($FK377:$ID377,SwaptionMonthsToGo+SwaptionShift))*SUM(INDEX($FK$325:$ID$396,HT$169,1+SwaptionShift):INDEX($FK$325:$ID$396,HT$169,SwaptionMonthsToGo+SwaptionShift))))))</f>
        <v/>
      </c>
      <c r="HU222" s="150" t="str">
        <f aca="false">IF(OR(HU$169&lt;SwaptionFirstMonthPosition+1,$FJ222&lt;SwaptionFirstMonthPosition+1,HU$169&gt;SwaptionFirstMonthPosition+SwaptionNumOfMonths+1,$FJ222&gt;SwaptionFirstMonthPosition+SwaptionNumOfMonths+1),"",IF($FJ222=HU$169,1,IF($FJ222&lt;HU$169,INDEX($FK$170:$ID$241,HU$169,$FJ222),SUMPRODUCT(INDEX($FK$325:$ID$396,HU$169,1+SwaptionShift):INDEX($FK$325:$ID$396,HU$169,SwaptionMonthsToGo+SwaptionShift),INDEX($FK$245:$ID$316,$FJ222-HU$169,73-HU$169+SwaptionShift):INDEX($FK$245:$ID$316,$FJ222-HU$169,72-HU$169+SwaptionMonthsToGo+SwaptionShift))/SQRT(SUM(INDEX($FK377:$ID377,1+SwaptionShift):INDEX($FK377:$ID377,SwaptionMonthsToGo+SwaptionShift))*SUM(INDEX($FK$325:$ID$396,HU$169,1+SwaptionShift):INDEX($FK$325:$ID$396,HU$169,SwaptionMonthsToGo+SwaptionShift))))))</f>
        <v/>
      </c>
      <c r="HV222" s="150" t="str">
        <f aca="false">IF(OR(HV$169&lt;SwaptionFirstMonthPosition+1,$FJ222&lt;SwaptionFirstMonthPosition+1,HV$169&gt;SwaptionFirstMonthPosition+SwaptionNumOfMonths+1,$FJ222&gt;SwaptionFirstMonthPosition+SwaptionNumOfMonths+1),"",IF($FJ222=HV$169,1,IF($FJ222&lt;HV$169,INDEX($FK$170:$ID$241,HV$169,$FJ222),SUMPRODUCT(INDEX($FK$325:$ID$396,HV$169,1+SwaptionShift):INDEX($FK$325:$ID$396,HV$169,SwaptionMonthsToGo+SwaptionShift),INDEX($FK$245:$ID$316,$FJ222-HV$169,73-HV$169+SwaptionShift):INDEX($FK$245:$ID$316,$FJ222-HV$169,72-HV$169+SwaptionMonthsToGo+SwaptionShift))/SQRT(SUM(INDEX($FK377:$ID377,1+SwaptionShift):INDEX($FK377:$ID377,SwaptionMonthsToGo+SwaptionShift))*SUM(INDEX($FK$325:$ID$396,HV$169,1+SwaptionShift):INDEX($FK$325:$ID$396,HV$169,SwaptionMonthsToGo+SwaptionShift))))))</f>
        <v/>
      </c>
      <c r="HW222" s="150" t="str">
        <f aca="false">IF(OR(HW$169&lt;SwaptionFirstMonthPosition+1,$FJ222&lt;SwaptionFirstMonthPosition+1,HW$169&gt;SwaptionFirstMonthPosition+SwaptionNumOfMonths+1,$FJ222&gt;SwaptionFirstMonthPosition+SwaptionNumOfMonths+1),"",IF($FJ222=HW$169,1,IF($FJ222&lt;HW$169,INDEX($FK$170:$ID$241,HW$169,$FJ222),SUMPRODUCT(INDEX($FK$325:$ID$396,HW$169,1+SwaptionShift):INDEX($FK$325:$ID$396,HW$169,SwaptionMonthsToGo+SwaptionShift),INDEX($FK$245:$ID$316,$FJ222-HW$169,73-HW$169+SwaptionShift):INDEX($FK$245:$ID$316,$FJ222-HW$169,72-HW$169+SwaptionMonthsToGo+SwaptionShift))/SQRT(SUM(INDEX($FK377:$ID377,1+SwaptionShift):INDEX($FK377:$ID377,SwaptionMonthsToGo+SwaptionShift))*SUM(INDEX($FK$325:$ID$396,HW$169,1+SwaptionShift):INDEX($FK$325:$ID$396,HW$169,SwaptionMonthsToGo+SwaptionShift))))))</f>
        <v/>
      </c>
      <c r="HX222" s="150" t="str">
        <f aca="false">IF(OR(HX$169&lt;SwaptionFirstMonthPosition+1,$FJ222&lt;SwaptionFirstMonthPosition+1,HX$169&gt;SwaptionFirstMonthPosition+SwaptionNumOfMonths+1,$FJ222&gt;SwaptionFirstMonthPosition+SwaptionNumOfMonths+1),"",IF($FJ222=HX$169,1,IF($FJ222&lt;HX$169,INDEX($FK$170:$ID$241,HX$169,$FJ222),SUMPRODUCT(INDEX($FK$325:$ID$396,HX$169,1+SwaptionShift):INDEX($FK$325:$ID$396,HX$169,SwaptionMonthsToGo+SwaptionShift),INDEX($FK$245:$ID$316,$FJ222-HX$169,73-HX$169+SwaptionShift):INDEX($FK$245:$ID$316,$FJ222-HX$169,72-HX$169+SwaptionMonthsToGo+SwaptionShift))/SQRT(SUM(INDEX($FK377:$ID377,1+SwaptionShift):INDEX($FK377:$ID377,SwaptionMonthsToGo+SwaptionShift))*SUM(INDEX($FK$325:$ID$396,HX$169,1+SwaptionShift):INDEX($FK$325:$ID$396,HX$169,SwaptionMonthsToGo+SwaptionShift))))))</f>
        <v/>
      </c>
      <c r="HY222" s="150" t="str">
        <f aca="false">IF(OR(HY$169&lt;SwaptionFirstMonthPosition+1,$FJ222&lt;SwaptionFirstMonthPosition+1,HY$169&gt;SwaptionFirstMonthPosition+SwaptionNumOfMonths+1,$FJ222&gt;SwaptionFirstMonthPosition+SwaptionNumOfMonths+1),"",IF($FJ222=HY$169,1,IF($FJ222&lt;HY$169,INDEX($FK$170:$ID$241,HY$169,$FJ222),SUMPRODUCT(INDEX($FK$325:$ID$396,HY$169,1+SwaptionShift):INDEX($FK$325:$ID$396,HY$169,SwaptionMonthsToGo+SwaptionShift),INDEX($FK$245:$ID$316,$FJ222-HY$169,73-HY$169+SwaptionShift):INDEX($FK$245:$ID$316,$FJ222-HY$169,72-HY$169+SwaptionMonthsToGo+SwaptionShift))/SQRT(SUM(INDEX($FK377:$ID377,1+SwaptionShift):INDEX($FK377:$ID377,SwaptionMonthsToGo+SwaptionShift))*SUM(INDEX($FK$325:$ID$396,HY$169,1+SwaptionShift):INDEX($FK$325:$ID$396,HY$169,SwaptionMonthsToGo+SwaptionShift))))))</f>
        <v/>
      </c>
      <c r="HZ222" s="150" t="str">
        <f aca="false">IF(OR(HZ$169&lt;SwaptionFirstMonthPosition+1,$FJ222&lt;SwaptionFirstMonthPosition+1,HZ$169&gt;SwaptionFirstMonthPosition+SwaptionNumOfMonths+1,$FJ222&gt;SwaptionFirstMonthPosition+SwaptionNumOfMonths+1),"",IF($FJ222=HZ$169,1,IF($FJ222&lt;HZ$169,INDEX($FK$170:$ID$241,HZ$169,$FJ222),SUMPRODUCT(INDEX($FK$325:$ID$396,HZ$169,1+SwaptionShift):INDEX($FK$325:$ID$396,HZ$169,SwaptionMonthsToGo+SwaptionShift),INDEX($FK$245:$ID$316,$FJ222-HZ$169,73-HZ$169+SwaptionShift):INDEX($FK$245:$ID$316,$FJ222-HZ$169,72-HZ$169+SwaptionMonthsToGo+SwaptionShift))/SQRT(SUM(INDEX($FK377:$ID377,1+SwaptionShift):INDEX($FK377:$ID377,SwaptionMonthsToGo+SwaptionShift))*SUM(INDEX($FK$325:$ID$396,HZ$169,1+SwaptionShift):INDEX($FK$325:$ID$396,HZ$169,SwaptionMonthsToGo+SwaptionShift))))))</f>
        <v/>
      </c>
      <c r="IA222" s="150" t="str">
        <f aca="false">IF(OR(IA$169&lt;SwaptionFirstMonthPosition+1,$FJ222&lt;SwaptionFirstMonthPosition+1,IA$169&gt;SwaptionFirstMonthPosition+SwaptionNumOfMonths+1,$FJ222&gt;SwaptionFirstMonthPosition+SwaptionNumOfMonths+1),"",IF($FJ222=IA$169,1,IF($FJ222&lt;IA$169,INDEX($FK$170:$ID$241,IA$169,$FJ222),SUMPRODUCT(INDEX($FK$325:$ID$396,IA$169,1+SwaptionShift):INDEX($FK$325:$ID$396,IA$169,SwaptionMonthsToGo+SwaptionShift),INDEX($FK$245:$ID$316,$FJ222-IA$169,73-IA$169+SwaptionShift):INDEX($FK$245:$ID$316,$FJ222-IA$169,72-IA$169+SwaptionMonthsToGo+SwaptionShift))/SQRT(SUM(INDEX($FK377:$ID377,1+SwaptionShift):INDEX($FK377:$ID377,SwaptionMonthsToGo+SwaptionShift))*SUM(INDEX($FK$325:$ID$396,IA$169,1+SwaptionShift):INDEX($FK$325:$ID$396,IA$169,SwaptionMonthsToGo+SwaptionShift))))))</f>
        <v/>
      </c>
      <c r="IB222" s="150" t="str">
        <f aca="false">IF(OR(IB$169&lt;SwaptionFirstMonthPosition+1,$FJ222&lt;SwaptionFirstMonthPosition+1,IB$169&gt;SwaptionFirstMonthPosition+SwaptionNumOfMonths+1,$FJ222&gt;SwaptionFirstMonthPosition+SwaptionNumOfMonths+1),"",IF($FJ222=IB$169,1,IF($FJ222&lt;IB$169,INDEX($FK$170:$ID$241,IB$169,$FJ222),SUMPRODUCT(INDEX($FK$325:$ID$396,IB$169,1+SwaptionShift):INDEX($FK$325:$ID$396,IB$169,SwaptionMonthsToGo+SwaptionShift),INDEX($FK$245:$ID$316,$FJ222-IB$169,73-IB$169+SwaptionShift):INDEX($FK$245:$ID$316,$FJ222-IB$169,72-IB$169+SwaptionMonthsToGo+SwaptionShift))/SQRT(SUM(INDEX($FK377:$ID377,1+SwaptionShift):INDEX($FK377:$ID377,SwaptionMonthsToGo+SwaptionShift))*SUM(INDEX($FK$325:$ID$396,IB$169,1+SwaptionShift):INDEX($FK$325:$ID$396,IB$169,SwaptionMonthsToGo+SwaptionShift))))))</f>
        <v/>
      </c>
      <c r="IC222" s="150" t="str">
        <f aca="false">IF(OR(IC$169&lt;SwaptionFirstMonthPosition+1,$FJ222&lt;SwaptionFirstMonthPosition+1,IC$169&gt;SwaptionFirstMonthPosition+SwaptionNumOfMonths+1,$FJ222&gt;SwaptionFirstMonthPosition+SwaptionNumOfMonths+1),"",IF($FJ222=IC$169,1,IF($FJ222&lt;IC$169,INDEX($FK$170:$ID$241,IC$169,$FJ222),SUMPRODUCT(INDEX($FK$325:$ID$396,IC$169,1+SwaptionShift):INDEX($FK$325:$ID$396,IC$169,SwaptionMonthsToGo+SwaptionShift),INDEX($FK$245:$ID$316,$FJ222-IC$169,73-IC$169+SwaptionShift):INDEX($FK$245:$ID$316,$FJ222-IC$169,72-IC$169+SwaptionMonthsToGo+SwaptionShift))/SQRT(SUM(INDEX($FK377:$ID377,1+SwaptionShift):INDEX($FK377:$ID377,SwaptionMonthsToGo+SwaptionShift))*SUM(INDEX($FK$325:$ID$396,IC$169,1+SwaptionShift):INDEX($FK$325:$ID$396,IC$169,SwaptionMonthsToGo+SwaptionShift))))))</f>
        <v/>
      </c>
      <c r="ID222" s="572" t="str">
        <f aca="false">IF(OR(ID$169&lt;SwaptionFirstMonthPosition+1,$FJ222&lt;SwaptionFirstMonthPosition+1,ID$169&gt;SwaptionFirstMonthPosition+SwaptionNumOfMonths+1,$FJ222&gt;SwaptionFirstMonthPosition+SwaptionNumOfMonths+1),"",IF($FJ222=ID$169,1,IF($FJ222&lt;ID$169,INDEX($FK$170:$ID$241,ID$169,$FJ222),SUMPRODUCT(INDEX($FK$325:$ID$396,ID$169,1+SwaptionShift):INDEX($FK$325:$ID$396,ID$169,SwaptionMonthsToGo+SwaptionShift),INDEX($FK$245:$ID$316,$FJ222-ID$169,73-ID$169+SwaptionShift):INDEX($FK$245:$ID$316,$FJ222-ID$169,72-ID$169+SwaptionMonthsToGo+SwaptionShift))/SQRT(SUM(INDEX($FK377:$ID377,1+SwaptionShift):INDEX($FK377:$ID377,SwaptionMonthsToGo+SwaptionShift))*SUM(INDEX($FK$325:$ID$396,ID$169,1+SwaptionShift):INDEX($FK$325:$ID$396,ID$169,SwaptionMonthsToGo+SwaptionShift))))))</f>
        <v/>
      </c>
      <c r="IE222" s="129"/>
    </row>
    <row r="223" customFormat="false" ht="12.75" hidden="false" customHeight="false" outlineLevel="0" collapsed="false">
      <c r="H223" s="219" t="n">
        <f aca="false">VLOOKUP(I223,$EJ$20:$EL$54,3)</f>
        <v>0</v>
      </c>
      <c r="I223" s="511" t="n">
        <f aca="false">EOMONTH(I222,0)+1</f>
        <v>42948</v>
      </c>
      <c r="J223" s="512"/>
      <c r="K223" s="513" t="s">
        <v>280</v>
      </c>
      <c r="L223" s="514" t="n">
        <f aca="false">IF(ISNUMBER(K223),J223+K223/100,IF(K223="extra",L222+VLOOKUP(BF223,PriceSpreadTable,2)/12,IF(K223="inter",interpolateprices($K$19:$L$200,ROW(K223)-ROW(FirstPricingMonth)+1),interpolatechanges($J$19:$K$200,ROW(K223)-ROW(FirstPricingMonth)+1))))</f>
        <v>4.7625</v>
      </c>
      <c r="M223" s="515"/>
      <c r="N223" s="516" t="n">
        <v>0</v>
      </c>
      <c r="O223" s="515" t="n">
        <f aca="false">M223+N223</f>
        <v>0</v>
      </c>
      <c r="P223" s="512"/>
      <c r="Q223" s="513" t="s">
        <v>280</v>
      </c>
      <c r="R223" s="512" t="e">
        <f aca="false">IF(ISNUMBER(Q223),P223+Q223/100,IF(Q223="extra",(Z221*AL221-R222*AM221)/AN221,IF(Q223="inter",interpolateprices($Q$19:$R$260,ROW(Q223)-ROW(FirstPricingMonth)+1),interpolatechanges($P$19:$Q$260,ROW(Q223)-ROW(FirstPricingMonth)+1))))</f>
        <v>#VALUE!</v>
      </c>
      <c r="S223" s="597" t="n">
        <f aca="false">S$19+(S222-S$19)*S$18</f>
        <v>0.36</v>
      </c>
      <c r="T223" s="575" t="n">
        <f aca="false">SQRT((1-(1-T222^2/U222)*T$18)*U223)</f>
        <v>0.999999999999998</v>
      </c>
      <c r="U223" s="576" t="n">
        <f aca="false">1-(1-U222)*U$18</f>
        <v>1</v>
      </c>
      <c r="V223" s="521" t="n">
        <v>0</v>
      </c>
      <c r="W223" s="577" t="n">
        <f aca="false">(J224*AJ223+J225*AK223)/AI223</f>
        <v>0</v>
      </c>
      <c r="X223" s="578" t="n">
        <f aca="false">(L224*AJ223+L225*AK223)/AI223</f>
        <v>4.81467391304348</v>
      </c>
      <c r="Y223" s="579" t="n">
        <f aca="false">IF(Q225="extra",W223-AA223,(P224*AM223+P225*AN223)/AL223)</f>
        <v>-1.2669</v>
      </c>
      <c r="Z223" s="579" t="n">
        <f aca="false">IF(Q225="extra",X223-AB223,(R224*AM223+R225*AN223)/AL223)</f>
        <v>3.54777391304348</v>
      </c>
      <c r="AA223" s="523" t="n">
        <f aca="false">IF(Q225="extra",INDEX(BrentSeasonalityTable,INT((BG223-1)/3)+1)*VLOOKUP(MAX(BF223,$AB$4),PriceSpreadTable,3),W223-Y223)</f>
        <v>1.2669</v>
      </c>
      <c r="AB223" s="524" t="n">
        <f aca="false">IF(Q225="extra",INDEX(BrentSeasonalityTable,INT((BG223-1)/3)+1)*VLOOKUP(MAX(BF223,$AB$4),PriceSpreadTable,3),X223-Z223)</f>
        <v>1.2669</v>
      </c>
      <c r="AC223" s="646" t="n">
        <v>42936</v>
      </c>
      <c r="AD223" s="646" t="n">
        <v>42932</v>
      </c>
      <c r="AE223" s="646" t="n">
        <v>42931</v>
      </c>
      <c r="AF223" s="646" t="n">
        <v>42927</v>
      </c>
      <c r="AG223" s="438" t="s">
        <v>278</v>
      </c>
      <c r="AH223" s="439" t="s">
        <v>278</v>
      </c>
      <c r="AI223" s="528" t="n">
        <v>23</v>
      </c>
      <c r="AJ223" s="529" t="n">
        <v>14</v>
      </c>
      <c r="AK223" s="529" t="n">
        <v>9</v>
      </c>
      <c r="AL223" s="530" t="n">
        <v>23</v>
      </c>
      <c r="AM223" s="529" t="n">
        <v>10</v>
      </c>
      <c r="AN223" s="531" t="n">
        <v>13</v>
      </c>
      <c r="AO223" s="532"/>
      <c r="AP223" s="465" t="n">
        <f aca="false">(1+AO223/2)^(-2*BL223)</f>
        <v>1</v>
      </c>
      <c r="AQ223" s="532"/>
      <c r="AR223" s="465" t="n">
        <f aca="false">(1+AQ223/2)^(-2*BH223/365.25)</f>
        <v>1</v>
      </c>
      <c r="AS223" s="580" t="n">
        <f aca="false">(O224*AJ223+O225*AK223)/AI223</f>
        <v>0</v>
      </c>
      <c r="AT223" s="468" t="n">
        <f aca="false">O223*VLOOKUP(BF223,BrentVolTable,2)+VLOOKUP(BF223,BrentVolTable,3)</f>
        <v>0</v>
      </c>
      <c r="AU223" s="468" t="n">
        <f aca="false">(AT224*AM223+AT225*AN223)/AL223</f>
        <v>0</v>
      </c>
      <c r="AV223" s="595" t="n">
        <f aca="false">SQRT(MAX(0.000000000001,(O223^2*BH223-S223^2*(BH223-BH222))/BH222))</f>
        <v>0.0358627884641921</v>
      </c>
      <c r="AW223" s="451" t="n">
        <f aca="false">IF($I223-DateToday+15&gt;=$T$8,"",IF($I223-DateToday+15&lt;$T$5,1,MATCH($I223-DateToday+15,$T$5:$T$8)))</f>
        <v>1</v>
      </c>
      <c r="AX223" s="468" t="n">
        <f aca="false">IF($AW223="",AX222^2/AX221,INDEX(U$5:U$8,$AW223)^((INDEX($T$5:$T$8,$AW223+1)-($I223-DateToday+15))/(INDEX($T$5:$T$8,$AW223+1)-INDEX($T$5:$T$8,$AW223)))/INDEX(U$5:U$8,$AW223+1)^((INDEX($T$5:$T$8,$AW223)-($I223-DateToday+15))/(INDEX($T$5:$T$8,$AW223+1)-INDEX($T$5:$T$8,$AW223))))</f>
        <v>0.163698408560436</v>
      </c>
      <c r="AY223" s="468" t="n">
        <f aca="false">IF($AW223="",AY222^2/AY221,INDEX(V$5:V$8,$AW223)^((INDEX($T$5:$T$8,$AW223+1)-($I223-DateToday+15))/(INDEX($T$5:$T$8,$AW223+1)-INDEX($T$5:$T$8,$AW223)))/INDEX(V$5:V$8,$AW223+1)^((INDEX($T$5:$T$8,$AW223)-($I223-DateToday+15))/(INDEX($T$5:$T$8,$AW223+1)-INDEX($T$5:$T$8,$AW223))))</f>
        <v>1.00796243470757</v>
      </c>
      <c r="AZ223" s="468" t="n">
        <f aca="false">IF($AW223="",AZ222^2/AZ221,INDEX(W$5:W$8,$AW223)^((INDEX($T$5:$T$8,$AW223+1)-($I223-DateToday+15))/(INDEX($T$5:$T$8,$AW223+1)-INDEX($T$5:$T$8,$AW223)))/INDEX(W$5:W$8,$AW223+1)^((INDEX($T$5:$T$8,$AW223)-($I223-DateToday+15))/(INDEX($T$5:$T$8,$AW223+1)-INDEX($T$5:$T$8,$AW223))))</f>
        <v>39.1551448628517</v>
      </c>
      <c r="BA223" s="468" t="n">
        <f aca="false">IF($AW223="",BA222^2/BA221,INDEX(X$5:X$8,$AW223)^((INDEX($T$5:$T$8,$AW223+1)-($I223-DateToday+15))/(INDEX($T$5:$T$8,$AW223+1)-INDEX($T$5:$T$8,$AW223)))/INDEX(X$5:X$8,$AW223+1)^((INDEX($T$5:$T$8,$AW223)-($I223-DateToday+15))/(INDEX($T$5:$T$8,$AW223+1)-INDEX($T$5:$T$8,$AW223))))</f>
        <v>66.7670302187723</v>
      </c>
      <c r="BB223" s="468" t="n">
        <f aca="false">IF($AW223="",BB222^2/BB221,INDEX(Y$5:Y$8,$AW223)^((INDEX($T$5:$T$8,$AW223+1)-($I223-DateToday+15))/(INDEX($T$5:$T$8,$AW223+1)-INDEX($T$5:$T$8,$AW223)))/INDEX(Y$5:Y$8,$AW223+1)^((INDEX($T$5:$T$8,$AW223)-($I223-DateToday+15))/(INDEX($T$5:$T$8,$AW223+1)-INDEX($T$5:$T$8,$AW223))))</f>
        <v>247.449877113095</v>
      </c>
      <c r="BC223" s="468" t="n">
        <f aca="false">IF($AW223="",BC222^2/BC221,INDEX(Z$5:Z$8,$AW223)^((INDEX($T$5:$T$8,$AW223+1)-($I223-DateToday+15))/(INDEX($T$5:$T$8,$AW223+1)-INDEX($T$5:$T$8,$AW223)))/INDEX(Z$5:Z$8,$AW223+1)^((INDEX($T$5:$T$8,$AW223)-($I223-DateToday+15))/(INDEX($T$5:$T$8,$AW223+1)-INDEX($T$5:$T$8,$AW223))))</f>
        <v>558.148676077403</v>
      </c>
      <c r="BD223" s="535" t="n">
        <f aca="false">IF(OR(DateStart&gt;=I224,DateEnd&lt;I223),0,IF(VolumeOverrideFlag,V223,Volume))</f>
        <v>0</v>
      </c>
      <c r="BE223" s="536" t="n">
        <f aca="false">IF(OR(DateStart2&gt;=I224,DateEnd2&lt;I223),0,IF(VolumeOverrideFlag,V223,VolumeSwaption))</f>
        <v>0</v>
      </c>
      <c r="BF223" s="537" t="n">
        <f aca="false">YEAR(I223)</f>
        <v>2017</v>
      </c>
      <c r="BG223" s="538" t="n">
        <f aca="false">MONTH(I223)</f>
        <v>8</v>
      </c>
      <c r="BH223" s="539" t="n">
        <f aca="false">AD223-DateToday+1</f>
        <v>-2993</v>
      </c>
      <c r="BI223" s="540" t="n">
        <f aca="false">(I223-DateToday+1)/365.25</f>
        <v>-8.15058179329227</v>
      </c>
      <c r="BJ223" s="541" t="n">
        <f aca="false">BI223+(BL223-BI223)*CHOOSE(Underlying,AJ223/AI223,AM223/AL223)</f>
        <v>-8.10058625717942</v>
      </c>
      <c r="BK223" s="541" t="n">
        <f aca="false">BJ223+1/365.25</f>
        <v>-8.09784840639229</v>
      </c>
      <c r="BL223" s="541" t="n">
        <f aca="false">(I224-DateToday)/365.25</f>
        <v>-8.0684462696783</v>
      </c>
      <c r="BM223" s="542" t="e">
        <f aca="false">MAX(BI223-(BJ223-BI223)*(S224^2/O224^2-1),0)</f>
        <v>#DIV/0!</v>
      </c>
      <c r="BN223" s="541" t="e">
        <f aca="false">MAX(BL223+(BL223-BK223)*(S225^2/O225^2-1),0)</f>
        <v>#DIV/0!</v>
      </c>
      <c r="BO223" s="530" t="n">
        <f aca="false">CHOOSE(Underlying,AI223,AL223)</f>
        <v>23</v>
      </c>
      <c r="BP223" s="529" t="n">
        <f aca="false">CHOOSE(Underlying,AJ223,AM223)</f>
        <v>14</v>
      </c>
      <c r="BQ223" s="529" t="n">
        <f aca="false">CHOOSE(Underlying,AK223,AN223)</f>
        <v>9</v>
      </c>
      <c r="BR223" s="463" t="str">
        <f aca="false">IF(BD223,IF(Underlying=1,X223,Z223)+UnderlyingPriceAsian-SwapPriceCurve,"")</f>
        <v/>
      </c>
      <c r="BS223" s="463" t="str">
        <f aca="false">IF(BD223,Strike1/BR223-1,"")</f>
        <v/>
      </c>
      <c r="BT223" s="464" t="str">
        <f aca="false">IF(BD223,Strike2/BR223-1,"")</f>
        <v/>
      </c>
      <c r="BU223" s="465" t="str">
        <f aca="false">IF(BD223,IF(Underlying=1,L224,R224)+UnderlyingPriceAsian-SwapPriceCurve,"")</f>
        <v/>
      </c>
      <c r="BV223" s="465" t="str">
        <f aca="false">IF(BD223,IF(Underlying=1,L225,R225)+UnderlyingPriceAsian-SwapPriceCurve,"")</f>
        <v/>
      </c>
      <c r="BW223" s="466" t="str">
        <f aca="false">IF(BD223,IF(Underlying=1,O224,AT224),"")</f>
        <v/>
      </c>
      <c r="BX223" s="467" t="str">
        <f aca="false">IF(BD223,IF(Underlying=1,O225,AT225),"")</f>
        <v/>
      </c>
      <c r="BY223" s="466" t="str">
        <f aca="false">IF(BD223,IF(BS223&gt;0,IF(BS223&gt;0.2,BC223-BB223,IF(BS223&gt;0.1,BB223-BA223,BA223)),IF(BS223&lt;-0.2,AX223-AY223,IF(BS223&lt;-0.1,AY223-AZ223,AZ223))),"")</f>
        <v/>
      </c>
      <c r="BZ223" s="467" t="str">
        <f aca="false">IF(BD223,IF(BT223&gt;0,IF(BT223&gt;0.2,BC223-BB223,IF(BT223&gt;0.1,BB223-BA223,BA223)),IF(BT223&lt;-0.2,AX223-AY223,IF(BT223&lt;-0.1,AY223-AZ223,AZ223))),"")</f>
        <v/>
      </c>
      <c r="CA223" s="468" t="str">
        <f aca="false">IF($BD223,$BW223+IF(VolSkewFlag=1,IF(BS223&gt;0,$BA223*MIN(BS223/10%,1)+($BB223-$BA223)*MAX(0,MIN(BS223/10%-1,1))+($BC223-$BB223)*MAX(0,BS223/10%-2),$AZ223*MIN(-BS223/10%,1)+($AY223-$AZ223)*MAX(0,MIN(-BS223/10%-1,1))+($AX223-$AY223)*MAX(0,-BS223/10%-2)),0),"")</f>
        <v/>
      </c>
      <c r="CB223" s="468" t="str">
        <f aca="false">IF($BD223,$BX223+IF(VolSkewFlag=1,IF(BS223&gt;0,$BA223*MIN(BS223/10%,1)+($BB223-$BA223)*MAX(0,MIN(BS223/10%-1,1))+($BC223-$BB223)*MAX(0,BS223/10%-2),$AZ223*MIN(-BS223/10%,1)+($AY223-$AZ223)*MAX(0,MIN(-BS223/10%-1,1))+($AX223-$AY223)*MAX(0,-BS223/10%-2)),0),"")</f>
        <v/>
      </c>
      <c r="CC223" s="468" t="str">
        <f aca="false">IF($BD223,$BW223+IF(VolSkewFlag=1,IF(BT223&gt;0,$BA223*MIN(BT223/10%,1)+($BB223-$BA223)*MAX(0,MIN(BT223/10%-1,1))+($BC223-$BB223)*MAX(0,BT223/10%-2),$AZ223*MIN(-BT223/10%,1)+($AY223-$AZ223)*MAX(0,MIN(-BT223/10%-1,1))+($AX223-$AY223)*MAX(0,-BT223/10%-2)),0),"")</f>
        <v/>
      </c>
      <c r="CD223" s="468" t="str">
        <f aca="false">IF($BD223,$BX223+IF(VolSkewFlag=1,IF(BT223&gt;0,$BA223*MIN(BT223/10%,1)+($BB223-$BA223)*MAX(0,MIN(BT223/10%-1,1))+($BC223-$BB223)*MAX(0,BT223/10%-2),$AZ223*MIN(-BT223/10%,1)+($AY223-$AZ223)*MAX(0,MIN(-BT223/10%-1,1))+($AX223-$AY223)*MAX(0,-BT223/10%-2)),0),"")</f>
        <v/>
      </c>
      <c r="CE223" s="469" t="n">
        <v>1</v>
      </c>
      <c r="CF223" s="470" t="n">
        <f aca="false">IF(BD223,xCrudeAPO(BU223,BV223,CA223,CB223,S224,S225,BI223,BL223,BP223,BQ223,0,Strike1,AO223,CE223,0,BL223,IF(OptControl=4,0,1),0,1),0)</f>
        <v>0</v>
      </c>
      <c r="CG223" s="470" t="n">
        <f aca="false">IF(BD223,xCrudeAPO(BU223,BV223,CA223,CB223,S224,S225,BI223,BL223,BP223,BQ223,0,Strike1,AO223,CE223,0,BL223,IF(OptControl=4,0,1),1,1)+xCrudeAPO(BU223,BV223,CA223,CB223,S224,S225,BI223,BL223,BP223,BQ223,0,Strike1,AO223,CE223,0,BL223,IF(OptControl=4,0,1),1,2)+IF(OR(VolSkewFlag=2,ABS(BS223)&lt;0.0001),0,IF(BS223&gt;0,-1,1)*CH223*Strike1/BR223^2*BY223/10%),0)</f>
        <v>0</v>
      </c>
      <c r="CH223" s="470" t="n">
        <f aca="false">IF(BD223,(xCrudeAPO(BU223,BV223,CA223,CB223,S224,S225,BI223,BL223,BP223,BQ223,0,Strike1,AO223,CE223,0,BL223,IF(OptControl=4,0,1),3,1)+xCrudeAPO(BU223,BV223,CA223,CB223,S224,S225,BI223,BL223,BP223,BQ223,0,Strike1,AO223,CE223,0,BL223,IF(OptControl=4,0,1),3,2))/100,0)</f>
        <v>0</v>
      </c>
      <c r="CI223" s="470" t="n">
        <f aca="false">IF(BD223,xCrudeAPO(BU223,BV223,CA223,CB223,S224,S225,BI223-DaysForThetaCalculation/365.25,BL223-DaysForThetaCalculation/365.25,BP223,BQ223,0,Strike1,AO223,CE223,0,BL223,IF(OptControl=4,0,1),0,1)-xCrudeAPO(BU223,BV223,CA223,CB223,S224,S225,BI223,BL223,BP223,BQ223,0,Strike1,AO223,CE223,0,BL223,IF(OptControl=4,0,1),0,1),0)</f>
        <v>0</v>
      </c>
      <c r="CJ223" s="471" t="n">
        <f aca="false">IF(BD223,xCrudeAPO(BU223,BV223,CC223,CD223,S224,S225,BI223,BL223,BP223,BQ223,0,Strike2,AO223,CE223,0,BL223,IF(OptControl=3,1,0),0,1),0)</f>
        <v>0</v>
      </c>
      <c r="CK223" s="470" t="n">
        <f aca="false">IF(BD223,xCrudeAPO(BU223,BV223,CC223,CD223,S224,S225,BI223,BL223,BP223,BQ223,0,Strike2,AO223,CE223,0,BL223,IF(OptControl=3,1,0),1,1)+xCrudeAPO(BU223,BV223,CC223,CD223,S224,S225,BI223,BL223,BP223,BQ223,0,Strike2,AO223,CE223,0,BL223,IF(OptControl=3,1,0),1,2)+IF(OR(VolSkewFlag=2,ABS(BT223)&lt;0.0001),0,IF(BT223&gt;0,-1,1)*CL223*Strike2/BR223^2*BZ223/10%),0)</f>
        <v>0</v>
      </c>
      <c r="CL223" s="470" t="n">
        <f aca="false">IF(BD223,(xCrudeAPO(BU223,BV223,CC223,CD223,S224,S225,BI223,BL223,BP223,BQ223,0,Strike2,AO223,CE223,0,BL223,IF(OptControl=3,1,0),3,1)+xCrudeAPO(BU223,BV223,CC223,CD223,S224,S225,BI223,BL223,BP223,BQ223,0,Strike2,AO223,CE223,0,BL223,IF(OptControl=3,1,0),3,2))/100,0)</f>
        <v>0</v>
      </c>
      <c r="CM223" s="472" t="n">
        <f aca="false">IF(BD223,xCrudeAPO(BU223,BV223,CC223,CD223,S224,S225,BI223-DaysForThetaCalculation/365.25,BL223-DaysForThetaCalculation/365.25,BP223,BQ223,0,Strike2,AO223,CE223,0,BL223,IF(OptControl=3,1,0),0,1)-xCrudeAPO(BU223,BV223,CC223,CD223,S224,S225,BI223,BL223,BP223,BQ223,0,Strike2,AO223,CE223,0,BL223,IF(OptControl=3,1,0),0,1),0)</f>
        <v>0</v>
      </c>
      <c r="CN223" s="3"/>
      <c r="CO223" s="543" t="str">
        <f aca="false">IF(BD223,CHOOSE(Underlying,AD223,AF223)-DateToday+1,"")</f>
        <v/>
      </c>
      <c r="CP223" s="582" t="str">
        <f aca="false">IF(BD223,CHOOSE(Underlying,L223,R223),"")</f>
        <v/>
      </c>
      <c r="CQ223" s="544" t="str">
        <f aca="false">IF(BD223,Strike1/CP223-1,"")</f>
        <v/>
      </c>
      <c r="CR223" s="544" t="str">
        <f aca="false">IF(BD223,Strike2/CP223-1,"")</f>
        <v/>
      </c>
      <c r="CS223" s="544" t="str">
        <f aca="false">IF(BD223,IF(CQ223&gt;0,IF(CQ223&gt;0.2,BC222-BB222,IF(CQ223&gt;0.1,BB222-BA222,BA222)),IF(CQ223&lt;-0.2,AX222-AY222,IF(CQ223&lt;-0.1,AY222-AZ222,AZ222))),"")</f>
        <v/>
      </c>
      <c r="CT223" s="544" t="str">
        <f aca="false">IF(BD223,IF(CR223&gt;0,IF(CR223&gt;0.2,BC222-BB222,IF(CR223&gt;0.1,BB222-BA222,BA222)),IF(CR223&lt;-0.2,AX222-AY222,IF(CR223&lt;-0.1,AY222-AZ222,AZ222))),"")</f>
        <v/>
      </c>
      <c r="CU223" s="545" t="str">
        <f aca="false">IF(BD223,CHOOSE(Underlying,O223,AT223),"")</f>
        <v/>
      </c>
      <c r="CV223" s="545" t="str">
        <f aca="false">IF(BD223,CU223+IF(VolSkewFlag=1,IF(CQ223&gt;0,BA222*MIN(CQ223/10%,1)+(BB222-BA222)*MAX(0,MIN(CQ223/10%-1,1))+(BC222-BB222)*MAX(0,CQ223/10%-2),AZ222*MIN(-CQ223/10%,1)+(AY222-AZ222)*MAX(0,MIN(-CQ223/10%-1,1))+(AX222-AY222)*MAX(0,-CQ223/10%-2)),0),"")</f>
        <v/>
      </c>
      <c r="CW223" s="545" t="str">
        <f aca="false">IF(BD223,CU223+IF(VolSkewFlag=1,IF(CR223&gt;0,BA222*MIN(CR223/10%,1)+(BB222-BA222)*MAX(0,MIN(CR223/10%-1,1))+(BC222-BB222)*MAX(0,CR223/10%-2),AZ222*MIN(-CR223/10%,1)+(AY222-AZ222)*MAX(0,MIN(-CR223/10%-1,1))+(AX222-AY222)*MAX(0,-CR223/10%-2)),0),"")</f>
        <v/>
      </c>
      <c r="CX223" s="470" t="n">
        <f aca="false">IF(BD223,EURO(CP223,Strike1,AO223,AO223,CV223,CO223,IF(OptControl=4,0,1),0),0)</f>
        <v>0</v>
      </c>
      <c r="CY223" s="470" t="n">
        <f aca="false">IF(BD223,EURO(CP223,Strike1,AO223,AO223,CV223,CO223,IF(OptControl=4,0,1),1)+IF(OR(VolSkewFlag=2,ABS(CQ223)&lt;0.0001),0,IF(CQ223&gt;0,-1,1)*CZ223*100*Strike1/CP223^2*CS223/10%),0)</f>
        <v>0</v>
      </c>
      <c r="CZ223" s="470" t="n">
        <f aca="false">IF(BD223,EURO(CP223,Strike1,AO223,AO223,CV223,CO223,IF(OptControl=4,0,1),3)/100,0)</f>
        <v>0</v>
      </c>
      <c r="DA223" s="470" t="n">
        <f aca="false">IF(BD223,EURO(CP223,Strike1,AO223,AO223,CV223,CO223,IF(OptControl=4,0,1),0)-EURO(CP223,Strike1,AO223,AO223,CV223,CO223-1,IF(OptControl=4,0,1),0),0)</f>
        <v>0</v>
      </c>
      <c r="DB223" s="470" t="n">
        <f aca="false">IF(BD223,EURO(CP223,Strike2,AO223,AO223,CW223,CO223,IF(OptControl=3,1,0),0),0)</f>
        <v>0</v>
      </c>
      <c r="DC223" s="470" t="n">
        <f aca="false">IF(BD223,EURO(CP223,Strike2,AO223,AO223,CW223,CO223,IF(OptControl=3,1,0),1)+IF(OR(VolSkewFlag=2,ABS(CR223)&lt;0.0001),0,IF(CR223&gt;0,-1,1)*DD223*100*Strike2/CP223^2*CT223/10%),0)</f>
        <v>0</v>
      </c>
      <c r="DD223" s="470" t="n">
        <f aca="false">IF(BD223,EURO(CP223,Strike2,AO223,AO223,CW223,CO223,IF(OptControl=3,1,0),3)/100,0)</f>
        <v>0</v>
      </c>
      <c r="DE223" s="472" t="n">
        <f aca="false">IF(BD223,EURO(CP223,Strike2,AO223,AO223,CW223,CO223,IF(OptControl=3,1,0),0)-EURO(CP223,Strike2,AO223,AO223,CW223,CO223-1,IF(OptControl=3,1,0),0),0)</f>
        <v>0</v>
      </c>
      <c r="DG223" s="481" t="n">
        <f aca="false">EOMONTH(DG222,0)+1</f>
        <v>51867</v>
      </c>
      <c r="DH223" s="478" t="n">
        <v>24.3100000000001</v>
      </c>
      <c r="DI223" s="479" t="n">
        <v>24.3759090909092</v>
      </c>
      <c r="DJ223" s="480" t="n">
        <f aca="false">DG223</f>
        <v>51867</v>
      </c>
      <c r="DK223" s="478" t="n">
        <v>23.1024776828819</v>
      </c>
      <c r="DL223" s="479" t="n">
        <v>23.2074090909092</v>
      </c>
      <c r="DM223" s="481" t="n">
        <f aca="false">DG223</f>
        <v>51867</v>
      </c>
      <c r="DN223" s="482" t="n">
        <f aca="false">DK223+BrentPhyBrentSpread</f>
        <v>23.1524776828819</v>
      </c>
      <c r="DO223" s="481" t="n">
        <f aca="false">DG223</f>
        <v>51867</v>
      </c>
      <c r="DP223" s="483" t="n">
        <f aca="false">DL223+DQ223</f>
        <v>23.2074090909092</v>
      </c>
      <c r="DQ223" s="546" t="n">
        <v>0</v>
      </c>
      <c r="DR223" s="480" t="n">
        <f aca="false">DG223</f>
        <v>51867</v>
      </c>
      <c r="DS223" s="485" t="n">
        <v>0.102799999999998</v>
      </c>
      <c r="DT223" s="486" t="n">
        <v>0.102009090909089</v>
      </c>
      <c r="DU223" s="480" t="n">
        <f aca="false">DG223</f>
        <v>51867</v>
      </c>
      <c r="DV223" s="485" t="n">
        <v>0.102799999999998</v>
      </c>
      <c r="DW223" s="486" t="n">
        <v>0.102009090909089</v>
      </c>
      <c r="DX223" s="481" t="n">
        <f aca="false">DG223</f>
        <v>51867</v>
      </c>
      <c r="DY223" s="486" t="n">
        <v>0.35</v>
      </c>
      <c r="DZ223" s="481" t="n">
        <f aca="false">DR223</f>
        <v>51867</v>
      </c>
      <c r="EA223" s="486" t="n">
        <f aca="false">DT223</f>
        <v>0.102009090909089</v>
      </c>
      <c r="EB223" s="195"/>
      <c r="EC223" s="547" t="str">
        <f aca="false">IF(BD223,IF(Underlying=1,AS223,AU223),"")</f>
        <v/>
      </c>
      <c r="ED223" s="548" t="str">
        <f aca="false">IF($BD223,$EC223+IF(VolSkewFlag=1,IF(BS223&gt;0,$BA223*MIN(BS223/10%,1)+($BB223-$BA223)*MAX(0,MIN(BS223/10%-1,1))+($BC223-$BB223)*MAX(0,BS223/10%-2),$AZ223*MIN(-BS223/10%,1)+($AY223-$AZ223)*MAX(0,MIN(-BS223/10%-1,1))+($AX223-$AY223)*MAX(0,-BS223/10%-2)),0),"")</f>
        <v/>
      </c>
      <c r="EE223" s="549" t="str">
        <f aca="false">IF($BD223,$EC223+IF(VolSkewFlag=1,IF(BT223&gt;0,$BA223*MIN(BT223/10%,1)+($BB223-$BA223)*MAX(0,MIN(BT223/10%-1,1))+($BC223-$BB223)*MAX(0,BT223/10%-2),$AZ223*MIN(-BT223/10%,1)+($AY223-$AZ223)*MAX(0,MIN(-BT223/10%-1,1))+($AX223-$AY223)*MAX(0,-BT223/10%-2)),0),"")</f>
        <v/>
      </c>
      <c r="EF223" s="550" t="n">
        <f aca="false">IF(BD223,xASN(BR223,Strike1,AO223,ED223,0,BO223,0,BI223,BL223,IF(OptControl=4,0,1),0),0)</f>
        <v>0</v>
      </c>
      <c r="EG223" s="551" t="n">
        <f aca="false">IF(BD223,xASN(BR223,Strike2,AO223,EE223,0,BO223,0,BI223,BL223,IF(OptControl=3,1,0),0),0)</f>
        <v>0</v>
      </c>
      <c r="EL223" s="1"/>
      <c r="EM223" s="195"/>
      <c r="EN223" s="240"/>
      <c r="EO223" s="240"/>
      <c r="EP223" s="195"/>
      <c r="EQ223" s="407" t="s">
        <v>451</v>
      </c>
      <c r="ES223" s="1"/>
      <c r="EU223" s="672"/>
      <c r="FJ223" s="571" t="n">
        <v>54</v>
      </c>
      <c r="FK223" s="150" t="str">
        <f aca="false">IF(OR(FK$169&lt;SwaptionFirstMonthPosition+1,$FJ223&lt;SwaptionFirstMonthPosition+1,FK$169&gt;SwaptionFirstMonthPosition+SwaptionNumOfMonths+1,$FJ223&gt;SwaptionFirstMonthPosition+SwaptionNumOfMonths+1),"",IF($FJ223=FK$169,1,IF($FJ223&lt;FK$169,INDEX($FK$170:$ID$241,FK$169,$FJ223),SUMPRODUCT(INDEX($FK$325:$ID$396,FK$169,1+SwaptionShift):INDEX($FK$325:$ID$396,FK$169,SwaptionMonthsToGo+SwaptionShift),INDEX($FK$245:$ID$316,$FJ223-FK$169,73-FK$169+SwaptionShift):INDEX($FK$245:$ID$316,$FJ223-FK$169,72-FK$169+SwaptionMonthsToGo+SwaptionShift))/SQRT(SUM(INDEX($FK378:$ID378,1+SwaptionShift):INDEX($FK378:$ID378,SwaptionMonthsToGo+SwaptionShift))*SUM(INDEX($FK$325:$ID$396,FK$169,1+SwaptionShift):INDEX($FK$325:$ID$396,FK$169,SwaptionMonthsToGo+SwaptionShift))))))</f>
        <v/>
      </c>
      <c r="FL223" s="150" t="str">
        <f aca="false">IF(OR(FL$169&lt;SwaptionFirstMonthPosition+1,$FJ223&lt;SwaptionFirstMonthPosition+1,FL$169&gt;SwaptionFirstMonthPosition+SwaptionNumOfMonths+1,$FJ223&gt;SwaptionFirstMonthPosition+SwaptionNumOfMonths+1),"",IF($FJ223=FL$169,1,IF($FJ223&lt;FL$169,INDEX($FK$170:$ID$241,FL$169,$FJ223),SUMPRODUCT(INDEX($FK$325:$ID$396,FL$169,1+SwaptionShift):INDEX($FK$325:$ID$396,FL$169,SwaptionMonthsToGo+SwaptionShift),INDEX($FK$245:$ID$316,$FJ223-FL$169,73-FL$169+SwaptionShift):INDEX($FK$245:$ID$316,$FJ223-FL$169,72-FL$169+SwaptionMonthsToGo+SwaptionShift))/SQRT(SUM(INDEX($FK378:$ID378,1+SwaptionShift):INDEX($FK378:$ID378,SwaptionMonthsToGo+SwaptionShift))*SUM(INDEX($FK$325:$ID$396,FL$169,1+SwaptionShift):INDEX($FK$325:$ID$396,FL$169,SwaptionMonthsToGo+SwaptionShift))))))</f>
        <v/>
      </c>
      <c r="FM223" s="150" t="str">
        <f aca="false">IF(OR(FM$169&lt;SwaptionFirstMonthPosition+1,$FJ223&lt;SwaptionFirstMonthPosition+1,FM$169&gt;SwaptionFirstMonthPosition+SwaptionNumOfMonths+1,$FJ223&gt;SwaptionFirstMonthPosition+SwaptionNumOfMonths+1),"",IF($FJ223=FM$169,1,IF($FJ223&lt;FM$169,INDEX($FK$170:$ID$241,FM$169,$FJ223),SUMPRODUCT(INDEX($FK$325:$ID$396,FM$169,1+SwaptionShift):INDEX($FK$325:$ID$396,FM$169,SwaptionMonthsToGo+SwaptionShift),INDEX($FK$245:$ID$316,$FJ223-FM$169,73-FM$169+SwaptionShift):INDEX($FK$245:$ID$316,$FJ223-FM$169,72-FM$169+SwaptionMonthsToGo+SwaptionShift))/SQRT(SUM(INDEX($FK378:$ID378,1+SwaptionShift):INDEX($FK378:$ID378,SwaptionMonthsToGo+SwaptionShift))*SUM(INDEX($FK$325:$ID$396,FM$169,1+SwaptionShift):INDEX($FK$325:$ID$396,FM$169,SwaptionMonthsToGo+SwaptionShift))))))</f>
        <v/>
      </c>
      <c r="FN223" s="150" t="str">
        <f aca="false">IF(OR(FN$169&lt;SwaptionFirstMonthPosition+1,$FJ223&lt;SwaptionFirstMonthPosition+1,FN$169&gt;SwaptionFirstMonthPosition+SwaptionNumOfMonths+1,$FJ223&gt;SwaptionFirstMonthPosition+SwaptionNumOfMonths+1),"",IF($FJ223=FN$169,1,IF($FJ223&lt;FN$169,INDEX($FK$170:$ID$241,FN$169,$FJ223),SUMPRODUCT(INDEX($FK$325:$ID$396,FN$169,1+SwaptionShift):INDEX($FK$325:$ID$396,FN$169,SwaptionMonthsToGo+SwaptionShift),INDEX($FK$245:$ID$316,$FJ223-FN$169,73-FN$169+SwaptionShift):INDEX($FK$245:$ID$316,$FJ223-FN$169,72-FN$169+SwaptionMonthsToGo+SwaptionShift))/SQRT(SUM(INDEX($FK378:$ID378,1+SwaptionShift):INDEX($FK378:$ID378,SwaptionMonthsToGo+SwaptionShift))*SUM(INDEX($FK$325:$ID$396,FN$169,1+SwaptionShift):INDEX($FK$325:$ID$396,FN$169,SwaptionMonthsToGo+SwaptionShift))))))</f>
        <v/>
      </c>
      <c r="FO223" s="150" t="str">
        <f aca="false">IF(OR(FO$169&lt;SwaptionFirstMonthPosition+1,$FJ223&lt;SwaptionFirstMonthPosition+1,FO$169&gt;SwaptionFirstMonthPosition+SwaptionNumOfMonths+1,$FJ223&gt;SwaptionFirstMonthPosition+SwaptionNumOfMonths+1),"",IF($FJ223=FO$169,1,IF($FJ223&lt;FO$169,INDEX($FK$170:$ID$241,FO$169,$FJ223),SUMPRODUCT(INDEX($FK$325:$ID$396,FO$169,1+SwaptionShift):INDEX($FK$325:$ID$396,FO$169,SwaptionMonthsToGo+SwaptionShift),INDEX($FK$245:$ID$316,$FJ223-FO$169,73-FO$169+SwaptionShift):INDEX($FK$245:$ID$316,$FJ223-FO$169,72-FO$169+SwaptionMonthsToGo+SwaptionShift))/SQRT(SUM(INDEX($FK378:$ID378,1+SwaptionShift):INDEX($FK378:$ID378,SwaptionMonthsToGo+SwaptionShift))*SUM(INDEX($FK$325:$ID$396,FO$169,1+SwaptionShift):INDEX($FK$325:$ID$396,FO$169,SwaptionMonthsToGo+SwaptionShift))))))</f>
        <v/>
      </c>
      <c r="FP223" s="150" t="str">
        <f aca="false">IF(OR(FP$169&lt;SwaptionFirstMonthPosition+1,$FJ223&lt;SwaptionFirstMonthPosition+1,FP$169&gt;SwaptionFirstMonthPosition+SwaptionNumOfMonths+1,$FJ223&gt;SwaptionFirstMonthPosition+SwaptionNumOfMonths+1),"",IF($FJ223=FP$169,1,IF($FJ223&lt;FP$169,INDEX($FK$170:$ID$241,FP$169,$FJ223),SUMPRODUCT(INDEX($FK$325:$ID$396,FP$169,1+SwaptionShift):INDEX($FK$325:$ID$396,FP$169,SwaptionMonthsToGo+SwaptionShift),INDEX($FK$245:$ID$316,$FJ223-FP$169,73-FP$169+SwaptionShift):INDEX($FK$245:$ID$316,$FJ223-FP$169,72-FP$169+SwaptionMonthsToGo+SwaptionShift))/SQRT(SUM(INDEX($FK378:$ID378,1+SwaptionShift):INDEX($FK378:$ID378,SwaptionMonthsToGo+SwaptionShift))*SUM(INDEX($FK$325:$ID$396,FP$169,1+SwaptionShift):INDEX($FK$325:$ID$396,FP$169,SwaptionMonthsToGo+SwaptionShift))))))</f>
        <v/>
      </c>
      <c r="FQ223" s="150" t="str">
        <f aca="false">IF(OR(FQ$169&lt;SwaptionFirstMonthPosition+1,$FJ223&lt;SwaptionFirstMonthPosition+1,FQ$169&gt;SwaptionFirstMonthPosition+SwaptionNumOfMonths+1,$FJ223&gt;SwaptionFirstMonthPosition+SwaptionNumOfMonths+1),"",IF($FJ223=FQ$169,1,IF($FJ223&lt;FQ$169,INDEX($FK$170:$ID$241,FQ$169,$FJ223),SUMPRODUCT(INDEX($FK$325:$ID$396,FQ$169,1+SwaptionShift):INDEX($FK$325:$ID$396,FQ$169,SwaptionMonthsToGo+SwaptionShift),INDEX($FK$245:$ID$316,$FJ223-FQ$169,73-FQ$169+SwaptionShift):INDEX($FK$245:$ID$316,$FJ223-FQ$169,72-FQ$169+SwaptionMonthsToGo+SwaptionShift))/SQRT(SUM(INDEX($FK378:$ID378,1+SwaptionShift):INDEX($FK378:$ID378,SwaptionMonthsToGo+SwaptionShift))*SUM(INDEX($FK$325:$ID$396,FQ$169,1+SwaptionShift):INDEX($FK$325:$ID$396,FQ$169,SwaptionMonthsToGo+SwaptionShift))))))</f>
        <v/>
      </c>
      <c r="FR223" s="150" t="str">
        <f aca="false">IF(OR(FR$169&lt;SwaptionFirstMonthPosition+1,$FJ223&lt;SwaptionFirstMonthPosition+1,FR$169&gt;SwaptionFirstMonthPosition+SwaptionNumOfMonths+1,$FJ223&gt;SwaptionFirstMonthPosition+SwaptionNumOfMonths+1),"",IF($FJ223=FR$169,1,IF($FJ223&lt;FR$169,INDEX($FK$170:$ID$241,FR$169,$FJ223),SUMPRODUCT(INDEX($FK$325:$ID$396,FR$169,1+SwaptionShift):INDEX($FK$325:$ID$396,FR$169,SwaptionMonthsToGo+SwaptionShift),INDEX($FK$245:$ID$316,$FJ223-FR$169,73-FR$169+SwaptionShift):INDEX($FK$245:$ID$316,$FJ223-FR$169,72-FR$169+SwaptionMonthsToGo+SwaptionShift))/SQRT(SUM(INDEX($FK378:$ID378,1+SwaptionShift):INDEX($FK378:$ID378,SwaptionMonthsToGo+SwaptionShift))*SUM(INDEX($FK$325:$ID$396,FR$169,1+SwaptionShift):INDEX($FK$325:$ID$396,FR$169,SwaptionMonthsToGo+SwaptionShift))))))</f>
        <v/>
      </c>
      <c r="FS223" s="150" t="str">
        <f aca="false">IF(OR(FS$169&lt;SwaptionFirstMonthPosition+1,$FJ223&lt;SwaptionFirstMonthPosition+1,FS$169&gt;SwaptionFirstMonthPosition+SwaptionNumOfMonths+1,$FJ223&gt;SwaptionFirstMonthPosition+SwaptionNumOfMonths+1),"",IF($FJ223=FS$169,1,IF($FJ223&lt;FS$169,INDEX($FK$170:$ID$241,FS$169,$FJ223),SUMPRODUCT(INDEX($FK$325:$ID$396,FS$169,1+SwaptionShift):INDEX($FK$325:$ID$396,FS$169,SwaptionMonthsToGo+SwaptionShift),INDEX($FK$245:$ID$316,$FJ223-FS$169,73-FS$169+SwaptionShift):INDEX($FK$245:$ID$316,$FJ223-FS$169,72-FS$169+SwaptionMonthsToGo+SwaptionShift))/SQRT(SUM(INDEX($FK378:$ID378,1+SwaptionShift):INDEX($FK378:$ID378,SwaptionMonthsToGo+SwaptionShift))*SUM(INDEX($FK$325:$ID$396,FS$169,1+SwaptionShift):INDEX($FK$325:$ID$396,FS$169,SwaptionMonthsToGo+SwaptionShift))))))</f>
        <v/>
      </c>
      <c r="FT223" s="150" t="str">
        <f aca="false">IF(OR(FT$169&lt;SwaptionFirstMonthPosition+1,$FJ223&lt;SwaptionFirstMonthPosition+1,FT$169&gt;SwaptionFirstMonthPosition+SwaptionNumOfMonths+1,$FJ223&gt;SwaptionFirstMonthPosition+SwaptionNumOfMonths+1),"",IF($FJ223=FT$169,1,IF($FJ223&lt;FT$169,INDEX($FK$170:$ID$241,FT$169,$FJ223),SUMPRODUCT(INDEX($FK$325:$ID$396,FT$169,1+SwaptionShift):INDEX($FK$325:$ID$396,FT$169,SwaptionMonthsToGo+SwaptionShift),INDEX($FK$245:$ID$316,$FJ223-FT$169,73-FT$169+SwaptionShift):INDEX($FK$245:$ID$316,$FJ223-FT$169,72-FT$169+SwaptionMonthsToGo+SwaptionShift))/SQRT(SUM(INDEX($FK378:$ID378,1+SwaptionShift):INDEX($FK378:$ID378,SwaptionMonthsToGo+SwaptionShift))*SUM(INDEX($FK$325:$ID$396,FT$169,1+SwaptionShift):INDEX($FK$325:$ID$396,FT$169,SwaptionMonthsToGo+SwaptionShift))))))</f>
        <v/>
      </c>
      <c r="FU223" s="150" t="str">
        <f aca="false">IF(OR(FU$169&lt;SwaptionFirstMonthPosition+1,$FJ223&lt;SwaptionFirstMonthPosition+1,FU$169&gt;SwaptionFirstMonthPosition+SwaptionNumOfMonths+1,$FJ223&gt;SwaptionFirstMonthPosition+SwaptionNumOfMonths+1),"",IF($FJ223=FU$169,1,IF($FJ223&lt;FU$169,INDEX($FK$170:$ID$241,FU$169,$FJ223),SUMPRODUCT(INDEX($FK$325:$ID$396,FU$169,1+SwaptionShift):INDEX($FK$325:$ID$396,FU$169,SwaptionMonthsToGo+SwaptionShift),INDEX($FK$245:$ID$316,$FJ223-FU$169,73-FU$169+SwaptionShift):INDEX($FK$245:$ID$316,$FJ223-FU$169,72-FU$169+SwaptionMonthsToGo+SwaptionShift))/SQRT(SUM(INDEX($FK378:$ID378,1+SwaptionShift):INDEX($FK378:$ID378,SwaptionMonthsToGo+SwaptionShift))*SUM(INDEX($FK$325:$ID$396,FU$169,1+SwaptionShift):INDEX($FK$325:$ID$396,FU$169,SwaptionMonthsToGo+SwaptionShift))))))</f>
        <v/>
      </c>
      <c r="FV223" s="150" t="str">
        <f aca="false">IF(OR(FV$169&lt;SwaptionFirstMonthPosition+1,$FJ223&lt;SwaptionFirstMonthPosition+1,FV$169&gt;SwaptionFirstMonthPosition+SwaptionNumOfMonths+1,$FJ223&gt;SwaptionFirstMonthPosition+SwaptionNumOfMonths+1),"",IF($FJ223=FV$169,1,IF($FJ223&lt;FV$169,INDEX($FK$170:$ID$241,FV$169,$FJ223),SUMPRODUCT(INDEX($FK$325:$ID$396,FV$169,1+SwaptionShift):INDEX($FK$325:$ID$396,FV$169,SwaptionMonthsToGo+SwaptionShift),INDEX($FK$245:$ID$316,$FJ223-FV$169,73-FV$169+SwaptionShift):INDEX($FK$245:$ID$316,$FJ223-FV$169,72-FV$169+SwaptionMonthsToGo+SwaptionShift))/SQRT(SUM(INDEX($FK378:$ID378,1+SwaptionShift):INDEX($FK378:$ID378,SwaptionMonthsToGo+SwaptionShift))*SUM(INDEX($FK$325:$ID$396,FV$169,1+SwaptionShift):INDEX($FK$325:$ID$396,FV$169,SwaptionMonthsToGo+SwaptionShift))))))</f>
        <v/>
      </c>
      <c r="FW223" s="150" t="str">
        <f aca="false">IF(OR(FW$169&lt;SwaptionFirstMonthPosition+1,$FJ223&lt;SwaptionFirstMonthPosition+1,FW$169&gt;SwaptionFirstMonthPosition+SwaptionNumOfMonths+1,$FJ223&gt;SwaptionFirstMonthPosition+SwaptionNumOfMonths+1),"",IF($FJ223=FW$169,1,IF($FJ223&lt;FW$169,INDEX($FK$170:$ID$241,FW$169,$FJ223),SUMPRODUCT(INDEX($FK$325:$ID$396,FW$169,1+SwaptionShift):INDEX($FK$325:$ID$396,FW$169,SwaptionMonthsToGo+SwaptionShift),INDEX($FK$245:$ID$316,$FJ223-FW$169,73-FW$169+SwaptionShift):INDEX($FK$245:$ID$316,$FJ223-FW$169,72-FW$169+SwaptionMonthsToGo+SwaptionShift))/SQRT(SUM(INDEX($FK378:$ID378,1+SwaptionShift):INDEX($FK378:$ID378,SwaptionMonthsToGo+SwaptionShift))*SUM(INDEX($FK$325:$ID$396,FW$169,1+SwaptionShift):INDEX($FK$325:$ID$396,FW$169,SwaptionMonthsToGo+SwaptionShift))))))</f>
        <v/>
      </c>
      <c r="FX223" s="150" t="str">
        <f aca="false">IF(OR(FX$169&lt;SwaptionFirstMonthPosition+1,$FJ223&lt;SwaptionFirstMonthPosition+1,FX$169&gt;SwaptionFirstMonthPosition+SwaptionNumOfMonths+1,$FJ223&gt;SwaptionFirstMonthPosition+SwaptionNumOfMonths+1),"",IF($FJ223=FX$169,1,IF($FJ223&lt;FX$169,INDEX($FK$170:$ID$241,FX$169,$FJ223),SUMPRODUCT(INDEX($FK$325:$ID$396,FX$169,1+SwaptionShift):INDEX($FK$325:$ID$396,FX$169,SwaptionMonthsToGo+SwaptionShift),INDEX($FK$245:$ID$316,$FJ223-FX$169,73-FX$169+SwaptionShift):INDEX($FK$245:$ID$316,$FJ223-FX$169,72-FX$169+SwaptionMonthsToGo+SwaptionShift))/SQRT(SUM(INDEX($FK378:$ID378,1+SwaptionShift):INDEX($FK378:$ID378,SwaptionMonthsToGo+SwaptionShift))*SUM(INDEX($FK$325:$ID$396,FX$169,1+SwaptionShift):INDEX($FK$325:$ID$396,FX$169,SwaptionMonthsToGo+SwaptionShift))))))</f>
        <v/>
      </c>
      <c r="FY223" s="150" t="str">
        <f aca="false">IF(OR(FY$169&lt;SwaptionFirstMonthPosition+1,$FJ223&lt;SwaptionFirstMonthPosition+1,FY$169&gt;SwaptionFirstMonthPosition+SwaptionNumOfMonths+1,$FJ223&gt;SwaptionFirstMonthPosition+SwaptionNumOfMonths+1),"",IF($FJ223=FY$169,1,IF($FJ223&lt;FY$169,INDEX($FK$170:$ID$241,FY$169,$FJ223),SUMPRODUCT(INDEX($FK$325:$ID$396,FY$169,1+SwaptionShift):INDEX($FK$325:$ID$396,FY$169,SwaptionMonthsToGo+SwaptionShift),INDEX($FK$245:$ID$316,$FJ223-FY$169,73-FY$169+SwaptionShift):INDEX($FK$245:$ID$316,$FJ223-FY$169,72-FY$169+SwaptionMonthsToGo+SwaptionShift))/SQRT(SUM(INDEX($FK378:$ID378,1+SwaptionShift):INDEX($FK378:$ID378,SwaptionMonthsToGo+SwaptionShift))*SUM(INDEX($FK$325:$ID$396,FY$169,1+SwaptionShift):INDEX($FK$325:$ID$396,FY$169,SwaptionMonthsToGo+SwaptionShift))))))</f>
        <v/>
      </c>
      <c r="FZ223" s="150" t="str">
        <f aca="false">IF(OR(FZ$169&lt;SwaptionFirstMonthPosition+1,$FJ223&lt;SwaptionFirstMonthPosition+1,FZ$169&gt;SwaptionFirstMonthPosition+SwaptionNumOfMonths+1,$FJ223&gt;SwaptionFirstMonthPosition+SwaptionNumOfMonths+1),"",IF($FJ223=FZ$169,1,IF($FJ223&lt;FZ$169,INDEX($FK$170:$ID$241,FZ$169,$FJ223),SUMPRODUCT(INDEX($FK$325:$ID$396,FZ$169,1+SwaptionShift):INDEX($FK$325:$ID$396,FZ$169,SwaptionMonthsToGo+SwaptionShift),INDEX($FK$245:$ID$316,$FJ223-FZ$169,73-FZ$169+SwaptionShift):INDEX($FK$245:$ID$316,$FJ223-FZ$169,72-FZ$169+SwaptionMonthsToGo+SwaptionShift))/SQRT(SUM(INDEX($FK378:$ID378,1+SwaptionShift):INDEX($FK378:$ID378,SwaptionMonthsToGo+SwaptionShift))*SUM(INDEX($FK$325:$ID$396,FZ$169,1+SwaptionShift):INDEX($FK$325:$ID$396,FZ$169,SwaptionMonthsToGo+SwaptionShift))))))</f>
        <v/>
      </c>
      <c r="GA223" s="150" t="str">
        <f aca="false">IF(OR(GA$169&lt;SwaptionFirstMonthPosition+1,$FJ223&lt;SwaptionFirstMonthPosition+1,GA$169&gt;SwaptionFirstMonthPosition+SwaptionNumOfMonths+1,$FJ223&gt;SwaptionFirstMonthPosition+SwaptionNumOfMonths+1),"",IF($FJ223=GA$169,1,IF($FJ223&lt;GA$169,INDEX($FK$170:$ID$241,GA$169,$FJ223),SUMPRODUCT(INDEX($FK$325:$ID$396,GA$169,1+SwaptionShift):INDEX($FK$325:$ID$396,GA$169,SwaptionMonthsToGo+SwaptionShift),INDEX($FK$245:$ID$316,$FJ223-GA$169,73-GA$169+SwaptionShift):INDEX($FK$245:$ID$316,$FJ223-GA$169,72-GA$169+SwaptionMonthsToGo+SwaptionShift))/SQRT(SUM(INDEX($FK378:$ID378,1+SwaptionShift):INDEX($FK378:$ID378,SwaptionMonthsToGo+SwaptionShift))*SUM(INDEX($FK$325:$ID$396,GA$169,1+SwaptionShift):INDEX($FK$325:$ID$396,GA$169,SwaptionMonthsToGo+SwaptionShift))))))</f>
        <v/>
      </c>
      <c r="GB223" s="150" t="str">
        <f aca="false">IF(OR(GB$169&lt;SwaptionFirstMonthPosition+1,$FJ223&lt;SwaptionFirstMonthPosition+1,GB$169&gt;SwaptionFirstMonthPosition+SwaptionNumOfMonths+1,$FJ223&gt;SwaptionFirstMonthPosition+SwaptionNumOfMonths+1),"",IF($FJ223=GB$169,1,IF($FJ223&lt;GB$169,INDEX($FK$170:$ID$241,GB$169,$FJ223),SUMPRODUCT(INDEX($FK$325:$ID$396,GB$169,1+SwaptionShift):INDEX($FK$325:$ID$396,GB$169,SwaptionMonthsToGo+SwaptionShift),INDEX($FK$245:$ID$316,$FJ223-GB$169,73-GB$169+SwaptionShift):INDEX($FK$245:$ID$316,$FJ223-GB$169,72-GB$169+SwaptionMonthsToGo+SwaptionShift))/SQRT(SUM(INDEX($FK378:$ID378,1+SwaptionShift):INDEX($FK378:$ID378,SwaptionMonthsToGo+SwaptionShift))*SUM(INDEX($FK$325:$ID$396,GB$169,1+SwaptionShift):INDEX($FK$325:$ID$396,GB$169,SwaptionMonthsToGo+SwaptionShift))))))</f>
        <v/>
      </c>
      <c r="GC223" s="150" t="str">
        <f aca="false">IF(OR(GC$169&lt;SwaptionFirstMonthPosition+1,$FJ223&lt;SwaptionFirstMonthPosition+1,GC$169&gt;SwaptionFirstMonthPosition+SwaptionNumOfMonths+1,$FJ223&gt;SwaptionFirstMonthPosition+SwaptionNumOfMonths+1),"",IF($FJ223=GC$169,1,IF($FJ223&lt;GC$169,INDEX($FK$170:$ID$241,GC$169,$FJ223),SUMPRODUCT(INDEX($FK$325:$ID$396,GC$169,1+SwaptionShift):INDEX($FK$325:$ID$396,GC$169,SwaptionMonthsToGo+SwaptionShift),INDEX($FK$245:$ID$316,$FJ223-GC$169,73-GC$169+SwaptionShift):INDEX($FK$245:$ID$316,$FJ223-GC$169,72-GC$169+SwaptionMonthsToGo+SwaptionShift))/SQRT(SUM(INDEX($FK378:$ID378,1+SwaptionShift):INDEX($FK378:$ID378,SwaptionMonthsToGo+SwaptionShift))*SUM(INDEX($FK$325:$ID$396,GC$169,1+SwaptionShift):INDEX($FK$325:$ID$396,GC$169,SwaptionMonthsToGo+SwaptionShift))))))</f>
        <v/>
      </c>
      <c r="GD223" s="150" t="str">
        <f aca="false">IF(OR(GD$169&lt;SwaptionFirstMonthPosition+1,$FJ223&lt;SwaptionFirstMonthPosition+1,GD$169&gt;SwaptionFirstMonthPosition+SwaptionNumOfMonths+1,$FJ223&gt;SwaptionFirstMonthPosition+SwaptionNumOfMonths+1),"",IF($FJ223=GD$169,1,IF($FJ223&lt;GD$169,INDEX($FK$170:$ID$241,GD$169,$FJ223),SUMPRODUCT(INDEX($FK$325:$ID$396,GD$169,1+SwaptionShift):INDEX($FK$325:$ID$396,GD$169,SwaptionMonthsToGo+SwaptionShift),INDEX($FK$245:$ID$316,$FJ223-GD$169,73-GD$169+SwaptionShift):INDEX($FK$245:$ID$316,$FJ223-GD$169,72-GD$169+SwaptionMonthsToGo+SwaptionShift))/SQRT(SUM(INDEX($FK378:$ID378,1+SwaptionShift):INDEX($FK378:$ID378,SwaptionMonthsToGo+SwaptionShift))*SUM(INDEX($FK$325:$ID$396,GD$169,1+SwaptionShift):INDEX($FK$325:$ID$396,GD$169,SwaptionMonthsToGo+SwaptionShift))))))</f>
        <v/>
      </c>
      <c r="GE223" s="150" t="str">
        <f aca="false">IF(OR(GE$169&lt;SwaptionFirstMonthPosition+1,$FJ223&lt;SwaptionFirstMonthPosition+1,GE$169&gt;SwaptionFirstMonthPosition+SwaptionNumOfMonths+1,$FJ223&gt;SwaptionFirstMonthPosition+SwaptionNumOfMonths+1),"",IF($FJ223=GE$169,1,IF($FJ223&lt;GE$169,INDEX($FK$170:$ID$241,GE$169,$FJ223),SUMPRODUCT(INDEX($FK$325:$ID$396,GE$169,1+SwaptionShift):INDEX($FK$325:$ID$396,GE$169,SwaptionMonthsToGo+SwaptionShift),INDEX($FK$245:$ID$316,$FJ223-GE$169,73-GE$169+SwaptionShift):INDEX($FK$245:$ID$316,$FJ223-GE$169,72-GE$169+SwaptionMonthsToGo+SwaptionShift))/SQRT(SUM(INDEX($FK378:$ID378,1+SwaptionShift):INDEX($FK378:$ID378,SwaptionMonthsToGo+SwaptionShift))*SUM(INDEX($FK$325:$ID$396,GE$169,1+SwaptionShift):INDEX($FK$325:$ID$396,GE$169,SwaptionMonthsToGo+SwaptionShift))))))</f>
        <v/>
      </c>
      <c r="GF223" s="150" t="str">
        <f aca="false">IF(OR(GF$169&lt;SwaptionFirstMonthPosition+1,$FJ223&lt;SwaptionFirstMonthPosition+1,GF$169&gt;SwaptionFirstMonthPosition+SwaptionNumOfMonths+1,$FJ223&gt;SwaptionFirstMonthPosition+SwaptionNumOfMonths+1),"",IF($FJ223=GF$169,1,IF($FJ223&lt;GF$169,INDEX($FK$170:$ID$241,GF$169,$FJ223),SUMPRODUCT(INDEX($FK$325:$ID$396,GF$169,1+SwaptionShift):INDEX($FK$325:$ID$396,GF$169,SwaptionMonthsToGo+SwaptionShift),INDEX($FK$245:$ID$316,$FJ223-GF$169,73-GF$169+SwaptionShift):INDEX($FK$245:$ID$316,$FJ223-GF$169,72-GF$169+SwaptionMonthsToGo+SwaptionShift))/SQRT(SUM(INDEX($FK378:$ID378,1+SwaptionShift):INDEX($FK378:$ID378,SwaptionMonthsToGo+SwaptionShift))*SUM(INDEX($FK$325:$ID$396,GF$169,1+SwaptionShift):INDEX($FK$325:$ID$396,GF$169,SwaptionMonthsToGo+SwaptionShift))))))</f>
        <v/>
      </c>
      <c r="GG223" s="150" t="str">
        <f aca="false">IF(OR(GG$169&lt;SwaptionFirstMonthPosition+1,$FJ223&lt;SwaptionFirstMonthPosition+1,GG$169&gt;SwaptionFirstMonthPosition+SwaptionNumOfMonths+1,$FJ223&gt;SwaptionFirstMonthPosition+SwaptionNumOfMonths+1),"",IF($FJ223=GG$169,1,IF($FJ223&lt;GG$169,INDEX($FK$170:$ID$241,GG$169,$FJ223),SUMPRODUCT(INDEX($FK$325:$ID$396,GG$169,1+SwaptionShift):INDEX($FK$325:$ID$396,GG$169,SwaptionMonthsToGo+SwaptionShift),INDEX($FK$245:$ID$316,$FJ223-GG$169,73-GG$169+SwaptionShift):INDEX($FK$245:$ID$316,$FJ223-GG$169,72-GG$169+SwaptionMonthsToGo+SwaptionShift))/SQRT(SUM(INDEX($FK378:$ID378,1+SwaptionShift):INDEX($FK378:$ID378,SwaptionMonthsToGo+SwaptionShift))*SUM(INDEX($FK$325:$ID$396,GG$169,1+SwaptionShift):INDEX($FK$325:$ID$396,GG$169,SwaptionMonthsToGo+SwaptionShift))))))</f>
        <v/>
      </c>
      <c r="GH223" s="150" t="str">
        <f aca="false">IF(OR(GH$169&lt;SwaptionFirstMonthPosition+1,$FJ223&lt;SwaptionFirstMonthPosition+1,GH$169&gt;SwaptionFirstMonthPosition+SwaptionNumOfMonths+1,$FJ223&gt;SwaptionFirstMonthPosition+SwaptionNumOfMonths+1),"",IF($FJ223=GH$169,1,IF($FJ223&lt;GH$169,INDEX($FK$170:$ID$241,GH$169,$FJ223),SUMPRODUCT(INDEX($FK$325:$ID$396,GH$169,1+SwaptionShift):INDEX($FK$325:$ID$396,GH$169,SwaptionMonthsToGo+SwaptionShift),INDEX($FK$245:$ID$316,$FJ223-GH$169,73-GH$169+SwaptionShift):INDEX($FK$245:$ID$316,$FJ223-GH$169,72-GH$169+SwaptionMonthsToGo+SwaptionShift))/SQRT(SUM(INDEX($FK378:$ID378,1+SwaptionShift):INDEX($FK378:$ID378,SwaptionMonthsToGo+SwaptionShift))*SUM(INDEX($FK$325:$ID$396,GH$169,1+SwaptionShift):INDEX($FK$325:$ID$396,GH$169,SwaptionMonthsToGo+SwaptionShift))))))</f>
        <v/>
      </c>
      <c r="GI223" s="150" t="str">
        <f aca="false">IF(OR(GI$169&lt;SwaptionFirstMonthPosition+1,$FJ223&lt;SwaptionFirstMonthPosition+1,GI$169&gt;SwaptionFirstMonthPosition+SwaptionNumOfMonths+1,$FJ223&gt;SwaptionFirstMonthPosition+SwaptionNumOfMonths+1),"",IF($FJ223=GI$169,1,IF($FJ223&lt;GI$169,INDEX($FK$170:$ID$241,GI$169,$FJ223),SUMPRODUCT(INDEX($FK$325:$ID$396,GI$169,1+SwaptionShift):INDEX($FK$325:$ID$396,GI$169,SwaptionMonthsToGo+SwaptionShift),INDEX($FK$245:$ID$316,$FJ223-GI$169,73-GI$169+SwaptionShift):INDEX($FK$245:$ID$316,$FJ223-GI$169,72-GI$169+SwaptionMonthsToGo+SwaptionShift))/SQRT(SUM(INDEX($FK378:$ID378,1+SwaptionShift):INDEX($FK378:$ID378,SwaptionMonthsToGo+SwaptionShift))*SUM(INDEX($FK$325:$ID$396,GI$169,1+SwaptionShift):INDEX($FK$325:$ID$396,GI$169,SwaptionMonthsToGo+SwaptionShift))))))</f>
        <v/>
      </c>
      <c r="GJ223" s="150" t="str">
        <f aca="false">IF(OR(GJ$169&lt;SwaptionFirstMonthPosition+1,$FJ223&lt;SwaptionFirstMonthPosition+1,GJ$169&gt;SwaptionFirstMonthPosition+SwaptionNumOfMonths+1,$FJ223&gt;SwaptionFirstMonthPosition+SwaptionNumOfMonths+1),"",IF($FJ223=GJ$169,1,IF($FJ223&lt;GJ$169,INDEX($FK$170:$ID$241,GJ$169,$FJ223),SUMPRODUCT(INDEX($FK$325:$ID$396,GJ$169,1+SwaptionShift):INDEX($FK$325:$ID$396,GJ$169,SwaptionMonthsToGo+SwaptionShift),INDEX($FK$245:$ID$316,$FJ223-GJ$169,73-GJ$169+SwaptionShift):INDEX($FK$245:$ID$316,$FJ223-GJ$169,72-GJ$169+SwaptionMonthsToGo+SwaptionShift))/SQRT(SUM(INDEX($FK378:$ID378,1+SwaptionShift):INDEX($FK378:$ID378,SwaptionMonthsToGo+SwaptionShift))*SUM(INDEX($FK$325:$ID$396,GJ$169,1+SwaptionShift):INDEX($FK$325:$ID$396,GJ$169,SwaptionMonthsToGo+SwaptionShift))))))</f>
        <v/>
      </c>
      <c r="GK223" s="150" t="str">
        <f aca="false">IF(OR(GK$169&lt;SwaptionFirstMonthPosition+1,$FJ223&lt;SwaptionFirstMonthPosition+1,GK$169&gt;SwaptionFirstMonthPosition+SwaptionNumOfMonths+1,$FJ223&gt;SwaptionFirstMonthPosition+SwaptionNumOfMonths+1),"",IF($FJ223=GK$169,1,IF($FJ223&lt;GK$169,INDEX($FK$170:$ID$241,GK$169,$FJ223),SUMPRODUCT(INDEX($FK$325:$ID$396,GK$169,1+SwaptionShift):INDEX($FK$325:$ID$396,GK$169,SwaptionMonthsToGo+SwaptionShift),INDEX($FK$245:$ID$316,$FJ223-GK$169,73-GK$169+SwaptionShift):INDEX($FK$245:$ID$316,$FJ223-GK$169,72-GK$169+SwaptionMonthsToGo+SwaptionShift))/SQRT(SUM(INDEX($FK378:$ID378,1+SwaptionShift):INDEX($FK378:$ID378,SwaptionMonthsToGo+SwaptionShift))*SUM(INDEX($FK$325:$ID$396,GK$169,1+SwaptionShift):INDEX($FK$325:$ID$396,GK$169,SwaptionMonthsToGo+SwaptionShift))))))</f>
        <v/>
      </c>
      <c r="GL223" s="150" t="str">
        <f aca="false">IF(OR(GL$169&lt;SwaptionFirstMonthPosition+1,$FJ223&lt;SwaptionFirstMonthPosition+1,GL$169&gt;SwaptionFirstMonthPosition+SwaptionNumOfMonths+1,$FJ223&gt;SwaptionFirstMonthPosition+SwaptionNumOfMonths+1),"",IF($FJ223=GL$169,1,IF($FJ223&lt;GL$169,INDEX($FK$170:$ID$241,GL$169,$FJ223),SUMPRODUCT(INDEX($FK$325:$ID$396,GL$169,1+SwaptionShift):INDEX($FK$325:$ID$396,GL$169,SwaptionMonthsToGo+SwaptionShift),INDEX($FK$245:$ID$316,$FJ223-GL$169,73-GL$169+SwaptionShift):INDEX($FK$245:$ID$316,$FJ223-GL$169,72-GL$169+SwaptionMonthsToGo+SwaptionShift))/SQRT(SUM(INDEX($FK378:$ID378,1+SwaptionShift):INDEX($FK378:$ID378,SwaptionMonthsToGo+SwaptionShift))*SUM(INDEX($FK$325:$ID$396,GL$169,1+SwaptionShift):INDEX($FK$325:$ID$396,GL$169,SwaptionMonthsToGo+SwaptionShift))))))</f>
        <v/>
      </c>
      <c r="GM223" s="150" t="str">
        <f aca="false">IF(OR(GM$169&lt;SwaptionFirstMonthPosition+1,$FJ223&lt;SwaptionFirstMonthPosition+1,GM$169&gt;SwaptionFirstMonthPosition+SwaptionNumOfMonths+1,$FJ223&gt;SwaptionFirstMonthPosition+SwaptionNumOfMonths+1),"",IF($FJ223=GM$169,1,IF($FJ223&lt;GM$169,INDEX($FK$170:$ID$241,GM$169,$FJ223),SUMPRODUCT(INDEX($FK$325:$ID$396,GM$169,1+SwaptionShift):INDEX($FK$325:$ID$396,GM$169,SwaptionMonthsToGo+SwaptionShift),INDEX($FK$245:$ID$316,$FJ223-GM$169,73-GM$169+SwaptionShift):INDEX($FK$245:$ID$316,$FJ223-GM$169,72-GM$169+SwaptionMonthsToGo+SwaptionShift))/SQRT(SUM(INDEX($FK378:$ID378,1+SwaptionShift):INDEX($FK378:$ID378,SwaptionMonthsToGo+SwaptionShift))*SUM(INDEX($FK$325:$ID$396,GM$169,1+SwaptionShift):INDEX($FK$325:$ID$396,GM$169,SwaptionMonthsToGo+SwaptionShift))))))</f>
        <v/>
      </c>
      <c r="GN223" s="150" t="str">
        <f aca="false">IF(OR(GN$169&lt;SwaptionFirstMonthPosition+1,$FJ223&lt;SwaptionFirstMonthPosition+1,GN$169&gt;SwaptionFirstMonthPosition+SwaptionNumOfMonths+1,$FJ223&gt;SwaptionFirstMonthPosition+SwaptionNumOfMonths+1),"",IF($FJ223=GN$169,1,IF($FJ223&lt;GN$169,INDEX($FK$170:$ID$241,GN$169,$FJ223),SUMPRODUCT(INDEX($FK$325:$ID$396,GN$169,1+SwaptionShift):INDEX($FK$325:$ID$396,GN$169,SwaptionMonthsToGo+SwaptionShift),INDEX($FK$245:$ID$316,$FJ223-GN$169,73-GN$169+SwaptionShift):INDEX($FK$245:$ID$316,$FJ223-GN$169,72-GN$169+SwaptionMonthsToGo+SwaptionShift))/SQRT(SUM(INDEX($FK378:$ID378,1+SwaptionShift):INDEX($FK378:$ID378,SwaptionMonthsToGo+SwaptionShift))*SUM(INDEX($FK$325:$ID$396,GN$169,1+SwaptionShift):INDEX($FK$325:$ID$396,GN$169,SwaptionMonthsToGo+SwaptionShift))))))</f>
        <v/>
      </c>
      <c r="GO223" s="150" t="str">
        <f aca="false">IF(OR(GO$169&lt;SwaptionFirstMonthPosition+1,$FJ223&lt;SwaptionFirstMonthPosition+1,GO$169&gt;SwaptionFirstMonthPosition+SwaptionNumOfMonths+1,$FJ223&gt;SwaptionFirstMonthPosition+SwaptionNumOfMonths+1),"",IF($FJ223=GO$169,1,IF($FJ223&lt;GO$169,INDEX($FK$170:$ID$241,GO$169,$FJ223),SUMPRODUCT(INDEX($FK$325:$ID$396,GO$169,1+SwaptionShift):INDEX($FK$325:$ID$396,GO$169,SwaptionMonthsToGo+SwaptionShift),INDEX($FK$245:$ID$316,$FJ223-GO$169,73-GO$169+SwaptionShift):INDEX($FK$245:$ID$316,$FJ223-GO$169,72-GO$169+SwaptionMonthsToGo+SwaptionShift))/SQRT(SUM(INDEX($FK378:$ID378,1+SwaptionShift):INDEX($FK378:$ID378,SwaptionMonthsToGo+SwaptionShift))*SUM(INDEX($FK$325:$ID$396,GO$169,1+SwaptionShift):INDEX($FK$325:$ID$396,GO$169,SwaptionMonthsToGo+SwaptionShift))))))</f>
        <v/>
      </c>
      <c r="GP223" s="150" t="str">
        <f aca="false">IF(OR(GP$169&lt;SwaptionFirstMonthPosition+1,$FJ223&lt;SwaptionFirstMonthPosition+1,GP$169&gt;SwaptionFirstMonthPosition+SwaptionNumOfMonths+1,$FJ223&gt;SwaptionFirstMonthPosition+SwaptionNumOfMonths+1),"",IF($FJ223=GP$169,1,IF($FJ223&lt;GP$169,INDEX($FK$170:$ID$241,GP$169,$FJ223),SUMPRODUCT(INDEX($FK$325:$ID$396,GP$169,1+SwaptionShift):INDEX($FK$325:$ID$396,GP$169,SwaptionMonthsToGo+SwaptionShift),INDEX($FK$245:$ID$316,$FJ223-GP$169,73-GP$169+SwaptionShift):INDEX($FK$245:$ID$316,$FJ223-GP$169,72-GP$169+SwaptionMonthsToGo+SwaptionShift))/SQRT(SUM(INDEX($FK378:$ID378,1+SwaptionShift):INDEX($FK378:$ID378,SwaptionMonthsToGo+SwaptionShift))*SUM(INDEX($FK$325:$ID$396,GP$169,1+SwaptionShift):INDEX($FK$325:$ID$396,GP$169,SwaptionMonthsToGo+SwaptionShift))))))</f>
        <v/>
      </c>
      <c r="GQ223" s="150" t="str">
        <f aca="false">IF(OR(GQ$169&lt;SwaptionFirstMonthPosition+1,$FJ223&lt;SwaptionFirstMonthPosition+1,GQ$169&gt;SwaptionFirstMonthPosition+SwaptionNumOfMonths+1,$FJ223&gt;SwaptionFirstMonthPosition+SwaptionNumOfMonths+1),"",IF($FJ223=GQ$169,1,IF($FJ223&lt;GQ$169,INDEX($FK$170:$ID$241,GQ$169,$FJ223),SUMPRODUCT(INDEX($FK$325:$ID$396,GQ$169,1+SwaptionShift):INDEX($FK$325:$ID$396,GQ$169,SwaptionMonthsToGo+SwaptionShift),INDEX($FK$245:$ID$316,$FJ223-GQ$169,73-GQ$169+SwaptionShift):INDEX($FK$245:$ID$316,$FJ223-GQ$169,72-GQ$169+SwaptionMonthsToGo+SwaptionShift))/SQRT(SUM(INDEX($FK378:$ID378,1+SwaptionShift):INDEX($FK378:$ID378,SwaptionMonthsToGo+SwaptionShift))*SUM(INDEX($FK$325:$ID$396,GQ$169,1+SwaptionShift):INDEX($FK$325:$ID$396,GQ$169,SwaptionMonthsToGo+SwaptionShift))))))</f>
        <v/>
      </c>
      <c r="GR223" s="150" t="str">
        <f aca="false">IF(OR(GR$169&lt;SwaptionFirstMonthPosition+1,$FJ223&lt;SwaptionFirstMonthPosition+1,GR$169&gt;SwaptionFirstMonthPosition+SwaptionNumOfMonths+1,$FJ223&gt;SwaptionFirstMonthPosition+SwaptionNumOfMonths+1),"",IF($FJ223=GR$169,1,IF($FJ223&lt;GR$169,INDEX($FK$170:$ID$241,GR$169,$FJ223),SUMPRODUCT(INDEX($FK$325:$ID$396,GR$169,1+SwaptionShift):INDEX($FK$325:$ID$396,GR$169,SwaptionMonthsToGo+SwaptionShift),INDEX($FK$245:$ID$316,$FJ223-GR$169,73-GR$169+SwaptionShift):INDEX($FK$245:$ID$316,$FJ223-GR$169,72-GR$169+SwaptionMonthsToGo+SwaptionShift))/SQRT(SUM(INDEX($FK378:$ID378,1+SwaptionShift):INDEX($FK378:$ID378,SwaptionMonthsToGo+SwaptionShift))*SUM(INDEX($FK$325:$ID$396,GR$169,1+SwaptionShift):INDEX($FK$325:$ID$396,GR$169,SwaptionMonthsToGo+SwaptionShift))))))</f>
        <v/>
      </c>
      <c r="GS223" s="150" t="str">
        <f aca="false">IF(OR(GS$169&lt;SwaptionFirstMonthPosition+1,$FJ223&lt;SwaptionFirstMonthPosition+1,GS$169&gt;SwaptionFirstMonthPosition+SwaptionNumOfMonths+1,$FJ223&gt;SwaptionFirstMonthPosition+SwaptionNumOfMonths+1),"",IF($FJ223=GS$169,1,IF($FJ223&lt;GS$169,INDEX($FK$170:$ID$241,GS$169,$FJ223),SUMPRODUCT(INDEX($FK$325:$ID$396,GS$169,1+SwaptionShift):INDEX($FK$325:$ID$396,GS$169,SwaptionMonthsToGo+SwaptionShift),INDEX($FK$245:$ID$316,$FJ223-GS$169,73-GS$169+SwaptionShift):INDEX($FK$245:$ID$316,$FJ223-GS$169,72-GS$169+SwaptionMonthsToGo+SwaptionShift))/SQRT(SUM(INDEX($FK378:$ID378,1+SwaptionShift):INDEX($FK378:$ID378,SwaptionMonthsToGo+SwaptionShift))*SUM(INDEX($FK$325:$ID$396,GS$169,1+SwaptionShift):INDEX($FK$325:$ID$396,GS$169,SwaptionMonthsToGo+SwaptionShift))))))</f>
        <v/>
      </c>
      <c r="GT223" s="150" t="str">
        <f aca="false">IF(OR(GT$169&lt;SwaptionFirstMonthPosition+1,$FJ223&lt;SwaptionFirstMonthPosition+1,GT$169&gt;SwaptionFirstMonthPosition+SwaptionNumOfMonths+1,$FJ223&gt;SwaptionFirstMonthPosition+SwaptionNumOfMonths+1),"",IF($FJ223=GT$169,1,IF($FJ223&lt;GT$169,INDEX($FK$170:$ID$241,GT$169,$FJ223),SUMPRODUCT(INDEX($FK$325:$ID$396,GT$169,1+SwaptionShift):INDEX($FK$325:$ID$396,GT$169,SwaptionMonthsToGo+SwaptionShift),INDEX($FK$245:$ID$316,$FJ223-GT$169,73-GT$169+SwaptionShift):INDEX($FK$245:$ID$316,$FJ223-GT$169,72-GT$169+SwaptionMonthsToGo+SwaptionShift))/SQRT(SUM(INDEX($FK378:$ID378,1+SwaptionShift):INDEX($FK378:$ID378,SwaptionMonthsToGo+SwaptionShift))*SUM(INDEX($FK$325:$ID$396,GT$169,1+SwaptionShift):INDEX($FK$325:$ID$396,GT$169,SwaptionMonthsToGo+SwaptionShift))))))</f>
        <v/>
      </c>
      <c r="GU223" s="150" t="str">
        <f aca="false">IF(OR(GU$169&lt;SwaptionFirstMonthPosition+1,$FJ223&lt;SwaptionFirstMonthPosition+1,GU$169&gt;SwaptionFirstMonthPosition+SwaptionNumOfMonths+1,$FJ223&gt;SwaptionFirstMonthPosition+SwaptionNumOfMonths+1),"",IF($FJ223=GU$169,1,IF($FJ223&lt;GU$169,INDEX($FK$170:$ID$241,GU$169,$FJ223),SUMPRODUCT(INDEX($FK$325:$ID$396,GU$169,1+SwaptionShift):INDEX($FK$325:$ID$396,GU$169,SwaptionMonthsToGo+SwaptionShift),INDEX($FK$245:$ID$316,$FJ223-GU$169,73-GU$169+SwaptionShift):INDEX($FK$245:$ID$316,$FJ223-GU$169,72-GU$169+SwaptionMonthsToGo+SwaptionShift))/SQRT(SUM(INDEX($FK378:$ID378,1+SwaptionShift):INDEX($FK378:$ID378,SwaptionMonthsToGo+SwaptionShift))*SUM(INDEX($FK$325:$ID$396,GU$169,1+SwaptionShift):INDEX($FK$325:$ID$396,GU$169,SwaptionMonthsToGo+SwaptionShift))))))</f>
        <v/>
      </c>
      <c r="GV223" s="150" t="str">
        <f aca="false">IF(OR(GV$169&lt;SwaptionFirstMonthPosition+1,$FJ223&lt;SwaptionFirstMonthPosition+1,GV$169&gt;SwaptionFirstMonthPosition+SwaptionNumOfMonths+1,$FJ223&gt;SwaptionFirstMonthPosition+SwaptionNumOfMonths+1),"",IF($FJ223=GV$169,1,IF($FJ223&lt;GV$169,INDEX($FK$170:$ID$241,GV$169,$FJ223),SUMPRODUCT(INDEX($FK$325:$ID$396,GV$169,1+SwaptionShift):INDEX($FK$325:$ID$396,GV$169,SwaptionMonthsToGo+SwaptionShift),INDEX($FK$245:$ID$316,$FJ223-GV$169,73-GV$169+SwaptionShift):INDEX($FK$245:$ID$316,$FJ223-GV$169,72-GV$169+SwaptionMonthsToGo+SwaptionShift))/SQRT(SUM(INDEX($FK378:$ID378,1+SwaptionShift):INDEX($FK378:$ID378,SwaptionMonthsToGo+SwaptionShift))*SUM(INDEX($FK$325:$ID$396,GV$169,1+SwaptionShift):INDEX($FK$325:$ID$396,GV$169,SwaptionMonthsToGo+SwaptionShift))))))</f>
        <v/>
      </c>
      <c r="GW223" s="150" t="str">
        <f aca="false">IF(OR(GW$169&lt;SwaptionFirstMonthPosition+1,$FJ223&lt;SwaptionFirstMonthPosition+1,GW$169&gt;SwaptionFirstMonthPosition+SwaptionNumOfMonths+1,$FJ223&gt;SwaptionFirstMonthPosition+SwaptionNumOfMonths+1),"",IF($FJ223=GW$169,1,IF($FJ223&lt;GW$169,INDEX($FK$170:$ID$241,GW$169,$FJ223),SUMPRODUCT(INDEX($FK$325:$ID$396,GW$169,1+SwaptionShift):INDEX($FK$325:$ID$396,GW$169,SwaptionMonthsToGo+SwaptionShift),INDEX($FK$245:$ID$316,$FJ223-GW$169,73-GW$169+SwaptionShift):INDEX($FK$245:$ID$316,$FJ223-GW$169,72-GW$169+SwaptionMonthsToGo+SwaptionShift))/SQRT(SUM(INDEX($FK378:$ID378,1+SwaptionShift):INDEX($FK378:$ID378,SwaptionMonthsToGo+SwaptionShift))*SUM(INDEX($FK$325:$ID$396,GW$169,1+SwaptionShift):INDEX($FK$325:$ID$396,GW$169,SwaptionMonthsToGo+SwaptionShift))))))</f>
        <v/>
      </c>
      <c r="GX223" s="150" t="str">
        <f aca="false">IF(OR(GX$169&lt;SwaptionFirstMonthPosition+1,$FJ223&lt;SwaptionFirstMonthPosition+1,GX$169&gt;SwaptionFirstMonthPosition+SwaptionNumOfMonths+1,$FJ223&gt;SwaptionFirstMonthPosition+SwaptionNumOfMonths+1),"",IF($FJ223=GX$169,1,IF($FJ223&lt;GX$169,INDEX($FK$170:$ID$241,GX$169,$FJ223),SUMPRODUCT(INDEX($FK$325:$ID$396,GX$169,1+SwaptionShift):INDEX($FK$325:$ID$396,GX$169,SwaptionMonthsToGo+SwaptionShift),INDEX($FK$245:$ID$316,$FJ223-GX$169,73-GX$169+SwaptionShift):INDEX($FK$245:$ID$316,$FJ223-GX$169,72-GX$169+SwaptionMonthsToGo+SwaptionShift))/SQRT(SUM(INDEX($FK378:$ID378,1+SwaptionShift):INDEX($FK378:$ID378,SwaptionMonthsToGo+SwaptionShift))*SUM(INDEX($FK$325:$ID$396,GX$169,1+SwaptionShift):INDEX($FK$325:$ID$396,GX$169,SwaptionMonthsToGo+SwaptionShift))))))</f>
        <v/>
      </c>
      <c r="GY223" s="150" t="str">
        <f aca="false">IF(OR(GY$169&lt;SwaptionFirstMonthPosition+1,$FJ223&lt;SwaptionFirstMonthPosition+1,GY$169&gt;SwaptionFirstMonthPosition+SwaptionNumOfMonths+1,$FJ223&gt;SwaptionFirstMonthPosition+SwaptionNumOfMonths+1),"",IF($FJ223=GY$169,1,IF($FJ223&lt;GY$169,INDEX($FK$170:$ID$241,GY$169,$FJ223),SUMPRODUCT(INDEX($FK$325:$ID$396,GY$169,1+SwaptionShift):INDEX($FK$325:$ID$396,GY$169,SwaptionMonthsToGo+SwaptionShift),INDEX($FK$245:$ID$316,$FJ223-GY$169,73-GY$169+SwaptionShift):INDEX($FK$245:$ID$316,$FJ223-GY$169,72-GY$169+SwaptionMonthsToGo+SwaptionShift))/SQRT(SUM(INDEX($FK378:$ID378,1+SwaptionShift):INDEX($FK378:$ID378,SwaptionMonthsToGo+SwaptionShift))*SUM(INDEX($FK$325:$ID$396,GY$169,1+SwaptionShift):INDEX($FK$325:$ID$396,GY$169,SwaptionMonthsToGo+SwaptionShift))))))</f>
        <v/>
      </c>
      <c r="GZ223" s="150" t="str">
        <f aca="false">IF(OR(GZ$169&lt;SwaptionFirstMonthPosition+1,$FJ223&lt;SwaptionFirstMonthPosition+1,GZ$169&gt;SwaptionFirstMonthPosition+SwaptionNumOfMonths+1,$FJ223&gt;SwaptionFirstMonthPosition+SwaptionNumOfMonths+1),"",IF($FJ223=GZ$169,1,IF($FJ223&lt;GZ$169,INDEX($FK$170:$ID$241,GZ$169,$FJ223),SUMPRODUCT(INDEX($FK$325:$ID$396,GZ$169,1+SwaptionShift):INDEX($FK$325:$ID$396,GZ$169,SwaptionMonthsToGo+SwaptionShift),INDEX($FK$245:$ID$316,$FJ223-GZ$169,73-GZ$169+SwaptionShift):INDEX($FK$245:$ID$316,$FJ223-GZ$169,72-GZ$169+SwaptionMonthsToGo+SwaptionShift))/SQRT(SUM(INDEX($FK378:$ID378,1+SwaptionShift):INDEX($FK378:$ID378,SwaptionMonthsToGo+SwaptionShift))*SUM(INDEX($FK$325:$ID$396,GZ$169,1+SwaptionShift):INDEX($FK$325:$ID$396,GZ$169,SwaptionMonthsToGo+SwaptionShift))))))</f>
        <v/>
      </c>
      <c r="HA223" s="150" t="str">
        <f aca="false">IF(OR(HA$169&lt;SwaptionFirstMonthPosition+1,$FJ223&lt;SwaptionFirstMonthPosition+1,HA$169&gt;SwaptionFirstMonthPosition+SwaptionNumOfMonths+1,$FJ223&gt;SwaptionFirstMonthPosition+SwaptionNumOfMonths+1),"",IF($FJ223=HA$169,1,IF($FJ223&lt;HA$169,INDEX($FK$170:$ID$241,HA$169,$FJ223),SUMPRODUCT(INDEX($FK$325:$ID$396,HA$169,1+SwaptionShift):INDEX($FK$325:$ID$396,HA$169,SwaptionMonthsToGo+SwaptionShift),INDEX($FK$245:$ID$316,$FJ223-HA$169,73-HA$169+SwaptionShift):INDEX($FK$245:$ID$316,$FJ223-HA$169,72-HA$169+SwaptionMonthsToGo+SwaptionShift))/SQRT(SUM(INDEX($FK378:$ID378,1+SwaptionShift):INDEX($FK378:$ID378,SwaptionMonthsToGo+SwaptionShift))*SUM(INDEX($FK$325:$ID$396,HA$169,1+SwaptionShift):INDEX($FK$325:$ID$396,HA$169,SwaptionMonthsToGo+SwaptionShift))))))</f>
        <v/>
      </c>
      <c r="HB223" s="150" t="str">
        <f aca="false">IF(OR(HB$169&lt;SwaptionFirstMonthPosition+1,$FJ223&lt;SwaptionFirstMonthPosition+1,HB$169&gt;SwaptionFirstMonthPosition+SwaptionNumOfMonths+1,$FJ223&gt;SwaptionFirstMonthPosition+SwaptionNumOfMonths+1),"",IF($FJ223=HB$169,1,IF($FJ223&lt;HB$169,INDEX($FK$170:$ID$241,HB$169,$FJ223),SUMPRODUCT(INDEX($FK$325:$ID$396,HB$169,1+SwaptionShift):INDEX($FK$325:$ID$396,HB$169,SwaptionMonthsToGo+SwaptionShift),INDEX($FK$245:$ID$316,$FJ223-HB$169,73-HB$169+SwaptionShift):INDEX($FK$245:$ID$316,$FJ223-HB$169,72-HB$169+SwaptionMonthsToGo+SwaptionShift))/SQRT(SUM(INDEX($FK378:$ID378,1+SwaptionShift):INDEX($FK378:$ID378,SwaptionMonthsToGo+SwaptionShift))*SUM(INDEX($FK$325:$ID$396,HB$169,1+SwaptionShift):INDEX($FK$325:$ID$396,HB$169,SwaptionMonthsToGo+SwaptionShift))))))</f>
        <v/>
      </c>
      <c r="HC223" s="150" t="str">
        <f aca="false">IF(OR(HC$169&lt;SwaptionFirstMonthPosition+1,$FJ223&lt;SwaptionFirstMonthPosition+1,HC$169&gt;SwaptionFirstMonthPosition+SwaptionNumOfMonths+1,$FJ223&gt;SwaptionFirstMonthPosition+SwaptionNumOfMonths+1),"",IF($FJ223=HC$169,1,IF($FJ223&lt;HC$169,INDEX($FK$170:$ID$241,HC$169,$FJ223),SUMPRODUCT(INDEX($FK$325:$ID$396,HC$169,1+SwaptionShift):INDEX($FK$325:$ID$396,HC$169,SwaptionMonthsToGo+SwaptionShift),INDEX($FK$245:$ID$316,$FJ223-HC$169,73-HC$169+SwaptionShift):INDEX($FK$245:$ID$316,$FJ223-HC$169,72-HC$169+SwaptionMonthsToGo+SwaptionShift))/SQRT(SUM(INDEX($FK378:$ID378,1+SwaptionShift):INDEX($FK378:$ID378,SwaptionMonthsToGo+SwaptionShift))*SUM(INDEX($FK$325:$ID$396,HC$169,1+SwaptionShift):INDEX($FK$325:$ID$396,HC$169,SwaptionMonthsToGo+SwaptionShift))))))</f>
        <v/>
      </c>
      <c r="HD223" s="150" t="str">
        <f aca="false">IF(OR(HD$169&lt;SwaptionFirstMonthPosition+1,$FJ223&lt;SwaptionFirstMonthPosition+1,HD$169&gt;SwaptionFirstMonthPosition+SwaptionNumOfMonths+1,$FJ223&gt;SwaptionFirstMonthPosition+SwaptionNumOfMonths+1),"",IF($FJ223=HD$169,1,IF($FJ223&lt;HD$169,INDEX($FK$170:$ID$241,HD$169,$FJ223),SUMPRODUCT(INDEX($FK$325:$ID$396,HD$169,1+SwaptionShift):INDEX($FK$325:$ID$396,HD$169,SwaptionMonthsToGo+SwaptionShift),INDEX($FK$245:$ID$316,$FJ223-HD$169,73-HD$169+SwaptionShift):INDEX($FK$245:$ID$316,$FJ223-HD$169,72-HD$169+SwaptionMonthsToGo+SwaptionShift))/SQRT(SUM(INDEX($FK378:$ID378,1+SwaptionShift):INDEX($FK378:$ID378,SwaptionMonthsToGo+SwaptionShift))*SUM(INDEX($FK$325:$ID$396,HD$169,1+SwaptionShift):INDEX($FK$325:$ID$396,HD$169,SwaptionMonthsToGo+SwaptionShift))))))</f>
        <v/>
      </c>
      <c r="HE223" s="150" t="str">
        <f aca="false">IF(OR(HE$169&lt;SwaptionFirstMonthPosition+1,$FJ223&lt;SwaptionFirstMonthPosition+1,HE$169&gt;SwaptionFirstMonthPosition+SwaptionNumOfMonths+1,$FJ223&gt;SwaptionFirstMonthPosition+SwaptionNumOfMonths+1),"",IF($FJ223=HE$169,1,IF($FJ223&lt;HE$169,INDEX($FK$170:$ID$241,HE$169,$FJ223),SUMPRODUCT(INDEX($FK$325:$ID$396,HE$169,1+SwaptionShift):INDEX($FK$325:$ID$396,HE$169,SwaptionMonthsToGo+SwaptionShift),INDEX($FK$245:$ID$316,$FJ223-HE$169,73-HE$169+SwaptionShift):INDEX($FK$245:$ID$316,$FJ223-HE$169,72-HE$169+SwaptionMonthsToGo+SwaptionShift))/SQRT(SUM(INDEX($FK378:$ID378,1+SwaptionShift):INDEX($FK378:$ID378,SwaptionMonthsToGo+SwaptionShift))*SUM(INDEX($FK$325:$ID$396,HE$169,1+SwaptionShift):INDEX($FK$325:$ID$396,HE$169,SwaptionMonthsToGo+SwaptionShift))))))</f>
        <v/>
      </c>
      <c r="HF223" s="150" t="str">
        <f aca="false">IF(OR(HF$169&lt;SwaptionFirstMonthPosition+1,$FJ223&lt;SwaptionFirstMonthPosition+1,HF$169&gt;SwaptionFirstMonthPosition+SwaptionNumOfMonths+1,$FJ223&gt;SwaptionFirstMonthPosition+SwaptionNumOfMonths+1),"",IF($FJ223=HF$169,1,IF($FJ223&lt;HF$169,INDEX($FK$170:$ID$241,HF$169,$FJ223),SUMPRODUCT(INDEX($FK$325:$ID$396,HF$169,1+SwaptionShift):INDEX($FK$325:$ID$396,HF$169,SwaptionMonthsToGo+SwaptionShift),INDEX($FK$245:$ID$316,$FJ223-HF$169,73-HF$169+SwaptionShift):INDEX($FK$245:$ID$316,$FJ223-HF$169,72-HF$169+SwaptionMonthsToGo+SwaptionShift))/SQRT(SUM(INDEX($FK378:$ID378,1+SwaptionShift):INDEX($FK378:$ID378,SwaptionMonthsToGo+SwaptionShift))*SUM(INDEX($FK$325:$ID$396,HF$169,1+SwaptionShift):INDEX($FK$325:$ID$396,HF$169,SwaptionMonthsToGo+SwaptionShift))))))</f>
        <v/>
      </c>
      <c r="HG223" s="150" t="str">
        <f aca="false">IF(OR(HG$169&lt;SwaptionFirstMonthPosition+1,$FJ223&lt;SwaptionFirstMonthPosition+1,HG$169&gt;SwaptionFirstMonthPosition+SwaptionNumOfMonths+1,$FJ223&gt;SwaptionFirstMonthPosition+SwaptionNumOfMonths+1),"",IF($FJ223=HG$169,1,IF($FJ223&lt;HG$169,INDEX($FK$170:$ID$241,HG$169,$FJ223),SUMPRODUCT(INDEX($FK$325:$ID$396,HG$169,1+SwaptionShift):INDEX($FK$325:$ID$396,HG$169,SwaptionMonthsToGo+SwaptionShift),INDEX($FK$245:$ID$316,$FJ223-HG$169,73-HG$169+SwaptionShift):INDEX($FK$245:$ID$316,$FJ223-HG$169,72-HG$169+SwaptionMonthsToGo+SwaptionShift))/SQRT(SUM(INDEX($FK378:$ID378,1+SwaptionShift):INDEX($FK378:$ID378,SwaptionMonthsToGo+SwaptionShift))*SUM(INDEX($FK$325:$ID$396,HG$169,1+SwaptionShift):INDEX($FK$325:$ID$396,HG$169,SwaptionMonthsToGo+SwaptionShift))))))</f>
        <v/>
      </c>
      <c r="HH223" s="150" t="str">
        <f aca="false">IF(OR(HH$169&lt;SwaptionFirstMonthPosition+1,$FJ223&lt;SwaptionFirstMonthPosition+1,HH$169&gt;SwaptionFirstMonthPosition+SwaptionNumOfMonths+1,$FJ223&gt;SwaptionFirstMonthPosition+SwaptionNumOfMonths+1),"",IF($FJ223=HH$169,1,IF($FJ223&lt;HH$169,INDEX($FK$170:$ID$241,HH$169,$FJ223),SUMPRODUCT(INDEX($FK$325:$ID$396,HH$169,1+SwaptionShift):INDEX($FK$325:$ID$396,HH$169,SwaptionMonthsToGo+SwaptionShift),INDEX($FK$245:$ID$316,$FJ223-HH$169,73-HH$169+SwaptionShift):INDEX($FK$245:$ID$316,$FJ223-HH$169,72-HH$169+SwaptionMonthsToGo+SwaptionShift))/SQRT(SUM(INDEX($FK378:$ID378,1+SwaptionShift):INDEX($FK378:$ID378,SwaptionMonthsToGo+SwaptionShift))*SUM(INDEX($FK$325:$ID$396,HH$169,1+SwaptionShift):INDEX($FK$325:$ID$396,HH$169,SwaptionMonthsToGo+SwaptionShift))))))</f>
        <v/>
      </c>
      <c r="HI223" s="150" t="str">
        <f aca="false">IF(OR(HI$169&lt;SwaptionFirstMonthPosition+1,$FJ223&lt;SwaptionFirstMonthPosition+1,HI$169&gt;SwaptionFirstMonthPosition+SwaptionNumOfMonths+1,$FJ223&gt;SwaptionFirstMonthPosition+SwaptionNumOfMonths+1),"",IF($FJ223=HI$169,1,IF($FJ223&lt;HI$169,INDEX($FK$170:$ID$241,HI$169,$FJ223),SUMPRODUCT(INDEX($FK$325:$ID$396,HI$169,1+SwaptionShift):INDEX($FK$325:$ID$396,HI$169,SwaptionMonthsToGo+SwaptionShift),INDEX($FK$245:$ID$316,$FJ223-HI$169,73-HI$169+SwaptionShift):INDEX($FK$245:$ID$316,$FJ223-HI$169,72-HI$169+SwaptionMonthsToGo+SwaptionShift))/SQRT(SUM(INDEX($FK378:$ID378,1+SwaptionShift):INDEX($FK378:$ID378,SwaptionMonthsToGo+SwaptionShift))*SUM(INDEX($FK$325:$ID$396,HI$169,1+SwaptionShift):INDEX($FK$325:$ID$396,HI$169,SwaptionMonthsToGo+SwaptionShift))))))</f>
        <v/>
      </c>
      <c r="HJ223" s="150" t="str">
        <f aca="false">IF(OR(HJ$169&lt;SwaptionFirstMonthPosition+1,$FJ223&lt;SwaptionFirstMonthPosition+1,HJ$169&gt;SwaptionFirstMonthPosition+SwaptionNumOfMonths+1,$FJ223&gt;SwaptionFirstMonthPosition+SwaptionNumOfMonths+1),"",IF($FJ223=HJ$169,1,IF($FJ223&lt;HJ$169,INDEX($FK$170:$ID$241,HJ$169,$FJ223),SUMPRODUCT(INDEX($FK$325:$ID$396,HJ$169,1+SwaptionShift):INDEX($FK$325:$ID$396,HJ$169,SwaptionMonthsToGo+SwaptionShift),INDEX($FK$245:$ID$316,$FJ223-HJ$169,73-HJ$169+SwaptionShift):INDEX($FK$245:$ID$316,$FJ223-HJ$169,72-HJ$169+SwaptionMonthsToGo+SwaptionShift))/SQRT(SUM(INDEX($FK378:$ID378,1+SwaptionShift):INDEX($FK378:$ID378,SwaptionMonthsToGo+SwaptionShift))*SUM(INDEX($FK$325:$ID$396,HJ$169,1+SwaptionShift):INDEX($FK$325:$ID$396,HJ$169,SwaptionMonthsToGo+SwaptionShift))))))</f>
        <v/>
      </c>
      <c r="HK223" s="150" t="str">
        <f aca="false">IF(OR(HK$169&lt;SwaptionFirstMonthPosition+1,$FJ223&lt;SwaptionFirstMonthPosition+1,HK$169&gt;SwaptionFirstMonthPosition+SwaptionNumOfMonths+1,$FJ223&gt;SwaptionFirstMonthPosition+SwaptionNumOfMonths+1),"",IF($FJ223=HK$169,1,IF($FJ223&lt;HK$169,INDEX($FK$170:$ID$241,HK$169,$FJ223),SUMPRODUCT(INDEX($FK$325:$ID$396,HK$169,1+SwaptionShift):INDEX($FK$325:$ID$396,HK$169,SwaptionMonthsToGo+SwaptionShift),INDEX($FK$245:$ID$316,$FJ223-HK$169,73-HK$169+SwaptionShift):INDEX($FK$245:$ID$316,$FJ223-HK$169,72-HK$169+SwaptionMonthsToGo+SwaptionShift))/SQRT(SUM(INDEX($FK378:$ID378,1+SwaptionShift):INDEX($FK378:$ID378,SwaptionMonthsToGo+SwaptionShift))*SUM(INDEX($FK$325:$ID$396,HK$169,1+SwaptionShift):INDEX($FK$325:$ID$396,HK$169,SwaptionMonthsToGo+SwaptionShift))))))</f>
        <v/>
      </c>
      <c r="HL223" s="150" t="str">
        <f aca="false">IF(OR(HL$169&lt;SwaptionFirstMonthPosition+1,$FJ223&lt;SwaptionFirstMonthPosition+1,HL$169&gt;SwaptionFirstMonthPosition+SwaptionNumOfMonths+1,$FJ223&gt;SwaptionFirstMonthPosition+SwaptionNumOfMonths+1),"",IF($FJ223=HL$169,1,IF($FJ223&lt;HL$169,INDEX($FK$170:$ID$241,HL$169,$FJ223),SUMPRODUCT(INDEX($FK$325:$ID$396,HL$169,1+SwaptionShift):INDEX($FK$325:$ID$396,HL$169,SwaptionMonthsToGo+SwaptionShift),INDEX($FK$245:$ID$316,$FJ223-HL$169,73-HL$169+SwaptionShift):INDEX($FK$245:$ID$316,$FJ223-HL$169,72-HL$169+SwaptionMonthsToGo+SwaptionShift))/SQRT(SUM(INDEX($FK378:$ID378,1+SwaptionShift):INDEX($FK378:$ID378,SwaptionMonthsToGo+SwaptionShift))*SUM(INDEX($FK$325:$ID$396,HL$169,1+SwaptionShift):INDEX($FK$325:$ID$396,HL$169,SwaptionMonthsToGo+SwaptionShift))))))</f>
        <v/>
      </c>
      <c r="HM223" s="150" t="str">
        <f aca="false">IF(OR(HM$169&lt;SwaptionFirstMonthPosition+1,$FJ223&lt;SwaptionFirstMonthPosition+1,HM$169&gt;SwaptionFirstMonthPosition+SwaptionNumOfMonths+1,$FJ223&gt;SwaptionFirstMonthPosition+SwaptionNumOfMonths+1),"",IF($FJ223=HM$169,1,IF($FJ223&lt;HM$169,INDEX($FK$170:$ID$241,HM$169,$FJ223),SUMPRODUCT(INDEX($FK$325:$ID$396,HM$169,1+SwaptionShift):INDEX($FK$325:$ID$396,HM$169,SwaptionMonthsToGo+SwaptionShift),INDEX($FK$245:$ID$316,$FJ223-HM$169,73-HM$169+SwaptionShift):INDEX($FK$245:$ID$316,$FJ223-HM$169,72-HM$169+SwaptionMonthsToGo+SwaptionShift))/SQRT(SUM(INDEX($FK378:$ID378,1+SwaptionShift):INDEX($FK378:$ID378,SwaptionMonthsToGo+SwaptionShift))*SUM(INDEX($FK$325:$ID$396,HM$169,1+SwaptionShift):INDEX($FK$325:$ID$396,HM$169,SwaptionMonthsToGo+SwaptionShift))))))</f>
        <v/>
      </c>
      <c r="HN223" s="150" t="str">
        <f aca="false">IF(OR(HN$169&lt;SwaptionFirstMonthPosition+1,$FJ223&lt;SwaptionFirstMonthPosition+1,HN$169&gt;SwaptionFirstMonthPosition+SwaptionNumOfMonths+1,$FJ223&gt;SwaptionFirstMonthPosition+SwaptionNumOfMonths+1),"",IF($FJ223=HN$169,1,IF($FJ223&lt;HN$169,INDEX($FK$170:$ID$241,HN$169,$FJ223),SUMPRODUCT(INDEX($FK$325:$ID$396,HN$169,1+SwaptionShift):INDEX($FK$325:$ID$396,HN$169,SwaptionMonthsToGo+SwaptionShift),INDEX($FK$245:$ID$316,$FJ223-HN$169,73-HN$169+SwaptionShift):INDEX($FK$245:$ID$316,$FJ223-HN$169,72-HN$169+SwaptionMonthsToGo+SwaptionShift))/SQRT(SUM(INDEX($FK378:$ID378,1+SwaptionShift):INDEX($FK378:$ID378,SwaptionMonthsToGo+SwaptionShift))*SUM(INDEX($FK$325:$ID$396,HN$169,1+SwaptionShift):INDEX($FK$325:$ID$396,HN$169,SwaptionMonthsToGo+SwaptionShift))))))</f>
        <v/>
      </c>
      <c r="HO223" s="150" t="str">
        <f aca="false">IF(OR(HO$169&lt;SwaptionFirstMonthPosition+1,$FJ223&lt;SwaptionFirstMonthPosition+1,HO$169&gt;SwaptionFirstMonthPosition+SwaptionNumOfMonths+1,$FJ223&gt;SwaptionFirstMonthPosition+SwaptionNumOfMonths+1),"",IF($FJ223=HO$169,1,IF($FJ223&lt;HO$169,INDEX($FK$170:$ID$241,HO$169,$FJ223),SUMPRODUCT(INDEX($FK$325:$ID$396,HO$169,1+SwaptionShift):INDEX($FK$325:$ID$396,HO$169,SwaptionMonthsToGo+SwaptionShift),INDEX($FK$245:$ID$316,$FJ223-HO$169,73-HO$169+SwaptionShift):INDEX($FK$245:$ID$316,$FJ223-HO$169,72-HO$169+SwaptionMonthsToGo+SwaptionShift))/SQRT(SUM(INDEX($FK378:$ID378,1+SwaptionShift):INDEX($FK378:$ID378,SwaptionMonthsToGo+SwaptionShift))*SUM(INDEX($FK$325:$ID$396,HO$169,1+SwaptionShift):INDEX($FK$325:$ID$396,HO$169,SwaptionMonthsToGo+SwaptionShift))))))</f>
        <v/>
      </c>
      <c r="HP223" s="150" t="str">
        <f aca="false">IF(OR(HP$169&lt;SwaptionFirstMonthPosition+1,$FJ223&lt;SwaptionFirstMonthPosition+1,HP$169&gt;SwaptionFirstMonthPosition+SwaptionNumOfMonths+1,$FJ223&gt;SwaptionFirstMonthPosition+SwaptionNumOfMonths+1),"",IF($FJ223=HP$169,1,IF($FJ223&lt;HP$169,INDEX($FK$170:$ID$241,HP$169,$FJ223),SUMPRODUCT(INDEX($FK$325:$ID$396,HP$169,1+SwaptionShift):INDEX($FK$325:$ID$396,HP$169,SwaptionMonthsToGo+SwaptionShift),INDEX($FK$245:$ID$316,$FJ223-HP$169,73-HP$169+SwaptionShift):INDEX($FK$245:$ID$316,$FJ223-HP$169,72-HP$169+SwaptionMonthsToGo+SwaptionShift))/SQRT(SUM(INDEX($FK378:$ID378,1+SwaptionShift):INDEX($FK378:$ID378,SwaptionMonthsToGo+SwaptionShift))*SUM(INDEX($FK$325:$ID$396,HP$169,1+SwaptionShift):INDEX($FK$325:$ID$396,HP$169,SwaptionMonthsToGo+SwaptionShift))))))</f>
        <v/>
      </c>
      <c r="HQ223" s="150" t="str">
        <f aca="false">IF(OR(HQ$169&lt;SwaptionFirstMonthPosition+1,$FJ223&lt;SwaptionFirstMonthPosition+1,HQ$169&gt;SwaptionFirstMonthPosition+SwaptionNumOfMonths+1,$FJ223&gt;SwaptionFirstMonthPosition+SwaptionNumOfMonths+1),"",IF($FJ223=HQ$169,1,IF($FJ223&lt;HQ$169,INDEX($FK$170:$ID$241,HQ$169,$FJ223),SUMPRODUCT(INDEX($FK$325:$ID$396,HQ$169,1+SwaptionShift):INDEX($FK$325:$ID$396,HQ$169,SwaptionMonthsToGo+SwaptionShift),INDEX($FK$245:$ID$316,$FJ223-HQ$169,73-HQ$169+SwaptionShift):INDEX($FK$245:$ID$316,$FJ223-HQ$169,72-HQ$169+SwaptionMonthsToGo+SwaptionShift))/SQRT(SUM(INDEX($FK378:$ID378,1+SwaptionShift):INDEX($FK378:$ID378,SwaptionMonthsToGo+SwaptionShift))*SUM(INDEX($FK$325:$ID$396,HQ$169,1+SwaptionShift):INDEX($FK$325:$ID$396,HQ$169,SwaptionMonthsToGo+SwaptionShift))))))</f>
        <v/>
      </c>
      <c r="HR223" s="150" t="str">
        <f aca="false">IF(OR(HR$169&lt;SwaptionFirstMonthPosition+1,$FJ223&lt;SwaptionFirstMonthPosition+1,HR$169&gt;SwaptionFirstMonthPosition+SwaptionNumOfMonths+1,$FJ223&gt;SwaptionFirstMonthPosition+SwaptionNumOfMonths+1),"",IF($FJ223=HR$169,1,IF($FJ223&lt;HR$169,INDEX($FK$170:$ID$241,HR$169,$FJ223),SUMPRODUCT(INDEX($FK$325:$ID$396,HR$169,1+SwaptionShift):INDEX($FK$325:$ID$396,HR$169,SwaptionMonthsToGo+SwaptionShift),INDEX($FK$245:$ID$316,$FJ223-HR$169,73-HR$169+SwaptionShift):INDEX($FK$245:$ID$316,$FJ223-HR$169,72-HR$169+SwaptionMonthsToGo+SwaptionShift))/SQRT(SUM(INDEX($FK378:$ID378,1+SwaptionShift):INDEX($FK378:$ID378,SwaptionMonthsToGo+SwaptionShift))*SUM(INDEX($FK$325:$ID$396,HR$169,1+SwaptionShift):INDEX($FK$325:$ID$396,HR$169,SwaptionMonthsToGo+SwaptionShift))))))</f>
        <v/>
      </c>
      <c r="HS223" s="150" t="str">
        <f aca="false">IF(OR(HS$169&lt;SwaptionFirstMonthPosition+1,$FJ223&lt;SwaptionFirstMonthPosition+1,HS$169&gt;SwaptionFirstMonthPosition+SwaptionNumOfMonths+1,$FJ223&gt;SwaptionFirstMonthPosition+SwaptionNumOfMonths+1),"",IF($FJ223=HS$169,1,IF($FJ223&lt;HS$169,INDEX($FK$170:$ID$241,HS$169,$FJ223),SUMPRODUCT(INDEX($FK$325:$ID$396,HS$169,1+SwaptionShift):INDEX($FK$325:$ID$396,HS$169,SwaptionMonthsToGo+SwaptionShift),INDEX($FK$245:$ID$316,$FJ223-HS$169,73-HS$169+SwaptionShift):INDEX($FK$245:$ID$316,$FJ223-HS$169,72-HS$169+SwaptionMonthsToGo+SwaptionShift))/SQRT(SUM(INDEX($FK378:$ID378,1+SwaptionShift):INDEX($FK378:$ID378,SwaptionMonthsToGo+SwaptionShift))*SUM(INDEX($FK$325:$ID$396,HS$169,1+SwaptionShift):INDEX($FK$325:$ID$396,HS$169,SwaptionMonthsToGo+SwaptionShift))))))</f>
        <v/>
      </c>
      <c r="HT223" s="150" t="str">
        <f aca="false">IF(OR(HT$169&lt;SwaptionFirstMonthPosition+1,$FJ223&lt;SwaptionFirstMonthPosition+1,HT$169&gt;SwaptionFirstMonthPosition+SwaptionNumOfMonths+1,$FJ223&gt;SwaptionFirstMonthPosition+SwaptionNumOfMonths+1),"",IF($FJ223=HT$169,1,IF($FJ223&lt;HT$169,INDEX($FK$170:$ID$241,HT$169,$FJ223),SUMPRODUCT(INDEX($FK$325:$ID$396,HT$169,1+SwaptionShift):INDEX($FK$325:$ID$396,HT$169,SwaptionMonthsToGo+SwaptionShift),INDEX($FK$245:$ID$316,$FJ223-HT$169,73-HT$169+SwaptionShift):INDEX($FK$245:$ID$316,$FJ223-HT$169,72-HT$169+SwaptionMonthsToGo+SwaptionShift))/SQRT(SUM(INDEX($FK378:$ID378,1+SwaptionShift):INDEX($FK378:$ID378,SwaptionMonthsToGo+SwaptionShift))*SUM(INDEX($FK$325:$ID$396,HT$169,1+SwaptionShift):INDEX($FK$325:$ID$396,HT$169,SwaptionMonthsToGo+SwaptionShift))))))</f>
        <v/>
      </c>
      <c r="HU223" s="150" t="str">
        <f aca="false">IF(OR(HU$169&lt;SwaptionFirstMonthPosition+1,$FJ223&lt;SwaptionFirstMonthPosition+1,HU$169&gt;SwaptionFirstMonthPosition+SwaptionNumOfMonths+1,$FJ223&gt;SwaptionFirstMonthPosition+SwaptionNumOfMonths+1),"",IF($FJ223=HU$169,1,IF($FJ223&lt;HU$169,INDEX($FK$170:$ID$241,HU$169,$FJ223),SUMPRODUCT(INDEX($FK$325:$ID$396,HU$169,1+SwaptionShift):INDEX($FK$325:$ID$396,HU$169,SwaptionMonthsToGo+SwaptionShift),INDEX($FK$245:$ID$316,$FJ223-HU$169,73-HU$169+SwaptionShift):INDEX($FK$245:$ID$316,$FJ223-HU$169,72-HU$169+SwaptionMonthsToGo+SwaptionShift))/SQRT(SUM(INDEX($FK378:$ID378,1+SwaptionShift):INDEX($FK378:$ID378,SwaptionMonthsToGo+SwaptionShift))*SUM(INDEX($FK$325:$ID$396,HU$169,1+SwaptionShift):INDEX($FK$325:$ID$396,HU$169,SwaptionMonthsToGo+SwaptionShift))))))</f>
        <v/>
      </c>
      <c r="HV223" s="150" t="str">
        <f aca="false">IF(OR(HV$169&lt;SwaptionFirstMonthPosition+1,$FJ223&lt;SwaptionFirstMonthPosition+1,HV$169&gt;SwaptionFirstMonthPosition+SwaptionNumOfMonths+1,$FJ223&gt;SwaptionFirstMonthPosition+SwaptionNumOfMonths+1),"",IF($FJ223=HV$169,1,IF($FJ223&lt;HV$169,INDEX($FK$170:$ID$241,HV$169,$FJ223),SUMPRODUCT(INDEX($FK$325:$ID$396,HV$169,1+SwaptionShift):INDEX($FK$325:$ID$396,HV$169,SwaptionMonthsToGo+SwaptionShift),INDEX($FK$245:$ID$316,$FJ223-HV$169,73-HV$169+SwaptionShift):INDEX($FK$245:$ID$316,$FJ223-HV$169,72-HV$169+SwaptionMonthsToGo+SwaptionShift))/SQRT(SUM(INDEX($FK378:$ID378,1+SwaptionShift):INDEX($FK378:$ID378,SwaptionMonthsToGo+SwaptionShift))*SUM(INDEX($FK$325:$ID$396,HV$169,1+SwaptionShift):INDEX($FK$325:$ID$396,HV$169,SwaptionMonthsToGo+SwaptionShift))))))</f>
        <v/>
      </c>
      <c r="HW223" s="150" t="str">
        <f aca="false">IF(OR(HW$169&lt;SwaptionFirstMonthPosition+1,$FJ223&lt;SwaptionFirstMonthPosition+1,HW$169&gt;SwaptionFirstMonthPosition+SwaptionNumOfMonths+1,$FJ223&gt;SwaptionFirstMonthPosition+SwaptionNumOfMonths+1),"",IF($FJ223=HW$169,1,IF($FJ223&lt;HW$169,INDEX($FK$170:$ID$241,HW$169,$FJ223),SUMPRODUCT(INDEX($FK$325:$ID$396,HW$169,1+SwaptionShift):INDEX($FK$325:$ID$396,HW$169,SwaptionMonthsToGo+SwaptionShift),INDEX($FK$245:$ID$316,$FJ223-HW$169,73-HW$169+SwaptionShift):INDEX($FK$245:$ID$316,$FJ223-HW$169,72-HW$169+SwaptionMonthsToGo+SwaptionShift))/SQRT(SUM(INDEX($FK378:$ID378,1+SwaptionShift):INDEX($FK378:$ID378,SwaptionMonthsToGo+SwaptionShift))*SUM(INDEX($FK$325:$ID$396,HW$169,1+SwaptionShift):INDEX($FK$325:$ID$396,HW$169,SwaptionMonthsToGo+SwaptionShift))))))</f>
        <v/>
      </c>
      <c r="HX223" s="150" t="str">
        <f aca="false">IF(OR(HX$169&lt;SwaptionFirstMonthPosition+1,$FJ223&lt;SwaptionFirstMonthPosition+1,HX$169&gt;SwaptionFirstMonthPosition+SwaptionNumOfMonths+1,$FJ223&gt;SwaptionFirstMonthPosition+SwaptionNumOfMonths+1),"",IF($FJ223=HX$169,1,IF($FJ223&lt;HX$169,INDEX($FK$170:$ID$241,HX$169,$FJ223),SUMPRODUCT(INDEX($FK$325:$ID$396,HX$169,1+SwaptionShift):INDEX($FK$325:$ID$396,HX$169,SwaptionMonthsToGo+SwaptionShift),INDEX($FK$245:$ID$316,$FJ223-HX$169,73-HX$169+SwaptionShift):INDEX($FK$245:$ID$316,$FJ223-HX$169,72-HX$169+SwaptionMonthsToGo+SwaptionShift))/SQRT(SUM(INDEX($FK378:$ID378,1+SwaptionShift):INDEX($FK378:$ID378,SwaptionMonthsToGo+SwaptionShift))*SUM(INDEX($FK$325:$ID$396,HX$169,1+SwaptionShift):INDEX($FK$325:$ID$396,HX$169,SwaptionMonthsToGo+SwaptionShift))))))</f>
        <v/>
      </c>
      <c r="HY223" s="150" t="str">
        <f aca="false">IF(OR(HY$169&lt;SwaptionFirstMonthPosition+1,$FJ223&lt;SwaptionFirstMonthPosition+1,HY$169&gt;SwaptionFirstMonthPosition+SwaptionNumOfMonths+1,$FJ223&gt;SwaptionFirstMonthPosition+SwaptionNumOfMonths+1),"",IF($FJ223=HY$169,1,IF($FJ223&lt;HY$169,INDEX($FK$170:$ID$241,HY$169,$FJ223),SUMPRODUCT(INDEX($FK$325:$ID$396,HY$169,1+SwaptionShift):INDEX($FK$325:$ID$396,HY$169,SwaptionMonthsToGo+SwaptionShift),INDEX($FK$245:$ID$316,$FJ223-HY$169,73-HY$169+SwaptionShift):INDEX($FK$245:$ID$316,$FJ223-HY$169,72-HY$169+SwaptionMonthsToGo+SwaptionShift))/SQRT(SUM(INDEX($FK378:$ID378,1+SwaptionShift):INDEX($FK378:$ID378,SwaptionMonthsToGo+SwaptionShift))*SUM(INDEX($FK$325:$ID$396,HY$169,1+SwaptionShift):INDEX($FK$325:$ID$396,HY$169,SwaptionMonthsToGo+SwaptionShift))))))</f>
        <v/>
      </c>
      <c r="HZ223" s="150" t="str">
        <f aca="false">IF(OR(HZ$169&lt;SwaptionFirstMonthPosition+1,$FJ223&lt;SwaptionFirstMonthPosition+1,HZ$169&gt;SwaptionFirstMonthPosition+SwaptionNumOfMonths+1,$FJ223&gt;SwaptionFirstMonthPosition+SwaptionNumOfMonths+1),"",IF($FJ223=HZ$169,1,IF($FJ223&lt;HZ$169,INDEX($FK$170:$ID$241,HZ$169,$FJ223),SUMPRODUCT(INDEX($FK$325:$ID$396,HZ$169,1+SwaptionShift):INDEX($FK$325:$ID$396,HZ$169,SwaptionMonthsToGo+SwaptionShift),INDEX($FK$245:$ID$316,$FJ223-HZ$169,73-HZ$169+SwaptionShift):INDEX($FK$245:$ID$316,$FJ223-HZ$169,72-HZ$169+SwaptionMonthsToGo+SwaptionShift))/SQRT(SUM(INDEX($FK378:$ID378,1+SwaptionShift):INDEX($FK378:$ID378,SwaptionMonthsToGo+SwaptionShift))*SUM(INDEX($FK$325:$ID$396,HZ$169,1+SwaptionShift):INDEX($FK$325:$ID$396,HZ$169,SwaptionMonthsToGo+SwaptionShift))))))</f>
        <v/>
      </c>
      <c r="IA223" s="150" t="str">
        <f aca="false">IF(OR(IA$169&lt;SwaptionFirstMonthPosition+1,$FJ223&lt;SwaptionFirstMonthPosition+1,IA$169&gt;SwaptionFirstMonthPosition+SwaptionNumOfMonths+1,$FJ223&gt;SwaptionFirstMonthPosition+SwaptionNumOfMonths+1),"",IF($FJ223=IA$169,1,IF($FJ223&lt;IA$169,INDEX($FK$170:$ID$241,IA$169,$FJ223),SUMPRODUCT(INDEX($FK$325:$ID$396,IA$169,1+SwaptionShift):INDEX($FK$325:$ID$396,IA$169,SwaptionMonthsToGo+SwaptionShift),INDEX($FK$245:$ID$316,$FJ223-IA$169,73-IA$169+SwaptionShift):INDEX($FK$245:$ID$316,$FJ223-IA$169,72-IA$169+SwaptionMonthsToGo+SwaptionShift))/SQRT(SUM(INDEX($FK378:$ID378,1+SwaptionShift):INDEX($FK378:$ID378,SwaptionMonthsToGo+SwaptionShift))*SUM(INDEX($FK$325:$ID$396,IA$169,1+SwaptionShift):INDEX($FK$325:$ID$396,IA$169,SwaptionMonthsToGo+SwaptionShift))))))</f>
        <v/>
      </c>
      <c r="IB223" s="150" t="str">
        <f aca="false">IF(OR(IB$169&lt;SwaptionFirstMonthPosition+1,$FJ223&lt;SwaptionFirstMonthPosition+1,IB$169&gt;SwaptionFirstMonthPosition+SwaptionNumOfMonths+1,$FJ223&gt;SwaptionFirstMonthPosition+SwaptionNumOfMonths+1),"",IF($FJ223=IB$169,1,IF($FJ223&lt;IB$169,INDEX($FK$170:$ID$241,IB$169,$FJ223),SUMPRODUCT(INDEX($FK$325:$ID$396,IB$169,1+SwaptionShift):INDEX($FK$325:$ID$396,IB$169,SwaptionMonthsToGo+SwaptionShift),INDEX($FK$245:$ID$316,$FJ223-IB$169,73-IB$169+SwaptionShift):INDEX($FK$245:$ID$316,$FJ223-IB$169,72-IB$169+SwaptionMonthsToGo+SwaptionShift))/SQRT(SUM(INDEX($FK378:$ID378,1+SwaptionShift):INDEX($FK378:$ID378,SwaptionMonthsToGo+SwaptionShift))*SUM(INDEX($FK$325:$ID$396,IB$169,1+SwaptionShift):INDEX($FK$325:$ID$396,IB$169,SwaptionMonthsToGo+SwaptionShift))))))</f>
        <v/>
      </c>
      <c r="IC223" s="150" t="str">
        <f aca="false">IF(OR(IC$169&lt;SwaptionFirstMonthPosition+1,$FJ223&lt;SwaptionFirstMonthPosition+1,IC$169&gt;SwaptionFirstMonthPosition+SwaptionNumOfMonths+1,$FJ223&gt;SwaptionFirstMonthPosition+SwaptionNumOfMonths+1),"",IF($FJ223=IC$169,1,IF($FJ223&lt;IC$169,INDEX($FK$170:$ID$241,IC$169,$FJ223),SUMPRODUCT(INDEX($FK$325:$ID$396,IC$169,1+SwaptionShift):INDEX($FK$325:$ID$396,IC$169,SwaptionMonthsToGo+SwaptionShift),INDEX($FK$245:$ID$316,$FJ223-IC$169,73-IC$169+SwaptionShift):INDEX($FK$245:$ID$316,$FJ223-IC$169,72-IC$169+SwaptionMonthsToGo+SwaptionShift))/SQRT(SUM(INDEX($FK378:$ID378,1+SwaptionShift):INDEX($FK378:$ID378,SwaptionMonthsToGo+SwaptionShift))*SUM(INDEX($FK$325:$ID$396,IC$169,1+SwaptionShift):INDEX($FK$325:$ID$396,IC$169,SwaptionMonthsToGo+SwaptionShift))))))</f>
        <v/>
      </c>
      <c r="ID223" s="572" t="str">
        <f aca="false">IF(OR(ID$169&lt;SwaptionFirstMonthPosition+1,$FJ223&lt;SwaptionFirstMonthPosition+1,ID$169&gt;SwaptionFirstMonthPosition+SwaptionNumOfMonths+1,$FJ223&gt;SwaptionFirstMonthPosition+SwaptionNumOfMonths+1),"",IF($FJ223=ID$169,1,IF($FJ223&lt;ID$169,INDEX($FK$170:$ID$241,ID$169,$FJ223),SUMPRODUCT(INDEX($FK$325:$ID$396,ID$169,1+SwaptionShift):INDEX($FK$325:$ID$396,ID$169,SwaptionMonthsToGo+SwaptionShift),INDEX($FK$245:$ID$316,$FJ223-ID$169,73-ID$169+SwaptionShift):INDEX($FK$245:$ID$316,$FJ223-ID$169,72-ID$169+SwaptionMonthsToGo+SwaptionShift))/SQRT(SUM(INDEX($FK378:$ID378,1+SwaptionShift):INDEX($FK378:$ID378,SwaptionMonthsToGo+SwaptionShift))*SUM(INDEX($FK$325:$ID$396,ID$169,1+SwaptionShift):INDEX($FK$325:$ID$396,ID$169,SwaptionMonthsToGo+SwaptionShift))))))</f>
        <v/>
      </c>
      <c r="IE223" s="129"/>
    </row>
    <row r="224" customFormat="false" ht="12.75" hidden="false" customHeight="false" outlineLevel="0" collapsed="false">
      <c r="H224" s="219" t="n">
        <f aca="false">VLOOKUP(I224,$EJ$20:$EL$54,3)</f>
        <v>0</v>
      </c>
      <c r="I224" s="511" t="n">
        <f aca="false">EOMONTH(I223,0)+1</f>
        <v>42979</v>
      </c>
      <c r="J224" s="512"/>
      <c r="K224" s="513" t="s">
        <v>280</v>
      </c>
      <c r="L224" s="514" t="n">
        <f aca="false">IF(ISNUMBER(K224),J224+K224/100,IF(K224="extra",L223+VLOOKUP(BF224,PriceSpreadTable,2)/12,IF(K224="inter",interpolateprices($K$19:$L$200,ROW(K224)-ROW(FirstPricingMonth)+1),interpolatechanges($J$19:$K$200,ROW(K224)-ROW(FirstPricingMonth)+1))))</f>
        <v>4.8</v>
      </c>
      <c r="M224" s="515"/>
      <c r="N224" s="516" t="n">
        <v>0</v>
      </c>
      <c r="O224" s="515" t="n">
        <f aca="false">M224+N224</f>
        <v>0</v>
      </c>
      <c r="P224" s="512"/>
      <c r="Q224" s="513" t="s">
        <v>280</v>
      </c>
      <c r="R224" s="512" t="e">
        <f aca="false">IF(ISNUMBER(Q224),P224+Q224/100,IF(Q224="extra",(Z222*AL222-R223*AM222)/AN222,IF(Q224="inter",interpolateprices($Q$19:$R$260,ROW(Q224)-ROW(FirstPricingMonth)+1),interpolatechanges($P$19:$Q$260,ROW(Q224)-ROW(FirstPricingMonth)+1))))</f>
        <v>#VALUE!</v>
      </c>
      <c r="S224" s="597" t="n">
        <f aca="false">S$19+(S223-S$19)*S$18</f>
        <v>0.36</v>
      </c>
      <c r="T224" s="575" t="n">
        <f aca="false">SQRT((1-(1-T223^2/U223)*T$18)*U224)</f>
        <v>0.999999999999998</v>
      </c>
      <c r="U224" s="576" t="n">
        <f aca="false">1-(1-U223)*U$18</f>
        <v>1</v>
      </c>
      <c r="V224" s="521" t="n">
        <v>0</v>
      </c>
      <c r="W224" s="577" t="n">
        <f aca="false">(J225*AJ224+J226*AK224)/AI224</f>
        <v>0</v>
      </c>
      <c r="X224" s="578" t="n">
        <f aca="false">(L225*AJ224+L226*AK224)/AI224</f>
        <v>4.85</v>
      </c>
      <c r="Y224" s="579" t="n">
        <f aca="false">IF(Q226="extra",W224-AA224,(P225*AM224+P226*AN224)/AL224)</f>
        <v>-1.2669</v>
      </c>
      <c r="Z224" s="579" t="n">
        <f aca="false">IF(Q226="extra",X224-AB224,(R225*AM224+R226*AN224)/AL224)</f>
        <v>3.5831</v>
      </c>
      <c r="AA224" s="523" t="n">
        <f aca="false">IF(Q226="extra",INDEX(BrentSeasonalityTable,INT((BG224-1)/3)+1)*VLOOKUP(MAX(BF224,$AB$4),PriceSpreadTable,3),W224-Y224)</f>
        <v>1.2669</v>
      </c>
      <c r="AB224" s="524" t="n">
        <f aca="false">IF(Q226="extra",INDEX(BrentSeasonalityTable,INT((BG224-1)/3)+1)*VLOOKUP(MAX(BF224,$AB$4),PriceSpreadTable,3),X224-Z224)</f>
        <v>1.2669</v>
      </c>
      <c r="AC224" s="646" t="n">
        <v>42967</v>
      </c>
      <c r="AD224" s="646" t="n">
        <v>42963</v>
      </c>
      <c r="AE224" s="646" t="n">
        <v>42962</v>
      </c>
      <c r="AF224" s="646" t="n">
        <v>42958</v>
      </c>
      <c r="AG224" s="438" t="s">
        <v>278</v>
      </c>
      <c r="AH224" s="439" t="s">
        <v>278</v>
      </c>
      <c r="AI224" s="528" t="n">
        <v>21</v>
      </c>
      <c r="AJ224" s="529" t="n">
        <v>14</v>
      </c>
      <c r="AK224" s="529" t="n">
        <v>7</v>
      </c>
      <c r="AL224" s="530" t="n">
        <v>21</v>
      </c>
      <c r="AM224" s="529" t="n">
        <v>10</v>
      </c>
      <c r="AN224" s="531" t="n">
        <v>11</v>
      </c>
      <c r="AO224" s="532"/>
      <c r="AP224" s="465" t="n">
        <f aca="false">(1+AO224/2)^(-2*BL224)</f>
        <v>1</v>
      </c>
      <c r="AQ224" s="532"/>
      <c r="AR224" s="465" t="n">
        <f aca="false">(1+AQ224/2)^(-2*BH224/365.25)</f>
        <v>1</v>
      </c>
      <c r="AS224" s="580" t="n">
        <f aca="false">(O225*AJ224+O226*AK224)/AI224</f>
        <v>0</v>
      </c>
      <c r="AT224" s="468" t="n">
        <f aca="false">O224*VLOOKUP(BF224,BrentVolTable,2)+VLOOKUP(BF224,BrentVolTable,3)</f>
        <v>0</v>
      </c>
      <c r="AU224" s="468" t="n">
        <f aca="false">(AT225*AM224+AT226*AN224)/AL224</f>
        <v>0</v>
      </c>
      <c r="AV224" s="595" t="n">
        <f aca="false">SQRT(MAX(0.000000000001,(O224^2*BH224-S224^2*(BH224-BH223))/BH223))</f>
        <v>0.0366378507591888</v>
      </c>
      <c r="AW224" s="451" t="n">
        <f aca="false">IF($I224-DateToday+15&gt;=$T$8,"",IF($I224-DateToday+15&lt;$T$5,1,MATCH($I224-DateToday+15,$T$5:$T$8)))</f>
        <v>1</v>
      </c>
      <c r="AX224" s="468" t="n">
        <f aca="false">IF($AW224="",AX223^2/AX222,INDEX(U$5:U$8,$AW224)^((INDEX($T$5:$T$8,$AW224+1)-($I224-DateToday+15))/(INDEX($T$5:$T$8,$AW224+1)-INDEX($T$5:$T$8,$AW224)))/INDEX(U$5:U$8,$AW224+1)^((INDEX($T$5:$T$8,$AW224)-($I224-DateToday+15))/(INDEX($T$5:$T$8,$AW224+1)-INDEX($T$5:$T$8,$AW224))))</f>
        <v>0.160172483438605</v>
      </c>
      <c r="AY224" s="468" t="n">
        <f aca="false">IF($AW224="",AY223^2/AY222,INDEX(V$5:V$8,$AW224)^((INDEX($T$5:$T$8,$AW224+1)-($I224-DateToday+15))/(INDEX($T$5:$T$8,$AW224+1)-INDEX($T$5:$T$8,$AW224)))/INDEX(V$5:V$8,$AW224+1)^((INDEX($T$5:$T$8,$AW224)-($I224-DateToday+15))/(INDEX($T$5:$T$8,$AW224+1)-INDEX($T$5:$T$8,$AW224))))</f>
        <v>0.965623537376716</v>
      </c>
      <c r="AZ224" s="468" t="n">
        <f aca="false">IF($AW224="",AZ223^2/AZ222,INDEX(W$5:W$8,$AW224)^((INDEX($T$5:$T$8,$AW224+1)-($I224-DateToday+15))/(INDEX($T$5:$T$8,$AW224+1)-INDEX($T$5:$T$8,$AW224)))/INDEX(W$5:W$8,$AW224+1)^((INDEX($T$5:$T$8,$AW224)-($I224-DateToday+15))/(INDEX($T$5:$T$8,$AW224+1)-INDEX($T$5:$T$8,$AW224))))</f>
        <v>36.0078044623679</v>
      </c>
      <c r="BA224" s="468" t="n">
        <f aca="false">IF($AW224="",BA223^2/BA222,INDEX(X$5:X$8,$AW224)^((INDEX($T$5:$T$8,$AW224+1)-($I224-DateToday+15))/(INDEX($T$5:$T$8,$AW224+1)-INDEX($T$5:$T$8,$AW224)))/INDEX(X$5:X$8,$AW224+1)^((INDEX($T$5:$T$8,$AW224)-($I224-DateToday+15))/(INDEX($T$5:$T$8,$AW224+1)-INDEX($T$5:$T$8,$AW224))))</f>
        <v>60.0777027490535</v>
      </c>
      <c r="BB224" s="468" t="n">
        <f aca="false">IF($AW224="",BB223^2/BB222,INDEX(Y$5:Y$8,$AW224)^((INDEX($T$5:$T$8,$AW224+1)-($I224-DateToday+15))/(INDEX($T$5:$T$8,$AW224+1)-INDEX($T$5:$T$8,$AW224)))/INDEX(Y$5:Y$8,$AW224+1)^((INDEX($T$5:$T$8,$AW224)-($I224-DateToday+15))/(INDEX($T$5:$T$8,$AW224+1)-INDEX($T$5:$T$8,$AW224))))</f>
        <v>220.424253709433</v>
      </c>
      <c r="BC224" s="468" t="n">
        <f aca="false">IF($AW224="",BC223^2/BC222,INDEX(Z$5:Z$8,$AW224)^((INDEX($T$5:$T$8,$AW224+1)-($I224-DateToday+15))/(INDEX($T$5:$T$8,$AW224+1)-INDEX($T$5:$T$8,$AW224)))/INDEX(Z$5:Z$8,$AW224+1)^((INDEX($T$5:$T$8,$AW224)-($I224-DateToday+15))/(INDEX($T$5:$T$8,$AW224+1)-INDEX($T$5:$T$8,$AW224))))</f>
        <v>494.303381228731</v>
      </c>
      <c r="BD224" s="535" t="n">
        <f aca="false">IF(OR(DateStart&gt;=I225,DateEnd&lt;I224),0,IF(VolumeOverrideFlag,V224,Volume))</f>
        <v>0</v>
      </c>
      <c r="BE224" s="536" t="n">
        <f aca="false">IF(OR(DateStart2&gt;=I225,DateEnd2&lt;I224),0,IF(VolumeOverrideFlag,V224,VolumeSwaption))</f>
        <v>0</v>
      </c>
      <c r="BF224" s="537" t="n">
        <f aca="false">YEAR(I224)</f>
        <v>2017</v>
      </c>
      <c r="BG224" s="538" t="n">
        <f aca="false">MONTH(I224)</f>
        <v>9</v>
      </c>
      <c r="BH224" s="539" t="n">
        <f aca="false">AD224-DateToday+1</f>
        <v>-2962</v>
      </c>
      <c r="BI224" s="540" t="n">
        <f aca="false">(I224-DateToday+1)/365.25</f>
        <v>-8.06570841889117</v>
      </c>
      <c r="BJ224" s="541" t="n">
        <f aca="false">BI224+(BL224-BI224)*CHOOSE(Underlying,AJ224/AI224,AM224/AL224)</f>
        <v>-8.01277663700662</v>
      </c>
      <c r="BK224" s="541" t="n">
        <f aca="false">BJ224+1/365.25</f>
        <v>-8.01003878621948</v>
      </c>
      <c r="BL224" s="541" t="n">
        <f aca="false">(I225-DateToday)/365.25</f>
        <v>-7.98631074606434</v>
      </c>
      <c r="BM224" s="542" t="e">
        <f aca="false">MAX(BI224-(BJ224-BI224)*(S225^2/O225^2-1),0)</f>
        <v>#DIV/0!</v>
      </c>
      <c r="BN224" s="541" t="e">
        <f aca="false">MAX(BL224+(BL224-BK224)*(S226^2/O226^2-1),0)</f>
        <v>#DIV/0!</v>
      </c>
      <c r="BO224" s="530" t="n">
        <f aca="false">CHOOSE(Underlying,AI224,AL224)</f>
        <v>21</v>
      </c>
      <c r="BP224" s="529" t="n">
        <f aca="false">CHOOSE(Underlying,AJ224,AM224)</f>
        <v>14</v>
      </c>
      <c r="BQ224" s="529" t="n">
        <f aca="false">CHOOSE(Underlying,AK224,AN224)</f>
        <v>7</v>
      </c>
      <c r="BR224" s="463" t="str">
        <f aca="false">IF(BD224,IF(Underlying=1,X224,Z224)+UnderlyingPriceAsian-SwapPriceCurve,"")</f>
        <v/>
      </c>
      <c r="BS224" s="463" t="str">
        <f aca="false">IF(BD224,Strike1/BR224-1,"")</f>
        <v/>
      </c>
      <c r="BT224" s="464" t="str">
        <f aca="false">IF(BD224,Strike2/BR224-1,"")</f>
        <v/>
      </c>
      <c r="BU224" s="465" t="str">
        <f aca="false">IF(BD224,IF(Underlying=1,L225,R225)+UnderlyingPriceAsian-SwapPriceCurve,"")</f>
        <v/>
      </c>
      <c r="BV224" s="465" t="str">
        <f aca="false">IF(BD224,IF(Underlying=1,L226,R226)+UnderlyingPriceAsian-SwapPriceCurve,"")</f>
        <v/>
      </c>
      <c r="BW224" s="466" t="str">
        <f aca="false">IF(BD224,IF(Underlying=1,O225,AT225),"")</f>
        <v/>
      </c>
      <c r="BX224" s="467" t="str">
        <f aca="false">IF(BD224,IF(Underlying=1,O226,AT226),"")</f>
        <v/>
      </c>
      <c r="BY224" s="466" t="str">
        <f aca="false">IF(BD224,IF(BS224&gt;0,IF(BS224&gt;0.2,BC224-BB224,IF(BS224&gt;0.1,BB224-BA224,BA224)),IF(BS224&lt;-0.2,AX224-AY224,IF(BS224&lt;-0.1,AY224-AZ224,AZ224))),"")</f>
        <v/>
      </c>
      <c r="BZ224" s="467" t="str">
        <f aca="false">IF(BD224,IF(BT224&gt;0,IF(BT224&gt;0.2,BC224-BB224,IF(BT224&gt;0.1,BB224-BA224,BA224)),IF(BT224&lt;-0.2,AX224-AY224,IF(BT224&lt;-0.1,AY224-AZ224,AZ224))),"")</f>
        <v/>
      </c>
      <c r="CA224" s="468" t="str">
        <f aca="false">IF($BD224,$BW224+IF(VolSkewFlag=1,IF(BS224&gt;0,$BA224*MIN(BS224/10%,1)+($BB224-$BA224)*MAX(0,MIN(BS224/10%-1,1))+($BC224-$BB224)*MAX(0,BS224/10%-2),$AZ224*MIN(-BS224/10%,1)+($AY224-$AZ224)*MAX(0,MIN(-BS224/10%-1,1))+($AX224-$AY224)*MAX(0,-BS224/10%-2)),0),"")</f>
        <v/>
      </c>
      <c r="CB224" s="468" t="str">
        <f aca="false">IF($BD224,$BX224+IF(VolSkewFlag=1,IF(BS224&gt;0,$BA224*MIN(BS224/10%,1)+($BB224-$BA224)*MAX(0,MIN(BS224/10%-1,1))+($BC224-$BB224)*MAX(0,BS224/10%-2),$AZ224*MIN(-BS224/10%,1)+($AY224-$AZ224)*MAX(0,MIN(-BS224/10%-1,1))+($AX224-$AY224)*MAX(0,-BS224/10%-2)),0),"")</f>
        <v/>
      </c>
      <c r="CC224" s="468" t="str">
        <f aca="false">IF($BD224,$BW224+IF(VolSkewFlag=1,IF(BT224&gt;0,$BA224*MIN(BT224/10%,1)+($BB224-$BA224)*MAX(0,MIN(BT224/10%-1,1))+($BC224-$BB224)*MAX(0,BT224/10%-2),$AZ224*MIN(-BT224/10%,1)+($AY224-$AZ224)*MAX(0,MIN(-BT224/10%-1,1))+($AX224-$AY224)*MAX(0,-BT224/10%-2)),0),"")</f>
        <v/>
      </c>
      <c r="CD224" s="468" t="str">
        <f aca="false">IF($BD224,$BX224+IF(VolSkewFlag=1,IF(BT224&gt;0,$BA224*MIN(BT224/10%,1)+($BB224-$BA224)*MAX(0,MIN(BT224/10%-1,1))+($BC224-$BB224)*MAX(0,BT224/10%-2),$AZ224*MIN(-BT224/10%,1)+($AY224-$AZ224)*MAX(0,MIN(-BT224/10%-1,1))+($AX224-$AY224)*MAX(0,-BT224/10%-2)),0),"")</f>
        <v/>
      </c>
      <c r="CE224" s="469" t="n">
        <v>1</v>
      </c>
      <c r="CF224" s="470" t="n">
        <f aca="false">IF(BD224,xCrudeAPO(BU224,BV224,CA224,CB224,S225,S226,BI224,BL224,BP224,BQ224,0,Strike1,AO224,CE224,0,BL224,IF(OptControl=4,0,1),0,1),0)</f>
        <v>0</v>
      </c>
      <c r="CG224" s="470" t="n">
        <f aca="false">IF(BD224,xCrudeAPO(BU224,BV224,CA224,CB224,S225,S226,BI224,BL224,BP224,BQ224,0,Strike1,AO224,CE224,0,BL224,IF(OptControl=4,0,1),1,1)+xCrudeAPO(BU224,BV224,CA224,CB224,S225,S226,BI224,BL224,BP224,BQ224,0,Strike1,AO224,CE224,0,BL224,IF(OptControl=4,0,1),1,2)+IF(OR(VolSkewFlag=2,ABS(BS224)&lt;0.0001),0,IF(BS224&gt;0,-1,1)*CH224*Strike1/BR224^2*BY224/10%),0)</f>
        <v>0</v>
      </c>
      <c r="CH224" s="470" t="n">
        <f aca="false">IF(BD224,(xCrudeAPO(BU224,BV224,CA224,CB224,S225,S226,BI224,BL224,BP224,BQ224,0,Strike1,AO224,CE224,0,BL224,IF(OptControl=4,0,1),3,1)+xCrudeAPO(BU224,BV224,CA224,CB224,S225,S226,BI224,BL224,BP224,BQ224,0,Strike1,AO224,CE224,0,BL224,IF(OptControl=4,0,1),3,2))/100,0)</f>
        <v>0</v>
      </c>
      <c r="CI224" s="470" t="n">
        <f aca="false">IF(BD224,xCrudeAPO(BU224,BV224,CA224,CB224,S225,S226,BI224-DaysForThetaCalculation/365.25,BL224-DaysForThetaCalculation/365.25,BP224,BQ224,0,Strike1,AO224,CE224,0,BL224,IF(OptControl=4,0,1),0,1)-xCrudeAPO(BU224,BV224,CA224,CB224,S225,S226,BI224,BL224,BP224,BQ224,0,Strike1,AO224,CE224,0,BL224,IF(OptControl=4,0,1),0,1),0)</f>
        <v>0</v>
      </c>
      <c r="CJ224" s="471" t="n">
        <f aca="false">IF(BD224,xCrudeAPO(BU224,BV224,CC224,CD224,S225,S226,BI224,BL224,BP224,BQ224,0,Strike2,AO224,CE224,0,BL224,IF(OptControl=3,1,0),0,1),0)</f>
        <v>0</v>
      </c>
      <c r="CK224" s="470" t="n">
        <f aca="false">IF(BD224,xCrudeAPO(BU224,BV224,CC224,CD224,S225,S226,BI224,BL224,BP224,BQ224,0,Strike2,AO224,CE224,0,BL224,IF(OptControl=3,1,0),1,1)+xCrudeAPO(BU224,BV224,CC224,CD224,S225,S226,BI224,BL224,BP224,BQ224,0,Strike2,AO224,CE224,0,BL224,IF(OptControl=3,1,0),1,2)+IF(OR(VolSkewFlag=2,ABS(BT224)&lt;0.0001),0,IF(BT224&gt;0,-1,1)*CL224*Strike2/BR224^2*BZ224/10%),0)</f>
        <v>0</v>
      </c>
      <c r="CL224" s="470" t="n">
        <f aca="false">IF(BD224,(xCrudeAPO(BU224,BV224,CC224,CD224,S225,S226,BI224,BL224,BP224,BQ224,0,Strike2,AO224,CE224,0,BL224,IF(OptControl=3,1,0),3,1)+xCrudeAPO(BU224,BV224,CC224,CD224,S225,S226,BI224,BL224,BP224,BQ224,0,Strike2,AO224,CE224,0,BL224,IF(OptControl=3,1,0),3,2))/100,0)</f>
        <v>0</v>
      </c>
      <c r="CM224" s="472" t="n">
        <f aca="false">IF(BD224,xCrudeAPO(BU224,BV224,CC224,CD224,S225,S226,BI224-DaysForThetaCalculation/365.25,BL224-DaysForThetaCalculation/365.25,BP224,BQ224,0,Strike2,AO224,CE224,0,BL224,IF(OptControl=3,1,0),0,1)-xCrudeAPO(BU224,BV224,CC224,CD224,S225,S226,BI224,BL224,BP224,BQ224,0,Strike2,AO224,CE224,0,BL224,IF(OptControl=3,1,0),0,1),0)</f>
        <v>0</v>
      </c>
      <c r="CN224" s="3"/>
      <c r="CO224" s="543" t="str">
        <f aca="false">IF(BD224,CHOOSE(Underlying,AD224,AF224)-DateToday+1,"")</f>
        <v/>
      </c>
      <c r="CP224" s="582" t="str">
        <f aca="false">IF(BD224,CHOOSE(Underlying,L224,R224),"")</f>
        <v/>
      </c>
      <c r="CQ224" s="544" t="str">
        <f aca="false">IF(BD224,Strike1/CP224-1,"")</f>
        <v/>
      </c>
      <c r="CR224" s="544" t="str">
        <f aca="false">IF(BD224,Strike2/CP224-1,"")</f>
        <v/>
      </c>
      <c r="CS224" s="544" t="str">
        <f aca="false">IF(BD224,IF(CQ224&gt;0,IF(CQ224&gt;0.2,BC223-BB223,IF(CQ224&gt;0.1,BB223-BA223,BA223)),IF(CQ224&lt;-0.2,AX223-AY223,IF(CQ224&lt;-0.1,AY223-AZ223,AZ223))),"")</f>
        <v/>
      </c>
      <c r="CT224" s="544" t="str">
        <f aca="false">IF(BD224,IF(CR224&gt;0,IF(CR224&gt;0.2,BC223-BB223,IF(CR224&gt;0.1,BB223-BA223,BA223)),IF(CR224&lt;-0.2,AX223-AY223,IF(CR224&lt;-0.1,AY223-AZ223,AZ223))),"")</f>
        <v/>
      </c>
      <c r="CU224" s="545" t="str">
        <f aca="false">IF(BD224,CHOOSE(Underlying,O224,AT224),"")</f>
        <v/>
      </c>
      <c r="CV224" s="545" t="str">
        <f aca="false">IF(BD224,CU224+IF(VolSkewFlag=1,IF(CQ224&gt;0,BA223*MIN(CQ224/10%,1)+(BB223-BA223)*MAX(0,MIN(CQ224/10%-1,1))+(BC223-BB223)*MAX(0,CQ224/10%-2),AZ223*MIN(-CQ224/10%,1)+(AY223-AZ223)*MAX(0,MIN(-CQ224/10%-1,1))+(AX223-AY223)*MAX(0,-CQ224/10%-2)),0),"")</f>
        <v/>
      </c>
      <c r="CW224" s="545" t="str">
        <f aca="false">IF(BD224,CU224+IF(VolSkewFlag=1,IF(CR224&gt;0,BA223*MIN(CR224/10%,1)+(BB223-BA223)*MAX(0,MIN(CR224/10%-1,1))+(BC223-BB223)*MAX(0,CR224/10%-2),AZ223*MIN(-CR224/10%,1)+(AY223-AZ223)*MAX(0,MIN(-CR224/10%-1,1))+(AX223-AY223)*MAX(0,-CR224/10%-2)),0),"")</f>
        <v/>
      </c>
      <c r="CX224" s="470" t="n">
        <f aca="false">IF(BD224,EURO(CP224,Strike1,AO224,AO224,CV224,CO224,IF(OptControl=4,0,1),0),0)</f>
        <v>0</v>
      </c>
      <c r="CY224" s="470" t="n">
        <f aca="false">IF(BD224,EURO(CP224,Strike1,AO224,AO224,CV224,CO224,IF(OptControl=4,0,1),1)+IF(OR(VolSkewFlag=2,ABS(CQ224)&lt;0.0001),0,IF(CQ224&gt;0,-1,1)*CZ224*100*Strike1/CP224^2*CS224/10%),0)</f>
        <v>0</v>
      </c>
      <c r="CZ224" s="470" t="n">
        <f aca="false">IF(BD224,EURO(CP224,Strike1,AO224,AO224,CV224,CO224,IF(OptControl=4,0,1),3)/100,0)</f>
        <v>0</v>
      </c>
      <c r="DA224" s="470" t="n">
        <f aca="false">IF(BD224,EURO(CP224,Strike1,AO224,AO224,CV224,CO224,IF(OptControl=4,0,1),0)-EURO(CP224,Strike1,AO224,AO224,CV224,CO224-1,IF(OptControl=4,0,1),0),0)</f>
        <v>0</v>
      </c>
      <c r="DB224" s="470" t="n">
        <f aca="false">IF(BD224,EURO(CP224,Strike2,AO224,AO224,CW224,CO224,IF(OptControl=3,1,0),0),0)</f>
        <v>0</v>
      </c>
      <c r="DC224" s="470" t="n">
        <f aca="false">IF(BD224,EURO(CP224,Strike2,AO224,AO224,CW224,CO224,IF(OptControl=3,1,0),1)+IF(OR(VolSkewFlag=2,ABS(CR224)&lt;0.0001),0,IF(CR224&gt;0,-1,1)*DD224*100*Strike2/CP224^2*CT224/10%),0)</f>
        <v>0</v>
      </c>
      <c r="DD224" s="470" t="n">
        <f aca="false">IF(BD224,EURO(CP224,Strike2,AO224,AO224,CW224,CO224,IF(OptControl=3,1,0),3)/100,0)</f>
        <v>0</v>
      </c>
      <c r="DE224" s="472" t="n">
        <f aca="false">IF(BD224,EURO(CP224,Strike2,AO224,AO224,CW224,CO224,IF(OptControl=3,1,0),0)-EURO(CP224,Strike2,AO224,AO224,CW224,CO224-1,IF(OptControl=3,1,0),0),0)</f>
        <v>0</v>
      </c>
      <c r="DG224" s="481" t="n">
        <f aca="false">EOMONTH(DG223,0)+1</f>
        <v>51898</v>
      </c>
      <c r="DH224" s="478" t="n">
        <v>24.3600000000001</v>
      </c>
      <c r="DI224" s="479" t="n">
        <v>24.4250000000001</v>
      </c>
      <c r="DJ224" s="480" t="n">
        <f aca="false">DG224</f>
        <v>51898</v>
      </c>
      <c r="DK224" s="478" t="n">
        <v>23.1622519309319</v>
      </c>
      <c r="DL224" s="479" t="n">
        <v>23.2565000000001</v>
      </c>
      <c r="DM224" s="481" t="n">
        <f aca="false">DG224</f>
        <v>51898</v>
      </c>
      <c r="DN224" s="482" t="n">
        <f aca="false">DK224+BrentPhyBrentSpread</f>
        <v>23.2122519309319</v>
      </c>
      <c r="DO224" s="481" t="n">
        <f aca="false">DG224</f>
        <v>51898</v>
      </c>
      <c r="DP224" s="483" t="n">
        <f aca="false">DL224+DQ224</f>
        <v>23.2565000000001</v>
      </c>
      <c r="DQ224" s="546" t="n">
        <v>0</v>
      </c>
      <c r="DR224" s="480" t="n">
        <f aca="false">DG224</f>
        <v>51898</v>
      </c>
      <c r="DS224" s="485" t="n">
        <v>0.102199999999998</v>
      </c>
      <c r="DT224" s="486" t="n">
        <v>0.101419999999998</v>
      </c>
      <c r="DU224" s="480" t="n">
        <f aca="false">DG224</f>
        <v>51898</v>
      </c>
      <c r="DV224" s="485" t="n">
        <v>0.102199999999998</v>
      </c>
      <c r="DW224" s="486" t="n">
        <v>0.101419999999998</v>
      </c>
      <c r="DX224" s="481" t="n">
        <f aca="false">DG224</f>
        <v>51898</v>
      </c>
      <c r="DY224" s="486" t="n">
        <v>0.35</v>
      </c>
      <c r="DZ224" s="481" t="n">
        <f aca="false">DR224</f>
        <v>51898</v>
      </c>
      <c r="EA224" s="486" t="n">
        <f aca="false">DT224</f>
        <v>0.101419999999998</v>
      </c>
      <c r="EB224" s="195"/>
      <c r="EC224" s="547" t="str">
        <f aca="false">IF(BD224,IF(Underlying=1,AS224,AU224),"")</f>
        <v/>
      </c>
      <c r="ED224" s="548" t="str">
        <f aca="false">IF($BD224,$EC224+IF(VolSkewFlag=1,IF(BS224&gt;0,$BA224*MIN(BS224/10%,1)+($BB224-$BA224)*MAX(0,MIN(BS224/10%-1,1))+($BC224-$BB224)*MAX(0,BS224/10%-2),$AZ224*MIN(-BS224/10%,1)+($AY224-$AZ224)*MAX(0,MIN(-BS224/10%-1,1))+($AX224-$AY224)*MAX(0,-BS224/10%-2)),0),"")</f>
        <v/>
      </c>
      <c r="EE224" s="549" t="str">
        <f aca="false">IF($BD224,$EC224+IF(VolSkewFlag=1,IF(BT224&gt;0,$BA224*MIN(BT224/10%,1)+($BB224-$BA224)*MAX(0,MIN(BT224/10%-1,1))+($BC224-$BB224)*MAX(0,BT224/10%-2),$AZ224*MIN(-BT224/10%,1)+($AY224-$AZ224)*MAX(0,MIN(-BT224/10%-1,1))+($AX224-$AY224)*MAX(0,-BT224/10%-2)),0),"")</f>
        <v/>
      </c>
      <c r="EF224" s="550" t="n">
        <f aca="false">IF(BD224,xASN(BR224,Strike1,AO224,ED224,0,BO224,0,BI224,BL224,IF(OptControl=4,0,1),0),0)</f>
        <v>0</v>
      </c>
      <c r="EG224" s="551" t="n">
        <f aca="false">IF(BD224,xASN(BR224,Strike2,AO224,EE224,0,BO224,0,BI224,BL224,IF(OptControl=3,1,0),0),0)</f>
        <v>0</v>
      </c>
      <c r="EL224" s="1"/>
      <c r="EM224" s="195"/>
      <c r="EN224" s="240"/>
      <c r="EO224" s="240"/>
      <c r="EP224" s="195"/>
      <c r="EQ224" s="407" t="s">
        <v>452</v>
      </c>
      <c r="ES224" s="1"/>
      <c r="EU224" s="672"/>
      <c r="FJ224" s="571" t="n">
        <v>55</v>
      </c>
      <c r="FK224" s="150" t="str">
        <f aca="false">IF(OR(FK$169&lt;SwaptionFirstMonthPosition+1,$FJ224&lt;SwaptionFirstMonthPosition+1,FK$169&gt;SwaptionFirstMonthPosition+SwaptionNumOfMonths+1,$FJ224&gt;SwaptionFirstMonthPosition+SwaptionNumOfMonths+1),"",IF($FJ224=FK$169,1,IF($FJ224&lt;FK$169,INDEX($FK$170:$ID$241,FK$169,$FJ224),SUMPRODUCT(INDEX($FK$325:$ID$396,FK$169,1+SwaptionShift):INDEX($FK$325:$ID$396,FK$169,SwaptionMonthsToGo+SwaptionShift),INDEX($FK$245:$ID$316,$FJ224-FK$169,73-FK$169+SwaptionShift):INDEX($FK$245:$ID$316,$FJ224-FK$169,72-FK$169+SwaptionMonthsToGo+SwaptionShift))/SQRT(SUM(INDEX($FK379:$ID379,1+SwaptionShift):INDEX($FK379:$ID379,SwaptionMonthsToGo+SwaptionShift))*SUM(INDEX($FK$325:$ID$396,FK$169,1+SwaptionShift):INDEX($FK$325:$ID$396,FK$169,SwaptionMonthsToGo+SwaptionShift))))))</f>
        <v/>
      </c>
      <c r="FL224" s="150" t="str">
        <f aca="false">IF(OR(FL$169&lt;SwaptionFirstMonthPosition+1,$FJ224&lt;SwaptionFirstMonthPosition+1,FL$169&gt;SwaptionFirstMonthPosition+SwaptionNumOfMonths+1,$FJ224&gt;SwaptionFirstMonthPosition+SwaptionNumOfMonths+1),"",IF($FJ224=FL$169,1,IF($FJ224&lt;FL$169,INDEX($FK$170:$ID$241,FL$169,$FJ224),SUMPRODUCT(INDEX($FK$325:$ID$396,FL$169,1+SwaptionShift):INDEX($FK$325:$ID$396,FL$169,SwaptionMonthsToGo+SwaptionShift),INDEX($FK$245:$ID$316,$FJ224-FL$169,73-FL$169+SwaptionShift):INDEX($FK$245:$ID$316,$FJ224-FL$169,72-FL$169+SwaptionMonthsToGo+SwaptionShift))/SQRT(SUM(INDEX($FK379:$ID379,1+SwaptionShift):INDEX($FK379:$ID379,SwaptionMonthsToGo+SwaptionShift))*SUM(INDEX($FK$325:$ID$396,FL$169,1+SwaptionShift):INDEX($FK$325:$ID$396,FL$169,SwaptionMonthsToGo+SwaptionShift))))))</f>
        <v/>
      </c>
      <c r="FM224" s="150" t="str">
        <f aca="false">IF(OR(FM$169&lt;SwaptionFirstMonthPosition+1,$FJ224&lt;SwaptionFirstMonthPosition+1,FM$169&gt;SwaptionFirstMonthPosition+SwaptionNumOfMonths+1,$FJ224&gt;SwaptionFirstMonthPosition+SwaptionNumOfMonths+1),"",IF($FJ224=FM$169,1,IF($FJ224&lt;FM$169,INDEX($FK$170:$ID$241,FM$169,$FJ224),SUMPRODUCT(INDEX($FK$325:$ID$396,FM$169,1+SwaptionShift):INDEX($FK$325:$ID$396,FM$169,SwaptionMonthsToGo+SwaptionShift),INDEX($FK$245:$ID$316,$FJ224-FM$169,73-FM$169+SwaptionShift):INDEX($FK$245:$ID$316,$FJ224-FM$169,72-FM$169+SwaptionMonthsToGo+SwaptionShift))/SQRT(SUM(INDEX($FK379:$ID379,1+SwaptionShift):INDEX($FK379:$ID379,SwaptionMonthsToGo+SwaptionShift))*SUM(INDEX($FK$325:$ID$396,FM$169,1+SwaptionShift):INDEX($FK$325:$ID$396,FM$169,SwaptionMonthsToGo+SwaptionShift))))))</f>
        <v/>
      </c>
      <c r="FN224" s="150" t="str">
        <f aca="false">IF(OR(FN$169&lt;SwaptionFirstMonthPosition+1,$FJ224&lt;SwaptionFirstMonthPosition+1,FN$169&gt;SwaptionFirstMonthPosition+SwaptionNumOfMonths+1,$FJ224&gt;SwaptionFirstMonthPosition+SwaptionNumOfMonths+1),"",IF($FJ224=FN$169,1,IF($FJ224&lt;FN$169,INDEX($FK$170:$ID$241,FN$169,$FJ224),SUMPRODUCT(INDEX($FK$325:$ID$396,FN$169,1+SwaptionShift):INDEX($FK$325:$ID$396,FN$169,SwaptionMonthsToGo+SwaptionShift),INDEX($FK$245:$ID$316,$FJ224-FN$169,73-FN$169+SwaptionShift):INDEX($FK$245:$ID$316,$FJ224-FN$169,72-FN$169+SwaptionMonthsToGo+SwaptionShift))/SQRT(SUM(INDEX($FK379:$ID379,1+SwaptionShift):INDEX($FK379:$ID379,SwaptionMonthsToGo+SwaptionShift))*SUM(INDEX($FK$325:$ID$396,FN$169,1+SwaptionShift):INDEX($FK$325:$ID$396,FN$169,SwaptionMonthsToGo+SwaptionShift))))))</f>
        <v/>
      </c>
      <c r="FO224" s="150" t="str">
        <f aca="false">IF(OR(FO$169&lt;SwaptionFirstMonthPosition+1,$FJ224&lt;SwaptionFirstMonthPosition+1,FO$169&gt;SwaptionFirstMonthPosition+SwaptionNumOfMonths+1,$FJ224&gt;SwaptionFirstMonthPosition+SwaptionNumOfMonths+1),"",IF($FJ224=FO$169,1,IF($FJ224&lt;FO$169,INDEX($FK$170:$ID$241,FO$169,$FJ224),SUMPRODUCT(INDEX($FK$325:$ID$396,FO$169,1+SwaptionShift):INDEX($FK$325:$ID$396,FO$169,SwaptionMonthsToGo+SwaptionShift),INDEX($FK$245:$ID$316,$FJ224-FO$169,73-FO$169+SwaptionShift):INDEX($FK$245:$ID$316,$FJ224-FO$169,72-FO$169+SwaptionMonthsToGo+SwaptionShift))/SQRT(SUM(INDEX($FK379:$ID379,1+SwaptionShift):INDEX($FK379:$ID379,SwaptionMonthsToGo+SwaptionShift))*SUM(INDEX($FK$325:$ID$396,FO$169,1+SwaptionShift):INDEX($FK$325:$ID$396,FO$169,SwaptionMonthsToGo+SwaptionShift))))))</f>
        <v/>
      </c>
      <c r="FP224" s="150" t="str">
        <f aca="false">IF(OR(FP$169&lt;SwaptionFirstMonthPosition+1,$FJ224&lt;SwaptionFirstMonthPosition+1,FP$169&gt;SwaptionFirstMonthPosition+SwaptionNumOfMonths+1,$FJ224&gt;SwaptionFirstMonthPosition+SwaptionNumOfMonths+1),"",IF($FJ224=FP$169,1,IF($FJ224&lt;FP$169,INDEX($FK$170:$ID$241,FP$169,$FJ224),SUMPRODUCT(INDEX($FK$325:$ID$396,FP$169,1+SwaptionShift):INDEX($FK$325:$ID$396,FP$169,SwaptionMonthsToGo+SwaptionShift),INDEX($FK$245:$ID$316,$FJ224-FP$169,73-FP$169+SwaptionShift):INDEX($FK$245:$ID$316,$FJ224-FP$169,72-FP$169+SwaptionMonthsToGo+SwaptionShift))/SQRT(SUM(INDEX($FK379:$ID379,1+SwaptionShift):INDEX($FK379:$ID379,SwaptionMonthsToGo+SwaptionShift))*SUM(INDEX($FK$325:$ID$396,FP$169,1+SwaptionShift):INDEX($FK$325:$ID$396,FP$169,SwaptionMonthsToGo+SwaptionShift))))))</f>
        <v/>
      </c>
      <c r="FQ224" s="150" t="str">
        <f aca="false">IF(OR(FQ$169&lt;SwaptionFirstMonthPosition+1,$FJ224&lt;SwaptionFirstMonthPosition+1,FQ$169&gt;SwaptionFirstMonthPosition+SwaptionNumOfMonths+1,$FJ224&gt;SwaptionFirstMonthPosition+SwaptionNumOfMonths+1),"",IF($FJ224=FQ$169,1,IF($FJ224&lt;FQ$169,INDEX($FK$170:$ID$241,FQ$169,$FJ224),SUMPRODUCT(INDEX($FK$325:$ID$396,FQ$169,1+SwaptionShift):INDEX($FK$325:$ID$396,FQ$169,SwaptionMonthsToGo+SwaptionShift),INDEX($FK$245:$ID$316,$FJ224-FQ$169,73-FQ$169+SwaptionShift):INDEX($FK$245:$ID$316,$FJ224-FQ$169,72-FQ$169+SwaptionMonthsToGo+SwaptionShift))/SQRT(SUM(INDEX($FK379:$ID379,1+SwaptionShift):INDEX($FK379:$ID379,SwaptionMonthsToGo+SwaptionShift))*SUM(INDEX($FK$325:$ID$396,FQ$169,1+SwaptionShift):INDEX($FK$325:$ID$396,FQ$169,SwaptionMonthsToGo+SwaptionShift))))))</f>
        <v/>
      </c>
      <c r="FR224" s="150" t="str">
        <f aca="false">IF(OR(FR$169&lt;SwaptionFirstMonthPosition+1,$FJ224&lt;SwaptionFirstMonthPosition+1,FR$169&gt;SwaptionFirstMonthPosition+SwaptionNumOfMonths+1,$FJ224&gt;SwaptionFirstMonthPosition+SwaptionNumOfMonths+1),"",IF($FJ224=FR$169,1,IF($FJ224&lt;FR$169,INDEX($FK$170:$ID$241,FR$169,$FJ224),SUMPRODUCT(INDEX($FK$325:$ID$396,FR$169,1+SwaptionShift):INDEX($FK$325:$ID$396,FR$169,SwaptionMonthsToGo+SwaptionShift),INDEX($FK$245:$ID$316,$FJ224-FR$169,73-FR$169+SwaptionShift):INDEX($FK$245:$ID$316,$FJ224-FR$169,72-FR$169+SwaptionMonthsToGo+SwaptionShift))/SQRT(SUM(INDEX($FK379:$ID379,1+SwaptionShift):INDEX($FK379:$ID379,SwaptionMonthsToGo+SwaptionShift))*SUM(INDEX($FK$325:$ID$396,FR$169,1+SwaptionShift):INDEX($FK$325:$ID$396,FR$169,SwaptionMonthsToGo+SwaptionShift))))))</f>
        <v/>
      </c>
      <c r="FS224" s="150" t="str">
        <f aca="false">IF(OR(FS$169&lt;SwaptionFirstMonthPosition+1,$FJ224&lt;SwaptionFirstMonthPosition+1,FS$169&gt;SwaptionFirstMonthPosition+SwaptionNumOfMonths+1,$FJ224&gt;SwaptionFirstMonthPosition+SwaptionNumOfMonths+1),"",IF($FJ224=FS$169,1,IF($FJ224&lt;FS$169,INDEX($FK$170:$ID$241,FS$169,$FJ224),SUMPRODUCT(INDEX($FK$325:$ID$396,FS$169,1+SwaptionShift):INDEX($FK$325:$ID$396,FS$169,SwaptionMonthsToGo+SwaptionShift),INDEX($FK$245:$ID$316,$FJ224-FS$169,73-FS$169+SwaptionShift):INDEX($FK$245:$ID$316,$FJ224-FS$169,72-FS$169+SwaptionMonthsToGo+SwaptionShift))/SQRT(SUM(INDEX($FK379:$ID379,1+SwaptionShift):INDEX($FK379:$ID379,SwaptionMonthsToGo+SwaptionShift))*SUM(INDEX($FK$325:$ID$396,FS$169,1+SwaptionShift):INDEX($FK$325:$ID$396,FS$169,SwaptionMonthsToGo+SwaptionShift))))))</f>
        <v/>
      </c>
      <c r="FT224" s="150" t="str">
        <f aca="false">IF(OR(FT$169&lt;SwaptionFirstMonthPosition+1,$FJ224&lt;SwaptionFirstMonthPosition+1,FT$169&gt;SwaptionFirstMonthPosition+SwaptionNumOfMonths+1,$FJ224&gt;SwaptionFirstMonthPosition+SwaptionNumOfMonths+1),"",IF($FJ224=FT$169,1,IF($FJ224&lt;FT$169,INDEX($FK$170:$ID$241,FT$169,$FJ224),SUMPRODUCT(INDEX($FK$325:$ID$396,FT$169,1+SwaptionShift):INDEX($FK$325:$ID$396,FT$169,SwaptionMonthsToGo+SwaptionShift),INDEX($FK$245:$ID$316,$FJ224-FT$169,73-FT$169+SwaptionShift):INDEX($FK$245:$ID$316,$FJ224-FT$169,72-FT$169+SwaptionMonthsToGo+SwaptionShift))/SQRT(SUM(INDEX($FK379:$ID379,1+SwaptionShift):INDEX($FK379:$ID379,SwaptionMonthsToGo+SwaptionShift))*SUM(INDEX($FK$325:$ID$396,FT$169,1+SwaptionShift):INDEX($FK$325:$ID$396,FT$169,SwaptionMonthsToGo+SwaptionShift))))))</f>
        <v/>
      </c>
      <c r="FU224" s="150" t="str">
        <f aca="false">IF(OR(FU$169&lt;SwaptionFirstMonthPosition+1,$FJ224&lt;SwaptionFirstMonthPosition+1,FU$169&gt;SwaptionFirstMonthPosition+SwaptionNumOfMonths+1,$FJ224&gt;SwaptionFirstMonthPosition+SwaptionNumOfMonths+1),"",IF($FJ224=FU$169,1,IF($FJ224&lt;FU$169,INDEX($FK$170:$ID$241,FU$169,$FJ224),SUMPRODUCT(INDEX($FK$325:$ID$396,FU$169,1+SwaptionShift):INDEX($FK$325:$ID$396,FU$169,SwaptionMonthsToGo+SwaptionShift),INDEX($FK$245:$ID$316,$FJ224-FU$169,73-FU$169+SwaptionShift):INDEX($FK$245:$ID$316,$FJ224-FU$169,72-FU$169+SwaptionMonthsToGo+SwaptionShift))/SQRT(SUM(INDEX($FK379:$ID379,1+SwaptionShift):INDEX($FK379:$ID379,SwaptionMonthsToGo+SwaptionShift))*SUM(INDEX($FK$325:$ID$396,FU$169,1+SwaptionShift):INDEX($FK$325:$ID$396,FU$169,SwaptionMonthsToGo+SwaptionShift))))))</f>
        <v/>
      </c>
      <c r="FV224" s="150" t="str">
        <f aca="false">IF(OR(FV$169&lt;SwaptionFirstMonthPosition+1,$FJ224&lt;SwaptionFirstMonthPosition+1,FV$169&gt;SwaptionFirstMonthPosition+SwaptionNumOfMonths+1,$FJ224&gt;SwaptionFirstMonthPosition+SwaptionNumOfMonths+1),"",IF($FJ224=FV$169,1,IF($FJ224&lt;FV$169,INDEX($FK$170:$ID$241,FV$169,$FJ224),SUMPRODUCT(INDEX($FK$325:$ID$396,FV$169,1+SwaptionShift):INDEX($FK$325:$ID$396,FV$169,SwaptionMonthsToGo+SwaptionShift),INDEX($FK$245:$ID$316,$FJ224-FV$169,73-FV$169+SwaptionShift):INDEX($FK$245:$ID$316,$FJ224-FV$169,72-FV$169+SwaptionMonthsToGo+SwaptionShift))/SQRT(SUM(INDEX($FK379:$ID379,1+SwaptionShift):INDEX($FK379:$ID379,SwaptionMonthsToGo+SwaptionShift))*SUM(INDEX($FK$325:$ID$396,FV$169,1+SwaptionShift):INDEX($FK$325:$ID$396,FV$169,SwaptionMonthsToGo+SwaptionShift))))))</f>
        <v/>
      </c>
      <c r="FW224" s="150" t="str">
        <f aca="false">IF(OR(FW$169&lt;SwaptionFirstMonthPosition+1,$FJ224&lt;SwaptionFirstMonthPosition+1,FW$169&gt;SwaptionFirstMonthPosition+SwaptionNumOfMonths+1,$FJ224&gt;SwaptionFirstMonthPosition+SwaptionNumOfMonths+1),"",IF($FJ224=FW$169,1,IF($FJ224&lt;FW$169,INDEX($FK$170:$ID$241,FW$169,$FJ224),SUMPRODUCT(INDEX($FK$325:$ID$396,FW$169,1+SwaptionShift):INDEX($FK$325:$ID$396,FW$169,SwaptionMonthsToGo+SwaptionShift),INDEX($FK$245:$ID$316,$FJ224-FW$169,73-FW$169+SwaptionShift):INDEX($FK$245:$ID$316,$FJ224-FW$169,72-FW$169+SwaptionMonthsToGo+SwaptionShift))/SQRT(SUM(INDEX($FK379:$ID379,1+SwaptionShift):INDEX($FK379:$ID379,SwaptionMonthsToGo+SwaptionShift))*SUM(INDEX($FK$325:$ID$396,FW$169,1+SwaptionShift):INDEX($FK$325:$ID$396,FW$169,SwaptionMonthsToGo+SwaptionShift))))))</f>
        <v/>
      </c>
      <c r="FX224" s="150" t="str">
        <f aca="false">IF(OR(FX$169&lt;SwaptionFirstMonthPosition+1,$FJ224&lt;SwaptionFirstMonthPosition+1,FX$169&gt;SwaptionFirstMonthPosition+SwaptionNumOfMonths+1,$FJ224&gt;SwaptionFirstMonthPosition+SwaptionNumOfMonths+1),"",IF($FJ224=FX$169,1,IF($FJ224&lt;FX$169,INDEX($FK$170:$ID$241,FX$169,$FJ224),SUMPRODUCT(INDEX($FK$325:$ID$396,FX$169,1+SwaptionShift):INDEX($FK$325:$ID$396,FX$169,SwaptionMonthsToGo+SwaptionShift),INDEX($FK$245:$ID$316,$FJ224-FX$169,73-FX$169+SwaptionShift):INDEX($FK$245:$ID$316,$FJ224-FX$169,72-FX$169+SwaptionMonthsToGo+SwaptionShift))/SQRT(SUM(INDEX($FK379:$ID379,1+SwaptionShift):INDEX($FK379:$ID379,SwaptionMonthsToGo+SwaptionShift))*SUM(INDEX($FK$325:$ID$396,FX$169,1+SwaptionShift):INDEX($FK$325:$ID$396,FX$169,SwaptionMonthsToGo+SwaptionShift))))))</f>
        <v/>
      </c>
      <c r="FY224" s="150" t="str">
        <f aca="false">IF(OR(FY$169&lt;SwaptionFirstMonthPosition+1,$FJ224&lt;SwaptionFirstMonthPosition+1,FY$169&gt;SwaptionFirstMonthPosition+SwaptionNumOfMonths+1,$FJ224&gt;SwaptionFirstMonthPosition+SwaptionNumOfMonths+1),"",IF($FJ224=FY$169,1,IF($FJ224&lt;FY$169,INDEX($FK$170:$ID$241,FY$169,$FJ224),SUMPRODUCT(INDEX($FK$325:$ID$396,FY$169,1+SwaptionShift):INDEX($FK$325:$ID$396,FY$169,SwaptionMonthsToGo+SwaptionShift),INDEX($FK$245:$ID$316,$FJ224-FY$169,73-FY$169+SwaptionShift):INDEX($FK$245:$ID$316,$FJ224-FY$169,72-FY$169+SwaptionMonthsToGo+SwaptionShift))/SQRT(SUM(INDEX($FK379:$ID379,1+SwaptionShift):INDEX($FK379:$ID379,SwaptionMonthsToGo+SwaptionShift))*SUM(INDEX($FK$325:$ID$396,FY$169,1+SwaptionShift):INDEX($FK$325:$ID$396,FY$169,SwaptionMonthsToGo+SwaptionShift))))))</f>
        <v/>
      </c>
      <c r="FZ224" s="150" t="str">
        <f aca="false">IF(OR(FZ$169&lt;SwaptionFirstMonthPosition+1,$FJ224&lt;SwaptionFirstMonthPosition+1,FZ$169&gt;SwaptionFirstMonthPosition+SwaptionNumOfMonths+1,$FJ224&gt;SwaptionFirstMonthPosition+SwaptionNumOfMonths+1),"",IF($FJ224=FZ$169,1,IF($FJ224&lt;FZ$169,INDEX($FK$170:$ID$241,FZ$169,$FJ224),SUMPRODUCT(INDEX($FK$325:$ID$396,FZ$169,1+SwaptionShift):INDEX($FK$325:$ID$396,FZ$169,SwaptionMonthsToGo+SwaptionShift),INDEX($FK$245:$ID$316,$FJ224-FZ$169,73-FZ$169+SwaptionShift):INDEX($FK$245:$ID$316,$FJ224-FZ$169,72-FZ$169+SwaptionMonthsToGo+SwaptionShift))/SQRT(SUM(INDEX($FK379:$ID379,1+SwaptionShift):INDEX($FK379:$ID379,SwaptionMonthsToGo+SwaptionShift))*SUM(INDEX($FK$325:$ID$396,FZ$169,1+SwaptionShift):INDEX($FK$325:$ID$396,FZ$169,SwaptionMonthsToGo+SwaptionShift))))))</f>
        <v/>
      </c>
      <c r="GA224" s="150" t="str">
        <f aca="false">IF(OR(GA$169&lt;SwaptionFirstMonthPosition+1,$FJ224&lt;SwaptionFirstMonthPosition+1,GA$169&gt;SwaptionFirstMonthPosition+SwaptionNumOfMonths+1,$FJ224&gt;SwaptionFirstMonthPosition+SwaptionNumOfMonths+1),"",IF($FJ224=GA$169,1,IF($FJ224&lt;GA$169,INDEX($FK$170:$ID$241,GA$169,$FJ224),SUMPRODUCT(INDEX($FK$325:$ID$396,GA$169,1+SwaptionShift):INDEX($FK$325:$ID$396,GA$169,SwaptionMonthsToGo+SwaptionShift),INDEX($FK$245:$ID$316,$FJ224-GA$169,73-GA$169+SwaptionShift):INDEX($FK$245:$ID$316,$FJ224-GA$169,72-GA$169+SwaptionMonthsToGo+SwaptionShift))/SQRT(SUM(INDEX($FK379:$ID379,1+SwaptionShift):INDEX($FK379:$ID379,SwaptionMonthsToGo+SwaptionShift))*SUM(INDEX($FK$325:$ID$396,GA$169,1+SwaptionShift):INDEX($FK$325:$ID$396,GA$169,SwaptionMonthsToGo+SwaptionShift))))))</f>
        <v/>
      </c>
      <c r="GB224" s="150" t="str">
        <f aca="false">IF(OR(GB$169&lt;SwaptionFirstMonthPosition+1,$FJ224&lt;SwaptionFirstMonthPosition+1,GB$169&gt;SwaptionFirstMonthPosition+SwaptionNumOfMonths+1,$FJ224&gt;SwaptionFirstMonthPosition+SwaptionNumOfMonths+1),"",IF($FJ224=GB$169,1,IF($FJ224&lt;GB$169,INDEX($FK$170:$ID$241,GB$169,$FJ224),SUMPRODUCT(INDEX($FK$325:$ID$396,GB$169,1+SwaptionShift):INDEX($FK$325:$ID$396,GB$169,SwaptionMonthsToGo+SwaptionShift),INDEX($FK$245:$ID$316,$FJ224-GB$169,73-GB$169+SwaptionShift):INDEX($FK$245:$ID$316,$FJ224-GB$169,72-GB$169+SwaptionMonthsToGo+SwaptionShift))/SQRT(SUM(INDEX($FK379:$ID379,1+SwaptionShift):INDEX($FK379:$ID379,SwaptionMonthsToGo+SwaptionShift))*SUM(INDEX($FK$325:$ID$396,GB$169,1+SwaptionShift):INDEX($FK$325:$ID$396,GB$169,SwaptionMonthsToGo+SwaptionShift))))))</f>
        <v/>
      </c>
      <c r="GC224" s="150" t="str">
        <f aca="false">IF(OR(GC$169&lt;SwaptionFirstMonthPosition+1,$FJ224&lt;SwaptionFirstMonthPosition+1,GC$169&gt;SwaptionFirstMonthPosition+SwaptionNumOfMonths+1,$FJ224&gt;SwaptionFirstMonthPosition+SwaptionNumOfMonths+1),"",IF($FJ224=GC$169,1,IF($FJ224&lt;GC$169,INDEX($FK$170:$ID$241,GC$169,$FJ224),SUMPRODUCT(INDEX($FK$325:$ID$396,GC$169,1+SwaptionShift):INDEX($FK$325:$ID$396,GC$169,SwaptionMonthsToGo+SwaptionShift),INDEX($FK$245:$ID$316,$FJ224-GC$169,73-GC$169+SwaptionShift):INDEX($FK$245:$ID$316,$FJ224-GC$169,72-GC$169+SwaptionMonthsToGo+SwaptionShift))/SQRT(SUM(INDEX($FK379:$ID379,1+SwaptionShift):INDEX($FK379:$ID379,SwaptionMonthsToGo+SwaptionShift))*SUM(INDEX($FK$325:$ID$396,GC$169,1+SwaptionShift):INDEX($FK$325:$ID$396,GC$169,SwaptionMonthsToGo+SwaptionShift))))))</f>
        <v/>
      </c>
      <c r="GD224" s="150" t="str">
        <f aca="false">IF(OR(GD$169&lt;SwaptionFirstMonthPosition+1,$FJ224&lt;SwaptionFirstMonthPosition+1,GD$169&gt;SwaptionFirstMonthPosition+SwaptionNumOfMonths+1,$FJ224&gt;SwaptionFirstMonthPosition+SwaptionNumOfMonths+1),"",IF($FJ224=GD$169,1,IF($FJ224&lt;GD$169,INDEX($FK$170:$ID$241,GD$169,$FJ224),SUMPRODUCT(INDEX($FK$325:$ID$396,GD$169,1+SwaptionShift):INDEX($FK$325:$ID$396,GD$169,SwaptionMonthsToGo+SwaptionShift),INDEX($FK$245:$ID$316,$FJ224-GD$169,73-GD$169+SwaptionShift):INDEX($FK$245:$ID$316,$FJ224-GD$169,72-GD$169+SwaptionMonthsToGo+SwaptionShift))/SQRT(SUM(INDEX($FK379:$ID379,1+SwaptionShift):INDEX($FK379:$ID379,SwaptionMonthsToGo+SwaptionShift))*SUM(INDEX($FK$325:$ID$396,GD$169,1+SwaptionShift):INDEX($FK$325:$ID$396,GD$169,SwaptionMonthsToGo+SwaptionShift))))))</f>
        <v/>
      </c>
      <c r="GE224" s="150" t="str">
        <f aca="false">IF(OR(GE$169&lt;SwaptionFirstMonthPosition+1,$FJ224&lt;SwaptionFirstMonthPosition+1,GE$169&gt;SwaptionFirstMonthPosition+SwaptionNumOfMonths+1,$FJ224&gt;SwaptionFirstMonthPosition+SwaptionNumOfMonths+1),"",IF($FJ224=GE$169,1,IF($FJ224&lt;GE$169,INDEX($FK$170:$ID$241,GE$169,$FJ224),SUMPRODUCT(INDEX($FK$325:$ID$396,GE$169,1+SwaptionShift):INDEX($FK$325:$ID$396,GE$169,SwaptionMonthsToGo+SwaptionShift),INDEX($FK$245:$ID$316,$FJ224-GE$169,73-GE$169+SwaptionShift):INDEX($FK$245:$ID$316,$FJ224-GE$169,72-GE$169+SwaptionMonthsToGo+SwaptionShift))/SQRT(SUM(INDEX($FK379:$ID379,1+SwaptionShift):INDEX($FK379:$ID379,SwaptionMonthsToGo+SwaptionShift))*SUM(INDEX($FK$325:$ID$396,GE$169,1+SwaptionShift):INDEX($FK$325:$ID$396,GE$169,SwaptionMonthsToGo+SwaptionShift))))))</f>
        <v/>
      </c>
      <c r="GF224" s="150" t="str">
        <f aca="false">IF(OR(GF$169&lt;SwaptionFirstMonthPosition+1,$FJ224&lt;SwaptionFirstMonthPosition+1,GF$169&gt;SwaptionFirstMonthPosition+SwaptionNumOfMonths+1,$FJ224&gt;SwaptionFirstMonthPosition+SwaptionNumOfMonths+1),"",IF($FJ224=GF$169,1,IF($FJ224&lt;GF$169,INDEX($FK$170:$ID$241,GF$169,$FJ224),SUMPRODUCT(INDEX($FK$325:$ID$396,GF$169,1+SwaptionShift):INDEX($FK$325:$ID$396,GF$169,SwaptionMonthsToGo+SwaptionShift),INDEX($FK$245:$ID$316,$FJ224-GF$169,73-GF$169+SwaptionShift):INDEX($FK$245:$ID$316,$FJ224-GF$169,72-GF$169+SwaptionMonthsToGo+SwaptionShift))/SQRT(SUM(INDEX($FK379:$ID379,1+SwaptionShift):INDEX($FK379:$ID379,SwaptionMonthsToGo+SwaptionShift))*SUM(INDEX($FK$325:$ID$396,GF$169,1+SwaptionShift):INDEX($FK$325:$ID$396,GF$169,SwaptionMonthsToGo+SwaptionShift))))))</f>
        <v/>
      </c>
      <c r="GG224" s="150" t="str">
        <f aca="false">IF(OR(GG$169&lt;SwaptionFirstMonthPosition+1,$FJ224&lt;SwaptionFirstMonthPosition+1,GG$169&gt;SwaptionFirstMonthPosition+SwaptionNumOfMonths+1,$FJ224&gt;SwaptionFirstMonthPosition+SwaptionNumOfMonths+1),"",IF($FJ224=GG$169,1,IF($FJ224&lt;GG$169,INDEX($FK$170:$ID$241,GG$169,$FJ224),SUMPRODUCT(INDEX($FK$325:$ID$396,GG$169,1+SwaptionShift):INDEX($FK$325:$ID$396,GG$169,SwaptionMonthsToGo+SwaptionShift),INDEX($FK$245:$ID$316,$FJ224-GG$169,73-GG$169+SwaptionShift):INDEX($FK$245:$ID$316,$FJ224-GG$169,72-GG$169+SwaptionMonthsToGo+SwaptionShift))/SQRT(SUM(INDEX($FK379:$ID379,1+SwaptionShift):INDEX($FK379:$ID379,SwaptionMonthsToGo+SwaptionShift))*SUM(INDEX($FK$325:$ID$396,GG$169,1+SwaptionShift):INDEX($FK$325:$ID$396,GG$169,SwaptionMonthsToGo+SwaptionShift))))))</f>
        <v/>
      </c>
      <c r="GH224" s="150" t="str">
        <f aca="false">IF(OR(GH$169&lt;SwaptionFirstMonthPosition+1,$FJ224&lt;SwaptionFirstMonthPosition+1,GH$169&gt;SwaptionFirstMonthPosition+SwaptionNumOfMonths+1,$FJ224&gt;SwaptionFirstMonthPosition+SwaptionNumOfMonths+1),"",IF($FJ224=GH$169,1,IF($FJ224&lt;GH$169,INDEX($FK$170:$ID$241,GH$169,$FJ224),SUMPRODUCT(INDEX($FK$325:$ID$396,GH$169,1+SwaptionShift):INDEX($FK$325:$ID$396,GH$169,SwaptionMonthsToGo+SwaptionShift),INDEX($FK$245:$ID$316,$FJ224-GH$169,73-GH$169+SwaptionShift):INDEX($FK$245:$ID$316,$FJ224-GH$169,72-GH$169+SwaptionMonthsToGo+SwaptionShift))/SQRT(SUM(INDEX($FK379:$ID379,1+SwaptionShift):INDEX($FK379:$ID379,SwaptionMonthsToGo+SwaptionShift))*SUM(INDEX($FK$325:$ID$396,GH$169,1+SwaptionShift):INDEX($FK$325:$ID$396,GH$169,SwaptionMonthsToGo+SwaptionShift))))))</f>
        <v/>
      </c>
      <c r="GI224" s="150" t="str">
        <f aca="false">IF(OR(GI$169&lt;SwaptionFirstMonthPosition+1,$FJ224&lt;SwaptionFirstMonthPosition+1,GI$169&gt;SwaptionFirstMonthPosition+SwaptionNumOfMonths+1,$FJ224&gt;SwaptionFirstMonthPosition+SwaptionNumOfMonths+1),"",IF($FJ224=GI$169,1,IF($FJ224&lt;GI$169,INDEX($FK$170:$ID$241,GI$169,$FJ224),SUMPRODUCT(INDEX($FK$325:$ID$396,GI$169,1+SwaptionShift):INDEX($FK$325:$ID$396,GI$169,SwaptionMonthsToGo+SwaptionShift),INDEX($FK$245:$ID$316,$FJ224-GI$169,73-GI$169+SwaptionShift):INDEX($FK$245:$ID$316,$FJ224-GI$169,72-GI$169+SwaptionMonthsToGo+SwaptionShift))/SQRT(SUM(INDEX($FK379:$ID379,1+SwaptionShift):INDEX($FK379:$ID379,SwaptionMonthsToGo+SwaptionShift))*SUM(INDEX($FK$325:$ID$396,GI$169,1+SwaptionShift):INDEX($FK$325:$ID$396,GI$169,SwaptionMonthsToGo+SwaptionShift))))))</f>
        <v/>
      </c>
      <c r="GJ224" s="150" t="str">
        <f aca="false">IF(OR(GJ$169&lt;SwaptionFirstMonthPosition+1,$FJ224&lt;SwaptionFirstMonthPosition+1,GJ$169&gt;SwaptionFirstMonthPosition+SwaptionNumOfMonths+1,$FJ224&gt;SwaptionFirstMonthPosition+SwaptionNumOfMonths+1),"",IF($FJ224=GJ$169,1,IF($FJ224&lt;GJ$169,INDEX($FK$170:$ID$241,GJ$169,$FJ224),SUMPRODUCT(INDEX($FK$325:$ID$396,GJ$169,1+SwaptionShift):INDEX($FK$325:$ID$396,GJ$169,SwaptionMonthsToGo+SwaptionShift),INDEX($FK$245:$ID$316,$FJ224-GJ$169,73-GJ$169+SwaptionShift):INDEX($FK$245:$ID$316,$FJ224-GJ$169,72-GJ$169+SwaptionMonthsToGo+SwaptionShift))/SQRT(SUM(INDEX($FK379:$ID379,1+SwaptionShift):INDEX($FK379:$ID379,SwaptionMonthsToGo+SwaptionShift))*SUM(INDEX($FK$325:$ID$396,GJ$169,1+SwaptionShift):INDEX($FK$325:$ID$396,GJ$169,SwaptionMonthsToGo+SwaptionShift))))))</f>
        <v/>
      </c>
      <c r="GK224" s="150" t="str">
        <f aca="false">IF(OR(GK$169&lt;SwaptionFirstMonthPosition+1,$FJ224&lt;SwaptionFirstMonthPosition+1,GK$169&gt;SwaptionFirstMonthPosition+SwaptionNumOfMonths+1,$FJ224&gt;SwaptionFirstMonthPosition+SwaptionNumOfMonths+1),"",IF($FJ224=GK$169,1,IF($FJ224&lt;GK$169,INDEX($FK$170:$ID$241,GK$169,$FJ224),SUMPRODUCT(INDEX($FK$325:$ID$396,GK$169,1+SwaptionShift):INDEX($FK$325:$ID$396,GK$169,SwaptionMonthsToGo+SwaptionShift),INDEX($FK$245:$ID$316,$FJ224-GK$169,73-GK$169+SwaptionShift):INDEX($FK$245:$ID$316,$FJ224-GK$169,72-GK$169+SwaptionMonthsToGo+SwaptionShift))/SQRT(SUM(INDEX($FK379:$ID379,1+SwaptionShift):INDEX($FK379:$ID379,SwaptionMonthsToGo+SwaptionShift))*SUM(INDEX($FK$325:$ID$396,GK$169,1+SwaptionShift):INDEX($FK$325:$ID$396,GK$169,SwaptionMonthsToGo+SwaptionShift))))))</f>
        <v/>
      </c>
      <c r="GL224" s="150" t="str">
        <f aca="false">IF(OR(GL$169&lt;SwaptionFirstMonthPosition+1,$FJ224&lt;SwaptionFirstMonthPosition+1,GL$169&gt;SwaptionFirstMonthPosition+SwaptionNumOfMonths+1,$FJ224&gt;SwaptionFirstMonthPosition+SwaptionNumOfMonths+1),"",IF($FJ224=GL$169,1,IF($FJ224&lt;GL$169,INDEX($FK$170:$ID$241,GL$169,$FJ224),SUMPRODUCT(INDEX($FK$325:$ID$396,GL$169,1+SwaptionShift):INDEX($FK$325:$ID$396,GL$169,SwaptionMonthsToGo+SwaptionShift),INDEX($FK$245:$ID$316,$FJ224-GL$169,73-GL$169+SwaptionShift):INDEX($FK$245:$ID$316,$FJ224-GL$169,72-GL$169+SwaptionMonthsToGo+SwaptionShift))/SQRT(SUM(INDEX($FK379:$ID379,1+SwaptionShift):INDEX($FK379:$ID379,SwaptionMonthsToGo+SwaptionShift))*SUM(INDEX($FK$325:$ID$396,GL$169,1+SwaptionShift):INDEX($FK$325:$ID$396,GL$169,SwaptionMonthsToGo+SwaptionShift))))))</f>
        <v/>
      </c>
      <c r="GM224" s="150" t="str">
        <f aca="false">IF(OR(GM$169&lt;SwaptionFirstMonthPosition+1,$FJ224&lt;SwaptionFirstMonthPosition+1,GM$169&gt;SwaptionFirstMonthPosition+SwaptionNumOfMonths+1,$FJ224&gt;SwaptionFirstMonthPosition+SwaptionNumOfMonths+1),"",IF($FJ224=GM$169,1,IF($FJ224&lt;GM$169,INDEX($FK$170:$ID$241,GM$169,$FJ224),SUMPRODUCT(INDEX($FK$325:$ID$396,GM$169,1+SwaptionShift):INDEX($FK$325:$ID$396,GM$169,SwaptionMonthsToGo+SwaptionShift),INDEX($FK$245:$ID$316,$FJ224-GM$169,73-GM$169+SwaptionShift):INDEX($FK$245:$ID$316,$FJ224-GM$169,72-GM$169+SwaptionMonthsToGo+SwaptionShift))/SQRT(SUM(INDEX($FK379:$ID379,1+SwaptionShift):INDEX($FK379:$ID379,SwaptionMonthsToGo+SwaptionShift))*SUM(INDEX($FK$325:$ID$396,GM$169,1+SwaptionShift):INDEX($FK$325:$ID$396,GM$169,SwaptionMonthsToGo+SwaptionShift))))))</f>
        <v/>
      </c>
      <c r="GN224" s="150" t="str">
        <f aca="false">IF(OR(GN$169&lt;SwaptionFirstMonthPosition+1,$FJ224&lt;SwaptionFirstMonthPosition+1,GN$169&gt;SwaptionFirstMonthPosition+SwaptionNumOfMonths+1,$FJ224&gt;SwaptionFirstMonthPosition+SwaptionNumOfMonths+1),"",IF($FJ224=GN$169,1,IF($FJ224&lt;GN$169,INDEX($FK$170:$ID$241,GN$169,$FJ224),SUMPRODUCT(INDEX($FK$325:$ID$396,GN$169,1+SwaptionShift):INDEX($FK$325:$ID$396,GN$169,SwaptionMonthsToGo+SwaptionShift),INDEX($FK$245:$ID$316,$FJ224-GN$169,73-GN$169+SwaptionShift):INDEX($FK$245:$ID$316,$FJ224-GN$169,72-GN$169+SwaptionMonthsToGo+SwaptionShift))/SQRT(SUM(INDEX($FK379:$ID379,1+SwaptionShift):INDEX($FK379:$ID379,SwaptionMonthsToGo+SwaptionShift))*SUM(INDEX($FK$325:$ID$396,GN$169,1+SwaptionShift):INDEX($FK$325:$ID$396,GN$169,SwaptionMonthsToGo+SwaptionShift))))))</f>
        <v/>
      </c>
      <c r="GO224" s="150" t="str">
        <f aca="false">IF(OR(GO$169&lt;SwaptionFirstMonthPosition+1,$FJ224&lt;SwaptionFirstMonthPosition+1,GO$169&gt;SwaptionFirstMonthPosition+SwaptionNumOfMonths+1,$FJ224&gt;SwaptionFirstMonthPosition+SwaptionNumOfMonths+1),"",IF($FJ224=GO$169,1,IF($FJ224&lt;GO$169,INDEX($FK$170:$ID$241,GO$169,$FJ224),SUMPRODUCT(INDEX($FK$325:$ID$396,GO$169,1+SwaptionShift):INDEX($FK$325:$ID$396,GO$169,SwaptionMonthsToGo+SwaptionShift),INDEX($FK$245:$ID$316,$FJ224-GO$169,73-GO$169+SwaptionShift):INDEX($FK$245:$ID$316,$FJ224-GO$169,72-GO$169+SwaptionMonthsToGo+SwaptionShift))/SQRT(SUM(INDEX($FK379:$ID379,1+SwaptionShift):INDEX($FK379:$ID379,SwaptionMonthsToGo+SwaptionShift))*SUM(INDEX($FK$325:$ID$396,GO$169,1+SwaptionShift):INDEX($FK$325:$ID$396,GO$169,SwaptionMonthsToGo+SwaptionShift))))))</f>
        <v/>
      </c>
      <c r="GP224" s="150" t="str">
        <f aca="false">IF(OR(GP$169&lt;SwaptionFirstMonthPosition+1,$FJ224&lt;SwaptionFirstMonthPosition+1,GP$169&gt;SwaptionFirstMonthPosition+SwaptionNumOfMonths+1,$FJ224&gt;SwaptionFirstMonthPosition+SwaptionNumOfMonths+1),"",IF($FJ224=GP$169,1,IF($FJ224&lt;GP$169,INDEX($FK$170:$ID$241,GP$169,$FJ224),SUMPRODUCT(INDEX($FK$325:$ID$396,GP$169,1+SwaptionShift):INDEX($FK$325:$ID$396,GP$169,SwaptionMonthsToGo+SwaptionShift),INDEX($FK$245:$ID$316,$FJ224-GP$169,73-GP$169+SwaptionShift):INDEX($FK$245:$ID$316,$FJ224-GP$169,72-GP$169+SwaptionMonthsToGo+SwaptionShift))/SQRT(SUM(INDEX($FK379:$ID379,1+SwaptionShift):INDEX($FK379:$ID379,SwaptionMonthsToGo+SwaptionShift))*SUM(INDEX($FK$325:$ID$396,GP$169,1+SwaptionShift):INDEX($FK$325:$ID$396,GP$169,SwaptionMonthsToGo+SwaptionShift))))))</f>
        <v/>
      </c>
      <c r="GQ224" s="150" t="str">
        <f aca="false">IF(OR(GQ$169&lt;SwaptionFirstMonthPosition+1,$FJ224&lt;SwaptionFirstMonthPosition+1,GQ$169&gt;SwaptionFirstMonthPosition+SwaptionNumOfMonths+1,$FJ224&gt;SwaptionFirstMonthPosition+SwaptionNumOfMonths+1),"",IF($FJ224=GQ$169,1,IF($FJ224&lt;GQ$169,INDEX($FK$170:$ID$241,GQ$169,$FJ224),SUMPRODUCT(INDEX($FK$325:$ID$396,GQ$169,1+SwaptionShift):INDEX($FK$325:$ID$396,GQ$169,SwaptionMonthsToGo+SwaptionShift),INDEX($FK$245:$ID$316,$FJ224-GQ$169,73-GQ$169+SwaptionShift):INDEX($FK$245:$ID$316,$FJ224-GQ$169,72-GQ$169+SwaptionMonthsToGo+SwaptionShift))/SQRT(SUM(INDEX($FK379:$ID379,1+SwaptionShift):INDEX($FK379:$ID379,SwaptionMonthsToGo+SwaptionShift))*SUM(INDEX($FK$325:$ID$396,GQ$169,1+SwaptionShift):INDEX($FK$325:$ID$396,GQ$169,SwaptionMonthsToGo+SwaptionShift))))))</f>
        <v/>
      </c>
      <c r="GR224" s="150" t="str">
        <f aca="false">IF(OR(GR$169&lt;SwaptionFirstMonthPosition+1,$FJ224&lt;SwaptionFirstMonthPosition+1,GR$169&gt;SwaptionFirstMonthPosition+SwaptionNumOfMonths+1,$FJ224&gt;SwaptionFirstMonthPosition+SwaptionNumOfMonths+1),"",IF($FJ224=GR$169,1,IF($FJ224&lt;GR$169,INDEX($FK$170:$ID$241,GR$169,$FJ224),SUMPRODUCT(INDEX($FK$325:$ID$396,GR$169,1+SwaptionShift):INDEX($FK$325:$ID$396,GR$169,SwaptionMonthsToGo+SwaptionShift),INDEX($FK$245:$ID$316,$FJ224-GR$169,73-GR$169+SwaptionShift):INDEX($FK$245:$ID$316,$FJ224-GR$169,72-GR$169+SwaptionMonthsToGo+SwaptionShift))/SQRT(SUM(INDEX($FK379:$ID379,1+SwaptionShift):INDEX($FK379:$ID379,SwaptionMonthsToGo+SwaptionShift))*SUM(INDEX($FK$325:$ID$396,GR$169,1+SwaptionShift):INDEX($FK$325:$ID$396,GR$169,SwaptionMonthsToGo+SwaptionShift))))))</f>
        <v/>
      </c>
      <c r="GS224" s="150" t="str">
        <f aca="false">IF(OR(GS$169&lt;SwaptionFirstMonthPosition+1,$FJ224&lt;SwaptionFirstMonthPosition+1,GS$169&gt;SwaptionFirstMonthPosition+SwaptionNumOfMonths+1,$FJ224&gt;SwaptionFirstMonthPosition+SwaptionNumOfMonths+1),"",IF($FJ224=GS$169,1,IF($FJ224&lt;GS$169,INDEX($FK$170:$ID$241,GS$169,$FJ224),SUMPRODUCT(INDEX($FK$325:$ID$396,GS$169,1+SwaptionShift):INDEX($FK$325:$ID$396,GS$169,SwaptionMonthsToGo+SwaptionShift),INDEX($FK$245:$ID$316,$FJ224-GS$169,73-GS$169+SwaptionShift):INDEX($FK$245:$ID$316,$FJ224-GS$169,72-GS$169+SwaptionMonthsToGo+SwaptionShift))/SQRT(SUM(INDEX($FK379:$ID379,1+SwaptionShift):INDEX($FK379:$ID379,SwaptionMonthsToGo+SwaptionShift))*SUM(INDEX($FK$325:$ID$396,GS$169,1+SwaptionShift):INDEX($FK$325:$ID$396,GS$169,SwaptionMonthsToGo+SwaptionShift))))))</f>
        <v/>
      </c>
      <c r="GT224" s="150" t="str">
        <f aca="false">IF(OR(GT$169&lt;SwaptionFirstMonthPosition+1,$FJ224&lt;SwaptionFirstMonthPosition+1,GT$169&gt;SwaptionFirstMonthPosition+SwaptionNumOfMonths+1,$FJ224&gt;SwaptionFirstMonthPosition+SwaptionNumOfMonths+1),"",IF($FJ224=GT$169,1,IF($FJ224&lt;GT$169,INDEX($FK$170:$ID$241,GT$169,$FJ224),SUMPRODUCT(INDEX($FK$325:$ID$396,GT$169,1+SwaptionShift):INDEX($FK$325:$ID$396,GT$169,SwaptionMonthsToGo+SwaptionShift),INDEX($FK$245:$ID$316,$FJ224-GT$169,73-GT$169+SwaptionShift):INDEX($FK$245:$ID$316,$FJ224-GT$169,72-GT$169+SwaptionMonthsToGo+SwaptionShift))/SQRT(SUM(INDEX($FK379:$ID379,1+SwaptionShift):INDEX($FK379:$ID379,SwaptionMonthsToGo+SwaptionShift))*SUM(INDEX($FK$325:$ID$396,GT$169,1+SwaptionShift):INDEX($FK$325:$ID$396,GT$169,SwaptionMonthsToGo+SwaptionShift))))))</f>
        <v/>
      </c>
      <c r="GU224" s="150" t="str">
        <f aca="false">IF(OR(GU$169&lt;SwaptionFirstMonthPosition+1,$FJ224&lt;SwaptionFirstMonthPosition+1,GU$169&gt;SwaptionFirstMonthPosition+SwaptionNumOfMonths+1,$FJ224&gt;SwaptionFirstMonthPosition+SwaptionNumOfMonths+1),"",IF($FJ224=GU$169,1,IF($FJ224&lt;GU$169,INDEX($FK$170:$ID$241,GU$169,$FJ224),SUMPRODUCT(INDEX($FK$325:$ID$396,GU$169,1+SwaptionShift):INDEX($FK$325:$ID$396,GU$169,SwaptionMonthsToGo+SwaptionShift),INDEX($FK$245:$ID$316,$FJ224-GU$169,73-GU$169+SwaptionShift):INDEX($FK$245:$ID$316,$FJ224-GU$169,72-GU$169+SwaptionMonthsToGo+SwaptionShift))/SQRT(SUM(INDEX($FK379:$ID379,1+SwaptionShift):INDEX($FK379:$ID379,SwaptionMonthsToGo+SwaptionShift))*SUM(INDEX($FK$325:$ID$396,GU$169,1+SwaptionShift):INDEX($FK$325:$ID$396,GU$169,SwaptionMonthsToGo+SwaptionShift))))))</f>
        <v/>
      </c>
      <c r="GV224" s="150" t="str">
        <f aca="false">IF(OR(GV$169&lt;SwaptionFirstMonthPosition+1,$FJ224&lt;SwaptionFirstMonthPosition+1,GV$169&gt;SwaptionFirstMonthPosition+SwaptionNumOfMonths+1,$FJ224&gt;SwaptionFirstMonthPosition+SwaptionNumOfMonths+1),"",IF($FJ224=GV$169,1,IF($FJ224&lt;GV$169,INDEX($FK$170:$ID$241,GV$169,$FJ224),SUMPRODUCT(INDEX($FK$325:$ID$396,GV$169,1+SwaptionShift):INDEX($FK$325:$ID$396,GV$169,SwaptionMonthsToGo+SwaptionShift),INDEX($FK$245:$ID$316,$FJ224-GV$169,73-GV$169+SwaptionShift):INDEX($FK$245:$ID$316,$FJ224-GV$169,72-GV$169+SwaptionMonthsToGo+SwaptionShift))/SQRT(SUM(INDEX($FK379:$ID379,1+SwaptionShift):INDEX($FK379:$ID379,SwaptionMonthsToGo+SwaptionShift))*SUM(INDEX($FK$325:$ID$396,GV$169,1+SwaptionShift):INDEX($FK$325:$ID$396,GV$169,SwaptionMonthsToGo+SwaptionShift))))))</f>
        <v/>
      </c>
      <c r="GW224" s="150" t="str">
        <f aca="false">IF(OR(GW$169&lt;SwaptionFirstMonthPosition+1,$FJ224&lt;SwaptionFirstMonthPosition+1,GW$169&gt;SwaptionFirstMonthPosition+SwaptionNumOfMonths+1,$FJ224&gt;SwaptionFirstMonthPosition+SwaptionNumOfMonths+1),"",IF($FJ224=GW$169,1,IF($FJ224&lt;GW$169,INDEX($FK$170:$ID$241,GW$169,$FJ224),SUMPRODUCT(INDEX($FK$325:$ID$396,GW$169,1+SwaptionShift):INDEX($FK$325:$ID$396,GW$169,SwaptionMonthsToGo+SwaptionShift),INDEX($FK$245:$ID$316,$FJ224-GW$169,73-GW$169+SwaptionShift):INDEX($FK$245:$ID$316,$FJ224-GW$169,72-GW$169+SwaptionMonthsToGo+SwaptionShift))/SQRT(SUM(INDEX($FK379:$ID379,1+SwaptionShift):INDEX($FK379:$ID379,SwaptionMonthsToGo+SwaptionShift))*SUM(INDEX($FK$325:$ID$396,GW$169,1+SwaptionShift):INDEX($FK$325:$ID$396,GW$169,SwaptionMonthsToGo+SwaptionShift))))))</f>
        <v/>
      </c>
      <c r="GX224" s="150" t="str">
        <f aca="false">IF(OR(GX$169&lt;SwaptionFirstMonthPosition+1,$FJ224&lt;SwaptionFirstMonthPosition+1,GX$169&gt;SwaptionFirstMonthPosition+SwaptionNumOfMonths+1,$FJ224&gt;SwaptionFirstMonthPosition+SwaptionNumOfMonths+1),"",IF($FJ224=GX$169,1,IF($FJ224&lt;GX$169,INDEX($FK$170:$ID$241,GX$169,$FJ224),SUMPRODUCT(INDEX($FK$325:$ID$396,GX$169,1+SwaptionShift):INDEX($FK$325:$ID$396,GX$169,SwaptionMonthsToGo+SwaptionShift),INDEX($FK$245:$ID$316,$FJ224-GX$169,73-GX$169+SwaptionShift):INDEX($FK$245:$ID$316,$FJ224-GX$169,72-GX$169+SwaptionMonthsToGo+SwaptionShift))/SQRT(SUM(INDEX($FK379:$ID379,1+SwaptionShift):INDEX($FK379:$ID379,SwaptionMonthsToGo+SwaptionShift))*SUM(INDEX($FK$325:$ID$396,GX$169,1+SwaptionShift):INDEX($FK$325:$ID$396,GX$169,SwaptionMonthsToGo+SwaptionShift))))))</f>
        <v/>
      </c>
      <c r="GY224" s="150" t="str">
        <f aca="false">IF(OR(GY$169&lt;SwaptionFirstMonthPosition+1,$FJ224&lt;SwaptionFirstMonthPosition+1,GY$169&gt;SwaptionFirstMonthPosition+SwaptionNumOfMonths+1,$FJ224&gt;SwaptionFirstMonthPosition+SwaptionNumOfMonths+1),"",IF($FJ224=GY$169,1,IF($FJ224&lt;GY$169,INDEX($FK$170:$ID$241,GY$169,$FJ224),SUMPRODUCT(INDEX($FK$325:$ID$396,GY$169,1+SwaptionShift):INDEX($FK$325:$ID$396,GY$169,SwaptionMonthsToGo+SwaptionShift),INDEX($FK$245:$ID$316,$FJ224-GY$169,73-GY$169+SwaptionShift):INDEX($FK$245:$ID$316,$FJ224-GY$169,72-GY$169+SwaptionMonthsToGo+SwaptionShift))/SQRT(SUM(INDEX($FK379:$ID379,1+SwaptionShift):INDEX($FK379:$ID379,SwaptionMonthsToGo+SwaptionShift))*SUM(INDEX($FK$325:$ID$396,GY$169,1+SwaptionShift):INDEX($FK$325:$ID$396,GY$169,SwaptionMonthsToGo+SwaptionShift))))))</f>
        <v/>
      </c>
      <c r="GZ224" s="150" t="str">
        <f aca="false">IF(OR(GZ$169&lt;SwaptionFirstMonthPosition+1,$FJ224&lt;SwaptionFirstMonthPosition+1,GZ$169&gt;SwaptionFirstMonthPosition+SwaptionNumOfMonths+1,$FJ224&gt;SwaptionFirstMonthPosition+SwaptionNumOfMonths+1),"",IF($FJ224=GZ$169,1,IF($FJ224&lt;GZ$169,INDEX($FK$170:$ID$241,GZ$169,$FJ224),SUMPRODUCT(INDEX($FK$325:$ID$396,GZ$169,1+SwaptionShift):INDEX($FK$325:$ID$396,GZ$169,SwaptionMonthsToGo+SwaptionShift),INDEX($FK$245:$ID$316,$FJ224-GZ$169,73-GZ$169+SwaptionShift):INDEX($FK$245:$ID$316,$FJ224-GZ$169,72-GZ$169+SwaptionMonthsToGo+SwaptionShift))/SQRT(SUM(INDEX($FK379:$ID379,1+SwaptionShift):INDEX($FK379:$ID379,SwaptionMonthsToGo+SwaptionShift))*SUM(INDEX($FK$325:$ID$396,GZ$169,1+SwaptionShift):INDEX($FK$325:$ID$396,GZ$169,SwaptionMonthsToGo+SwaptionShift))))))</f>
        <v/>
      </c>
      <c r="HA224" s="150" t="str">
        <f aca="false">IF(OR(HA$169&lt;SwaptionFirstMonthPosition+1,$FJ224&lt;SwaptionFirstMonthPosition+1,HA$169&gt;SwaptionFirstMonthPosition+SwaptionNumOfMonths+1,$FJ224&gt;SwaptionFirstMonthPosition+SwaptionNumOfMonths+1),"",IF($FJ224=HA$169,1,IF($FJ224&lt;HA$169,INDEX($FK$170:$ID$241,HA$169,$FJ224),SUMPRODUCT(INDEX($FK$325:$ID$396,HA$169,1+SwaptionShift):INDEX($FK$325:$ID$396,HA$169,SwaptionMonthsToGo+SwaptionShift),INDEX($FK$245:$ID$316,$FJ224-HA$169,73-HA$169+SwaptionShift):INDEX($FK$245:$ID$316,$FJ224-HA$169,72-HA$169+SwaptionMonthsToGo+SwaptionShift))/SQRT(SUM(INDEX($FK379:$ID379,1+SwaptionShift):INDEX($FK379:$ID379,SwaptionMonthsToGo+SwaptionShift))*SUM(INDEX($FK$325:$ID$396,HA$169,1+SwaptionShift):INDEX($FK$325:$ID$396,HA$169,SwaptionMonthsToGo+SwaptionShift))))))</f>
        <v/>
      </c>
      <c r="HB224" s="150" t="str">
        <f aca="false">IF(OR(HB$169&lt;SwaptionFirstMonthPosition+1,$FJ224&lt;SwaptionFirstMonthPosition+1,HB$169&gt;SwaptionFirstMonthPosition+SwaptionNumOfMonths+1,$FJ224&gt;SwaptionFirstMonthPosition+SwaptionNumOfMonths+1),"",IF($FJ224=HB$169,1,IF($FJ224&lt;HB$169,INDEX($FK$170:$ID$241,HB$169,$FJ224),SUMPRODUCT(INDEX($FK$325:$ID$396,HB$169,1+SwaptionShift):INDEX($FK$325:$ID$396,HB$169,SwaptionMonthsToGo+SwaptionShift),INDEX($FK$245:$ID$316,$FJ224-HB$169,73-HB$169+SwaptionShift):INDEX($FK$245:$ID$316,$FJ224-HB$169,72-HB$169+SwaptionMonthsToGo+SwaptionShift))/SQRT(SUM(INDEX($FK379:$ID379,1+SwaptionShift):INDEX($FK379:$ID379,SwaptionMonthsToGo+SwaptionShift))*SUM(INDEX($FK$325:$ID$396,HB$169,1+SwaptionShift):INDEX($FK$325:$ID$396,HB$169,SwaptionMonthsToGo+SwaptionShift))))))</f>
        <v/>
      </c>
      <c r="HC224" s="150" t="str">
        <f aca="false">IF(OR(HC$169&lt;SwaptionFirstMonthPosition+1,$FJ224&lt;SwaptionFirstMonthPosition+1,HC$169&gt;SwaptionFirstMonthPosition+SwaptionNumOfMonths+1,$FJ224&gt;SwaptionFirstMonthPosition+SwaptionNumOfMonths+1),"",IF($FJ224=HC$169,1,IF($FJ224&lt;HC$169,INDEX($FK$170:$ID$241,HC$169,$FJ224),SUMPRODUCT(INDEX($FK$325:$ID$396,HC$169,1+SwaptionShift):INDEX($FK$325:$ID$396,HC$169,SwaptionMonthsToGo+SwaptionShift),INDEX($FK$245:$ID$316,$FJ224-HC$169,73-HC$169+SwaptionShift):INDEX($FK$245:$ID$316,$FJ224-HC$169,72-HC$169+SwaptionMonthsToGo+SwaptionShift))/SQRT(SUM(INDEX($FK379:$ID379,1+SwaptionShift):INDEX($FK379:$ID379,SwaptionMonthsToGo+SwaptionShift))*SUM(INDEX($FK$325:$ID$396,HC$169,1+SwaptionShift):INDEX($FK$325:$ID$396,HC$169,SwaptionMonthsToGo+SwaptionShift))))))</f>
        <v/>
      </c>
      <c r="HD224" s="150" t="str">
        <f aca="false">IF(OR(HD$169&lt;SwaptionFirstMonthPosition+1,$FJ224&lt;SwaptionFirstMonthPosition+1,HD$169&gt;SwaptionFirstMonthPosition+SwaptionNumOfMonths+1,$FJ224&gt;SwaptionFirstMonthPosition+SwaptionNumOfMonths+1),"",IF($FJ224=HD$169,1,IF($FJ224&lt;HD$169,INDEX($FK$170:$ID$241,HD$169,$FJ224),SUMPRODUCT(INDEX($FK$325:$ID$396,HD$169,1+SwaptionShift):INDEX($FK$325:$ID$396,HD$169,SwaptionMonthsToGo+SwaptionShift),INDEX($FK$245:$ID$316,$FJ224-HD$169,73-HD$169+SwaptionShift):INDEX($FK$245:$ID$316,$FJ224-HD$169,72-HD$169+SwaptionMonthsToGo+SwaptionShift))/SQRT(SUM(INDEX($FK379:$ID379,1+SwaptionShift):INDEX($FK379:$ID379,SwaptionMonthsToGo+SwaptionShift))*SUM(INDEX($FK$325:$ID$396,HD$169,1+SwaptionShift):INDEX($FK$325:$ID$396,HD$169,SwaptionMonthsToGo+SwaptionShift))))))</f>
        <v/>
      </c>
      <c r="HE224" s="150" t="str">
        <f aca="false">IF(OR(HE$169&lt;SwaptionFirstMonthPosition+1,$FJ224&lt;SwaptionFirstMonthPosition+1,HE$169&gt;SwaptionFirstMonthPosition+SwaptionNumOfMonths+1,$FJ224&gt;SwaptionFirstMonthPosition+SwaptionNumOfMonths+1),"",IF($FJ224=HE$169,1,IF($FJ224&lt;HE$169,INDEX($FK$170:$ID$241,HE$169,$FJ224),SUMPRODUCT(INDEX($FK$325:$ID$396,HE$169,1+SwaptionShift):INDEX($FK$325:$ID$396,HE$169,SwaptionMonthsToGo+SwaptionShift),INDEX($FK$245:$ID$316,$FJ224-HE$169,73-HE$169+SwaptionShift):INDEX($FK$245:$ID$316,$FJ224-HE$169,72-HE$169+SwaptionMonthsToGo+SwaptionShift))/SQRT(SUM(INDEX($FK379:$ID379,1+SwaptionShift):INDEX($FK379:$ID379,SwaptionMonthsToGo+SwaptionShift))*SUM(INDEX($FK$325:$ID$396,HE$169,1+SwaptionShift):INDEX($FK$325:$ID$396,HE$169,SwaptionMonthsToGo+SwaptionShift))))))</f>
        <v/>
      </c>
      <c r="HF224" s="150" t="str">
        <f aca="false">IF(OR(HF$169&lt;SwaptionFirstMonthPosition+1,$FJ224&lt;SwaptionFirstMonthPosition+1,HF$169&gt;SwaptionFirstMonthPosition+SwaptionNumOfMonths+1,$FJ224&gt;SwaptionFirstMonthPosition+SwaptionNumOfMonths+1),"",IF($FJ224=HF$169,1,IF($FJ224&lt;HF$169,INDEX($FK$170:$ID$241,HF$169,$FJ224),SUMPRODUCT(INDEX($FK$325:$ID$396,HF$169,1+SwaptionShift):INDEX($FK$325:$ID$396,HF$169,SwaptionMonthsToGo+SwaptionShift),INDEX($FK$245:$ID$316,$FJ224-HF$169,73-HF$169+SwaptionShift):INDEX($FK$245:$ID$316,$FJ224-HF$169,72-HF$169+SwaptionMonthsToGo+SwaptionShift))/SQRT(SUM(INDEX($FK379:$ID379,1+SwaptionShift):INDEX($FK379:$ID379,SwaptionMonthsToGo+SwaptionShift))*SUM(INDEX($FK$325:$ID$396,HF$169,1+SwaptionShift):INDEX($FK$325:$ID$396,HF$169,SwaptionMonthsToGo+SwaptionShift))))))</f>
        <v/>
      </c>
      <c r="HG224" s="150" t="str">
        <f aca="false">IF(OR(HG$169&lt;SwaptionFirstMonthPosition+1,$FJ224&lt;SwaptionFirstMonthPosition+1,HG$169&gt;SwaptionFirstMonthPosition+SwaptionNumOfMonths+1,$FJ224&gt;SwaptionFirstMonthPosition+SwaptionNumOfMonths+1),"",IF($FJ224=HG$169,1,IF($FJ224&lt;HG$169,INDEX($FK$170:$ID$241,HG$169,$FJ224),SUMPRODUCT(INDEX($FK$325:$ID$396,HG$169,1+SwaptionShift):INDEX($FK$325:$ID$396,HG$169,SwaptionMonthsToGo+SwaptionShift),INDEX($FK$245:$ID$316,$FJ224-HG$169,73-HG$169+SwaptionShift):INDEX($FK$245:$ID$316,$FJ224-HG$169,72-HG$169+SwaptionMonthsToGo+SwaptionShift))/SQRT(SUM(INDEX($FK379:$ID379,1+SwaptionShift):INDEX($FK379:$ID379,SwaptionMonthsToGo+SwaptionShift))*SUM(INDEX($FK$325:$ID$396,HG$169,1+SwaptionShift):INDEX($FK$325:$ID$396,HG$169,SwaptionMonthsToGo+SwaptionShift))))))</f>
        <v/>
      </c>
      <c r="HH224" s="150" t="str">
        <f aca="false">IF(OR(HH$169&lt;SwaptionFirstMonthPosition+1,$FJ224&lt;SwaptionFirstMonthPosition+1,HH$169&gt;SwaptionFirstMonthPosition+SwaptionNumOfMonths+1,$FJ224&gt;SwaptionFirstMonthPosition+SwaptionNumOfMonths+1),"",IF($FJ224=HH$169,1,IF($FJ224&lt;HH$169,INDEX($FK$170:$ID$241,HH$169,$FJ224),SUMPRODUCT(INDEX($FK$325:$ID$396,HH$169,1+SwaptionShift):INDEX($FK$325:$ID$396,HH$169,SwaptionMonthsToGo+SwaptionShift),INDEX($FK$245:$ID$316,$FJ224-HH$169,73-HH$169+SwaptionShift):INDEX($FK$245:$ID$316,$FJ224-HH$169,72-HH$169+SwaptionMonthsToGo+SwaptionShift))/SQRT(SUM(INDEX($FK379:$ID379,1+SwaptionShift):INDEX($FK379:$ID379,SwaptionMonthsToGo+SwaptionShift))*SUM(INDEX($FK$325:$ID$396,HH$169,1+SwaptionShift):INDEX($FK$325:$ID$396,HH$169,SwaptionMonthsToGo+SwaptionShift))))))</f>
        <v/>
      </c>
      <c r="HI224" s="150" t="str">
        <f aca="false">IF(OR(HI$169&lt;SwaptionFirstMonthPosition+1,$FJ224&lt;SwaptionFirstMonthPosition+1,HI$169&gt;SwaptionFirstMonthPosition+SwaptionNumOfMonths+1,$FJ224&gt;SwaptionFirstMonthPosition+SwaptionNumOfMonths+1),"",IF($FJ224=HI$169,1,IF($FJ224&lt;HI$169,INDEX($FK$170:$ID$241,HI$169,$FJ224),SUMPRODUCT(INDEX($FK$325:$ID$396,HI$169,1+SwaptionShift):INDEX($FK$325:$ID$396,HI$169,SwaptionMonthsToGo+SwaptionShift),INDEX($FK$245:$ID$316,$FJ224-HI$169,73-HI$169+SwaptionShift):INDEX($FK$245:$ID$316,$FJ224-HI$169,72-HI$169+SwaptionMonthsToGo+SwaptionShift))/SQRT(SUM(INDEX($FK379:$ID379,1+SwaptionShift):INDEX($FK379:$ID379,SwaptionMonthsToGo+SwaptionShift))*SUM(INDEX($FK$325:$ID$396,HI$169,1+SwaptionShift):INDEX($FK$325:$ID$396,HI$169,SwaptionMonthsToGo+SwaptionShift))))))</f>
        <v/>
      </c>
      <c r="HJ224" s="150" t="str">
        <f aca="false">IF(OR(HJ$169&lt;SwaptionFirstMonthPosition+1,$FJ224&lt;SwaptionFirstMonthPosition+1,HJ$169&gt;SwaptionFirstMonthPosition+SwaptionNumOfMonths+1,$FJ224&gt;SwaptionFirstMonthPosition+SwaptionNumOfMonths+1),"",IF($FJ224=HJ$169,1,IF($FJ224&lt;HJ$169,INDEX($FK$170:$ID$241,HJ$169,$FJ224),SUMPRODUCT(INDEX($FK$325:$ID$396,HJ$169,1+SwaptionShift):INDEX($FK$325:$ID$396,HJ$169,SwaptionMonthsToGo+SwaptionShift),INDEX($FK$245:$ID$316,$FJ224-HJ$169,73-HJ$169+SwaptionShift):INDEX($FK$245:$ID$316,$FJ224-HJ$169,72-HJ$169+SwaptionMonthsToGo+SwaptionShift))/SQRT(SUM(INDEX($FK379:$ID379,1+SwaptionShift):INDEX($FK379:$ID379,SwaptionMonthsToGo+SwaptionShift))*SUM(INDEX($FK$325:$ID$396,HJ$169,1+SwaptionShift):INDEX($FK$325:$ID$396,HJ$169,SwaptionMonthsToGo+SwaptionShift))))))</f>
        <v/>
      </c>
      <c r="HK224" s="150" t="str">
        <f aca="false">IF(OR(HK$169&lt;SwaptionFirstMonthPosition+1,$FJ224&lt;SwaptionFirstMonthPosition+1,HK$169&gt;SwaptionFirstMonthPosition+SwaptionNumOfMonths+1,$FJ224&gt;SwaptionFirstMonthPosition+SwaptionNumOfMonths+1),"",IF($FJ224=HK$169,1,IF($FJ224&lt;HK$169,INDEX($FK$170:$ID$241,HK$169,$FJ224),SUMPRODUCT(INDEX($FK$325:$ID$396,HK$169,1+SwaptionShift):INDEX($FK$325:$ID$396,HK$169,SwaptionMonthsToGo+SwaptionShift),INDEX($FK$245:$ID$316,$FJ224-HK$169,73-HK$169+SwaptionShift):INDEX($FK$245:$ID$316,$FJ224-HK$169,72-HK$169+SwaptionMonthsToGo+SwaptionShift))/SQRT(SUM(INDEX($FK379:$ID379,1+SwaptionShift):INDEX($FK379:$ID379,SwaptionMonthsToGo+SwaptionShift))*SUM(INDEX($FK$325:$ID$396,HK$169,1+SwaptionShift):INDEX($FK$325:$ID$396,HK$169,SwaptionMonthsToGo+SwaptionShift))))))</f>
        <v/>
      </c>
      <c r="HL224" s="150" t="str">
        <f aca="false">IF(OR(HL$169&lt;SwaptionFirstMonthPosition+1,$FJ224&lt;SwaptionFirstMonthPosition+1,HL$169&gt;SwaptionFirstMonthPosition+SwaptionNumOfMonths+1,$FJ224&gt;SwaptionFirstMonthPosition+SwaptionNumOfMonths+1),"",IF($FJ224=HL$169,1,IF($FJ224&lt;HL$169,INDEX($FK$170:$ID$241,HL$169,$FJ224),SUMPRODUCT(INDEX($FK$325:$ID$396,HL$169,1+SwaptionShift):INDEX($FK$325:$ID$396,HL$169,SwaptionMonthsToGo+SwaptionShift),INDEX($FK$245:$ID$316,$FJ224-HL$169,73-HL$169+SwaptionShift):INDEX($FK$245:$ID$316,$FJ224-HL$169,72-HL$169+SwaptionMonthsToGo+SwaptionShift))/SQRT(SUM(INDEX($FK379:$ID379,1+SwaptionShift):INDEX($FK379:$ID379,SwaptionMonthsToGo+SwaptionShift))*SUM(INDEX($FK$325:$ID$396,HL$169,1+SwaptionShift):INDEX($FK$325:$ID$396,HL$169,SwaptionMonthsToGo+SwaptionShift))))))</f>
        <v/>
      </c>
      <c r="HM224" s="150" t="str">
        <f aca="false">IF(OR(HM$169&lt;SwaptionFirstMonthPosition+1,$FJ224&lt;SwaptionFirstMonthPosition+1,HM$169&gt;SwaptionFirstMonthPosition+SwaptionNumOfMonths+1,$FJ224&gt;SwaptionFirstMonthPosition+SwaptionNumOfMonths+1),"",IF($FJ224=HM$169,1,IF($FJ224&lt;HM$169,INDEX($FK$170:$ID$241,HM$169,$FJ224),SUMPRODUCT(INDEX($FK$325:$ID$396,HM$169,1+SwaptionShift):INDEX($FK$325:$ID$396,HM$169,SwaptionMonthsToGo+SwaptionShift),INDEX($FK$245:$ID$316,$FJ224-HM$169,73-HM$169+SwaptionShift):INDEX($FK$245:$ID$316,$FJ224-HM$169,72-HM$169+SwaptionMonthsToGo+SwaptionShift))/SQRT(SUM(INDEX($FK379:$ID379,1+SwaptionShift):INDEX($FK379:$ID379,SwaptionMonthsToGo+SwaptionShift))*SUM(INDEX($FK$325:$ID$396,HM$169,1+SwaptionShift):INDEX($FK$325:$ID$396,HM$169,SwaptionMonthsToGo+SwaptionShift))))))</f>
        <v/>
      </c>
      <c r="HN224" s="150" t="str">
        <f aca="false">IF(OR(HN$169&lt;SwaptionFirstMonthPosition+1,$FJ224&lt;SwaptionFirstMonthPosition+1,HN$169&gt;SwaptionFirstMonthPosition+SwaptionNumOfMonths+1,$FJ224&gt;SwaptionFirstMonthPosition+SwaptionNumOfMonths+1),"",IF($FJ224=HN$169,1,IF($FJ224&lt;HN$169,INDEX($FK$170:$ID$241,HN$169,$FJ224),SUMPRODUCT(INDEX($FK$325:$ID$396,HN$169,1+SwaptionShift):INDEX($FK$325:$ID$396,HN$169,SwaptionMonthsToGo+SwaptionShift),INDEX($FK$245:$ID$316,$FJ224-HN$169,73-HN$169+SwaptionShift):INDEX($FK$245:$ID$316,$FJ224-HN$169,72-HN$169+SwaptionMonthsToGo+SwaptionShift))/SQRT(SUM(INDEX($FK379:$ID379,1+SwaptionShift):INDEX($FK379:$ID379,SwaptionMonthsToGo+SwaptionShift))*SUM(INDEX($FK$325:$ID$396,HN$169,1+SwaptionShift):INDEX($FK$325:$ID$396,HN$169,SwaptionMonthsToGo+SwaptionShift))))))</f>
        <v/>
      </c>
      <c r="HO224" s="150" t="str">
        <f aca="false">IF(OR(HO$169&lt;SwaptionFirstMonthPosition+1,$FJ224&lt;SwaptionFirstMonthPosition+1,HO$169&gt;SwaptionFirstMonthPosition+SwaptionNumOfMonths+1,$FJ224&gt;SwaptionFirstMonthPosition+SwaptionNumOfMonths+1),"",IF($FJ224=HO$169,1,IF($FJ224&lt;HO$169,INDEX($FK$170:$ID$241,HO$169,$FJ224),SUMPRODUCT(INDEX($FK$325:$ID$396,HO$169,1+SwaptionShift):INDEX($FK$325:$ID$396,HO$169,SwaptionMonthsToGo+SwaptionShift),INDEX($FK$245:$ID$316,$FJ224-HO$169,73-HO$169+SwaptionShift):INDEX($FK$245:$ID$316,$FJ224-HO$169,72-HO$169+SwaptionMonthsToGo+SwaptionShift))/SQRT(SUM(INDEX($FK379:$ID379,1+SwaptionShift):INDEX($FK379:$ID379,SwaptionMonthsToGo+SwaptionShift))*SUM(INDEX($FK$325:$ID$396,HO$169,1+SwaptionShift):INDEX($FK$325:$ID$396,HO$169,SwaptionMonthsToGo+SwaptionShift))))))</f>
        <v/>
      </c>
      <c r="HP224" s="150" t="str">
        <f aca="false">IF(OR(HP$169&lt;SwaptionFirstMonthPosition+1,$FJ224&lt;SwaptionFirstMonthPosition+1,HP$169&gt;SwaptionFirstMonthPosition+SwaptionNumOfMonths+1,$FJ224&gt;SwaptionFirstMonthPosition+SwaptionNumOfMonths+1),"",IF($FJ224=HP$169,1,IF($FJ224&lt;HP$169,INDEX($FK$170:$ID$241,HP$169,$FJ224),SUMPRODUCT(INDEX($FK$325:$ID$396,HP$169,1+SwaptionShift):INDEX($FK$325:$ID$396,HP$169,SwaptionMonthsToGo+SwaptionShift),INDEX($FK$245:$ID$316,$FJ224-HP$169,73-HP$169+SwaptionShift):INDEX($FK$245:$ID$316,$FJ224-HP$169,72-HP$169+SwaptionMonthsToGo+SwaptionShift))/SQRT(SUM(INDEX($FK379:$ID379,1+SwaptionShift):INDEX($FK379:$ID379,SwaptionMonthsToGo+SwaptionShift))*SUM(INDEX($FK$325:$ID$396,HP$169,1+SwaptionShift):INDEX($FK$325:$ID$396,HP$169,SwaptionMonthsToGo+SwaptionShift))))))</f>
        <v/>
      </c>
      <c r="HQ224" s="150" t="str">
        <f aca="false">IF(OR(HQ$169&lt;SwaptionFirstMonthPosition+1,$FJ224&lt;SwaptionFirstMonthPosition+1,HQ$169&gt;SwaptionFirstMonthPosition+SwaptionNumOfMonths+1,$FJ224&gt;SwaptionFirstMonthPosition+SwaptionNumOfMonths+1),"",IF($FJ224=HQ$169,1,IF($FJ224&lt;HQ$169,INDEX($FK$170:$ID$241,HQ$169,$FJ224),SUMPRODUCT(INDEX($FK$325:$ID$396,HQ$169,1+SwaptionShift):INDEX($FK$325:$ID$396,HQ$169,SwaptionMonthsToGo+SwaptionShift),INDEX($FK$245:$ID$316,$FJ224-HQ$169,73-HQ$169+SwaptionShift):INDEX($FK$245:$ID$316,$FJ224-HQ$169,72-HQ$169+SwaptionMonthsToGo+SwaptionShift))/SQRT(SUM(INDEX($FK379:$ID379,1+SwaptionShift):INDEX($FK379:$ID379,SwaptionMonthsToGo+SwaptionShift))*SUM(INDEX($FK$325:$ID$396,HQ$169,1+SwaptionShift):INDEX($FK$325:$ID$396,HQ$169,SwaptionMonthsToGo+SwaptionShift))))))</f>
        <v/>
      </c>
      <c r="HR224" s="150" t="str">
        <f aca="false">IF(OR(HR$169&lt;SwaptionFirstMonthPosition+1,$FJ224&lt;SwaptionFirstMonthPosition+1,HR$169&gt;SwaptionFirstMonthPosition+SwaptionNumOfMonths+1,$FJ224&gt;SwaptionFirstMonthPosition+SwaptionNumOfMonths+1),"",IF($FJ224=HR$169,1,IF($FJ224&lt;HR$169,INDEX($FK$170:$ID$241,HR$169,$FJ224),SUMPRODUCT(INDEX($FK$325:$ID$396,HR$169,1+SwaptionShift):INDEX($FK$325:$ID$396,HR$169,SwaptionMonthsToGo+SwaptionShift),INDEX($FK$245:$ID$316,$FJ224-HR$169,73-HR$169+SwaptionShift):INDEX($FK$245:$ID$316,$FJ224-HR$169,72-HR$169+SwaptionMonthsToGo+SwaptionShift))/SQRT(SUM(INDEX($FK379:$ID379,1+SwaptionShift):INDEX($FK379:$ID379,SwaptionMonthsToGo+SwaptionShift))*SUM(INDEX($FK$325:$ID$396,HR$169,1+SwaptionShift):INDEX($FK$325:$ID$396,HR$169,SwaptionMonthsToGo+SwaptionShift))))))</f>
        <v/>
      </c>
      <c r="HS224" s="150" t="str">
        <f aca="false">IF(OR(HS$169&lt;SwaptionFirstMonthPosition+1,$FJ224&lt;SwaptionFirstMonthPosition+1,HS$169&gt;SwaptionFirstMonthPosition+SwaptionNumOfMonths+1,$FJ224&gt;SwaptionFirstMonthPosition+SwaptionNumOfMonths+1),"",IF($FJ224=HS$169,1,IF($FJ224&lt;HS$169,INDEX($FK$170:$ID$241,HS$169,$FJ224),SUMPRODUCT(INDEX($FK$325:$ID$396,HS$169,1+SwaptionShift):INDEX($FK$325:$ID$396,HS$169,SwaptionMonthsToGo+SwaptionShift),INDEX($FK$245:$ID$316,$FJ224-HS$169,73-HS$169+SwaptionShift):INDEX($FK$245:$ID$316,$FJ224-HS$169,72-HS$169+SwaptionMonthsToGo+SwaptionShift))/SQRT(SUM(INDEX($FK379:$ID379,1+SwaptionShift):INDEX($FK379:$ID379,SwaptionMonthsToGo+SwaptionShift))*SUM(INDEX($FK$325:$ID$396,HS$169,1+SwaptionShift):INDEX($FK$325:$ID$396,HS$169,SwaptionMonthsToGo+SwaptionShift))))))</f>
        <v/>
      </c>
      <c r="HT224" s="150" t="str">
        <f aca="false">IF(OR(HT$169&lt;SwaptionFirstMonthPosition+1,$FJ224&lt;SwaptionFirstMonthPosition+1,HT$169&gt;SwaptionFirstMonthPosition+SwaptionNumOfMonths+1,$FJ224&gt;SwaptionFirstMonthPosition+SwaptionNumOfMonths+1),"",IF($FJ224=HT$169,1,IF($FJ224&lt;HT$169,INDEX($FK$170:$ID$241,HT$169,$FJ224),SUMPRODUCT(INDEX($FK$325:$ID$396,HT$169,1+SwaptionShift):INDEX($FK$325:$ID$396,HT$169,SwaptionMonthsToGo+SwaptionShift),INDEX($FK$245:$ID$316,$FJ224-HT$169,73-HT$169+SwaptionShift):INDEX($FK$245:$ID$316,$FJ224-HT$169,72-HT$169+SwaptionMonthsToGo+SwaptionShift))/SQRT(SUM(INDEX($FK379:$ID379,1+SwaptionShift):INDEX($FK379:$ID379,SwaptionMonthsToGo+SwaptionShift))*SUM(INDEX($FK$325:$ID$396,HT$169,1+SwaptionShift):INDEX($FK$325:$ID$396,HT$169,SwaptionMonthsToGo+SwaptionShift))))))</f>
        <v/>
      </c>
      <c r="HU224" s="150" t="str">
        <f aca="false">IF(OR(HU$169&lt;SwaptionFirstMonthPosition+1,$FJ224&lt;SwaptionFirstMonthPosition+1,HU$169&gt;SwaptionFirstMonthPosition+SwaptionNumOfMonths+1,$FJ224&gt;SwaptionFirstMonthPosition+SwaptionNumOfMonths+1),"",IF($FJ224=HU$169,1,IF($FJ224&lt;HU$169,INDEX($FK$170:$ID$241,HU$169,$FJ224),SUMPRODUCT(INDEX($FK$325:$ID$396,HU$169,1+SwaptionShift):INDEX($FK$325:$ID$396,HU$169,SwaptionMonthsToGo+SwaptionShift),INDEX($FK$245:$ID$316,$FJ224-HU$169,73-HU$169+SwaptionShift):INDEX($FK$245:$ID$316,$FJ224-HU$169,72-HU$169+SwaptionMonthsToGo+SwaptionShift))/SQRT(SUM(INDEX($FK379:$ID379,1+SwaptionShift):INDEX($FK379:$ID379,SwaptionMonthsToGo+SwaptionShift))*SUM(INDEX($FK$325:$ID$396,HU$169,1+SwaptionShift):INDEX($FK$325:$ID$396,HU$169,SwaptionMonthsToGo+SwaptionShift))))))</f>
        <v/>
      </c>
      <c r="HV224" s="150" t="str">
        <f aca="false">IF(OR(HV$169&lt;SwaptionFirstMonthPosition+1,$FJ224&lt;SwaptionFirstMonthPosition+1,HV$169&gt;SwaptionFirstMonthPosition+SwaptionNumOfMonths+1,$FJ224&gt;SwaptionFirstMonthPosition+SwaptionNumOfMonths+1),"",IF($FJ224=HV$169,1,IF($FJ224&lt;HV$169,INDEX($FK$170:$ID$241,HV$169,$FJ224),SUMPRODUCT(INDEX($FK$325:$ID$396,HV$169,1+SwaptionShift):INDEX($FK$325:$ID$396,HV$169,SwaptionMonthsToGo+SwaptionShift),INDEX($FK$245:$ID$316,$FJ224-HV$169,73-HV$169+SwaptionShift):INDEX($FK$245:$ID$316,$FJ224-HV$169,72-HV$169+SwaptionMonthsToGo+SwaptionShift))/SQRT(SUM(INDEX($FK379:$ID379,1+SwaptionShift):INDEX($FK379:$ID379,SwaptionMonthsToGo+SwaptionShift))*SUM(INDEX($FK$325:$ID$396,HV$169,1+SwaptionShift):INDEX($FK$325:$ID$396,HV$169,SwaptionMonthsToGo+SwaptionShift))))))</f>
        <v/>
      </c>
      <c r="HW224" s="150" t="str">
        <f aca="false">IF(OR(HW$169&lt;SwaptionFirstMonthPosition+1,$FJ224&lt;SwaptionFirstMonthPosition+1,HW$169&gt;SwaptionFirstMonthPosition+SwaptionNumOfMonths+1,$FJ224&gt;SwaptionFirstMonthPosition+SwaptionNumOfMonths+1),"",IF($FJ224=HW$169,1,IF($FJ224&lt;HW$169,INDEX($FK$170:$ID$241,HW$169,$FJ224),SUMPRODUCT(INDEX($FK$325:$ID$396,HW$169,1+SwaptionShift):INDEX($FK$325:$ID$396,HW$169,SwaptionMonthsToGo+SwaptionShift),INDEX($FK$245:$ID$316,$FJ224-HW$169,73-HW$169+SwaptionShift):INDEX($FK$245:$ID$316,$FJ224-HW$169,72-HW$169+SwaptionMonthsToGo+SwaptionShift))/SQRT(SUM(INDEX($FK379:$ID379,1+SwaptionShift):INDEX($FK379:$ID379,SwaptionMonthsToGo+SwaptionShift))*SUM(INDEX($FK$325:$ID$396,HW$169,1+SwaptionShift):INDEX($FK$325:$ID$396,HW$169,SwaptionMonthsToGo+SwaptionShift))))))</f>
        <v/>
      </c>
      <c r="HX224" s="150" t="str">
        <f aca="false">IF(OR(HX$169&lt;SwaptionFirstMonthPosition+1,$FJ224&lt;SwaptionFirstMonthPosition+1,HX$169&gt;SwaptionFirstMonthPosition+SwaptionNumOfMonths+1,$FJ224&gt;SwaptionFirstMonthPosition+SwaptionNumOfMonths+1),"",IF($FJ224=HX$169,1,IF($FJ224&lt;HX$169,INDEX($FK$170:$ID$241,HX$169,$FJ224),SUMPRODUCT(INDEX($FK$325:$ID$396,HX$169,1+SwaptionShift):INDEX($FK$325:$ID$396,HX$169,SwaptionMonthsToGo+SwaptionShift),INDEX($FK$245:$ID$316,$FJ224-HX$169,73-HX$169+SwaptionShift):INDEX($FK$245:$ID$316,$FJ224-HX$169,72-HX$169+SwaptionMonthsToGo+SwaptionShift))/SQRT(SUM(INDEX($FK379:$ID379,1+SwaptionShift):INDEX($FK379:$ID379,SwaptionMonthsToGo+SwaptionShift))*SUM(INDEX($FK$325:$ID$396,HX$169,1+SwaptionShift):INDEX($FK$325:$ID$396,HX$169,SwaptionMonthsToGo+SwaptionShift))))))</f>
        <v/>
      </c>
      <c r="HY224" s="150" t="str">
        <f aca="false">IF(OR(HY$169&lt;SwaptionFirstMonthPosition+1,$FJ224&lt;SwaptionFirstMonthPosition+1,HY$169&gt;SwaptionFirstMonthPosition+SwaptionNumOfMonths+1,$FJ224&gt;SwaptionFirstMonthPosition+SwaptionNumOfMonths+1),"",IF($FJ224=HY$169,1,IF($FJ224&lt;HY$169,INDEX($FK$170:$ID$241,HY$169,$FJ224),SUMPRODUCT(INDEX($FK$325:$ID$396,HY$169,1+SwaptionShift):INDEX($FK$325:$ID$396,HY$169,SwaptionMonthsToGo+SwaptionShift),INDEX($FK$245:$ID$316,$FJ224-HY$169,73-HY$169+SwaptionShift):INDEX($FK$245:$ID$316,$FJ224-HY$169,72-HY$169+SwaptionMonthsToGo+SwaptionShift))/SQRT(SUM(INDEX($FK379:$ID379,1+SwaptionShift):INDEX($FK379:$ID379,SwaptionMonthsToGo+SwaptionShift))*SUM(INDEX($FK$325:$ID$396,HY$169,1+SwaptionShift):INDEX($FK$325:$ID$396,HY$169,SwaptionMonthsToGo+SwaptionShift))))))</f>
        <v/>
      </c>
      <c r="HZ224" s="150" t="str">
        <f aca="false">IF(OR(HZ$169&lt;SwaptionFirstMonthPosition+1,$FJ224&lt;SwaptionFirstMonthPosition+1,HZ$169&gt;SwaptionFirstMonthPosition+SwaptionNumOfMonths+1,$FJ224&gt;SwaptionFirstMonthPosition+SwaptionNumOfMonths+1),"",IF($FJ224=HZ$169,1,IF($FJ224&lt;HZ$169,INDEX($FK$170:$ID$241,HZ$169,$FJ224),SUMPRODUCT(INDEX($FK$325:$ID$396,HZ$169,1+SwaptionShift):INDEX($FK$325:$ID$396,HZ$169,SwaptionMonthsToGo+SwaptionShift),INDEX($FK$245:$ID$316,$FJ224-HZ$169,73-HZ$169+SwaptionShift):INDEX($FK$245:$ID$316,$FJ224-HZ$169,72-HZ$169+SwaptionMonthsToGo+SwaptionShift))/SQRT(SUM(INDEX($FK379:$ID379,1+SwaptionShift):INDEX($FK379:$ID379,SwaptionMonthsToGo+SwaptionShift))*SUM(INDEX($FK$325:$ID$396,HZ$169,1+SwaptionShift):INDEX($FK$325:$ID$396,HZ$169,SwaptionMonthsToGo+SwaptionShift))))))</f>
        <v/>
      </c>
      <c r="IA224" s="150" t="str">
        <f aca="false">IF(OR(IA$169&lt;SwaptionFirstMonthPosition+1,$FJ224&lt;SwaptionFirstMonthPosition+1,IA$169&gt;SwaptionFirstMonthPosition+SwaptionNumOfMonths+1,$FJ224&gt;SwaptionFirstMonthPosition+SwaptionNumOfMonths+1),"",IF($FJ224=IA$169,1,IF($FJ224&lt;IA$169,INDEX($FK$170:$ID$241,IA$169,$FJ224),SUMPRODUCT(INDEX($FK$325:$ID$396,IA$169,1+SwaptionShift):INDEX($FK$325:$ID$396,IA$169,SwaptionMonthsToGo+SwaptionShift),INDEX($FK$245:$ID$316,$FJ224-IA$169,73-IA$169+SwaptionShift):INDEX($FK$245:$ID$316,$FJ224-IA$169,72-IA$169+SwaptionMonthsToGo+SwaptionShift))/SQRT(SUM(INDEX($FK379:$ID379,1+SwaptionShift):INDEX($FK379:$ID379,SwaptionMonthsToGo+SwaptionShift))*SUM(INDEX($FK$325:$ID$396,IA$169,1+SwaptionShift):INDEX($FK$325:$ID$396,IA$169,SwaptionMonthsToGo+SwaptionShift))))))</f>
        <v/>
      </c>
      <c r="IB224" s="150" t="str">
        <f aca="false">IF(OR(IB$169&lt;SwaptionFirstMonthPosition+1,$FJ224&lt;SwaptionFirstMonthPosition+1,IB$169&gt;SwaptionFirstMonthPosition+SwaptionNumOfMonths+1,$FJ224&gt;SwaptionFirstMonthPosition+SwaptionNumOfMonths+1),"",IF($FJ224=IB$169,1,IF($FJ224&lt;IB$169,INDEX($FK$170:$ID$241,IB$169,$FJ224),SUMPRODUCT(INDEX($FK$325:$ID$396,IB$169,1+SwaptionShift):INDEX($FK$325:$ID$396,IB$169,SwaptionMonthsToGo+SwaptionShift),INDEX($FK$245:$ID$316,$FJ224-IB$169,73-IB$169+SwaptionShift):INDEX($FK$245:$ID$316,$FJ224-IB$169,72-IB$169+SwaptionMonthsToGo+SwaptionShift))/SQRT(SUM(INDEX($FK379:$ID379,1+SwaptionShift):INDEX($FK379:$ID379,SwaptionMonthsToGo+SwaptionShift))*SUM(INDEX($FK$325:$ID$396,IB$169,1+SwaptionShift):INDEX($FK$325:$ID$396,IB$169,SwaptionMonthsToGo+SwaptionShift))))))</f>
        <v/>
      </c>
      <c r="IC224" s="150" t="str">
        <f aca="false">IF(OR(IC$169&lt;SwaptionFirstMonthPosition+1,$FJ224&lt;SwaptionFirstMonthPosition+1,IC$169&gt;SwaptionFirstMonthPosition+SwaptionNumOfMonths+1,$FJ224&gt;SwaptionFirstMonthPosition+SwaptionNumOfMonths+1),"",IF($FJ224=IC$169,1,IF($FJ224&lt;IC$169,INDEX($FK$170:$ID$241,IC$169,$FJ224),SUMPRODUCT(INDEX($FK$325:$ID$396,IC$169,1+SwaptionShift):INDEX($FK$325:$ID$396,IC$169,SwaptionMonthsToGo+SwaptionShift),INDEX($FK$245:$ID$316,$FJ224-IC$169,73-IC$169+SwaptionShift):INDEX($FK$245:$ID$316,$FJ224-IC$169,72-IC$169+SwaptionMonthsToGo+SwaptionShift))/SQRT(SUM(INDEX($FK379:$ID379,1+SwaptionShift):INDEX($FK379:$ID379,SwaptionMonthsToGo+SwaptionShift))*SUM(INDEX($FK$325:$ID$396,IC$169,1+SwaptionShift):INDEX($FK$325:$ID$396,IC$169,SwaptionMonthsToGo+SwaptionShift))))))</f>
        <v/>
      </c>
      <c r="ID224" s="572" t="str">
        <f aca="false">IF(OR(ID$169&lt;SwaptionFirstMonthPosition+1,$FJ224&lt;SwaptionFirstMonthPosition+1,ID$169&gt;SwaptionFirstMonthPosition+SwaptionNumOfMonths+1,$FJ224&gt;SwaptionFirstMonthPosition+SwaptionNumOfMonths+1),"",IF($FJ224=ID$169,1,IF($FJ224&lt;ID$169,INDEX($FK$170:$ID$241,ID$169,$FJ224),SUMPRODUCT(INDEX($FK$325:$ID$396,ID$169,1+SwaptionShift):INDEX($FK$325:$ID$396,ID$169,SwaptionMonthsToGo+SwaptionShift),INDEX($FK$245:$ID$316,$FJ224-ID$169,73-ID$169+SwaptionShift):INDEX($FK$245:$ID$316,$FJ224-ID$169,72-ID$169+SwaptionMonthsToGo+SwaptionShift))/SQRT(SUM(INDEX($FK379:$ID379,1+SwaptionShift):INDEX($FK379:$ID379,SwaptionMonthsToGo+SwaptionShift))*SUM(INDEX($FK$325:$ID$396,ID$169,1+SwaptionShift):INDEX($FK$325:$ID$396,ID$169,SwaptionMonthsToGo+SwaptionShift))))))</f>
        <v/>
      </c>
      <c r="IE224" s="129"/>
    </row>
    <row r="225" customFormat="false" ht="12.75" hidden="false" customHeight="false" outlineLevel="0" collapsed="false">
      <c r="H225" s="219" t="n">
        <f aca="false">VLOOKUP(I225,$EJ$20:$EL$54,3)</f>
        <v>0</v>
      </c>
      <c r="I225" s="511" t="n">
        <f aca="false">EOMONTH(I224,0)+1</f>
        <v>43009</v>
      </c>
      <c r="J225" s="512"/>
      <c r="K225" s="513" t="s">
        <v>280</v>
      </c>
      <c r="L225" s="514" t="n">
        <f aca="false">IF(ISNUMBER(K225),J225+K225/100,IF(K225="extra",L224+VLOOKUP(BF225,PriceSpreadTable,2)/12,IF(K225="inter",interpolateprices($K$19:$L$200,ROW(K225)-ROW(FirstPricingMonth)+1),interpolatechanges($J$19:$K$200,ROW(K225)-ROW(FirstPricingMonth)+1))))</f>
        <v>4.8375</v>
      </c>
      <c r="M225" s="515"/>
      <c r="N225" s="516" t="n">
        <v>0</v>
      </c>
      <c r="O225" s="515" t="n">
        <f aca="false">M225+N225</f>
        <v>0</v>
      </c>
      <c r="P225" s="512"/>
      <c r="Q225" s="513" t="s">
        <v>280</v>
      </c>
      <c r="R225" s="512" t="e">
        <f aca="false">IF(ISNUMBER(Q225),P225+Q225/100,IF(Q225="extra",(Z223*AL223-R224*AM223)/AN223,IF(Q225="inter",interpolateprices($Q$19:$R$260,ROW(Q225)-ROW(FirstPricingMonth)+1),interpolatechanges($P$19:$Q$260,ROW(Q225)-ROW(FirstPricingMonth)+1))))</f>
        <v>#VALUE!</v>
      </c>
      <c r="S225" s="597" t="n">
        <f aca="false">S$19+(S224-S$19)*S$18</f>
        <v>0.36</v>
      </c>
      <c r="T225" s="575" t="n">
        <f aca="false">SQRT((1-(1-T224^2/U224)*T$18)*U225)</f>
        <v>1</v>
      </c>
      <c r="U225" s="576" t="n">
        <f aca="false">1-(1-U224)*U$18</f>
        <v>1</v>
      </c>
      <c r="V225" s="521" t="n">
        <v>0</v>
      </c>
      <c r="W225" s="577" t="n">
        <f aca="false">(J226*AJ225+J227*AK225)/AI225</f>
        <v>0</v>
      </c>
      <c r="X225" s="578" t="n">
        <f aca="false">(L226*AJ225+L227*AK225)/AI225</f>
        <v>4.88693181818182</v>
      </c>
      <c r="Y225" s="579" t="n">
        <f aca="false">IF(Q227="extra",W225-AA225,(P226*AM225+P227*AN225)/AL225)</f>
        <v>-1.1931</v>
      </c>
      <c r="Z225" s="579" t="n">
        <f aca="false">IF(Q227="extra",X225-AB225,(R226*AM225+R227*AN225)/AL225)</f>
        <v>3.69383181818182</v>
      </c>
      <c r="AA225" s="523" t="n">
        <f aca="false">IF(Q227="extra",INDEX(BrentSeasonalityTable,INT((BG225-1)/3)+1)*VLOOKUP(MAX(BF225,$AB$4),PriceSpreadTable,3),W225-Y225)</f>
        <v>1.1931</v>
      </c>
      <c r="AB225" s="524" t="n">
        <f aca="false">IF(Q227="extra",INDEX(BrentSeasonalityTable,INT((BG225-1)/3)+1)*VLOOKUP(MAX(BF225,$AB$4),PriceSpreadTable,3),X225-Z225)</f>
        <v>1.1931</v>
      </c>
      <c r="AC225" s="646" t="n">
        <v>42998</v>
      </c>
      <c r="AD225" s="646" t="n">
        <v>42994</v>
      </c>
      <c r="AE225" s="646" t="n">
        <v>42993</v>
      </c>
      <c r="AF225" s="646" t="n">
        <v>42989</v>
      </c>
      <c r="AG225" s="438" t="s">
        <v>278</v>
      </c>
      <c r="AH225" s="439" t="s">
        <v>278</v>
      </c>
      <c r="AI225" s="528" t="n">
        <v>22</v>
      </c>
      <c r="AJ225" s="529" t="n">
        <v>15</v>
      </c>
      <c r="AK225" s="529" t="n">
        <v>7</v>
      </c>
      <c r="AL225" s="530" t="n">
        <v>22</v>
      </c>
      <c r="AM225" s="529" t="n">
        <v>10</v>
      </c>
      <c r="AN225" s="531" t="n">
        <v>12</v>
      </c>
      <c r="AO225" s="532"/>
      <c r="AP225" s="465" t="n">
        <f aca="false">(1+AO225/2)^(-2*BL225)</f>
        <v>1</v>
      </c>
      <c r="AQ225" s="532"/>
      <c r="AR225" s="465" t="n">
        <f aca="false">(1+AQ225/2)^(-2*BH225/365.25)</f>
        <v>1</v>
      </c>
      <c r="AS225" s="580" t="n">
        <f aca="false">(O226*AJ225+O227*AK225)/AI225</f>
        <v>0</v>
      </c>
      <c r="AT225" s="468" t="n">
        <f aca="false">O225*VLOOKUP(BF225,BrentVolTable,2)+VLOOKUP(BF225,BrentVolTable,3)</f>
        <v>0</v>
      </c>
      <c r="AU225" s="468" t="n">
        <f aca="false">(AT226*AM225+AT227*AN225)/AL225</f>
        <v>0</v>
      </c>
      <c r="AV225" s="595" t="n">
        <f aca="false">SQRT(MAX(0.000000000001,(O225^2*BH225-S225^2*(BH225-BH224))/BH224))</f>
        <v>0.0368290757930161</v>
      </c>
      <c r="AW225" s="451" t="n">
        <f aca="false">IF($I225-DateToday+15&gt;=$T$8,"",IF($I225-DateToday+15&lt;$T$5,1,MATCH($I225-DateToday+15,$T$5:$T$8)))</f>
        <v>1</v>
      </c>
      <c r="AX225" s="468" t="n">
        <f aca="false">IF($AW225="",AX224^2/AX223,INDEX(U$5:U$8,$AW225)^((INDEX($T$5:$T$8,$AW225+1)-($I225-DateToday+15))/(INDEX($T$5:$T$8,$AW225+1)-INDEX($T$5:$T$8,$AW225)))/INDEX(U$5:U$8,$AW225+1)^((INDEX($T$5:$T$8,$AW225)-($I225-DateToday+15))/(INDEX($T$5:$T$8,$AW225+1)-INDEX($T$5:$T$8,$AW225))))</f>
        <v>0.156832624854201</v>
      </c>
      <c r="AY225" s="468" t="n">
        <f aca="false">IF($AW225="",AY224^2/AY223,INDEX(V$5:V$8,$AW225)^((INDEX($T$5:$T$8,$AW225+1)-($I225-DateToday+15))/(INDEX($T$5:$T$8,$AW225+1)-INDEX($T$5:$T$8,$AW225)))/INDEX(V$5:V$8,$AW225+1)^((INDEX($T$5:$T$8,$AW225)-($I225-DateToday+15))/(INDEX($T$5:$T$8,$AW225+1)-INDEX($T$5:$T$8,$AW225))))</f>
        <v>0.926344478454028</v>
      </c>
      <c r="AZ225" s="468" t="n">
        <f aca="false">IF($AW225="",AZ224^2/AZ223,INDEX(W$5:W$8,$AW225)^((INDEX($T$5:$T$8,$AW225+1)-($I225-DateToday+15))/(INDEX($T$5:$T$8,$AW225+1)-INDEX($T$5:$T$8,$AW225)))/INDEX(W$5:W$8,$AW225+1)^((INDEX($T$5:$T$8,$AW225)-($I225-DateToday+15))/(INDEX($T$5:$T$8,$AW225+1)-INDEX($T$5:$T$8,$AW225))))</f>
        <v>33.2030813698365</v>
      </c>
      <c r="BA225" s="468" t="n">
        <f aca="false">IF($AW225="",BA224^2/BA223,INDEX(X$5:X$8,$AW225)^((INDEX($T$5:$T$8,$AW225+1)-($I225-DateToday+15))/(INDEX($T$5:$T$8,$AW225+1)-INDEX($T$5:$T$8,$AW225)))/INDEX(X$5:X$8,$AW225+1)^((INDEX($T$5:$T$8,$AW225)-($I225-DateToday+15))/(INDEX($T$5:$T$8,$AW225+1)-INDEX($T$5:$T$8,$AW225))))</f>
        <v>54.2429833799902</v>
      </c>
      <c r="BB225" s="468" t="n">
        <f aca="false">IF($AW225="",BB224^2/BB223,INDEX(Y$5:Y$8,$AW225)^((INDEX($T$5:$T$8,$AW225+1)-($I225-DateToday+15))/(INDEX($T$5:$T$8,$AW225+1)-INDEX($T$5:$T$8,$AW225)))/INDEX(Y$5:Y$8,$AW225+1)^((INDEX($T$5:$T$8,$AW225)-($I225-DateToday+15))/(INDEX($T$5:$T$8,$AW225+1)-INDEX($T$5:$T$8,$AW225))))</f>
        <v>197.084182084967</v>
      </c>
      <c r="BC225" s="468" t="n">
        <f aca="false">IF($AW225="",BC224^2/BC223,INDEX(Z$5:Z$8,$AW225)^((INDEX($T$5:$T$8,$AW225+1)-($I225-DateToday+15))/(INDEX($T$5:$T$8,$AW225+1)-INDEX($T$5:$T$8,$AW225)))/INDEX(Z$5:Z$8,$AW225+1)^((INDEX($T$5:$T$8,$AW225)-($I225-DateToday+15))/(INDEX($T$5:$T$8,$AW225+1)-INDEX($T$5:$T$8,$AW225))))</f>
        <v>439.479963925231</v>
      </c>
      <c r="BD225" s="535" t="n">
        <f aca="false">IF(OR(DateStart&gt;=I226,DateEnd&lt;I225),0,IF(VolumeOverrideFlag,V225,Volume))</f>
        <v>0</v>
      </c>
      <c r="BE225" s="536" t="n">
        <f aca="false">IF(OR(DateStart2&gt;=I226,DateEnd2&lt;I225),0,IF(VolumeOverrideFlag,V225,VolumeSwaption))</f>
        <v>0</v>
      </c>
      <c r="BF225" s="537" t="n">
        <f aca="false">YEAR(I225)</f>
        <v>2017</v>
      </c>
      <c r="BG225" s="538" t="n">
        <f aca="false">MONTH(I225)</f>
        <v>10</v>
      </c>
      <c r="BH225" s="539" t="n">
        <f aca="false">AD225-DateToday+1</f>
        <v>-2931</v>
      </c>
      <c r="BI225" s="540" t="n">
        <f aca="false">(I225-DateToday+1)/365.25</f>
        <v>-7.98357289527721</v>
      </c>
      <c r="BJ225" s="541" t="n">
        <f aca="false">BI225+(BL225-BI225)*CHOOSE(Underlying,AJ225/AI225,AM225/AL225)</f>
        <v>-7.92757140190405</v>
      </c>
      <c r="BK225" s="541" t="n">
        <f aca="false">BJ225+1/365.25</f>
        <v>-7.92483355111692</v>
      </c>
      <c r="BL225" s="541" t="n">
        <f aca="false">(I226-DateToday)/365.25</f>
        <v>-7.90143737166325</v>
      </c>
      <c r="BM225" s="542" t="e">
        <f aca="false">MAX(BI225-(BJ225-BI225)*(S226^2/O226^2-1),0)</f>
        <v>#DIV/0!</v>
      </c>
      <c r="BN225" s="541" t="e">
        <f aca="false">MAX(BL225+(BL225-BK225)*(S227^2/O227^2-1),0)</f>
        <v>#DIV/0!</v>
      </c>
      <c r="BO225" s="530" t="n">
        <f aca="false">CHOOSE(Underlying,AI225,AL225)</f>
        <v>22</v>
      </c>
      <c r="BP225" s="529" t="n">
        <f aca="false">CHOOSE(Underlying,AJ225,AM225)</f>
        <v>15</v>
      </c>
      <c r="BQ225" s="529" t="n">
        <f aca="false">CHOOSE(Underlying,AK225,AN225)</f>
        <v>7</v>
      </c>
      <c r="BR225" s="463" t="str">
        <f aca="false">IF(BD225,IF(Underlying=1,X225,Z225)+UnderlyingPriceAsian-SwapPriceCurve,"")</f>
        <v/>
      </c>
      <c r="BS225" s="463" t="str">
        <f aca="false">IF(BD225,Strike1/BR225-1,"")</f>
        <v/>
      </c>
      <c r="BT225" s="464" t="str">
        <f aca="false">IF(BD225,Strike2/BR225-1,"")</f>
        <v/>
      </c>
      <c r="BU225" s="465" t="str">
        <f aca="false">IF(BD225,IF(Underlying=1,L226,R226)+UnderlyingPriceAsian-SwapPriceCurve,"")</f>
        <v/>
      </c>
      <c r="BV225" s="465" t="str">
        <f aca="false">IF(BD225,IF(Underlying=1,L227,R227)+UnderlyingPriceAsian-SwapPriceCurve,"")</f>
        <v/>
      </c>
      <c r="BW225" s="466" t="str">
        <f aca="false">IF(BD225,IF(Underlying=1,O226,AT226),"")</f>
        <v/>
      </c>
      <c r="BX225" s="467" t="str">
        <f aca="false">IF(BD225,IF(Underlying=1,O227,AT227),"")</f>
        <v/>
      </c>
      <c r="BY225" s="466" t="str">
        <f aca="false">IF(BD225,IF(BS225&gt;0,IF(BS225&gt;0.2,BC225-BB225,IF(BS225&gt;0.1,BB225-BA225,BA225)),IF(BS225&lt;-0.2,AX225-AY225,IF(BS225&lt;-0.1,AY225-AZ225,AZ225))),"")</f>
        <v/>
      </c>
      <c r="BZ225" s="467" t="str">
        <f aca="false">IF(BD225,IF(BT225&gt;0,IF(BT225&gt;0.2,BC225-BB225,IF(BT225&gt;0.1,BB225-BA225,BA225)),IF(BT225&lt;-0.2,AX225-AY225,IF(BT225&lt;-0.1,AY225-AZ225,AZ225))),"")</f>
        <v/>
      </c>
      <c r="CA225" s="468" t="str">
        <f aca="false">IF($BD225,$BW225+IF(VolSkewFlag=1,IF(BS225&gt;0,$BA225*MIN(BS225/10%,1)+($BB225-$BA225)*MAX(0,MIN(BS225/10%-1,1))+($BC225-$BB225)*MAX(0,BS225/10%-2),$AZ225*MIN(-BS225/10%,1)+($AY225-$AZ225)*MAX(0,MIN(-BS225/10%-1,1))+($AX225-$AY225)*MAX(0,-BS225/10%-2)),0),"")</f>
        <v/>
      </c>
      <c r="CB225" s="468" t="str">
        <f aca="false">IF($BD225,$BX225+IF(VolSkewFlag=1,IF(BS225&gt;0,$BA225*MIN(BS225/10%,1)+($BB225-$BA225)*MAX(0,MIN(BS225/10%-1,1))+($BC225-$BB225)*MAX(0,BS225/10%-2),$AZ225*MIN(-BS225/10%,1)+($AY225-$AZ225)*MAX(0,MIN(-BS225/10%-1,1))+($AX225-$AY225)*MAX(0,-BS225/10%-2)),0),"")</f>
        <v/>
      </c>
      <c r="CC225" s="468" t="str">
        <f aca="false">IF($BD225,$BW225+IF(VolSkewFlag=1,IF(BT225&gt;0,$BA225*MIN(BT225/10%,1)+($BB225-$BA225)*MAX(0,MIN(BT225/10%-1,1))+($BC225-$BB225)*MAX(0,BT225/10%-2),$AZ225*MIN(-BT225/10%,1)+($AY225-$AZ225)*MAX(0,MIN(-BT225/10%-1,1))+($AX225-$AY225)*MAX(0,-BT225/10%-2)),0),"")</f>
        <v/>
      </c>
      <c r="CD225" s="468" t="str">
        <f aca="false">IF($BD225,$BX225+IF(VolSkewFlag=1,IF(BT225&gt;0,$BA225*MIN(BT225/10%,1)+($BB225-$BA225)*MAX(0,MIN(BT225/10%-1,1))+($BC225-$BB225)*MAX(0,BT225/10%-2),$AZ225*MIN(-BT225/10%,1)+($AY225-$AZ225)*MAX(0,MIN(-BT225/10%-1,1))+($AX225-$AY225)*MAX(0,-BT225/10%-2)),0),"")</f>
        <v/>
      </c>
      <c r="CE225" s="469" t="n">
        <v>1</v>
      </c>
      <c r="CF225" s="470" t="n">
        <f aca="false">IF(BD225,xCrudeAPO(BU225,BV225,CA225,CB225,S226,S227,BI225,BL225,BP225,BQ225,0,Strike1,AO225,CE225,0,BL225,IF(OptControl=4,0,1),0,1),0)</f>
        <v>0</v>
      </c>
      <c r="CG225" s="470" t="n">
        <f aca="false">IF(BD225,xCrudeAPO(BU225,BV225,CA225,CB225,S226,S227,BI225,BL225,BP225,BQ225,0,Strike1,AO225,CE225,0,BL225,IF(OptControl=4,0,1),1,1)+xCrudeAPO(BU225,BV225,CA225,CB225,S226,S227,BI225,BL225,BP225,BQ225,0,Strike1,AO225,CE225,0,BL225,IF(OptControl=4,0,1),1,2)+IF(OR(VolSkewFlag=2,ABS(BS225)&lt;0.0001),0,IF(BS225&gt;0,-1,1)*CH225*Strike1/BR225^2*BY225/10%),0)</f>
        <v>0</v>
      </c>
      <c r="CH225" s="470" t="n">
        <f aca="false">IF(BD225,(xCrudeAPO(BU225,BV225,CA225,CB225,S226,S227,BI225,BL225,BP225,BQ225,0,Strike1,AO225,CE225,0,BL225,IF(OptControl=4,0,1),3,1)+xCrudeAPO(BU225,BV225,CA225,CB225,S226,S227,BI225,BL225,BP225,BQ225,0,Strike1,AO225,CE225,0,BL225,IF(OptControl=4,0,1),3,2))/100,0)</f>
        <v>0</v>
      </c>
      <c r="CI225" s="470" t="n">
        <f aca="false">IF(BD225,xCrudeAPO(BU225,BV225,CA225,CB225,S226,S227,BI225-DaysForThetaCalculation/365.25,BL225-DaysForThetaCalculation/365.25,BP225,BQ225,0,Strike1,AO225,CE225,0,BL225,IF(OptControl=4,0,1),0,1)-xCrudeAPO(BU225,BV225,CA225,CB225,S226,S227,BI225,BL225,BP225,BQ225,0,Strike1,AO225,CE225,0,BL225,IF(OptControl=4,0,1),0,1),0)</f>
        <v>0</v>
      </c>
      <c r="CJ225" s="471" t="n">
        <f aca="false">IF(BD225,xCrudeAPO(BU225,BV225,CC225,CD225,S226,S227,BI225,BL225,BP225,BQ225,0,Strike2,AO225,CE225,0,BL225,IF(OptControl=3,1,0),0,1),0)</f>
        <v>0</v>
      </c>
      <c r="CK225" s="470" t="n">
        <f aca="false">IF(BD225,xCrudeAPO(BU225,BV225,CC225,CD225,S226,S227,BI225,BL225,BP225,BQ225,0,Strike2,AO225,CE225,0,BL225,IF(OptControl=3,1,0),1,1)+xCrudeAPO(BU225,BV225,CC225,CD225,S226,S227,BI225,BL225,BP225,BQ225,0,Strike2,AO225,CE225,0,BL225,IF(OptControl=3,1,0),1,2)+IF(OR(VolSkewFlag=2,ABS(BT225)&lt;0.0001),0,IF(BT225&gt;0,-1,1)*CL225*Strike2/BR225^2*BZ225/10%),0)</f>
        <v>0</v>
      </c>
      <c r="CL225" s="470" t="n">
        <f aca="false">IF(BD225,(xCrudeAPO(BU225,BV225,CC225,CD225,S226,S227,BI225,BL225,BP225,BQ225,0,Strike2,AO225,CE225,0,BL225,IF(OptControl=3,1,0),3,1)+xCrudeAPO(BU225,BV225,CC225,CD225,S226,S227,BI225,BL225,BP225,BQ225,0,Strike2,AO225,CE225,0,BL225,IF(OptControl=3,1,0),3,2))/100,0)</f>
        <v>0</v>
      </c>
      <c r="CM225" s="472" t="n">
        <f aca="false">IF(BD225,xCrudeAPO(BU225,BV225,CC225,CD225,S226,S227,BI225-DaysForThetaCalculation/365.25,BL225-DaysForThetaCalculation/365.25,BP225,BQ225,0,Strike2,AO225,CE225,0,BL225,IF(OptControl=3,1,0),0,1)-xCrudeAPO(BU225,BV225,CC225,CD225,S226,S227,BI225,BL225,BP225,BQ225,0,Strike2,AO225,CE225,0,BL225,IF(OptControl=3,1,0),0,1),0)</f>
        <v>0</v>
      </c>
      <c r="CN225" s="3"/>
      <c r="CO225" s="543" t="str">
        <f aca="false">IF(BD225,CHOOSE(Underlying,AD225,AF225)-DateToday+1,"")</f>
        <v/>
      </c>
      <c r="CP225" s="582" t="str">
        <f aca="false">IF(BD225,CHOOSE(Underlying,L225,R225),"")</f>
        <v/>
      </c>
      <c r="CQ225" s="544" t="str">
        <f aca="false">IF(BD225,Strike1/CP225-1,"")</f>
        <v/>
      </c>
      <c r="CR225" s="544" t="str">
        <f aca="false">IF(BD225,Strike2/CP225-1,"")</f>
        <v/>
      </c>
      <c r="CS225" s="544" t="str">
        <f aca="false">IF(BD225,IF(CQ225&gt;0,IF(CQ225&gt;0.2,BC224-BB224,IF(CQ225&gt;0.1,BB224-BA224,BA224)),IF(CQ225&lt;-0.2,AX224-AY224,IF(CQ225&lt;-0.1,AY224-AZ224,AZ224))),"")</f>
        <v/>
      </c>
      <c r="CT225" s="544" t="str">
        <f aca="false">IF(BD225,IF(CR225&gt;0,IF(CR225&gt;0.2,BC224-BB224,IF(CR225&gt;0.1,BB224-BA224,BA224)),IF(CR225&lt;-0.2,AX224-AY224,IF(CR225&lt;-0.1,AY224-AZ224,AZ224))),"")</f>
        <v/>
      </c>
      <c r="CU225" s="545" t="str">
        <f aca="false">IF(BD225,CHOOSE(Underlying,O225,AT225),"")</f>
        <v/>
      </c>
      <c r="CV225" s="545" t="str">
        <f aca="false">IF(BD225,CU225+IF(VolSkewFlag=1,IF(CQ225&gt;0,BA224*MIN(CQ225/10%,1)+(BB224-BA224)*MAX(0,MIN(CQ225/10%-1,1))+(BC224-BB224)*MAX(0,CQ225/10%-2),AZ224*MIN(-CQ225/10%,1)+(AY224-AZ224)*MAX(0,MIN(-CQ225/10%-1,1))+(AX224-AY224)*MAX(0,-CQ225/10%-2)),0),"")</f>
        <v/>
      </c>
      <c r="CW225" s="545" t="str">
        <f aca="false">IF(BD225,CU225+IF(VolSkewFlag=1,IF(CR225&gt;0,BA224*MIN(CR225/10%,1)+(BB224-BA224)*MAX(0,MIN(CR225/10%-1,1))+(BC224-BB224)*MAX(0,CR225/10%-2),AZ224*MIN(-CR225/10%,1)+(AY224-AZ224)*MAX(0,MIN(-CR225/10%-1,1))+(AX224-AY224)*MAX(0,-CR225/10%-2)),0),"")</f>
        <v/>
      </c>
      <c r="CX225" s="470" t="n">
        <f aca="false">IF(BD225,EURO(CP225,Strike1,AO225,AO225,CV225,CO225,IF(OptControl=4,0,1),0),0)</f>
        <v>0</v>
      </c>
      <c r="CY225" s="470" t="n">
        <f aca="false">IF(BD225,EURO(CP225,Strike1,AO225,AO225,CV225,CO225,IF(OptControl=4,0,1),1)+IF(OR(VolSkewFlag=2,ABS(CQ225)&lt;0.0001),0,IF(CQ225&gt;0,-1,1)*CZ225*100*Strike1/CP225^2*CS225/10%),0)</f>
        <v>0</v>
      </c>
      <c r="CZ225" s="470" t="n">
        <f aca="false">IF(BD225,EURO(CP225,Strike1,AO225,AO225,CV225,CO225,IF(OptControl=4,0,1),3)/100,0)</f>
        <v>0</v>
      </c>
      <c r="DA225" s="470" t="n">
        <f aca="false">IF(BD225,EURO(CP225,Strike1,AO225,AO225,CV225,CO225,IF(OptControl=4,0,1),0)-EURO(CP225,Strike1,AO225,AO225,CV225,CO225-1,IF(OptControl=4,0,1),0),0)</f>
        <v>0</v>
      </c>
      <c r="DB225" s="470" t="n">
        <f aca="false">IF(BD225,EURO(CP225,Strike2,AO225,AO225,CW225,CO225,IF(OptControl=3,1,0),0),0)</f>
        <v>0</v>
      </c>
      <c r="DC225" s="470" t="n">
        <f aca="false">IF(BD225,EURO(CP225,Strike2,AO225,AO225,CW225,CO225,IF(OptControl=3,1,0),1)+IF(OR(VolSkewFlag=2,ABS(CR225)&lt;0.0001),0,IF(CR225&gt;0,-1,1)*DD225*100*Strike2/CP225^2*CT225/10%),0)</f>
        <v>0</v>
      </c>
      <c r="DD225" s="470" t="n">
        <f aca="false">IF(BD225,EURO(CP225,Strike2,AO225,AO225,CW225,CO225,IF(OptControl=3,1,0),3)/100,0)</f>
        <v>0</v>
      </c>
      <c r="DE225" s="472" t="n">
        <f aca="false">IF(BD225,EURO(CP225,Strike2,AO225,AO225,CW225,CO225,IF(OptControl=3,1,0),0)-EURO(CP225,Strike2,AO225,AO225,CW225,CO225-1,IF(OptControl=3,1,0),0),0)</f>
        <v>0</v>
      </c>
      <c r="DG225" s="481" t="n">
        <f aca="false">EOMONTH(DG224,0)+1</f>
        <v>51926</v>
      </c>
      <c r="DH225" s="478" t="n">
        <v>24.4100000000001</v>
      </c>
      <c r="DI225" s="479" t="n">
        <v>24.4795652173914</v>
      </c>
      <c r="DJ225" s="480" t="n">
        <f aca="false">DG225</f>
        <v>51926</v>
      </c>
      <c r="DK225" s="478" t="n">
        <v>23.2450400575569</v>
      </c>
      <c r="DL225" s="479" t="n">
        <v>23.3110652173914</v>
      </c>
      <c r="DM225" s="481" t="n">
        <f aca="false">DG225</f>
        <v>51926</v>
      </c>
      <c r="DN225" s="482" t="n">
        <f aca="false">DK225+BrentPhyBrentSpread</f>
        <v>23.2950400575569</v>
      </c>
      <c r="DO225" s="481" t="n">
        <f aca="false">DG225</f>
        <v>51926</v>
      </c>
      <c r="DP225" s="483" t="n">
        <f aca="false">DL225+DQ225</f>
        <v>23.3110652173914</v>
      </c>
      <c r="DQ225" s="546" t="n">
        <v>0</v>
      </c>
      <c r="DR225" s="480" t="n">
        <f aca="false">DG225</f>
        <v>51926</v>
      </c>
      <c r="DS225" s="485" t="n">
        <v>0.101599999999998</v>
      </c>
      <c r="DT225" s="486" t="n">
        <v>0.100765217391302</v>
      </c>
      <c r="DU225" s="480" t="n">
        <f aca="false">DG225</f>
        <v>51926</v>
      </c>
      <c r="DV225" s="485" t="n">
        <v>0.101599999999998</v>
      </c>
      <c r="DW225" s="486" t="n">
        <v>0.100765217391302</v>
      </c>
      <c r="DX225" s="481" t="n">
        <f aca="false">DG225</f>
        <v>51926</v>
      </c>
      <c r="DY225" s="486" t="n">
        <v>0.35</v>
      </c>
      <c r="DZ225" s="481" t="n">
        <f aca="false">DR225</f>
        <v>51926</v>
      </c>
      <c r="EA225" s="486" t="n">
        <f aca="false">DT225</f>
        <v>0.100765217391302</v>
      </c>
      <c r="EB225" s="195"/>
      <c r="EC225" s="547" t="str">
        <f aca="false">IF(BD225,IF(Underlying=1,AS225,AU225),"")</f>
        <v/>
      </c>
      <c r="ED225" s="548" t="str">
        <f aca="false">IF($BD225,$EC225+IF(VolSkewFlag=1,IF(BS225&gt;0,$BA225*MIN(BS225/10%,1)+($BB225-$BA225)*MAX(0,MIN(BS225/10%-1,1))+($BC225-$BB225)*MAX(0,BS225/10%-2),$AZ225*MIN(-BS225/10%,1)+($AY225-$AZ225)*MAX(0,MIN(-BS225/10%-1,1))+($AX225-$AY225)*MAX(0,-BS225/10%-2)),0),"")</f>
        <v/>
      </c>
      <c r="EE225" s="549" t="str">
        <f aca="false">IF($BD225,$EC225+IF(VolSkewFlag=1,IF(BT225&gt;0,$BA225*MIN(BT225/10%,1)+($BB225-$BA225)*MAX(0,MIN(BT225/10%-1,1))+($BC225-$BB225)*MAX(0,BT225/10%-2),$AZ225*MIN(-BT225/10%,1)+($AY225-$AZ225)*MAX(0,MIN(-BT225/10%-1,1))+($AX225-$AY225)*MAX(0,-BT225/10%-2)),0),"")</f>
        <v/>
      </c>
      <c r="EF225" s="550" t="n">
        <f aca="false">IF(BD225,xASN(BR225,Strike1,AO225,ED225,0,BO225,0,BI225,BL225,IF(OptControl=4,0,1),0),0)</f>
        <v>0</v>
      </c>
      <c r="EG225" s="551" t="n">
        <f aca="false">IF(BD225,xASN(BR225,Strike2,AO225,EE225,0,BO225,0,BI225,BL225,IF(OptControl=3,1,0),0),0)</f>
        <v>0</v>
      </c>
      <c r="EL225" s="1"/>
      <c r="EM225" s="195"/>
      <c r="EN225" s="240"/>
      <c r="EO225" s="240"/>
      <c r="EP225" s="195"/>
      <c r="EQ225" s="407" t="s">
        <v>453</v>
      </c>
      <c r="ES225" s="1"/>
      <c r="EU225" s="672"/>
      <c r="FJ225" s="571" t="n">
        <v>56</v>
      </c>
      <c r="FK225" s="150" t="str">
        <f aca="false">IF(OR(FK$169&lt;SwaptionFirstMonthPosition+1,$FJ225&lt;SwaptionFirstMonthPosition+1,FK$169&gt;SwaptionFirstMonthPosition+SwaptionNumOfMonths+1,$FJ225&gt;SwaptionFirstMonthPosition+SwaptionNumOfMonths+1),"",IF($FJ225=FK$169,1,IF($FJ225&lt;FK$169,INDEX($FK$170:$ID$241,FK$169,$FJ225),SUMPRODUCT(INDEX($FK$325:$ID$396,FK$169,1+SwaptionShift):INDEX($FK$325:$ID$396,FK$169,SwaptionMonthsToGo+SwaptionShift),INDEX($FK$245:$ID$316,$FJ225-FK$169,73-FK$169+SwaptionShift):INDEX($FK$245:$ID$316,$FJ225-FK$169,72-FK$169+SwaptionMonthsToGo+SwaptionShift))/SQRT(SUM(INDEX($FK380:$ID380,1+SwaptionShift):INDEX($FK380:$ID380,SwaptionMonthsToGo+SwaptionShift))*SUM(INDEX($FK$325:$ID$396,FK$169,1+SwaptionShift):INDEX($FK$325:$ID$396,FK$169,SwaptionMonthsToGo+SwaptionShift))))))</f>
        <v/>
      </c>
      <c r="FL225" s="150" t="str">
        <f aca="false">IF(OR(FL$169&lt;SwaptionFirstMonthPosition+1,$FJ225&lt;SwaptionFirstMonthPosition+1,FL$169&gt;SwaptionFirstMonthPosition+SwaptionNumOfMonths+1,$FJ225&gt;SwaptionFirstMonthPosition+SwaptionNumOfMonths+1),"",IF($FJ225=FL$169,1,IF($FJ225&lt;FL$169,INDEX($FK$170:$ID$241,FL$169,$FJ225),SUMPRODUCT(INDEX($FK$325:$ID$396,FL$169,1+SwaptionShift):INDEX($FK$325:$ID$396,FL$169,SwaptionMonthsToGo+SwaptionShift),INDEX($FK$245:$ID$316,$FJ225-FL$169,73-FL$169+SwaptionShift):INDEX($FK$245:$ID$316,$FJ225-FL$169,72-FL$169+SwaptionMonthsToGo+SwaptionShift))/SQRT(SUM(INDEX($FK380:$ID380,1+SwaptionShift):INDEX($FK380:$ID380,SwaptionMonthsToGo+SwaptionShift))*SUM(INDEX($FK$325:$ID$396,FL$169,1+SwaptionShift):INDEX($FK$325:$ID$396,FL$169,SwaptionMonthsToGo+SwaptionShift))))))</f>
        <v/>
      </c>
      <c r="FM225" s="150" t="str">
        <f aca="false">IF(OR(FM$169&lt;SwaptionFirstMonthPosition+1,$FJ225&lt;SwaptionFirstMonthPosition+1,FM$169&gt;SwaptionFirstMonthPosition+SwaptionNumOfMonths+1,$FJ225&gt;SwaptionFirstMonthPosition+SwaptionNumOfMonths+1),"",IF($FJ225=FM$169,1,IF($FJ225&lt;FM$169,INDEX($FK$170:$ID$241,FM$169,$FJ225),SUMPRODUCT(INDEX($FK$325:$ID$396,FM$169,1+SwaptionShift):INDEX($FK$325:$ID$396,FM$169,SwaptionMonthsToGo+SwaptionShift),INDEX($FK$245:$ID$316,$FJ225-FM$169,73-FM$169+SwaptionShift):INDEX($FK$245:$ID$316,$FJ225-FM$169,72-FM$169+SwaptionMonthsToGo+SwaptionShift))/SQRT(SUM(INDEX($FK380:$ID380,1+SwaptionShift):INDEX($FK380:$ID380,SwaptionMonthsToGo+SwaptionShift))*SUM(INDEX($FK$325:$ID$396,FM$169,1+SwaptionShift):INDEX($FK$325:$ID$396,FM$169,SwaptionMonthsToGo+SwaptionShift))))))</f>
        <v/>
      </c>
      <c r="FN225" s="150" t="str">
        <f aca="false">IF(OR(FN$169&lt;SwaptionFirstMonthPosition+1,$FJ225&lt;SwaptionFirstMonthPosition+1,FN$169&gt;SwaptionFirstMonthPosition+SwaptionNumOfMonths+1,$FJ225&gt;SwaptionFirstMonthPosition+SwaptionNumOfMonths+1),"",IF($FJ225=FN$169,1,IF($FJ225&lt;FN$169,INDEX($FK$170:$ID$241,FN$169,$FJ225),SUMPRODUCT(INDEX($FK$325:$ID$396,FN$169,1+SwaptionShift):INDEX($FK$325:$ID$396,FN$169,SwaptionMonthsToGo+SwaptionShift),INDEX($FK$245:$ID$316,$FJ225-FN$169,73-FN$169+SwaptionShift):INDEX($FK$245:$ID$316,$FJ225-FN$169,72-FN$169+SwaptionMonthsToGo+SwaptionShift))/SQRT(SUM(INDEX($FK380:$ID380,1+SwaptionShift):INDEX($FK380:$ID380,SwaptionMonthsToGo+SwaptionShift))*SUM(INDEX($FK$325:$ID$396,FN$169,1+SwaptionShift):INDEX($FK$325:$ID$396,FN$169,SwaptionMonthsToGo+SwaptionShift))))))</f>
        <v/>
      </c>
      <c r="FO225" s="150" t="str">
        <f aca="false">IF(OR(FO$169&lt;SwaptionFirstMonthPosition+1,$FJ225&lt;SwaptionFirstMonthPosition+1,FO$169&gt;SwaptionFirstMonthPosition+SwaptionNumOfMonths+1,$FJ225&gt;SwaptionFirstMonthPosition+SwaptionNumOfMonths+1),"",IF($FJ225=FO$169,1,IF($FJ225&lt;FO$169,INDEX($FK$170:$ID$241,FO$169,$FJ225),SUMPRODUCT(INDEX($FK$325:$ID$396,FO$169,1+SwaptionShift):INDEX($FK$325:$ID$396,FO$169,SwaptionMonthsToGo+SwaptionShift),INDEX($FK$245:$ID$316,$FJ225-FO$169,73-FO$169+SwaptionShift):INDEX($FK$245:$ID$316,$FJ225-FO$169,72-FO$169+SwaptionMonthsToGo+SwaptionShift))/SQRT(SUM(INDEX($FK380:$ID380,1+SwaptionShift):INDEX($FK380:$ID380,SwaptionMonthsToGo+SwaptionShift))*SUM(INDEX($FK$325:$ID$396,FO$169,1+SwaptionShift):INDEX($FK$325:$ID$396,FO$169,SwaptionMonthsToGo+SwaptionShift))))))</f>
        <v/>
      </c>
      <c r="FP225" s="150" t="str">
        <f aca="false">IF(OR(FP$169&lt;SwaptionFirstMonthPosition+1,$FJ225&lt;SwaptionFirstMonthPosition+1,FP$169&gt;SwaptionFirstMonthPosition+SwaptionNumOfMonths+1,$FJ225&gt;SwaptionFirstMonthPosition+SwaptionNumOfMonths+1),"",IF($FJ225=FP$169,1,IF($FJ225&lt;FP$169,INDEX($FK$170:$ID$241,FP$169,$FJ225),SUMPRODUCT(INDEX($FK$325:$ID$396,FP$169,1+SwaptionShift):INDEX($FK$325:$ID$396,FP$169,SwaptionMonthsToGo+SwaptionShift),INDEX($FK$245:$ID$316,$FJ225-FP$169,73-FP$169+SwaptionShift):INDEX($FK$245:$ID$316,$FJ225-FP$169,72-FP$169+SwaptionMonthsToGo+SwaptionShift))/SQRT(SUM(INDEX($FK380:$ID380,1+SwaptionShift):INDEX($FK380:$ID380,SwaptionMonthsToGo+SwaptionShift))*SUM(INDEX($FK$325:$ID$396,FP$169,1+SwaptionShift):INDEX($FK$325:$ID$396,FP$169,SwaptionMonthsToGo+SwaptionShift))))))</f>
        <v/>
      </c>
      <c r="FQ225" s="150" t="str">
        <f aca="false">IF(OR(FQ$169&lt;SwaptionFirstMonthPosition+1,$FJ225&lt;SwaptionFirstMonthPosition+1,FQ$169&gt;SwaptionFirstMonthPosition+SwaptionNumOfMonths+1,$FJ225&gt;SwaptionFirstMonthPosition+SwaptionNumOfMonths+1),"",IF($FJ225=FQ$169,1,IF($FJ225&lt;FQ$169,INDEX($FK$170:$ID$241,FQ$169,$FJ225),SUMPRODUCT(INDEX($FK$325:$ID$396,FQ$169,1+SwaptionShift):INDEX($FK$325:$ID$396,FQ$169,SwaptionMonthsToGo+SwaptionShift),INDEX($FK$245:$ID$316,$FJ225-FQ$169,73-FQ$169+SwaptionShift):INDEX($FK$245:$ID$316,$FJ225-FQ$169,72-FQ$169+SwaptionMonthsToGo+SwaptionShift))/SQRT(SUM(INDEX($FK380:$ID380,1+SwaptionShift):INDEX($FK380:$ID380,SwaptionMonthsToGo+SwaptionShift))*SUM(INDEX($FK$325:$ID$396,FQ$169,1+SwaptionShift):INDEX($FK$325:$ID$396,FQ$169,SwaptionMonthsToGo+SwaptionShift))))))</f>
        <v/>
      </c>
      <c r="FR225" s="150" t="str">
        <f aca="false">IF(OR(FR$169&lt;SwaptionFirstMonthPosition+1,$FJ225&lt;SwaptionFirstMonthPosition+1,FR$169&gt;SwaptionFirstMonthPosition+SwaptionNumOfMonths+1,$FJ225&gt;SwaptionFirstMonthPosition+SwaptionNumOfMonths+1),"",IF($FJ225=FR$169,1,IF($FJ225&lt;FR$169,INDEX($FK$170:$ID$241,FR$169,$FJ225),SUMPRODUCT(INDEX($FK$325:$ID$396,FR$169,1+SwaptionShift):INDEX($FK$325:$ID$396,FR$169,SwaptionMonthsToGo+SwaptionShift),INDEX($FK$245:$ID$316,$FJ225-FR$169,73-FR$169+SwaptionShift):INDEX($FK$245:$ID$316,$FJ225-FR$169,72-FR$169+SwaptionMonthsToGo+SwaptionShift))/SQRT(SUM(INDEX($FK380:$ID380,1+SwaptionShift):INDEX($FK380:$ID380,SwaptionMonthsToGo+SwaptionShift))*SUM(INDEX($FK$325:$ID$396,FR$169,1+SwaptionShift):INDEX($FK$325:$ID$396,FR$169,SwaptionMonthsToGo+SwaptionShift))))))</f>
        <v/>
      </c>
      <c r="FS225" s="150" t="str">
        <f aca="false">IF(OR(FS$169&lt;SwaptionFirstMonthPosition+1,$FJ225&lt;SwaptionFirstMonthPosition+1,FS$169&gt;SwaptionFirstMonthPosition+SwaptionNumOfMonths+1,$FJ225&gt;SwaptionFirstMonthPosition+SwaptionNumOfMonths+1),"",IF($FJ225=FS$169,1,IF($FJ225&lt;FS$169,INDEX($FK$170:$ID$241,FS$169,$FJ225),SUMPRODUCT(INDEX($FK$325:$ID$396,FS$169,1+SwaptionShift):INDEX($FK$325:$ID$396,FS$169,SwaptionMonthsToGo+SwaptionShift),INDEX($FK$245:$ID$316,$FJ225-FS$169,73-FS$169+SwaptionShift):INDEX($FK$245:$ID$316,$FJ225-FS$169,72-FS$169+SwaptionMonthsToGo+SwaptionShift))/SQRT(SUM(INDEX($FK380:$ID380,1+SwaptionShift):INDEX($FK380:$ID380,SwaptionMonthsToGo+SwaptionShift))*SUM(INDEX($FK$325:$ID$396,FS$169,1+SwaptionShift):INDEX($FK$325:$ID$396,FS$169,SwaptionMonthsToGo+SwaptionShift))))))</f>
        <v/>
      </c>
      <c r="FT225" s="150" t="str">
        <f aca="false">IF(OR(FT$169&lt;SwaptionFirstMonthPosition+1,$FJ225&lt;SwaptionFirstMonthPosition+1,FT$169&gt;SwaptionFirstMonthPosition+SwaptionNumOfMonths+1,$FJ225&gt;SwaptionFirstMonthPosition+SwaptionNumOfMonths+1),"",IF($FJ225=FT$169,1,IF($FJ225&lt;FT$169,INDEX($FK$170:$ID$241,FT$169,$FJ225),SUMPRODUCT(INDEX($FK$325:$ID$396,FT$169,1+SwaptionShift):INDEX($FK$325:$ID$396,FT$169,SwaptionMonthsToGo+SwaptionShift),INDEX($FK$245:$ID$316,$FJ225-FT$169,73-FT$169+SwaptionShift):INDEX($FK$245:$ID$316,$FJ225-FT$169,72-FT$169+SwaptionMonthsToGo+SwaptionShift))/SQRT(SUM(INDEX($FK380:$ID380,1+SwaptionShift):INDEX($FK380:$ID380,SwaptionMonthsToGo+SwaptionShift))*SUM(INDEX($FK$325:$ID$396,FT$169,1+SwaptionShift):INDEX($FK$325:$ID$396,FT$169,SwaptionMonthsToGo+SwaptionShift))))))</f>
        <v/>
      </c>
      <c r="FU225" s="150" t="str">
        <f aca="false">IF(OR(FU$169&lt;SwaptionFirstMonthPosition+1,$FJ225&lt;SwaptionFirstMonthPosition+1,FU$169&gt;SwaptionFirstMonthPosition+SwaptionNumOfMonths+1,$FJ225&gt;SwaptionFirstMonthPosition+SwaptionNumOfMonths+1),"",IF($FJ225=FU$169,1,IF($FJ225&lt;FU$169,INDEX($FK$170:$ID$241,FU$169,$FJ225),SUMPRODUCT(INDEX($FK$325:$ID$396,FU$169,1+SwaptionShift):INDEX($FK$325:$ID$396,FU$169,SwaptionMonthsToGo+SwaptionShift),INDEX($FK$245:$ID$316,$FJ225-FU$169,73-FU$169+SwaptionShift):INDEX($FK$245:$ID$316,$FJ225-FU$169,72-FU$169+SwaptionMonthsToGo+SwaptionShift))/SQRT(SUM(INDEX($FK380:$ID380,1+SwaptionShift):INDEX($FK380:$ID380,SwaptionMonthsToGo+SwaptionShift))*SUM(INDEX($FK$325:$ID$396,FU$169,1+SwaptionShift):INDEX($FK$325:$ID$396,FU$169,SwaptionMonthsToGo+SwaptionShift))))))</f>
        <v/>
      </c>
      <c r="FV225" s="150" t="str">
        <f aca="false">IF(OR(FV$169&lt;SwaptionFirstMonthPosition+1,$FJ225&lt;SwaptionFirstMonthPosition+1,FV$169&gt;SwaptionFirstMonthPosition+SwaptionNumOfMonths+1,$FJ225&gt;SwaptionFirstMonthPosition+SwaptionNumOfMonths+1),"",IF($FJ225=FV$169,1,IF($FJ225&lt;FV$169,INDEX($FK$170:$ID$241,FV$169,$FJ225),SUMPRODUCT(INDEX($FK$325:$ID$396,FV$169,1+SwaptionShift):INDEX($FK$325:$ID$396,FV$169,SwaptionMonthsToGo+SwaptionShift),INDEX($FK$245:$ID$316,$FJ225-FV$169,73-FV$169+SwaptionShift):INDEX($FK$245:$ID$316,$FJ225-FV$169,72-FV$169+SwaptionMonthsToGo+SwaptionShift))/SQRT(SUM(INDEX($FK380:$ID380,1+SwaptionShift):INDEX($FK380:$ID380,SwaptionMonthsToGo+SwaptionShift))*SUM(INDEX($FK$325:$ID$396,FV$169,1+SwaptionShift):INDEX($FK$325:$ID$396,FV$169,SwaptionMonthsToGo+SwaptionShift))))))</f>
        <v/>
      </c>
      <c r="FW225" s="150" t="str">
        <f aca="false">IF(OR(FW$169&lt;SwaptionFirstMonthPosition+1,$FJ225&lt;SwaptionFirstMonthPosition+1,FW$169&gt;SwaptionFirstMonthPosition+SwaptionNumOfMonths+1,$FJ225&gt;SwaptionFirstMonthPosition+SwaptionNumOfMonths+1),"",IF($FJ225=FW$169,1,IF($FJ225&lt;FW$169,INDEX($FK$170:$ID$241,FW$169,$FJ225),SUMPRODUCT(INDEX($FK$325:$ID$396,FW$169,1+SwaptionShift):INDEX($FK$325:$ID$396,FW$169,SwaptionMonthsToGo+SwaptionShift),INDEX($FK$245:$ID$316,$FJ225-FW$169,73-FW$169+SwaptionShift):INDEX($FK$245:$ID$316,$FJ225-FW$169,72-FW$169+SwaptionMonthsToGo+SwaptionShift))/SQRT(SUM(INDEX($FK380:$ID380,1+SwaptionShift):INDEX($FK380:$ID380,SwaptionMonthsToGo+SwaptionShift))*SUM(INDEX($FK$325:$ID$396,FW$169,1+SwaptionShift):INDEX($FK$325:$ID$396,FW$169,SwaptionMonthsToGo+SwaptionShift))))))</f>
        <v/>
      </c>
      <c r="FX225" s="150" t="str">
        <f aca="false">IF(OR(FX$169&lt;SwaptionFirstMonthPosition+1,$FJ225&lt;SwaptionFirstMonthPosition+1,FX$169&gt;SwaptionFirstMonthPosition+SwaptionNumOfMonths+1,$FJ225&gt;SwaptionFirstMonthPosition+SwaptionNumOfMonths+1),"",IF($FJ225=FX$169,1,IF($FJ225&lt;FX$169,INDEX($FK$170:$ID$241,FX$169,$FJ225),SUMPRODUCT(INDEX($FK$325:$ID$396,FX$169,1+SwaptionShift):INDEX($FK$325:$ID$396,FX$169,SwaptionMonthsToGo+SwaptionShift),INDEX($FK$245:$ID$316,$FJ225-FX$169,73-FX$169+SwaptionShift):INDEX($FK$245:$ID$316,$FJ225-FX$169,72-FX$169+SwaptionMonthsToGo+SwaptionShift))/SQRT(SUM(INDEX($FK380:$ID380,1+SwaptionShift):INDEX($FK380:$ID380,SwaptionMonthsToGo+SwaptionShift))*SUM(INDEX($FK$325:$ID$396,FX$169,1+SwaptionShift):INDEX($FK$325:$ID$396,FX$169,SwaptionMonthsToGo+SwaptionShift))))))</f>
        <v/>
      </c>
      <c r="FY225" s="150" t="str">
        <f aca="false">IF(OR(FY$169&lt;SwaptionFirstMonthPosition+1,$FJ225&lt;SwaptionFirstMonthPosition+1,FY$169&gt;SwaptionFirstMonthPosition+SwaptionNumOfMonths+1,$FJ225&gt;SwaptionFirstMonthPosition+SwaptionNumOfMonths+1),"",IF($FJ225=FY$169,1,IF($FJ225&lt;FY$169,INDEX($FK$170:$ID$241,FY$169,$FJ225),SUMPRODUCT(INDEX($FK$325:$ID$396,FY$169,1+SwaptionShift):INDEX($FK$325:$ID$396,FY$169,SwaptionMonthsToGo+SwaptionShift),INDEX($FK$245:$ID$316,$FJ225-FY$169,73-FY$169+SwaptionShift):INDEX($FK$245:$ID$316,$FJ225-FY$169,72-FY$169+SwaptionMonthsToGo+SwaptionShift))/SQRT(SUM(INDEX($FK380:$ID380,1+SwaptionShift):INDEX($FK380:$ID380,SwaptionMonthsToGo+SwaptionShift))*SUM(INDEX($FK$325:$ID$396,FY$169,1+SwaptionShift):INDEX($FK$325:$ID$396,FY$169,SwaptionMonthsToGo+SwaptionShift))))))</f>
        <v/>
      </c>
      <c r="FZ225" s="150" t="str">
        <f aca="false">IF(OR(FZ$169&lt;SwaptionFirstMonthPosition+1,$FJ225&lt;SwaptionFirstMonthPosition+1,FZ$169&gt;SwaptionFirstMonthPosition+SwaptionNumOfMonths+1,$FJ225&gt;SwaptionFirstMonthPosition+SwaptionNumOfMonths+1),"",IF($FJ225=FZ$169,1,IF($FJ225&lt;FZ$169,INDEX($FK$170:$ID$241,FZ$169,$FJ225),SUMPRODUCT(INDEX($FK$325:$ID$396,FZ$169,1+SwaptionShift):INDEX($FK$325:$ID$396,FZ$169,SwaptionMonthsToGo+SwaptionShift),INDEX($FK$245:$ID$316,$FJ225-FZ$169,73-FZ$169+SwaptionShift):INDEX($FK$245:$ID$316,$FJ225-FZ$169,72-FZ$169+SwaptionMonthsToGo+SwaptionShift))/SQRT(SUM(INDEX($FK380:$ID380,1+SwaptionShift):INDEX($FK380:$ID380,SwaptionMonthsToGo+SwaptionShift))*SUM(INDEX($FK$325:$ID$396,FZ$169,1+SwaptionShift):INDEX($FK$325:$ID$396,FZ$169,SwaptionMonthsToGo+SwaptionShift))))))</f>
        <v/>
      </c>
      <c r="GA225" s="150" t="str">
        <f aca="false">IF(OR(GA$169&lt;SwaptionFirstMonthPosition+1,$FJ225&lt;SwaptionFirstMonthPosition+1,GA$169&gt;SwaptionFirstMonthPosition+SwaptionNumOfMonths+1,$FJ225&gt;SwaptionFirstMonthPosition+SwaptionNumOfMonths+1),"",IF($FJ225=GA$169,1,IF($FJ225&lt;GA$169,INDEX($FK$170:$ID$241,GA$169,$FJ225),SUMPRODUCT(INDEX($FK$325:$ID$396,GA$169,1+SwaptionShift):INDEX($FK$325:$ID$396,GA$169,SwaptionMonthsToGo+SwaptionShift),INDEX($FK$245:$ID$316,$FJ225-GA$169,73-GA$169+SwaptionShift):INDEX($FK$245:$ID$316,$FJ225-GA$169,72-GA$169+SwaptionMonthsToGo+SwaptionShift))/SQRT(SUM(INDEX($FK380:$ID380,1+SwaptionShift):INDEX($FK380:$ID380,SwaptionMonthsToGo+SwaptionShift))*SUM(INDEX($FK$325:$ID$396,GA$169,1+SwaptionShift):INDEX($FK$325:$ID$396,GA$169,SwaptionMonthsToGo+SwaptionShift))))))</f>
        <v/>
      </c>
      <c r="GB225" s="150" t="str">
        <f aca="false">IF(OR(GB$169&lt;SwaptionFirstMonthPosition+1,$FJ225&lt;SwaptionFirstMonthPosition+1,GB$169&gt;SwaptionFirstMonthPosition+SwaptionNumOfMonths+1,$FJ225&gt;SwaptionFirstMonthPosition+SwaptionNumOfMonths+1),"",IF($FJ225=GB$169,1,IF($FJ225&lt;GB$169,INDEX($FK$170:$ID$241,GB$169,$FJ225),SUMPRODUCT(INDEX($FK$325:$ID$396,GB$169,1+SwaptionShift):INDEX($FK$325:$ID$396,GB$169,SwaptionMonthsToGo+SwaptionShift),INDEX($FK$245:$ID$316,$FJ225-GB$169,73-GB$169+SwaptionShift):INDEX($FK$245:$ID$316,$FJ225-GB$169,72-GB$169+SwaptionMonthsToGo+SwaptionShift))/SQRT(SUM(INDEX($FK380:$ID380,1+SwaptionShift):INDEX($FK380:$ID380,SwaptionMonthsToGo+SwaptionShift))*SUM(INDEX($FK$325:$ID$396,GB$169,1+SwaptionShift):INDEX($FK$325:$ID$396,GB$169,SwaptionMonthsToGo+SwaptionShift))))))</f>
        <v/>
      </c>
      <c r="GC225" s="150" t="str">
        <f aca="false">IF(OR(GC$169&lt;SwaptionFirstMonthPosition+1,$FJ225&lt;SwaptionFirstMonthPosition+1,GC$169&gt;SwaptionFirstMonthPosition+SwaptionNumOfMonths+1,$FJ225&gt;SwaptionFirstMonthPosition+SwaptionNumOfMonths+1),"",IF($FJ225=GC$169,1,IF($FJ225&lt;GC$169,INDEX($FK$170:$ID$241,GC$169,$FJ225),SUMPRODUCT(INDEX($FK$325:$ID$396,GC$169,1+SwaptionShift):INDEX($FK$325:$ID$396,GC$169,SwaptionMonthsToGo+SwaptionShift),INDEX($FK$245:$ID$316,$FJ225-GC$169,73-GC$169+SwaptionShift):INDEX($FK$245:$ID$316,$FJ225-GC$169,72-GC$169+SwaptionMonthsToGo+SwaptionShift))/SQRT(SUM(INDEX($FK380:$ID380,1+SwaptionShift):INDEX($FK380:$ID380,SwaptionMonthsToGo+SwaptionShift))*SUM(INDEX($FK$325:$ID$396,GC$169,1+SwaptionShift):INDEX($FK$325:$ID$396,GC$169,SwaptionMonthsToGo+SwaptionShift))))))</f>
        <v/>
      </c>
      <c r="GD225" s="150" t="str">
        <f aca="false">IF(OR(GD$169&lt;SwaptionFirstMonthPosition+1,$FJ225&lt;SwaptionFirstMonthPosition+1,GD$169&gt;SwaptionFirstMonthPosition+SwaptionNumOfMonths+1,$FJ225&gt;SwaptionFirstMonthPosition+SwaptionNumOfMonths+1),"",IF($FJ225=GD$169,1,IF($FJ225&lt;GD$169,INDEX($FK$170:$ID$241,GD$169,$FJ225),SUMPRODUCT(INDEX($FK$325:$ID$396,GD$169,1+SwaptionShift):INDEX($FK$325:$ID$396,GD$169,SwaptionMonthsToGo+SwaptionShift),INDEX($FK$245:$ID$316,$FJ225-GD$169,73-GD$169+SwaptionShift):INDEX($FK$245:$ID$316,$FJ225-GD$169,72-GD$169+SwaptionMonthsToGo+SwaptionShift))/SQRT(SUM(INDEX($FK380:$ID380,1+SwaptionShift):INDEX($FK380:$ID380,SwaptionMonthsToGo+SwaptionShift))*SUM(INDEX($FK$325:$ID$396,GD$169,1+SwaptionShift):INDEX($FK$325:$ID$396,GD$169,SwaptionMonthsToGo+SwaptionShift))))))</f>
        <v/>
      </c>
      <c r="GE225" s="150" t="str">
        <f aca="false">IF(OR(GE$169&lt;SwaptionFirstMonthPosition+1,$FJ225&lt;SwaptionFirstMonthPosition+1,GE$169&gt;SwaptionFirstMonthPosition+SwaptionNumOfMonths+1,$FJ225&gt;SwaptionFirstMonthPosition+SwaptionNumOfMonths+1),"",IF($FJ225=GE$169,1,IF($FJ225&lt;GE$169,INDEX($FK$170:$ID$241,GE$169,$FJ225),SUMPRODUCT(INDEX($FK$325:$ID$396,GE$169,1+SwaptionShift):INDEX($FK$325:$ID$396,GE$169,SwaptionMonthsToGo+SwaptionShift),INDEX($FK$245:$ID$316,$FJ225-GE$169,73-GE$169+SwaptionShift):INDEX($FK$245:$ID$316,$FJ225-GE$169,72-GE$169+SwaptionMonthsToGo+SwaptionShift))/SQRT(SUM(INDEX($FK380:$ID380,1+SwaptionShift):INDEX($FK380:$ID380,SwaptionMonthsToGo+SwaptionShift))*SUM(INDEX($FK$325:$ID$396,GE$169,1+SwaptionShift):INDEX($FK$325:$ID$396,GE$169,SwaptionMonthsToGo+SwaptionShift))))))</f>
        <v/>
      </c>
      <c r="GF225" s="150" t="str">
        <f aca="false">IF(OR(GF$169&lt;SwaptionFirstMonthPosition+1,$FJ225&lt;SwaptionFirstMonthPosition+1,GF$169&gt;SwaptionFirstMonthPosition+SwaptionNumOfMonths+1,$FJ225&gt;SwaptionFirstMonthPosition+SwaptionNumOfMonths+1),"",IF($FJ225=GF$169,1,IF($FJ225&lt;GF$169,INDEX($FK$170:$ID$241,GF$169,$FJ225),SUMPRODUCT(INDEX($FK$325:$ID$396,GF$169,1+SwaptionShift):INDEX($FK$325:$ID$396,GF$169,SwaptionMonthsToGo+SwaptionShift),INDEX($FK$245:$ID$316,$FJ225-GF$169,73-GF$169+SwaptionShift):INDEX($FK$245:$ID$316,$FJ225-GF$169,72-GF$169+SwaptionMonthsToGo+SwaptionShift))/SQRT(SUM(INDEX($FK380:$ID380,1+SwaptionShift):INDEX($FK380:$ID380,SwaptionMonthsToGo+SwaptionShift))*SUM(INDEX($FK$325:$ID$396,GF$169,1+SwaptionShift):INDEX($FK$325:$ID$396,GF$169,SwaptionMonthsToGo+SwaptionShift))))))</f>
        <v/>
      </c>
      <c r="GG225" s="150" t="str">
        <f aca="false">IF(OR(GG$169&lt;SwaptionFirstMonthPosition+1,$FJ225&lt;SwaptionFirstMonthPosition+1,GG$169&gt;SwaptionFirstMonthPosition+SwaptionNumOfMonths+1,$FJ225&gt;SwaptionFirstMonthPosition+SwaptionNumOfMonths+1),"",IF($FJ225=GG$169,1,IF($FJ225&lt;GG$169,INDEX($FK$170:$ID$241,GG$169,$FJ225),SUMPRODUCT(INDEX($FK$325:$ID$396,GG$169,1+SwaptionShift):INDEX($FK$325:$ID$396,GG$169,SwaptionMonthsToGo+SwaptionShift),INDEX($FK$245:$ID$316,$FJ225-GG$169,73-GG$169+SwaptionShift):INDEX($FK$245:$ID$316,$FJ225-GG$169,72-GG$169+SwaptionMonthsToGo+SwaptionShift))/SQRT(SUM(INDEX($FK380:$ID380,1+SwaptionShift):INDEX($FK380:$ID380,SwaptionMonthsToGo+SwaptionShift))*SUM(INDEX($FK$325:$ID$396,GG$169,1+SwaptionShift):INDEX($FK$325:$ID$396,GG$169,SwaptionMonthsToGo+SwaptionShift))))))</f>
        <v/>
      </c>
      <c r="GH225" s="150" t="str">
        <f aca="false">IF(OR(GH$169&lt;SwaptionFirstMonthPosition+1,$FJ225&lt;SwaptionFirstMonthPosition+1,GH$169&gt;SwaptionFirstMonthPosition+SwaptionNumOfMonths+1,$FJ225&gt;SwaptionFirstMonthPosition+SwaptionNumOfMonths+1),"",IF($FJ225=GH$169,1,IF($FJ225&lt;GH$169,INDEX($FK$170:$ID$241,GH$169,$FJ225),SUMPRODUCT(INDEX($FK$325:$ID$396,GH$169,1+SwaptionShift):INDEX($FK$325:$ID$396,GH$169,SwaptionMonthsToGo+SwaptionShift),INDEX($FK$245:$ID$316,$FJ225-GH$169,73-GH$169+SwaptionShift):INDEX($FK$245:$ID$316,$FJ225-GH$169,72-GH$169+SwaptionMonthsToGo+SwaptionShift))/SQRT(SUM(INDEX($FK380:$ID380,1+SwaptionShift):INDEX($FK380:$ID380,SwaptionMonthsToGo+SwaptionShift))*SUM(INDEX($FK$325:$ID$396,GH$169,1+SwaptionShift):INDEX($FK$325:$ID$396,GH$169,SwaptionMonthsToGo+SwaptionShift))))))</f>
        <v/>
      </c>
      <c r="GI225" s="150" t="str">
        <f aca="false">IF(OR(GI$169&lt;SwaptionFirstMonthPosition+1,$FJ225&lt;SwaptionFirstMonthPosition+1,GI$169&gt;SwaptionFirstMonthPosition+SwaptionNumOfMonths+1,$FJ225&gt;SwaptionFirstMonthPosition+SwaptionNumOfMonths+1),"",IF($FJ225=GI$169,1,IF($FJ225&lt;GI$169,INDEX($FK$170:$ID$241,GI$169,$FJ225),SUMPRODUCT(INDEX($FK$325:$ID$396,GI$169,1+SwaptionShift):INDEX($FK$325:$ID$396,GI$169,SwaptionMonthsToGo+SwaptionShift),INDEX($FK$245:$ID$316,$FJ225-GI$169,73-GI$169+SwaptionShift):INDEX($FK$245:$ID$316,$FJ225-GI$169,72-GI$169+SwaptionMonthsToGo+SwaptionShift))/SQRT(SUM(INDEX($FK380:$ID380,1+SwaptionShift):INDEX($FK380:$ID380,SwaptionMonthsToGo+SwaptionShift))*SUM(INDEX($FK$325:$ID$396,GI$169,1+SwaptionShift):INDEX($FK$325:$ID$396,GI$169,SwaptionMonthsToGo+SwaptionShift))))))</f>
        <v/>
      </c>
      <c r="GJ225" s="150" t="str">
        <f aca="false">IF(OR(GJ$169&lt;SwaptionFirstMonthPosition+1,$FJ225&lt;SwaptionFirstMonthPosition+1,GJ$169&gt;SwaptionFirstMonthPosition+SwaptionNumOfMonths+1,$FJ225&gt;SwaptionFirstMonthPosition+SwaptionNumOfMonths+1),"",IF($FJ225=GJ$169,1,IF($FJ225&lt;GJ$169,INDEX($FK$170:$ID$241,GJ$169,$FJ225),SUMPRODUCT(INDEX($FK$325:$ID$396,GJ$169,1+SwaptionShift):INDEX($FK$325:$ID$396,GJ$169,SwaptionMonthsToGo+SwaptionShift),INDEX($FK$245:$ID$316,$FJ225-GJ$169,73-GJ$169+SwaptionShift):INDEX($FK$245:$ID$316,$FJ225-GJ$169,72-GJ$169+SwaptionMonthsToGo+SwaptionShift))/SQRT(SUM(INDEX($FK380:$ID380,1+SwaptionShift):INDEX($FK380:$ID380,SwaptionMonthsToGo+SwaptionShift))*SUM(INDEX($FK$325:$ID$396,GJ$169,1+SwaptionShift):INDEX($FK$325:$ID$396,GJ$169,SwaptionMonthsToGo+SwaptionShift))))))</f>
        <v/>
      </c>
      <c r="GK225" s="150" t="str">
        <f aca="false">IF(OR(GK$169&lt;SwaptionFirstMonthPosition+1,$FJ225&lt;SwaptionFirstMonthPosition+1,GK$169&gt;SwaptionFirstMonthPosition+SwaptionNumOfMonths+1,$FJ225&gt;SwaptionFirstMonthPosition+SwaptionNumOfMonths+1),"",IF($FJ225=GK$169,1,IF($FJ225&lt;GK$169,INDEX($FK$170:$ID$241,GK$169,$FJ225),SUMPRODUCT(INDEX($FK$325:$ID$396,GK$169,1+SwaptionShift):INDEX($FK$325:$ID$396,GK$169,SwaptionMonthsToGo+SwaptionShift),INDEX($FK$245:$ID$316,$FJ225-GK$169,73-GK$169+SwaptionShift):INDEX($FK$245:$ID$316,$FJ225-GK$169,72-GK$169+SwaptionMonthsToGo+SwaptionShift))/SQRT(SUM(INDEX($FK380:$ID380,1+SwaptionShift):INDEX($FK380:$ID380,SwaptionMonthsToGo+SwaptionShift))*SUM(INDEX($FK$325:$ID$396,GK$169,1+SwaptionShift):INDEX($FK$325:$ID$396,GK$169,SwaptionMonthsToGo+SwaptionShift))))))</f>
        <v/>
      </c>
      <c r="GL225" s="150" t="str">
        <f aca="false">IF(OR(GL$169&lt;SwaptionFirstMonthPosition+1,$FJ225&lt;SwaptionFirstMonthPosition+1,GL$169&gt;SwaptionFirstMonthPosition+SwaptionNumOfMonths+1,$FJ225&gt;SwaptionFirstMonthPosition+SwaptionNumOfMonths+1),"",IF($FJ225=GL$169,1,IF($FJ225&lt;GL$169,INDEX($FK$170:$ID$241,GL$169,$FJ225),SUMPRODUCT(INDEX($FK$325:$ID$396,GL$169,1+SwaptionShift):INDEX($FK$325:$ID$396,GL$169,SwaptionMonthsToGo+SwaptionShift),INDEX($FK$245:$ID$316,$FJ225-GL$169,73-GL$169+SwaptionShift):INDEX($FK$245:$ID$316,$FJ225-GL$169,72-GL$169+SwaptionMonthsToGo+SwaptionShift))/SQRT(SUM(INDEX($FK380:$ID380,1+SwaptionShift):INDEX($FK380:$ID380,SwaptionMonthsToGo+SwaptionShift))*SUM(INDEX($FK$325:$ID$396,GL$169,1+SwaptionShift):INDEX($FK$325:$ID$396,GL$169,SwaptionMonthsToGo+SwaptionShift))))))</f>
        <v/>
      </c>
      <c r="GM225" s="150" t="str">
        <f aca="false">IF(OR(GM$169&lt;SwaptionFirstMonthPosition+1,$FJ225&lt;SwaptionFirstMonthPosition+1,GM$169&gt;SwaptionFirstMonthPosition+SwaptionNumOfMonths+1,$FJ225&gt;SwaptionFirstMonthPosition+SwaptionNumOfMonths+1),"",IF($FJ225=GM$169,1,IF($FJ225&lt;GM$169,INDEX($FK$170:$ID$241,GM$169,$FJ225),SUMPRODUCT(INDEX($FK$325:$ID$396,GM$169,1+SwaptionShift):INDEX($FK$325:$ID$396,GM$169,SwaptionMonthsToGo+SwaptionShift),INDEX($FK$245:$ID$316,$FJ225-GM$169,73-GM$169+SwaptionShift):INDEX($FK$245:$ID$316,$FJ225-GM$169,72-GM$169+SwaptionMonthsToGo+SwaptionShift))/SQRT(SUM(INDEX($FK380:$ID380,1+SwaptionShift):INDEX($FK380:$ID380,SwaptionMonthsToGo+SwaptionShift))*SUM(INDEX($FK$325:$ID$396,GM$169,1+SwaptionShift):INDEX($FK$325:$ID$396,GM$169,SwaptionMonthsToGo+SwaptionShift))))))</f>
        <v/>
      </c>
      <c r="GN225" s="150" t="str">
        <f aca="false">IF(OR(GN$169&lt;SwaptionFirstMonthPosition+1,$FJ225&lt;SwaptionFirstMonthPosition+1,GN$169&gt;SwaptionFirstMonthPosition+SwaptionNumOfMonths+1,$FJ225&gt;SwaptionFirstMonthPosition+SwaptionNumOfMonths+1),"",IF($FJ225=GN$169,1,IF($FJ225&lt;GN$169,INDEX($FK$170:$ID$241,GN$169,$FJ225),SUMPRODUCT(INDEX($FK$325:$ID$396,GN$169,1+SwaptionShift):INDEX($FK$325:$ID$396,GN$169,SwaptionMonthsToGo+SwaptionShift),INDEX($FK$245:$ID$316,$FJ225-GN$169,73-GN$169+SwaptionShift):INDEX($FK$245:$ID$316,$FJ225-GN$169,72-GN$169+SwaptionMonthsToGo+SwaptionShift))/SQRT(SUM(INDEX($FK380:$ID380,1+SwaptionShift):INDEX($FK380:$ID380,SwaptionMonthsToGo+SwaptionShift))*SUM(INDEX($FK$325:$ID$396,GN$169,1+SwaptionShift):INDEX($FK$325:$ID$396,GN$169,SwaptionMonthsToGo+SwaptionShift))))))</f>
        <v/>
      </c>
      <c r="GO225" s="150" t="str">
        <f aca="false">IF(OR(GO$169&lt;SwaptionFirstMonthPosition+1,$FJ225&lt;SwaptionFirstMonthPosition+1,GO$169&gt;SwaptionFirstMonthPosition+SwaptionNumOfMonths+1,$FJ225&gt;SwaptionFirstMonthPosition+SwaptionNumOfMonths+1),"",IF($FJ225=GO$169,1,IF($FJ225&lt;GO$169,INDEX($FK$170:$ID$241,GO$169,$FJ225),SUMPRODUCT(INDEX($FK$325:$ID$396,GO$169,1+SwaptionShift):INDEX($FK$325:$ID$396,GO$169,SwaptionMonthsToGo+SwaptionShift),INDEX($FK$245:$ID$316,$FJ225-GO$169,73-GO$169+SwaptionShift):INDEX($FK$245:$ID$316,$FJ225-GO$169,72-GO$169+SwaptionMonthsToGo+SwaptionShift))/SQRT(SUM(INDEX($FK380:$ID380,1+SwaptionShift):INDEX($FK380:$ID380,SwaptionMonthsToGo+SwaptionShift))*SUM(INDEX($FK$325:$ID$396,GO$169,1+SwaptionShift):INDEX($FK$325:$ID$396,GO$169,SwaptionMonthsToGo+SwaptionShift))))))</f>
        <v/>
      </c>
      <c r="GP225" s="150" t="str">
        <f aca="false">IF(OR(GP$169&lt;SwaptionFirstMonthPosition+1,$FJ225&lt;SwaptionFirstMonthPosition+1,GP$169&gt;SwaptionFirstMonthPosition+SwaptionNumOfMonths+1,$FJ225&gt;SwaptionFirstMonthPosition+SwaptionNumOfMonths+1),"",IF($FJ225=GP$169,1,IF($FJ225&lt;GP$169,INDEX($FK$170:$ID$241,GP$169,$FJ225),SUMPRODUCT(INDEX($FK$325:$ID$396,GP$169,1+SwaptionShift):INDEX($FK$325:$ID$396,GP$169,SwaptionMonthsToGo+SwaptionShift),INDEX($FK$245:$ID$316,$FJ225-GP$169,73-GP$169+SwaptionShift):INDEX($FK$245:$ID$316,$FJ225-GP$169,72-GP$169+SwaptionMonthsToGo+SwaptionShift))/SQRT(SUM(INDEX($FK380:$ID380,1+SwaptionShift):INDEX($FK380:$ID380,SwaptionMonthsToGo+SwaptionShift))*SUM(INDEX($FK$325:$ID$396,GP$169,1+SwaptionShift):INDEX($FK$325:$ID$396,GP$169,SwaptionMonthsToGo+SwaptionShift))))))</f>
        <v/>
      </c>
      <c r="GQ225" s="150" t="str">
        <f aca="false">IF(OR(GQ$169&lt;SwaptionFirstMonthPosition+1,$FJ225&lt;SwaptionFirstMonthPosition+1,GQ$169&gt;SwaptionFirstMonthPosition+SwaptionNumOfMonths+1,$FJ225&gt;SwaptionFirstMonthPosition+SwaptionNumOfMonths+1),"",IF($FJ225=GQ$169,1,IF($FJ225&lt;GQ$169,INDEX($FK$170:$ID$241,GQ$169,$FJ225),SUMPRODUCT(INDEX($FK$325:$ID$396,GQ$169,1+SwaptionShift):INDEX($FK$325:$ID$396,GQ$169,SwaptionMonthsToGo+SwaptionShift),INDEX($FK$245:$ID$316,$FJ225-GQ$169,73-GQ$169+SwaptionShift):INDEX($FK$245:$ID$316,$FJ225-GQ$169,72-GQ$169+SwaptionMonthsToGo+SwaptionShift))/SQRT(SUM(INDEX($FK380:$ID380,1+SwaptionShift):INDEX($FK380:$ID380,SwaptionMonthsToGo+SwaptionShift))*SUM(INDEX($FK$325:$ID$396,GQ$169,1+SwaptionShift):INDEX($FK$325:$ID$396,GQ$169,SwaptionMonthsToGo+SwaptionShift))))))</f>
        <v/>
      </c>
      <c r="GR225" s="150" t="str">
        <f aca="false">IF(OR(GR$169&lt;SwaptionFirstMonthPosition+1,$FJ225&lt;SwaptionFirstMonthPosition+1,GR$169&gt;SwaptionFirstMonthPosition+SwaptionNumOfMonths+1,$FJ225&gt;SwaptionFirstMonthPosition+SwaptionNumOfMonths+1),"",IF($FJ225=GR$169,1,IF($FJ225&lt;GR$169,INDEX($FK$170:$ID$241,GR$169,$FJ225),SUMPRODUCT(INDEX($FK$325:$ID$396,GR$169,1+SwaptionShift):INDEX($FK$325:$ID$396,GR$169,SwaptionMonthsToGo+SwaptionShift),INDEX($FK$245:$ID$316,$FJ225-GR$169,73-GR$169+SwaptionShift):INDEX($FK$245:$ID$316,$FJ225-GR$169,72-GR$169+SwaptionMonthsToGo+SwaptionShift))/SQRT(SUM(INDEX($FK380:$ID380,1+SwaptionShift):INDEX($FK380:$ID380,SwaptionMonthsToGo+SwaptionShift))*SUM(INDEX($FK$325:$ID$396,GR$169,1+SwaptionShift):INDEX($FK$325:$ID$396,GR$169,SwaptionMonthsToGo+SwaptionShift))))))</f>
        <v/>
      </c>
      <c r="GS225" s="150" t="str">
        <f aca="false">IF(OR(GS$169&lt;SwaptionFirstMonthPosition+1,$FJ225&lt;SwaptionFirstMonthPosition+1,GS$169&gt;SwaptionFirstMonthPosition+SwaptionNumOfMonths+1,$FJ225&gt;SwaptionFirstMonthPosition+SwaptionNumOfMonths+1),"",IF($FJ225=GS$169,1,IF($FJ225&lt;GS$169,INDEX($FK$170:$ID$241,GS$169,$FJ225),SUMPRODUCT(INDEX($FK$325:$ID$396,GS$169,1+SwaptionShift):INDEX($FK$325:$ID$396,GS$169,SwaptionMonthsToGo+SwaptionShift),INDEX($FK$245:$ID$316,$FJ225-GS$169,73-GS$169+SwaptionShift):INDEX($FK$245:$ID$316,$FJ225-GS$169,72-GS$169+SwaptionMonthsToGo+SwaptionShift))/SQRT(SUM(INDEX($FK380:$ID380,1+SwaptionShift):INDEX($FK380:$ID380,SwaptionMonthsToGo+SwaptionShift))*SUM(INDEX($FK$325:$ID$396,GS$169,1+SwaptionShift):INDEX($FK$325:$ID$396,GS$169,SwaptionMonthsToGo+SwaptionShift))))))</f>
        <v/>
      </c>
      <c r="GT225" s="150" t="str">
        <f aca="false">IF(OR(GT$169&lt;SwaptionFirstMonthPosition+1,$FJ225&lt;SwaptionFirstMonthPosition+1,GT$169&gt;SwaptionFirstMonthPosition+SwaptionNumOfMonths+1,$FJ225&gt;SwaptionFirstMonthPosition+SwaptionNumOfMonths+1),"",IF($FJ225=GT$169,1,IF($FJ225&lt;GT$169,INDEX($FK$170:$ID$241,GT$169,$FJ225),SUMPRODUCT(INDEX($FK$325:$ID$396,GT$169,1+SwaptionShift):INDEX($FK$325:$ID$396,GT$169,SwaptionMonthsToGo+SwaptionShift),INDEX($FK$245:$ID$316,$FJ225-GT$169,73-GT$169+SwaptionShift):INDEX($FK$245:$ID$316,$FJ225-GT$169,72-GT$169+SwaptionMonthsToGo+SwaptionShift))/SQRT(SUM(INDEX($FK380:$ID380,1+SwaptionShift):INDEX($FK380:$ID380,SwaptionMonthsToGo+SwaptionShift))*SUM(INDEX($FK$325:$ID$396,GT$169,1+SwaptionShift):INDEX($FK$325:$ID$396,GT$169,SwaptionMonthsToGo+SwaptionShift))))))</f>
        <v/>
      </c>
      <c r="GU225" s="150" t="str">
        <f aca="false">IF(OR(GU$169&lt;SwaptionFirstMonthPosition+1,$FJ225&lt;SwaptionFirstMonthPosition+1,GU$169&gt;SwaptionFirstMonthPosition+SwaptionNumOfMonths+1,$FJ225&gt;SwaptionFirstMonthPosition+SwaptionNumOfMonths+1),"",IF($FJ225=GU$169,1,IF($FJ225&lt;GU$169,INDEX($FK$170:$ID$241,GU$169,$FJ225),SUMPRODUCT(INDEX($FK$325:$ID$396,GU$169,1+SwaptionShift):INDEX($FK$325:$ID$396,GU$169,SwaptionMonthsToGo+SwaptionShift),INDEX($FK$245:$ID$316,$FJ225-GU$169,73-GU$169+SwaptionShift):INDEX($FK$245:$ID$316,$FJ225-GU$169,72-GU$169+SwaptionMonthsToGo+SwaptionShift))/SQRT(SUM(INDEX($FK380:$ID380,1+SwaptionShift):INDEX($FK380:$ID380,SwaptionMonthsToGo+SwaptionShift))*SUM(INDEX($FK$325:$ID$396,GU$169,1+SwaptionShift):INDEX($FK$325:$ID$396,GU$169,SwaptionMonthsToGo+SwaptionShift))))))</f>
        <v/>
      </c>
      <c r="GV225" s="150" t="str">
        <f aca="false">IF(OR(GV$169&lt;SwaptionFirstMonthPosition+1,$FJ225&lt;SwaptionFirstMonthPosition+1,GV$169&gt;SwaptionFirstMonthPosition+SwaptionNumOfMonths+1,$FJ225&gt;SwaptionFirstMonthPosition+SwaptionNumOfMonths+1),"",IF($FJ225=GV$169,1,IF($FJ225&lt;GV$169,INDEX($FK$170:$ID$241,GV$169,$FJ225),SUMPRODUCT(INDEX($FK$325:$ID$396,GV$169,1+SwaptionShift):INDEX($FK$325:$ID$396,GV$169,SwaptionMonthsToGo+SwaptionShift),INDEX($FK$245:$ID$316,$FJ225-GV$169,73-GV$169+SwaptionShift):INDEX($FK$245:$ID$316,$FJ225-GV$169,72-GV$169+SwaptionMonthsToGo+SwaptionShift))/SQRT(SUM(INDEX($FK380:$ID380,1+SwaptionShift):INDEX($FK380:$ID380,SwaptionMonthsToGo+SwaptionShift))*SUM(INDEX($FK$325:$ID$396,GV$169,1+SwaptionShift):INDEX($FK$325:$ID$396,GV$169,SwaptionMonthsToGo+SwaptionShift))))))</f>
        <v/>
      </c>
      <c r="GW225" s="150" t="str">
        <f aca="false">IF(OR(GW$169&lt;SwaptionFirstMonthPosition+1,$FJ225&lt;SwaptionFirstMonthPosition+1,GW$169&gt;SwaptionFirstMonthPosition+SwaptionNumOfMonths+1,$FJ225&gt;SwaptionFirstMonthPosition+SwaptionNumOfMonths+1),"",IF($FJ225=GW$169,1,IF($FJ225&lt;GW$169,INDEX($FK$170:$ID$241,GW$169,$FJ225),SUMPRODUCT(INDEX($FK$325:$ID$396,GW$169,1+SwaptionShift):INDEX($FK$325:$ID$396,GW$169,SwaptionMonthsToGo+SwaptionShift),INDEX($FK$245:$ID$316,$FJ225-GW$169,73-GW$169+SwaptionShift):INDEX($FK$245:$ID$316,$FJ225-GW$169,72-GW$169+SwaptionMonthsToGo+SwaptionShift))/SQRT(SUM(INDEX($FK380:$ID380,1+SwaptionShift):INDEX($FK380:$ID380,SwaptionMonthsToGo+SwaptionShift))*SUM(INDEX($FK$325:$ID$396,GW$169,1+SwaptionShift):INDEX($FK$325:$ID$396,GW$169,SwaptionMonthsToGo+SwaptionShift))))))</f>
        <v/>
      </c>
      <c r="GX225" s="150" t="str">
        <f aca="false">IF(OR(GX$169&lt;SwaptionFirstMonthPosition+1,$FJ225&lt;SwaptionFirstMonthPosition+1,GX$169&gt;SwaptionFirstMonthPosition+SwaptionNumOfMonths+1,$FJ225&gt;SwaptionFirstMonthPosition+SwaptionNumOfMonths+1),"",IF($FJ225=GX$169,1,IF($FJ225&lt;GX$169,INDEX($FK$170:$ID$241,GX$169,$FJ225),SUMPRODUCT(INDEX($FK$325:$ID$396,GX$169,1+SwaptionShift):INDEX($FK$325:$ID$396,GX$169,SwaptionMonthsToGo+SwaptionShift),INDEX($FK$245:$ID$316,$FJ225-GX$169,73-GX$169+SwaptionShift):INDEX($FK$245:$ID$316,$FJ225-GX$169,72-GX$169+SwaptionMonthsToGo+SwaptionShift))/SQRT(SUM(INDEX($FK380:$ID380,1+SwaptionShift):INDEX($FK380:$ID380,SwaptionMonthsToGo+SwaptionShift))*SUM(INDEX($FK$325:$ID$396,GX$169,1+SwaptionShift):INDEX($FK$325:$ID$396,GX$169,SwaptionMonthsToGo+SwaptionShift))))))</f>
        <v/>
      </c>
      <c r="GY225" s="150" t="str">
        <f aca="false">IF(OR(GY$169&lt;SwaptionFirstMonthPosition+1,$FJ225&lt;SwaptionFirstMonthPosition+1,GY$169&gt;SwaptionFirstMonthPosition+SwaptionNumOfMonths+1,$FJ225&gt;SwaptionFirstMonthPosition+SwaptionNumOfMonths+1),"",IF($FJ225=GY$169,1,IF($FJ225&lt;GY$169,INDEX($FK$170:$ID$241,GY$169,$FJ225),SUMPRODUCT(INDEX($FK$325:$ID$396,GY$169,1+SwaptionShift):INDEX($FK$325:$ID$396,GY$169,SwaptionMonthsToGo+SwaptionShift),INDEX($FK$245:$ID$316,$FJ225-GY$169,73-GY$169+SwaptionShift):INDEX($FK$245:$ID$316,$FJ225-GY$169,72-GY$169+SwaptionMonthsToGo+SwaptionShift))/SQRT(SUM(INDEX($FK380:$ID380,1+SwaptionShift):INDEX($FK380:$ID380,SwaptionMonthsToGo+SwaptionShift))*SUM(INDEX($FK$325:$ID$396,GY$169,1+SwaptionShift):INDEX($FK$325:$ID$396,GY$169,SwaptionMonthsToGo+SwaptionShift))))))</f>
        <v/>
      </c>
      <c r="GZ225" s="150" t="str">
        <f aca="false">IF(OR(GZ$169&lt;SwaptionFirstMonthPosition+1,$FJ225&lt;SwaptionFirstMonthPosition+1,GZ$169&gt;SwaptionFirstMonthPosition+SwaptionNumOfMonths+1,$FJ225&gt;SwaptionFirstMonthPosition+SwaptionNumOfMonths+1),"",IF($FJ225=GZ$169,1,IF($FJ225&lt;GZ$169,INDEX($FK$170:$ID$241,GZ$169,$FJ225),SUMPRODUCT(INDEX($FK$325:$ID$396,GZ$169,1+SwaptionShift):INDEX($FK$325:$ID$396,GZ$169,SwaptionMonthsToGo+SwaptionShift),INDEX($FK$245:$ID$316,$FJ225-GZ$169,73-GZ$169+SwaptionShift):INDEX($FK$245:$ID$316,$FJ225-GZ$169,72-GZ$169+SwaptionMonthsToGo+SwaptionShift))/SQRT(SUM(INDEX($FK380:$ID380,1+SwaptionShift):INDEX($FK380:$ID380,SwaptionMonthsToGo+SwaptionShift))*SUM(INDEX($FK$325:$ID$396,GZ$169,1+SwaptionShift):INDEX($FK$325:$ID$396,GZ$169,SwaptionMonthsToGo+SwaptionShift))))))</f>
        <v/>
      </c>
      <c r="HA225" s="150" t="str">
        <f aca="false">IF(OR(HA$169&lt;SwaptionFirstMonthPosition+1,$FJ225&lt;SwaptionFirstMonthPosition+1,HA$169&gt;SwaptionFirstMonthPosition+SwaptionNumOfMonths+1,$FJ225&gt;SwaptionFirstMonthPosition+SwaptionNumOfMonths+1),"",IF($FJ225=HA$169,1,IF($FJ225&lt;HA$169,INDEX($FK$170:$ID$241,HA$169,$FJ225),SUMPRODUCT(INDEX($FK$325:$ID$396,HA$169,1+SwaptionShift):INDEX($FK$325:$ID$396,HA$169,SwaptionMonthsToGo+SwaptionShift),INDEX($FK$245:$ID$316,$FJ225-HA$169,73-HA$169+SwaptionShift):INDEX($FK$245:$ID$316,$FJ225-HA$169,72-HA$169+SwaptionMonthsToGo+SwaptionShift))/SQRT(SUM(INDEX($FK380:$ID380,1+SwaptionShift):INDEX($FK380:$ID380,SwaptionMonthsToGo+SwaptionShift))*SUM(INDEX($FK$325:$ID$396,HA$169,1+SwaptionShift):INDEX($FK$325:$ID$396,HA$169,SwaptionMonthsToGo+SwaptionShift))))))</f>
        <v/>
      </c>
      <c r="HB225" s="150" t="str">
        <f aca="false">IF(OR(HB$169&lt;SwaptionFirstMonthPosition+1,$FJ225&lt;SwaptionFirstMonthPosition+1,HB$169&gt;SwaptionFirstMonthPosition+SwaptionNumOfMonths+1,$FJ225&gt;SwaptionFirstMonthPosition+SwaptionNumOfMonths+1),"",IF($FJ225=HB$169,1,IF($FJ225&lt;HB$169,INDEX($FK$170:$ID$241,HB$169,$FJ225),SUMPRODUCT(INDEX($FK$325:$ID$396,HB$169,1+SwaptionShift):INDEX($FK$325:$ID$396,HB$169,SwaptionMonthsToGo+SwaptionShift),INDEX($FK$245:$ID$316,$FJ225-HB$169,73-HB$169+SwaptionShift):INDEX($FK$245:$ID$316,$FJ225-HB$169,72-HB$169+SwaptionMonthsToGo+SwaptionShift))/SQRT(SUM(INDEX($FK380:$ID380,1+SwaptionShift):INDEX($FK380:$ID380,SwaptionMonthsToGo+SwaptionShift))*SUM(INDEX($FK$325:$ID$396,HB$169,1+SwaptionShift):INDEX($FK$325:$ID$396,HB$169,SwaptionMonthsToGo+SwaptionShift))))))</f>
        <v/>
      </c>
      <c r="HC225" s="150" t="str">
        <f aca="false">IF(OR(HC$169&lt;SwaptionFirstMonthPosition+1,$FJ225&lt;SwaptionFirstMonthPosition+1,HC$169&gt;SwaptionFirstMonthPosition+SwaptionNumOfMonths+1,$FJ225&gt;SwaptionFirstMonthPosition+SwaptionNumOfMonths+1),"",IF($FJ225=HC$169,1,IF($FJ225&lt;HC$169,INDEX($FK$170:$ID$241,HC$169,$FJ225),SUMPRODUCT(INDEX($FK$325:$ID$396,HC$169,1+SwaptionShift):INDEX($FK$325:$ID$396,HC$169,SwaptionMonthsToGo+SwaptionShift),INDEX($FK$245:$ID$316,$FJ225-HC$169,73-HC$169+SwaptionShift):INDEX($FK$245:$ID$316,$FJ225-HC$169,72-HC$169+SwaptionMonthsToGo+SwaptionShift))/SQRT(SUM(INDEX($FK380:$ID380,1+SwaptionShift):INDEX($FK380:$ID380,SwaptionMonthsToGo+SwaptionShift))*SUM(INDEX($FK$325:$ID$396,HC$169,1+SwaptionShift):INDEX($FK$325:$ID$396,HC$169,SwaptionMonthsToGo+SwaptionShift))))))</f>
        <v/>
      </c>
      <c r="HD225" s="150" t="str">
        <f aca="false">IF(OR(HD$169&lt;SwaptionFirstMonthPosition+1,$FJ225&lt;SwaptionFirstMonthPosition+1,HD$169&gt;SwaptionFirstMonthPosition+SwaptionNumOfMonths+1,$FJ225&gt;SwaptionFirstMonthPosition+SwaptionNumOfMonths+1),"",IF($FJ225=HD$169,1,IF($FJ225&lt;HD$169,INDEX($FK$170:$ID$241,HD$169,$FJ225),SUMPRODUCT(INDEX($FK$325:$ID$396,HD$169,1+SwaptionShift):INDEX($FK$325:$ID$396,HD$169,SwaptionMonthsToGo+SwaptionShift),INDEX($FK$245:$ID$316,$FJ225-HD$169,73-HD$169+SwaptionShift):INDEX($FK$245:$ID$316,$FJ225-HD$169,72-HD$169+SwaptionMonthsToGo+SwaptionShift))/SQRT(SUM(INDEX($FK380:$ID380,1+SwaptionShift):INDEX($FK380:$ID380,SwaptionMonthsToGo+SwaptionShift))*SUM(INDEX($FK$325:$ID$396,HD$169,1+SwaptionShift):INDEX($FK$325:$ID$396,HD$169,SwaptionMonthsToGo+SwaptionShift))))))</f>
        <v/>
      </c>
      <c r="HE225" s="150" t="str">
        <f aca="false">IF(OR(HE$169&lt;SwaptionFirstMonthPosition+1,$FJ225&lt;SwaptionFirstMonthPosition+1,HE$169&gt;SwaptionFirstMonthPosition+SwaptionNumOfMonths+1,$FJ225&gt;SwaptionFirstMonthPosition+SwaptionNumOfMonths+1),"",IF($FJ225=HE$169,1,IF($FJ225&lt;HE$169,INDEX($FK$170:$ID$241,HE$169,$FJ225),SUMPRODUCT(INDEX($FK$325:$ID$396,HE$169,1+SwaptionShift):INDEX($FK$325:$ID$396,HE$169,SwaptionMonthsToGo+SwaptionShift),INDEX($FK$245:$ID$316,$FJ225-HE$169,73-HE$169+SwaptionShift):INDEX($FK$245:$ID$316,$FJ225-HE$169,72-HE$169+SwaptionMonthsToGo+SwaptionShift))/SQRT(SUM(INDEX($FK380:$ID380,1+SwaptionShift):INDEX($FK380:$ID380,SwaptionMonthsToGo+SwaptionShift))*SUM(INDEX($FK$325:$ID$396,HE$169,1+SwaptionShift):INDEX($FK$325:$ID$396,HE$169,SwaptionMonthsToGo+SwaptionShift))))))</f>
        <v/>
      </c>
      <c r="HF225" s="150" t="str">
        <f aca="false">IF(OR(HF$169&lt;SwaptionFirstMonthPosition+1,$FJ225&lt;SwaptionFirstMonthPosition+1,HF$169&gt;SwaptionFirstMonthPosition+SwaptionNumOfMonths+1,$FJ225&gt;SwaptionFirstMonthPosition+SwaptionNumOfMonths+1),"",IF($FJ225=HF$169,1,IF($FJ225&lt;HF$169,INDEX($FK$170:$ID$241,HF$169,$FJ225),SUMPRODUCT(INDEX($FK$325:$ID$396,HF$169,1+SwaptionShift):INDEX($FK$325:$ID$396,HF$169,SwaptionMonthsToGo+SwaptionShift),INDEX($FK$245:$ID$316,$FJ225-HF$169,73-HF$169+SwaptionShift):INDEX($FK$245:$ID$316,$FJ225-HF$169,72-HF$169+SwaptionMonthsToGo+SwaptionShift))/SQRT(SUM(INDEX($FK380:$ID380,1+SwaptionShift):INDEX($FK380:$ID380,SwaptionMonthsToGo+SwaptionShift))*SUM(INDEX($FK$325:$ID$396,HF$169,1+SwaptionShift):INDEX($FK$325:$ID$396,HF$169,SwaptionMonthsToGo+SwaptionShift))))))</f>
        <v/>
      </c>
      <c r="HG225" s="150" t="str">
        <f aca="false">IF(OR(HG$169&lt;SwaptionFirstMonthPosition+1,$FJ225&lt;SwaptionFirstMonthPosition+1,HG$169&gt;SwaptionFirstMonthPosition+SwaptionNumOfMonths+1,$FJ225&gt;SwaptionFirstMonthPosition+SwaptionNumOfMonths+1),"",IF($FJ225=HG$169,1,IF($FJ225&lt;HG$169,INDEX($FK$170:$ID$241,HG$169,$FJ225),SUMPRODUCT(INDEX($FK$325:$ID$396,HG$169,1+SwaptionShift):INDEX($FK$325:$ID$396,HG$169,SwaptionMonthsToGo+SwaptionShift),INDEX($FK$245:$ID$316,$FJ225-HG$169,73-HG$169+SwaptionShift):INDEX($FK$245:$ID$316,$FJ225-HG$169,72-HG$169+SwaptionMonthsToGo+SwaptionShift))/SQRT(SUM(INDEX($FK380:$ID380,1+SwaptionShift):INDEX($FK380:$ID380,SwaptionMonthsToGo+SwaptionShift))*SUM(INDEX($FK$325:$ID$396,HG$169,1+SwaptionShift):INDEX($FK$325:$ID$396,HG$169,SwaptionMonthsToGo+SwaptionShift))))))</f>
        <v/>
      </c>
      <c r="HH225" s="150" t="str">
        <f aca="false">IF(OR(HH$169&lt;SwaptionFirstMonthPosition+1,$FJ225&lt;SwaptionFirstMonthPosition+1,HH$169&gt;SwaptionFirstMonthPosition+SwaptionNumOfMonths+1,$FJ225&gt;SwaptionFirstMonthPosition+SwaptionNumOfMonths+1),"",IF($FJ225=HH$169,1,IF($FJ225&lt;HH$169,INDEX($FK$170:$ID$241,HH$169,$FJ225),SUMPRODUCT(INDEX($FK$325:$ID$396,HH$169,1+SwaptionShift):INDEX($FK$325:$ID$396,HH$169,SwaptionMonthsToGo+SwaptionShift),INDEX($FK$245:$ID$316,$FJ225-HH$169,73-HH$169+SwaptionShift):INDEX($FK$245:$ID$316,$FJ225-HH$169,72-HH$169+SwaptionMonthsToGo+SwaptionShift))/SQRT(SUM(INDEX($FK380:$ID380,1+SwaptionShift):INDEX($FK380:$ID380,SwaptionMonthsToGo+SwaptionShift))*SUM(INDEX($FK$325:$ID$396,HH$169,1+SwaptionShift):INDEX($FK$325:$ID$396,HH$169,SwaptionMonthsToGo+SwaptionShift))))))</f>
        <v/>
      </c>
      <c r="HI225" s="150" t="str">
        <f aca="false">IF(OR(HI$169&lt;SwaptionFirstMonthPosition+1,$FJ225&lt;SwaptionFirstMonthPosition+1,HI$169&gt;SwaptionFirstMonthPosition+SwaptionNumOfMonths+1,$FJ225&gt;SwaptionFirstMonthPosition+SwaptionNumOfMonths+1),"",IF($FJ225=HI$169,1,IF($FJ225&lt;HI$169,INDEX($FK$170:$ID$241,HI$169,$FJ225),SUMPRODUCT(INDEX($FK$325:$ID$396,HI$169,1+SwaptionShift):INDEX($FK$325:$ID$396,HI$169,SwaptionMonthsToGo+SwaptionShift),INDEX($FK$245:$ID$316,$FJ225-HI$169,73-HI$169+SwaptionShift):INDEX($FK$245:$ID$316,$FJ225-HI$169,72-HI$169+SwaptionMonthsToGo+SwaptionShift))/SQRT(SUM(INDEX($FK380:$ID380,1+SwaptionShift):INDEX($FK380:$ID380,SwaptionMonthsToGo+SwaptionShift))*SUM(INDEX($FK$325:$ID$396,HI$169,1+SwaptionShift):INDEX($FK$325:$ID$396,HI$169,SwaptionMonthsToGo+SwaptionShift))))))</f>
        <v/>
      </c>
      <c r="HJ225" s="150" t="str">
        <f aca="false">IF(OR(HJ$169&lt;SwaptionFirstMonthPosition+1,$FJ225&lt;SwaptionFirstMonthPosition+1,HJ$169&gt;SwaptionFirstMonthPosition+SwaptionNumOfMonths+1,$FJ225&gt;SwaptionFirstMonthPosition+SwaptionNumOfMonths+1),"",IF($FJ225=HJ$169,1,IF($FJ225&lt;HJ$169,INDEX($FK$170:$ID$241,HJ$169,$FJ225),SUMPRODUCT(INDEX($FK$325:$ID$396,HJ$169,1+SwaptionShift):INDEX($FK$325:$ID$396,HJ$169,SwaptionMonthsToGo+SwaptionShift),INDEX($FK$245:$ID$316,$FJ225-HJ$169,73-HJ$169+SwaptionShift):INDEX($FK$245:$ID$316,$FJ225-HJ$169,72-HJ$169+SwaptionMonthsToGo+SwaptionShift))/SQRT(SUM(INDEX($FK380:$ID380,1+SwaptionShift):INDEX($FK380:$ID380,SwaptionMonthsToGo+SwaptionShift))*SUM(INDEX($FK$325:$ID$396,HJ$169,1+SwaptionShift):INDEX($FK$325:$ID$396,HJ$169,SwaptionMonthsToGo+SwaptionShift))))))</f>
        <v/>
      </c>
      <c r="HK225" s="150" t="str">
        <f aca="false">IF(OR(HK$169&lt;SwaptionFirstMonthPosition+1,$FJ225&lt;SwaptionFirstMonthPosition+1,HK$169&gt;SwaptionFirstMonthPosition+SwaptionNumOfMonths+1,$FJ225&gt;SwaptionFirstMonthPosition+SwaptionNumOfMonths+1),"",IF($FJ225=HK$169,1,IF($FJ225&lt;HK$169,INDEX($FK$170:$ID$241,HK$169,$FJ225),SUMPRODUCT(INDEX($FK$325:$ID$396,HK$169,1+SwaptionShift):INDEX($FK$325:$ID$396,HK$169,SwaptionMonthsToGo+SwaptionShift),INDEX($FK$245:$ID$316,$FJ225-HK$169,73-HK$169+SwaptionShift):INDEX($FK$245:$ID$316,$FJ225-HK$169,72-HK$169+SwaptionMonthsToGo+SwaptionShift))/SQRT(SUM(INDEX($FK380:$ID380,1+SwaptionShift):INDEX($FK380:$ID380,SwaptionMonthsToGo+SwaptionShift))*SUM(INDEX($FK$325:$ID$396,HK$169,1+SwaptionShift):INDEX($FK$325:$ID$396,HK$169,SwaptionMonthsToGo+SwaptionShift))))))</f>
        <v/>
      </c>
      <c r="HL225" s="150" t="str">
        <f aca="false">IF(OR(HL$169&lt;SwaptionFirstMonthPosition+1,$FJ225&lt;SwaptionFirstMonthPosition+1,HL$169&gt;SwaptionFirstMonthPosition+SwaptionNumOfMonths+1,$FJ225&gt;SwaptionFirstMonthPosition+SwaptionNumOfMonths+1),"",IF($FJ225=HL$169,1,IF($FJ225&lt;HL$169,INDEX($FK$170:$ID$241,HL$169,$FJ225),SUMPRODUCT(INDEX($FK$325:$ID$396,HL$169,1+SwaptionShift):INDEX($FK$325:$ID$396,HL$169,SwaptionMonthsToGo+SwaptionShift),INDEX($FK$245:$ID$316,$FJ225-HL$169,73-HL$169+SwaptionShift):INDEX($FK$245:$ID$316,$FJ225-HL$169,72-HL$169+SwaptionMonthsToGo+SwaptionShift))/SQRT(SUM(INDEX($FK380:$ID380,1+SwaptionShift):INDEX($FK380:$ID380,SwaptionMonthsToGo+SwaptionShift))*SUM(INDEX($FK$325:$ID$396,HL$169,1+SwaptionShift):INDEX($FK$325:$ID$396,HL$169,SwaptionMonthsToGo+SwaptionShift))))))</f>
        <v/>
      </c>
      <c r="HM225" s="150" t="str">
        <f aca="false">IF(OR(HM$169&lt;SwaptionFirstMonthPosition+1,$FJ225&lt;SwaptionFirstMonthPosition+1,HM$169&gt;SwaptionFirstMonthPosition+SwaptionNumOfMonths+1,$FJ225&gt;SwaptionFirstMonthPosition+SwaptionNumOfMonths+1),"",IF($FJ225=HM$169,1,IF($FJ225&lt;HM$169,INDEX($FK$170:$ID$241,HM$169,$FJ225),SUMPRODUCT(INDEX($FK$325:$ID$396,HM$169,1+SwaptionShift):INDEX($FK$325:$ID$396,HM$169,SwaptionMonthsToGo+SwaptionShift),INDEX($FK$245:$ID$316,$FJ225-HM$169,73-HM$169+SwaptionShift):INDEX($FK$245:$ID$316,$FJ225-HM$169,72-HM$169+SwaptionMonthsToGo+SwaptionShift))/SQRT(SUM(INDEX($FK380:$ID380,1+SwaptionShift):INDEX($FK380:$ID380,SwaptionMonthsToGo+SwaptionShift))*SUM(INDEX($FK$325:$ID$396,HM$169,1+SwaptionShift):INDEX($FK$325:$ID$396,HM$169,SwaptionMonthsToGo+SwaptionShift))))))</f>
        <v/>
      </c>
      <c r="HN225" s="150" t="str">
        <f aca="false">IF(OR(HN$169&lt;SwaptionFirstMonthPosition+1,$FJ225&lt;SwaptionFirstMonthPosition+1,HN$169&gt;SwaptionFirstMonthPosition+SwaptionNumOfMonths+1,$FJ225&gt;SwaptionFirstMonthPosition+SwaptionNumOfMonths+1),"",IF($FJ225=HN$169,1,IF($FJ225&lt;HN$169,INDEX($FK$170:$ID$241,HN$169,$FJ225),SUMPRODUCT(INDEX($FK$325:$ID$396,HN$169,1+SwaptionShift):INDEX($FK$325:$ID$396,HN$169,SwaptionMonthsToGo+SwaptionShift),INDEX($FK$245:$ID$316,$FJ225-HN$169,73-HN$169+SwaptionShift):INDEX($FK$245:$ID$316,$FJ225-HN$169,72-HN$169+SwaptionMonthsToGo+SwaptionShift))/SQRT(SUM(INDEX($FK380:$ID380,1+SwaptionShift):INDEX($FK380:$ID380,SwaptionMonthsToGo+SwaptionShift))*SUM(INDEX($FK$325:$ID$396,HN$169,1+SwaptionShift):INDEX($FK$325:$ID$396,HN$169,SwaptionMonthsToGo+SwaptionShift))))))</f>
        <v/>
      </c>
      <c r="HO225" s="150" t="str">
        <f aca="false">IF(OR(HO$169&lt;SwaptionFirstMonthPosition+1,$FJ225&lt;SwaptionFirstMonthPosition+1,HO$169&gt;SwaptionFirstMonthPosition+SwaptionNumOfMonths+1,$FJ225&gt;SwaptionFirstMonthPosition+SwaptionNumOfMonths+1),"",IF($FJ225=HO$169,1,IF($FJ225&lt;HO$169,INDEX($FK$170:$ID$241,HO$169,$FJ225),SUMPRODUCT(INDEX($FK$325:$ID$396,HO$169,1+SwaptionShift):INDEX($FK$325:$ID$396,HO$169,SwaptionMonthsToGo+SwaptionShift),INDEX($FK$245:$ID$316,$FJ225-HO$169,73-HO$169+SwaptionShift):INDEX($FK$245:$ID$316,$FJ225-HO$169,72-HO$169+SwaptionMonthsToGo+SwaptionShift))/SQRT(SUM(INDEX($FK380:$ID380,1+SwaptionShift):INDEX($FK380:$ID380,SwaptionMonthsToGo+SwaptionShift))*SUM(INDEX($FK$325:$ID$396,HO$169,1+SwaptionShift):INDEX($FK$325:$ID$396,HO$169,SwaptionMonthsToGo+SwaptionShift))))))</f>
        <v/>
      </c>
      <c r="HP225" s="150" t="str">
        <f aca="false">IF(OR(HP$169&lt;SwaptionFirstMonthPosition+1,$FJ225&lt;SwaptionFirstMonthPosition+1,HP$169&gt;SwaptionFirstMonthPosition+SwaptionNumOfMonths+1,$FJ225&gt;SwaptionFirstMonthPosition+SwaptionNumOfMonths+1),"",IF($FJ225=HP$169,1,IF($FJ225&lt;HP$169,INDEX($FK$170:$ID$241,HP$169,$FJ225),SUMPRODUCT(INDEX($FK$325:$ID$396,HP$169,1+SwaptionShift):INDEX($FK$325:$ID$396,HP$169,SwaptionMonthsToGo+SwaptionShift),INDEX($FK$245:$ID$316,$FJ225-HP$169,73-HP$169+SwaptionShift):INDEX($FK$245:$ID$316,$FJ225-HP$169,72-HP$169+SwaptionMonthsToGo+SwaptionShift))/SQRT(SUM(INDEX($FK380:$ID380,1+SwaptionShift):INDEX($FK380:$ID380,SwaptionMonthsToGo+SwaptionShift))*SUM(INDEX($FK$325:$ID$396,HP$169,1+SwaptionShift):INDEX($FK$325:$ID$396,HP$169,SwaptionMonthsToGo+SwaptionShift))))))</f>
        <v/>
      </c>
      <c r="HQ225" s="150" t="str">
        <f aca="false">IF(OR(HQ$169&lt;SwaptionFirstMonthPosition+1,$FJ225&lt;SwaptionFirstMonthPosition+1,HQ$169&gt;SwaptionFirstMonthPosition+SwaptionNumOfMonths+1,$FJ225&gt;SwaptionFirstMonthPosition+SwaptionNumOfMonths+1),"",IF($FJ225=HQ$169,1,IF($FJ225&lt;HQ$169,INDEX($FK$170:$ID$241,HQ$169,$FJ225),SUMPRODUCT(INDEX($FK$325:$ID$396,HQ$169,1+SwaptionShift):INDEX($FK$325:$ID$396,HQ$169,SwaptionMonthsToGo+SwaptionShift),INDEX($FK$245:$ID$316,$FJ225-HQ$169,73-HQ$169+SwaptionShift):INDEX($FK$245:$ID$316,$FJ225-HQ$169,72-HQ$169+SwaptionMonthsToGo+SwaptionShift))/SQRT(SUM(INDEX($FK380:$ID380,1+SwaptionShift):INDEX($FK380:$ID380,SwaptionMonthsToGo+SwaptionShift))*SUM(INDEX($FK$325:$ID$396,HQ$169,1+SwaptionShift):INDEX($FK$325:$ID$396,HQ$169,SwaptionMonthsToGo+SwaptionShift))))))</f>
        <v/>
      </c>
      <c r="HR225" s="150" t="str">
        <f aca="false">IF(OR(HR$169&lt;SwaptionFirstMonthPosition+1,$FJ225&lt;SwaptionFirstMonthPosition+1,HR$169&gt;SwaptionFirstMonthPosition+SwaptionNumOfMonths+1,$FJ225&gt;SwaptionFirstMonthPosition+SwaptionNumOfMonths+1),"",IF($FJ225=HR$169,1,IF($FJ225&lt;HR$169,INDEX($FK$170:$ID$241,HR$169,$FJ225),SUMPRODUCT(INDEX($FK$325:$ID$396,HR$169,1+SwaptionShift):INDEX($FK$325:$ID$396,HR$169,SwaptionMonthsToGo+SwaptionShift),INDEX($FK$245:$ID$316,$FJ225-HR$169,73-HR$169+SwaptionShift):INDEX($FK$245:$ID$316,$FJ225-HR$169,72-HR$169+SwaptionMonthsToGo+SwaptionShift))/SQRT(SUM(INDEX($FK380:$ID380,1+SwaptionShift):INDEX($FK380:$ID380,SwaptionMonthsToGo+SwaptionShift))*SUM(INDEX($FK$325:$ID$396,HR$169,1+SwaptionShift):INDEX($FK$325:$ID$396,HR$169,SwaptionMonthsToGo+SwaptionShift))))))</f>
        <v/>
      </c>
      <c r="HS225" s="150" t="str">
        <f aca="false">IF(OR(HS$169&lt;SwaptionFirstMonthPosition+1,$FJ225&lt;SwaptionFirstMonthPosition+1,HS$169&gt;SwaptionFirstMonthPosition+SwaptionNumOfMonths+1,$FJ225&gt;SwaptionFirstMonthPosition+SwaptionNumOfMonths+1),"",IF($FJ225=HS$169,1,IF($FJ225&lt;HS$169,INDEX($FK$170:$ID$241,HS$169,$FJ225),SUMPRODUCT(INDEX($FK$325:$ID$396,HS$169,1+SwaptionShift):INDEX($FK$325:$ID$396,HS$169,SwaptionMonthsToGo+SwaptionShift),INDEX($FK$245:$ID$316,$FJ225-HS$169,73-HS$169+SwaptionShift):INDEX($FK$245:$ID$316,$FJ225-HS$169,72-HS$169+SwaptionMonthsToGo+SwaptionShift))/SQRT(SUM(INDEX($FK380:$ID380,1+SwaptionShift):INDEX($FK380:$ID380,SwaptionMonthsToGo+SwaptionShift))*SUM(INDEX($FK$325:$ID$396,HS$169,1+SwaptionShift):INDEX($FK$325:$ID$396,HS$169,SwaptionMonthsToGo+SwaptionShift))))))</f>
        <v/>
      </c>
      <c r="HT225" s="150" t="str">
        <f aca="false">IF(OR(HT$169&lt;SwaptionFirstMonthPosition+1,$FJ225&lt;SwaptionFirstMonthPosition+1,HT$169&gt;SwaptionFirstMonthPosition+SwaptionNumOfMonths+1,$FJ225&gt;SwaptionFirstMonthPosition+SwaptionNumOfMonths+1),"",IF($FJ225=HT$169,1,IF($FJ225&lt;HT$169,INDEX($FK$170:$ID$241,HT$169,$FJ225),SUMPRODUCT(INDEX($FK$325:$ID$396,HT$169,1+SwaptionShift):INDEX($FK$325:$ID$396,HT$169,SwaptionMonthsToGo+SwaptionShift),INDEX($FK$245:$ID$316,$FJ225-HT$169,73-HT$169+SwaptionShift):INDEX($FK$245:$ID$316,$FJ225-HT$169,72-HT$169+SwaptionMonthsToGo+SwaptionShift))/SQRT(SUM(INDEX($FK380:$ID380,1+SwaptionShift):INDEX($FK380:$ID380,SwaptionMonthsToGo+SwaptionShift))*SUM(INDEX($FK$325:$ID$396,HT$169,1+SwaptionShift):INDEX($FK$325:$ID$396,HT$169,SwaptionMonthsToGo+SwaptionShift))))))</f>
        <v/>
      </c>
      <c r="HU225" s="150" t="str">
        <f aca="false">IF(OR(HU$169&lt;SwaptionFirstMonthPosition+1,$FJ225&lt;SwaptionFirstMonthPosition+1,HU$169&gt;SwaptionFirstMonthPosition+SwaptionNumOfMonths+1,$FJ225&gt;SwaptionFirstMonthPosition+SwaptionNumOfMonths+1),"",IF($FJ225=HU$169,1,IF($FJ225&lt;HU$169,INDEX($FK$170:$ID$241,HU$169,$FJ225),SUMPRODUCT(INDEX($FK$325:$ID$396,HU$169,1+SwaptionShift):INDEX($FK$325:$ID$396,HU$169,SwaptionMonthsToGo+SwaptionShift),INDEX($FK$245:$ID$316,$FJ225-HU$169,73-HU$169+SwaptionShift):INDEX($FK$245:$ID$316,$FJ225-HU$169,72-HU$169+SwaptionMonthsToGo+SwaptionShift))/SQRT(SUM(INDEX($FK380:$ID380,1+SwaptionShift):INDEX($FK380:$ID380,SwaptionMonthsToGo+SwaptionShift))*SUM(INDEX($FK$325:$ID$396,HU$169,1+SwaptionShift):INDEX($FK$325:$ID$396,HU$169,SwaptionMonthsToGo+SwaptionShift))))))</f>
        <v/>
      </c>
      <c r="HV225" s="150" t="str">
        <f aca="false">IF(OR(HV$169&lt;SwaptionFirstMonthPosition+1,$FJ225&lt;SwaptionFirstMonthPosition+1,HV$169&gt;SwaptionFirstMonthPosition+SwaptionNumOfMonths+1,$FJ225&gt;SwaptionFirstMonthPosition+SwaptionNumOfMonths+1),"",IF($FJ225=HV$169,1,IF($FJ225&lt;HV$169,INDEX($FK$170:$ID$241,HV$169,$FJ225),SUMPRODUCT(INDEX($FK$325:$ID$396,HV$169,1+SwaptionShift):INDEX($FK$325:$ID$396,HV$169,SwaptionMonthsToGo+SwaptionShift),INDEX($FK$245:$ID$316,$FJ225-HV$169,73-HV$169+SwaptionShift):INDEX($FK$245:$ID$316,$FJ225-HV$169,72-HV$169+SwaptionMonthsToGo+SwaptionShift))/SQRT(SUM(INDEX($FK380:$ID380,1+SwaptionShift):INDEX($FK380:$ID380,SwaptionMonthsToGo+SwaptionShift))*SUM(INDEX($FK$325:$ID$396,HV$169,1+SwaptionShift):INDEX($FK$325:$ID$396,HV$169,SwaptionMonthsToGo+SwaptionShift))))))</f>
        <v/>
      </c>
      <c r="HW225" s="150" t="str">
        <f aca="false">IF(OR(HW$169&lt;SwaptionFirstMonthPosition+1,$FJ225&lt;SwaptionFirstMonthPosition+1,HW$169&gt;SwaptionFirstMonthPosition+SwaptionNumOfMonths+1,$FJ225&gt;SwaptionFirstMonthPosition+SwaptionNumOfMonths+1),"",IF($FJ225=HW$169,1,IF($FJ225&lt;HW$169,INDEX($FK$170:$ID$241,HW$169,$FJ225),SUMPRODUCT(INDEX($FK$325:$ID$396,HW$169,1+SwaptionShift):INDEX($FK$325:$ID$396,HW$169,SwaptionMonthsToGo+SwaptionShift),INDEX($FK$245:$ID$316,$FJ225-HW$169,73-HW$169+SwaptionShift):INDEX($FK$245:$ID$316,$FJ225-HW$169,72-HW$169+SwaptionMonthsToGo+SwaptionShift))/SQRT(SUM(INDEX($FK380:$ID380,1+SwaptionShift):INDEX($FK380:$ID380,SwaptionMonthsToGo+SwaptionShift))*SUM(INDEX($FK$325:$ID$396,HW$169,1+SwaptionShift):INDEX($FK$325:$ID$396,HW$169,SwaptionMonthsToGo+SwaptionShift))))))</f>
        <v/>
      </c>
      <c r="HX225" s="150" t="str">
        <f aca="false">IF(OR(HX$169&lt;SwaptionFirstMonthPosition+1,$FJ225&lt;SwaptionFirstMonthPosition+1,HX$169&gt;SwaptionFirstMonthPosition+SwaptionNumOfMonths+1,$FJ225&gt;SwaptionFirstMonthPosition+SwaptionNumOfMonths+1),"",IF($FJ225=HX$169,1,IF($FJ225&lt;HX$169,INDEX($FK$170:$ID$241,HX$169,$FJ225),SUMPRODUCT(INDEX($FK$325:$ID$396,HX$169,1+SwaptionShift):INDEX($FK$325:$ID$396,HX$169,SwaptionMonthsToGo+SwaptionShift),INDEX($FK$245:$ID$316,$FJ225-HX$169,73-HX$169+SwaptionShift):INDEX($FK$245:$ID$316,$FJ225-HX$169,72-HX$169+SwaptionMonthsToGo+SwaptionShift))/SQRT(SUM(INDEX($FK380:$ID380,1+SwaptionShift):INDEX($FK380:$ID380,SwaptionMonthsToGo+SwaptionShift))*SUM(INDEX($FK$325:$ID$396,HX$169,1+SwaptionShift):INDEX($FK$325:$ID$396,HX$169,SwaptionMonthsToGo+SwaptionShift))))))</f>
        <v/>
      </c>
      <c r="HY225" s="150" t="str">
        <f aca="false">IF(OR(HY$169&lt;SwaptionFirstMonthPosition+1,$FJ225&lt;SwaptionFirstMonthPosition+1,HY$169&gt;SwaptionFirstMonthPosition+SwaptionNumOfMonths+1,$FJ225&gt;SwaptionFirstMonthPosition+SwaptionNumOfMonths+1),"",IF($FJ225=HY$169,1,IF($FJ225&lt;HY$169,INDEX($FK$170:$ID$241,HY$169,$FJ225),SUMPRODUCT(INDEX($FK$325:$ID$396,HY$169,1+SwaptionShift):INDEX($FK$325:$ID$396,HY$169,SwaptionMonthsToGo+SwaptionShift),INDEX($FK$245:$ID$316,$FJ225-HY$169,73-HY$169+SwaptionShift):INDEX($FK$245:$ID$316,$FJ225-HY$169,72-HY$169+SwaptionMonthsToGo+SwaptionShift))/SQRT(SUM(INDEX($FK380:$ID380,1+SwaptionShift):INDEX($FK380:$ID380,SwaptionMonthsToGo+SwaptionShift))*SUM(INDEX($FK$325:$ID$396,HY$169,1+SwaptionShift):INDEX($FK$325:$ID$396,HY$169,SwaptionMonthsToGo+SwaptionShift))))))</f>
        <v/>
      </c>
      <c r="HZ225" s="150" t="str">
        <f aca="false">IF(OR(HZ$169&lt;SwaptionFirstMonthPosition+1,$FJ225&lt;SwaptionFirstMonthPosition+1,HZ$169&gt;SwaptionFirstMonthPosition+SwaptionNumOfMonths+1,$FJ225&gt;SwaptionFirstMonthPosition+SwaptionNumOfMonths+1),"",IF($FJ225=HZ$169,1,IF($FJ225&lt;HZ$169,INDEX($FK$170:$ID$241,HZ$169,$FJ225),SUMPRODUCT(INDEX($FK$325:$ID$396,HZ$169,1+SwaptionShift):INDEX($FK$325:$ID$396,HZ$169,SwaptionMonthsToGo+SwaptionShift),INDEX($FK$245:$ID$316,$FJ225-HZ$169,73-HZ$169+SwaptionShift):INDEX($FK$245:$ID$316,$FJ225-HZ$169,72-HZ$169+SwaptionMonthsToGo+SwaptionShift))/SQRT(SUM(INDEX($FK380:$ID380,1+SwaptionShift):INDEX($FK380:$ID380,SwaptionMonthsToGo+SwaptionShift))*SUM(INDEX($FK$325:$ID$396,HZ$169,1+SwaptionShift):INDEX($FK$325:$ID$396,HZ$169,SwaptionMonthsToGo+SwaptionShift))))))</f>
        <v/>
      </c>
      <c r="IA225" s="150" t="str">
        <f aca="false">IF(OR(IA$169&lt;SwaptionFirstMonthPosition+1,$FJ225&lt;SwaptionFirstMonthPosition+1,IA$169&gt;SwaptionFirstMonthPosition+SwaptionNumOfMonths+1,$FJ225&gt;SwaptionFirstMonthPosition+SwaptionNumOfMonths+1),"",IF($FJ225=IA$169,1,IF($FJ225&lt;IA$169,INDEX($FK$170:$ID$241,IA$169,$FJ225),SUMPRODUCT(INDEX($FK$325:$ID$396,IA$169,1+SwaptionShift):INDEX($FK$325:$ID$396,IA$169,SwaptionMonthsToGo+SwaptionShift),INDEX($FK$245:$ID$316,$FJ225-IA$169,73-IA$169+SwaptionShift):INDEX($FK$245:$ID$316,$FJ225-IA$169,72-IA$169+SwaptionMonthsToGo+SwaptionShift))/SQRT(SUM(INDEX($FK380:$ID380,1+SwaptionShift):INDEX($FK380:$ID380,SwaptionMonthsToGo+SwaptionShift))*SUM(INDEX($FK$325:$ID$396,IA$169,1+SwaptionShift):INDEX($FK$325:$ID$396,IA$169,SwaptionMonthsToGo+SwaptionShift))))))</f>
        <v/>
      </c>
      <c r="IB225" s="150" t="str">
        <f aca="false">IF(OR(IB$169&lt;SwaptionFirstMonthPosition+1,$FJ225&lt;SwaptionFirstMonthPosition+1,IB$169&gt;SwaptionFirstMonthPosition+SwaptionNumOfMonths+1,$FJ225&gt;SwaptionFirstMonthPosition+SwaptionNumOfMonths+1),"",IF($FJ225=IB$169,1,IF($FJ225&lt;IB$169,INDEX($FK$170:$ID$241,IB$169,$FJ225),SUMPRODUCT(INDEX($FK$325:$ID$396,IB$169,1+SwaptionShift):INDEX($FK$325:$ID$396,IB$169,SwaptionMonthsToGo+SwaptionShift),INDEX($FK$245:$ID$316,$FJ225-IB$169,73-IB$169+SwaptionShift):INDEX($FK$245:$ID$316,$FJ225-IB$169,72-IB$169+SwaptionMonthsToGo+SwaptionShift))/SQRT(SUM(INDEX($FK380:$ID380,1+SwaptionShift):INDEX($FK380:$ID380,SwaptionMonthsToGo+SwaptionShift))*SUM(INDEX($FK$325:$ID$396,IB$169,1+SwaptionShift):INDEX($FK$325:$ID$396,IB$169,SwaptionMonthsToGo+SwaptionShift))))))</f>
        <v/>
      </c>
      <c r="IC225" s="150" t="str">
        <f aca="false">IF(OR(IC$169&lt;SwaptionFirstMonthPosition+1,$FJ225&lt;SwaptionFirstMonthPosition+1,IC$169&gt;SwaptionFirstMonthPosition+SwaptionNumOfMonths+1,$FJ225&gt;SwaptionFirstMonthPosition+SwaptionNumOfMonths+1),"",IF($FJ225=IC$169,1,IF($FJ225&lt;IC$169,INDEX($FK$170:$ID$241,IC$169,$FJ225),SUMPRODUCT(INDEX($FK$325:$ID$396,IC$169,1+SwaptionShift):INDEX($FK$325:$ID$396,IC$169,SwaptionMonthsToGo+SwaptionShift),INDEX($FK$245:$ID$316,$FJ225-IC$169,73-IC$169+SwaptionShift):INDEX($FK$245:$ID$316,$FJ225-IC$169,72-IC$169+SwaptionMonthsToGo+SwaptionShift))/SQRT(SUM(INDEX($FK380:$ID380,1+SwaptionShift):INDEX($FK380:$ID380,SwaptionMonthsToGo+SwaptionShift))*SUM(INDEX($FK$325:$ID$396,IC$169,1+SwaptionShift):INDEX($FK$325:$ID$396,IC$169,SwaptionMonthsToGo+SwaptionShift))))))</f>
        <v/>
      </c>
      <c r="ID225" s="572" t="str">
        <f aca="false">IF(OR(ID$169&lt;SwaptionFirstMonthPosition+1,$FJ225&lt;SwaptionFirstMonthPosition+1,ID$169&gt;SwaptionFirstMonthPosition+SwaptionNumOfMonths+1,$FJ225&gt;SwaptionFirstMonthPosition+SwaptionNumOfMonths+1),"",IF($FJ225=ID$169,1,IF($FJ225&lt;ID$169,INDEX($FK$170:$ID$241,ID$169,$FJ225),SUMPRODUCT(INDEX($FK$325:$ID$396,ID$169,1+SwaptionShift):INDEX($FK$325:$ID$396,ID$169,SwaptionMonthsToGo+SwaptionShift),INDEX($FK$245:$ID$316,$FJ225-ID$169,73-ID$169+SwaptionShift):INDEX($FK$245:$ID$316,$FJ225-ID$169,72-ID$169+SwaptionMonthsToGo+SwaptionShift))/SQRT(SUM(INDEX($FK380:$ID380,1+SwaptionShift):INDEX($FK380:$ID380,SwaptionMonthsToGo+SwaptionShift))*SUM(INDEX($FK$325:$ID$396,ID$169,1+SwaptionShift):INDEX($FK$325:$ID$396,ID$169,SwaptionMonthsToGo+SwaptionShift))))))</f>
        <v/>
      </c>
      <c r="IE225" s="129"/>
    </row>
    <row r="226" customFormat="false" ht="12.75" hidden="false" customHeight="false" outlineLevel="0" collapsed="false">
      <c r="H226" s="219" t="n">
        <f aca="false">VLOOKUP(I226,$EJ$20:$EL$54,3)</f>
        <v>0</v>
      </c>
      <c r="I226" s="511" t="n">
        <f aca="false">EOMONTH(I225,0)+1</f>
        <v>43040</v>
      </c>
      <c r="J226" s="512"/>
      <c r="K226" s="513" t="s">
        <v>280</v>
      </c>
      <c r="L226" s="514" t="n">
        <f aca="false">IF(ISNUMBER(K226),J226+K226/100,IF(K226="extra",L225+VLOOKUP(BF226,PriceSpreadTable,2)/12,IF(K226="inter",interpolateprices($K$19:$L$200,ROW(K226)-ROW(FirstPricingMonth)+1),interpolatechanges($J$19:$K$200,ROW(K226)-ROW(FirstPricingMonth)+1))))</f>
        <v>4.875</v>
      </c>
      <c r="M226" s="515"/>
      <c r="N226" s="516" t="n">
        <v>0</v>
      </c>
      <c r="O226" s="515" t="n">
        <f aca="false">M226+N226</f>
        <v>0</v>
      </c>
      <c r="P226" s="512"/>
      <c r="Q226" s="513" t="s">
        <v>280</v>
      </c>
      <c r="R226" s="512" t="e">
        <f aca="false">IF(ISNUMBER(Q226),P226+Q226/100,IF(Q226="extra",(Z224*AL224-R225*AM224)/AN224,IF(Q226="inter",interpolateprices($Q$19:$R$260,ROW(Q226)-ROW(FirstPricingMonth)+1),interpolatechanges($P$19:$Q$260,ROW(Q226)-ROW(FirstPricingMonth)+1))))</f>
        <v>#VALUE!</v>
      </c>
      <c r="S226" s="597" t="n">
        <f aca="false">S$19+(S225-S$19)*S$18</f>
        <v>0.36</v>
      </c>
      <c r="T226" s="575" t="n">
        <f aca="false">SQRT((1-(1-T225^2/U225)*T$18)*U226)</f>
        <v>1</v>
      </c>
      <c r="U226" s="576" t="n">
        <f aca="false">1-(1-U225)*U$18</f>
        <v>1</v>
      </c>
      <c r="V226" s="521" t="n">
        <v>0</v>
      </c>
      <c r="W226" s="577" t="n">
        <f aca="false">(J227*AJ226+J228*AK226)/AI226</f>
        <v>0</v>
      </c>
      <c r="X226" s="578" t="n">
        <f aca="false">(L227*AJ226+L228*AK226)/AI226</f>
        <v>4.92613636363636</v>
      </c>
      <c r="Y226" s="579" t="n">
        <f aca="false">IF(Q228="extra",W226-AA226,(P227*AM226+P228*AN226)/AL226)</f>
        <v>-1.1931</v>
      </c>
      <c r="Z226" s="579" t="n">
        <f aca="false">IF(Q228="extra",X226-AB226,(R227*AM226+R228*AN226)/AL226)</f>
        <v>3.73303636363636</v>
      </c>
      <c r="AA226" s="523" t="n">
        <f aca="false">IF(Q228="extra",INDEX(BrentSeasonalityTable,INT((BG226-1)/3)+1)*VLOOKUP(MAX(BF226,$AB$4),PriceSpreadTable,3),W226-Y226)</f>
        <v>1.1931</v>
      </c>
      <c r="AB226" s="524" t="n">
        <f aca="false">IF(Q228="extra",INDEX(BrentSeasonalityTable,INT((BG226-1)/3)+1)*VLOOKUP(MAX(BF226,$AB$4),PriceSpreadTable,3),X226-Z226)</f>
        <v>1.1931</v>
      </c>
      <c r="AC226" s="646" t="n">
        <v>43028</v>
      </c>
      <c r="AD226" s="646" t="n">
        <v>43024</v>
      </c>
      <c r="AE226" s="646" t="n">
        <v>43023</v>
      </c>
      <c r="AF226" s="646" t="n">
        <v>43019</v>
      </c>
      <c r="AG226" s="438" t="s">
        <v>278</v>
      </c>
      <c r="AH226" s="439" t="s">
        <v>278</v>
      </c>
      <c r="AI226" s="528" t="n">
        <v>22</v>
      </c>
      <c r="AJ226" s="529" t="n">
        <v>14</v>
      </c>
      <c r="AK226" s="529" t="n">
        <v>8</v>
      </c>
      <c r="AL226" s="530" t="n">
        <v>22</v>
      </c>
      <c r="AM226" s="529" t="n">
        <v>10</v>
      </c>
      <c r="AN226" s="531" t="n">
        <v>12</v>
      </c>
      <c r="AO226" s="532"/>
      <c r="AP226" s="465" t="n">
        <f aca="false">(1+AO226/2)^(-2*BL226)</f>
        <v>1</v>
      </c>
      <c r="AQ226" s="532"/>
      <c r="AR226" s="465" t="n">
        <f aca="false">(1+AQ226/2)^(-2*BH226/365.25)</f>
        <v>1</v>
      </c>
      <c r="AS226" s="580" t="n">
        <f aca="false">(O227*AJ226+O228*AK226)/AI226</f>
        <v>0</v>
      </c>
      <c r="AT226" s="468" t="n">
        <f aca="false">O226*VLOOKUP(BF226,BrentVolTable,2)+VLOOKUP(BF226,BrentVolTable,3)</f>
        <v>0</v>
      </c>
      <c r="AU226" s="468" t="n">
        <f aca="false">(AT227*AM226+AT228*AN226)/AL226</f>
        <v>0</v>
      </c>
      <c r="AV226" s="595" t="n">
        <f aca="false">SQRT(MAX(0.000000000001,(O226^2*BH226-S226^2*(BH226-BH225))/BH225))</f>
        <v>0.0364212811916853</v>
      </c>
      <c r="AW226" s="451" t="n">
        <f aca="false">IF($I226-DateToday+15&gt;=$T$8,"",IF($I226-DateToday+15&lt;$T$5,1,MATCH($I226-DateToday+15,$T$5:$T$8)))</f>
        <v>1</v>
      </c>
      <c r="AX226" s="468" t="n">
        <f aca="false">IF($AW226="",AX225^2/AX224,INDEX(U$5:U$8,$AW226)^((INDEX($T$5:$T$8,$AW226+1)-($I226-DateToday+15))/(INDEX($T$5:$T$8,$AW226+1)-INDEX($T$5:$T$8,$AW226)))/INDEX(U$5:U$8,$AW226+1)^((INDEX($T$5:$T$8,$AW226)-($I226-DateToday+15))/(INDEX($T$5:$T$8,$AW226+1)-INDEX($T$5:$T$8,$AW226))))</f>
        <v>0.153454582900347</v>
      </c>
      <c r="AY226" s="468" t="n">
        <f aca="false">IF($AW226="",AY225^2/AY224,INDEX(V$5:V$8,$AW226)^((INDEX($T$5:$T$8,$AW226+1)-($I226-DateToday+15))/(INDEX($T$5:$T$8,$AW226+1)-INDEX($T$5:$T$8,$AW226)))/INDEX(V$5:V$8,$AW226+1)^((INDEX($T$5:$T$8,$AW226)-($I226-DateToday+15))/(INDEX($T$5:$T$8,$AW226+1)-INDEX($T$5:$T$8,$AW226))))</f>
        <v>0.88743389764687</v>
      </c>
      <c r="AZ226" s="468" t="n">
        <f aca="false">IF($AW226="",AZ225^2/AZ224,INDEX(W$5:W$8,$AW226)^((INDEX($T$5:$T$8,$AW226+1)-($I226-DateToday+15))/(INDEX($T$5:$T$8,$AW226+1)-INDEX($T$5:$T$8,$AW226)))/INDEX(W$5:W$8,$AW226+1)^((INDEX($T$5:$T$8,$AW226)-($I226-DateToday+15))/(INDEX($T$5:$T$8,$AW226+1)-INDEX($T$5:$T$8,$AW226))))</f>
        <v>30.5341754117083</v>
      </c>
      <c r="BA226" s="468" t="n">
        <f aca="false">IF($AW226="",BA225^2/BA224,INDEX(X$5:X$8,$AW226)^((INDEX($T$5:$T$8,$AW226+1)-($I226-DateToday+15))/(INDEX($T$5:$T$8,$AW226+1)-INDEX($T$5:$T$8,$AW226)))/INDEX(X$5:X$8,$AW226+1)^((INDEX($T$5:$T$8,$AW226)-($I226-DateToday+15))/(INDEX($T$5:$T$8,$AW226+1)-INDEX($T$5:$T$8,$AW226))))</f>
        <v>48.8084286667681</v>
      </c>
      <c r="BB226" s="468" t="n">
        <f aca="false">IF($AW226="",BB225^2/BB224,INDEX(Y$5:Y$8,$AW226)^((INDEX($T$5:$T$8,$AW226+1)-($I226-DateToday+15))/(INDEX($T$5:$T$8,$AW226+1)-INDEX($T$5:$T$8,$AW226)))/INDEX(Y$5:Y$8,$AW226+1)^((INDEX($T$5:$T$8,$AW226)-($I226-DateToday+15))/(INDEX($T$5:$T$8,$AW226+1)-INDEX($T$5:$T$8,$AW226))))</f>
        <v>175.559326441524</v>
      </c>
      <c r="BC226" s="468" t="n">
        <f aca="false">IF($AW226="",BC225^2/BC224,INDEX(Z$5:Z$8,$AW226)^((INDEX($T$5:$T$8,$AW226+1)-($I226-DateToday+15))/(INDEX($T$5:$T$8,$AW226+1)-INDEX($T$5:$T$8,$AW226)))/INDEX(Z$5:Z$8,$AW226+1)^((INDEX($T$5:$T$8,$AW226)-($I226-DateToday+15))/(INDEX($T$5:$T$8,$AW226+1)-INDEX($T$5:$T$8,$AW226))))</f>
        <v>389.208899817217</v>
      </c>
      <c r="BD226" s="535" t="n">
        <f aca="false">IF(OR(DateStart&gt;=I227,DateEnd&lt;I226),0,IF(VolumeOverrideFlag,V226,Volume))</f>
        <v>0</v>
      </c>
      <c r="BE226" s="536" t="n">
        <f aca="false">IF(OR(DateStart2&gt;=I227,DateEnd2&lt;I226),0,IF(VolumeOverrideFlag,V226,VolumeSwaption))</f>
        <v>0</v>
      </c>
      <c r="BF226" s="537" t="n">
        <f aca="false">YEAR(I226)</f>
        <v>2017</v>
      </c>
      <c r="BG226" s="538" t="n">
        <f aca="false">MONTH(I226)</f>
        <v>11</v>
      </c>
      <c r="BH226" s="539" t="n">
        <f aca="false">AD226-DateToday+1</f>
        <v>-2901</v>
      </c>
      <c r="BI226" s="540" t="n">
        <f aca="false">(I226-DateToday+1)/365.25</f>
        <v>-7.89869952087611</v>
      </c>
      <c r="BJ226" s="541" t="n">
        <f aca="false">BI226+(BL226-BI226)*CHOOSE(Underlying,AJ226/AI226,AM226/AL226)</f>
        <v>-7.84817372907722</v>
      </c>
      <c r="BK226" s="541" t="n">
        <f aca="false">BJ226+1/365.25</f>
        <v>-7.84543587829009</v>
      </c>
      <c r="BL226" s="541" t="n">
        <f aca="false">(I227-DateToday)/365.25</f>
        <v>-7.81930184804928</v>
      </c>
      <c r="BM226" s="542" t="e">
        <f aca="false">MAX(BI226-(BJ226-BI226)*(S227^2/O227^2-1),0)</f>
        <v>#DIV/0!</v>
      </c>
      <c r="BN226" s="541" t="e">
        <f aca="false">MAX(BL226+(BL226-BK226)*(S228^2/O228^2-1),0)</f>
        <v>#DIV/0!</v>
      </c>
      <c r="BO226" s="530" t="n">
        <f aca="false">CHOOSE(Underlying,AI226,AL226)</f>
        <v>22</v>
      </c>
      <c r="BP226" s="529" t="n">
        <f aca="false">CHOOSE(Underlying,AJ226,AM226)</f>
        <v>14</v>
      </c>
      <c r="BQ226" s="529" t="n">
        <f aca="false">CHOOSE(Underlying,AK226,AN226)</f>
        <v>8</v>
      </c>
      <c r="BR226" s="463" t="str">
        <f aca="false">IF(BD226,IF(Underlying=1,X226,Z226)+UnderlyingPriceAsian-SwapPriceCurve,"")</f>
        <v/>
      </c>
      <c r="BS226" s="463" t="str">
        <f aca="false">IF(BD226,Strike1/BR226-1,"")</f>
        <v/>
      </c>
      <c r="BT226" s="464" t="str">
        <f aca="false">IF(BD226,Strike2/BR226-1,"")</f>
        <v/>
      </c>
      <c r="BU226" s="465" t="str">
        <f aca="false">IF(BD226,IF(Underlying=1,L227,R227)+UnderlyingPriceAsian-SwapPriceCurve,"")</f>
        <v/>
      </c>
      <c r="BV226" s="465" t="str">
        <f aca="false">IF(BD226,IF(Underlying=1,L228,R228)+UnderlyingPriceAsian-SwapPriceCurve,"")</f>
        <v/>
      </c>
      <c r="BW226" s="466" t="str">
        <f aca="false">IF(BD226,IF(Underlying=1,O227,AT227),"")</f>
        <v/>
      </c>
      <c r="BX226" s="467" t="str">
        <f aca="false">IF(BD226,IF(Underlying=1,O228,AT228),"")</f>
        <v/>
      </c>
      <c r="BY226" s="466" t="str">
        <f aca="false">IF(BD226,IF(BS226&gt;0,IF(BS226&gt;0.2,BC226-BB226,IF(BS226&gt;0.1,BB226-BA226,BA226)),IF(BS226&lt;-0.2,AX226-AY226,IF(BS226&lt;-0.1,AY226-AZ226,AZ226))),"")</f>
        <v/>
      </c>
      <c r="BZ226" s="467" t="str">
        <f aca="false">IF(BD226,IF(BT226&gt;0,IF(BT226&gt;0.2,BC226-BB226,IF(BT226&gt;0.1,BB226-BA226,BA226)),IF(BT226&lt;-0.2,AX226-AY226,IF(BT226&lt;-0.1,AY226-AZ226,AZ226))),"")</f>
        <v/>
      </c>
      <c r="CA226" s="468" t="str">
        <f aca="false">IF($BD226,$BW226+IF(VolSkewFlag=1,IF(BS226&gt;0,$BA226*MIN(BS226/10%,1)+($BB226-$BA226)*MAX(0,MIN(BS226/10%-1,1))+($BC226-$BB226)*MAX(0,BS226/10%-2),$AZ226*MIN(-BS226/10%,1)+($AY226-$AZ226)*MAX(0,MIN(-BS226/10%-1,1))+($AX226-$AY226)*MAX(0,-BS226/10%-2)),0),"")</f>
        <v/>
      </c>
      <c r="CB226" s="468" t="str">
        <f aca="false">IF($BD226,$BX226+IF(VolSkewFlag=1,IF(BS226&gt;0,$BA226*MIN(BS226/10%,1)+($BB226-$BA226)*MAX(0,MIN(BS226/10%-1,1))+($BC226-$BB226)*MAX(0,BS226/10%-2),$AZ226*MIN(-BS226/10%,1)+($AY226-$AZ226)*MAX(0,MIN(-BS226/10%-1,1))+($AX226-$AY226)*MAX(0,-BS226/10%-2)),0),"")</f>
        <v/>
      </c>
      <c r="CC226" s="468" t="str">
        <f aca="false">IF($BD226,$BW226+IF(VolSkewFlag=1,IF(BT226&gt;0,$BA226*MIN(BT226/10%,1)+($BB226-$BA226)*MAX(0,MIN(BT226/10%-1,1))+($BC226-$BB226)*MAX(0,BT226/10%-2),$AZ226*MIN(-BT226/10%,1)+($AY226-$AZ226)*MAX(0,MIN(-BT226/10%-1,1))+($AX226-$AY226)*MAX(0,-BT226/10%-2)),0),"")</f>
        <v/>
      </c>
      <c r="CD226" s="468" t="str">
        <f aca="false">IF($BD226,$BX226+IF(VolSkewFlag=1,IF(BT226&gt;0,$BA226*MIN(BT226/10%,1)+($BB226-$BA226)*MAX(0,MIN(BT226/10%-1,1))+($BC226-$BB226)*MAX(0,BT226/10%-2),$AZ226*MIN(-BT226/10%,1)+($AY226-$AZ226)*MAX(0,MIN(-BT226/10%-1,1))+($AX226-$AY226)*MAX(0,-BT226/10%-2)),0),"")</f>
        <v/>
      </c>
      <c r="CE226" s="469" t="n">
        <v>1</v>
      </c>
      <c r="CF226" s="470" t="n">
        <f aca="false">IF(BD226,xCrudeAPO(BU226,BV226,CA226,CB226,S227,S228,BI226,BL226,BP226,BQ226,0,Strike1,AO226,CE226,0,BL226,IF(OptControl=4,0,1),0,1),0)</f>
        <v>0</v>
      </c>
      <c r="CG226" s="470" t="n">
        <f aca="false">IF(BD226,xCrudeAPO(BU226,BV226,CA226,CB226,S227,S228,BI226,BL226,BP226,BQ226,0,Strike1,AO226,CE226,0,BL226,IF(OptControl=4,0,1),1,1)+xCrudeAPO(BU226,BV226,CA226,CB226,S227,S228,BI226,BL226,BP226,BQ226,0,Strike1,AO226,CE226,0,BL226,IF(OptControl=4,0,1),1,2)+IF(OR(VolSkewFlag=2,ABS(BS226)&lt;0.0001),0,IF(BS226&gt;0,-1,1)*CH226*Strike1/BR226^2*BY226/10%),0)</f>
        <v>0</v>
      </c>
      <c r="CH226" s="470" t="n">
        <f aca="false">IF(BD226,(xCrudeAPO(BU226,BV226,CA226,CB226,S227,S228,BI226,BL226,BP226,BQ226,0,Strike1,AO226,CE226,0,BL226,IF(OptControl=4,0,1),3,1)+xCrudeAPO(BU226,BV226,CA226,CB226,S227,S228,BI226,BL226,BP226,BQ226,0,Strike1,AO226,CE226,0,BL226,IF(OptControl=4,0,1),3,2))/100,0)</f>
        <v>0</v>
      </c>
      <c r="CI226" s="470" t="n">
        <f aca="false">IF(BD226,xCrudeAPO(BU226,BV226,CA226,CB226,S227,S228,BI226-DaysForThetaCalculation/365.25,BL226-DaysForThetaCalculation/365.25,BP226,BQ226,0,Strike1,AO226,CE226,0,BL226,IF(OptControl=4,0,1),0,1)-xCrudeAPO(BU226,BV226,CA226,CB226,S227,S228,BI226,BL226,BP226,BQ226,0,Strike1,AO226,CE226,0,BL226,IF(OptControl=4,0,1),0,1),0)</f>
        <v>0</v>
      </c>
      <c r="CJ226" s="471" t="n">
        <f aca="false">IF(BD226,xCrudeAPO(BU226,BV226,CC226,CD226,S227,S228,BI226,BL226,BP226,BQ226,0,Strike2,AO226,CE226,0,BL226,IF(OptControl=3,1,0),0,1),0)</f>
        <v>0</v>
      </c>
      <c r="CK226" s="470" t="n">
        <f aca="false">IF(BD226,xCrudeAPO(BU226,BV226,CC226,CD226,S227,S228,BI226,BL226,BP226,BQ226,0,Strike2,AO226,CE226,0,BL226,IF(OptControl=3,1,0),1,1)+xCrudeAPO(BU226,BV226,CC226,CD226,S227,S228,BI226,BL226,BP226,BQ226,0,Strike2,AO226,CE226,0,BL226,IF(OptControl=3,1,0),1,2)+IF(OR(VolSkewFlag=2,ABS(BT226)&lt;0.0001),0,IF(BT226&gt;0,-1,1)*CL226*Strike2/BR226^2*BZ226/10%),0)</f>
        <v>0</v>
      </c>
      <c r="CL226" s="470" t="n">
        <f aca="false">IF(BD226,(xCrudeAPO(BU226,BV226,CC226,CD226,S227,S228,BI226,BL226,BP226,BQ226,0,Strike2,AO226,CE226,0,BL226,IF(OptControl=3,1,0),3,1)+xCrudeAPO(BU226,BV226,CC226,CD226,S227,S228,BI226,BL226,BP226,BQ226,0,Strike2,AO226,CE226,0,BL226,IF(OptControl=3,1,0),3,2))/100,0)</f>
        <v>0</v>
      </c>
      <c r="CM226" s="472" t="n">
        <f aca="false">IF(BD226,xCrudeAPO(BU226,BV226,CC226,CD226,S227,S228,BI226-DaysForThetaCalculation/365.25,BL226-DaysForThetaCalculation/365.25,BP226,BQ226,0,Strike2,AO226,CE226,0,BL226,IF(OptControl=3,1,0),0,1)-xCrudeAPO(BU226,BV226,CC226,CD226,S227,S228,BI226,BL226,BP226,BQ226,0,Strike2,AO226,CE226,0,BL226,IF(OptControl=3,1,0),0,1),0)</f>
        <v>0</v>
      </c>
      <c r="CN226" s="3"/>
      <c r="CO226" s="543" t="str">
        <f aca="false">IF(BD226,CHOOSE(Underlying,AD226,AF226)-DateToday+1,"")</f>
        <v/>
      </c>
      <c r="CP226" s="582" t="str">
        <f aca="false">IF(BD226,CHOOSE(Underlying,L226,R226),"")</f>
        <v/>
      </c>
      <c r="CQ226" s="544" t="str">
        <f aca="false">IF(BD226,Strike1/CP226-1,"")</f>
        <v/>
      </c>
      <c r="CR226" s="544" t="str">
        <f aca="false">IF(BD226,Strike2/CP226-1,"")</f>
        <v/>
      </c>
      <c r="CS226" s="544" t="str">
        <f aca="false">IF(BD226,IF(CQ226&gt;0,IF(CQ226&gt;0.2,BC225-BB225,IF(CQ226&gt;0.1,BB225-BA225,BA225)),IF(CQ226&lt;-0.2,AX225-AY225,IF(CQ226&lt;-0.1,AY225-AZ225,AZ225))),"")</f>
        <v/>
      </c>
      <c r="CT226" s="544" t="str">
        <f aca="false">IF(BD226,IF(CR226&gt;0,IF(CR226&gt;0.2,BC225-BB225,IF(CR226&gt;0.1,BB225-BA225,BA225)),IF(CR226&lt;-0.2,AX225-AY225,IF(CR226&lt;-0.1,AY225-AZ225,AZ225))),"")</f>
        <v/>
      </c>
      <c r="CU226" s="545" t="str">
        <f aca="false">IF(BD226,CHOOSE(Underlying,O226,AT226),"")</f>
        <v/>
      </c>
      <c r="CV226" s="545" t="str">
        <f aca="false">IF(BD226,CU226+IF(VolSkewFlag=1,IF(CQ226&gt;0,BA225*MIN(CQ226/10%,1)+(BB225-BA225)*MAX(0,MIN(CQ226/10%-1,1))+(BC225-BB225)*MAX(0,CQ226/10%-2),AZ225*MIN(-CQ226/10%,1)+(AY225-AZ225)*MAX(0,MIN(-CQ226/10%-1,1))+(AX225-AY225)*MAX(0,-CQ226/10%-2)),0),"")</f>
        <v/>
      </c>
      <c r="CW226" s="545" t="str">
        <f aca="false">IF(BD226,CU226+IF(VolSkewFlag=1,IF(CR226&gt;0,BA225*MIN(CR226/10%,1)+(BB225-BA225)*MAX(0,MIN(CR226/10%-1,1))+(BC225-BB225)*MAX(0,CR226/10%-2),AZ225*MIN(-CR226/10%,1)+(AY225-AZ225)*MAX(0,MIN(-CR226/10%-1,1))+(AX225-AY225)*MAX(0,-CR226/10%-2)),0),"")</f>
        <v/>
      </c>
      <c r="CX226" s="470" t="n">
        <f aca="false">IF(BD226,EURO(CP226,Strike1,AO226,AO226,CV226,CO226,IF(OptControl=4,0,1),0),0)</f>
        <v>0</v>
      </c>
      <c r="CY226" s="470" t="n">
        <f aca="false">IF(BD226,EURO(CP226,Strike1,AO226,AO226,CV226,CO226,IF(OptControl=4,0,1),1)+IF(OR(VolSkewFlag=2,ABS(CQ226)&lt;0.0001),0,IF(CQ226&gt;0,-1,1)*CZ226*100*Strike1/CP226^2*CS226/10%),0)</f>
        <v>0</v>
      </c>
      <c r="CZ226" s="470" t="n">
        <f aca="false">IF(BD226,EURO(CP226,Strike1,AO226,AO226,CV226,CO226,IF(OptControl=4,0,1),3)/100,0)</f>
        <v>0</v>
      </c>
      <c r="DA226" s="470" t="n">
        <f aca="false">IF(BD226,EURO(CP226,Strike1,AO226,AO226,CV226,CO226,IF(OptControl=4,0,1),0)-EURO(CP226,Strike1,AO226,AO226,CV226,CO226-1,IF(OptControl=4,0,1),0),0)</f>
        <v>0</v>
      </c>
      <c r="DB226" s="470" t="n">
        <f aca="false">IF(BD226,EURO(CP226,Strike2,AO226,AO226,CW226,CO226,IF(OptControl=3,1,0),0),0)</f>
        <v>0</v>
      </c>
      <c r="DC226" s="470" t="n">
        <f aca="false">IF(BD226,EURO(CP226,Strike2,AO226,AO226,CW226,CO226,IF(OptControl=3,1,0),1)+IF(OR(VolSkewFlag=2,ABS(CR226)&lt;0.0001),0,IF(CR226&gt;0,-1,1)*DD226*100*Strike2/CP226^2*CT226/10%),0)</f>
        <v>0</v>
      </c>
      <c r="DD226" s="470" t="n">
        <f aca="false">IF(BD226,EURO(CP226,Strike2,AO226,AO226,CW226,CO226,IF(OptControl=3,1,0),3)/100,0)</f>
        <v>0</v>
      </c>
      <c r="DE226" s="472" t="n">
        <f aca="false">IF(BD226,EURO(CP226,Strike2,AO226,AO226,CW226,CO226,IF(OptControl=3,1,0),0)-EURO(CP226,Strike2,AO226,AO226,CW226,CO226-1,IF(OptControl=3,1,0),0),0)</f>
        <v>0</v>
      </c>
      <c r="DG226" s="481" t="n">
        <f aca="false">EOMONTH(DG225,0)+1</f>
        <v>51957</v>
      </c>
      <c r="DH226" s="478" t="n">
        <v>24.4600000000001</v>
      </c>
      <c r="DI226" s="479" t="n">
        <v>24.5250000000001</v>
      </c>
      <c r="DJ226" s="480" t="n">
        <f aca="false">DG226</f>
        <v>51957</v>
      </c>
      <c r="DK226" s="478" t="n">
        <v>23.2679599424433</v>
      </c>
      <c r="DL226" s="479" t="n">
        <v>23.2335000000001</v>
      </c>
      <c r="DM226" s="481" t="n">
        <f aca="false">DG226</f>
        <v>51957</v>
      </c>
      <c r="DN226" s="482" t="n">
        <f aca="false">DK226+BrentPhyBrentSpread</f>
        <v>23.3179599424433</v>
      </c>
      <c r="DO226" s="481" t="n">
        <f aca="false">DG226</f>
        <v>51957</v>
      </c>
      <c r="DP226" s="483" t="n">
        <f aca="false">DL226+DQ226</f>
        <v>23.2335000000001</v>
      </c>
      <c r="DQ226" s="546" t="n">
        <v>0</v>
      </c>
      <c r="DR226" s="480" t="n">
        <f aca="false">DG226</f>
        <v>51957</v>
      </c>
      <c r="DS226" s="485" t="n">
        <v>0.100999999999998</v>
      </c>
      <c r="DT226" s="486" t="n">
        <v>0.100219999999998</v>
      </c>
      <c r="DU226" s="480" t="n">
        <f aca="false">DG226</f>
        <v>51957</v>
      </c>
      <c r="DV226" s="485" t="n">
        <v>0.100999999999998</v>
      </c>
      <c r="DW226" s="486" t="n">
        <v>0.100219999999998</v>
      </c>
      <c r="DX226" s="481" t="n">
        <f aca="false">DG226</f>
        <v>51957</v>
      </c>
      <c r="DY226" s="486" t="n">
        <v>0.35</v>
      </c>
      <c r="DZ226" s="481" t="n">
        <f aca="false">DR226</f>
        <v>51957</v>
      </c>
      <c r="EA226" s="486" t="n">
        <f aca="false">DT226</f>
        <v>0.100219999999998</v>
      </c>
      <c r="EB226" s="195"/>
      <c r="EC226" s="547" t="str">
        <f aca="false">IF(BD226,IF(Underlying=1,AS226,AU226),"")</f>
        <v/>
      </c>
      <c r="ED226" s="548" t="str">
        <f aca="false">IF($BD226,$EC226+IF(VolSkewFlag=1,IF(BS226&gt;0,$BA226*MIN(BS226/10%,1)+($BB226-$BA226)*MAX(0,MIN(BS226/10%-1,1))+($BC226-$BB226)*MAX(0,BS226/10%-2),$AZ226*MIN(-BS226/10%,1)+($AY226-$AZ226)*MAX(0,MIN(-BS226/10%-1,1))+($AX226-$AY226)*MAX(0,-BS226/10%-2)),0),"")</f>
        <v/>
      </c>
      <c r="EE226" s="549" t="str">
        <f aca="false">IF($BD226,$EC226+IF(VolSkewFlag=1,IF(BT226&gt;0,$BA226*MIN(BT226/10%,1)+($BB226-$BA226)*MAX(0,MIN(BT226/10%-1,1))+($BC226-$BB226)*MAX(0,BT226/10%-2),$AZ226*MIN(-BT226/10%,1)+($AY226-$AZ226)*MAX(0,MIN(-BT226/10%-1,1))+($AX226-$AY226)*MAX(0,-BT226/10%-2)),0),"")</f>
        <v/>
      </c>
      <c r="EF226" s="550" t="n">
        <f aca="false">IF(BD226,xASN(BR226,Strike1,AO226,ED226,0,BO226,0,BI226,BL226,IF(OptControl=4,0,1),0),0)</f>
        <v>0</v>
      </c>
      <c r="EG226" s="551" t="n">
        <f aca="false">IF(BD226,xASN(BR226,Strike2,AO226,EE226,0,BO226,0,BI226,BL226,IF(OptControl=3,1,0),0),0)</f>
        <v>0</v>
      </c>
      <c r="EL226" s="1"/>
      <c r="EM226" s="195"/>
      <c r="EN226" s="240"/>
      <c r="EO226" s="240"/>
      <c r="EP226" s="195"/>
      <c r="EQ226" s="407" t="s">
        <v>454</v>
      </c>
      <c r="ES226" s="1"/>
      <c r="EU226" s="672"/>
      <c r="FJ226" s="571" t="n">
        <v>57</v>
      </c>
      <c r="FK226" s="150" t="str">
        <f aca="false">IF(OR(FK$169&lt;SwaptionFirstMonthPosition+1,$FJ226&lt;SwaptionFirstMonthPosition+1,FK$169&gt;SwaptionFirstMonthPosition+SwaptionNumOfMonths+1,$FJ226&gt;SwaptionFirstMonthPosition+SwaptionNumOfMonths+1),"",IF($FJ226=FK$169,1,IF($FJ226&lt;FK$169,INDEX($FK$170:$ID$241,FK$169,$FJ226),SUMPRODUCT(INDEX($FK$325:$ID$396,FK$169,1+SwaptionShift):INDEX($FK$325:$ID$396,FK$169,SwaptionMonthsToGo+SwaptionShift),INDEX($FK$245:$ID$316,$FJ226-FK$169,73-FK$169+SwaptionShift):INDEX($FK$245:$ID$316,$FJ226-FK$169,72-FK$169+SwaptionMonthsToGo+SwaptionShift))/SQRT(SUM(INDEX($FK381:$ID381,1+SwaptionShift):INDEX($FK381:$ID381,SwaptionMonthsToGo+SwaptionShift))*SUM(INDEX($FK$325:$ID$396,FK$169,1+SwaptionShift):INDEX($FK$325:$ID$396,FK$169,SwaptionMonthsToGo+SwaptionShift))))))</f>
        <v/>
      </c>
      <c r="FL226" s="150" t="str">
        <f aca="false">IF(OR(FL$169&lt;SwaptionFirstMonthPosition+1,$FJ226&lt;SwaptionFirstMonthPosition+1,FL$169&gt;SwaptionFirstMonthPosition+SwaptionNumOfMonths+1,$FJ226&gt;SwaptionFirstMonthPosition+SwaptionNumOfMonths+1),"",IF($FJ226=FL$169,1,IF($FJ226&lt;FL$169,INDEX($FK$170:$ID$241,FL$169,$FJ226),SUMPRODUCT(INDEX($FK$325:$ID$396,FL$169,1+SwaptionShift):INDEX($FK$325:$ID$396,FL$169,SwaptionMonthsToGo+SwaptionShift),INDEX($FK$245:$ID$316,$FJ226-FL$169,73-FL$169+SwaptionShift):INDEX($FK$245:$ID$316,$FJ226-FL$169,72-FL$169+SwaptionMonthsToGo+SwaptionShift))/SQRT(SUM(INDEX($FK381:$ID381,1+SwaptionShift):INDEX($FK381:$ID381,SwaptionMonthsToGo+SwaptionShift))*SUM(INDEX($FK$325:$ID$396,FL$169,1+SwaptionShift):INDEX($FK$325:$ID$396,FL$169,SwaptionMonthsToGo+SwaptionShift))))))</f>
        <v/>
      </c>
      <c r="FM226" s="150" t="str">
        <f aca="false">IF(OR(FM$169&lt;SwaptionFirstMonthPosition+1,$FJ226&lt;SwaptionFirstMonthPosition+1,FM$169&gt;SwaptionFirstMonthPosition+SwaptionNumOfMonths+1,$FJ226&gt;SwaptionFirstMonthPosition+SwaptionNumOfMonths+1),"",IF($FJ226=FM$169,1,IF($FJ226&lt;FM$169,INDEX($FK$170:$ID$241,FM$169,$FJ226),SUMPRODUCT(INDEX($FK$325:$ID$396,FM$169,1+SwaptionShift):INDEX($FK$325:$ID$396,FM$169,SwaptionMonthsToGo+SwaptionShift),INDEX($FK$245:$ID$316,$FJ226-FM$169,73-FM$169+SwaptionShift):INDEX($FK$245:$ID$316,$FJ226-FM$169,72-FM$169+SwaptionMonthsToGo+SwaptionShift))/SQRT(SUM(INDEX($FK381:$ID381,1+SwaptionShift):INDEX($FK381:$ID381,SwaptionMonthsToGo+SwaptionShift))*SUM(INDEX($FK$325:$ID$396,FM$169,1+SwaptionShift):INDEX($FK$325:$ID$396,FM$169,SwaptionMonthsToGo+SwaptionShift))))))</f>
        <v/>
      </c>
      <c r="FN226" s="150" t="str">
        <f aca="false">IF(OR(FN$169&lt;SwaptionFirstMonthPosition+1,$FJ226&lt;SwaptionFirstMonthPosition+1,FN$169&gt;SwaptionFirstMonthPosition+SwaptionNumOfMonths+1,$FJ226&gt;SwaptionFirstMonthPosition+SwaptionNumOfMonths+1),"",IF($FJ226=FN$169,1,IF($FJ226&lt;FN$169,INDEX($FK$170:$ID$241,FN$169,$FJ226),SUMPRODUCT(INDEX($FK$325:$ID$396,FN$169,1+SwaptionShift):INDEX($FK$325:$ID$396,FN$169,SwaptionMonthsToGo+SwaptionShift),INDEX($FK$245:$ID$316,$FJ226-FN$169,73-FN$169+SwaptionShift):INDEX($FK$245:$ID$316,$FJ226-FN$169,72-FN$169+SwaptionMonthsToGo+SwaptionShift))/SQRT(SUM(INDEX($FK381:$ID381,1+SwaptionShift):INDEX($FK381:$ID381,SwaptionMonthsToGo+SwaptionShift))*SUM(INDEX($FK$325:$ID$396,FN$169,1+SwaptionShift):INDEX($FK$325:$ID$396,FN$169,SwaptionMonthsToGo+SwaptionShift))))))</f>
        <v/>
      </c>
      <c r="FO226" s="150" t="str">
        <f aca="false">IF(OR(FO$169&lt;SwaptionFirstMonthPosition+1,$FJ226&lt;SwaptionFirstMonthPosition+1,FO$169&gt;SwaptionFirstMonthPosition+SwaptionNumOfMonths+1,$FJ226&gt;SwaptionFirstMonthPosition+SwaptionNumOfMonths+1),"",IF($FJ226=FO$169,1,IF($FJ226&lt;FO$169,INDEX($FK$170:$ID$241,FO$169,$FJ226),SUMPRODUCT(INDEX($FK$325:$ID$396,FO$169,1+SwaptionShift):INDEX($FK$325:$ID$396,FO$169,SwaptionMonthsToGo+SwaptionShift),INDEX($FK$245:$ID$316,$FJ226-FO$169,73-FO$169+SwaptionShift):INDEX($FK$245:$ID$316,$FJ226-FO$169,72-FO$169+SwaptionMonthsToGo+SwaptionShift))/SQRT(SUM(INDEX($FK381:$ID381,1+SwaptionShift):INDEX($FK381:$ID381,SwaptionMonthsToGo+SwaptionShift))*SUM(INDEX($FK$325:$ID$396,FO$169,1+SwaptionShift):INDEX($FK$325:$ID$396,FO$169,SwaptionMonthsToGo+SwaptionShift))))))</f>
        <v/>
      </c>
      <c r="FP226" s="150" t="str">
        <f aca="false">IF(OR(FP$169&lt;SwaptionFirstMonthPosition+1,$FJ226&lt;SwaptionFirstMonthPosition+1,FP$169&gt;SwaptionFirstMonthPosition+SwaptionNumOfMonths+1,$FJ226&gt;SwaptionFirstMonthPosition+SwaptionNumOfMonths+1),"",IF($FJ226=FP$169,1,IF($FJ226&lt;FP$169,INDEX($FK$170:$ID$241,FP$169,$FJ226),SUMPRODUCT(INDEX($FK$325:$ID$396,FP$169,1+SwaptionShift):INDEX($FK$325:$ID$396,FP$169,SwaptionMonthsToGo+SwaptionShift),INDEX($FK$245:$ID$316,$FJ226-FP$169,73-FP$169+SwaptionShift):INDEX($FK$245:$ID$316,$FJ226-FP$169,72-FP$169+SwaptionMonthsToGo+SwaptionShift))/SQRT(SUM(INDEX($FK381:$ID381,1+SwaptionShift):INDEX($FK381:$ID381,SwaptionMonthsToGo+SwaptionShift))*SUM(INDEX($FK$325:$ID$396,FP$169,1+SwaptionShift):INDEX($FK$325:$ID$396,FP$169,SwaptionMonthsToGo+SwaptionShift))))))</f>
        <v/>
      </c>
      <c r="FQ226" s="150" t="str">
        <f aca="false">IF(OR(FQ$169&lt;SwaptionFirstMonthPosition+1,$FJ226&lt;SwaptionFirstMonthPosition+1,FQ$169&gt;SwaptionFirstMonthPosition+SwaptionNumOfMonths+1,$FJ226&gt;SwaptionFirstMonthPosition+SwaptionNumOfMonths+1),"",IF($FJ226=FQ$169,1,IF($FJ226&lt;FQ$169,INDEX($FK$170:$ID$241,FQ$169,$FJ226),SUMPRODUCT(INDEX($FK$325:$ID$396,FQ$169,1+SwaptionShift):INDEX($FK$325:$ID$396,FQ$169,SwaptionMonthsToGo+SwaptionShift),INDEX($FK$245:$ID$316,$FJ226-FQ$169,73-FQ$169+SwaptionShift):INDEX($FK$245:$ID$316,$FJ226-FQ$169,72-FQ$169+SwaptionMonthsToGo+SwaptionShift))/SQRT(SUM(INDEX($FK381:$ID381,1+SwaptionShift):INDEX($FK381:$ID381,SwaptionMonthsToGo+SwaptionShift))*SUM(INDEX($FK$325:$ID$396,FQ$169,1+SwaptionShift):INDEX($FK$325:$ID$396,FQ$169,SwaptionMonthsToGo+SwaptionShift))))))</f>
        <v/>
      </c>
      <c r="FR226" s="150" t="str">
        <f aca="false">IF(OR(FR$169&lt;SwaptionFirstMonthPosition+1,$FJ226&lt;SwaptionFirstMonthPosition+1,FR$169&gt;SwaptionFirstMonthPosition+SwaptionNumOfMonths+1,$FJ226&gt;SwaptionFirstMonthPosition+SwaptionNumOfMonths+1),"",IF($FJ226=FR$169,1,IF($FJ226&lt;FR$169,INDEX($FK$170:$ID$241,FR$169,$FJ226),SUMPRODUCT(INDEX($FK$325:$ID$396,FR$169,1+SwaptionShift):INDEX($FK$325:$ID$396,FR$169,SwaptionMonthsToGo+SwaptionShift),INDEX($FK$245:$ID$316,$FJ226-FR$169,73-FR$169+SwaptionShift):INDEX($FK$245:$ID$316,$FJ226-FR$169,72-FR$169+SwaptionMonthsToGo+SwaptionShift))/SQRT(SUM(INDEX($FK381:$ID381,1+SwaptionShift):INDEX($FK381:$ID381,SwaptionMonthsToGo+SwaptionShift))*SUM(INDEX($FK$325:$ID$396,FR$169,1+SwaptionShift):INDEX($FK$325:$ID$396,FR$169,SwaptionMonthsToGo+SwaptionShift))))))</f>
        <v/>
      </c>
      <c r="FS226" s="150" t="str">
        <f aca="false">IF(OR(FS$169&lt;SwaptionFirstMonthPosition+1,$FJ226&lt;SwaptionFirstMonthPosition+1,FS$169&gt;SwaptionFirstMonthPosition+SwaptionNumOfMonths+1,$FJ226&gt;SwaptionFirstMonthPosition+SwaptionNumOfMonths+1),"",IF($FJ226=FS$169,1,IF($FJ226&lt;FS$169,INDEX($FK$170:$ID$241,FS$169,$FJ226),SUMPRODUCT(INDEX($FK$325:$ID$396,FS$169,1+SwaptionShift):INDEX($FK$325:$ID$396,FS$169,SwaptionMonthsToGo+SwaptionShift),INDEX($FK$245:$ID$316,$FJ226-FS$169,73-FS$169+SwaptionShift):INDEX($FK$245:$ID$316,$FJ226-FS$169,72-FS$169+SwaptionMonthsToGo+SwaptionShift))/SQRT(SUM(INDEX($FK381:$ID381,1+SwaptionShift):INDEX($FK381:$ID381,SwaptionMonthsToGo+SwaptionShift))*SUM(INDEX($FK$325:$ID$396,FS$169,1+SwaptionShift):INDEX($FK$325:$ID$396,FS$169,SwaptionMonthsToGo+SwaptionShift))))))</f>
        <v/>
      </c>
      <c r="FT226" s="150" t="str">
        <f aca="false">IF(OR(FT$169&lt;SwaptionFirstMonthPosition+1,$FJ226&lt;SwaptionFirstMonthPosition+1,FT$169&gt;SwaptionFirstMonthPosition+SwaptionNumOfMonths+1,$FJ226&gt;SwaptionFirstMonthPosition+SwaptionNumOfMonths+1),"",IF($FJ226=FT$169,1,IF($FJ226&lt;FT$169,INDEX($FK$170:$ID$241,FT$169,$FJ226),SUMPRODUCT(INDEX($FK$325:$ID$396,FT$169,1+SwaptionShift):INDEX($FK$325:$ID$396,FT$169,SwaptionMonthsToGo+SwaptionShift),INDEX($FK$245:$ID$316,$FJ226-FT$169,73-FT$169+SwaptionShift):INDEX($FK$245:$ID$316,$FJ226-FT$169,72-FT$169+SwaptionMonthsToGo+SwaptionShift))/SQRT(SUM(INDEX($FK381:$ID381,1+SwaptionShift):INDEX($FK381:$ID381,SwaptionMonthsToGo+SwaptionShift))*SUM(INDEX($FK$325:$ID$396,FT$169,1+SwaptionShift):INDEX($FK$325:$ID$396,FT$169,SwaptionMonthsToGo+SwaptionShift))))))</f>
        <v/>
      </c>
      <c r="FU226" s="150" t="str">
        <f aca="false">IF(OR(FU$169&lt;SwaptionFirstMonthPosition+1,$FJ226&lt;SwaptionFirstMonthPosition+1,FU$169&gt;SwaptionFirstMonthPosition+SwaptionNumOfMonths+1,$FJ226&gt;SwaptionFirstMonthPosition+SwaptionNumOfMonths+1),"",IF($FJ226=FU$169,1,IF($FJ226&lt;FU$169,INDEX($FK$170:$ID$241,FU$169,$FJ226),SUMPRODUCT(INDEX($FK$325:$ID$396,FU$169,1+SwaptionShift):INDEX($FK$325:$ID$396,FU$169,SwaptionMonthsToGo+SwaptionShift),INDEX($FK$245:$ID$316,$FJ226-FU$169,73-FU$169+SwaptionShift):INDEX($FK$245:$ID$316,$FJ226-FU$169,72-FU$169+SwaptionMonthsToGo+SwaptionShift))/SQRT(SUM(INDEX($FK381:$ID381,1+SwaptionShift):INDEX($FK381:$ID381,SwaptionMonthsToGo+SwaptionShift))*SUM(INDEX($FK$325:$ID$396,FU$169,1+SwaptionShift):INDEX($FK$325:$ID$396,FU$169,SwaptionMonthsToGo+SwaptionShift))))))</f>
        <v/>
      </c>
      <c r="FV226" s="150" t="str">
        <f aca="false">IF(OR(FV$169&lt;SwaptionFirstMonthPosition+1,$FJ226&lt;SwaptionFirstMonthPosition+1,FV$169&gt;SwaptionFirstMonthPosition+SwaptionNumOfMonths+1,$FJ226&gt;SwaptionFirstMonthPosition+SwaptionNumOfMonths+1),"",IF($FJ226=FV$169,1,IF($FJ226&lt;FV$169,INDEX($FK$170:$ID$241,FV$169,$FJ226),SUMPRODUCT(INDEX($FK$325:$ID$396,FV$169,1+SwaptionShift):INDEX($FK$325:$ID$396,FV$169,SwaptionMonthsToGo+SwaptionShift),INDEX($FK$245:$ID$316,$FJ226-FV$169,73-FV$169+SwaptionShift):INDEX($FK$245:$ID$316,$FJ226-FV$169,72-FV$169+SwaptionMonthsToGo+SwaptionShift))/SQRT(SUM(INDEX($FK381:$ID381,1+SwaptionShift):INDEX($FK381:$ID381,SwaptionMonthsToGo+SwaptionShift))*SUM(INDEX($FK$325:$ID$396,FV$169,1+SwaptionShift):INDEX($FK$325:$ID$396,FV$169,SwaptionMonthsToGo+SwaptionShift))))))</f>
        <v/>
      </c>
      <c r="FW226" s="150" t="str">
        <f aca="false">IF(OR(FW$169&lt;SwaptionFirstMonthPosition+1,$FJ226&lt;SwaptionFirstMonthPosition+1,FW$169&gt;SwaptionFirstMonthPosition+SwaptionNumOfMonths+1,$FJ226&gt;SwaptionFirstMonthPosition+SwaptionNumOfMonths+1),"",IF($FJ226=FW$169,1,IF($FJ226&lt;FW$169,INDEX($FK$170:$ID$241,FW$169,$FJ226),SUMPRODUCT(INDEX($FK$325:$ID$396,FW$169,1+SwaptionShift):INDEX($FK$325:$ID$396,FW$169,SwaptionMonthsToGo+SwaptionShift),INDEX($FK$245:$ID$316,$FJ226-FW$169,73-FW$169+SwaptionShift):INDEX($FK$245:$ID$316,$FJ226-FW$169,72-FW$169+SwaptionMonthsToGo+SwaptionShift))/SQRT(SUM(INDEX($FK381:$ID381,1+SwaptionShift):INDEX($FK381:$ID381,SwaptionMonthsToGo+SwaptionShift))*SUM(INDEX($FK$325:$ID$396,FW$169,1+SwaptionShift):INDEX($FK$325:$ID$396,FW$169,SwaptionMonthsToGo+SwaptionShift))))))</f>
        <v/>
      </c>
      <c r="FX226" s="150" t="str">
        <f aca="false">IF(OR(FX$169&lt;SwaptionFirstMonthPosition+1,$FJ226&lt;SwaptionFirstMonthPosition+1,FX$169&gt;SwaptionFirstMonthPosition+SwaptionNumOfMonths+1,$FJ226&gt;SwaptionFirstMonthPosition+SwaptionNumOfMonths+1),"",IF($FJ226=FX$169,1,IF($FJ226&lt;FX$169,INDEX($FK$170:$ID$241,FX$169,$FJ226),SUMPRODUCT(INDEX($FK$325:$ID$396,FX$169,1+SwaptionShift):INDEX($FK$325:$ID$396,FX$169,SwaptionMonthsToGo+SwaptionShift),INDEX($FK$245:$ID$316,$FJ226-FX$169,73-FX$169+SwaptionShift):INDEX($FK$245:$ID$316,$FJ226-FX$169,72-FX$169+SwaptionMonthsToGo+SwaptionShift))/SQRT(SUM(INDEX($FK381:$ID381,1+SwaptionShift):INDEX($FK381:$ID381,SwaptionMonthsToGo+SwaptionShift))*SUM(INDEX($FK$325:$ID$396,FX$169,1+SwaptionShift):INDEX($FK$325:$ID$396,FX$169,SwaptionMonthsToGo+SwaptionShift))))))</f>
        <v/>
      </c>
      <c r="FY226" s="150" t="str">
        <f aca="false">IF(OR(FY$169&lt;SwaptionFirstMonthPosition+1,$FJ226&lt;SwaptionFirstMonthPosition+1,FY$169&gt;SwaptionFirstMonthPosition+SwaptionNumOfMonths+1,$FJ226&gt;SwaptionFirstMonthPosition+SwaptionNumOfMonths+1),"",IF($FJ226=FY$169,1,IF($FJ226&lt;FY$169,INDEX($FK$170:$ID$241,FY$169,$FJ226),SUMPRODUCT(INDEX($FK$325:$ID$396,FY$169,1+SwaptionShift):INDEX($FK$325:$ID$396,FY$169,SwaptionMonthsToGo+SwaptionShift),INDEX($FK$245:$ID$316,$FJ226-FY$169,73-FY$169+SwaptionShift):INDEX($FK$245:$ID$316,$FJ226-FY$169,72-FY$169+SwaptionMonthsToGo+SwaptionShift))/SQRT(SUM(INDEX($FK381:$ID381,1+SwaptionShift):INDEX($FK381:$ID381,SwaptionMonthsToGo+SwaptionShift))*SUM(INDEX($FK$325:$ID$396,FY$169,1+SwaptionShift):INDEX($FK$325:$ID$396,FY$169,SwaptionMonthsToGo+SwaptionShift))))))</f>
        <v/>
      </c>
      <c r="FZ226" s="150" t="str">
        <f aca="false">IF(OR(FZ$169&lt;SwaptionFirstMonthPosition+1,$FJ226&lt;SwaptionFirstMonthPosition+1,FZ$169&gt;SwaptionFirstMonthPosition+SwaptionNumOfMonths+1,$FJ226&gt;SwaptionFirstMonthPosition+SwaptionNumOfMonths+1),"",IF($FJ226=FZ$169,1,IF($FJ226&lt;FZ$169,INDEX($FK$170:$ID$241,FZ$169,$FJ226),SUMPRODUCT(INDEX($FK$325:$ID$396,FZ$169,1+SwaptionShift):INDEX($FK$325:$ID$396,FZ$169,SwaptionMonthsToGo+SwaptionShift),INDEX($FK$245:$ID$316,$FJ226-FZ$169,73-FZ$169+SwaptionShift):INDEX($FK$245:$ID$316,$FJ226-FZ$169,72-FZ$169+SwaptionMonthsToGo+SwaptionShift))/SQRT(SUM(INDEX($FK381:$ID381,1+SwaptionShift):INDEX($FK381:$ID381,SwaptionMonthsToGo+SwaptionShift))*SUM(INDEX($FK$325:$ID$396,FZ$169,1+SwaptionShift):INDEX($FK$325:$ID$396,FZ$169,SwaptionMonthsToGo+SwaptionShift))))))</f>
        <v/>
      </c>
      <c r="GA226" s="150" t="str">
        <f aca="false">IF(OR(GA$169&lt;SwaptionFirstMonthPosition+1,$FJ226&lt;SwaptionFirstMonthPosition+1,GA$169&gt;SwaptionFirstMonthPosition+SwaptionNumOfMonths+1,$FJ226&gt;SwaptionFirstMonthPosition+SwaptionNumOfMonths+1),"",IF($FJ226=GA$169,1,IF($FJ226&lt;GA$169,INDEX($FK$170:$ID$241,GA$169,$FJ226),SUMPRODUCT(INDEX($FK$325:$ID$396,GA$169,1+SwaptionShift):INDEX($FK$325:$ID$396,GA$169,SwaptionMonthsToGo+SwaptionShift),INDEX($FK$245:$ID$316,$FJ226-GA$169,73-GA$169+SwaptionShift):INDEX($FK$245:$ID$316,$FJ226-GA$169,72-GA$169+SwaptionMonthsToGo+SwaptionShift))/SQRT(SUM(INDEX($FK381:$ID381,1+SwaptionShift):INDEX($FK381:$ID381,SwaptionMonthsToGo+SwaptionShift))*SUM(INDEX($FK$325:$ID$396,GA$169,1+SwaptionShift):INDEX($FK$325:$ID$396,GA$169,SwaptionMonthsToGo+SwaptionShift))))))</f>
        <v/>
      </c>
      <c r="GB226" s="150" t="str">
        <f aca="false">IF(OR(GB$169&lt;SwaptionFirstMonthPosition+1,$FJ226&lt;SwaptionFirstMonthPosition+1,GB$169&gt;SwaptionFirstMonthPosition+SwaptionNumOfMonths+1,$FJ226&gt;SwaptionFirstMonthPosition+SwaptionNumOfMonths+1),"",IF($FJ226=GB$169,1,IF($FJ226&lt;GB$169,INDEX($FK$170:$ID$241,GB$169,$FJ226),SUMPRODUCT(INDEX($FK$325:$ID$396,GB$169,1+SwaptionShift):INDEX($FK$325:$ID$396,GB$169,SwaptionMonthsToGo+SwaptionShift),INDEX($FK$245:$ID$316,$FJ226-GB$169,73-GB$169+SwaptionShift):INDEX($FK$245:$ID$316,$FJ226-GB$169,72-GB$169+SwaptionMonthsToGo+SwaptionShift))/SQRT(SUM(INDEX($FK381:$ID381,1+SwaptionShift):INDEX($FK381:$ID381,SwaptionMonthsToGo+SwaptionShift))*SUM(INDEX($FK$325:$ID$396,GB$169,1+SwaptionShift):INDEX($FK$325:$ID$396,GB$169,SwaptionMonthsToGo+SwaptionShift))))))</f>
        <v/>
      </c>
      <c r="GC226" s="150" t="str">
        <f aca="false">IF(OR(GC$169&lt;SwaptionFirstMonthPosition+1,$FJ226&lt;SwaptionFirstMonthPosition+1,GC$169&gt;SwaptionFirstMonthPosition+SwaptionNumOfMonths+1,$FJ226&gt;SwaptionFirstMonthPosition+SwaptionNumOfMonths+1),"",IF($FJ226=GC$169,1,IF($FJ226&lt;GC$169,INDEX($FK$170:$ID$241,GC$169,$FJ226),SUMPRODUCT(INDEX($FK$325:$ID$396,GC$169,1+SwaptionShift):INDEX($FK$325:$ID$396,GC$169,SwaptionMonthsToGo+SwaptionShift),INDEX($FK$245:$ID$316,$FJ226-GC$169,73-GC$169+SwaptionShift):INDEX($FK$245:$ID$316,$FJ226-GC$169,72-GC$169+SwaptionMonthsToGo+SwaptionShift))/SQRT(SUM(INDEX($FK381:$ID381,1+SwaptionShift):INDEX($FK381:$ID381,SwaptionMonthsToGo+SwaptionShift))*SUM(INDEX($FK$325:$ID$396,GC$169,1+SwaptionShift):INDEX($FK$325:$ID$396,GC$169,SwaptionMonthsToGo+SwaptionShift))))))</f>
        <v/>
      </c>
      <c r="GD226" s="150" t="str">
        <f aca="false">IF(OR(GD$169&lt;SwaptionFirstMonthPosition+1,$FJ226&lt;SwaptionFirstMonthPosition+1,GD$169&gt;SwaptionFirstMonthPosition+SwaptionNumOfMonths+1,$FJ226&gt;SwaptionFirstMonthPosition+SwaptionNumOfMonths+1),"",IF($FJ226=GD$169,1,IF($FJ226&lt;GD$169,INDEX($FK$170:$ID$241,GD$169,$FJ226),SUMPRODUCT(INDEX($FK$325:$ID$396,GD$169,1+SwaptionShift):INDEX($FK$325:$ID$396,GD$169,SwaptionMonthsToGo+SwaptionShift),INDEX($FK$245:$ID$316,$FJ226-GD$169,73-GD$169+SwaptionShift):INDEX($FK$245:$ID$316,$FJ226-GD$169,72-GD$169+SwaptionMonthsToGo+SwaptionShift))/SQRT(SUM(INDEX($FK381:$ID381,1+SwaptionShift):INDEX($FK381:$ID381,SwaptionMonthsToGo+SwaptionShift))*SUM(INDEX($FK$325:$ID$396,GD$169,1+SwaptionShift):INDEX($FK$325:$ID$396,GD$169,SwaptionMonthsToGo+SwaptionShift))))))</f>
        <v/>
      </c>
      <c r="GE226" s="150" t="str">
        <f aca="false">IF(OR(GE$169&lt;SwaptionFirstMonthPosition+1,$FJ226&lt;SwaptionFirstMonthPosition+1,GE$169&gt;SwaptionFirstMonthPosition+SwaptionNumOfMonths+1,$FJ226&gt;SwaptionFirstMonthPosition+SwaptionNumOfMonths+1),"",IF($FJ226=GE$169,1,IF($FJ226&lt;GE$169,INDEX($FK$170:$ID$241,GE$169,$FJ226),SUMPRODUCT(INDEX($FK$325:$ID$396,GE$169,1+SwaptionShift):INDEX($FK$325:$ID$396,GE$169,SwaptionMonthsToGo+SwaptionShift),INDEX($FK$245:$ID$316,$FJ226-GE$169,73-GE$169+SwaptionShift):INDEX($FK$245:$ID$316,$FJ226-GE$169,72-GE$169+SwaptionMonthsToGo+SwaptionShift))/SQRT(SUM(INDEX($FK381:$ID381,1+SwaptionShift):INDEX($FK381:$ID381,SwaptionMonthsToGo+SwaptionShift))*SUM(INDEX($FK$325:$ID$396,GE$169,1+SwaptionShift):INDEX($FK$325:$ID$396,GE$169,SwaptionMonthsToGo+SwaptionShift))))))</f>
        <v/>
      </c>
      <c r="GF226" s="150" t="str">
        <f aca="false">IF(OR(GF$169&lt;SwaptionFirstMonthPosition+1,$FJ226&lt;SwaptionFirstMonthPosition+1,GF$169&gt;SwaptionFirstMonthPosition+SwaptionNumOfMonths+1,$FJ226&gt;SwaptionFirstMonthPosition+SwaptionNumOfMonths+1),"",IF($FJ226=GF$169,1,IF($FJ226&lt;GF$169,INDEX($FK$170:$ID$241,GF$169,$FJ226),SUMPRODUCT(INDEX($FK$325:$ID$396,GF$169,1+SwaptionShift):INDEX($FK$325:$ID$396,GF$169,SwaptionMonthsToGo+SwaptionShift),INDEX($FK$245:$ID$316,$FJ226-GF$169,73-GF$169+SwaptionShift):INDEX($FK$245:$ID$316,$FJ226-GF$169,72-GF$169+SwaptionMonthsToGo+SwaptionShift))/SQRT(SUM(INDEX($FK381:$ID381,1+SwaptionShift):INDEX($FK381:$ID381,SwaptionMonthsToGo+SwaptionShift))*SUM(INDEX($FK$325:$ID$396,GF$169,1+SwaptionShift):INDEX($FK$325:$ID$396,GF$169,SwaptionMonthsToGo+SwaptionShift))))))</f>
        <v/>
      </c>
      <c r="GG226" s="150" t="str">
        <f aca="false">IF(OR(GG$169&lt;SwaptionFirstMonthPosition+1,$FJ226&lt;SwaptionFirstMonthPosition+1,GG$169&gt;SwaptionFirstMonthPosition+SwaptionNumOfMonths+1,$FJ226&gt;SwaptionFirstMonthPosition+SwaptionNumOfMonths+1),"",IF($FJ226=GG$169,1,IF($FJ226&lt;GG$169,INDEX($FK$170:$ID$241,GG$169,$FJ226),SUMPRODUCT(INDEX($FK$325:$ID$396,GG$169,1+SwaptionShift):INDEX($FK$325:$ID$396,GG$169,SwaptionMonthsToGo+SwaptionShift),INDEX($FK$245:$ID$316,$FJ226-GG$169,73-GG$169+SwaptionShift):INDEX($FK$245:$ID$316,$FJ226-GG$169,72-GG$169+SwaptionMonthsToGo+SwaptionShift))/SQRT(SUM(INDEX($FK381:$ID381,1+SwaptionShift):INDEX($FK381:$ID381,SwaptionMonthsToGo+SwaptionShift))*SUM(INDEX($FK$325:$ID$396,GG$169,1+SwaptionShift):INDEX($FK$325:$ID$396,GG$169,SwaptionMonthsToGo+SwaptionShift))))))</f>
        <v/>
      </c>
      <c r="GH226" s="150" t="str">
        <f aca="false">IF(OR(GH$169&lt;SwaptionFirstMonthPosition+1,$FJ226&lt;SwaptionFirstMonthPosition+1,GH$169&gt;SwaptionFirstMonthPosition+SwaptionNumOfMonths+1,$FJ226&gt;SwaptionFirstMonthPosition+SwaptionNumOfMonths+1),"",IF($FJ226=GH$169,1,IF($FJ226&lt;GH$169,INDEX($FK$170:$ID$241,GH$169,$FJ226),SUMPRODUCT(INDEX($FK$325:$ID$396,GH$169,1+SwaptionShift):INDEX($FK$325:$ID$396,GH$169,SwaptionMonthsToGo+SwaptionShift),INDEX($FK$245:$ID$316,$FJ226-GH$169,73-GH$169+SwaptionShift):INDEX($FK$245:$ID$316,$FJ226-GH$169,72-GH$169+SwaptionMonthsToGo+SwaptionShift))/SQRT(SUM(INDEX($FK381:$ID381,1+SwaptionShift):INDEX($FK381:$ID381,SwaptionMonthsToGo+SwaptionShift))*SUM(INDEX($FK$325:$ID$396,GH$169,1+SwaptionShift):INDEX($FK$325:$ID$396,GH$169,SwaptionMonthsToGo+SwaptionShift))))))</f>
        <v/>
      </c>
      <c r="GI226" s="150" t="str">
        <f aca="false">IF(OR(GI$169&lt;SwaptionFirstMonthPosition+1,$FJ226&lt;SwaptionFirstMonthPosition+1,GI$169&gt;SwaptionFirstMonthPosition+SwaptionNumOfMonths+1,$FJ226&gt;SwaptionFirstMonthPosition+SwaptionNumOfMonths+1),"",IF($FJ226=GI$169,1,IF($FJ226&lt;GI$169,INDEX($FK$170:$ID$241,GI$169,$FJ226),SUMPRODUCT(INDEX($FK$325:$ID$396,GI$169,1+SwaptionShift):INDEX($FK$325:$ID$396,GI$169,SwaptionMonthsToGo+SwaptionShift),INDEX($FK$245:$ID$316,$FJ226-GI$169,73-GI$169+SwaptionShift):INDEX($FK$245:$ID$316,$FJ226-GI$169,72-GI$169+SwaptionMonthsToGo+SwaptionShift))/SQRT(SUM(INDEX($FK381:$ID381,1+SwaptionShift):INDEX($FK381:$ID381,SwaptionMonthsToGo+SwaptionShift))*SUM(INDEX($FK$325:$ID$396,GI$169,1+SwaptionShift):INDEX($FK$325:$ID$396,GI$169,SwaptionMonthsToGo+SwaptionShift))))))</f>
        <v/>
      </c>
      <c r="GJ226" s="150" t="str">
        <f aca="false">IF(OR(GJ$169&lt;SwaptionFirstMonthPosition+1,$FJ226&lt;SwaptionFirstMonthPosition+1,GJ$169&gt;SwaptionFirstMonthPosition+SwaptionNumOfMonths+1,$FJ226&gt;SwaptionFirstMonthPosition+SwaptionNumOfMonths+1),"",IF($FJ226=GJ$169,1,IF($FJ226&lt;GJ$169,INDEX($FK$170:$ID$241,GJ$169,$FJ226),SUMPRODUCT(INDEX($FK$325:$ID$396,GJ$169,1+SwaptionShift):INDEX($FK$325:$ID$396,GJ$169,SwaptionMonthsToGo+SwaptionShift),INDEX($FK$245:$ID$316,$FJ226-GJ$169,73-GJ$169+SwaptionShift):INDEX($FK$245:$ID$316,$FJ226-GJ$169,72-GJ$169+SwaptionMonthsToGo+SwaptionShift))/SQRT(SUM(INDEX($FK381:$ID381,1+SwaptionShift):INDEX($FK381:$ID381,SwaptionMonthsToGo+SwaptionShift))*SUM(INDEX($FK$325:$ID$396,GJ$169,1+SwaptionShift):INDEX($FK$325:$ID$396,GJ$169,SwaptionMonthsToGo+SwaptionShift))))))</f>
        <v/>
      </c>
      <c r="GK226" s="150" t="str">
        <f aca="false">IF(OR(GK$169&lt;SwaptionFirstMonthPosition+1,$FJ226&lt;SwaptionFirstMonthPosition+1,GK$169&gt;SwaptionFirstMonthPosition+SwaptionNumOfMonths+1,$FJ226&gt;SwaptionFirstMonthPosition+SwaptionNumOfMonths+1),"",IF($FJ226=GK$169,1,IF($FJ226&lt;GK$169,INDEX($FK$170:$ID$241,GK$169,$FJ226),SUMPRODUCT(INDEX($FK$325:$ID$396,GK$169,1+SwaptionShift):INDEX($FK$325:$ID$396,GK$169,SwaptionMonthsToGo+SwaptionShift),INDEX($FK$245:$ID$316,$FJ226-GK$169,73-GK$169+SwaptionShift):INDEX($FK$245:$ID$316,$FJ226-GK$169,72-GK$169+SwaptionMonthsToGo+SwaptionShift))/SQRT(SUM(INDEX($FK381:$ID381,1+SwaptionShift):INDEX($FK381:$ID381,SwaptionMonthsToGo+SwaptionShift))*SUM(INDEX($FK$325:$ID$396,GK$169,1+SwaptionShift):INDEX($FK$325:$ID$396,GK$169,SwaptionMonthsToGo+SwaptionShift))))))</f>
        <v/>
      </c>
      <c r="GL226" s="150" t="str">
        <f aca="false">IF(OR(GL$169&lt;SwaptionFirstMonthPosition+1,$FJ226&lt;SwaptionFirstMonthPosition+1,GL$169&gt;SwaptionFirstMonthPosition+SwaptionNumOfMonths+1,$FJ226&gt;SwaptionFirstMonthPosition+SwaptionNumOfMonths+1),"",IF($FJ226=GL$169,1,IF($FJ226&lt;GL$169,INDEX($FK$170:$ID$241,GL$169,$FJ226),SUMPRODUCT(INDEX($FK$325:$ID$396,GL$169,1+SwaptionShift):INDEX($FK$325:$ID$396,GL$169,SwaptionMonthsToGo+SwaptionShift),INDEX($FK$245:$ID$316,$FJ226-GL$169,73-GL$169+SwaptionShift):INDEX($FK$245:$ID$316,$FJ226-GL$169,72-GL$169+SwaptionMonthsToGo+SwaptionShift))/SQRT(SUM(INDEX($FK381:$ID381,1+SwaptionShift):INDEX($FK381:$ID381,SwaptionMonthsToGo+SwaptionShift))*SUM(INDEX($FK$325:$ID$396,GL$169,1+SwaptionShift):INDEX($FK$325:$ID$396,GL$169,SwaptionMonthsToGo+SwaptionShift))))))</f>
        <v/>
      </c>
      <c r="GM226" s="150" t="str">
        <f aca="false">IF(OR(GM$169&lt;SwaptionFirstMonthPosition+1,$FJ226&lt;SwaptionFirstMonthPosition+1,GM$169&gt;SwaptionFirstMonthPosition+SwaptionNumOfMonths+1,$FJ226&gt;SwaptionFirstMonthPosition+SwaptionNumOfMonths+1),"",IF($FJ226=GM$169,1,IF($FJ226&lt;GM$169,INDEX($FK$170:$ID$241,GM$169,$FJ226),SUMPRODUCT(INDEX($FK$325:$ID$396,GM$169,1+SwaptionShift):INDEX($FK$325:$ID$396,GM$169,SwaptionMonthsToGo+SwaptionShift),INDEX($FK$245:$ID$316,$FJ226-GM$169,73-GM$169+SwaptionShift):INDEX($FK$245:$ID$316,$FJ226-GM$169,72-GM$169+SwaptionMonthsToGo+SwaptionShift))/SQRT(SUM(INDEX($FK381:$ID381,1+SwaptionShift):INDEX($FK381:$ID381,SwaptionMonthsToGo+SwaptionShift))*SUM(INDEX($FK$325:$ID$396,GM$169,1+SwaptionShift):INDEX($FK$325:$ID$396,GM$169,SwaptionMonthsToGo+SwaptionShift))))))</f>
        <v/>
      </c>
      <c r="GN226" s="150" t="str">
        <f aca="false">IF(OR(GN$169&lt;SwaptionFirstMonthPosition+1,$FJ226&lt;SwaptionFirstMonthPosition+1,GN$169&gt;SwaptionFirstMonthPosition+SwaptionNumOfMonths+1,$FJ226&gt;SwaptionFirstMonthPosition+SwaptionNumOfMonths+1),"",IF($FJ226=GN$169,1,IF($FJ226&lt;GN$169,INDEX($FK$170:$ID$241,GN$169,$FJ226),SUMPRODUCT(INDEX($FK$325:$ID$396,GN$169,1+SwaptionShift):INDEX($FK$325:$ID$396,GN$169,SwaptionMonthsToGo+SwaptionShift),INDEX($FK$245:$ID$316,$FJ226-GN$169,73-GN$169+SwaptionShift):INDEX($FK$245:$ID$316,$FJ226-GN$169,72-GN$169+SwaptionMonthsToGo+SwaptionShift))/SQRT(SUM(INDEX($FK381:$ID381,1+SwaptionShift):INDEX($FK381:$ID381,SwaptionMonthsToGo+SwaptionShift))*SUM(INDEX($FK$325:$ID$396,GN$169,1+SwaptionShift):INDEX($FK$325:$ID$396,GN$169,SwaptionMonthsToGo+SwaptionShift))))))</f>
        <v/>
      </c>
      <c r="GO226" s="150" t="str">
        <f aca="false">IF(OR(GO$169&lt;SwaptionFirstMonthPosition+1,$FJ226&lt;SwaptionFirstMonthPosition+1,GO$169&gt;SwaptionFirstMonthPosition+SwaptionNumOfMonths+1,$FJ226&gt;SwaptionFirstMonthPosition+SwaptionNumOfMonths+1),"",IF($FJ226=GO$169,1,IF($FJ226&lt;GO$169,INDEX($FK$170:$ID$241,GO$169,$FJ226),SUMPRODUCT(INDEX($FK$325:$ID$396,GO$169,1+SwaptionShift):INDEX($FK$325:$ID$396,GO$169,SwaptionMonthsToGo+SwaptionShift),INDEX($FK$245:$ID$316,$FJ226-GO$169,73-GO$169+SwaptionShift):INDEX($FK$245:$ID$316,$FJ226-GO$169,72-GO$169+SwaptionMonthsToGo+SwaptionShift))/SQRT(SUM(INDEX($FK381:$ID381,1+SwaptionShift):INDEX($FK381:$ID381,SwaptionMonthsToGo+SwaptionShift))*SUM(INDEX($FK$325:$ID$396,GO$169,1+SwaptionShift):INDEX($FK$325:$ID$396,GO$169,SwaptionMonthsToGo+SwaptionShift))))))</f>
        <v/>
      </c>
      <c r="GP226" s="150" t="str">
        <f aca="false">IF(OR(GP$169&lt;SwaptionFirstMonthPosition+1,$FJ226&lt;SwaptionFirstMonthPosition+1,GP$169&gt;SwaptionFirstMonthPosition+SwaptionNumOfMonths+1,$FJ226&gt;SwaptionFirstMonthPosition+SwaptionNumOfMonths+1),"",IF($FJ226=GP$169,1,IF($FJ226&lt;GP$169,INDEX($FK$170:$ID$241,GP$169,$FJ226),SUMPRODUCT(INDEX($FK$325:$ID$396,GP$169,1+SwaptionShift):INDEX($FK$325:$ID$396,GP$169,SwaptionMonthsToGo+SwaptionShift),INDEX($FK$245:$ID$316,$FJ226-GP$169,73-GP$169+SwaptionShift):INDEX($FK$245:$ID$316,$FJ226-GP$169,72-GP$169+SwaptionMonthsToGo+SwaptionShift))/SQRT(SUM(INDEX($FK381:$ID381,1+SwaptionShift):INDEX($FK381:$ID381,SwaptionMonthsToGo+SwaptionShift))*SUM(INDEX($FK$325:$ID$396,GP$169,1+SwaptionShift):INDEX($FK$325:$ID$396,GP$169,SwaptionMonthsToGo+SwaptionShift))))))</f>
        <v/>
      </c>
      <c r="GQ226" s="150" t="str">
        <f aca="false">IF(OR(GQ$169&lt;SwaptionFirstMonthPosition+1,$FJ226&lt;SwaptionFirstMonthPosition+1,GQ$169&gt;SwaptionFirstMonthPosition+SwaptionNumOfMonths+1,$FJ226&gt;SwaptionFirstMonthPosition+SwaptionNumOfMonths+1),"",IF($FJ226=GQ$169,1,IF($FJ226&lt;GQ$169,INDEX($FK$170:$ID$241,GQ$169,$FJ226),SUMPRODUCT(INDEX($FK$325:$ID$396,GQ$169,1+SwaptionShift):INDEX($FK$325:$ID$396,GQ$169,SwaptionMonthsToGo+SwaptionShift),INDEX($FK$245:$ID$316,$FJ226-GQ$169,73-GQ$169+SwaptionShift):INDEX($FK$245:$ID$316,$FJ226-GQ$169,72-GQ$169+SwaptionMonthsToGo+SwaptionShift))/SQRT(SUM(INDEX($FK381:$ID381,1+SwaptionShift):INDEX($FK381:$ID381,SwaptionMonthsToGo+SwaptionShift))*SUM(INDEX($FK$325:$ID$396,GQ$169,1+SwaptionShift):INDEX($FK$325:$ID$396,GQ$169,SwaptionMonthsToGo+SwaptionShift))))))</f>
        <v/>
      </c>
      <c r="GR226" s="150" t="str">
        <f aca="false">IF(OR(GR$169&lt;SwaptionFirstMonthPosition+1,$FJ226&lt;SwaptionFirstMonthPosition+1,GR$169&gt;SwaptionFirstMonthPosition+SwaptionNumOfMonths+1,$FJ226&gt;SwaptionFirstMonthPosition+SwaptionNumOfMonths+1),"",IF($FJ226=GR$169,1,IF($FJ226&lt;GR$169,INDEX($FK$170:$ID$241,GR$169,$FJ226),SUMPRODUCT(INDEX($FK$325:$ID$396,GR$169,1+SwaptionShift):INDEX($FK$325:$ID$396,GR$169,SwaptionMonthsToGo+SwaptionShift),INDEX($FK$245:$ID$316,$FJ226-GR$169,73-GR$169+SwaptionShift):INDEX($FK$245:$ID$316,$FJ226-GR$169,72-GR$169+SwaptionMonthsToGo+SwaptionShift))/SQRT(SUM(INDEX($FK381:$ID381,1+SwaptionShift):INDEX($FK381:$ID381,SwaptionMonthsToGo+SwaptionShift))*SUM(INDEX($FK$325:$ID$396,GR$169,1+SwaptionShift):INDEX($FK$325:$ID$396,GR$169,SwaptionMonthsToGo+SwaptionShift))))))</f>
        <v/>
      </c>
      <c r="GS226" s="150" t="str">
        <f aca="false">IF(OR(GS$169&lt;SwaptionFirstMonthPosition+1,$FJ226&lt;SwaptionFirstMonthPosition+1,GS$169&gt;SwaptionFirstMonthPosition+SwaptionNumOfMonths+1,$FJ226&gt;SwaptionFirstMonthPosition+SwaptionNumOfMonths+1),"",IF($FJ226=GS$169,1,IF($FJ226&lt;GS$169,INDEX($FK$170:$ID$241,GS$169,$FJ226),SUMPRODUCT(INDEX($FK$325:$ID$396,GS$169,1+SwaptionShift):INDEX($FK$325:$ID$396,GS$169,SwaptionMonthsToGo+SwaptionShift),INDEX($FK$245:$ID$316,$FJ226-GS$169,73-GS$169+SwaptionShift):INDEX($FK$245:$ID$316,$FJ226-GS$169,72-GS$169+SwaptionMonthsToGo+SwaptionShift))/SQRT(SUM(INDEX($FK381:$ID381,1+SwaptionShift):INDEX($FK381:$ID381,SwaptionMonthsToGo+SwaptionShift))*SUM(INDEX($FK$325:$ID$396,GS$169,1+SwaptionShift):INDEX($FK$325:$ID$396,GS$169,SwaptionMonthsToGo+SwaptionShift))))))</f>
        <v/>
      </c>
      <c r="GT226" s="150" t="str">
        <f aca="false">IF(OR(GT$169&lt;SwaptionFirstMonthPosition+1,$FJ226&lt;SwaptionFirstMonthPosition+1,GT$169&gt;SwaptionFirstMonthPosition+SwaptionNumOfMonths+1,$FJ226&gt;SwaptionFirstMonthPosition+SwaptionNumOfMonths+1),"",IF($FJ226=GT$169,1,IF($FJ226&lt;GT$169,INDEX($FK$170:$ID$241,GT$169,$FJ226),SUMPRODUCT(INDEX($FK$325:$ID$396,GT$169,1+SwaptionShift):INDEX($FK$325:$ID$396,GT$169,SwaptionMonthsToGo+SwaptionShift),INDEX($FK$245:$ID$316,$FJ226-GT$169,73-GT$169+SwaptionShift):INDEX($FK$245:$ID$316,$FJ226-GT$169,72-GT$169+SwaptionMonthsToGo+SwaptionShift))/SQRT(SUM(INDEX($FK381:$ID381,1+SwaptionShift):INDEX($FK381:$ID381,SwaptionMonthsToGo+SwaptionShift))*SUM(INDEX($FK$325:$ID$396,GT$169,1+SwaptionShift):INDEX($FK$325:$ID$396,GT$169,SwaptionMonthsToGo+SwaptionShift))))))</f>
        <v/>
      </c>
      <c r="GU226" s="150" t="str">
        <f aca="false">IF(OR(GU$169&lt;SwaptionFirstMonthPosition+1,$FJ226&lt;SwaptionFirstMonthPosition+1,GU$169&gt;SwaptionFirstMonthPosition+SwaptionNumOfMonths+1,$FJ226&gt;SwaptionFirstMonthPosition+SwaptionNumOfMonths+1),"",IF($FJ226=GU$169,1,IF($FJ226&lt;GU$169,INDEX($FK$170:$ID$241,GU$169,$FJ226),SUMPRODUCT(INDEX($FK$325:$ID$396,GU$169,1+SwaptionShift):INDEX($FK$325:$ID$396,GU$169,SwaptionMonthsToGo+SwaptionShift),INDEX($FK$245:$ID$316,$FJ226-GU$169,73-GU$169+SwaptionShift):INDEX($FK$245:$ID$316,$FJ226-GU$169,72-GU$169+SwaptionMonthsToGo+SwaptionShift))/SQRT(SUM(INDEX($FK381:$ID381,1+SwaptionShift):INDEX($FK381:$ID381,SwaptionMonthsToGo+SwaptionShift))*SUM(INDEX($FK$325:$ID$396,GU$169,1+SwaptionShift):INDEX($FK$325:$ID$396,GU$169,SwaptionMonthsToGo+SwaptionShift))))))</f>
        <v/>
      </c>
      <c r="GV226" s="150" t="str">
        <f aca="false">IF(OR(GV$169&lt;SwaptionFirstMonthPosition+1,$FJ226&lt;SwaptionFirstMonthPosition+1,GV$169&gt;SwaptionFirstMonthPosition+SwaptionNumOfMonths+1,$FJ226&gt;SwaptionFirstMonthPosition+SwaptionNumOfMonths+1),"",IF($FJ226=GV$169,1,IF($FJ226&lt;GV$169,INDEX($FK$170:$ID$241,GV$169,$FJ226),SUMPRODUCT(INDEX($FK$325:$ID$396,GV$169,1+SwaptionShift):INDEX($FK$325:$ID$396,GV$169,SwaptionMonthsToGo+SwaptionShift),INDEX($FK$245:$ID$316,$FJ226-GV$169,73-GV$169+SwaptionShift):INDEX($FK$245:$ID$316,$FJ226-GV$169,72-GV$169+SwaptionMonthsToGo+SwaptionShift))/SQRT(SUM(INDEX($FK381:$ID381,1+SwaptionShift):INDEX($FK381:$ID381,SwaptionMonthsToGo+SwaptionShift))*SUM(INDEX($FK$325:$ID$396,GV$169,1+SwaptionShift):INDEX($FK$325:$ID$396,GV$169,SwaptionMonthsToGo+SwaptionShift))))))</f>
        <v/>
      </c>
      <c r="GW226" s="150" t="str">
        <f aca="false">IF(OR(GW$169&lt;SwaptionFirstMonthPosition+1,$FJ226&lt;SwaptionFirstMonthPosition+1,GW$169&gt;SwaptionFirstMonthPosition+SwaptionNumOfMonths+1,$FJ226&gt;SwaptionFirstMonthPosition+SwaptionNumOfMonths+1),"",IF($FJ226=GW$169,1,IF($FJ226&lt;GW$169,INDEX($FK$170:$ID$241,GW$169,$FJ226),SUMPRODUCT(INDEX($FK$325:$ID$396,GW$169,1+SwaptionShift):INDEX($FK$325:$ID$396,GW$169,SwaptionMonthsToGo+SwaptionShift),INDEX($FK$245:$ID$316,$FJ226-GW$169,73-GW$169+SwaptionShift):INDEX($FK$245:$ID$316,$FJ226-GW$169,72-GW$169+SwaptionMonthsToGo+SwaptionShift))/SQRT(SUM(INDEX($FK381:$ID381,1+SwaptionShift):INDEX($FK381:$ID381,SwaptionMonthsToGo+SwaptionShift))*SUM(INDEX($FK$325:$ID$396,GW$169,1+SwaptionShift):INDEX($FK$325:$ID$396,GW$169,SwaptionMonthsToGo+SwaptionShift))))))</f>
        <v/>
      </c>
      <c r="GX226" s="150" t="str">
        <f aca="false">IF(OR(GX$169&lt;SwaptionFirstMonthPosition+1,$FJ226&lt;SwaptionFirstMonthPosition+1,GX$169&gt;SwaptionFirstMonthPosition+SwaptionNumOfMonths+1,$FJ226&gt;SwaptionFirstMonthPosition+SwaptionNumOfMonths+1),"",IF($FJ226=GX$169,1,IF($FJ226&lt;GX$169,INDEX($FK$170:$ID$241,GX$169,$FJ226),SUMPRODUCT(INDEX($FK$325:$ID$396,GX$169,1+SwaptionShift):INDEX($FK$325:$ID$396,GX$169,SwaptionMonthsToGo+SwaptionShift),INDEX($FK$245:$ID$316,$FJ226-GX$169,73-GX$169+SwaptionShift):INDEX($FK$245:$ID$316,$FJ226-GX$169,72-GX$169+SwaptionMonthsToGo+SwaptionShift))/SQRT(SUM(INDEX($FK381:$ID381,1+SwaptionShift):INDEX($FK381:$ID381,SwaptionMonthsToGo+SwaptionShift))*SUM(INDEX($FK$325:$ID$396,GX$169,1+SwaptionShift):INDEX($FK$325:$ID$396,GX$169,SwaptionMonthsToGo+SwaptionShift))))))</f>
        <v/>
      </c>
      <c r="GY226" s="150" t="str">
        <f aca="false">IF(OR(GY$169&lt;SwaptionFirstMonthPosition+1,$FJ226&lt;SwaptionFirstMonthPosition+1,GY$169&gt;SwaptionFirstMonthPosition+SwaptionNumOfMonths+1,$FJ226&gt;SwaptionFirstMonthPosition+SwaptionNumOfMonths+1),"",IF($FJ226=GY$169,1,IF($FJ226&lt;GY$169,INDEX($FK$170:$ID$241,GY$169,$FJ226),SUMPRODUCT(INDEX($FK$325:$ID$396,GY$169,1+SwaptionShift):INDEX($FK$325:$ID$396,GY$169,SwaptionMonthsToGo+SwaptionShift),INDEX($FK$245:$ID$316,$FJ226-GY$169,73-GY$169+SwaptionShift):INDEX($FK$245:$ID$316,$FJ226-GY$169,72-GY$169+SwaptionMonthsToGo+SwaptionShift))/SQRT(SUM(INDEX($FK381:$ID381,1+SwaptionShift):INDEX($FK381:$ID381,SwaptionMonthsToGo+SwaptionShift))*SUM(INDEX($FK$325:$ID$396,GY$169,1+SwaptionShift):INDEX($FK$325:$ID$396,GY$169,SwaptionMonthsToGo+SwaptionShift))))))</f>
        <v/>
      </c>
      <c r="GZ226" s="150" t="str">
        <f aca="false">IF(OR(GZ$169&lt;SwaptionFirstMonthPosition+1,$FJ226&lt;SwaptionFirstMonthPosition+1,GZ$169&gt;SwaptionFirstMonthPosition+SwaptionNumOfMonths+1,$FJ226&gt;SwaptionFirstMonthPosition+SwaptionNumOfMonths+1),"",IF($FJ226=GZ$169,1,IF($FJ226&lt;GZ$169,INDEX($FK$170:$ID$241,GZ$169,$FJ226),SUMPRODUCT(INDEX($FK$325:$ID$396,GZ$169,1+SwaptionShift):INDEX($FK$325:$ID$396,GZ$169,SwaptionMonthsToGo+SwaptionShift),INDEX($FK$245:$ID$316,$FJ226-GZ$169,73-GZ$169+SwaptionShift):INDEX($FK$245:$ID$316,$FJ226-GZ$169,72-GZ$169+SwaptionMonthsToGo+SwaptionShift))/SQRT(SUM(INDEX($FK381:$ID381,1+SwaptionShift):INDEX($FK381:$ID381,SwaptionMonthsToGo+SwaptionShift))*SUM(INDEX($FK$325:$ID$396,GZ$169,1+SwaptionShift):INDEX($FK$325:$ID$396,GZ$169,SwaptionMonthsToGo+SwaptionShift))))))</f>
        <v/>
      </c>
      <c r="HA226" s="150" t="str">
        <f aca="false">IF(OR(HA$169&lt;SwaptionFirstMonthPosition+1,$FJ226&lt;SwaptionFirstMonthPosition+1,HA$169&gt;SwaptionFirstMonthPosition+SwaptionNumOfMonths+1,$FJ226&gt;SwaptionFirstMonthPosition+SwaptionNumOfMonths+1),"",IF($FJ226=HA$169,1,IF($FJ226&lt;HA$169,INDEX($FK$170:$ID$241,HA$169,$FJ226),SUMPRODUCT(INDEX($FK$325:$ID$396,HA$169,1+SwaptionShift):INDEX($FK$325:$ID$396,HA$169,SwaptionMonthsToGo+SwaptionShift),INDEX($FK$245:$ID$316,$FJ226-HA$169,73-HA$169+SwaptionShift):INDEX($FK$245:$ID$316,$FJ226-HA$169,72-HA$169+SwaptionMonthsToGo+SwaptionShift))/SQRT(SUM(INDEX($FK381:$ID381,1+SwaptionShift):INDEX($FK381:$ID381,SwaptionMonthsToGo+SwaptionShift))*SUM(INDEX($FK$325:$ID$396,HA$169,1+SwaptionShift):INDEX($FK$325:$ID$396,HA$169,SwaptionMonthsToGo+SwaptionShift))))))</f>
        <v/>
      </c>
      <c r="HB226" s="150" t="str">
        <f aca="false">IF(OR(HB$169&lt;SwaptionFirstMonthPosition+1,$FJ226&lt;SwaptionFirstMonthPosition+1,HB$169&gt;SwaptionFirstMonthPosition+SwaptionNumOfMonths+1,$FJ226&gt;SwaptionFirstMonthPosition+SwaptionNumOfMonths+1),"",IF($FJ226=HB$169,1,IF($FJ226&lt;HB$169,INDEX($FK$170:$ID$241,HB$169,$FJ226),SUMPRODUCT(INDEX($FK$325:$ID$396,HB$169,1+SwaptionShift):INDEX($FK$325:$ID$396,HB$169,SwaptionMonthsToGo+SwaptionShift),INDEX($FK$245:$ID$316,$FJ226-HB$169,73-HB$169+SwaptionShift):INDEX($FK$245:$ID$316,$FJ226-HB$169,72-HB$169+SwaptionMonthsToGo+SwaptionShift))/SQRT(SUM(INDEX($FK381:$ID381,1+SwaptionShift):INDEX($FK381:$ID381,SwaptionMonthsToGo+SwaptionShift))*SUM(INDEX($FK$325:$ID$396,HB$169,1+SwaptionShift):INDEX($FK$325:$ID$396,HB$169,SwaptionMonthsToGo+SwaptionShift))))))</f>
        <v/>
      </c>
      <c r="HC226" s="150" t="str">
        <f aca="false">IF(OR(HC$169&lt;SwaptionFirstMonthPosition+1,$FJ226&lt;SwaptionFirstMonthPosition+1,HC$169&gt;SwaptionFirstMonthPosition+SwaptionNumOfMonths+1,$FJ226&gt;SwaptionFirstMonthPosition+SwaptionNumOfMonths+1),"",IF($FJ226=HC$169,1,IF($FJ226&lt;HC$169,INDEX($FK$170:$ID$241,HC$169,$FJ226),SUMPRODUCT(INDEX($FK$325:$ID$396,HC$169,1+SwaptionShift):INDEX($FK$325:$ID$396,HC$169,SwaptionMonthsToGo+SwaptionShift),INDEX($FK$245:$ID$316,$FJ226-HC$169,73-HC$169+SwaptionShift):INDEX($FK$245:$ID$316,$FJ226-HC$169,72-HC$169+SwaptionMonthsToGo+SwaptionShift))/SQRT(SUM(INDEX($FK381:$ID381,1+SwaptionShift):INDEX($FK381:$ID381,SwaptionMonthsToGo+SwaptionShift))*SUM(INDEX($FK$325:$ID$396,HC$169,1+SwaptionShift):INDEX($FK$325:$ID$396,HC$169,SwaptionMonthsToGo+SwaptionShift))))))</f>
        <v/>
      </c>
      <c r="HD226" s="150" t="str">
        <f aca="false">IF(OR(HD$169&lt;SwaptionFirstMonthPosition+1,$FJ226&lt;SwaptionFirstMonthPosition+1,HD$169&gt;SwaptionFirstMonthPosition+SwaptionNumOfMonths+1,$FJ226&gt;SwaptionFirstMonthPosition+SwaptionNumOfMonths+1),"",IF($FJ226=HD$169,1,IF($FJ226&lt;HD$169,INDEX($FK$170:$ID$241,HD$169,$FJ226),SUMPRODUCT(INDEX($FK$325:$ID$396,HD$169,1+SwaptionShift):INDEX($FK$325:$ID$396,HD$169,SwaptionMonthsToGo+SwaptionShift),INDEX($FK$245:$ID$316,$FJ226-HD$169,73-HD$169+SwaptionShift):INDEX($FK$245:$ID$316,$FJ226-HD$169,72-HD$169+SwaptionMonthsToGo+SwaptionShift))/SQRT(SUM(INDEX($FK381:$ID381,1+SwaptionShift):INDEX($FK381:$ID381,SwaptionMonthsToGo+SwaptionShift))*SUM(INDEX($FK$325:$ID$396,HD$169,1+SwaptionShift):INDEX($FK$325:$ID$396,HD$169,SwaptionMonthsToGo+SwaptionShift))))))</f>
        <v/>
      </c>
      <c r="HE226" s="150" t="str">
        <f aca="false">IF(OR(HE$169&lt;SwaptionFirstMonthPosition+1,$FJ226&lt;SwaptionFirstMonthPosition+1,HE$169&gt;SwaptionFirstMonthPosition+SwaptionNumOfMonths+1,$FJ226&gt;SwaptionFirstMonthPosition+SwaptionNumOfMonths+1),"",IF($FJ226=HE$169,1,IF($FJ226&lt;HE$169,INDEX($FK$170:$ID$241,HE$169,$FJ226),SUMPRODUCT(INDEX($FK$325:$ID$396,HE$169,1+SwaptionShift):INDEX($FK$325:$ID$396,HE$169,SwaptionMonthsToGo+SwaptionShift),INDEX($FK$245:$ID$316,$FJ226-HE$169,73-HE$169+SwaptionShift):INDEX($FK$245:$ID$316,$FJ226-HE$169,72-HE$169+SwaptionMonthsToGo+SwaptionShift))/SQRT(SUM(INDEX($FK381:$ID381,1+SwaptionShift):INDEX($FK381:$ID381,SwaptionMonthsToGo+SwaptionShift))*SUM(INDEX($FK$325:$ID$396,HE$169,1+SwaptionShift):INDEX($FK$325:$ID$396,HE$169,SwaptionMonthsToGo+SwaptionShift))))))</f>
        <v/>
      </c>
      <c r="HF226" s="150" t="str">
        <f aca="false">IF(OR(HF$169&lt;SwaptionFirstMonthPosition+1,$FJ226&lt;SwaptionFirstMonthPosition+1,HF$169&gt;SwaptionFirstMonthPosition+SwaptionNumOfMonths+1,$FJ226&gt;SwaptionFirstMonthPosition+SwaptionNumOfMonths+1),"",IF($FJ226=HF$169,1,IF($FJ226&lt;HF$169,INDEX($FK$170:$ID$241,HF$169,$FJ226),SUMPRODUCT(INDEX($FK$325:$ID$396,HF$169,1+SwaptionShift):INDEX($FK$325:$ID$396,HF$169,SwaptionMonthsToGo+SwaptionShift),INDEX($FK$245:$ID$316,$FJ226-HF$169,73-HF$169+SwaptionShift):INDEX($FK$245:$ID$316,$FJ226-HF$169,72-HF$169+SwaptionMonthsToGo+SwaptionShift))/SQRT(SUM(INDEX($FK381:$ID381,1+SwaptionShift):INDEX($FK381:$ID381,SwaptionMonthsToGo+SwaptionShift))*SUM(INDEX($FK$325:$ID$396,HF$169,1+SwaptionShift):INDEX($FK$325:$ID$396,HF$169,SwaptionMonthsToGo+SwaptionShift))))))</f>
        <v/>
      </c>
      <c r="HG226" s="150" t="str">
        <f aca="false">IF(OR(HG$169&lt;SwaptionFirstMonthPosition+1,$FJ226&lt;SwaptionFirstMonthPosition+1,HG$169&gt;SwaptionFirstMonthPosition+SwaptionNumOfMonths+1,$FJ226&gt;SwaptionFirstMonthPosition+SwaptionNumOfMonths+1),"",IF($FJ226=HG$169,1,IF($FJ226&lt;HG$169,INDEX($FK$170:$ID$241,HG$169,$FJ226),SUMPRODUCT(INDEX($FK$325:$ID$396,HG$169,1+SwaptionShift):INDEX($FK$325:$ID$396,HG$169,SwaptionMonthsToGo+SwaptionShift),INDEX($FK$245:$ID$316,$FJ226-HG$169,73-HG$169+SwaptionShift):INDEX($FK$245:$ID$316,$FJ226-HG$169,72-HG$169+SwaptionMonthsToGo+SwaptionShift))/SQRT(SUM(INDEX($FK381:$ID381,1+SwaptionShift):INDEX($FK381:$ID381,SwaptionMonthsToGo+SwaptionShift))*SUM(INDEX($FK$325:$ID$396,HG$169,1+SwaptionShift):INDEX($FK$325:$ID$396,HG$169,SwaptionMonthsToGo+SwaptionShift))))))</f>
        <v/>
      </c>
      <c r="HH226" s="150" t="str">
        <f aca="false">IF(OR(HH$169&lt;SwaptionFirstMonthPosition+1,$FJ226&lt;SwaptionFirstMonthPosition+1,HH$169&gt;SwaptionFirstMonthPosition+SwaptionNumOfMonths+1,$FJ226&gt;SwaptionFirstMonthPosition+SwaptionNumOfMonths+1),"",IF($FJ226=HH$169,1,IF($FJ226&lt;HH$169,INDEX($FK$170:$ID$241,HH$169,$FJ226),SUMPRODUCT(INDEX($FK$325:$ID$396,HH$169,1+SwaptionShift):INDEX($FK$325:$ID$396,HH$169,SwaptionMonthsToGo+SwaptionShift),INDEX($FK$245:$ID$316,$FJ226-HH$169,73-HH$169+SwaptionShift):INDEX($FK$245:$ID$316,$FJ226-HH$169,72-HH$169+SwaptionMonthsToGo+SwaptionShift))/SQRT(SUM(INDEX($FK381:$ID381,1+SwaptionShift):INDEX($FK381:$ID381,SwaptionMonthsToGo+SwaptionShift))*SUM(INDEX($FK$325:$ID$396,HH$169,1+SwaptionShift):INDEX($FK$325:$ID$396,HH$169,SwaptionMonthsToGo+SwaptionShift))))))</f>
        <v/>
      </c>
      <c r="HI226" s="150" t="str">
        <f aca="false">IF(OR(HI$169&lt;SwaptionFirstMonthPosition+1,$FJ226&lt;SwaptionFirstMonthPosition+1,HI$169&gt;SwaptionFirstMonthPosition+SwaptionNumOfMonths+1,$FJ226&gt;SwaptionFirstMonthPosition+SwaptionNumOfMonths+1),"",IF($FJ226=HI$169,1,IF($FJ226&lt;HI$169,INDEX($FK$170:$ID$241,HI$169,$FJ226),SUMPRODUCT(INDEX($FK$325:$ID$396,HI$169,1+SwaptionShift):INDEX($FK$325:$ID$396,HI$169,SwaptionMonthsToGo+SwaptionShift),INDEX($FK$245:$ID$316,$FJ226-HI$169,73-HI$169+SwaptionShift):INDEX($FK$245:$ID$316,$FJ226-HI$169,72-HI$169+SwaptionMonthsToGo+SwaptionShift))/SQRT(SUM(INDEX($FK381:$ID381,1+SwaptionShift):INDEX($FK381:$ID381,SwaptionMonthsToGo+SwaptionShift))*SUM(INDEX($FK$325:$ID$396,HI$169,1+SwaptionShift):INDEX($FK$325:$ID$396,HI$169,SwaptionMonthsToGo+SwaptionShift))))))</f>
        <v/>
      </c>
      <c r="HJ226" s="150" t="str">
        <f aca="false">IF(OR(HJ$169&lt;SwaptionFirstMonthPosition+1,$FJ226&lt;SwaptionFirstMonthPosition+1,HJ$169&gt;SwaptionFirstMonthPosition+SwaptionNumOfMonths+1,$FJ226&gt;SwaptionFirstMonthPosition+SwaptionNumOfMonths+1),"",IF($FJ226=HJ$169,1,IF($FJ226&lt;HJ$169,INDEX($FK$170:$ID$241,HJ$169,$FJ226),SUMPRODUCT(INDEX($FK$325:$ID$396,HJ$169,1+SwaptionShift):INDEX($FK$325:$ID$396,HJ$169,SwaptionMonthsToGo+SwaptionShift),INDEX($FK$245:$ID$316,$FJ226-HJ$169,73-HJ$169+SwaptionShift):INDEX($FK$245:$ID$316,$FJ226-HJ$169,72-HJ$169+SwaptionMonthsToGo+SwaptionShift))/SQRT(SUM(INDEX($FK381:$ID381,1+SwaptionShift):INDEX($FK381:$ID381,SwaptionMonthsToGo+SwaptionShift))*SUM(INDEX($FK$325:$ID$396,HJ$169,1+SwaptionShift):INDEX($FK$325:$ID$396,HJ$169,SwaptionMonthsToGo+SwaptionShift))))))</f>
        <v/>
      </c>
      <c r="HK226" s="150" t="str">
        <f aca="false">IF(OR(HK$169&lt;SwaptionFirstMonthPosition+1,$FJ226&lt;SwaptionFirstMonthPosition+1,HK$169&gt;SwaptionFirstMonthPosition+SwaptionNumOfMonths+1,$FJ226&gt;SwaptionFirstMonthPosition+SwaptionNumOfMonths+1),"",IF($FJ226=HK$169,1,IF($FJ226&lt;HK$169,INDEX($FK$170:$ID$241,HK$169,$FJ226),SUMPRODUCT(INDEX($FK$325:$ID$396,HK$169,1+SwaptionShift):INDEX($FK$325:$ID$396,HK$169,SwaptionMonthsToGo+SwaptionShift),INDEX($FK$245:$ID$316,$FJ226-HK$169,73-HK$169+SwaptionShift):INDEX($FK$245:$ID$316,$FJ226-HK$169,72-HK$169+SwaptionMonthsToGo+SwaptionShift))/SQRT(SUM(INDEX($FK381:$ID381,1+SwaptionShift):INDEX($FK381:$ID381,SwaptionMonthsToGo+SwaptionShift))*SUM(INDEX($FK$325:$ID$396,HK$169,1+SwaptionShift):INDEX($FK$325:$ID$396,HK$169,SwaptionMonthsToGo+SwaptionShift))))))</f>
        <v/>
      </c>
      <c r="HL226" s="150" t="str">
        <f aca="false">IF(OR(HL$169&lt;SwaptionFirstMonthPosition+1,$FJ226&lt;SwaptionFirstMonthPosition+1,HL$169&gt;SwaptionFirstMonthPosition+SwaptionNumOfMonths+1,$FJ226&gt;SwaptionFirstMonthPosition+SwaptionNumOfMonths+1),"",IF($FJ226=HL$169,1,IF($FJ226&lt;HL$169,INDEX($FK$170:$ID$241,HL$169,$FJ226),SUMPRODUCT(INDEX($FK$325:$ID$396,HL$169,1+SwaptionShift):INDEX($FK$325:$ID$396,HL$169,SwaptionMonthsToGo+SwaptionShift),INDEX($FK$245:$ID$316,$FJ226-HL$169,73-HL$169+SwaptionShift):INDEX($FK$245:$ID$316,$FJ226-HL$169,72-HL$169+SwaptionMonthsToGo+SwaptionShift))/SQRT(SUM(INDEX($FK381:$ID381,1+SwaptionShift):INDEX($FK381:$ID381,SwaptionMonthsToGo+SwaptionShift))*SUM(INDEX($FK$325:$ID$396,HL$169,1+SwaptionShift):INDEX($FK$325:$ID$396,HL$169,SwaptionMonthsToGo+SwaptionShift))))))</f>
        <v/>
      </c>
      <c r="HM226" s="150" t="str">
        <f aca="false">IF(OR(HM$169&lt;SwaptionFirstMonthPosition+1,$FJ226&lt;SwaptionFirstMonthPosition+1,HM$169&gt;SwaptionFirstMonthPosition+SwaptionNumOfMonths+1,$FJ226&gt;SwaptionFirstMonthPosition+SwaptionNumOfMonths+1),"",IF($FJ226=HM$169,1,IF($FJ226&lt;HM$169,INDEX($FK$170:$ID$241,HM$169,$FJ226),SUMPRODUCT(INDEX($FK$325:$ID$396,HM$169,1+SwaptionShift):INDEX($FK$325:$ID$396,HM$169,SwaptionMonthsToGo+SwaptionShift),INDEX($FK$245:$ID$316,$FJ226-HM$169,73-HM$169+SwaptionShift):INDEX($FK$245:$ID$316,$FJ226-HM$169,72-HM$169+SwaptionMonthsToGo+SwaptionShift))/SQRT(SUM(INDEX($FK381:$ID381,1+SwaptionShift):INDEX($FK381:$ID381,SwaptionMonthsToGo+SwaptionShift))*SUM(INDEX($FK$325:$ID$396,HM$169,1+SwaptionShift):INDEX($FK$325:$ID$396,HM$169,SwaptionMonthsToGo+SwaptionShift))))))</f>
        <v/>
      </c>
      <c r="HN226" s="150" t="str">
        <f aca="false">IF(OR(HN$169&lt;SwaptionFirstMonthPosition+1,$FJ226&lt;SwaptionFirstMonthPosition+1,HN$169&gt;SwaptionFirstMonthPosition+SwaptionNumOfMonths+1,$FJ226&gt;SwaptionFirstMonthPosition+SwaptionNumOfMonths+1),"",IF($FJ226=HN$169,1,IF($FJ226&lt;HN$169,INDEX($FK$170:$ID$241,HN$169,$FJ226),SUMPRODUCT(INDEX($FK$325:$ID$396,HN$169,1+SwaptionShift):INDEX($FK$325:$ID$396,HN$169,SwaptionMonthsToGo+SwaptionShift),INDEX($FK$245:$ID$316,$FJ226-HN$169,73-HN$169+SwaptionShift):INDEX($FK$245:$ID$316,$FJ226-HN$169,72-HN$169+SwaptionMonthsToGo+SwaptionShift))/SQRT(SUM(INDEX($FK381:$ID381,1+SwaptionShift):INDEX($FK381:$ID381,SwaptionMonthsToGo+SwaptionShift))*SUM(INDEX($FK$325:$ID$396,HN$169,1+SwaptionShift):INDEX($FK$325:$ID$396,HN$169,SwaptionMonthsToGo+SwaptionShift))))))</f>
        <v/>
      </c>
      <c r="HO226" s="150" t="str">
        <f aca="false">IF(OR(HO$169&lt;SwaptionFirstMonthPosition+1,$FJ226&lt;SwaptionFirstMonthPosition+1,HO$169&gt;SwaptionFirstMonthPosition+SwaptionNumOfMonths+1,$FJ226&gt;SwaptionFirstMonthPosition+SwaptionNumOfMonths+1),"",IF($FJ226=HO$169,1,IF($FJ226&lt;HO$169,INDEX($FK$170:$ID$241,HO$169,$FJ226),SUMPRODUCT(INDEX($FK$325:$ID$396,HO$169,1+SwaptionShift):INDEX($FK$325:$ID$396,HO$169,SwaptionMonthsToGo+SwaptionShift),INDEX($FK$245:$ID$316,$FJ226-HO$169,73-HO$169+SwaptionShift):INDEX($FK$245:$ID$316,$FJ226-HO$169,72-HO$169+SwaptionMonthsToGo+SwaptionShift))/SQRT(SUM(INDEX($FK381:$ID381,1+SwaptionShift):INDEX($FK381:$ID381,SwaptionMonthsToGo+SwaptionShift))*SUM(INDEX($FK$325:$ID$396,HO$169,1+SwaptionShift):INDEX($FK$325:$ID$396,HO$169,SwaptionMonthsToGo+SwaptionShift))))))</f>
        <v/>
      </c>
      <c r="HP226" s="150" t="str">
        <f aca="false">IF(OR(HP$169&lt;SwaptionFirstMonthPosition+1,$FJ226&lt;SwaptionFirstMonthPosition+1,HP$169&gt;SwaptionFirstMonthPosition+SwaptionNumOfMonths+1,$FJ226&gt;SwaptionFirstMonthPosition+SwaptionNumOfMonths+1),"",IF($FJ226=HP$169,1,IF($FJ226&lt;HP$169,INDEX($FK$170:$ID$241,HP$169,$FJ226),SUMPRODUCT(INDEX($FK$325:$ID$396,HP$169,1+SwaptionShift):INDEX($FK$325:$ID$396,HP$169,SwaptionMonthsToGo+SwaptionShift),INDEX($FK$245:$ID$316,$FJ226-HP$169,73-HP$169+SwaptionShift):INDEX($FK$245:$ID$316,$FJ226-HP$169,72-HP$169+SwaptionMonthsToGo+SwaptionShift))/SQRT(SUM(INDEX($FK381:$ID381,1+SwaptionShift):INDEX($FK381:$ID381,SwaptionMonthsToGo+SwaptionShift))*SUM(INDEX($FK$325:$ID$396,HP$169,1+SwaptionShift):INDEX($FK$325:$ID$396,HP$169,SwaptionMonthsToGo+SwaptionShift))))))</f>
        <v/>
      </c>
      <c r="HQ226" s="150" t="str">
        <f aca="false">IF(OR(HQ$169&lt;SwaptionFirstMonthPosition+1,$FJ226&lt;SwaptionFirstMonthPosition+1,HQ$169&gt;SwaptionFirstMonthPosition+SwaptionNumOfMonths+1,$FJ226&gt;SwaptionFirstMonthPosition+SwaptionNumOfMonths+1),"",IF($FJ226=HQ$169,1,IF($FJ226&lt;HQ$169,INDEX($FK$170:$ID$241,HQ$169,$FJ226),SUMPRODUCT(INDEX($FK$325:$ID$396,HQ$169,1+SwaptionShift):INDEX($FK$325:$ID$396,HQ$169,SwaptionMonthsToGo+SwaptionShift),INDEX($FK$245:$ID$316,$FJ226-HQ$169,73-HQ$169+SwaptionShift):INDEX($FK$245:$ID$316,$FJ226-HQ$169,72-HQ$169+SwaptionMonthsToGo+SwaptionShift))/SQRT(SUM(INDEX($FK381:$ID381,1+SwaptionShift):INDEX($FK381:$ID381,SwaptionMonthsToGo+SwaptionShift))*SUM(INDEX($FK$325:$ID$396,HQ$169,1+SwaptionShift):INDEX($FK$325:$ID$396,HQ$169,SwaptionMonthsToGo+SwaptionShift))))))</f>
        <v/>
      </c>
      <c r="HR226" s="150" t="str">
        <f aca="false">IF(OR(HR$169&lt;SwaptionFirstMonthPosition+1,$FJ226&lt;SwaptionFirstMonthPosition+1,HR$169&gt;SwaptionFirstMonthPosition+SwaptionNumOfMonths+1,$FJ226&gt;SwaptionFirstMonthPosition+SwaptionNumOfMonths+1),"",IF($FJ226=HR$169,1,IF($FJ226&lt;HR$169,INDEX($FK$170:$ID$241,HR$169,$FJ226),SUMPRODUCT(INDEX($FK$325:$ID$396,HR$169,1+SwaptionShift):INDEX($FK$325:$ID$396,HR$169,SwaptionMonthsToGo+SwaptionShift),INDEX($FK$245:$ID$316,$FJ226-HR$169,73-HR$169+SwaptionShift):INDEX($FK$245:$ID$316,$FJ226-HR$169,72-HR$169+SwaptionMonthsToGo+SwaptionShift))/SQRT(SUM(INDEX($FK381:$ID381,1+SwaptionShift):INDEX($FK381:$ID381,SwaptionMonthsToGo+SwaptionShift))*SUM(INDEX($FK$325:$ID$396,HR$169,1+SwaptionShift):INDEX($FK$325:$ID$396,HR$169,SwaptionMonthsToGo+SwaptionShift))))))</f>
        <v/>
      </c>
      <c r="HS226" s="150" t="str">
        <f aca="false">IF(OR(HS$169&lt;SwaptionFirstMonthPosition+1,$FJ226&lt;SwaptionFirstMonthPosition+1,HS$169&gt;SwaptionFirstMonthPosition+SwaptionNumOfMonths+1,$FJ226&gt;SwaptionFirstMonthPosition+SwaptionNumOfMonths+1),"",IF($FJ226=HS$169,1,IF($FJ226&lt;HS$169,INDEX($FK$170:$ID$241,HS$169,$FJ226),SUMPRODUCT(INDEX($FK$325:$ID$396,HS$169,1+SwaptionShift):INDEX($FK$325:$ID$396,HS$169,SwaptionMonthsToGo+SwaptionShift),INDEX($FK$245:$ID$316,$FJ226-HS$169,73-HS$169+SwaptionShift):INDEX($FK$245:$ID$316,$FJ226-HS$169,72-HS$169+SwaptionMonthsToGo+SwaptionShift))/SQRT(SUM(INDEX($FK381:$ID381,1+SwaptionShift):INDEX($FK381:$ID381,SwaptionMonthsToGo+SwaptionShift))*SUM(INDEX($FK$325:$ID$396,HS$169,1+SwaptionShift):INDEX($FK$325:$ID$396,HS$169,SwaptionMonthsToGo+SwaptionShift))))))</f>
        <v/>
      </c>
      <c r="HT226" s="150" t="str">
        <f aca="false">IF(OR(HT$169&lt;SwaptionFirstMonthPosition+1,$FJ226&lt;SwaptionFirstMonthPosition+1,HT$169&gt;SwaptionFirstMonthPosition+SwaptionNumOfMonths+1,$FJ226&gt;SwaptionFirstMonthPosition+SwaptionNumOfMonths+1),"",IF($FJ226=HT$169,1,IF($FJ226&lt;HT$169,INDEX($FK$170:$ID$241,HT$169,$FJ226),SUMPRODUCT(INDEX($FK$325:$ID$396,HT$169,1+SwaptionShift):INDEX($FK$325:$ID$396,HT$169,SwaptionMonthsToGo+SwaptionShift),INDEX($FK$245:$ID$316,$FJ226-HT$169,73-HT$169+SwaptionShift):INDEX($FK$245:$ID$316,$FJ226-HT$169,72-HT$169+SwaptionMonthsToGo+SwaptionShift))/SQRT(SUM(INDEX($FK381:$ID381,1+SwaptionShift):INDEX($FK381:$ID381,SwaptionMonthsToGo+SwaptionShift))*SUM(INDEX($FK$325:$ID$396,HT$169,1+SwaptionShift):INDEX($FK$325:$ID$396,HT$169,SwaptionMonthsToGo+SwaptionShift))))))</f>
        <v/>
      </c>
      <c r="HU226" s="150" t="str">
        <f aca="false">IF(OR(HU$169&lt;SwaptionFirstMonthPosition+1,$FJ226&lt;SwaptionFirstMonthPosition+1,HU$169&gt;SwaptionFirstMonthPosition+SwaptionNumOfMonths+1,$FJ226&gt;SwaptionFirstMonthPosition+SwaptionNumOfMonths+1),"",IF($FJ226=HU$169,1,IF($FJ226&lt;HU$169,INDEX($FK$170:$ID$241,HU$169,$FJ226),SUMPRODUCT(INDEX($FK$325:$ID$396,HU$169,1+SwaptionShift):INDEX($FK$325:$ID$396,HU$169,SwaptionMonthsToGo+SwaptionShift),INDEX($FK$245:$ID$316,$FJ226-HU$169,73-HU$169+SwaptionShift):INDEX($FK$245:$ID$316,$FJ226-HU$169,72-HU$169+SwaptionMonthsToGo+SwaptionShift))/SQRT(SUM(INDEX($FK381:$ID381,1+SwaptionShift):INDEX($FK381:$ID381,SwaptionMonthsToGo+SwaptionShift))*SUM(INDEX($FK$325:$ID$396,HU$169,1+SwaptionShift):INDEX($FK$325:$ID$396,HU$169,SwaptionMonthsToGo+SwaptionShift))))))</f>
        <v/>
      </c>
      <c r="HV226" s="150" t="str">
        <f aca="false">IF(OR(HV$169&lt;SwaptionFirstMonthPosition+1,$FJ226&lt;SwaptionFirstMonthPosition+1,HV$169&gt;SwaptionFirstMonthPosition+SwaptionNumOfMonths+1,$FJ226&gt;SwaptionFirstMonthPosition+SwaptionNumOfMonths+1),"",IF($FJ226=HV$169,1,IF($FJ226&lt;HV$169,INDEX($FK$170:$ID$241,HV$169,$FJ226),SUMPRODUCT(INDEX($FK$325:$ID$396,HV$169,1+SwaptionShift):INDEX($FK$325:$ID$396,HV$169,SwaptionMonthsToGo+SwaptionShift),INDEX($FK$245:$ID$316,$FJ226-HV$169,73-HV$169+SwaptionShift):INDEX($FK$245:$ID$316,$FJ226-HV$169,72-HV$169+SwaptionMonthsToGo+SwaptionShift))/SQRT(SUM(INDEX($FK381:$ID381,1+SwaptionShift):INDEX($FK381:$ID381,SwaptionMonthsToGo+SwaptionShift))*SUM(INDEX($FK$325:$ID$396,HV$169,1+SwaptionShift):INDEX($FK$325:$ID$396,HV$169,SwaptionMonthsToGo+SwaptionShift))))))</f>
        <v/>
      </c>
      <c r="HW226" s="150" t="str">
        <f aca="false">IF(OR(HW$169&lt;SwaptionFirstMonthPosition+1,$FJ226&lt;SwaptionFirstMonthPosition+1,HW$169&gt;SwaptionFirstMonthPosition+SwaptionNumOfMonths+1,$FJ226&gt;SwaptionFirstMonthPosition+SwaptionNumOfMonths+1),"",IF($FJ226=HW$169,1,IF($FJ226&lt;HW$169,INDEX($FK$170:$ID$241,HW$169,$FJ226),SUMPRODUCT(INDEX($FK$325:$ID$396,HW$169,1+SwaptionShift):INDEX($FK$325:$ID$396,HW$169,SwaptionMonthsToGo+SwaptionShift),INDEX($FK$245:$ID$316,$FJ226-HW$169,73-HW$169+SwaptionShift):INDEX($FK$245:$ID$316,$FJ226-HW$169,72-HW$169+SwaptionMonthsToGo+SwaptionShift))/SQRT(SUM(INDEX($FK381:$ID381,1+SwaptionShift):INDEX($FK381:$ID381,SwaptionMonthsToGo+SwaptionShift))*SUM(INDEX($FK$325:$ID$396,HW$169,1+SwaptionShift):INDEX($FK$325:$ID$396,HW$169,SwaptionMonthsToGo+SwaptionShift))))))</f>
        <v/>
      </c>
      <c r="HX226" s="150" t="str">
        <f aca="false">IF(OR(HX$169&lt;SwaptionFirstMonthPosition+1,$FJ226&lt;SwaptionFirstMonthPosition+1,HX$169&gt;SwaptionFirstMonthPosition+SwaptionNumOfMonths+1,$FJ226&gt;SwaptionFirstMonthPosition+SwaptionNumOfMonths+1),"",IF($FJ226=HX$169,1,IF($FJ226&lt;HX$169,INDEX($FK$170:$ID$241,HX$169,$FJ226),SUMPRODUCT(INDEX($FK$325:$ID$396,HX$169,1+SwaptionShift):INDEX($FK$325:$ID$396,HX$169,SwaptionMonthsToGo+SwaptionShift),INDEX($FK$245:$ID$316,$FJ226-HX$169,73-HX$169+SwaptionShift):INDEX($FK$245:$ID$316,$FJ226-HX$169,72-HX$169+SwaptionMonthsToGo+SwaptionShift))/SQRT(SUM(INDEX($FK381:$ID381,1+SwaptionShift):INDEX($FK381:$ID381,SwaptionMonthsToGo+SwaptionShift))*SUM(INDEX($FK$325:$ID$396,HX$169,1+SwaptionShift):INDEX($FK$325:$ID$396,HX$169,SwaptionMonthsToGo+SwaptionShift))))))</f>
        <v/>
      </c>
      <c r="HY226" s="150" t="str">
        <f aca="false">IF(OR(HY$169&lt;SwaptionFirstMonthPosition+1,$FJ226&lt;SwaptionFirstMonthPosition+1,HY$169&gt;SwaptionFirstMonthPosition+SwaptionNumOfMonths+1,$FJ226&gt;SwaptionFirstMonthPosition+SwaptionNumOfMonths+1),"",IF($FJ226=HY$169,1,IF($FJ226&lt;HY$169,INDEX($FK$170:$ID$241,HY$169,$FJ226),SUMPRODUCT(INDEX($FK$325:$ID$396,HY$169,1+SwaptionShift):INDEX($FK$325:$ID$396,HY$169,SwaptionMonthsToGo+SwaptionShift),INDEX($FK$245:$ID$316,$FJ226-HY$169,73-HY$169+SwaptionShift):INDEX($FK$245:$ID$316,$FJ226-HY$169,72-HY$169+SwaptionMonthsToGo+SwaptionShift))/SQRT(SUM(INDEX($FK381:$ID381,1+SwaptionShift):INDEX($FK381:$ID381,SwaptionMonthsToGo+SwaptionShift))*SUM(INDEX($FK$325:$ID$396,HY$169,1+SwaptionShift):INDEX($FK$325:$ID$396,HY$169,SwaptionMonthsToGo+SwaptionShift))))))</f>
        <v/>
      </c>
      <c r="HZ226" s="150" t="str">
        <f aca="false">IF(OR(HZ$169&lt;SwaptionFirstMonthPosition+1,$FJ226&lt;SwaptionFirstMonthPosition+1,HZ$169&gt;SwaptionFirstMonthPosition+SwaptionNumOfMonths+1,$FJ226&gt;SwaptionFirstMonthPosition+SwaptionNumOfMonths+1),"",IF($FJ226=HZ$169,1,IF($FJ226&lt;HZ$169,INDEX($FK$170:$ID$241,HZ$169,$FJ226),SUMPRODUCT(INDEX($FK$325:$ID$396,HZ$169,1+SwaptionShift):INDEX($FK$325:$ID$396,HZ$169,SwaptionMonthsToGo+SwaptionShift),INDEX($FK$245:$ID$316,$FJ226-HZ$169,73-HZ$169+SwaptionShift):INDEX($FK$245:$ID$316,$FJ226-HZ$169,72-HZ$169+SwaptionMonthsToGo+SwaptionShift))/SQRT(SUM(INDEX($FK381:$ID381,1+SwaptionShift):INDEX($FK381:$ID381,SwaptionMonthsToGo+SwaptionShift))*SUM(INDEX($FK$325:$ID$396,HZ$169,1+SwaptionShift):INDEX($FK$325:$ID$396,HZ$169,SwaptionMonthsToGo+SwaptionShift))))))</f>
        <v/>
      </c>
      <c r="IA226" s="150" t="str">
        <f aca="false">IF(OR(IA$169&lt;SwaptionFirstMonthPosition+1,$FJ226&lt;SwaptionFirstMonthPosition+1,IA$169&gt;SwaptionFirstMonthPosition+SwaptionNumOfMonths+1,$FJ226&gt;SwaptionFirstMonthPosition+SwaptionNumOfMonths+1),"",IF($FJ226=IA$169,1,IF($FJ226&lt;IA$169,INDEX($FK$170:$ID$241,IA$169,$FJ226),SUMPRODUCT(INDEX($FK$325:$ID$396,IA$169,1+SwaptionShift):INDEX($FK$325:$ID$396,IA$169,SwaptionMonthsToGo+SwaptionShift),INDEX($FK$245:$ID$316,$FJ226-IA$169,73-IA$169+SwaptionShift):INDEX($FK$245:$ID$316,$FJ226-IA$169,72-IA$169+SwaptionMonthsToGo+SwaptionShift))/SQRT(SUM(INDEX($FK381:$ID381,1+SwaptionShift):INDEX($FK381:$ID381,SwaptionMonthsToGo+SwaptionShift))*SUM(INDEX($FK$325:$ID$396,IA$169,1+SwaptionShift):INDEX($FK$325:$ID$396,IA$169,SwaptionMonthsToGo+SwaptionShift))))))</f>
        <v/>
      </c>
      <c r="IB226" s="150" t="str">
        <f aca="false">IF(OR(IB$169&lt;SwaptionFirstMonthPosition+1,$FJ226&lt;SwaptionFirstMonthPosition+1,IB$169&gt;SwaptionFirstMonthPosition+SwaptionNumOfMonths+1,$FJ226&gt;SwaptionFirstMonthPosition+SwaptionNumOfMonths+1),"",IF($FJ226=IB$169,1,IF($FJ226&lt;IB$169,INDEX($FK$170:$ID$241,IB$169,$FJ226),SUMPRODUCT(INDEX($FK$325:$ID$396,IB$169,1+SwaptionShift):INDEX($FK$325:$ID$396,IB$169,SwaptionMonthsToGo+SwaptionShift),INDEX($FK$245:$ID$316,$FJ226-IB$169,73-IB$169+SwaptionShift):INDEX($FK$245:$ID$316,$FJ226-IB$169,72-IB$169+SwaptionMonthsToGo+SwaptionShift))/SQRT(SUM(INDEX($FK381:$ID381,1+SwaptionShift):INDEX($FK381:$ID381,SwaptionMonthsToGo+SwaptionShift))*SUM(INDEX($FK$325:$ID$396,IB$169,1+SwaptionShift):INDEX($FK$325:$ID$396,IB$169,SwaptionMonthsToGo+SwaptionShift))))))</f>
        <v/>
      </c>
      <c r="IC226" s="150" t="str">
        <f aca="false">IF(OR(IC$169&lt;SwaptionFirstMonthPosition+1,$FJ226&lt;SwaptionFirstMonthPosition+1,IC$169&gt;SwaptionFirstMonthPosition+SwaptionNumOfMonths+1,$FJ226&gt;SwaptionFirstMonthPosition+SwaptionNumOfMonths+1),"",IF($FJ226=IC$169,1,IF($FJ226&lt;IC$169,INDEX($FK$170:$ID$241,IC$169,$FJ226),SUMPRODUCT(INDEX($FK$325:$ID$396,IC$169,1+SwaptionShift):INDEX($FK$325:$ID$396,IC$169,SwaptionMonthsToGo+SwaptionShift),INDEX($FK$245:$ID$316,$FJ226-IC$169,73-IC$169+SwaptionShift):INDEX($FK$245:$ID$316,$FJ226-IC$169,72-IC$169+SwaptionMonthsToGo+SwaptionShift))/SQRT(SUM(INDEX($FK381:$ID381,1+SwaptionShift):INDEX($FK381:$ID381,SwaptionMonthsToGo+SwaptionShift))*SUM(INDEX($FK$325:$ID$396,IC$169,1+SwaptionShift):INDEX($FK$325:$ID$396,IC$169,SwaptionMonthsToGo+SwaptionShift))))))</f>
        <v/>
      </c>
      <c r="ID226" s="572" t="str">
        <f aca="false">IF(OR(ID$169&lt;SwaptionFirstMonthPosition+1,$FJ226&lt;SwaptionFirstMonthPosition+1,ID$169&gt;SwaptionFirstMonthPosition+SwaptionNumOfMonths+1,$FJ226&gt;SwaptionFirstMonthPosition+SwaptionNumOfMonths+1),"",IF($FJ226=ID$169,1,IF($FJ226&lt;ID$169,INDEX($FK$170:$ID$241,ID$169,$FJ226),SUMPRODUCT(INDEX($FK$325:$ID$396,ID$169,1+SwaptionShift):INDEX($FK$325:$ID$396,ID$169,SwaptionMonthsToGo+SwaptionShift),INDEX($FK$245:$ID$316,$FJ226-ID$169,73-ID$169+SwaptionShift):INDEX($FK$245:$ID$316,$FJ226-ID$169,72-ID$169+SwaptionMonthsToGo+SwaptionShift))/SQRT(SUM(INDEX($FK381:$ID381,1+SwaptionShift):INDEX($FK381:$ID381,SwaptionMonthsToGo+SwaptionShift))*SUM(INDEX($FK$325:$ID$396,ID$169,1+SwaptionShift):INDEX($FK$325:$ID$396,ID$169,SwaptionMonthsToGo+SwaptionShift))))))</f>
        <v/>
      </c>
      <c r="IE226" s="129"/>
    </row>
    <row r="227" customFormat="false" ht="12.75" hidden="false" customHeight="false" outlineLevel="0" collapsed="false">
      <c r="H227" s="219" t="n">
        <f aca="false">VLOOKUP(I227,$EJ$20:$EL$54,3)</f>
        <v>0</v>
      </c>
      <c r="I227" s="511" t="n">
        <f aca="false">EOMONTH(I226,0)+1</f>
        <v>43070</v>
      </c>
      <c r="J227" s="512"/>
      <c r="K227" s="513" t="s">
        <v>280</v>
      </c>
      <c r="L227" s="514" t="n">
        <f aca="false">IF(ISNUMBER(K227),J227+K227/100,IF(K227="extra",L226+VLOOKUP(BF227,PriceSpreadTable,2)/12,IF(K227="inter",interpolateprices($K$19:$L$200,ROW(K227)-ROW(FirstPricingMonth)+1),interpolatechanges($J$19:$K$200,ROW(K227)-ROW(FirstPricingMonth)+1))))</f>
        <v>4.9125</v>
      </c>
      <c r="M227" s="515"/>
      <c r="N227" s="516" t="n">
        <v>0</v>
      </c>
      <c r="O227" s="515" t="n">
        <f aca="false">M227+N227</f>
        <v>0</v>
      </c>
      <c r="P227" s="512"/>
      <c r="Q227" s="513" t="s">
        <v>280</v>
      </c>
      <c r="R227" s="512" t="e">
        <f aca="false">IF(ISNUMBER(Q227),P227+Q227/100,IF(Q227="extra",(Z225*AL225-R226*AM225)/AN225,IF(Q227="inter",interpolateprices($Q$19:$R$260,ROW(Q227)-ROW(FirstPricingMonth)+1),interpolatechanges($P$19:$Q$260,ROW(Q227)-ROW(FirstPricingMonth)+1))))</f>
        <v>#VALUE!</v>
      </c>
      <c r="S227" s="597" t="n">
        <f aca="false">S$19+(S226-S$19)*S$18</f>
        <v>0.36</v>
      </c>
      <c r="T227" s="575" t="n">
        <f aca="false">SQRT((1-(1-T226^2/U226)*T$18)*U227)</f>
        <v>1</v>
      </c>
      <c r="U227" s="576" t="n">
        <f aca="false">1-(1-U226)*U$18</f>
        <v>1</v>
      </c>
      <c r="V227" s="521" t="n">
        <v>0</v>
      </c>
      <c r="W227" s="577" t="n">
        <f aca="false">(J228*AJ227+J229*AK227)/AI227</f>
        <v>0</v>
      </c>
      <c r="X227" s="578" t="n">
        <f aca="false">(L228*AJ227+L229*AK227)/AI227</f>
        <v>4.96125</v>
      </c>
      <c r="Y227" s="579" t="n">
        <f aca="false">IF(Q229="extra",W227-AA227,(P228*AM227+P229*AN227)/AL227)</f>
        <v>-1.1931</v>
      </c>
      <c r="Z227" s="579" t="n">
        <f aca="false">IF(Q229="extra",X227-AB227,(R228*AM227+R229*AN227)/AL227)</f>
        <v>3.76815</v>
      </c>
      <c r="AA227" s="523" t="n">
        <f aca="false">IF(Q229="extra",INDEX(BrentSeasonalityTable,INT((BG227-1)/3)+1)*VLOOKUP(MAX(BF227,$AB$4),PriceSpreadTable,3),W227-Y227)</f>
        <v>1.1931</v>
      </c>
      <c r="AB227" s="524" t="n">
        <f aca="false">IF(Q229="extra",INDEX(BrentSeasonalityTable,INT((BG227-1)/3)+1)*VLOOKUP(MAX(BF227,$AB$4),PriceSpreadTable,3),X227-Z227)</f>
        <v>1.1931</v>
      </c>
      <c r="AC227" s="646" t="n">
        <v>43059</v>
      </c>
      <c r="AD227" s="646" t="n">
        <v>43055</v>
      </c>
      <c r="AE227" s="646" t="n">
        <v>43054</v>
      </c>
      <c r="AF227" s="646" t="n">
        <v>43050</v>
      </c>
      <c r="AG227" s="438" t="s">
        <v>278</v>
      </c>
      <c r="AH227" s="439" t="s">
        <v>278</v>
      </c>
      <c r="AI227" s="528" t="n">
        <v>20</v>
      </c>
      <c r="AJ227" s="529" t="n">
        <v>14</v>
      </c>
      <c r="AK227" s="529" t="n">
        <v>6</v>
      </c>
      <c r="AL227" s="530" t="n">
        <v>20</v>
      </c>
      <c r="AM227" s="529" t="n">
        <v>10</v>
      </c>
      <c r="AN227" s="531" t="n">
        <v>10</v>
      </c>
      <c r="AO227" s="532"/>
      <c r="AP227" s="465" t="n">
        <f aca="false">(1+AO227/2)^(-2*BL227)</f>
        <v>1</v>
      </c>
      <c r="AQ227" s="532"/>
      <c r="AR227" s="465" t="n">
        <f aca="false">(1+AQ227/2)^(-2*BH227/365.25)</f>
        <v>1</v>
      </c>
      <c r="AS227" s="580" t="n">
        <f aca="false">(O228*AJ227+O229*AK227)/AI227</f>
        <v>0</v>
      </c>
      <c r="AT227" s="468" t="n">
        <f aca="false">O227*VLOOKUP(BF227,BrentVolTable,2)+VLOOKUP(BF227,BrentVolTable,3)</f>
        <v>0</v>
      </c>
      <c r="AU227" s="468" t="n">
        <f aca="false">(AT228*AM227+AT229*AN227)/AL227</f>
        <v>0</v>
      </c>
      <c r="AV227" s="595" t="n">
        <f aca="false">SQRT(MAX(0.000000000001,(O227^2*BH227-S227^2*(BH227-BH226))/BH226))</f>
        <v>0.0372142682047421</v>
      </c>
      <c r="AW227" s="451" t="n">
        <f aca="false">IF($I227-DateToday+15&gt;=$T$8,"",IF($I227-DateToday+15&lt;$T$5,1,MATCH($I227-DateToday+15,$T$5:$T$8)))</f>
        <v>1</v>
      </c>
      <c r="AX227" s="468" t="n">
        <f aca="false">IF($AW227="",AX226^2/AX225,INDEX(U$5:U$8,$AW227)^((INDEX($T$5:$T$8,$AW227+1)-($I227-DateToday+15))/(INDEX($T$5:$T$8,$AW227+1)-INDEX($T$5:$T$8,$AW227)))/INDEX(U$5:U$8,$AW227+1)^((INDEX($T$5:$T$8,$AW227)-($I227-DateToday+15))/(INDEX($T$5:$T$8,$AW227+1)-INDEX($T$5:$T$8,$AW227))))</f>
        <v>0.150254803543662</v>
      </c>
      <c r="AY227" s="468" t="n">
        <f aca="false">IF($AW227="",AY226^2/AY225,INDEX(V$5:V$8,$AW227)^((INDEX($T$5:$T$8,$AW227+1)-($I227-DateToday+15))/(INDEX($T$5:$T$8,$AW227+1)-INDEX($T$5:$T$8,$AW227)))/INDEX(V$5:V$8,$AW227+1)^((INDEX($T$5:$T$8,$AW227)-($I227-DateToday+15))/(INDEX($T$5:$T$8,$AW227+1)-INDEX($T$5:$T$8,$AW227))))</f>
        <v>0.851335390302736</v>
      </c>
      <c r="AZ227" s="468" t="n">
        <f aca="false">IF($AW227="",AZ226^2/AZ225,INDEX(W$5:W$8,$AW227)^((INDEX($T$5:$T$8,$AW227+1)-($I227-DateToday+15))/(INDEX($T$5:$T$8,$AW227+1)-INDEX($T$5:$T$8,$AW227)))/INDEX(W$5:W$8,$AW227+1)^((INDEX($T$5:$T$8,$AW227)-($I227-DateToday+15))/(INDEX($T$5:$T$8,$AW227+1)-INDEX($T$5:$T$8,$AW227))))</f>
        <v>28.1558047177071</v>
      </c>
      <c r="BA227" s="468" t="n">
        <f aca="false">IF($AW227="",BA226^2/BA225,INDEX(X$5:X$8,$AW227)^((INDEX($T$5:$T$8,$AW227+1)-($I227-DateToday+15))/(INDEX($T$5:$T$8,$AW227+1)-INDEX($T$5:$T$8,$AW227)))/INDEX(X$5:X$8,$AW227+1)^((INDEX($T$5:$T$8,$AW227)-($I227-DateToday+15))/(INDEX($T$5:$T$8,$AW227+1)-INDEX($T$5:$T$8,$AW227))))</f>
        <v>44.0681761090915</v>
      </c>
      <c r="BB227" s="468" t="n">
        <f aca="false">IF($AW227="",BB226^2/BB225,INDEX(Y$5:Y$8,$AW227)^((INDEX($T$5:$T$8,$AW227+1)-($I227-DateToday+15))/(INDEX($T$5:$T$8,$AW227+1)-INDEX($T$5:$T$8,$AW227)))/INDEX(Y$5:Y$8,$AW227+1)^((INDEX($T$5:$T$8,$AW227)-($I227-DateToday+15))/(INDEX($T$5:$T$8,$AW227+1)-INDEX($T$5:$T$8,$AW227))))</f>
        <v>156.969869135752</v>
      </c>
      <c r="BC227" s="468" t="n">
        <f aca="false">IF($AW227="",BC226^2/BC225,INDEX(Z$5:Z$8,$AW227)^((INDEX($T$5:$T$8,$AW227+1)-($I227-DateToday+15))/(INDEX($T$5:$T$8,$AW227+1)-INDEX($T$5:$T$8,$AW227)))/INDEX(Z$5:Z$8,$AW227+1)^((INDEX($T$5:$T$8,$AW227)-($I227-DateToday+15))/(INDEX($T$5:$T$8,$AW227+1)-INDEX($T$5:$T$8,$AW227))))</f>
        <v>346.041560197013</v>
      </c>
      <c r="BD227" s="535" t="n">
        <f aca="false">IF(OR(DateStart&gt;=I228,DateEnd&lt;I227),0,IF(VolumeOverrideFlag,V227,Volume))</f>
        <v>0</v>
      </c>
      <c r="BE227" s="536" t="n">
        <f aca="false">IF(OR(DateStart2&gt;=I228,DateEnd2&lt;I227),0,IF(VolumeOverrideFlag,V227,VolumeSwaption))</f>
        <v>0</v>
      </c>
      <c r="BF227" s="537" t="n">
        <f aca="false">YEAR(I227)</f>
        <v>2017</v>
      </c>
      <c r="BG227" s="538" t="n">
        <f aca="false">MONTH(I227)</f>
        <v>12</v>
      </c>
      <c r="BH227" s="539" t="n">
        <f aca="false">AD227-DateToday+1</f>
        <v>-2870</v>
      </c>
      <c r="BI227" s="540" t="n">
        <f aca="false">(I227-DateToday+1)/365.25</f>
        <v>-7.81656399726215</v>
      </c>
      <c r="BJ227" s="541" t="n">
        <f aca="false">BI227+(BL227-BI227)*CHOOSE(Underlying,AJ227/AI227,AM227/AL227)</f>
        <v>-7.75906913073237</v>
      </c>
      <c r="BK227" s="541" t="n">
        <f aca="false">BJ227+1/365.25</f>
        <v>-7.75633127994524</v>
      </c>
      <c r="BL227" s="541" t="n">
        <f aca="false">(I228-DateToday)/365.25</f>
        <v>-7.73442847364819</v>
      </c>
      <c r="BM227" s="542" t="e">
        <f aca="false">MAX(BI227-(BJ227-BI227)*(S228^2/O228^2-1),0)</f>
        <v>#DIV/0!</v>
      </c>
      <c r="BN227" s="541" t="e">
        <f aca="false">MAX(BL227+(BL227-BK227)*(S229^2/O229^2-1),0)</f>
        <v>#DIV/0!</v>
      </c>
      <c r="BO227" s="530" t="n">
        <f aca="false">CHOOSE(Underlying,AI227,AL227)</f>
        <v>20</v>
      </c>
      <c r="BP227" s="529" t="n">
        <f aca="false">CHOOSE(Underlying,AJ227,AM227)</f>
        <v>14</v>
      </c>
      <c r="BQ227" s="529" t="n">
        <f aca="false">CHOOSE(Underlying,AK227,AN227)</f>
        <v>6</v>
      </c>
      <c r="BR227" s="463" t="str">
        <f aca="false">IF(BD227,IF(Underlying=1,X227,Z227)+UnderlyingPriceAsian-SwapPriceCurve,"")</f>
        <v/>
      </c>
      <c r="BS227" s="463" t="str">
        <f aca="false">IF(BD227,Strike1/BR227-1,"")</f>
        <v/>
      </c>
      <c r="BT227" s="464" t="str">
        <f aca="false">IF(BD227,Strike2/BR227-1,"")</f>
        <v/>
      </c>
      <c r="BU227" s="465" t="str">
        <f aca="false">IF(BD227,IF(Underlying=1,L228,R228)+UnderlyingPriceAsian-SwapPriceCurve,"")</f>
        <v/>
      </c>
      <c r="BV227" s="465" t="str">
        <f aca="false">IF(BD227,IF(Underlying=1,L229,R229)+UnderlyingPriceAsian-SwapPriceCurve,"")</f>
        <v/>
      </c>
      <c r="BW227" s="466" t="str">
        <f aca="false">IF(BD227,IF(Underlying=1,O228,AT228),"")</f>
        <v/>
      </c>
      <c r="BX227" s="467" t="str">
        <f aca="false">IF(BD227,IF(Underlying=1,O229,AT229),"")</f>
        <v/>
      </c>
      <c r="BY227" s="466" t="str">
        <f aca="false">IF(BD227,IF(BS227&gt;0,IF(BS227&gt;0.2,BC227-BB227,IF(BS227&gt;0.1,BB227-BA227,BA227)),IF(BS227&lt;-0.2,AX227-AY227,IF(BS227&lt;-0.1,AY227-AZ227,AZ227))),"")</f>
        <v/>
      </c>
      <c r="BZ227" s="467" t="str">
        <f aca="false">IF(BD227,IF(BT227&gt;0,IF(BT227&gt;0.2,BC227-BB227,IF(BT227&gt;0.1,BB227-BA227,BA227)),IF(BT227&lt;-0.2,AX227-AY227,IF(BT227&lt;-0.1,AY227-AZ227,AZ227))),"")</f>
        <v/>
      </c>
      <c r="CA227" s="468" t="str">
        <f aca="false">IF($BD227,$BW227+IF(VolSkewFlag=1,IF(BS227&gt;0,$BA227*MIN(BS227/10%,1)+($BB227-$BA227)*MAX(0,MIN(BS227/10%-1,1))+($BC227-$BB227)*MAX(0,BS227/10%-2),$AZ227*MIN(-BS227/10%,1)+($AY227-$AZ227)*MAX(0,MIN(-BS227/10%-1,1))+($AX227-$AY227)*MAX(0,-BS227/10%-2)),0),"")</f>
        <v/>
      </c>
      <c r="CB227" s="468" t="str">
        <f aca="false">IF($BD227,$BX227+IF(VolSkewFlag=1,IF(BS227&gt;0,$BA227*MIN(BS227/10%,1)+($BB227-$BA227)*MAX(0,MIN(BS227/10%-1,1))+($BC227-$BB227)*MAX(0,BS227/10%-2),$AZ227*MIN(-BS227/10%,1)+($AY227-$AZ227)*MAX(0,MIN(-BS227/10%-1,1))+($AX227-$AY227)*MAX(0,-BS227/10%-2)),0),"")</f>
        <v/>
      </c>
      <c r="CC227" s="468" t="str">
        <f aca="false">IF($BD227,$BW227+IF(VolSkewFlag=1,IF(BT227&gt;0,$BA227*MIN(BT227/10%,1)+($BB227-$BA227)*MAX(0,MIN(BT227/10%-1,1))+($BC227-$BB227)*MAX(0,BT227/10%-2),$AZ227*MIN(-BT227/10%,1)+($AY227-$AZ227)*MAX(0,MIN(-BT227/10%-1,1))+($AX227-$AY227)*MAX(0,-BT227/10%-2)),0),"")</f>
        <v/>
      </c>
      <c r="CD227" s="468" t="str">
        <f aca="false">IF($BD227,$BX227+IF(VolSkewFlag=1,IF(BT227&gt;0,$BA227*MIN(BT227/10%,1)+($BB227-$BA227)*MAX(0,MIN(BT227/10%-1,1))+($BC227-$BB227)*MAX(0,BT227/10%-2),$AZ227*MIN(-BT227/10%,1)+($AY227-$AZ227)*MAX(0,MIN(-BT227/10%-1,1))+($AX227-$AY227)*MAX(0,-BT227/10%-2)),0),"")</f>
        <v/>
      </c>
      <c r="CE227" s="469" t="n">
        <v>1</v>
      </c>
      <c r="CF227" s="470" t="n">
        <f aca="false">IF(BD227,xCrudeAPO(BU227,BV227,CA227,CB227,S228,S229,BI227,BL227,BP227,BQ227,0,Strike1,AO227,CE227,0,BL227,IF(OptControl=4,0,1),0,1),0)</f>
        <v>0</v>
      </c>
      <c r="CG227" s="470" t="n">
        <f aca="false">IF(BD227,xCrudeAPO(BU227,BV227,CA227,CB227,S228,S229,BI227,BL227,BP227,BQ227,0,Strike1,AO227,CE227,0,BL227,IF(OptControl=4,0,1),1,1)+xCrudeAPO(BU227,BV227,CA227,CB227,S228,S229,BI227,BL227,BP227,BQ227,0,Strike1,AO227,CE227,0,BL227,IF(OptControl=4,0,1),1,2)+IF(OR(VolSkewFlag=2,ABS(BS227)&lt;0.0001),0,IF(BS227&gt;0,-1,1)*CH227*Strike1/BR227^2*BY227/10%),0)</f>
        <v>0</v>
      </c>
      <c r="CH227" s="470" t="n">
        <f aca="false">IF(BD227,(xCrudeAPO(BU227,BV227,CA227,CB227,S228,S229,BI227,BL227,BP227,BQ227,0,Strike1,AO227,CE227,0,BL227,IF(OptControl=4,0,1),3,1)+xCrudeAPO(BU227,BV227,CA227,CB227,S228,S229,BI227,BL227,BP227,BQ227,0,Strike1,AO227,CE227,0,BL227,IF(OptControl=4,0,1),3,2))/100,0)</f>
        <v>0</v>
      </c>
      <c r="CI227" s="470" t="n">
        <f aca="false">IF(BD227,xCrudeAPO(BU227,BV227,CA227,CB227,S228,S229,BI227-DaysForThetaCalculation/365.25,BL227-DaysForThetaCalculation/365.25,BP227,BQ227,0,Strike1,AO227,CE227,0,BL227,IF(OptControl=4,0,1),0,1)-xCrudeAPO(BU227,BV227,CA227,CB227,S228,S229,BI227,BL227,BP227,BQ227,0,Strike1,AO227,CE227,0,BL227,IF(OptControl=4,0,1),0,1),0)</f>
        <v>0</v>
      </c>
      <c r="CJ227" s="471" t="n">
        <f aca="false">IF(BD227,xCrudeAPO(BU227,BV227,CC227,CD227,S228,S229,BI227,BL227,BP227,BQ227,0,Strike2,AO227,CE227,0,BL227,IF(OptControl=3,1,0),0,1),0)</f>
        <v>0</v>
      </c>
      <c r="CK227" s="470" t="n">
        <f aca="false">IF(BD227,xCrudeAPO(BU227,BV227,CC227,CD227,S228,S229,BI227,BL227,BP227,BQ227,0,Strike2,AO227,CE227,0,BL227,IF(OptControl=3,1,0),1,1)+xCrudeAPO(BU227,BV227,CC227,CD227,S228,S229,BI227,BL227,BP227,BQ227,0,Strike2,AO227,CE227,0,BL227,IF(OptControl=3,1,0),1,2)+IF(OR(VolSkewFlag=2,ABS(BT227)&lt;0.0001),0,IF(BT227&gt;0,-1,1)*CL227*Strike2/BR227^2*BZ227/10%),0)</f>
        <v>0</v>
      </c>
      <c r="CL227" s="470" t="n">
        <f aca="false">IF(BD227,(xCrudeAPO(BU227,BV227,CC227,CD227,S228,S229,BI227,BL227,BP227,BQ227,0,Strike2,AO227,CE227,0,BL227,IF(OptControl=3,1,0),3,1)+xCrudeAPO(BU227,BV227,CC227,CD227,S228,S229,BI227,BL227,BP227,BQ227,0,Strike2,AO227,CE227,0,BL227,IF(OptControl=3,1,0),3,2))/100,0)</f>
        <v>0</v>
      </c>
      <c r="CM227" s="472" t="n">
        <f aca="false">IF(BD227,xCrudeAPO(BU227,BV227,CC227,CD227,S228,S229,BI227-DaysForThetaCalculation/365.25,BL227-DaysForThetaCalculation/365.25,BP227,BQ227,0,Strike2,AO227,CE227,0,BL227,IF(OptControl=3,1,0),0,1)-xCrudeAPO(BU227,BV227,CC227,CD227,S228,S229,BI227,BL227,BP227,BQ227,0,Strike2,AO227,CE227,0,BL227,IF(OptControl=3,1,0),0,1),0)</f>
        <v>0</v>
      </c>
      <c r="CN227" s="3"/>
      <c r="CO227" s="543" t="str">
        <f aca="false">IF(BD227,CHOOSE(Underlying,AD227,AF227)-DateToday+1,"")</f>
        <v/>
      </c>
      <c r="CP227" s="582" t="str">
        <f aca="false">IF(BD227,CHOOSE(Underlying,L227,R227),"")</f>
        <v/>
      </c>
      <c r="CQ227" s="544" t="str">
        <f aca="false">IF(BD227,Strike1/CP227-1,"")</f>
        <v/>
      </c>
      <c r="CR227" s="544" t="str">
        <f aca="false">IF(BD227,Strike2/CP227-1,"")</f>
        <v/>
      </c>
      <c r="CS227" s="544" t="str">
        <f aca="false">IF(BD227,IF(CQ227&gt;0,IF(CQ227&gt;0.2,BC226-BB226,IF(CQ227&gt;0.1,BB226-BA226,BA226)),IF(CQ227&lt;-0.2,AX226-AY226,IF(CQ227&lt;-0.1,AY226-AZ226,AZ226))),"")</f>
        <v/>
      </c>
      <c r="CT227" s="544" t="str">
        <f aca="false">IF(BD227,IF(CR227&gt;0,IF(CR227&gt;0.2,BC226-BB226,IF(CR227&gt;0.1,BB226-BA226,BA226)),IF(CR227&lt;-0.2,AX226-AY226,IF(CR227&lt;-0.1,AY226-AZ226,AZ226))),"")</f>
        <v/>
      </c>
      <c r="CU227" s="545" t="str">
        <f aca="false">IF(BD227,CHOOSE(Underlying,O227,AT227),"")</f>
        <v/>
      </c>
      <c r="CV227" s="545" t="str">
        <f aca="false">IF(BD227,CU227+IF(VolSkewFlag=1,IF(CQ227&gt;0,BA226*MIN(CQ227/10%,1)+(BB226-BA226)*MAX(0,MIN(CQ227/10%-1,1))+(BC226-BB226)*MAX(0,CQ227/10%-2),AZ226*MIN(-CQ227/10%,1)+(AY226-AZ226)*MAX(0,MIN(-CQ227/10%-1,1))+(AX226-AY226)*MAX(0,-CQ227/10%-2)),0),"")</f>
        <v/>
      </c>
      <c r="CW227" s="545" t="str">
        <f aca="false">IF(BD227,CU227+IF(VolSkewFlag=1,IF(CR227&gt;0,BA226*MIN(CR227/10%,1)+(BB226-BA226)*MAX(0,MIN(CR227/10%-1,1))+(BC226-BB226)*MAX(0,CR227/10%-2),AZ226*MIN(-CR227/10%,1)+(AY226-AZ226)*MAX(0,MIN(-CR227/10%-1,1))+(AX226-AY226)*MAX(0,-CR227/10%-2)),0),"")</f>
        <v/>
      </c>
      <c r="CX227" s="470" t="n">
        <f aca="false">IF(BD227,EURO(CP227,Strike1,AO227,AO227,CV227,CO227,IF(OptControl=4,0,1),0),0)</f>
        <v>0</v>
      </c>
      <c r="CY227" s="470" t="n">
        <f aca="false">IF(BD227,EURO(CP227,Strike1,AO227,AO227,CV227,CO227,IF(OptControl=4,0,1),1)+IF(OR(VolSkewFlag=2,ABS(CQ227)&lt;0.0001),0,IF(CQ227&gt;0,-1,1)*CZ227*100*Strike1/CP227^2*CS227/10%),0)</f>
        <v>0</v>
      </c>
      <c r="CZ227" s="470" t="n">
        <f aca="false">IF(BD227,EURO(CP227,Strike1,AO227,AO227,CV227,CO227,IF(OptControl=4,0,1),3)/100,0)</f>
        <v>0</v>
      </c>
      <c r="DA227" s="470" t="n">
        <f aca="false">IF(BD227,EURO(CP227,Strike1,AO227,AO227,CV227,CO227,IF(OptControl=4,0,1),0)-EURO(CP227,Strike1,AO227,AO227,CV227,CO227-1,IF(OptControl=4,0,1),0),0)</f>
        <v>0</v>
      </c>
      <c r="DB227" s="470" t="n">
        <f aca="false">IF(BD227,EURO(CP227,Strike2,AO227,AO227,CW227,CO227,IF(OptControl=3,1,0),0),0)</f>
        <v>0</v>
      </c>
      <c r="DC227" s="470" t="n">
        <f aca="false">IF(BD227,EURO(CP227,Strike2,AO227,AO227,CW227,CO227,IF(OptControl=3,1,0),1)+IF(OR(VolSkewFlag=2,ABS(CR227)&lt;0.0001),0,IF(CR227&gt;0,-1,1)*DD227*100*Strike2/CP227^2*CT227/10%),0)</f>
        <v>0</v>
      </c>
      <c r="DD227" s="470" t="n">
        <f aca="false">IF(BD227,EURO(CP227,Strike2,AO227,AO227,CW227,CO227,IF(OptControl=3,1,0),3)/100,0)</f>
        <v>0</v>
      </c>
      <c r="DE227" s="472" t="n">
        <f aca="false">IF(BD227,EURO(CP227,Strike2,AO227,AO227,CW227,CO227,IF(OptControl=3,1,0),0)-EURO(CP227,Strike2,AO227,AO227,CW227,CO227-1,IF(OptControl=3,1,0),0),0)</f>
        <v>0</v>
      </c>
      <c r="DG227" s="481" t="n">
        <f aca="false">EOMONTH(DG226,0)+1</f>
        <v>51987</v>
      </c>
      <c r="DH227" s="478" t="n">
        <v>24.5100000000001</v>
      </c>
      <c r="DI227" s="479" t="n">
        <v>24.5773913043479</v>
      </c>
      <c r="DJ227" s="480" t="n">
        <f aca="false">DG227</f>
        <v>51987</v>
      </c>
      <c r="DK227" s="478" t="n">
        <v>23.3442231211976</v>
      </c>
      <c r="DL227" s="479" t="n">
        <v>23.2858913043479</v>
      </c>
      <c r="DM227" s="481" t="n">
        <f aca="false">DG227</f>
        <v>51987</v>
      </c>
      <c r="DN227" s="482" t="n">
        <f aca="false">DK227+BrentPhyBrentSpread</f>
        <v>23.3942231211976</v>
      </c>
      <c r="DO227" s="481" t="n">
        <f aca="false">DG227</f>
        <v>51987</v>
      </c>
      <c r="DP227" s="483" t="n">
        <f aca="false">DL227+DQ227</f>
        <v>23.2858913043479</v>
      </c>
      <c r="DQ227" s="546" t="n">
        <v>0</v>
      </c>
      <c r="DR227" s="480" t="n">
        <f aca="false">DG227</f>
        <v>51987</v>
      </c>
      <c r="DS227" s="485" t="n">
        <v>0.100399999999998</v>
      </c>
      <c r="DT227" s="486" t="n">
        <v>0.0995913043478241</v>
      </c>
      <c r="DU227" s="480" t="n">
        <f aca="false">DG227</f>
        <v>51987</v>
      </c>
      <c r="DV227" s="485" t="n">
        <v>0.100399999999998</v>
      </c>
      <c r="DW227" s="486" t="n">
        <v>0.0995913043478241</v>
      </c>
      <c r="DX227" s="481" t="n">
        <f aca="false">DG227</f>
        <v>51987</v>
      </c>
      <c r="DY227" s="486" t="n">
        <v>0.35</v>
      </c>
      <c r="DZ227" s="481" t="n">
        <f aca="false">DR227</f>
        <v>51987</v>
      </c>
      <c r="EA227" s="486" t="n">
        <f aca="false">DT227</f>
        <v>0.0995913043478241</v>
      </c>
      <c r="EB227" s="195"/>
      <c r="EC227" s="547" t="str">
        <f aca="false">IF(BD227,IF(Underlying=1,AS227,AU227),"")</f>
        <v/>
      </c>
      <c r="ED227" s="548" t="str">
        <f aca="false">IF($BD227,$EC227+IF(VolSkewFlag=1,IF(BS227&gt;0,$BA227*MIN(BS227/10%,1)+($BB227-$BA227)*MAX(0,MIN(BS227/10%-1,1))+($BC227-$BB227)*MAX(0,BS227/10%-2),$AZ227*MIN(-BS227/10%,1)+($AY227-$AZ227)*MAX(0,MIN(-BS227/10%-1,1))+($AX227-$AY227)*MAX(0,-BS227/10%-2)),0),"")</f>
        <v/>
      </c>
      <c r="EE227" s="549" t="str">
        <f aca="false">IF($BD227,$EC227+IF(VolSkewFlag=1,IF(BT227&gt;0,$BA227*MIN(BT227/10%,1)+($BB227-$BA227)*MAX(0,MIN(BT227/10%-1,1))+($BC227-$BB227)*MAX(0,BT227/10%-2),$AZ227*MIN(-BT227/10%,1)+($AY227-$AZ227)*MAX(0,MIN(-BT227/10%-1,1))+($AX227-$AY227)*MAX(0,-BT227/10%-2)),0),"")</f>
        <v/>
      </c>
      <c r="EF227" s="550" t="n">
        <f aca="false">IF(BD227,xASN(BR227,Strike1,AO227,ED227,0,BO227,0,BI227,BL227,IF(OptControl=4,0,1),0),0)</f>
        <v>0</v>
      </c>
      <c r="EG227" s="551" t="n">
        <f aca="false">IF(BD227,xASN(BR227,Strike2,AO227,EE227,0,BO227,0,BI227,BL227,IF(OptControl=3,1,0),0),0)</f>
        <v>0</v>
      </c>
      <c r="EL227" s="1"/>
      <c r="EM227" s="195"/>
      <c r="EN227" s="240"/>
      <c r="EO227" s="240"/>
      <c r="EP227" s="195"/>
      <c r="EQ227" s="407" t="s">
        <v>455</v>
      </c>
      <c r="ES227" s="1"/>
      <c r="EU227" s="672"/>
      <c r="FJ227" s="571" t="n">
        <v>58</v>
      </c>
      <c r="FK227" s="150" t="str">
        <f aca="false">IF(OR(FK$169&lt;SwaptionFirstMonthPosition+1,$FJ227&lt;SwaptionFirstMonthPosition+1,FK$169&gt;SwaptionFirstMonthPosition+SwaptionNumOfMonths+1,$FJ227&gt;SwaptionFirstMonthPosition+SwaptionNumOfMonths+1),"",IF($FJ227=FK$169,1,IF($FJ227&lt;FK$169,INDEX($FK$170:$ID$241,FK$169,$FJ227),SUMPRODUCT(INDEX($FK$325:$ID$396,FK$169,1+SwaptionShift):INDEX($FK$325:$ID$396,FK$169,SwaptionMonthsToGo+SwaptionShift),INDEX($FK$245:$ID$316,$FJ227-FK$169,73-FK$169+SwaptionShift):INDEX($FK$245:$ID$316,$FJ227-FK$169,72-FK$169+SwaptionMonthsToGo+SwaptionShift))/SQRT(SUM(INDEX($FK382:$ID382,1+SwaptionShift):INDEX($FK382:$ID382,SwaptionMonthsToGo+SwaptionShift))*SUM(INDEX($FK$325:$ID$396,FK$169,1+SwaptionShift):INDEX($FK$325:$ID$396,FK$169,SwaptionMonthsToGo+SwaptionShift))))))</f>
        <v/>
      </c>
      <c r="FL227" s="150" t="str">
        <f aca="false">IF(OR(FL$169&lt;SwaptionFirstMonthPosition+1,$FJ227&lt;SwaptionFirstMonthPosition+1,FL$169&gt;SwaptionFirstMonthPosition+SwaptionNumOfMonths+1,$FJ227&gt;SwaptionFirstMonthPosition+SwaptionNumOfMonths+1),"",IF($FJ227=FL$169,1,IF($FJ227&lt;FL$169,INDEX($FK$170:$ID$241,FL$169,$FJ227),SUMPRODUCT(INDEX($FK$325:$ID$396,FL$169,1+SwaptionShift):INDEX($FK$325:$ID$396,FL$169,SwaptionMonthsToGo+SwaptionShift),INDEX($FK$245:$ID$316,$FJ227-FL$169,73-FL$169+SwaptionShift):INDEX($FK$245:$ID$316,$FJ227-FL$169,72-FL$169+SwaptionMonthsToGo+SwaptionShift))/SQRT(SUM(INDEX($FK382:$ID382,1+SwaptionShift):INDEX($FK382:$ID382,SwaptionMonthsToGo+SwaptionShift))*SUM(INDEX($FK$325:$ID$396,FL$169,1+SwaptionShift):INDEX($FK$325:$ID$396,FL$169,SwaptionMonthsToGo+SwaptionShift))))))</f>
        <v/>
      </c>
      <c r="FM227" s="150" t="str">
        <f aca="false">IF(OR(FM$169&lt;SwaptionFirstMonthPosition+1,$FJ227&lt;SwaptionFirstMonthPosition+1,FM$169&gt;SwaptionFirstMonthPosition+SwaptionNumOfMonths+1,$FJ227&gt;SwaptionFirstMonthPosition+SwaptionNumOfMonths+1),"",IF($FJ227=FM$169,1,IF($FJ227&lt;FM$169,INDEX($FK$170:$ID$241,FM$169,$FJ227),SUMPRODUCT(INDEX($FK$325:$ID$396,FM$169,1+SwaptionShift):INDEX($FK$325:$ID$396,FM$169,SwaptionMonthsToGo+SwaptionShift),INDEX($FK$245:$ID$316,$FJ227-FM$169,73-FM$169+SwaptionShift):INDEX($FK$245:$ID$316,$FJ227-FM$169,72-FM$169+SwaptionMonthsToGo+SwaptionShift))/SQRT(SUM(INDEX($FK382:$ID382,1+SwaptionShift):INDEX($FK382:$ID382,SwaptionMonthsToGo+SwaptionShift))*SUM(INDEX($FK$325:$ID$396,FM$169,1+SwaptionShift):INDEX($FK$325:$ID$396,FM$169,SwaptionMonthsToGo+SwaptionShift))))))</f>
        <v/>
      </c>
      <c r="FN227" s="150" t="str">
        <f aca="false">IF(OR(FN$169&lt;SwaptionFirstMonthPosition+1,$FJ227&lt;SwaptionFirstMonthPosition+1,FN$169&gt;SwaptionFirstMonthPosition+SwaptionNumOfMonths+1,$FJ227&gt;SwaptionFirstMonthPosition+SwaptionNumOfMonths+1),"",IF($FJ227=FN$169,1,IF($FJ227&lt;FN$169,INDEX($FK$170:$ID$241,FN$169,$FJ227),SUMPRODUCT(INDEX($FK$325:$ID$396,FN$169,1+SwaptionShift):INDEX($FK$325:$ID$396,FN$169,SwaptionMonthsToGo+SwaptionShift),INDEX($FK$245:$ID$316,$FJ227-FN$169,73-FN$169+SwaptionShift):INDEX($FK$245:$ID$316,$FJ227-FN$169,72-FN$169+SwaptionMonthsToGo+SwaptionShift))/SQRT(SUM(INDEX($FK382:$ID382,1+SwaptionShift):INDEX($FK382:$ID382,SwaptionMonthsToGo+SwaptionShift))*SUM(INDEX($FK$325:$ID$396,FN$169,1+SwaptionShift):INDEX($FK$325:$ID$396,FN$169,SwaptionMonthsToGo+SwaptionShift))))))</f>
        <v/>
      </c>
      <c r="FO227" s="150" t="str">
        <f aca="false">IF(OR(FO$169&lt;SwaptionFirstMonthPosition+1,$FJ227&lt;SwaptionFirstMonthPosition+1,FO$169&gt;SwaptionFirstMonthPosition+SwaptionNumOfMonths+1,$FJ227&gt;SwaptionFirstMonthPosition+SwaptionNumOfMonths+1),"",IF($FJ227=FO$169,1,IF($FJ227&lt;FO$169,INDEX($FK$170:$ID$241,FO$169,$FJ227),SUMPRODUCT(INDEX($FK$325:$ID$396,FO$169,1+SwaptionShift):INDEX($FK$325:$ID$396,FO$169,SwaptionMonthsToGo+SwaptionShift),INDEX($FK$245:$ID$316,$FJ227-FO$169,73-FO$169+SwaptionShift):INDEX($FK$245:$ID$316,$FJ227-FO$169,72-FO$169+SwaptionMonthsToGo+SwaptionShift))/SQRT(SUM(INDEX($FK382:$ID382,1+SwaptionShift):INDEX($FK382:$ID382,SwaptionMonthsToGo+SwaptionShift))*SUM(INDEX($FK$325:$ID$396,FO$169,1+SwaptionShift):INDEX($FK$325:$ID$396,FO$169,SwaptionMonthsToGo+SwaptionShift))))))</f>
        <v/>
      </c>
      <c r="FP227" s="150" t="str">
        <f aca="false">IF(OR(FP$169&lt;SwaptionFirstMonthPosition+1,$FJ227&lt;SwaptionFirstMonthPosition+1,FP$169&gt;SwaptionFirstMonthPosition+SwaptionNumOfMonths+1,$FJ227&gt;SwaptionFirstMonthPosition+SwaptionNumOfMonths+1),"",IF($FJ227=FP$169,1,IF($FJ227&lt;FP$169,INDEX($FK$170:$ID$241,FP$169,$FJ227),SUMPRODUCT(INDEX($FK$325:$ID$396,FP$169,1+SwaptionShift):INDEX($FK$325:$ID$396,FP$169,SwaptionMonthsToGo+SwaptionShift),INDEX($FK$245:$ID$316,$FJ227-FP$169,73-FP$169+SwaptionShift):INDEX($FK$245:$ID$316,$FJ227-FP$169,72-FP$169+SwaptionMonthsToGo+SwaptionShift))/SQRT(SUM(INDEX($FK382:$ID382,1+SwaptionShift):INDEX($FK382:$ID382,SwaptionMonthsToGo+SwaptionShift))*SUM(INDEX($FK$325:$ID$396,FP$169,1+SwaptionShift):INDEX($FK$325:$ID$396,FP$169,SwaptionMonthsToGo+SwaptionShift))))))</f>
        <v/>
      </c>
      <c r="FQ227" s="150" t="str">
        <f aca="false">IF(OR(FQ$169&lt;SwaptionFirstMonthPosition+1,$FJ227&lt;SwaptionFirstMonthPosition+1,FQ$169&gt;SwaptionFirstMonthPosition+SwaptionNumOfMonths+1,$FJ227&gt;SwaptionFirstMonthPosition+SwaptionNumOfMonths+1),"",IF($FJ227=FQ$169,1,IF($FJ227&lt;FQ$169,INDEX($FK$170:$ID$241,FQ$169,$FJ227),SUMPRODUCT(INDEX($FK$325:$ID$396,FQ$169,1+SwaptionShift):INDEX($FK$325:$ID$396,FQ$169,SwaptionMonthsToGo+SwaptionShift),INDEX($FK$245:$ID$316,$FJ227-FQ$169,73-FQ$169+SwaptionShift):INDEX($FK$245:$ID$316,$FJ227-FQ$169,72-FQ$169+SwaptionMonthsToGo+SwaptionShift))/SQRT(SUM(INDEX($FK382:$ID382,1+SwaptionShift):INDEX($FK382:$ID382,SwaptionMonthsToGo+SwaptionShift))*SUM(INDEX($FK$325:$ID$396,FQ$169,1+SwaptionShift):INDEX($FK$325:$ID$396,FQ$169,SwaptionMonthsToGo+SwaptionShift))))))</f>
        <v/>
      </c>
      <c r="FR227" s="150" t="str">
        <f aca="false">IF(OR(FR$169&lt;SwaptionFirstMonthPosition+1,$FJ227&lt;SwaptionFirstMonthPosition+1,FR$169&gt;SwaptionFirstMonthPosition+SwaptionNumOfMonths+1,$FJ227&gt;SwaptionFirstMonthPosition+SwaptionNumOfMonths+1),"",IF($FJ227=FR$169,1,IF($FJ227&lt;FR$169,INDEX($FK$170:$ID$241,FR$169,$FJ227),SUMPRODUCT(INDEX($FK$325:$ID$396,FR$169,1+SwaptionShift):INDEX($FK$325:$ID$396,FR$169,SwaptionMonthsToGo+SwaptionShift),INDEX($FK$245:$ID$316,$FJ227-FR$169,73-FR$169+SwaptionShift):INDEX($FK$245:$ID$316,$FJ227-FR$169,72-FR$169+SwaptionMonthsToGo+SwaptionShift))/SQRT(SUM(INDEX($FK382:$ID382,1+SwaptionShift):INDEX($FK382:$ID382,SwaptionMonthsToGo+SwaptionShift))*SUM(INDEX($FK$325:$ID$396,FR$169,1+SwaptionShift):INDEX($FK$325:$ID$396,FR$169,SwaptionMonthsToGo+SwaptionShift))))))</f>
        <v/>
      </c>
      <c r="FS227" s="150" t="str">
        <f aca="false">IF(OR(FS$169&lt;SwaptionFirstMonthPosition+1,$FJ227&lt;SwaptionFirstMonthPosition+1,FS$169&gt;SwaptionFirstMonthPosition+SwaptionNumOfMonths+1,$FJ227&gt;SwaptionFirstMonthPosition+SwaptionNumOfMonths+1),"",IF($FJ227=FS$169,1,IF($FJ227&lt;FS$169,INDEX($FK$170:$ID$241,FS$169,$FJ227),SUMPRODUCT(INDEX($FK$325:$ID$396,FS$169,1+SwaptionShift):INDEX($FK$325:$ID$396,FS$169,SwaptionMonthsToGo+SwaptionShift),INDEX($FK$245:$ID$316,$FJ227-FS$169,73-FS$169+SwaptionShift):INDEX($FK$245:$ID$316,$FJ227-FS$169,72-FS$169+SwaptionMonthsToGo+SwaptionShift))/SQRT(SUM(INDEX($FK382:$ID382,1+SwaptionShift):INDEX($FK382:$ID382,SwaptionMonthsToGo+SwaptionShift))*SUM(INDEX($FK$325:$ID$396,FS$169,1+SwaptionShift):INDEX($FK$325:$ID$396,FS$169,SwaptionMonthsToGo+SwaptionShift))))))</f>
        <v/>
      </c>
      <c r="FT227" s="150" t="str">
        <f aca="false">IF(OR(FT$169&lt;SwaptionFirstMonthPosition+1,$FJ227&lt;SwaptionFirstMonthPosition+1,FT$169&gt;SwaptionFirstMonthPosition+SwaptionNumOfMonths+1,$FJ227&gt;SwaptionFirstMonthPosition+SwaptionNumOfMonths+1),"",IF($FJ227=FT$169,1,IF($FJ227&lt;FT$169,INDEX($FK$170:$ID$241,FT$169,$FJ227),SUMPRODUCT(INDEX($FK$325:$ID$396,FT$169,1+SwaptionShift):INDEX($FK$325:$ID$396,FT$169,SwaptionMonthsToGo+SwaptionShift),INDEX($FK$245:$ID$316,$FJ227-FT$169,73-FT$169+SwaptionShift):INDEX($FK$245:$ID$316,$FJ227-FT$169,72-FT$169+SwaptionMonthsToGo+SwaptionShift))/SQRT(SUM(INDEX($FK382:$ID382,1+SwaptionShift):INDEX($FK382:$ID382,SwaptionMonthsToGo+SwaptionShift))*SUM(INDEX($FK$325:$ID$396,FT$169,1+SwaptionShift):INDEX($FK$325:$ID$396,FT$169,SwaptionMonthsToGo+SwaptionShift))))))</f>
        <v/>
      </c>
      <c r="FU227" s="150" t="str">
        <f aca="false">IF(OR(FU$169&lt;SwaptionFirstMonthPosition+1,$FJ227&lt;SwaptionFirstMonthPosition+1,FU$169&gt;SwaptionFirstMonthPosition+SwaptionNumOfMonths+1,$FJ227&gt;SwaptionFirstMonthPosition+SwaptionNumOfMonths+1),"",IF($FJ227=FU$169,1,IF($FJ227&lt;FU$169,INDEX($FK$170:$ID$241,FU$169,$FJ227),SUMPRODUCT(INDEX($FK$325:$ID$396,FU$169,1+SwaptionShift):INDEX($FK$325:$ID$396,FU$169,SwaptionMonthsToGo+SwaptionShift),INDEX($FK$245:$ID$316,$FJ227-FU$169,73-FU$169+SwaptionShift):INDEX($FK$245:$ID$316,$FJ227-FU$169,72-FU$169+SwaptionMonthsToGo+SwaptionShift))/SQRT(SUM(INDEX($FK382:$ID382,1+SwaptionShift):INDEX($FK382:$ID382,SwaptionMonthsToGo+SwaptionShift))*SUM(INDEX($FK$325:$ID$396,FU$169,1+SwaptionShift):INDEX($FK$325:$ID$396,FU$169,SwaptionMonthsToGo+SwaptionShift))))))</f>
        <v/>
      </c>
      <c r="FV227" s="150" t="str">
        <f aca="false">IF(OR(FV$169&lt;SwaptionFirstMonthPosition+1,$FJ227&lt;SwaptionFirstMonthPosition+1,FV$169&gt;SwaptionFirstMonthPosition+SwaptionNumOfMonths+1,$FJ227&gt;SwaptionFirstMonthPosition+SwaptionNumOfMonths+1),"",IF($FJ227=FV$169,1,IF($FJ227&lt;FV$169,INDEX($FK$170:$ID$241,FV$169,$FJ227),SUMPRODUCT(INDEX($FK$325:$ID$396,FV$169,1+SwaptionShift):INDEX($FK$325:$ID$396,FV$169,SwaptionMonthsToGo+SwaptionShift),INDEX($FK$245:$ID$316,$FJ227-FV$169,73-FV$169+SwaptionShift):INDEX($FK$245:$ID$316,$FJ227-FV$169,72-FV$169+SwaptionMonthsToGo+SwaptionShift))/SQRT(SUM(INDEX($FK382:$ID382,1+SwaptionShift):INDEX($FK382:$ID382,SwaptionMonthsToGo+SwaptionShift))*SUM(INDEX($FK$325:$ID$396,FV$169,1+SwaptionShift):INDEX($FK$325:$ID$396,FV$169,SwaptionMonthsToGo+SwaptionShift))))))</f>
        <v/>
      </c>
      <c r="FW227" s="150" t="str">
        <f aca="false">IF(OR(FW$169&lt;SwaptionFirstMonthPosition+1,$FJ227&lt;SwaptionFirstMonthPosition+1,FW$169&gt;SwaptionFirstMonthPosition+SwaptionNumOfMonths+1,$FJ227&gt;SwaptionFirstMonthPosition+SwaptionNumOfMonths+1),"",IF($FJ227=FW$169,1,IF($FJ227&lt;FW$169,INDEX($FK$170:$ID$241,FW$169,$FJ227),SUMPRODUCT(INDEX($FK$325:$ID$396,FW$169,1+SwaptionShift):INDEX($FK$325:$ID$396,FW$169,SwaptionMonthsToGo+SwaptionShift),INDEX($FK$245:$ID$316,$FJ227-FW$169,73-FW$169+SwaptionShift):INDEX($FK$245:$ID$316,$FJ227-FW$169,72-FW$169+SwaptionMonthsToGo+SwaptionShift))/SQRT(SUM(INDEX($FK382:$ID382,1+SwaptionShift):INDEX($FK382:$ID382,SwaptionMonthsToGo+SwaptionShift))*SUM(INDEX($FK$325:$ID$396,FW$169,1+SwaptionShift):INDEX($FK$325:$ID$396,FW$169,SwaptionMonthsToGo+SwaptionShift))))))</f>
        <v/>
      </c>
      <c r="FX227" s="150" t="str">
        <f aca="false">IF(OR(FX$169&lt;SwaptionFirstMonthPosition+1,$FJ227&lt;SwaptionFirstMonthPosition+1,FX$169&gt;SwaptionFirstMonthPosition+SwaptionNumOfMonths+1,$FJ227&gt;SwaptionFirstMonthPosition+SwaptionNumOfMonths+1),"",IF($FJ227=FX$169,1,IF($FJ227&lt;FX$169,INDEX($FK$170:$ID$241,FX$169,$FJ227),SUMPRODUCT(INDEX($FK$325:$ID$396,FX$169,1+SwaptionShift):INDEX($FK$325:$ID$396,FX$169,SwaptionMonthsToGo+SwaptionShift),INDEX($FK$245:$ID$316,$FJ227-FX$169,73-FX$169+SwaptionShift):INDEX($FK$245:$ID$316,$FJ227-FX$169,72-FX$169+SwaptionMonthsToGo+SwaptionShift))/SQRT(SUM(INDEX($FK382:$ID382,1+SwaptionShift):INDEX($FK382:$ID382,SwaptionMonthsToGo+SwaptionShift))*SUM(INDEX($FK$325:$ID$396,FX$169,1+SwaptionShift):INDEX($FK$325:$ID$396,FX$169,SwaptionMonthsToGo+SwaptionShift))))))</f>
        <v/>
      </c>
      <c r="FY227" s="150" t="str">
        <f aca="false">IF(OR(FY$169&lt;SwaptionFirstMonthPosition+1,$FJ227&lt;SwaptionFirstMonthPosition+1,FY$169&gt;SwaptionFirstMonthPosition+SwaptionNumOfMonths+1,$FJ227&gt;SwaptionFirstMonthPosition+SwaptionNumOfMonths+1),"",IF($FJ227=FY$169,1,IF($FJ227&lt;FY$169,INDEX($FK$170:$ID$241,FY$169,$FJ227),SUMPRODUCT(INDEX($FK$325:$ID$396,FY$169,1+SwaptionShift):INDEX($FK$325:$ID$396,FY$169,SwaptionMonthsToGo+SwaptionShift),INDEX($FK$245:$ID$316,$FJ227-FY$169,73-FY$169+SwaptionShift):INDEX($FK$245:$ID$316,$FJ227-FY$169,72-FY$169+SwaptionMonthsToGo+SwaptionShift))/SQRT(SUM(INDEX($FK382:$ID382,1+SwaptionShift):INDEX($FK382:$ID382,SwaptionMonthsToGo+SwaptionShift))*SUM(INDEX($FK$325:$ID$396,FY$169,1+SwaptionShift):INDEX($FK$325:$ID$396,FY$169,SwaptionMonthsToGo+SwaptionShift))))))</f>
        <v/>
      </c>
      <c r="FZ227" s="150" t="str">
        <f aca="false">IF(OR(FZ$169&lt;SwaptionFirstMonthPosition+1,$FJ227&lt;SwaptionFirstMonthPosition+1,FZ$169&gt;SwaptionFirstMonthPosition+SwaptionNumOfMonths+1,$FJ227&gt;SwaptionFirstMonthPosition+SwaptionNumOfMonths+1),"",IF($FJ227=FZ$169,1,IF($FJ227&lt;FZ$169,INDEX($FK$170:$ID$241,FZ$169,$FJ227),SUMPRODUCT(INDEX($FK$325:$ID$396,FZ$169,1+SwaptionShift):INDEX($FK$325:$ID$396,FZ$169,SwaptionMonthsToGo+SwaptionShift),INDEX($FK$245:$ID$316,$FJ227-FZ$169,73-FZ$169+SwaptionShift):INDEX($FK$245:$ID$316,$FJ227-FZ$169,72-FZ$169+SwaptionMonthsToGo+SwaptionShift))/SQRT(SUM(INDEX($FK382:$ID382,1+SwaptionShift):INDEX($FK382:$ID382,SwaptionMonthsToGo+SwaptionShift))*SUM(INDEX($FK$325:$ID$396,FZ$169,1+SwaptionShift):INDEX($FK$325:$ID$396,FZ$169,SwaptionMonthsToGo+SwaptionShift))))))</f>
        <v/>
      </c>
      <c r="GA227" s="150" t="str">
        <f aca="false">IF(OR(GA$169&lt;SwaptionFirstMonthPosition+1,$FJ227&lt;SwaptionFirstMonthPosition+1,GA$169&gt;SwaptionFirstMonthPosition+SwaptionNumOfMonths+1,$FJ227&gt;SwaptionFirstMonthPosition+SwaptionNumOfMonths+1),"",IF($FJ227=GA$169,1,IF($FJ227&lt;GA$169,INDEX($FK$170:$ID$241,GA$169,$FJ227),SUMPRODUCT(INDEX($FK$325:$ID$396,GA$169,1+SwaptionShift):INDEX($FK$325:$ID$396,GA$169,SwaptionMonthsToGo+SwaptionShift),INDEX($FK$245:$ID$316,$FJ227-GA$169,73-GA$169+SwaptionShift):INDEX($FK$245:$ID$316,$FJ227-GA$169,72-GA$169+SwaptionMonthsToGo+SwaptionShift))/SQRT(SUM(INDEX($FK382:$ID382,1+SwaptionShift):INDEX($FK382:$ID382,SwaptionMonthsToGo+SwaptionShift))*SUM(INDEX($FK$325:$ID$396,GA$169,1+SwaptionShift):INDEX($FK$325:$ID$396,GA$169,SwaptionMonthsToGo+SwaptionShift))))))</f>
        <v/>
      </c>
      <c r="GB227" s="150" t="str">
        <f aca="false">IF(OR(GB$169&lt;SwaptionFirstMonthPosition+1,$FJ227&lt;SwaptionFirstMonthPosition+1,GB$169&gt;SwaptionFirstMonthPosition+SwaptionNumOfMonths+1,$FJ227&gt;SwaptionFirstMonthPosition+SwaptionNumOfMonths+1),"",IF($FJ227=GB$169,1,IF($FJ227&lt;GB$169,INDEX($FK$170:$ID$241,GB$169,$FJ227),SUMPRODUCT(INDEX($FK$325:$ID$396,GB$169,1+SwaptionShift):INDEX($FK$325:$ID$396,GB$169,SwaptionMonthsToGo+SwaptionShift),INDEX($FK$245:$ID$316,$FJ227-GB$169,73-GB$169+SwaptionShift):INDEX($FK$245:$ID$316,$FJ227-GB$169,72-GB$169+SwaptionMonthsToGo+SwaptionShift))/SQRT(SUM(INDEX($FK382:$ID382,1+SwaptionShift):INDEX($FK382:$ID382,SwaptionMonthsToGo+SwaptionShift))*SUM(INDEX($FK$325:$ID$396,GB$169,1+SwaptionShift):INDEX($FK$325:$ID$396,GB$169,SwaptionMonthsToGo+SwaptionShift))))))</f>
        <v/>
      </c>
      <c r="GC227" s="150" t="str">
        <f aca="false">IF(OR(GC$169&lt;SwaptionFirstMonthPosition+1,$FJ227&lt;SwaptionFirstMonthPosition+1,GC$169&gt;SwaptionFirstMonthPosition+SwaptionNumOfMonths+1,$FJ227&gt;SwaptionFirstMonthPosition+SwaptionNumOfMonths+1),"",IF($FJ227=GC$169,1,IF($FJ227&lt;GC$169,INDEX($FK$170:$ID$241,GC$169,$FJ227),SUMPRODUCT(INDEX($FK$325:$ID$396,GC$169,1+SwaptionShift):INDEX($FK$325:$ID$396,GC$169,SwaptionMonthsToGo+SwaptionShift),INDEX($FK$245:$ID$316,$FJ227-GC$169,73-GC$169+SwaptionShift):INDEX($FK$245:$ID$316,$FJ227-GC$169,72-GC$169+SwaptionMonthsToGo+SwaptionShift))/SQRT(SUM(INDEX($FK382:$ID382,1+SwaptionShift):INDEX($FK382:$ID382,SwaptionMonthsToGo+SwaptionShift))*SUM(INDEX($FK$325:$ID$396,GC$169,1+SwaptionShift):INDEX($FK$325:$ID$396,GC$169,SwaptionMonthsToGo+SwaptionShift))))))</f>
        <v/>
      </c>
      <c r="GD227" s="150" t="str">
        <f aca="false">IF(OR(GD$169&lt;SwaptionFirstMonthPosition+1,$FJ227&lt;SwaptionFirstMonthPosition+1,GD$169&gt;SwaptionFirstMonthPosition+SwaptionNumOfMonths+1,$FJ227&gt;SwaptionFirstMonthPosition+SwaptionNumOfMonths+1),"",IF($FJ227=GD$169,1,IF($FJ227&lt;GD$169,INDEX($FK$170:$ID$241,GD$169,$FJ227),SUMPRODUCT(INDEX($FK$325:$ID$396,GD$169,1+SwaptionShift):INDEX($FK$325:$ID$396,GD$169,SwaptionMonthsToGo+SwaptionShift),INDEX($FK$245:$ID$316,$FJ227-GD$169,73-GD$169+SwaptionShift):INDEX($FK$245:$ID$316,$FJ227-GD$169,72-GD$169+SwaptionMonthsToGo+SwaptionShift))/SQRT(SUM(INDEX($FK382:$ID382,1+SwaptionShift):INDEX($FK382:$ID382,SwaptionMonthsToGo+SwaptionShift))*SUM(INDEX($FK$325:$ID$396,GD$169,1+SwaptionShift):INDEX($FK$325:$ID$396,GD$169,SwaptionMonthsToGo+SwaptionShift))))))</f>
        <v/>
      </c>
      <c r="GE227" s="150" t="str">
        <f aca="false">IF(OR(GE$169&lt;SwaptionFirstMonthPosition+1,$FJ227&lt;SwaptionFirstMonthPosition+1,GE$169&gt;SwaptionFirstMonthPosition+SwaptionNumOfMonths+1,$FJ227&gt;SwaptionFirstMonthPosition+SwaptionNumOfMonths+1),"",IF($FJ227=GE$169,1,IF($FJ227&lt;GE$169,INDEX($FK$170:$ID$241,GE$169,$FJ227),SUMPRODUCT(INDEX($FK$325:$ID$396,GE$169,1+SwaptionShift):INDEX($FK$325:$ID$396,GE$169,SwaptionMonthsToGo+SwaptionShift),INDEX($FK$245:$ID$316,$FJ227-GE$169,73-GE$169+SwaptionShift):INDEX($FK$245:$ID$316,$FJ227-GE$169,72-GE$169+SwaptionMonthsToGo+SwaptionShift))/SQRT(SUM(INDEX($FK382:$ID382,1+SwaptionShift):INDEX($FK382:$ID382,SwaptionMonthsToGo+SwaptionShift))*SUM(INDEX($FK$325:$ID$396,GE$169,1+SwaptionShift):INDEX($FK$325:$ID$396,GE$169,SwaptionMonthsToGo+SwaptionShift))))))</f>
        <v/>
      </c>
      <c r="GF227" s="150" t="str">
        <f aca="false">IF(OR(GF$169&lt;SwaptionFirstMonthPosition+1,$FJ227&lt;SwaptionFirstMonthPosition+1,GF$169&gt;SwaptionFirstMonthPosition+SwaptionNumOfMonths+1,$FJ227&gt;SwaptionFirstMonthPosition+SwaptionNumOfMonths+1),"",IF($FJ227=GF$169,1,IF($FJ227&lt;GF$169,INDEX($FK$170:$ID$241,GF$169,$FJ227),SUMPRODUCT(INDEX($FK$325:$ID$396,GF$169,1+SwaptionShift):INDEX($FK$325:$ID$396,GF$169,SwaptionMonthsToGo+SwaptionShift),INDEX($FK$245:$ID$316,$FJ227-GF$169,73-GF$169+SwaptionShift):INDEX($FK$245:$ID$316,$FJ227-GF$169,72-GF$169+SwaptionMonthsToGo+SwaptionShift))/SQRT(SUM(INDEX($FK382:$ID382,1+SwaptionShift):INDEX($FK382:$ID382,SwaptionMonthsToGo+SwaptionShift))*SUM(INDEX($FK$325:$ID$396,GF$169,1+SwaptionShift):INDEX($FK$325:$ID$396,GF$169,SwaptionMonthsToGo+SwaptionShift))))))</f>
        <v/>
      </c>
      <c r="GG227" s="150" t="str">
        <f aca="false">IF(OR(GG$169&lt;SwaptionFirstMonthPosition+1,$FJ227&lt;SwaptionFirstMonthPosition+1,GG$169&gt;SwaptionFirstMonthPosition+SwaptionNumOfMonths+1,$FJ227&gt;SwaptionFirstMonthPosition+SwaptionNumOfMonths+1),"",IF($FJ227=GG$169,1,IF($FJ227&lt;GG$169,INDEX($FK$170:$ID$241,GG$169,$FJ227),SUMPRODUCT(INDEX($FK$325:$ID$396,GG$169,1+SwaptionShift):INDEX($FK$325:$ID$396,GG$169,SwaptionMonthsToGo+SwaptionShift),INDEX($FK$245:$ID$316,$FJ227-GG$169,73-GG$169+SwaptionShift):INDEX($FK$245:$ID$316,$FJ227-GG$169,72-GG$169+SwaptionMonthsToGo+SwaptionShift))/SQRT(SUM(INDEX($FK382:$ID382,1+SwaptionShift):INDEX($FK382:$ID382,SwaptionMonthsToGo+SwaptionShift))*SUM(INDEX($FK$325:$ID$396,GG$169,1+SwaptionShift):INDEX($FK$325:$ID$396,GG$169,SwaptionMonthsToGo+SwaptionShift))))))</f>
        <v/>
      </c>
      <c r="GH227" s="150" t="str">
        <f aca="false">IF(OR(GH$169&lt;SwaptionFirstMonthPosition+1,$FJ227&lt;SwaptionFirstMonthPosition+1,GH$169&gt;SwaptionFirstMonthPosition+SwaptionNumOfMonths+1,$FJ227&gt;SwaptionFirstMonthPosition+SwaptionNumOfMonths+1),"",IF($FJ227=GH$169,1,IF($FJ227&lt;GH$169,INDEX($FK$170:$ID$241,GH$169,$FJ227),SUMPRODUCT(INDEX($FK$325:$ID$396,GH$169,1+SwaptionShift):INDEX($FK$325:$ID$396,GH$169,SwaptionMonthsToGo+SwaptionShift),INDEX($FK$245:$ID$316,$FJ227-GH$169,73-GH$169+SwaptionShift):INDEX($FK$245:$ID$316,$FJ227-GH$169,72-GH$169+SwaptionMonthsToGo+SwaptionShift))/SQRT(SUM(INDEX($FK382:$ID382,1+SwaptionShift):INDEX($FK382:$ID382,SwaptionMonthsToGo+SwaptionShift))*SUM(INDEX($FK$325:$ID$396,GH$169,1+SwaptionShift):INDEX($FK$325:$ID$396,GH$169,SwaptionMonthsToGo+SwaptionShift))))))</f>
        <v/>
      </c>
      <c r="GI227" s="150" t="str">
        <f aca="false">IF(OR(GI$169&lt;SwaptionFirstMonthPosition+1,$FJ227&lt;SwaptionFirstMonthPosition+1,GI$169&gt;SwaptionFirstMonthPosition+SwaptionNumOfMonths+1,$FJ227&gt;SwaptionFirstMonthPosition+SwaptionNumOfMonths+1),"",IF($FJ227=GI$169,1,IF($FJ227&lt;GI$169,INDEX($FK$170:$ID$241,GI$169,$FJ227),SUMPRODUCT(INDEX($FK$325:$ID$396,GI$169,1+SwaptionShift):INDEX($FK$325:$ID$396,GI$169,SwaptionMonthsToGo+SwaptionShift),INDEX($FK$245:$ID$316,$FJ227-GI$169,73-GI$169+SwaptionShift):INDEX($FK$245:$ID$316,$FJ227-GI$169,72-GI$169+SwaptionMonthsToGo+SwaptionShift))/SQRT(SUM(INDEX($FK382:$ID382,1+SwaptionShift):INDEX($FK382:$ID382,SwaptionMonthsToGo+SwaptionShift))*SUM(INDEX($FK$325:$ID$396,GI$169,1+SwaptionShift):INDEX($FK$325:$ID$396,GI$169,SwaptionMonthsToGo+SwaptionShift))))))</f>
        <v/>
      </c>
      <c r="GJ227" s="150" t="str">
        <f aca="false">IF(OR(GJ$169&lt;SwaptionFirstMonthPosition+1,$FJ227&lt;SwaptionFirstMonthPosition+1,GJ$169&gt;SwaptionFirstMonthPosition+SwaptionNumOfMonths+1,$FJ227&gt;SwaptionFirstMonthPosition+SwaptionNumOfMonths+1),"",IF($FJ227=GJ$169,1,IF($FJ227&lt;GJ$169,INDEX($FK$170:$ID$241,GJ$169,$FJ227),SUMPRODUCT(INDEX($FK$325:$ID$396,GJ$169,1+SwaptionShift):INDEX($FK$325:$ID$396,GJ$169,SwaptionMonthsToGo+SwaptionShift),INDEX($FK$245:$ID$316,$FJ227-GJ$169,73-GJ$169+SwaptionShift):INDEX($FK$245:$ID$316,$FJ227-GJ$169,72-GJ$169+SwaptionMonthsToGo+SwaptionShift))/SQRT(SUM(INDEX($FK382:$ID382,1+SwaptionShift):INDEX($FK382:$ID382,SwaptionMonthsToGo+SwaptionShift))*SUM(INDEX($FK$325:$ID$396,GJ$169,1+SwaptionShift):INDEX($FK$325:$ID$396,GJ$169,SwaptionMonthsToGo+SwaptionShift))))))</f>
        <v/>
      </c>
      <c r="GK227" s="150" t="str">
        <f aca="false">IF(OR(GK$169&lt;SwaptionFirstMonthPosition+1,$FJ227&lt;SwaptionFirstMonthPosition+1,GK$169&gt;SwaptionFirstMonthPosition+SwaptionNumOfMonths+1,$FJ227&gt;SwaptionFirstMonthPosition+SwaptionNumOfMonths+1),"",IF($FJ227=GK$169,1,IF($FJ227&lt;GK$169,INDEX($FK$170:$ID$241,GK$169,$FJ227),SUMPRODUCT(INDEX($FK$325:$ID$396,GK$169,1+SwaptionShift):INDEX($FK$325:$ID$396,GK$169,SwaptionMonthsToGo+SwaptionShift),INDEX($FK$245:$ID$316,$FJ227-GK$169,73-GK$169+SwaptionShift):INDEX($FK$245:$ID$316,$FJ227-GK$169,72-GK$169+SwaptionMonthsToGo+SwaptionShift))/SQRT(SUM(INDEX($FK382:$ID382,1+SwaptionShift):INDEX($FK382:$ID382,SwaptionMonthsToGo+SwaptionShift))*SUM(INDEX($FK$325:$ID$396,GK$169,1+SwaptionShift):INDEX($FK$325:$ID$396,GK$169,SwaptionMonthsToGo+SwaptionShift))))))</f>
        <v/>
      </c>
      <c r="GL227" s="150" t="str">
        <f aca="false">IF(OR(GL$169&lt;SwaptionFirstMonthPosition+1,$FJ227&lt;SwaptionFirstMonthPosition+1,GL$169&gt;SwaptionFirstMonthPosition+SwaptionNumOfMonths+1,$FJ227&gt;SwaptionFirstMonthPosition+SwaptionNumOfMonths+1),"",IF($FJ227=GL$169,1,IF($FJ227&lt;GL$169,INDEX($FK$170:$ID$241,GL$169,$FJ227),SUMPRODUCT(INDEX($FK$325:$ID$396,GL$169,1+SwaptionShift):INDEX($FK$325:$ID$396,GL$169,SwaptionMonthsToGo+SwaptionShift),INDEX($FK$245:$ID$316,$FJ227-GL$169,73-GL$169+SwaptionShift):INDEX($FK$245:$ID$316,$FJ227-GL$169,72-GL$169+SwaptionMonthsToGo+SwaptionShift))/SQRT(SUM(INDEX($FK382:$ID382,1+SwaptionShift):INDEX($FK382:$ID382,SwaptionMonthsToGo+SwaptionShift))*SUM(INDEX($FK$325:$ID$396,GL$169,1+SwaptionShift):INDEX($FK$325:$ID$396,GL$169,SwaptionMonthsToGo+SwaptionShift))))))</f>
        <v/>
      </c>
      <c r="GM227" s="150" t="str">
        <f aca="false">IF(OR(GM$169&lt;SwaptionFirstMonthPosition+1,$FJ227&lt;SwaptionFirstMonthPosition+1,GM$169&gt;SwaptionFirstMonthPosition+SwaptionNumOfMonths+1,$FJ227&gt;SwaptionFirstMonthPosition+SwaptionNumOfMonths+1),"",IF($FJ227=GM$169,1,IF($FJ227&lt;GM$169,INDEX($FK$170:$ID$241,GM$169,$FJ227),SUMPRODUCT(INDEX($FK$325:$ID$396,GM$169,1+SwaptionShift):INDEX($FK$325:$ID$396,GM$169,SwaptionMonthsToGo+SwaptionShift),INDEX($FK$245:$ID$316,$FJ227-GM$169,73-GM$169+SwaptionShift):INDEX($FK$245:$ID$316,$FJ227-GM$169,72-GM$169+SwaptionMonthsToGo+SwaptionShift))/SQRT(SUM(INDEX($FK382:$ID382,1+SwaptionShift):INDEX($FK382:$ID382,SwaptionMonthsToGo+SwaptionShift))*SUM(INDEX($FK$325:$ID$396,GM$169,1+SwaptionShift):INDEX($FK$325:$ID$396,GM$169,SwaptionMonthsToGo+SwaptionShift))))))</f>
        <v/>
      </c>
      <c r="GN227" s="150" t="str">
        <f aca="false">IF(OR(GN$169&lt;SwaptionFirstMonthPosition+1,$FJ227&lt;SwaptionFirstMonthPosition+1,GN$169&gt;SwaptionFirstMonthPosition+SwaptionNumOfMonths+1,$FJ227&gt;SwaptionFirstMonthPosition+SwaptionNumOfMonths+1),"",IF($FJ227=GN$169,1,IF($FJ227&lt;GN$169,INDEX($FK$170:$ID$241,GN$169,$FJ227),SUMPRODUCT(INDEX($FK$325:$ID$396,GN$169,1+SwaptionShift):INDEX($FK$325:$ID$396,GN$169,SwaptionMonthsToGo+SwaptionShift),INDEX($FK$245:$ID$316,$FJ227-GN$169,73-GN$169+SwaptionShift):INDEX($FK$245:$ID$316,$FJ227-GN$169,72-GN$169+SwaptionMonthsToGo+SwaptionShift))/SQRT(SUM(INDEX($FK382:$ID382,1+SwaptionShift):INDEX($FK382:$ID382,SwaptionMonthsToGo+SwaptionShift))*SUM(INDEX($FK$325:$ID$396,GN$169,1+SwaptionShift):INDEX($FK$325:$ID$396,GN$169,SwaptionMonthsToGo+SwaptionShift))))))</f>
        <v/>
      </c>
      <c r="GO227" s="150" t="str">
        <f aca="false">IF(OR(GO$169&lt;SwaptionFirstMonthPosition+1,$FJ227&lt;SwaptionFirstMonthPosition+1,GO$169&gt;SwaptionFirstMonthPosition+SwaptionNumOfMonths+1,$FJ227&gt;SwaptionFirstMonthPosition+SwaptionNumOfMonths+1),"",IF($FJ227=GO$169,1,IF($FJ227&lt;GO$169,INDEX($FK$170:$ID$241,GO$169,$FJ227),SUMPRODUCT(INDEX($FK$325:$ID$396,GO$169,1+SwaptionShift):INDEX($FK$325:$ID$396,GO$169,SwaptionMonthsToGo+SwaptionShift),INDEX($FK$245:$ID$316,$FJ227-GO$169,73-GO$169+SwaptionShift):INDEX($FK$245:$ID$316,$FJ227-GO$169,72-GO$169+SwaptionMonthsToGo+SwaptionShift))/SQRT(SUM(INDEX($FK382:$ID382,1+SwaptionShift):INDEX($FK382:$ID382,SwaptionMonthsToGo+SwaptionShift))*SUM(INDEX($FK$325:$ID$396,GO$169,1+SwaptionShift):INDEX($FK$325:$ID$396,GO$169,SwaptionMonthsToGo+SwaptionShift))))))</f>
        <v/>
      </c>
      <c r="GP227" s="150" t="str">
        <f aca="false">IF(OR(GP$169&lt;SwaptionFirstMonthPosition+1,$FJ227&lt;SwaptionFirstMonthPosition+1,GP$169&gt;SwaptionFirstMonthPosition+SwaptionNumOfMonths+1,$FJ227&gt;SwaptionFirstMonthPosition+SwaptionNumOfMonths+1),"",IF($FJ227=GP$169,1,IF($FJ227&lt;GP$169,INDEX($FK$170:$ID$241,GP$169,$FJ227),SUMPRODUCT(INDEX($FK$325:$ID$396,GP$169,1+SwaptionShift):INDEX($FK$325:$ID$396,GP$169,SwaptionMonthsToGo+SwaptionShift),INDEX($FK$245:$ID$316,$FJ227-GP$169,73-GP$169+SwaptionShift):INDEX($FK$245:$ID$316,$FJ227-GP$169,72-GP$169+SwaptionMonthsToGo+SwaptionShift))/SQRT(SUM(INDEX($FK382:$ID382,1+SwaptionShift):INDEX($FK382:$ID382,SwaptionMonthsToGo+SwaptionShift))*SUM(INDEX($FK$325:$ID$396,GP$169,1+SwaptionShift):INDEX($FK$325:$ID$396,GP$169,SwaptionMonthsToGo+SwaptionShift))))))</f>
        <v/>
      </c>
      <c r="GQ227" s="150" t="str">
        <f aca="false">IF(OR(GQ$169&lt;SwaptionFirstMonthPosition+1,$FJ227&lt;SwaptionFirstMonthPosition+1,GQ$169&gt;SwaptionFirstMonthPosition+SwaptionNumOfMonths+1,$FJ227&gt;SwaptionFirstMonthPosition+SwaptionNumOfMonths+1),"",IF($FJ227=GQ$169,1,IF($FJ227&lt;GQ$169,INDEX($FK$170:$ID$241,GQ$169,$FJ227),SUMPRODUCT(INDEX($FK$325:$ID$396,GQ$169,1+SwaptionShift):INDEX($FK$325:$ID$396,GQ$169,SwaptionMonthsToGo+SwaptionShift),INDEX($FK$245:$ID$316,$FJ227-GQ$169,73-GQ$169+SwaptionShift):INDEX($FK$245:$ID$316,$FJ227-GQ$169,72-GQ$169+SwaptionMonthsToGo+SwaptionShift))/SQRT(SUM(INDEX($FK382:$ID382,1+SwaptionShift):INDEX($FK382:$ID382,SwaptionMonthsToGo+SwaptionShift))*SUM(INDEX($FK$325:$ID$396,GQ$169,1+SwaptionShift):INDEX($FK$325:$ID$396,GQ$169,SwaptionMonthsToGo+SwaptionShift))))))</f>
        <v/>
      </c>
      <c r="GR227" s="150" t="str">
        <f aca="false">IF(OR(GR$169&lt;SwaptionFirstMonthPosition+1,$FJ227&lt;SwaptionFirstMonthPosition+1,GR$169&gt;SwaptionFirstMonthPosition+SwaptionNumOfMonths+1,$FJ227&gt;SwaptionFirstMonthPosition+SwaptionNumOfMonths+1),"",IF($FJ227=GR$169,1,IF($FJ227&lt;GR$169,INDEX($FK$170:$ID$241,GR$169,$FJ227),SUMPRODUCT(INDEX($FK$325:$ID$396,GR$169,1+SwaptionShift):INDEX($FK$325:$ID$396,GR$169,SwaptionMonthsToGo+SwaptionShift),INDEX($FK$245:$ID$316,$FJ227-GR$169,73-GR$169+SwaptionShift):INDEX($FK$245:$ID$316,$FJ227-GR$169,72-GR$169+SwaptionMonthsToGo+SwaptionShift))/SQRT(SUM(INDEX($FK382:$ID382,1+SwaptionShift):INDEX($FK382:$ID382,SwaptionMonthsToGo+SwaptionShift))*SUM(INDEX($FK$325:$ID$396,GR$169,1+SwaptionShift):INDEX($FK$325:$ID$396,GR$169,SwaptionMonthsToGo+SwaptionShift))))))</f>
        <v/>
      </c>
      <c r="GS227" s="150" t="str">
        <f aca="false">IF(OR(GS$169&lt;SwaptionFirstMonthPosition+1,$FJ227&lt;SwaptionFirstMonthPosition+1,GS$169&gt;SwaptionFirstMonthPosition+SwaptionNumOfMonths+1,$FJ227&gt;SwaptionFirstMonthPosition+SwaptionNumOfMonths+1),"",IF($FJ227=GS$169,1,IF($FJ227&lt;GS$169,INDEX($FK$170:$ID$241,GS$169,$FJ227),SUMPRODUCT(INDEX($FK$325:$ID$396,GS$169,1+SwaptionShift):INDEX($FK$325:$ID$396,GS$169,SwaptionMonthsToGo+SwaptionShift),INDEX($FK$245:$ID$316,$FJ227-GS$169,73-GS$169+SwaptionShift):INDEX($FK$245:$ID$316,$FJ227-GS$169,72-GS$169+SwaptionMonthsToGo+SwaptionShift))/SQRT(SUM(INDEX($FK382:$ID382,1+SwaptionShift):INDEX($FK382:$ID382,SwaptionMonthsToGo+SwaptionShift))*SUM(INDEX($FK$325:$ID$396,GS$169,1+SwaptionShift):INDEX($FK$325:$ID$396,GS$169,SwaptionMonthsToGo+SwaptionShift))))))</f>
        <v/>
      </c>
      <c r="GT227" s="150" t="str">
        <f aca="false">IF(OR(GT$169&lt;SwaptionFirstMonthPosition+1,$FJ227&lt;SwaptionFirstMonthPosition+1,GT$169&gt;SwaptionFirstMonthPosition+SwaptionNumOfMonths+1,$FJ227&gt;SwaptionFirstMonthPosition+SwaptionNumOfMonths+1),"",IF($FJ227=GT$169,1,IF($FJ227&lt;GT$169,INDEX($FK$170:$ID$241,GT$169,$FJ227),SUMPRODUCT(INDEX($FK$325:$ID$396,GT$169,1+SwaptionShift):INDEX($FK$325:$ID$396,GT$169,SwaptionMonthsToGo+SwaptionShift),INDEX($FK$245:$ID$316,$FJ227-GT$169,73-GT$169+SwaptionShift):INDEX($FK$245:$ID$316,$FJ227-GT$169,72-GT$169+SwaptionMonthsToGo+SwaptionShift))/SQRT(SUM(INDEX($FK382:$ID382,1+SwaptionShift):INDEX($FK382:$ID382,SwaptionMonthsToGo+SwaptionShift))*SUM(INDEX($FK$325:$ID$396,GT$169,1+SwaptionShift):INDEX($FK$325:$ID$396,GT$169,SwaptionMonthsToGo+SwaptionShift))))))</f>
        <v/>
      </c>
      <c r="GU227" s="150" t="str">
        <f aca="false">IF(OR(GU$169&lt;SwaptionFirstMonthPosition+1,$FJ227&lt;SwaptionFirstMonthPosition+1,GU$169&gt;SwaptionFirstMonthPosition+SwaptionNumOfMonths+1,$FJ227&gt;SwaptionFirstMonthPosition+SwaptionNumOfMonths+1),"",IF($FJ227=GU$169,1,IF($FJ227&lt;GU$169,INDEX($FK$170:$ID$241,GU$169,$FJ227),SUMPRODUCT(INDEX($FK$325:$ID$396,GU$169,1+SwaptionShift):INDEX($FK$325:$ID$396,GU$169,SwaptionMonthsToGo+SwaptionShift),INDEX($FK$245:$ID$316,$FJ227-GU$169,73-GU$169+SwaptionShift):INDEX($FK$245:$ID$316,$FJ227-GU$169,72-GU$169+SwaptionMonthsToGo+SwaptionShift))/SQRT(SUM(INDEX($FK382:$ID382,1+SwaptionShift):INDEX($FK382:$ID382,SwaptionMonthsToGo+SwaptionShift))*SUM(INDEX($FK$325:$ID$396,GU$169,1+SwaptionShift):INDEX($FK$325:$ID$396,GU$169,SwaptionMonthsToGo+SwaptionShift))))))</f>
        <v/>
      </c>
      <c r="GV227" s="150" t="str">
        <f aca="false">IF(OR(GV$169&lt;SwaptionFirstMonthPosition+1,$FJ227&lt;SwaptionFirstMonthPosition+1,GV$169&gt;SwaptionFirstMonthPosition+SwaptionNumOfMonths+1,$FJ227&gt;SwaptionFirstMonthPosition+SwaptionNumOfMonths+1),"",IF($FJ227=GV$169,1,IF($FJ227&lt;GV$169,INDEX($FK$170:$ID$241,GV$169,$FJ227),SUMPRODUCT(INDEX($FK$325:$ID$396,GV$169,1+SwaptionShift):INDEX($FK$325:$ID$396,GV$169,SwaptionMonthsToGo+SwaptionShift),INDEX($FK$245:$ID$316,$FJ227-GV$169,73-GV$169+SwaptionShift):INDEX($FK$245:$ID$316,$FJ227-GV$169,72-GV$169+SwaptionMonthsToGo+SwaptionShift))/SQRT(SUM(INDEX($FK382:$ID382,1+SwaptionShift):INDEX($FK382:$ID382,SwaptionMonthsToGo+SwaptionShift))*SUM(INDEX($FK$325:$ID$396,GV$169,1+SwaptionShift):INDEX($FK$325:$ID$396,GV$169,SwaptionMonthsToGo+SwaptionShift))))))</f>
        <v/>
      </c>
      <c r="GW227" s="150" t="str">
        <f aca="false">IF(OR(GW$169&lt;SwaptionFirstMonthPosition+1,$FJ227&lt;SwaptionFirstMonthPosition+1,GW$169&gt;SwaptionFirstMonthPosition+SwaptionNumOfMonths+1,$FJ227&gt;SwaptionFirstMonthPosition+SwaptionNumOfMonths+1),"",IF($FJ227=GW$169,1,IF($FJ227&lt;GW$169,INDEX($FK$170:$ID$241,GW$169,$FJ227),SUMPRODUCT(INDEX($FK$325:$ID$396,GW$169,1+SwaptionShift):INDEX($FK$325:$ID$396,GW$169,SwaptionMonthsToGo+SwaptionShift),INDEX($FK$245:$ID$316,$FJ227-GW$169,73-GW$169+SwaptionShift):INDEX($FK$245:$ID$316,$FJ227-GW$169,72-GW$169+SwaptionMonthsToGo+SwaptionShift))/SQRT(SUM(INDEX($FK382:$ID382,1+SwaptionShift):INDEX($FK382:$ID382,SwaptionMonthsToGo+SwaptionShift))*SUM(INDEX($FK$325:$ID$396,GW$169,1+SwaptionShift):INDEX($FK$325:$ID$396,GW$169,SwaptionMonthsToGo+SwaptionShift))))))</f>
        <v/>
      </c>
      <c r="GX227" s="150" t="str">
        <f aca="false">IF(OR(GX$169&lt;SwaptionFirstMonthPosition+1,$FJ227&lt;SwaptionFirstMonthPosition+1,GX$169&gt;SwaptionFirstMonthPosition+SwaptionNumOfMonths+1,$FJ227&gt;SwaptionFirstMonthPosition+SwaptionNumOfMonths+1),"",IF($FJ227=GX$169,1,IF($FJ227&lt;GX$169,INDEX($FK$170:$ID$241,GX$169,$FJ227),SUMPRODUCT(INDEX($FK$325:$ID$396,GX$169,1+SwaptionShift):INDEX($FK$325:$ID$396,GX$169,SwaptionMonthsToGo+SwaptionShift),INDEX($FK$245:$ID$316,$FJ227-GX$169,73-GX$169+SwaptionShift):INDEX($FK$245:$ID$316,$FJ227-GX$169,72-GX$169+SwaptionMonthsToGo+SwaptionShift))/SQRT(SUM(INDEX($FK382:$ID382,1+SwaptionShift):INDEX($FK382:$ID382,SwaptionMonthsToGo+SwaptionShift))*SUM(INDEX($FK$325:$ID$396,GX$169,1+SwaptionShift):INDEX($FK$325:$ID$396,GX$169,SwaptionMonthsToGo+SwaptionShift))))))</f>
        <v/>
      </c>
      <c r="GY227" s="150" t="str">
        <f aca="false">IF(OR(GY$169&lt;SwaptionFirstMonthPosition+1,$FJ227&lt;SwaptionFirstMonthPosition+1,GY$169&gt;SwaptionFirstMonthPosition+SwaptionNumOfMonths+1,$FJ227&gt;SwaptionFirstMonthPosition+SwaptionNumOfMonths+1),"",IF($FJ227=GY$169,1,IF($FJ227&lt;GY$169,INDEX($FK$170:$ID$241,GY$169,$FJ227),SUMPRODUCT(INDEX($FK$325:$ID$396,GY$169,1+SwaptionShift):INDEX($FK$325:$ID$396,GY$169,SwaptionMonthsToGo+SwaptionShift),INDEX($FK$245:$ID$316,$FJ227-GY$169,73-GY$169+SwaptionShift):INDEX($FK$245:$ID$316,$FJ227-GY$169,72-GY$169+SwaptionMonthsToGo+SwaptionShift))/SQRT(SUM(INDEX($FK382:$ID382,1+SwaptionShift):INDEX($FK382:$ID382,SwaptionMonthsToGo+SwaptionShift))*SUM(INDEX($FK$325:$ID$396,GY$169,1+SwaptionShift):INDEX($FK$325:$ID$396,GY$169,SwaptionMonthsToGo+SwaptionShift))))))</f>
        <v/>
      </c>
      <c r="GZ227" s="150" t="str">
        <f aca="false">IF(OR(GZ$169&lt;SwaptionFirstMonthPosition+1,$FJ227&lt;SwaptionFirstMonthPosition+1,GZ$169&gt;SwaptionFirstMonthPosition+SwaptionNumOfMonths+1,$FJ227&gt;SwaptionFirstMonthPosition+SwaptionNumOfMonths+1),"",IF($FJ227=GZ$169,1,IF($FJ227&lt;GZ$169,INDEX($FK$170:$ID$241,GZ$169,$FJ227),SUMPRODUCT(INDEX($FK$325:$ID$396,GZ$169,1+SwaptionShift):INDEX($FK$325:$ID$396,GZ$169,SwaptionMonthsToGo+SwaptionShift),INDEX($FK$245:$ID$316,$FJ227-GZ$169,73-GZ$169+SwaptionShift):INDEX($FK$245:$ID$316,$FJ227-GZ$169,72-GZ$169+SwaptionMonthsToGo+SwaptionShift))/SQRT(SUM(INDEX($FK382:$ID382,1+SwaptionShift):INDEX($FK382:$ID382,SwaptionMonthsToGo+SwaptionShift))*SUM(INDEX($FK$325:$ID$396,GZ$169,1+SwaptionShift):INDEX($FK$325:$ID$396,GZ$169,SwaptionMonthsToGo+SwaptionShift))))))</f>
        <v/>
      </c>
      <c r="HA227" s="150" t="str">
        <f aca="false">IF(OR(HA$169&lt;SwaptionFirstMonthPosition+1,$FJ227&lt;SwaptionFirstMonthPosition+1,HA$169&gt;SwaptionFirstMonthPosition+SwaptionNumOfMonths+1,$FJ227&gt;SwaptionFirstMonthPosition+SwaptionNumOfMonths+1),"",IF($FJ227=HA$169,1,IF($FJ227&lt;HA$169,INDEX($FK$170:$ID$241,HA$169,$FJ227),SUMPRODUCT(INDEX($FK$325:$ID$396,HA$169,1+SwaptionShift):INDEX($FK$325:$ID$396,HA$169,SwaptionMonthsToGo+SwaptionShift),INDEX($FK$245:$ID$316,$FJ227-HA$169,73-HA$169+SwaptionShift):INDEX($FK$245:$ID$316,$FJ227-HA$169,72-HA$169+SwaptionMonthsToGo+SwaptionShift))/SQRT(SUM(INDEX($FK382:$ID382,1+SwaptionShift):INDEX($FK382:$ID382,SwaptionMonthsToGo+SwaptionShift))*SUM(INDEX($FK$325:$ID$396,HA$169,1+SwaptionShift):INDEX($FK$325:$ID$396,HA$169,SwaptionMonthsToGo+SwaptionShift))))))</f>
        <v/>
      </c>
      <c r="HB227" s="150" t="str">
        <f aca="false">IF(OR(HB$169&lt;SwaptionFirstMonthPosition+1,$FJ227&lt;SwaptionFirstMonthPosition+1,HB$169&gt;SwaptionFirstMonthPosition+SwaptionNumOfMonths+1,$FJ227&gt;SwaptionFirstMonthPosition+SwaptionNumOfMonths+1),"",IF($FJ227=HB$169,1,IF($FJ227&lt;HB$169,INDEX($FK$170:$ID$241,HB$169,$FJ227),SUMPRODUCT(INDEX($FK$325:$ID$396,HB$169,1+SwaptionShift):INDEX($FK$325:$ID$396,HB$169,SwaptionMonthsToGo+SwaptionShift),INDEX($FK$245:$ID$316,$FJ227-HB$169,73-HB$169+SwaptionShift):INDEX($FK$245:$ID$316,$FJ227-HB$169,72-HB$169+SwaptionMonthsToGo+SwaptionShift))/SQRT(SUM(INDEX($FK382:$ID382,1+SwaptionShift):INDEX($FK382:$ID382,SwaptionMonthsToGo+SwaptionShift))*SUM(INDEX($FK$325:$ID$396,HB$169,1+SwaptionShift):INDEX($FK$325:$ID$396,HB$169,SwaptionMonthsToGo+SwaptionShift))))))</f>
        <v/>
      </c>
      <c r="HC227" s="150" t="str">
        <f aca="false">IF(OR(HC$169&lt;SwaptionFirstMonthPosition+1,$FJ227&lt;SwaptionFirstMonthPosition+1,HC$169&gt;SwaptionFirstMonthPosition+SwaptionNumOfMonths+1,$FJ227&gt;SwaptionFirstMonthPosition+SwaptionNumOfMonths+1),"",IF($FJ227=HC$169,1,IF($FJ227&lt;HC$169,INDEX($FK$170:$ID$241,HC$169,$FJ227),SUMPRODUCT(INDEX($FK$325:$ID$396,HC$169,1+SwaptionShift):INDEX($FK$325:$ID$396,HC$169,SwaptionMonthsToGo+SwaptionShift),INDEX($FK$245:$ID$316,$FJ227-HC$169,73-HC$169+SwaptionShift):INDEX($FK$245:$ID$316,$FJ227-HC$169,72-HC$169+SwaptionMonthsToGo+SwaptionShift))/SQRT(SUM(INDEX($FK382:$ID382,1+SwaptionShift):INDEX($FK382:$ID382,SwaptionMonthsToGo+SwaptionShift))*SUM(INDEX($FK$325:$ID$396,HC$169,1+SwaptionShift):INDEX($FK$325:$ID$396,HC$169,SwaptionMonthsToGo+SwaptionShift))))))</f>
        <v/>
      </c>
      <c r="HD227" s="150" t="str">
        <f aca="false">IF(OR(HD$169&lt;SwaptionFirstMonthPosition+1,$FJ227&lt;SwaptionFirstMonthPosition+1,HD$169&gt;SwaptionFirstMonthPosition+SwaptionNumOfMonths+1,$FJ227&gt;SwaptionFirstMonthPosition+SwaptionNumOfMonths+1),"",IF($FJ227=HD$169,1,IF($FJ227&lt;HD$169,INDEX($FK$170:$ID$241,HD$169,$FJ227),SUMPRODUCT(INDEX($FK$325:$ID$396,HD$169,1+SwaptionShift):INDEX($FK$325:$ID$396,HD$169,SwaptionMonthsToGo+SwaptionShift),INDEX($FK$245:$ID$316,$FJ227-HD$169,73-HD$169+SwaptionShift):INDEX($FK$245:$ID$316,$FJ227-HD$169,72-HD$169+SwaptionMonthsToGo+SwaptionShift))/SQRT(SUM(INDEX($FK382:$ID382,1+SwaptionShift):INDEX($FK382:$ID382,SwaptionMonthsToGo+SwaptionShift))*SUM(INDEX($FK$325:$ID$396,HD$169,1+SwaptionShift):INDEX($FK$325:$ID$396,HD$169,SwaptionMonthsToGo+SwaptionShift))))))</f>
        <v/>
      </c>
      <c r="HE227" s="150" t="str">
        <f aca="false">IF(OR(HE$169&lt;SwaptionFirstMonthPosition+1,$FJ227&lt;SwaptionFirstMonthPosition+1,HE$169&gt;SwaptionFirstMonthPosition+SwaptionNumOfMonths+1,$FJ227&gt;SwaptionFirstMonthPosition+SwaptionNumOfMonths+1),"",IF($FJ227=HE$169,1,IF($FJ227&lt;HE$169,INDEX($FK$170:$ID$241,HE$169,$FJ227),SUMPRODUCT(INDEX($FK$325:$ID$396,HE$169,1+SwaptionShift):INDEX($FK$325:$ID$396,HE$169,SwaptionMonthsToGo+SwaptionShift),INDEX($FK$245:$ID$316,$FJ227-HE$169,73-HE$169+SwaptionShift):INDEX($FK$245:$ID$316,$FJ227-HE$169,72-HE$169+SwaptionMonthsToGo+SwaptionShift))/SQRT(SUM(INDEX($FK382:$ID382,1+SwaptionShift):INDEX($FK382:$ID382,SwaptionMonthsToGo+SwaptionShift))*SUM(INDEX($FK$325:$ID$396,HE$169,1+SwaptionShift):INDEX($FK$325:$ID$396,HE$169,SwaptionMonthsToGo+SwaptionShift))))))</f>
        <v/>
      </c>
      <c r="HF227" s="150" t="str">
        <f aca="false">IF(OR(HF$169&lt;SwaptionFirstMonthPosition+1,$FJ227&lt;SwaptionFirstMonthPosition+1,HF$169&gt;SwaptionFirstMonthPosition+SwaptionNumOfMonths+1,$FJ227&gt;SwaptionFirstMonthPosition+SwaptionNumOfMonths+1),"",IF($FJ227=HF$169,1,IF($FJ227&lt;HF$169,INDEX($FK$170:$ID$241,HF$169,$FJ227),SUMPRODUCT(INDEX($FK$325:$ID$396,HF$169,1+SwaptionShift):INDEX($FK$325:$ID$396,HF$169,SwaptionMonthsToGo+SwaptionShift),INDEX($FK$245:$ID$316,$FJ227-HF$169,73-HF$169+SwaptionShift):INDEX($FK$245:$ID$316,$FJ227-HF$169,72-HF$169+SwaptionMonthsToGo+SwaptionShift))/SQRT(SUM(INDEX($FK382:$ID382,1+SwaptionShift):INDEX($FK382:$ID382,SwaptionMonthsToGo+SwaptionShift))*SUM(INDEX($FK$325:$ID$396,HF$169,1+SwaptionShift):INDEX($FK$325:$ID$396,HF$169,SwaptionMonthsToGo+SwaptionShift))))))</f>
        <v/>
      </c>
      <c r="HG227" s="150" t="str">
        <f aca="false">IF(OR(HG$169&lt;SwaptionFirstMonthPosition+1,$FJ227&lt;SwaptionFirstMonthPosition+1,HG$169&gt;SwaptionFirstMonthPosition+SwaptionNumOfMonths+1,$FJ227&gt;SwaptionFirstMonthPosition+SwaptionNumOfMonths+1),"",IF($FJ227=HG$169,1,IF($FJ227&lt;HG$169,INDEX($FK$170:$ID$241,HG$169,$FJ227),SUMPRODUCT(INDEX($FK$325:$ID$396,HG$169,1+SwaptionShift):INDEX($FK$325:$ID$396,HG$169,SwaptionMonthsToGo+SwaptionShift),INDEX($FK$245:$ID$316,$FJ227-HG$169,73-HG$169+SwaptionShift):INDEX($FK$245:$ID$316,$FJ227-HG$169,72-HG$169+SwaptionMonthsToGo+SwaptionShift))/SQRT(SUM(INDEX($FK382:$ID382,1+SwaptionShift):INDEX($FK382:$ID382,SwaptionMonthsToGo+SwaptionShift))*SUM(INDEX($FK$325:$ID$396,HG$169,1+SwaptionShift):INDEX($FK$325:$ID$396,HG$169,SwaptionMonthsToGo+SwaptionShift))))))</f>
        <v/>
      </c>
      <c r="HH227" s="150" t="str">
        <f aca="false">IF(OR(HH$169&lt;SwaptionFirstMonthPosition+1,$FJ227&lt;SwaptionFirstMonthPosition+1,HH$169&gt;SwaptionFirstMonthPosition+SwaptionNumOfMonths+1,$FJ227&gt;SwaptionFirstMonthPosition+SwaptionNumOfMonths+1),"",IF($FJ227=HH$169,1,IF($FJ227&lt;HH$169,INDEX($FK$170:$ID$241,HH$169,$FJ227),SUMPRODUCT(INDEX($FK$325:$ID$396,HH$169,1+SwaptionShift):INDEX($FK$325:$ID$396,HH$169,SwaptionMonthsToGo+SwaptionShift),INDEX($FK$245:$ID$316,$FJ227-HH$169,73-HH$169+SwaptionShift):INDEX($FK$245:$ID$316,$FJ227-HH$169,72-HH$169+SwaptionMonthsToGo+SwaptionShift))/SQRT(SUM(INDEX($FK382:$ID382,1+SwaptionShift):INDEX($FK382:$ID382,SwaptionMonthsToGo+SwaptionShift))*SUM(INDEX($FK$325:$ID$396,HH$169,1+SwaptionShift):INDEX($FK$325:$ID$396,HH$169,SwaptionMonthsToGo+SwaptionShift))))))</f>
        <v/>
      </c>
      <c r="HI227" s="150" t="str">
        <f aca="false">IF(OR(HI$169&lt;SwaptionFirstMonthPosition+1,$FJ227&lt;SwaptionFirstMonthPosition+1,HI$169&gt;SwaptionFirstMonthPosition+SwaptionNumOfMonths+1,$FJ227&gt;SwaptionFirstMonthPosition+SwaptionNumOfMonths+1),"",IF($FJ227=HI$169,1,IF($FJ227&lt;HI$169,INDEX($FK$170:$ID$241,HI$169,$FJ227),SUMPRODUCT(INDEX($FK$325:$ID$396,HI$169,1+SwaptionShift):INDEX($FK$325:$ID$396,HI$169,SwaptionMonthsToGo+SwaptionShift),INDEX($FK$245:$ID$316,$FJ227-HI$169,73-HI$169+SwaptionShift):INDEX($FK$245:$ID$316,$FJ227-HI$169,72-HI$169+SwaptionMonthsToGo+SwaptionShift))/SQRT(SUM(INDEX($FK382:$ID382,1+SwaptionShift):INDEX($FK382:$ID382,SwaptionMonthsToGo+SwaptionShift))*SUM(INDEX($FK$325:$ID$396,HI$169,1+SwaptionShift):INDEX($FK$325:$ID$396,HI$169,SwaptionMonthsToGo+SwaptionShift))))))</f>
        <v/>
      </c>
      <c r="HJ227" s="150" t="str">
        <f aca="false">IF(OR(HJ$169&lt;SwaptionFirstMonthPosition+1,$FJ227&lt;SwaptionFirstMonthPosition+1,HJ$169&gt;SwaptionFirstMonthPosition+SwaptionNumOfMonths+1,$FJ227&gt;SwaptionFirstMonthPosition+SwaptionNumOfMonths+1),"",IF($FJ227=HJ$169,1,IF($FJ227&lt;HJ$169,INDEX($FK$170:$ID$241,HJ$169,$FJ227),SUMPRODUCT(INDEX($FK$325:$ID$396,HJ$169,1+SwaptionShift):INDEX($FK$325:$ID$396,HJ$169,SwaptionMonthsToGo+SwaptionShift),INDEX($FK$245:$ID$316,$FJ227-HJ$169,73-HJ$169+SwaptionShift):INDEX($FK$245:$ID$316,$FJ227-HJ$169,72-HJ$169+SwaptionMonthsToGo+SwaptionShift))/SQRT(SUM(INDEX($FK382:$ID382,1+SwaptionShift):INDEX($FK382:$ID382,SwaptionMonthsToGo+SwaptionShift))*SUM(INDEX($FK$325:$ID$396,HJ$169,1+SwaptionShift):INDEX($FK$325:$ID$396,HJ$169,SwaptionMonthsToGo+SwaptionShift))))))</f>
        <v/>
      </c>
      <c r="HK227" s="150" t="str">
        <f aca="false">IF(OR(HK$169&lt;SwaptionFirstMonthPosition+1,$FJ227&lt;SwaptionFirstMonthPosition+1,HK$169&gt;SwaptionFirstMonthPosition+SwaptionNumOfMonths+1,$FJ227&gt;SwaptionFirstMonthPosition+SwaptionNumOfMonths+1),"",IF($FJ227=HK$169,1,IF($FJ227&lt;HK$169,INDEX($FK$170:$ID$241,HK$169,$FJ227),SUMPRODUCT(INDEX($FK$325:$ID$396,HK$169,1+SwaptionShift):INDEX($FK$325:$ID$396,HK$169,SwaptionMonthsToGo+SwaptionShift),INDEX($FK$245:$ID$316,$FJ227-HK$169,73-HK$169+SwaptionShift):INDEX($FK$245:$ID$316,$FJ227-HK$169,72-HK$169+SwaptionMonthsToGo+SwaptionShift))/SQRT(SUM(INDEX($FK382:$ID382,1+SwaptionShift):INDEX($FK382:$ID382,SwaptionMonthsToGo+SwaptionShift))*SUM(INDEX($FK$325:$ID$396,HK$169,1+SwaptionShift):INDEX($FK$325:$ID$396,HK$169,SwaptionMonthsToGo+SwaptionShift))))))</f>
        <v/>
      </c>
      <c r="HL227" s="150" t="str">
        <f aca="false">IF(OR(HL$169&lt;SwaptionFirstMonthPosition+1,$FJ227&lt;SwaptionFirstMonthPosition+1,HL$169&gt;SwaptionFirstMonthPosition+SwaptionNumOfMonths+1,$FJ227&gt;SwaptionFirstMonthPosition+SwaptionNumOfMonths+1),"",IF($FJ227=HL$169,1,IF($FJ227&lt;HL$169,INDEX($FK$170:$ID$241,HL$169,$FJ227),SUMPRODUCT(INDEX($FK$325:$ID$396,HL$169,1+SwaptionShift):INDEX($FK$325:$ID$396,HL$169,SwaptionMonthsToGo+SwaptionShift),INDEX($FK$245:$ID$316,$FJ227-HL$169,73-HL$169+SwaptionShift):INDEX($FK$245:$ID$316,$FJ227-HL$169,72-HL$169+SwaptionMonthsToGo+SwaptionShift))/SQRT(SUM(INDEX($FK382:$ID382,1+SwaptionShift):INDEX($FK382:$ID382,SwaptionMonthsToGo+SwaptionShift))*SUM(INDEX($FK$325:$ID$396,HL$169,1+SwaptionShift):INDEX($FK$325:$ID$396,HL$169,SwaptionMonthsToGo+SwaptionShift))))))</f>
        <v/>
      </c>
      <c r="HM227" s="150" t="str">
        <f aca="false">IF(OR(HM$169&lt;SwaptionFirstMonthPosition+1,$FJ227&lt;SwaptionFirstMonthPosition+1,HM$169&gt;SwaptionFirstMonthPosition+SwaptionNumOfMonths+1,$FJ227&gt;SwaptionFirstMonthPosition+SwaptionNumOfMonths+1),"",IF($FJ227=HM$169,1,IF($FJ227&lt;HM$169,INDEX($FK$170:$ID$241,HM$169,$FJ227),SUMPRODUCT(INDEX($FK$325:$ID$396,HM$169,1+SwaptionShift):INDEX($FK$325:$ID$396,HM$169,SwaptionMonthsToGo+SwaptionShift),INDEX($FK$245:$ID$316,$FJ227-HM$169,73-HM$169+SwaptionShift):INDEX($FK$245:$ID$316,$FJ227-HM$169,72-HM$169+SwaptionMonthsToGo+SwaptionShift))/SQRT(SUM(INDEX($FK382:$ID382,1+SwaptionShift):INDEX($FK382:$ID382,SwaptionMonthsToGo+SwaptionShift))*SUM(INDEX($FK$325:$ID$396,HM$169,1+SwaptionShift):INDEX($FK$325:$ID$396,HM$169,SwaptionMonthsToGo+SwaptionShift))))))</f>
        <v/>
      </c>
      <c r="HN227" s="150" t="str">
        <f aca="false">IF(OR(HN$169&lt;SwaptionFirstMonthPosition+1,$FJ227&lt;SwaptionFirstMonthPosition+1,HN$169&gt;SwaptionFirstMonthPosition+SwaptionNumOfMonths+1,$FJ227&gt;SwaptionFirstMonthPosition+SwaptionNumOfMonths+1),"",IF($FJ227=HN$169,1,IF($FJ227&lt;HN$169,INDEX($FK$170:$ID$241,HN$169,$FJ227),SUMPRODUCT(INDEX($FK$325:$ID$396,HN$169,1+SwaptionShift):INDEX($FK$325:$ID$396,HN$169,SwaptionMonthsToGo+SwaptionShift),INDEX($FK$245:$ID$316,$FJ227-HN$169,73-HN$169+SwaptionShift):INDEX($FK$245:$ID$316,$FJ227-HN$169,72-HN$169+SwaptionMonthsToGo+SwaptionShift))/SQRT(SUM(INDEX($FK382:$ID382,1+SwaptionShift):INDEX($FK382:$ID382,SwaptionMonthsToGo+SwaptionShift))*SUM(INDEX($FK$325:$ID$396,HN$169,1+SwaptionShift):INDEX($FK$325:$ID$396,HN$169,SwaptionMonthsToGo+SwaptionShift))))))</f>
        <v/>
      </c>
      <c r="HO227" s="150" t="str">
        <f aca="false">IF(OR(HO$169&lt;SwaptionFirstMonthPosition+1,$FJ227&lt;SwaptionFirstMonthPosition+1,HO$169&gt;SwaptionFirstMonthPosition+SwaptionNumOfMonths+1,$FJ227&gt;SwaptionFirstMonthPosition+SwaptionNumOfMonths+1),"",IF($FJ227=HO$169,1,IF($FJ227&lt;HO$169,INDEX($FK$170:$ID$241,HO$169,$FJ227),SUMPRODUCT(INDEX($FK$325:$ID$396,HO$169,1+SwaptionShift):INDEX($FK$325:$ID$396,HO$169,SwaptionMonthsToGo+SwaptionShift),INDEX($FK$245:$ID$316,$FJ227-HO$169,73-HO$169+SwaptionShift):INDEX($FK$245:$ID$316,$FJ227-HO$169,72-HO$169+SwaptionMonthsToGo+SwaptionShift))/SQRT(SUM(INDEX($FK382:$ID382,1+SwaptionShift):INDEX($FK382:$ID382,SwaptionMonthsToGo+SwaptionShift))*SUM(INDEX($FK$325:$ID$396,HO$169,1+SwaptionShift):INDEX($FK$325:$ID$396,HO$169,SwaptionMonthsToGo+SwaptionShift))))))</f>
        <v/>
      </c>
      <c r="HP227" s="150" t="str">
        <f aca="false">IF(OR(HP$169&lt;SwaptionFirstMonthPosition+1,$FJ227&lt;SwaptionFirstMonthPosition+1,HP$169&gt;SwaptionFirstMonthPosition+SwaptionNumOfMonths+1,$FJ227&gt;SwaptionFirstMonthPosition+SwaptionNumOfMonths+1),"",IF($FJ227=HP$169,1,IF($FJ227&lt;HP$169,INDEX($FK$170:$ID$241,HP$169,$FJ227),SUMPRODUCT(INDEX($FK$325:$ID$396,HP$169,1+SwaptionShift):INDEX($FK$325:$ID$396,HP$169,SwaptionMonthsToGo+SwaptionShift),INDEX($FK$245:$ID$316,$FJ227-HP$169,73-HP$169+SwaptionShift):INDEX($FK$245:$ID$316,$FJ227-HP$169,72-HP$169+SwaptionMonthsToGo+SwaptionShift))/SQRT(SUM(INDEX($FK382:$ID382,1+SwaptionShift):INDEX($FK382:$ID382,SwaptionMonthsToGo+SwaptionShift))*SUM(INDEX($FK$325:$ID$396,HP$169,1+SwaptionShift):INDEX($FK$325:$ID$396,HP$169,SwaptionMonthsToGo+SwaptionShift))))))</f>
        <v/>
      </c>
      <c r="HQ227" s="150" t="str">
        <f aca="false">IF(OR(HQ$169&lt;SwaptionFirstMonthPosition+1,$FJ227&lt;SwaptionFirstMonthPosition+1,HQ$169&gt;SwaptionFirstMonthPosition+SwaptionNumOfMonths+1,$FJ227&gt;SwaptionFirstMonthPosition+SwaptionNumOfMonths+1),"",IF($FJ227=HQ$169,1,IF($FJ227&lt;HQ$169,INDEX($FK$170:$ID$241,HQ$169,$FJ227),SUMPRODUCT(INDEX($FK$325:$ID$396,HQ$169,1+SwaptionShift):INDEX($FK$325:$ID$396,HQ$169,SwaptionMonthsToGo+SwaptionShift),INDEX($FK$245:$ID$316,$FJ227-HQ$169,73-HQ$169+SwaptionShift):INDEX($FK$245:$ID$316,$FJ227-HQ$169,72-HQ$169+SwaptionMonthsToGo+SwaptionShift))/SQRT(SUM(INDEX($FK382:$ID382,1+SwaptionShift):INDEX($FK382:$ID382,SwaptionMonthsToGo+SwaptionShift))*SUM(INDEX($FK$325:$ID$396,HQ$169,1+SwaptionShift):INDEX($FK$325:$ID$396,HQ$169,SwaptionMonthsToGo+SwaptionShift))))))</f>
        <v/>
      </c>
      <c r="HR227" s="150" t="str">
        <f aca="false">IF(OR(HR$169&lt;SwaptionFirstMonthPosition+1,$FJ227&lt;SwaptionFirstMonthPosition+1,HR$169&gt;SwaptionFirstMonthPosition+SwaptionNumOfMonths+1,$FJ227&gt;SwaptionFirstMonthPosition+SwaptionNumOfMonths+1),"",IF($FJ227=HR$169,1,IF($FJ227&lt;HR$169,INDEX($FK$170:$ID$241,HR$169,$FJ227),SUMPRODUCT(INDEX($FK$325:$ID$396,HR$169,1+SwaptionShift):INDEX($FK$325:$ID$396,HR$169,SwaptionMonthsToGo+SwaptionShift),INDEX($FK$245:$ID$316,$FJ227-HR$169,73-HR$169+SwaptionShift):INDEX($FK$245:$ID$316,$FJ227-HR$169,72-HR$169+SwaptionMonthsToGo+SwaptionShift))/SQRT(SUM(INDEX($FK382:$ID382,1+SwaptionShift):INDEX($FK382:$ID382,SwaptionMonthsToGo+SwaptionShift))*SUM(INDEX($FK$325:$ID$396,HR$169,1+SwaptionShift):INDEX($FK$325:$ID$396,HR$169,SwaptionMonthsToGo+SwaptionShift))))))</f>
        <v/>
      </c>
      <c r="HS227" s="150" t="str">
        <f aca="false">IF(OR(HS$169&lt;SwaptionFirstMonthPosition+1,$FJ227&lt;SwaptionFirstMonthPosition+1,HS$169&gt;SwaptionFirstMonthPosition+SwaptionNumOfMonths+1,$FJ227&gt;SwaptionFirstMonthPosition+SwaptionNumOfMonths+1),"",IF($FJ227=HS$169,1,IF($FJ227&lt;HS$169,INDEX($FK$170:$ID$241,HS$169,$FJ227),SUMPRODUCT(INDEX($FK$325:$ID$396,HS$169,1+SwaptionShift):INDEX($FK$325:$ID$396,HS$169,SwaptionMonthsToGo+SwaptionShift),INDEX($FK$245:$ID$316,$FJ227-HS$169,73-HS$169+SwaptionShift):INDEX($FK$245:$ID$316,$FJ227-HS$169,72-HS$169+SwaptionMonthsToGo+SwaptionShift))/SQRT(SUM(INDEX($FK382:$ID382,1+SwaptionShift):INDEX($FK382:$ID382,SwaptionMonthsToGo+SwaptionShift))*SUM(INDEX($FK$325:$ID$396,HS$169,1+SwaptionShift):INDEX($FK$325:$ID$396,HS$169,SwaptionMonthsToGo+SwaptionShift))))))</f>
        <v/>
      </c>
      <c r="HT227" s="150" t="str">
        <f aca="false">IF(OR(HT$169&lt;SwaptionFirstMonthPosition+1,$FJ227&lt;SwaptionFirstMonthPosition+1,HT$169&gt;SwaptionFirstMonthPosition+SwaptionNumOfMonths+1,$FJ227&gt;SwaptionFirstMonthPosition+SwaptionNumOfMonths+1),"",IF($FJ227=HT$169,1,IF($FJ227&lt;HT$169,INDEX($FK$170:$ID$241,HT$169,$FJ227),SUMPRODUCT(INDEX($FK$325:$ID$396,HT$169,1+SwaptionShift):INDEX($FK$325:$ID$396,HT$169,SwaptionMonthsToGo+SwaptionShift),INDEX($FK$245:$ID$316,$FJ227-HT$169,73-HT$169+SwaptionShift):INDEX($FK$245:$ID$316,$FJ227-HT$169,72-HT$169+SwaptionMonthsToGo+SwaptionShift))/SQRT(SUM(INDEX($FK382:$ID382,1+SwaptionShift):INDEX($FK382:$ID382,SwaptionMonthsToGo+SwaptionShift))*SUM(INDEX($FK$325:$ID$396,HT$169,1+SwaptionShift):INDEX($FK$325:$ID$396,HT$169,SwaptionMonthsToGo+SwaptionShift))))))</f>
        <v/>
      </c>
      <c r="HU227" s="150" t="str">
        <f aca="false">IF(OR(HU$169&lt;SwaptionFirstMonthPosition+1,$FJ227&lt;SwaptionFirstMonthPosition+1,HU$169&gt;SwaptionFirstMonthPosition+SwaptionNumOfMonths+1,$FJ227&gt;SwaptionFirstMonthPosition+SwaptionNumOfMonths+1),"",IF($FJ227=HU$169,1,IF($FJ227&lt;HU$169,INDEX($FK$170:$ID$241,HU$169,$FJ227),SUMPRODUCT(INDEX($FK$325:$ID$396,HU$169,1+SwaptionShift):INDEX($FK$325:$ID$396,HU$169,SwaptionMonthsToGo+SwaptionShift),INDEX($FK$245:$ID$316,$FJ227-HU$169,73-HU$169+SwaptionShift):INDEX($FK$245:$ID$316,$FJ227-HU$169,72-HU$169+SwaptionMonthsToGo+SwaptionShift))/SQRT(SUM(INDEX($FK382:$ID382,1+SwaptionShift):INDEX($FK382:$ID382,SwaptionMonthsToGo+SwaptionShift))*SUM(INDEX($FK$325:$ID$396,HU$169,1+SwaptionShift):INDEX($FK$325:$ID$396,HU$169,SwaptionMonthsToGo+SwaptionShift))))))</f>
        <v/>
      </c>
      <c r="HV227" s="150" t="str">
        <f aca="false">IF(OR(HV$169&lt;SwaptionFirstMonthPosition+1,$FJ227&lt;SwaptionFirstMonthPosition+1,HV$169&gt;SwaptionFirstMonthPosition+SwaptionNumOfMonths+1,$FJ227&gt;SwaptionFirstMonthPosition+SwaptionNumOfMonths+1),"",IF($FJ227=HV$169,1,IF($FJ227&lt;HV$169,INDEX($FK$170:$ID$241,HV$169,$FJ227),SUMPRODUCT(INDEX($FK$325:$ID$396,HV$169,1+SwaptionShift):INDEX($FK$325:$ID$396,HV$169,SwaptionMonthsToGo+SwaptionShift),INDEX($FK$245:$ID$316,$FJ227-HV$169,73-HV$169+SwaptionShift):INDEX($FK$245:$ID$316,$FJ227-HV$169,72-HV$169+SwaptionMonthsToGo+SwaptionShift))/SQRT(SUM(INDEX($FK382:$ID382,1+SwaptionShift):INDEX($FK382:$ID382,SwaptionMonthsToGo+SwaptionShift))*SUM(INDEX($FK$325:$ID$396,HV$169,1+SwaptionShift):INDEX($FK$325:$ID$396,HV$169,SwaptionMonthsToGo+SwaptionShift))))))</f>
        <v/>
      </c>
      <c r="HW227" s="150" t="str">
        <f aca="false">IF(OR(HW$169&lt;SwaptionFirstMonthPosition+1,$FJ227&lt;SwaptionFirstMonthPosition+1,HW$169&gt;SwaptionFirstMonthPosition+SwaptionNumOfMonths+1,$FJ227&gt;SwaptionFirstMonthPosition+SwaptionNumOfMonths+1),"",IF($FJ227=HW$169,1,IF($FJ227&lt;HW$169,INDEX($FK$170:$ID$241,HW$169,$FJ227),SUMPRODUCT(INDEX($FK$325:$ID$396,HW$169,1+SwaptionShift):INDEX($FK$325:$ID$396,HW$169,SwaptionMonthsToGo+SwaptionShift),INDEX($FK$245:$ID$316,$FJ227-HW$169,73-HW$169+SwaptionShift):INDEX($FK$245:$ID$316,$FJ227-HW$169,72-HW$169+SwaptionMonthsToGo+SwaptionShift))/SQRT(SUM(INDEX($FK382:$ID382,1+SwaptionShift):INDEX($FK382:$ID382,SwaptionMonthsToGo+SwaptionShift))*SUM(INDEX($FK$325:$ID$396,HW$169,1+SwaptionShift):INDEX($FK$325:$ID$396,HW$169,SwaptionMonthsToGo+SwaptionShift))))))</f>
        <v/>
      </c>
      <c r="HX227" s="150" t="str">
        <f aca="false">IF(OR(HX$169&lt;SwaptionFirstMonthPosition+1,$FJ227&lt;SwaptionFirstMonthPosition+1,HX$169&gt;SwaptionFirstMonthPosition+SwaptionNumOfMonths+1,$FJ227&gt;SwaptionFirstMonthPosition+SwaptionNumOfMonths+1),"",IF($FJ227=HX$169,1,IF($FJ227&lt;HX$169,INDEX($FK$170:$ID$241,HX$169,$FJ227),SUMPRODUCT(INDEX($FK$325:$ID$396,HX$169,1+SwaptionShift):INDEX($FK$325:$ID$396,HX$169,SwaptionMonthsToGo+SwaptionShift),INDEX($FK$245:$ID$316,$FJ227-HX$169,73-HX$169+SwaptionShift):INDEX($FK$245:$ID$316,$FJ227-HX$169,72-HX$169+SwaptionMonthsToGo+SwaptionShift))/SQRT(SUM(INDEX($FK382:$ID382,1+SwaptionShift):INDEX($FK382:$ID382,SwaptionMonthsToGo+SwaptionShift))*SUM(INDEX($FK$325:$ID$396,HX$169,1+SwaptionShift):INDEX($FK$325:$ID$396,HX$169,SwaptionMonthsToGo+SwaptionShift))))))</f>
        <v/>
      </c>
      <c r="HY227" s="150" t="str">
        <f aca="false">IF(OR(HY$169&lt;SwaptionFirstMonthPosition+1,$FJ227&lt;SwaptionFirstMonthPosition+1,HY$169&gt;SwaptionFirstMonthPosition+SwaptionNumOfMonths+1,$FJ227&gt;SwaptionFirstMonthPosition+SwaptionNumOfMonths+1),"",IF($FJ227=HY$169,1,IF($FJ227&lt;HY$169,INDEX($FK$170:$ID$241,HY$169,$FJ227),SUMPRODUCT(INDEX($FK$325:$ID$396,HY$169,1+SwaptionShift):INDEX($FK$325:$ID$396,HY$169,SwaptionMonthsToGo+SwaptionShift),INDEX($FK$245:$ID$316,$FJ227-HY$169,73-HY$169+SwaptionShift):INDEX($FK$245:$ID$316,$FJ227-HY$169,72-HY$169+SwaptionMonthsToGo+SwaptionShift))/SQRT(SUM(INDEX($FK382:$ID382,1+SwaptionShift):INDEX($FK382:$ID382,SwaptionMonthsToGo+SwaptionShift))*SUM(INDEX($FK$325:$ID$396,HY$169,1+SwaptionShift):INDEX($FK$325:$ID$396,HY$169,SwaptionMonthsToGo+SwaptionShift))))))</f>
        <v/>
      </c>
      <c r="HZ227" s="150" t="str">
        <f aca="false">IF(OR(HZ$169&lt;SwaptionFirstMonthPosition+1,$FJ227&lt;SwaptionFirstMonthPosition+1,HZ$169&gt;SwaptionFirstMonthPosition+SwaptionNumOfMonths+1,$FJ227&gt;SwaptionFirstMonthPosition+SwaptionNumOfMonths+1),"",IF($FJ227=HZ$169,1,IF($FJ227&lt;HZ$169,INDEX($FK$170:$ID$241,HZ$169,$FJ227),SUMPRODUCT(INDEX($FK$325:$ID$396,HZ$169,1+SwaptionShift):INDEX($FK$325:$ID$396,HZ$169,SwaptionMonthsToGo+SwaptionShift),INDEX($FK$245:$ID$316,$FJ227-HZ$169,73-HZ$169+SwaptionShift):INDEX($FK$245:$ID$316,$FJ227-HZ$169,72-HZ$169+SwaptionMonthsToGo+SwaptionShift))/SQRT(SUM(INDEX($FK382:$ID382,1+SwaptionShift):INDEX($FK382:$ID382,SwaptionMonthsToGo+SwaptionShift))*SUM(INDEX($FK$325:$ID$396,HZ$169,1+SwaptionShift):INDEX($FK$325:$ID$396,HZ$169,SwaptionMonthsToGo+SwaptionShift))))))</f>
        <v/>
      </c>
      <c r="IA227" s="150" t="str">
        <f aca="false">IF(OR(IA$169&lt;SwaptionFirstMonthPosition+1,$FJ227&lt;SwaptionFirstMonthPosition+1,IA$169&gt;SwaptionFirstMonthPosition+SwaptionNumOfMonths+1,$FJ227&gt;SwaptionFirstMonthPosition+SwaptionNumOfMonths+1),"",IF($FJ227=IA$169,1,IF($FJ227&lt;IA$169,INDEX($FK$170:$ID$241,IA$169,$FJ227),SUMPRODUCT(INDEX($FK$325:$ID$396,IA$169,1+SwaptionShift):INDEX($FK$325:$ID$396,IA$169,SwaptionMonthsToGo+SwaptionShift),INDEX($FK$245:$ID$316,$FJ227-IA$169,73-IA$169+SwaptionShift):INDEX($FK$245:$ID$316,$FJ227-IA$169,72-IA$169+SwaptionMonthsToGo+SwaptionShift))/SQRT(SUM(INDEX($FK382:$ID382,1+SwaptionShift):INDEX($FK382:$ID382,SwaptionMonthsToGo+SwaptionShift))*SUM(INDEX($FK$325:$ID$396,IA$169,1+SwaptionShift):INDEX($FK$325:$ID$396,IA$169,SwaptionMonthsToGo+SwaptionShift))))))</f>
        <v/>
      </c>
      <c r="IB227" s="150" t="str">
        <f aca="false">IF(OR(IB$169&lt;SwaptionFirstMonthPosition+1,$FJ227&lt;SwaptionFirstMonthPosition+1,IB$169&gt;SwaptionFirstMonthPosition+SwaptionNumOfMonths+1,$FJ227&gt;SwaptionFirstMonthPosition+SwaptionNumOfMonths+1),"",IF($FJ227=IB$169,1,IF($FJ227&lt;IB$169,INDEX($FK$170:$ID$241,IB$169,$FJ227),SUMPRODUCT(INDEX($FK$325:$ID$396,IB$169,1+SwaptionShift):INDEX($FK$325:$ID$396,IB$169,SwaptionMonthsToGo+SwaptionShift),INDEX($FK$245:$ID$316,$FJ227-IB$169,73-IB$169+SwaptionShift):INDEX($FK$245:$ID$316,$FJ227-IB$169,72-IB$169+SwaptionMonthsToGo+SwaptionShift))/SQRT(SUM(INDEX($FK382:$ID382,1+SwaptionShift):INDEX($FK382:$ID382,SwaptionMonthsToGo+SwaptionShift))*SUM(INDEX($FK$325:$ID$396,IB$169,1+SwaptionShift):INDEX($FK$325:$ID$396,IB$169,SwaptionMonthsToGo+SwaptionShift))))))</f>
        <v/>
      </c>
      <c r="IC227" s="150" t="str">
        <f aca="false">IF(OR(IC$169&lt;SwaptionFirstMonthPosition+1,$FJ227&lt;SwaptionFirstMonthPosition+1,IC$169&gt;SwaptionFirstMonthPosition+SwaptionNumOfMonths+1,$FJ227&gt;SwaptionFirstMonthPosition+SwaptionNumOfMonths+1),"",IF($FJ227=IC$169,1,IF($FJ227&lt;IC$169,INDEX($FK$170:$ID$241,IC$169,$FJ227),SUMPRODUCT(INDEX($FK$325:$ID$396,IC$169,1+SwaptionShift):INDEX($FK$325:$ID$396,IC$169,SwaptionMonthsToGo+SwaptionShift),INDEX($FK$245:$ID$316,$FJ227-IC$169,73-IC$169+SwaptionShift):INDEX($FK$245:$ID$316,$FJ227-IC$169,72-IC$169+SwaptionMonthsToGo+SwaptionShift))/SQRT(SUM(INDEX($FK382:$ID382,1+SwaptionShift):INDEX($FK382:$ID382,SwaptionMonthsToGo+SwaptionShift))*SUM(INDEX($FK$325:$ID$396,IC$169,1+SwaptionShift):INDEX($FK$325:$ID$396,IC$169,SwaptionMonthsToGo+SwaptionShift))))))</f>
        <v/>
      </c>
      <c r="ID227" s="572" t="str">
        <f aca="false">IF(OR(ID$169&lt;SwaptionFirstMonthPosition+1,$FJ227&lt;SwaptionFirstMonthPosition+1,ID$169&gt;SwaptionFirstMonthPosition+SwaptionNumOfMonths+1,$FJ227&gt;SwaptionFirstMonthPosition+SwaptionNumOfMonths+1),"",IF($FJ227=ID$169,1,IF($FJ227&lt;ID$169,INDEX($FK$170:$ID$241,ID$169,$FJ227),SUMPRODUCT(INDEX($FK$325:$ID$396,ID$169,1+SwaptionShift):INDEX($FK$325:$ID$396,ID$169,SwaptionMonthsToGo+SwaptionShift),INDEX($FK$245:$ID$316,$FJ227-ID$169,73-ID$169+SwaptionShift):INDEX($FK$245:$ID$316,$FJ227-ID$169,72-ID$169+SwaptionMonthsToGo+SwaptionShift))/SQRT(SUM(INDEX($FK382:$ID382,1+SwaptionShift):INDEX($FK382:$ID382,SwaptionMonthsToGo+SwaptionShift))*SUM(INDEX($FK$325:$ID$396,ID$169,1+SwaptionShift):INDEX($FK$325:$ID$396,ID$169,SwaptionMonthsToGo+SwaptionShift))))))</f>
        <v/>
      </c>
      <c r="IE227" s="129"/>
    </row>
    <row r="228" customFormat="false" ht="12.75" hidden="false" customHeight="false" outlineLevel="0" collapsed="false">
      <c r="H228" s="219" t="n">
        <f aca="false">VLOOKUP(I228,$EJ$20:$EL$54,3)</f>
        <v>0</v>
      </c>
      <c r="I228" s="511" t="n">
        <f aca="false">EOMONTH(I227,0)+1</f>
        <v>43101</v>
      </c>
      <c r="J228" s="512"/>
      <c r="K228" s="513" t="s">
        <v>280</v>
      </c>
      <c r="L228" s="514" t="n">
        <f aca="false">IF(ISNUMBER(K228),J228+K228/100,IF(K228="extra",L227+VLOOKUP(BF228,PriceSpreadTable,2)/12,IF(K228="inter",interpolateprices($K$19:$L$200,ROW(K228)-ROW(FirstPricingMonth)+1),interpolatechanges($J$19:$K$200,ROW(K228)-ROW(FirstPricingMonth)+1))))</f>
        <v>4.95</v>
      </c>
      <c r="M228" s="515"/>
      <c r="N228" s="516" t="n">
        <v>0</v>
      </c>
      <c r="O228" s="515" t="n">
        <f aca="false">M228+N228</f>
        <v>0</v>
      </c>
      <c r="P228" s="512"/>
      <c r="Q228" s="513" t="s">
        <v>280</v>
      </c>
      <c r="R228" s="512" t="e">
        <f aca="false">IF(ISNUMBER(Q228),P228+Q228/100,IF(Q228="extra",(Z226*AL226-R227*AM226)/AN226,IF(Q228="inter",interpolateprices($Q$19:$R$260,ROW(Q228)-ROW(FirstPricingMonth)+1),interpolatechanges($P$19:$Q$260,ROW(Q228)-ROW(FirstPricingMonth)+1))))</f>
        <v>#VALUE!</v>
      </c>
      <c r="S228" s="597" t="n">
        <f aca="false">S$19+(S227-S$19)*S$18</f>
        <v>0.36</v>
      </c>
      <c r="T228" s="575" t="n">
        <f aca="false">SQRT((1-(1-T227^2/U227)*T$18)*U228)</f>
        <v>1</v>
      </c>
      <c r="U228" s="576" t="n">
        <f aca="false">1-(1-U227)*U$18</f>
        <v>1</v>
      </c>
      <c r="V228" s="521" t="n">
        <v>0</v>
      </c>
      <c r="W228" s="577" t="n">
        <f aca="false">(J229*AJ228+J230*AK228)/AI228</f>
        <v>0</v>
      </c>
      <c r="X228" s="578" t="n">
        <f aca="false">(L229*AJ228+L230*AK228)/AI228</f>
        <v>5.00113636363636</v>
      </c>
      <c r="Y228" s="579" t="n">
        <f aca="false">IF(Q230="extra",W228-AA228,(P229*AM228+P230*AN228)/AL228)</f>
        <v>-1.1685</v>
      </c>
      <c r="Z228" s="579" t="n">
        <f aca="false">IF(Q230="extra",X228-AB228,(R229*AM228+R230*AN228)/AL228)</f>
        <v>3.83263636363636</v>
      </c>
      <c r="AA228" s="523" t="n">
        <f aca="false">IF(Q230="extra",INDEX(BrentSeasonalityTable,INT((BG228-1)/3)+1)*VLOOKUP(MAX(BF228,$AB$4),PriceSpreadTable,3),W228-Y228)</f>
        <v>1.1685</v>
      </c>
      <c r="AB228" s="524" t="n">
        <f aca="false">IF(Q230="extra",INDEX(BrentSeasonalityTable,INT((BG228-1)/3)+1)*VLOOKUP(MAX(BF228,$AB$4),PriceSpreadTable,3),X228-Z228)</f>
        <v>1.1685</v>
      </c>
      <c r="AC228" s="646" t="n">
        <v>43089</v>
      </c>
      <c r="AD228" s="646" t="n">
        <v>43085</v>
      </c>
      <c r="AE228" s="646" t="n">
        <v>43084</v>
      </c>
      <c r="AF228" s="646" t="n">
        <v>43080</v>
      </c>
      <c r="AG228" s="438" t="s">
        <v>278</v>
      </c>
      <c r="AH228" s="439" t="s">
        <v>278</v>
      </c>
      <c r="AI228" s="528" t="n">
        <v>22</v>
      </c>
      <c r="AJ228" s="529" t="n">
        <v>14</v>
      </c>
      <c r="AK228" s="529" t="n">
        <v>8</v>
      </c>
      <c r="AL228" s="530" t="n">
        <v>22</v>
      </c>
      <c r="AM228" s="529" t="n">
        <v>9</v>
      </c>
      <c r="AN228" s="531" t="n">
        <v>13</v>
      </c>
      <c r="AO228" s="532"/>
      <c r="AP228" s="465" t="n">
        <f aca="false">(1+AO228/2)^(-2*BL228)</f>
        <v>1</v>
      </c>
      <c r="AQ228" s="532"/>
      <c r="AR228" s="465" t="n">
        <f aca="false">(1+AQ228/2)^(-2*BH228/365.25)</f>
        <v>1</v>
      </c>
      <c r="AS228" s="580" t="n">
        <f aca="false">(O229*AJ228+O230*AK228)/AI228</f>
        <v>0</v>
      </c>
      <c r="AT228" s="468" t="n">
        <f aca="false">O228*VLOOKUP(BF228,BrentVolTable,2)+VLOOKUP(BF228,BrentVolTable,3)</f>
        <v>0</v>
      </c>
      <c r="AU228" s="468" t="n">
        <f aca="false">(AT229*AM228+AT230*AN228)/AL228</f>
        <v>0</v>
      </c>
      <c r="AV228" s="595" t="n">
        <f aca="false">SQRT(MAX(0.000000000001,(O228^2*BH228-S228^2*(BH228-BH227))/BH227))</f>
        <v>0.0368063015359138</v>
      </c>
      <c r="AW228" s="451" t="n">
        <f aca="false">IF($I228-DateToday+15&gt;=$T$8,"",IF($I228-DateToday+15&lt;$T$5,1,MATCH($I228-DateToday+15,$T$5:$T$8)))</f>
        <v>1</v>
      </c>
      <c r="AX228" s="468" t="n">
        <f aca="false">IF($AW228="",AX227^2/AX226,INDEX(U$5:U$8,$AW228)^((INDEX($T$5:$T$8,$AW228+1)-($I228-DateToday+15))/(INDEX($T$5:$T$8,$AW228+1)-INDEX($T$5:$T$8,$AW228)))/INDEX(U$5:U$8,$AW228+1)^((INDEX($T$5:$T$8,$AW228)-($I228-DateToday+15))/(INDEX($T$5:$T$8,$AW228+1)-INDEX($T$5:$T$8,$AW228))))</f>
        <v>0.147018442291592</v>
      </c>
      <c r="AY228" s="468" t="n">
        <f aca="false">IF($AW228="",AY227^2/AY226,INDEX(V$5:V$8,$AW228)^((INDEX($T$5:$T$8,$AW228+1)-($I228-DateToday+15))/(INDEX($T$5:$T$8,$AW228+1)-INDEX($T$5:$T$8,$AW228)))/INDEX(V$5:V$8,$AW228+1)^((INDEX($T$5:$T$8,$AW228)-($I228-DateToday+15))/(INDEX($T$5:$T$8,$AW228+1)-INDEX($T$5:$T$8,$AW228))))</f>
        <v>0.815575524217442</v>
      </c>
      <c r="AZ228" s="468" t="n">
        <f aca="false">IF($AW228="",AZ227^2/AZ226,INDEX(W$5:W$8,$AW228)^((INDEX($T$5:$T$8,$AW228+1)-($I228-DateToday+15))/(INDEX($T$5:$T$8,$AW228+1)-INDEX($T$5:$T$8,$AW228)))/INDEX(W$5:W$8,$AW228+1)^((INDEX($T$5:$T$8,$AW228)-($I228-DateToday+15))/(INDEX($T$5:$T$8,$AW228+1)-INDEX($T$5:$T$8,$AW228))))</f>
        <v>25.8926052835953</v>
      </c>
      <c r="BA228" s="468" t="n">
        <f aca="false">IF($AW228="",BA227^2/BA226,INDEX(X$5:X$8,$AW228)^((INDEX($T$5:$T$8,$AW228+1)-($I228-DateToday+15))/(INDEX($T$5:$T$8,$AW228+1)-INDEX($T$5:$T$8,$AW228)))/INDEX(X$5:X$8,$AW228+1)^((INDEX($T$5:$T$8,$AW228)-($I228-DateToday+15))/(INDEX($T$5:$T$8,$AW228+1)-INDEX($T$5:$T$8,$AW228))))</f>
        <v>39.6530259965128</v>
      </c>
      <c r="BB228" s="468" t="n">
        <f aca="false">IF($AW228="",BB227^2/BB226,INDEX(Y$5:Y$8,$AW228)^((INDEX($T$5:$T$8,$AW228+1)-($I228-DateToday+15))/(INDEX($T$5:$T$8,$AW228+1)-INDEX($T$5:$T$8,$AW228)))/INDEX(Y$5:Y$8,$AW228+1)^((INDEX($T$5:$T$8,$AW228)-($I228-DateToday+15))/(INDEX($T$5:$T$8,$AW228+1)-INDEX($T$5:$T$8,$AW228))))</f>
        <v>139.826160605858</v>
      </c>
      <c r="BC228" s="468" t="n">
        <f aca="false">IF($AW228="",BC227^2/BC226,INDEX(Z$5:Z$8,$AW228)^((INDEX($T$5:$T$8,$AW228+1)-($I228-DateToday+15))/(INDEX($T$5:$T$8,$AW228+1)-INDEX($T$5:$T$8,$AW228)))/INDEX(Z$5:Z$8,$AW228+1)^((INDEX($T$5:$T$8,$AW228)-($I228-DateToday+15))/(INDEX($T$5:$T$8,$AW228+1)-INDEX($T$5:$T$8,$AW228))))</f>
        <v>306.458692069581</v>
      </c>
      <c r="BD228" s="535" t="n">
        <f aca="false">IF(OR(DateStart&gt;=I229,DateEnd&lt;I228),0,IF(VolumeOverrideFlag,V228,Volume))</f>
        <v>0</v>
      </c>
      <c r="BE228" s="536" t="n">
        <f aca="false">IF(OR(DateStart2&gt;=I229,DateEnd2&lt;I228),0,IF(VolumeOverrideFlag,V228,VolumeSwaption))</f>
        <v>0</v>
      </c>
      <c r="BF228" s="537" t="n">
        <f aca="false">YEAR(I228)</f>
        <v>2018</v>
      </c>
      <c r="BG228" s="538" t="n">
        <f aca="false">MONTH(I228)</f>
        <v>1</v>
      </c>
      <c r="BH228" s="539" t="n">
        <f aca="false">AD228-DateToday+1</f>
        <v>-2840</v>
      </c>
      <c r="BI228" s="540" t="n">
        <f aca="false">(I228-DateToday+1)/365.25</f>
        <v>-7.73169062286105</v>
      </c>
      <c r="BJ228" s="541" t="n">
        <f aca="false">BI228+(BL228-BI228)*CHOOSE(Underlying,AJ228/AI228,AM228/AL228)</f>
        <v>-7.67942256237944</v>
      </c>
      <c r="BK228" s="541" t="n">
        <f aca="false">BJ228+1/365.25</f>
        <v>-7.67668471159231</v>
      </c>
      <c r="BL228" s="541" t="n">
        <f aca="false">(I229-DateToday)/365.25</f>
        <v>-7.64955509924709</v>
      </c>
      <c r="BM228" s="542" t="e">
        <f aca="false">MAX(BI228-(BJ228-BI228)*(S229^2/O229^2-1),0)</f>
        <v>#DIV/0!</v>
      </c>
      <c r="BN228" s="541" t="e">
        <f aca="false">MAX(BL228+(BL228-BK228)*(S230^2/O230^2-1),0)</f>
        <v>#DIV/0!</v>
      </c>
      <c r="BO228" s="530" t="n">
        <f aca="false">CHOOSE(Underlying,AI228,AL228)</f>
        <v>22</v>
      </c>
      <c r="BP228" s="529" t="n">
        <f aca="false">CHOOSE(Underlying,AJ228,AM228)</f>
        <v>14</v>
      </c>
      <c r="BQ228" s="529" t="n">
        <f aca="false">CHOOSE(Underlying,AK228,AN228)</f>
        <v>8</v>
      </c>
      <c r="BR228" s="463" t="str">
        <f aca="false">IF(BD228,IF(Underlying=1,X228,Z228)+UnderlyingPriceAsian-SwapPriceCurve,"")</f>
        <v/>
      </c>
      <c r="BS228" s="463" t="str">
        <f aca="false">IF(BD228,Strike1/BR228-1,"")</f>
        <v/>
      </c>
      <c r="BT228" s="464" t="str">
        <f aca="false">IF(BD228,Strike2/BR228-1,"")</f>
        <v/>
      </c>
      <c r="BU228" s="465" t="str">
        <f aca="false">IF(BD228,IF(Underlying=1,L229,R229)+UnderlyingPriceAsian-SwapPriceCurve,"")</f>
        <v/>
      </c>
      <c r="BV228" s="465" t="str">
        <f aca="false">IF(BD228,IF(Underlying=1,L230,R230)+UnderlyingPriceAsian-SwapPriceCurve,"")</f>
        <v/>
      </c>
      <c r="BW228" s="466" t="str">
        <f aca="false">IF(BD228,IF(Underlying=1,O229,AT229),"")</f>
        <v/>
      </c>
      <c r="BX228" s="467" t="str">
        <f aca="false">IF(BD228,IF(Underlying=1,O230,AT230),"")</f>
        <v/>
      </c>
      <c r="BY228" s="466" t="str">
        <f aca="false">IF(BD228,IF(BS228&gt;0,IF(BS228&gt;0.2,BC228-BB228,IF(BS228&gt;0.1,BB228-BA228,BA228)),IF(BS228&lt;-0.2,AX228-AY228,IF(BS228&lt;-0.1,AY228-AZ228,AZ228))),"")</f>
        <v/>
      </c>
      <c r="BZ228" s="467" t="str">
        <f aca="false">IF(BD228,IF(BT228&gt;0,IF(BT228&gt;0.2,BC228-BB228,IF(BT228&gt;0.1,BB228-BA228,BA228)),IF(BT228&lt;-0.2,AX228-AY228,IF(BT228&lt;-0.1,AY228-AZ228,AZ228))),"")</f>
        <v/>
      </c>
      <c r="CA228" s="468" t="str">
        <f aca="false">IF($BD228,$BW228+IF(VolSkewFlag=1,IF(BS228&gt;0,$BA228*MIN(BS228/10%,1)+($BB228-$BA228)*MAX(0,MIN(BS228/10%-1,1))+($BC228-$BB228)*MAX(0,BS228/10%-2),$AZ228*MIN(-BS228/10%,1)+($AY228-$AZ228)*MAX(0,MIN(-BS228/10%-1,1))+($AX228-$AY228)*MAX(0,-BS228/10%-2)),0),"")</f>
        <v/>
      </c>
      <c r="CB228" s="468" t="str">
        <f aca="false">IF($BD228,$BX228+IF(VolSkewFlag=1,IF(BS228&gt;0,$BA228*MIN(BS228/10%,1)+($BB228-$BA228)*MAX(0,MIN(BS228/10%-1,1))+($BC228-$BB228)*MAX(0,BS228/10%-2),$AZ228*MIN(-BS228/10%,1)+($AY228-$AZ228)*MAX(0,MIN(-BS228/10%-1,1))+($AX228-$AY228)*MAX(0,-BS228/10%-2)),0),"")</f>
        <v/>
      </c>
      <c r="CC228" s="468" t="str">
        <f aca="false">IF($BD228,$BW228+IF(VolSkewFlag=1,IF(BT228&gt;0,$BA228*MIN(BT228/10%,1)+($BB228-$BA228)*MAX(0,MIN(BT228/10%-1,1))+($BC228-$BB228)*MAX(0,BT228/10%-2),$AZ228*MIN(-BT228/10%,1)+($AY228-$AZ228)*MAX(0,MIN(-BT228/10%-1,1))+($AX228-$AY228)*MAX(0,-BT228/10%-2)),0),"")</f>
        <v/>
      </c>
      <c r="CD228" s="468" t="str">
        <f aca="false">IF($BD228,$BX228+IF(VolSkewFlag=1,IF(BT228&gt;0,$BA228*MIN(BT228/10%,1)+($BB228-$BA228)*MAX(0,MIN(BT228/10%-1,1))+($BC228-$BB228)*MAX(0,BT228/10%-2),$AZ228*MIN(-BT228/10%,1)+($AY228-$AZ228)*MAX(0,MIN(-BT228/10%-1,1))+($AX228-$AY228)*MAX(0,-BT228/10%-2)),0),"")</f>
        <v/>
      </c>
      <c r="CE228" s="469" t="n">
        <v>1</v>
      </c>
      <c r="CF228" s="470" t="n">
        <f aca="false">IF(BD228,xCrudeAPO(BU228,BV228,CA228,CB228,S229,S230,BI228,BL228,BP228,BQ228,0,Strike1,AO228,CE228,0,BL228,IF(OptControl=4,0,1),0,1),0)</f>
        <v>0</v>
      </c>
      <c r="CG228" s="470" t="n">
        <f aca="false">IF(BD228,xCrudeAPO(BU228,BV228,CA228,CB228,S229,S230,BI228,BL228,BP228,BQ228,0,Strike1,AO228,CE228,0,BL228,IF(OptControl=4,0,1),1,1)+xCrudeAPO(BU228,BV228,CA228,CB228,S229,S230,BI228,BL228,BP228,BQ228,0,Strike1,AO228,CE228,0,BL228,IF(OptControl=4,0,1),1,2)+IF(OR(VolSkewFlag=2,ABS(BS228)&lt;0.0001),0,IF(BS228&gt;0,-1,1)*CH228*Strike1/BR228^2*BY228/10%),0)</f>
        <v>0</v>
      </c>
      <c r="CH228" s="470" t="n">
        <f aca="false">IF(BD228,(xCrudeAPO(BU228,BV228,CA228,CB228,S229,S230,BI228,BL228,BP228,BQ228,0,Strike1,AO228,CE228,0,BL228,IF(OptControl=4,0,1),3,1)+xCrudeAPO(BU228,BV228,CA228,CB228,S229,S230,BI228,BL228,BP228,BQ228,0,Strike1,AO228,CE228,0,BL228,IF(OptControl=4,0,1),3,2))/100,0)</f>
        <v>0</v>
      </c>
      <c r="CI228" s="470" t="n">
        <f aca="false">IF(BD228,xCrudeAPO(BU228,BV228,CA228,CB228,S229,S230,BI228-DaysForThetaCalculation/365.25,BL228-DaysForThetaCalculation/365.25,BP228,BQ228,0,Strike1,AO228,CE228,0,BL228,IF(OptControl=4,0,1),0,1)-xCrudeAPO(BU228,BV228,CA228,CB228,S229,S230,BI228,BL228,BP228,BQ228,0,Strike1,AO228,CE228,0,BL228,IF(OptControl=4,0,1),0,1),0)</f>
        <v>0</v>
      </c>
      <c r="CJ228" s="471" t="n">
        <f aca="false">IF(BD228,xCrudeAPO(BU228,BV228,CC228,CD228,S229,S230,BI228,BL228,BP228,BQ228,0,Strike2,AO228,CE228,0,BL228,IF(OptControl=3,1,0),0,1),0)</f>
        <v>0</v>
      </c>
      <c r="CK228" s="470" t="n">
        <f aca="false">IF(BD228,xCrudeAPO(BU228,BV228,CC228,CD228,S229,S230,BI228,BL228,BP228,BQ228,0,Strike2,AO228,CE228,0,BL228,IF(OptControl=3,1,0),1,1)+xCrudeAPO(BU228,BV228,CC228,CD228,S229,S230,BI228,BL228,BP228,BQ228,0,Strike2,AO228,CE228,0,BL228,IF(OptControl=3,1,0),1,2)+IF(OR(VolSkewFlag=2,ABS(BT228)&lt;0.0001),0,IF(BT228&gt;0,-1,1)*CL228*Strike2/BR228^2*BZ228/10%),0)</f>
        <v>0</v>
      </c>
      <c r="CL228" s="470" t="n">
        <f aca="false">IF(BD228,(xCrudeAPO(BU228,BV228,CC228,CD228,S229,S230,BI228,BL228,BP228,BQ228,0,Strike2,AO228,CE228,0,BL228,IF(OptControl=3,1,0),3,1)+xCrudeAPO(BU228,BV228,CC228,CD228,S229,S230,BI228,BL228,BP228,BQ228,0,Strike2,AO228,CE228,0,BL228,IF(OptControl=3,1,0),3,2))/100,0)</f>
        <v>0</v>
      </c>
      <c r="CM228" s="472" t="n">
        <f aca="false">IF(BD228,xCrudeAPO(BU228,BV228,CC228,CD228,S229,S230,BI228-DaysForThetaCalculation/365.25,BL228-DaysForThetaCalculation/365.25,BP228,BQ228,0,Strike2,AO228,CE228,0,BL228,IF(OptControl=3,1,0),0,1)-xCrudeAPO(BU228,BV228,CC228,CD228,S229,S230,BI228,BL228,BP228,BQ228,0,Strike2,AO228,CE228,0,BL228,IF(OptControl=3,1,0),0,1),0)</f>
        <v>0</v>
      </c>
      <c r="CN228" s="3"/>
      <c r="CO228" s="543" t="str">
        <f aca="false">IF(BD228,CHOOSE(Underlying,AD228,AF228)-DateToday+1,"")</f>
        <v/>
      </c>
      <c r="CP228" s="582" t="str">
        <f aca="false">IF(BD228,CHOOSE(Underlying,L228,R228),"")</f>
        <v/>
      </c>
      <c r="CQ228" s="544" t="str">
        <f aca="false">IF(BD228,Strike1/CP228-1,"")</f>
        <v/>
      </c>
      <c r="CR228" s="544" t="str">
        <f aca="false">IF(BD228,Strike2/CP228-1,"")</f>
        <v/>
      </c>
      <c r="CS228" s="544" t="str">
        <f aca="false">IF(BD228,IF(CQ228&gt;0,IF(CQ228&gt;0.2,BC227-BB227,IF(CQ228&gt;0.1,BB227-BA227,BA227)),IF(CQ228&lt;-0.2,AX227-AY227,IF(CQ228&lt;-0.1,AY227-AZ227,AZ227))),"")</f>
        <v/>
      </c>
      <c r="CT228" s="544" t="str">
        <f aca="false">IF(BD228,IF(CR228&gt;0,IF(CR228&gt;0.2,BC227-BB227,IF(CR228&gt;0.1,BB227-BA227,BA227)),IF(CR228&lt;-0.2,AX227-AY227,IF(CR228&lt;-0.1,AY227-AZ227,AZ227))),"")</f>
        <v/>
      </c>
      <c r="CU228" s="545" t="str">
        <f aca="false">IF(BD228,CHOOSE(Underlying,O228,AT228),"")</f>
        <v/>
      </c>
      <c r="CV228" s="545" t="str">
        <f aca="false">IF(BD228,CU228+IF(VolSkewFlag=1,IF(CQ228&gt;0,BA227*MIN(CQ228/10%,1)+(BB227-BA227)*MAX(0,MIN(CQ228/10%-1,1))+(BC227-BB227)*MAX(0,CQ228/10%-2),AZ227*MIN(-CQ228/10%,1)+(AY227-AZ227)*MAX(0,MIN(-CQ228/10%-1,1))+(AX227-AY227)*MAX(0,-CQ228/10%-2)),0),"")</f>
        <v/>
      </c>
      <c r="CW228" s="545" t="str">
        <f aca="false">IF(BD228,CU228+IF(VolSkewFlag=1,IF(CR228&gt;0,BA227*MIN(CR228/10%,1)+(BB227-BA227)*MAX(0,MIN(CR228/10%-1,1))+(BC227-BB227)*MAX(0,CR228/10%-2),AZ227*MIN(-CR228/10%,1)+(AY227-AZ227)*MAX(0,MIN(-CR228/10%-1,1))+(AX227-AY227)*MAX(0,-CR228/10%-2)),0),"")</f>
        <v/>
      </c>
      <c r="CX228" s="470" t="n">
        <f aca="false">IF(BD228,EURO(CP228,Strike1,AO228,AO228,CV228,CO228,IF(OptControl=4,0,1),0),0)</f>
        <v>0</v>
      </c>
      <c r="CY228" s="470" t="n">
        <f aca="false">IF(BD228,EURO(CP228,Strike1,AO228,AO228,CV228,CO228,IF(OptControl=4,0,1),1)+IF(OR(VolSkewFlag=2,ABS(CQ228)&lt;0.0001),0,IF(CQ228&gt;0,-1,1)*CZ228*100*Strike1/CP228^2*CS228/10%),0)</f>
        <v>0</v>
      </c>
      <c r="CZ228" s="470" t="n">
        <f aca="false">IF(BD228,EURO(CP228,Strike1,AO228,AO228,CV228,CO228,IF(OptControl=4,0,1),3)/100,0)</f>
        <v>0</v>
      </c>
      <c r="DA228" s="470" t="n">
        <f aca="false">IF(BD228,EURO(CP228,Strike1,AO228,AO228,CV228,CO228,IF(OptControl=4,0,1),0)-EURO(CP228,Strike1,AO228,AO228,CV228,CO228-1,IF(OptControl=4,0,1),0),0)</f>
        <v>0</v>
      </c>
      <c r="DB228" s="470" t="n">
        <f aca="false">IF(BD228,EURO(CP228,Strike2,AO228,AO228,CW228,CO228,IF(OptControl=3,1,0),0),0)</f>
        <v>0</v>
      </c>
      <c r="DC228" s="470" t="n">
        <f aca="false">IF(BD228,EURO(CP228,Strike2,AO228,AO228,CW228,CO228,IF(OptControl=3,1,0),1)+IF(OR(VolSkewFlag=2,ABS(CR228)&lt;0.0001),0,IF(CR228&gt;0,-1,1)*DD228*100*Strike2/CP228^2*CT228/10%),0)</f>
        <v>0</v>
      </c>
      <c r="DD228" s="470" t="n">
        <f aca="false">IF(BD228,EURO(CP228,Strike2,AO228,AO228,CW228,CO228,IF(OptControl=3,1,0),3)/100,0)</f>
        <v>0</v>
      </c>
      <c r="DE228" s="472" t="n">
        <f aca="false">IF(BD228,EURO(CP228,Strike2,AO228,AO228,CW228,CO228,IF(OptControl=3,1,0),0)-EURO(CP228,Strike2,AO228,AO228,CW228,CO228-1,IF(OptControl=3,1,0),0),0)</f>
        <v>0</v>
      </c>
      <c r="DG228" s="481" t="n">
        <f aca="false">EOMONTH(DG227,0)+1</f>
        <v>52018</v>
      </c>
      <c r="DH228" s="478" t="n">
        <v>24.5600000000001</v>
      </c>
      <c r="DI228" s="479" t="n">
        <v>24.6281818181819</v>
      </c>
      <c r="DJ228" s="480" t="n">
        <f aca="false">DG228</f>
        <v>52018</v>
      </c>
      <c r="DK228" s="478" t="n">
        <v>23.1227768788026</v>
      </c>
      <c r="DL228" s="479" t="n">
        <v>23.3366818181819</v>
      </c>
      <c r="DM228" s="481" t="n">
        <f aca="false">DG228</f>
        <v>52018</v>
      </c>
      <c r="DN228" s="482" t="n">
        <f aca="false">DK228+BrentPhyBrentSpread</f>
        <v>23.1727768788026</v>
      </c>
      <c r="DO228" s="481" t="n">
        <f aca="false">DG228</f>
        <v>52018</v>
      </c>
      <c r="DP228" s="483" t="n">
        <f aca="false">DL228+DQ228</f>
        <v>23.3366818181819</v>
      </c>
      <c r="DQ228" s="546" t="n">
        <v>0</v>
      </c>
      <c r="DR228" s="480" t="n">
        <f aca="false">DG228</f>
        <v>52018</v>
      </c>
      <c r="DS228" s="485" t="n">
        <v>0.099799999999998</v>
      </c>
      <c r="DT228" s="486" t="n">
        <v>0.0989818181818162</v>
      </c>
      <c r="DU228" s="480" t="n">
        <f aca="false">DG228</f>
        <v>52018</v>
      </c>
      <c r="DV228" s="485" t="n">
        <v>0.099799999999998</v>
      </c>
      <c r="DW228" s="486" t="n">
        <v>0.0989818181818162</v>
      </c>
      <c r="DX228" s="481" t="n">
        <f aca="false">DG228</f>
        <v>52018</v>
      </c>
      <c r="DY228" s="486" t="n">
        <v>0.35</v>
      </c>
      <c r="DZ228" s="481" t="n">
        <f aca="false">DR228</f>
        <v>52018</v>
      </c>
      <c r="EA228" s="486" t="n">
        <f aca="false">DT228</f>
        <v>0.0989818181818162</v>
      </c>
      <c r="EB228" s="195"/>
      <c r="EC228" s="547" t="str">
        <f aca="false">IF(BD228,IF(Underlying=1,AS228,AU228),"")</f>
        <v/>
      </c>
      <c r="ED228" s="548" t="str">
        <f aca="false">IF($BD228,$EC228+IF(VolSkewFlag=1,IF(BS228&gt;0,$BA228*MIN(BS228/10%,1)+($BB228-$BA228)*MAX(0,MIN(BS228/10%-1,1))+($BC228-$BB228)*MAX(0,BS228/10%-2),$AZ228*MIN(-BS228/10%,1)+($AY228-$AZ228)*MAX(0,MIN(-BS228/10%-1,1))+($AX228-$AY228)*MAX(0,-BS228/10%-2)),0),"")</f>
        <v/>
      </c>
      <c r="EE228" s="549" t="str">
        <f aca="false">IF($BD228,$EC228+IF(VolSkewFlag=1,IF(BT228&gt;0,$BA228*MIN(BT228/10%,1)+($BB228-$BA228)*MAX(0,MIN(BT228/10%-1,1))+($BC228-$BB228)*MAX(0,BT228/10%-2),$AZ228*MIN(-BT228/10%,1)+($AY228-$AZ228)*MAX(0,MIN(-BT228/10%-1,1))+($AX228-$AY228)*MAX(0,-BT228/10%-2)),0),"")</f>
        <v/>
      </c>
      <c r="EF228" s="550" t="n">
        <f aca="false">IF(BD228,xASN(BR228,Strike1,AO228,ED228,0,BO228,0,BI228,BL228,IF(OptControl=4,0,1),0),0)</f>
        <v>0</v>
      </c>
      <c r="EG228" s="551" t="n">
        <f aca="false">IF(BD228,xASN(BR228,Strike2,AO228,EE228,0,BO228,0,BI228,BL228,IF(OptControl=3,1,0),0),0)</f>
        <v>0</v>
      </c>
      <c r="EL228" s="1"/>
      <c r="EM228" s="195"/>
      <c r="EN228" s="240"/>
      <c r="EO228" s="240"/>
      <c r="EP228" s="195"/>
      <c r="EQ228" s="407" t="s">
        <v>456</v>
      </c>
      <c r="ES228" s="1"/>
      <c r="EU228" s="672"/>
      <c r="FJ228" s="571" t="n">
        <v>59</v>
      </c>
      <c r="FK228" s="150" t="str">
        <f aca="false">IF(OR(FK$169&lt;SwaptionFirstMonthPosition+1,$FJ228&lt;SwaptionFirstMonthPosition+1,FK$169&gt;SwaptionFirstMonthPosition+SwaptionNumOfMonths+1,$FJ228&gt;SwaptionFirstMonthPosition+SwaptionNumOfMonths+1),"",IF($FJ228=FK$169,1,IF($FJ228&lt;FK$169,INDEX($FK$170:$ID$241,FK$169,$FJ228),SUMPRODUCT(INDEX($FK$325:$ID$396,FK$169,1+SwaptionShift):INDEX($FK$325:$ID$396,FK$169,SwaptionMonthsToGo+SwaptionShift),INDEX($FK$245:$ID$316,$FJ228-FK$169,73-FK$169+SwaptionShift):INDEX($FK$245:$ID$316,$FJ228-FK$169,72-FK$169+SwaptionMonthsToGo+SwaptionShift))/SQRT(SUM(INDEX($FK383:$ID383,1+SwaptionShift):INDEX($FK383:$ID383,SwaptionMonthsToGo+SwaptionShift))*SUM(INDEX($FK$325:$ID$396,FK$169,1+SwaptionShift):INDEX($FK$325:$ID$396,FK$169,SwaptionMonthsToGo+SwaptionShift))))))</f>
        <v/>
      </c>
      <c r="FL228" s="150" t="str">
        <f aca="false">IF(OR(FL$169&lt;SwaptionFirstMonthPosition+1,$FJ228&lt;SwaptionFirstMonthPosition+1,FL$169&gt;SwaptionFirstMonthPosition+SwaptionNumOfMonths+1,$FJ228&gt;SwaptionFirstMonthPosition+SwaptionNumOfMonths+1),"",IF($FJ228=FL$169,1,IF($FJ228&lt;FL$169,INDEX($FK$170:$ID$241,FL$169,$FJ228),SUMPRODUCT(INDEX($FK$325:$ID$396,FL$169,1+SwaptionShift):INDEX($FK$325:$ID$396,FL$169,SwaptionMonthsToGo+SwaptionShift),INDEX($FK$245:$ID$316,$FJ228-FL$169,73-FL$169+SwaptionShift):INDEX($FK$245:$ID$316,$FJ228-FL$169,72-FL$169+SwaptionMonthsToGo+SwaptionShift))/SQRT(SUM(INDEX($FK383:$ID383,1+SwaptionShift):INDEX($FK383:$ID383,SwaptionMonthsToGo+SwaptionShift))*SUM(INDEX($FK$325:$ID$396,FL$169,1+SwaptionShift):INDEX($FK$325:$ID$396,FL$169,SwaptionMonthsToGo+SwaptionShift))))))</f>
        <v/>
      </c>
      <c r="FM228" s="150" t="str">
        <f aca="false">IF(OR(FM$169&lt;SwaptionFirstMonthPosition+1,$FJ228&lt;SwaptionFirstMonthPosition+1,FM$169&gt;SwaptionFirstMonthPosition+SwaptionNumOfMonths+1,$FJ228&gt;SwaptionFirstMonthPosition+SwaptionNumOfMonths+1),"",IF($FJ228=FM$169,1,IF($FJ228&lt;FM$169,INDEX($FK$170:$ID$241,FM$169,$FJ228),SUMPRODUCT(INDEX($FK$325:$ID$396,FM$169,1+SwaptionShift):INDEX($FK$325:$ID$396,FM$169,SwaptionMonthsToGo+SwaptionShift),INDEX($FK$245:$ID$316,$FJ228-FM$169,73-FM$169+SwaptionShift):INDEX($FK$245:$ID$316,$FJ228-FM$169,72-FM$169+SwaptionMonthsToGo+SwaptionShift))/SQRT(SUM(INDEX($FK383:$ID383,1+SwaptionShift):INDEX($FK383:$ID383,SwaptionMonthsToGo+SwaptionShift))*SUM(INDEX($FK$325:$ID$396,FM$169,1+SwaptionShift):INDEX($FK$325:$ID$396,FM$169,SwaptionMonthsToGo+SwaptionShift))))))</f>
        <v/>
      </c>
      <c r="FN228" s="150" t="str">
        <f aca="false">IF(OR(FN$169&lt;SwaptionFirstMonthPosition+1,$FJ228&lt;SwaptionFirstMonthPosition+1,FN$169&gt;SwaptionFirstMonthPosition+SwaptionNumOfMonths+1,$FJ228&gt;SwaptionFirstMonthPosition+SwaptionNumOfMonths+1),"",IF($FJ228=FN$169,1,IF($FJ228&lt;FN$169,INDEX($FK$170:$ID$241,FN$169,$FJ228),SUMPRODUCT(INDEX($FK$325:$ID$396,FN$169,1+SwaptionShift):INDEX($FK$325:$ID$396,FN$169,SwaptionMonthsToGo+SwaptionShift),INDEX($FK$245:$ID$316,$FJ228-FN$169,73-FN$169+SwaptionShift):INDEX($FK$245:$ID$316,$FJ228-FN$169,72-FN$169+SwaptionMonthsToGo+SwaptionShift))/SQRT(SUM(INDEX($FK383:$ID383,1+SwaptionShift):INDEX($FK383:$ID383,SwaptionMonthsToGo+SwaptionShift))*SUM(INDEX($FK$325:$ID$396,FN$169,1+SwaptionShift):INDEX($FK$325:$ID$396,FN$169,SwaptionMonthsToGo+SwaptionShift))))))</f>
        <v/>
      </c>
      <c r="FO228" s="150" t="str">
        <f aca="false">IF(OR(FO$169&lt;SwaptionFirstMonthPosition+1,$FJ228&lt;SwaptionFirstMonthPosition+1,FO$169&gt;SwaptionFirstMonthPosition+SwaptionNumOfMonths+1,$FJ228&gt;SwaptionFirstMonthPosition+SwaptionNumOfMonths+1),"",IF($FJ228=FO$169,1,IF($FJ228&lt;FO$169,INDEX($FK$170:$ID$241,FO$169,$FJ228),SUMPRODUCT(INDEX($FK$325:$ID$396,FO$169,1+SwaptionShift):INDEX($FK$325:$ID$396,FO$169,SwaptionMonthsToGo+SwaptionShift),INDEX($FK$245:$ID$316,$FJ228-FO$169,73-FO$169+SwaptionShift):INDEX($FK$245:$ID$316,$FJ228-FO$169,72-FO$169+SwaptionMonthsToGo+SwaptionShift))/SQRT(SUM(INDEX($FK383:$ID383,1+SwaptionShift):INDEX($FK383:$ID383,SwaptionMonthsToGo+SwaptionShift))*SUM(INDEX($FK$325:$ID$396,FO$169,1+SwaptionShift):INDEX($FK$325:$ID$396,FO$169,SwaptionMonthsToGo+SwaptionShift))))))</f>
        <v/>
      </c>
      <c r="FP228" s="150" t="str">
        <f aca="false">IF(OR(FP$169&lt;SwaptionFirstMonthPosition+1,$FJ228&lt;SwaptionFirstMonthPosition+1,FP$169&gt;SwaptionFirstMonthPosition+SwaptionNumOfMonths+1,$FJ228&gt;SwaptionFirstMonthPosition+SwaptionNumOfMonths+1),"",IF($FJ228=FP$169,1,IF($FJ228&lt;FP$169,INDEX($FK$170:$ID$241,FP$169,$FJ228),SUMPRODUCT(INDEX($FK$325:$ID$396,FP$169,1+SwaptionShift):INDEX($FK$325:$ID$396,FP$169,SwaptionMonthsToGo+SwaptionShift),INDEX($FK$245:$ID$316,$FJ228-FP$169,73-FP$169+SwaptionShift):INDEX($FK$245:$ID$316,$FJ228-FP$169,72-FP$169+SwaptionMonthsToGo+SwaptionShift))/SQRT(SUM(INDEX($FK383:$ID383,1+SwaptionShift):INDEX($FK383:$ID383,SwaptionMonthsToGo+SwaptionShift))*SUM(INDEX($FK$325:$ID$396,FP$169,1+SwaptionShift):INDEX($FK$325:$ID$396,FP$169,SwaptionMonthsToGo+SwaptionShift))))))</f>
        <v/>
      </c>
      <c r="FQ228" s="150" t="str">
        <f aca="false">IF(OR(FQ$169&lt;SwaptionFirstMonthPosition+1,$FJ228&lt;SwaptionFirstMonthPosition+1,FQ$169&gt;SwaptionFirstMonthPosition+SwaptionNumOfMonths+1,$FJ228&gt;SwaptionFirstMonthPosition+SwaptionNumOfMonths+1),"",IF($FJ228=FQ$169,1,IF($FJ228&lt;FQ$169,INDEX($FK$170:$ID$241,FQ$169,$FJ228),SUMPRODUCT(INDEX($FK$325:$ID$396,FQ$169,1+SwaptionShift):INDEX($FK$325:$ID$396,FQ$169,SwaptionMonthsToGo+SwaptionShift),INDEX($FK$245:$ID$316,$FJ228-FQ$169,73-FQ$169+SwaptionShift):INDEX($FK$245:$ID$316,$FJ228-FQ$169,72-FQ$169+SwaptionMonthsToGo+SwaptionShift))/SQRT(SUM(INDEX($FK383:$ID383,1+SwaptionShift):INDEX($FK383:$ID383,SwaptionMonthsToGo+SwaptionShift))*SUM(INDEX($FK$325:$ID$396,FQ$169,1+SwaptionShift):INDEX($FK$325:$ID$396,FQ$169,SwaptionMonthsToGo+SwaptionShift))))))</f>
        <v/>
      </c>
      <c r="FR228" s="150" t="str">
        <f aca="false">IF(OR(FR$169&lt;SwaptionFirstMonthPosition+1,$FJ228&lt;SwaptionFirstMonthPosition+1,FR$169&gt;SwaptionFirstMonthPosition+SwaptionNumOfMonths+1,$FJ228&gt;SwaptionFirstMonthPosition+SwaptionNumOfMonths+1),"",IF($FJ228=FR$169,1,IF($FJ228&lt;FR$169,INDEX($FK$170:$ID$241,FR$169,$FJ228),SUMPRODUCT(INDEX($FK$325:$ID$396,FR$169,1+SwaptionShift):INDEX($FK$325:$ID$396,FR$169,SwaptionMonthsToGo+SwaptionShift),INDEX($FK$245:$ID$316,$FJ228-FR$169,73-FR$169+SwaptionShift):INDEX($FK$245:$ID$316,$FJ228-FR$169,72-FR$169+SwaptionMonthsToGo+SwaptionShift))/SQRT(SUM(INDEX($FK383:$ID383,1+SwaptionShift):INDEX($FK383:$ID383,SwaptionMonthsToGo+SwaptionShift))*SUM(INDEX($FK$325:$ID$396,FR$169,1+SwaptionShift):INDEX($FK$325:$ID$396,FR$169,SwaptionMonthsToGo+SwaptionShift))))))</f>
        <v/>
      </c>
      <c r="FS228" s="150" t="str">
        <f aca="false">IF(OR(FS$169&lt;SwaptionFirstMonthPosition+1,$FJ228&lt;SwaptionFirstMonthPosition+1,FS$169&gt;SwaptionFirstMonthPosition+SwaptionNumOfMonths+1,$FJ228&gt;SwaptionFirstMonthPosition+SwaptionNumOfMonths+1),"",IF($FJ228=FS$169,1,IF($FJ228&lt;FS$169,INDEX($FK$170:$ID$241,FS$169,$FJ228),SUMPRODUCT(INDEX($FK$325:$ID$396,FS$169,1+SwaptionShift):INDEX($FK$325:$ID$396,FS$169,SwaptionMonthsToGo+SwaptionShift),INDEX($FK$245:$ID$316,$FJ228-FS$169,73-FS$169+SwaptionShift):INDEX($FK$245:$ID$316,$FJ228-FS$169,72-FS$169+SwaptionMonthsToGo+SwaptionShift))/SQRT(SUM(INDEX($FK383:$ID383,1+SwaptionShift):INDEX($FK383:$ID383,SwaptionMonthsToGo+SwaptionShift))*SUM(INDEX($FK$325:$ID$396,FS$169,1+SwaptionShift):INDEX($FK$325:$ID$396,FS$169,SwaptionMonthsToGo+SwaptionShift))))))</f>
        <v/>
      </c>
      <c r="FT228" s="150" t="str">
        <f aca="false">IF(OR(FT$169&lt;SwaptionFirstMonthPosition+1,$FJ228&lt;SwaptionFirstMonthPosition+1,FT$169&gt;SwaptionFirstMonthPosition+SwaptionNumOfMonths+1,$FJ228&gt;SwaptionFirstMonthPosition+SwaptionNumOfMonths+1),"",IF($FJ228=FT$169,1,IF($FJ228&lt;FT$169,INDEX($FK$170:$ID$241,FT$169,$FJ228),SUMPRODUCT(INDEX($FK$325:$ID$396,FT$169,1+SwaptionShift):INDEX($FK$325:$ID$396,FT$169,SwaptionMonthsToGo+SwaptionShift),INDEX($FK$245:$ID$316,$FJ228-FT$169,73-FT$169+SwaptionShift):INDEX($FK$245:$ID$316,$FJ228-FT$169,72-FT$169+SwaptionMonthsToGo+SwaptionShift))/SQRT(SUM(INDEX($FK383:$ID383,1+SwaptionShift):INDEX($FK383:$ID383,SwaptionMonthsToGo+SwaptionShift))*SUM(INDEX($FK$325:$ID$396,FT$169,1+SwaptionShift):INDEX($FK$325:$ID$396,FT$169,SwaptionMonthsToGo+SwaptionShift))))))</f>
        <v/>
      </c>
      <c r="FU228" s="150" t="str">
        <f aca="false">IF(OR(FU$169&lt;SwaptionFirstMonthPosition+1,$FJ228&lt;SwaptionFirstMonthPosition+1,FU$169&gt;SwaptionFirstMonthPosition+SwaptionNumOfMonths+1,$FJ228&gt;SwaptionFirstMonthPosition+SwaptionNumOfMonths+1),"",IF($FJ228=FU$169,1,IF($FJ228&lt;FU$169,INDEX($FK$170:$ID$241,FU$169,$FJ228),SUMPRODUCT(INDEX($FK$325:$ID$396,FU$169,1+SwaptionShift):INDEX($FK$325:$ID$396,FU$169,SwaptionMonthsToGo+SwaptionShift),INDEX($FK$245:$ID$316,$FJ228-FU$169,73-FU$169+SwaptionShift):INDEX($FK$245:$ID$316,$FJ228-FU$169,72-FU$169+SwaptionMonthsToGo+SwaptionShift))/SQRT(SUM(INDEX($FK383:$ID383,1+SwaptionShift):INDEX($FK383:$ID383,SwaptionMonthsToGo+SwaptionShift))*SUM(INDEX($FK$325:$ID$396,FU$169,1+SwaptionShift):INDEX($FK$325:$ID$396,FU$169,SwaptionMonthsToGo+SwaptionShift))))))</f>
        <v/>
      </c>
      <c r="FV228" s="150" t="str">
        <f aca="false">IF(OR(FV$169&lt;SwaptionFirstMonthPosition+1,$FJ228&lt;SwaptionFirstMonthPosition+1,FV$169&gt;SwaptionFirstMonthPosition+SwaptionNumOfMonths+1,$FJ228&gt;SwaptionFirstMonthPosition+SwaptionNumOfMonths+1),"",IF($FJ228=FV$169,1,IF($FJ228&lt;FV$169,INDEX($FK$170:$ID$241,FV$169,$FJ228),SUMPRODUCT(INDEX($FK$325:$ID$396,FV$169,1+SwaptionShift):INDEX($FK$325:$ID$396,FV$169,SwaptionMonthsToGo+SwaptionShift),INDEX($FK$245:$ID$316,$FJ228-FV$169,73-FV$169+SwaptionShift):INDEX($FK$245:$ID$316,$FJ228-FV$169,72-FV$169+SwaptionMonthsToGo+SwaptionShift))/SQRT(SUM(INDEX($FK383:$ID383,1+SwaptionShift):INDEX($FK383:$ID383,SwaptionMonthsToGo+SwaptionShift))*SUM(INDEX($FK$325:$ID$396,FV$169,1+SwaptionShift):INDEX($FK$325:$ID$396,FV$169,SwaptionMonthsToGo+SwaptionShift))))))</f>
        <v/>
      </c>
      <c r="FW228" s="150" t="str">
        <f aca="false">IF(OR(FW$169&lt;SwaptionFirstMonthPosition+1,$FJ228&lt;SwaptionFirstMonthPosition+1,FW$169&gt;SwaptionFirstMonthPosition+SwaptionNumOfMonths+1,$FJ228&gt;SwaptionFirstMonthPosition+SwaptionNumOfMonths+1),"",IF($FJ228=FW$169,1,IF($FJ228&lt;FW$169,INDEX($FK$170:$ID$241,FW$169,$FJ228),SUMPRODUCT(INDEX($FK$325:$ID$396,FW$169,1+SwaptionShift):INDEX($FK$325:$ID$396,FW$169,SwaptionMonthsToGo+SwaptionShift),INDEX($FK$245:$ID$316,$FJ228-FW$169,73-FW$169+SwaptionShift):INDEX($FK$245:$ID$316,$FJ228-FW$169,72-FW$169+SwaptionMonthsToGo+SwaptionShift))/SQRT(SUM(INDEX($FK383:$ID383,1+SwaptionShift):INDEX($FK383:$ID383,SwaptionMonthsToGo+SwaptionShift))*SUM(INDEX($FK$325:$ID$396,FW$169,1+SwaptionShift):INDEX($FK$325:$ID$396,FW$169,SwaptionMonthsToGo+SwaptionShift))))))</f>
        <v/>
      </c>
      <c r="FX228" s="150" t="str">
        <f aca="false">IF(OR(FX$169&lt;SwaptionFirstMonthPosition+1,$FJ228&lt;SwaptionFirstMonthPosition+1,FX$169&gt;SwaptionFirstMonthPosition+SwaptionNumOfMonths+1,$FJ228&gt;SwaptionFirstMonthPosition+SwaptionNumOfMonths+1),"",IF($FJ228=FX$169,1,IF($FJ228&lt;FX$169,INDEX($FK$170:$ID$241,FX$169,$FJ228),SUMPRODUCT(INDEX($FK$325:$ID$396,FX$169,1+SwaptionShift):INDEX($FK$325:$ID$396,FX$169,SwaptionMonthsToGo+SwaptionShift),INDEX($FK$245:$ID$316,$FJ228-FX$169,73-FX$169+SwaptionShift):INDEX($FK$245:$ID$316,$FJ228-FX$169,72-FX$169+SwaptionMonthsToGo+SwaptionShift))/SQRT(SUM(INDEX($FK383:$ID383,1+SwaptionShift):INDEX($FK383:$ID383,SwaptionMonthsToGo+SwaptionShift))*SUM(INDEX($FK$325:$ID$396,FX$169,1+SwaptionShift):INDEX($FK$325:$ID$396,FX$169,SwaptionMonthsToGo+SwaptionShift))))))</f>
        <v/>
      </c>
      <c r="FY228" s="150" t="str">
        <f aca="false">IF(OR(FY$169&lt;SwaptionFirstMonthPosition+1,$FJ228&lt;SwaptionFirstMonthPosition+1,FY$169&gt;SwaptionFirstMonthPosition+SwaptionNumOfMonths+1,$FJ228&gt;SwaptionFirstMonthPosition+SwaptionNumOfMonths+1),"",IF($FJ228=FY$169,1,IF($FJ228&lt;FY$169,INDEX($FK$170:$ID$241,FY$169,$FJ228),SUMPRODUCT(INDEX($FK$325:$ID$396,FY$169,1+SwaptionShift):INDEX($FK$325:$ID$396,FY$169,SwaptionMonthsToGo+SwaptionShift),INDEX($FK$245:$ID$316,$FJ228-FY$169,73-FY$169+SwaptionShift):INDEX($FK$245:$ID$316,$FJ228-FY$169,72-FY$169+SwaptionMonthsToGo+SwaptionShift))/SQRT(SUM(INDEX($FK383:$ID383,1+SwaptionShift):INDEX($FK383:$ID383,SwaptionMonthsToGo+SwaptionShift))*SUM(INDEX($FK$325:$ID$396,FY$169,1+SwaptionShift):INDEX($FK$325:$ID$396,FY$169,SwaptionMonthsToGo+SwaptionShift))))))</f>
        <v/>
      </c>
      <c r="FZ228" s="150" t="str">
        <f aca="false">IF(OR(FZ$169&lt;SwaptionFirstMonthPosition+1,$FJ228&lt;SwaptionFirstMonthPosition+1,FZ$169&gt;SwaptionFirstMonthPosition+SwaptionNumOfMonths+1,$FJ228&gt;SwaptionFirstMonthPosition+SwaptionNumOfMonths+1),"",IF($FJ228=FZ$169,1,IF($FJ228&lt;FZ$169,INDEX($FK$170:$ID$241,FZ$169,$FJ228),SUMPRODUCT(INDEX($FK$325:$ID$396,FZ$169,1+SwaptionShift):INDEX($FK$325:$ID$396,FZ$169,SwaptionMonthsToGo+SwaptionShift),INDEX($FK$245:$ID$316,$FJ228-FZ$169,73-FZ$169+SwaptionShift):INDEX($FK$245:$ID$316,$FJ228-FZ$169,72-FZ$169+SwaptionMonthsToGo+SwaptionShift))/SQRT(SUM(INDEX($FK383:$ID383,1+SwaptionShift):INDEX($FK383:$ID383,SwaptionMonthsToGo+SwaptionShift))*SUM(INDEX($FK$325:$ID$396,FZ$169,1+SwaptionShift):INDEX($FK$325:$ID$396,FZ$169,SwaptionMonthsToGo+SwaptionShift))))))</f>
        <v/>
      </c>
      <c r="GA228" s="150" t="str">
        <f aca="false">IF(OR(GA$169&lt;SwaptionFirstMonthPosition+1,$FJ228&lt;SwaptionFirstMonthPosition+1,GA$169&gt;SwaptionFirstMonthPosition+SwaptionNumOfMonths+1,$FJ228&gt;SwaptionFirstMonthPosition+SwaptionNumOfMonths+1),"",IF($FJ228=GA$169,1,IF($FJ228&lt;GA$169,INDEX($FK$170:$ID$241,GA$169,$FJ228),SUMPRODUCT(INDEX($FK$325:$ID$396,GA$169,1+SwaptionShift):INDEX($FK$325:$ID$396,GA$169,SwaptionMonthsToGo+SwaptionShift),INDEX($FK$245:$ID$316,$FJ228-GA$169,73-GA$169+SwaptionShift):INDEX($FK$245:$ID$316,$FJ228-GA$169,72-GA$169+SwaptionMonthsToGo+SwaptionShift))/SQRT(SUM(INDEX($FK383:$ID383,1+SwaptionShift):INDEX($FK383:$ID383,SwaptionMonthsToGo+SwaptionShift))*SUM(INDEX($FK$325:$ID$396,GA$169,1+SwaptionShift):INDEX($FK$325:$ID$396,GA$169,SwaptionMonthsToGo+SwaptionShift))))))</f>
        <v/>
      </c>
      <c r="GB228" s="150" t="str">
        <f aca="false">IF(OR(GB$169&lt;SwaptionFirstMonthPosition+1,$FJ228&lt;SwaptionFirstMonthPosition+1,GB$169&gt;SwaptionFirstMonthPosition+SwaptionNumOfMonths+1,$FJ228&gt;SwaptionFirstMonthPosition+SwaptionNumOfMonths+1),"",IF($FJ228=GB$169,1,IF($FJ228&lt;GB$169,INDEX($FK$170:$ID$241,GB$169,$FJ228),SUMPRODUCT(INDEX($FK$325:$ID$396,GB$169,1+SwaptionShift):INDEX($FK$325:$ID$396,GB$169,SwaptionMonthsToGo+SwaptionShift),INDEX($FK$245:$ID$316,$FJ228-GB$169,73-GB$169+SwaptionShift):INDEX($FK$245:$ID$316,$FJ228-GB$169,72-GB$169+SwaptionMonthsToGo+SwaptionShift))/SQRT(SUM(INDEX($FK383:$ID383,1+SwaptionShift):INDEX($FK383:$ID383,SwaptionMonthsToGo+SwaptionShift))*SUM(INDEX($FK$325:$ID$396,GB$169,1+SwaptionShift):INDEX($FK$325:$ID$396,GB$169,SwaptionMonthsToGo+SwaptionShift))))))</f>
        <v/>
      </c>
      <c r="GC228" s="150" t="str">
        <f aca="false">IF(OR(GC$169&lt;SwaptionFirstMonthPosition+1,$FJ228&lt;SwaptionFirstMonthPosition+1,GC$169&gt;SwaptionFirstMonthPosition+SwaptionNumOfMonths+1,$FJ228&gt;SwaptionFirstMonthPosition+SwaptionNumOfMonths+1),"",IF($FJ228=GC$169,1,IF($FJ228&lt;GC$169,INDEX($FK$170:$ID$241,GC$169,$FJ228),SUMPRODUCT(INDEX($FK$325:$ID$396,GC$169,1+SwaptionShift):INDEX($FK$325:$ID$396,GC$169,SwaptionMonthsToGo+SwaptionShift),INDEX($FK$245:$ID$316,$FJ228-GC$169,73-GC$169+SwaptionShift):INDEX($FK$245:$ID$316,$FJ228-GC$169,72-GC$169+SwaptionMonthsToGo+SwaptionShift))/SQRT(SUM(INDEX($FK383:$ID383,1+SwaptionShift):INDEX($FK383:$ID383,SwaptionMonthsToGo+SwaptionShift))*SUM(INDEX($FK$325:$ID$396,GC$169,1+SwaptionShift):INDEX($FK$325:$ID$396,GC$169,SwaptionMonthsToGo+SwaptionShift))))))</f>
        <v/>
      </c>
      <c r="GD228" s="150" t="str">
        <f aca="false">IF(OR(GD$169&lt;SwaptionFirstMonthPosition+1,$FJ228&lt;SwaptionFirstMonthPosition+1,GD$169&gt;SwaptionFirstMonthPosition+SwaptionNumOfMonths+1,$FJ228&gt;SwaptionFirstMonthPosition+SwaptionNumOfMonths+1),"",IF($FJ228=GD$169,1,IF($FJ228&lt;GD$169,INDEX($FK$170:$ID$241,GD$169,$FJ228),SUMPRODUCT(INDEX($FK$325:$ID$396,GD$169,1+SwaptionShift):INDEX($FK$325:$ID$396,GD$169,SwaptionMonthsToGo+SwaptionShift),INDEX($FK$245:$ID$316,$FJ228-GD$169,73-GD$169+SwaptionShift):INDEX($FK$245:$ID$316,$FJ228-GD$169,72-GD$169+SwaptionMonthsToGo+SwaptionShift))/SQRT(SUM(INDEX($FK383:$ID383,1+SwaptionShift):INDEX($FK383:$ID383,SwaptionMonthsToGo+SwaptionShift))*SUM(INDEX($FK$325:$ID$396,GD$169,1+SwaptionShift):INDEX($FK$325:$ID$396,GD$169,SwaptionMonthsToGo+SwaptionShift))))))</f>
        <v/>
      </c>
      <c r="GE228" s="150" t="str">
        <f aca="false">IF(OR(GE$169&lt;SwaptionFirstMonthPosition+1,$FJ228&lt;SwaptionFirstMonthPosition+1,GE$169&gt;SwaptionFirstMonthPosition+SwaptionNumOfMonths+1,$FJ228&gt;SwaptionFirstMonthPosition+SwaptionNumOfMonths+1),"",IF($FJ228=GE$169,1,IF($FJ228&lt;GE$169,INDEX($FK$170:$ID$241,GE$169,$FJ228),SUMPRODUCT(INDEX($FK$325:$ID$396,GE$169,1+SwaptionShift):INDEX($FK$325:$ID$396,GE$169,SwaptionMonthsToGo+SwaptionShift),INDEX($FK$245:$ID$316,$FJ228-GE$169,73-GE$169+SwaptionShift):INDEX($FK$245:$ID$316,$FJ228-GE$169,72-GE$169+SwaptionMonthsToGo+SwaptionShift))/SQRT(SUM(INDEX($FK383:$ID383,1+SwaptionShift):INDEX($FK383:$ID383,SwaptionMonthsToGo+SwaptionShift))*SUM(INDEX($FK$325:$ID$396,GE$169,1+SwaptionShift):INDEX($FK$325:$ID$396,GE$169,SwaptionMonthsToGo+SwaptionShift))))))</f>
        <v/>
      </c>
      <c r="GF228" s="150" t="str">
        <f aca="false">IF(OR(GF$169&lt;SwaptionFirstMonthPosition+1,$FJ228&lt;SwaptionFirstMonthPosition+1,GF$169&gt;SwaptionFirstMonthPosition+SwaptionNumOfMonths+1,$FJ228&gt;SwaptionFirstMonthPosition+SwaptionNumOfMonths+1),"",IF($FJ228=GF$169,1,IF($FJ228&lt;GF$169,INDEX($FK$170:$ID$241,GF$169,$FJ228),SUMPRODUCT(INDEX($FK$325:$ID$396,GF$169,1+SwaptionShift):INDEX($FK$325:$ID$396,GF$169,SwaptionMonthsToGo+SwaptionShift),INDEX($FK$245:$ID$316,$FJ228-GF$169,73-GF$169+SwaptionShift):INDEX($FK$245:$ID$316,$FJ228-GF$169,72-GF$169+SwaptionMonthsToGo+SwaptionShift))/SQRT(SUM(INDEX($FK383:$ID383,1+SwaptionShift):INDEX($FK383:$ID383,SwaptionMonthsToGo+SwaptionShift))*SUM(INDEX($FK$325:$ID$396,GF$169,1+SwaptionShift):INDEX($FK$325:$ID$396,GF$169,SwaptionMonthsToGo+SwaptionShift))))))</f>
        <v/>
      </c>
      <c r="GG228" s="150" t="str">
        <f aca="false">IF(OR(GG$169&lt;SwaptionFirstMonthPosition+1,$FJ228&lt;SwaptionFirstMonthPosition+1,GG$169&gt;SwaptionFirstMonthPosition+SwaptionNumOfMonths+1,$FJ228&gt;SwaptionFirstMonthPosition+SwaptionNumOfMonths+1),"",IF($FJ228=GG$169,1,IF($FJ228&lt;GG$169,INDEX($FK$170:$ID$241,GG$169,$FJ228),SUMPRODUCT(INDEX($FK$325:$ID$396,GG$169,1+SwaptionShift):INDEX($FK$325:$ID$396,GG$169,SwaptionMonthsToGo+SwaptionShift),INDEX($FK$245:$ID$316,$FJ228-GG$169,73-GG$169+SwaptionShift):INDEX($FK$245:$ID$316,$FJ228-GG$169,72-GG$169+SwaptionMonthsToGo+SwaptionShift))/SQRT(SUM(INDEX($FK383:$ID383,1+SwaptionShift):INDEX($FK383:$ID383,SwaptionMonthsToGo+SwaptionShift))*SUM(INDEX($FK$325:$ID$396,GG$169,1+SwaptionShift):INDEX($FK$325:$ID$396,GG$169,SwaptionMonthsToGo+SwaptionShift))))))</f>
        <v/>
      </c>
      <c r="GH228" s="150" t="str">
        <f aca="false">IF(OR(GH$169&lt;SwaptionFirstMonthPosition+1,$FJ228&lt;SwaptionFirstMonthPosition+1,GH$169&gt;SwaptionFirstMonthPosition+SwaptionNumOfMonths+1,$FJ228&gt;SwaptionFirstMonthPosition+SwaptionNumOfMonths+1),"",IF($FJ228=GH$169,1,IF($FJ228&lt;GH$169,INDEX($FK$170:$ID$241,GH$169,$FJ228),SUMPRODUCT(INDEX($FK$325:$ID$396,GH$169,1+SwaptionShift):INDEX($FK$325:$ID$396,GH$169,SwaptionMonthsToGo+SwaptionShift),INDEX($FK$245:$ID$316,$FJ228-GH$169,73-GH$169+SwaptionShift):INDEX($FK$245:$ID$316,$FJ228-GH$169,72-GH$169+SwaptionMonthsToGo+SwaptionShift))/SQRT(SUM(INDEX($FK383:$ID383,1+SwaptionShift):INDEX($FK383:$ID383,SwaptionMonthsToGo+SwaptionShift))*SUM(INDEX($FK$325:$ID$396,GH$169,1+SwaptionShift):INDEX($FK$325:$ID$396,GH$169,SwaptionMonthsToGo+SwaptionShift))))))</f>
        <v/>
      </c>
      <c r="GI228" s="150" t="str">
        <f aca="false">IF(OR(GI$169&lt;SwaptionFirstMonthPosition+1,$FJ228&lt;SwaptionFirstMonthPosition+1,GI$169&gt;SwaptionFirstMonthPosition+SwaptionNumOfMonths+1,$FJ228&gt;SwaptionFirstMonthPosition+SwaptionNumOfMonths+1),"",IF($FJ228=GI$169,1,IF($FJ228&lt;GI$169,INDEX($FK$170:$ID$241,GI$169,$FJ228),SUMPRODUCT(INDEX($FK$325:$ID$396,GI$169,1+SwaptionShift):INDEX($FK$325:$ID$396,GI$169,SwaptionMonthsToGo+SwaptionShift),INDEX($FK$245:$ID$316,$FJ228-GI$169,73-GI$169+SwaptionShift):INDEX($FK$245:$ID$316,$FJ228-GI$169,72-GI$169+SwaptionMonthsToGo+SwaptionShift))/SQRT(SUM(INDEX($FK383:$ID383,1+SwaptionShift):INDEX($FK383:$ID383,SwaptionMonthsToGo+SwaptionShift))*SUM(INDEX($FK$325:$ID$396,GI$169,1+SwaptionShift):INDEX($FK$325:$ID$396,GI$169,SwaptionMonthsToGo+SwaptionShift))))))</f>
        <v/>
      </c>
      <c r="GJ228" s="150" t="str">
        <f aca="false">IF(OR(GJ$169&lt;SwaptionFirstMonthPosition+1,$FJ228&lt;SwaptionFirstMonthPosition+1,GJ$169&gt;SwaptionFirstMonthPosition+SwaptionNumOfMonths+1,$FJ228&gt;SwaptionFirstMonthPosition+SwaptionNumOfMonths+1),"",IF($FJ228=GJ$169,1,IF($FJ228&lt;GJ$169,INDEX($FK$170:$ID$241,GJ$169,$FJ228),SUMPRODUCT(INDEX($FK$325:$ID$396,GJ$169,1+SwaptionShift):INDEX($FK$325:$ID$396,GJ$169,SwaptionMonthsToGo+SwaptionShift),INDEX($FK$245:$ID$316,$FJ228-GJ$169,73-GJ$169+SwaptionShift):INDEX($FK$245:$ID$316,$FJ228-GJ$169,72-GJ$169+SwaptionMonthsToGo+SwaptionShift))/SQRT(SUM(INDEX($FK383:$ID383,1+SwaptionShift):INDEX($FK383:$ID383,SwaptionMonthsToGo+SwaptionShift))*SUM(INDEX($FK$325:$ID$396,GJ$169,1+SwaptionShift):INDEX($FK$325:$ID$396,GJ$169,SwaptionMonthsToGo+SwaptionShift))))))</f>
        <v/>
      </c>
      <c r="GK228" s="150" t="str">
        <f aca="false">IF(OR(GK$169&lt;SwaptionFirstMonthPosition+1,$FJ228&lt;SwaptionFirstMonthPosition+1,GK$169&gt;SwaptionFirstMonthPosition+SwaptionNumOfMonths+1,$FJ228&gt;SwaptionFirstMonthPosition+SwaptionNumOfMonths+1),"",IF($FJ228=GK$169,1,IF($FJ228&lt;GK$169,INDEX($FK$170:$ID$241,GK$169,$FJ228),SUMPRODUCT(INDEX($FK$325:$ID$396,GK$169,1+SwaptionShift):INDEX($FK$325:$ID$396,GK$169,SwaptionMonthsToGo+SwaptionShift),INDEX($FK$245:$ID$316,$FJ228-GK$169,73-GK$169+SwaptionShift):INDEX($FK$245:$ID$316,$FJ228-GK$169,72-GK$169+SwaptionMonthsToGo+SwaptionShift))/SQRT(SUM(INDEX($FK383:$ID383,1+SwaptionShift):INDEX($FK383:$ID383,SwaptionMonthsToGo+SwaptionShift))*SUM(INDEX($FK$325:$ID$396,GK$169,1+SwaptionShift):INDEX($FK$325:$ID$396,GK$169,SwaptionMonthsToGo+SwaptionShift))))))</f>
        <v/>
      </c>
      <c r="GL228" s="150" t="str">
        <f aca="false">IF(OR(GL$169&lt;SwaptionFirstMonthPosition+1,$FJ228&lt;SwaptionFirstMonthPosition+1,GL$169&gt;SwaptionFirstMonthPosition+SwaptionNumOfMonths+1,$FJ228&gt;SwaptionFirstMonthPosition+SwaptionNumOfMonths+1),"",IF($FJ228=GL$169,1,IF($FJ228&lt;GL$169,INDEX($FK$170:$ID$241,GL$169,$FJ228),SUMPRODUCT(INDEX($FK$325:$ID$396,GL$169,1+SwaptionShift):INDEX($FK$325:$ID$396,GL$169,SwaptionMonthsToGo+SwaptionShift),INDEX($FK$245:$ID$316,$FJ228-GL$169,73-GL$169+SwaptionShift):INDEX($FK$245:$ID$316,$FJ228-GL$169,72-GL$169+SwaptionMonthsToGo+SwaptionShift))/SQRT(SUM(INDEX($FK383:$ID383,1+SwaptionShift):INDEX($FK383:$ID383,SwaptionMonthsToGo+SwaptionShift))*SUM(INDEX($FK$325:$ID$396,GL$169,1+SwaptionShift):INDEX($FK$325:$ID$396,GL$169,SwaptionMonthsToGo+SwaptionShift))))))</f>
        <v/>
      </c>
      <c r="GM228" s="150" t="str">
        <f aca="false">IF(OR(GM$169&lt;SwaptionFirstMonthPosition+1,$FJ228&lt;SwaptionFirstMonthPosition+1,GM$169&gt;SwaptionFirstMonthPosition+SwaptionNumOfMonths+1,$FJ228&gt;SwaptionFirstMonthPosition+SwaptionNumOfMonths+1),"",IF($FJ228=GM$169,1,IF($FJ228&lt;GM$169,INDEX($FK$170:$ID$241,GM$169,$FJ228),SUMPRODUCT(INDEX($FK$325:$ID$396,GM$169,1+SwaptionShift):INDEX($FK$325:$ID$396,GM$169,SwaptionMonthsToGo+SwaptionShift),INDEX($FK$245:$ID$316,$FJ228-GM$169,73-GM$169+SwaptionShift):INDEX($FK$245:$ID$316,$FJ228-GM$169,72-GM$169+SwaptionMonthsToGo+SwaptionShift))/SQRT(SUM(INDEX($FK383:$ID383,1+SwaptionShift):INDEX($FK383:$ID383,SwaptionMonthsToGo+SwaptionShift))*SUM(INDEX($FK$325:$ID$396,GM$169,1+SwaptionShift):INDEX($FK$325:$ID$396,GM$169,SwaptionMonthsToGo+SwaptionShift))))))</f>
        <v/>
      </c>
      <c r="GN228" s="150" t="str">
        <f aca="false">IF(OR(GN$169&lt;SwaptionFirstMonthPosition+1,$FJ228&lt;SwaptionFirstMonthPosition+1,GN$169&gt;SwaptionFirstMonthPosition+SwaptionNumOfMonths+1,$FJ228&gt;SwaptionFirstMonthPosition+SwaptionNumOfMonths+1),"",IF($FJ228=GN$169,1,IF($FJ228&lt;GN$169,INDEX($FK$170:$ID$241,GN$169,$FJ228),SUMPRODUCT(INDEX($FK$325:$ID$396,GN$169,1+SwaptionShift):INDEX($FK$325:$ID$396,GN$169,SwaptionMonthsToGo+SwaptionShift),INDEX($FK$245:$ID$316,$FJ228-GN$169,73-GN$169+SwaptionShift):INDEX($FK$245:$ID$316,$FJ228-GN$169,72-GN$169+SwaptionMonthsToGo+SwaptionShift))/SQRT(SUM(INDEX($FK383:$ID383,1+SwaptionShift):INDEX($FK383:$ID383,SwaptionMonthsToGo+SwaptionShift))*SUM(INDEX($FK$325:$ID$396,GN$169,1+SwaptionShift):INDEX($FK$325:$ID$396,GN$169,SwaptionMonthsToGo+SwaptionShift))))))</f>
        <v/>
      </c>
      <c r="GO228" s="150" t="str">
        <f aca="false">IF(OR(GO$169&lt;SwaptionFirstMonthPosition+1,$FJ228&lt;SwaptionFirstMonthPosition+1,GO$169&gt;SwaptionFirstMonthPosition+SwaptionNumOfMonths+1,$FJ228&gt;SwaptionFirstMonthPosition+SwaptionNumOfMonths+1),"",IF($FJ228=GO$169,1,IF($FJ228&lt;GO$169,INDEX($FK$170:$ID$241,GO$169,$FJ228),SUMPRODUCT(INDEX($FK$325:$ID$396,GO$169,1+SwaptionShift):INDEX($FK$325:$ID$396,GO$169,SwaptionMonthsToGo+SwaptionShift),INDEX($FK$245:$ID$316,$FJ228-GO$169,73-GO$169+SwaptionShift):INDEX($FK$245:$ID$316,$FJ228-GO$169,72-GO$169+SwaptionMonthsToGo+SwaptionShift))/SQRT(SUM(INDEX($FK383:$ID383,1+SwaptionShift):INDEX($FK383:$ID383,SwaptionMonthsToGo+SwaptionShift))*SUM(INDEX($FK$325:$ID$396,GO$169,1+SwaptionShift):INDEX($FK$325:$ID$396,GO$169,SwaptionMonthsToGo+SwaptionShift))))))</f>
        <v/>
      </c>
      <c r="GP228" s="150" t="str">
        <f aca="false">IF(OR(GP$169&lt;SwaptionFirstMonthPosition+1,$FJ228&lt;SwaptionFirstMonthPosition+1,GP$169&gt;SwaptionFirstMonthPosition+SwaptionNumOfMonths+1,$FJ228&gt;SwaptionFirstMonthPosition+SwaptionNumOfMonths+1),"",IF($FJ228=GP$169,1,IF($FJ228&lt;GP$169,INDEX($FK$170:$ID$241,GP$169,$FJ228),SUMPRODUCT(INDEX($FK$325:$ID$396,GP$169,1+SwaptionShift):INDEX($FK$325:$ID$396,GP$169,SwaptionMonthsToGo+SwaptionShift),INDEX($FK$245:$ID$316,$FJ228-GP$169,73-GP$169+SwaptionShift):INDEX($FK$245:$ID$316,$FJ228-GP$169,72-GP$169+SwaptionMonthsToGo+SwaptionShift))/SQRT(SUM(INDEX($FK383:$ID383,1+SwaptionShift):INDEX($FK383:$ID383,SwaptionMonthsToGo+SwaptionShift))*SUM(INDEX($FK$325:$ID$396,GP$169,1+SwaptionShift):INDEX($FK$325:$ID$396,GP$169,SwaptionMonthsToGo+SwaptionShift))))))</f>
        <v/>
      </c>
      <c r="GQ228" s="150" t="str">
        <f aca="false">IF(OR(GQ$169&lt;SwaptionFirstMonthPosition+1,$FJ228&lt;SwaptionFirstMonthPosition+1,GQ$169&gt;SwaptionFirstMonthPosition+SwaptionNumOfMonths+1,$FJ228&gt;SwaptionFirstMonthPosition+SwaptionNumOfMonths+1),"",IF($FJ228=GQ$169,1,IF($FJ228&lt;GQ$169,INDEX($FK$170:$ID$241,GQ$169,$FJ228),SUMPRODUCT(INDEX($FK$325:$ID$396,GQ$169,1+SwaptionShift):INDEX($FK$325:$ID$396,GQ$169,SwaptionMonthsToGo+SwaptionShift),INDEX($FK$245:$ID$316,$FJ228-GQ$169,73-GQ$169+SwaptionShift):INDEX($FK$245:$ID$316,$FJ228-GQ$169,72-GQ$169+SwaptionMonthsToGo+SwaptionShift))/SQRT(SUM(INDEX($FK383:$ID383,1+SwaptionShift):INDEX($FK383:$ID383,SwaptionMonthsToGo+SwaptionShift))*SUM(INDEX($FK$325:$ID$396,GQ$169,1+SwaptionShift):INDEX($FK$325:$ID$396,GQ$169,SwaptionMonthsToGo+SwaptionShift))))))</f>
        <v/>
      </c>
      <c r="GR228" s="150" t="str">
        <f aca="false">IF(OR(GR$169&lt;SwaptionFirstMonthPosition+1,$FJ228&lt;SwaptionFirstMonthPosition+1,GR$169&gt;SwaptionFirstMonthPosition+SwaptionNumOfMonths+1,$FJ228&gt;SwaptionFirstMonthPosition+SwaptionNumOfMonths+1),"",IF($FJ228=GR$169,1,IF($FJ228&lt;GR$169,INDEX($FK$170:$ID$241,GR$169,$FJ228),SUMPRODUCT(INDEX($FK$325:$ID$396,GR$169,1+SwaptionShift):INDEX($FK$325:$ID$396,GR$169,SwaptionMonthsToGo+SwaptionShift),INDEX($FK$245:$ID$316,$FJ228-GR$169,73-GR$169+SwaptionShift):INDEX($FK$245:$ID$316,$FJ228-GR$169,72-GR$169+SwaptionMonthsToGo+SwaptionShift))/SQRT(SUM(INDEX($FK383:$ID383,1+SwaptionShift):INDEX($FK383:$ID383,SwaptionMonthsToGo+SwaptionShift))*SUM(INDEX($FK$325:$ID$396,GR$169,1+SwaptionShift):INDEX($FK$325:$ID$396,GR$169,SwaptionMonthsToGo+SwaptionShift))))))</f>
        <v/>
      </c>
      <c r="GS228" s="150" t="str">
        <f aca="false">IF(OR(GS$169&lt;SwaptionFirstMonthPosition+1,$FJ228&lt;SwaptionFirstMonthPosition+1,GS$169&gt;SwaptionFirstMonthPosition+SwaptionNumOfMonths+1,$FJ228&gt;SwaptionFirstMonthPosition+SwaptionNumOfMonths+1),"",IF($FJ228=GS$169,1,IF($FJ228&lt;GS$169,INDEX($FK$170:$ID$241,GS$169,$FJ228),SUMPRODUCT(INDEX($FK$325:$ID$396,GS$169,1+SwaptionShift):INDEX($FK$325:$ID$396,GS$169,SwaptionMonthsToGo+SwaptionShift),INDEX($FK$245:$ID$316,$FJ228-GS$169,73-GS$169+SwaptionShift):INDEX($FK$245:$ID$316,$FJ228-GS$169,72-GS$169+SwaptionMonthsToGo+SwaptionShift))/SQRT(SUM(INDEX($FK383:$ID383,1+SwaptionShift):INDEX($FK383:$ID383,SwaptionMonthsToGo+SwaptionShift))*SUM(INDEX($FK$325:$ID$396,GS$169,1+SwaptionShift):INDEX($FK$325:$ID$396,GS$169,SwaptionMonthsToGo+SwaptionShift))))))</f>
        <v/>
      </c>
      <c r="GT228" s="150" t="str">
        <f aca="false">IF(OR(GT$169&lt;SwaptionFirstMonthPosition+1,$FJ228&lt;SwaptionFirstMonthPosition+1,GT$169&gt;SwaptionFirstMonthPosition+SwaptionNumOfMonths+1,$FJ228&gt;SwaptionFirstMonthPosition+SwaptionNumOfMonths+1),"",IF($FJ228=GT$169,1,IF($FJ228&lt;GT$169,INDEX($FK$170:$ID$241,GT$169,$FJ228),SUMPRODUCT(INDEX($FK$325:$ID$396,GT$169,1+SwaptionShift):INDEX($FK$325:$ID$396,GT$169,SwaptionMonthsToGo+SwaptionShift),INDEX($FK$245:$ID$316,$FJ228-GT$169,73-GT$169+SwaptionShift):INDEX($FK$245:$ID$316,$FJ228-GT$169,72-GT$169+SwaptionMonthsToGo+SwaptionShift))/SQRT(SUM(INDEX($FK383:$ID383,1+SwaptionShift):INDEX($FK383:$ID383,SwaptionMonthsToGo+SwaptionShift))*SUM(INDEX($FK$325:$ID$396,GT$169,1+SwaptionShift):INDEX($FK$325:$ID$396,GT$169,SwaptionMonthsToGo+SwaptionShift))))))</f>
        <v/>
      </c>
      <c r="GU228" s="150" t="str">
        <f aca="false">IF(OR(GU$169&lt;SwaptionFirstMonthPosition+1,$FJ228&lt;SwaptionFirstMonthPosition+1,GU$169&gt;SwaptionFirstMonthPosition+SwaptionNumOfMonths+1,$FJ228&gt;SwaptionFirstMonthPosition+SwaptionNumOfMonths+1),"",IF($FJ228=GU$169,1,IF($FJ228&lt;GU$169,INDEX($FK$170:$ID$241,GU$169,$FJ228),SUMPRODUCT(INDEX($FK$325:$ID$396,GU$169,1+SwaptionShift):INDEX($FK$325:$ID$396,GU$169,SwaptionMonthsToGo+SwaptionShift),INDEX($FK$245:$ID$316,$FJ228-GU$169,73-GU$169+SwaptionShift):INDEX($FK$245:$ID$316,$FJ228-GU$169,72-GU$169+SwaptionMonthsToGo+SwaptionShift))/SQRT(SUM(INDEX($FK383:$ID383,1+SwaptionShift):INDEX($FK383:$ID383,SwaptionMonthsToGo+SwaptionShift))*SUM(INDEX($FK$325:$ID$396,GU$169,1+SwaptionShift):INDEX($FK$325:$ID$396,GU$169,SwaptionMonthsToGo+SwaptionShift))))))</f>
        <v/>
      </c>
      <c r="GV228" s="150" t="str">
        <f aca="false">IF(OR(GV$169&lt;SwaptionFirstMonthPosition+1,$FJ228&lt;SwaptionFirstMonthPosition+1,GV$169&gt;SwaptionFirstMonthPosition+SwaptionNumOfMonths+1,$FJ228&gt;SwaptionFirstMonthPosition+SwaptionNumOfMonths+1),"",IF($FJ228=GV$169,1,IF($FJ228&lt;GV$169,INDEX($FK$170:$ID$241,GV$169,$FJ228),SUMPRODUCT(INDEX($FK$325:$ID$396,GV$169,1+SwaptionShift):INDEX($FK$325:$ID$396,GV$169,SwaptionMonthsToGo+SwaptionShift),INDEX($FK$245:$ID$316,$FJ228-GV$169,73-GV$169+SwaptionShift):INDEX($FK$245:$ID$316,$FJ228-GV$169,72-GV$169+SwaptionMonthsToGo+SwaptionShift))/SQRT(SUM(INDEX($FK383:$ID383,1+SwaptionShift):INDEX($FK383:$ID383,SwaptionMonthsToGo+SwaptionShift))*SUM(INDEX($FK$325:$ID$396,GV$169,1+SwaptionShift):INDEX($FK$325:$ID$396,GV$169,SwaptionMonthsToGo+SwaptionShift))))))</f>
        <v/>
      </c>
      <c r="GW228" s="150" t="str">
        <f aca="false">IF(OR(GW$169&lt;SwaptionFirstMonthPosition+1,$FJ228&lt;SwaptionFirstMonthPosition+1,GW$169&gt;SwaptionFirstMonthPosition+SwaptionNumOfMonths+1,$FJ228&gt;SwaptionFirstMonthPosition+SwaptionNumOfMonths+1),"",IF($FJ228=GW$169,1,IF($FJ228&lt;GW$169,INDEX($FK$170:$ID$241,GW$169,$FJ228),SUMPRODUCT(INDEX($FK$325:$ID$396,GW$169,1+SwaptionShift):INDEX($FK$325:$ID$396,GW$169,SwaptionMonthsToGo+SwaptionShift),INDEX($FK$245:$ID$316,$FJ228-GW$169,73-GW$169+SwaptionShift):INDEX($FK$245:$ID$316,$FJ228-GW$169,72-GW$169+SwaptionMonthsToGo+SwaptionShift))/SQRT(SUM(INDEX($FK383:$ID383,1+SwaptionShift):INDEX($FK383:$ID383,SwaptionMonthsToGo+SwaptionShift))*SUM(INDEX($FK$325:$ID$396,GW$169,1+SwaptionShift):INDEX($FK$325:$ID$396,GW$169,SwaptionMonthsToGo+SwaptionShift))))))</f>
        <v/>
      </c>
      <c r="GX228" s="150" t="str">
        <f aca="false">IF(OR(GX$169&lt;SwaptionFirstMonthPosition+1,$FJ228&lt;SwaptionFirstMonthPosition+1,GX$169&gt;SwaptionFirstMonthPosition+SwaptionNumOfMonths+1,$FJ228&gt;SwaptionFirstMonthPosition+SwaptionNumOfMonths+1),"",IF($FJ228=GX$169,1,IF($FJ228&lt;GX$169,INDEX($FK$170:$ID$241,GX$169,$FJ228),SUMPRODUCT(INDEX($FK$325:$ID$396,GX$169,1+SwaptionShift):INDEX($FK$325:$ID$396,GX$169,SwaptionMonthsToGo+SwaptionShift),INDEX($FK$245:$ID$316,$FJ228-GX$169,73-GX$169+SwaptionShift):INDEX($FK$245:$ID$316,$FJ228-GX$169,72-GX$169+SwaptionMonthsToGo+SwaptionShift))/SQRT(SUM(INDEX($FK383:$ID383,1+SwaptionShift):INDEX($FK383:$ID383,SwaptionMonthsToGo+SwaptionShift))*SUM(INDEX($FK$325:$ID$396,GX$169,1+SwaptionShift):INDEX($FK$325:$ID$396,GX$169,SwaptionMonthsToGo+SwaptionShift))))))</f>
        <v/>
      </c>
      <c r="GY228" s="150" t="str">
        <f aca="false">IF(OR(GY$169&lt;SwaptionFirstMonthPosition+1,$FJ228&lt;SwaptionFirstMonthPosition+1,GY$169&gt;SwaptionFirstMonthPosition+SwaptionNumOfMonths+1,$FJ228&gt;SwaptionFirstMonthPosition+SwaptionNumOfMonths+1),"",IF($FJ228=GY$169,1,IF($FJ228&lt;GY$169,INDEX($FK$170:$ID$241,GY$169,$FJ228),SUMPRODUCT(INDEX($FK$325:$ID$396,GY$169,1+SwaptionShift):INDEX($FK$325:$ID$396,GY$169,SwaptionMonthsToGo+SwaptionShift),INDEX($FK$245:$ID$316,$FJ228-GY$169,73-GY$169+SwaptionShift):INDEX($FK$245:$ID$316,$FJ228-GY$169,72-GY$169+SwaptionMonthsToGo+SwaptionShift))/SQRT(SUM(INDEX($FK383:$ID383,1+SwaptionShift):INDEX($FK383:$ID383,SwaptionMonthsToGo+SwaptionShift))*SUM(INDEX($FK$325:$ID$396,GY$169,1+SwaptionShift):INDEX($FK$325:$ID$396,GY$169,SwaptionMonthsToGo+SwaptionShift))))))</f>
        <v/>
      </c>
      <c r="GZ228" s="150" t="str">
        <f aca="false">IF(OR(GZ$169&lt;SwaptionFirstMonthPosition+1,$FJ228&lt;SwaptionFirstMonthPosition+1,GZ$169&gt;SwaptionFirstMonthPosition+SwaptionNumOfMonths+1,$FJ228&gt;SwaptionFirstMonthPosition+SwaptionNumOfMonths+1),"",IF($FJ228=GZ$169,1,IF($FJ228&lt;GZ$169,INDEX($FK$170:$ID$241,GZ$169,$FJ228),SUMPRODUCT(INDEX($FK$325:$ID$396,GZ$169,1+SwaptionShift):INDEX($FK$325:$ID$396,GZ$169,SwaptionMonthsToGo+SwaptionShift),INDEX($FK$245:$ID$316,$FJ228-GZ$169,73-GZ$169+SwaptionShift):INDEX($FK$245:$ID$316,$FJ228-GZ$169,72-GZ$169+SwaptionMonthsToGo+SwaptionShift))/SQRT(SUM(INDEX($FK383:$ID383,1+SwaptionShift):INDEX($FK383:$ID383,SwaptionMonthsToGo+SwaptionShift))*SUM(INDEX($FK$325:$ID$396,GZ$169,1+SwaptionShift):INDEX($FK$325:$ID$396,GZ$169,SwaptionMonthsToGo+SwaptionShift))))))</f>
        <v/>
      </c>
      <c r="HA228" s="150" t="str">
        <f aca="false">IF(OR(HA$169&lt;SwaptionFirstMonthPosition+1,$FJ228&lt;SwaptionFirstMonthPosition+1,HA$169&gt;SwaptionFirstMonthPosition+SwaptionNumOfMonths+1,$FJ228&gt;SwaptionFirstMonthPosition+SwaptionNumOfMonths+1),"",IF($FJ228=HA$169,1,IF($FJ228&lt;HA$169,INDEX($FK$170:$ID$241,HA$169,$FJ228),SUMPRODUCT(INDEX($FK$325:$ID$396,HA$169,1+SwaptionShift):INDEX($FK$325:$ID$396,HA$169,SwaptionMonthsToGo+SwaptionShift),INDEX($FK$245:$ID$316,$FJ228-HA$169,73-HA$169+SwaptionShift):INDEX($FK$245:$ID$316,$FJ228-HA$169,72-HA$169+SwaptionMonthsToGo+SwaptionShift))/SQRT(SUM(INDEX($FK383:$ID383,1+SwaptionShift):INDEX($FK383:$ID383,SwaptionMonthsToGo+SwaptionShift))*SUM(INDEX($FK$325:$ID$396,HA$169,1+SwaptionShift):INDEX($FK$325:$ID$396,HA$169,SwaptionMonthsToGo+SwaptionShift))))))</f>
        <v/>
      </c>
      <c r="HB228" s="150" t="str">
        <f aca="false">IF(OR(HB$169&lt;SwaptionFirstMonthPosition+1,$FJ228&lt;SwaptionFirstMonthPosition+1,HB$169&gt;SwaptionFirstMonthPosition+SwaptionNumOfMonths+1,$FJ228&gt;SwaptionFirstMonthPosition+SwaptionNumOfMonths+1),"",IF($FJ228=HB$169,1,IF($FJ228&lt;HB$169,INDEX($FK$170:$ID$241,HB$169,$FJ228),SUMPRODUCT(INDEX($FK$325:$ID$396,HB$169,1+SwaptionShift):INDEX($FK$325:$ID$396,HB$169,SwaptionMonthsToGo+SwaptionShift),INDEX($FK$245:$ID$316,$FJ228-HB$169,73-HB$169+SwaptionShift):INDEX($FK$245:$ID$316,$FJ228-HB$169,72-HB$169+SwaptionMonthsToGo+SwaptionShift))/SQRT(SUM(INDEX($FK383:$ID383,1+SwaptionShift):INDEX($FK383:$ID383,SwaptionMonthsToGo+SwaptionShift))*SUM(INDEX($FK$325:$ID$396,HB$169,1+SwaptionShift):INDEX($FK$325:$ID$396,HB$169,SwaptionMonthsToGo+SwaptionShift))))))</f>
        <v/>
      </c>
      <c r="HC228" s="150" t="str">
        <f aca="false">IF(OR(HC$169&lt;SwaptionFirstMonthPosition+1,$FJ228&lt;SwaptionFirstMonthPosition+1,HC$169&gt;SwaptionFirstMonthPosition+SwaptionNumOfMonths+1,$FJ228&gt;SwaptionFirstMonthPosition+SwaptionNumOfMonths+1),"",IF($FJ228=HC$169,1,IF($FJ228&lt;HC$169,INDEX($FK$170:$ID$241,HC$169,$FJ228),SUMPRODUCT(INDEX($FK$325:$ID$396,HC$169,1+SwaptionShift):INDEX($FK$325:$ID$396,HC$169,SwaptionMonthsToGo+SwaptionShift),INDEX($FK$245:$ID$316,$FJ228-HC$169,73-HC$169+SwaptionShift):INDEX($FK$245:$ID$316,$FJ228-HC$169,72-HC$169+SwaptionMonthsToGo+SwaptionShift))/SQRT(SUM(INDEX($FK383:$ID383,1+SwaptionShift):INDEX($FK383:$ID383,SwaptionMonthsToGo+SwaptionShift))*SUM(INDEX($FK$325:$ID$396,HC$169,1+SwaptionShift):INDEX($FK$325:$ID$396,HC$169,SwaptionMonthsToGo+SwaptionShift))))))</f>
        <v/>
      </c>
      <c r="HD228" s="150" t="str">
        <f aca="false">IF(OR(HD$169&lt;SwaptionFirstMonthPosition+1,$FJ228&lt;SwaptionFirstMonthPosition+1,HD$169&gt;SwaptionFirstMonthPosition+SwaptionNumOfMonths+1,$FJ228&gt;SwaptionFirstMonthPosition+SwaptionNumOfMonths+1),"",IF($FJ228=HD$169,1,IF($FJ228&lt;HD$169,INDEX($FK$170:$ID$241,HD$169,$FJ228),SUMPRODUCT(INDEX($FK$325:$ID$396,HD$169,1+SwaptionShift):INDEX($FK$325:$ID$396,HD$169,SwaptionMonthsToGo+SwaptionShift),INDEX($FK$245:$ID$316,$FJ228-HD$169,73-HD$169+SwaptionShift):INDEX($FK$245:$ID$316,$FJ228-HD$169,72-HD$169+SwaptionMonthsToGo+SwaptionShift))/SQRT(SUM(INDEX($FK383:$ID383,1+SwaptionShift):INDEX($FK383:$ID383,SwaptionMonthsToGo+SwaptionShift))*SUM(INDEX($FK$325:$ID$396,HD$169,1+SwaptionShift):INDEX($FK$325:$ID$396,HD$169,SwaptionMonthsToGo+SwaptionShift))))))</f>
        <v/>
      </c>
      <c r="HE228" s="150" t="str">
        <f aca="false">IF(OR(HE$169&lt;SwaptionFirstMonthPosition+1,$FJ228&lt;SwaptionFirstMonthPosition+1,HE$169&gt;SwaptionFirstMonthPosition+SwaptionNumOfMonths+1,$FJ228&gt;SwaptionFirstMonthPosition+SwaptionNumOfMonths+1),"",IF($FJ228=HE$169,1,IF($FJ228&lt;HE$169,INDEX($FK$170:$ID$241,HE$169,$FJ228),SUMPRODUCT(INDEX($FK$325:$ID$396,HE$169,1+SwaptionShift):INDEX($FK$325:$ID$396,HE$169,SwaptionMonthsToGo+SwaptionShift),INDEX($FK$245:$ID$316,$FJ228-HE$169,73-HE$169+SwaptionShift):INDEX($FK$245:$ID$316,$FJ228-HE$169,72-HE$169+SwaptionMonthsToGo+SwaptionShift))/SQRT(SUM(INDEX($FK383:$ID383,1+SwaptionShift):INDEX($FK383:$ID383,SwaptionMonthsToGo+SwaptionShift))*SUM(INDEX($FK$325:$ID$396,HE$169,1+SwaptionShift):INDEX($FK$325:$ID$396,HE$169,SwaptionMonthsToGo+SwaptionShift))))))</f>
        <v/>
      </c>
      <c r="HF228" s="150" t="str">
        <f aca="false">IF(OR(HF$169&lt;SwaptionFirstMonthPosition+1,$FJ228&lt;SwaptionFirstMonthPosition+1,HF$169&gt;SwaptionFirstMonthPosition+SwaptionNumOfMonths+1,$FJ228&gt;SwaptionFirstMonthPosition+SwaptionNumOfMonths+1),"",IF($FJ228=HF$169,1,IF($FJ228&lt;HF$169,INDEX($FK$170:$ID$241,HF$169,$FJ228),SUMPRODUCT(INDEX($FK$325:$ID$396,HF$169,1+SwaptionShift):INDEX($FK$325:$ID$396,HF$169,SwaptionMonthsToGo+SwaptionShift),INDEX($FK$245:$ID$316,$FJ228-HF$169,73-HF$169+SwaptionShift):INDEX($FK$245:$ID$316,$FJ228-HF$169,72-HF$169+SwaptionMonthsToGo+SwaptionShift))/SQRT(SUM(INDEX($FK383:$ID383,1+SwaptionShift):INDEX($FK383:$ID383,SwaptionMonthsToGo+SwaptionShift))*SUM(INDEX($FK$325:$ID$396,HF$169,1+SwaptionShift):INDEX($FK$325:$ID$396,HF$169,SwaptionMonthsToGo+SwaptionShift))))))</f>
        <v/>
      </c>
      <c r="HG228" s="150" t="str">
        <f aca="false">IF(OR(HG$169&lt;SwaptionFirstMonthPosition+1,$FJ228&lt;SwaptionFirstMonthPosition+1,HG$169&gt;SwaptionFirstMonthPosition+SwaptionNumOfMonths+1,$FJ228&gt;SwaptionFirstMonthPosition+SwaptionNumOfMonths+1),"",IF($FJ228=HG$169,1,IF($FJ228&lt;HG$169,INDEX($FK$170:$ID$241,HG$169,$FJ228),SUMPRODUCT(INDEX($FK$325:$ID$396,HG$169,1+SwaptionShift):INDEX($FK$325:$ID$396,HG$169,SwaptionMonthsToGo+SwaptionShift),INDEX($FK$245:$ID$316,$FJ228-HG$169,73-HG$169+SwaptionShift):INDEX($FK$245:$ID$316,$FJ228-HG$169,72-HG$169+SwaptionMonthsToGo+SwaptionShift))/SQRT(SUM(INDEX($FK383:$ID383,1+SwaptionShift):INDEX($FK383:$ID383,SwaptionMonthsToGo+SwaptionShift))*SUM(INDEX($FK$325:$ID$396,HG$169,1+SwaptionShift):INDEX($FK$325:$ID$396,HG$169,SwaptionMonthsToGo+SwaptionShift))))))</f>
        <v/>
      </c>
      <c r="HH228" s="150" t="str">
        <f aca="false">IF(OR(HH$169&lt;SwaptionFirstMonthPosition+1,$FJ228&lt;SwaptionFirstMonthPosition+1,HH$169&gt;SwaptionFirstMonthPosition+SwaptionNumOfMonths+1,$FJ228&gt;SwaptionFirstMonthPosition+SwaptionNumOfMonths+1),"",IF($FJ228=HH$169,1,IF($FJ228&lt;HH$169,INDEX($FK$170:$ID$241,HH$169,$FJ228),SUMPRODUCT(INDEX($FK$325:$ID$396,HH$169,1+SwaptionShift):INDEX($FK$325:$ID$396,HH$169,SwaptionMonthsToGo+SwaptionShift),INDEX($FK$245:$ID$316,$FJ228-HH$169,73-HH$169+SwaptionShift):INDEX($FK$245:$ID$316,$FJ228-HH$169,72-HH$169+SwaptionMonthsToGo+SwaptionShift))/SQRT(SUM(INDEX($FK383:$ID383,1+SwaptionShift):INDEX($FK383:$ID383,SwaptionMonthsToGo+SwaptionShift))*SUM(INDEX($FK$325:$ID$396,HH$169,1+SwaptionShift):INDEX($FK$325:$ID$396,HH$169,SwaptionMonthsToGo+SwaptionShift))))))</f>
        <v/>
      </c>
      <c r="HI228" s="150" t="str">
        <f aca="false">IF(OR(HI$169&lt;SwaptionFirstMonthPosition+1,$FJ228&lt;SwaptionFirstMonthPosition+1,HI$169&gt;SwaptionFirstMonthPosition+SwaptionNumOfMonths+1,$FJ228&gt;SwaptionFirstMonthPosition+SwaptionNumOfMonths+1),"",IF($FJ228=HI$169,1,IF($FJ228&lt;HI$169,INDEX($FK$170:$ID$241,HI$169,$FJ228),SUMPRODUCT(INDEX($FK$325:$ID$396,HI$169,1+SwaptionShift):INDEX($FK$325:$ID$396,HI$169,SwaptionMonthsToGo+SwaptionShift),INDEX($FK$245:$ID$316,$FJ228-HI$169,73-HI$169+SwaptionShift):INDEX($FK$245:$ID$316,$FJ228-HI$169,72-HI$169+SwaptionMonthsToGo+SwaptionShift))/SQRT(SUM(INDEX($FK383:$ID383,1+SwaptionShift):INDEX($FK383:$ID383,SwaptionMonthsToGo+SwaptionShift))*SUM(INDEX($FK$325:$ID$396,HI$169,1+SwaptionShift):INDEX($FK$325:$ID$396,HI$169,SwaptionMonthsToGo+SwaptionShift))))))</f>
        <v/>
      </c>
      <c r="HJ228" s="150" t="str">
        <f aca="false">IF(OR(HJ$169&lt;SwaptionFirstMonthPosition+1,$FJ228&lt;SwaptionFirstMonthPosition+1,HJ$169&gt;SwaptionFirstMonthPosition+SwaptionNumOfMonths+1,$FJ228&gt;SwaptionFirstMonthPosition+SwaptionNumOfMonths+1),"",IF($FJ228=HJ$169,1,IF($FJ228&lt;HJ$169,INDEX($FK$170:$ID$241,HJ$169,$FJ228),SUMPRODUCT(INDEX($FK$325:$ID$396,HJ$169,1+SwaptionShift):INDEX($FK$325:$ID$396,HJ$169,SwaptionMonthsToGo+SwaptionShift),INDEX($FK$245:$ID$316,$FJ228-HJ$169,73-HJ$169+SwaptionShift):INDEX($FK$245:$ID$316,$FJ228-HJ$169,72-HJ$169+SwaptionMonthsToGo+SwaptionShift))/SQRT(SUM(INDEX($FK383:$ID383,1+SwaptionShift):INDEX($FK383:$ID383,SwaptionMonthsToGo+SwaptionShift))*SUM(INDEX($FK$325:$ID$396,HJ$169,1+SwaptionShift):INDEX($FK$325:$ID$396,HJ$169,SwaptionMonthsToGo+SwaptionShift))))))</f>
        <v/>
      </c>
      <c r="HK228" s="150" t="str">
        <f aca="false">IF(OR(HK$169&lt;SwaptionFirstMonthPosition+1,$FJ228&lt;SwaptionFirstMonthPosition+1,HK$169&gt;SwaptionFirstMonthPosition+SwaptionNumOfMonths+1,$FJ228&gt;SwaptionFirstMonthPosition+SwaptionNumOfMonths+1),"",IF($FJ228=HK$169,1,IF($FJ228&lt;HK$169,INDEX($FK$170:$ID$241,HK$169,$FJ228),SUMPRODUCT(INDEX($FK$325:$ID$396,HK$169,1+SwaptionShift):INDEX($FK$325:$ID$396,HK$169,SwaptionMonthsToGo+SwaptionShift),INDEX($FK$245:$ID$316,$FJ228-HK$169,73-HK$169+SwaptionShift):INDEX($FK$245:$ID$316,$FJ228-HK$169,72-HK$169+SwaptionMonthsToGo+SwaptionShift))/SQRT(SUM(INDEX($FK383:$ID383,1+SwaptionShift):INDEX($FK383:$ID383,SwaptionMonthsToGo+SwaptionShift))*SUM(INDEX($FK$325:$ID$396,HK$169,1+SwaptionShift):INDEX($FK$325:$ID$396,HK$169,SwaptionMonthsToGo+SwaptionShift))))))</f>
        <v/>
      </c>
      <c r="HL228" s="150" t="str">
        <f aca="false">IF(OR(HL$169&lt;SwaptionFirstMonthPosition+1,$FJ228&lt;SwaptionFirstMonthPosition+1,HL$169&gt;SwaptionFirstMonthPosition+SwaptionNumOfMonths+1,$FJ228&gt;SwaptionFirstMonthPosition+SwaptionNumOfMonths+1),"",IF($FJ228=HL$169,1,IF($FJ228&lt;HL$169,INDEX($FK$170:$ID$241,HL$169,$FJ228),SUMPRODUCT(INDEX($FK$325:$ID$396,HL$169,1+SwaptionShift):INDEX($FK$325:$ID$396,HL$169,SwaptionMonthsToGo+SwaptionShift),INDEX($FK$245:$ID$316,$FJ228-HL$169,73-HL$169+SwaptionShift):INDEX($FK$245:$ID$316,$FJ228-HL$169,72-HL$169+SwaptionMonthsToGo+SwaptionShift))/SQRT(SUM(INDEX($FK383:$ID383,1+SwaptionShift):INDEX($FK383:$ID383,SwaptionMonthsToGo+SwaptionShift))*SUM(INDEX($FK$325:$ID$396,HL$169,1+SwaptionShift):INDEX($FK$325:$ID$396,HL$169,SwaptionMonthsToGo+SwaptionShift))))))</f>
        <v/>
      </c>
      <c r="HM228" s="150" t="str">
        <f aca="false">IF(OR(HM$169&lt;SwaptionFirstMonthPosition+1,$FJ228&lt;SwaptionFirstMonthPosition+1,HM$169&gt;SwaptionFirstMonthPosition+SwaptionNumOfMonths+1,$FJ228&gt;SwaptionFirstMonthPosition+SwaptionNumOfMonths+1),"",IF($FJ228=HM$169,1,IF($FJ228&lt;HM$169,INDEX($FK$170:$ID$241,HM$169,$FJ228),SUMPRODUCT(INDEX($FK$325:$ID$396,HM$169,1+SwaptionShift):INDEX($FK$325:$ID$396,HM$169,SwaptionMonthsToGo+SwaptionShift),INDEX($FK$245:$ID$316,$FJ228-HM$169,73-HM$169+SwaptionShift):INDEX($FK$245:$ID$316,$FJ228-HM$169,72-HM$169+SwaptionMonthsToGo+SwaptionShift))/SQRT(SUM(INDEX($FK383:$ID383,1+SwaptionShift):INDEX($FK383:$ID383,SwaptionMonthsToGo+SwaptionShift))*SUM(INDEX($FK$325:$ID$396,HM$169,1+SwaptionShift):INDEX($FK$325:$ID$396,HM$169,SwaptionMonthsToGo+SwaptionShift))))))</f>
        <v/>
      </c>
      <c r="HN228" s="150" t="str">
        <f aca="false">IF(OR(HN$169&lt;SwaptionFirstMonthPosition+1,$FJ228&lt;SwaptionFirstMonthPosition+1,HN$169&gt;SwaptionFirstMonthPosition+SwaptionNumOfMonths+1,$FJ228&gt;SwaptionFirstMonthPosition+SwaptionNumOfMonths+1),"",IF($FJ228=HN$169,1,IF($FJ228&lt;HN$169,INDEX($FK$170:$ID$241,HN$169,$FJ228),SUMPRODUCT(INDEX($FK$325:$ID$396,HN$169,1+SwaptionShift):INDEX($FK$325:$ID$396,HN$169,SwaptionMonthsToGo+SwaptionShift),INDEX($FK$245:$ID$316,$FJ228-HN$169,73-HN$169+SwaptionShift):INDEX($FK$245:$ID$316,$FJ228-HN$169,72-HN$169+SwaptionMonthsToGo+SwaptionShift))/SQRT(SUM(INDEX($FK383:$ID383,1+SwaptionShift):INDEX($FK383:$ID383,SwaptionMonthsToGo+SwaptionShift))*SUM(INDEX($FK$325:$ID$396,HN$169,1+SwaptionShift):INDEX($FK$325:$ID$396,HN$169,SwaptionMonthsToGo+SwaptionShift))))))</f>
        <v/>
      </c>
      <c r="HO228" s="150" t="str">
        <f aca="false">IF(OR(HO$169&lt;SwaptionFirstMonthPosition+1,$FJ228&lt;SwaptionFirstMonthPosition+1,HO$169&gt;SwaptionFirstMonthPosition+SwaptionNumOfMonths+1,$FJ228&gt;SwaptionFirstMonthPosition+SwaptionNumOfMonths+1),"",IF($FJ228=HO$169,1,IF($FJ228&lt;HO$169,INDEX($FK$170:$ID$241,HO$169,$FJ228),SUMPRODUCT(INDEX($FK$325:$ID$396,HO$169,1+SwaptionShift):INDEX($FK$325:$ID$396,HO$169,SwaptionMonthsToGo+SwaptionShift),INDEX($FK$245:$ID$316,$FJ228-HO$169,73-HO$169+SwaptionShift):INDEX($FK$245:$ID$316,$FJ228-HO$169,72-HO$169+SwaptionMonthsToGo+SwaptionShift))/SQRT(SUM(INDEX($FK383:$ID383,1+SwaptionShift):INDEX($FK383:$ID383,SwaptionMonthsToGo+SwaptionShift))*SUM(INDEX($FK$325:$ID$396,HO$169,1+SwaptionShift):INDEX($FK$325:$ID$396,HO$169,SwaptionMonthsToGo+SwaptionShift))))))</f>
        <v/>
      </c>
      <c r="HP228" s="150" t="str">
        <f aca="false">IF(OR(HP$169&lt;SwaptionFirstMonthPosition+1,$FJ228&lt;SwaptionFirstMonthPosition+1,HP$169&gt;SwaptionFirstMonthPosition+SwaptionNumOfMonths+1,$FJ228&gt;SwaptionFirstMonthPosition+SwaptionNumOfMonths+1),"",IF($FJ228=HP$169,1,IF($FJ228&lt;HP$169,INDEX($FK$170:$ID$241,HP$169,$FJ228),SUMPRODUCT(INDEX($FK$325:$ID$396,HP$169,1+SwaptionShift):INDEX($FK$325:$ID$396,HP$169,SwaptionMonthsToGo+SwaptionShift),INDEX($FK$245:$ID$316,$FJ228-HP$169,73-HP$169+SwaptionShift):INDEX($FK$245:$ID$316,$FJ228-HP$169,72-HP$169+SwaptionMonthsToGo+SwaptionShift))/SQRT(SUM(INDEX($FK383:$ID383,1+SwaptionShift):INDEX($FK383:$ID383,SwaptionMonthsToGo+SwaptionShift))*SUM(INDEX($FK$325:$ID$396,HP$169,1+SwaptionShift):INDEX($FK$325:$ID$396,HP$169,SwaptionMonthsToGo+SwaptionShift))))))</f>
        <v/>
      </c>
      <c r="HQ228" s="150" t="str">
        <f aca="false">IF(OR(HQ$169&lt;SwaptionFirstMonthPosition+1,$FJ228&lt;SwaptionFirstMonthPosition+1,HQ$169&gt;SwaptionFirstMonthPosition+SwaptionNumOfMonths+1,$FJ228&gt;SwaptionFirstMonthPosition+SwaptionNumOfMonths+1),"",IF($FJ228=HQ$169,1,IF($FJ228&lt;HQ$169,INDEX($FK$170:$ID$241,HQ$169,$FJ228),SUMPRODUCT(INDEX($FK$325:$ID$396,HQ$169,1+SwaptionShift):INDEX($FK$325:$ID$396,HQ$169,SwaptionMonthsToGo+SwaptionShift),INDEX($FK$245:$ID$316,$FJ228-HQ$169,73-HQ$169+SwaptionShift):INDEX($FK$245:$ID$316,$FJ228-HQ$169,72-HQ$169+SwaptionMonthsToGo+SwaptionShift))/SQRT(SUM(INDEX($FK383:$ID383,1+SwaptionShift):INDEX($FK383:$ID383,SwaptionMonthsToGo+SwaptionShift))*SUM(INDEX($FK$325:$ID$396,HQ$169,1+SwaptionShift):INDEX($FK$325:$ID$396,HQ$169,SwaptionMonthsToGo+SwaptionShift))))))</f>
        <v/>
      </c>
      <c r="HR228" s="150" t="str">
        <f aca="false">IF(OR(HR$169&lt;SwaptionFirstMonthPosition+1,$FJ228&lt;SwaptionFirstMonthPosition+1,HR$169&gt;SwaptionFirstMonthPosition+SwaptionNumOfMonths+1,$FJ228&gt;SwaptionFirstMonthPosition+SwaptionNumOfMonths+1),"",IF($FJ228=HR$169,1,IF($FJ228&lt;HR$169,INDEX($FK$170:$ID$241,HR$169,$FJ228),SUMPRODUCT(INDEX($FK$325:$ID$396,HR$169,1+SwaptionShift):INDEX($FK$325:$ID$396,HR$169,SwaptionMonthsToGo+SwaptionShift),INDEX($FK$245:$ID$316,$FJ228-HR$169,73-HR$169+SwaptionShift):INDEX($FK$245:$ID$316,$FJ228-HR$169,72-HR$169+SwaptionMonthsToGo+SwaptionShift))/SQRT(SUM(INDEX($FK383:$ID383,1+SwaptionShift):INDEX($FK383:$ID383,SwaptionMonthsToGo+SwaptionShift))*SUM(INDEX($FK$325:$ID$396,HR$169,1+SwaptionShift):INDEX($FK$325:$ID$396,HR$169,SwaptionMonthsToGo+SwaptionShift))))))</f>
        <v/>
      </c>
      <c r="HS228" s="150" t="str">
        <f aca="false">IF(OR(HS$169&lt;SwaptionFirstMonthPosition+1,$FJ228&lt;SwaptionFirstMonthPosition+1,HS$169&gt;SwaptionFirstMonthPosition+SwaptionNumOfMonths+1,$FJ228&gt;SwaptionFirstMonthPosition+SwaptionNumOfMonths+1),"",IF($FJ228=HS$169,1,IF($FJ228&lt;HS$169,INDEX($FK$170:$ID$241,HS$169,$FJ228),SUMPRODUCT(INDEX($FK$325:$ID$396,HS$169,1+SwaptionShift):INDEX($FK$325:$ID$396,HS$169,SwaptionMonthsToGo+SwaptionShift),INDEX($FK$245:$ID$316,$FJ228-HS$169,73-HS$169+SwaptionShift):INDEX($FK$245:$ID$316,$FJ228-HS$169,72-HS$169+SwaptionMonthsToGo+SwaptionShift))/SQRT(SUM(INDEX($FK383:$ID383,1+SwaptionShift):INDEX($FK383:$ID383,SwaptionMonthsToGo+SwaptionShift))*SUM(INDEX($FK$325:$ID$396,HS$169,1+SwaptionShift):INDEX($FK$325:$ID$396,HS$169,SwaptionMonthsToGo+SwaptionShift))))))</f>
        <v/>
      </c>
      <c r="HT228" s="150" t="str">
        <f aca="false">IF(OR(HT$169&lt;SwaptionFirstMonthPosition+1,$FJ228&lt;SwaptionFirstMonthPosition+1,HT$169&gt;SwaptionFirstMonthPosition+SwaptionNumOfMonths+1,$FJ228&gt;SwaptionFirstMonthPosition+SwaptionNumOfMonths+1),"",IF($FJ228=HT$169,1,IF($FJ228&lt;HT$169,INDEX($FK$170:$ID$241,HT$169,$FJ228),SUMPRODUCT(INDEX($FK$325:$ID$396,HT$169,1+SwaptionShift):INDEX($FK$325:$ID$396,HT$169,SwaptionMonthsToGo+SwaptionShift),INDEX($FK$245:$ID$316,$FJ228-HT$169,73-HT$169+SwaptionShift):INDEX($FK$245:$ID$316,$FJ228-HT$169,72-HT$169+SwaptionMonthsToGo+SwaptionShift))/SQRT(SUM(INDEX($FK383:$ID383,1+SwaptionShift):INDEX($FK383:$ID383,SwaptionMonthsToGo+SwaptionShift))*SUM(INDEX($FK$325:$ID$396,HT$169,1+SwaptionShift):INDEX($FK$325:$ID$396,HT$169,SwaptionMonthsToGo+SwaptionShift))))))</f>
        <v/>
      </c>
      <c r="HU228" s="150" t="str">
        <f aca="false">IF(OR(HU$169&lt;SwaptionFirstMonthPosition+1,$FJ228&lt;SwaptionFirstMonthPosition+1,HU$169&gt;SwaptionFirstMonthPosition+SwaptionNumOfMonths+1,$FJ228&gt;SwaptionFirstMonthPosition+SwaptionNumOfMonths+1),"",IF($FJ228=HU$169,1,IF($FJ228&lt;HU$169,INDEX($FK$170:$ID$241,HU$169,$FJ228),SUMPRODUCT(INDEX($FK$325:$ID$396,HU$169,1+SwaptionShift):INDEX($FK$325:$ID$396,HU$169,SwaptionMonthsToGo+SwaptionShift),INDEX($FK$245:$ID$316,$FJ228-HU$169,73-HU$169+SwaptionShift):INDEX($FK$245:$ID$316,$FJ228-HU$169,72-HU$169+SwaptionMonthsToGo+SwaptionShift))/SQRT(SUM(INDEX($FK383:$ID383,1+SwaptionShift):INDEX($FK383:$ID383,SwaptionMonthsToGo+SwaptionShift))*SUM(INDEX($FK$325:$ID$396,HU$169,1+SwaptionShift):INDEX($FK$325:$ID$396,HU$169,SwaptionMonthsToGo+SwaptionShift))))))</f>
        <v/>
      </c>
      <c r="HV228" s="150" t="str">
        <f aca="false">IF(OR(HV$169&lt;SwaptionFirstMonthPosition+1,$FJ228&lt;SwaptionFirstMonthPosition+1,HV$169&gt;SwaptionFirstMonthPosition+SwaptionNumOfMonths+1,$FJ228&gt;SwaptionFirstMonthPosition+SwaptionNumOfMonths+1),"",IF($FJ228=HV$169,1,IF($FJ228&lt;HV$169,INDEX($FK$170:$ID$241,HV$169,$FJ228),SUMPRODUCT(INDEX($FK$325:$ID$396,HV$169,1+SwaptionShift):INDEX($FK$325:$ID$396,HV$169,SwaptionMonthsToGo+SwaptionShift),INDEX($FK$245:$ID$316,$FJ228-HV$169,73-HV$169+SwaptionShift):INDEX($FK$245:$ID$316,$FJ228-HV$169,72-HV$169+SwaptionMonthsToGo+SwaptionShift))/SQRT(SUM(INDEX($FK383:$ID383,1+SwaptionShift):INDEX($FK383:$ID383,SwaptionMonthsToGo+SwaptionShift))*SUM(INDEX($FK$325:$ID$396,HV$169,1+SwaptionShift):INDEX($FK$325:$ID$396,HV$169,SwaptionMonthsToGo+SwaptionShift))))))</f>
        <v/>
      </c>
      <c r="HW228" s="150" t="str">
        <f aca="false">IF(OR(HW$169&lt;SwaptionFirstMonthPosition+1,$FJ228&lt;SwaptionFirstMonthPosition+1,HW$169&gt;SwaptionFirstMonthPosition+SwaptionNumOfMonths+1,$FJ228&gt;SwaptionFirstMonthPosition+SwaptionNumOfMonths+1),"",IF($FJ228=HW$169,1,IF($FJ228&lt;HW$169,INDEX($FK$170:$ID$241,HW$169,$FJ228),SUMPRODUCT(INDEX($FK$325:$ID$396,HW$169,1+SwaptionShift):INDEX($FK$325:$ID$396,HW$169,SwaptionMonthsToGo+SwaptionShift),INDEX($FK$245:$ID$316,$FJ228-HW$169,73-HW$169+SwaptionShift):INDEX($FK$245:$ID$316,$FJ228-HW$169,72-HW$169+SwaptionMonthsToGo+SwaptionShift))/SQRT(SUM(INDEX($FK383:$ID383,1+SwaptionShift):INDEX($FK383:$ID383,SwaptionMonthsToGo+SwaptionShift))*SUM(INDEX($FK$325:$ID$396,HW$169,1+SwaptionShift):INDEX($FK$325:$ID$396,HW$169,SwaptionMonthsToGo+SwaptionShift))))))</f>
        <v/>
      </c>
      <c r="HX228" s="150" t="str">
        <f aca="false">IF(OR(HX$169&lt;SwaptionFirstMonthPosition+1,$FJ228&lt;SwaptionFirstMonthPosition+1,HX$169&gt;SwaptionFirstMonthPosition+SwaptionNumOfMonths+1,$FJ228&gt;SwaptionFirstMonthPosition+SwaptionNumOfMonths+1),"",IF($FJ228=HX$169,1,IF($FJ228&lt;HX$169,INDEX($FK$170:$ID$241,HX$169,$FJ228),SUMPRODUCT(INDEX($FK$325:$ID$396,HX$169,1+SwaptionShift):INDEX($FK$325:$ID$396,HX$169,SwaptionMonthsToGo+SwaptionShift),INDEX($FK$245:$ID$316,$FJ228-HX$169,73-HX$169+SwaptionShift):INDEX($FK$245:$ID$316,$FJ228-HX$169,72-HX$169+SwaptionMonthsToGo+SwaptionShift))/SQRT(SUM(INDEX($FK383:$ID383,1+SwaptionShift):INDEX($FK383:$ID383,SwaptionMonthsToGo+SwaptionShift))*SUM(INDEX($FK$325:$ID$396,HX$169,1+SwaptionShift):INDEX($FK$325:$ID$396,HX$169,SwaptionMonthsToGo+SwaptionShift))))))</f>
        <v/>
      </c>
      <c r="HY228" s="150" t="str">
        <f aca="false">IF(OR(HY$169&lt;SwaptionFirstMonthPosition+1,$FJ228&lt;SwaptionFirstMonthPosition+1,HY$169&gt;SwaptionFirstMonthPosition+SwaptionNumOfMonths+1,$FJ228&gt;SwaptionFirstMonthPosition+SwaptionNumOfMonths+1),"",IF($FJ228=HY$169,1,IF($FJ228&lt;HY$169,INDEX($FK$170:$ID$241,HY$169,$FJ228),SUMPRODUCT(INDEX($FK$325:$ID$396,HY$169,1+SwaptionShift):INDEX($FK$325:$ID$396,HY$169,SwaptionMonthsToGo+SwaptionShift),INDEX($FK$245:$ID$316,$FJ228-HY$169,73-HY$169+SwaptionShift):INDEX($FK$245:$ID$316,$FJ228-HY$169,72-HY$169+SwaptionMonthsToGo+SwaptionShift))/SQRT(SUM(INDEX($FK383:$ID383,1+SwaptionShift):INDEX($FK383:$ID383,SwaptionMonthsToGo+SwaptionShift))*SUM(INDEX($FK$325:$ID$396,HY$169,1+SwaptionShift):INDEX($FK$325:$ID$396,HY$169,SwaptionMonthsToGo+SwaptionShift))))))</f>
        <v/>
      </c>
      <c r="HZ228" s="150" t="str">
        <f aca="false">IF(OR(HZ$169&lt;SwaptionFirstMonthPosition+1,$FJ228&lt;SwaptionFirstMonthPosition+1,HZ$169&gt;SwaptionFirstMonthPosition+SwaptionNumOfMonths+1,$FJ228&gt;SwaptionFirstMonthPosition+SwaptionNumOfMonths+1),"",IF($FJ228=HZ$169,1,IF($FJ228&lt;HZ$169,INDEX($FK$170:$ID$241,HZ$169,$FJ228),SUMPRODUCT(INDEX($FK$325:$ID$396,HZ$169,1+SwaptionShift):INDEX($FK$325:$ID$396,HZ$169,SwaptionMonthsToGo+SwaptionShift),INDEX($FK$245:$ID$316,$FJ228-HZ$169,73-HZ$169+SwaptionShift):INDEX($FK$245:$ID$316,$FJ228-HZ$169,72-HZ$169+SwaptionMonthsToGo+SwaptionShift))/SQRT(SUM(INDEX($FK383:$ID383,1+SwaptionShift):INDEX($FK383:$ID383,SwaptionMonthsToGo+SwaptionShift))*SUM(INDEX($FK$325:$ID$396,HZ$169,1+SwaptionShift):INDEX($FK$325:$ID$396,HZ$169,SwaptionMonthsToGo+SwaptionShift))))))</f>
        <v/>
      </c>
      <c r="IA228" s="150" t="str">
        <f aca="false">IF(OR(IA$169&lt;SwaptionFirstMonthPosition+1,$FJ228&lt;SwaptionFirstMonthPosition+1,IA$169&gt;SwaptionFirstMonthPosition+SwaptionNumOfMonths+1,$FJ228&gt;SwaptionFirstMonthPosition+SwaptionNumOfMonths+1),"",IF($FJ228=IA$169,1,IF($FJ228&lt;IA$169,INDEX($FK$170:$ID$241,IA$169,$FJ228),SUMPRODUCT(INDEX($FK$325:$ID$396,IA$169,1+SwaptionShift):INDEX($FK$325:$ID$396,IA$169,SwaptionMonthsToGo+SwaptionShift),INDEX($FK$245:$ID$316,$FJ228-IA$169,73-IA$169+SwaptionShift):INDEX($FK$245:$ID$316,$FJ228-IA$169,72-IA$169+SwaptionMonthsToGo+SwaptionShift))/SQRT(SUM(INDEX($FK383:$ID383,1+SwaptionShift):INDEX($FK383:$ID383,SwaptionMonthsToGo+SwaptionShift))*SUM(INDEX($FK$325:$ID$396,IA$169,1+SwaptionShift):INDEX($FK$325:$ID$396,IA$169,SwaptionMonthsToGo+SwaptionShift))))))</f>
        <v/>
      </c>
      <c r="IB228" s="150" t="str">
        <f aca="false">IF(OR(IB$169&lt;SwaptionFirstMonthPosition+1,$FJ228&lt;SwaptionFirstMonthPosition+1,IB$169&gt;SwaptionFirstMonthPosition+SwaptionNumOfMonths+1,$FJ228&gt;SwaptionFirstMonthPosition+SwaptionNumOfMonths+1),"",IF($FJ228=IB$169,1,IF($FJ228&lt;IB$169,INDEX($FK$170:$ID$241,IB$169,$FJ228),SUMPRODUCT(INDEX($FK$325:$ID$396,IB$169,1+SwaptionShift):INDEX($FK$325:$ID$396,IB$169,SwaptionMonthsToGo+SwaptionShift),INDEX($FK$245:$ID$316,$FJ228-IB$169,73-IB$169+SwaptionShift):INDEX($FK$245:$ID$316,$FJ228-IB$169,72-IB$169+SwaptionMonthsToGo+SwaptionShift))/SQRT(SUM(INDEX($FK383:$ID383,1+SwaptionShift):INDEX($FK383:$ID383,SwaptionMonthsToGo+SwaptionShift))*SUM(INDEX($FK$325:$ID$396,IB$169,1+SwaptionShift):INDEX($FK$325:$ID$396,IB$169,SwaptionMonthsToGo+SwaptionShift))))))</f>
        <v/>
      </c>
      <c r="IC228" s="150" t="str">
        <f aca="false">IF(OR(IC$169&lt;SwaptionFirstMonthPosition+1,$FJ228&lt;SwaptionFirstMonthPosition+1,IC$169&gt;SwaptionFirstMonthPosition+SwaptionNumOfMonths+1,$FJ228&gt;SwaptionFirstMonthPosition+SwaptionNumOfMonths+1),"",IF($FJ228=IC$169,1,IF($FJ228&lt;IC$169,INDEX($FK$170:$ID$241,IC$169,$FJ228),SUMPRODUCT(INDEX($FK$325:$ID$396,IC$169,1+SwaptionShift):INDEX($FK$325:$ID$396,IC$169,SwaptionMonthsToGo+SwaptionShift),INDEX($FK$245:$ID$316,$FJ228-IC$169,73-IC$169+SwaptionShift):INDEX($FK$245:$ID$316,$FJ228-IC$169,72-IC$169+SwaptionMonthsToGo+SwaptionShift))/SQRT(SUM(INDEX($FK383:$ID383,1+SwaptionShift):INDEX($FK383:$ID383,SwaptionMonthsToGo+SwaptionShift))*SUM(INDEX($FK$325:$ID$396,IC$169,1+SwaptionShift):INDEX($FK$325:$ID$396,IC$169,SwaptionMonthsToGo+SwaptionShift))))))</f>
        <v/>
      </c>
      <c r="ID228" s="572" t="str">
        <f aca="false">IF(OR(ID$169&lt;SwaptionFirstMonthPosition+1,$FJ228&lt;SwaptionFirstMonthPosition+1,ID$169&gt;SwaptionFirstMonthPosition+SwaptionNumOfMonths+1,$FJ228&gt;SwaptionFirstMonthPosition+SwaptionNumOfMonths+1),"",IF($FJ228=ID$169,1,IF($FJ228&lt;ID$169,INDEX($FK$170:$ID$241,ID$169,$FJ228),SUMPRODUCT(INDEX($FK$325:$ID$396,ID$169,1+SwaptionShift):INDEX($FK$325:$ID$396,ID$169,SwaptionMonthsToGo+SwaptionShift),INDEX($FK$245:$ID$316,$FJ228-ID$169,73-ID$169+SwaptionShift):INDEX($FK$245:$ID$316,$FJ228-ID$169,72-ID$169+SwaptionMonthsToGo+SwaptionShift))/SQRT(SUM(INDEX($FK383:$ID383,1+SwaptionShift):INDEX($FK383:$ID383,SwaptionMonthsToGo+SwaptionShift))*SUM(INDEX($FK$325:$ID$396,ID$169,1+SwaptionShift):INDEX($FK$325:$ID$396,ID$169,SwaptionMonthsToGo+SwaptionShift))))))</f>
        <v/>
      </c>
      <c r="IE228" s="129"/>
    </row>
    <row r="229" customFormat="false" ht="12.75" hidden="false" customHeight="false" outlineLevel="0" collapsed="false">
      <c r="H229" s="219" t="n">
        <f aca="false">VLOOKUP(I229,$EJ$20:$EL$54,3)</f>
        <v>0</v>
      </c>
      <c r="I229" s="511" t="n">
        <f aca="false">EOMONTH(I228,0)+1</f>
        <v>43132</v>
      </c>
      <c r="J229" s="512"/>
      <c r="K229" s="513" t="s">
        <v>280</v>
      </c>
      <c r="L229" s="514" t="n">
        <f aca="false">IF(ISNUMBER(K229),J229+K229/100,IF(K229="extra",L228+VLOOKUP(BF229,PriceSpreadTable,2)/12,IF(K229="inter",interpolateprices($K$19:$L$200,ROW(K229)-ROW(FirstPricingMonth)+1),interpolatechanges($J$19:$K$200,ROW(K229)-ROW(FirstPricingMonth)+1))))</f>
        <v>4.9875</v>
      </c>
      <c r="M229" s="515"/>
      <c r="N229" s="516" t="n">
        <v>0</v>
      </c>
      <c r="O229" s="515" t="n">
        <f aca="false">M229+N229</f>
        <v>0</v>
      </c>
      <c r="P229" s="512"/>
      <c r="Q229" s="513" t="s">
        <v>280</v>
      </c>
      <c r="R229" s="512" t="e">
        <f aca="false">IF(ISNUMBER(Q229),P229+Q229/100,IF(Q229="extra",(Z227*AL227-R228*AM227)/AN227,IF(Q229="inter",interpolateprices($Q$19:$R$260,ROW(Q229)-ROW(FirstPricingMonth)+1),interpolatechanges($P$19:$Q$260,ROW(Q229)-ROW(FirstPricingMonth)+1))))</f>
        <v>#VALUE!</v>
      </c>
      <c r="S229" s="597" t="n">
        <f aca="false">S$19+(S228-S$19)*S$18</f>
        <v>0.36</v>
      </c>
      <c r="T229" s="575" t="n">
        <f aca="false">SQRT((1-(1-T228^2/U228)*T$18)*U229)</f>
        <v>1</v>
      </c>
      <c r="U229" s="576" t="n">
        <f aca="false">1-(1-U228)*U$18</f>
        <v>1</v>
      </c>
      <c r="V229" s="521" t="n">
        <v>0</v>
      </c>
      <c r="W229" s="577" t="n">
        <f aca="false">(J230*AJ229+J231*AK229)/AI229</f>
        <v>0</v>
      </c>
      <c r="X229" s="578" t="n">
        <f aca="false">(L230*AJ229+L231*AK229)/AI229</f>
        <v>5.03625</v>
      </c>
      <c r="Y229" s="579" t="n">
        <f aca="false">IF(Q231="extra",W229-AA229,(P230*AM229+P231*AN229)/AL229)</f>
        <v>-1.1685</v>
      </c>
      <c r="Z229" s="579" t="n">
        <f aca="false">IF(Q231="extra",X229-AB229,(R230*AM229+R231*AN229)/AL229)</f>
        <v>3.86775</v>
      </c>
      <c r="AA229" s="523" t="n">
        <f aca="false">IF(Q231="extra",INDEX(BrentSeasonalityTable,INT((BG229-1)/3)+1)*VLOOKUP(MAX(BF229,$AB$4),PriceSpreadTable,3),W229-Y229)</f>
        <v>1.1685</v>
      </c>
      <c r="AB229" s="524" t="n">
        <f aca="false">IF(Q231="extra",INDEX(BrentSeasonalityTable,INT((BG229-1)/3)+1)*VLOOKUP(MAX(BF229,$AB$4),PriceSpreadTable,3),X229-Z229)</f>
        <v>1.1685</v>
      </c>
      <c r="AC229" s="646" t="n">
        <v>43120</v>
      </c>
      <c r="AD229" s="646" t="n">
        <v>43116</v>
      </c>
      <c r="AE229" s="646" t="n">
        <v>43115</v>
      </c>
      <c r="AF229" s="646" t="n">
        <v>43111</v>
      </c>
      <c r="AG229" s="438" t="s">
        <v>278</v>
      </c>
      <c r="AH229" s="439" t="s">
        <v>278</v>
      </c>
      <c r="AI229" s="528" t="n">
        <v>20</v>
      </c>
      <c r="AJ229" s="529" t="n">
        <v>14</v>
      </c>
      <c r="AK229" s="529" t="n">
        <v>6</v>
      </c>
      <c r="AL229" s="530" t="n">
        <v>20</v>
      </c>
      <c r="AM229" s="529" t="n">
        <v>10</v>
      </c>
      <c r="AN229" s="531" t="n">
        <v>10</v>
      </c>
      <c r="AO229" s="532"/>
      <c r="AP229" s="465" t="n">
        <f aca="false">(1+AO229/2)^(-2*BL229)</f>
        <v>1</v>
      </c>
      <c r="AQ229" s="532"/>
      <c r="AR229" s="465" t="n">
        <f aca="false">(1+AQ229/2)^(-2*BH229/365.25)</f>
        <v>1</v>
      </c>
      <c r="AS229" s="580" t="n">
        <f aca="false">(O230*AJ229+O231*AK229)/AI229</f>
        <v>0</v>
      </c>
      <c r="AT229" s="468" t="n">
        <f aca="false">O229*VLOOKUP(BF229,BrentVolTable,2)+VLOOKUP(BF229,BrentVolTable,3)</f>
        <v>0</v>
      </c>
      <c r="AU229" s="468" t="n">
        <f aca="false">(AT230*AM229+AT231*AN229)/AL229</f>
        <v>0</v>
      </c>
      <c r="AV229" s="595" t="n">
        <f aca="false">SQRT(MAX(0.000000000001,(O229^2*BH229-S229^2*(BH229-BH228))/BH228))</f>
        <v>0.0376118051590713</v>
      </c>
      <c r="AW229" s="451" t="n">
        <f aca="false">IF($I229-DateToday+15&gt;=$T$8,"",IF($I229-DateToday+15&lt;$T$5,1,MATCH($I229-DateToday+15,$T$5:$T$8)))</f>
        <v>1</v>
      </c>
      <c r="AX229" s="468" t="n">
        <f aca="false">IF($AW229="",AX228^2/AX227,INDEX(U$5:U$8,$AW229)^((INDEX($T$5:$T$8,$AW229+1)-($I229-DateToday+15))/(INDEX($T$5:$T$8,$AW229+1)-INDEX($T$5:$T$8,$AW229)))/INDEX(U$5:U$8,$AW229+1)^((INDEX($T$5:$T$8,$AW229)-($I229-DateToday+15))/(INDEX($T$5:$T$8,$AW229+1)-INDEX($T$5:$T$8,$AW229))))</f>
        <v>0.143851789520762</v>
      </c>
      <c r="AY229" s="468" t="n">
        <f aca="false">IF($AW229="",AY228^2/AY227,INDEX(V$5:V$8,$AW229)^((INDEX($T$5:$T$8,$AW229+1)-($I229-DateToday+15))/(INDEX($T$5:$T$8,$AW229+1)-INDEX($T$5:$T$8,$AW229)))/INDEX(V$5:V$8,$AW229+1)^((INDEX($T$5:$T$8,$AW229)-($I229-DateToday+15))/(INDEX($T$5:$T$8,$AW229+1)-INDEX($T$5:$T$8,$AW229))))</f>
        <v>0.781317731271599</v>
      </c>
      <c r="AZ229" s="468" t="n">
        <f aca="false">IF($AW229="",AZ228^2/AZ227,INDEX(W$5:W$8,$AW229)^((INDEX($T$5:$T$8,$AW229+1)-($I229-DateToday+15))/(INDEX($T$5:$T$8,$AW229+1)-INDEX($T$5:$T$8,$AW229)))/INDEX(W$5:W$8,$AW229+1)^((INDEX($T$5:$T$8,$AW229)-($I229-DateToday+15))/(INDEX($T$5:$T$8,$AW229+1)-INDEX($T$5:$T$8,$AW229))))</f>
        <v>23.8113247017386</v>
      </c>
      <c r="BA229" s="468" t="n">
        <f aca="false">IF($AW229="",BA228^2/BA227,INDEX(X$5:X$8,$AW229)^((INDEX($T$5:$T$8,$AW229+1)-($I229-DateToday+15))/(INDEX($T$5:$T$8,$AW229+1)-INDEX($T$5:$T$8,$AW229)))/INDEX(X$5:X$8,$AW229+1)^((INDEX($T$5:$T$8,$AW229)-($I229-DateToday+15))/(INDEX($T$5:$T$8,$AW229+1)-INDEX($T$5:$T$8,$AW229))))</f>
        <v>35.6802257208856</v>
      </c>
      <c r="BB229" s="468" t="n">
        <f aca="false">IF($AW229="",BB228^2/BB227,INDEX(Y$5:Y$8,$AW229)^((INDEX($T$5:$T$8,$AW229+1)-($I229-DateToday+15))/(INDEX($T$5:$T$8,$AW229+1)-INDEX($T$5:$T$8,$AW229)))/INDEX(Y$5:Y$8,$AW229+1)^((INDEX($T$5:$T$8,$AW229)-($I229-DateToday+15))/(INDEX($T$5:$T$8,$AW229+1)-INDEX($T$5:$T$8,$AW229))))</f>
        <v>124.554828881628</v>
      </c>
      <c r="BC229" s="468" t="n">
        <f aca="false">IF($AW229="",BC228^2/BC227,INDEX(Z$5:Z$8,$AW229)^((INDEX($T$5:$T$8,$AW229+1)-($I229-DateToday+15))/(INDEX($T$5:$T$8,$AW229+1)-INDEX($T$5:$T$8,$AW229)))/INDEX(Z$5:Z$8,$AW229+1)^((INDEX($T$5:$T$8,$AW229)-($I229-DateToday+15))/(INDEX($T$5:$T$8,$AW229+1)-INDEX($T$5:$T$8,$AW229))))</f>
        <v>271.40361374954</v>
      </c>
      <c r="BD229" s="535" t="n">
        <f aca="false">IF(OR(DateStart&gt;=I230,DateEnd&lt;I229),0,IF(VolumeOverrideFlag,V229,Volume))</f>
        <v>0</v>
      </c>
      <c r="BE229" s="536" t="n">
        <f aca="false">IF(OR(DateStart2&gt;=I230,DateEnd2&lt;I229),0,IF(VolumeOverrideFlag,V229,VolumeSwaption))</f>
        <v>0</v>
      </c>
      <c r="BF229" s="537" t="n">
        <f aca="false">YEAR(I229)</f>
        <v>2018</v>
      </c>
      <c r="BG229" s="538" t="n">
        <f aca="false">MONTH(I229)</f>
        <v>2</v>
      </c>
      <c r="BH229" s="539" t="n">
        <f aca="false">AD229-DateToday+1</f>
        <v>-2809</v>
      </c>
      <c r="BI229" s="540" t="n">
        <f aca="false">(I229-DateToday+1)/365.25</f>
        <v>-7.64681724845996</v>
      </c>
      <c r="BJ229" s="541" t="n">
        <f aca="false">BI229+(BL229-BI229)*CHOOSE(Underlying,AJ229/AI229,AM229/AL229)</f>
        <v>-7.59507186858316</v>
      </c>
      <c r="BK229" s="541" t="n">
        <f aca="false">BJ229+1/365.25</f>
        <v>-7.59233401779603</v>
      </c>
      <c r="BL229" s="541" t="n">
        <f aca="false">(I230-DateToday)/365.25</f>
        <v>-7.57289527720739</v>
      </c>
      <c r="BM229" s="542" t="e">
        <f aca="false">MAX(BI229-(BJ229-BI229)*(S230^2/O230^2-1),0)</f>
        <v>#DIV/0!</v>
      </c>
      <c r="BN229" s="541" t="e">
        <f aca="false">MAX(BL229+(BL229-BK229)*(S231^2/O231^2-1),0)</f>
        <v>#DIV/0!</v>
      </c>
      <c r="BO229" s="530" t="n">
        <f aca="false">CHOOSE(Underlying,AI229,AL229)</f>
        <v>20</v>
      </c>
      <c r="BP229" s="529" t="n">
        <f aca="false">CHOOSE(Underlying,AJ229,AM229)</f>
        <v>14</v>
      </c>
      <c r="BQ229" s="529" t="n">
        <f aca="false">CHOOSE(Underlying,AK229,AN229)</f>
        <v>6</v>
      </c>
      <c r="BR229" s="463" t="str">
        <f aca="false">IF(BD229,IF(Underlying=1,X229,Z229)+UnderlyingPriceAsian-SwapPriceCurve,"")</f>
        <v/>
      </c>
      <c r="BS229" s="463" t="str">
        <f aca="false">IF(BD229,Strike1/BR229-1,"")</f>
        <v/>
      </c>
      <c r="BT229" s="464" t="str">
        <f aca="false">IF(BD229,Strike2/BR229-1,"")</f>
        <v/>
      </c>
      <c r="BU229" s="465" t="str">
        <f aca="false">IF(BD229,IF(Underlying=1,L230,R230)+UnderlyingPriceAsian-SwapPriceCurve,"")</f>
        <v/>
      </c>
      <c r="BV229" s="465" t="str">
        <f aca="false">IF(BD229,IF(Underlying=1,L231,R231)+UnderlyingPriceAsian-SwapPriceCurve,"")</f>
        <v/>
      </c>
      <c r="BW229" s="466" t="str">
        <f aca="false">IF(BD229,IF(Underlying=1,O230,AT230),"")</f>
        <v/>
      </c>
      <c r="BX229" s="467" t="str">
        <f aca="false">IF(BD229,IF(Underlying=1,O231,AT231),"")</f>
        <v/>
      </c>
      <c r="BY229" s="466" t="str">
        <f aca="false">IF(BD229,IF(BS229&gt;0,IF(BS229&gt;0.2,BC229-BB229,IF(BS229&gt;0.1,BB229-BA229,BA229)),IF(BS229&lt;-0.2,AX229-AY229,IF(BS229&lt;-0.1,AY229-AZ229,AZ229))),"")</f>
        <v/>
      </c>
      <c r="BZ229" s="467" t="str">
        <f aca="false">IF(BD229,IF(BT229&gt;0,IF(BT229&gt;0.2,BC229-BB229,IF(BT229&gt;0.1,BB229-BA229,BA229)),IF(BT229&lt;-0.2,AX229-AY229,IF(BT229&lt;-0.1,AY229-AZ229,AZ229))),"")</f>
        <v/>
      </c>
      <c r="CA229" s="468" t="str">
        <f aca="false">IF($BD229,$BW229+IF(VolSkewFlag=1,IF(BS229&gt;0,$BA229*MIN(BS229/10%,1)+($BB229-$BA229)*MAX(0,MIN(BS229/10%-1,1))+($BC229-$BB229)*MAX(0,BS229/10%-2),$AZ229*MIN(-BS229/10%,1)+($AY229-$AZ229)*MAX(0,MIN(-BS229/10%-1,1))+($AX229-$AY229)*MAX(0,-BS229/10%-2)),0),"")</f>
        <v/>
      </c>
      <c r="CB229" s="468" t="str">
        <f aca="false">IF($BD229,$BX229+IF(VolSkewFlag=1,IF(BS229&gt;0,$BA229*MIN(BS229/10%,1)+($BB229-$BA229)*MAX(0,MIN(BS229/10%-1,1))+($BC229-$BB229)*MAX(0,BS229/10%-2),$AZ229*MIN(-BS229/10%,1)+($AY229-$AZ229)*MAX(0,MIN(-BS229/10%-1,1))+($AX229-$AY229)*MAX(0,-BS229/10%-2)),0),"")</f>
        <v/>
      </c>
      <c r="CC229" s="468" t="str">
        <f aca="false">IF($BD229,$BW229+IF(VolSkewFlag=1,IF(BT229&gt;0,$BA229*MIN(BT229/10%,1)+($BB229-$BA229)*MAX(0,MIN(BT229/10%-1,1))+($BC229-$BB229)*MAX(0,BT229/10%-2),$AZ229*MIN(-BT229/10%,1)+($AY229-$AZ229)*MAX(0,MIN(-BT229/10%-1,1))+($AX229-$AY229)*MAX(0,-BT229/10%-2)),0),"")</f>
        <v/>
      </c>
      <c r="CD229" s="468" t="str">
        <f aca="false">IF($BD229,$BX229+IF(VolSkewFlag=1,IF(BT229&gt;0,$BA229*MIN(BT229/10%,1)+($BB229-$BA229)*MAX(0,MIN(BT229/10%-1,1))+($BC229-$BB229)*MAX(0,BT229/10%-2),$AZ229*MIN(-BT229/10%,1)+($AY229-$AZ229)*MAX(0,MIN(-BT229/10%-1,1))+($AX229-$AY229)*MAX(0,-BT229/10%-2)),0),"")</f>
        <v/>
      </c>
      <c r="CE229" s="469" t="n">
        <v>1</v>
      </c>
      <c r="CF229" s="470" t="n">
        <f aca="false">IF(BD229,xCrudeAPO(BU229,BV229,CA229,CB229,S230,S231,BI229,BL229,BP229,BQ229,0,Strike1,AO229,CE229,0,BL229,IF(OptControl=4,0,1),0,1),0)</f>
        <v>0</v>
      </c>
      <c r="CG229" s="470" t="n">
        <f aca="false">IF(BD229,xCrudeAPO(BU229,BV229,CA229,CB229,S230,S231,BI229,BL229,BP229,BQ229,0,Strike1,AO229,CE229,0,BL229,IF(OptControl=4,0,1),1,1)+xCrudeAPO(BU229,BV229,CA229,CB229,S230,S231,BI229,BL229,BP229,BQ229,0,Strike1,AO229,CE229,0,BL229,IF(OptControl=4,0,1),1,2)+IF(OR(VolSkewFlag=2,ABS(BS229)&lt;0.0001),0,IF(BS229&gt;0,-1,1)*CH229*Strike1/BR229^2*BY229/10%),0)</f>
        <v>0</v>
      </c>
      <c r="CH229" s="470" t="n">
        <f aca="false">IF(BD229,(xCrudeAPO(BU229,BV229,CA229,CB229,S230,S231,BI229,BL229,BP229,BQ229,0,Strike1,AO229,CE229,0,BL229,IF(OptControl=4,0,1),3,1)+xCrudeAPO(BU229,BV229,CA229,CB229,S230,S231,BI229,BL229,BP229,BQ229,0,Strike1,AO229,CE229,0,BL229,IF(OptControl=4,0,1),3,2))/100,0)</f>
        <v>0</v>
      </c>
      <c r="CI229" s="470" t="n">
        <f aca="false">IF(BD229,xCrudeAPO(BU229,BV229,CA229,CB229,S230,S231,BI229-DaysForThetaCalculation/365.25,BL229-DaysForThetaCalculation/365.25,BP229,BQ229,0,Strike1,AO229,CE229,0,BL229,IF(OptControl=4,0,1),0,1)-xCrudeAPO(BU229,BV229,CA229,CB229,S230,S231,BI229,BL229,BP229,BQ229,0,Strike1,AO229,CE229,0,BL229,IF(OptControl=4,0,1),0,1),0)</f>
        <v>0</v>
      </c>
      <c r="CJ229" s="471" t="n">
        <f aca="false">IF(BD229,xCrudeAPO(BU229,BV229,CC229,CD229,S230,S231,BI229,BL229,BP229,BQ229,0,Strike2,AO229,CE229,0,BL229,IF(OptControl=3,1,0),0,1),0)</f>
        <v>0</v>
      </c>
      <c r="CK229" s="470" t="n">
        <f aca="false">IF(BD229,xCrudeAPO(BU229,BV229,CC229,CD229,S230,S231,BI229,BL229,BP229,BQ229,0,Strike2,AO229,CE229,0,BL229,IF(OptControl=3,1,0),1,1)+xCrudeAPO(BU229,BV229,CC229,CD229,S230,S231,BI229,BL229,BP229,BQ229,0,Strike2,AO229,CE229,0,BL229,IF(OptControl=3,1,0),1,2)+IF(OR(VolSkewFlag=2,ABS(BT229)&lt;0.0001),0,IF(BT229&gt;0,-1,1)*CL229*Strike2/BR229^2*BZ229/10%),0)</f>
        <v>0</v>
      </c>
      <c r="CL229" s="470" t="n">
        <f aca="false">IF(BD229,(xCrudeAPO(BU229,BV229,CC229,CD229,S230,S231,BI229,BL229,BP229,BQ229,0,Strike2,AO229,CE229,0,BL229,IF(OptControl=3,1,0),3,1)+xCrudeAPO(BU229,BV229,CC229,CD229,S230,S231,BI229,BL229,BP229,BQ229,0,Strike2,AO229,CE229,0,BL229,IF(OptControl=3,1,0),3,2))/100,0)</f>
        <v>0</v>
      </c>
      <c r="CM229" s="472" t="n">
        <f aca="false">IF(BD229,xCrudeAPO(BU229,BV229,CC229,CD229,S230,S231,BI229-DaysForThetaCalculation/365.25,BL229-DaysForThetaCalculation/365.25,BP229,BQ229,0,Strike2,AO229,CE229,0,BL229,IF(OptControl=3,1,0),0,1)-xCrudeAPO(BU229,BV229,CC229,CD229,S230,S231,BI229,BL229,BP229,BQ229,0,Strike2,AO229,CE229,0,BL229,IF(OptControl=3,1,0),0,1),0)</f>
        <v>0</v>
      </c>
      <c r="CN229" s="3"/>
      <c r="CO229" s="543" t="str">
        <f aca="false">IF(BD229,CHOOSE(Underlying,AD229,AF229)-DateToday+1,"")</f>
        <v/>
      </c>
      <c r="CP229" s="582" t="str">
        <f aca="false">IF(BD229,CHOOSE(Underlying,L229,R229),"")</f>
        <v/>
      </c>
      <c r="CQ229" s="544" t="str">
        <f aca="false">IF(BD229,Strike1/CP229-1,"")</f>
        <v/>
      </c>
      <c r="CR229" s="544" t="str">
        <f aca="false">IF(BD229,Strike2/CP229-1,"")</f>
        <v/>
      </c>
      <c r="CS229" s="544" t="str">
        <f aca="false">IF(BD229,IF(CQ229&gt;0,IF(CQ229&gt;0.2,BC228-BB228,IF(CQ229&gt;0.1,BB228-BA228,BA228)),IF(CQ229&lt;-0.2,AX228-AY228,IF(CQ229&lt;-0.1,AY228-AZ228,AZ228))),"")</f>
        <v/>
      </c>
      <c r="CT229" s="544" t="str">
        <f aca="false">IF(BD229,IF(CR229&gt;0,IF(CR229&gt;0.2,BC228-BB228,IF(CR229&gt;0.1,BB228-BA228,BA228)),IF(CR229&lt;-0.2,AX228-AY228,IF(CR229&lt;-0.1,AY228-AZ228,AZ228))),"")</f>
        <v/>
      </c>
      <c r="CU229" s="545" t="str">
        <f aca="false">IF(BD229,CHOOSE(Underlying,O229,AT229),"")</f>
        <v/>
      </c>
      <c r="CV229" s="545" t="str">
        <f aca="false">IF(BD229,CU229+IF(VolSkewFlag=1,IF(CQ229&gt;0,BA228*MIN(CQ229/10%,1)+(BB228-BA228)*MAX(0,MIN(CQ229/10%-1,1))+(BC228-BB228)*MAX(0,CQ229/10%-2),AZ228*MIN(-CQ229/10%,1)+(AY228-AZ228)*MAX(0,MIN(-CQ229/10%-1,1))+(AX228-AY228)*MAX(0,-CQ229/10%-2)),0),"")</f>
        <v/>
      </c>
      <c r="CW229" s="545" t="str">
        <f aca="false">IF(BD229,CU229+IF(VolSkewFlag=1,IF(CR229&gt;0,BA228*MIN(CR229/10%,1)+(BB228-BA228)*MAX(0,MIN(CR229/10%-1,1))+(BC228-BB228)*MAX(0,CR229/10%-2),AZ228*MIN(-CR229/10%,1)+(AY228-AZ228)*MAX(0,MIN(-CR229/10%-1,1))+(AX228-AY228)*MAX(0,-CR229/10%-2)),0),"")</f>
        <v/>
      </c>
      <c r="CX229" s="470" t="n">
        <f aca="false">IF(BD229,EURO(CP229,Strike1,AO229,AO229,CV229,CO229,IF(OptControl=4,0,1),0),0)</f>
        <v>0</v>
      </c>
      <c r="CY229" s="470" t="n">
        <f aca="false">IF(BD229,EURO(CP229,Strike1,AO229,AO229,CV229,CO229,IF(OptControl=4,0,1),1)+IF(OR(VolSkewFlag=2,ABS(CQ229)&lt;0.0001),0,IF(CQ229&gt;0,-1,1)*CZ229*100*Strike1/CP229^2*CS229/10%),0)</f>
        <v>0</v>
      </c>
      <c r="CZ229" s="470" t="n">
        <f aca="false">IF(BD229,EURO(CP229,Strike1,AO229,AO229,CV229,CO229,IF(OptControl=4,0,1),3)/100,0)</f>
        <v>0</v>
      </c>
      <c r="DA229" s="470" t="n">
        <f aca="false">IF(BD229,EURO(CP229,Strike1,AO229,AO229,CV229,CO229,IF(OptControl=4,0,1),0)-EURO(CP229,Strike1,AO229,AO229,CV229,CO229-1,IF(OptControl=4,0,1),0),0)</f>
        <v>0</v>
      </c>
      <c r="DB229" s="470" t="n">
        <f aca="false">IF(BD229,EURO(CP229,Strike2,AO229,AO229,CW229,CO229,IF(OptControl=3,1,0),0),0)</f>
        <v>0</v>
      </c>
      <c r="DC229" s="470" t="n">
        <f aca="false">IF(BD229,EURO(CP229,Strike2,AO229,AO229,CW229,CO229,IF(OptControl=3,1,0),1)+IF(OR(VolSkewFlag=2,ABS(CR229)&lt;0.0001),0,IF(CR229&gt;0,-1,1)*DD229*100*Strike2/CP229^2*CT229/10%),0)</f>
        <v>0</v>
      </c>
      <c r="DD229" s="470" t="n">
        <f aca="false">IF(BD229,EURO(CP229,Strike2,AO229,AO229,CW229,CO229,IF(OptControl=3,1,0),3)/100,0)</f>
        <v>0</v>
      </c>
      <c r="DE229" s="472" t="n">
        <f aca="false">IF(BD229,EURO(CP229,Strike2,AO229,AO229,CW229,CO229,IF(OptControl=3,1,0),0)-EURO(CP229,Strike2,AO229,AO229,CW229,CO229-1,IF(OptControl=3,1,0),0),0)</f>
        <v>0</v>
      </c>
      <c r="DG229" s="481" t="n">
        <f aca="false">EOMONTH(DG228,0)+1</f>
        <v>52048</v>
      </c>
      <c r="DH229" s="478" t="n">
        <v>24.6100000000001</v>
      </c>
      <c r="DI229" s="479" t="n">
        <v>24.6775000000001</v>
      </c>
      <c r="DJ229" s="480" t="n">
        <f aca="false">DG229</f>
        <v>52048</v>
      </c>
      <c r="DK229" s="478" t="n">
        <v>23.4113639393828</v>
      </c>
      <c r="DL229" s="479" t="n">
        <v>23.4106000000001</v>
      </c>
      <c r="DM229" s="481" t="n">
        <f aca="false">DG229</f>
        <v>52048</v>
      </c>
      <c r="DN229" s="482" t="n">
        <f aca="false">DK229+BrentPhyBrentSpread</f>
        <v>23.4613639393828</v>
      </c>
      <c r="DO229" s="481" t="n">
        <f aca="false">DG229</f>
        <v>52048</v>
      </c>
      <c r="DP229" s="483" t="n">
        <f aca="false">DL229+DQ229</f>
        <v>23.4106000000001</v>
      </c>
      <c r="DQ229" s="546" t="n">
        <v>0</v>
      </c>
      <c r="DR229" s="480" t="n">
        <f aca="false">DG229</f>
        <v>52048</v>
      </c>
      <c r="DS229" s="485" t="n">
        <v>0.099199999999998</v>
      </c>
      <c r="DT229" s="486" t="n">
        <v>0.098389999999998</v>
      </c>
      <c r="DU229" s="480" t="n">
        <f aca="false">DG229</f>
        <v>52048</v>
      </c>
      <c r="DV229" s="485" t="n">
        <v>0.099199999999998</v>
      </c>
      <c r="DW229" s="486" t="n">
        <v>0.098389999999998</v>
      </c>
      <c r="DX229" s="481" t="n">
        <f aca="false">DG229</f>
        <v>52048</v>
      </c>
      <c r="DY229" s="486" t="n">
        <v>0.35</v>
      </c>
      <c r="DZ229" s="481" t="n">
        <f aca="false">DR229</f>
        <v>52048</v>
      </c>
      <c r="EA229" s="486" t="n">
        <f aca="false">DT229</f>
        <v>0.098389999999998</v>
      </c>
      <c r="EB229" s="195"/>
      <c r="EC229" s="547" t="str">
        <f aca="false">IF(BD229,IF(Underlying=1,AS229,AU229),"")</f>
        <v/>
      </c>
      <c r="ED229" s="548" t="str">
        <f aca="false">IF($BD229,$EC229+IF(VolSkewFlag=1,IF(BS229&gt;0,$BA229*MIN(BS229/10%,1)+($BB229-$BA229)*MAX(0,MIN(BS229/10%-1,1))+($BC229-$BB229)*MAX(0,BS229/10%-2),$AZ229*MIN(-BS229/10%,1)+($AY229-$AZ229)*MAX(0,MIN(-BS229/10%-1,1))+($AX229-$AY229)*MAX(0,-BS229/10%-2)),0),"")</f>
        <v/>
      </c>
      <c r="EE229" s="549" t="str">
        <f aca="false">IF($BD229,$EC229+IF(VolSkewFlag=1,IF(BT229&gt;0,$BA229*MIN(BT229/10%,1)+($BB229-$BA229)*MAX(0,MIN(BT229/10%-1,1))+($BC229-$BB229)*MAX(0,BT229/10%-2),$AZ229*MIN(-BT229/10%,1)+($AY229-$AZ229)*MAX(0,MIN(-BT229/10%-1,1))+($AX229-$AY229)*MAX(0,-BT229/10%-2)),0),"")</f>
        <v/>
      </c>
      <c r="EF229" s="550" t="n">
        <f aca="false">IF(BD229,xASN(BR229,Strike1,AO229,ED229,0,BO229,0,BI229,BL229,IF(OptControl=4,0,1),0),0)</f>
        <v>0</v>
      </c>
      <c r="EG229" s="551" t="n">
        <f aca="false">IF(BD229,xASN(BR229,Strike2,AO229,EE229,0,BO229,0,BI229,BL229,IF(OptControl=3,1,0),0),0)</f>
        <v>0</v>
      </c>
      <c r="EL229" s="1"/>
      <c r="EM229" s="195"/>
      <c r="EN229" s="240"/>
      <c r="EO229" s="240"/>
      <c r="EP229" s="195"/>
      <c r="EQ229" s="407" t="s">
        <v>457</v>
      </c>
      <c r="ES229" s="1"/>
      <c r="EU229" s="672"/>
      <c r="FJ229" s="571" t="n">
        <v>60</v>
      </c>
      <c r="FK229" s="150" t="str">
        <f aca="false">IF(OR(FK$169&lt;SwaptionFirstMonthPosition+1,$FJ229&lt;SwaptionFirstMonthPosition+1,FK$169&gt;SwaptionFirstMonthPosition+SwaptionNumOfMonths+1,$FJ229&gt;SwaptionFirstMonthPosition+SwaptionNumOfMonths+1),"",IF($FJ229=FK$169,1,IF($FJ229&lt;FK$169,INDEX($FK$170:$ID$241,FK$169,$FJ229),SUMPRODUCT(INDEX($FK$325:$ID$396,FK$169,1+SwaptionShift):INDEX($FK$325:$ID$396,FK$169,SwaptionMonthsToGo+SwaptionShift),INDEX($FK$245:$ID$316,$FJ229-FK$169,73-FK$169+SwaptionShift):INDEX($FK$245:$ID$316,$FJ229-FK$169,72-FK$169+SwaptionMonthsToGo+SwaptionShift))/SQRT(SUM(INDEX($FK384:$ID384,1+SwaptionShift):INDEX($FK384:$ID384,SwaptionMonthsToGo+SwaptionShift))*SUM(INDEX($FK$325:$ID$396,FK$169,1+SwaptionShift):INDEX($FK$325:$ID$396,FK$169,SwaptionMonthsToGo+SwaptionShift))))))</f>
        <v/>
      </c>
      <c r="FL229" s="150" t="str">
        <f aca="false">IF(OR(FL$169&lt;SwaptionFirstMonthPosition+1,$FJ229&lt;SwaptionFirstMonthPosition+1,FL$169&gt;SwaptionFirstMonthPosition+SwaptionNumOfMonths+1,$FJ229&gt;SwaptionFirstMonthPosition+SwaptionNumOfMonths+1),"",IF($FJ229=FL$169,1,IF($FJ229&lt;FL$169,INDEX($FK$170:$ID$241,FL$169,$FJ229),SUMPRODUCT(INDEX($FK$325:$ID$396,FL$169,1+SwaptionShift):INDEX($FK$325:$ID$396,FL$169,SwaptionMonthsToGo+SwaptionShift),INDEX($FK$245:$ID$316,$FJ229-FL$169,73-FL$169+SwaptionShift):INDEX($FK$245:$ID$316,$FJ229-FL$169,72-FL$169+SwaptionMonthsToGo+SwaptionShift))/SQRT(SUM(INDEX($FK384:$ID384,1+SwaptionShift):INDEX($FK384:$ID384,SwaptionMonthsToGo+SwaptionShift))*SUM(INDEX($FK$325:$ID$396,FL$169,1+SwaptionShift):INDEX($FK$325:$ID$396,FL$169,SwaptionMonthsToGo+SwaptionShift))))))</f>
        <v/>
      </c>
      <c r="FM229" s="150" t="str">
        <f aca="false">IF(OR(FM$169&lt;SwaptionFirstMonthPosition+1,$FJ229&lt;SwaptionFirstMonthPosition+1,FM$169&gt;SwaptionFirstMonthPosition+SwaptionNumOfMonths+1,$FJ229&gt;SwaptionFirstMonthPosition+SwaptionNumOfMonths+1),"",IF($FJ229=FM$169,1,IF($FJ229&lt;FM$169,INDEX($FK$170:$ID$241,FM$169,$FJ229),SUMPRODUCT(INDEX($FK$325:$ID$396,FM$169,1+SwaptionShift):INDEX($FK$325:$ID$396,FM$169,SwaptionMonthsToGo+SwaptionShift),INDEX($FK$245:$ID$316,$FJ229-FM$169,73-FM$169+SwaptionShift):INDEX($FK$245:$ID$316,$FJ229-FM$169,72-FM$169+SwaptionMonthsToGo+SwaptionShift))/SQRT(SUM(INDEX($FK384:$ID384,1+SwaptionShift):INDEX($FK384:$ID384,SwaptionMonthsToGo+SwaptionShift))*SUM(INDEX($FK$325:$ID$396,FM$169,1+SwaptionShift):INDEX($FK$325:$ID$396,FM$169,SwaptionMonthsToGo+SwaptionShift))))))</f>
        <v/>
      </c>
      <c r="FN229" s="150" t="str">
        <f aca="false">IF(OR(FN$169&lt;SwaptionFirstMonthPosition+1,$FJ229&lt;SwaptionFirstMonthPosition+1,FN$169&gt;SwaptionFirstMonthPosition+SwaptionNumOfMonths+1,$FJ229&gt;SwaptionFirstMonthPosition+SwaptionNumOfMonths+1),"",IF($FJ229=FN$169,1,IF($FJ229&lt;FN$169,INDEX($FK$170:$ID$241,FN$169,$FJ229),SUMPRODUCT(INDEX($FK$325:$ID$396,FN$169,1+SwaptionShift):INDEX($FK$325:$ID$396,FN$169,SwaptionMonthsToGo+SwaptionShift),INDEX($FK$245:$ID$316,$FJ229-FN$169,73-FN$169+SwaptionShift):INDEX($FK$245:$ID$316,$FJ229-FN$169,72-FN$169+SwaptionMonthsToGo+SwaptionShift))/SQRT(SUM(INDEX($FK384:$ID384,1+SwaptionShift):INDEX($FK384:$ID384,SwaptionMonthsToGo+SwaptionShift))*SUM(INDEX($FK$325:$ID$396,FN$169,1+SwaptionShift):INDEX($FK$325:$ID$396,FN$169,SwaptionMonthsToGo+SwaptionShift))))))</f>
        <v/>
      </c>
      <c r="FO229" s="150" t="str">
        <f aca="false">IF(OR(FO$169&lt;SwaptionFirstMonthPosition+1,$FJ229&lt;SwaptionFirstMonthPosition+1,FO$169&gt;SwaptionFirstMonthPosition+SwaptionNumOfMonths+1,$FJ229&gt;SwaptionFirstMonthPosition+SwaptionNumOfMonths+1),"",IF($FJ229=FO$169,1,IF($FJ229&lt;FO$169,INDEX($FK$170:$ID$241,FO$169,$FJ229),SUMPRODUCT(INDEX($FK$325:$ID$396,FO$169,1+SwaptionShift):INDEX($FK$325:$ID$396,FO$169,SwaptionMonthsToGo+SwaptionShift),INDEX($FK$245:$ID$316,$FJ229-FO$169,73-FO$169+SwaptionShift):INDEX($FK$245:$ID$316,$FJ229-FO$169,72-FO$169+SwaptionMonthsToGo+SwaptionShift))/SQRT(SUM(INDEX($FK384:$ID384,1+SwaptionShift):INDEX($FK384:$ID384,SwaptionMonthsToGo+SwaptionShift))*SUM(INDEX($FK$325:$ID$396,FO$169,1+SwaptionShift):INDEX($FK$325:$ID$396,FO$169,SwaptionMonthsToGo+SwaptionShift))))))</f>
        <v/>
      </c>
      <c r="FP229" s="150" t="str">
        <f aca="false">IF(OR(FP$169&lt;SwaptionFirstMonthPosition+1,$FJ229&lt;SwaptionFirstMonthPosition+1,FP$169&gt;SwaptionFirstMonthPosition+SwaptionNumOfMonths+1,$FJ229&gt;SwaptionFirstMonthPosition+SwaptionNumOfMonths+1),"",IF($FJ229=FP$169,1,IF($FJ229&lt;FP$169,INDEX($FK$170:$ID$241,FP$169,$FJ229),SUMPRODUCT(INDEX($FK$325:$ID$396,FP$169,1+SwaptionShift):INDEX($FK$325:$ID$396,FP$169,SwaptionMonthsToGo+SwaptionShift),INDEX($FK$245:$ID$316,$FJ229-FP$169,73-FP$169+SwaptionShift):INDEX($FK$245:$ID$316,$FJ229-FP$169,72-FP$169+SwaptionMonthsToGo+SwaptionShift))/SQRT(SUM(INDEX($FK384:$ID384,1+SwaptionShift):INDEX($FK384:$ID384,SwaptionMonthsToGo+SwaptionShift))*SUM(INDEX($FK$325:$ID$396,FP$169,1+SwaptionShift):INDEX($FK$325:$ID$396,FP$169,SwaptionMonthsToGo+SwaptionShift))))))</f>
        <v/>
      </c>
      <c r="FQ229" s="150" t="str">
        <f aca="false">IF(OR(FQ$169&lt;SwaptionFirstMonthPosition+1,$FJ229&lt;SwaptionFirstMonthPosition+1,FQ$169&gt;SwaptionFirstMonthPosition+SwaptionNumOfMonths+1,$FJ229&gt;SwaptionFirstMonthPosition+SwaptionNumOfMonths+1),"",IF($FJ229=FQ$169,1,IF($FJ229&lt;FQ$169,INDEX($FK$170:$ID$241,FQ$169,$FJ229),SUMPRODUCT(INDEX($FK$325:$ID$396,FQ$169,1+SwaptionShift):INDEX($FK$325:$ID$396,FQ$169,SwaptionMonthsToGo+SwaptionShift),INDEX($FK$245:$ID$316,$FJ229-FQ$169,73-FQ$169+SwaptionShift):INDEX($FK$245:$ID$316,$FJ229-FQ$169,72-FQ$169+SwaptionMonthsToGo+SwaptionShift))/SQRT(SUM(INDEX($FK384:$ID384,1+SwaptionShift):INDEX($FK384:$ID384,SwaptionMonthsToGo+SwaptionShift))*SUM(INDEX($FK$325:$ID$396,FQ$169,1+SwaptionShift):INDEX($FK$325:$ID$396,FQ$169,SwaptionMonthsToGo+SwaptionShift))))))</f>
        <v/>
      </c>
      <c r="FR229" s="150" t="str">
        <f aca="false">IF(OR(FR$169&lt;SwaptionFirstMonthPosition+1,$FJ229&lt;SwaptionFirstMonthPosition+1,FR$169&gt;SwaptionFirstMonthPosition+SwaptionNumOfMonths+1,$FJ229&gt;SwaptionFirstMonthPosition+SwaptionNumOfMonths+1),"",IF($FJ229=FR$169,1,IF($FJ229&lt;FR$169,INDEX($FK$170:$ID$241,FR$169,$FJ229),SUMPRODUCT(INDEX($FK$325:$ID$396,FR$169,1+SwaptionShift):INDEX($FK$325:$ID$396,FR$169,SwaptionMonthsToGo+SwaptionShift),INDEX($FK$245:$ID$316,$FJ229-FR$169,73-FR$169+SwaptionShift):INDEX($FK$245:$ID$316,$FJ229-FR$169,72-FR$169+SwaptionMonthsToGo+SwaptionShift))/SQRT(SUM(INDEX($FK384:$ID384,1+SwaptionShift):INDEX($FK384:$ID384,SwaptionMonthsToGo+SwaptionShift))*SUM(INDEX($FK$325:$ID$396,FR$169,1+SwaptionShift):INDEX($FK$325:$ID$396,FR$169,SwaptionMonthsToGo+SwaptionShift))))))</f>
        <v/>
      </c>
      <c r="FS229" s="150" t="str">
        <f aca="false">IF(OR(FS$169&lt;SwaptionFirstMonthPosition+1,$FJ229&lt;SwaptionFirstMonthPosition+1,FS$169&gt;SwaptionFirstMonthPosition+SwaptionNumOfMonths+1,$FJ229&gt;SwaptionFirstMonthPosition+SwaptionNumOfMonths+1),"",IF($FJ229=FS$169,1,IF($FJ229&lt;FS$169,INDEX($FK$170:$ID$241,FS$169,$FJ229),SUMPRODUCT(INDEX($FK$325:$ID$396,FS$169,1+SwaptionShift):INDEX($FK$325:$ID$396,FS$169,SwaptionMonthsToGo+SwaptionShift),INDEX($FK$245:$ID$316,$FJ229-FS$169,73-FS$169+SwaptionShift):INDEX($FK$245:$ID$316,$FJ229-FS$169,72-FS$169+SwaptionMonthsToGo+SwaptionShift))/SQRT(SUM(INDEX($FK384:$ID384,1+SwaptionShift):INDEX($FK384:$ID384,SwaptionMonthsToGo+SwaptionShift))*SUM(INDEX($FK$325:$ID$396,FS$169,1+SwaptionShift):INDEX($FK$325:$ID$396,FS$169,SwaptionMonthsToGo+SwaptionShift))))))</f>
        <v/>
      </c>
      <c r="FT229" s="150" t="str">
        <f aca="false">IF(OR(FT$169&lt;SwaptionFirstMonthPosition+1,$FJ229&lt;SwaptionFirstMonthPosition+1,FT$169&gt;SwaptionFirstMonthPosition+SwaptionNumOfMonths+1,$FJ229&gt;SwaptionFirstMonthPosition+SwaptionNumOfMonths+1),"",IF($FJ229=FT$169,1,IF($FJ229&lt;FT$169,INDEX($FK$170:$ID$241,FT$169,$FJ229),SUMPRODUCT(INDEX($FK$325:$ID$396,FT$169,1+SwaptionShift):INDEX($FK$325:$ID$396,FT$169,SwaptionMonthsToGo+SwaptionShift),INDEX($FK$245:$ID$316,$FJ229-FT$169,73-FT$169+SwaptionShift):INDEX($FK$245:$ID$316,$FJ229-FT$169,72-FT$169+SwaptionMonthsToGo+SwaptionShift))/SQRT(SUM(INDEX($FK384:$ID384,1+SwaptionShift):INDEX($FK384:$ID384,SwaptionMonthsToGo+SwaptionShift))*SUM(INDEX($FK$325:$ID$396,FT$169,1+SwaptionShift):INDEX($FK$325:$ID$396,FT$169,SwaptionMonthsToGo+SwaptionShift))))))</f>
        <v/>
      </c>
      <c r="FU229" s="150" t="str">
        <f aca="false">IF(OR(FU$169&lt;SwaptionFirstMonthPosition+1,$FJ229&lt;SwaptionFirstMonthPosition+1,FU$169&gt;SwaptionFirstMonthPosition+SwaptionNumOfMonths+1,$FJ229&gt;SwaptionFirstMonthPosition+SwaptionNumOfMonths+1),"",IF($FJ229=FU$169,1,IF($FJ229&lt;FU$169,INDEX($FK$170:$ID$241,FU$169,$FJ229),SUMPRODUCT(INDEX($FK$325:$ID$396,FU$169,1+SwaptionShift):INDEX($FK$325:$ID$396,FU$169,SwaptionMonthsToGo+SwaptionShift),INDEX($FK$245:$ID$316,$FJ229-FU$169,73-FU$169+SwaptionShift):INDEX($FK$245:$ID$316,$FJ229-FU$169,72-FU$169+SwaptionMonthsToGo+SwaptionShift))/SQRT(SUM(INDEX($FK384:$ID384,1+SwaptionShift):INDEX($FK384:$ID384,SwaptionMonthsToGo+SwaptionShift))*SUM(INDEX($FK$325:$ID$396,FU$169,1+SwaptionShift):INDEX($FK$325:$ID$396,FU$169,SwaptionMonthsToGo+SwaptionShift))))))</f>
        <v/>
      </c>
      <c r="FV229" s="150" t="str">
        <f aca="false">IF(OR(FV$169&lt;SwaptionFirstMonthPosition+1,$FJ229&lt;SwaptionFirstMonthPosition+1,FV$169&gt;SwaptionFirstMonthPosition+SwaptionNumOfMonths+1,$FJ229&gt;SwaptionFirstMonthPosition+SwaptionNumOfMonths+1),"",IF($FJ229=FV$169,1,IF($FJ229&lt;FV$169,INDEX($FK$170:$ID$241,FV$169,$FJ229),SUMPRODUCT(INDEX($FK$325:$ID$396,FV$169,1+SwaptionShift):INDEX($FK$325:$ID$396,FV$169,SwaptionMonthsToGo+SwaptionShift),INDEX($FK$245:$ID$316,$FJ229-FV$169,73-FV$169+SwaptionShift):INDEX($FK$245:$ID$316,$FJ229-FV$169,72-FV$169+SwaptionMonthsToGo+SwaptionShift))/SQRT(SUM(INDEX($FK384:$ID384,1+SwaptionShift):INDEX($FK384:$ID384,SwaptionMonthsToGo+SwaptionShift))*SUM(INDEX($FK$325:$ID$396,FV$169,1+SwaptionShift):INDEX($FK$325:$ID$396,FV$169,SwaptionMonthsToGo+SwaptionShift))))))</f>
        <v/>
      </c>
      <c r="FW229" s="150" t="str">
        <f aca="false">IF(OR(FW$169&lt;SwaptionFirstMonthPosition+1,$FJ229&lt;SwaptionFirstMonthPosition+1,FW$169&gt;SwaptionFirstMonthPosition+SwaptionNumOfMonths+1,$FJ229&gt;SwaptionFirstMonthPosition+SwaptionNumOfMonths+1),"",IF($FJ229=FW$169,1,IF($FJ229&lt;FW$169,INDEX($FK$170:$ID$241,FW$169,$FJ229),SUMPRODUCT(INDEX($FK$325:$ID$396,FW$169,1+SwaptionShift):INDEX($FK$325:$ID$396,FW$169,SwaptionMonthsToGo+SwaptionShift),INDEX($FK$245:$ID$316,$FJ229-FW$169,73-FW$169+SwaptionShift):INDEX($FK$245:$ID$316,$FJ229-FW$169,72-FW$169+SwaptionMonthsToGo+SwaptionShift))/SQRT(SUM(INDEX($FK384:$ID384,1+SwaptionShift):INDEX($FK384:$ID384,SwaptionMonthsToGo+SwaptionShift))*SUM(INDEX($FK$325:$ID$396,FW$169,1+SwaptionShift):INDEX($FK$325:$ID$396,FW$169,SwaptionMonthsToGo+SwaptionShift))))))</f>
        <v/>
      </c>
      <c r="FX229" s="150" t="str">
        <f aca="false">IF(OR(FX$169&lt;SwaptionFirstMonthPosition+1,$FJ229&lt;SwaptionFirstMonthPosition+1,FX$169&gt;SwaptionFirstMonthPosition+SwaptionNumOfMonths+1,$FJ229&gt;SwaptionFirstMonthPosition+SwaptionNumOfMonths+1),"",IF($FJ229=FX$169,1,IF($FJ229&lt;FX$169,INDEX($FK$170:$ID$241,FX$169,$FJ229),SUMPRODUCT(INDEX($FK$325:$ID$396,FX$169,1+SwaptionShift):INDEX($FK$325:$ID$396,FX$169,SwaptionMonthsToGo+SwaptionShift),INDEX($FK$245:$ID$316,$FJ229-FX$169,73-FX$169+SwaptionShift):INDEX($FK$245:$ID$316,$FJ229-FX$169,72-FX$169+SwaptionMonthsToGo+SwaptionShift))/SQRT(SUM(INDEX($FK384:$ID384,1+SwaptionShift):INDEX($FK384:$ID384,SwaptionMonthsToGo+SwaptionShift))*SUM(INDEX($FK$325:$ID$396,FX$169,1+SwaptionShift):INDEX($FK$325:$ID$396,FX$169,SwaptionMonthsToGo+SwaptionShift))))))</f>
        <v/>
      </c>
      <c r="FY229" s="150" t="str">
        <f aca="false">IF(OR(FY$169&lt;SwaptionFirstMonthPosition+1,$FJ229&lt;SwaptionFirstMonthPosition+1,FY$169&gt;SwaptionFirstMonthPosition+SwaptionNumOfMonths+1,$FJ229&gt;SwaptionFirstMonthPosition+SwaptionNumOfMonths+1),"",IF($FJ229=FY$169,1,IF($FJ229&lt;FY$169,INDEX($FK$170:$ID$241,FY$169,$FJ229),SUMPRODUCT(INDEX($FK$325:$ID$396,FY$169,1+SwaptionShift):INDEX($FK$325:$ID$396,FY$169,SwaptionMonthsToGo+SwaptionShift),INDEX($FK$245:$ID$316,$FJ229-FY$169,73-FY$169+SwaptionShift):INDEX($FK$245:$ID$316,$FJ229-FY$169,72-FY$169+SwaptionMonthsToGo+SwaptionShift))/SQRT(SUM(INDEX($FK384:$ID384,1+SwaptionShift):INDEX($FK384:$ID384,SwaptionMonthsToGo+SwaptionShift))*SUM(INDEX($FK$325:$ID$396,FY$169,1+SwaptionShift):INDEX($FK$325:$ID$396,FY$169,SwaptionMonthsToGo+SwaptionShift))))))</f>
        <v/>
      </c>
      <c r="FZ229" s="150" t="str">
        <f aca="false">IF(OR(FZ$169&lt;SwaptionFirstMonthPosition+1,$FJ229&lt;SwaptionFirstMonthPosition+1,FZ$169&gt;SwaptionFirstMonthPosition+SwaptionNumOfMonths+1,$FJ229&gt;SwaptionFirstMonthPosition+SwaptionNumOfMonths+1),"",IF($FJ229=FZ$169,1,IF($FJ229&lt;FZ$169,INDEX($FK$170:$ID$241,FZ$169,$FJ229),SUMPRODUCT(INDEX($FK$325:$ID$396,FZ$169,1+SwaptionShift):INDEX($FK$325:$ID$396,FZ$169,SwaptionMonthsToGo+SwaptionShift),INDEX($FK$245:$ID$316,$FJ229-FZ$169,73-FZ$169+SwaptionShift):INDEX($FK$245:$ID$316,$FJ229-FZ$169,72-FZ$169+SwaptionMonthsToGo+SwaptionShift))/SQRT(SUM(INDEX($FK384:$ID384,1+SwaptionShift):INDEX($FK384:$ID384,SwaptionMonthsToGo+SwaptionShift))*SUM(INDEX($FK$325:$ID$396,FZ$169,1+SwaptionShift):INDEX($FK$325:$ID$396,FZ$169,SwaptionMonthsToGo+SwaptionShift))))))</f>
        <v/>
      </c>
      <c r="GA229" s="150" t="str">
        <f aca="false">IF(OR(GA$169&lt;SwaptionFirstMonthPosition+1,$FJ229&lt;SwaptionFirstMonthPosition+1,GA$169&gt;SwaptionFirstMonthPosition+SwaptionNumOfMonths+1,$FJ229&gt;SwaptionFirstMonthPosition+SwaptionNumOfMonths+1),"",IF($FJ229=GA$169,1,IF($FJ229&lt;GA$169,INDEX($FK$170:$ID$241,GA$169,$FJ229),SUMPRODUCT(INDEX($FK$325:$ID$396,GA$169,1+SwaptionShift):INDEX($FK$325:$ID$396,GA$169,SwaptionMonthsToGo+SwaptionShift),INDEX($FK$245:$ID$316,$FJ229-GA$169,73-GA$169+SwaptionShift):INDEX($FK$245:$ID$316,$FJ229-GA$169,72-GA$169+SwaptionMonthsToGo+SwaptionShift))/SQRT(SUM(INDEX($FK384:$ID384,1+SwaptionShift):INDEX($FK384:$ID384,SwaptionMonthsToGo+SwaptionShift))*SUM(INDEX($FK$325:$ID$396,GA$169,1+SwaptionShift):INDEX($FK$325:$ID$396,GA$169,SwaptionMonthsToGo+SwaptionShift))))))</f>
        <v/>
      </c>
      <c r="GB229" s="150" t="str">
        <f aca="false">IF(OR(GB$169&lt;SwaptionFirstMonthPosition+1,$FJ229&lt;SwaptionFirstMonthPosition+1,GB$169&gt;SwaptionFirstMonthPosition+SwaptionNumOfMonths+1,$FJ229&gt;SwaptionFirstMonthPosition+SwaptionNumOfMonths+1),"",IF($FJ229=GB$169,1,IF($FJ229&lt;GB$169,INDEX($FK$170:$ID$241,GB$169,$FJ229),SUMPRODUCT(INDEX($FK$325:$ID$396,GB$169,1+SwaptionShift):INDEX($FK$325:$ID$396,GB$169,SwaptionMonthsToGo+SwaptionShift),INDEX($FK$245:$ID$316,$FJ229-GB$169,73-GB$169+SwaptionShift):INDEX($FK$245:$ID$316,$FJ229-GB$169,72-GB$169+SwaptionMonthsToGo+SwaptionShift))/SQRT(SUM(INDEX($FK384:$ID384,1+SwaptionShift):INDEX($FK384:$ID384,SwaptionMonthsToGo+SwaptionShift))*SUM(INDEX($FK$325:$ID$396,GB$169,1+SwaptionShift):INDEX($FK$325:$ID$396,GB$169,SwaptionMonthsToGo+SwaptionShift))))))</f>
        <v/>
      </c>
      <c r="GC229" s="150" t="str">
        <f aca="false">IF(OR(GC$169&lt;SwaptionFirstMonthPosition+1,$FJ229&lt;SwaptionFirstMonthPosition+1,GC$169&gt;SwaptionFirstMonthPosition+SwaptionNumOfMonths+1,$FJ229&gt;SwaptionFirstMonthPosition+SwaptionNumOfMonths+1),"",IF($FJ229=GC$169,1,IF($FJ229&lt;GC$169,INDEX($FK$170:$ID$241,GC$169,$FJ229),SUMPRODUCT(INDEX($FK$325:$ID$396,GC$169,1+SwaptionShift):INDEX($FK$325:$ID$396,GC$169,SwaptionMonthsToGo+SwaptionShift),INDEX($FK$245:$ID$316,$FJ229-GC$169,73-GC$169+SwaptionShift):INDEX($FK$245:$ID$316,$FJ229-GC$169,72-GC$169+SwaptionMonthsToGo+SwaptionShift))/SQRT(SUM(INDEX($FK384:$ID384,1+SwaptionShift):INDEX($FK384:$ID384,SwaptionMonthsToGo+SwaptionShift))*SUM(INDEX($FK$325:$ID$396,GC$169,1+SwaptionShift):INDEX($FK$325:$ID$396,GC$169,SwaptionMonthsToGo+SwaptionShift))))))</f>
        <v/>
      </c>
      <c r="GD229" s="150" t="str">
        <f aca="false">IF(OR(GD$169&lt;SwaptionFirstMonthPosition+1,$FJ229&lt;SwaptionFirstMonthPosition+1,GD$169&gt;SwaptionFirstMonthPosition+SwaptionNumOfMonths+1,$FJ229&gt;SwaptionFirstMonthPosition+SwaptionNumOfMonths+1),"",IF($FJ229=GD$169,1,IF($FJ229&lt;GD$169,INDEX($FK$170:$ID$241,GD$169,$FJ229),SUMPRODUCT(INDEX($FK$325:$ID$396,GD$169,1+SwaptionShift):INDEX($FK$325:$ID$396,GD$169,SwaptionMonthsToGo+SwaptionShift),INDEX($FK$245:$ID$316,$FJ229-GD$169,73-GD$169+SwaptionShift):INDEX($FK$245:$ID$316,$FJ229-GD$169,72-GD$169+SwaptionMonthsToGo+SwaptionShift))/SQRT(SUM(INDEX($FK384:$ID384,1+SwaptionShift):INDEX($FK384:$ID384,SwaptionMonthsToGo+SwaptionShift))*SUM(INDEX($FK$325:$ID$396,GD$169,1+SwaptionShift):INDEX($FK$325:$ID$396,GD$169,SwaptionMonthsToGo+SwaptionShift))))))</f>
        <v/>
      </c>
      <c r="GE229" s="150" t="str">
        <f aca="false">IF(OR(GE$169&lt;SwaptionFirstMonthPosition+1,$FJ229&lt;SwaptionFirstMonthPosition+1,GE$169&gt;SwaptionFirstMonthPosition+SwaptionNumOfMonths+1,$FJ229&gt;SwaptionFirstMonthPosition+SwaptionNumOfMonths+1),"",IF($FJ229=GE$169,1,IF($FJ229&lt;GE$169,INDEX($FK$170:$ID$241,GE$169,$FJ229),SUMPRODUCT(INDEX($FK$325:$ID$396,GE$169,1+SwaptionShift):INDEX($FK$325:$ID$396,GE$169,SwaptionMonthsToGo+SwaptionShift),INDEX($FK$245:$ID$316,$FJ229-GE$169,73-GE$169+SwaptionShift):INDEX($FK$245:$ID$316,$FJ229-GE$169,72-GE$169+SwaptionMonthsToGo+SwaptionShift))/SQRT(SUM(INDEX($FK384:$ID384,1+SwaptionShift):INDEX($FK384:$ID384,SwaptionMonthsToGo+SwaptionShift))*SUM(INDEX($FK$325:$ID$396,GE$169,1+SwaptionShift):INDEX($FK$325:$ID$396,GE$169,SwaptionMonthsToGo+SwaptionShift))))))</f>
        <v/>
      </c>
      <c r="GF229" s="150" t="str">
        <f aca="false">IF(OR(GF$169&lt;SwaptionFirstMonthPosition+1,$FJ229&lt;SwaptionFirstMonthPosition+1,GF$169&gt;SwaptionFirstMonthPosition+SwaptionNumOfMonths+1,$FJ229&gt;SwaptionFirstMonthPosition+SwaptionNumOfMonths+1),"",IF($FJ229=GF$169,1,IF($FJ229&lt;GF$169,INDEX($FK$170:$ID$241,GF$169,$FJ229),SUMPRODUCT(INDEX($FK$325:$ID$396,GF$169,1+SwaptionShift):INDEX($FK$325:$ID$396,GF$169,SwaptionMonthsToGo+SwaptionShift),INDEX($FK$245:$ID$316,$FJ229-GF$169,73-GF$169+SwaptionShift):INDEX($FK$245:$ID$316,$FJ229-GF$169,72-GF$169+SwaptionMonthsToGo+SwaptionShift))/SQRT(SUM(INDEX($FK384:$ID384,1+SwaptionShift):INDEX($FK384:$ID384,SwaptionMonthsToGo+SwaptionShift))*SUM(INDEX($FK$325:$ID$396,GF$169,1+SwaptionShift):INDEX($FK$325:$ID$396,GF$169,SwaptionMonthsToGo+SwaptionShift))))))</f>
        <v/>
      </c>
      <c r="GG229" s="150" t="str">
        <f aca="false">IF(OR(GG$169&lt;SwaptionFirstMonthPosition+1,$FJ229&lt;SwaptionFirstMonthPosition+1,GG$169&gt;SwaptionFirstMonthPosition+SwaptionNumOfMonths+1,$FJ229&gt;SwaptionFirstMonthPosition+SwaptionNumOfMonths+1),"",IF($FJ229=GG$169,1,IF($FJ229&lt;GG$169,INDEX($FK$170:$ID$241,GG$169,$FJ229),SUMPRODUCT(INDEX($FK$325:$ID$396,GG$169,1+SwaptionShift):INDEX($FK$325:$ID$396,GG$169,SwaptionMonthsToGo+SwaptionShift),INDEX($FK$245:$ID$316,$FJ229-GG$169,73-GG$169+SwaptionShift):INDEX($FK$245:$ID$316,$FJ229-GG$169,72-GG$169+SwaptionMonthsToGo+SwaptionShift))/SQRT(SUM(INDEX($FK384:$ID384,1+SwaptionShift):INDEX($FK384:$ID384,SwaptionMonthsToGo+SwaptionShift))*SUM(INDEX($FK$325:$ID$396,GG$169,1+SwaptionShift):INDEX($FK$325:$ID$396,GG$169,SwaptionMonthsToGo+SwaptionShift))))))</f>
        <v/>
      </c>
      <c r="GH229" s="150" t="str">
        <f aca="false">IF(OR(GH$169&lt;SwaptionFirstMonthPosition+1,$FJ229&lt;SwaptionFirstMonthPosition+1,GH$169&gt;SwaptionFirstMonthPosition+SwaptionNumOfMonths+1,$FJ229&gt;SwaptionFirstMonthPosition+SwaptionNumOfMonths+1),"",IF($FJ229=GH$169,1,IF($FJ229&lt;GH$169,INDEX($FK$170:$ID$241,GH$169,$FJ229),SUMPRODUCT(INDEX($FK$325:$ID$396,GH$169,1+SwaptionShift):INDEX($FK$325:$ID$396,GH$169,SwaptionMonthsToGo+SwaptionShift),INDEX($FK$245:$ID$316,$FJ229-GH$169,73-GH$169+SwaptionShift):INDEX($FK$245:$ID$316,$FJ229-GH$169,72-GH$169+SwaptionMonthsToGo+SwaptionShift))/SQRT(SUM(INDEX($FK384:$ID384,1+SwaptionShift):INDEX($FK384:$ID384,SwaptionMonthsToGo+SwaptionShift))*SUM(INDEX($FK$325:$ID$396,GH$169,1+SwaptionShift):INDEX($FK$325:$ID$396,GH$169,SwaptionMonthsToGo+SwaptionShift))))))</f>
        <v/>
      </c>
      <c r="GI229" s="150" t="str">
        <f aca="false">IF(OR(GI$169&lt;SwaptionFirstMonthPosition+1,$FJ229&lt;SwaptionFirstMonthPosition+1,GI$169&gt;SwaptionFirstMonthPosition+SwaptionNumOfMonths+1,$FJ229&gt;SwaptionFirstMonthPosition+SwaptionNumOfMonths+1),"",IF($FJ229=GI$169,1,IF($FJ229&lt;GI$169,INDEX($FK$170:$ID$241,GI$169,$FJ229),SUMPRODUCT(INDEX($FK$325:$ID$396,GI$169,1+SwaptionShift):INDEX($FK$325:$ID$396,GI$169,SwaptionMonthsToGo+SwaptionShift),INDEX($FK$245:$ID$316,$FJ229-GI$169,73-GI$169+SwaptionShift):INDEX($FK$245:$ID$316,$FJ229-GI$169,72-GI$169+SwaptionMonthsToGo+SwaptionShift))/SQRT(SUM(INDEX($FK384:$ID384,1+SwaptionShift):INDEX($FK384:$ID384,SwaptionMonthsToGo+SwaptionShift))*SUM(INDEX($FK$325:$ID$396,GI$169,1+SwaptionShift):INDEX($FK$325:$ID$396,GI$169,SwaptionMonthsToGo+SwaptionShift))))))</f>
        <v/>
      </c>
      <c r="GJ229" s="150" t="str">
        <f aca="false">IF(OR(GJ$169&lt;SwaptionFirstMonthPosition+1,$FJ229&lt;SwaptionFirstMonthPosition+1,GJ$169&gt;SwaptionFirstMonthPosition+SwaptionNumOfMonths+1,$FJ229&gt;SwaptionFirstMonthPosition+SwaptionNumOfMonths+1),"",IF($FJ229=GJ$169,1,IF($FJ229&lt;GJ$169,INDEX($FK$170:$ID$241,GJ$169,$FJ229),SUMPRODUCT(INDEX($FK$325:$ID$396,GJ$169,1+SwaptionShift):INDEX($FK$325:$ID$396,GJ$169,SwaptionMonthsToGo+SwaptionShift),INDEX($FK$245:$ID$316,$FJ229-GJ$169,73-GJ$169+SwaptionShift):INDEX($FK$245:$ID$316,$FJ229-GJ$169,72-GJ$169+SwaptionMonthsToGo+SwaptionShift))/SQRT(SUM(INDEX($FK384:$ID384,1+SwaptionShift):INDEX($FK384:$ID384,SwaptionMonthsToGo+SwaptionShift))*SUM(INDEX($FK$325:$ID$396,GJ$169,1+SwaptionShift):INDEX($FK$325:$ID$396,GJ$169,SwaptionMonthsToGo+SwaptionShift))))))</f>
        <v/>
      </c>
      <c r="GK229" s="150" t="str">
        <f aca="false">IF(OR(GK$169&lt;SwaptionFirstMonthPosition+1,$FJ229&lt;SwaptionFirstMonthPosition+1,GK$169&gt;SwaptionFirstMonthPosition+SwaptionNumOfMonths+1,$FJ229&gt;SwaptionFirstMonthPosition+SwaptionNumOfMonths+1),"",IF($FJ229=GK$169,1,IF($FJ229&lt;GK$169,INDEX($FK$170:$ID$241,GK$169,$FJ229),SUMPRODUCT(INDEX($FK$325:$ID$396,GK$169,1+SwaptionShift):INDEX($FK$325:$ID$396,GK$169,SwaptionMonthsToGo+SwaptionShift),INDEX($FK$245:$ID$316,$FJ229-GK$169,73-GK$169+SwaptionShift):INDEX($FK$245:$ID$316,$FJ229-GK$169,72-GK$169+SwaptionMonthsToGo+SwaptionShift))/SQRT(SUM(INDEX($FK384:$ID384,1+SwaptionShift):INDEX($FK384:$ID384,SwaptionMonthsToGo+SwaptionShift))*SUM(INDEX($FK$325:$ID$396,GK$169,1+SwaptionShift):INDEX($FK$325:$ID$396,GK$169,SwaptionMonthsToGo+SwaptionShift))))))</f>
        <v/>
      </c>
      <c r="GL229" s="150" t="str">
        <f aca="false">IF(OR(GL$169&lt;SwaptionFirstMonthPosition+1,$FJ229&lt;SwaptionFirstMonthPosition+1,GL$169&gt;SwaptionFirstMonthPosition+SwaptionNumOfMonths+1,$FJ229&gt;SwaptionFirstMonthPosition+SwaptionNumOfMonths+1),"",IF($FJ229=GL$169,1,IF($FJ229&lt;GL$169,INDEX($FK$170:$ID$241,GL$169,$FJ229),SUMPRODUCT(INDEX($FK$325:$ID$396,GL$169,1+SwaptionShift):INDEX($FK$325:$ID$396,GL$169,SwaptionMonthsToGo+SwaptionShift),INDEX($FK$245:$ID$316,$FJ229-GL$169,73-GL$169+SwaptionShift):INDEX($FK$245:$ID$316,$FJ229-GL$169,72-GL$169+SwaptionMonthsToGo+SwaptionShift))/SQRT(SUM(INDEX($FK384:$ID384,1+SwaptionShift):INDEX($FK384:$ID384,SwaptionMonthsToGo+SwaptionShift))*SUM(INDEX($FK$325:$ID$396,GL$169,1+SwaptionShift):INDEX($FK$325:$ID$396,GL$169,SwaptionMonthsToGo+SwaptionShift))))))</f>
        <v/>
      </c>
      <c r="GM229" s="150" t="str">
        <f aca="false">IF(OR(GM$169&lt;SwaptionFirstMonthPosition+1,$FJ229&lt;SwaptionFirstMonthPosition+1,GM$169&gt;SwaptionFirstMonthPosition+SwaptionNumOfMonths+1,$FJ229&gt;SwaptionFirstMonthPosition+SwaptionNumOfMonths+1),"",IF($FJ229=GM$169,1,IF($FJ229&lt;GM$169,INDEX($FK$170:$ID$241,GM$169,$FJ229),SUMPRODUCT(INDEX($FK$325:$ID$396,GM$169,1+SwaptionShift):INDEX($FK$325:$ID$396,GM$169,SwaptionMonthsToGo+SwaptionShift),INDEX($FK$245:$ID$316,$FJ229-GM$169,73-GM$169+SwaptionShift):INDEX($FK$245:$ID$316,$FJ229-GM$169,72-GM$169+SwaptionMonthsToGo+SwaptionShift))/SQRT(SUM(INDEX($FK384:$ID384,1+SwaptionShift):INDEX($FK384:$ID384,SwaptionMonthsToGo+SwaptionShift))*SUM(INDEX($FK$325:$ID$396,GM$169,1+SwaptionShift):INDEX($FK$325:$ID$396,GM$169,SwaptionMonthsToGo+SwaptionShift))))))</f>
        <v/>
      </c>
      <c r="GN229" s="150" t="str">
        <f aca="false">IF(OR(GN$169&lt;SwaptionFirstMonthPosition+1,$FJ229&lt;SwaptionFirstMonthPosition+1,GN$169&gt;SwaptionFirstMonthPosition+SwaptionNumOfMonths+1,$FJ229&gt;SwaptionFirstMonthPosition+SwaptionNumOfMonths+1),"",IF($FJ229=GN$169,1,IF($FJ229&lt;GN$169,INDEX($FK$170:$ID$241,GN$169,$FJ229),SUMPRODUCT(INDEX($FK$325:$ID$396,GN$169,1+SwaptionShift):INDEX($FK$325:$ID$396,GN$169,SwaptionMonthsToGo+SwaptionShift),INDEX($FK$245:$ID$316,$FJ229-GN$169,73-GN$169+SwaptionShift):INDEX($FK$245:$ID$316,$FJ229-GN$169,72-GN$169+SwaptionMonthsToGo+SwaptionShift))/SQRT(SUM(INDEX($FK384:$ID384,1+SwaptionShift):INDEX($FK384:$ID384,SwaptionMonthsToGo+SwaptionShift))*SUM(INDEX($FK$325:$ID$396,GN$169,1+SwaptionShift):INDEX($FK$325:$ID$396,GN$169,SwaptionMonthsToGo+SwaptionShift))))))</f>
        <v/>
      </c>
      <c r="GO229" s="150" t="str">
        <f aca="false">IF(OR(GO$169&lt;SwaptionFirstMonthPosition+1,$FJ229&lt;SwaptionFirstMonthPosition+1,GO$169&gt;SwaptionFirstMonthPosition+SwaptionNumOfMonths+1,$FJ229&gt;SwaptionFirstMonthPosition+SwaptionNumOfMonths+1),"",IF($FJ229=GO$169,1,IF($FJ229&lt;GO$169,INDEX($FK$170:$ID$241,GO$169,$FJ229),SUMPRODUCT(INDEX($FK$325:$ID$396,GO$169,1+SwaptionShift):INDEX($FK$325:$ID$396,GO$169,SwaptionMonthsToGo+SwaptionShift),INDEX($FK$245:$ID$316,$FJ229-GO$169,73-GO$169+SwaptionShift):INDEX($FK$245:$ID$316,$FJ229-GO$169,72-GO$169+SwaptionMonthsToGo+SwaptionShift))/SQRT(SUM(INDEX($FK384:$ID384,1+SwaptionShift):INDEX($FK384:$ID384,SwaptionMonthsToGo+SwaptionShift))*SUM(INDEX($FK$325:$ID$396,GO$169,1+SwaptionShift):INDEX($FK$325:$ID$396,GO$169,SwaptionMonthsToGo+SwaptionShift))))))</f>
        <v/>
      </c>
      <c r="GP229" s="150" t="str">
        <f aca="false">IF(OR(GP$169&lt;SwaptionFirstMonthPosition+1,$FJ229&lt;SwaptionFirstMonthPosition+1,GP$169&gt;SwaptionFirstMonthPosition+SwaptionNumOfMonths+1,$FJ229&gt;SwaptionFirstMonthPosition+SwaptionNumOfMonths+1),"",IF($FJ229=GP$169,1,IF($FJ229&lt;GP$169,INDEX($FK$170:$ID$241,GP$169,$FJ229),SUMPRODUCT(INDEX($FK$325:$ID$396,GP$169,1+SwaptionShift):INDEX($FK$325:$ID$396,GP$169,SwaptionMonthsToGo+SwaptionShift),INDEX($FK$245:$ID$316,$FJ229-GP$169,73-GP$169+SwaptionShift):INDEX($FK$245:$ID$316,$FJ229-GP$169,72-GP$169+SwaptionMonthsToGo+SwaptionShift))/SQRT(SUM(INDEX($FK384:$ID384,1+SwaptionShift):INDEX($FK384:$ID384,SwaptionMonthsToGo+SwaptionShift))*SUM(INDEX($FK$325:$ID$396,GP$169,1+SwaptionShift):INDEX($FK$325:$ID$396,GP$169,SwaptionMonthsToGo+SwaptionShift))))))</f>
        <v/>
      </c>
      <c r="GQ229" s="150" t="str">
        <f aca="false">IF(OR(GQ$169&lt;SwaptionFirstMonthPosition+1,$FJ229&lt;SwaptionFirstMonthPosition+1,GQ$169&gt;SwaptionFirstMonthPosition+SwaptionNumOfMonths+1,$FJ229&gt;SwaptionFirstMonthPosition+SwaptionNumOfMonths+1),"",IF($FJ229=GQ$169,1,IF($FJ229&lt;GQ$169,INDEX($FK$170:$ID$241,GQ$169,$FJ229),SUMPRODUCT(INDEX($FK$325:$ID$396,GQ$169,1+SwaptionShift):INDEX($FK$325:$ID$396,GQ$169,SwaptionMonthsToGo+SwaptionShift),INDEX($FK$245:$ID$316,$FJ229-GQ$169,73-GQ$169+SwaptionShift):INDEX($FK$245:$ID$316,$FJ229-GQ$169,72-GQ$169+SwaptionMonthsToGo+SwaptionShift))/SQRT(SUM(INDEX($FK384:$ID384,1+SwaptionShift):INDEX($FK384:$ID384,SwaptionMonthsToGo+SwaptionShift))*SUM(INDEX($FK$325:$ID$396,GQ$169,1+SwaptionShift):INDEX($FK$325:$ID$396,GQ$169,SwaptionMonthsToGo+SwaptionShift))))))</f>
        <v/>
      </c>
      <c r="GR229" s="150" t="str">
        <f aca="false">IF(OR(GR$169&lt;SwaptionFirstMonthPosition+1,$FJ229&lt;SwaptionFirstMonthPosition+1,GR$169&gt;SwaptionFirstMonthPosition+SwaptionNumOfMonths+1,$FJ229&gt;SwaptionFirstMonthPosition+SwaptionNumOfMonths+1),"",IF($FJ229=GR$169,1,IF($FJ229&lt;GR$169,INDEX($FK$170:$ID$241,GR$169,$FJ229),SUMPRODUCT(INDEX($FK$325:$ID$396,GR$169,1+SwaptionShift):INDEX($FK$325:$ID$396,GR$169,SwaptionMonthsToGo+SwaptionShift),INDEX($FK$245:$ID$316,$FJ229-GR$169,73-GR$169+SwaptionShift):INDEX($FK$245:$ID$316,$FJ229-GR$169,72-GR$169+SwaptionMonthsToGo+SwaptionShift))/SQRT(SUM(INDEX($FK384:$ID384,1+SwaptionShift):INDEX($FK384:$ID384,SwaptionMonthsToGo+SwaptionShift))*SUM(INDEX($FK$325:$ID$396,GR$169,1+SwaptionShift):INDEX($FK$325:$ID$396,GR$169,SwaptionMonthsToGo+SwaptionShift))))))</f>
        <v/>
      </c>
      <c r="GS229" s="150" t="str">
        <f aca="false">IF(OR(GS$169&lt;SwaptionFirstMonthPosition+1,$FJ229&lt;SwaptionFirstMonthPosition+1,GS$169&gt;SwaptionFirstMonthPosition+SwaptionNumOfMonths+1,$FJ229&gt;SwaptionFirstMonthPosition+SwaptionNumOfMonths+1),"",IF($FJ229=GS$169,1,IF($FJ229&lt;GS$169,INDEX($FK$170:$ID$241,GS$169,$FJ229),SUMPRODUCT(INDEX($FK$325:$ID$396,GS$169,1+SwaptionShift):INDEX($FK$325:$ID$396,GS$169,SwaptionMonthsToGo+SwaptionShift),INDEX($FK$245:$ID$316,$FJ229-GS$169,73-GS$169+SwaptionShift):INDEX($FK$245:$ID$316,$FJ229-GS$169,72-GS$169+SwaptionMonthsToGo+SwaptionShift))/SQRT(SUM(INDEX($FK384:$ID384,1+SwaptionShift):INDEX($FK384:$ID384,SwaptionMonthsToGo+SwaptionShift))*SUM(INDEX($FK$325:$ID$396,GS$169,1+SwaptionShift):INDEX($FK$325:$ID$396,GS$169,SwaptionMonthsToGo+SwaptionShift))))))</f>
        <v/>
      </c>
      <c r="GT229" s="150" t="str">
        <f aca="false">IF(OR(GT$169&lt;SwaptionFirstMonthPosition+1,$FJ229&lt;SwaptionFirstMonthPosition+1,GT$169&gt;SwaptionFirstMonthPosition+SwaptionNumOfMonths+1,$FJ229&gt;SwaptionFirstMonthPosition+SwaptionNumOfMonths+1),"",IF($FJ229=GT$169,1,IF($FJ229&lt;GT$169,INDEX($FK$170:$ID$241,GT$169,$FJ229),SUMPRODUCT(INDEX($FK$325:$ID$396,GT$169,1+SwaptionShift):INDEX($FK$325:$ID$396,GT$169,SwaptionMonthsToGo+SwaptionShift),INDEX($FK$245:$ID$316,$FJ229-GT$169,73-GT$169+SwaptionShift):INDEX($FK$245:$ID$316,$FJ229-GT$169,72-GT$169+SwaptionMonthsToGo+SwaptionShift))/SQRT(SUM(INDEX($FK384:$ID384,1+SwaptionShift):INDEX($FK384:$ID384,SwaptionMonthsToGo+SwaptionShift))*SUM(INDEX($FK$325:$ID$396,GT$169,1+SwaptionShift):INDEX($FK$325:$ID$396,GT$169,SwaptionMonthsToGo+SwaptionShift))))))</f>
        <v/>
      </c>
      <c r="GU229" s="150" t="str">
        <f aca="false">IF(OR(GU$169&lt;SwaptionFirstMonthPosition+1,$FJ229&lt;SwaptionFirstMonthPosition+1,GU$169&gt;SwaptionFirstMonthPosition+SwaptionNumOfMonths+1,$FJ229&gt;SwaptionFirstMonthPosition+SwaptionNumOfMonths+1),"",IF($FJ229=GU$169,1,IF($FJ229&lt;GU$169,INDEX($FK$170:$ID$241,GU$169,$FJ229),SUMPRODUCT(INDEX($FK$325:$ID$396,GU$169,1+SwaptionShift):INDEX($FK$325:$ID$396,GU$169,SwaptionMonthsToGo+SwaptionShift),INDEX($FK$245:$ID$316,$FJ229-GU$169,73-GU$169+SwaptionShift):INDEX($FK$245:$ID$316,$FJ229-GU$169,72-GU$169+SwaptionMonthsToGo+SwaptionShift))/SQRT(SUM(INDEX($FK384:$ID384,1+SwaptionShift):INDEX($FK384:$ID384,SwaptionMonthsToGo+SwaptionShift))*SUM(INDEX($FK$325:$ID$396,GU$169,1+SwaptionShift):INDEX($FK$325:$ID$396,GU$169,SwaptionMonthsToGo+SwaptionShift))))))</f>
        <v/>
      </c>
      <c r="GV229" s="150" t="str">
        <f aca="false">IF(OR(GV$169&lt;SwaptionFirstMonthPosition+1,$FJ229&lt;SwaptionFirstMonthPosition+1,GV$169&gt;SwaptionFirstMonthPosition+SwaptionNumOfMonths+1,$FJ229&gt;SwaptionFirstMonthPosition+SwaptionNumOfMonths+1),"",IF($FJ229=GV$169,1,IF($FJ229&lt;GV$169,INDEX($FK$170:$ID$241,GV$169,$FJ229),SUMPRODUCT(INDEX($FK$325:$ID$396,GV$169,1+SwaptionShift):INDEX($FK$325:$ID$396,GV$169,SwaptionMonthsToGo+SwaptionShift),INDEX($FK$245:$ID$316,$FJ229-GV$169,73-GV$169+SwaptionShift):INDEX($FK$245:$ID$316,$FJ229-GV$169,72-GV$169+SwaptionMonthsToGo+SwaptionShift))/SQRT(SUM(INDEX($FK384:$ID384,1+SwaptionShift):INDEX($FK384:$ID384,SwaptionMonthsToGo+SwaptionShift))*SUM(INDEX($FK$325:$ID$396,GV$169,1+SwaptionShift):INDEX($FK$325:$ID$396,GV$169,SwaptionMonthsToGo+SwaptionShift))))))</f>
        <v/>
      </c>
      <c r="GW229" s="150" t="str">
        <f aca="false">IF(OR(GW$169&lt;SwaptionFirstMonthPosition+1,$FJ229&lt;SwaptionFirstMonthPosition+1,GW$169&gt;SwaptionFirstMonthPosition+SwaptionNumOfMonths+1,$FJ229&gt;SwaptionFirstMonthPosition+SwaptionNumOfMonths+1),"",IF($FJ229=GW$169,1,IF($FJ229&lt;GW$169,INDEX($FK$170:$ID$241,GW$169,$FJ229),SUMPRODUCT(INDEX($FK$325:$ID$396,GW$169,1+SwaptionShift):INDEX($FK$325:$ID$396,GW$169,SwaptionMonthsToGo+SwaptionShift),INDEX($FK$245:$ID$316,$FJ229-GW$169,73-GW$169+SwaptionShift):INDEX($FK$245:$ID$316,$FJ229-GW$169,72-GW$169+SwaptionMonthsToGo+SwaptionShift))/SQRT(SUM(INDEX($FK384:$ID384,1+SwaptionShift):INDEX($FK384:$ID384,SwaptionMonthsToGo+SwaptionShift))*SUM(INDEX($FK$325:$ID$396,GW$169,1+SwaptionShift):INDEX($FK$325:$ID$396,GW$169,SwaptionMonthsToGo+SwaptionShift))))))</f>
        <v/>
      </c>
      <c r="GX229" s="150" t="str">
        <f aca="false">IF(OR(GX$169&lt;SwaptionFirstMonthPosition+1,$FJ229&lt;SwaptionFirstMonthPosition+1,GX$169&gt;SwaptionFirstMonthPosition+SwaptionNumOfMonths+1,$FJ229&gt;SwaptionFirstMonthPosition+SwaptionNumOfMonths+1),"",IF($FJ229=GX$169,1,IF($FJ229&lt;GX$169,INDEX($FK$170:$ID$241,GX$169,$FJ229),SUMPRODUCT(INDEX($FK$325:$ID$396,GX$169,1+SwaptionShift):INDEX($FK$325:$ID$396,GX$169,SwaptionMonthsToGo+SwaptionShift),INDEX($FK$245:$ID$316,$FJ229-GX$169,73-GX$169+SwaptionShift):INDEX($FK$245:$ID$316,$FJ229-GX$169,72-GX$169+SwaptionMonthsToGo+SwaptionShift))/SQRT(SUM(INDEX($FK384:$ID384,1+SwaptionShift):INDEX($FK384:$ID384,SwaptionMonthsToGo+SwaptionShift))*SUM(INDEX($FK$325:$ID$396,GX$169,1+SwaptionShift):INDEX($FK$325:$ID$396,GX$169,SwaptionMonthsToGo+SwaptionShift))))))</f>
        <v/>
      </c>
      <c r="GY229" s="150" t="str">
        <f aca="false">IF(OR(GY$169&lt;SwaptionFirstMonthPosition+1,$FJ229&lt;SwaptionFirstMonthPosition+1,GY$169&gt;SwaptionFirstMonthPosition+SwaptionNumOfMonths+1,$FJ229&gt;SwaptionFirstMonthPosition+SwaptionNumOfMonths+1),"",IF($FJ229=GY$169,1,IF($FJ229&lt;GY$169,INDEX($FK$170:$ID$241,GY$169,$FJ229),SUMPRODUCT(INDEX($FK$325:$ID$396,GY$169,1+SwaptionShift):INDEX($FK$325:$ID$396,GY$169,SwaptionMonthsToGo+SwaptionShift),INDEX($FK$245:$ID$316,$FJ229-GY$169,73-GY$169+SwaptionShift):INDEX($FK$245:$ID$316,$FJ229-GY$169,72-GY$169+SwaptionMonthsToGo+SwaptionShift))/SQRT(SUM(INDEX($FK384:$ID384,1+SwaptionShift):INDEX($FK384:$ID384,SwaptionMonthsToGo+SwaptionShift))*SUM(INDEX($FK$325:$ID$396,GY$169,1+SwaptionShift):INDEX($FK$325:$ID$396,GY$169,SwaptionMonthsToGo+SwaptionShift))))))</f>
        <v/>
      </c>
      <c r="GZ229" s="150" t="str">
        <f aca="false">IF(OR(GZ$169&lt;SwaptionFirstMonthPosition+1,$FJ229&lt;SwaptionFirstMonthPosition+1,GZ$169&gt;SwaptionFirstMonthPosition+SwaptionNumOfMonths+1,$FJ229&gt;SwaptionFirstMonthPosition+SwaptionNumOfMonths+1),"",IF($FJ229=GZ$169,1,IF($FJ229&lt;GZ$169,INDEX($FK$170:$ID$241,GZ$169,$FJ229),SUMPRODUCT(INDEX($FK$325:$ID$396,GZ$169,1+SwaptionShift):INDEX($FK$325:$ID$396,GZ$169,SwaptionMonthsToGo+SwaptionShift),INDEX($FK$245:$ID$316,$FJ229-GZ$169,73-GZ$169+SwaptionShift):INDEX($FK$245:$ID$316,$FJ229-GZ$169,72-GZ$169+SwaptionMonthsToGo+SwaptionShift))/SQRT(SUM(INDEX($FK384:$ID384,1+SwaptionShift):INDEX($FK384:$ID384,SwaptionMonthsToGo+SwaptionShift))*SUM(INDEX($FK$325:$ID$396,GZ$169,1+SwaptionShift):INDEX($FK$325:$ID$396,GZ$169,SwaptionMonthsToGo+SwaptionShift))))))</f>
        <v/>
      </c>
      <c r="HA229" s="150" t="str">
        <f aca="false">IF(OR(HA$169&lt;SwaptionFirstMonthPosition+1,$FJ229&lt;SwaptionFirstMonthPosition+1,HA$169&gt;SwaptionFirstMonthPosition+SwaptionNumOfMonths+1,$FJ229&gt;SwaptionFirstMonthPosition+SwaptionNumOfMonths+1),"",IF($FJ229=HA$169,1,IF($FJ229&lt;HA$169,INDEX($FK$170:$ID$241,HA$169,$FJ229),SUMPRODUCT(INDEX($FK$325:$ID$396,HA$169,1+SwaptionShift):INDEX($FK$325:$ID$396,HA$169,SwaptionMonthsToGo+SwaptionShift),INDEX($FK$245:$ID$316,$FJ229-HA$169,73-HA$169+SwaptionShift):INDEX($FK$245:$ID$316,$FJ229-HA$169,72-HA$169+SwaptionMonthsToGo+SwaptionShift))/SQRT(SUM(INDEX($FK384:$ID384,1+SwaptionShift):INDEX($FK384:$ID384,SwaptionMonthsToGo+SwaptionShift))*SUM(INDEX($FK$325:$ID$396,HA$169,1+SwaptionShift):INDEX($FK$325:$ID$396,HA$169,SwaptionMonthsToGo+SwaptionShift))))))</f>
        <v/>
      </c>
      <c r="HB229" s="150" t="str">
        <f aca="false">IF(OR(HB$169&lt;SwaptionFirstMonthPosition+1,$FJ229&lt;SwaptionFirstMonthPosition+1,HB$169&gt;SwaptionFirstMonthPosition+SwaptionNumOfMonths+1,$FJ229&gt;SwaptionFirstMonthPosition+SwaptionNumOfMonths+1),"",IF($FJ229=HB$169,1,IF($FJ229&lt;HB$169,INDEX($FK$170:$ID$241,HB$169,$FJ229),SUMPRODUCT(INDEX($FK$325:$ID$396,HB$169,1+SwaptionShift):INDEX($FK$325:$ID$396,HB$169,SwaptionMonthsToGo+SwaptionShift),INDEX($FK$245:$ID$316,$FJ229-HB$169,73-HB$169+SwaptionShift):INDEX($FK$245:$ID$316,$FJ229-HB$169,72-HB$169+SwaptionMonthsToGo+SwaptionShift))/SQRT(SUM(INDEX($FK384:$ID384,1+SwaptionShift):INDEX($FK384:$ID384,SwaptionMonthsToGo+SwaptionShift))*SUM(INDEX($FK$325:$ID$396,HB$169,1+SwaptionShift):INDEX($FK$325:$ID$396,HB$169,SwaptionMonthsToGo+SwaptionShift))))))</f>
        <v/>
      </c>
      <c r="HC229" s="150" t="str">
        <f aca="false">IF(OR(HC$169&lt;SwaptionFirstMonthPosition+1,$FJ229&lt;SwaptionFirstMonthPosition+1,HC$169&gt;SwaptionFirstMonthPosition+SwaptionNumOfMonths+1,$FJ229&gt;SwaptionFirstMonthPosition+SwaptionNumOfMonths+1),"",IF($FJ229=HC$169,1,IF($FJ229&lt;HC$169,INDEX($FK$170:$ID$241,HC$169,$FJ229),SUMPRODUCT(INDEX($FK$325:$ID$396,HC$169,1+SwaptionShift):INDEX($FK$325:$ID$396,HC$169,SwaptionMonthsToGo+SwaptionShift),INDEX($FK$245:$ID$316,$FJ229-HC$169,73-HC$169+SwaptionShift):INDEX($FK$245:$ID$316,$FJ229-HC$169,72-HC$169+SwaptionMonthsToGo+SwaptionShift))/SQRT(SUM(INDEX($FK384:$ID384,1+SwaptionShift):INDEX($FK384:$ID384,SwaptionMonthsToGo+SwaptionShift))*SUM(INDEX($FK$325:$ID$396,HC$169,1+SwaptionShift):INDEX($FK$325:$ID$396,HC$169,SwaptionMonthsToGo+SwaptionShift))))))</f>
        <v/>
      </c>
      <c r="HD229" s="150" t="str">
        <f aca="false">IF(OR(HD$169&lt;SwaptionFirstMonthPosition+1,$FJ229&lt;SwaptionFirstMonthPosition+1,HD$169&gt;SwaptionFirstMonthPosition+SwaptionNumOfMonths+1,$FJ229&gt;SwaptionFirstMonthPosition+SwaptionNumOfMonths+1),"",IF($FJ229=HD$169,1,IF($FJ229&lt;HD$169,INDEX($FK$170:$ID$241,HD$169,$FJ229),SUMPRODUCT(INDEX($FK$325:$ID$396,HD$169,1+SwaptionShift):INDEX($FK$325:$ID$396,HD$169,SwaptionMonthsToGo+SwaptionShift),INDEX($FK$245:$ID$316,$FJ229-HD$169,73-HD$169+SwaptionShift):INDEX($FK$245:$ID$316,$FJ229-HD$169,72-HD$169+SwaptionMonthsToGo+SwaptionShift))/SQRT(SUM(INDEX($FK384:$ID384,1+SwaptionShift):INDEX($FK384:$ID384,SwaptionMonthsToGo+SwaptionShift))*SUM(INDEX($FK$325:$ID$396,HD$169,1+SwaptionShift):INDEX($FK$325:$ID$396,HD$169,SwaptionMonthsToGo+SwaptionShift))))))</f>
        <v/>
      </c>
      <c r="HE229" s="150" t="str">
        <f aca="false">IF(OR(HE$169&lt;SwaptionFirstMonthPosition+1,$FJ229&lt;SwaptionFirstMonthPosition+1,HE$169&gt;SwaptionFirstMonthPosition+SwaptionNumOfMonths+1,$FJ229&gt;SwaptionFirstMonthPosition+SwaptionNumOfMonths+1),"",IF($FJ229=HE$169,1,IF($FJ229&lt;HE$169,INDEX($FK$170:$ID$241,HE$169,$FJ229),SUMPRODUCT(INDEX($FK$325:$ID$396,HE$169,1+SwaptionShift):INDEX($FK$325:$ID$396,HE$169,SwaptionMonthsToGo+SwaptionShift),INDEX($FK$245:$ID$316,$FJ229-HE$169,73-HE$169+SwaptionShift):INDEX($FK$245:$ID$316,$FJ229-HE$169,72-HE$169+SwaptionMonthsToGo+SwaptionShift))/SQRT(SUM(INDEX($FK384:$ID384,1+SwaptionShift):INDEX($FK384:$ID384,SwaptionMonthsToGo+SwaptionShift))*SUM(INDEX($FK$325:$ID$396,HE$169,1+SwaptionShift):INDEX($FK$325:$ID$396,HE$169,SwaptionMonthsToGo+SwaptionShift))))))</f>
        <v/>
      </c>
      <c r="HF229" s="150" t="str">
        <f aca="false">IF(OR(HF$169&lt;SwaptionFirstMonthPosition+1,$FJ229&lt;SwaptionFirstMonthPosition+1,HF$169&gt;SwaptionFirstMonthPosition+SwaptionNumOfMonths+1,$FJ229&gt;SwaptionFirstMonthPosition+SwaptionNumOfMonths+1),"",IF($FJ229=HF$169,1,IF($FJ229&lt;HF$169,INDEX($FK$170:$ID$241,HF$169,$FJ229),SUMPRODUCT(INDEX($FK$325:$ID$396,HF$169,1+SwaptionShift):INDEX($FK$325:$ID$396,HF$169,SwaptionMonthsToGo+SwaptionShift),INDEX($FK$245:$ID$316,$FJ229-HF$169,73-HF$169+SwaptionShift):INDEX($FK$245:$ID$316,$FJ229-HF$169,72-HF$169+SwaptionMonthsToGo+SwaptionShift))/SQRT(SUM(INDEX($FK384:$ID384,1+SwaptionShift):INDEX($FK384:$ID384,SwaptionMonthsToGo+SwaptionShift))*SUM(INDEX($FK$325:$ID$396,HF$169,1+SwaptionShift):INDEX($FK$325:$ID$396,HF$169,SwaptionMonthsToGo+SwaptionShift))))))</f>
        <v/>
      </c>
      <c r="HG229" s="150" t="str">
        <f aca="false">IF(OR(HG$169&lt;SwaptionFirstMonthPosition+1,$FJ229&lt;SwaptionFirstMonthPosition+1,HG$169&gt;SwaptionFirstMonthPosition+SwaptionNumOfMonths+1,$FJ229&gt;SwaptionFirstMonthPosition+SwaptionNumOfMonths+1),"",IF($FJ229=HG$169,1,IF($FJ229&lt;HG$169,INDEX($FK$170:$ID$241,HG$169,$FJ229),SUMPRODUCT(INDEX($FK$325:$ID$396,HG$169,1+SwaptionShift):INDEX($FK$325:$ID$396,HG$169,SwaptionMonthsToGo+SwaptionShift),INDEX($FK$245:$ID$316,$FJ229-HG$169,73-HG$169+SwaptionShift):INDEX($FK$245:$ID$316,$FJ229-HG$169,72-HG$169+SwaptionMonthsToGo+SwaptionShift))/SQRT(SUM(INDEX($FK384:$ID384,1+SwaptionShift):INDEX($FK384:$ID384,SwaptionMonthsToGo+SwaptionShift))*SUM(INDEX($FK$325:$ID$396,HG$169,1+SwaptionShift):INDEX($FK$325:$ID$396,HG$169,SwaptionMonthsToGo+SwaptionShift))))))</f>
        <v/>
      </c>
      <c r="HH229" s="150" t="str">
        <f aca="false">IF(OR(HH$169&lt;SwaptionFirstMonthPosition+1,$FJ229&lt;SwaptionFirstMonthPosition+1,HH$169&gt;SwaptionFirstMonthPosition+SwaptionNumOfMonths+1,$FJ229&gt;SwaptionFirstMonthPosition+SwaptionNumOfMonths+1),"",IF($FJ229=HH$169,1,IF($FJ229&lt;HH$169,INDEX($FK$170:$ID$241,HH$169,$FJ229),SUMPRODUCT(INDEX($FK$325:$ID$396,HH$169,1+SwaptionShift):INDEX($FK$325:$ID$396,HH$169,SwaptionMonthsToGo+SwaptionShift),INDEX($FK$245:$ID$316,$FJ229-HH$169,73-HH$169+SwaptionShift):INDEX($FK$245:$ID$316,$FJ229-HH$169,72-HH$169+SwaptionMonthsToGo+SwaptionShift))/SQRT(SUM(INDEX($FK384:$ID384,1+SwaptionShift):INDEX($FK384:$ID384,SwaptionMonthsToGo+SwaptionShift))*SUM(INDEX($FK$325:$ID$396,HH$169,1+SwaptionShift):INDEX($FK$325:$ID$396,HH$169,SwaptionMonthsToGo+SwaptionShift))))))</f>
        <v/>
      </c>
      <c r="HI229" s="150" t="str">
        <f aca="false">IF(OR(HI$169&lt;SwaptionFirstMonthPosition+1,$FJ229&lt;SwaptionFirstMonthPosition+1,HI$169&gt;SwaptionFirstMonthPosition+SwaptionNumOfMonths+1,$FJ229&gt;SwaptionFirstMonthPosition+SwaptionNumOfMonths+1),"",IF($FJ229=HI$169,1,IF($FJ229&lt;HI$169,INDEX($FK$170:$ID$241,HI$169,$FJ229),SUMPRODUCT(INDEX($FK$325:$ID$396,HI$169,1+SwaptionShift):INDEX($FK$325:$ID$396,HI$169,SwaptionMonthsToGo+SwaptionShift),INDEX($FK$245:$ID$316,$FJ229-HI$169,73-HI$169+SwaptionShift):INDEX($FK$245:$ID$316,$FJ229-HI$169,72-HI$169+SwaptionMonthsToGo+SwaptionShift))/SQRT(SUM(INDEX($FK384:$ID384,1+SwaptionShift):INDEX($FK384:$ID384,SwaptionMonthsToGo+SwaptionShift))*SUM(INDEX($FK$325:$ID$396,HI$169,1+SwaptionShift):INDEX($FK$325:$ID$396,HI$169,SwaptionMonthsToGo+SwaptionShift))))))</f>
        <v/>
      </c>
      <c r="HJ229" s="150" t="str">
        <f aca="false">IF(OR(HJ$169&lt;SwaptionFirstMonthPosition+1,$FJ229&lt;SwaptionFirstMonthPosition+1,HJ$169&gt;SwaptionFirstMonthPosition+SwaptionNumOfMonths+1,$FJ229&gt;SwaptionFirstMonthPosition+SwaptionNumOfMonths+1),"",IF($FJ229=HJ$169,1,IF($FJ229&lt;HJ$169,INDEX($FK$170:$ID$241,HJ$169,$FJ229),SUMPRODUCT(INDEX($FK$325:$ID$396,HJ$169,1+SwaptionShift):INDEX($FK$325:$ID$396,HJ$169,SwaptionMonthsToGo+SwaptionShift),INDEX($FK$245:$ID$316,$FJ229-HJ$169,73-HJ$169+SwaptionShift):INDEX($FK$245:$ID$316,$FJ229-HJ$169,72-HJ$169+SwaptionMonthsToGo+SwaptionShift))/SQRT(SUM(INDEX($FK384:$ID384,1+SwaptionShift):INDEX($FK384:$ID384,SwaptionMonthsToGo+SwaptionShift))*SUM(INDEX($FK$325:$ID$396,HJ$169,1+SwaptionShift):INDEX($FK$325:$ID$396,HJ$169,SwaptionMonthsToGo+SwaptionShift))))))</f>
        <v/>
      </c>
      <c r="HK229" s="150" t="str">
        <f aca="false">IF(OR(HK$169&lt;SwaptionFirstMonthPosition+1,$FJ229&lt;SwaptionFirstMonthPosition+1,HK$169&gt;SwaptionFirstMonthPosition+SwaptionNumOfMonths+1,$FJ229&gt;SwaptionFirstMonthPosition+SwaptionNumOfMonths+1),"",IF($FJ229=HK$169,1,IF($FJ229&lt;HK$169,INDEX($FK$170:$ID$241,HK$169,$FJ229),SUMPRODUCT(INDEX($FK$325:$ID$396,HK$169,1+SwaptionShift):INDEX($FK$325:$ID$396,HK$169,SwaptionMonthsToGo+SwaptionShift),INDEX($FK$245:$ID$316,$FJ229-HK$169,73-HK$169+SwaptionShift):INDEX($FK$245:$ID$316,$FJ229-HK$169,72-HK$169+SwaptionMonthsToGo+SwaptionShift))/SQRT(SUM(INDEX($FK384:$ID384,1+SwaptionShift):INDEX($FK384:$ID384,SwaptionMonthsToGo+SwaptionShift))*SUM(INDEX($FK$325:$ID$396,HK$169,1+SwaptionShift):INDEX($FK$325:$ID$396,HK$169,SwaptionMonthsToGo+SwaptionShift))))))</f>
        <v/>
      </c>
      <c r="HL229" s="150" t="str">
        <f aca="false">IF(OR(HL$169&lt;SwaptionFirstMonthPosition+1,$FJ229&lt;SwaptionFirstMonthPosition+1,HL$169&gt;SwaptionFirstMonthPosition+SwaptionNumOfMonths+1,$FJ229&gt;SwaptionFirstMonthPosition+SwaptionNumOfMonths+1),"",IF($FJ229=HL$169,1,IF($FJ229&lt;HL$169,INDEX($FK$170:$ID$241,HL$169,$FJ229),SUMPRODUCT(INDEX($FK$325:$ID$396,HL$169,1+SwaptionShift):INDEX($FK$325:$ID$396,HL$169,SwaptionMonthsToGo+SwaptionShift),INDEX($FK$245:$ID$316,$FJ229-HL$169,73-HL$169+SwaptionShift):INDEX($FK$245:$ID$316,$FJ229-HL$169,72-HL$169+SwaptionMonthsToGo+SwaptionShift))/SQRT(SUM(INDEX($FK384:$ID384,1+SwaptionShift):INDEX($FK384:$ID384,SwaptionMonthsToGo+SwaptionShift))*SUM(INDEX($FK$325:$ID$396,HL$169,1+SwaptionShift):INDEX($FK$325:$ID$396,HL$169,SwaptionMonthsToGo+SwaptionShift))))))</f>
        <v/>
      </c>
      <c r="HM229" s="150" t="str">
        <f aca="false">IF(OR(HM$169&lt;SwaptionFirstMonthPosition+1,$FJ229&lt;SwaptionFirstMonthPosition+1,HM$169&gt;SwaptionFirstMonthPosition+SwaptionNumOfMonths+1,$FJ229&gt;SwaptionFirstMonthPosition+SwaptionNumOfMonths+1),"",IF($FJ229=HM$169,1,IF($FJ229&lt;HM$169,INDEX($FK$170:$ID$241,HM$169,$FJ229),SUMPRODUCT(INDEX($FK$325:$ID$396,HM$169,1+SwaptionShift):INDEX($FK$325:$ID$396,HM$169,SwaptionMonthsToGo+SwaptionShift),INDEX($FK$245:$ID$316,$FJ229-HM$169,73-HM$169+SwaptionShift):INDEX($FK$245:$ID$316,$FJ229-HM$169,72-HM$169+SwaptionMonthsToGo+SwaptionShift))/SQRT(SUM(INDEX($FK384:$ID384,1+SwaptionShift):INDEX($FK384:$ID384,SwaptionMonthsToGo+SwaptionShift))*SUM(INDEX($FK$325:$ID$396,HM$169,1+SwaptionShift):INDEX($FK$325:$ID$396,HM$169,SwaptionMonthsToGo+SwaptionShift))))))</f>
        <v/>
      </c>
      <c r="HN229" s="150" t="str">
        <f aca="false">IF(OR(HN$169&lt;SwaptionFirstMonthPosition+1,$FJ229&lt;SwaptionFirstMonthPosition+1,HN$169&gt;SwaptionFirstMonthPosition+SwaptionNumOfMonths+1,$FJ229&gt;SwaptionFirstMonthPosition+SwaptionNumOfMonths+1),"",IF($FJ229=HN$169,1,IF($FJ229&lt;HN$169,INDEX($FK$170:$ID$241,HN$169,$FJ229),SUMPRODUCT(INDEX($FK$325:$ID$396,HN$169,1+SwaptionShift):INDEX($FK$325:$ID$396,HN$169,SwaptionMonthsToGo+SwaptionShift),INDEX($FK$245:$ID$316,$FJ229-HN$169,73-HN$169+SwaptionShift):INDEX($FK$245:$ID$316,$FJ229-HN$169,72-HN$169+SwaptionMonthsToGo+SwaptionShift))/SQRT(SUM(INDEX($FK384:$ID384,1+SwaptionShift):INDEX($FK384:$ID384,SwaptionMonthsToGo+SwaptionShift))*SUM(INDEX($FK$325:$ID$396,HN$169,1+SwaptionShift):INDEX($FK$325:$ID$396,HN$169,SwaptionMonthsToGo+SwaptionShift))))))</f>
        <v/>
      </c>
      <c r="HO229" s="150" t="str">
        <f aca="false">IF(OR(HO$169&lt;SwaptionFirstMonthPosition+1,$FJ229&lt;SwaptionFirstMonthPosition+1,HO$169&gt;SwaptionFirstMonthPosition+SwaptionNumOfMonths+1,$FJ229&gt;SwaptionFirstMonthPosition+SwaptionNumOfMonths+1),"",IF($FJ229=HO$169,1,IF($FJ229&lt;HO$169,INDEX($FK$170:$ID$241,HO$169,$FJ229),SUMPRODUCT(INDEX($FK$325:$ID$396,HO$169,1+SwaptionShift):INDEX($FK$325:$ID$396,HO$169,SwaptionMonthsToGo+SwaptionShift),INDEX($FK$245:$ID$316,$FJ229-HO$169,73-HO$169+SwaptionShift):INDEX($FK$245:$ID$316,$FJ229-HO$169,72-HO$169+SwaptionMonthsToGo+SwaptionShift))/SQRT(SUM(INDEX($FK384:$ID384,1+SwaptionShift):INDEX($FK384:$ID384,SwaptionMonthsToGo+SwaptionShift))*SUM(INDEX($FK$325:$ID$396,HO$169,1+SwaptionShift):INDEX($FK$325:$ID$396,HO$169,SwaptionMonthsToGo+SwaptionShift))))))</f>
        <v/>
      </c>
      <c r="HP229" s="150" t="str">
        <f aca="false">IF(OR(HP$169&lt;SwaptionFirstMonthPosition+1,$FJ229&lt;SwaptionFirstMonthPosition+1,HP$169&gt;SwaptionFirstMonthPosition+SwaptionNumOfMonths+1,$FJ229&gt;SwaptionFirstMonthPosition+SwaptionNumOfMonths+1),"",IF($FJ229=HP$169,1,IF($FJ229&lt;HP$169,INDEX($FK$170:$ID$241,HP$169,$FJ229),SUMPRODUCT(INDEX($FK$325:$ID$396,HP$169,1+SwaptionShift):INDEX($FK$325:$ID$396,HP$169,SwaptionMonthsToGo+SwaptionShift),INDEX($FK$245:$ID$316,$FJ229-HP$169,73-HP$169+SwaptionShift):INDEX($FK$245:$ID$316,$FJ229-HP$169,72-HP$169+SwaptionMonthsToGo+SwaptionShift))/SQRT(SUM(INDEX($FK384:$ID384,1+SwaptionShift):INDEX($FK384:$ID384,SwaptionMonthsToGo+SwaptionShift))*SUM(INDEX($FK$325:$ID$396,HP$169,1+SwaptionShift):INDEX($FK$325:$ID$396,HP$169,SwaptionMonthsToGo+SwaptionShift))))))</f>
        <v/>
      </c>
      <c r="HQ229" s="150" t="str">
        <f aca="false">IF(OR(HQ$169&lt;SwaptionFirstMonthPosition+1,$FJ229&lt;SwaptionFirstMonthPosition+1,HQ$169&gt;SwaptionFirstMonthPosition+SwaptionNumOfMonths+1,$FJ229&gt;SwaptionFirstMonthPosition+SwaptionNumOfMonths+1),"",IF($FJ229=HQ$169,1,IF($FJ229&lt;HQ$169,INDEX($FK$170:$ID$241,HQ$169,$FJ229),SUMPRODUCT(INDEX($FK$325:$ID$396,HQ$169,1+SwaptionShift):INDEX($FK$325:$ID$396,HQ$169,SwaptionMonthsToGo+SwaptionShift),INDEX($FK$245:$ID$316,$FJ229-HQ$169,73-HQ$169+SwaptionShift):INDEX($FK$245:$ID$316,$FJ229-HQ$169,72-HQ$169+SwaptionMonthsToGo+SwaptionShift))/SQRT(SUM(INDEX($FK384:$ID384,1+SwaptionShift):INDEX($FK384:$ID384,SwaptionMonthsToGo+SwaptionShift))*SUM(INDEX($FK$325:$ID$396,HQ$169,1+SwaptionShift):INDEX($FK$325:$ID$396,HQ$169,SwaptionMonthsToGo+SwaptionShift))))))</f>
        <v/>
      </c>
      <c r="HR229" s="150" t="str">
        <f aca="false">IF(OR(HR$169&lt;SwaptionFirstMonthPosition+1,$FJ229&lt;SwaptionFirstMonthPosition+1,HR$169&gt;SwaptionFirstMonthPosition+SwaptionNumOfMonths+1,$FJ229&gt;SwaptionFirstMonthPosition+SwaptionNumOfMonths+1),"",IF($FJ229=HR$169,1,IF($FJ229&lt;HR$169,INDEX($FK$170:$ID$241,HR$169,$FJ229),SUMPRODUCT(INDEX($FK$325:$ID$396,HR$169,1+SwaptionShift):INDEX($FK$325:$ID$396,HR$169,SwaptionMonthsToGo+SwaptionShift),INDEX($FK$245:$ID$316,$FJ229-HR$169,73-HR$169+SwaptionShift):INDEX($FK$245:$ID$316,$FJ229-HR$169,72-HR$169+SwaptionMonthsToGo+SwaptionShift))/SQRT(SUM(INDEX($FK384:$ID384,1+SwaptionShift):INDEX($FK384:$ID384,SwaptionMonthsToGo+SwaptionShift))*SUM(INDEX($FK$325:$ID$396,HR$169,1+SwaptionShift):INDEX($FK$325:$ID$396,HR$169,SwaptionMonthsToGo+SwaptionShift))))))</f>
        <v/>
      </c>
      <c r="HS229" s="150" t="str">
        <f aca="false">IF(OR(HS$169&lt;SwaptionFirstMonthPosition+1,$FJ229&lt;SwaptionFirstMonthPosition+1,HS$169&gt;SwaptionFirstMonthPosition+SwaptionNumOfMonths+1,$FJ229&gt;SwaptionFirstMonthPosition+SwaptionNumOfMonths+1),"",IF($FJ229=HS$169,1,IF($FJ229&lt;HS$169,INDEX($FK$170:$ID$241,HS$169,$FJ229),SUMPRODUCT(INDEX($FK$325:$ID$396,HS$169,1+SwaptionShift):INDEX($FK$325:$ID$396,HS$169,SwaptionMonthsToGo+SwaptionShift),INDEX($FK$245:$ID$316,$FJ229-HS$169,73-HS$169+SwaptionShift):INDEX($FK$245:$ID$316,$FJ229-HS$169,72-HS$169+SwaptionMonthsToGo+SwaptionShift))/SQRT(SUM(INDEX($FK384:$ID384,1+SwaptionShift):INDEX($FK384:$ID384,SwaptionMonthsToGo+SwaptionShift))*SUM(INDEX($FK$325:$ID$396,HS$169,1+SwaptionShift):INDEX($FK$325:$ID$396,HS$169,SwaptionMonthsToGo+SwaptionShift))))))</f>
        <v/>
      </c>
      <c r="HT229" s="150" t="str">
        <f aca="false">IF(OR(HT$169&lt;SwaptionFirstMonthPosition+1,$FJ229&lt;SwaptionFirstMonthPosition+1,HT$169&gt;SwaptionFirstMonthPosition+SwaptionNumOfMonths+1,$FJ229&gt;SwaptionFirstMonthPosition+SwaptionNumOfMonths+1),"",IF($FJ229=HT$169,1,IF($FJ229&lt;HT$169,INDEX($FK$170:$ID$241,HT$169,$FJ229),SUMPRODUCT(INDEX($FK$325:$ID$396,HT$169,1+SwaptionShift):INDEX($FK$325:$ID$396,HT$169,SwaptionMonthsToGo+SwaptionShift),INDEX($FK$245:$ID$316,$FJ229-HT$169,73-HT$169+SwaptionShift):INDEX($FK$245:$ID$316,$FJ229-HT$169,72-HT$169+SwaptionMonthsToGo+SwaptionShift))/SQRT(SUM(INDEX($FK384:$ID384,1+SwaptionShift):INDEX($FK384:$ID384,SwaptionMonthsToGo+SwaptionShift))*SUM(INDEX($FK$325:$ID$396,HT$169,1+SwaptionShift):INDEX($FK$325:$ID$396,HT$169,SwaptionMonthsToGo+SwaptionShift))))))</f>
        <v/>
      </c>
      <c r="HU229" s="150" t="str">
        <f aca="false">IF(OR(HU$169&lt;SwaptionFirstMonthPosition+1,$FJ229&lt;SwaptionFirstMonthPosition+1,HU$169&gt;SwaptionFirstMonthPosition+SwaptionNumOfMonths+1,$FJ229&gt;SwaptionFirstMonthPosition+SwaptionNumOfMonths+1),"",IF($FJ229=HU$169,1,IF($FJ229&lt;HU$169,INDEX($FK$170:$ID$241,HU$169,$FJ229),SUMPRODUCT(INDEX($FK$325:$ID$396,HU$169,1+SwaptionShift):INDEX($FK$325:$ID$396,HU$169,SwaptionMonthsToGo+SwaptionShift),INDEX($FK$245:$ID$316,$FJ229-HU$169,73-HU$169+SwaptionShift):INDEX($FK$245:$ID$316,$FJ229-HU$169,72-HU$169+SwaptionMonthsToGo+SwaptionShift))/SQRT(SUM(INDEX($FK384:$ID384,1+SwaptionShift):INDEX($FK384:$ID384,SwaptionMonthsToGo+SwaptionShift))*SUM(INDEX($FK$325:$ID$396,HU$169,1+SwaptionShift):INDEX($FK$325:$ID$396,HU$169,SwaptionMonthsToGo+SwaptionShift))))))</f>
        <v/>
      </c>
      <c r="HV229" s="150" t="str">
        <f aca="false">IF(OR(HV$169&lt;SwaptionFirstMonthPosition+1,$FJ229&lt;SwaptionFirstMonthPosition+1,HV$169&gt;SwaptionFirstMonthPosition+SwaptionNumOfMonths+1,$FJ229&gt;SwaptionFirstMonthPosition+SwaptionNumOfMonths+1),"",IF($FJ229=HV$169,1,IF($FJ229&lt;HV$169,INDEX($FK$170:$ID$241,HV$169,$FJ229),SUMPRODUCT(INDEX($FK$325:$ID$396,HV$169,1+SwaptionShift):INDEX($FK$325:$ID$396,HV$169,SwaptionMonthsToGo+SwaptionShift),INDEX($FK$245:$ID$316,$FJ229-HV$169,73-HV$169+SwaptionShift):INDEX($FK$245:$ID$316,$FJ229-HV$169,72-HV$169+SwaptionMonthsToGo+SwaptionShift))/SQRT(SUM(INDEX($FK384:$ID384,1+SwaptionShift):INDEX($FK384:$ID384,SwaptionMonthsToGo+SwaptionShift))*SUM(INDEX($FK$325:$ID$396,HV$169,1+SwaptionShift):INDEX($FK$325:$ID$396,HV$169,SwaptionMonthsToGo+SwaptionShift))))))</f>
        <v/>
      </c>
      <c r="HW229" s="150" t="str">
        <f aca="false">IF(OR(HW$169&lt;SwaptionFirstMonthPosition+1,$FJ229&lt;SwaptionFirstMonthPosition+1,HW$169&gt;SwaptionFirstMonthPosition+SwaptionNumOfMonths+1,$FJ229&gt;SwaptionFirstMonthPosition+SwaptionNumOfMonths+1),"",IF($FJ229=HW$169,1,IF($FJ229&lt;HW$169,INDEX($FK$170:$ID$241,HW$169,$FJ229),SUMPRODUCT(INDEX($FK$325:$ID$396,HW$169,1+SwaptionShift):INDEX($FK$325:$ID$396,HW$169,SwaptionMonthsToGo+SwaptionShift),INDEX($FK$245:$ID$316,$FJ229-HW$169,73-HW$169+SwaptionShift):INDEX($FK$245:$ID$316,$FJ229-HW$169,72-HW$169+SwaptionMonthsToGo+SwaptionShift))/SQRT(SUM(INDEX($FK384:$ID384,1+SwaptionShift):INDEX($FK384:$ID384,SwaptionMonthsToGo+SwaptionShift))*SUM(INDEX($FK$325:$ID$396,HW$169,1+SwaptionShift):INDEX($FK$325:$ID$396,HW$169,SwaptionMonthsToGo+SwaptionShift))))))</f>
        <v/>
      </c>
      <c r="HX229" s="150" t="str">
        <f aca="false">IF(OR(HX$169&lt;SwaptionFirstMonthPosition+1,$FJ229&lt;SwaptionFirstMonthPosition+1,HX$169&gt;SwaptionFirstMonthPosition+SwaptionNumOfMonths+1,$FJ229&gt;SwaptionFirstMonthPosition+SwaptionNumOfMonths+1),"",IF($FJ229=HX$169,1,IF($FJ229&lt;HX$169,INDEX($FK$170:$ID$241,HX$169,$FJ229),SUMPRODUCT(INDEX($FK$325:$ID$396,HX$169,1+SwaptionShift):INDEX($FK$325:$ID$396,HX$169,SwaptionMonthsToGo+SwaptionShift),INDEX($FK$245:$ID$316,$FJ229-HX$169,73-HX$169+SwaptionShift):INDEX($FK$245:$ID$316,$FJ229-HX$169,72-HX$169+SwaptionMonthsToGo+SwaptionShift))/SQRT(SUM(INDEX($FK384:$ID384,1+SwaptionShift):INDEX($FK384:$ID384,SwaptionMonthsToGo+SwaptionShift))*SUM(INDEX($FK$325:$ID$396,HX$169,1+SwaptionShift):INDEX($FK$325:$ID$396,HX$169,SwaptionMonthsToGo+SwaptionShift))))))</f>
        <v/>
      </c>
      <c r="HY229" s="150" t="str">
        <f aca="false">IF(OR(HY$169&lt;SwaptionFirstMonthPosition+1,$FJ229&lt;SwaptionFirstMonthPosition+1,HY$169&gt;SwaptionFirstMonthPosition+SwaptionNumOfMonths+1,$FJ229&gt;SwaptionFirstMonthPosition+SwaptionNumOfMonths+1),"",IF($FJ229=HY$169,1,IF($FJ229&lt;HY$169,INDEX($FK$170:$ID$241,HY$169,$FJ229),SUMPRODUCT(INDEX($FK$325:$ID$396,HY$169,1+SwaptionShift):INDEX($FK$325:$ID$396,HY$169,SwaptionMonthsToGo+SwaptionShift),INDEX($FK$245:$ID$316,$FJ229-HY$169,73-HY$169+SwaptionShift):INDEX($FK$245:$ID$316,$FJ229-HY$169,72-HY$169+SwaptionMonthsToGo+SwaptionShift))/SQRT(SUM(INDEX($FK384:$ID384,1+SwaptionShift):INDEX($FK384:$ID384,SwaptionMonthsToGo+SwaptionShift))*SUM(INDEX($FK$325:$ID$396,HY$169,1+SwaptionShift):INDEX($FK$325:$ID$396,HY$169,SwaptionMonthsToGo+SwaptionShift))))))</f>
        <v/>
      </c>
      <c r="HZ229" s="150" t="str">
        <f aca="false">IF(OR(HZ$169&lt;SwaptionFirstMonthPosition+1,$FJ229&lt;SwaptionFirstMonthPosition+1,HZ$169&gt;SwaptionFirstMonthPosition+SwaptionNumOfMonths+1,$FJ229&gt;SwaptionFirstMonthPosition+SwaptionNumOfMonths+1),"",IF($FJ229=HZ$169,1,IF($FJ229&lt;HZ$169,INDEX($FK$170:$ID$241,HZ$169,$FJ229),SUMPRODUCT(INDEX($FK$325:$ID$396,HZ$169,1+SwaptionShift):INDEX($FK$325:$ID$396,HZ$169,SwaptionMonthsToGo+SwaptionShift),INDEX($FK$245:$ID$316,$FJ229-HZ$169,73-HZ$169+SwaptionShift):INDEX($FK$245:$ID$316,$FJ229-HZ$169,72-HZ$169+SwaptionMonthsToGo+SwaptionShift))/SQRT(SUM(INDEX($FK384:$ID384,1+SwaptionShift):INDEX($FK384:$ID384,SwaptionMonthsToGo+SwaptionShift))*SUM(INDEX($FK$325:$ID$396,HZ$169,1+SwaptionShift):INDEX($FK$325:$ID$396,HZ$169,SwaptionMonthsToGo+SwaptionShift))))))</f>
        <v/>
      </c>
      <c r="IA229" s="150" t="str">
        <f aca="false">IF(OR(IA$169&lt;SwaptionFirstMonthPosition+1,$FJ229&lt;SwaptionFirstMonthPosition+1,IA$169&gt;SwaptionFirstMonthPosition+SwaptionNumOfMonths+1,$FJ229&gt;SwaptionFirstMonthPosition+SwaptionNumOfMonths+1),"",IF($FJ229=IA$169,1,IF($FJ229&lt;IA$169,INDEX($FK$170:$ID$241,IA$169,$FJ229),SUMPRODUCT(INDEX($FK$325:$ID$396,IA$169,1+SwaptionShift):INDEX($FK$325:$ID$396,IA$169,SwaptionMonthsToGo+SwaptionShift),INDEX($FK$245:$ID$316,$FJ229-IA$169,73-IA$169+SwaptionShift):INDEX($FK$245:$ID$316,$FJ229-IA$169,72-IA$169+SwaptionMonthsToGo+SwaptionShift))/SQRT(SUM(INDEX($FK384:$ID384,1+SwaptionShift):INDEX($FK384:$ID384,SwaptionMonthsToGo+SwaptionShift))*SUM(INDEX($FK$325:$ID$396,IA$169,1+SwaptionShift):INDEX($FK$325:$ID$396,IA$169,SwaptionMonthsToGo+SwaptionShift))))))</f>
        <v/>
      </c>
      <c r="IB229" s="150" t="str">
        <f aca="false">IF(OR(IB$169&lt;SwaptionFirstMonthPosition+1,$FJ229&lt;SwaptionFirstMonthPosition+1,IB$169&gt;SwaptionFirstMonthPosition+SwaptionNumOfMonths+1,$FJ229&gt;SwaptionFirstMonthPosition+SwaptionNumOfMonths+1),"",IF($FJ229=IB$169,1,IF($FJ229&lt;IB$169,INDEX($FK$170:$ID$241,IB$169,$FJ229),SUMPRODUCT(INDEX($FK$325:$ID$396,IB$169,1+SwaptionShift):INDEX($FK$325:$ID$396,IB$169,SwaptionMonthsToGo+SwaptionShift),INDEX($FK$245:$ID$316,$FJ229-IB$169,73-IB$169+SwaptionShift):INDEX($FK$245:$ID$316,$FJ229-IB$169,72-IB$169+SwaptionMonthsToGo+SwaptionShift))/SQRT(SUM(INDEX($FK384:$ID384,1+SwaptionShift):INDEX($FK384:$ID384,SwaptionMonthsToGo+SwaptionShift))*SUM(INDEX($FK$325:$ID$396,IB$169,1+SwaptionShift):INDEX($FK$325:$ID$396,IB$169,SwaptionMonthsToGo+SwaptionShift))))))</f>
        <v/>
      </c>
      <c r="IC229" s="150" t="str">
        <f aca="false">IF(OR(IC$169&lt;SwaptionFirstMonthPosition+1,$FJ229&lt;SwaptionFirstMonthPosition+1,IC$169&gt;SwaptionFirstMonthPosition+SwaptionNumOfMonths+1,$FJ229&gt;SwaptionFirstMonthPosition+SwaptionNumOfMonths+1),"",IF($FJ229=IC$169,1,IF($FJ229&lt;IC$169,INDEX($FK$170:$ID$241,IC$169,$FJ229),SUMPRODUCT(INDEX($FK$325:$ID$396,IC$169,1+SwaptionShift):INDEX($FK$325:$ID$396,IC$169,SwaptionMonthsToGo+SwaptionShift),INDEX($FK$245:$ID$316,$FJ229-IC$169,73-IC$169+SwaptionShift):INDEX($FK$245:$ID$316,$FJ229-IC$169,72-IC$169+SwaptionMonthsToGo+SwaptionShift))/SQRT(SUM(INDEX($FK384:$ID384,1+SwaptionShift):INDEX($FK384:$ID384,SwaptionMonthsToGo+SwaptionShift))*SUM(INDEX($FK$325:$ID$396,IC$169,1+SwaptionShift):INDEX($FK$325:$ID$396,IC$169,SwaptionMonthsToGo+SwaptionShift))))))</f>
        <v/>
      </c>
      <c r="ID229" s="572" t="str">
        <f aca="false">IF(OR(ID$169&lt;SwaptionFirstMonthPosition+1,$FJ229&lt;SwaptionFirstMonthPosition+1,ID$169&gt;SwaptionFirstMonthPosition+SwaptionNumOfMonths+1,$FJ229&gt;SwaptionFirstMonthPosition+SwaptionNumOfMonths+1),"",IF($FJ229=ID$169,1,IF($FJ229&lt;ID$169,INDEX($FK$170:$ID$241,ID$169,$FJ229),SUMPRODUCT(INDEX($FK$325:$ID$396,ID$169,1+SwaptionShift):INDEX($FK$325:$ID$396,ID$169,SwaptionMonthsToGo+SwaptionShift),INDEX($FK$245:$ID$316,$FJ229-ID$169,73-ID$169+SwaptionShift):INDEX($FK$245:$ID$316,$FJ229-ID$169,72-ID$169+SwaptionMonthsToGo+SwaptionShift))/SQRT(SUM(INDEX($FK384:$ID384,1+SwaptionShift):INDEX($FK384:$ID384,SwaptionMonthsToGo+SwaptionShift))*SUM(INDEX($FK$325:$ID$396,ID$169,1+SwaptionShift):INDEX($FK$325:$ID$396,ID$169,SwaptionMonthsToGo+SwaptionShift))))))</f>
        <v/>
      </c>
      <c r="IE229" s="129"/>
    </row>
    <row r="230" customFormat="false" ht="12.75" hidden="false" customHeight="false" outlineLevel="0" collapsed="false">
      <c r="H230" s="219" t="n">
        <f aca="false">VLOOKUP(I230,$EJ$20:$EL$54,3)</f>
        <v>0</v>
      </c>
      <c r="I230" s="511" t="n">
        <f aca="false">EOMONTH(I229,0)+1</f>
        <v>43160</v>
      </c>
      <c r="J230" s="512"/>
      <c r="K230" s="513" t="s">
        <v>280</v>
      </c>
      <c r="L230" s="514" t="n">
        <f aca="false">IF(ISNUMBER(K230),J230+K230/100,IF(K230="extra",L229+VLOOKUP(BF230,PriceSpreadTable,2)/12,IF(K230="inter",interpolateprices($K$19:$L$200,ROW(K230)-ROW(FirstPricingMonth)+1),interpolatechanges($J$19:$K$200,ROW(K230)-ROW(FirstPricingMonth)+1))))</f>
        <v>5.025</v>
      </c>
      <c r="M230" s="515"/>
      <c r="N230" s="516" t="n">
        <v>0</v>
      </c>
      <c r="O230" s="515" t="n">
        <f aca="false">M230+N230</f>
        <v>0</v>
      </c>
      <c r="P230" s="512"/>
      <c r="Q230" s="513" t="s">
        <v>280</v>
      </c>
      <c r="R230" s="512" t="e">
        <f aca="false">IF(ISNUMBER(Q230),P230+Q230/100,IF(Q230="extra",(Z228*AL228-R229*AM228)/AN228,IF(Q230="inter",interpolateprices($Q$19:$R$260,ROW(Q230)-ROW(FirstPricingMonth)+1),interpolatechanges($P$19:$Q$260,ROW(Q230)-ROW(FirstPricingMonth)+1))))</f>
        <v>#VALUE!</v>
      </c>
      <c r="S230" s="597" t="n">
        <f aca="false">S$19+(S229-S$19)*S$18</f>
        <v>0.36</v>
      </c>
      <c r="T230" s="575" t="n">
        <f aca="false">SQRT((1-(1-T229^2/U229)*T$18)*U230)</f>
        <v>1</v>
      </c>
      <c r="U230" s="576" t="n">
        <f aca="false">1-(1-U229)*U$18</f>
        <v>1</v>
      </c>
      <c r="V230" s="521" t="n">
        <v>0</v>
      </c>
      <c r="W230" s="577" t="n">
        <f aca="false">(J231*AJ230+J232*AK230)/AI230</f>
        <v>0</v>
      </c>
      <c r="X230" s="578" t="n">
        <f aca="false">(L231*AJ230+L232*AK230)/AI230</f>
        <v>5.07613636363636</v>
      </c>
      <c r="Y230" s="579" t="n">
        <f aca="false">IF(Q232="extra",W230-AA230,(P231*AM230+P232*AN230)/AL230)</f>
        <v>-1.1685</v>
      </c>
      <c r="Z230" s="579" t="n">
        <f aca="false">IF(Q232="extra",X230-AB230,(R231*AM230+R232*AN230)/AL230)</f>
        <v>3.90763636363636</v>
      </c>
      <c r="AA230" s="523" t="n">
        <f aca="false">IF(Q232="extra",INDEX(BrentSeasonalityTable,INT((BG230-1)/3)+1)*VLOOKUP(MAX(BF230,$AB$4),PriceSpreadTable,3),W230-Y230)</f>
        <v>1.1685</v>
      </c>
      <c r="AB230" s="524" t="n">
        <f aca="false">IF(Q232="extra",INDEX(BrentSeasonalityTable,INT((BG230-1)/3)+1)*VLOOKUP(MAX(BF230,$AB$4),PriceSpreadTable,3),X230-Z230)</f>
        <v>1.1685</v>
      </c>
      <c r="AC230" s="646" t="n">
        <v>43151</v>
      </c>
      <c r="AD230" s="646" t="n">
        <v>43147</v>
      </c>
      <c r="AE230" s="646" t="n">
        <v>43146</v>
      </c>
      <c r="AF230" s="646" t="n">
        <v>43142</v>
      </c>
      <c r="AG230" s="438" t="s">
        <v>278</v>
      </c>
      <c r="AH230" s="439" t="s">
        <v>278</v>
      </c>
      <c r="AI230" s="528" t="n">
        <v>22</v>
      </c>
      <c r="AJ230" s="529" t="n">
        <v>14</v>
      </c>
      <c r="AK230" s="529" t="n">
        <v>8</v>
      </c>
      <c r="AL230" s="530" t="n">
        <v>22</v>
      </c>
      <c r="AM230" s="529" t="n">
        <v>10</v>
      </c>
      <c r="AN230" s="531" t="n">
        <v>12</v>
      </c>
      <c r="AO230" s="532"/>
      <c r="AP230" s="465" t="n">
        <f aca="false">(1+AO230/2)^(-2*BL230)</f>
        <v>1</v>
      </c>
      <c r="AQ230" s="532"/>
      <c r="AR230" s="465" t="n">
        <f aca="false">(1+AQ230/2)^(-2*BH230/365.25)</f>
        <v>1</v>
      </c>
      <c r="AS230" s="580" t="n">
        <f aca="false">(O231*AJ230+O232*AK230)/AI230</f>
        <v>0</v>
      </c>
      <c r="AT230" s="468" t="n">
        <f aca="false">O230*VLOOKUP(BF230,BrentVolTable,2)+VLOOKUP(BF230,BrentVolTable,3)</f>
        <v>0</v>
      </c>
      <c r="AU230" s="468" t="n">
        <f aca="false">(AT231*AM230+AT232*AN230)/AL230</f>
        <v>0</v>
      </c>
      <c r="AV230" s="595" t="n">
        <f aca="false">SQRT(MAX(0.000000000001,(O230^2*BH230-S230^2*(BH230-BH229))/BH229))</f>
        <v>0.0378187768041285</v>
      </c>
      <c r="AW230" s="451" t="n">
        <f aca="false">IF($I230-DateToday+15&gt;=$T$8,"",IF($I230-DateToday+15&lt;$T$5,1,MATCH($I230-DateToday+15,$T$5:$T$8)))</f>
        <v>1</v>
      </c>
      <c r="AX230" s="468" t="n">
        <f aca="false">IF($AW230="",AX229^2/AX228,INDEX(U$5:U$8,$AW230)^((INDEX($T$5:$T$8,$AW230+1)-($I230-DateToday+15))/(INDEX($T$5:$T$8,$AW230+1)-INDEX($T$5:$T$8,$AW230)))/INDEX(U$5:U$8,$AW230+1)^((INDEX($T$5:$T$8,$AW230)-($I230-DateToday+15))/(INDEX($T$5:$T$8,$AW230+1)-INDEX($T$5:$T$8,$AW230))))</f>
        <v>0.141050253382742</v>
      </c>
      <c r="AY230" s="468" t="n">
        <f aca="false">IF($AW230="",AY229^2/AY228,INDEX(V$5:V$8,$AW230)^((INDEX($T$5:$T$8,$AW230+1)-($I230-DateToday+15))/(INDEX($T$5:$T$8,$AW230+1)-INDEX($T$5:$T$8,$AW230)))/INDEX(V$5:V$8,$AW230+1)^((INDEX($T$5:$T$8,$AW230)-($I230-DateToday+15))/(INDEX($T$5:$T$8,$AW230+1)-INDEX($T$5:$T$8,$AW230))))</f>
        <v>0.751613737636692</v>
      </c>
      <c r="AZ230" s="468" t="n">
        <f aca="false">IF($AW230="",AZ229^2/AZ228,INDEX(W$5:W$8,$AW230)^((INDEX($T$5:$T$8,$AW230+1)-($I230-DateToday+15))/(INDEX($T$5:$T$8,$AW230+1)-INDEX($T$5:$T$8,$AW230)))/INDEX(W$5:W$8,$AW230+1)^((INDEX($T$5:$T$8,$AW230)-($I230-DateToday+15))/(INDEX($T$5:$T$8,$AW230+1)-INDEX($T$5:$T$8,$AW230))))</f>
        <v>22.0756341938644</v>
      </c>
      <c r="BA230" s="468" t="n">
        <f aca="false">IF($AW230="",BA229^2/BA228,INDEX(X$5:X$8,$AW230)^((INDEX($T$5:$T$8,$AW230+1)-($I230-DateToday+15))/(INDEX($T$5:$T$8,$AW230+1)-INDEX($T$5:$T$8,$AW230)))/INDEX(X$5:X$8,$AW230+1)^((INDEX($T$5:$T$8,$AW230)-($I230-DateToday+15))/(INDEX($T$5:$T$8,$AW230+1)-INDEX($T$5:$T$8,$AW230))))</f>
        <v>32.4351437148884</v>
      </c>
      <c r="BB230" s="468" t="n">
        <f aca="false">IF($AW230="",BB229^2/BB228,INDEX(Y$5:Y$8,$AW230)^((INDEX($T$5:$T$8,$AW230+1)-($I230-DateToday+15))/(INDEX($T$5:$T$8,$AW230+1)-INDEX($T$5:$T$8,$AW230)))/INDEX(Y$5:Y$8,$AW230+1)^((INDEX($T$5:$T$8,$AW230)-($I230-DateToday+15))/(INDEX($T$5:$T$8,$AW230+1)-INDEX($T$5:$T$8,$AW230))))</f>
        <v>112.200157612766</v>
      </c>
      <c r="BC230" s="468" t="n">
        <f aca="false">IF($AW230="",BC229^2/BC228,INDEX(Z$5:Z$8,$AW230)^((INDEX($T$5:$T$8,$AW230+1)-($I230-DateToday+15))/(INDEX($T$5:$T$8,$AW230+1)-INDEX($T$5:$T$8,$AW230)))/INDEX(Z$5:Z$8,$AW230+1)^((INDEX($T$5:$T$8,$AW230)-($I230-DateToday+15))/(INDEX($T$5:$T$8,$AW230+1)-INDEX($T$5:$T$8,$AW230))))</f>
        <v>243.200665149847</v>
      </c>
      <c r="BD230" s="535" t="n">
        <f aca="false">IF(OR(DateStart&gt;=I231,DateEnd&lt;I230),0,IF(VolumeOverrideFlag,V230,Volume))</f>
        <v>0</v>
      </c>
      <c r="BE230" s="536" t="n">
        <f aca="false">IF(OR(DateStart2&gt;=I231,DateEnd2&lt;I230),0,IF(VolumeOverrideFlag,V230,VolumeSwaption))</f>
        <v>0</v>
      </c>
      <c r="BF230" s="537" t="n">
        <f aca="false">YEAR(I230)</f>
        <v>2018</v>
      </c>
      <c r="BG230" s="538" t="n">
        <f aca="false">MONTH(I230)</f>
        <v>3</v>
      </c>
      <c r="BH230" s="539" t="n">
        <f aca="false">AD230-DateToday+1</f>
        <v>-2778</v>
      </c>
      <c r="BI230" s="540" t="n">
        <f aca="false">(I230-DateToday+1)/365.25</f>
        <v>-7.57015742642026</v>
      </c>
      <c r="BJ230" s="541" t="n">
        <f aca="false">BI230+(BL230-BI230)*CHOOSE(Underlying,AJ230/AI230,AM230/AL230)</f>
        <v>-7.51788936593865</v>
      </c>
      <c r="BK230" s="541" t="n">
        <f aca="false">BJ230+1/365.25</f>
        <v>-7.51515151515152</v>
      </c>
      <c r="BL230" s="541" t="n">
        <f aca="false">(I231-DateToday)/365.25</f>
        <v>-7.4880219028063</v>
      </c>
      <c r="BM230" s="542" t="e">
        <f aca="false">MAX(BI230-(BJ230-BI230)*(S231^2/O231^2-1),0)</f>
        <v>#DIV/0!</v>
      </c>
      <c r="BN230" s="541" t="e">
        <f aca="false">MAX(BL230+(BL230-BK230)*(S232^2/O232^2-1),0)</f>
        <v>#DIV/0!</v>
      </c>
      <c r="BO230" s="530" t="n">
        <f aca="false">CHOOSE(Underlying,AI230,AL230)</f>
        <v>22</v>
      </c>
      <c r="BP230" s="529" t="n">
        <f aca="false">CHOOSE(Underlying,AJ230,AM230)</f>
        <v>14</v>
      </c>
      <c r="BQ230" s="529" t="n">
        <f aca="false">CHOOSE(Underlying,AK230,AN230)</f>
        <v>8</v>
      </c>
      <c r="BR230" s="463" t="str">
        <f aca="false">IF(BD230,IF(Underlying=1,X230,Z230)+UnderlyingPriceAsian-SwapPriceCurve,"")</f>
        <v/>
      </c>
      <c r="BS230" s="463" t="str">
        <f aca="false">IF(BD230,Strike1/BR230-1,"")</f>
        <v/>
      </c>
      <c r="BT230" s="464" t="str">
        <f aca="false">IF(BD230,Strike2/BR230-1,"")</f>
        <v/>
      </c>
      <c r="BU230" s="465" t="str">
        <f aca="false">IF(BD230,IF(Underlying=1,L231,R231)+UnderlyingPriceAsian-SwapPriceCurve,"")</f>
        <v/>
      </c>
      <c r="BV230" s="465" t="str">
        <f aca="false">IF(BD230,IF(Underlying=1,L232,R232)+UnderlyingPriceAsian-SwapPriceCurve,"")</f>
        <v/>
      </c>
      <c r="BW230" s="466" t="str">
        <f aca="false">IF(BD230,IF(Underlying=1,O231,AT231),"")</f>
        <v/>
      </c>
      <c r="BX230" s="467" t="str">
        <f aca="false">IF(BD230,IF(Underlying=1,O232,AT232),"")</f>
        <v/>
      </c>
      <c r="BY230" s="466" t="str">
        <f aca="false">IF(BD230,IF(BS230&gt;0,IF(BS230&gt;0.2,BC230-BB230,IF(BS230&gt;0.1,BB230-BA230,BA230)),IF(BS230&lt;-0.2,AX230-AY230,IF(BS230&lt;-0.1,AY230-AZ230,AZ230))),"")</f>
        <v/>
      </c>
      <c r="BZ230" s="467" t="str">
        <f aca="false">IF(BD230,IF(BT230&gt;0,IF(BT230&gt;0.2,BC230-BB230,IF(BT230&gt;0.1,BB230-BA230,BA230)),IF(BT230&lt;-0.2,AX230-AY230,IF(BT230&lt;-0.1,AY230-AZ230,AZ230))),"")</f>
        <v/>
      </c>
      <c r="CA230" s="468" t="str">
        <f aca="false">IF($BD230,$BW230+IF(VolSkewFlag=1,IF(BS230&gt;0,$BA230*MIN(BS230/10%,1)+($BB230-$BA230)*MAX(0,MIN(BS230/10%-1,1))+($BC230-$BB230)*MAX(0,BS230/10%-2),$AZ230*MIN(-BS230/10%,1)+($AY230-$AZ230)*MAX(0,MIN(-BS230/10%-1,1))+($AX230-$AY230)*MAX(0,-BS230/10%-2)),0),"")</f>
        <v/>
      </c>
      <c r="CB230" s="468" t="str">
        <f aca="false">IF($BD230,$BX230+IF(VolSkewFlag=1,IF(BS230&gt;0,$BA230*MIN(BS230/10%,1)+($BB230-$BA230)*MAX(0,MIN(BS230/10%-1,1))+($BC230-$BB230)*MAX(0,BS230/10%-2),$AZ230*MIN(-BS230/10%,1)+($AY230-$AZ230)*MAX(0,MIN(-BS230/10%-1,1))+($AX230-$AY230)*MAX(0,-BS230/10%-2)),0),"")</f>
        <v/>
      </c>
      <c r="CC230" s="468" t="str">
        <f aca="false">IF($BD230,$BW230+IF(VolSkewFlag=1,IF(BT230&gt;0,$BA230*MIN(BT230/10%,1)+($BB230-$BA230)*MAX(0,MIN(BT230/10%-1,1))+($BC230-$BB230)*MAX(0,BT230/10%-2),$AZ230*MIN(-BT230/10%,1)+($AY230-$AZ230)*MAX(0,MIN(-BT230/10%-1,1))+($AX230-$AY230)*MAX(0,-BT230/10%-2)),0),"")</f>
        <v/>
      </c>
      <c r="CD230" s="468" t="str">
        <f aca="false">IF($BD230,$BX230+IF(VolSkewFlag=1,IF(BT230&gt;0,$BA230*MIN(BT230/10%,1)+($BB230-$BA230)*MAX(0,MIN(BT230/10%-1,1))+($BC230-$BB230)*MAX(0,BT230/10%-2),$AZ230*MIN(-BT230/10%,1)+($AY230-$AZ230)*MAX(0,MIN(-BT230/10%-1,1))+($AX230-$AY230)*MAX(0,-BT230/10%-2)),0),"")</f>
        <v/>
      </c>
      <c r="CE230" s="469" t="n">
        <v>1</v>
      </c>
      <c r="CF230" s="470" t="n">
        <f aca="false">IF(BD230,xCrudeAPO(BU230,BV230,CA230,CB230,S231,S232,BI230,BL230,BP230,BQ230,0,Strike1,AO230,CE230,0,BL230,IF(OptControl=4,0,1),0,1),0)</f>
        <v>0</v>
      </c>
      <c r="CG230" s="470" t="n">
        <f aca="false">IF(BD230,xCrudeAPO(BU230,BV230,CA230,CB230,S231,S232,BI230,BL230,BP230,BQ230,0,Strike1,AO230,CE230,0,BL230,IF(OptControl=4,0,1),1,1)+xCrudeAPO(BU230,BV230,CA230,CB230,S231,S232,BI230,BL230,BP230,BQ230,0,Strike1,AO230,CE230,0,BL230,IF(OptControl=4,0,1),1,2)+IF(OR(VolSkewFlag=2,ABS(BS230)&lt;0.0001),0,IF(BS230&gt;0,-1,1)*CH230*Strike1/BR230^2*BY230/10%),0)</f>
        <v>0</v>
      </c>
      <c r="CH230" s="470" t="n">
        <f aca="false">IF(BD230,(xCrudeAPO(BU230,BV230,CA230,CB230,S231,S232,BI230,BL230,BP230,BQ230,0,Strike1,AO230,CE230,0,BL230,IF(OptControl=4,0,1),3,1)+xCrudeAPO(BU230,BV230,CA230,CB230,S231,S232,BI230,BL230,BP230,BQ230,0,Strike1,AO230,CE230,0,BL230,IF(OptControl=4,0,1),3,2))/100,0)</f>
        <v>0</v>
      </c>
      <c r="CI230" s="470" t="n">
        <f aca="false">IF(BD230,xCrudeAPO(BU230,BV230,CA230,CB230,S231,S232,BI230-DaysForThetaCalculation/365.25,BL230-DaysForThetaCalculation/365.25,BP230,BQ230,0,Strike1,AO230,CE230,0,BL230,IF(OptControl=4,0,1),0,1)-xCrudeAPO(BU230,BV230,CA230,CB230,S231,S232,BI230,BL230,BP230,BQ230,0,Strike1,AO230,CE230,0,BL230,IF(OptControl=4,0,1),0,1),0)</f>
        <v>0</v>
      </c>
      <c r="CJ230" s="471" t="n">
        <f aca="false">IF(BD230,xCrudeAPO(BU230,BV230,CC230,CD230,S231,S232,BI230,BL230,BP230,BQ230,0,Strike2,AO230,CE230,0,BL230,IF(OptControl=3,1,0),0,1),0)</f>
        <v>0</v>
      </c>
      <c r="CK230" s="470" t="n">
        <f aca="false">IF(BD230,xCrudeAPO(BU230,BV230,CC230,CD230,S231,S232,BI230,BL230,BP230,BQ230,0,Strike2,AO230,CE230,0,BL230,IF(OptControl=3,1,0),1,1)+xCrudeAPO(BU230,BV230,CC230,CD230,S231,S232,BI230,BL230,BP230,BQ230,0,Strike2,AO230,CE230,0,BL230,IF(OptControl=3,1,0),1,2)+IF(OR(VolSkewFlag=2,ABS(BT230)&lt;0.0001),0,IF(BT230&gt;0,-1,1)*CL230*Strike2/BR230^2*BZ230/10%),0)</f>
        <v>0</v>
      </c>
      <c r="CL230" s="470" t="n">
        <f aca="false">IF(BD230,(xCrudeAPO(BU230,BV230,CC230,CD230,S231,S232,BI230,BL230,BP230,BQ230,0,Strike2,AO230,CE230,0,BL230,IF(OptControl=3,1,0),3,1)+xCrudeAPO(BU230,BV230,CC230,CD230,S231,S232,BI230,BL230,BP230,BQ230,0,Strike2,AO230,CE230,0,BL230,IF(OptControl=3,1,0),3,2))/100,0)</f>
        <v>0</v>
      </c>
      <c r="CM230" s="472" t="n">
        <f aca="false">IF(BD230,xCrudeAPO(BU230,BV230,CC230,CD230,S231,S232,BI230-DaysForThetaCalculation/365.25,BL230-DaysForThetaCalculation/365.25,BP230,BQ230,0,Strike2,AO230,CE230,0,BL230,IF(OptControl=3,1,0),0,1)-xCrudeAPO(BU230,BV230,CC230,CD230,S231,S232,BI230,BL230,BP230,BQ230,0,Strike2,AO230,CE230,0,BL230,IF(OptControl=3,1,0),0,1),0)</f>
        <v>0</v>
      </c>
      <c r="CN230" s="3"/>
      <c r="CO230" s="543" t="str">
        <f aca="false">IF(BD230,CHOOSE(Underlying,AD230,AF230)-DateToday+1,"")</f>
        <v/>
      </c>
      <c r="CP230" s="582" t="str">
        <f aca="false">IF(BD230,CHOOSE(Underlying,L230,R230),"")</f>
        <v/>
      </c>
      <c r="CQ230" s="544" t="str">
        <f aca="false">IF(BD230,Strike1/CP230-1,"")</f>
        <v/>
      </c>
      <c r="CR230" s="544" t="str">
        <f aca="false">IF(BD230,Strike2/CP230-1,"")</f>
        <v/>
      </c>
      <c r="CS230" s="544" t="str">
        <f aca="false">IF(BD230,IF(CQ230&gt;0,IF(CQ230&gt;0.2,BC229-BB229,IF(CQ230&gt;0.1,BB229-BA229,BA229)),IF(CQ230&lt;-0.2,AX229-AY229,IF(CQ230&lt;-0.1,AY229-AZ229,AZ229))),"")</f>
        <v/>
      </c>
      <c r="CT230" s="544" t="str">
        <f aca="false">IF(BD230,IF(CR230&gt;0,IF(CR230&gt;0.2,BC229-BB229,IF(CR230&gt;0.1,BB229-BA229,BA229)),IF(CR230&lt;-0.2,AX229-AY229,IF(CR230&lt;-0.1,AY229-AZ229,AZ229))),"")</f>
        <v/>
      </c>
      <c r="CU230" s="545" t="str">
        <f aca="false">IF(BD230,CHOOSE(Underlying,O230,AT230),"")</f>
        <v/>
      </c>
      <c r="CV230" s="545" t="str">
        <f aca="false">IF(BD230,CU230+IF(VolSkewFlag=1,IF(CQ230&gt;0,BA229*MIN(CQ230/10%,1)+(BB229-BA229)*MAX(0,MIN(CQ230/10%-1,1))+(BC229-BB229)*MAX(0,CQ230/10%-2),AZ229*MIN(-CQ230/10%,1)+(AY229-AZ229)*MAX(0,MIN(-CQ230/10%-1,1))+(AX229-AY229)*MAX(0,-CQ230/10%-2)),0),"")</f>
        <v/>
      </c>
      <c r="CW230" s="545" t="str">
        <f aca="false">IF(BD230,CU230+IF(VolSkewFlag=1,IF(CR230&gt;0,BA229*MIN(CR230/10%,1)+(BB229-BA229)*MAX(0,MIN(CR230/10%-1,1))+(BC229-BB229)*MAX(0,CR230/10%-2),AZ229*MIN(-CR230/10%,1)+(AY229-AZ229)*MAX(0,MIN(-CR230/10%-1,1))+(AX229-AY229)*MAX(0,-CR230/10%-2)),0),"")</f>
        <v/>
      </c>
      <c r="CX230" s="470" t="n">
        <f aca="false">IF(BD230,EURO(CP230,Strike1,AO230,AO230,CV230,CO230,IF(OptControl=4,0,1),0),0)</f>
        <v>0</v>
      </c>
      <c r="CY230" s="470" t="n">
        <f aca="false">IF(BD230,EURO(CP230,Strike1,AO230,AO230,CV230,CO230,IF(OptControl=4,0,1),1)+IF(OR(VolSkewFlag=2,ABS(CQ230)&lt;0.0001),0,IF(CQ230&gt;0,-1,1)*CZ230*100*Strike1/CP230^2*CS230/10%),0)</f>
        <v>0</v>
      </c>
      <c r="CZ230" s="470" t="n">
        <f aca="false">IF(BD230,EURO(CP230,Strike1,AO230,AO230,CV230,CO230,IF(OptControl=4,0,1),3)/100,0)</f>
        <v>0</v>
      </c>
      <c r="DA230" s="470" t="n">
        <f aca="false">IF(BD230,EURO(CP230,Strike1,AO230,AO230,CV230,CO230,IF(OptControl=4,0,1),0)-EURO(CP230,Strike1,AO230,AO230,CV230,CO230-1,IF(OptControl=4,0,1),0),0)</f>
        <v>0</v>
      </c>
      <c r="DB230" s="470" t="n">
        <f aca="false">IF(BD230,EURO(CP230,Strike2,AO230,AO230,CW230,CO230,IF(OptControl=3,1,0),0),0)</f>
        <v>0</v>
      </c>
      <c r="DC230" s="470" t="n">
        <f aca="false">IF(BD230,EURO(CP230,Strike2,AO230,AO230,CW230,CO230,IF(OptControl=3,1,0),1)+IF(OR(VolSkewFlag=2,ABS(CR230)&lt;0.0001),0,IF(CR230&gt;0,-1,1)*DD230*100*Strike2/CP230^2*CT230/10%),0)</f>
        <v>0</v>
      </c>
      <c r="DD230" s="470" t="n">
        <f aca="false">IF(BD230,EURO(CP230,Strike2,AO230,AO230,CW230,CO230,IF(OptControl=3,1,0),3)/100,0)</f>
        <v>0</v>
      </c>
      <c r="DE230" s="472" t="n">
        <f aca="false">IF(BD230,EURO(CP230,Strike2,AO230,AO230,CW230,CO230,IF(OptControl=3,1,0),0)-EURO(CP230,Strike2,AO230,AO230,CW230,CO230-1,IF(OptControl=3,1,0),0),0)</f>
        <v>0</v>
      </c>
      <c r="DG230" s="481" t="n">
        <f aca="false">EOMONTH(DG229,0)+1</f>
        <v>52079</v>
      </c>
      <c r="DH230" s="478" t="n">
        <v>24.6600000000001</v>
      </c>
      <c r="DI230" s="479" t="n">
        <v>24.7295652173914</v>
      </c>
      <c r="DJ230" s="480" t="n">
        <f aca="false">DG230</f>
        <v>52079</v>
      </c>
      <c r="DK230" s="478" t="n">
        <v>23.2744467171812</v>
      </c>
      <c r="DL230" s="479" t="n">
        <v>23.4626652173914</v>
      </c>
      <c r="DM230" s="481" t="n">
        <f aca="false">DG230</f>
        <v>52079</v>
      </c>
      <c r="DN230" s="482" t="n">
        <f aca="false">DK230+BrentPhyBrentSpread</f>
        <v>23.3244467171812</v>
      </c>
      <c r="DO230" s="481" t="n">
        <f aca="false">DG230</f>
        <v>52079</v>
      </c>
      <c r="DP230" s="483" t="n">
        <f aca="false">DL230+DQ230</f>
        <v>23.4626652173914</v>
      </c>
      <c r="DQ230" s="546" t="n">
        <v>0</v>
      </c>
      <c r="DR230" s="480" t="n">
        <f aca="false">DG230</f>
        <v>52079</v>
      </c>
      <c r="DS230" s="485" t="n">
        <v>0.098599999999998</v>
      </c>
      <c r="DT230" s="486" t="n">
        <v>0.0977652173913024</v>
      </c>
      <c r="DU230" s="480" t="n">
        <f aca="false">DG230</f>
        <v>52079</v>
      </c>
      <c r="DV230" s="485" t="n">
        <v>0.098599999999998</v>
      </c>
      <c r="DW230" s="486" t="n">
        <v>0.0977652173913024</v>
      </c>
      <c r="DX230" s="481" t="n">
        <f aca="false">DG230</f>
        <v>52079</v>
      </c>
      <c r="DY230" s="486" t="n">
        <v>0.35</v>
      </c>
      <c r="DZ230" s="481" t="n">
        <f aca="false">DR230</f>
        <v>52079</v>
      </c>
      <c r="EA230" s="486" t="n">
        <f aca="false">DT230</f>
        <v>0.0977652173913024</v>
      </c>
      <c r="EB230" s="195"/>
      <c r="EC230" s="547" t="str">
        <f aca="false">IF(BD230,IF(Underlying=1,AS230,AU230),"")</f>
        <v/>
      </c>
      <c r="ED230" s="548" t="str">
        <f aca="false">IF($BD230,$EC230+IF(VolSkewFlag=1,IF(BS230&gt;0,$BA230*MIN(BS230/10%,1)+($BB230-$BA230)*MAX(0,MIN(BS230/10%-1,1))+($BC230-$BB230)*MAX(0,BS230/10%-2),$AZ230*MIN(-BS230/10%,1)+($AY230-$AZ230)*MAX(0,MIN(-BS230/10%-1,1))+($AX230-$AY230)*MAX(0,-BS230/10%-2)),0),"")</f>
        <v/>
      </c>
      <c r="EE230" s="549" t="str">
        <f aca="false">IF($BD230,$EC230+IF(VolSkewFlag=1,IF(BT230&gt;0,$BA230*MIN(BT230/10%,1)+($BB230-$BA230)*MAX(0,MIN(BT230/10%-1,1))+($BC230-$BB230)*MAX(0,BT230/10%-2),$AZ230*MIN(-BT230/10%,1)+($AY230-$AZ230)*MAX(0,MIN(-BT230/10%-1,1))+($AX230-$AY230)*MAX(0,-BT230/10%-2)),0),"")</f>
        <v/>
      </c>
      <c r="EF230" s="550" t="n">
        <f aca="false">IF(BD230,xASN(BR230,Strike1,AO230,ED230,0,BO230,0,BI230,BL230,IF(OptControl=4,0,1),0),0)</f>
        <v>0</v>
      </c>
      <c r="EG230" s="551" t="n">
        <f aca="false">IF(BD230,xASN(BR230,Strike2,AO230,EE230,0,BO230,0,BI230,BL230,IF(OptControl=3,1,0),0),0)</f>
        <v>0</v>
      </c>
      <c r="EL230" s="1"/>
      <c r="EM230" s="195"/>
      <c r="EN230" s="240"/>
      <c r="EO230" s="240"/>
      <c r="EP230" s="195"/>
      <c r="EQ230" s="407" t="s">
        <v>458</v>
      </c>
      <c r="ES230" s="1"/>
      <c r="EU230" s="672"/>
      <c r="FJ230" s="571" t="n">
        <v>61</v>
      </c>
      <c r="FK230" s="150" t="str">
        <f aca="false">IF(OR(FK$169&lt;SwaptionFirstMonthPosition+1,$FJ230&lt;SwaptionFirstMonthPosition+1,FK$169&gt;SwaptionFirstMonthPosition+SwaptionNumOfMonths+1,$FJ230&gt;SwaptionFirstMonthPosition+SwaptionNumOfMonths+1),"",IF($FJ230=FK$169,1,IF($FJ230&lt;FK$169,INDEX($FK$170:$ID$241,FK$169,$FJ230),SUMPRODUCT(INDEX($FK$325:$ID$396,FK$169,1+SwaptionShift):INDEX($FK$325:$ID$396,FK$169,SwaptionMonthsToGo+SwaptionShift),INDEX($FK$245:$ID$316,$FJ230-FK$169,73-FK$169+SwaptionShift):INDEX($FK$245:$ID$316,$FJ230-FK$169,72-FK$169+SwaptionMonthsToGo+SwaptionShift))/SQRT(SUM(INDEX($FK385:$ID385,1+SwaptionShift):INDEX($FK385:$ID385,SwaptionMonthsToGo+SwaptionShift))*SUM(INDEX($FK$325:$ID$396,FK$169,1+SwaptionShift):INDEX($FK$325:$ID$396,FK$169,SwaptionMonthsToGo+SwaptionShift))))))</f>
        <v/>
      </c>
      <c r="FL230" s="150" t="str">
        <f aca="false">IF(OR(FL$169&lt;SwaptionFirstMonthPosition+1,$FJ230&lt;SwaptionFirstMonthPosition+1,FL$169&gt;SwaptionFirstMonthPosition+SwaptionNumOfMonths+1,$FJ230&gt;SwaptionFirstMonthPosition+SwaptionNumOfMonths+1),"",IF($FJ230=FL$169,1,IF($FJ230&lt;FL$169,INDEX($FK$170:$ID$241,FL$169,$FJ230),SUMPRODUCT(INDEX($FK$325:$ID$396,FL$169,1+SwaptionShift):INDEX($FK$325:$ID$396,FL$169,SwaptionMonthsToGo+SwaptionShift),INDEX($FK$245:$ID$316,$FJ230-FL$169,73-FL$169+SwaptionShift):INDEX($FK$245:$ID$316,$FJ230-FL$169,72-FL$169+SwaptionMonthsToGo+SwaptionShift))/SQRT(SUM(INDEX($FK385:$ID385,1+SwaptionShift):INDEX($FK385:$ID385,SwaptionMonthsToGo+SwaptionShift))*SUM(INDEX($FK$325:$ID$396,FL$169,1+SwaptionShift):INDEX($FK$325:$ID$396,FL$169,SwaptionMonthsToGo+SwaptionShift))))))</f>
        <v/>
      </c>
      <c r="FM230" s="150" t="str">
        <f aca="false">IF(OR(FM$169&lt;SwaptionFirstMonthPosition+1,$FJ230&lt;SwaptionFirstMonthPosition+1,FM$169&gt;SwaptionFirstMonthPosition+SwaptionNumOfMonths+1,$FJ230&gt;SwaptionFirstMonthPosition+SwaptionNumOfMonths+1),"",IF($FJ230=FM$169,1,IF($FJ230&lt;FM$169,INDEX($FK$170:$ID$241,FM$169,$FJ230),SUMPRODUCT(INDEX($FK$325:$ID$396,FM$169,1+SwaptionShift):INDEX($FK$325:$ID$396,FM$169,SwaptionMonthsToGo+SwaptionShift),INDEX($FK$245:$ID$316,$FJ230-FM$169,73-FM$169+SwaptionShift):INDEX($FK$245:$ID$316,$FJ230-FM$169,72-FM$169+SwaptionMonthsToGo+SwaptionShift))/SQRT(SUM(INDEX($FK385:$ID385,1+SwaptionShift):INDEX($FK385:$ID385,SwaptionMonthsToGo+SwaptionShift))*SUM(INDEX($FK$325:$ID$396,FM$169,1+SwaptionShift):INDEX($FK$325:$ID$396,FM$169,SwaptionMonthsToGo+SwaptionShift))))))</f>
        <v/>
      </c>
      <c r="FN230" s="150" t="str">
        <f aca="false">IF(OR(FN$169&lt;SwaptionFirstMonthPosition+1,$FJ230&lt;SwaptionFirstMonthPosition+1,FN$169&gt;SwaptionFirstMonthPosition+SwaptionNumOfMonths+1,$FJ230&gt;SwaptionFirstMonthPosition+SwaptionNumOfMonths+1),"",IF($FJ230=FN$169,1,IF($FJ230&lt;FN$169,INDEX($FK$170:$ID$241,FN$169,$FJ230),SUMPRODUCT(INDEX($FK$325:$ID$396,FN$169,1+SwaptionShift):INDEX($FK$325:$ID$396,FN$169,SwaptionMonthsToGo+SwaptionShift),INDEX($FK$245:$ID$316,$FJ230-FN$169,73-FN$169+SwaptionShift):INDEX($FK$245:$ID$316,$FJ230-FN$169,72-FN$169+SwaptionMonthsToGo+SwaptionShift))/SQRT(SUM(INDEX($FK385:$ID385,1+SwaptionShift):INDEX($FK385:$ID385,SwaptionMonthsToGo+SwaptionShift))*SUM(INDEX($FK$325:$ID$396,FN$169,1+SwaptionShift):INDEX($FK$325:$ID$396,FN$169,SwaptionMonthsToGo+SwaptionShift))))))</f>
        <v/>
      </c>
      <c r="FO230" s="150" t="str">
        <f aca="false">IF(OR(FO$169&lt;SwaptionFirstMonthPosition+1,$FJ230&lt;SwaptionFirstMonthPosition+1,FO$169&gt;SwaptionFirstMonthPosition+SwaptionNumOfMonths+1,$FJ230&gt;SwaptionFirstMonthPosition+SwaptionNumOfMonths+1),"",IF($FJ230=FO$169,1,IF($FJ230&lt;FO$169,INDEX($FK$170:$ID$241,FO$169,$FJ230),SUMPRODUCT(INDEX($FK$325:$ID$396,FO$169,1+SwaptionShift):INDEX($FK$325:$ID$396,FO$169,SwaptionMonthsToGo+SwaptionShift),INDEX($FK$245:$ID$316,$FJ230-FO$169,73-FO$169+SwaptionShift):INDEX($FK$245:$ID$316,$FJ230-FO$169,72-FO$169+SwaptionMonthsToGo+SwaptionShift))/SQRT(SUM(INDEX($FK385:$ID385,1+SwaptionShift):INDEX($FK385:$ID385,SwaptionMonthsToGo+SwaptionShift))*SUM(INDEX($FK$325:$ID$396,FO$169,1+SwaptionShift):INDEX($FK$325:$ID$396,FO$169,SwaptionMonthsToGo+SwaptionShift))))))</f>
        <v/>
      </c>
      <c r="FP230" s="150" t="str">
        <f aca="false">IF(OR(FP$169&lt;SwaptionFirstMonthPosition+1,$FJ230&lt;SwaptionFirstMonthPosition+1,FP$169&gt;SwaptionFirstMonthPosition+SwaptionNumOfMonths+1,$FJ230&gt;SwaptionFirstMonthPosition+SwaptionNumOfMonths+1),"",IF($FJ230=FP$169,1,IF($FJ230&lt;FP$169,INDEX($FK$170:$ID$241,FP$169,$FJ230),SUMPRODUCT(INDEX($FK$325:$ID$396,FP$169,1+SwaptionShift):INDEX($FK$325:$ID$396,FP$169,SwaptionMonthsToGo+SwaptionShift),INDEX($FK$245:$ID$316,$FJ230-FP$169,73-FP$169+SwaptionShift):INDEX($FK$245:$ID$316,$FJ230-FP$169,72-FP$169+SwaptionMonthsToGo+SwaptionShift))/SQRT(SUM(INDEX($FK385:$ID385,1+SwaptionShift):INDEX($FK385:$ID385,SwaptionMonthsToGo+SwaptionShift))*SUM(INDEX($FK$325:$ID$396,FP$169,1+SwaptionShift):INDEX($FK$325:$ID$396,FP$169,SwaptionMonthsToGo+SwaptionShift))))))</f>
        <v/>
      </c>
      <c r="FQ230" s="150" t="str">
        <f aca="false">IF(OR(FQ$169&lt;SwaptionFirstMonthPosition+1,$FJ230&lt;SwaptionFirstMonthPosition+1,FQ$169&gt;SwaptionFirstMonthPosition+SwaptionNumOfMonths+1,$FJ230&gt;SwaptionFirstMonthPosition+SwaptionNumOfMonths+1),"",IF($FJ230=FQ$169,1,IF($FJ230&lt;FQ$169,INDEX($FK$170:$ID$241,FQ$169,$FJ230),SUMPRODUCT(INDEX($FK$325:$ID$396,FQ$169,1+SwaptionShift):INDEX($FK$325:$ID$396,FQ$169,SwaptionMonthsToGo+SwaptionShift),INDEX($FK$245:$ID$316,$FJ230-FQ$169,73-FQ$169+SwaptionShift):INDEX($FK$245:$ID$316,$FJ230-FQ$169,72-FQ$169+SwaptionMonthsToGo+SwaptionShift))/SQRT(SUM(INDEX($FK385:$ID385,1+SwaptionShift):INDEX($FK385:$ID385,SwaptionMonthsToGo+SwaptionShift))*SUM(INDEX($FK$325:$ID$396,FQ$169,1+SwaptionShift):INDEX($FK$325:$ID$396,FQ$169,SwaptionMonthsToGo+SwaptionShift))))))</f>
        <v/>
      </c>
      <c r="FR230" s="150" t="str">
        <f aca="false">IF(OR(FR$169&lt;SwaptionFirstMonthPosition+1,$FJ230&lt;SwaptionFirstMonthPosition+1,FR$169&gt;SwaptionFirstMonthPosition+SwaptionNumOfMonths+1,$FJ230&gt;SwaptionFirstMonthPosition+SwaptionNumOfMonths+1),"",IF($FJ230=FR$169,1,IF($FJ230&lt;FR$169,INDEX($FK$170:$ID$241,FR$169,$FJ230),SUMPRODUCT(INDEX($FK$325:$ID$396,FR$169,1+SwaptionShift):INDEX($FK$325:$ID$396,FR$169,SwaptionMonthsToGo+SwaptionShift),INDEX($FK$245:$ID$316,$FJ230-FR$169,73-FR$169+SwaptionShift):INDEX($FK$245:$ID$316,$FJ230-FR$169,72-FR$169+SwaptionMonthsToGo+SwaptionShift))/SQRT(SUM(INDEX($FK385:$ID385,1+SwaptionShift):INDEX($FK385:$ID385,SwaptionMonthsToGo+SwaptionShift))*SUM(INDEX($FK$325:$ID$396,FR$169,1+SwaptionShift):INDEX($FK$325:$ID$396,FR$169,SwaptionMonthsToGo+SwaptionShift))))))</f>
        <v/>
      </c>
      <c r="FS230" s="150" t="str">
        <f aca="false">IF(OR(FS$169&lt;SwaptionFirstMonthPosition+1,$FJ230&lt;SwaptionFirstMonthPosition+1,FS$169&gt;SwaptionFirstMonthPosition+SwaptionNumOfMonths+1,$FJ230&gt;SwaptionFirstMonthPosition+SwaptionNumOfMonths+1),"",IF($FJ230=FS$169,1,IF($FJ230&lt;FS$169,INDEX($FK$170:$ID$241,FS$169,$FJ230),SUMPRODUCT(INDEX($FK$325:$ID$396,FS$169,1+SwaptionShift):INDEX($FK$325:$ID$396,FS$169,SwaptionMonthsToGo+SwaptionShift),INDEX($FK$245:$ID$316,$FJ230-FS$169,73-FS$169+SwaptionShift):INDEX($FK$245:$ID$316,$FJ230-FS$169,72-FS$169+SwaptionMonthsToGo+SwaptionShift))/SQRT(SUM(INDEX($FK385:$ID385,1+SwaptionShift):INDEX($FK385:$ID385,SwaptionMonthsToGo+SwaptionShift))*SUM(INDEX($FK$325:$ID$396,FS$169,1+SwaptionShift):INDEX($FK$325:$ID$396,FS$169,SwaptionMonthsToGo+SwaptionShift))))))</f>
        <v/>
      </c>
      <c r="FT230" s="150" t="str">
        <f aca="false">IF(OR(FT$169&lt;SwaptionFirstMonthPosition+1,$FJ230&lt;SwaptionFirstMonthPosition+1,FT$169&gt;SwaptionFirstMonthPosition+SwaptionNumOfMonths+1,$FJ230&gt;SwaptionFirstMonthPosition+SwaptionNumOfMonths+1),"",IF($FJ230=FT$169,1,IF($FJ230&lt;FT$169,INDEX($FK$170:$ID$241,FT$169,$FJ230),SUMPRODUCT(INDEX($FK$325:$ID$396,FT$169,1+SwaptionShift):INDEX($FK$325:$ID$396,FT$169,SwaptionMonthsToGo+SwaptionShift),INDEX($FK$245:$ID$316,$FJ230-FT$169,73-FT$169+SwaptionShift):INDEX($FK$245:$ID$316,$FJ230-FT$169,72-FT$169+SwaptionMonthsToGo+SwaptionShift))/SQRT(SUM(INDEX($FK385:$ID385,1+SwaptionShift):INDEX($FK385:$ID385,SwaptionMonthsToGo+SwaptionShift))*SUM(INDEX($FK$325:$ID$396,FT$169,1+SwaptionShift):INDEX($FK$325:$ID$396,FT$169,SwaptionMonthsToGo+SwaptionShift))))))</f>
        <v/>
      </c>
      <c r="FU230" s="150" t="str">
        <f aca="false">IF(OR(FU$169&lt;SwaptionFirstMonthPosition+1,$FJ230&lt;SwaptionFirstMonthPosition+1,FU$169&gt;SwaptionFirstMonthPosition+SwaptionNumOfMonths+1,$FJ230&gt;SwaptionFirstMonthPosition+SwaptionNumOfMonths+1),"",IF($FJ230=FU$169,1,IF($FJ230&lt;FU$169,INDEX($FK$170:$ID$241,FU$169,$FJ230),SUMPRODUCT(INDEX($FK$325:$ID$396,FU$169,1+SwaptionShift):INDEX($FK$325:$ID$396,FU$169,SwaptionMonthsToGo+SwaptionShift),INDEX($FK$245:$ID$316,$FJ230-FU$169,73-FU$169+SwaptionShift):INDEX($FK$245:$ID$316,$FJ230-FU$169,72-FU$169+SwaptionMonthsToGo+SwaptionShift))/SQRT(SUM(INDEX($FK385:$ID385,1+SwaptionShift):INDEX($FK385:$ID385,SwaptionMonthsToGo+SwaptionShift))*SUM(INDEX($FK$325:$ID$396,FU$169,1+SwaptionShift):INDEX($FK$325:$ID$396,FU$169,SwaptionMonthsToGo+SwaptionShift))))))</f>
        <v/>
      </c>
      <c r="FV230" s="150" t="str">
        <f aca="false">IF(OR(FV$169&lt;SwaptionFirstMonthPosition+1,$FJ230&lt;SwaptionFirstMonthPosition+1,FV$169&gt;SwaptionFirstMonthPosition+SwaptionNumOfMonths+1,$FJ230&gt;SwaptionFirstMonthPosition+SwaptionNumOfMonths+1),"",IF($FJ230=FV$169,1,IF($FJ230&lt;FV$169,INDEX($FK$170:$ID$241,FV$169,$FJ230),SUMPRODUCT(INDEX($FK$325:$ID$396,FV$169,1+SwaptionShift):INDEX($FK$325:$ID$396,FV$169,SwaptionMonthsToGo+SwaptionShift),INDEX($FK$245:$ID$316,$FJ230-FV$169,73-FV$169+SwaptionShift):INDEX($FK$245:$ID$316,$FJ230-FV$169,72-FV$169+SwaptionMonthsToGo+SwaptionShift))/SQRT(SUM(INDEX($FK385:$ID385,1+SwaptionShift):INDEX($FK385:$ID385,SwaptionMonthsToGo+SwaptionShift))*SUM(INDEX($FK$325:$ID$396,FV$169,1+SwaptionShift):INDEX($FK$325:$ID$396,FV$169,SwaptionMonthsToGo+SwaptionShift))))))</f>
        <v/>
      </c>
      <c r="FW230" s="150" t="str">
        <f aca="false">IF(OR(FW$169&lt;SwaptionFirstMonthPosition+1,$FJ230&lt;SwaptionFirstMonthPosition+1,FW$169&gt;SwaptionFirstMonthPosition+SwaptionNumOfMonths+1,$FJ230&gt;SwaptionFirstMonthPosition+SwaptionNumOfMonths+1),"",IF($FJ230=FW$169,1,IF($FJ230&lt;FW$169,INDEX($FK$170:$ID$241,FW$169,$FJ230),SUMPRODUCT(INDEX($FK$325:$ID$396,FW$169,1+SwaptionShift):INDEX($FK$325:$ID$396,FW$169,SwaptionMonthsToGo+SwaptionShift),INDEX($FK$245:$ID$316,$FJ230-FW$169,73-FW$169+SwaptionShift):INDEX($FK$245:$ID$316,$FJ230-FW$169,72-FW$169+SwaptionMonthsToGo+SwaptionShift))/SQRT(SUM(INDEX($FK385:$ID385,1+SwaptionShift):INDEX($FK385:$ID385,SwaptionMonthsToGo+SwaptionShift))*SUM(INDEX($FK$325:$ID$396,FW$169,1+SwaptionShift):INDEX($FK$325:$ID$396,FW$169,SwaptionMonthsToGo+SwaptionShift))))))</f>
        <v/>
      </c>
      <c r="FX230" s="150" t="str">
        <f aca="false">IF(OR(FX$169&lt;SwaptionFirstMonthPosition+1,$FJ230&lt;SwaptionFirstMonthPosition+1,FX$169&gt;SwaptionFirstMonthPosition+SwaptionNumOfMonths+1,$FJ230&gt;SwaptionFirstMonthPosition+SwaptionNumOfMonths+1),"",IF($FJ230=FX$169,1,IF($FJ230&lt;FX$169,INDEX($FK$170:$ID$241,FX$169,$FJ230),SUMPRODUCT(INDEX($FK$325:$ID$396,FX$169,1+SwaptionShift):INDEX($FK$325:$ID$396,FX$169,SwaptionMonthsToGo+SwaptionShift),INDEX($FK$245:$ID$316,$FJ230-FX$169,73-FX$169+SwaptionShift):INDEX($FK$245:$ID$316,$FJ230-FX$169,72-FX$169+SwaptionMonthsToGo+SwaptionShift))/SQRT(SUM(INDEX($FK385:$ID385,1+SwaptionShift):INDEX($FK385:$ID385,SwaptionMonthsToGo+SwaptionShift))*SUM(INDEX($FK$325:$ID$396,FX$169,1+SwaptionShift):INDEX($FK$325:$ID$396,FX$169,SwaptionMonthsToGo+SwaptionShift))))))</f>
        <v/>
      </c>
      <c r="FY230" s="150" t="str">
        <f aca="false">IF(OR(FY$169&lt;SwaptionFirstMonthPosition+1,$FJ230&lt;SwaptionFirstMonthPosition+1,FY$169&gt;SwaptionFirstMonthPosition+SwaptionNumOfMonths+1,$FJ230&gt;SwaptionFirstMonthPosition+SwaptionNumOfMonths+1),"",IF($FJ230=FY$169,1,IF($FJ230&lt;FY$169,INDEX($FK$170:$ID$241,FY$169,$FJ230),SUMPRODUCT(INDEX($FK$325:$ID$396,FY$169,1+SwaptionShift):INDEX($FK$325:$ID$396,FY$169,SwaptionMonthsToGo+SwaptionShift),INDEX($FK$245:$ID$316,$FJ230-FY$169,73-FY$169+SwaptionShift):INDEX($FK$245:$ID$316,$FJ230-FY$169,72-FY$169+SwaptionMonthsToGo+SwaptionShift))/SQRT(SUM(INDEX($FK385:$ID385,1+SwaptionShift):INDEX($FK385:$ID385,SwaptionMonthsToGo+SwaptionShift))*SUM(INDEX($FK$325:$ID$396,FY$169,1+SwaptionShift):INDEX($FK$325:$ID$396,FY$169,SwaptionMonthsToGo+SwaptionShift))))))</f>
        <v/>
      </c>
      <c r="FZ230" s="150" t="str">
        <f aca="false">IF(OR(FZ$169&lt;SwaptionFirstMonthPosition+1,$FJ230&lt;SwaptionFirstMonthPosition+1,FZ$169&gt;SwaptionFirstMonthPosition+SwaptionNumOfMonths+1,$FJ230&gt;SwaptionFirstMonthPosition+SwaptionNumOfMonths+1),"",IF($FJ230=FZ$169,1,IF($FJ230&lt;FZ$169,INDEX($FK$170:$ID$241,FZ$169,$FJ230),SUMPRODUCT(INDEX($FK$325:$ID$396,FZ$169,1+SwaptionShift):INDEX($FK$325:$ID$396,FZ$169,SwaptionMonthsToGo+SwaptionShift),INDEX($FK$245:$ID$316,$FJ230-FZ$169,73-FZ$169+SwaptionShift):INDEX($FK$245:$ID$316,$FJ230-FZ$169,72-FZ$169+SwaptionMonthsToGo+SwaptionShift))/SQRT(SUM(INDEX($FK385:$ID385,1+SwaptionShift):INDEX($FK385:$ID385,SwaptionMonthsToGo+SwaptionShift))*SUM(INDEX($FK$325:$ID$396,FZ$169,1+SwaptionShift):INDEX($FK$325:$ID$396,FZ$169,SwaptionMonthsToGo+SwaptionShift))))))</f>
        <v/>
      </c>
      <c r="GA230" s="150" t="str">
        <f aca="false">IF(OR(GA$169&lt;SwaptionFirstMonthPosition+1,$FJ230&lt;SwaptionFirstMonthPosition+1,GA$169&gt;SwaptionFirstMonthPosition+SwaptionNumOfMonths+1,$FJ230&gt;SwaptionFirstMonthPosition+SwaptionNumOfMonths+1),"",IF($FJ230=GA$169,1,IF($FJ230&lt;GA$169,INDEX($FK$170:$ID$241,GA$169,$FJ230),SUMPRODUCT(INDEX($FK$325:$ID$396,GA$169,1+SwaptionShift):INDEX($FK$325:$ID$396,GA$169,SwaptionMonthsToGo+SwaptionShift),INDEX($FK$245:$ID$316,$FJ230-GA$169,73-GA$169+SwaptionShift):INDEX($FK$245:$ID$316,$FJ230-GA$169,72-GA$169+SwaptionMonthsToGo+SwaptionShift))/SQRT(SUM(INDEX($FK385:$ID385,1+SwaptionShift):INDEX($FK385:$ID385,SwaptionMonthsToGo+SwaptionShift))*SUM(INDEX($FK$325:$ID$396,GA$169,1+SwaptionShift):INDEX($FK$325:$ID$396,GA$169,SwaptionMonthsToGo+SwaptionShift))))))</f>
        <v/>
      </c>
      <c r="GB230" s="150" t="str">
        <f aca="false">IF(OR(GB$169&lt;SwaptionFirstMonthPosition+1,$FJ230&lt;SwaptionFirstMonthPosition+1,GB$169&gt;SwaptionFirstMonthPosition+SwaptionNumOfMonths+1,$FJ230&gt;SwaptionFirstMonthPosition+SwaptionNumOfMonths+1),"",IF($FJ230=GB$169,1,IF($FJ230&lt;GB$169,INDEX($FK$170:$ID$241,GB$169,$FJ230),SUMPRODUCT(INDEX($FK$325:$ID$396,GB$169,1+SwaptionShift):INDEX($FK$325:$ID$396,GB$169,SwaptionMonthsToGo+SwaptionShift),INDEX($FK$245:$ID$316,$FJ230-GB$169,73-GB$169+SwaptionShift):INDEX($FK$245:$ID$316,$FJ230-GB$169,72-GB$169+SwaptionMonthsToGo+SwaptionShift))/SQRT(SUM(INDEX($FK385:$ID385,1+SwaptionShift):INDEX($FK385:$ID385,SwaptionMonthsToGo+SwaptionShift))*SUM(INDEX($FK$325:$ID$396,GB$169,1+SwaptionShift):INDEX($FK$325:$ID$396,GB$169,SwaptionMonthsToGo+SwaptionShift))))))</f>
        <v/>
      </c>
      <c r="GC230" s="150" t="str">
        <f aca="false">IF(OR(GC$169&lt;SwaptionFirstMonthPosition+1,$FJ230&lt;SwaptionFirstMonthPosition+1,GC$169&gt;SwaptionFirstMonthPosition+SwaptionNumOfMonths+1,$FJ230&gt;SwaptionFirstMonthPosition+SwaptionNumOfMonths+1),"",IF($FJ230=GC$169,1,IF($FJ230&lt;GC$169,INDEX($FK$170:$ID$241,GC$169,$FJ230),SUMPRODUCT(INDEX($FK$325:$ID$396,GC$169,1+SwaptionShift):INDEX($FK$325:$ID$396,GC$169,SwaptionMonthsToGo+SwaptionShift),INDEX($FK$245:$ID$316,$FJ230-GC$169,73-GC$169+SwaptionShift):INDEX($FK$245:$ID$316,$FJ230-GC$169,72-GC$169+SwaptionMonthsToGo+SwaptionShift))/SQRT(SUM(INDEX($FK385:$ID385,1+SwaptionShift):INDEX($FK385:$ID385,SwaptionMonthsToGo+SwaptionShift))*SUM(INDEX($FK$325:$ID$396,GC$169,1+SwaptionShift):INDEX($FK$325:$ID$396,GC$169,SwaptionMonthsToGo+SwaptionShift))))))</f>
        <v/>
      </c>
      <c r="GD230" s="150" t="str">
        <f aca="false">IF(OR(GD$169&lt;SwaptionFirstMonthPosition+1,$FJ230&lt;SwaptionFirstMonthPosition+1,GD$169&gt;SwaptionFirstMonthPosition+SwaptionNumOfMonths+1,$FJ230&gt;SwaptionFirstMonthPosition+SwaptionNumOfMonths+1),"",IF($FJ230=GD$169,1,IF($FJ230&lt;GD$169,INDEX($FK$170:$ID$241,GD$169,$FJ230),SUMPRODUCT(INDEX($FK$325:$ID$396,GD$169,1+SwaptionShift):INDEX($FK$325:$ID$396,GD$169,SwaptionMonthsToGo+SwaptionShift),INDEX($FK$245:$ID$316,$FJ230-GD$169,73-GD$169+SwaptionShift):INDEX($FK$245:$ID$316,$FJ230-GD$169,72-GD$169+SwaptionMonthsToGo+SwaptionShift))/SQRT(SUM(INDEX($FK385:$ID385,1+SwaptionShift):INDEX($FK385:$ID385,SwaptionMonthsToGo+SwaptionShift))*SUM(INDEX($FK$325:$ID$396,GD$169,1+SwaptionShift):INDEX($FK$325:$ID$396,GD$169,SwaptionMonthsToGo+SwaptionShift))))))</f>
        <v/>
      </c>
      <c r="GE230" s="150" t="str">
        <f aca="false">IF(OR(GE$169&lt;SwaptionFirstMonthPosition+1,$FJ230&lt;SwaptionFirstMonthPosition+1,GE$169&gt;SwaptionFirstMonthPosition+SwaptionNumOfMonths+1,$FJ230&gt;SwaptionFirstMonthPosition+SwaptionNumOfMonths+1),"",IF($FJ230=GE$169,1,IF($FJ230&lt;GE$169,INDEX($FK$170:$ID$241,GE$169,$FJ230),SUMPRODUCT(INDEX($FK$325:$ID$396,GE$169,1+SwaptionShift):INDEX($FK$325:$ID$396,GE$169,SwaptionMonthsToGo+SwaptionShift),INDEX($FK$245:$ID$316,$FJ230-GE$169,73-GE$169+SwaptionShift):INDEX($FK$245:$ID$316,$FJ230-GE$169,72-GE$169+SwaptionMonthsToGo+SwaptionShift))/SQRT(SUM(INDEX($FK385:$ID385,1+SwaptionShift):INDEX($FK385:$ID385,SwaptionMonthsToGo+SwaptionShift))*SUM(INDEX($FK$325:$ID$396,GE$169,1+SwaptionShift):INDEX($FK$325:$ID$396,GE$169,SwaptionMonthsToGo+SwaptionShift))))))</f>
        <v/>
      </c>
      <c r="GF230" s="150" t="str">
        <f aca="false">IF(OR(GF$169&lt;SwaptionFirstMonthPosition+1,$FJ230&lt;SwaptionFirstMonthPosition+1,GF$169&gt;SwaptionFirstMonthPosition+SwaptionNumOfMonths+1,$FJ230&gt;SwaptionFirstMonthPosition+SwaptionNumOfMonths+1),"",IF($FJ230=GF$169,1,IF($FJ230&lt;GF$169,INDEX($FK$170:$ID$241,GF$169,$FJ230),SUMPRODUCT(INDEX($FK$325:$ID$396,GF$169,1+SwaptionShift):INDEX($FK$325:$ID$396,GF$169,SwaptionMonthsToGo+SwaptionShift),INDEX($FK$245:$ID$316,$FJ230-GF$169,73-GF$169+SwaptionShift):INDEX($FK$245:$ID$316,$FJ230-GF$169,72-GF$169+SwaptionMonthsToGo+SwaptionShift))/SQRT(SUM(INDEX($FK385:$ID385,1+SwaptionShift):INDEX($FK385:$ID385,SwaptionMonthsToGo+SwaptionShift))*SUM(INDEX($FK$325:$ID$396,GF$169,1+SwaptionShift):INDEX($FK$325:$ID$396,GF$169,SwaptionMonthsToGo+SwaptionShift))))))</f>
        <v/>
      </c>
      <c r="GG230" s="150" t="str">
        <f aca="false">IF(OR(GG$169&lt;SwaptionFirstMonthPosition+1,$FJ230&lt;SwaptionFirstMonthPosition+1,GG$169&gt;SwaptionFirstMonthPosition+SwaptionNumOfMonths+1,$FJ230&gt;SwaptionFirstMonthPosition+SwaptionNumOfMonths+1),"",IF($FJ230=GG$169,1,IF($FJ230&lt;GG$169,INDEX($FK$170:$ID$241,GG$169,$FJ230),SUMPRODUCT(INDEX($FK$325:$ID$396,GG$169,1+SwaptionShift):INDEX($FK$325:$ID$396,GG$169,SwaptionMonthsToGo+SwaptionShift),INDEX($FK$245:$ID$316,$FJ230-GG$169,73-GG$169+SwaptionShift):INDEX($FK$245:$ID$316,$FJ230-GG$169,72-GG$169+SwaptionMonthsToGo+SwaptionShift))/SQRT(SUM(INDEX($FK385:$ID385,1+SwaptionShift):INDEX($FK385:$ID385,SwaptionMonthsToGo+SwaptionShift))*SUM(INDEX($FK$325:$ID$396,GG$169,1+SwaptionShift):INDEX($FK$325:$ID$396,GG$169,SwaptionMonthsToGo+SwaptionShift))))))</f>
        <v/>
      </c>
      <c r="GH230" s="150" t="str">
        <f aca="false">IF(OR(GH$169&lt;SwaptionFirstMonthPosition+1,$FJ230&lt;SwaptionFirstMonthPosition+1,GH$169&gt;SwaptionFirstMonthPosition+SwaptionNumOfMonths+1,$FJ230&gt;SwaptionFirstMonthPosition+SwaptionNumOfMonths+1),"",IF($FJ230=GH$169,1,IF($FJ230&lt;GH$169,INDEX($FK$170:$ID$241,GH$169,$FJ230),SUMPRODUCT(INDEX($FK$325:$ID$396,GH$169,1+SwaptionShift):INDEX($FK$325:$ID$396,GH$169,SwaptionMonthsToGo+SwaptionShift),INDEX($FK$245:$ID$316,$FJ230-GH$169,73-GH$169+SwaptionShift):INDEX($FK$245:$ID$316,$FJ230-GH$169,72-GH$169+SwaptionMonthsToGo+SwaptionShift))/SQRT(SUM(INDEX($FK385:$ID385,1+SwaptionShift):INDEX($FK385:$ID385,SwaptionMonthsToGo+SwaptionShift))*SUM(INDEX($FK$325:$ID$396,GH$169,1+SwaptionShift):INDEX($FK$325:$ID$396,GH$169,SwaptionMonthsToGo+SwaptionShift))))))</f>
        <v/>
      </c>
      <c r="GI230" s="150" t="str">
        <f aca="false">IF(OR(GI$169&lt;SwaptionFirstMonthPosition+1,$FJ230&lt;SwaptionFirstMonthPosition+1,GI$169&gt;SwaptionFirstMonthPosition+SwaptionNumOfMonths+1,$FJ230&gt;SwaptionFirstMonthPosition+SwaptionNumOfMonths+1),"",IF($FJ230=GI$169,1,IF($FJ230&lt;GI$169,INDEX($FK$170:$ID$241,GI$169,$FJ230),SUMPRODUCT(INDEX($FK$325:$ID$396,GI$169,1+SwaptionShift):INDEX($FK$325:$ID$396,GI$169,SwaptionMonthsToGo+SwaptionShift),INDEX($FK$245:$ID$316,$FJ230-GI$169,73-GI$169+SwaptionShift):INDEX($FK$245:$ID$316,$FJ230-GI$169,72-GI$169+SwaptionMonthsToGo+SwaptionShift))/SQRT(SUM(INDEX($FK385:$ID385,1+SwaptionShift):INDEX($FK385:$ID385,SwaptionMonthsToGo+SwaptionShift))*SUM(INDEX($FK$325:$ID$396,GI$169,1+SwaptionShift):INDEX($FK$325:$ID$396,GI$169,SwaptionMonthsToGo+SwaptionShift))))))</f>
        <v/>
      </c>
      <c r="GJ230" s="150" t="str">
        <f aca="false">IF(OR(GJ$169&lt;SwaptionFirstMonthPosition+1,$FJ230&lt;SwaptionFirstMonthPosition+1,GJ$169&gt;SwaptionFirstMonthPosition+SwaptionNumOfMonths+1,$FJ230&gt;SwaptionFirstMonthPosition+SwaptionNumOfMonths+1),"",IF($FJ230=GJ$169,1,IF($FJ230&lt;GJ$169,INDEX($FK$170:$ID$241,GJ$169,$FJ230),SUMPRODUCT(INDEX($FK$325:$ID$396,GJ$169,1+SwaptionShift):INDEX($FK$325:$ID$396,GJ$169,SwaptionMonthsToGo+SwaptionShift),INDEX($FK$245:$ID$316,$FJ230-GJ$169,73-GJ$169+SwaptionShift):INDEX($FK$245:$ID$316,$FJ230-GJ$169,72-GJ$169+SwaptionMonthsToGo+SwaptionShift))/SQRT(SUM(INDEX($FK385:$ID385,1+SwaptionShift):INDEX($FK385:$ID385,SwaptionMonthsToGo+SwaptionShift))*SUM(INDEX($FK$325:$ID$396,GJ$169,1+SwaptionShift):INDEX($FK$325:$ID$396,GJ$169,SwaptionMonthsToGo+SwaptionShift))))))</f>
        <v/>
      </c>
      <c r="GK230" s="150" t="str">
        <f aca="false">IF(OR(GK$169&lt;SwaptionFirstMonthPosition+1,$FJ230&lt;SwaptionFirstMonthPosition+1,GK$169&gt;SwaptionFirstMonthPosition+SwaptionNumOfMonths+1,$FJ230&gt;SwaptionFirstMonthPosition+SwaptionNumOfMonths+1),"",IF($FJ230=GK$169,1,IF($FJ230&lt;GK$169,INDEX($FK$170:$ID$241,GK$169,$FJ230),SUMPRODUCT(INDEX($FK$325:$ID$396,GK$169,1+SwaptionShift):INDEX($FK$325:$ID$396,GK$169,SwaptionMonthsToGo+SwaptionShift),INDEX($FK$245:$ID$316,$FJ230-GK$169,73-GK$169+SwaptionShift):INDEX($FK$245:$ID$316,$FJ230-GK$169,72-GK$169+SwaptionMonthsToGo+SwaptionShift))/SQRT(SUM(INDEX($FK385:$ID385,1+SwaptionShift):INDEX($FK385:$ID385,SwaptionMonthsToGo+SwaptionShift))*SUM(INDEX($FK$325:$ID$396,GK$169,1+SwaptionShift):INDEX($FK$325:$ID$396,GK$169,SwaptionMonthsToGo+SwaptionShift))))))</f>
        <v/>
      </c>
      <c r="GL230" s="150" t="str">
        <f aca="false">IF(OR(GL$169&lt;SwaptionFirstMonthPosition+1,$FJ230&lt;SwaptionFirstMonthPosition+1,GL$169&gt;SwaptionFirstMonthPosition+SwaptionNumOfMonths+1,$FJ230&gt;SwaptionFirstMonthPosition+SwaptionNumOfMonths+1),"",IF($FJ230=GL$169,1,IF($FJ230&lt;GL$169,INDEX($FK$170:$ID$241,GL$169,$FJ230),SUMPRODUCT(INDEX($FK$325:$ID$396,GL$169,1+SwaptionShift):INDEX($FK$325:$ID$396,GL$169,SwaptionMonthsToGo+SwaptionShift),INDEX($FK$245:$ID$316,$FJ230-GL$169,73-GL$169+SwaptionShift):INDEX($FK$245:$ID$316,$FJ230-GL$169,72-GL$169+SwaptionMonthsToGo+SwaptionShift))/SQRT(SUM(INDEX($FK385:$ID385,1+SwaptionShift):INDEX($FK385:$ID385,SwaptionMonthsToGo+SwaptionShift))*SUM(INDEX($FK$325:$ID$396,GL$169,1+SwaptionShift):INDEX($FK$325:$ID$396,GL$169,SwaptionMonthsToGo+SwaptionShift))))))</f>
        <v/>
      </c>
      <c r="GM230" s="150" t="str">
        <f aca="false">IF(OR(GM$169&lt;SwaptionFirstMonthPosition+1,$FJ230&lt;SwaptionFirstMonthPosition+1,GM$169&gt;SwaptionFirstMonthPosition+SwaptionNumOfMonths+1,$FJ230&gt;SwaptionFirstMonthPosition+SwaptionNumOfMonths+1),"",IF($FJ230=GM$169,1,IF($FJ230&lt;GM$169,INDEX($FK$170:$ID$241,GM$169,$FJ230),SUMPRODUCT(INDEX($FK$325:$ID$396,GM$169,1+SwaptionShift):INDEX($FK$325:$ID$396,GM$169,SwaptionMonthsToGo+SwaptionShift),INDEX($FK$245:$ID$316,$FJ230-GM$169,73-GM$169+SwaptionShift):INDEX($FK$245:$ID$316,$FJ230-GM$169,72-GM$169+SwaptionMonthsToGo+SwaptionShift))/SQRT(SUM(INDEX($FK385:$ID385,1+SwaptionShift):INDEX($FK385:$ID385,SwaptionMonthsToGo+SwaptionShift))*SUM(INDEX($FK$325:$ID$396,GM$169,1+SwaptionShift):INDEX($FK$325:$ID$396,GM$169,SwaptionMonthsToGo+SwaptionShift))))))</f>
        <v/>
      </c>
      <c r="GN230" s="150" t="str">
        <f aca="false">IF(OR(GN$169&lt;SwaptionFirstMonthPosition+1,$FJ230&lt;SwaptionFirstMonthPosition+1,GN$169&gt;SwaptionFirstMonthPosition+SwaptionNumOfMonths+1,$FJ230&gt;SwaptionFirstMonthPosition+SwaptionNumOfMonths+1),"",IF($FJ230=GN$169,1,IF($FJ230&lt;GN$169,INDEX($FK$170:$ID$241,GN$169,$FJ230),SUMPRODUCT(INDEX($FK$325:$ID$396,GN$169,1+SwaptionShift):INDEX($FK$325:$ID$396,GN$169,SwaptionMonthsToGo+SwaptionShift),INDEX($FK$245:$ID$316,$FJ230-GN$169,73-GN$169+SwaptionShift):INDEX($FK$245:$ID$316,$FJ230-GN$169,72-GN$169+SwaptionMonthsToGo+SwaptionShift))/SQRT(SUM(INDEX($FK385:$ID385,1+SwaptionShift):INDEX($FK385:$ID385,SwaptionMonthsToGo+SwaptionShift))*SUM(INDEX($FK$325:$ID$396,GN$169,1+SwaptionShift):INDEX($FK$325:$ID$396,GN$169,SwaptionMonthsToGo+SwaptionShift))))))</f>
        <v/>
      </c>
      <c r="GO230" s="150" t="str">
        <f aca="false">IF(OR(GO$169&lt;SwaptionFirstMonthPosition+1,$FJ230&lt;SwaptionFirstMonthPosition+1,GO$169&gt;SwaptionFirstMonthPosition+SwaptionNumOfMonths+1,$FJ230&gt;SwaptionFirstMonthPosition+SwaptionNumOfMonths+1),"",IF($FJ230=GO$169,1,IF($FJ230&lt;GO$169,INDEX($FK$170:$ID$241,GO$169,$FJ230),SUMPRODUCT(INDEX($FK$325:$ID$396,GO$169,1+SwaptionShift):INDEX($FK$325:$ID$396,GO$169,SwaptionMonthsToGo+SwaptionShift),INDEX($FK$245:$ID$316,$FJ230-GO$169,73-GO$169+SwaptionShift):INDEX($FK$245:$ID$316,$FJ230-GO$169,72-GO$169+SwaptionMonthsToGo+SwaptionShift))/SQRT(SUM(INDEX($FK385:$ID385,1+SwaptionShift):INDEX($FK385:$ID385,SwaptionMonthsToGo+SwaptionShift))*SUM(INDEX($FK$325:$ID$396,GO$169,1+SwaptionShift):INDEX($FK$325:$ID$396,GO$169,SwaptionMonthsToGo+SwaptionShift))))))</f>
        <v/>
      </c>
      <c r="GP230" s="150" t="str">
        <f aca="false">IF(OR(GP$169&lt;SwaptionFirstMonthPosition+1,$FJ230&lt;SwaptionFirstMonthPosition+1,GP$169&gt;SwaptionFirstMonthPosition+SwaptionNumOfMonths+1,$FJ230&gt;SwaptionFirstMonthPosition+SwaptionNumOfMonths+1),"",IF($FJ230=GP$169,1,IF($FJ230&lt;GP$169,INDEX($FK$170:$ID$241,GP$169,$FJ230),SUMPRODUCT(INDEX($FK$325:$ID$396,GP$169,1+SwaptionShift):INDEX($FK$325:$ID$396,GP$169,SwaptionMonthsToGo+SwaptionShift),INDEX($FK$245:$ID$316,$FJ230-GP$169,73-GP$169+SwaptionShift):INDEX($FK$245:$ID$316,$FJ230-GP$169,72-GP$169+SwaptionMonthsToGo+SwaptionShift))/SQRT(SUM(INDEX($FK385:$ID385,1+SwaptionShift):INDEX($FK385:$ID385,SwaptionMonthsToGo+SwaptionShift))*SUM(INDEX($FK$325:$ID$396,GP$169,1+SwaptionShift):INDEX($FK$325:$ID$396,GP$169,SwaptionMonthsToGo+SwaptionShift))))))</f>
        <v/>
      </c>
      <c r="GQ230" s="150" t="str">
        <f aca="false">IF(OR(GQ$169&lt;SwaptionFirstMonthPosition+1,$FJ230&lt;SwaptionFirstMonthPosition+1,GQ$169&gt;SwaptionFirstMonthPosition+SwaptionNumOfMonths+1,$FJ230&gt;SwaptionFirstMonthPosition+SwaptionNumOfMonths+1),"",IF($FJ230=GQ$169,1,IF($FJ230&lt;GQ$169,INDEX($FK$170:$ID$241,GQ$169,$FJ230),SUMPRODUCT(INDEX($FK$325:$ID$396,GQ$169,1+SwaptionShift):INDEX($FK$325:$ID$396,GQ$169,SwaptionMonthsToGo+SwaptionShift),INDEX($FK$245:$ID$316,$FJ230-GQ$169,73-GQ$169+SwaptionShift):INDEX($FK$245:$ID$316,$FJ230-GQ$169,72-GQ$169+SwaptionMonthsToGo+SwaptionShift))/SQRT(SUM(INDEX($FK385:$ID385,1+SwaptionShift):INDEX($FK385:$ID385,SwaptionMonthsToGo+SwaptionShift))*SUM(INDEX($FK$325:$ID$396,GQ$169,1+SwaptionShift):INDEX($FK$325:$ID$396,GQ$169,SwaptionMonthsToGo+SwaptionShift))))))</f>
        <v/>
      </c>
      <c r="GR230" s="150" t="str">
        <f aca="false">IF(OR(GR$169&lt;SwaptionFirstMonthPosition+1,$FJ230&lt;SwaptionFirstMonthPosition+1,GR$169&gt;SwaptionFirstMonthPosition+SwaptionNumOfMonths+1,$FJ230&gt;SwaptionFirstMonthPosition+SwaptionNumOfMonths+1),"",IF($FJ230=GR$169,1,IF($FJ230&lt;GR$169,INDEX($FK$170:$ID$241,GR$169,$FJ230),SUMPRODUCT(INDEX($FK$325:$ID$396,GR$169,1+SwaptionShift):INDEX($FK$325:$ID$396,GR$169,SwaptionMonthsToGo+SwaptionShift),INDEX($FK$245:$ID$316,$FJ230-GR$169,73-GR$169+SwaptionShift):INDEX($FK$245:$ID$316,$FJ230-GR$169,72-GR$169+SwaptionMonthsToGo+SwaptionShift))/SQRT(SUM(INDEX($FK385:$ID385,1+SwaptionShift):INDEX($FK385:$ID385,SwaptionMonthsToGo+SwaptionShift))*SUM(INDEX($FK$325:$ID$396,GR$169,1+SwaptionShift):INDEX($FK$325:$ID$396,GR$169,SwaptionMonthsToGo+SwaptionShift))))))</f>
        <v/>
      </c>
      <c r="GS230" s="150" t="str">
        <f aca="false">IF(OR(GS$169&lt;SwaptionFirstMonthPosition+1,$FJ230&lt;SwaptionFirstMonthPosition+1,GS$169&gt;SwaptionFirstMonthPosition+SwaptionNumOfMonths+1,$FJ230&gt;SwaptionFirstMonthPosition+SwaptionNumOfMonths+1),"",IF($FJ230=GS$169,1,IF($FJ230&lt;GS$169,INDEX($FK$170:$ID$241,GS$169,$FJ230),SUMPRODUCT(INDEX($FK$325:$ID$396,GS$169,1+SwaptionShift):INDEX($FK$325:$ID$396,GS$169,SwaptionMonthsToGo+SwaptionShift),INDEX($FK$245:$ID$316,$FJ230-GS$169,73-GS$169+SwaptionShift):INDEX($FK$245:$ID$316,$FJ230-GS$169,72-GS$169+SwaptionMonthsToGo+SwaptionShift))/SQRT(SUM(INDEX($FK385:$ID385,1+SwaptionShift):INDEX($FK385:$ID385,SwaptionMonthsToGo+SwaptionShift))*SUM(INDEX($FK$325:$ID$396,GS$169,1+SwaptionShift):INDEX($FK$325:$ID$396,GS$169,SwaptionMonthsToGo+SwaptionShift))))))</f>
        <v/>
      </c>
      <c r="GT230" s="150" t="str">
        <f aca="false">IF(OR(GT$169&lt;SwaptionFirstMonthPosition+1,$FJ230&lt;SwaptionFirstMonthPosition+1,GT$169&gt;SwaptionFirstMonthPosition+SwaptionNumOfMonths+1,$FJ230&gt;SwaptionFirstMonthPosition+SwaptionNumOfMonths+1),"",IF($FJ230=GT$169,1,IF($FJ230&lt;GT$169,INDEX($FK$170:$ID$241,GT$169,$FJ230),SUMPRODUCT(INDEX($FK$325:$ID$396,GT$169,1+SwaptionShift):INDEX($FK$325:$ID$396,GT$169,SwaptionMonthsToGo+SwaptionShift),INDEX($FK$245:$ID$316,$FJ230-GT$169,73-GT$169+SwaptionShift):INDEX($FK$245:$ID$316,$FJ230-GT$169,72-GT$169+SwaptionMonthsToGo+SwaptionShift))/SQRT(SUM(INDEX($FK385:$ID385,1+SwaptionShift):INDEX($FK385:$ID385,SwaptionMonthsToGo+SwaptionShift))*SUM(INDEX($FK$325:$ID$396,GT$169,1+SwaptionShift):INDEX($FK$325:$ID$396,GT$169,SwaptionMonthsToGo+SwaptionShift))))))</f>
        <v/>
      </c>
      <c r="GU230" s="150" t="str">
        <f aca="false">IF(OR(GU$169&lt;SwaptionFirstMonthPosition+1,$FJ230&lt;SwaptionFirstMonthPosition+1,GU$169&gt;SwaptionFirstMonthPosition+SwaptionNumOfMonths+1,$FJ230&gt;SwaptionFirstMonthPosition+SwaptionNumOfMonths+1),"",IF($FJ230=GU$169,1,IF($FJ230&lt;GU$169,INDEX($FK$170:$ID$241,GU$169,$FJ230),SUMPRODUCT(INDEX($FK$325:$ID$396,GU$169,1+SwaptionShift):INDEX($FK$325:$ID$396,GU$169,SwaptionMonthsToGo+SwaptionShift),INDEX($FK$245:$ID$316,$FJ230-GU$169,73-GU$169+SwaptionShift):INDEX($FK$245:$ID$316,$FJ230-GU$169,72-GU$169+SwaptionMonthsToGo+SwaptionShift))/SQRT(SUM(INDEX($FK385:$ID385,1+SwaptionShift):INDEX($FK385:$ID385,SwaptionMonthsToGo+SwaptionShift))*SUM(INDEX($FK$325:$ID$396,GU$169,1+SwaptionShift):INDEX($FK$325:$ID$396,GU$169,SwaptionMonthsToGo+SwaptionShift))))))</f>
        <v/>
      </c>
      <c r="GV230" s="150" t="str">
        <f aca="false">IF(OR(GV$169&lt;SwaptionFirstMonthPosition+1,$FJ230&lt;SwaptionFirstMonthPosition+1,GV$169&gt;SwaptionFirstMonthPosition+SwaptionNumOfMonths+1,$FJ230&gt;SwaptionFirstMonthPosition+SwaptionNumOfMonths+1),"",IF($FJ230=GV$169,1,IF($FJ230&lt;GV$169,INDEX($FK$170:$ID$241,GV$169,$FJ230),SUMPRODUCT(INDEX($FK$325:$ID$396,GV$169,1+SwaptionShift):INDEX($FK$325:$ID$396,GV$169,SwaptionMonthsToGo+SwaptionShift),INDEX($FK$245:$ID$316,$FJ230-GV$169,73-GV$169+SwaptionShift):INDEX($FK$245:$ID$316,$FJ230-GV$169,72-GV$169+SwaptionMonthsToGo+SwaptionShift))/SQRT(SUM(INDEX($FK385:$ID385,1+SwaptionShift):INDEX($FK385:$ID385,SwaptionMonthsToGo+SwaptionShift))*SUM(INDEX($FK$325:$ID$396,GV$169,1+SwaptionShift):INDEX($FK$325:$ID$396,GV$169,SwaptionMonthsToGo+SwaptionShift))))))</f>
        <v/>
      </c>
      <c r="GW230" s="150" t="str">
        <f aca="false">IF(OR(GW$169&lt;SwaptionFirstMonthPosition+1,$FJ230&lt;SwaptionFirstMonthPosition+1,GW$169&gt;SwaptionFirstMonthPosition+SwaptionNumOfMonths+1,$FJ230&gt;SwaptionFirstMonthPosition+SwaptionNumOfMonths+1),"",IF($FJ230=GW$169,1,IF($FJ230&lt;GW$169,INDEX($FK$170:$ID$241,GW$169,$FJ230),SUMPRODUCT(INDEX($FK$325:$ID$396,GW$169,1+SwaptionShift):INDEX($FK$325:$ID$396,GW$169,SwaptionMonthsToGo+SwaptionShift),INDEX($FK$245:$ID$316,$FJ230-GW$169,73-GW$169+SwaptionShift):INDEX($FK$245:$ID$316,$FJ230-GW$169,72-GW$169+SwaptionMonthsToGo+SwaptionShift))/SQRT(SUM(INDEX($FK385:$ID385,1+SwaptionShift):INDEX($FK385:$ID385,SwaptionMonthsToGo+SwaptionShift))*SUM(INDEX($FK$325:$ID$396,GW$169,1+SwaptionShift):INDEX($FK$325:$ID$396,GW$169,SwaptionMonthsToGo+SwaptionShift))))))</f>
        <v/>
      </c>
      <c r="GX230" s="150" t="str">
        <f aca="false">IF(OR(GX$169&lt;SwaptionFirstMonthPosition+1,$FJ230&lt;SwaptionFirstMonthPosition+1,GX$169&gt;SwaptionFirstMonthPosition+SwaptionNumOfMonths+1,$FJ230&gt;SwaptionFirstMonthPosition+SwaptionNumOfMonths+1),"",IF($FJ230=GX$169,1,IF($FJ230&lt;GX$169,INDEX($FK$170:$ID$241,GX$169,$FJ230),SUMPRODUCT(INDEX($FK$325:$ID$396,GX$169,1+SwaptionShift):INDEX($FK$325:$ID$396,GX$169,SwaptionMonthsToGo+SwaptionShift),INDEX($FK$245:$ID$316,$FJ230-GX$169,73-GX$169+SwaptionShift):INDEX($FK$245:$ID$316,$FJ230-GX$169,72-GX$169+SwaptionMonthsToGo+SwaptionShift))/SQRT(SUM(INDEX($FK385:$ID385,1+SwaptionShift):INDEX($FK385:$ID385,SwaptionMonthsToGo+SwaptionShift))*SUM(INDEX($FK$325:$ID$396,GX$169,1+SwaptionShift):INDEX($FK$325:$ID$396,GX$169,SwaptionMonthsToGo+SwaptionShift))))))</f>
        <v/>
      </c>
      <c r="GY230" s="150" t="str">
        <f aca="false">IF(OR(GY$169&lt;SwaptionFirstMonthPosition+1,$FJ230&lt;SwaptionFirstMonthPosition+1,GY$169&gt;SwaptionFirstMonthPosition+SwaptionNumOfMonths+1,$FJ230&gt;SwaptionFirstMonthPosition+SwaptionNumOfMonths+1),"",IF($FJ230=GY$169,1,IF($FJ230&lt;GY$169,INDEX($FK$170:$ID$241,GY$169,$FJ230),SUMPRODUCT(INDEX($FK$325:$ID$396,GY$169,1+SwaptionShift):INDEX($FK$325:$ID$396,GY$169,SwaptionMonthsToGo+SwaptionShift),INDEX($FK$245:$ID$316,$FJ230-GY$169,73-GY$169+SwaptionShift):INDEX($FK$245:$ID$316,$FJ230-GY$169,72-GY$169+SwaptionMonthsToGo+SwaptionShift))/SQRT(SUM(INDEX($FK385:$ID385,1+SwaptionShift):INDEX($FK385:$ID385,SwaptionMonthsToGo+SwaptionShift))*SUM(INDEX($FK$325:$ID$396,GY$169,1+SwaptionShift):INDEX($FK$325:$ID$396,GY$169,SwaptionMonthsToGo+SwaptionShift))))))</f>
        <v/>
      </c>
      <c r="GZ230" s="150" t="str">
        <f aca="false">IF(OR(GZ$169&lt;SwaptionFirstMonthPosition+1,$FJ230&lt;SwaptionFirstMonthPosition+1,GZ$169&gt;SwaptionFirstMonthPosition+SwaptionNumOfMonths+1,$FJ230&gt;SwaptionFirstMonthPosition+SwaptionNumOfMonths+1),"",IF($FJ230=GZ$169,1,IF($FJ230&lt;GZ$169,INDEX($FK$170:$ID$241,GZ$169,$FJ230),SUMPRODUCT(INDEX($FK$325:$ID$396,GZ$169,1+SwaptionShift):INDEX($FK$325:$ID$396,GZ$169,SwaptionMonthsToGo+SwaptionShift),INDEX($FK$245:$ID$316,$FJ230-GZ$169,73-GZ$169+SwaptionShift):INDEX($FK$245:$ID$316,$FJ230-GZ$169,72-GZ$169+SwaptionMonthsToGo+SwaptionShift))/SQRT(SUM(INDEX($FK385:$ID385,1+SwaptionShift):INDEX($FK385:$ID385,SwaptionMonthsToGo+SwaptionShift))*SUM(INDEX($FK$325:$ID$396,GZ$169,1+SwaptionShift):INDEX($FK$325:$ID$396,GZ$169,SwaptionMonthsToGo+SwaptionShift))))))</f>
        <v/>
      </c>
      <c r="HA230" s="150" t="str">
        <f aca="false">IF(OR(HA$169&lt;SwaptionFirstMonthPosition+1,$FJ230&lt;SwaptionFirstMonthPosition+1,HA$169&gt;SwaptionFirstMonthPosition+SwaptionNumOfMonths+1,$FJ230&gt;SwaptionFirstMonthPosition+SwaptionNumOfMonths+1),"",IF($FJ230=HA$169,1,IF($FJ230&lt;HA$169,INDEX($FK$170:$ID$241,HA$169,$FJ230),SUMPRODUCT(INDEX($FK$325:$ID$396,HA$169,1+SwaptionShift):INDEX($FK$325:$ID$396,HA$169,SwaptionMonthsToGo+SwaptionShift),INDEX($FK$245:$ID$316,$FJ230-HA$169,73-HA$169+SwaptionShift):INDEX($FK$245:$ID$316,$FJ230-HA$169,72-HA$169+SwaptionMonthsToGo+SwaptionShift))/SQRT(SUM(INDEX($FK385:$ID385,1+SwaptionShift):INDEX($FK385:$ID385,SwaptionMonthsToGo+SwaptionShift))*SUM(INDEX($FK$325:$ID$396,HA$169,1+SwaptionShift):INDEX($FK$325:$ID$396,HA$169,SwaptionMonthsToGo+SwaptionShift))))))</f>
        <v/>
      </c>
      <c r="HB230" s="150" t="str">
        <f aca="false">IF(OR(HB$169&lt;SwaptionFirstMonthPosition+1,$FJ230&lt;SwaptionFirstMonthPosition+1,HB$169&gt;SwaptionFirstMonthPosition+SwaptionNumOfMonths+1,$FJ230&gt;SwaptionFirstMonthPosition+SwaptionNumOfMonths+1),"",IF($FJ230=HB$169,1,IF($FJ230&lt;HB$169,INDEX($FK$170:$ID$241,HB$169,$FJ230),SUMPRODUCT(INDEX($FK$325:$ID$396,HB$169,1+SwaptionShift):INDEX($FK$325:$ID$396,HB$169,SwaptionMonthsToGo+SwaptionShift),INDEX($FK$245:$ID$316,$FJ230-HB$169,73-HB$169+SwaptionShift):INDEX($FK$245:$ID$316,$FJ230-HB$169,72-HB$169+SwaptionMonthsToGo+SwaptionShift))/SQRT(SUM(INDEX($FK385:$ID385,1+SwaptionShift):INDEX($FK385:$ID385,SwaptionMonthsToGo+SwaptionShift))*SUM(INDEX($FK$325:$ID$396,HB$169,1+SwaptionShift):INDEX($FK$325:$ID$396,HB$169,SwaptionMonthsToGo+SwaptionShift))))))</f>
        <v/>
      </c>
      <c r="HC230" s="150" t="str">
        <f aca="false">IF(OR(HC$169&lt;SwaptionFirstMonthPosition+1,$FJ230&lt;SwaptionFirstMonthPosition+1,HC$169&gt;SwaptionFirstMonthPosition+SwaptionNumOfMonths+1,$FJ230&gt;SwaptionFirstMonthPosition+SwaptionNumOfMonths+1),"",IF($FJ230=HC$169,1,IF($FJ230&lt;HC$169,INDEX($FK$170:$ID$241,HC$169,$FJ230),SUMPRODUCT(INDEX($FK$325:$ID$396,HC$169,1+SwaptionShift):INDEX($FK$325:$ID$396,HC$169,SwaptionMonthsToGo+SwaptionShift),INDEX($FK$245:$ID$316,$FJ230-HC$169,73-HC$169+SwaptionShift):INDEX($FK$245:$ID$316,$FJ230-HC$169,72-HC$169+SwaptionMonthsToGo+SwaptionShift))/SQRT(SUM(INDEX($FK385:$ID385,1+SwaptionShift):INDEX($FK385:$ID385,SwaptionMonthsToGo+SwaptionShift))*SUM(INDEX($FK$325:$ID$396,HC$169,1+SwaptionShift):INDEX($FK$325:$ID$396,HC$169,SwaptionMonthsToGo+SwaptionShift))))))</f>
        <v/>
      </c>
      <c r="HD230" s="150" t="str">
        <f aca="false">IF(OR(HD$169&lt;SwaptionFirstMonthPosition+1,$FJ230&lt;SwaptionFirstMonthPosition+1,HD$169&gt;SwaptionFirstMonthPosition+SwaptionNumOfMonths+1,$FJ230&gt;SwaptionFirstMonthPosition+SwaptionNumOfMonths+1),"",IF($FJ230=HD$169,1,IF($FJ230&lt;HD$169,INDEX($FK$170:$ID$241,HD$169,$FJ230),SUMPRODUCT(INDEX($FK$325:$ID$396,HD$169,1+SwaptionShift):INDEX($FK$325:$ID$396,HD$169,SwaptionMonthsToGo+SwaptionShift),INDEX($FK$245:$ID$316,$FJ230-HD$169,73-HD$169+SwaptionShift):INDEX($FK$245:$ID$316,$FJ230-HD$169,72-HD$169+SwaptionMonthsToGo+SwaptionShift))/SQRT(SUM(INDEX($FK385:$ID385,1+SwaptionShift):INDEX($FK385:$ID385,SwaptionMonthsToGo+SwaptionShift))*SUM(INDEX($FK$325:$ID$396,HD$169,1+SwaptionShift):INDEX($FK$325:$ID$396,HD$169,SwaptionMonthsToGo+SwaptionShift))))))</f>
        <v/>
      </c>
      <c r="HE230" s="150" t="str">
        <f aca="false">IF(OR(HE$169&lt;SwaptionFirstMonthPosition+1,$FJ230&lt;SwaptionFirstMonthPosition+1,HE$169&gt;SwaptionFirstMonthPosition+SwaptionNumOfMonths+1,$FJ230&gt;SwaptionFirstMonthPosition+SwaptionNumOfMonths+1),"",IF($FJ230=HE$169,1,IF($FJ230&lt;HE$169,INDEX($FK$170:$ID$241,HE$169,$FJ230),SUMPRODUCT(INDEX($FK$325:$ID$396,HE$169,1+SwaptionShift):INDEX($FK$325:$ID$396,HE$169,SwaptionMonthsToGo+SwaptionShift),INDEX($FK$245:$ID$316,$FJ230-HE$169,73-HE$169+SwaptionShift):INDEX($FK$245:$ID$316,$FJ230-HE$169,72-HE$169+SwaptionMonthsToGo+SwaptionShift))/SQRT(SUM(INDEX($FK385:$ID385,1+SwaptionShift):INDEX($FK385:$ID385,SwaptionMonthsToGo+SwaptionShift))*SUM(INDEX($FK$325:$ID$396,HE$169,1+SwaptionShift):INDEX($FK$325:$ID$396,HE$169,SwaptionMonthsToGo+SwaptionShift))))))</f>
        <v/>
      </c>
      <c r="HF230" s="150" t="str">
        <f aca="false">IF(OR(HF$169&lt;SwaptionFirstMonthPosition+1,$FJ230&lt;SwaptionFirstMonthPosition+1,HF$169&gt;SwaptionFirstMonthPosition+SwaptionNumOfMonths+1,$FJ230&gt;SwaptionFirstMonthPosition+SwaptionNumOfMonths+1),"",IF($FJ230=HF$169,1,IF($FJ230&lt;HF$169,INDEX($FK$170:$ID$241,HF$169,$FJ230),SUMPRODUCT(INDEX($FK$325:$ID$396,HF$169,1+SwaptionShift):INDEX($FK$325:$ID$396,HF$169,SwaptionMonthsToGo+SwaptionShift),INDEX($FK$245:$ID$316,$FJ230-HF$169,73-HF$169+SwaptionShift):INDEX($FK$245:$ID$316,$FJ230-HF$169,72-HF$169+SwaptionMonthsToGo+SwaptionShift))/SQRT(SUM(INDEX($FK385:$ID385,1+SwaptionShift):INDEX($FK385:$ID385,SwaptionMonthsToGo+SwaptionShift))*SUM(INDEX($FK$325:$ID$396,HF$169,1+SwaptionShift):INDEX($FK$325:$ID$396,HF$169,SwaptionMonthsToGo+SwaptionShift))))))</f>
        <v/>
      </c>
      <c r="HG230" s="150" t="str">
        <f aca="false">IF(OR(HG$169&lt;SwaptionFirstMonthPosition+1,$FJ230&lt;SwaptionFirstMonthPosition+1,HG$169&gt;SwaptionFirstMonthPosition+SwaptionNumOfMonths+1,$FJ230&gt;SwaptionFirstMonthPosition+SwaptionNumOfMonths+1),"",IF($FJ230=HG$169,1,IF($FJ230&lt;HG$169,INDEX($FK$170:$ID$241,HG$169,$FJ230),SUMPRODUCT(INDEX($FK$325:$ID$396,HG$169,1+SwaptionShift):INDEX($FK$325:$ID$396,HG$169,SwaptionMonthsToGo+SwaptionShift),INDEX($FK$245:$ID$316,$FJ230-HG$169,73-HG$169+SwaptionShift):INDEX($FK$245:$ID$316,$FJ230-HG$169,72-HG$169+SwaptionMonthsToGo+SwaptionShift))/SQRT(SUM(INDEX($FK385:$ID385,1+SwaptionShift):INDEX($FK385:$ID385,SwaptionMonthsToGo+SwaptionShift))*SUM(INDEX($FK$325:$ID$396,HG$169,1+SwaptionShift):INDEX($FK$325:$ID$396,HG$169,SwaptionMonthsToGo+SwaptionShift))))))</f>
        <v/>
      </c>
      <c r="HH230" s="150" t="str">
        <f aca="false">IF(OR(HH$169&lt;SwaptionFirstMonthPosition+1,$FJ230&lt;SwaptionFirstMonthPosition+1,HH$169&gt;SwaptionFirstMonthPosition+SwaptionNumOfMonths+1,$FJ230&gt;SwaptionFirstMonthPosition+SwaptionNumOfMonths+1),"",IF($FJ230=HH$169,1,IF($FJ230&lt;HH$169,INDEX($FK$170:$ID$241,HH$169,$FJ230),SUMPRODUCT(INDEX($FK$325:$ID$396,HH$169,1+SwaptionShift):INDEX($FK$325:$ID$396,HH$169,SwaptionMonthsToGo+SwaptionShift),INDEX($FK$245:$ID$316,$FJ230-HH$169,73-HH$169+SwaptionShift):INDEX($FK$245:$ID$316,$FJ230-HH$169,72-HH$169+SwaptionMonthsToGo+SwaptionShift))/SQRT(SUM(INDEX($FK385:$ID385,1+SwaptionShift):INDEX($FK385:$ID385,SwaptionMonthsToGo+SwaptionShift))*SUM(INDEX($FK$325:$ID$396,HH$169,1+SwaptionShift):INDEX($FK$325:$ID$396,HH$169,SwaptionMonthsToGo+SwaptionShift))))))</f>
        <v/>
      </c>
      <c r="HI230" s="150" t="str">
        <f aca="false">IF(OR(HI$169&lt;SwaptionFirstMonthPosition+1,$FJ230&lt;SwaptionFirstMonthPosition+1,HI$169&gt;SwaptionFirstMonthPosition+SwaptionNumOfMonths+1,$FJ230&gt;SwaptionFirstMonthPosition+SwaptionNumOfMonths+1),"",IF($FJ230=HI$169,1,IF($FJ230&lt;HI$169,INDEX($FK$170:$ID$241,HI$169,$FJ230),SUMPRODUCT(INDEX($FK$325:$ID$396,HI$169,1+SwaptionShift):INDEX($FK$325:$ID$396,HI$169,SwaptionMonthsToGo+SwaptionShift),INDEX($FK$245:$ID$316,$FJ230-HI$169,73-HI$169+SwaptionShift):INDEX($FK$245:$ID$316,$FJ230-HI$169,72-HI$169+SwaptionMonthsToGo+SwaptionShift))/SQRT(SUM(INDEX($FK385:$ID385,1+SwaptionShift):INDEX($FK385:$ID385,SwaptionMonthsToGo+SwaptionShift))*SUM(INDEX($FK$325:$ID$396,HI$169,1+SwaptionShift):INDEX($FK$325:$ID$396,HI$169,SwaptionMonthsToGo+SwaptionShift))))))</f>
        <v/>
      </c>
      <c r="HJ230" s="150" t="str">
        <f aca="false">IF(OR(HJ$169&lt;SwaptionFirstMonthPosition+1,$FJ230&lt;SwaptionFirstMonthPosition+1,HJ$169&gt;SwaptionFirstMonthPosition+SwaptionNumOfMonths+1,$FJ230&gt;SwaptionFirstMonthPosition+SwaptionNumOfMonths+1),"",IF($FJ230=HJ$169,1,IF($FJ230&lt;HJ$169,INDEX($FK$170:$ID$241,HJ$169,$FJ230),SUMPRODUCT(INDEX($FK$325:$ID$396,HJ$169,1+SwaptionShift):INDEX($FK$325:$ID$396,HJ$169,SwaptionMonthsToGo+SwaptionShift),INDEX($FK$245:$ID$316,$FJ230-HJ$169,73-HJ$169+SwaptionShift):INDEX($FK$245:$ID$316,$FJ230-HJ$169,72-HJ$169+SwaptionMonthsToGo+SwaptionShift))/SQRT(SUM(INDEX($FK385:$ID385,1+SwaptionShift):INDEX($FK385:$ID385,SwaptionMonthsToGo+SwaptionShift))*SUM(INDEX($FK$325:$ID$396,HJ$169,1+SwaptionShift):INDEX($FK$325:$ID$396,HJ$169,SwaptionMonthsToGo+SwaptionShift))))))</f>
        <v/>
      </c>
      <c r="HK230" s="150" t="str">
        <f aca="false">IF(OR(HK$169&lt;SwaptionFirstMonthPosition+1,$FJ230&lt;SwaptionFirstMonthPosition+1,HK$169&gt;SwaptionFirstMonthPosition+SwaptionNumOfMonths+1,$FJ230&gt;SwaptionFirstMonthPosition+SwaptionNumOfMonths+1),"",IF($FJ230=HK$169,1,IF($FJ230&lt;HK$169,INDEX($FK$170:$ID$241,HK$169,$FJ230),SUMPRODUCT(INDEX($FK$325:$ID$396,HK$169,1+SwaptionShift):INDEX($FK$325:$ID$396,HK$169,SwaptionMonthsToGo+SwaptionShift),INDEX($FK$245:$ID$316,$FJ230-HK$169,73-HK$169+SwaptionShift):INDEX($FK$245:$ID$316,$FJ230-HK$169,72-HK$169+SwaptionMonthsToGo+SwaptionShift))/SQRT(SUM(INDEX($FK385:$ID385,1+SwaptionShift):INDEX($FK385:$ID385,SwaptionMonthsToGo+SwaptionShift))*SUM(INDEX($FK$325:$ID$396,HK$169,1+SwaptionShift):INDEX($FK$325:$ID$396,HK$169,SwaptionMonthsToGo+SwaptionShift))))))</f>
        <v/>
      </c>
      <c r="HL230" s="150" t="str">
        <f aca="false">IF(OR(HL$169&lt;SwaptionFirstMonthPosition+1,$FJ230&lt;SwaptionFirstMonthPosition+1,HL$169&gt;SwaptionFirstMonthPosition+SwaptionNumOfMonths+1,$FJ230&gt;SwaptionFirstMonthPosition+SwaptionNumOfMonths+1),"",IF($FJ230=HL$169,1,IF($FJ230&lt;HL$169,INDEX($FK$170:$ID$241,HL$169,$FJ230),SUMPRODUCT(INDEX($FK$325:$ID$396,HL$169,1+SwaptionShift):INDEX($FK$325:$ID$396,HL$169,SwaptionMonthsToGo+SwaptionShift),INDEX($FK$245:$ID$316,$FJ230-HL$169,73-HL$169+SwaptionShift):INDEX($FK$245:$ID$316,$FJ230-HL$169,72-HL$169+SwaptionMonthsToGo+SwaptionShift))/SQRT(SUM(INDEX($FK385:$ID385,1+SwaptionShift):INDEX($FK385:$ID385,SwaptionMonthsToGo+SwaptionShift))*SUM(INDEX($FK$325:$ID$396,HL$169,1+SwaptionShift):INDEX($FK$325:$ID$396,HL$169,SwaptionMonthsToGo+SwaptionShift))))))</f>
        <v/>
      </c>
      <c r="HM230" s="150" t="str">
        <f aca="false">IF(OR(HM$169&lt;SwaptionFirstMonthPosition+1,$FJ230&lt;SwaptionFirstMonthPosition+1,HM$169&gt;SwaptionFirstMonthPosition+SwaptionNumOfMonths+1,$FJ230&gt;SwaptionFirstMonthPosition+SwaptionNumOfMonths+1),"",IF($FJ230=HM$169,1,IF($FJ230&lt;HM$169,INDEX($FK$170:$ID$241,HM$169,$FJ230),SUMPRODUCT(INDEX($FK$325:$ID$396,HM$169,1+SwaptionShift):INDEX($FK$325:$ID$396,HM$169,SwaptionMonthsToGo+SwaptionShift),INDEX($FK$245:$ID$316,$FJ230-HM$169,73-HM$169+SwaptionShift):INDEX($FK$245:$ID$316,$FJ230-HM$169,72-HM$169+SwaptionMonthsToGo+SwaptionShift))/SQRT(SUM(INDEX($FK385:$ID385,1+SwaptionShift):INDEX($FK385:$ID385,SwaptionMonthsToGo+SwaptionShift))*SUM(INDEX($FK$325:$ID$396,HM$169,1+SwaptionShift):INDEX($FK$325:$ID$396,HM$169,SwaptionMonthsToGo+SwaptionShift))))))</f>
        <v/>
      </c>
      <c r="HN230" s="150" t="str">
        <f aca="false">IF(OR(HN$169&lt;SwaptionFirstMonthPosition+1,$FJ230&lt;SwaptionFirstMonthPosition+1,HN$169&gt;SwaptionFirstMonthPosition+SwaptionNumOfMonths+1,$FJ230&gt;SwaptionFirstMonthPosition+SwaptionNumOfMonths+1),"",IF($FJ230=HN$169,1,IF($FJ230&lt;HN$169,INDEX($FK$170:$ID$241,HN$169,$FJ230),SUMPRODUCT(INDEX($FK$325:$ID$396,HN$169,1+SwaptionShift):INDEX($FK$325:$ID$396,HN$169,SwaptionMonthsToGo+SwaptionShift),INDEX($FK$245:$ID$316,$FJ230-HN$169,73-HN$169+SwaptionShift):INDEX($FK$245:$ID$316,$FJ230-HN$169,72-HN$169+SwaptionMonthsToGo+SwaptionShift))/SQRT(SUM(INDEX($FK385:$ID385,1+SwaptionShift):INDEX($FK385:$ID385,SwaptionMonthsToGo+SwaptionShift))*SUM(INDEX($FK$325:$ID$396,HN$169,1+SwaptionShift):INDEX($FK$325:$ID$396,HN$169,SwaptionMonthsToGo+SwaptionShift))))))</f>
        <v/>
      </c>
      <c r="HO230" s="150" t="str">
        <f aca="false">IF(OR(HO$169&lt;SwaptionFirstMonthPosition+1,$FJ230&lt;SwaptionFirstMonthPosition+1,HO$169&gt;SwaptionFirstMonthPosition+SwaptionNumOfMonths+1,$FJ230&gt;SwaptionFirstMonthPosition+SwaptionNumOfMonths+1),"",IF($FJ230=HO$169,1,IF($FJ230&lt;HO$169,INDEX($FK$170:$ID$241,HO$169,$FJ230),SUMPRODUCT(INDEX($FK$325:$ID$396,HO$169,1+SwaptionShift):INDEX($FK$325:$ID$396,HO$169,SwaptionMonthsToGo+SwaptionShift),INDEX($FK$245:$ID$316,$FJ230-HO$169,73-HO$169+SwaptionShift):INDEX($FK$245:$ID$316,$FJ230-HO$169,72-HO$169+SwaptionMonthsToGo+SwaptionShift))/SQRT(SUM(INDEX($FK385:$ID385,1+SwaptionShift):INDEX($FK385:$ID385,SwaptionMonthsToGo+SwaptionShift))*SUM(INDEX($FK$325:$ID$396,HO$169,1+SwaptionShift):INDEX($FK$325:$ID$396,HO$169,SwaptionMonthsToGo+SwaptionShift))))))</f>
        <v/>
      </c>
      <c r="HP230" s="150" t="str">
        <f aca="false">IF(OR(HP$169&lt;SwaptionFirstMonthPosition+1,$FJ230&lt;SwaptionFirstMonthPosition+1,HP$169&gt;SwaptionFirstMonthPosition+SwaptionNumOfMonths+1,$FJ230&gt;SwaptionFirstMonthPosition+SwaptionNumOfMonths+1),"",IF($FJ230=HP$169,1,IF($FJ230&lt;HP$169,INDEX($FK$170:$ID$241,HP$169,$FJ230),SUMPRODUCT(INDEX($FK$325:$ID$396,HP$169,1+SwaptionShift):INDEX($FK$325:$ID$396,HP$169,SwaptionMonthsToGo+SwaptionShift),INDEX($FK$245:$ID$316,$FJ230-HP$169,73-HP$169+SwaptionShift):INDEX($FK$245:$ID$316,$FJ230-HP$169,72-HP$169+SwaptionMonthsToGo+SwaptionShift))/SQRT(SUM(INDEX($FK385:$ID385,1+SwaptionShift):INDEX($FK385:$ID385,SwaptionMonthsToGo+SwaptionShift))*SUM(INDEX($FK$325:$ID$396,HP$169,1+SwaptionShift):INDEX($FK$325:$ID$396,HP$169,SwaptionMonthsToGo+SwaptionShift))))))</f>
        <v/>
      </c>
      <c r="HQ230" s="150" t="str">
        <f aca="false">IF(OR(HQ$169&lt;SwaptionFirstMonthPosition+1,$FJ230&lt;SwaptionFirstMonthPosition+1,HQ$169&gt;SwaptionFirstMonthPosition+SwaptionNumOfMonths+1,$FJ230&gt;SwaptionFirstMonthPosition+SwaptionNumOfMonths+1),"",IF($FJ230=HQ$169,1,IF($FJ230&lt;HQ$169,INDEX($FK$170:$ID$241,HQ$169,$FJ230),SUMPRODUCT(INDEX($FK$325:$ID$396,HQ$169,1+SwaptionShift):INDEX($FK$325:$ID$396,HQ$169,SwaptionMonthsToGo+SwaptionShift),INDEX($FK$245:$ID$316,$FJ230-HQ$169,73-HQ$169+SwaptionShift):INDEX($FK$245:$ID$316,$FJ230-HQ$169,72-HQ$169+SwaptionMonthsToGo+SwaptionShift))/SQRT(SUM(INDEX($FK385:$ID385,1+SwaptionShift):INDEX($FK385:$ID385,SwaptionMonthsToGo+SwaptionShift))*SUM(INDEX($FK$325:$ID$396,HQ$169,1+SwaptionShift):INDEX($FK$325:$ID$396,HQ$169,SwaptionMonthsToGo+SwaptionShift))))))</f>
        <v/>
      </c>
      <c r="HR230" s="150" t="str">
        <f aca="false">IF(OR(HR$169&lt;SwaptionFirstMonthPosition+1,$FJ230&lt;SwaptionFirstMonthPosition+1,HR$169&gt;SwaptionFirstMonthPosition+SwaptionNumOfMonths+1,$FJ230&gt;SwaptionFirstMonthPosition+SwaptionNumOfMonths+1),"",IF($FJ230=HR$169,1,IF($FJ230&lt;HR$169,INDEX($FK$170:$ID$241,HR$169,$FJ230),SUMPRODUCT(INDEX($FK$325:$ID$396,HR$169,1+SwaptionShift):INDEX($FK$325:$ID$396,HR$169,SwaptionMonthsToGo+SwaptionShift),INDEX($FK$245:$ID$316,$FJ230-HR$169,73-HR$169+SwaptionShift):INDEX($FK$245:$ID$316,$FJ230-HR$169,72-HR$169+SwaptionMonthsToGo+SwaptionShift))/SQRT(SUM(INDEX($FK385:$ID385,1+SwaptionShift):INDEX($FK385:$ID385,SwaptionMonthsToGo+SwaptionShift))*SUM(INDEX($FK$325:$ID$396,HR$169,1+SwaptionShift):INDEX($FK$325:$ID$396,HR$169,SwaptionMonthsToGo+SwaptionShift))))))</f>
        <v/>
      </c>
      <c r="HS230" s="150" t="str">
        <f aca="false">IF(OR(HS$169&lt;SwaptionFirstMonthPosition+1,$FJ230&lt;SwaptionFirstMonthPosition+1,HS$169&gt;SwaptionFirstMonthPosition+SwaptionNumOfMonths+1,$FJ230&gt;SwaptionFirstMonthPosition+SwaptionNumOfMonths+1),"",IF($FJ230=HS$169,1,IF($FJ230&lt;HS$169,INDEX($FK$170:$ID$241,HS$169,$FJ230),SUMPRODUCT(INDEX($FK$325:$ID$396,HS$169,1+SwaptionShift):INDEX($FK$325:$ID$396,HS$169,SwaptionMonthsToGo+SwaptionShift),INDEX($FK$245:$ID$316,$FJ230-HS$169,73-HS$169+SwaptionShift):INDEX($FK$245:$ID$316,$FJ230-HS$169,72-HS$169+SwaptionMonthsToGo+SwaptionShift))/SQRT(SUM(INDEX($FK385:$ID385,1+SwaptionShift):INDEX($FK385:$ID385,SwaptionMonthsToGo+SwaptionShift))*SUM(INDEX($FK$325:$ID$396,HS$169,1+SwaptionShift):INDEX($FK$325:$ID$396,HS$169,SwaptionMonthsToGo+SwaptionShift))))))</f>
        <v/>
      </c>
      <c r="HT230" s="150" t="str">
        <f aca="false">IF(OR(HT$169&lt;SwaptionFirstMonthPosition+1,$FJ230&lt;SwaptionFirstMonthPosition+1,HT$169&gt;SwaptionFirstMonthPosition+SwaptionNumOfMonths+1,$FJ230&gt;SwaptionFirstMonthPosition+SwaptionNumOfMonths+1),"",IF($FJ230=HT$169,1,IF($FJ230&lt;HT$169,INDEX($FK$170:$ID$241,HT$169,$FJ230),SUMPRODUCT(INDEX($FK$325:$ID$396,HT$169,1+SwaptionShift):INDEX($FK$325:$ID$396,HT$169,SwaptionMonthsToGo+SwaptionShift),INDEX($FK$245:$ID$316,$FJ230-HT$169,73-HT$169+SwaptionShift):INDEX($FK$245:$ID$316,$FJ230-HT$169,72-HT$169+SwaptionMonthsToGo+SwaptionShift))/SQRT(SUM(INDEX($FK385:$ID385,1+SwaptionShift):INDEX($FK385:$ID385,SwaptionMonthsToGo+SwaptionShift))*SUM(INDEX($FK$325:$ID$396,HT$169,1+SwaptionShift):INDEX($FK$325:$ID$396,HT$169,SwaptionMonthsToGo+SwaptionShift))))))</f>
        <v/>
      </c>
      <c r="HU230" s="150" t="str">
        <f aca="false">IF(OR(HU$169&lt;SwaptionFirstMonthPosition+1,$FJ230&lt;SwaptionFirstMonthPosition+1,HU$169&gt;SwaptionFirstMonthPosition+SwaptionNumOfMonths+1,$FJ230&gt;SwaptionFirstMonthPosition+SwaptionNumOfMonths+1),"",IF($FJ230=HU$169,1,IF($FJ230&lt;HU$169,INDEX($FK$170:$ID$241,HU$169,$FJ230),SUMPRODUCT(INDEX($FK$325:$ID$396,HU$169,1+SwaptionShift):INDEX($FK$325:$ID$396,HU$169,SwaptionMonthsToGo+SwaptionShift),INDEX($FK$245:$ID$316,$FJ230-HU$169,73-HU$169+SwaptionShift):INDEX($FK$245:$ID$316,$FJ230-HU$169,72-HU$169+SwaptionMonthsToGo+SwaptionShift))/SQRT(SUM(INDEX($FK385:$ID385,1+SwaptionShift):INDEX($FK385:$ID385,SwaptionMonthsToGo+SwaptionShift))*SUM(INDEX($FK$325:$ID$396,HU$169,1+SwaptionShift):INDEX($FK$325:$ID$396,HU$169,SwaptionMonthsToGo+SwaptionShift))))))</f>
        <v/>
      </c>
      <c r="HV230" s="150" t="str">
        <f aca="false">IF(OR(HV$169&lt;SwaptionFirstMonthPosition+1,$FJ230&lt;SwaptionFirstMonthPosition+1,HV$169&gt;SwaptionFirstMonthPosition+SwaptionNumOfMonths+1,$FJ230&gt;SwaptionFirstMonthPosition+SwaptionNumOfMonths+1),"",IF($FJ230=HV$169,1,IF($FJ230&lt;HV$169,INDEX($FK$170:$ID$241,HV$169,$FJ230),SUMPRODUCT(INDEX($FK$325:$ID$396,HV$169,1+SwaptionShift):INDEX($FK$325:$ID$396,HV$169,SwaptionMonthsToGo+SwaptionShift),INDEX($FK$245:$ID$316,$FJ230-HV$169,73-HV$169+SwaptionShift):INDEX($FK$245:$ID$316,$FJ230-HV$169,72-HV$169+SwaptionMonthsToGo+SwaptionShift))/SQRT(SUM(INDEX($FK385:$ID385,1+SwaptionShift):INDEX($FK385:$ID385,SwaptionMonthsToGo+SwaptionShift))*SUM(INDEX($FK$325:$ID$396,HV$169,1+SwaptionShift):INDEX($FK$325:$ID$396,HV$169,SwaptionMonthsToGo+SwaptionShift))))))</f>
        <v/>
      </c>
      <c r="HW230" s="150" t="str">
        <f aca="false">IF(OR(HW$169&lt;SwaptionFirstMonthPosition+1,$FJ230&lt;SwaptionFirstMonthPosition+1,HW$169&gt;SwaptionFirstMonthPosition+SwaptionNumOfMonths+1,$FJ230&gt;SwaptionFirstMonthPosition+SwaptionNumOfMonths+1),"",IF($FJ230=HW$169,1,IF($FJ230&lt;HW$169,INDEX($FK$170:$ID$241,HW$169,$FJ230),SUMPRODUCT(INDEX($FK$325:$ID$396,HW$169,1+SwaptionShift):INDEX($FK$325:$ID$396,HW$169,SwaptionMonthsToGo+SwaptionShift),INDEX($FK$245:$ID$316,$FJ230-HW$169,73-HW$169+SwaptionShift):INDEX($FK$245:$ID$316,$FJ230-HW$169,72-HW$169+SwaptionMonthsToGo+SwaptionShift))/SQRT(SUM(INDEX($FK385:$ID385,1+SwaptionShift):INDEX($FK385:$ID385,SwaptionMonthsToGo+SwaptionShift))*SUM(INDEX($FK$325:$ID$396,HW$169,1+SwaptionShift):INDEX($FK$325:$ID$396,HW$169,SwaptionMonthsToGo+SwaptionShift))))))</f>
        <v/>
      </c>
      <c r="HX230" s="150" t="str">
        <f aca="false">IF(OR(HX$169&lt;SwaptionFirstMonthPosition+1,$FJ230&lt;SwaptionFirstMonthPosition+1,HX$169&gt;SwaptionFirstMonthPosition+SwaptionNumOfMonths+1,$FJ230&gt;SwaptionFirstMonthPosition+SwaptionNumOfMonths+1),"",IF($FJ230=HX$169,1,IF($FJ230&lt;HX$169,INDEX($FK$170:$ID$241,HX$169,$FJ230),SUMPRODUCT(INDEX($FK$325:$ID$396,HX$169,1+SwaptionShift):INDEX($FK$325:$ID$396,HX$169,SwaptionMonthsToGo+SwaptionShift),INDEX($FK$245:$ID$316,$FJ230-HX$169,73-HX$169+SwaptionShift):INDEX($FK$245:$ID$316,$FJ230-HX$169,72-HX$169+SwaptionMonthsToGo+SwaptionShift))/SQRT(SUM(INDEX($FK385:$ID385,1+SwaptionShift):INDEX($FK385:$ID385,SwaptionMonthsToGo+SwaptionShift))*SUM(INDEX($FK$325:$ID$396,HX$169,1+SwaptionShift):INDEX($FK$325:$ID$396,HX$169,SwaptionMonthsToGo+SwaptionShift))))))</f>
        <v/>
      </c>
      <c r="HY230" s="150" t="str">
        <f aca="false">IF(OR(HY$169&lt;SwaptionFirstMonthPosition+1,$FJ230&lt;SwaptionFirstMonthPosition+1,HY$169&gt;SwaptionFirstMonthPosition+SwaptionNumOfMonths+1,$FJ230&gt;SwaptionFirstMonthPosition+SwaptionNumOfMonths+1),"",IF($FJ230=HY$169,1,IF($FJ230&lt;HY$169,INDEX($FK$170:$ID$241,HY$169,$FJ230),SUMPRODUCT(INDEX($FK$325:$ID$396,HY$169,1+SwaptionShift):INDEX($FK$325:$ID$396,HY$169,SwaptionMonthsToGo+SwaptionShift),INDEX($FK$245:$ID$316,$FJ230-HY$169,73-HY$169+SwaptionShift):INDEX($FK$245:$ID$316,$FJ230-HY$169,72-HY$169+SwaptionMonthsToGo+SwaptionShift))/SQRT(SUM(INDEX($FK385:$ID385,1+SwaptionShift):INDEX($FK385:$ID385,SwaptionMonthsToGo+SwaptionShift))*SUM(INDEX($FK$325:$ID$396,HY$169,1+SwaptionShift):INDEX($FK$325:$ID$396,HY$169,SwaptionMonthsToGo+SwaptionShift))))))</f>
        <v/>
      </c>
      <c r="HZ230" s="150" t="str">
        <f aca="false">IF(OR(HZ$169&lt;SwaptionFirstMonthPosition+1,$FJ230&lt;SwaptionFirstMonthPosition+1,HZ$169&gt;SwaptionFirstMonthPosition+SwaptionNumOfMonths+1,$FJ230&gt;SwaptionFirstMonthPosition+SwaptionNumOfMonths+1),"",IF($FJ230=HZ$169,1,IF($FJ230&lt;HZ$169,INDEX($FK$170:$ID$241,HZ$169,$FJ230),SUMPRODUCT(INDEX($FK$325:$ID$396,HZ$169,1+SwaptionShift):INDEX($FK$325:$ID$396,HZ$169,SwaptionMonthsToGo+SwaptionShift),INDEX($FK$245:$ID$316,$FJ230-HZ$169,73-HZ$169+SwaptionShift):INDEX($FK$245:$ID$316,$FJ230-HZ$169,72-HZ$169+SwaptionMonthsToGo+SwaptionShift))/SQRT(SUM(INDEX($FK385:$ID385,1+SwaptionShift):INDEX($FK385:$ID385,SwaptionMonthsToGo+SwaptionShift))*SUM(INDEX($FK$325:$ID$396,HZ$169,1+SwaptionShift):INDEX($FK$325:$ID$396,HZ$169,SwaptionMonthsToGo+SwaptionShift))))))</f>
        <v/>
      </c>
      <c r="IA230" s="150" t="str">
        <f aca="false">IF(OR(IA$169&lt;SwaptionFirstMonthPosition+1,$FJ230&lt;SwaptionFirstMonthPosition+1,IA$169&gt;SwaptionFirstMonthPosition+SwaptionNumOfMonths+1,$FJ230&gt;SwaptionFirstMonthPosition+SwaptionNumOfMonths+1),"",IF($FJ230=IA$169,1,IF($FJ230&lt;IA$169,INDEX($FK$170:$ID$241,IA$169,$FJ230),SUMPRODUCT(INDEX($FK$325:$ID$396,IA$169,1+SwaptionShift):INDEX($FK$325:$ID$396,IA$169,SwaptionMonthsToGo+SwaptionShift),INDEX($FK$245:$ID$316,$FJ230-IA$169,73-IA$169+SwaptionShift):INDEX($FK$245:$ID$316,$FJ230-IA$169,72-IA$169+SwaptionMonthsToGo+SwaptionShift))/SQRT(SUM(INDEX($FK385:$ID385,1+SwaptionShift):INDEX($FK385:$ID385,SwaptionMonthsToGo+SwaptionShift))*SUM(INDEX($FK$325:$ID$396,IA$169,1+SwaptionShift):INDEX($FK$325:$ID$396,IA$169,SwaptionMonthsToGo+SwaptionShift))))))</f>
        <v/>
      </c>
      <c r="IB230" s="150" t="str">
        <f aca="false">IF(OR(IB$169&lt;SwaptionFirstMonthPosition+1,$FJ230&lt;SwaptionFirstMonthPosition+1,IB$169&gt;SwaptionFirstMonthPosition+SwaptionNumOfMonths+1,$FJ230&gt;SwaptionFirstMonthPosition+SwaptionNumOfMonths+1),"",IF($FJ230=IB$169,1,IF($FJ230&lt;IB$169,INDEX($FK$170:$ID$241,IB$169,$FJ230),SUMPRODUCT(INDEX($FK$325:$ID$396,IB$169,1+SwaptionShift):INDEX($FK$325:$ID$396,IB$169,SwaptionMonthsToGo+SwaptionShift),INDEX($FK$245:$ID$316,$FJ230-IB$169,73-IB$169+SwaptionShift):INDEX($FK$245:$ID$316,$FJ230-IB$169,72-IB$169+SwaptionMonthsToGo+SwaptionShift))/SQRT(SUM(INDEX($FK385:$ID385,1+SwaptionShift):INDEX($FK385:$ID385,SwaptionMonthsToGo+SwaptionShift))*SUM(INDEX($FK$325:$ID$396,IB$169,1+SwaptionShift):INDEX($FK$325:$ID$396,IB$169,SwaptionMonthsToGo+SwaptionShift))))))</f>
        <v/>
      </c>
      <c r="IC230" s="150" t="str">
        <f aca="false">IF(OR(IC$169&lt;SwaptionFirstMonthPosition+1,$FJ230&lt;SwaptionFirstMonthPosition+1,IC$169&gt;SwaptionFirstMonthPosition+SwaptionNumOfMonths+1,$FJ230&gt;SwaptionFirstMonthPosition+SwaptionNumOfMonths+1),"",IF($FJ230=IC$169,1,IF($FJ230&lt;IC$169,INDEX($FK$170:$ID$241,IC$169,$FJ230),SUMPRODUCT(INDEX($FK$325:$ID$396,IC$169,1+SwaptionShift):INDEX($FK$325:$ID$396,IC$169,SwaptionMonthsToGo+SwaptionShift),INDEX($FK$245:$ID$316,$FJ230-IC$169,73-IC$169+SwaptionShift):INDEX($FK$245:$ID$316,$FJ230-IC$169,72-IC$169+SwaptionMonthsToGo+SwaptionShift))/SQRT(SUM(INDEX($FK385:$ID385,1+SwaptionShift):INDEX($FK385:$ID385,SwaptionMonthsToGo+SwaptionShift))*SUM(INDEX($FK$325:$ID$396,IC$169,1+SwaptionShift):INDEX($FK$325:$ID$396,IC$169,SwaptionMonthsToGo+SwaptionShift))))))</f>
        <v/>
      </c>
      <c r="ID230" s="572" t="str">
        <f aca="false">IF(OR(ID$169&lt;SwaptionFirstMonthPosition+1,$FJ230&lt;SwaptionFirstMonthPosition+1,ID$169&gt;SwaptionFirstMonthPosition+SwaptionNumOfMonths+1,$FJ230&gt;SwaptionFirstMonthPosition+SwaptionNumOfMonths+1),"",IF($FJ230=ID$169,1,IF($FJ230&lt;ID$169,INDEX($FK$170:$ID$241,ID$169,$FJ230),SUMPRODUCT(INDEX($FK$325:$ID$396,ID$169,1+SwaptionShift):INDEX($FK$325:$ID$396,ID$169,SwaptionMonthsToGo+SwaptionShift),INDEX($FK$245:$ID$316,$FJ230-ID$169,73-ID$169+SwaptionShift):INDEX($FK$245:$ID$316,$FJ230-ID$169,72-ID$169+SwaptionMonthsToGo+SwaptionShift))/SQRT(SUM(INDEX($FK385:$ID385,1+SwaptionShift):INDEX($FK385:$ID385,SwaptionMonthsToGo+SwaptionShift))*SUM(INDEX($FK$325:$ID$396,ID$169,1+SwaptionShift):INDEX($FK$325:$ID$396,ID$169,SwaptionMonthsToGo+SwaptionShift))))))</f>
        <v/>
      </c>
      <c r="IE230" s="129"/>
    </row>
    <row r="231" customFormat="false" ht="12.75" hidden="false" customHeight="false" outlineLevel="0" collapsed="false">
      <c r="H231" s="219" t="n">
        <f aca="false">VLOOKUP(I231,$EJ$20:$EL$54,3)</f>
        <v>0</v>
      </c>
      <c r="I231" s="511" t="n">
        <f aca="false">EOMONTH(I230,0)+1</f>
        <v>43191</v>
      </c>
      <c r="J231" s="512"/>
      <c r="K231" s="513" t="s">
        <v>280</v>
      </c>
      <c r="L231" s="514" t="n">
        <f aca="false">IF(ISNUMBER(K231),J231+K231/100,IF(K231="extra",L230+VLOOKUP(BF231,PriceSpreadTable,2)/12,IF(K231="inter",interpolateprices($K$19:$L$200,ROW(K231)-ROW(FirstPricingMonth)+1),interpolatechanges($J$19:$K$200,ROW(K231)-ROW(FirstPricingMonth)+1))))</f>
        <v>5.0625</v>
      </c>
      <c r="M231" s="515"/>
      <c r="N231" s="516" t="n">
        <v>0</v>
      </c>
      <c r="O231" s="515" t="n">
        <f aca="false">M231+N231</f>
        <v>0</v>
      </c>
      <c r="P231" s="512"/>
      <c r="Q231" s="513" t="s">
        <v>280</v>
      </c>
      <c r="R231" s="512" t="e">
        <f aca="false">IF(ISNUMBER(Q231),P231+Q231/100,IF(Q231="extra",(Z229*AL229-R230*AM229)/AN229,IF(Q231="inter",interpolateprices($Q$19:$R$260,ROW(Q231)-ROW(FirstPricingMonth)+1),interpolatechanges($P$19:$Q$260,ROW(Q231)-ROW(FirstPricingMonth)+1))))</f>
        <v>#VALUE!</v>
      </c>
      <c r="S231" s="597" t="n">
        <f aca="false">S$19+(S230-S$19)*S$18</f>
        <v>0.36</v>
      </c>
      <c r="T231" s="575" t="n">
        <f aca="false">SQRT((1-(1-T230^2/U230)*T$18)*U231)</f>
        <v>1</v>
      </c>
      <c r="U231" s="576" t="n">
        <f aca="false">1-(1-U230)*U$18</f>
        <v>1</v>
      </c>
      <c r="V231" s="521" t="n">
        <v>0</v>
      </c>
      <c r="W231" s="577" t="n">
        <f aca="false">(J232*AJ231+J233*AK231)/AI231</f>
        <v>0</v>
      </c>
      <c r="X231" s="578" t="n">
        <f aca="false">(L232*AJ231+L233*AK231)/AI231</f>
        <v>5.11071428571428</v>
      </c>
      <c r="Y231" s="579" t="n">
        <f aca="false">IF(Q233="extra",W231-AA231,(P232*AM231+P233*AN231)/AL231)</f>
        <v>-1.2915</v>
      </c>
      <c r="Z231" s="579" t="n">
        <f aca="false">IF(Q233="extra",X231-AB231,(R232*AM231+R233*AN231)/AL231)</f>
        <v>3.81921428571428</v>
      </c>
      <c r="AA231" s="523" t="n">
        <f aca="false">IF(Q233="extra",INDEX(BrentSeasonalityTable,INT((BG231-1)/3)+1)*VLOOKUP(MAX(BF231,$AB$4),PriceSpreadTable,3),W231-Y231)</f>
        <v>1.2915</v>
      </c>
      <c r="AB231" s="524" t="n">
        <f aca="false">IF(Q233="extra",INDEX(BrentSeasonalityTable,INT((BG231-1)/3)+1)*VLOOKUP(MAX(BF231,$AB$4),PriceSpreadTable,3),X231-Z231)</f>
        <v>1.2915</v>
      </c>
      <c r="AC231" s="646" t="n">
        <v>43179</v>
      </c>
      <c r="AD231" s="646" t="n">
        <v>43175</v>
      </c>
      <c r="AE231" s="646" t="n">
        <v>43174</v>
      </c>
      <c r="AF231" s="646" t="n">
        <v>43170</v>
      </c>
      <c r="AG231" s="438" t="s">
        <v>278</v>
      </c>
      <c r="AH231" s="439" t="s">
        <v>278</v>
      </c>
      <c r="AI231" s="528" t="n">
        <v>21</v>
      </c>
      <c r="AJ231" s="529" t="n">
        <v>15</v>
      </c>
      <c r="AK231" s="529" t="n">
        <v>6</v>
      </c>
      <c r="AL231" s="530" t="n">
        <v>21</v>
      </c>
      <c r="AM231" s="529" t="n">
        <v>10</v>
      </c>
      <c r="AN231" s="531" t="n">
        <v>11</v>
      </c>
      <c r="AO231" s="532"/>
      <c r="AP231" s="465" t="n">
        <f aca="false">(1+AO231/2)^(-2*BL231)</f>
        <v>1</v>
      </c>
      <c r="AQ231" s="532"/>
      <c r="AR231" s="465" t="n">
        <f aca="false">(1+AQ231/2)^(-2*BH231/365.25)</f>
        <v>1</v>
      </c>
      <c r="AS231" s="580" t="n">
        <f aca="false">(O232*AJ231+O233*AK231)/AI231</f>
        <v>0</v>
      </c>
      <c r="AT231" s="468" t="n">
        <f aca="false">O231*VLOOKUP(BF231,BrentVolTable,2)+VLOOKUP(BF231,BrentVolTable,3)</f>
        <v>0</v>
      </c>
      <c r="AU231" s="468" t="n">
        <f aca="false">(AT232*AM231+AT233*AN231)/AL231</f>
        <v>0</v>
      </c>
      <c r="AV231" s="595" t="n">
        <f aca="false">SQRT(MAX(0.000000000001,(O231^2*BH231-S231^2*(BH231-BH230))/BH230))</f>
        <v>0.0361422674844853</v>
      </c>
      <c r="AW231" s="451" t="n">
        <f aca="false">IF($I231-DateToday+15&gt;=$T$8,"",IF($I231-DateToday+15&lt;$T$5,1,MATCH($I231-DateToday+15,$T$5:$T$8)))</f>
        <v>1</v>
      </c>
      <c r="AX231" s="468" t="n">
        <f aca="false">IF($AW231="",AX230^2/AX229,INDEX(U$5:U$8,$AW231)^((INDEX($T$5:$T$8,$AW231+1)-($I231-DateToday+15))/(INDEX($T$5:$T$8,$AW231+1)-INDEX($T$5:$T$8,$AW231)))/INDEX(U$5:U$8,$AW231+1)^((INDEX($T$5:$T$8,$AW231)-($I231-DateToday+15))/(INDEX($T$5:$T$8,$AW231+1)-INDEX($T$5:$T$8,$AW231))))</f>
        <v>0.138012150347921</v>
      </c>
      <c r="AY231" s="468" t="n">
        <f aca="false">IF($AW231="",AY230^2/AY229,INDEX(V$5:V$8,$AW231)^((INDEX($T$5:$T$8,$AW231+1)-($I231-DateToday+15))/(INDEX($T$5:$T$8,$AW231+1)-INDEX($T$5:$T$8,$AW231)))/INDEX(V$5:V$8,$AW231+1)^((INDEX($T$5:$T$8,$AW231)-($I231-DateToday+15))/(INDEX($T$5:$T$8,$AW231+1)-INDEX($T$5:$T$8,$AW231))))</f>
        <v>0.720042623699801</v>
      </c>
      <c r="AZ231" s="468" t="n">
        <f aca="false">IF($AW231="",AZ230^2/AZ229,INDEX(W$5:W$8,$AW231)^((INDEX($T$5:$T$8,$AW231+1)-($I231-DateToday+15))/(INDEX($T$5:$T$8,$AW231+1)-INDEX($T$5:$T$8,$AW231)))/INDEX(W$5:W$8,$AW231+1)^((INDEX($T$5:$T$8,$AW231)-($I231-DateToday+15))/(INDEX($T$5:$T$8,$AW231+1)-INDEX($T$5:$T$8,$AW231))))</f>
        <v>20.3011666083653</v>
      </c>
      <c r="BA231" s="468" t="n">
        <f aca="false">IF($AW231="",BA230^2/BA229,INDEX(X$5:X$8,$AW231)^((INDEX($T$5:$T$8,$AW231+1)-($I231-DateToday+15))/(INDEX($T$5:$T$8,$AW231+1)-INDEX($T$5:$T$8,$AW231)))/INDEX(X$5:X$8,$AW231+1)^((INDEX($T$5:$T$8,$AW231)-($I231-DateToday+15))/(INDEX($T$5:$T$8,$AW231+1)-INDEX($T$5:$T$8,$AW231))))</f>
        <v>29.1854964394989</v>
      </c>
      <c r="BB231" s="468" t="n">
        <f aca="false">IF($AW231="",BB230^2/BB229,INDEX(Y$5:Y$8,$AW231)^((INDEX($T$5:$T$8,$AW231+1)-($I231-DateToday+15))/(INDEX($T$5:$T$8,$AW231+1)-INDEX($T$5:$T$8,$AW231)))/INDEX(Y$5:Y$8,$AW231+1)^((INDEX($T$5:$T$8,$AW231)-($I231-DateToday+15))/(INDEX($T$5:$T$8,$AW231+1)-INDEX($T$5:$T$8,$AW231))))</f>
        <v>99.9460427962598</v>
      </c>
      <c r="BC231" s="468" t="n">
        <f aca="false">IF($AW231="",BC230^2/BC229,INDEX(Z$5:Z$8,$AW231)^((INDEX($T$5:$T$8,$AW231+1)-($I231-DateToday+15))/(INDEX($T$5:$T$8,$AW231+1)-INDEX($T$5:$T$8,$AW231)))/INDEX(Z$5:Z$8,$AW231+1)^((INDEX($T$5:$T$8,$AW231)-($I231-DateToday+15))/(INDEX($T$5:$T$8,$AW231+1)-INDEX($T$5:$T$8,$AW231))))</f>
        <v>215.381521542792</v>
      </c>
      <c r="BD231" s="535" t="n">
        <f aca="false">IF(OR(DateStart&gt;=I232,DateEnd&lt;I231),0,IF(VolumeOverrideFlag,V231,Volume))</f>
        <v>0</v>
      </c>
      <c r="BE231" s="536" t="n">
        <f aca="false">IF(OR(DateStart2&gt;=I232,DateEnd2&lt;I231),0,IF(VolumeOverrideFlag,V231,VolumeSwaption))</f>
        <v>0</v>
      </c>
      <c r="BF231" s="537" t="n">
        <f aca="false">YEAR(I231)</f>
        <v>2018</v>
      </c>
      <c r="BG231" s="538" t="n">
        <f aca="false">MONTH(I231)</f>
        <v>4</v>
      </c>
      <c r="BH231" s="539" t="n">
        <f aca="false">AD231-DateToday+1</f>
        <v>-2750</v>
      </c>
      <c r="BI231" s="540" t="n">
        <f aca="false">(I231-DateToday+1)/365.25</f>
        <v>-7.48528405201917</v>
      </c>
      <c r="BJ231" s="541" t="n">
        <f aca="false">BI231+(BL231-BI231)*CHOOSE(Underlying,AJ231/AI231,AM231/AL231)</f>
        <v>-7.42857142857143</v>
      </c>
      <c r="BK231" s="541" t="n">
        <f aca="false">BJ231+1/365.25</f>
        <v>-7.4258335777843</v>
      </c>
      <c r="BL231" s="541" t="n">
        <f aca="false">(I232-DateToday)/365.25</f>
        <v>-7.40588637919233</v>
      </c>
      <c r="BM231" s="542" t="e">
        <f aca="false">MAX(BI231-(BJ231-BI231)*(S232^2/O232^2-1),0)</f>
        <v>#DIV/0!</v>
      </c>
      <c r="BN231" s="541" t="e">
        <f aca="false">MAX(BL231+(BL231-BK231)*(S233^2/O233^2-1),0)</f>
        <v>#DIV/0!</v>
      </c>
      <c r="BO231" s="530" t="n">
        <f aca="false">CHOOSE(Underlying,AI231,AL231)</f>
        <v>21</v>
      </c>
      <c r="BP231" s="529" t="n">
        <f aca="false">CHOOSE(Underlying,AJ231,AM231)</f>
        <v>15</v>
      </c>
      <c r="BQ231" s="529" t="n">
        <f aca="false">CHOOSE(Underlying,AK231,AN231)</f>
        <v>6</v>
      </c>
      <c r="BR231" s="463" t="str">
        <f aca="false">IF(BD231,IF(Underlying=1,X231,Z231)+UnderlyingPriceAsian-SwapPriceCurve,"")</f>
        <v/>
      </c>
      <c r="BS231" s="463" t="str">
        <f aca="false">IF(BD231,Strike1/BR231-1,"")</f>
        <v/>
      </c>
      <c r="BT231" s="464" t="str">
        <f aca="false">IF(BD231,Strike2/BR231-1,"")</f>
        <v/>
      </c>
      <c r="BU231" s="465" t="str">
        <f aca="false">IF(BD231,IF(Underlying=1,L232,R232)+UnderlyingPriceAsian-SwapPriceCurve,"")</f>
        <v/>
      </c>
      <c r="BV231" s="465" t="str">
        <f aca="false">IF(BD231,IF(Underlying=1,L233,R233)+UnderlyingPriceAsian-SwapPriceCurve,"")</f>
        <v/>
      </c>
      <c r="BW231" s="466" t="str">
        <f aca="false">IF(BD231,IF(Underlying=1,O232,AT232),"")</f>
        <v/>
      </c>
      <c r="BX231" s="467" t="str">
        <f aca="false">IF(BD231,IF(Underlying=1,O233,AT233),"")</f>
        <v/>
      </c>
      <c r="BY231" s="466" t="str">
        <f aca="false">IF(BD231,IF(BS231&gt;0,IF(BS231&gt;0.2,BC231-BB231,IF(BS231&gt;0.1,BB231-BA231,BA231)),IF(BS231&lt;-0.2,AX231-AY231,IF(BS231&lt;-0.1,AY231-AZ231,AZ231))),"")</f>
        <v/>
      </c>
      <c r="BZ231" s="467" t="str">
        <f aca="false">IF(BD231,IF(BT231&gt;0,IF(BT231&gt;0.2,BC231-BB231,IF(BT231&gt;0.1,BB231-BA231,BA231)),IF(BT231&lt;-0.2,AX231-AY231,IF(BT231&lt;-0.1,AY231-AZ231,AZ231))),"")</f>
        <v/>
      </c>
      <c r="CA231" s="468" t="str">
        <f aca="false">IF($BD231,$BW231+IF(VolSkewFlag=1,IF(BS231&gt;0,$BA231*MIN(BS231/10%,1)+($BB231-$BA231)*MAX(0,MIN(BS231/10%-1,1))+($BC231-$BB231)*MAX(0,BS231/10%-2),$AZ231*MIN(-BS231/10%,1)+($AY231-$AZ231)*MAX(0,MIN(-BS231/10%-1,1))+($AX231-$AY231)*MAX(0,-BS231/10%-2)),0),"")</f>
        <v/>
      </c>
      <c r="CB231" s="468" t="str">
        <f aca="false">IF($BD231,$BX231+IF(VolSkewFlag=1,IF(BS231&gt;0,$BA231*MIN(BS231/10%,1)+($BB231-$BA231)*MAX(0,MIN(BS231/10%-1,1))+($BC231-$BB231)*MAX(0,BS231/10%-2),$AZ231*MIN(-BS231/10%,1)+($AY231-$AZ231)*MAX(0,MIN(-BS231/10%-1,1))+($AX231-$AY231)*MAX(0,-BS231/10%-2)),0),"")</f>
        <v/>
      </c>
      <c r="CC231" s="468" t="str">
        <f aca="false">IF($BD231,$BW231+IF(VolSkewFlag=1,IF(BT231&gt;0,$BA231*MIN(BT231/10%,1)+($BB231-$BA231)*MAX(0,MIN(BT231/10%-1,1))+($BC231-$BB231)*MAX(0,BT231/10%-2),$AZ231*MIN(-BT231/10%,1)+($AY231-$AZ231)*MAX(0,MIN(-BT231/10%-1,1))+($AX231-$AY231)*MAX(0,-BT231/10%-2)),0),"")</f>
        <v/>
      </c>
      <c r="CD231" s="468" t="str">
        <f aca="false">IF($BD231,$BX231+IF(VolSkewFlag=1,IF(BT231&gt;0,$BA231*MIN(BT231/10%,1)+($BB231-$BA231)*MAX(0,MIN(BT231/10%-1,1))+($BC231-$BB231)*MAX(0,BT231/10%-2),$AZ231*MIN(-BT231/10%,1)+($AY231-$AZ231)*MAX(0,MIN(-BT231/10%-1,1))+($AX231-$AY231)*MAX(0,-BT231/10%-2)),0),"")</f>
        <v/>
      </c>
      <c r="CE231" s="469" t="n">
        <v>1</v>
      </c>
      <c r="CF231" s="470" t="n">
        <f aca="false">IF(BD231,xCrudeAPO(BU231,BV231,CA231,CB231,S232,S233,BI231,BL231,BP231,BQ231,0,Strike1,AO231,CE231,0,BL231,IF(OptControl=4,0,1),0,1),0)</f>
        <v>0</v>
      </c>
      <c r="CG231" s="470" t="n">
        <f aca="false">IF(BD231,xCrudeAPO(BU231,BV231,CA231,CB231,S232,S233,BI231,BL231,BP231,BQ231,0,Strike1,AO231,CE231,0,BL231,IF(OptControl=4,0,1),1,1)+xCrudeAPO(BU231,BV231,CA231,CB231,S232,S233,BI231,BL231,BP231,BQ231,0,Strike1,AO231,CE231,0,BL231,IF(OptControl=4,0,1),1,2)+IF(OR(VolSkewFlag=2,ABS(BS231)&lt;0.0001),0,IF(BS231&gt;0,-1,1)*CH231*Strike1/BR231^2*BY231/10%),0)</f>
        <v>0</v>
      </c>
      <c r="CH231" s="470" t="n">
        <f aca="false">IF(BD231,(xCrudeAPO(BU231,BV231,CA231,CB231,S232,S233,BI231,BL231,BP231,BQ231,0,Strike1,AO231,CE231,0,BL231,IF(OptControl=4,0,1),3,1)+xCrudeAPO(BU231,BV231,CA231,CB231,S232,S233,BI231,BL231,BP231,BQ231,0,Strike1,AO231,CE231,0,BL231,IF(OptControl=4,0,1),3,2))/100,0)</f>
        <v>0</v>
      </c>
      <c r="CI231" s="470" t="n">
        <f aca="false">IF(BD231,xCrudeAPO(BU231,BV231,CA231,CB231,S232,S233,BI231-DaysForThetaCalculation/365.25,BL231-DaysForThetaCalculation/365.25,BP231,BQ231,0,Strike1,AO231,CE231,0,BL231,IF(OptControl=4,0,1),0,1)-xCrudeAPO(BU231,BV231,CA231,CB231,S232,S233,BI231,BL231,BP231,BQ231,0,Strike1,AO231,CE231,0,BL231,IF(OptControl=4,0,1),0,1),0)</f>
        <v>0</v>
      </c>
      <c r="CJ231" s="471" t="n">
        <f aca="false">IF(BD231,xCrudeAPO(BU231,BV231,CC231,CD231,S232,S233,BI231,BL231,BP231,BQ231,0,Strike2,AO231,CE231,0,BL231,IF(OptControl=3,1,0),0,1),0)</f>
        <v>0</v>
      </c>
      <c r="CK231" s="470" t="n">
        <f aca="false">IF(BD231,xCrudeAPO(BU231,BV231,CC231,CD231,S232,S233,BI231,BL231,BP231,BQ231,0,Strike2,AO231,CE231,0,BL231,IF(OptControl=3,1,0),1,1)+xCrudeAPO(BU231,BV231,CC231,CD231,S232,S233,BI231,BL231,BP231,BQ231,0,Strike2,AO231,CE231,0,BL231,IF(OptControl=3,1,0),1,2)+IF(OR(VolSkewFlag=2,ABS(BT231)&lt;0.0001),0,IF(BT231&gt;0,-1,1)*CL231*Strike2/BR231^2*BZ231/10%),0)</f>
        <v>0</v>
      </c>
      <c r="CL231" s="470" t="n">
        <f aca="false">IF(BD231,(xCrudeAPO(BU231,BV231,CC231,CD231,S232,S233,BI231,BL231,BP231,BQ231,0,Strike2,AO231,CE231,0,BL231,IF(OptControl=3,1,0),3,1)+xCrudeAPO(BU231,BV231,CC231,CD231,S232,S233,BI231,BL231,BP231,BQ231,0,Strike2,AO231,CE231,0,BL231,IF(OptControl=3,1,0),3,2))/100,0)</f>
        <v>0</v>
      </c>
      <c r="CM231" s="472" t="n">
        <f aca="false">IF(BD231,xCrudeAPO(BU231,BV231,CC231,CD231,S232,S233,BI231-DaysForThetaCalculation/365.25,BL231-DaysForThetaCalculation/365.25,BP231,BQ231,0,Strike2,AO231,CE231,0,BL231,IF(OptControl=3,1,0),0,1)-xCrudeAPO(BU231,BV231,CC231,CD231,S232,S233,BI231,BL231,BP231,BQ231,0,Strike2,AO231,CE231,0,BL231,IF(OptControl=3,1,0),0,1),0)</f>
        <v>0</v>
      </c>
      <c r="CN231" s="3"/>
      <c r="CO231" s="543" t="str">
        <f aca="false">IF(BD231,CHOOSE(Underlying,AD231,AF231)-DateToday+1,"")</f>
        <v/>
      </c>
      <c r="CP231" s="582" t="str">
        <f aca="false">IF(BD231,CHOOSE(Underlying,L231,R231),"")</f>
        <v/>
      </c>
      <c r="CQ231" s="544" t="str">
        <f aca="false">IF(BD231,Strike1/CP231-1,"")</f>
        <v/>
      </c>
      <c r="CR231" s="544" t="str">
        <f aca="false">IF(BD231,Strike2/CP231-1,"")</f>
        <v/>
      </c>
      <c r="CS231" s="544" t="str">
        <f aca="false">IF(BD231,IF(CQ231&gt;0,IF(CQ231&gt;0.2,BC230-BB230,IF(CQ231&gt;0.1,BB230-BA230,BA230)),IF(CQ231&lt;-0.2,AX230-AY230,IF(CQ231&lt;-0.1,AY230-AZ230,AZ230))),"")</f>
        <v/>
      </c>
      <c r="CT231" s="544" t="str">
        <f aca="false">IF(BD231,IF(CR231&gt;0,IF(CR231&gt;0.2,BC230-BB230,IF(CR231&gt;0.1,BB230-BA230,BA230)),IF(CR231&lt;-0.2,AX230-AY230,IF(CR231&lt;-0.1,AY230-AZ230,AZ230))),"")</f>
        <v/>
      </c>
      <c r="CU231" s="545" t="str">
        <f aca="false">IF(BD231,CHOOSE(Underlying,O231,AT231),"")</f>
        <v/>
      </c>
      <c r="CV231" s="545" t="str">
        <f aca="false">IF(BD231,CU231+IF(VolSkewFlag=1,IF(CQ231&gt;0,BA230*MIN(CQ231/10%,1)+(BB230-BA230)*MAX(0,MIN(CQ231/10%-1,1))+(BC230-BB230)*MAX(0,CQ231/10%-2),AZ230*MIN(-CQ231/10%,1)+(AY230-AZ230)*MAX(0,MIN(-CQ231/10%-1,1))+(AX230-AY230)*MAX(0,-CQ231/10%-2)),0),"")</f>
        <v/>
      </c>
      <c r="CW231" s="545" t="str">
        <f aca="false">IF(BD231,CU231+IF(VolSkewFlag=1,IF(CR231&gt;0,BA230*MIN(CR231/10%,1)+(BB230-BA230)*MAX(0,MIN(CR231/10%-1,1))+(BC230-BB230)*MAX(0,CR231/10%-2),AZ230*MIN(-CR231/10%,1)+(AY230-AZ230)*MAX(0,MIN(-CR231/10%-1,1))+(AX230-AY230)*MAX(0,-CR231/10%-2)),0),"")</f>
        <v/>
      </c>
      <c r="CX231" s="470" t="n">
        <f aca="false">IF(BD231,EURO(CP231,Strike1,AO231,AO231,CV231,CO231,IF(OptControl=4,0,1),0),0)</f>
        <v>0</v>
      </c>
      <c r="CY231" s="470" t="n">
        <f aca="false">IF(BD231,EURO(CP231,Strike1,AO231,AO231,CV231,CO231,IF(OptControl=4,0,1),1)+IF(OR(VolSkewFlag=2,ABS(CQ231)&lt;0.0001),0,IF(CQ231&gt;0,-1,1)*CZ231*100*Strike1/CP231^2*CS231/10%),0)</f>
        <v>0</v>
      </c>
      <c r="CZ231" s="470" t="n">
        <f aca="false">IF(BD231,EURO(CP231,Strike1,AO231,AO231,CV231,CO231,IF(OptControl=4,0,1),3)/100,0)</f>
        <v>0</v>
      </c>
      <c r="DA231" s="470" t="n">
        <f aca="false">IF(BD231,EURO(CP231,Strike1,AO231,AO231,CV231,CO231,IF(OptControl=4,0,1),0)-EURO(CP231,Strike1,AO231,AO231,CV231,CO231-1,IF(OptControl=4,0,1),0),0)</f>
        <v>0</v>
      </c>
      <c r="DB231" s="470" t="n">
        <f aca="false">IF(BD231,EURO(CP231,Strike2,AO231,AO231,CW231,CO231,IF(OptControl=3,1,0),0),0)</f>
        <v>0</v>
      </c>
      <c r="DC231" s="470" t="n">
        <f aca="false">IF(BD231,EURO(CP231,Strike2,AO231,AO231,CW231,CO231,IF(OptControl=3,1,0),1)+IF(OR(VolSkewFlag=2,ABS(CR231)&lt;0.0001),0,IF(CR231&gt;0,-1,1)*DD231*100*Strike2/CP231^2*CT231/10%),0)</f>
        <v>0</v>
      </c>
      <c r="DD231" s="470" t="n">
        <f aca="false">IF(BD231,EURO(CP231,Strike2,AO231,AO231,CW231,CO231,IF(OptControl=3,1,0),3)/100,0)</f>
        <v>0</v>
      </c>
      <c r="DE231" s="472" t="n">
        <f aca="false">IF(BD231,EURO(CP231,Strike2,AO231,AO231,CW231,CO231,IF(OptControl=3,1,0),0)-EURO(CP231,Strike2,AO231,AO231,CW231,CO231-1,IF(OptControl=3,1,0),0),0)</f>
        <v>0</v>
      </c>
      <c r="DG231" s="481" t="n">
        <f aca="false">EOMONTH(DG230,0)+1</f>
        <v>52110</v>
      </c>
      <c r="DH231" s="478" t="n">
        <v>24.7100000000001</v>
      </c>
      <c r="DI231" s="479" t="n">
        <v>24.7766666666668</v>
      </c>
      <c r="DJ231" s="480" t="n">
        <f aca="false">DG231</f>
        <v>52110</v>
      </c>
      <c r="DK231" s="478" t="n">
        <v>23.5343757116537</v>
      </c>
      <c r="DL231" s="479" t="n">
        <v>23.5097666666668</v>
      </c>
      <c r="DM231" s="481" t="n">
        <f aca="false">DG231</f>
        <v>52110</v>
      </c>
      <c r="DN231" s="482" t="n">
        <f aca="false">DK231+BrentPhyBrentSpread</f>
        <v>23.5843757116537</v>
      </c>
      <c r="DO231" s="481" t="n">
        <f aca="false">DG231</f>
        <v>52110</v>
      </c>
      <c r="DP231" s="483" t="n">
        <f aca="false">DL231+DQ231</f>
        <v>23.5097666666668</v>
      </c>
      <c r="DQ231" s="546" t="n">
        <v>0</v>
      </c>
      <c r="DR231" s="480" t="n">
        <f aca="false">DG231</f>
        <v>52110</v>
      </c>
      <c r="DS231" s="485" t="n">
        <v>0.097999999999998</v>
      </c>
      <c r="DT231" s="486" t="n">
        <v>0.097199999999998</v>
      </c>
      <c r="DU231" s="480" t="n">
        <f aca="false">DG231</f>
        <v>52110</v>
      </c>
      <c r="DV231" s="485" t="n">
        <v>0.097999999999998</v>
      </c>
      <c r="DW231" s="486" t="n">
        <v>0.097199999999998</v>
      </c>
      <c r="DX231" s="481" t="n">
        <f aca="false">DG231</f>
        <v>52110</v>
      </c>
      <c r="DY231" s="486" t="n">
        <v>0.35</v>
      </c>
      <c r="DZ231" s="481" t="n">
        <f aca="false">DR231</f>
        <v>52110</v>
      </c>
      <c r="EA231" s="486" t="n">
        <f aca="false">DT231</f>
        <v>0.097199999999998</v>
      </c>
      <c r="EB231" s="195"/>
      <c r="EC231" s="547" t="str">
        <f aca="false">IF(BD231,IF(Underlying=1,AS231,AU231),"")</f>
        <v/>
      </c>
      <c r="ED231" s="548" t="str">
        <f aca="false">IF($BD231,$EC231+IF(VolSkewFlag=1,IF(BS231&gt;0,$BA231*MIN(BS231/10%,1)+($BB231-$BA231)*MAX(0,MIN(BS231/10%-1,1))+($BC231-$BB231)*MAX(0,BS231/10%-2),$AZ231*MIN(-BS231/10%,1)+($AY231-$AZ231)*MAX(0,MIN(-BS231/10%-1,1))+($AX231-$AY231)*MAX(0,-BS231/10%-2)),0),"")</f>
        <v/>
      </c>
      <c r="EE231" s="549" t="str">
        <f aca="false">IF($BD231,$EC231+IF(VolSkewFlag=1,IF(BT231&gt;0,$BA231*MIN(BT231/10%,1)+($BB231-$BA231)*MAX(0,MIN(BT231/10%-1,1))+($BC231-$BB231)*MAX(0,BT231/10%-2),$AZ231*MIN(-BT231/10%,1)+($AY231-$AZ231)*MAX(0,MIN(-BT231/10%-1,1))+($AX231-$AY231)*MAX(0,-BT231/10%-2)),0),"")</f>
        <v/>
      </c>
      <c r="EF231" s="550" t="n">
        <f aca="false">IF(BD231,xASN(BR231,Strike1,AO231,ED231,0,BO231,0,BI231,BL231,IF(OptControl=4,0,1),0),0)</f>
        <v>0</v>
      </c>
      <c r="EG231" s="551" t="n">
        <f aca="false">IF(BD231,xASN(BR231,Strike2,AO231,EE231,0,BO231,0,BI231,BL231,IF(OptControl=3,1,0),0),0)</f>
        <v>0</v>
      </c>
      <c r="EL231" s="1"/>
      <c r="EM231" s="195"/>
      <c r="EN231" s="240"/>
      <c r="EO231" s="240"/>
      <c r="EP231" s="195"/>
      <c r="EQ231" s="407" t="s">
        <v>459</v>
      </c>
      <c r="ES231" s="1"/>
      <c r="EU231" s="672"/>
      <c r="FJ231" s="571" t="n">
        <v>62</v>
      </c>
      <c r="FK231" s="150" t="str">
        <f aca="false">IF(OR(FK$169&lt;SwaptionFirstMonthPosition+1,$FJ231&lt;SwaptionFirstMonthPosition+1,FK$169&gt;SwaptionFirstMonthPosition+SwaptionNumOfMonths+1,$FJ231&gt;SwaptionFirstMonthPosition+SwaptionNumOfMonths+1),"",IF($FJ231=FK$169,1,IF($FJ231&lt;FK$169,INDEX($FK$170:$ID$241,FK$169,$FJ231),SUMPRODUCT(INDEX($FK$325:$ID$396,FK$169,1+SwaptionShift):INDEX($FK$325:$ID$396,FK$169,SwaptionMonthsToGo+SwaptionShift),INDEX($FK$245:$ID$316,$FJ231-FK$169,73-FK$169+SwaptionShift):INDEX($FK$245:$ID$316,$FJ231-FK$169,72-FK$169+SwaptionMonthsToGo+SwaptionShift))/SQRT(SUM(INDEX($FK386:$ID386,1+SwaptionShift):INDEX($FK386:$ID386,SwaptionMonthsToGo+SwaptionShift))*SUM(INDEX($FK$325:$ID$396,FK$169,1+SwaptionShift):INDEX($FK$325:$ID$396,FK$169,SwaptionMonthsToGo+SwaptionShift))))))</f>
        <v/>
      </c>
      <c r="FL231" s="150" t="str">
        <f aca="false">IF(OR(FL$169&lt;SwaptionFirstMonthPosition+1,$FJ231&lt;SwaptionFirstMonthPosition+1,FL$169&gt;SwaptionFirstMonthPosition+SwaptionNumOfMonths+1,$FJ231&gt;SwaptionFirstMonthPosition+SwaptionNumOfMonths+1),"",IF($FJ231=FL$169,1,IF($FJ231&lt;FL$169,INDEX($FK$170:$ID$241,FL$169,$FJ231),SUMPRODUCT(INDEX($FK$325:$ID$396,FL$169,1+SwaptionShift):INDEX($FK$325:$ID$396,FL$169,SwaptionMonthsToGo+SwaptionShift),INDEX($FK$245:$ID$316,$FJ231-FL$169,73-FL$169+SwaptionShift):INDEX($FK$245:$ID$316,$FJ231-FL$169,72-FL$169+SwaptionMonthsToGo+SwaptionShift))/SQRT(SUM(INDEX($FK386:$ID386,1+SwaptionShift):INDEX($FK386:$ID386,SwaptionMonthsToGo+SwaptionShift))*SUM(INDEX($FK$325:$ID$396,FL$169,1+SwaptionShift):INDEX($FK$325:$ID$396,FL$169,SwaptionMonthsToGo+SwaptionShift))))))</f>
        <v/>
      </c>
      <c r="FM231" s="150" t="str">
        <f aca="false">IF(OR(FM$169&lt;SwaptionFirstMonthPosition+1,$FJ231&lt;SwaptionFirstMonthPosition+1,FM$169&gt;SwaptionFirstMonthPosition+SwaptionNumOfMonths+1,$FJ231&gt;SwaptionFirstMonthPosition+SwaptionNumOfMonths+1),"",IF($FJ231=FM$169,1,IF($FJ231&lt;FM$169,INDEX($FK$170:$ID$241,FM$169,$FJ231),SUMPRODUCT(INDEX($FK$325:$ID$396,FM$169,1+SwaptionShift):INDEX($FK$325:$ID$396,FM$169,SwaptionMonthsToGo+SwaptionShift),INDEX($FK$245:$ID$316,$FJ231-FM$169,73-FM$169+SwaptionShift):INDEX($FK$245:$ID$316,$FJ231-FM$169,72-FM$169+SwaptionMonthsToGo+SwaptionShift))/SQRT(SUM(INDEX($FK386:$ID386,1+SwaptionShift):INDEX($FK386:$ID386,SwaptionMonthsToGo+SwaptionShift))*SUM(INDEX($FK$325:$ID$396,FM$169,1+SwaptionShift):INDEX($FK$325:$ID$396,FM$169,SwaptionMonthsToGo+SwaptionShift))))))</f>
        <v/>
      </c>
      <c r="FN231" s="150" t="str">
        <f aca="false">IF(OR(FN$169&lt;SwaptionFirstMonthPosition+1,$FJ231&lt;SwaptionFirstMonthPosition+1,FN$169&gt;SwaptionFirstMonthPosition+SwaptionNumOfMonths+1,$FJ231&gt;SwaptionFirstMonthPosition+SwaptionNumOfMonths+1),"",IF($FJ231=FN$169,1,IF($FJ231&lt;FN$169,INDEX($FK$170:$ID$241,FN$169,$FJ231),SUMPRODUCT(INDEX($FK$325:$ID$396,FN$169,1+SwaptionShift):INDEX($FK$325:$ID$396,FN$169,SwaptionMonthsToGo+SwaptionShift),INDEX($FK$245:$ID$316,$FJ231-FN$169,73-FN$169+SwaptionShift):INDEX($FK$245:$ID$316,$FJ231-FN$169,72-FN$169+SwaptionMonthsToGo+SwaptionShift))/SQRT(SUM(INDEX($FK386:$ID386,1+SwaptionShift):INDEX($FK386:$ID386,SwaptionMonthsToGo+SwaptionShift))*SUM(INDEX($FK$325:$ID$396,FN$169,1+SwaptionShift):INDEX($FK$325:$ID$396,FN$169,SwaptionMonthsToGo+SwaptionShift))))))</f>
        <v/>
      </c>
      <c r="FO231" s="150" t="str">
        <f aca="false">IF(OR(FO$169&lt;SwaptionFirstMonthPosition+1,$FJ231&lt;SwaptionFirstMonthPosition+1,FO$169&gt;SwaptionFirstMonthPosition+SwaptionNumOfMonths+1,$FJ231&gt;SwaptionFirstMonthPosition+SwaptionNumOfMonths+1),"",IF($FJ231=FO$169,1,IF($FJ231&lt;FO$169,INDEX($FK$170:$ID$241,FO$169,$FJ231),SUMPRODUCT(INDEX($FK$325:$ID$396,FO$169,1+SwaptionShift):INDEX($FK$325:$ID$396,FO$169,SwaptionMonthsToGo+SwaptionShift),INDEX($FK$245:$ID$316,$FJ231-FO$169,73-FO$169+SwaptionShift):INDEX($FK$245:$ID$316,$FJ231-FO$169,72-FO$169+SwaptionMonthsToGo+SwaptionShift))/SQRT(SUM(INDEX($FK386:$ID386,1+SwaptionShift):INDEX($FK386:$ID386,SwaptionMonthsToGo+SwaptionShift))*SUM(INDEX($FK$325:$ID$396,FO$169,1+SwaptionShift):INDEX($FK$325:$ID$396,FO$169,SwaptionMonthsToGo+SwaptionShift))))))</f>
        <v/>
      </c>
      <c r="FP231" s="150" t="str">
        <f aca="false">IF(OR(FP$169&lt;SwaptionFirstMonthPosition+1,$FJ231&lt;SwaptionFirstMonthPosition+1,FP$169&gt;SwaptionFirstMonthPosition+SwaptionNumOfMonths+1,$FJ231&gt;SwaptionFirstMonthPosition+SwaptionNumOfMonths+1),"",IF($FJ231=FP$169,1,IF($FJ231&lt;FP$169,INDEX($FK$170:$ID$241,FP$169,$FJ231),SUMPRODUCT(INDEX($FK$325:$ID$396,FP$169,1+SwaptionShift):INDEX($FK$325:$ID$396,FP$169,SwaptionMonthsToGo+SwaptionShift),INDEX($FK$245:$ID$316,$FJ231-FP$169,73-FP$169+SwaptionShift):INDEX($FK$245:$ID$316,$FJ231-FP$169,72-FP$169+SwaptionMonthsToGo+SwaptionShift))/SQRT(SUM(INDEX($FK386:$ID386,1+SwaptionShift):INDEX($FK386:$ID386,SwaptionMonthsToGo+SwaptionShift))*SUM(INDEX($FK$325:$ID$396,FP$169,1+SwaptionShift):INDEX($FK$325:$ID$396,FP$169,SwaptionMonthsToGo+SwaptionShift))))))</f>
        <v/>
      </c>
      <c r="FQ231" s="150" t="str">
        <f aca="false">IF(OR(FQ$169&lt;SwaptionFirstMonthPosition+1,$FJ231&lt;SwaptionFirstMonthPosition+1,FQ$169&gt;SwaptionFirstMonthPosition+SwaptionNumOfMonths+1,$FJ231&gt;SwaptionFirstMonthPosition+SwaptionNumOfMonths+1),"",IF($FJ231=FQ$169,1,IF($FJ231&lt;FQ$169,INDEX($FK$170:$ID$241,FQ$169,$FJ231),SUMPRODUCT(INDEX($FK$325:$ID$396,FQ$169,1+SwaptionShift):INDEX($FK$325:$ID$396,FQ$169,SwaptionMonthsToGo+SwaptionShift),INDEX($FK$245:$ID$316,$FJ231-FQ$169,73-FQ$169+SwaptionShift):INDEX($FK$245:$ID$316,$FJ231-FQ$169,72-FQ$169+SwaptionMonthsToGo+SwaptionShift))/SQRT(SUM(INDEX($FK386:$ID386,1+SwaptionShift):INDEX($FK386:$ID386,SwaptionMonthsToGo+SwaptionShift))*SUM(INDEX($FK$325:$ID$396,FQ$169,1+SwaptionShift):INDEX($FK$325:$ID$396,FQ$169,SwaptionMonthsToGo+SwaptionShift))))))</f>
        <v/>
      </c>
      <c r="FR231" s="150" t="str">
        <f aca="false">IF(OR(FR$169&lt;SwaptionFirstMonthPosition+1,$FJ231&lt;SwaptionFirstMonthPosition+1,FR$169&gt;SwaptionFirstMonthPosition+SwaptionNumOfMonths+1,$FJ231&gt;SwaptionFirstMonthPosition+SwaptionNumOfMonths+1),"",IF($FJ231=FR$169,1,IF($FJ231&lt;FR$169,INDEX($FK$170:$ID$241,FR$169,$FJ231),SUMPRODUCT(INDEX($FK$325:$ID$396,FR$169,1+SwaptionShift):INDEX($FK$325:$ID$396,FR$169,SwaptionMonthsToGo+SwaptionShift),INDEX($FK$245:$ID$316,$FJ231-FR$169,73-FR$169+SwaptionShift):INDEX($FK$245:$ID$316,$FJ231-FR$169,72-FR$169+SwaptionMonthsToGo+SwaptionShift))/SQRT(SUM(INDEX($FK386:$ID386,1+SwaptionShift):INDEX($FK386:$ID386,SwaptionMonthsToGo+SwaptionShift))*SUM(INDEX($FK$325:$ID$396,FR$169,1+SwaptionShift):INDEX($FK$325:$ID$396,FR$169,SwaptionMonthsToGo+SwaptionShift))))))</f>
        <v/>
      </c>
      <c r="FS231" s="150" t="str">
        <f aca="false">IF(OR(FS$169&lt;SwaptionFirstMonthPosition+1,$FJ231&lt;SwaptionFirstMonthPosition+1,FS$169&gt;SwaptionFirstMonthPosition+SwaptionNumOfMonths+1,$FJ231&gt;SwaptionFirstMonthPosition+SwaptionNumOfMonths+1),"",IF($FJ231=FS$169,1,IF($FJ231&lt;FS$169,INDEX($FK$170:$ID$241,FS$169,$FJ231),SUMPRODUCT(INDEX($FK$325:$ID$396,FS$169,1+SwaptionShift):INDEX($FK$325:$ID$396,FS$169,SwaptionMonthsToGo+SwaptionShift),INDEX($FK$245:$ID$316,$FJ231-FS$169,73-FS$169+SwaptionShift):INDEX($FK$245:$ID$316,$FJ231-FS$169,72-FS$169+SwaptionMonthsToGo+SwaptionShift))/SQRT(SUM(INDEX($FK386:$ID386,1+SwaptionShift):INDEX($FK386:$ID386,SwaptionMonthsToGo+SwaptionShift))*SUM(INDEX($FK$325:$ID$396,FS$169,1+SwaptionShift):INDEX($FK$325:$ID$396,FS$169,SwaptionMonthsToGo+SwaptionShift))))))</f>
        <v/>
      </c>
      <c r="FT231" s="150" t="str">
        <f aca="false">IF(OR(FT$169&lt;SwaptionFirstMonthPosition+1,$FJ231&lt;SwaptionFirstMonthPosition+1,FT$169&gt;SwaptionFirstMonthPosition+SwaptionNumOfMonths+1,$FJ231&gt;SwaptionFirstMonthPosition+SwaptionNumOfMonths+1),"",IF($FJ231=FT$169,1,IF($FJ231&lt;FT$169,INDEX($FK$170:$ID$241,FT$169,$FJ231),SUMPRODUCT(INDEX($FK$325:$ID$396,FT$169,1+SwaptionShift):INDEX($FK$325:$ID$396,FT$169,SwaptionMonthsToGo+SwaptionShift),INDEX($FK$245:$ID$316,$FJ231-FT$169,73-FT$169+SwaptionShift):INDEX($FK$245:$ID$316,$FJ231-FT$169,72-FT$169+SwaptionMonthsToGo+SwaptionShift))/SQRT(SUM(INDEX($FK386:$ID386,1+SwaptionShift):INDEX($FK386:$ID386,SwaptionMonthsToGo+SwaptionShift))*SUM(INDEX($FK$325:$ID$396,FT$169,1+SwaptionShift):INDEX($FK$325:$ID$396,FT$169,SwaptionMonthsToGo+SwaptionShift))))))</f>
        <v/>
      </c>
      <c r="FU231" s="150" t="str">
        <f aca="false">IF(OR(FU$169&lt;SwaptionFirstMonthPosition+1,$FJ231&lt;SwaptionFirstMonthPosition+1,FU$169&gt;SwaptionFirstMonthPosition+SwaptionNumOfMonths+1,$FJ231&gt;SwaptionFirstMonthPosition+SwaptionNumOfMonths+1),"",IF($FJ231=FU$169,1,IF($FJ231&lt;FU$169,INDEX($FK$170:$ID$241,FU$169,$FJ231),SUMPRODUCT(INDEX($FK$325:$ID$396,FU$169,1+SwaptionShift):INDEX($FK$325:$ID$396,FU$169,SwaptionMonthsToGo+SwaptionShift),INDEX($FK$245:$ID$316,$FJ231-FU$169,73-FU$169+SwaptionShift):INDEX($FK$245:$ID$316,$FJ231-FU$169,72-FU$169+SwaptionMonthsToGo+SwaptionShift))/SQRT(SUM(INDEX($FK386:$ID386,1+SwaptionShift):INDEX($FK386:$ID386,SwaptionMonthsToGo+SwaptionShift))*SUM(INDEX($FK$325:$ID$396,FU$169,1+SwaptionShift):INDEX($FK$325:$ID$396,FU$169,SwaptionMonthsToGo+SwaptionShift))))))</f>
        <v/>
      </c>
      <c r="FV231" s="150" t="str">
        <f aca="false">IF(OR(FV$169&lt;SwaptionFirstMonthPosition+1,$FJ231&lt;SwaptionFirstMonthPosition+1,FV$169&gt;SwaptionFirstMonthPosition+SwaptionNumOfMonths+1,$FJ231&gt;SwaptionFirstMonthPosition+SwaptionNumOfMonths+1),"",IF($FJ231=FV$169,1,IF($FJ231&lt;FV$169,INDEX($FK$170:$ID$241,FV$169,$FJ231),SUMPRODUCT(INDEX($FK$325:$ID$396,FV$169,1+SwaptionShift):INDEX($FK$325:$ID$396,FV$169,SwaptionMonthsToGo+SwaptionShift),INDEX($FK$245:$ID$316,$FJ231-FV$169,73-FV$169+SwaptionShift):INDEX($FK$245:$ID$316,$FJ231-FV$169,72-FV$169+SwaptionMonthsToGo+SwaptionShift))/SQRT(SUM(INDEX($FK386:$ID386,1+SwaptionShift):INDEX($FK386:$ID386,SwaptionMonthsToGo+SwaptionShift))*SUM(INDEX($FK$325:$ID$396,FV$169,1+SwaptionShift):INDEX($FK$325:$ID$396,FV$169,SwaptionMonthsToGo+SwaptionShift))))))</f>
        <v/>
      </c>
      <c r="FW231" s="150" t="str">
        <f aca="false">IF(OR(FW$169&lt;SwaptionFirstMonthPosition+1,$FJ231&lt;SwaptionFirstMonthPosition+1,FW$169&gt;SwaptionFirstMonthPosition+SwaptionNumOfMonths+1,$FJ231&gt;SwaptionFirstMonthPosition+SwaptionNumOfMonths+1),"",IF($FJ231=FW$169,1,IF($FJ231&lt;FW$169,INDEX($FK$170:$ID$241,FW$169,$FJ231),SUMPRODUCT(INDEX($FK$325:$ID$396,FW$169,1+SwaptionShift):INDEX($FK$325:$ID$396,FW$169,SwaptionMonthsToGo+SwaptionShift),INDEX($FK$245:$ID$316,$FJ231-FW$169,73-FW$169+SwaptionShift):INDEX($FK$245:$ID$316,$FJ231-FW$169,72-FW$169+SwaptionMonthsToGo+SwaptionShift))/SQRT(SUM(INDEX($FK386:$ID386,1+SwaptionShift):INDEX($FK386:$ID386,SwaptionMonthsToGo+SwaptionShift))*SUM(INDEX($FK$325:$ID$396,FW$169,1+SwaptionShift):INDEX($FK$325:$ID$396,FW$169,SwaptionMonthsToGo+SwaptionShift))))))</f>
        <v/>
      </c>
      <c r="FX231" s="150" t="str">
        <f aca="false">IF(OR(FX$169&lt;SwaptionFirstMonthPosition+1,$FJ231&lt;SwaptionFirstMonthPosition+1,FX$169&gt;SwaptionFirstMonthPosition+SwaptionNumOfMonths+1,$FJ231&gt;SwaptionFirstMonthPosition+SwaptionNumOfMonths+1),"",IF($FJ231=FX$169,1,IF($FJ231&lt;FX$169,INDEX($FK$170:$ID$241,FX$169,$FJ231),SUMPRODUCT(INDEX($FK$325:$ID$396,FX$169,1+SwaptionShift):INDEX($FK$325:$ID$396,FX$169,SwaptionMonthsToGo+SwaptionShift),INDEX($FK$245:$ID$316,$FJ231-FX$169,73-FX$169+SwaptionShift):INDEX($FK$245:$ID$316,$FJ231-FX$169,72-FX$169+SwaptionMonthsToGo+SwaptionShift))/SQRT(SUM(INDEX($FK386:$ID386,1+SwaptionShift):INDEX($FK386:$ID386,SwaptionMonthsToGo+SwaptionShift))*SUM(INDEX($FK$325:$ID$396,FX$169,1+SwaptionShift):INDEX($FK$325:$ID$396,FX$169,SwaptionMonthsToGo+SwaptionShift))))))</f>
        <v/>
      </c>
      <c r="FY231" s="150" t="str">
        <f aca="false">IF(OR(FY$169&lt;SwaptionFirstMonthPosition+1,$FJ231&lt;SwaptionFirstMonthPosition+1,FY$169&gt;SwaptionFirstMonthPosition+SwaptionNumOfMonths+1,$FJ231&gt;SwaptionFirstMonthPosition+SwaptionNumOfMonths+1),"",IF($FJ231=FY$169,1,IF($FJ231&lt;FY$169,INDEX($FK$170:$ID$241,FY$169,$FJ231),SUMPRODUCT(INDEX($FK$325:$ID$396,FY$169,1+SwaptionShift):INDEX($FK$325:$ID$396,FY$169,SwaptionMonthsToGo+SwaptionShift),INDEX($FK$245:$ID$316,$FJ231-FY$169,73-FY$169+SwaptionShift):INDEX($FK$245:$ID$316,$FJ231-FY$169,72-FY$169+SwaptionMonthsToGo+SwaptionShift))/SQRT(SUM(INDEX($FK386:$ID386,1+SwaptionShift):INDEX($FK386:$ID386,SwaptionMonthsToGo+SwaptionShift))*SUM(INDEX($FK$325:$ID$396,FY$169,1+SwaptionShift):INDEX($FK$325:$ID$396,FY$169,SwaptionMonthsToGo+SwaptionShift))))))</f>
        <v/>
      </c>
      <c r="FZ231" s="150" t="str">
        <f aca="false">IF(OR(FZ$169&lt;SwaptionFirstMonthPosition+1,$FJ231&lt;SwaptionFirstMonthPosition+1,FZ$169&gt;SwaptionFirstMonthPosition+SwaptionNumOfMonths+1,$FJ231&gt;SwaptionFirstMonthPosition+SwaptionNumOfMonths+1),"",IF($FJ231=FZ$169,1,IF($FJ231&lt;FZ$169,INDEX($FK$170:$ID$241,FZ$169,$FJ231),SUMPRODUCT(INDEX($FK$325:$ID$396,FZ$169,1+SwaptionShift):INDEX($FK$325:$ID$396,FZ$169,SwaptionMonthsToGo+SwaptionShift),INDEX($FK$245:$ID$316,$FJ231-FZ$169,73-FZ$169+SwaptionShift):INDEX($FK$245:$ID$316,$FJ231-FZ$169,72-FZ$169+SwaptionMonthsToGo+SwaptionShift))/SQRT(SUM(INDEX($FK386:$ID386,1+SwaptionShift):INDEX($FK386:$ID386,SwaptionMonthsToGo+SwaptionShift))*SUM(INDEX($FK$325:$ID$396,FZ$169,1+SwaptionShift):INDEX($FK$325:$ID$396,FZ$169,SwaptionMonthsToGo+SwaptionShift))))))</f>
        <v/>
      </c>
      <c r="GA231" s="150" t="str">
        <f aca="false">IF(OR(GA$169&lt;SwaptionFirstMonthPosition+1,$FJ231&lt;SwaptionFirstMonthPosition+1,GA$169&gt;SwaptionFirstMonthPosition+SwaptionNumOfMonths+1,$FJ231&gt;SwaptionFirstMonthPosition+SwaptionNumOfMonths+1),"",IF($FJ231=GA$169,1,IF($FJ231&lt;GA$169,INDEX($FK$170:$ID$241,GA$169,$FJ231),SUMPRODUCT(INDEX($FK$325:$ID$396,GA$169,1+SwaptionShift):INDEX($FK$325:$ID$396,GA$169,SwaptionMonthsToGo+SwaptionShift),INDEX($FK$245:$ID$316,$FJ231-GA$169,73-GA$169+SwaptionShift):INDEX($FK$245:$ID$316,$FJ231-GA$169,72-GA$169+SwaptionMonthsToGo+SwaptionShift))/SQRT(SUM(INDEX($FK386:$ID386,1+SwaptionShift):INDEX($FK386:$ID386,SwaptionMonthsToGo+SwaptionShift))*SUM(INDEX($FK$325:$ID$396,GA$169,1+SwaptionShift):INDEX($FK$325:$ID$396,GA$169,SwaptionMonthsToGo+SwaptionShift))))))</f>
        <v/>
      </c>
      <c r="GB231" s="150" t="str">
        <f aca="false">IF(OR(GB$169&lt;SwaptionFirstMonthPosition+1,$FJ231&lt;SwaptionFirstMonthPosition+1,GB$169&gt;SwaptionFirstMonthPosition+SwaptionNumOfMonths+1,$FJ231&gt;SwaptionFirstMonthPosition+SwaptionNumOfMonths+1),"",IF($FJ231=GB$169,1,IF($FJ231&lt;GB$169,INDEX($FK$170:$ID$241,GB$169,$FJ231),SUMPRODUCT(INDEX($FK$325:$ID$396,GB$169,1+SwaptionShift):INDEX($FK$325:$ID$396,GB$169,SwaptionMonthsToGo+SwaptionShift),INDEX($FK$245:$ID$316,$FJ231-GB$169,73-GB$169+SwaptionShift):INDEX($FK$245:$ID$316,$FJ231-GB$169,72-GB$169+SwaptionMonthsToGo+SwaptionShift))/SQRT(SUM(INDEX($FK386:$ID386,1+SwaptionShift):INDEX($FK386:$ID386,SwaptionMonthsToGo+SwaptionShift))*SUM(INDEX($FK$325:$ID$396,GB$169,1+SwaptionShift):INDEX($FK$325:$ID$396,GB$169,SwaptionMonthsToGo+SwaptionShift))))))</f>
        <v/>
      </c>
      <c r="GC231" s="150" t="str">
        <f aca="false">IF(OR(GC$169&lt;SwaptionFirstMonthPosition+1,$FJ231&lt;SwaptionFirstMonthPosition+1,GC$169&gt;SwaptionFirstMonthPosition+SwaptionNumOfMonths+1,$FJ231&gt;SwaptionFirstMonthPosition+SwaptionNumOfMonths+1),"",IF($FJ231=GC$169,1,IF($FJ231&lt;GC$169,INDEX($FK$170:$ID$241,GC$169,$FJ231),SUMPRODUCT(INDEX($FK$325:$ID$396,GC$169,1+SwaptionShift):INDEX($FK$325:$ID$396,GC$169,SwaptionMonthsToGo+SwaptionShift),INDEX($FK$245:$ID$316,$FJ231-GC$169,73-GC$169+SwaptionShift):INDEX($FK$245:$ID$316,$FJ231-GC$169,72-GC$169+SwaptionMonthsToGo+SwaptionShift))/SQRT(SUM(INDEX($FK386:$ID386,1+SwaptionShift):INDEX($FK386:$ID386,SwaptionMonthsToGo+SwaptionShift))*SUM(INDEX($FK$325:$ID$396,GC$169,1+SwaptionShift):INDEX($FK$325:$ID$396,GC$169,SwaptionMonthsToGo+SwaptionShift))))))</f>
        <v/>
      </c>
      <c r="GD231" s="150" t="str">
        <f aca="false">IF(OR(GD$169&lt;SwaptionFirstMonthPosition+1,$FJ231&lt;SwaptionFirstMonthPosition+1,GD$169&gt;SwaptionFirstMonthPosition+SwaptionNumOfMonths+1,$FJ231&gt;SwaptionFirstMonthPosition+SwaptionNumOfMonths+1),"",IF($FJ231=GD$169,1,IF($FJ231&lt;GD$169,INDEX($FK$170:$ID$241,GD$169,$FJ231),SUMPRODUCT(INDEX($FK$325:$ID$396,GD$169,1+SwaptionShift):INDEX($FK$325:$ID$396,GD$169,SwaptionMonthsToGo+SwaptionShift),INDEX($FK$245:$ID$316,$FJ231-GD$169,73-GD$169+SwaptionShift):INDEX($FK$245:$ID$316,$FJ231-GD$169,72-GD$169+SwaptionMonthsToGo+SwaptionShift))/SQRT(SUM(INDEX($FK386:$ID386,1+SwaptionShift):INDEX($FK386:$ID386,SwaptionMonthsToGo+SwaptionShift))*SUM(INDEX($FK$325:$ID$396,GD$169,1+SwaptionShift):INDEX($FK$325:$ID$396,GD$169,SwaptionMonthsToGo+SwaptionShift))))))</f>
        <v/>
      </c>
      <c r="GE231" s="150" t="str">
        <f aca="false">IF(OR(GE$169&lt;SwaptionFirstMonthPosition+1,$FJ231&lt;SwaptionFirstMonthPosition+1,GE$169&gt;SwaptionFirstMonthPosition+SwaptionNumOfMonths+1,$FJ231&gt;SwaptionFirstMonthPosition+SwaptionNumOfMonths+1),"",IF($FJ231=GE$169,1,IF($FJ231&lt;GE$169,INDEX($FK$170:$ID$241,GE$169,$FJ231),SUMPRODUCT(INDEX($FK$325:$ID$396,GE$169,1+SwaptionShift):INDEX($FK$325:$ID$396,GE$169,SwaptionMonthsToGo+SwaptionShift),INDEX($FK$245:$ID$316,$FJ231-GE$169,73-GE$169+SwaptionShift):INDEX($FK$245:$ID$316,$FJ231-GE$169,72-GE$169+SwaptionMonthsToGo+SwaptionShift))/SQRT(SUM(INDEX($FK386:$ID386,1+SwaptionShift):INDEX($FK386:$ID386,SwaptionMonthsToGo+SwaptionShift))*SUM(INDEX($FK$325:$ID$396,GE$169,1+SwaptionShift):INDEX($FK$325:$ID$396,GE$169,SwaptionMonthsToGo+SwaptionShift))))))</f>
        <v/>
      </c>
      <c r="GF231" s="150" t="str">
        <f aca="false">IF(OR(GF$169&lt;SwaptionFirstMonthPosition+1,$FJ231&lt;SwaptionFirstMonthPosition+1,GF$169&gt;SwaptionFirstMonthPosition+SwaptionNumOfMonths+1,$FJ231&gt;SwaptionFirstMonthPosition+SwaptionNumOfMonths+1),"",IF($FJ231=GF$169,1,IF($FJ231&lt;GF$169,INDEX($FK$170:$ID$241,GF$169,$FJ231),SUMPRODUCT(INDEX($FK$325:$ID$396,GF$169,1+SwaptionShift):INDEX($FK$325:$ID$396,GF$169,SwaptionMonthsToGo+SwaptionShift),INDEX($FK$245:$ID$316,$FJ231-GF$169,73-GF$169+SwaptionShift):INDEX($FK$245:$ID$316,$FJ231-GF$169,72-GF$169+SwaptionMonthsToGo+SwaptionShift))/SQRT(SUM(INDEX($FK386:$ID386,1+SwaptionShift):INDEX($FK386:$ID386,SwaptionMonthsToGo+SwaptionShift))*SUM(INDEX($FK$325:$ID$396,GF$169,1+SwaptionShift):INDEX($FK$325:$ID$396,GF$169,SwaptionMonthsToGo+SwaptionShift))))))</f>
        <v/>
      </c>
      <c r="GG231" s="150" t="str">
        <f aca="false">IF(OR(GG$169&lt;SwaptionFirstMonthPosition+1,$FJ231&lt;SwaptionFirstMonthPosition+1,GG$169&gt;SwaptionFirstMonthPosition+SwaptionNumOfMonths+1,$FJ231&gt;SwaptionFirstMonthPosition+SwaptionNumOfMonths+1),"",IF($FJ231=GG$169,1,IF($FJ231&lt;GG$169,INDEX($FK$170:$ID$241,GG$169,$FJ231),SUMPRODUCT(INDEX($FK$325:$ID$396,GG$169,1+SwaptionShift):INDEX($FK$325:$ID$396,GG$169,SwaptionMonthsToGo+SwaptionShift),INDEX($FK$245:$ID$316,$FJ231-GG$169,73-GG$169+SwaptionShift):INDEX($FK$245:$ID$316,$FJ231-GG$169,72-GG$169+SwaptionMonthsToGo+SwaptionShift))/SQRT(SUM(INDEX($FK386:$ID386,1+SwaptionShift):INDEX($FK386:$ID386,SwaptionMonthsToGo+SwaptionShift))*SUM(INDEX($FK$325:$ID$396,GG$169,1+SwaptionShift):INDEX($FK$325:$ID$396,GG$169,SwaptionMonthsToGo+SwaptionShift))))))</f>
        <v/>
      </c>
      <c r="GH231" s="150" t="str">
        <f aca="false">IF(OR(GH$169&lt;SwaptionFirstMonthPosition+1,$FJ231&lt;SwaptionFirstMonthPosition+1,GH$169&gt;SwaptionFirstMonthPosition+SwaptionNumOfMonths+1,$FJ231&gt;SwaptionFirstMonthPosition+SwaptionNumOfMonths+1),"",IF($FJ231=GH$169,1,IF($FJ231&lt;GH$169,INDEX($FK$170:$ID$241,GH$169,$FJ231),SUMPRODUCT(INDEX($FK$325:$ID$396,GH$169,1+SwaptionShift):INDEX($FK$325:$ID$396,GH$169,SwaptionMonthsToGo+SwaptionShift),INDEX($FK$245:$ID$316,$FJ231-GH$169,73-GH$169+SwaptionShift):INDEX($FK$245:$ID$316,$FJ231-GH$169,72-GH$169+SwaptionMonthsToGo+SwaptionShift))/SQRT(SUM(INDEX($FK386:$ID386,1+SwaptionShift):INDEX($FK386:$ID386,SwaptionMonthsToGo+SwaptionShift))*SUM(INDEX($FK$325:$ID$396,GH$169,1+SwaptionShift):INDEX($FK$325:$ID$396,GH$169,SwaptionMonthsToGo+SwaptionShift))))))</f>
        <v/>
      </c>
      <c r="GI231" s="150" t="str">
        <f aca="false">IF(OR(GI$169&lt;SwaptionFirstMonthPosition+1,$FJ231&lt;SwaptionFirstMonthPosition+1,GI$169&gt;SwaptionFirstMonthPosition+SwaptionNumOfMonths+1,$FJ231&gt;SwaptionFirstMonthPosition+SwaptionNumOfMonths+1),"",IF($FJ231=GI$169,1,IF($FJ231&lt;GI$169,INDEX($FK$170:$ID$241,GI$169,$FJ231),SUMPRODUCT(INDEX($FK$325:$ID$396,GI$169,1+SwaptionShift):INDEX($FK$325:$ID$396,GI$169,SwaptionMonthsToGo+SwaptionShift),INDEX($FK$245:$ID$316,$FJ231-GI$169,73-GI$169+SwaptionShift):INDEX($FK$245:$ID$316,$FJ231-GI$169,72-GI$169+SwaptionMonthsToGo+SwaptionShift))/SQRT(SUM(INDEX($FK386:$ID386,1+SwaptionShift):INDEX($FK386:$ID386,SwaptionMonthsToGo+SwaptionShift))*SUM(INDEX($FK$325:$ID$396,GI$169,1+SwaptionShift):INDEX($FK$325:$ID$396,GI$169,SwaptionMonthsToGo+SwaptionShift))))))</f>
        <v/>
      </c>
      <c r="GJ231" s="150" t="str">
        <f aca="false">IF(OR(GJ$169&lt;SwaptionFirstMonthPosition+1,$FJ231&lt;SwaptionFirstMonthPosition+1,GJ$169&gt;SwaptionFirstMonthPosition+SwaptionNumOfMonths+1,$FJ231&gt;SwaptionFirstMonthPosition+SwaptionNumOfMonths+1),"",IF($FJ231=GJ$169,1,IF($FJ231&lt;GJ$169,INDEX($FK$170:$ID$241,GJ$169,$FJ231),SUMPRODUCT(INDEX($FK$325:$ID$396,GJ$169,1+SwaptionShift):INDEX($FK$325:$ID$396,GJ$169,SwaptionMonthsToGo+SwaptionShift),INDEX($FK$245:$ID$316,$FJ231-GJ$169,73-GJ$169+SwaptionShift):INDEX($FK$245:$ID$316,$FJ231-GJ$169,72-GJ$169+SwaptionMonthsToGo+SwaptionShift))/SQRT(SUM(INDEX($FK386:$ID386,1+SwaptionShift):INDEX($FK386:$ID386,SwaptionMonthsToGo+SwaptionShift))*SUM(INDEX($FK$325:$ID$396,GJ$169,1+SwaptionShift):INDEX($FK$325:$ID$396,GJ$169,SwaptionMonthsToGo+SwaptionShift))))))</f>
        <v/>
      </c>
      <c r="GK231" s="150" t="str">
        <f aca="false">IF(OR(GK$169&lt;SwaptionFirstMonthPosition+1,$FJ231&lt;SwaptionFirstMonthPosition+1,GK$169&gt;SwaptionFirstMonthPosition+SwaptionNumOfMonths+1,$FJ231&gt;SwaptionFirstMonthPosition+SwaptionNumOfMonths+1),"",IF($FJ231=GK$169,1,IF($FJ231&lt;GK$169,INDEX($FK$170:$ID$241,GK$169,$FJ231),SUMPRODUCT(INDEX($FK$325:$ID$396,GK$169,1+SwaptionShift):INDEX($FK$325:$ID$396,GK$169,SwaptionMonthsToGo+SwaptionShift),INDEX($FK$245:$ID$316,$FJ231-GK$169,73-GK$169+SwaptionShift):INDEX($FK$245:$ID$316,$FJ231-GK$169,72-GK$169+SwaptionMonthsToGo+SwaptionShift))/SQRT(SUM(INDEX($FK386:$ID386,1+SwaptionShift):INDEX($FK386:$ID386,SwaptionMonthsToGo+SwaptionShift))*SUM(INDEX($FK$325:$ID$396,GK$169,1+SwaptionShift):INDEX($FK$325:$ID$396,GK$169,SwaptionMonthsToGo+SwaptionShift))))))</f>
        <v/>
      </c>
      <c r="GL231" s="150" t="str">
        <f aca="false">IF(OR(GL$169&lt;SwaptionFirstMonthPosition+1,$FJ231&lt;SwaptionFirstMonthPosition+1,GL$169&gt;SwaptionFirstMonthPosition+SwaptionNumOfMonths+1,$FJ231&gt;SwaptionFirstMonthPosition+SwaptionNumOfMonths+1),"",IF($FJ231=GL$169,1,IF($FJ231&lt;GL$169,INDEX($FK$170:$ID$241,GL$169,$FJ231),SUMPRODUCT(INDEX($FK$325:$ID$396,GL$169,1+SwaptionShift):INDEX($FK$325:$ID$396,GL$169,SwaptionMonthsToGo+SwaptionShift),INDEX($FK$245:$ID$316,$FJ231-GL$169,73-GL$169+SwaptionShift):INDEX($FK$245:$ID$316,$FJ231-GL$169,72-GL$169+SwaptionMonthsToGo+SwaptionShift))/SQRT(SUM(INDEX($FK386:$ID386,1+SwaptionShift):INDEX($FK386:$ID386,SwaptionMonthsToGo+SwaptionShift))*SUM(INDEX($FK$325:$ID$396,GL$169,1+SwaptionShift):INDEX($FK$325:$ID$396,GL$169,SwaptionMonthsToGo+SwaptionShift))))))</f>
        <v/>
      </c>
      <c r="GM231" s="150" t="str">
        <f aca="false">IF(OR(GM$169&lt;SwaptionFirstMonthPosition+1,$FJ231&lt;SwaptionFirstMonthPosition+1,GM$169&gt;SwaptionFirstMonthPosition+SwaptionNumOfMonths+1,$FJ231&gt;SwaptionFirstMonthPosition+SwaptionNumOfMonths+1),"",IF($FJ231=GM$169,1,IF($FJ231&lt;GM$169,INDEX($FK$170:$ID$241,GM$169,$FJ231),SUMPRODUCT(INDEX($FK$325:$ID$396,GM$169,1+SwaptionShift):INDEX($FK$325:$ID$396,GM$169,SwaptionMonthsToGo+SwaptionShift),INDEX($FK$245:$ID$316,$FJ231-GM$169,73-GM$169+SwaptionShift):INDEX($FK$245:$ID$316,$FJ231-GM$169,72-GM$169+SwaptionMonthsToGo+SwaptionShift))/SQRT(SUM(INDEX($FK386:$ID386,1+SwaptionShift):INDEX($FK386:$ID386,SwaptionMonthsToGo+SwaptionShift))*SUM(INDEX($FK$325:$ID$396,GM$169,1+SwaptionShift):INDEX($FK$325:$ID$396,GM$169,SwaptionMonthsToGo+SwaptionShift))))))</f>
        <v/>
      </c>
      <c r="GN231" s="150" t="str">
        <f aca="false">IF(OR(GN$169&lt;SwaptionFirstMonthPosition+1,$FJ231&lt;SwaptionFirstMonthPosition+1,GN$169&gt;SwaptionFirstMonthPosition+SwaptionNumOfMonths+1,$FJ231&gt;SwaptionFirstMonthPosition+SwaptionNumOfMonths+1),"",IF($FJ231=GN$169,1,IF($FJ231&lt;GN$169,INDEX($FK$170:$ID$241,GN$169,$FJ231),SUMPRODUCT(INDEX($FK$325:$ID$396,GN$169,1+SwaptionShift):INDEX($FK$325:$ID$396,GN$169,SwaptionMonthsToGo+SwaptionShift),INDEX($FK$245:$ID$316,$FJ231-GN$169,73-GN$169+SwaptionShift):INDEX($FK$245:$ID$316,$FJ231-GN$169,72-GN$169+SwaptionMonthsToGo+SwaptionShift))/SQRT(SUM(INDEX($FK386:$ID386,1+SwaptionShift):INDEX($FK386:$ID386,SwaptionMonthsToGo+SwaptionShift))*SUM(INDEX($FK$325:$ID$396,GN$169,1+SwaptionShift):INDEX($FK$325:$ID$396,GN$169,SwaptionMonthsToGo+SwaptionShift))))))</f>
        <v/>
      </c>
      <c r="GO231" s="150" t="str">
        <f aca="false">IF(OR(GO$169&lt;SwaptionFirstMonthPosition+1,$FJ231&lt;SwaptionFirstMonthPosition+1,GO$169&gt;SwaptionFirstMonthPosition+SwaptionNumOfMonths+1,$FJ231&gt;SwaptionFirstMonthPosition+SwaptionNumOfMonths+1),"",IF($FJ231=GO$169,1,IF($FJ231&lt;GO$169,INDEX($FK$170:$ID$241,GO$169,$FJ231),SUMPRODUCT(INDEX($FK$325:$ID$396,GO$169,1+SwaptionShift):INDEX($FK$325:$ID$396,GO$169,SwaptionMonthsToGo+SwaptionShift),INDEX($FK$245:$ID$316,$FJ231-GO$169,73-GO$169+SwaptionShift):INDEX($FK$245:$ID$316,$FJ231-GO$169,72-GO$169+SwaptionMonthsToGo+SwaptionShift))/SQRT(SUM(INDEX($FK386:$ID386,1+SwaptionShift):INDEX($FK386:$ID386,SwaptionMonthsToGo+SwaptionShift))*SUM(INDEX($FK$325:$ID$396,GO$169,1+SwaptionShift):INDEX($FK$325:$ID$396,GO$169,SwaptionMonthsToGo+SwaptionShift))))))</f>
        <v/>
      </c>
      <c r="GP231" s="150" t="str">
        <f aca="false">IF(OR(GP$169&lt;SwaptionFirstMonthPosition+1,$FJ231&lt;SwaptionFirstMonthPosition+1,GP$169&gt;SwaptionFirstMonthPosition+SwaptionNumOfMonths+1,$FJ231&gt;SwaptionFirstMonthPosition+SwaptionNumOfMonths+1),"",IF($FJ231=GP$169,1,IF($FJ231&lt;GP$169,INDEX($FK$170:$ID$241,GP$169,$FJ231),SUMPRODUCT(INDEX($FK$325:$ID$396,GP$169,1+SwaptionShift):INDEX($FK$325:$ID$396,GP$169,SwaptionMonthsToGo+SwaptionShift),INDEX($FK$245:$ID$316,$FJ231-GP$169,73-GP$169+SwaptionShift):INDEX($FK$245:$ID$316,$FJ231-GP$169,72-GP$169+SwaptionMonthsToGo+SwaptionShift))/SQRT(SUM(INDEX($FK386:$ID386,1+SwaptionShift):INDEX($FK386:$ID386,SwaptionMonthsToGo+SwaptionShift))*SUM(INDEX($FK$325:$ID$396,GP$169,1+SwaptionShift):INDEX($FK$325:$ID$396,GP$169,SwaptionMonthsToGo+SwaptionShift))))))</f>
        <v/>
      </c>
      <c r="GQ231" s="150" t="str">
        <f aca="false">IF(OR(GQ$169&lt;SwaptionFirstMonthPosition+1,$FJ231&lt;SwaptionFirstMonthPosition+1,GQ$169&gt;SwaptionFirstMonthPosition+SwaptionNumOfMonths+1,$FJ231&gt;SwaptionFirstMonthPosition+SwaptionNumOfMonths+1),"",IF($FJ231=GQ$169,1,IF($FJ231&lt;GQ$169,INDEX($FK$170:$ID$241,GQ$169,$FJ231),SUMPRODUCT(INDEX($FK$325:$ID$396,GQ$169,1+SwaptionShift):INDEX($FK$325:$ID$396,GQ$169,SwaptionMonthsToGo+SwaptionShift),INDEX($FK$245:$ID$316,$FJ231-GQ$169,73-GQ$169+SwaptionShift):INDEX($FK$245:$ID$316,$FJ231-GQ$169,72-GQ$169+SwaptionMonthsToGo+SwaptionShift))/SQRT(SUM(INDEX($FK386:$ID386,1+SwaptionShift):INDEX($FK386:$ID386,SwaptionMonthsToGo+SwaptionShift))*SUM(INDEX($FK$325:$ID$396,GQ$169,1+SwaptionShift):INDEX($FK$325:$ID$396,GQ$169,SwaptionMonthsToGo+SwaptionShift))))))</f>
        <v/>
      </c>
      <c r="GR231" s="150" t="str">
        <f aca="false">IF(OR(GR$169&lt;SwaptionFirstMonthPosition+1,$FJ231&lt;SwaptionFirstMonthPosition+1,GR$169&gt;SwaptionFirstMonthPosition+SwaptionNumOfMonths+1,$FJ231&gt;SwaptionFirstMonthPosition+SwaptionNumOfMonths+1),"",IF($FJ231=GR$169,1,IF($FJ231&lt;GR$169,INDEX($FK$170:$ID$241,GR$169,$FJ231),SUMPRODUCT(INDEX($FK$325:$ID$396,GR$169,1+SwaptionShift):INDEX($FK$325:$ID$396,GR$169,SwaptionMonthsToGo+SwaptionShift),INDEX($FK$245:$ID$316,$FJ231-GR$169,73-GR$169+SwaptionShift):INDEX($FK$245:$ID$316,$FJ231-GR$169,72-GR$169+SwaptionMonthsToGo+SwaptionShift))/SQRT(SUM(INDEX($FK386:$ID386,1+SwaptionShift):INDEX($FK386:$ID386,SwaptionMonthsToGo+SwaptionShift))*SUM(INDEX($FK$325:$ID$396,GR$169,1+SwaptionShift):INDEX($FK$325:$ID$396,GR$169,SwaptionMonthsToGo+SwaptionShift))))))</f>
        <v/>
      </c>
      <c r="GS231" s="150" t="str">
        <f aca="false">IF(OR(GS$169&lt;SwaptionFirstMonthPosition+1,$FJ231&lt;SwaptionFirstMonthPosition+1,GS$169&gt;SwaptionFirstMonthPosition+SwaptionNumOfMonths+1,$FJ231&gt;SwaptionFirstMonthPosition+SwaptionNumOfMonths+1),"",IF($FJ231=GS$169,1,IF($FJ231&lt;GS$169,INDEX($FK$170:$ID$241,GS$169,$FJ231),SUMPRODUCT(INDEX($FK$325:$ID$396,GS$169,1+SwaptionShift):INDEX($FK$325:$ID$396,GS$169,SwaptionMonthsToGo+SwaptionShift),INDEX($FK$245:$ID$316,$FJ231-GS$169,73-GS$169+SwaptionShift):INDEX($FK$245:$ID$316,$FJ231-GS$169,72-GS$169+SwaptionMonthsToGo+SwaptionShift))/SQRT(SUM(INDEX($FK386:$ID386,1+SwaptionShift):INDEX($FK386:$ID386,SwaptionMonthsToGo+SwaptionShift))*SUM(INDEX($FK$325:$ID$396,GS$169,1+SwaptionShift):INDEX($FK$325:$ID$396,GS$169,SwaptionMonthsToGo+SwaptionShift))))))</f>
        <v/>
      </c>
      <c r="GT231" s="150" t="str">
        <f aca="false">IF(OR(GT$169&lt;SwaptionFirstMonthPosition+1,$FJ231&lt;SwaptionFirstMonthPosition+1,GT$169&gt;SwaptionFirstMonthPosition+SwaptionNumOfMonths+1,$FJ231&gt;SwaptionFirstMonthPosition+SwaptionNumOfMonths+1),"",IF($FJ231=GT$169,1,IF($FJ231&lt;GT$169,INDEX($FK$170:$ID$241,GT$169,$FJ231),SUMPRODUCT(INDEX($FK$325:$ID$396,GT$169,1+SwaptionShift):INDEX($FK$325:$ID$396,GT$169,SwaptionMonthsToGo+SwaptionShift),INDEX($FK$245:$ID$316,$FJ231-GT$169,73-GT$169+SwaptionShift):INDEX($FK$245:$ID$316,$FJ231-GT$169,72-GT$169+SwaptionMonthsToGo+SwaptionShift))/SQRT(SUM(INDEX($FK386:$ID386,1+SwaptionShift):INDEX($FK386:$ID386,SwaptionMonthsToGo+SwaptionShift))*SUM(INDEX($FK$325:$ID$396,GT$169,1+SwaptionShift):INDEX($FK$325:$ID$396,GT$169,SwaptionMonthsToGo+SwaptionShift))))))</f>
        <v/>
      </c>
      <c r="GU231" s="150" t="str">
        <f aca="false">IF(OR(GU$169&lt;SwaptionFirstMonthPosition+1,$FJ231&lt;SwaptionFirstMonthPosition+1,GU$169&gt;SwaptionFirstMonthPosition+SwaptionNumOfMonths+1,$FJ231&gt;SwaptionFirstMonthPosition+SwaptionNumOfMonths+1),"",IF($FJ231=GU$169,1,IF($FJ231&lt;GU$169,INDEX($FK$170:$ID$241,GU$169,$FJ231),SUMPRODUCT(INDEX($FK$325:$ID$396,GU$169,1+SwaptionShift):INDEX($FK$325:$ID$396,GU$169,SwaptionMonthsToGo+SwaptionShift),INDEX($FK$245:$ID$316,$FJ231-GU$169,73-GU$169+SwaptionShift):INDEX($FK$245:$ID$316,$FJ231-GU$169,72-GU$169+SwaptionMonthsToGo+SwaptionShift))/SQRT(SUM(INDEX($FK386:$ID386,1+SwaptionShift):INDEX($FK386:$ID386,SwaptionMonthsToGo+SwaptionShift))*SUM(INDEX($FK$325:$ID$396,GU$169,1+SwaptionShift):INDEX($FK$325:$ID$396,GU$169,SwaptionMonthsToGo+SwaptionShift))))))</f>
        <v/>
      </c>
      <c r="GV231" s="150" t="str">
        <f aca="false">IF(OR(GV$169&lt;SwaptionFirstMonthPosition+1,$FJ231&lt;SwaptionFirstMonthPosition+1,GV$169&gt;SwaptionFirstMonthPosition+SwaptionNumOfMonths+1,$FJ231&gt;SwaptionFirstMonthPosition+SwaptionNumOfMonths+1),"",IF($FJ231=GV$169,1,IF($FJ231&lt;GV$169,INDEX($FK$170:$ID$241,GV$169,$FJ231),SUMPRODUCT(INDEX($FK$325:$ID$396,GV$169,1+SwaptionShift):INDEX($FK$325:$ID$396,GV$169,SwaptionMonthsToGo+SwaptionShift),INDEX($FK$245:$ID$316,$FJ231-GV$169,73-GV$169+SwaptionShift):INDEX($FK$245:$ID$316,$FJ231-GV$169,72-GV$169+SwaptionMonthsToGo+SwaptionShift))/SQRT(SUM(INDEX($FK386:$ID386,1+SwaptionShift):INDEX($FK386:$ID386,SwaptionMonthsToGo+SwaptionShift))*SUM(INDEX($FK$325:$ID$396,GV$169,1+SwaptionShift):INDEX($FK$325:$ID$396,GV$169,SwaptionMonthsToGo+SwaptionShift))))))</f>
        <v/>
      </c>
      <c r="GW231" s="150" t="str">
        <f aca="false">IF(OR(GW$169&lt;SwaptionFirstMonthPosition+1,$FJ231&lt;SwaptionFirstMonthPosition+1,GW$169&gt;SwaptionFirstMonthPosition+SwaptionNumOfMonths+1,$FJ231&gt;SwaptionFirstMonthPosition+SwaptionNumOfMonths+1),"",IF($FJ231=GW$169,1,IF($FJ231&lt;GW$169,INDEX($FK$170:$ID$241,GW$169,$FJ231),SUMPRODUCT(INDEX($FK$325:$ID$396,GW$169,1+SwaptionShift):INDEX($FK$325:$ID$396,GW$169,SwaptionMonthsToGo+SwaptionShift),INDEX($FK$245:$ID$316,$FJ231-GW$169,73-GW$169+SwaptionShift):INDEX($FK$245:$ID$316,$FJ231-GW$169,72-GW$169+SwaptionMonthsToGo+SwaptionShift))/SQRT(SUM(INDEX($FK386:$ID386,1+SwaptionShift):INDEX($FK386:$ID386,SwaptionMonthsToGo+SwaptionShift))*SUM(INDEX($FK$325:$ID$396,GW$169,1+SwaptionShift):INDEX($FK$325:$ID$396,GW$169,SwaptionMonthsToGo+SwaptionShift))))))</f>
        <v/>
      </c>
      <c r="GX231" s="150" t="str">
        <f aca="false">IF(OR(GX$169&lt;SwaptionFirstMonthPosition+1,$FJ231&lt;SwaptionFirstMonthPosition+1,GX$169&gt;SwaptionFirstMonthPosition+SwaptionNumOfMonths+1,$FJ231&gt;SwaptionFirstMonthPosition+SwaptionNumOfMonths+1),"",IF($FJ231=GX$169,1,IF($FJ231&lt;GX$169,INDEX($FK$170:$ID$241,GX$169,$FJ231),SUMPRODUCT(INDEX($FK$325:$ID$396,GX$169,1+SwaptionShift):INDEX($FK$325:$ID$396,GX$169,SwaptionMonthsToGo+SwaptionShift),INDEX($FK$245:$ID$316,$FJ231-GX$169,73-GX$169+SwaptionShift):INDEX($FK$245:$ID$316,$FJ231-GX$169,72-GX$169+SwaptionMonthsToGo+SwaptionShift))/SQRT(SUM(INDEX($FK386:$ID386,1+SwaptionShift):INDEX($FK386:$ID386,SwaptionMonthsToGo+SwaptionShift))*SUM(INDEX($FK$325:$ID$396,GX$169,1+SwaptionShift):INDEX($FK$325:$ID$396,GX$169,SwaptionMonthsToGo+SwaptionShift))))))</f>
        <v/>
      </c>
      <c r="GY231" s="150" t="str">
        <f aca="false">IF(OR(GY$169&lt;SwaptionFirstMonthPosition+1,$FJ231&lt;SwaptionFirstMonthPosition+1,GY$169&gt;SwaptionFirstMonthPosition+SwaptionNumOfMonths+1,$FJ231&gt;SwaptionFirstMonthPosition+SwaptionNumOfMonths+1),"",IF($FJ231=GY$169,1,IF($FJ231&lt;GY$169,INDEX($FK$170:$ID$241,GY$169,$FJ231),SUMPRODUCT(INDEX($FK$325:$ID$396,GY$169,1+SwaptionShift):INDEX($FK$325:$ID$396,GY$169,SwaptionMonthsToGo+SwaptionShift),INDEX($FK$245:$ID$316,$FJ231-GY$169,73-GY$169+SwaptionShift):INDEX($FK$245:$ID$316,$FJ231-GY$169,72-GY$169+SwaptionMonthsToGo+SwaptionShift))/SQRT(SUM(INDEX($FK386:$ID386,1+SwaptionShift):INDEX($FK386:$ID386,SwaptionMonthsToGo+SwaptionShift))*SUM(INDEX($FK$325:$ID$396,GY$169,1+SwaptionShift):INDEX($FK$325:$ID$396,GY$169,SwaptionMonthsToGo+SwaptionShift))))))</f>
        <v/>
      </c>
      <c r="GZ231" s="150" t="str">
        <f aca="false">IF(OR(GZ$169&lt;SwaptionFirstMonthPosition+1,$FJ231&lt;SwaptionFirstMonthPosition+1,GZ$169&gt;SwaptionFirstMonthPosition+SwaptionNumOfMonths+1,$FJ231&gt;SwaptionFirstMonthPosition+SwaptionNumOfMonths+1),"",IF($FJ231=GZ$169,1,IF($FJ231&lt;GZ$169,INDEX($FK$170:$ID$241,GZ$169,$FJ231),SUMPRODUCT(INDEX($FK$325:$ID$396,GZ$169,1+SwaptionShift):INDEX($FK$325:$ID$396,GZ$169,SwaptionMonthsToGo+SwaptionShift),INDEX($FK$245:$ID$316,$FJ231-GZ$169,73-GZ$169+SwaptionShift):INDEX($FK$245:$ID$316,$FJ231-GZ$169,72-GZ$169+SwaptionMonthsToGo+SwaptionShift))/SQRT(SUM(INDEX($FK386:$ID386,1+SwaptionShift):INDEX($FK386:$ID386,SwaptionMonthsToGo+SwaptionShift))*SUM(INDEX($FK$325:$ID$396,GZ$169,1+SwaptionShift):INDEX($FK$325:$ID$396,GZ$169,SwaptionMonthsToGo+SwaptionShift))))))</f>
        <v/>
      </c>
      <c r="HA231" s="150" t="str">
        <f aca="false">IF(OR(HA$169&lt;SwaptionFirstMonthPosition+1,$FJ231&lt;SwaptionFirstMonthPosition+1,HA$169&gt;SwaptionFirstMonthPosition+SwaptionNumOfMonths+1,$FJ231&gt;SwaptionFirstMonthPosition+SwaptionNumOfMonths+1),"",IF($FJ231=HA$169,1,IF($FJ231&lt;HA$169,INDEX($FK$170:$ID$241,HA$169,$FJ231),SUMPRODUCT(INDEX($FK$325:$ID$396,HA$169,1+SwaptionShift):INDEX($FK$325:$ID$396,HA$169,SwaptionMonthsToGo+SwaptionShift),INDEX($FK$245:$ID$316,$FJ231-HA$169,73-HA$169+SwaptionShift):INDEX($FK$245:$ID$316,$FJ231-HA$169,72-HA$169+SwaptionMonthsToGo+SwaptionShift))/SQRT(SUM(INDEX($FK386:$ID386,1+SwaptionShift):INDEX($FK386:$ID386,SwaptionMonthsToGo+SwaptionShift))*SUM(INDEX($FK$325:$ID$396,HA$169,1+SwaptionShift):INDEX($FK$325:$ID$396,HA$169,SwaptionMonthsToGo+SwaptionShift))))))</f>
        <v/>
      </c>
      <c r="HB231" s="150" t="str">
        <f aca="false">IF(OR(HB$169&lt;SwaptionFirstMonthPosition+1,$FJ231&lt;SwaptionFirstMonthPosition+1,HB$169&gt;SwaptionFirstMonthPosition+SwaptionNumOfMonths+1,$FJ231&gt;SwaptionFirstMonthPosition+SwaptionNumOfMonths+1),"",IF($FJ231=HB$169,1,IF($FJ231&lt;HB$169,INDEX($FK$170:$ID$241,HB$169,$FJ231),SUMPRODUCT(INDEX($FK$325:$ID$396,HB$169,1+SwaptionShift):INDEX($FK$325:$ID$396,HB$169,SwaptionMonthsToGo+SwaptionShift),INDEX($FK$245:$ID$316,$FJ231-HB$169,73-HB$169+SwaptionShift):INDEX($FK$245:$ID$316,$FJ231-HB$169,72-HB$169+SwaptionMonthsToGo+SwaptionShift))/SQRT(SUM(INDEX($FK386:$ID386,1+SwaptionShift):INDEX($FK386:$ID386,SwaptionMonthsToGo+SwaptionShift))*SUM(INDEX($FK$325:$ID$396,HB$169,1+SwaptionShift):INDEX($FK$325:$ID$396,HB$169,SwaptionMonthsToGo+SwaptionShift))))))</f>
        <v/>
      </c>
      <c r="HC231" s="150" t="str">
        <f aca="false">IF(OR(HC$169&lt;SwaptionFirstMonthPosition+1,$FJ231&lt;SwaptionFirstMonthPosition+1,HC$169&gt;SwaptionFirstMonthPosition+SwaptionNumOfMonths+1,$FJ231&gt;SwaptionFirstMonthPosition+SwaptionNumOfMonths+1),"",IF($FJ231=HC$169,1,IF($FJ231&lt;HC$169,INDEX($FK$170:$ID$241,HC$169,$FJ231),SUMPRODUCT(INDEX($FK$325:$ID$396,HC$169,1+SwaptionShift):INDEX($FK$325:$ID$396,HC$169,SwaptionMonthsToGo+SwaptionShift),INDEX($FK$245:$ID$316,$FJ231-HC$169,73-HC$169+SwaptionShift):INDEX($FK$245:$ID$316,$FJ231-HC$169,72-HC$169+SwaptionMonthsToGo+SwaptionShift))/SQRT(SUM(INDEX($FK386:$ID386,1+SwaptionShift):INDEX($FK386:$ID386,SwaptionMonthsToGo+SwaptionShift))*SUM(INDEX($FK$325:$ID$396,HC$169,1+SwaptionShift):INDEX($FK$325:$ID$396,HC$169,SwaptionMonthsToGo+SwaptionShift))))))</f>
        <v/>
      </c>
      <c r="HD231" s="150" t="str">
        <f aca="false">IF(OR(HD$169&lt;SwaptionFirstMonthPosition+1,$FJ231&lt;SwaptionFirstMonthPosition+1,HD$169&gt;SwaptionFirstMonthPosition+SwaptionNumOfMonths+1,$FJ231&gt;SwaptionFirstMonthPosition+SwaptionNumOfMonths+1),"",IF($FJ231=HD$169,1,IF($FJ231&lt;HD$169,INDEX($FK$170:$ID$241,HD$169,$FJ231),SUMPRODUCT(INDEX($FK$325:$ID$396,HD$169,1+SwaptionShift):INDEX($FK$325:$ID$396,HD$169,SwaptionMonthsToGo+SwaptionShift),INDEX($FK$245:$ID$316,$FJ231-HD$169,73-HD$169+SwaptionShift):INDEX($FK$245:$ID$316,$FJ231-HD$169,72-HD$169+SwaptionMonthsToGo+SwaptionShift))/SQRT(SUM(INDEX($FK386:$ID386,1+SwaptionShift):INDEX($FK386:$ID386,SwaptionMonthsToGo+SwaptionShift))*SUM(INDEX($FK$325:$ID$396,HD$169,1+SwaptionShift):INDEX($FK$325:$ID$396,HD$169,SwaptionMonthsToGo+SwaptionShift))))))</f>
        <v/>
      </c>
      <c r="HE231" s="150" t="str">
        <f aca="false">IF(OR(HE$169&lt;SwaptionFirstMonthPosition+1,$FJ231&lt;SwaptionFirstMonthPosition+1,HE$169&gt;SwaptionFirstMonthPosition+SwaptionNumOfMonths+1,$FJ231&gt;SwaptionFirstMonthPosition+SwaptionNumOfMonths+1),"",IF($FJ231=HE$169,1,IF($FJ231&lt;HE$169,INDEX($FK$170:$ID$241,HE$169,$FJ231),SUMPRODUCT(INDEX($FK$325:$ID$396,HE$169,1+SwaptionShift):INDEX($FK$325:$ID$396,HE$169,SwaptionMonthsToGo+SwaptionShift),INDEX($FK$245:$ID$316,$FJ231-HE$169,73-HE$169+SwaptionShift):INDEX($FK$245:$ID$316,$FJ231-HE$169,72-HE$169+SwaptionMonthsToGo+SwaptionShift))/SQRT(SUM(INDEX($FK386:$ID386,1+SwaptionShift):INDEX($FK386:$ID386,SwaptionMonthsToGo+SwaptionShift))*SUM(INDEX($FK$325:$ID$396,HE$169,1+SwaptionShift):INDEX($FK$325:$ID$396,HE$169,SwaptionMonthsToGo+SwaptionShift))))))</f>
        <v/>
      </c>
      <c r="HF231" s="150" t="str">
        <f aca="false">IF(OR(HF$169&lt;SwaptionFirstMonthPosition+1,$FJ231&lt;SwaptionFirstMonthPosition+1,HF$169&gt;SwaptionFirstMonthPosition+SwaptionNumOfMonths+1,$FJ231&gt;SwaptionFirstMonthPosition+SwaptionNumOfMonths+1),"",IF($FJ231=HF$169,1,IF($FJ231&lt;HF$169,INDEX($FK$170:$ID$241,HF$169,$FJ231),SUMPRODUCT(INDEX($FK$325:$ID$396,HF$169,1+SwaptionShift):INDEX($FK$325:$ID$396,HF$169,SwaptionMonthsToGo+SwaptionShift),INDEX($FK$245:$ID$316,$FJ231-HF$169,73-HF$169+SwaptionShift):INDEX($FK$245:$ID$316,$FJ231-HF$169,72-HF$169+SwaptionMonthsToGo+SwaptionShift))/SQRT(SUM(INDEX($FK386:$ID386,1+SwaptionShift):INDEX($FK386:$ID386,SwaptionMonthsToGo+SwaptionShift))*SUM(INDEX($FK$325:$ID$396,HF$169,1+SwaptionShift):INDEX($FK$325:$ID$396,HF$169,SwaptionMonthsToGo+SwaptionShift))))))</f>
        <v/>
      </c>
      <c r="HG231" s="150" t="str">
        <f aca="false">IF(OR(HG$169&lt;SwaptionFirstMonthPosition+1,$FJ231&lt;SwaptionFirstMonthPosition+1,HG$169&gt;SwaptionFirstMonthPosition+SwaptionNumOfMonths+1,$FJ231&gt;SwaptionFirstMonthPosition+SwaptionNumOfMonths+1),"",IF($FJ231=HG$169,1,IF($FJ231&lt;HG$169,INDEX($FK$170:$ID$241,HG$169,$FJ231),SUMPRODUCT(INDEX($FK$325:$ID$396,HG$169,1+SwaptionShift):INDEX($FK$325:$ID$396,HG$169,SwaptionMonthsToGo+SwaptionShift),INDEX($FK$245:$ID$316,$FJ231-HG$169,73-HG$169+SwaptionShift):INDEX($FK$245:$ID$316,$FJ231-HG$169,72-HG$169+SwaptionMonthsToGo+SwaptionShift))/SQRT(SUM(INDEX($FK386:$ID386,1+SwaptionShift):INDEX($FK386:$ID386,SwaptionMonthsToGo+SwaptionShift))*SUM(INDEX($FK$325:$ID$396,HG$169,1+SwaptionShift):INDEX($FK$325:$ID$396,HG$169,SwaptionMonthsToGo+SwaptionShift))))))</f>
        <v/>
      </c>
      <c r="HH231" s="150" t="str">
        <f aca="false">IF(OR(HH$169&lt;SwaptionFirstMonthPosition+1,$FJ231&lt;SwaptionFirstMonthPosition+1,HH$169&gt;SwaptionFirstMonthPosition+SwaptionNumOfMonths+1,$FJ231&gt;SwaptionFirstMonthPosition+SwaptionNumOfMonths+1),"",IF($FJ231=HH$169,1,IF($FJ231&lt;HH$169,INDEX($FK$170:$ID$241,HH$169,$FJ231),SUMPRODUCT(INDEX($FK$325:$ID$396,HH$169,1+SwaptionShift):INDEX($FK$325:$ID$396,HH$169,SwaptionMonthsToGo+SwaptionShift),INDEX($FK$245:$ID$316,$FJ231-HH$169,73-HH$169+SwaptionShift):INDEX($FK$245:$ID$316,$FJ231-HH$169,72-HH$169+SwaptionMonthsToGo+SwaptionShift))/SQRT(SUM(INDEX($FK386:$ID386,1+SwaptionShift):INDEX($FK386:$ID386,SwaptionMonthsToGo+SwaptionShift))*SUM(INDEX($FK$325:$ID$396,HH$169,1+SwaptionShift):INDEX($FK$325:$ID$396,HH$169,SwaptionMonthsToGo+SwaptionShift))))))</f>
        <v/>
      </c>
      <c r="HI231" s="150" t="str">
        <f aca="false">IF(OR(HI$169&lt;SwaptionFirstMonthPosition+1,$FJ231&lt;SwaptionFirstMonthPosition+1,HI$169&gt;SwaptionFirstMonthPosition+SwaptionNumOfMonths+1,$FJ231&gt;SwaptionFirstMonthPosition+SwaptionNumOfMonths+1),"",IF($FJ231=HI$169,1,IF($FJ231&lt;HI$169,INDEX($FK$170:$ID$241,HI$169,$FJ231),SUMPRODUCT(INDEX($FK$325:$ID$396,HI$169,1+SwaptionShift):INDEX($FK$325:$ID$396,HI$169,SwaptionMonthsToGo+SwaptionShift),INDEX($FK$245:$ID$316,$FJ231-HI$169,73-HI$169+SwaptionShift):INDEX($FK$245:$ID$316,$FJ231-HI$169,72-HI$169+SwaptionMonthsToGo+SwaptionShift))/SQRT(SUM(INDEX($FK386:$ID386,1+SwaptionShift):INDEX($FK386:$ID386,SwaptionMonthsToGo+SwaptionShift))*SUM(INDEX($FK$325:$ID$396,HI$169,1+SwaptionShift):INDEX($FK$325:$ID$396,HI$169,SwaptionMonthsToGo+SwaptionShift))))))</f>
        <v/>
      </c>
      <c r="HJ231" s="150" t="str">
        <f aca="false">IF(OR(HJ$169&lt;SwaptionFirstMonthPosition+1,$FJ231&lt;SwaptionFirstMonthPosition+1,HJ$169&gt;SwaptionFirstMonthPosition+SwaptionNumOfMonths+1,$FJ231&gt;SwaptionFirstMonthPosition+SwaptionNumOfMonths+1),"",IF($FJ231=HJ$169,1,IF($FJ231&lt;HJ$169,INDEX($FK$170:$ID$241,HJ$169,$FJ231),SUMPRODUCT(INDEX($FK$325:$ID$396,HJ$169,1+SwaptionShift):INDEX($FK$325:$ID$396,HJ$169,SwaptionMonthsToGo+SwaptionShift),INDEX($FK$245:$ID$316,$FJ231-HJ$169,73-HJ$169+SwaptionShift):INDEX($FK$245:$ID$316,$FJ231-HJ$169,72-HJ$169+SwaptionMonthsToGo+SwaptionShift))/SQRT(SUM(INDEX($FK386:$ID386,1+SwaptionShift):INDEX($FK386:$ID386,SwaptionMonthsToGo+SwaptionShift))*SUM(INDEX($FK$325:$ID$396,HJ$169,1+SwaptionShift):INDEX($FK$325:$ID$396,HJ$169,SwaptionMonthsToGo+SwaptionShift))))))</f>
        <v/>
      </c>
      <c r="HK231" s="150" t="str">
        <f aca="false">IF(OR(HK$169&lt;SwaptionFirstMonthPosition+1,$FJ231&lt;SwaptionFirstMonthPosition+1,HK$169&gt;SwaptionFirstMonthPosition+SwaptionNumOfMonths+1,$FJ231&gt;SwaptionFirstMonthPosition+SwaptionNumOfMonths+1),"",IF($FJ231=HK$169,1,IF($FJ231&lt;HK$169,INDEX($FK$170:$ID$241,HK$169,$FJ231),SUMPRODUCT(INDEX($FK$325:$ID$396,HK$169,1+SwaptionShift):INDEX($FK$325:$ID$396,HK$169,SwaptionMonthsToGo+SwaptionShift),INDEX($FK$245:$ID$316,$FJ231-HK$169,73-HK$169+SwaptionShift):INDEX($FK$245:$ID$316,$FJ231-HK$169,72-HK$169+SwaptionMonthsToGo+SwaptionShift))/SQRT(SUM(INDEX($FK386:$ID386,1+SwaptionShift):INDEX($FK386:$ID386,SwaptionMonthsToGo+SwaptionShift))*SUM(INDEX($FK$325:$ID$396,HK$169,1+SwaptionShift):INDEX($FK$325:$ID$396,HK$169,SwaptionMonthsToGo+SwaptionShift))))))</f>
        <v/>
      </c>
      <c r="HL231" s="150" t="str">
        <f aca="false">IF(OR(HL$169&lt;SwaptionFirstMonthPosition+1,$FJ231&lt;SwaptionFirstMonthPosition+1,HL$169&gt;SwaptionFirstMonthPosition+SwaptionNumOfMonths+1,$FJ231&gt;SwaptionFirstMonthPosition+SwaptionNumOfMonths+1),"",IF($FJ231=HL$169,1,IF($FJ231&lt;HL$169,INDEX($FK$170:$ID$241,HL$169,$FJ231),SUMPRODUCT(INDEX($FK$325:$ID$396,HL$169,1+SwaptionShift):INDEX($FK$325:$ID$396,HL$169,SwaptionMonthsToGo+SwaptionShift),INDEX($FK$245:$ID$316,$FJ231-HL$169,73-HL$169+SwaptionShift):INDEX($FK$245:$ID$316,$FJ231-HL$169,72-HL$169+SwaptionMonthsToGo+SwaptionShift))/SQRT(SUM(INDEX($FK386:$ID386,1+SwaptionShift):INDEX($FK386:$ID386,SwaptionMonthsToGo+SwaptionShift))*SUM(INDEX($FK$325:$ID$396,HL$169,1+SwaptionShift):INDEX($FK$325:$ID$396,HL$169,SwaptionMonthsToGo+SwaptionShift))))))</f>
        <v/>
      </c>
      <c r="HM231" s="150" t="str">
        <f aca="false">IF(OR(HM$169&lt;SwaptionFirstMonthPosition+1,$FJ231&lt;SwaptionFirstMonthPosition+1,HM$169&gt;SwaptionFirstMonthPosition+SwaptionNumOfMonths+1,$FJ231&gt;SwaptionFirstMonthPosition+SwaptionNumOfMonths+1),"",IF($FJ231=HM$169,1,IF($FJ231&lt;HM$169,INDEX($FK$170:$ID$241,HM$169,$FJ231),SUMPRODUCT(INDEX($FK$325:$ID$396,HM$169,1+SwaptionShift):INDEX($FK$325:$ID$396,HM$169,SwaptionMonthsToGo+SwaptionShift),INDEX($FK$245:$ID$316,$FJ231-HM$169,73-HM$169+SwaptionShift):INDEX($FK$245:$ID$316,$FJ231-HM$169,72-HM$169+SwaptionMonthsToGo+SwaptionShift))/SQRT(SUM(INDEX($FK386:$ID386,1+SwaptionShift):INDEX($FK386:$ID386,SwaptionMonthsToGo+SwaptionShift))*SUM(INDEX($FK$325:$ID$396,HM$169,1+SwaptionShift):INDEX($FK$325:$ID$396,HM$169,SwaptionMonthsToGo+SwaptionShift))))))</f>
        <v/>
      </c>
      <c r="HN231" s="150" t="str">
        <f aca="false">IF(OR(HN$169&lt;SwaptionFirstMonthPosition+1,$FJ231&lt;SwaptionFirstMonthPosition+1,HN$169&gt;SwaptionFirstMonthPosition+SwaptionNumOfMonths+1,$FJ231&gt;SwaptionFirstMonthPosition+SwaptionNumOfMonths+1),"",IF($FJ231=HN$169,1,IF($FJ231&lt;HN$169,INDEX($FK$170:$ID$241,HN$169,$FJ231),SUMPRODUCT(INDEX($FK$325:$ID$396,HN$169,1+SwaptionShift):INDEX($FK$325:$ID$396,HN$169,SwaptionMonthsToGo+SwaptionShift),INDEX($FK$245:$ID$316,$FJ231-HN$169,73-HN$169+SwaptionShift):INDEX($FK$245:$ID$316,$FJ231-HN$169,72-HN$169+SwaptionMonthsToGo+SwaptionShift))/SQRT(SUM(INDEX($FK386:$ID386,1+SwaptionShift):INDEX($FK386:$ID386,SwaptionMonthsToGo+SwaptionShift))*SUM(INDEX($FK$325:$ID$396,HN$169,1+SwaptionShift):INDEX($FK$325:$ID$396,HN$169,SwaptionMonthsToGo+SwaptionShift))))))</f>
        <v/>
      </c>
      <c r="HO231" s="150" t="str">
        <f aca="false">IF(OR(HO$169&lt;SwaptionFirstMonthPosition+1,$FJ231&lt;SwaptionFirstMonthPosition+1,HO$169&gt;SwaptionFirstMonthPosition+SwaptionNumOfMonths+1,$FJ231&gt;SwaptionFirstMonthPosition+SwaptionNumOfMonths+1),"",IF($FJ231=HO$169,1,IF($FJ231&lt;HO$169,INDEX($FK$170:$ID$241,HO$169,$FJ231),SUMPRODUCT(INDEX($FK$325:$ID$396,HO$169,1+SwaptionShift):INDEX($FK$325:$ID$396,HO$169,SwaptionMonthsToGo+SwaptionShift),INDEX($FK$245:$ID$316,$FJ231-HO$169,73-HO$169+SwaptionShift):INDEX($FK$245:$ID$316,$FJ231-HO$169,72-HO$169+SwaptionMonthsToGo+SwaptionShift))/SQRT(SUM(INDEX($FK386:$ID386,1+SwaptionShift):INDEX($FK386:$ID386,SwaptionMonthsToGo+SwaptionShift))*SUM(INDEX($FK$325:$ID$396,HO$169,1+SwaptionShift):INDEX($FK$325:$ID$396,HO$169,SwaptionMonthsToGo+SwaptionShift))))))</f>
        <v/>
      </c>
      <c r="HP231" s="150" t="str">
        <f aca="false">IF(OR(HP$169&lt;SwaptionFirstMonthPosition+1,$FJ231&lt;SwaptionFirstMonthPosition+1,HP$169&gt;SwaptionFirstMonthPosition+SwaptionNumOfMonths+1,$FJ231&gt;SwaptionFirstMonthPosition+SwaptionNumOfMonths+1),"",IF($FJ231=HP$169,1,IF($FJ231&lt;HP$169,INDEX($FK$170:$ID$241,HP$169,$FJ231),SUMPRODUCT(INDEX($FK$325:$ID$396,HP$169,1+SwaptionShift):INDEX($FK$325:$ID$396,HP$169,SwaptionMonthsToGo+SwaptionShift),INDEX($FK$245:$ID$316,$FJ231-HP$169,73-HP$169+SwaptionShift):INDEX($FK$245:$ID$316,$FJ231-HP$169,72-HP$169+SwaptionMonthsToGo+SwaptionShift))/SQRT(SUM(INDEX($FK386:$ID386,1+SwaptionShift):INDEX($FK386:$ID386,SwaptionMonthsToGo+SwaptionShift))*SUM(INDEX($FK$325:$ID$396,HP$169,1+SwaptionShift):INDEX($FK$325:$ID$396,HP$169,SwaptionMonthsToGo+SwaptionShift))))))</f>
        <v/>
      </c>
      <c r="HQ231" s="150" t="str">
        <f aca="false">IF(OR(HQ$169&lt;SwaptionFirstMonthPosition+1,$FJ231&lt;SwaptionFirstMonthPosition+1,HQ$169&gt;SwaptionFirstMonthPosition+SwaptionNumOfMonths+1,$FJ231&gt;SwaptionFirstMonthPosition+SwaptionNumOfMonths+1),"",IF($FJ231=HQ$169,1,IF($FJ231&lt;HQ$169,INDEX($FK$170:$ID$241,HQ$169,$FJ231),SUMPRODUCT(INDEX($FK$325:$ID$396,HQ$169,1+SwaptionShift):INDEX($FK$325:$ID$396,HQ$169,SwaptionMonthsToGo+SwaptionShift),INDEX($FK$245:$ID$316,$FJ231-HQ$169,73-HQ$169+SwaptionShift):INDEX($FK$245:$ID$316,$FJ231-HQ$169,72-HQ$169+SwaptionMonthsToGo+SwaptionShift))/SQRT(SUM(INDEX($FK386:$ID386,1+SwaptionShift):INDEX($FK386:$ID386,SwaptionMonthsToGo+SwaptionShift))*SUM(INDEX($FK$325:$ID$396,HQ$169,1+SwaptionShift):INDEX($FK$325:$ID$396,HQ$169,SwaptionMonthsToGo+SwaptionShift))))))</f>
        <v/>
      </c>
      <c r="HR231" s="150" t="str">
        <f aca="false">IF(OR(HR$169&lt;SwaptionFirstMonthPosition+1,$FJ231&lt;SwaptionFirstMonthPosition+1,HR$169&gt;SwaptionFirstMonthPosition+SwaptionNumOfMonths+1,$FJ231&gt;SwaptionFirstMonthPosition+SwaptionNumOfMonths+1),"",IF($FJ231=HR$169,1,IF($FJ231&lt;HR$169,INDEX($FK$170:$ID$241,HR$169,$FJ231),SUMPRODUCT(INDEX($FK$325:$ID$396,HR$169,1+SwaptionShift):INDEX($FK$325:$ID$396,HR$169,SwaptionMonthsToGo+SwaptionShift),INDEX($FK$245:$ID$316,$FJ231-HR$169,73-HR$169+SwaptionShift):INDEX($FK$245:$ID$316,$FJ231-HR$169,72-HR$169+SwaptionMonthsToGo+SwaptionShift))/SQRT(SUM(INDEX($FK386:$ID386,1+SwaptionShift):INDEX($FK386:$ID386,SwaptionMonthsToGo+SwaptionShift))*SUM(INDEX($FK$325:$ID$396,HR$169,1+SwaptionShift):INDEX($FK$325:$ID$396,HR$169,SwaptionMonthsToGo+SwaptionShift))))))</f>
        <v/>
      </c>
      <c r="HS231" s="150" t="str">
        <f aca="false">IF(OR(HS$169&lt;SwaptionFirstMonthPosition+1,$FJ231&lt;SwaptionFirstMonthPosition+1,HS$169&gt;SwaptionFirstMonthPosition+SwaptionNumOfMonths+1,$FJ231&gt;SwaptionFirstMonthPosition+SwaptionNumOfMonths+1),"",IF($FJ231=HS$169,1,IF($FJ231&lt;HS$169,INDEX($FK$170:$ID$241,HS$169,$FJ231),SUMPRODUCT(INDEX($FK$325:$ID$396,HS$169,1+SwaptionShift):INDEX($FK$325:$ID$396,HS$169,SwaptionMonthsToGo+SwaptionShift),INDEX($FK$245:$ID$316,$FJ231-HS$169,73-HS$169+SwaptionShift):INDEX($FK$245:$ID$316,$FJ231-HS$169,72-HS$169+SwaptionMonthsToGo+SwaptionShift))/SQRT(SUM(INDEX($FK386:$ID386,1+SwaptionShift):INDEX($FK386:$ID386,SwaptionMonthsToGo+SwaptionShift))*SUM(INDEX($FK$325:$ID$396,HS$169,1+SwaptionShift):INDEX($FK$325:$ID$396,HS$169,SwaptionMonthsToGo+SwaptionShift))))))</f>
        <v/>
      </c>
      <c r="HT231" s="150" t="str">
        <f aca="false">IF(OR(HT$169&lt;SwaptionFirstMonthPosition+1,$FJ231&lt;SwaptionFirstMonthPosition+1,HT$169&gt;SwaptionFirstMonthPosition+SwaptionNumOfMonths+1,$FJ231&gt;SwaptionFirstMonthPosition+SwaptionNumOfMonths+1),"",IF($FJ231=HT$169,1,IF($FJ231&lt;HT$169,INDEX($FK$170:$ID$241,HT$169,$FJ231),SUMPRODUCT(INDEX($FK$325:$ID$396,HT$169,1+SwaptionShift):INDEX($FK$325:$ID$396,HT$169,SwaptionMonthsToGo+SwaptionShift),INDEX($FK$245:$ID$316,$FJ231-HT$169,73-HT$169+SwaptionShift):INDEX($FK$245:$ID$316,$FJ231-HT$169,72-HT$169+SwaptionMonthsToGo+SwaptionShift))/SQRT(SUM(INDEX($FK386:$ID386,1+SwaptionShift):INDEX($FK386:$ID386,SwaptionMonthsToGo+SwaptionShift))*SUM(INDEX($FK$325:$ID$396,HT$169,1+SwaptionShift):INDEX($FK$325:$ID$396,HT$169,SwaptionMonthsToGo+SwaptionShift))))))</f>
        <v/>
      </c>
      <c r="HU231" s="150" t="str">
        <f aca="false">IF(OR(HU$169&lt;SwaptionFirstMonthPosition+1,$FJ231&lt;SwaptionFirstMonthPosition+1,HU$169&gt;SwaptionFirstMonthPosition+SwaptionNumOfMonths+1,$FJ231&gt;SwaptionFirstMonthPosition+SwaptionNumOfMonths+1),"",IF($FJ231=HU$169,1,IF($FJ231&lt;HU$169,INDEX($FK$170:$ID$241,HU$169,$FJ231),SUMPRODUCT(INDEX($FK$325:$ID$396,HU$169,1+SwaptionShift):INDEX($FK$325:$ID$396,HU$169,SwaptionMonthsToGo+SwaptionShift),INDEX($FK$245:$ID$316,$FJ231-HU$169,73-HU$169+SwaptionShift):INDEX($FK$245:$ID$316,$FJ231-HU$169,72-HU$169+SwaptionMonthsToGo+SwaptionShift))/SQRT(SUM(INDEX($FK386:$ID386,1+SwaptionShift):INDEX($FK386:$ID386,SwaptionMonthsToGo+SwaptionShift))*SUM(INDEX($FK$325:$ID$396,HU$169,1+SwaptionShift):INDEX($FK$325:$ID$396,HU$169,SwaptionMonthsToGo+SwaptionShift))))))</f>
        <v/>
      </c>
      <c r="HV231" s="150" t="str">
        <f aca="false">IF(OR(HV$169&lt;SwaptionFirstMonthPosition+1,$FJ231&lt;SwaptionFirstMonthPosition+1,HV$169&gt;SwaptionFirstMonthPosition+SwaptionNumOfMonths+1,$FJ231&gt;SwaptionFirstMonthPosition+SwaptionNumOfMonths+1),"",IF($FJ231=HV$169,1,IF($FJ231&lt;HV$169,INDEX($FK$170:$ID$241,HV$169,$FJ231),SUMPRODUCT(INDEX($FK$325:$ID$396,HV$169,1+SwaptionShift):INDEX($FK$325:$ID$396,HV$169,SwaptionMonthsToGo+SwaptionShift),INDEX($FK$245:$ID$316,$FJ231-HV$169,73-HV$169+SwaptionShift):INDEX($FK$245:$ID$316,$FJ231-HV$169,72-HV$169+SwaptionMonthsToGo+SwaptionShift))/SQRT(SUM(INDEX($FK386:$ID386,1+SwaptionShift):INDEX($FK386:$ID386,SwaptionMonthsToGo+SwaptionShift))*SUM(INDEX($FK$325:$ID$396,HV$169,1+SwaptionShift):INDEX($FK$325:$ID$396,HV$169,SwaptionMonthsToGo+SwaptionShift))))))</f>
        <v/>
      </c>
      <c r="HW231" s="150" t="str">
        <f aca="false">IF(OR(HW$169&lt;SwaptionFirstMonthPosition+1,$FJ231&lt;SwaptionFirstMonthPosition+1,HW$169&gt;SwaptionFirstMonthPosition+SwaptionNumOfMonths+1,$FJ231&gt;SwaptionFirstMonthPosition+SwaptionNumOfMonths+1),"",IF($FJ231=HW$169,1,IF($FJ231&lt;HW$169,INDEX($FK$170:$ID$241,HW$169,$FJ231),SUMPRODUCT(INDEX($FK$325:$ID$396,HW$169,1+SwaptionShift):INDEX($FK$325:$ID$396,HW$169,SwaptionMonthsToGo+SwaptionShift),INDEX($FK$245:$ID$316,$FJ231-HW$169,73-HW$169+SwaptionShift):INDEX($FK$245:$ID$316,$FJ231-HW$169,72-HW$169+SwaptionMonthsToGo+SwaptionShift))/SQRT(SUM(INDEX($FK386:$ID386,1+SwaptionShift):INDEX($FK386:$ID386,SwaptionMonthsToGo+SwaptionShift))*SUM(INDEX($FK$325:$ID$396,HW$169,1+SwaptionShift):INDEX($FK$325:$ID$396,HW$169,SwaptionMonthsToGo+SwaptionShift))))))</f>
        <v/>
      </c>
      <c r="HX231" s="150" t="str">
        <f aca="false">IF(OR(HX$169&lt;SwaptionFirstMonthPosition+1,$FJ231&lt;SwaptionFirstMonthPosition+1,HX$169&gt;SwaptionFirstMonthPosition+SwaptionNumOfMonths+1,$FJ231&gt;SwaptionFirstMonthPosition+SwaptionNumOfMonths+1),"",IF($FJ231=HX$169,1,IF($FJ231&lt;HX$169,INDEX($FK$170:$ID$241,HX$169,$FJ231),SUMPRODUCT(INDEX($FK$325:$ID$396,HX$169,1+SwaptionShift):INDEX($FK$325:$ID$396,HX$169,SwaptionMonthsToGo+SwaptionShift),INDEX($FK$245:$ID$316,$FJ231-HX$169,73-HX$169+SwaptionShift):INDEX($FK$245:$ID$316,$FJ231-HX$169,72-HX$169+SwaptionMonthsToGo+SwaptionShift))/SQRT(SUM(INDEX($FK386:$ID386,1+SwaptionShift):INDEX($FK386:$ID386,SwaptionMonthsToGo+SwaptionShift))*SUM(INDEX($FK$325:$ID$396,HX$169,1+SwaptionShift):INDEX($FK$325:$ID$396,HX$169,SwaptionMonthsToGo+SwaptionShift))))))</f>
        <v/>
      </c>
      <c r="HY231" s="150" t="str">
        <f aca="false">IF(OR(HY$169&lt;SwaptionFirstMonthPosition+1,$FJ231&lt;SwaptionFirstMonthPosition+1,HY$169&gt;SwaptionFirstMonthPosition+SwaptionNumOfMonths+1,$FJ231&gt;SwaptionFirstMonthPosition+SwaptionNumOfMonths+1),"",IF($FJ231=HY$169,1,IF($FJ231&lt;HY$169,INDEX($FK$170:$ID$241,HY$169,$FJ231),SUMPRODUCT(INDEX($FK$325:$ID$396,HY$169,1+SwaptionShift):INDEX($FK$325:$ID$396,HY$169,SwaptionMonthsToGo+SwaptionShift),INDEX($FK$245:$ID$316,$FJ231-HY$169,73-HY$169+SwaptionShift):INDEX($FK$245:$ID$316,$FJ231-HY$169,72-HY$169+SwaptionMonthsToGo+SwaptionShift))/SQRT(SUM(INDEX($FK386:$ID386,1+SwaptionShift):INDEX($FK386:$ID386,SwaptionMonthsToGo+SwaptionShift))*SUM(INDEX($FK$325:$ID$396,HY$169,1+SwaptionShift):INDEX($FK$325:$ID$396,HY$169,SwaptionMonthsToGo+SwaptionShift))))))</f>
        <v/>
      </c>
      <c r="HZ231" s="150" t="str">
        <f aca="false">IF(OR(HZ$169&lt;SwaptionFirstMonthPosition+1,$FJ231&lt;SwaptionFirstMonthPosition+1,HZ$169&gt;SwaptionFirstMonthPosition+SwaptionNumOfMonths+1,$FJ231&gt;SwaptionFirstMonthPosition+SwaptionNumOfMonths+1),"",IF($FJ231=HZ$169,1,IF($FJ231&lt;HZ$169,INDEX($FK$170:$ID$241,HZ$169,$FJ231),SUMPRODUCT(INDEX($FK$325:$ID$396,HZ$169,1+SwaptionShift):INDEX($FK$325:$ID$396,HZ$169,SwaptionMonthsToGo+SwaptionShift),INDEX($FK$245:$ID$316,$FJ231-HZ$169,73-HZ$169+SwaptionShift):INDEX($FK$245:$ID$316,$FJ231-HZ$169,72-HZ$169+SwaptionMonthsToGo+SwaptionShift))/SQRT(SUM(INDEX($FK386:$ID386,1+SwaptionShift):INDEX($FK386:$ID386,SwaptionMonthsToGo+SwaptionShift))*SUM(INDEX($FK$325:$ID$396,HZ$169,1+SwaptionShift):INDEX($FK$325:$ID$396,HZ$169,SwaptionMonthsToGo+SwaptionShift))))))</f>
        <v/>
      </c>
      <c r="IA231" s="150" t="str">
        <f aca="false">IF(OR(IA$169&lt;SwaptionFirstMonthPosition+1,$FJ231&lt;SwaptionFirstMonthPosition+1,IA$169&gt;SwaptionFirstMonthPosition+SwaptionNumOfMonths+1,$FJ231&gt;SwaptionFirstMonthPosition+SwaptionNumOfMonths+1),"",IF($FJ231=IA$169,1,IF($FJ231&lt;IA$169,INDEX($FK$170:$ID$241,IA$169,$FJ231),SUMPRODUCT(INDEX($FK$325:$ID$396,IA$169,1+SwaptionShift):INDEX($FK$325:$ID$396,IA$169,SwaptionMonthsToGo+SwaptionShift),INDEX($FK$245:$ID$316,$FJ231-IA$169,73-IA$169+SwaptionShift):INDEX($FK$245:$ID$316,$FJ231-IA$169,72-IA$169+SwaptionMonthsToGo+SwaptionShift))/SQRT(SUM(INDEX($FK386:$ID386,1+SwaptionShift):INDEX($FK386:$ID386,SwaptionMonthsToGo+SwaptionShift))*SUM(INDEX($FK$325:$ID$396,IA$169,1+SwaptionShift):INDEX($FK$325:$ID$396,IA$169,SwaptionMonthsToGo+SwaptionShift))))))</f>
        <v/>
      </c>
      <c r="IB231" s="150" t="str">
        <f aca="false">IF(OR(IB$169&lt;SwaptionFirstMonthPosition+1,$FJ231&lt;SwaptionFirstMonthPosition+1,IB$169&gt;SwaptionFirstMonthPosition+SwaptionNumOfMonths+1,$FJ231&gt;SwaptionFirstMonthPosition+SwaptionNumOfMonths+1),"",IF($FJ231=IB$169,1,IF($FJ231&lt;IB$169,INDEX($FK$170:$ID$241,IB$169,$FJ231),SUMPRODUCT(INDEX($FK$325:$ID$396,IB$169,1+SwaptionShift):INDEX($FK$325:$ID$396,IB$169,SwaptionMonthsToGo+SwaptionShift),INDEX($FK$245:$ID$316,$FJ231-IB$169,73-IB$169+SwaptionShift):INDEX($FK$245:$ID$316,$FJ231-IB$169,72-IB$169+SwaptionMonthsToGo+SwaptionShift))/SQRT(SUM(INDEX($FK386:$ID386,1+SwaptionShift):INDEX($FK386:$ID386,SwaptionMonthsToGo+SwaptionShift))*SUM(INDEX($FK$325:$ID$396,IB$169,1+SwaptionShift):INDEX($FK$325:$ID$396,IB$169,SwaptionMonthsToGo+SwaptionShift))))))</f>
        <v/>
      </c>
      <c r="IC231" s="150" t="str">
        <f aca="false">IF(OR(IC$169&lt;SwaptionFirstMonthPosition+1,$FJ231&lt;SwaptionFirstMonthPosition+1,IC$169&gt;SwaptionFirstMonthPosition+SwaptionNumOfMonths+1,$FJ231&gt;SwaptionFirstMonthPosition+SwaptionNumOfMonths+1),"",IF($FJ231=IC$169,1,IF($FJ231&lt;IC$169,INDEX($FK$170:$ID$241,IC$169,$FJ231),SUMPRODUCT(INDEX($FK$325:$ID$396,IC$169,1+SwaptionShift):INDEX($FK$325:$ID$396,IC$169,SwaptionMonthsToGo+SwaptionShift),INDEX($FK$245:$ID$316,$FJ231-IC$169,73-IC$169+SwaptionShift):INDEX($FK$245:$ID$316,$FJ231-IC$169,72-IC$169+SwaptionMonthsToGo+SwaptionShift))/SQRT(SUM(INDEX($FK386:$ID386,1+SwaptionShift):INDEX($FK386:$ID386,SwaptionMonthsToGo+SwaptionShift))*SUM(INDEX($FK$325:$ID$396,IC$169,1+SwaptionShift):INDEX($FK$325:$ID$396,IC$169,SwaptionMonthsToGo+SwaptionShift))))))</f>
        <v/>
      </c>
      <c r="ID231" s="572" t="str">
        <f aca="false">IF(OR(ID$169&lt;SwaptionFirstMonthPosition+1,$FJ231&lt;SwaptionFirstMonthPosition+1,ID$169&gt;SwaptionFirstMonthPosition+SwaptionNumOfMonths+1,$FJ231&gt;SwaptionFirstMonthPosition+SwaptionNumOfMonths+1),"",IF($FJ231=ID$169,1,IF($FJ231&lt;ID$169,INDEX($FK$170:$ID$241,ID$169,$FJ231),SUMPRODUCT(INDEX($FK$325:$ID$396,ID$169,1+SwaptionShift):INDEX($FK$325:$ID$396,ID$169,SwaptionMonthsToGo+SwaptionShift),INDEX($FK$245:$ID$316,$FJ231-ID$169,73-ID$169+SwaptionShift):INDEX($FK$245:$ID$316,$FJ231-ID$169,72-ID$169+SwaptionMonthsToGo+SwaptionShift))/SQRT(SUM(INDEX($FK386:$ID386,1+SwaptionShift):INDEX($FK386:$ID386,SwaptionMonthsToGo+SwaptionShift))*SUM(INDEX($FK$325:$ID$396,ID$169,1+SwaptionShift):INDEX($FK$325:$ID$396,ID$169,SwaptionMonthsToGo+SwaptionShift))))))</f>
        <v/>
      </c>
      <c r="IE231" s="129"/>
    </row>
    <row r="232" customFormat="false" ht="12.75" hidden="false" customHeight="false" outlineLevel="0" collapsed="false">
      <c r="H232" s="219" t="n">
        <f aca="false">VLOOKUP(I232,$EJ$20:$EL$54,3)</f>
        <v>0</v>
      </c>
      <c r="I232" s="511" t="n">
        <f aca="false">EOMONTH(I231,0)+1</f>
        <v>43221</v>
      </c>
      <c r="J232" s="512"/>
      <c r="K232" s="513" t="s">
        <v>280</v>
      </c>
      <c r="L232" s="514" t="n">
        <f aca="false">IF(ISNUMBER(K232),J232+K232/100,IF(K232="extra",L231+VLOOKUP(BF232,PriceSpreadTable,2)/12,IF(K232="inter",interpolateprices($K$19:$L$200,ROW(K232)-ROW(FirstPricingMonth)+1),interpolatechanges($J$19:$K$200,ROW(K232)-ROW(FirstPricingMonth)+1))))</f>
        <v>5.1</v>
      </c>
      <c r="M232" s="515"/>
      <c r="N232" s="516" t="n">
        <v>0</v>
      </c>
      <c r="O232" s="515" t="n">
        <f aca="false">M232+N232</f>
        <v>0</v>
      </c>
      <c r="P232" s="512"/>
      <c r="Q232" s="513" t="s">
        <v>280</v>
      </c>
      <c r="R232" s="512" t="e">
        <f aca="false">IF(ISNUMBER(Q232),P232+Q232/100,IF(Q232="extra",(Z230*AL230-R231*AM230)/AN230,IF(Q232="inter",interpolateprices($Q$19:$R$260,ROW(Q232)-ROW(FirstPricingMonth)+1),interpolatechanges($P$19:$Q$260,ROW(Q232)-ROW(FirstPricingMonth)+1))))</f>
        <v>#VALUE!</v>
      </c>
      <c r="S232" s="597" t="n">
        <f aca="false">S$19+(S231-S$19)*S$18</f>
        <v>0.36</v>
      </c>
      <c r="T232" s="575" t="n">
        <f aca="false">SQRT((1-(1-T231^2/U231)*T$18)*U232)</f>
        <v>1</v>
      </c>
      <c r="U232" s="576" t="n">
        <f aca="false">1-(1-U231)*U$18</f>
        <v>1</v>
      </c>
      <c r="V232" s="521" t="n">
        <v>0</v>
      </c>
      <c r="W232" s="577" t="n">
        <f aca="false">(J233*AJ232+J234*AK232)/AI232</f>
        <v>0</v>
      </c>
      <c r="X232" s="578" t="n">
        <f aca="false">(L233*AJ232+L234*AK232)/AI232</f>
        <v>5.15217391304347</v>
      </c>
      <c r="Y232" s="579" t="n">
        <f aca="false">IF(Q234="extra",W232-AA232,(P233*AM232+P234*AN232)/AL232)</f>
        <v>-1.2915</v>
      </c>
      <c r="Z232" s="579" t="n">
        <f aca="false">IF(Q234="extra",X232-AB232,(R233*AM232+R234*AN232)/AL232)</f>
        <v>3.86067391304347</v>
      </c>
      <c r="AA232" s="523" t="n">
        <f aca="false">IF(Q234="extra",INDEX(BrentSeasonalityTable,INT((BG232-1)/3)+1)*VLOOKUP(MAX(BF232,$AB$4),PriceSpreadTable,3),W232-Y232)</f>
        <v>1.2915</v>
      </c>
      <c r="AB232" s="524" t="n">
        <f aca="false">IF(Q234="extra",INDEX(BrentSeasonalityTable,INT((BG232-1)/3)+1)*VLOOKUP(MAX(BF232,$AB$4),PriceSpreadTable,3),X232-Z232)</f>
        <v>1.2915</v>
      </c>
      <c r="AC232" s="646" t="n">
        <v>43210</v>
      </c>
      <c r="AD232" s="646" t="n">
        <v>43206</v>
      </c>
      <c r="AE232" s="646" t="n">
        <v>43205</v>
      </c>
      <c r="AF232" s="646" t="n">
        <v>43201</v>
      </c>
      <c r="AG232" s="438" t="s">
        <v>278</v>
      </c>
      <c r="AH232" s="439" t="s">
        <v>278</v>
      </c>
      <c r="AI232" s="528" t="n">
        <v>23</v>
      </c>
      <c r="AJ232" s="529" t="n">
        <v>14</v>
      </c>
      <c r="AK232" s="529" t="n">
        <v>9</v>
      </c>
      <c r="AL232" s="530" t="n">
        <v>23</v>
      </c>
      <c r="AM232" s="529" t="n">
        <v>10</v>
      </c>
      <c r="AN232" s="531" t="n">
        <v>13</v>
      </c>
      <c r="AO232" s="532"/>
      <c r="AP232" s="465" t="n">
        <f aca="false">(1+AO232/2)^(-2*BL232)</f>
        <v>1</v>
      </c>
      <c r="AQ232" s="532"/>
      <c r="AR232" s="465" t="n">
        <f aca="false">(1+AQ232/2)^(-2*BH232/365.25)</f>
        <v>1</v>
      </c>
      <c r="AS232" s="580" t="n">
        <f aca="false">(O233*AJ232+O234*AK232)/AI232</f>
        <v>0</v>
      </c>
      <c r="AT232" s="468" t="n">
        <f aca="false">O232*VLOOKUP(BF232,BrentVolTable,2)+VLOOKUP(BF232,BrentVolTable,3)</f>
        <v>0</v>
      </c>
      <c r="AU232" s="468" t="n">
        <f aca="false">(AT233*AM232+AT234*AN232)/AL232</f>
        <v>0</v>
      </c>
      <c r="AV232" s="595" t="n">
        <f aca="false">SQRT(MAX(0.000000000001,(O232^2*BH232-S232^2*(BH232-BH231))/BH231))</f>
        <v>0.0382223161849914</v>
      </c>
      <c r="AW232" s="451" t="n">
        <f aca="false">IF($I232-DateToday+15&gt;=$T$8,"",IF($I232-DateToday+15&lt;$T$5,1,MATCH($I232-DateToday+15,$T$5:$T$8)))</f>
        <v>1</v>
      </c>
      <c r="AX232" s="468" t="n">
        <f aca="false">IF($AW232="",AX231^2/AX230,INDEX(U$5:U$8,$AW232)^((INDEX($T$5:$T$8,$AW232+1)-($I232-DateToday+15))/(INDEX($T$5:$T$8,$AW232+1)-INDEX($T$5:$T$8,$AW232)))/INDEX(U$5:U$8,$AW232+1)^((INDEX($T$5:$T$8,$AW232)-($I232-DateToday+15))/(INDEX($T$5:$T$8,$AW232+1)-INDEX($T$5:$T$8,$AW232))))</f>
        <v>0.135134370999083</v>
      </c>
      <c r="AY232" s="468" t="n">
        <f aca="false">IF($AW232="",AY231^2/AY230,INDEX(V$5:V$8,$AW232)^((INDEX($T$5:$T$8,$AW232+1)-($I232-DateToday+15))/(INDEX($T$5:$T$8,$AW232+1)-INDEX($T$5:$T$8,$AW232)))/INDEX(V$5:V$8,$AW232+1)^((INDEX($T$5:$T$8,$AW232)-($I232-DateToday+15))/(INDEX($T$5:$T$8,$AW232+1)-INDEX($T$5:$T$8,$AW232))))</f>
        <v>0.690753158863446</v>
      </c>
      <c r="AZ232" s="468" t="n">
        <f aca="false">IF($AW232="",AZ231^2/AZ230,INDEX(W$5:W$8,$AW232)^((INDEX($T$5:$T$8,$AW232+1)-($I232-DateToday+15))/(INDEX($T$5:$T$8,$AW232+1)-INDEX($T$5:$T$8,$AW232)))/INDEX(W$5:W$8,$AW232+1)^((INDEX($T$5:$T$8,$AW232)-($I232-DateToday+15))/(INDEX($T$5:$T$8,$AW232+1)-INDEX($T$5:$T$8,$AW232))))</f>
        <v>18.7198663418823</v>
      </c>
      <c r="BA232" s="468" t="n">
        <f aca="false">IF($AW232="",BA231^2/BA230,INDEX(X$5:X$8,$AW232)^((INDEX($T$5:$T$8,$AW232+1)-($I232-DateToday+15))/(INDEX($T$5:$T$8,$AW232+1)-INDEX($T$5:$T$8,$AW232)))/INDEX(X$5:X$8,$AW232+1)^((INDEX($T$5:$T$8,$AW232)-($I232-DateToday+15))/(INDEX($T$5:$T$8,$AW232+1)-INDEX($T$5:$T$8,$AW232))))</f>
        <v>26.3510142010123</v>
      </c>
      <c r="BB232" s="468" t="n">
        <f aca="false">IF($AW232="",BB231^2/BB230,INDEX(Y$5:Y$8,$AW232)^((INDEX($T$5:$T$8,$AW232+1)-($I232-DateToday+15))/(INDEX($T$5:$T$8,$AW232+1)-INDEX($T$5:$T$8,$AW232)))/INDEX(Y$5:Y$8,$AW232+1)^((INDEX($T$5:$T$8,$AW232)-($I232-DateToday+15))/(INDEX($T$5:$T$8,$AW232+1)-INDEX($T$5:$T$8,$AW232))))</f>
        <v>89.3630522306132</v>
      </c>
      <c r="BC232" s="468" t="n">
        <f aca="false">IF($AW232="",BC231^2/BC230,INDEX(Z$5:Z$8,$AW232)^((INDEX($T$5:$T$8,$AW232+1)-($I232-DateToday+15))/(INDEX($T$5:$T$8,$AW232+1)-INDEX($T$5:$T$8,$AW232)))/INDEX(Z$5:Z$8,$AW232+1)^((INDEX($T$5:$T$8,$AW232)-($I232-DateToday+15))/(INDEX($T$5:$T$8,$AW232+1)-INDEX($T$5:$T$8,$AW232))))</f>
        <v>191.493457079928</v>
      </c>
      <c r="BD232" s="535" t="n">
        <f aca="false">IF(OR(DateStart&gt;=I233,DateEnd&lt;I232),0,IF(VolumeOverrideFlag,V232,Volume))</f>
        <v>0</v>
      </c>
      <c r="BE232" s="536" t="n">
        <f aca="false">IF(OR(DateStart2&gt;=I233,DateEnd2&lt;I232),0,IF(VolumeOverrideFlag,V232,VolumeSwaption))</f>
        <v>0</v>
      </c>
      <c r="BF232" s="537" t="n">
        <f aca="false">YEAR(I232)</f>
        <v>2018</v>
      </c>
      <c r="BG232" s="538" t="n">
        <f aca="false">MONTH(I232)</f>
        <v>5</v>
      </c>
      <c r="BH232" s="539" t="n">
        <f aca="false">AD232-DateToday+1</f>
        <v>-2719</v>
      </c>
      <c r="BI232" s="540" t="n">
        <f aca="false">(I232-DateToday+1)/365.25</f>
        <v>-7.4031485284052</v>
      </c>
      <c r="BJ232" s="541" t="n">
        <f aca="false">BI232+(BL232-BI232)*CHOOSE(Underlying,AJ232/AI232,AM232/AL232)</f>
        <v>-7.35315299229236</v>
      </c>
      <c r="BK232" s="541" t="n">
        <f aca="false">BJ232+1/365.25</f>
        <v>-7.35041514150522</v>
      </c>
      <c r="BL232" s="541" t="n">
        <f aca="false">(I233-DateToday)/365.25</f>
        <v>-7.32101300479124</v>
      </c>
      <c r="BM232" s="542" t="e">
        <f aca="false">MAX(BI232-(BJ232-BI232)*(S233^2/O233^2-1),0)</f>
        <v>#DIV/0!</v>
      </c>
      <c r="BN232" s="541" t="e">
        <f aca="false">MAX(BL232+(BL232-BK232)*(S234^2/O234^2-1),0)</f>
        <v>#DIV/0!</v>
      </c>
      <c r="BO232" s="530" t="n">
        <f aca="false">CHOOSE(Underlying,AI232,AL232)</f>
        <v>23</v>
      </c>
      <c r="BP232" s="529" t="n">
        <f aca="false">CHOOSE(Underlying,AJ232,AM232)</f>
        <v>14</v>
      </c>
      <c r="BQ232" s="529" t="n">
        <f aca="false">CHOOSE(Underlying,AK232,AN232)</f>
        <v>9</v>
      </c>
      <c r="BR232" s="463" t="str">
        <f aca="false">IF(BD232,IF(Underlying=1,X232,Z232)+UnderlyingPriceAsian-SwapPriceCurve,"")</f>
        <v/>
      </c>
      <c r="BS232" s="463" t="str">
        <f aca="false">IF(BD232,Strike1/BR232-1,"")</f>
        <v/>
      </c>
      <c r="BT232" s="464" t="str">
        <f aca="false">IF(BD232,Strike2/BR232-1,"")</f>
        <v/>
      </c>
      <c r="BU232" s="465" t="str">
        <f aca="false">IF(BD232,IF(Underlying=1,L233,R233)+UnderlyingPriceAsian-SwapPriceCurve,"")</f>
        <v/>
      </c>
      <c r="BV232" s="465" t="str">
        <f aca="false">IF(BD232,IF(Underlying=1,L234,R234)+UnderlyingPriceAsian-SwapPriceCurve,"")</f>
        <v/>
      </c>
      <c r="BW232" s="466" t="str">
        <f aca="false">IF(BD232,IF(Underlying=1,O233,AT233),"")</f>
        <v/>
      </c>
      <c r="BX232" s="467" t="str">
        <f aca="false">IF(BD232,IF(Underlying=1,O234,AT234),"")</f>
        <v/>
      </c>
      <c r="BY232" s="466" t="str">
        <f aca="false">IF(BD232,IF(BS232&gt;0,IF(BS232&gt;0.2,BC232-BB232,IF(BS232&gt;0.1,BB232-BA232,BA232)),IF(BS232&lt;-0.2,AX232-AY232,IF(BS232&lt;-0.1,AY232-AZ232,AZ232))),"")</f>
        <v/>
      </c>
      <c r="BZ232" s="467" t="str">
        <f aca="false">IF(BD232,IF(BT232&gt;0,IF(BT232&gt;0.2,BC232-BB232,IF(BT232&gt;0.1,BB232-BA232,BA232)),IF(BT232&lt;-0.2,AX232-AY232,IF(BT232&lt;-0.1,AY232-AZ232,AZ232))),"")</f>
        <v/>
      </c>
      <c r="CA232" s="468" t="str">
        <f aca="false">IF($BD232,$BW232+IF(VolSkewFlag=1,IF(BS232&gt;0,$BA232*MIN(BS232/10%,1)+($BB232-$BA232)*MAX(0,MIN(BS232/10%-1,1))+($BC232-$BB232)*MAX(0,BS232/10%-2),$AZ232*MIN(-BS232/10%,1)+($AY232-$AZ232)*MAX(0,MIN(-BS232/10%-1,1))+($AX232-$AY232)*MAX(0,-BS232/10%-2)),0),"")</f>
        <v/>
      </c>
      <c r="CB232" s="468" t="str">
        <f aca="false">IF($BD232,$BX232+IF(VolSkewFlag=1,IF(BS232&gt;0,$BA232*MIN(BS232/10%,1)+($BB232-$BA232)*MAX(0,MIN(BS232/10%-1,1))+($BC232-$BB232)*MAX(0,BS232/10%-2),$AZ232*MIN(-BS232/10%,1)+($AY232-$AZ232)*MAX(0,MIN(-BS232/10%-1,1))+($AX232-$AY232)*MAX(0,-BS232/10%-2)),0),"")</f>
        <v/>
      </c>
      <c r="CC232" s="468" t="str">
        <f aca="false">IF($BD232,$BW232+IF(VolSkewFlag=1,IF(BT232&gt;0,$BA232*MIN(BT232/10%,1)+($BB232-$BA232)*MAX(0,MIN(BT232/10%-1,1))+($BC232-$BB232)*MAX(0,BT232/10%-2),$AZ232*MIN(-BT232/10%,1)+($AY232-$AZ232)*MAX(0,MIN(-BT232/10%-1,1))+($AX232-$AY232)*MAX(0,-BT232/10%-2)),0),"")</f>
        <v/>
      </c>
      <c r="CD232" s="468" t="str">
        <f aca="false">IF($BD232,$BX232+IF(VolSkewFlag=1,IF(BT232&gt;0,$BA232*MIN(BT232/10%,1)+($BB232-$BA232)*MAX(0,MIN(BT232/10%-1,1))+($BC232-$BB232)*MAX(0,BT232/10%-2),$AZ232*MIN(-BT232/10%,1)+($AY232-$AZ232)*MAX(0,MIN(-BT232/10%-1,1))+($AX232-$AY232)*MAX(0,-BT232/10%-2)),0),"")</f>
        <v/>
      </c>
      <c r="CE232" s="469" t="n">
        <v>1</v>
      </c>
      <c r="CF232" s="470" t="n">
        <f aca="false">IF(BD232,xCrudeAPO(BU232,BV232,CA232,CB232,S233,S234,BI232,BL232,BP232,BQ232,0,Strike1,AO232,CE232,0,BL232,IF(OptControl=4,0,1),0,1),0)</f>
        <v>0</v>
      </c>
      <c r="CG232" s="470" t="n">
        <f aca="false">IF(BD232,xCrudeAPO(BU232,BV232,CA232,CB232,S233,S234,BI232,BL232,BP232,BQ232,0,Strike1,AO232,CE232,0,BL232,IF(OptControl=4,0,1),1,1)+xCrudeAPO(BU232,BV232,CA232,CB232,S233,S234,BI232,BL232,BP232,BQ232,0,Strike1,AO232,CE232,0,BL232,IF(OptControl=4,0,1),1,2)+IF(OR(VolSkewFlag=2,ABS(BS232)&lt;0.0001),0,IF(BS232&gt;0,-1,1)*CH232*Strike1/BR232^2*BY232/10%),0)</f>
        <v>0</v>
      </c>
      <c r="CH232" s="470" t="n">
        <f aca="false">IF(BD232,(xCrudeAPO(BU232,BV232,CA232,CB232,S233,S234,BI232,BL232,BP232,BQ232,0,Strike1,AO232,CE232,0,BL232,IF(OptControl=4,0,1),3,1)+xCrudeAPO(BU232,BV232,CA232,CB232,S233,S234,BI232,BL232,BP232,BQ232,0,Strike1,AO232,CE232,0,BL232,IF(OptControl=4,0,1),3,2))/100,0)</f>
        <v>0</v>
      </c>
      <c r="CI232" s="470" t="n">
        <f aca="false">IF(BD232,xCrudeAPO(BU232,BV232,CA232,CB232,S233,S234,BI232-DaysForThetaCalculation/365.25,BL232-DaysForThetaCalculation/365.25,BP232,BQ232,0,Strike1,AO232,CE232,0,BL232,IF(OptControl=4,0,1),0,1)-xCrudeAPO(BU232,BV232,CA232,CB232,S233,S234,BI232,BL232,BP232,BQ232,0,Strike1,AO232,CE232,0,BL232,IF(OptControl=4,0,1),0,1),0)</f>
        <v>0</v>
      </c>
      <c r="CJ232" s="471" t="n">
        <f aca="false">IF(BD232,xCrudeAPO(BU232,BV232,CC232,CD232,S233,S234,BI232,BL232,BP232,BQ232,0,Strike2,AO232,CE232,0,BL232,IF(OptControl=3,1,0),0,1),0)</f>
        <v>0</v>
      </c>
      <c r="CK232" s="470" t="n">
        <f aca="false">IF(BD232,xCrudeAPO(BU232,BV232,CC232,CD232,S233,S234,BI232,BL232,BP232,BQ232,0,Strike2,AO232,CE232,0,BL232,IF(OptControl=3,1,0),1,1)+xCrudeAPO(BU232,BV232,CC232,CD232,S233,S234,BI232,BL232,BP232,BQ232,0,Strike2,AO232,CE232,0,BL232,IF(OptControl=3,1,0),1,2)+IF(OR(VolSkewFlag=2,ABS(BT232)&lt;0.0001),0,IF(BT232&gt;0,-1,1)*CL232*Strike2/BR232^2*BZ232/10%),0)</f>
        <v>0</v>
      </c>
      <c r="CL232" s="470" t="n">
        <f aca="false">IF(BD232,(xCrudeAPO(BU232,BV232,CC232,CD232,S233,S234,BI232,BL232,BP232,BQ232,0,Strike2,AO232,CE232,0,BL232,IF(OptControl=3,1,0),3,1)+xCrudeAPO(BU232,BV232,CC232,CD232,S233,S234,BI232,BL232,BP232,BQ232,0,Strike2,AO232,CE232,0,BL232,IF(OptControl=3,1,0),3,2))/100,0)</f>
        <v>0</v>
      </c>
      <c r="CM232" s="472" t="n">
        <f aca="false">IF(BD232,xCrudeAPO(BU232,BV232,CC232,CD232,S233,S234,BI232-DaysForThetaCalculation/365.25,BL232-DaysForThetaCalculation/365.25,BP232,BQ232,0,Strike2,AO232,CE232,0,BL232,IF(OptControl=3,1,0),0,1)-xCrudeAPO(BU232,BV232,CC232,CD232,S233,S234,BI232,BL232,BP232,BQ232,0,Strike2,AO232,CE232,0,BL232,IF(OptControl=3,1,0),0,1),0)</f>
        <v>0</v>
      </c>
      <c r="CN232" s="3"/>
      <c r="CO232" s="543" t="str">
        <f aca="false">IF(BD232,CHOOSE(Underlying,AD232,AF232)-DateToday+1,"")</f>
        <v/>
      </c>
      <c r="CP232" s="582" t="str">
        <f aca="false">IF(BD232,CHOOSE(Underlying,L232,R232),"")</f>
        <v/>
      </c>
      <c r="CQ232" s="544" t="str">
        <f aca="false">IF(BD232,Strike1/CP232-1,"")</f>
        <v/>
      </c>
      <c r="CR232" s="544" t="str">
        <f aca="false">IF(BD232,Strike2/CP232-1,"")</f>
        <v/>
      </c>
      <c r="CS232" s="544" t="str">
        <f aca="false">IF(BD232,IF(CQ232&gt;0,IF(CQ232&gt;0.2,BC231-BB231,IF(CQ232&gt;0.1,BB231-BA231,BA231)),IF(CQ232&lt;-0.2,AX231-AY231,IF(CQ232&lt;-0.1,AY231-AZ231,AZ231))),"")</f>
        <v/>
      </c>
      <c r="CT232" s="544" t="str">
        <f aca="false">IF(BD232,IF(CR232&gt;0,IF(CR232&gt;0.2,BC231-BB231,IF(CR232&gt;0.1,BB231-BA231,BA231)),IF(CR232&lt;-0.2,AX231-AY231,IF(CR232&lt;-0.1,AY231-AZ231,AZ231))),"")</f>
        <v/>
      </c>
      <c r="CU232" s="545" t="str">
        <f aca="false">IF(BD232,CHOOSE(Underlying,O232,AT232),"")</f>
        <v/>
      </c>
      <c r="CV232" s="545" t="str">
        <f aca="false">IF(BD232,CU232+IF(VolSkewFlag=1,IF(CQ232&gt;0,BA231*MIN(CQ232/10%,1)+(BB231-BA231)*MAX(0,MIN(CQ232/10%-1,1))+(BC231-BB231)*MAX(0,CQ232/10%-2),AZ231*MIN(-CQ232/10%,1)+(AY231-AZ231)*MAX(0,MIN(-CQ232/10%-1,1))+(AX231-AY231)*MAX(0,-CQ232/10%-2)),0),"")</f>
        <v/>
      </c>
      <c r="CW232" s="545" t="str">
        <f aca="false">IF(BD232,CU232+IF(VolSkewFlag=1,IF(CR232&gt;0,BA231*MIN(CR232/10%,1)+(BB231-BA231)*MAX(0,MIN(CR232/10%-1,1))+(BC231-BB231)*MAX(0,CR232/10%-2),AZ231*MIN(-CR232/10%,1)+(AY231-AZ231)*MAX(0,MIN(-CR232/10%-1,1))+(AX231-AY231)*MAX(0,-CR232/10%-2)),0),"")</f>
        <v/>
      </c>
      <c r="CX232" s="470" t="n">
        <f aca="false">IF(BD232,EURO(CP232,Strike1,AO232,AO232,CV232,CO232,IF(OptControl=4,0,1),0),0)</f>
        <v>0</v>
      </c>
      <c r="CY232" s="470" t="n">
        <f aca="false">IF(BD232,EURO(CP232,Strike1,AO232,AO232,CV232,CO232,IF(OptControl=4,0,1),1)+IF(OR(VolSkewFlag=2,ABS(CQ232)&lt;0.0001),0,IF(CQ232&gt;0,-1,1)*CZ232*100*Strike1/CP232^2*CS232/10%),0)</f>
        <v>0</v>
      </c>
      <c r="CZ232" s="470" t="n">
        <f aca="false">IF(BD232,EURO(CP232,Strike1,AO232,AO232,CV232,CO232,IF(OptControl=4,0,1),3)/100,0)</f>
        <v>0</v>
      </c>
      <c r="DA232" s="470" t="n">
        <f aca="false">IF(BD232,EURO(CP232,Strike1,AO232,AO232,CV232,CO232,IF(OptControl=4,0,1),0)-EURO(CP232,Strike1,AO232,AO232,CV232,CO232-1,IF(OptControl=4,0,1),0),0)</f>
        <v>0</v>
      </c>
      <c r="DB232" s="470" t="n">
        <f aca="false">IF(BD232,EURO(CP232,Strike2,AO232,AO232,CW232,CO232,IF(OptControl=3,1,0),0),0)</f>
        <v>0</v>
      </c>
      <c r="DC232" s="470" t="n">
        <f aca="false">IF(BD232,EURO(CP232,Strike2,AO232,AO232,CW232,CO232,IF(OptControl=3,1,0),1)+IF(OR(VolSkewFlag=2,ABS(CR232)&lt;0.0001),0,IF(CR232&gt;0,-1,1)*DD232*100*Strike2/CP232^2*CT232/10%),0)</f>
        <v>0</v>
      </c>
      <c r="DD232" s="470" t="n">
        <f aca="false">IF(BD232,EURO(CP232,Strike2,AO232,AO232,CW232,CO232,IF(OptControl=3,1,0),3)/100,0)</f>
        <v>0</v>
      </c>
      <c r="DE232" s="472" t="n">
        <f aca="false">IF(BD232,EURO(CP232,Strike2,AO232,AO232,CW232,CO232,IF(OptControl=3,1,0),0)-EURO(CP232,Strike2,AO232,AO232,CW232,CO232-1,IF(OptControl=3,1,0),0),0)</f>
        <v>0</v>
      </c>
      <c r="DG232" s="481" t="n">
        <f aca="false">EOMONTH(DG231,0)+1</f>
        <v>52140</v>
      </c>
      <c r="DH232" s="478" t="n">
        <v>24.7600000000001</v>
      </c>
      <c r="DI232" s="479" t="n">
        <v>24.8259090909092</v>
      </c>
      <c r="DJ232" s="480" t="n">
        <f aca="false">DG232</f>
        <v>52140</v>
      </c>
      <c r="DK232" s="478" t="n">
        <v>23.4075032987281</v>
      </c>
      <c r="DL232" s="479" t="n">
        <v>23.6328090909092</v>
      </c>
      <c r="DM232" s="481" t="n">
        <f aca="false">DG232</f>
        <v>52140</v>
      </c>
      <c r="DN232" s="482" t="n">
        <f aca="false">DK232+BrentPhyBrentSpread</f>
        <v>23.4575032987281</v>
      </c>
      <c r="DO232" s="481" t="n">
        <f aca="false">DG232</f>
        <v>52140</v>
      </c>
      <c r="DP232" s="483" t="n">
        <f aca="false">DL232+DQ232</f>
        <v>23.6328090909092</v>
      </c>
      <c r="DQ232" s="546" t="n">
        <v>0</v>
      </c>
      <c r="DR232" s="480" t="n">
        <f aca="false">DG232</f>
        <v>52140</v>
      </c>
      <c r="DS232" s="485" t="n">
        <v>0.097399999999998</v>
      </c>
      <c r="DT232" s="486" t="n">
        <v>0.0966090909090889</v>
      </c>
      <c r="DU232" s="480" t="n">
        <f aca="false">DG232</f>
        <v>52140</v>
      </c>
      <c r="DV232" s="485" t="n">
        <v>0.097399999999998</v>
      </c>
      <c r="DW232" s="486" t="n">
        <v>0.0966090909090889</v>
      </c>
      <c r="DX232" s="481" t="n">
        <f aca="false">DG232</f>
        <v>52140</v>
      </c>
      <c r="DY232" s="486" t="n">
        <v>0.35</v>
      </c>
      <c r="DZ232" s="481" t="n">
        <f aca="false">DR232</f>
        <v>52140</v>
      </c>
      <c r="EA232" s="486" t="n">
        <f aca="false">DT232</f>
        <v>0.0966090909090889</v>
      </c>
      <c r="EB232" s="195"/>
      <c r="EC232" s="547" t="str">
        <f aca="false">IF(BD232,IF(Underlying=1,AS232,AU232),"")</f>
        <v/>
      </c>
      <c r="ED232" s="548" t="str">
        <f aca="false">IF($BD232,$EC232+IF(VolSkewFlag=1,IF(BS232&gt;0,$BA232*MIN(BS232/10%,1)+($BB232-$BA232)*MAX(0,MIN(BS232/10%-1,1))+($BC232-$BB232)*MAX(0,BS232/10%-2),$AZ232*MIN(-BS232/10%,1)+($AY232-$AZ232)*MAX(0,MIN(-BS232/10%-1,1))+($AX232-$AY232)*MAX(0,-BS232/10%-2)),0),"")</f>
        <v/>
      </c>
      <c r="EE232" s="549" t="str">
        <f aca="false">IF($BD232,$EC232+IF(VolSkewFlag=1,IF(BT232&gt;0,$BA232*MIN(BT232/10%,1)+($BB232-$BA232)*MAX(0,MIN(BT232/10%-1,1))+($BC232-$BB232)*MAX(0,BT232/10%-2),$AZ232*MIN(-BT232/10%,1)+($AY232-$AZ232)*MAX(0,MIN(-BT232/10%-1,1))+($AX232-$AY232)*MAX(0,-BT232/10%-2)),0),"")</f>
        <v/>
      </c>
      <c r="EF232" s="550" t="n">
        <f aca="false">IF(BD232,xASN(BR232,Strike1,AO232,ED232,0,BO232,0,BI232,BL232,IF(OptControl=4,0,1),0),0)</f>
        <v>0</v>
      </c>
      <c r="EG232" s="551" t="n">
        <f aca="false">IF(BD232,xASN(BR232,Strike2,AO232,EE232,0,BO232,0,BI232,BL232,IF(OptControl=3,1,0),0),0)</f>
        <v>0</v>
      </c>
      <c r="EL232" s="1"/>
      <c r="EM232" s="195"/>
      <c r="EN232" s="240"/>
      <c r="EO232" s="240"/>
      <c r="EP232" s="195"/>
      <c r="EQ232" s="407" t="s">
        <v>460</v>
      </c>
      <c r="ES232" s="1"/>
      <c r="EU232" s="672"/>
      <c r="FJ232" s="571" t="n">
        <v>63</v>
      </c>
      <c r="FK232" s="150" t="str">
        <f aca="false">IF(OR(FK$169&lt;SwaptionFirstMonthPosition+1,$FJ232&lt;SwaptionFirstMonthPosition+1,FK$169&gt;SwaptionFirstMonthPosition+SwaptionNumOfMonths+1,$FJ232&gt;SwaptionFirstMonthPosition+SwaptionNumOfMonths+1),"",IF($FJ232=FK$169,1,IF($FJ232&lt;FK$169,INDEX($FK$170:$ID$241,FK$169,$FJ232),SUMPRODUCT(INDEX($FK$325:$ID$396,FK$169,1+SwaptionShift):INDEX($FK$325:$ID$396,FK$169,SwaptionMonthsToGo+SwaptionShift),INDEX($FK$245:$ID$316,$FJ232-FK$169,73-FK$169+SwaptionShift):INDEX($FK$245:$ID$316,$FJ232-FK$169,72-FK$169+SwaptionMonthsToGo+SwaptionShift))/SQRT(SUM(INDEX($FK387:$ID387,1+SwaptionShift):INDEX($FK387:$ID387,SwaptionMonthsToGo+SwaptionShift))*SUM(INDEX($FK$325:$ID$396,FK$169,1+SwaptionShift):INDEX($FK$325:$ID$396,FK$169,SwaptionMonthsToGo+SwaptionShift))))))</f>
        <v/>
      </c>
      <c r="FL232" s="150" t="str">
        <f aca="false">IF(OR(FL$169&lt;SwaptionFirstMonthPosition+1,$FJ232&lt;SwaptionFirstMonthPosition+1,FL$169&gt;SwaptionFirstMonthPosition+SwaptionNumOfMonths+1,$FJ232&gt;SwaptionFirstMonthPosition+SwaptionNumOfMonths+1),"",IF($FJ232=FL$169,1,IF($FJ232&lt;FL$169,INDEX($FK$170:$ID$241,FL$169,$FJ232),SUMPRODUCT(INDEX($FK$325:$ID$396,FL$169,1+SwaptionShift):INDEX($FK$325:$ID$396,FL$169,SwaptionMonthsToGo+SwaptionShift),INDEX($FK$245:$ID$316,$FJ232-FL$169,73-FL$169+SwaptionShift):INDEX($FK$245:$ID$316,$FJ232-FL$169,72-FL$169+SwaptionMonthsToGo+SwaptionShift))/SQRT(SUM(INDEX($FK387:$ID387,1+SwaptionShift):INDEX($FK387:$ID387,SwaptionMonthsToGo+SwaptionShift))*SUM(INDEX($FK$325:$ID$396,FL$169,1+SwaptionShift):INDEX($FK$325:$ID$396,FL$169,SwaptionMonthsToGo+SwaptionShift))))))</f>
        <v/>
      </c>
      <c r="FM232" s="150" t="str">
        <f aca="false">IF(OR(FM$169&lt;SwaptionFirstMonthPosition+1,$FJ232&lt;SwaptionFirstMonthPosition+1,FM$169&gt;SwaptionFirstMonthPosition+SwaptionNumOfMonths+1,$FJ232&gt;SwaptionFirstMonthPosition+SwaptionNumOfMonths+1),"",IF($FJ232=FM$169,1,IF($FJ232&lt;FM$169,INDEX($FK$170:$ID$241,FM$169,$FJ232),SUMPRODUCT(INDEX($FK$325:$ID$396,FM$169,1+SwaptionShift):INDEX($FK$325:$ID$396,FM$169,SwaptionMonthsToGo+SwaptionShift),INDEX($FK$245:$ID$316,$FJ232-FM$169,73-FM$169+SwaptionShift):INDEX($FK$245:$ID$316,$FJ232-FM$169,72-FM$169+SwaptionMonthsToGo+SwaptionShift))/SQRT(SUM(INDEX($FK387:$ID387,1+SwaptionShift):INDEX($FK387:$ID387,SwaptionMonthsToGo+SwaptionShift))*SUM(INDEX($FK$325:$ID$396,FM$169,1+SwaptionShift):INDEX($FK$325:$ID$396,FM$169,SwaptionMonthsToGo+SwaptionShift))))))</f>
        <v/>
      </c>
      <c r="FN232" s="150" t="str">
        <f aca="false">IF(OR(FN$169&lt;SwaptionFirstMonthPosition+1,$FJ232&lt;SwaptionFirstMonthPosition+1,FN$169&gt;SwaptionFirstMonthPosition+SwaptionNumOfMonths+1,$FJ232&gt;SwaptionFirstMonthPosition+SwaptionNumOfMonths+1),"",IF($FJ232=FN$169,1,IF($FJ232&lt;FN$169,INDEX($FK$170:$ID$241,FN$169,$FJ232),SUMPRODUCT(INDEX($FK$325:$ID$396,FN$169,1+SwaptionShift):INDEX($FK$325:$ID$396,FN$169,SwaptionMonthsToGo+SwaptionShift),INDEX($FK$245:$ID$316,$FJ232-FN$169,73-FN$169+SwaptionShift):INDEX($FK$245:$ID$316,$FJ232-FN$169,72-FN$169+SwaptionMonthsToGo+SwaptionShift))/SQRT(SUM(INDEX($FK387:$ID387,1+SwaptionShift):INDEX($FK387:$ID387,SwaptionMonthsToGo+SwaptionShift))*SUM(INDEX($FK$325:$ID$396,FN$169,1+SwaptionShift):INDEX($FK$325:$ID$396,FN$169,SwaptionMonthsToGo+SwaptionShift))))))</f>
        <v/>
      </c>
      <c r="FO232" s="150" t="str">
        <f aca="false">IF(OR(FO$169&lt;SwaptionFirstMonthPosition+1,$FJ232&lt;SwaptionFirstMonthPosition+1,FO$169&gt;SwaptionFirstMonthPosition+SwaptionNumOfMonths+1,$FJ232&gt;SwaptionFirstMonthPosition+SwaptionNumOfMonths+1),"",IF($FJ232=FO$169,1,IF($FJ232&lt;FO$169,INDEX($FK$170:$ID$241,FO$169,$FJ232),SUMPRODUCT(INDEX($FK$325:$ID$396,FO$169,1+SwaptionShift):INDEX($FK$325:$ID$396,FO$169,SwaptionMonthsToGo+SwaptionShift),INDEX($FK$245:$ID$316,$FJ232-FO$169,73-FO$169+SwaptionShift):INDEX($FK$245:$ID$316,$FJ232-FO$169,72-FO$169+SwaptionMonthsToGo+SwaptionShift))/SQRT(SUM(INDEX($FK387:$ID387,1+SwaptionShift):INDEX($FK387:$ID387,SwaptionMonthsToGo+SwaptionShift))*SUM(INDEX($FK$325:$ID$396,FO$169,1+SwaptionShift):INDEX($FK$325:$ID$396,FO$169,SwaptionMonthsToGo+SwaptionShift))))))</f>
        <v/>
      </c>
      <c r="FP232" s="150" t="str">
        <f aca="false">IF(OR(FP$169&lt;SwaptionFirstMonthPosition+1,$FJ232&lt;SwaptionFirstMonthPosition+1,FP$169&gt;SwaptionFirstMonthPosition+SwaptionNumOfMonths+1,$FJ232&gt;SwaptionFirstMonthPosition+SwaptionNumOfMonths+1),"",IF($FJ232=FP$169,1,IF($FJ232&lt;FP$169,INDEX($FK$170:$ID$241,FP$169,$FJ232),SUMPRODUCT(INDEX($FK$325:$ID$396,FP$169,1+SwaptionShift):INDEX($FK$325:$ID$396,FP$169,SwaptionMonthsToGo+SwaptionShift),INDEX($FK$245:$ID$316,$FJ232-FP$169,73-FP$169+SwaptionShift):INDEX($FK$245:$ID$316,$FJ232-FP$169,72-FP$169+SwaptionMonthsToGo+SwaptionShift))/SQRT(SUM(INDEX($FK387:$ID387,1+SwaptionShift):INDEX($FK387:$ID387,SwaptionMonthsToGo+SwaptionShift))*SUM(INDEX($FK$325:$ID$396,FP$169,1+SwaptionShift):INDEX($FK$325:$ID$396,FP$169,SwaptionMonthsToGo+SwaptionShift))))))</f>
        <v/>
      </c>
      <c r="FQ232" s="150" t="str">
        <f aca="false">IF(OR(FQ$169&lt;SwaptionFirstMonthPosition+1,$FJ232&lt;SwaptionFirstMonthPosition+1,FQ$169&gt;SwaptionFirstMonthPosition+SwaptionNumOfMonths+1,$FJ232&gt;SwaptionFirstMonthPosition+SwaptionNumOfMonths+1),"",IF($FJ232=FQ$169,1,IF($FJ232&lt;FQ$169,INDEX($FK$170:$ID$241,FQ$169,$FJ232),SUMPRODUCT(INDEX($FK$325:$ID$396,FQ$169,1+SwaptionShift):INDEX($FK$325:$ID$396,FQ$169,SwaptionMonthsToGo+SwaptionShift),INDEX($FK$245:$ID$316,$FJ232-FQ$169,73-FQ$169+SwaptionShift):INDEX($FK$245:$ID$316,$FJ232-FQ$169,72-FQ$169+SwaptionMonthsToGo+SwaptionShift))/SQRT(SUM(INDEX($FK387:$ID387,1+SwaptionShift):INDEX($FK387:$ID387,SwaptionMonthsToGo+SwaptionShift))*SUM(INDEX($FK$325:$ID$396,FQ$169,1+SwaptionShift):INDEX($FK$325:$ID$396,FQ$169,SwaptionMonthsToGo+SwaptionShift))))))</f>
        <v/>
      </c>
      <c r="FR232" s="150" t="str">
        <f aca="false">IF(OR(FR$169&lt;SwaptionFirstMonthPosition+1,$FJ232&lt;SwaptionFirstMonthPosition+1,FR$169&gt;SwaptionFirstMonthPosition+SwaptionNumOfMonths+1,$FJ232&gt;SwaptionFirstMonthPosition+SwaptionNumOfMonths+1),"",IF($FJ232=FR$169,1,IF($FJ232&lt;FR$169,INDEX($FK$170:$ID$241,FR$169,$FJ232),SUMPRODUCT(INDEX($FK$325:$ID$396,FR$169,1+SwaptionShift):INDEX($FK$325:$ID$396,FR$169,SwaptionMonthsToGo+SwaptionShift),INDEX($FK$245:$ID$316,$FJ232-FR$169,73-FR$169+SwaptionShift):INDEX($FK$245:$ID$316,$FJ232-FR$169,72-FR$169+SwaptionMonthsToGo+SwaptionShift))/SQRT(SUM(INDEX($FK387:$ID387,1+SwaptionShift):INDEX($FK387:$ID387,SwaptionMonthsToGo+SwaptionShift))*SUM(INDEX($FK$325:$ID$396,FR$169,1+SwaptionShift):INDEX($FK$325:$ID$396,FR$169,SwaptionMonthsToGo+SwaptionShift))))))</f>
        <v/>
      </c>
      <c r="FS232" s="150" t="str">
        <f aca="false">IF(OR(FS$169&lt;SwaptionFirstMonthPosition+1,$FJ232&lt;SwaptionFirstMonthPosition+1,FS$169&gt;SwaptionFirstMonthPosition+SwaptionNumOfMonths+1,$FJ232&gt;SwaptionFirstMonthPosition+SwaptionNumOfMonths+1),"",IF($FJ232=FS$169,1,IF($FJ232&lt;FS$169,INDEX($FK$170:$ID$241,FS$169,$FJ232),SUMPRODUCT(INDEX($FK$325:$ID$396,FS$169,1+SwaptionShift):INDEX($FK$325:$ID$396,FS$169,SwaptionMonthsToGo+SwaptionShift),INDEX($FK$245:$ID$316,$FJ232-FS$169,73-FS$169+SwaptionShift):INDEX($FK$245:$ID$316,$FJ232-FS$169,72-FS$169+SwaptionMonthsToGo+SwaptionShift))/SQRT(SUM(INDEX($FK387:$ID387,1+SwaptionShift):INDEX($FK387:$ID387,SwaptionMonthsToGo+SwaptionShift))*SUM(INDEX($FK$325:$ID$396,FS$169,1+SwaptionShift):INDEX($FK$325:$ID$396,FS$169,SwaptionMonthsToGo+SwaptionShift))))))</f>
        <v/>
      </c>
      <c r="FT232" s="150" t="str">
        <f aca="false">IF(OR(FT$169&lt;SwaptionFirstMonthPosition+1,$FJ232&lt;SwaptionFirstMonthPosition+1,FT$169&gt;SwaptionFirstMonthPosition+SwaptionNumOfMonths+1,$FJ232&gt;SwaptionFirstMonthPosition+SwaptionNumOfMonths+1),"",IF($FJ232=FT$169,1,IF($FJ232&lt;FT$169,INDEX($FK$170:$ID$241,FT$169,$FJ232),SUMPRODUCT(INDEX($FK$325:$ID$396,FT$169,1+SwaptionShift):INDEX($FK$325:$ID$396,FT$169,SwaptionMonthsToGo+SwaptionShift),INDEX($FK$245:$ID$316,$FJ232-FT$169,73-FT$169+SwaptionShift):INDEX($FK$245:$ID$316,$FJ232-FT$169,72-FT$169+SwaptionMonthsToGo+SwaptionShift))/SQRT(SUM(INDEX($FK387:$ID387,1+SwaptionShift):INDEX($FK387:$ID387,SwaptionMonthsToGo+SwaptionShift))*SUM(INDEX($FK$325:$ID$396,FT$169,1+SwaptionShift):INDEX($FK$325:$ID$396,FT$169,SwaptionMonthsToGo+SwaptionShift))))))</f>
        <v/>
      </c>
      <c r="FU232" s="150" t="str">
        <f aca="false">IF(OR(FU$169&lt;SwaptionFirstMonthPosition+1,$FJ232&lt;SwaptionFirstMonthPosition+1,FU$169&gt;SwaptionFirstMonthPosition+SwaptionNumOfMonths+1,$FJ232&gt;SwaptionFirstMonthPosition+SwaptionNumOfMonths+1),"",IF($FJ232=FU$169,1,IF($FJ232&lt;FU$169,INDEX($FK$170:$ID$241,FU$169,$FJ232),SUMPRODUCT(INDEX($FK$325:$ID$396,FU$169,1+SwaptionShift):INDEX($FK$325:$ID$396,FU$169,SwaptionMonthsToGo+SwaptionShift),INDEX($FK$245:$ID$316,$FJ232-FU$169,73-FU$169+SwaptionShift):INDEX($FK$245:$ID$316,$FJ232-FU$169,72-FU$169+SwaptionMonthsToGo+SwaptionShift))/SQRT(SUM(INDEX($FK387:$ID387,1+SwaptionShift):INDEX($FK387:$ID387,SwaptionMonthsToGo+SwaptionShift))*SUM(INDEX($FK$325:$ID$396,FU$169,1+SwaptionShift):INDEX($FK$325:$ID$396,FU$169,SwaptionMonthsToGo+SwaptionShift))))))</f>
        <v/>
      </c>
      <c r="FV232" s="150" t="str">
        <f aca="false">IF(OR(FV$169&lt;SwaptionFirstMonthPosition+1,$FJ232&lt;SwaptionFirstMonthPosition+1,FV$169&gt;SwaptionFirstMonthPosition+SwaptionNumOfMonths+1,$FJ232&gt;SwaptionFirstMonthPosition+SwaptionNumOfMonths+1),"",IF($FJ232=FV$169,1,IF($FJ232&lt;FV$169,INDEX($FK$170:$ID$241,FV$169,$FJ232),SUMPRODUCT(INDEX($FK$325:$ID$396,FV$169,1+SwaptionShift):INDEX($FK$325:$ID$396,FV$169,SwaptionMonthsToGo+SwaptionShift),INDEX($FK$245:$ID$316,$FJ232-FV$169,73-FV$169+SwaptionShift):INDEX($FK$245:$ID$316,$FJ232-FV$169,72-FV$169+SwaptionMonthsToGo+SwaptionShift))/SQRT(SUM(INDEX($FK387:$ID387,1+SwaptionShift):INDEX($FK387:$ID387,SwaptionMonthsToGo+SwaptionShift))*SUM(INDEX($FK$325:$ID$396,FV$169,1+SwaptionShift):INDEX($FK$325:$ID$396,FV$169,SwaptionMonthsToGo+SwaptionShift))))))</f>
        <v/>
      </c>
      <c r="FW232" s="150" t="str">
        <f aca="false">IF(OR(FW$169&lt;SwaptionFirstMonthPosition+1,$FJ232&lt;SwaptionFirstMonthPosition+1,FW$169&gt;SwaptionFirstMonthPosition+SwaptionNumOfMonths+1,$FJ232&gt;SwaptionFirstMonthPosition+SwaptionNumOfMonths+1),"",IF($FJ232=FW$169,1,IF($FJ232&lt;FW$169,INDEX($FK$170:$ID$241,FW$169,$FJ232),SUMPRODUCT(INDEX($FK$325:$ID$396,FW$169,1+SwaptionShift):INDEX($FK$325:$ID$396,FW$169,SwaptionMonthsToGo+SwaptionShift),INDEX($FK$245:$ID$316,$FJ232-FW$169,73-FW$169+SwaptionShift):INDEX($FK$245:$ID$316,$FJ232-FW$169,72-FW$169+SwaptionMonthsToGo+SwaptionShift))/SQRT(SUM(INDEX($FK387:$ID387,1+SwaptionShift):INDEX($FK387:$ID387,SwaptionMonthsToGo+SwaptionShift))*SUM(INDEX($FK$325:$ID$396,FW$169,1+SwaptionShift):INDEX($FK$325:$ID$396,FW$169,SwaptionMonthsToGo+SwaptionShift))))))</f>
        <v/>
      </c>
      <c r="FX232" s="150" t="str">
        <f aca="false">IF(OR(FX$169&lt;SwaptionFirstMonthPosition+1,$FJ232&lt;SwaptionFirstMonthPosition+1,FX$169&gt;SwaptionFirstMonthPosition+SwaptionNumOfMonths+1,$FJ232&gt;SwaptionFirstMonthPosition+SwaptionNumOfMonths+1),"",IF($FJ232=FX$169,1,IF($FJ232&lt;FX$169,INDEX($FK$170:$ID$241,FX$169,$FJ232),SUMPRODUCT(INDEX($FK$325:$ID$396,FX$169,1+SwaptionShift):INDEX($FK$325:$ID$396,FX$169,SwaptionMonthsToGo+SwaptionShift),INDEX($FK$245:$ID$316,$FJ232-FX$169,73-FX$169+SwaptionShift):INDEX($FK$245:$ID$316,$FJ232-FX$169,72-FX$169+SwaptionMonthsToGo+SwaptionShift))/SQRT(SUM(INDEX($FK387:$ID387,1+SwaptionShift):INDEX($FK387:$ID387,SwaptionMonthsToGo+SwaptionShift))*SUM(INDEX($FK$325:$ID$396,FX$169,1+SwaptionShift):INDEX($FK$325:$ID$396,FX$169,SwaptionMonthsToGo+SwaptionShift))))))</f>
        <v/>
      </c>
      <c r="FY232" s="150" t="str">
        <f aca="false">IF(OR(FY$169&lt;SwaptionFirstMonthPosition+1,$FJ232&lt;SwaptionFirstMonthPosition+1,FY$169&gt;SwaptionFirstMonthPosition+SwaptionNumOfMonths+1,$FJ232&gt;SwaptionFirstMonthPosition+SwaptionNumOfMonths+1),"",IF($FJ232=FY$169,1,IF($FJ232&lt;FY$169,INDEX($FK$170:$ID$241,FY$169,$FJ232),SUMPRODUCT(INDEX($FK$325:$ID$396,FY$169,1+SwaptionShift):INDEX($FK$325:$ID$396,FY$169,SwaptionMonthsToGo+SwaptionShift),INDEX($FK$245:$ID$316,$FJ232-FY$169,73-FY$169+SwaptionShift):INDEX($FK$245:$ID$316,$FJ232-FY$169,72-FY$169+SwaptionMonthsToGo+SwaptionShift))/SQRT(SUM(INDEX($FK387:$ID387,1+SwaptionShift):INDEX($FK387:$ID387,SwaptionMonthsToGo+SwaptionShift))*SUM(INDEX($FK$325:$ID$396,FY$169,1+SwaptionShift):INDEX($FK$325:$ID$396,FY$169,SwaptionMonthsToGo+SwaptionShift))))))</f>
        <v/>
      </c>
      <c r="FZ232" s="150" t="str">
        <f aca="false">IF(OR(FZ$169&lt;SwaptionFirstMonthPosition+1,$FJ232&lt;SwaptionFirstMonthPosition+1,FZ$169&gt;SwaptionFirstMonthPosition+SwaptionNumOfMonths+1,$FJ232&gt;SwaptionFirstMonthPosition+SwaptionNumOfMonths+1),"",IF($FJ232=FZ$169,1,IF($FJ232&lt;FZ$169,INDEX($FK$170:$ID$241,FZ$169,$FJ232),SUMPRODUCT(INDEX($FK$325:$ID$396,FZ$169,1+SwaptionShift):INDEX($FK$325:$ID$396,FZ$169,SwaptionMonthsToGo+SwaptionShift),INDEX($FK$245:$ID$316,$FJ232-FZ$169,73-FZ$169+SwaptionShift):INDEX($FK$245:$ID$316,$FJ232-FZ$169,72-FZ$169+SwaptionMonthsToGo+SwaptionShift))/SQRT(SUM(INDEX($FK387:$ID387,1+SwaptionShift):INDEX($FK387:$ID387,SwaptionMonthsToGo+SwaptionShift))*SUM(INDEX($FK$325:$ID$396,FZ$169,1+SwaptionShift):INDEX($FK$325:$ID$396,FZ$169,SwaptionMonthsToGo+SwaptionShift))))))</f>
        <v/>
      </c>
      <c r="GA232" s="150" t="str">
        <f aca="false">IF(OR(GA$169&lt;SwaptionFirstMonthPosition+1,$FJ232&lt;SwaptionFirstMonthPosition+1,GA$169&gt;SwaptionFirstMonthPosition+SwaptionNumOfMonths+1,$FJ232&gt;SwaptionFirstMonthPosition+SwaptionNumOfMonths+1),"",IF($FJ232=GA$169,1,IF($FJ232&lt;GA$169,INDEX($FK$170:$ID$241,GA$169,$FJ232),SUMPRODUCT(INDEX($FK$325:$ID$396,GA$169,1+SwaptionShift):INDEX($FK$325:$ID$396,GA$169,SwaptionMonthsToGo+SwaptionShift),INDEX($FK$245:$ID$316,$FJ232-GA$169,73-GA$169+SwaptionShift):INDEX($FK$245:$ID$316,$FJ232-GA$169,72-GA$169+SwaptionMonthsToGo+SwaptionShift))/SQRT(SUM(INDEX($FK387:$ID387,1+SwaptionShift):INDEX($FK387:$ID387,SwaptionMonthsToGo+SwaptionShift))*SUM(INDEX($FK$325:$ID$396,GA$169,1+SwaptionShift):INDEX($FK$325:$ID$396,GA$169,SwaptionMonthsToGo+SwaptionShift))))))</f>
        <v/>
      </c>
      <c r="GB232" s="150" t="str">
        <f aca="false">IF(OR(GB$169&lt;SwaptionFirstMonthPosition+1,$FJ232&lt;SwaptionFirstMonthPosition+1,GB$169&gt;SwaptionFirstMonthPosition+SwaptionNumOfMonths+1,$FJ232&gt;SwaptionFirstMonthPosition+SwaptionNumOfMonths+1),"",IF($FJ232=GB$169,1,IF($FJ232&lt;GB$169,INDEX($FK$170:$ID$241,GB$169,$FJ232),SUMPRODUCT(INDEX($FK$325:$ID$396,GB$169,1+SwaptionShift):INDEX($FK$325:$ID$396,GB$169,SwaptionMonthsToGo+SwaptionShift),INDEX($FK$245:$ID$316,$FJ232-GB$169,73-GB$169+SwaptionShift):INDEX($FK$245:$ID$316,$FJ232-GB$169,72-GB$169+SwaptionMonthsToGo+SwaptionShift))/SQRT(SUM(INDEX($FK387:$ID387,1+SwaptionShift):INDEX($FK387:$ID387,SwaptionMonthsToGo+SwaptionShift))*SUM(INDEX($FK$325:$ID$396,GB$169,1+SwaptionShift):INDEX($FK$325:$ID$396,GB$169,SwaptionMonthsToGo+SwaptionShift))))))</f>
        <v/>
      </c>
      <c r="GC232" s="150" t="str">
        <f aca="false">IF(OR(GC$169&lt;SwaptionFirstMonthPosition+1,$FJ232&lt;SwaptionFirstMonthPosition+1,GC$169&gt;SwaptionFirstMonthPosition+SwaptionNumOfMonths+1,$FJ232&gt;SwaptionFirstMonthPosition+SwaptionNumOfMonths+1),"",IF($FJ232=GC$169,1,IF($FJ232&lt;GC$169,INDEX($FK$170:$ID$241,GC$169,$FJ232),SUMPRODUCT(INDEX($FK$325:$ID$396,GC$169,1+SwaptionShift):INDEX($FK$325:$ID$396,GC$169,SwaptionMonthsToGo+SwaptionShift),INDEX($FK$245:$ID$316,$FJ232-GC$169,73-GC$169+SwaptionShift):INDEX($FK$245:$ID$316,$FJ232-GC$169,72-GC$169+SwaptionMonthsToGo+SwaptionShift))/SQRT(SUM(INDEX($FK387:$ID387,1+SwaptionShift):INDEX($FK387:$ID387,SwaptionMonthsToGo+SwaptionShift))*SUM(INDEX($FK$325:$ID$396,GC$169,1+SwaptionShift):INDEX($FK$325:$ID$396,GC$169,SwaptionMonthsToGo+SwaptionShift))))))</f>
        <v/>
      </c>
      <c r="GD232" s="150" t="str">
        <f aca="false">IF(OR(GD$169&lt;SwaptionFirstMonthPosition+1,$FJ232&lt;SwaptionFirstMonthPosition+1,GD$169&gt;SwaptionFirstMonthPosition+SwaptionNumOfMonths+1,$FJ232&gt;SwaptionFirstMonthPosition+SwaptionNumOfMonths+1),"",IF($FJ232=GD$169,1,IF($FJ232&lt;GD$169,INDEX($FK$170:$ID$241,GD$169,$FJ232),SUMPRODUCT(INDEX($FK$325:$ID$396,GD$169,1+SwaptionShift):INDEX($FK$325:$ID$396,GD$169,SwaptionMonthsToGo+SwaptionShift),INDEX($FK$245:$ID$316,$FJ232-GD$169,73-GD$169+SwaptionShift):INDEX($FK$245:$ID$316,$FJ232-GD$169,72-GD$169+SwaptionMonthsToGo+SwaptionShift))/SQRT(SUM(INDEX($FK387:$ID387,1+SwaptionShift):INDEX($FK387:$ID387,SwaptionMonthsToGo+SwaptionShift))*SUM(INDEX($FK$325:$ID$396,GD$169,1+SwaptionShift):INDEX($FK$325:$ID$396,GD$169,SwaptionMonthsToGo+SwaptionShift))))))</f>
        <v/>
      </c>
      <c r="GE232" s="150" t="str">
        <f aca="false">IF(OR(GE$169&lt;SwaptionFirstMonthPosition+1,$FJ232&lt;SwaptionFirstMonthPosition+1,GE$169&gt;SwaptionFirstMonthPosition+SwaptionNumOfMonths+1,$FJ232&gt;SwaptionFirstMonthPosition+SwaptionNumOfMonths+1),"",IF($FJ232=GE$169,1,IF($FJ232&lt;GE$169,INDEX($FK$170:$ID$241,GE$169,$FJ232),SUMPRODUCT(INDEX($FK$325:$ID$396,GE$169,1+SwaptionShift):INDEX($FK$325:$ID$396,GE$169,SwaptionMonthsToGo+SwaptionShift),INDEX($FK$245:$ID$316,$FJ232-GE$169,73-GE$169+SwaptionShift):INDEX($FK$245:$ID$316,$FJ232-GE$169,72-GE$169+SwaptionMonthsToGo+SwaptionShift))/SQRT(SUM(INDEX($FK387:$ID387,1+SwaptionShift):INDEX($FK387:$ID387,SwaptionMonthsToGo+SwaptionShift))*SUM(INDEX($FK$325:$ID$396,GE$169,1+SwaptionShift):INDEX($FK$325:$ID$396,GE$169,SwaptionMonthsToGo+SwaptionShift))))))</f>
        <v/>
      </c>
      <c r="GF232" s="150" t="str">
        <f aca="false">IF(OR(GF$169&lt;SwaptionFirstMonthPosition+1,$FJ232&lt;SwaptionFirstMonthPosition+1,GF$169&gt;SwaptionFirstMonthPosition+SwaptionNumOfMonths+1,$FJ232&gt;SwaptionFirstMonthPosition+SwaptionNumOfMonths+1),"",IF($FJ232=GF$169,1,IF($FJ232&lt;GF$169,INDEX($FK$170:$ID$241,GF$169,$FJ232),SUMPRODUCT(INDEX($FK$325:$ID$396,GF$169,1+SwaptionShift):INDEX($FK$325:$ID$396,GF$169,SwaptionMonthsToGo+SwaptionShift),INDEX($FK$245:$ID$316,$FJ232-GF$169,73-GF$169+SwaptionShift):INDEX($FK$245:$ID$316,$FJ232-GF$169,72-GF$169+SwaptionMonthsToGo+SwaptionShift))/SQRT(SUM(INDEX($FK387:$ID387,1+SwaptionShift):INDEX($FK387:$ID387,SwaptionMonthsToGo+SwaptionShift))*SUM(INDEX($FK$325:$ID$396,GF$169,1+SwaptionShift):INDEX($FK$325:$ID$396,GF$169,SwaptionMonthsToGo+SwaptionShift))))))</f>
        <v/>
      </c>
      <c r="GG232" s="150" t="str">
        <f aca="false">IF(OR(GG$169&lt;SwaptionFirstMonthPosition+1,$FJ232&lt;SwaptionFirstMonthPosition+1,GG$169&gt;SwaptionFirstMonthPosition+SwaptionNumOfMonths+1,$FJ232&gt;SwaptionFirstMonthPosition+SwaptionNumOfMonths+1),"",IF($FJ232=GG$169,1,IF($FJ232&lt;GG$169,INDEX($FK$170:$ID$241,GG$169,$FJ232),SUMPRODUCT(INDEX($FK$325:$ID$396,GG$169,1+SwaptionShift):INDEX($FK$325:$ID$396,GG$169,SwaptionMonthsToGo+SwaptionShift),INDEX($FK$245:$ID$316,$FJ232-GG$169,73-GG$169+SwaptionShift):INDEX($FK$245:$ID$316,$FJ232-GG$169,72-GG$169+SwaptionMonthsToGo+SwaptionShift))/SQRT(SUM(INDEX($FK387:$ID387,1+SwaptionShift):INDEX($FK387:$ID387,SwaptionMonthsToGo+SwaptionShift))*SUM(INDEX($FK$325:$ID$396,GG$169,1+SwaptionShift):INDEX($FK$325:$ID$396,GG$169,SwaptionMonthsToGo+SwaptionShift))))))</f>
        <v/>
      </c>
      <c r="GH232" s="150" t="str">
        <f aca="false">IF(OR(GH$169&lt;SwaptionFirstMonthPosition+1,$FJ232&lt;SwaptionFirstMonthPosition+1,GH$169&gt;SwaptionFirstMonthPosition+SwaptionNumOfMonths+1,$FJ232&gt;SwaptionFirstMonthPosition+SwaptionNumOfMonths+1),"",IF($FJ232=GH$169,1,IF($FJ232&lt;GH$169,INDEX($FK$170:$ID$241,GH$169,$FJ232),SUMPRODUCT(INDEX($FK$325:$ID$396,GH$169,1+SwaptionShift):INDEX($FK$325:$ID$396,GH$169,SwaptionMonthsToGo+SwaptionShift),INDEX($FK$245:$ID$316,$FJ232-GH$169,73-GH$169+SwaptionShift):INDEX($FK$245:$ID$316,$FJ232-GH$169,72-GH$169+SwaptionMonthsToGo+SwaptionShift))/SQRT(SUM(INDEX($FK387:$ID387,1+SwaptionShift):INDEX($FK387:$ID387,SwaptionMonthsToGo+SwaptionShift))*SUM(INDEX($FK$325:$ID$396,GH$169,1+SwaptionShift):INDEX($FK$325:$ID$396,GH$169,SwaptionMonthsToGo+SwaptionShift))))))</f>
        <v/>
      </c>
      <c r="GI232" s="150" t="str">
        <f aca="false">IF(OR(GI$169&lt;SwaptionFirstMonthPosition+1,$FJ232&lt;SwaptionFirstMonthPosition+1,GI$169&gt;SwaptionFirstMonthPosition+SwaptionNumOfMonths+1,$FJ232&gt;SwaptionFirstMonthPosition+SwaptionNumOfMonths+1),"",IF($FJ232=GI$169,1,IF($FJ232&lt;GI$169,INDEX($FK$170:$ID$241,GI$169,$FJ232),SUMPRODUCT(INDEX($FK$325:$ID$396,GI$169,1+SwaptionShift):INDEX($FK$325:$ID$396,GI$169,SwaptionMonthsToGo+SwaptionShift),INDEX($FK$245:$ID$316,$FJ232-GI$169,73-GI$169+SwaptionShift):INDEX($FK$245:$ID$316,$FJ232-GI$169,72-GI$169+SwaptionMonthsToGo+SwaptionShift))/SQRT(SUM(INDEX($FK387:$ID387,1+SwaptionShift):INDEX($FK387:$ID387,SwaptionMonthsToGo+SwaptionShift))*SUM(INDEX($FK$325:$ID$396,GI$169,1+SwaptionShift):INDEX($FK$325:$ID$396,GI$169,SwaptionMonthsToGo+SwaptionShift))))))</f>
        <v/>
      </c>
      <c r="GJ232" s="150" t="str">
        <f aca="false">IF(OR(GJ$169&lt;SwaptionFirstMonthPosition+1,$FJ232&lt;SwaptionFirstMonthPosition+1,GJ$169&gt;SwaptionFirstMonthPosition+SwaptionNumOfMonths+1,$FJ232&gt;SwaptionFirstMonthPosition+SwaptionNumOfMonths+1),"",IF($FJ232=GJ$169,1,IF($FJ232&lt;GJ$169,INDEX($FK$170:$ID$241,GJ$169,$FJ232),SUMPRODUCT(INDEX($FK$325:$ID$396,GJ$169,1+SwaptionShift):INDEX($FK$325:$ID$396,GJ$169,SwaptionMonthsToGo+SwaptionShift),INDEX($FK$245:$ID$316,$FJ232-GJ$169,73-GJ$169+SwaptionShift):INDEX($FK$245:$ID$316,$FJ232-GJ$169,72-GJ$169+SwaptionMonthsToGo+SwaptionShift))/SQRT(SUM(INDEX($FK387:$ID387,1+SwaptionShift):INDEX($FK387:$ID387,SwaptionMonthsToGo+SwaptionShift))*SUM(INDEX($FK$325:$ID$396,GJ$169,1+SwaptionShift):INDEX($FK$325:$ID$396,GJ$169,SwaptionMonthsToGo+SwaptionShift))))))</f>
        <v/>
      </c>
      <c r="GK232" s="150" t="str">
        <f aca="false">IF(OR(GK$169&lt;SwaptionFirstMonthPosition+1,$FJ232&lt;SwaptionFirstMonthPosition+1,GK$169&gt;SwaptionFirstMonthPosition+SwaptionNumOfMonths+1,$FJ232&gt;SwaptionFirstMonthPosition+SwaptionNumOfMonths+1),"",IF($FJ232=GK$169,1,IF($FJ232&lt;GK$169,INDEX($FK$170:$ID$241,GK$169,$FJ232),SUMPRODUCT(INDEX($FK$325:$ID$396,GK$169,1+SwaptionShift):INDEX($FK$325:$ID$396,GK$169,SwaptionMonthsToGo+SwaptionShift),INDEX($FK$245:$ID$316,$FJ232-GK$169,73-GK$169+SwaptionShift):INDEX($FK$245:$ID$316,$FJ232-GK$169,72-GK$169+SwaptionMonthsToGo+SwaptionShift))/SQRT(SUM(INDEX($FK387:$ID387,1+SwaptionShift):INDEX($FK387:$ID387,SwaptionMonthsToGo+SwaptionShift))*SUM(INDEX($FK$325:$ID$396,GK$169,1+SwaptionShift):INDEX($FK$325:$ID$396,GK$169,SwaptionMonthsToGo+SwaptionShift))))))</f>
        <v/>
      </c>
      <c r="GL232" s="150" t="str">
        <f aca="false">IF(OR(GL$169&lt;SwaptionFirstMonthPosition+1,$FJ232&lt;SwaptionFirstMonthPosition+1,GL$169&gt;SwaptionFirstMonthPosition+SwaptionNumOfMonths+1,$FJ232&gt;SwaptionFirstMonthPosition+SwaptionNumOfMonths+1),"",IF($FJ232=GL$169,1,IF($FJ232&lt;GL$169,INDEX($FK$170:$ID$241,GL$169,$FJ232),SUMPRODUCT(INDEX($FK$325:$ID$396,GL$169,1+SwaptionShift):INDEX($FK$325:$ID$396,GL$169,SwaptionMonthsToGo+SwaptionShift),INDEX($FK$245:$ID$316,$FJ232-GL$169,73-GL$169+SwaptionShift):INDEX($FK$245:$ID$316,$FJ232-GL$169,72-GL$169+SwaptionMonthsToGo+SwaptionShift))/SQRT(SUM(INDEX($FK387:$ID387,1+SwaptionShift):INDEX($FK387:$ID387,SwaptionMonthsToGo+SwaptionShift))*SUM(INDEX($FK$325:$ID$396,GL$169,1+SwaptionShift):INDEX($FK$325:$ID$396,GL$169,SwaptionMonthsToGo+SwaptionShift))))))</f>
        <v/>
      </c>
      <c r="GM232" s="150" t="str">
        <f aca="false">IF(OR(GM$169&lt;SwaptionFirstMonthPosition+1,$FJ232&lt;SwaptionFirstMonthPosition+1,GM$169&gt;SwaptionFirstMonthPosition+SwaptionNumOfMonths+1,$FJ232&gt;SwaptionFirstMonthPosition+SwaptionNumOfMonths+1),"",IF($FJ232=GM$169,1,IF($FJ232&lt;GM$169,INDEX($FK$170:$ID$241,GM$169,$FJ232),SUMPRODUCT(INDEX($FK$325:$ID$396,GM$169,1+SwaptionShift):INDEX($FK$325:$ID$396,GM$169,SwaptionMonthsToGo+SwaptionShift),INDEX($FK$245:$ID$316,$FJ232-GM$169,73-GM$169+SwaptionShift):INDEX($FK$245:$ID$316,$FJ232-GM$169,72-GM$169+SwaptionMonthsToGo+SwaptionShift))/SQRT(SUM(INDEX($FK387:$ID387,1+SwaptionShift):INDEX($FK387:$ID387,SwaptionMonthsToGo+SwaptionShift))*SUM(INDEX($FK$325:$ID$396,GM$169,1+SwaptionShift):INDEX($FK$325:$ID$396,GM$169,SwaptionMonthsToGo+SwaptionShift))))))</f>
        <v/>
      </c>
      <c r="GN232" s="150" t="str">
        <f aca="false">IF(OR(GN$169&lt;SwaptionFirstMonthPosition+1,$FJ232&lt;SwaptionFirstMonthPosition+1,GN$169&gt;SwaptionFirstMonthPosition+SwaptionNumOfMonths+1,$FJ232&gt;SwaptionFirstMonthPosition+SwaptionNumOfMonths+1),"",IF($FJ232=GN$169,1,IF($FJ232&lt;GN$169,INDEX($FK$170:$ID$241,GN$169,$FJ232),SUMPRODUCT(INDEX($FK$325:$ID$396,GN$169,1+SwaptionShift):INDEX($FK$325:$ID$396,GN$169,SwaptionMonthsToGo+SwaptionShift),INDEX($FK$245:$ID$316,$FJ232-GN$169,73-GN$169+SwaptionShift):INDEX($FK$245:$ID$316,$FJ232-GN$169,72-GN$169+SwaptionMonthsToGo+SwaptionShift))/SQRT(SUM(INDEX($FK387:$ID387,1+SwaptionShift):INDEX($FK387:$ID387,SwaptionMonthsToGo+SwaptionShift))*SUM(INDEX($FK$325:$ID$396,GN$169,1+SwaptionShift):INDEX($FK$325:$ID$396,GN$169,SwaptionMonthsToGo+SwaptionShift))))))</f>
        <v/>
      </c>
      <c r="GO232" s="150" t="str">
        <f aca="false">IF(OR(GO$169&lt;SwaptionFirstMonthPosition+1,$FJ232&lt;SwaptionFirstMonthPosition+1,GO$169&gt;SwaptionFirstMonthPosition+SwaptionNumOfMonths+1,$FJ232&gt;SwaptionFirstMonthPosition+SwaptionNumOfMonths+1),"",IF($FJ232=GO$169,1,IF($FJ232&lt;GO$169,INDEX($FK$170:$ID$241,GO$169,$FJ232),SUMPRODUCT(INDEX($FK$325:$ID$396,GO$169,1+SwaptionShift):INDEX($FK$325:$ID$396,GO$169,SwaptionMonthsToGo+SwaptionShift),INDEX($FK$245:$ID$316,$FJ232-GO$169,73-GO$169+SwaptionShift):INDEX($FK$245:$ID$316,$FJ232-GO$169,72-GO$169+SwaptionMonthsToGo+SwaptionShift))/SQRT(SUM(INDEX($FK387:$ID387,1+SwaptionShift):INDEX($FK387:$ID387,SwaptionMonthsToGo+SwaptionShift))*SUM(INDEX($FK$325:$ID$396,GO$169,1+SwaptionShift):INDEX($FK$325:$ID$396,GO$169,SwaptionMonthsToGo+SwaptionShift))))))</f>
        <v/>
      </c>
      <c r="GP232" s="150" t="str">
        <f aca="false">IF(OR(GP$169&lt;SwaptionFirstMonthPosition+1,$FJ232&lt;SwaptionFirstMonthPosition+1,GP$169&gt;SwaptionFirstMonthPosition+SwaptionNumOfMonths+1,$FJ232&gt;SwaptionFirstMonthPosition+SwaptionNumOfMonths+1),"",IF($FJ232=GP$169,1,IF($FJ232&lt;GP$169,INDEX($FK$170:$ID$241,GP$169,$FJ232),SUMPRODUCT(INDEX($FK$325:$ID$396,GP$169,1+SwaptionShift):INDEX($FK$325:$ID$396,GP$169,SwaptionMonthsToGo+SwaptionShift),INDEX($FK$245:$ID$316,$FJ232-GP$169,73-GP$169+SwaptionShift):INDEX($FK$245:$ID$316,$FJ232-GP$169,72-GP$169+SwaptionMonthsToGo+SwaptionShift))/SQRT(SUM(INDEX($FK387:$ID387,1+SwaptionShift):INDEX($FK387:$ID387,SwaptionMonthsToGo+SwaptionShift))*SUM(INDEX($FK$325:$ID$396,GP$169,1+SwaptionShift):INDEX($FK$325:$ID$396,GP$169,SwaptionMonthsToGo+SwaptionShift))))))</f>
        <v/>
      </c>
      <c r="GQ232" s="150" t="str">
        <f aca="false">IF(OR(GQ$169&lt;SwaptionFirstMonthPosition+1,$FJ232&lt;SwaptionFirstMonthPosition+1,GQ$169&gt;SwaptionFirstMonthPosition+SwaptionNumOfMonths+1,$FJ232&gt;SwaptionFirstMonthPosition+SwaptionNumOfMonths+1),"",IF($FJ232=GQ$169,1,IF($FJ232&lt;GQ$169,INDEX($FK$170:$ID$241,GQ$169,$FJ232),SUMPRODUCT(INDEX($FK$325:$ID$396,GQ$169,1+SwaptionShift):INDEX($FK$325:$ID$396,GQ$169,SwaptionMonthsToGo+SwaptionShift),INDEX($FK$245:$ID$316,$FJ232-GQ$169,73-GQ$169+SwaptionShift):INDEX($FK$245:$ID$316,$FJ232-GQ$169,72-GQ$169+SwaptionMonthsToGo+SwaptionShift))/SQRT(SUM(INDEX($FK387:$ID387,1+SwaptionShift):INDEX($FK387:$ID387,SwaptionMonthsToGo+SwaptionShift))*SUM(INDEX($FK$325:$ID$396,GQ$169,1+SwaptionShift):INDEX($FK$325:$ID$396,GQ$169,SwaptionMonthsToGo+SwaptionShift))))))</f>
        <v/>
      </c>
      <c r="GR232" s="150" t="str">
        <f aca="false">IF(OR(GR$169&lt;SwaptionFirstMonthPosition+1,$FJ232&lt;SwaptionFirstMonthPosition+1,GR$169&gt;SwaptionFirstMonthPosition+SwaptionNumOfMonths+1,$FJ232&gt;SwaptionFirstMonthPosition+SwaptionNumOfMonths+1),"",IF($FJ232=GR$169,1,IF($FJ232&lt;GR$169,INDEX($FK$170:$ID$241,GR$169,$FJ232),SUMPRODUCT(INDEX($FK$325:$ID$396,GR$169,1+SwaptionShift):INDEX($FK$325:$ID$396,GR$169,SwaptionMonthsToGo+SwaptionShift),INDEX($FK$245:$ID$316,$FJ232-GR$169,73-GR$169+SwaptionShift):INDEX($FK$245:$ID$316,$FJ232-GR$169,72-GR$169+SwaptionMonthsToGo+SwaptionShift))/SQRT(SUM(INDEX($FK387:$ID387,1+SwaptionShift):INDEX($FK387:$ID387,SwaptionMonthsToGo+SwaptionShift))*SUM(INDEX($FK$325:$ID$396,GR$169,1+SwaptionShift):INDEX($FK$325:$ID$396,GR$169,SwaptionMonthsToGo+SwaptionShift))))))</f>
        <v/>
      </c>
      <c r="GS232" s="150" t="str">
        <f aca="false">IF(OR(GS$169&lt;SwaptionFirstMonthPosition+1,$FJ232&lt;SwaptionFirstMonthPosition+1,GS$169&gt;SwaptionFirstMonthPosition+SwaptionNumOfMonths+1,$FJ232&gt;SwaptionFirstMonthPosition+SwaptionNumOfMonths+1),"",IF($FJ232=GS$169,1,IF($FJ232&lt;GS$169,INDEX($FK$170:$ID$241,GS$169,$FJ232),SUMPRODUCT(INDEX($FK$325:$ID$396,GS$169,1+SwaptionShift):INDEX($FK$325:$ID$396,GS$169,SwaptionMonthsToGo+SwaptionShift),INDEX($FK$245:$ID$316,$FJ232-GS$169,73-GS$169+SwaptionShift):INDEX($FK$245:$ID$316,$FJ232-GS$169,72-GS$169+SwaptionMonthsToGo+SwaptionShift))/SQRT(SUM(INDEX($FK387:$ID387,1+SwaptionShift):INDEX($FK387:$ID387,SwaptionMonthsToGo+SwaptionShift))*SUM(INDEX($FK$325:$ID$396,GS$169,1+SwaptionShift):INDEX($FK$325:$ID$396,GS$169,SwaptionMonthsToGo+SwaptionShift))))))</f>
        <v/>
      </c>
      <c r="GT232" s="150" t="str">
        <f aca="false">IF(OR(GT$169&lt;SwaptionFirstMonthPosition+1,$FJ232&lt;SwaptionFirstMonthPosition+1,GT$169&gt;SwaptionFirstMonthPosition+SwaptionNumOfMonths+1,$FJ232&gt;SwaptionFirstMonthPosition+SwaptionNumOfMonths+1),"",IF($FJ232=GT$169,1,IF($FJ232&lt;GT$169,INDEX($FK$170:$ID$241,GT$169,$FJ232),SUMPRODUCT(INDEX($FK$325:$ID$396,GT$169,1+SwaptionShift):INDEX($FK$325:$ID$396,GT$169,SwaptionMonthsToGo+SwaptionShift),INDEX($FK$245:$ID$316,$FJ232-GT$169,73-GT$169+SwaptionShift):INDEX($FK$245:$ID$316,$FJ232-GT$169,72-GT$169+SwaptionMonthsToGo+SwaptionShift))/SQRT(SUM(INDEX($FK387:$ID387,1+SwaptionShift):INDEX($FK387:$ID387,SwaptionMonthsToGo+SwaptionShift))*SUM(INDEX($FK$325:$ID$396,GT$169,1+SwaptionShift):INDEX($FK$325:$ID$396,GT$169,SwaptionMonthsToGo+SwaptionShift))))))</f>
        <v/>
      </c>
      <c r="GU232" s="150" t="str">
        <f aca="false">IF(OR(GU$169&lt;SwaptionFirstMonthPosition+1,$FJ232&lt;SwaptionFirstMonthPosition+1,GU$169&gt;SwaptionFirstMonthPosition+SwaptionNumOfMonths+1,$FJ232&gt;SwaptionFirstMonthPosition+SwaptionNumOfMonths+1),"",IF($FJ232=GU$169,1,IF($FJ232&lt;GU$169,INDEX($FK$170:$ID$241,GU$169,$FJ232),SUMPRODUCT(INDEX($FK$325:$ID$396,GU$169,1+SwaptionShift):INDEX($FK$325:$ID$396,GU$169,SwaptionMonthsToGo+SwaptionShift),INDEX($FK$245:$ID$316,$FJ232-GU$169,73-GU$169+SwaptionShift):INDEX($FK$245:$ID$316,$FJ232-GU$169,72-GU$169+SwaptionMonthsToGo+SwaptionShift))/SQRT(SUM(INDEX($FK387:$ID387,1+SwaptionShift):INDEX($FK387:$ID387,SwaptionMonthsToGo+SwaptionShift))*SUM(INDEX($FK$325:$ID$396,GU$169,1+SwaptionShift):INDEX($FK$325:$ID$396,GU$169,SwaptionMonthsToGo+SwaptionShift))))))</f>
        <v/>
      </c>
      <c r="GV232" s="150" t="str">
        <f aca="false">IF(OR(GV$169&lt;SwaptionFirstMonthPosition+1,$FJ232&lt;SwaptionFirstMonthPosition+1,GV$169&gt;SwaptionFirstMonthPosition+SwaptionNumOfMonths+1,$FJ232&gt;SwaptionFirstMonthPosition+SwaptionNumOfMonths+1),"",IF($FJ232=GV$169,1,IF($FJ232&lt;GV$169,INDEX($FK$170:$ID$241,GV$169,$FJ232),SUMPRODUCT(INDEX($FK$325:$ID$396,GV$169,1+SwaptionShift):INDEX($FK$325:$ID$396,GV$169,SwaptionMonthsToGo+SwaptionShift),INDEX($FK$245:$ID$316,$FJ232-GV$169,73-GV$169+SwaptionShift):INDEX($FK$245:$ID$316,$FJ232-GV$169,72-GV$169+SwaptionMonthsToGo+SwaptionShift))/SQRT(SUM(INDEX($FK387:$ID387,1+SwaptionShift):INDEX($FK387:$ID387,SwaptionMonthsToGo+SwaptionShift))*SUM(INDEX($FK$325:$ID$396,GV$169,1+SwaptionShift):INDEX($FK$325:$ID$396,GV$169,SwaptionMonthsToGo+SwaptionShift))))))</f>
        <v/>
      </c>
      <c r="GW232" s="150" t="str">
        <f aca="false">IF(OR(GW$169&lt;SwaptionFirstMonthPosition+1,$FJ232&lt;SwaptionFirstMonthPosition+1,GW$169&gt;SwaptionFirstMonthPosition+SwaptionNumOfMonths+1,$FJ232&gt;SwaptionFirstMonthPosition+SwaptionNumOfMonths+1),"",IF($FJ232=GW$169,1,IF($FJ232&lt;GW$169,INDEX($FK$170:$ID$241,GW$169,$FJ232),SUMPRODUCT(INDEX($FK$325:$ID$396,GW$169,1+SwaptionShift):INDEX($FK$325:$ID$396,GW$169,SwaptionMonthsToGo+SwaptionShift),INDEX($FK$245:$ID$316,$FJ232-GW$169,73-GW$169+SwaptionShift):INDEX($FK$245:$ID$316,$FJ232-GW$169,72-GW$169+SwaptionMonthsToGo+SwaptionShift))/SQRT(SUM(INDEX($FK387:$ID387,1+SwaptionShift):INDEX($FK387:$ID387,SwaptionMonthsToGo+SwaptionShift))*SUM(INDEX($FK$325:$ID$396,GW$169,1+SwaptionShift):INDEX($FK$325:$ID$396,GW$169,SwaptionMonthsToGo+SwaptionShift))))))</f>
        <v/>
      </c>
      <c r="GX232" s="150" t="str">
        <f aca="false">IF(OR(GX$169&lt;SwaptionFirstMonthPosition+1,$FJ232&lt;SwaptionFirstMonthPosition+1,GX$169&gt;SwaptionFirstMonthPosition+SwaptionNumOfMonths+1,$FJ232&gt;SwaptionFirstMonthPosition+SwaptionNumOfMonths+1),"",IF($FJ232=GX$169,1,IF($FJ232&lt;GX$169,INDEX($FK$170:$ID$241,GX$169,$FJ232),SUMPRODUCT(INDEX($FK$325:$ID$396,GX$169,1+SwaptionShift):INDEX($FK$325:$ID$396,GX$169,SwaptionMonthsToGo+SwaptionShift),INDEX($FK$245:$ID$316,$FJ232-GX$169,73-GX$169+SwaptionShift):INDEX($FK$245:$ID$316,$FJ232-GX$169,72-GX$169+SwaptionMonthsToGo+SwaptionShift))/SQRT(SUM(INDEX($FK387:$ID387,1+SwaptionShift):INDEX($FK387:$ID387,SwaptionMonthsToGo+SwaptionShift))*SUM(INDEX($FK$325:$ID$396,GX$169,1+SwaptionShift):INDEX($FK$325:$ID$396,GX$169,SwaptionMonthsToGo+SwaptionShift))))))</f>
        <v/>
      </c>
      <c r="GY232" s="150" t="str">
        <f aca="false">IF(OR(GY$169&lt;SwaptionFirstMonthPosition+1,$FJ232&lt;SwaptionFirstMonthPosition+1,GY$169&gt;SwaptionFirstMonthPosition+SwaptionNumOfMonths+1,$FJ232&gt;SwaptionFirstMonthPosition+SwaptionNumOfMonths+1),"",IF($FJ232=GY$169,1,IF($FJ232&lt;GY$169,INDEX($FK$170:$ID$241,GY$169,$FJ232),SUMPRODUCT(INDEX($FK$325:$ID$396,GY$169,1+SwaptionShift):INDEX($FK$325:$ID$396,GY$169,SwaptionMonthsToGo+SwaptionShift),INDEX($FK$245:$ID$316,$FJ232-GY$169,73-GY$169+SwaptionShift):INDEX($FK$245:$ID$316,$FJ232-GY$169,72-GY$169+SwaptionMonthsToGo+SwaptionShift))/SQRT(SUM(INDEX($FK387:$ID387,1+SwaptionShift):INDEX($FK387:$ID387,SwaptionMonthsToGo+SwaptionShift))*SUM(INDEX($FK$325:$ID$396,GY$169,1+SwaptionShift):INDEX($FK$325:$ID$396,GY$169,SwaptionMonthsToGo+SwaptionShift))))))</f>
        <v/>
      </c>
      <c r="GZ232" s="150" t="str">
        <f aca="false">IF(OR(GZ$169&lt;SwaptionFirstMonthPosition+1,$FJ232&lt;SwaptionFirstMonthPosition+1,GZ$169&gt;SwaptionFirstMonthPosition+SwaptionNumOfMonths+1,$FJ232&gt;SwaptionFirstMonthPosition+SwaptionNumOfMonths+1),"",IF($FJ232=GZ$169,1,IF($FJ232&lt;GZ$169,INDEX($FK$170:$ID$241,GZ$169,$FJ232),SUMPRODUCT(INDEX($FK$325:$ID$396,GZ$169,1+SwaptionShift):INDEX($FK$325:$ID$396,GZ$169,SwaptionMonthsToGo+SwaptionShift),INDEX($FK$245:$ID$316,$FJ232-GZ$169,73-GZ$169+SwaptionShift):INDEX($FK$245:$ID$316,$FJ232-GZ$169,72-GZ$169+SwaptionMonthsToGo+SwaptionShift))/SQRT(SUM(INDEX($FK387:$ID387,1+SwaptionShift):INDEX($FK387:$ID387,SwaptionMonthsToGo+SwaptionShift))*SUM(INDEX($FK$325:$ID$396,GZ$169,1+SwaptionShift):INDEX($FK$325:$ID$396,GZ$169,SwaptionMonthsToGo+SwaptionShift))))))</f>
        <v/>
      </c>
      <c r="HA232" s="150" t="str">
        <f aca="false">IF(OR(HA$169&lt;SwaptionFirstMonthPosition+1,$FJ232&lt;SwaptionFirstMonthPosition+1,HA$169&gt;SwaptionFirstMonthPosition+SwaptionNumOfMonths+1,$FJ232&gt;SwaptionFirstMonthPosition+SwaptionNumOfMonths+1),"",IF($FJ232=HA$169,1,IF($FJ232&lt;HA$169,INDEX($FK$170:$ID$241,HA$169,$FJ232),SUMPRODUCT(INDEX($FK$325:$ID$396,HA$169,1+SwaptionShift):INDEX($FK$325:$ID$396,HA$169,SwaptionMonthsToGo+SwaptionShift),INDEX($FK$245:$ID$316,$FJ232-HA$169,73-HA$169+SwaptionShift):INDEX($FK$245:$ID$316,$FJ232-HA$169,72-HA$169+SwaptionMonthsToGo+SwaptionShift))/SQRT(SUM(INDEX($FK387:$ID387,1+SwaptionShift):INDEX($FK387:$ID387,SwaptionMonthsToGo+SwaptionShift))*SUM(INDEX($FK$325:$ID$396,HA$169,1+SwaptionShift):INDEX($FK$325:$ID$396,HA$169,SwaptionMonthsToGo+SwaptionShift))))))</f>
        <v/>
      </c>
      <c r="HB232" s="150" t="str">
        <f aca="false">IF(OR(HB$169&lt;SwaptionFirstMonthPosition+1,$FJ232&lt;SwaptionFirstMonthPosition+1,HB$169&gt;SwaptionFirstMonthPosition+SwaptionNumOfMonths+1,$FJ232&gt;SwaptionFirstMonthPosition+SwaptionNumOfMonths+1),"",IF($FJ232=HB$169,1,IF($FJ232&lt;HB$169,INDEX($FK$170:$ID$241,HB$169,$FJ232),SUMPRODUCT(INDEX($FK$325:$ID$396,HB$169,1+SwaptionShift):INDEX($FK$325:$ID$396,HB$169,SwaptionMonthsToGo+SwaptionShift),INDEX($FK$245:$ID$316,$FJ232-HB$169,73-HB$169+SwaptionShift):INDEX($FK$245:$ID$316,$FJ232-HB$169,72-HB$169+SwaptionMonthsToGo+SwaptionShift))/SQRT(SUM(INDEX($FK387:$ID387,1+SwaptionShift):INDEX($FK387:$ID387,SwaptionMonthsToGo+SwaptionShift))*SUM(INDEX($FK$325:$ID$396,HB$169,1+SwaptionShift):INDEX($FK$325:$ID$396,HB$169,SwaptionMonthsToGo+SwaptionShift))))))</f>
        <v/>
      </c>
      <c r="HC232" s="150" t="str">
        <f aca="false">IF(OR(HC$169&lt;SwaptionFirstMonthPosition+1,$FJ232&lt;SwaptionFirstMonthPosition+1,HC$169&gt;SwaptionFirstMonthPosition+SwaptionNumOfMonths+1,$FJ232&gt;SwaptionFirstMonthPosition+SwaptionNumOfMonths+1),"",IF($FJ232=HC$169,1,IF($FJ232&lt;HC$169,INDEX($FK$170:$ID$241,HC$169,$FJ232),SUMPRODUCT(INDEX($FK$325:$ID$396,HC$169,1+SwaptionShift):INDEX($FK$325:$ID$396,HC$169,SwaptionMonthsToGo+SwaptionShift),INDEX($FK$245:$ID$316,$FJ232-HC$169,73-HC$169+SwaptionShift):INDEX($FK$245:$ID$316,$FJ232-HC$169,72-HC$169+SwaptionMonthsToGo+SwaptionShift))/SQRT(SUM(INDEX($FK387:$ID387,1+SwaptionShift):INDEX($FK387:$ID387,SwaptionMonthsToGo+SwaptionShift))*SUM(INDEX($FK$325:$ID$396,HC$169,1+SwaptionShift):INDEX($FK$325:$ID$396,HC$169,SwaptionMonthsToGo+SwaptionShift))))))</f>
        <v/>
      </c>
      <c r="HD232" s="150" t="str">
        <f aca="false">IF(OR(HD$169&lt;SwaptionFirstMonthPosition+1,$FJ232&lt;SwaptionFirstMonthPosition+1,HD$169&gt;SwaptionFirstMonthPosition+SwaptionNumOfMonths+1,$FJ232&gt;SwaptionFirstMonthPosition+SwaptionNumOfMonths+1),"",IF($FJ232=HD$169,1,IF($FJ232&lt;HD$169,INDEX($FK$170:$ID$241,HD$169,$FJ232),SUMPRODUCT(INDEX($FK$325:$ID$396,HD$169,1+SwaptionShift):INDEX($FK$325:$ID$396,HD$169,SwaptionMonthsToGo+SwaptionShift),INDEX($FK$245:$ID$316,$FJ232-HD$169,73-HD$169+SwaptionShift):INDEX($FK$245:$ID$316,$FJ232-HD$169,72-HD$169+SwaptionMonthsToGo+SwaptionShift))/SQRT(SUM(INDEX($FK387:$ID387,1+SwaptionShift):INDEX($FK387:$ID387,SwaptionMonthsToGo+SwaptionShift))*SUM(INDEX($FK$325:$ID$396,HD$169,1+SwaptionShift):INDEX($FK$325:$ID$396,HD$169,SwaptionMonthsToGo+SwaptionShift))))))</f>
        <v/>
      </c>
      <c r="HE232" s="150" t="str">
        <f aca="false">IF(OR(HE$169&lt;SwaptionFirstMonthPosition+1,$FJ232&lt;SwaptionFirstMonthPosition+1,HE$169&gt;SwaptionFirstMonthPosition+SwaptionNumOfMonths+1,$FJ232&gt;SwaptionFirstMonthPosition+SwaptionNumOfMonths+1),"",IF($FJ232=HE$169,1,IF($FJ232&lt;HE$169,INDEX($FK$170:$ID$241,HE$169,$FJ232),SUMPRODUCT(INDEX($FK$325:$ID$396,HE$169,1+SwaptionShift):INDEX($FK$325:$ID$396,HE$169,SwaptionMonthsToGo+SwaptionShift),INDEX($FK$245:$ID$316,$FJ232-HE$169,73-HE$169+SwaptionShift):INDEX($FK$245:$ID$316,$FJ232-HE$169,72-HE$169+SwaptionMonthsToGo+SwaptionShift))/SQRT(SUM(INDEX($FK387:$ID387,1+SwaptionShift):INDEX($FK387:$ID387,SwaptionMonthsToGo+SwaptionShift))*SUM(INDEX($FK$325:$ID$396,HE$169,1+SwaptionShift):INDEX($FK$325:$ID$396,HE$169,SwaptionMonthsToGo+SwaptionShift))))))</f>
        <v/>
      </c>
      <c r="HF232" s="150" t="str">
        <f aca="false">IF(OR(HF$169&lt;SwaptionFirstMonthPosition+1,$FJ232&lt;SwaptionFirstMonthPosition+1,HF$169&gt;SwaptionFirstMonthPosition+SwaptionNumOfMonths+1,$FJ232&gt;SwaptionFirstMonthPosition+SwaptionNumOfMonths+1),"",IF($FJ232=HF$169,1,IF($FJ232&lt;HF$169,INDEX($FK$170:$ID$241,HF$169,$FJ232),SUMPRODUCT(INDEX($FK$325:$ID$396,HF$169,1+SwaptionShift):INDEX($FK$325:$ID$396,HF$169,SwaptionMonthsToGo+SwaptionShift),INDEX($FK$245:$ID$316,$FJ232-HF$169,73-HF$169+SwaptionShift):INDEX($FK$245:$ID$316,$FJ232-HF$169,72-HF$169+SwaptionMonthsToGo+SwaptionShift))/SQRT(SUM(INDEX($FK387:$ID387,1+SwaptionShift):INDEX($FK387:$ID387,SwaptionMonthsToGo+SwaptionShift))*SUM(INDEX($FK$325:$ID$396,HF$169,1+SwaptionShift):INDEX($FK$325:$ID$396,HF$169,SwaptionMonthsToGo+SwaptionShift))))))</f>
        <v/>
      </c>
      <c r="HG232" s="150" t="str">
        <f aca="false">IF(OR(HG$169&lt;SwaptionFirstMonthPosition+1,$FJ232&lt;SwaptionFirstMonthPosition+1,HG$169&gt;SwaptionFirstMonthPosition+SwaptionNumOfMonths+1,$FJ232&gt;SwaptionFirstMonthPosition+SwaptionNumOfMonths+1),"",IF($FJ232=HG$169,1,IF($FJ232&lt;HG$169,INDEX($FK$170:$ID$241,HG$169,$FJ232),SUMPRODUCT(INDEX($FK$325:$ID$396,HG$169,1+SwaptionShift):INDEX($FK$325:$ID$396,HG$169,SwaptionMonthsToGo+SwaptionShift),INDEX($FK$245:$ID$316,$FJ232-HG$169,73-HG$169+SwaptionShift):INDEX($FK$245:$ID$316,$FJ232-HG$169,72-HG$169+SwaptionMonthsToGo+SwaptionShift))/SQRT(SUM(INDEX($FK387:$ID387,1+SwaptionShift):INDEX($FK387:$ID387,SwaptionMonthsToGo+SwaptionShift))*SUM(INDEX($FK$325:$ID$396,HG$169,1+SwaptionShift):INDEX($FK$325:$ID$396,HG$169,SwaptionMonthsToGo+SwaptionShift))))))</f>
        <v/>
      </c>
      <c r="HH232" s="150" t="str">
        <f aca="false">IF(OR(HH$169&lt;SwaptionFirstMonthPosition+1,$FJ232&lt;SwaptionFirstMonthPosition+1,HH$169&gt;SwaptionFirstMonthPosition+SwaptionNumOfMonths+1,$FJ232&gt;SwaptionFirstMonthPosition+SwaptionNumOfMonths+1),"",IF($FJ232=HH$169,1,IF($FJ232&lt;HH$169,INDEX($FK$170:$ID$241,HH$169,$FJ232),SUMPRODUCT(INDEX($FK$325:$ID$396,HH$169,1+SwaptionShift):INDEX($FK$325:$ID$396,HH$169,SwaptionMonthsToGo+SwaptionShift),INDEX($FK$245:$ID$316,$FJ232-HH$169,73-HH$169+SwaptionShift):INDEX($FK$245:$ID$316,$FJ232-HH$169,72-HH$169+SwaptionMonthsToGo+SwaptionShift))/SQRT(SUM(INDEX($FK387:$ID387,1+SwaptionShift):INDEX($FK387:$ID387,SwaptionMonthsToGo+SwaptionShift))*SUM(INDEX($FK$325:$ID$396,HH$169,1+SwaptionShift):INDEX($FK$325:$ID$396,HH$169,SwaptionMonthsToGo+SwaptionShift))))))</f>
        <v/>
      </c>
      <c r="HI232" s="150" t="str">
        <f aca="false">IF(OR(HI$169&lt;SwaptionFirstMonthPosition+1,$FJ232&lt;SwaptionFirstMonthPosition+1,HI$169&gt;SwaptionFirstMonthPosition+SwaptionNumOfMonths+1,$FJ232&gt;SwaptionFirstMonthPosition+SwaptionNumOfMonths+1),"",IF($FJ232=HI$169,1,IF($FJ232&lt;HI$169,INDEX($FK$170:$ID$241,HI$169,$FJ232),SUMPRODUCT(INDEX($FK$325:$ID$396,HI$169,1+SwaptionShift):INDEX($FK$325:$ID$396,HI$169,SwaptionMonthsToGo+SwaptionShift),INDEX($FK$245:$ID$316,$FJ232-HI$169,73-HI$169+SwaptionShift):INDEX($FK$245:$ID$316,$FJ232-HI$169,72-HI$169+SwaptionMonthsToGo+SwaptionShift))/SQRT(SUM(INDEX($FK387:$ID387,1+SwaptionShift):INDEX($FK387:$ID387,SwaptionMonthsToGo+SwaptionShift))*SUM(INDEX($FK$325:$ID$396,HI$169,1+SwaptionShift):INDEX($FK$325:$ID$396,HI$169,SwaptionMonthsToGo+SwaptionShift))))))</f>
        <v/>
      </c>
      <c r="HJ232" s="150" t="str">
        <f aca="false">IF(OR(HJ$169&lt;SwaptionFirstMonthPosition+1,$FJ232&lt;SwaptionFirstMonthPosition+1,HJ$169&gt;SwaptionFirstMonthPosition+SwaptionNumOfMonths+1,$FJ232&gt;SwaptionFirstMonthPosition+SwaptionNumOfMonths+1),"",IF($FJ232=HJ$169,1,IF($FJ232&lt;HJ$169,INDEX($FK$170:$ID$241,HJ$169,$FJ232),SUMPRODUCT(INDEX($FK$325:$ID$396,HJ$169,1+SwaptionShift):INDEX($FK$325:$ID$396,HJ$169,SwaptionMonthsToGo+SwaptionShift),INDEX($FK$245:$ID$316,$FJ232-HJ$169,73-HJ$169+SwaptionShift):INDEX($FK$245:$ID$316,$FJ232-HJ$169,72-HJ$169+SwaptionMonthsToGo+SwaptionShift))/SQRT(SUM(INDEX($FK387:$ID387,1+SwaptionShift):INDEX($FK387:$ID387,SwaptionMonthsToGo+SwaptionShift))*SUM(INDEX($FK$325:$ID$396,HJ$169,1+SwaptionShift):INDEX($FK$325:$ID$396,HJ$169,SwaptionMonthsToGo+SwaptionShift))))))</f>
        <v/>
      </c>
      <c r="HK232" s="150" t="str">
        <f aca="false">IF(OR(HK$169&lt;SwaptionFirstMonthPosition+1,$FJ232&lt;SwaptionFirstMonthPosition+1,HK$169&gt;SwaptionFirstMonthPosition+SwaptionNumOfMonths+1,$FJ232&gt;SwaptionFirstMonthPosition+SwaptionNumOfMonths+1),"",IF($FJ232=HK$169,1,IF($FJ232&lt;HK$169,INDEX($FK$170:$ID$241,HK$169,$FJ232),SUMPRODUCT(INDEX($FK$325:$ID$396,HK$169,1+SwaptionShift):INDEX($FK$325:$ID$396,HK$169,SwaptionMonthsToGo+SwaptionShift),INDEX($FK$245:$ID$316,$FJ232-HK$169,73-HK$169+SwaptionShift):INDEX($FK$245:$ID$316,$FJ232-HK$169,72-HK$169+SwaptionMonthsToGo+SwaptionShift))/SQRT(SUM(INDEX($FK387:$ID387,1+SwaptionShift):INDEX($FK387:$ID387,SwaptionMonthsToGo+SwaptionShift))*SUM(INDEX($FK$325:$ID$396,HK$169,1+SwaptionShift):INDEX($FK$325:$ID$396,HK$169,SwaptionMonthsToGo+SwaptionShift))))))</f>
        <v/>
      </c>
      <c r="HL232" s="150" t="str">
        <f aca="false">IF(OR(HL$169&lt;SwaptionFirstMonthPosition+1,$FJ232&lt;SwaptionFirstMonthPosition+1,HL$169&gt;SwaptionFirstMonthPosition+SwaptionNumOfMonths+1,$FJ232&gt;SwaptionFirstMonthPosition+SwaptionNumOfMonths+1),"",IF($FJ232=HL$169,1,IF($FJ232&lt;HL$169,INDEX($FK$170:$ID$241,HL$169,$FJ232),SUMPRODUCT(INDEX($FK$325:$ID$396,HL$169,1+SwaptionShift):INDEX($FK$325:$ID$396,HL$169,SwaptionMonthsToGo+SwaptionShift),INDEX($FK$245:$ID$316,$FJ232-HL$169,73-HL$169+SwaptionShift):INDEX($FK$245:$ID$316,$FJ232-HL$169,72-HL$169+SwaptionMonthsToGo+SwaptionShift))/SQRT(SUM(INDEX($FK387:$ID387,1+SwaptionShift):INDEX($FK387:$ID387,SwaptionMonthsToGo+SwaptionShift))*SUM(INDEX($FK$325:$ID$396,HL$169,1+SwaptionShift):INDEX($FK$325:$ID$396,HL$169,SwaptionMonthsToGo+SwaptionShift))))))</f>
        <v/>
      </c>
      <c r="HM232" s="150" t="str">
        <f aca="false">IF(OR(HM$169&lt;SwaptionFirstMonthPosition+1,$FJ232&lt;SwaptionFirstMonthPosition+1,HM$169&gt;SwaptionFirstMonthPosition+SwaptionNumOfMonths+1,$FJ232&gt;SwaptionFirstMonthPosition+SwaptionNumOfMonths+1),"",IF($FJ232=HM$169,1,IF($FJ232&lt;HM$169,INDEX($FK$170:$ID$241,HM$169,$FJ232),SUMPRODUCT(INDEX($FK$325:$ID$396,HM$169,1+SwaptionShift):INDEX($FK$325:$ID$396,HM$169,SwaptionMonthsToGo+SwaptionShift),INDEX($FK$245:$ID$316,$FJ232-HM$169,73-HM$169+SwaptionShift):INDEX($FK$245:$ID$316,$FJ232-HM$169,72-HM$169+SwaptionMonthsToGo+SwaptionShift))/SQRT(SUM(INDEX($FK387:$ID387,1+SwaptionShift):INDEX($FK387:$ID387,SwaptionMonthsToGo+SwaptionShift))*SUM(INDEX($FK$325:$ID$396,HM$169,1+SwaptionShift):INDEX($FK$325:$ID$396,HM$169,SwaptionMonthsToGo+SwaptionShift))))))</f>
        <v/>
      </c>
      <c r="HN232" s="150" t="str">
        <f aca="false">IF(OR(HN$169&lt;SwaptionFirstMonthPosition+1,$FJ232&lt;SwaptionFirstMonthPosition+1,HN$169&gt;SwaptionFirstMonthPosition+SwaptionNumOfMonths+1,$FJ232&gt;SwaptionFirstMonthPosition+SwaptionNumOfMonths+1),"",IF($FJ232=HN$169,1,IF($FJ232&lt;HN$169,INDEX($FK$170:$ID$241,HN$169,$FJ232),SUMPRODUCT(INDEX($FK$325:$ID$396,HN$169,1+SwaptionShift):INDEX($FK$325:$ID$396,HN$169,SwaptionMonthsToGo+SwaptionShift),INDEX($FK$245:$ID$316,$FJ232-HN$169,73-HN$169+SwaptionShift):INDEX($FK$245:$ID$316,$FJ232-HN$169,72-HN$169+SwaptionMonthsToGo+SwaptionShift))/SQRT(SUM(INDEX($FK387:$ID387,1+SwaptionShift):INDEX($FK387:$ID387,SwaptionMonthsToGo+SwaptionShift))*SUM(INDEX($FK$325:$ID$396,HN$169,1+SwaptionShift):INDEX($FK$325:$ID$396,HN$169,SwaptionMonthsToGo+SwaptionShift))))))</f>
        <v/>
      </c>
      <c r="HO232" s="150" t="str">
        <f aca="false">IF(OR(HO$169&lt;SwaptionFirstMonthPosition+1,$FJ232&lt;SwaptionFirstMonthPosition+1,HO$169&gt;SwaptionFirstMonthPosition+SwaptionNumOfMonths+1,$FJ232&gt;SwaptionFirstMonthPosition+SwaptionNumOfMonths+1),"",IF($FJ232=HO$169,1,IF($FJ232&lt;HO$169,INDEX($FK$170:$ID$241,HO$169,$FJ232),SUMPRODUCT(INDEX($FK$325:$ID$396,HO$169,1+SwaptionShift):INDEX($FK$325:$ID$396,HO$169,SwaptionMonthsToGo+SwaptionShift),INDEX($FK$245:$ID$316,$FJ232-HO$169,73-HO$169+SwaptionShift):INDEX($FK$245:$ID$316,$FJ232-HO$169,72-HO$169+SwaptionMonthsToGo+SwaptionShift))/SQRT(SUM(INDEX($FK387:$ID387,1+SwaptionShift):INDEX($FK387:$ID387,SwaptionMonthsToGo+SwaptionShift))*SUM(INDEX($FK$325:$ID$396,HO$169,1+SwaptionShift):INDEX($FK$325:$ID$396,HO$169,SwaptionMonthsToGo+SwaptionShift))))))</f>
        <v/>
      </c>
      <c r="HP232" s="150" t="str">
        <f aca="false">IF(OR(HP$169&lt;SwaptionFirstMonthPosition+1,$FJ232&lt;SwaptionFirstMonthPosition+1,HP$169&gt;SwaptionFirstMonthPosition+SwaptionNumOfMonths+1,$FJ232&gt;SwaptionFirstMonthPosition+SwaptionNumOfMonths+1),"",IF($FJ232=HP$169,1,IF($FJ232&lt;HP$169,INDEX($FK$170:$ID$241,HP$169,$FJ232),SUMPRODUCT(INDEX($FK$325:$ID$396,HP$169,1+SwaptionShift):INDEX($FK$325:$ID$396,HP$169,SwaptionMonthsToGo+SwaptionShift),INDEX($FK$245:$ID$316,$FJ232-HP$169,73-HP$169+SwaptionShift):INDEX($FK$245:$ID$316,$FJ232-HP$169,72-HP$169+SwaptionMonthsToGo+SwaptionShift))/SQRT(SUM(INDEX($FK387:$ID387,1+SwaptionShift):INDEX($FK387:$ID387,SwaptionMonthsToGo+SwaptionShift))*SUM(INDEX($FK$325:$ID$396,HP$169,1+SwaptionShift):INDEX($FK$325:$ID$396,HP$169,SwaptionMonthsToGo+SwaptionShift))))))</f>
        <v/>
      </c>
      <c r="HQ232" s="150" t="str">
        <f aca="false">IF(OR(HQ$169&lt;SwaptionFirstMonthPosition+1,$FJ232&lt;SwaptionFirstMonthPosition+1,HQ$169&gt;SwaptionFirstMonthPosition+SwaptionNumOfMonths+1,$FJ232&gt;SwaptionFirstMonthPosition+SwaptionNumOfMonths+1),"",IF($FJ232=HQ$169,1,IF($FJ232&lt;HQ$169,INDEX($FK$170:$ID$241,HQ$169,$FJ232),SUMPRODUCT(INDEX($FK$325:$ID$396,HQ$169,1+SwaptionShift):INDEX($FK$325:$ID$396,HQ$169,SwaptionMonthsToGo+SwaptionShift),INDEX($FK$245:$ID$316,$FJ232-HQ$169,73-HQ$169+SwaptionShift):INDEX($FK$245:$ID$316,$FJ232-HQ$169,72-HQ$169+SwaptionMonthsToGo+SwaptionShift))/SQRT(SUM(INDEX($FK387:$ID387,1+SwaptionShift):INDEX($FK387:$ID387,SwaptionMonthsToGo+SwaptionShift))*SUM(INDEX($FK$325:$ID$396,HQ$169,1+SwaptionShift):INDEX($FK$325:$ID$396,HQ$169,SwaptionMonthsToGo+SwaptionShift))))))</f>
        <v/>
      </c>
      <c r="HR232" s="150" t="str">
        <f aca="false">IF(OR(HR$169&lt;SwaptionFirstMonthPosition+1,$FJ232&lt;SwaptionFirstMonthPosition+1,HR$169&gt;SwaptionFirstMonthPosition+SwaptionNumOfMonths+1,$FJ232&gt;SwaptionFirstMonthPosition+SwaptionNumOfMonths+1),"",IF($FJ232=HR$169,1,IF($FJ232&lt;HR$169,INDEX($FK$170:$ID$241,HR$169,$FJ232),SUMPRODUCT(INDEX($FK$325:$ID$396,HR$169,1+SwaptionShift):INDEX($FK$325:$ID$396,HR$169,SwaptionMonthsToGo+SwaptionShift),INDEX($FK$245:$ID$316,$FJ232-HR$169,73-HR$169+SwaptionShift):INDEX($FK$245:$ID$316,$FJ232-HR$169,72-HR$169+SwaptionMonthsToGo+SwaptionShift))/SQRT(SUM(INDEX($FK387:$ID387,1+SwaptionShift):INDEX($FK387:$ID387,SwaptionMonthsToGo+SwaptionShift))*SUM(INDEX($FK$325:$ID$396,HR$169,1+SwaptionShift):INDEX($FK$325:$ID$396,HR$169,SwaptionMonthsToGo+SwaptionShift))))))</f>
        <v/>
      </c>
      <c r="HS232" s="150" t="str">
        <f aca="false">IF(OR(HS$169&lt;SwaptionFirstMonthPosition+1,$FJ232&lt;SwaptionFirstMonthPosition+1,HS$169&gt;SwaptionFirstMonthPosition+SwaptionNumOfMonths+1,$FJ232&gt;SwaptionFirstMonthPosition+SwaptionNumOfMonths+1),"",IF($FJ232=HS$169,1,IF($FJ232&lt;HS$169,INDEX($FK$170:$ID$241,HS$169,$FJ232),SUMPRODUCT(INDEX($FK$325:$ID$396,HS$169,1+SwaptionShift):INDEX($FK$325:$ID$396,HS$169,SwaptionMonthsToGo+SwaptionShift),INDEX($FK$245:$ID$316,$FJ232-HS$169,73-HS$169+SwaptionShift):INDEX($FK$245:$ID$316,$FJ232-HS$169,72-HS$169+SwaptionMonthsToGo+SwaptionShift))/SQRT(SUM(INDEX($FK387:$ID387,1+SwaptionShift):INDEX($FK387:$ID387,SwaptionMonthsToGo+SwaptionShift))*SUM(INDEX($FK$325:$ID$396,HS$169,1+SwaptionShift):INDEX($FK$325:$ID$396,HS$169,SwaptionMonthsToGo+SwaptionShift))))))</f>
        <v/>
      </c>
      <c r="HT232" s="150" t="str">
        <f aca="false">IF(OR(HT$169&lt;SwaptionFirstMonthPosition+1,$FJ232&lt;SwaptionFirstMonthPosition+1,HT$169&gt;SwaptionFirstMonthPosition+SwaptionNumOfMonths+1,$FJ232&gt;SwaptionFirstMonthPosition+SwaptionNumOfMonths+1),"",IF($FJ232=HT$169,1,IF($FJ232&lt;HT$169,INDEX($FK$170:$ID$241,HT$169,$FJ232),SUMPRODUCT(INDEX($FK$325:$ID$396,HT$169,1+SwaptionShift):INDEX($FK$325:$ID$396,HT$169,SwaptionMonthsToGo+SwaptionShift),INDEX($FK$245:$ID$316,$FJ232-HT$169,73-HT$169+SwaptionShift):INDEX($FK$245:$ID$316,$FJ232-HT$169,72-HT$169+SwaptionMonthsToGo+SwaptionShift))/SQRT(SUM(INDEX($FK387:$ID387,1+SwaptionShift):INDEX($FK387:$ID387,SwaptionMonthsToGo+SwaptionShift))*SUM(INDEX($FK$325:$ID$396,HT$169,1+SwaptionShift):INDEX($FK$325:$ID$396,HT$169,SwaptionMonthsToGo+SwaptionShift))))))</f>
        <v/>
      </c>
      <c r="HU232" s="150" t="str">
        <f aca="false">IF(OR(HU$169&lt;SwaptionFirstMonthPosition+1,$FJ232&lt;SwaptionFirstMonthPosition+1,HU$169&gt;SwaptionFirstMonthPosition+SwaptionNumOfMonths+1,$FJ232&gt;SwaptionFirstMonthPosition+SwaptionNumOfMonths+1),"",IF($FJ232=HU$169,1,IF($FJ232&lt;HU$169,INDEX($FK$170:$ID$241,HU$169,$FJ232),SUMPRODUCT(INDEX($FK$325:$ID$396,HU$169,1+SwaptionShift):INDEX($FK$325:$ID$396,HU$169,SwaptionMonthsToGo+SwaptionShift),INDEX($FK$245:$ID$316,$FJ232-HU$169,73-HU$169+SwaptionShift):INDEX($FK$245:$ID$316,$FJ232-HU$169,72-HU$169+SwaptionMonthsToGo+SwaptionShift))/SQRT(SUM(INDEX($FK387:$ID387,1+SwaptionShift):INDEX($FK387:$ID387,SwaptionMonthsToGo+SwaptionShift))*SUM(INDEX($FK$325:$ID$396,HU$169,1+SwaptionShift):INDEX($FK$325:$ID$396,HU$169,SwaptionMonthsToGo+SwaptionShift))))))</f>
        <v/>
      </c>
      <c r="HV232" s="150" t="str">
        <f aca="false">IF(OR(HV$169&lt;SwaptionFirstMonthPosition+1,$FJ232&lt;SwaptionFirstMonthPosition+1,HV$169&gt;SwaptionFirstMonthPosition+SwaptionNumOfMonths+1,$FJ232&gt;SwaptionFirstMonthPosition+SwaptionNumOfMonths+1),"",IF($FJ232=HV$169,1,IF($FJ232&lt;HV$169,INDEX($FK$170:$ID$241,HV$169,$FJ232),SUMPRODUCT(INDEX($FK$325:$ID$396,HV$169,1+SwaptionShift):INDEX($FK$325:$ID$396,HV$169,SwaptionMonthsToGo+SwaptionShift),INDEX($FK$245:$ID$316,$FJ232-HV$169,73-HV$169+SwaptionShift):INDEX($FK$245:$ID$316,$FJ232-HV$169,72-HV$169+SwaptionMonthsToGo+SwaptionShift))/SQRT(SUM(INDEX($FK387:$ID387,1+SwaptionShift):INDEX($FK387:$ID387,SwaptionMonthsToGo+SwaptionShift))*SUM(INDEX($FK$325:$ID$396,HV$169,1+SwaptionShift):INDEX($FK$325:$ID$396,HV$169,SwaptionMonthsToGo+SwaptionShift))))))</f>
        <v/>
      </c>
      <c r="HW232" s="150" t="str">
        <f aca="false">IF(OR(HW$169&lt;SwaptionFirstMonthPosition+1,$FJ232&lt;SwaptionFirstMonthPosition+1,HW$169&gt;SwaptionFirstMonthPosition+SwaptionNumOfMonths+1,$FJ232&gt;SwaptionFirstMonthPosition+SwaptionNumOfMonths+1),"",IF($FJ232=HW$169,1,IF($FJ232&lt;HW$169,INDEX($FK$170:$ID$241,HW$169,$FJ232),SUMPRODUCT(INDEX($FK$325:$ID$396,HW$169,1+SwaptionShift):INDEX($FK$325:$ID$396,HW$169,SwaptionMonthsToGo+SwaptionShift),INDEX($FK$245:$ID$316,$FJ232-HW$169,73-HW$169+SwaptionShift):INDEX($FK$245:$ID$316,$FJ232-HW$169,72-HW$169+SwaptionMonthsToGo+SwaptionShift))/SQRT(SUM(INDEX($FK387:$ID387,1+SwaptionShift):INDEX($FK387:$ID387,SwaptionMonthsToGo+SwaptionShift))*SUM(INDEX($FK$325:$ID$396,HW$169,1+SwaptionShift):INDEX($FK$325:$ID$396,HW$169,SwaptionMonthsToGo+SwaptionShift))))))</f>
        <v/>
      </c>
      <c r="HX232" s="150" t="str">
        <f aca="false">IF(OR(HX$169&lt;SwaptionFirstMonthPosition+1,$FJ232&lt;SwaptionFirstMonthPosition+1,HX$169&gt;SwaptionFirstMonthPosition+SwaptionNumOfMonths+1,$FJ232&gt;SwaptionFirstMonthPosition+SwaptionNumOfMonths+1),"",IF($FJ232=HX$169,1,IF($FJ232&lt;HX$169,INDEX($FK$170:$ID$241,HX$169,$FJ232),SUMPRODUCT(INDEX($FK$325:$ID$396,HX$169,1+SwaptionShift):INDEX($FK$325:$ID$396,HX$169,SwaptionMonthsToGo+SwaptionShift),INDEX($FK$245:$ID$316,$FJ232-HX$169,73-HX$169+SwaptionShift):INDEX($FK$245:$ID$316,$FJ232-HX$169,72-HX$169+SwaptionMonthsToGo+SwaptionShift))/SQRT(SUM(INDEX($FK387:$ID387,1+SwaptionShift):INDEX($FK387:$ID387,SwaptionMonthsToGo+SwaptionShift))*SUM(INDEX($FK$325:$ID$396,HX$169,1+SwaptionShift):INDEX($FK$325:$ID$396,HX$169,SwaptionMonthsToGo+SwaptionShift))))))</f>
        <v/>
      </c>
      <c r="HY232" s="150" t="str">
        <f aca="false">IF(OR(HY$169&lt;SwaptionFirstMonthPosition+1,$FJ232&lt;SwaptionFirstMonthPosition+1,HY$169&gt;SwaptionFirstMonthPosition+SwaptionNumOfMonths+1,$FJ232&gt;SwaptionFirstMonthPosition+SwaptionNumOfMonths+1),"",IF($FJ232=HY$169,1,IF($FJ232&lt;HY$169,INDEX($FK$170:$ID$241,HY$169,$FJ232),SUMPRODUCT(INDEX($FK$325:$ID$396,HY$169,1+SwaptionShift):INDEX($FK$325:$ID$396,HY$169,SwaptionMonthsToGo+SwaptionShift),INDEX($FK$245:$ID$316,$FJ232-HY$169,73-HY$169+SwaptionShift):INDEX($FK$245:$ID$316,$FJ232-HY$169,72-HY$169+SwaptionMonthsToGo+SwaptionShift))/SQRT(SUM(INDEX($FK387:$ID387,1+SwaptionShift):INDEX($FK387:$ID387,SwaptionMonthsToGo+SwaptionShift))*SUM(INDEX($FK$325:$ID$396,HY$169,1+SwaptionShift):INDEX($FK$325:$ID$396,HY$169,SwaptionMonthsToGo+SwaptionShift))))))</f>
        <v/>
      </c>
      <c r="HZ232" s="150" t="str">
        <f aca="false">IF(OR(HZ$169&lt;SwaptionFirstMonthPosition+1,$FJ232&lt;SwaptionFirstMonthPosition+1,HZ$169&gt;SwaptionFirstMonthPosition+SwaptionNumOfMonths+1,$FJ232&gt;SwaptionFirstMonthPosition+SwaptionNumOfMonths+1),"",IF($FJ232=HZ$169,1,IF($FJ232&lt;HZ$169,INDEX($FK$170:$ID$241,HZ$169,$FJ232),SUMPRODUCT(INDEX($FK$325:$ID$396,HZ$169,1+SwaptionShift):INDEX($FK$325:$ID$396,HZ$169,SwaptionMonthsToGo+SwaptionShift),INDEX($FK$245:$ID$316,$FJ232-HZ$169,73-HZ$169+SwaptionShift):INDEX($FK$245:$ID$316,$FJ232-HZ$169,72-HZ$169+SwaptionMonthsToGo+SwaptionShift))/SQRT(SUM(INDEX($FK387:$ID387,1+SwaptionShift):INDEX($FK387:$ID387,SwaptionMonthsToGo+SwaptionShift))*SUM(INDEX($FK$325:$ID$396,HZ$169,1+SwaptionShift):INDEX($FK$325:$ID$396,HZ$169,SwaptionMonthsToGo+SwaptionShift))))))</f>
        <v/>
      </c>
      <c r="IA232" s="150" t="str">
        <f aca="false">IF(OR(IA$169&lt;SwaptionFirstMonthPosition+1,$FJ232&lt;SwaptionFirstMonthPosition+1,IA$169&gt;SwaptionFirstMonthPosition+SwaptionNumOfMonths+1,$FJ232&gt;SwaptionFirstMonthPosition+SwaptionNumOfMonths+1),"",IF($FJ232=IA$169,1,IF($FJ232&lt;IA$169,INDEX($FK$170:$ID$241,IA$169,$FJ232),SUMPRODUCT(INDEX($FK$325:$ID$396,IA$169,1+SwaptionShift):INDEX($FK$325:$ID$396,IA$169,SwaptionMonthsToGo+SwaptionShift),INDEX($FK$245:$ID$316,$FJ232-IA$169,73-IA$169+SwaptionShift):INDEX($FK$245:$ID$316,$FJ232-IA$169,72-IA$169+SwaptionMonthsToGo+SwaptionShift))/SQRT(SUM(INDEX($FK387:$ID387,1+SwaptionShift):INDEX($FK387:$ID387,SwaptionMonthsToGo+SwaptionShift))*SUM(INDEX($FK$325:$ID$396,IA$169,1+SwaptionShift):INDEX($FK$325:$ID$396,IA$169,SwaptionMonthsToGo+SwaptionShift))))))</f>
        <v/>
      </c>
      <c r="IB232" s="150" t="str">
        <f aca="false">IF(OR(IB$169&lt;SwaptionFirstMonthPosition+1,$FJ232&lt;SwaptionFirstMonthPosition+1,IB$169&gt;SwaptionFirstMonthPosition+SwaptionNumOfMonths+1,$FJ232&gt;SwaptionFirstMonthPosition+SwaptionNumOfMonths+1),"",IF($FJ232=IB$169,1,IF($FJ232&lt;IB$169,INDEX($FK$170:$ID$241,IB$169,$FJ232),SUMPRODUCT(INDEX($FK$325:$ID$396,IB$169,1+SwaptionShift):INDEX($FK$325:$ID$396,IB$169,SwaptionMonthsToGo+SwaptionShift),INDEX($FK$245:$ID$316,$FJ232-IB$169,73-IB$169+SwaptionShift):INDEX($FK$245:$ID$316,$FJ232-IB$169,72-IB$169+SwaptionMonthsToGo+SwaptionShift))/SQRT(SUM(INDEX($FK387:$ID387,1+SwaptionShift):INDEX($FK387:$ID387,SwaptionMonthsToGo+SwaptionShift))*SUM(INDEX($FK$325:$ID$396,IB$169,1+SwaptionShift):INDEX($FK$325:$ID$396,IB$169,SwaptionMonthsToGo+SwaptionShift))))))</f>
        <v/>
      </c>
      <c r="IC232" s="150" t="str">
        <f aca="false">IF(OR(IC$169&lt;SwaptionFirstMonthPosition+1,$FJ232&lt;SwaptionFirstMonthPosition+1,IC$169&gt;SwaptionFirstMonthPosition+SwaptionNumOfMonths+1,$FJ232&gt;SwaptionFirstMonthPosition+SwaptionNumOfMonths+1),"",IF($FJ232=IC$169,1,IF($FJ232&lt;IC$169,INDEX($FK$170:$ID$241,IC$169,$FJ232),SUMPRODUCT(INDEX($FK$325:$ID$396,IC$169,1+SwaptionShift):INDEX($FK$325:$ID$396,IC$169,SwaptionMonthsToGo+SwaptionShift),INDEX($FK$245:$ID$316,$FJ232-IC$169,73-IC$169+SwaptionShift):INDEX($FK$245:$ID$316,$FJ232-IC$169,72-IC$169+SwaptionMonthsToGo+SwaptionShift))/SQRT(SUM(INDEX($FK387:$ID387,1+SwaptionShift):INDEX($FK387:$ID387,SwaptionMonthsToGo+SwaptionShift))*SUM(INDEX($FK$325:$ID$396,IC$169,1+SwaptionShift):INDEX($FK$325:$ID$396,IC$169,SwaptionMonthsToGo+SwaptionShift))))))</f>
        <v/>
      </c>
      <c r="ID232" s="572" t="str">
        <f aca="false">IF(OR(ID$169&lt;SwaptionFirstMonthPosition+1,$FJ232&lt;SwaptionFirstMonthPosition+1,ID$169&gt;SwaptionFirstMonthPosition+SwaptionNumOfMonths+1,$FJ232&gt;SwaptionFirstMonthPosition+SwaptionNumOfMonths+1),"",IF($FJ232=ID$169,1,IF($FJ232&lt;ID$169,INDEX($FK$170:$ID$241,ID$169,$FJ232),SUMPRODUCT(INDEX($FK$325:$ID$396,ID$169,1+SwaptionShift):INDEX($FK$325:$ID$396,ID$169,SwaptionMonthsToGo+SwaptionShift),INDEX($FK$245:$ID$316,$FJ232-ID$169,73-ID$169+SwaptionShift):INDEX($FK$245:$ID$316,$FJ232-ID$169,72-ID$169+SwaptionMonthsToGo+SwaptionShift))/SQRT(SUM(INDEX($FK387:$ID387,1+SwaptionShift):INDEX($FK387:$ID387,SwaptionMonthsToGo+SwaptionShift))*SUM(INDEX($FK$325:$ID$396,ID$169,1+SwaptionShift):INDEX($FK$325:$ID$396,ID$169,SwaptionMonthsToGo+SwaptionShift))))))</f>
        <v/>
      </c>
      <c r="IE232" s="129"/>
    </row>
    <row r="233" customFormat="false" ht="12.75" hidden="false" customHeight="false" outlineLevel="0" collapsed="false">
      <c r="H233" s="219" t="n">
        <f aca="false">VLOOKUP(I233,$EJ$20:$EL$54,3)</f>
        <v>0</v>
      </c>
      <c r="I233" s="511" t="n">
        <f aca="false">EOMONTH(I232,0)+1</f>
        <v>43252</v>
      </c>
      <c r="J233" s="512"/>
      <c r="K233" s="513" t="s">
        <v>280</v>
      </c>
      <c r="L233" s="514" t="n">
        <f aca="false">IF(ISNUMBER(K233),J233+K233/100,IF(K233="extra",L232+VLOOKUP(BF233,PriceSpreadTable,2)/12,IF(K233="inter",interpolateprices($K$19:$L$200,ROW(K233)-ROW(FirstPricingMonth)+1),interpolatechanges($J$19:$K$200,ROW(K233)-ROW(FirstPricingMonth)+1))))</f>
        <v>5.1375</v>
      </c>
      <c r="M233" s="515"/>
      <c r="N233" s="516" t="n">
        <v>0</v>
      </c>
      <c r="O233" s="515" t="n">
        <f aca="false">M233+N233</f>
        <v>0</v>
      </c>
      <c r="P233" s="512"/>
      <c r="Q233" s="513" t="s">
        <v>280</v>
      </c>
      <c r="R233" s="512" t="e">
        <f aca="false">IF(ISNUMBER(Q233),P233+Q233/100,IF(Q233="extra",(Z231*AL231-R232*AM231)/AN231,IF(Q233="inter",interpolateprices($Q$19:$R$260,ROW(Q233)-ROW(FirstPricingMonth)+1),interpolatechanges($P$19:$Q$260,ROW(Q233)-ROW(FirstPricingMonth)+1))))</f>
        <v>#VALUE!</v>
      </c>
      <c r="S233" s="597" t="n">
        <f aca="false">S$19+(S232-S$19)*S$18</f>
        <v>0.36</v>
      </c>
      <c r="T233" s="575" t="n">
        <f aca="false">SQRT((1-(1-T232^2/U232)*T$18)*U233)</f>
        <v>1</v>
      </c>
      <c r="U233" s="576" t="n">
        <f aca="false">1-(1-U232)*U$18</f>
        <v>1</v>
      </c>
      <c r="V233" s="521" t="n">
        <v>0</v>
      </c>
      <c r="W233" s="577" t="n">
        <f aca="false">(J234*AJ233+J235*AK233)/AI233</f>
        <v>0</v>
      </c>
      <c r="X233" s="578" t="n">
        <f aca="false">(L234*AJ233+L235*AK233)/AI233</f>
        <v>5.1875</v>
      </c>
      <c r="Y233" s="579" t="n">
        <f aca="false">IF(Q235="extra",W233-AA233,(P234*AM233+P235*AN233)/AL233)</f>
        <v>-1.2915</v>
      </c>
      <c r="Z233" s="579" t="n">
        <f aca="false">IF(Q235="extra",X233-AB233,(R234*AM233+R235*AN233)/AL233)</f>
        <v>3.896</v>
      </c>
      <c r="AA233" s="523" t="n">
        <f aca="false">IF(Q235="extra",INDEX(BrentSeasonalityTable,INT((BG233-1)/3)+1)*VLOOKUP(MAX(BF233,$AB$4),PriceSpreadTable,3),W233-Y233)</f>
        <v>1.2915</v>
      </c>
      <c r="AB233" s="524" t="n">
        <f aca="false">IF(Q235="extra",INDEX(BrentSeasonalityTable,INT((BG233-1)/3)+1)*VLOOKUP(MAX(BF233,$AB$4),PriceSpreadTable,3),X233-Z233)</f>
        <v>1.2915</v>
      </c>
      <c r="AC233" s="646" t="n">
        <v>43240</v>
      </c>
      <c r="AD233" s="646" t="n">
        <v>43236</v>
      </c>
      <c r="AE233" s="646" t="n">
        <v>43235</v>
      </c>
      <c r="AF233" s="646" t="n">
        <v>43231</v>
      </c>
      <c r="AG233" s="438" t="s">
        <v>278</v>
      </c>
      <c r="AH233" s="439" t="s">
        <v>278</v>
      </c>
      <c r="AI233" s="528" t="n">
        <v>21</v>
      </c>
      <c r="AJ233" s="529" t="n">
        <v>14</v>
      </c>
      <c r="AK233" s="529" t="n">
        <v>7</v>
      </c>
      <c r="AL233" s="530" t="n">
        <v>21</v>
      </c>
      <c r="AM233" s="529" t="n">
        <v>10</v>
      </c>
      <c r="AN233" s="531" t="n">
        <v>11</v>
      </c>
      <c r="AO233" s="532"/>
      <c r="AP233" s="465" t="n">
        <f aca="false">(1+AO233/2)^(-2*BL233)</f>
        <v>1</v>
      </c>
      <c r="AQ233" s="532"/>
      <c r="AR233" s="465" t="n">
        <f aca="false">(1+AQ233/2)^(-2*BH233/365.25)</f>
        <v>1</v>
      </c>
      <c r="AS233" s="580" t="n">
        <f aca="false">(O234*AJ233+O235*AK233)/AI233</f>
        <v>0</v>
      </c>
      <c r="AT233" s="468" t="n">
        <f aca="false">O233*VLOOKUP(BF233,BrentVolTable,2)+VLOOKUP(BF233,BrentVolTable,3)</f>
        <v>0</v>
      </c>
      <c r="AU233" s="468" t="n">
        <f aca="false">(AT234*AM233+AT235*AN233)/AL233</f>
        <v>0</v>
      </c>
      <c r="AV233" s="595" t="n">
        <f aca="false">SQRT(MAX(0.000000000001,(O233^2*BH233-S233^2*(BH233-BH232))/BH232))</f>
        <v>0.0378145141052164</v>
      </c>
      <c r="AW233" s="451" t="n">
        <f aca="false">IF($I233-DateToday+15&gt;=$T$8,"",IF($I233-DateToday+15&lt;$T$5,1,MATCH($I233-DateToday+15,$T$5:$T$8)))</f>
        <v>1</v>
      </c>
      <c r="AX233" s="468" t="n">
        <f aca="false">IF($AW233="",AX232^2/AX231,INDEX(U$5:U$8,$AW233)^((INDEX($T$5:$T$8,$AW233+1)-($I233-DateToday+15))/(INDEX($T$5:$T$8,$AW233+1)-INDEX($T$5:$T$8,$AW233)))/INDEX(U$5:U$8,$AW233+1)^((INDEX($T$5:$T$8,$AW233)-($I233-DateToday+15))/(INDEX($T$5:$T$8,$AW233+1)-INDEX($T$5:$T$8,$AW233))))</f>
        <v>0.132223691062005</v>
      </c>
      <c r="AY233" s="468" t="n">
        <f aca="false">IF($AW233="",AY232^2/AY231,INDEX(V$5:V$8,$AW233)^((INDEX($T$5:$T$8,$AW233+1)-($I233-DateToday+15))/(INDEX($T$5:$T$8,$AW233+1)-INDEX($T$5:$T$8,$AW233)))/INDEX(V$5:V$8,$AW233+1)^((INDEX($T$5:$T$8,$AW233)-($I233-DateToday+15))/(INDEX($T$5:$T$8,$AW233+1)-INDEX($T$5:$T$8,$AW233))))</f>
        <v>0.66173845943909</v>
      </c>
      <c r="AZ233" s="468" t="n">
        <f aca="false">IF($AW233="",AZ232^2/AZ231,INDEX(W$5:W$8,$AW233)^((INDEX($T$5:$T$8,$AW233+1)-($I233-DateToday+15))/(INDEX($T$5:$T$8,$AW233+1)-INDEX($T$5:$T$8,$AW233)))/INDEX(W$5:W$8,$AW233+1)^((INDEX($T$5:$T$8,$AW233)-($I233-DateToday+15))/(INDEX($T$5:$T$8,$AW233+1)-INDEX($T$5:$T$8,$AW233))))</f>
        <v>17.2151396492387</v>
      </c>
      <c r="BA233" s="468" t="n">
        <f aca="false">IF($AW233="",BA232^2/BA231,INDEX(X$5:X$8,$AW233)^((INDEX($T$5:$T$8,$AW233+1)-($I233-DateToday+15))/(INDEX($T$5:$T$8,$AW233+1)-INDEX($T$5:$T$8,$AW233)))/INDEX(X$5:X$8,$AW233+1)^((INDEX($T$5:$T$8,$AW233)-($I233-DateToday+15))/(INDEX($T$5:$T$8,$AW233+1)-INDEX($T$5:$T$8,$AW233))))</f>
        <v>23.7109302767729</v>
      </c>
      <c r="BB233" s="468" t="n">
        <f aca="false">IF($AW233="",BB232^2/BB231,INDEX(Y$5:Y$8,$AW233)^((INDEX($T$5:$T$8,$AW233+1)-($I233-DateToday+15))/(INDEX($T$5:$T$8,$AW233+1)-INDEX($T$5:$T$8,$AW233)))/INDEX(Y$5:Y$8,$AW233+1)^((INDEX($T$5:$T$8,$AW233)-($I233-DateToday+15))/(INDEX($T$5:$T$8,$AW233+1)-INDEX($T$5:$T$8,$AW233))))</f>
        <v>79.6031274169001</v>
      </c>
      <c r="BC233" s="468" t="n">
        <f aca="false">IF($AW233="",BC232^2/BC231,INDEX(Z$5:Z$8,$AW233)^((INDEX($T$5:$T$8,$AW233+1)-($I233-DateToday+15))/(INDEX($T$5:$T$8,$AW233+1)-INDEX($T$5:$T$8,$AW233)))/INDEX(Z$5:Z$8,$AW233+1)^((INDEX($T$5:$T$8,$AW233)-($I233-DateToday+15))/(INDEX($T$5:$T$8,$AW233+1)-INDEX($T$5:$T$8,$AW233))))</f>
        <v>169.588977587507</v>
      </c>
      <c r="BD233" s="535" t="n">
        <f aca="false">IF(OR(DateStart&gt;=I234,DateEnd&lt;I233),0,IF(VolumeOverrideFlag,V233,Volume))</f>
        <v>0</v>
      </c>
      <c r="BE233" s="536" t="n">
        <f aca="false">IF(OR(DateStart2&gt;=I234,DateEnd2&lt;I233),0,IF(VolumeOverrideFlag,V233,VolumeSwaption))</f>
        <v>0</v>
      </c>
      <c r="BF233" s="537" t="n">
        <f aca="false">YEAR(I233)</f>
        <v>2018</v>
      </c>
      <c r="BG233" s="538" t="n">
        <f aca="false">MONTH(I233)</f>
        <v>6</v>
      </c>
      <c r="BH233" s="539" t="n">
        <f aca="false">AD233-DateToday+1</f>
        <v>-2689</v>
      </c>
      <c r="BI233" s="540" t="n">
        <f aca="false">(I233-DateToday+1)/365.25</f>
        <v>-7.31827515400411</v>
      </c>
      <c r="BJ233" s="541" t="n">
        <f aca="false">BI233+(BL233-BI233)*CHOOSE(Underlying,AJ233/AI233,AM233/AL233)</f>
        <v>-7.26534337211955</v>
      </c>
      <c r="BK233" s="541" t="n">
        <f aca="false">BJ233+1/365.25</f>
        <v>-7.26260552133242</v>
      </c>
      <c r="BL233" s="541" t="n">
        <f aca="false">(I234-DateToday)/365.25</f>
        <v>-7.23887748117728</v>
      </c>
      <c r="BM233" s="542" t="e">
        <f aca="false">MAX(BI233-(BJ233-BI233)*(S234^2/O234^2-1),0)</f>
        <v>#DIV/0!</v>
      </c>
      <c r="BN233" s="541" t="e">
        <f aca="false">MAX(BL233+(BL233-BK233)*(S235^2/O235^2-1),0)</f>
        <v>#DIV/0!</v>
      </c>
      <c r="BO233" s="530" t="n">
        <f aca="false">CHOOSE(Underlying,AI233,AL233)</f>
        <v>21</v>
      </c>
      <c r="BP233" s="529" t="n">
        <f aca="false">CHOOSE(Underlying,AJ233,AM233)</f>
        <v>14</v>
      </c>
      <c r="BQ233" s="529" t="n">
        <f aca="false">CHOOSE(Underlying,AK233,AN233)</f>
        <v>7</v>
      </c>
      <c r="BR233" s="463" t="str">
        <f aca="false">IF(BD233,IF(Underlying=1,X233,Z233)+UnderlyingPriceAsian-SwapPriceCurve,"")</f>
        <v/>
      </c>
      <c r="BS233" s="463" t="str">
        <f aca="false">IF(BD233,Strike1/BR233-1,"")</f>
        <v/>
      </c>
      <c r="BT233" s="464" t="str">
        <f aca="false">IF(BD233,Strike2/BR233-1,"")</f>
        <v/>
      </c>
      <c r="BU233" s="465" t="str">
        <f aca="false">IF(BD233,IF(Underlying=1,L234,R234)+UnderlyingPriceAsian-SwapPriceCurve,"")</f>
        <v/>
      </c>
      <c r="BV233" s="465" t="str">
        <f aca="false">IF(BD233,IF(Underlying=1,L235,R235)+UnderlyingPriceAsian-SwapPriceCurve,"")</f>
        <v/>
      </c>
      <c r="BW233" s="466" t="str">
        <f aca="false">IF(BD233,IF(Underlying=1,O234,AT234),"")</f>
        <v/>
      </c>
      <c r="BX233" s="467" t="str">
        <f aca="false">IF(BD233,IF(Underlying=1,O235,AT235),"")</f>
        <v/>
      </c>
      <c r="BY233" s="466" t="str">
        <f aca="false">IF(BD233,IF(BS233&gt;0,IF(BS233&gt;0.2,BC233-BB233,IF(BS233&gt;0.1,BB233-BA233,BA233)),IF(BS233&lt;-0.2,AX233-AY233,IF(BS233&lt;-0.1,AY233-AZ233,AZ233))),"")</f>
        <v/>
      </c>
      <c r="BZ233" s="467" t="str">
        <f aca="false">IF(BD233,IF(BT233&gt;0,IF(BT233&gt;0.2,BC233-BB233,IF(BT233&gt;0.1,BB233-BA233,BA233)),IF(BT233&lt;-0.2,AX233-AY233,IF(BT233&lt;-0.1,AY233-AZ233,AZ233))),"")</f>
        <v/>
      </c>
      <c r="CA233" s="468" t="str">
        <f aca="false">IF($BD233,$BW233+IF(VolSkewFlag=1,IF(BS233&gt;0,$BA233*MIN(BS233/10%,1)+($BB233-$BA233)*MAX(0,MIN(BS233/10%-1,1))+($BC233-$BB233)*MAX(0,BS233/10%-2),$AZ233*MIN(-BS233/10%,1)+($AY233-$AZ233)*MAX(0,MIN(-BS233/10%-1,1))+($AX233-$AY233)*MAX(0,-BS233/10%-2)),0),"")</f>
        <v/>
      </c>
      <c r="CB233" s="468" t="str">
        <f aca="false">IF($BD233,$BX233+IF(VolSkewFlag=1,IF(BS233&gt;0,$BA233*MIN(BS233/10%,1)+($BB233-$BA233)*MAX(0,MIN(BS233/10%-1,1))+($BC233-$BB233)*MAX(0,BS233/10%-2),$AZ233*MIN(-BS233/10%,1)+($AY233-$AZ233)*MAX(0,MIN(-BS233/10%-1,1))+($AX233-$AY233)*MAX(0,-BS233/10%-2)),0),"")</f>
        <v/>
      </c>
      <c r="CC233" s="468" t="str">
        <f aca="false">IF($BD233,$BW233+IF(VolSkewFlag=1,IF(BT233&gt;0,$BA233*MIN(BT233/10%,1)+($BB233-$BA233)*MAX(0,MIN(BT233/10%-1,1))+($BC233-$BB233)*MAX(0,BT233/10%-2),$AZ233*MIN(-BT233/10%,1)+($AY233-$AZ233)*MAX(0,MIN(-BT233/10%-1,1))+($AX233-$AY233)*MAX(0,-BT233/10%-2)),0),"")</f>
        <v/>
      </c>
      <c r="CD233" s="468" t="str">
        <f aca="false">IF($BD233,$BX233+IF(VolSkewFlag=1,IF(BT233&gt;0,$BA233*MIN(BT233/10%,1)+($BB233-$BA233)*MAX(0,MIN(BT233/10%-1,1))+($BC233-$BB233)*MAX(0,BT233/10%-2),$AZ233*MIN(-BT233/10%,1)+($AY233-$AZ233)*MAX(0,MIN(-BT233/10%-1,1))+($AX233-$AY233)*MAX(0,-BT233/10%-2)),0),"")</f>
        <v/>
      </c>
      <c r="CE233" s="469" t="n">
        <v>1</v>
      </c>
      <c r="CF233" s="470" t="n">
        <f aca="false">IF(BD233,xCrudeAPO(BU233,BV233,CA233,CB233,S234,S235,BI233,BL233,BP233,BQ233,0,Strike1,AO233,CE233,0,BL233,IF(OptControl=4,0,1),0,1),0)</f>
        <v>0</v>
      </c>
      <c r="CG233" s="470" t="n">
        <f aca="false">IF(BD233,xCrudeAPO(BU233,BV233,CA233,CB233,S234,S235,BI233,BL233,BP233,BQ233,0,Strike1,AO233,CE233,0,BL233,IF(OptControl=4,0,1),1,1)+xCrudeAPO(BU233,BV233,CA233,CB233,S234,S235,BI233,BL233,BP233,BQ233,0,Strike1,AO233,CE233,0,BL233,IF(OptControl=4,0,1),1,2)+IF(OR(VolSkewFlag=2,ABS(BS233)&lt;0.0001),0,IF(BS233&gt;0,-1,1)*CH233*Strike1/BR233^2*BY233/10%),0)</f>
        <v>0</v>
      </c>
      <c r="CH233" s="470" t="n">
        <f aca="false">IF(BD233,(xCrudeAPO(BU233,BV233,CA233,CB233,S234,S235,BI233,BL233,BP233,BQ233,0,Strike1,AO233,CE233,0,BL233,IF(OptControl=4,0,1),3,1)+xCrudeAPO(BU233,BV233,CA233,CB233,S234,S235,BI233,BL233,BP233,BQ233,0,Strike1,AO233,CE233,0,BL233,IF(OptControl=4,0,1),3,2))/100,0)</f>
        <v>0</v>
      </c>
      <c r="CI233" s="470" t="n">
        <f aca="false">IF(BD233,xCrudeAPO(BU233,BV233,CA233,CB233,S234,S235,BI233-DaysForThetaCalculation/365.25,BL233-DaysForThetaCalculation/365.25,BP233,BQ233,0,Strike1,AO233,CE233,0,BL233,IF(OptControl=4,0,1),0,1)-xCrudeAPO(BU233,BV233,CA233,CB233,S234,S235,BI233,BL233,BP233,BQ233,0,Strike1,AO233,CE233,0,BL233,IF(OptControl=4,0,1),0,1),0)</f>
        <v>0</v>
      </c>
      <c r="CJ233" s="471" t="n">
        <f aca="false">IF(BD233,xCrudeAPO(BU233,BV233,CC233,CD233,S234,S235,BI233,BL233,BP233,BQ233,0,Strike2,AO233,CE233,0,BL233,IF(OptControl=3,1,0),0,1),0)</f>
        <v>0</v>
      </c>
      <c r="CK233" s="470" t="n">
        <f aca="false">IF(BD233,xCrudeAPO(BU233,BV233,CC233,CD233,S234,S235,BI233,BL233,BP233,BQ233,0,Strike2,AO233,CE233,0,BL233,IF(OptControl=3,1,0),1,1)+xCrudeAPO(BU233,BV233,CC233,CD233,S234,S235,BI233,BL233,BP233,BQ233,0,Strike2,AO233,CE233,0,BL233,IF(OptControl=3,1,0),1,2)+IF(OR(VolSkewFlag=2,ABS(BT233)&lt;0.0001),0,IF(BT233&gt;0,-1,1)*CL233*Strike2/BR233^2*BZ233/10%),0)</f>
        <v>0</v>
      </c>
      <c r="CL233" s="470" t="n">
        <f aca="false">IF(BD233,(xCrudeAPO(BU233,BV233,CC233,CD233,S234,S235,BI233,BL233,BP233,BQ233,0,Strike2,AO233,CE233,0,BL233,IF(OptControl=3,1,0),3,1)+xCrudeAPO(BU233,BV233,CC233,CD233,S234,S235,BI233,BL233,BP233,BQ233,0,Strike2,AO233,CE233,0,BL233,IF(OptControl=3,1,0),3,2))/100,0)</f>
        <v>0</v>
      </c>
      <c r="CM233" s="472" t="n">
        <f aca="false">IF(BD233,xCrudeAPO(BU233,BV233,CC233,CD233,S234,S235,BI233-DaysForThetaCalculation/365.25,BL233-DaysForThetaCalculation/365.25,BP233,BQ233,0,Strike2,AO233,CE233,0,BL233,IF(OptControl=3,1,0),0,1)-xCrudeAPO(BU233,BV233,CC233,CD233,S234,S235,BI233,BL233,BP233,BQ233,0,Strike2,AO233,CE233,0,BL233,IF(OptControl=3,1,0),0,1),0)</f>
        <v>0</v>
      </c>
      <c r="CN233" s="3"/>
      <c r="CO233" s="543" t="str">
        <f aca="false">IF(BD233,CHOOSE(Underlying,AD233,AF233)-DateToday+1,"")</f>
        <v/>
      </c>
      <c r="CP233" s="582" t="str">
        <f aca="false">IF(BD233,CHOOSE(Underlying,L233,R233),"")</f>
        <v/>
      </c>
      <c r="CQ233" s="544" t="str">
        <f aca="false">IF(BD233,Strike1/CP233-1,"")</f>
        <v/>
      </c>
      <c r="CR233" s="544" t="str">
        <f aca="false">IF(BD233,Strike2/CP233-1,"")</f>
        <v/>
      </c>
      <c r="CS233" s="544" t="str">
        <f aca="false">IF(BD233,IF(CQ233&gt;0,IF(CQ233&gt;0.2,BC232-BB232,IF(CQ233&gt;0.1,BB232-BA232,BA232)),IF(CQ233&lt;-0.2,AX232-AY232,IF(CQ233&lt;-0.1,AY232-AZ232,AZ232))),"")</f>
        <v/>
      </c>
      <c r="CT233" s="544" t="str">
        <f aca="false">IF(BD233,IF(CR233&gt;0,IF(CR233&gt;0.2,BC232-BB232,IF(CR233&gt;0.1,BB232-BA232,BA232)),IF(CR233&lt;-0.2,AX232-AY232,IF(CR233&lt;-0.1,AY232-AZ232,AZ232))),"")</f>
        <v/>
      </c>
      <c r="CU233" s="545" t="str">
        <f aca="false">IF(BD233,CHOOSE(Underlying,O233,AT233),"")</f>
        <v/>
      </c>
      <c r="CV233" s="545" t="str">
        <f aca="false">IF(BD233,CU233+IF(VolSkewFlag=1,IF(CQ233&gt;0,BA232*MIN(CQ233/10%,1)+(BB232-BA232)*MAX(0,MIN(CQ233/10%-1,1))+(BC232-BB232)*MAX(0,CQ233/10%-2),AZ232*MIN(-CQ233/10%,1)+(AY232-AZ232)*MAX(0,MIN(-CQ233/10%-1,1))+(AX232-AY232)*MAX(0,-CQ233/10%-2)),0),"")</f>
        <v/>
      </c>
      <c r="CW233" s="545" t="str">
        <f aca="false">IF(BD233,CU233+IF(VolSkewFlag=1,IF(CR233&gt;0,BA232*MIN(CR233/10%,1)+(BB232-BA232)*MAX(0,MIN(CR233/10%-1,1))+(BC232-BB232)*MAX(0,CR233/10%-2),AZ232*MIN(-CR233/10%,1)+(AY232-AZ232)*MAX(0,MIN(-CR233/10%-1,1))+(AX232-AY232)*MAX(0,-CR233/10%-2)),0),"")</f>
        <v/>
      </c>
      <c r="CX233" s="470" t="n">
        <f aca="false">IF(BD233,EURO(CP233,Strike1,AO233,AO233,CV233,CO233,IF(OptControl=4,0,1),0),0)</f>
        <v>0</v>
      </c>
      <c r="CY233" s="470" t="n">
        <f aca="false">IF(BD233,EURO(CP233,Strike1,AO233,AO233,CV233,CO233,IF(OptControl=4,0,1),1)+IF(OR(VolSkewFlag=2,ABS(CQ233)&lt;0.0001),0,IF(CQ233&gt;0,-1,1)*CZ233*100*Strike1/CP233^2*CS233/10%),0)</f>
        <v>0</v>
      </c>
      <c r="CZ233" s="470" t="n">
        <f aca="false">IF(BD233,EURO(CP233,Strike1,AO233,AO233,CV233,CO233,IF(OptControl=4,0,1),3)/100,0)</f>
        <v>0</v>
      </c>
      <c r="DA233" s="470" t="n">
        <f aca="false">IF(BD233,EURO(CP233,Strike1,AO233,AO233,CV233,CO233,IF(OptControl=4,0,1),0)-EURO(CP233,Strike1,AO233,AO233,CV233,CO233-1,IF(OptControl=4,0,1),0),0)</f>
        <v>0</v>
      </c>
      <c r="DB233" s="470" t="n">
        <f aca="false">IF(BD233,EURO(CP233,Strike2,AO233,AO233,CW233,CO233,IF(OptControl=3,1,0),0),0)</f>
        <v>0</v>
      </c>
      <c r="DC233" s="470" t="n">
        <f aca="false">IF(BD233,EURO(CP233,Strike2,AO233,AO233,CW233,CO233,IF(OptControl=3,1,0),1)+IF(OR(VolSkewFlag=2,ABS(CR233)&lt;0.0001),0,IF(CR233&gt;0,-1,1)*DD233*100*Strike2/CP233^2*CT233/10%),0)</f>
        <v>0</v>
      </c>
      <c r="DD233" s="470" t="n">
        <f aca="false">IF(BD233,EURO(CP233,Strike2,AO233,AO233,CW233,CO233,IF(OptControl=3,1,0),3)/100,0)</f>
        <v>0</v>
      </c>
      <c r="DE233" s="472" t="n">
        <f aca="false">IF(BD233,EURO(CP233,Strike2,AO233,AO233,CW233,CO233,IF(OptControl=3,1,0),0)-EURO(CP233,Strike2,AO233,AO233,CW233,CO233-1,IF(OptControl=3,1,0),0),0)</f>
        <v>0</v>
      </c>
      <c r="DG233" s="481" t="n">
        <f aca="false">EOMONTH(DG232,0)+1</f>
        <v>52171</v>
      </c>
      <c r="DH233" s="478" t="n">
        <v>24.8100000000001</v>
      </c>
      <c r="DI233" s="479" t="n">
        <v>24.8781818181819</v>
      </c>
      <c r="DJ233" s="480" t="n">
        <f aca="false">DG233</f>
        <v>52171</v>
      </c>
      <c r="DK233" s="478" t="n">
        <v>23.6027333647928</v>
      </c>
      <c r="DL233" s="479" t="n">
        <v>23.6850818181819</v>
      </c>
      <c r="DM233" s="481" t="n">
        <f aca="false">DG233</f>
        <v>52171</v>
      </c>
      <c r="DN233" s="482" t="n">
        <f aca="false">DK233+BrentPhyBrentSpread</f>
        <v>23.6527333647928</v>
      </c>
      <c r="DO233" s="481" t="n">
        <f aca="false">DG233</f>
        <v>52171</v>
      </c>
      <c r="DP233" s="483" t="n">
        <f aca="false">DL233+DQ233</f>
        <v>23.6850818181819</v>
      </c>
      <c r="DQ233" s="546" t="n">
        <v>0</v>
      </c>
      <c r="DR233" s="480" t="n">
        <f aca="false">DG233</f>
        <v>52171</v>
      </c>
      <c r="DS233" s="485" t="n">
        <v>0.096799999999998</v>
      </c>
      <c r="DT233" s="486" t="n">
        <v>0.0959818181818162</v>
      </c>
      <c r="DU233" s="480" t="n">
        <f aca="false">DG233</f>
        <v>52171</v>
      </c>
      <c r="DV233" s="485" t="n">
        <v>0.096799999999998</v>
      </c>
      <c r="DW233" s="486" t="n">
        <v>0.0959818181818162</v>
      </c>
      <c r="DX233" s="481" t="n">
        <f aca="false">DG233</f>
        <v>52171</v>
      </c>
      <c r="DY233" s="486" t="n">
        <v>0.35</v>
      </c>
      <c r="DZ233" s="481" t="n">
        <f aca="false">DR233</f>
        <v>52171</v>
      </c>
      <c r="EA233" s="486" t="n">
        <f aca="false">DT233</f>
        <v>0.0959818181818162</v>
      </c>
      <c r="EB233" s="195"/>
      <c r="EC233" s="547" t="str">
        <f aca="false">IF(BD233,IF(Underlying=1,AS233,AU233),"")</f>
        <v/>
      </c>
      <c r="ED233" s="548" t="str">
        <f aca="false">IF($BD233,$EC233+IF(VolSkewFlag=1,IF(BS233&gt;0,$BA233*MIN(BS233/10%,1)+($BB233-$BA233)*MAX(0,MIN(BS233/10%-1,1))+($BC233-$BB233)*MAX(0,BS233/10%-2),$AZ233*MIN(-BS233/10%,1)+($AY233-$AZ233)*MAX(0,MIN(-BS233/10%-1,1))+($AX233-$AY233)*MAX(0,-BS233/10%-2)),0),"")</f>
        <v/>
      </c>
      <c r="EE233" s="549" t="str">
        <f aca="false">IF($BD233,$EC233+IF(VolSkewFlag=1,IF(BT233&gt;0,$BA233*MIN(BT233/10%,1)+($BB233-$BA233)*MAX(0,MIN(BT233/10%-1,1))+($BC233-$BB233)*MAX(0,BT233/10%-2),$AZ233*MIN(-BT233/10%,1)+($AY233-$AZ233)*MAX(0,MIN(-BT233/10%-1,1))+($AX233-$AY233)*MAX(0,-BT233/10%-2)),0),"")</f>
        <v/>
      </c>
      <c r="EF233" s="550" t="n">
        <f aca="false">IF(BD233,xASN(BR233,Strike1,AO233,ED233,0,BO233,0,BI233,BL233,IF(OptControl=4,0,1),0),0)</f>
        <v>0</v>
      </c>
      <c r="EG233" s="551" t="n">
        <f aca="false">IF(BD233,xASN(BR233,Strike2,AO233,EE233,0,BO233,0,BI233,BL233,IF(OptControl=3,1,0),0),0)</f>
        <v>0</v>
      </c>
      <c r="EL233" s="1"/>
      <c r="EM233" s="195"/>
      <c r="EN233" s="240"/>
      <c r="EO233" s="240"/>
      <c r="EP233" s="195"/>
      <c r="EQ233" s="407" t="s">
        <v>461</v>
      </c>
      <c r="ES233" s="1"/>
      <c r="EU233" s="672"/>
      <c r="FJ233" s="571" t="n">
        <v>64</v>
      </c>
      <c r="FK233" s="150" t="str">
        <f aca="false">IF(OR(FK$169&lt;SwaptionFirstMonthPosition+1,$FJ233&lt;SwaptionFirstMonthPosition+1,FK$169&gt;SwaptionFirstMonthPosition+SwaptionNumOfMonths+1,$FJ233&gt;SwaptionFirstMonthPosition+SwaptionNumOfMonths+1),"",IF($FJ233=FK$169,1,IF($FJ233&lt;FK$169,INDEX($FK$170:$ID$241,FK$169,$FJ233),SUMPRODUCT(INDEX($FK$325:$ID$396,FK$169,1+SwaptionShift):INDEX($FK$325:$ID$396,FK$169,SwaptionMonthsToGo+SwaptionShift),INDEX($FK$245:$ID$316,$FJ233-FK$169,73-FK$169+SwaptionShift):INDEX($FK$245:$ID$316,$FJ233-FK$169,72-FK$169+SwaptionMonthsToGo+SwaptionShift))/SQRT(SUM(INDEX($FK388:$ID388,1+SwaptionShift):INDEX($FK388:$ID388,SwaptionMonthsToGo+SwaptionShift))*SUM(INDEX($FK$325:$ID$396,FK$169,1+SwaptionShift):INDEX($FK$325:$ID$396,FK$169,SwaptionMonthsToGo+SwaptionShift))))))</f>
        <v/>
      </c>
      <c r="FL233" s="150" t="str">
        <f aca="false">IF(OR(FL$169&lt;SwaptionFirstMonthPosition+1,$FJ233&lt;SwaptionFirstMonthPosition+1,FL$169&gt;SwaptionFirstMonthPosition+SwaptionNumOfMonths+1,$FJ233&gt;SwaptionFirstMonthPosition+SwaptionNumOfMonths+1),"",IF($FJ233=FL$169,1,IF($FJ233&lt;FL$169,INDEX($FK$170:$ID$241,FL$169,$FJ233),SUMPRODUCT(INDEX($FK$325:$ID$396,FL$169,1+SwaptionShift):INDEX($FK$325:$ID$396,FL$169,SwaptionMonthsToGo+SwaptionShift),INDEX($FK$245:$ID$316,$FJ233-FL$169,73-FL$169+SwaptionShift):INDEX($FK$245:$ID$316,$FJ233-FL$169,72-FL$169+SwaptionMonthsToGo+SwaptionShift))/SQRT(SUM(INDEX($FK388:$ID388,1+SwaptionShift):INDEX($FK388:$ID388,SwaptionMonthsToGo+SwaptionShift))*SUM(INDEX($FK$325:$ID$396,FL$169,1+SwaptionShift):INDEX($FK$325:$ID$396,FL$169,SwaptionMonthsToGo+SwaptionShift))))))</f>
        <v/>
      </c>
      <c r="FM233" s="150" t="str">
        <f aca="false">IF(OR(FM$169&lt;SwaptionFirstMonthPosition+1,$FJ233&lt;SwaptionFirstMonthPosition+1,FM$169&gt;SwaptionFirstMonthPosition+SwaptionNumOfMonths+1,$FJ233&gt;SwaptionFirstMonthPosition+SwaptionNumOfMonths+1),"",IF($FJ233=FM$169,1,IF($FJ233&lt;FM$169,INDEX($FK$170:$ID$241,FM$169,$FJ233),SUMPRODUCT(INDEX($FK$325:$ID$396,FM$169,1+SwaptionShift):INDEX($FK$325:$ID$396,FM$169,SwaptionMonthsToGo+SwaptionShift),INDEX($FK$245:$ID$316,$FJ233-FM$169,73-FM$169+SwaptionShift):INDEX($FK$245:$ID$316,$FJ233-FM$169,72-FM$169+SwaptionMonthsToGo+SwaptionShift))/SQRT(SUM(INDEX($FK388:$ID388,1+SwaptionShift):INDEX($FK388:$ID388,SwaptionMonthsToGo+SwaptionShift))*SUM(INDEX($FK$325:$ID$396,FM$169,1+SwaptionShift):INDEX($FK$325:$ID$396,FM$169,SwaptionMonthsToGo+SwaptionShift))))))</f>
        <v/>
      </c>
      <c r="FN233" s="150" t="str">
        <f aca="false">IF(OR(FN$169&lt;SwaptionFirstMonthPosition+1,$FJ233&lt;SwaptionFirstMonthPosition+1,FN$169&gt;SwaptionFirstMonthPosition+SwaptionNumOfMonths+1,$FJ233&gt;SwaptionFirstMonthPosition+SwaptionNumOfMonths+1),"",IF($FJ233=FN$169,1,IF($FJ233&lt;FN$169,INDEX($FK$170:$ID$241,FN$169,$FJ233),SUMPRODUCT(INDEX($FK$325:$ID$396,FN$169,1+SwaptionShift):INDEX($FK$325:$ID$396,FN$169,SwaptionMonthsToGo+SwaptionShift),INDEX($FK$245:$ID$316,$FJ233-FN$169,73-FN$169+SwaptionShift):INDEX($FK$245:$ID$316,$FJ233-FN$169,72-FN$169+SwaptionMonthsToGo+SwaptionShift))/SQRT(SUM(INDEX($FK388:$ID388,1+SwaptionShift):INDEX($FK388:$ID388,SwaptionMonthsToGo+SwaptionShift))*SUM(INDEX($FK$325:$ID$396,FN$169,1+SwaptionShift):INDEX($FK$325:$ID$396,FN$169,SwaptionMonthsToGo+SwaptionShift))))))</f>
        <v/>
      </c>
      <c r="FO233" s="150" t="str">
        <f aca="false">IF(OR(FO$169&lt;SwaptionFirstMonthPosition+1,$FJ233&lt;SwaptionFirstMonthPosition+1,FO$169&gt;SwaptionFirstMonthPosition+SwaptionNumOfMonths+1,$FJ233&gt;SwaptionFirstMonthPosition+SwaptionNumOfMonths+1),"",IF($FJ233=FO$169,1,IF($FJ233&lt;FO$169,INDEX($FK$170:$ID$241,FO$169,$FJ233),SUMPRODUCT(INDEX($FK$325:$ID$396,FO$169,1+SwaptionShift):INDEX($FK$325:$ID$396,FO$169,SwaptionMonthsToGo+SwaptionShift),INDEX($FK$245:$ID$316,$FJ233-FO$169,73-FO$169+SwaptionShift):INDEX($FK$245:$ID$316,$FJ233-FO$169,72-FO$169+SwaptionMonthsToGo+SwaptionShift))/SQRT(SUM(INDEX($FK388:$ID388,1+SwaptionShift):INDEX($FK388:$ID388,SwaptionMonthsToGo+SwaptionShift))*SUM(INDEX($FK$325:$ID$396,FO$169,1+SwaptionShift):INDEX($FK$325:$ID$396,FO$169,SwaptionMonthsToGo+SwaptionShift))))))</f>
        <v/>
      </c>
      <c r="FP233" s="150" t="str">
        <f aca="false">IF(OR(FP$169&lt;SwaptionFirstMonthPosition+1,$FJ233&lt;SwaptionFirstMonthPosition+1,FP$169&gt;SwaptionFirstMonthPosition+SwaptionNumOfMonths+1,$FJ233&gt;SwaptionFirstMonthPosition+SwaptionNumOfMonths+1),"",IF($FJ233=FP$169,1,IF($FJ233&lt;FP$169,INDEX($FK$170:$ID$241,FP$169,$FJ233),SUMPRODUCT(INDEX($FK$325:$ID$396,FP$169,1+SwaptionShift):INDEX($FK$325:$ID$396,FP$169,SwaptionMonthsToGo+SwaptionShift),INDEX($FK$245:$ID$316,$FJ233-FP$169,73-FP$169+SwaptionShift):INDEX($FK$245:$ID$316,$FJ233-FP$169,72-FP$169+SwaptionMonthsToGo+SwaptionShift))/SQRT(SUM(INDEX($FK388:$ID388,1+SwaptionShift):INDEX($FK388:$ID388,SwaptionMonthsToGo+SwaptionShift))*SUM(INDEX($FK$325:$ID$396,FP$169,1+SwaptionShift):INDEX($FK$325:$ID$396,FP$169,SwaptionMonthsToGo+SwaptionShift))))))</f>
        <v/>
      </c>
      <c r="FQ233" s="150" t="str">
        <f aca="false">IF(OR(FQ$169&lt;SwaptionFirstMonthPosition+1,$FJ233&lt;SwaptionFirstMonthPosition+1,FQ$169&gt;SwaptionFirstMonthPosition+SwaptionNumOfMonths+1,$FJ233&gt;SwaptionFirstMonthPosition+SwaptionNumOfMonths+1),"",IF($FJ233=FQ$169,1,IF($FJ233&lt;FQ$169,INDEX($FK$170:$ID$241,FQ$169,$FJ233),SUMPRODUCT(INDEX($FK$325:$ID$396,FQ$169,1+SwaptionShift):INDEX($FK$325:$ID$396,FQ$169,SwaptionMonthsToGo+SwaptionShift),INDEX($FK$245:$ID$316,$FJ233-FQ$169,73-FQ$169+SwaptionShift):INDEX($FK$245:$ID$316,$FJ233-FQ$169,72-FQ$169+SwaptionMonthsToGo+SwaptionShift))/SQRT(SUM(INDEX($FK388:$ID388,1+SwaptionShift):INDEX($FK388:$ID388,SwaptionMonthsToGo+SwaptionShift))*SUM(INDEX($FK$325:$ID$396,FQ$169,1+SwaptionShift):INDEX($FK$325:$ID$396,FQ$169,SwaptionMonthsToGo+SwaptionShift))))))</f>
        <v/>
      </c>
      <c r="FR233" s="150" t="str">
        <f aca="false">IF(OR(FR$169&lt;SwaptionFirstMonthPosition+1,$FJ233&lt;SwaptionFirstMonthPosition+1,FR$169&gt;SwaptionFirstMonthPosition+SwaptionNumOfMonths+1,$FJ233&gt;SwaptionFirstMonthPosition+SwaptionNumOfMonths+1),"",IF($FJ233=FR$169,1,IF($FJ233&lt;FR$169,INDEX($FK$170:$ID$241,FR$169,$FJ233),SUMPRODUCT(INDEX($FK$325:$ID$396,FR$169,1+SwaptionShift):INDEX($FK$325:$ID$396,FR$169,SwaptionMonthsToGo+SwaptionShift),INDEX($FK$245:$ID$316,$FJ233-FR$169,73-FR$169+SwaptionShift):INDEX($FK$245:$ID$316,$FJ233-FR$169,72-FR$169+SwaptionMonthsToGo+SwaptionShift))/SQRT(SUM(INDEX($FK388:$ID388,1+SwaptionShift):INDEX($FK388:$ID388,SwaptionMonthsToGo+SwaptionShift))*SUM(INDEX($FK$325:$ID$396,FR$169,1+SwaptionShift):INDEX($FK$325:$ID$396,FR$169,SwaptionMonthsToGo+SwaptionShift))))))</f>
        <v/>
      </c>
      <c r="FS233" s="150" t="str">
        <f aca="false">IF(OR(FS$169&lt;SwaptionFirstMonthPosition+1,$FJ233&lt;SwaptionFirstMonthPosition+1,FS$169&gt;SwaptionFirstMonthPosition+SwaptionNumOfMonths+1,$FJ233&gt;SwaptionFirstMonthPosition+SwaptionNumOfMonths+1),"",IF($FJ233=FS$169,1,IF($FJ233&lt;FS$169,INDEX($FK$170:$ID$241,FS$169,$FJ233),SUMPRODUCT(INDEX($FK$325:$ID$396,FS$169,1+SwaptionShift):INDEX($FK$325:$ID$396,FS$169,SwaptionMonthsToGo+SwaptionShift),INDEX($FK$245:$ID$316,$FJ233-FS$169,73-FS$169+SwaptionShift):INDEX($FK$245:$ID$316,$FJ233-FS$169,72-FS$169+SwaptionMonthsToGo+SwaptionShift))/SQRT(SUM(INDEX($FK388:$ID388,1+SwaptionShift):INDEX($FK388:$ID388,SwaptionMonthsToGo+SwaptionShift))*SUM(INDEX($FK$325:$ID$396,FS$169,1+SwaptionShift):INDEX($FK$325:$ID$396,FS$169,SwaptionMonthsToGo+SwaptionShift))))))</f>
        <v/>
      </c>
      <c r="FT233" s="150" t="str">
        <f aca="false">IF(OR(FT$169&lt;SwaptionFirstMonthPosition+1,$FJ233&lt;SwaptionFirstMonthPosition+1,FT$169&gt;SwaptionFirstMonthPosition+SwaptionNumOfMonths+1,$FJ233&gt;SwaptionFirstMonthPosition+SwaptionNumOfMonths+1),"",IF($FJ233=FT$169,1,IF($FJ233&lt;FT$169,INDEX($FK$170:$ID$241,FT$169,$FJ233),SUMPRODUCT(INDEX($FK$325:$ID$396,FT$169,1+SwaptionShift):INDEX($FK$325:$ID$396,FT$169,SwaptionMonthsToGo+SwaptionShift),INDEX($FK$245:$ID$316,$FJ233-FT$169,73-FT$169+SwaptionShift):INDEX($FK$245:$ID$316,$FJ233-FT$169,72-FT$169+SwaptionMonthsToGo+SwaptionShift))/SQRT(SUM(INDEX($FK388:$ID388,1+SwaptionShift):INDEX($FK388:$ID388,SwaptionMonthsToGo+SwaptionShift))*SUM(INDEX($FK$325:$ID$396,FT$169,1+SwaptionShift):INDEX($FK$325:$ID$396,FT$169,SwaptionMonthsToGo+SwaptionShift))))))</f>
        <v/>
      </c>
      <c r="FU233" s="150" t="str">
        <f aca="false">IF(OR(FU$169&lt;SwaptionFirstMonthPosition+1,$FJ233&lt;SwaptionFirstMonthPosition+1,FU$169&gt;SwaptionFirstMonthPosition+SwaptionNumOfMonths+1,$FJ233&gt;SwaptionFirstMonthPosition+SwaptionNumOfMonths+1),"",IF($FJ233=FU$169,1,IF($FJ233&lt;FU$169,INDEX($FK$170:$ID$241,FU$169,$FJ233),SUMPRODUCT(INDEX($FK$325:$ID$396,FU$169,1+SwaptionShift):INDEX($FK$325:$ID$396,FU$169,SwaptionMonthsToGo+SwaptionShift),INDEX($FK$245:$ID$316,$FJ233-FU$169,73-FU$169+SwaptionShift):INDEX($FK$245:$ID$316,$FJ233-FU$169,72-FU$169+SwaptionMonthsToGo+SwaptionShift))/SQRT(SUM(INDEX($FK388:$ID388,1+SwaptionShift):INDEX($FK388:$ID388,SwaptionMonthsToGo+SwaptionShift))*SUM(INDEX($FK$325:$ID$396,FU$169,1+SwaptionShift):INDEX($FK$325:$ID$396,FU$169,SwaptionMonthsToGo+SwaptionShift))))))</f>
        <v/>
      </c>
      <c r="FV233" s="150" t="str">
        <f aca="false">IF(OR(FV$169&lt;SwaptionFirstMonthPosition+1,$FJ233&lt;SwaptionFirstMonthPosition+1,FV$169&gt;SwaptionFirstMonthPosition+SwaptionNumOfMonths+1,$FJ233&gt;SwaptionFirstMonthPosition+SwaptionNumOfMonths+1),"",IF($FJ233=FV$169,1,IF($FJ233&lt;FV$169,INDEX($FK$170:$ID$241,FV$169,$FJ233),SUMPRODUCT(INDEX($FK$325:$ID$396,FV$169,1+SwaptionShift):INDEX($FK$325:$ID$396,FV$169,SwaptionMonthsToGo+SwaptionShift),INDEX($FK$245:$ID$316,$FJ233-FV$169,73-FV$169+SwaptionShift):INDEX($FK$245:$ID$316,$FJ233-FV$169,72-FV$169+SwaptionMonthsToGo+SwaptionShift))/SQRT(SUM(INDEX($FK388:$ID388,1+SwaptionShift):INDEX($FK388:$ID388,SwaptionMonthsToGo+SwaptionShift))*SUM(INDEX($FK$325:$ID$396,FV$169,1+SwaptionShift):INDEX($FK$325:$ID$396,FV$169,SwaptionMonthsToGo+SwaptionShift))))))</f>
        <v/>
      </c>
      <c r="FW233" s="150" t="str">
        <f aca="false">IF(OR(FW$169&lt;SwaptionFirstMonthPosition+1,$FJ233&lt;SwaptionFirstMonthPosition+1,FW$169&gt;SwaptionFirstMonthPosition+SwaptionNumOfMonths+1,$FJ233&gt;SwaptionFirstMonthPosition+SwaptionNumOfMonths+1),"",IF($FJ233=FW$169,1,IF($FJ233&lt;FW$169,INDEX($FK$170:$ID$241,FW$169,$FJ233),SUMPRODUCT(INDEX($FK$325:$ID$396,FW$169,1+SwaptionShift):INDEX($FK$325:$ID$396,FW$169,SwaptionMonthsToGo+SwaptionShift),INDEX($FK$245:$ID$316,$FJ233-FW$169,73-FW$169+SwaptionShift):INDEX($FK$245:$ID$316,$FJ233-FW$169,72-FW$169+SwaptionMonthsToGo+SwaptionShift))/SQRT(SUM(INDEX($FK388:$ID388,1+SwaptionShift):INDEX($FK388:$ID388,SwaptionMonthsToGo+SwaptionShift))*SUM(INDEX($FK$325:$ID$396,FW$169,1+SwaptionShift):INDEX($FK$325:$ID$396,FW$169,SwaptionMonthsToGo+SwaptionShift))))))</f>
        <v/>
      </c>
      <c r="FX233" s="150" t="str">
        <f aca="false">IF(OR(FX$169&lt;SwaptionFirstMonthPosition+1,$FJ233&lt;SwaptionFirstMonthPosition+1,FX$169&gt;SwaptionFirstMonthPosition+SwaptionNumOfMonths+1,$FJ233&gt;SwaptionFirstMonthPosition+SwaptionNumOfMonths+1),"",IF($FJ233=FX$169,1,IF($FJ233&lt;FX$169,INDEX($FK$170:$ID$241,FX$169,$FJ233),SUMPRODUCT(INDEX($FK$325:$ID$396,FX$169,1+SwaptionShift):INDEX($FK$325:$ID$396,FX$169,SwaptionMonthsToGo+SwaptionShift),INDEX($FK$245:$ID$316,$FJ233-FX$169,73-FX$169+SwaptionShift):INDEX($FK$245:$ID$316,$FJ233-FX$169,72-FX$169+SwaptionMonthsToGo+SwaptionShift))/SQRT(SUM(INDEX($FK388:$ID388,1+SwaptionShift):INDEX($FK388:$ID388,SwaptionMonthsToGo+SwaptionShift))*SUM(INDEX($FK$325:$ID$396,FX$169,1+SwaptionShift):INDEX($FK$325:$ID$396,FX$169,SwaptionMonthsToGo+SwaptionShift))))))</f>
        <v/>
      </c>
      <c r="FY233" s="150" t="str">
        <f aca="false">IF(OR(FY$169&lt;SwaptionFirstMonthPosition+1,$FJ233&lt;SwaptionFirstMonthPosition+1,FY$169&gt;SwaptionFirstMonthPosition+SwaptionNumOfMonths+1,$FJ233&gt;SwaptionFirstMonthPosition+SwaptionNumOfMonths+1),"",IF($FJ233=FY$169,1,IF($FJ233&lt;FY$169,INDEX($FK$170:$ID$241,FY$169,$FJ233),SUMPRODUCT(INDEX($FK$325:$ID$396,FY$169,1+SwaptionShift):INDEX($FK$325:$ID$396,FY$169,SwaptionMonthsToGo+SwaptionShift),INDEX($FK$245:$ID$316,$FJ233-FY$169,73-FY$169+SwaptionShift):INDEX($FK$245:$ID$316,$FJ233-FY$169,72-FY$169+SwaptionMonthsToGo+SwaptionShift))/SQRT(SUM(INDEX($FK388:$ID388,1+SwaptionShift):INDEX($FK388:$ID388,SwaptionMonthsToGo+SwaptionShift))*SUM(INDEX($FK$325:$ID$396,FY$169,1+SwaptionShift):INDEX($FK$325:$ID$396,FY$169,SwaptionMonthsToGo+SwaptionShift))))))</f>
        <v/>
      </c>
      <c r="FZ233" s="150" t="str">
        <f aca="false">IF(OR(FZ$169&lt;SwaptionFirstMonthPosition+1,$FJ233&lt;SwaptionFirstMonthPosition+1,FZ$169&gt;SwaptionFirstMonthPosition+SwaptionNumOfMonths+1,$FJ233&gt;SwaptionFirstMonthPosition+SwaptionNumOfMonths+1),"",IF($FJ233=FZ$169,1,IF($FJ233&lt;FZ$169,INDEX($FK$170:$ID$241,FZ$169,$FJ233),SUMPRODUCT(INDEX($FK$325:$ID$396,FZ$169,1+SwaptionShift):INDEX($FK$325:$ID$396,FZ$169,SwaptionMonthsToGo+SwaptionShift),INDEX($FK$245:$ID$316,$FJ233-FZ$169,73-FZ$169+SwaptionShift):INDEX($FK$245:$ID$316,$FJ233-FZ$169,72-FZ$169+SwaptionMonthsToGo+SwaptionShift))/SQRT(SUM(INDEX($FK388:$ID388,1+SwaptionShift):INDEX($FK388:$ID388,SwaptionMonthsToGo+SwaptionShift))*SUM(INDEX($FK$325:$ID$396,FZ$169,1+SwaptionShift):INDEX($FK$325:$ID$396,FZ$169,SwaptionMonthsToGo+SwaptionShift))))))</f>
        <v/>
      </c>
      <c r="GA233" s="150" t="str">
        <f aca="false">IF(OR(GA$169&lt;SwaptionFirstMonthPosition+1,$FJ233&lt;SwaptionFirstMonthPosition+1,GA$169&gt;SwaptionFirstMonthPosition+SwaptionNumOfMonths+1,$FJ233&gt;SwaptionFirstMonthPosition+SwaptionNumOfMonths+1),"",IF($FJ233=GA$169,1,IF($FJ233&lt;GA$169,INDEX($FK$170:$ID$241,GA$169,$FJ233),SUMPRODUCT(INDEX($FK$325:$ID$396,GA$169,1+SwaptionShift):INDEX($FK$325:$ID$396,GA$169,SwaptionMonthsToGo+SwaptionShift),INDEX($FK$245:$ID$316,$FJ233-GA$169,73-GA$169+SwaptionShift):INDEX($FK$245:$ID$316,$FJ233-GA$169,72-GA$169+SwaptionMonthsToGo+SwaptionShift))/SQRT(SUM(INDEX($FK388:$ID388,1+SwaptionShift):INDEX($FK388:$ID388,SwaptionMonthsToGo+SwaptionShift))*SUM(INDEX($FK$325:$ID$396,GA$169,1+SwaptionShift):INDEX($FK$325:$ID$396,GA$169,SwaptionMonthsToGo+SwaptionShift))))))</f>
        <v/>
      </c>
      <c r="GB233" s="150" t="str">
        <f aca="false">IF(OR(GB$169&lt;SwaptionFirstMonthPosition+1,$FJ233&lt;SwaptionFirstMonthPosition+1,GB$169&gt;SwaptionFirstMonthPosition+SwaptionNumOfMonths+1,$FJ233&gt;SwaptionFirstMonthPosition+SwaptionNumOfMonths+1),"",IF($FJ233=GB$169,1,IF($FJ233&lt;GB$169,INDEX($FK$170:$ID$241,GB$169,$FJ233),SUMPRODUCT(INDEX($FK$325:$ID$396,GB$169,1+SwaptionShift):INDEX($FK$325:$ID$396,GB$169,SwaptionMonthsToGo+SwaptionShift),INDEX($FK$245:$ID$316,$FJ233-GB$169,73-GB$169+SwaptionShift):INDEX($FK$245:$ID$316,$FJ233-GB$169,72-GB$169+SwaptionMonthsToGo+SwaptionShift))/SQRT(SUM(INDEX($FK388:$ID388,1+SwaptionShift):INDEX($FK388:$ID388,SwaptionMonthsToGo+SwaptionShift))*SUM(INDEX($FK$325:$ID$396,GB$169,1+SwaptionShift):INDEX($FK$325:$ID$396,GB$169,SwaptionMonthsToGo+SwaptionShift))))))</f>
        <v/>
      </c>
      <c r="GC233" s="150" t="str">
        <f aca="false">IF(OR(GC$169&lt;SwaptionFirstMonthPosition+1,$FJ233&lt;SwaptionFirstMonthPosition+1,GC$169&gt;SwaptionFirstMonthPosition+SwaptionNumOfMonths+1,$FJ233&gt;SwaptionFirstMonthPosition+SwaptionNumOfMonths+1),"",IF($FJ233=GC$169,1,IF($FJ233&lt;GC$169,INDEX($FK$170:$ID$241,GC$169,$FJ233),SUMPRODUCT(INDEX($FK$325:$ID$396,GC$169,1+SwaptionShift):INDEX($FK$325:$ID$396,GC$169,SwaptionMonthsToGo+SwaptionShift),INDEX($FK$245:$ID$316,$FJ233-GC$169,73-GC$169+SwaptionShift):INDEX($FK$245:$ID$316,$FJ233-GC$169,72-GC$169+SwaptionMonthsToGo+SwaptionShift))/SQRT(SUM(INDEX($FK388:$ID388,1+SwaptionShift):INDEX($FK388:$ID388,SwaptionMonthsToGo+SwaptionShift))*SUM(INDEX($FK$325:$ID$396,GC$169,1+SwaptionShift):INDEX($FK$325:$ID$396,GC$169,SwaptionMonthsToGo+SwaptionShift))))))</f>
        <v/>
      </c>
      <c r="GD233" s="150" t="str">
        <f aca="false">IF(OR(GD$169&lt;SwaptionFirstMonthPosition+1,$FJ233&lt;SwaptionFirstMonthPosition+1,GD$169&gt;SwaptionFirstMonthPosition+SwaptionNumOfMonths+1,$FJ233&gt;SwaptionFirstMonthPosition+SwaptionNumOfMonths+1),"",IF($FJ233=GD$169,1,IF($FJ233&lt;GD$169,INDEX($FK$170:$ID$241,GD$169,$FJ233),SUMPRODUCT(INDEX($FK$325:$ID$396,GD$169,1+SwaptionShift):INDEX($FK$325:$ID$396,GD$169,SwaptionMonthsToGo+SwaptionShift),INDEX($FK$245:$ID$316,$FJ233-GD$169,73-GD$169+SwaptionShift):INDEX($FK$245:$ID$316,$FJ233-GD$169,72-GD$169+SwaptionMonthsToGo+SwaptionShift))/SQRT(SUM(INDEX($FK388:$ID388,1+SwaptionShift):INDEX($FK388:$ID388,SwaptionMonthsToGo+SwaptionShift))*SUM(INDEX($FK$325:$ID$396,GD$169,1+SwaptionShift):INDEX($FK$325:$ID$396,GD$169,SwaptionMonthsToGo+SwaptionShift))))))</f>
        <v/>
      </c>
      <c r="GE233" s="150" t="str">
        <f aca="false">IF(OR(GE$169&lt;SwaptionFirstMonthPosition+1,$FJ233&lt;SwaptionFirstMonthPosition+1,GE$169&gt;SwaptionFirstMonthPosition+SwaptionNumOfMonths+1,$FJ233&gt;SwaptionFirstMonthPosition+SwaptionNumOfMonths+1),"",IF($FJ233=GE$169,1,IF($FJ233&lt;GE$169,INDEX($FK$170:$ID$241,GE$169,$FJ233),SUMPRODUCT(INDEX($FK$325:$ID$396,GE$169,1+SwaptionShift):INDEX($FK$325:$ID$396,GE$169,SwaptionMonthsToGo+SwaptionShift),INDEX($FK$245:$ID$316,$FJ233-GE$169,73-GE$169+SwaptionShift):INDEX($FK$245:$ID$316,$FJ233-GE$169,72-GE$169+SwaptionMonthsToGo+SwaptionShift))/SQRT(SUM(INDEX($FK388:$ID388,1+SwaptionShift):INDEX($FK388:$ID388,SwaptionMonthsToGo+SwaptionShift))*SUM(INDEX($FK$325:$ID$396,GE$169,1+SwaptionShift):INDEX($FK$325:$ID$396,GE$169,SwaptionMonthsToGo+SwaptionShift))))))</f>
        <v/>
      </c>
      <c r="GF233" s="150" t="str">
        <f aca="false">IF(OR(GF$169&lt;SwaptionFirstMonthPosition+1,$FJ233&lt;SwaptionFirstMonthPosition+1,GF$169&gt;SwaptionFirstMonthPosition+SwaptionNumOfMonths+1,$FJ233&gt;SwaptionFirstMonthPosition+SwaptionNumOfMonths+1),"",IF($FJ233=GF$169,1,IF($FJ233&lt;GF$169,INDEX($FK$170:$ID$241,GF$169,$FJ233),SUMPRODUCT(INDEX($FK$325:$ID$396,GF$169,1+SwaptionShift):INDEX($FK$325:$ID$396,GF$169,SwaptionMonthsToGo+SwaptionShift),INDEX($FK$245:$ID$316,$FJ233-GF$169,73-GF$169+SwaptionShift):INDEX($FK$245:$ID$316,$FJ233-GF$169,72-GF$169+SwaptionMonthsToGo+SwaptionShift))/SQRT(SUM(INDEX($FK388:$ID388,1+SwaptionShift):INDEX($FK388:$ID388,SwaptionMonthsToGo+SwaptionShift))*SUM(INDEX($FK$325:$ID$396,GF$169,1+SwaptionShift):INDEX($FK$325:$ID$396,GF$169,SwaptionMonthsToGo+SwaptionShift))))))</f>
        <v/>
      </c>
      <c r="GG233" s="150" t="str">
        <f aca="false">IF(OR(GG$169&lt;SwaptionFirstMonthPosition+1,$FJ233&lt;SwaptionFirstMonthPosition+1,GG$169&gt;SwaptionFirstMonthPosition+SwaptionNumOfMonths+1,$FJ233&gt;SwaptionFirstMonthPosition+SwaptionNumOfMonths+1),"",IF($FJ233=GG$169,1,IF($FJ233&lt;GG$169,INDEX($FK$170:$ID$241,GG$169,$FJ233),SUMPRODUCT(INDEX($FK$325:$ID$396,GG$169,1+SwaptionShift):INDEX($FK$325:$ID$396,GG$169,SwaptionMonthsToGo+SwaptionShift),INDEX($FK$245:$ID$316,$FJ233-GG$169,73-GG$169+SwaptionShift):INDEX($FK$245:$ID$316,$FJ233-GG$169,72-GG$169+SwaptionMonthsToGo+SwaptionShift))/SQRT(SUM(INDEX($FK388:$ID388,1+SwaptionShift):INDEX($FK388:$ID388,SwaptionMonthsToGo+SwaptionShift))*SUM(INDEX($FK$325:$ID$396,GG$169,1+SwaptionShift):INDEX($FK$325:$ID$396,GG$169,SwaptionMonthsToGo+SwaptionShift))))))</f>
        <v/>
      </c>
      <c r="GH233" s="150" t="str">
        <f aca="false">IF(OR(GH$169&lt;SwaptionFirstMonthPosition+1,$FJ233&lt;SwaptionFirstMonthPosition+1,GH$169&gt;SwaptionFirstMonthPosition+SwaptionNumOfMonths+1,$FJ233&gt;SwaptionFirstMonthPosition+SwaptionNumOfMonths+1),"",IF($FJ233=GH$169,1,IF($FJ233&lt;GH$169,INDEX($FK$170:$ID$241,GH$169,$FJ233),SUMPRODUCT(INDEX($FK$325:$ID$396,GH$169,1+SwaptionShift):INDEX($FK$325:$ID$396,GH$169,SwaptionMonthsToGo+SwaptionShift),INDEX($FK$245:$ID$316,$FJ233-GH$169,73-GH$169+SwaptionShift):INDEX($FK$245:$ID$316,$FJ233-GH$169,72-GH$169+SwaptionMonthsToGo+SwaptionShift))/SQRT(SUM(INDEX($FK388:$ID388,1+SwaptionShift):INDEX($FK388:$ID388,SwaptionMonthsToGo+SwaptionShift))*SUM(INDEX($FK$325:$ID$396,GH$169,1+SwaptionShift):INDEX($FK$325:$ID$396,GH$169,SwaptionMonthsToGo+SwaptionShift))))))</f>
        <v/>
      </c>
      <c r="GI233" s="150" t="str">
        <f aca="false">IF(OR(GI$169&lt;SwaptionFirstMonthPosition+1,$FJ233&lt;SwaptionFirstMonthPosition+1,GI$169&gt;SwaptionFirstMonthPosition+SwaptionNumOfMonths+1,$FJ233&gt;SwaptionFirstMonthPosition+SwaptionNumOfMonths+1),"",IF($FJ233=GI$169,1,IF($FJ233&lt;GI$169,INDEX($FK$170:$ID$241,GI$169,$FJ233),SUMPRODUCT(INDEX($FK$325:$ID$396,GI$169,1+SwaptionShift):INDEX($FK$325:$ID$396,GI$169,SwaptionMonthsToGo+SwaptionShift),INDEX($FK$245:$ID$316,$FJ233-GI$169,73-GI$169+SwaptionShift):INDEX($FK$245:$ID$316,$FJ233-GI$169,72-GI$169+SwaptionMonthsToGo+SwaptionShift))/SQRT(SUM(INDEX($FK388:$ID388,1+SwaptionShift):INDEX($FK388:$ID388,SwaptionMonthsToGo+SwaptionShift))*SUM(INDEX($FK$325:$ID$396,GI$169,1+SwaptionShift):INDEX($FK$325:$ID$396,GI$169,SwaptionMonthsToGo+SwaptionShift))))))</f>
        <v/>
      </c>
      <c r="GJ233" s="150" t="str">
        <f aca="false">IF(OR(GJ$169&lt;SwaptionFirstMonthPosition+1,$FJ233&lt;SwaptionFirstMonthPosition+1,GJ$169&gt;SwaptionFirstMonthPosition+SwaptionNumOfMonths+1,$FJ233&gt;SwaptionFirstMonthPosition+SwaptionNumOfMonths+1),"",IF($FJ233=GJ$169,1,IF($FJ233&lt;GJ$169,INDEX($FK$170:$ID$241,GJ$169,$FJ233),SUMPRODUCT(INDEX($FK$325:$ID$396,GJ$169,1+SwaptionShift):INDEX($FK$325:$ID$396,GJ$169,SwaptionMonthsToGo+SwaptionShift),INDEX($FK$245:$ID$316,$FJ233-GJ$169,73-GJ$169+SwaptionShift):INDEX($FK$245:$ID$316,$FJ233-GJ$169,72-GJ$169+SwaptionMonthsToGo+SwaptionShift))/SQRT(SUM(INDEX($FK388:$ID388,1+SwaptionShift):INDEX($FK388:$ID388,SwaptionMonthsToGo+SwaptionShift))*SUM(INDEX($FK$325:$ID$396,GJ$169,1+SwaptionShift):INDEX($FK$325:$ID$396,GJ$169,SwaptionMonthsToGo+SwaptionShift))))))</f>
        <v/>
      </c>
      <c r="GK233" s="150" t="str">
        <f aca="false">IF(OR(GK$169&lt;SwaptionFirstMonthPosition+1,$FJ233&lt;SwaptionFirstMonthPosition+1,GK$169&gt;SwaptionFirstMonthPosition+SwaptionNumOfMonths+1,$FJ233&gt;SwaptionFirstMonthPosition+SwaptionNumOfMonths+1),"",IF($FJ233=GK$169,1,IF($FJ233&lt;GK$169,INDEX($FK$170:$ID$241,GK$169,$FJ233),SUMPRODUCT(INDEX($FK$325:$ID$396,GK$169,1+SwaptionShift):INDEX($FK$325:$ID$396,GK$169,SwaptionMonthsToGo+SwaptionShift),INDEX($FK$245:$ID$316,$FJ233-GK$169,73-GK$169+SwaptionShift):INDEX($FK$245:$ID$316,$FJ233-GK$169,72-GK$169+SwaptionMonthsToGo+SwaptionShift))/SQRT(SUM(INDEX($FK388:$ID388,1+SwaptionShift):INDEX($FK388:$ID388,SwaptionMonthsToGo+SwaptionShift))*SUM(INDEX($FK$325:$ID$396,GK$169,1+SwaptionShift):INDEX($FK$325:$ID$396,GK$169,SwaptionMonthsToGo+SwaptionShift))))))</f>
        <v/>
      </c>
      <c r="GL233" s="150" t="str">
        <f aca="false">IF(OR(GL$169&lt;SwaptionFirstMonthPosition+1,$FJ233&lt;SwaptionFirstMonthPosition+1,GL$169&gt;SwaptionFirstMonthPosition+SwaptionNumOfMonths+1,$FJ233&gt;SwaptionFirstMonthPosition+SwaptionNumOfMonths+1),"",IF($FJ233=GL$169,1,IF($FJ233&lt;GL$169,INDEX($FK$170:$ID$241,GL$169,$FJ233),SUMPRODUCT(INDEX($FK$325:$ID$396,GL$169,1+SwaptionShift):INDEX($FK$325:$ID$396,GL$169,SwaptionMonthsToGo+SwaptionShift),INDEX($FK$245:$ID$316,$FJ233-GL$169,73-GL$169+SwaptionShift):INDEX($FK$245:$ID$316,$FJ233-GL$169,72-GL$169+SwaptionMonthsToGo+SwaptionShift))/SQRT(SUM(INDEX($FK388:$ID388,1+SwaptionShift):INDEX($FK388:$ID388,SwaptionMonthsToGo+SwaptionShift))*SUM(INDEX($FK$325:$ID$396,GL$169,1+SwaptionShift):INDEX($FK$325:$ID$396,GL$169,SwaptionMonthsToGo+SwaptionShift))))))</f>
        <v/>
      </c>
      <c r="GM233" s="150" t="str">
        <f aca="false">IF(OR(GM$169&lt;SwaptionFirstMonthPosition+1,$FJ233&lt;SwaptionFirstMonthPosition+1,GM$169&gt;SwaptionFirstMonthPosition+SwaptionNumOfMonths+1,$FJ233&gt;SwaptionFirstMonthPosition+SwaptionNumOfMonths+1),"",IF($FJ233=GM$169,1,IF($FJ233&lt;GM$169,INDEX($FK$170:$ID$241,GM$169,$FJ233),SUMPRODUCT(INDEX($FK$325:$ID$396,GM$169,1+SwaptionShift):INDEX($FK$325:$ID$396,GM$169,SwaptionMonthsToGo+SwaptionShift),INDEX($FK$245:$ID$316,$FJ233-GM$169,73-GM$169+SwaptionShift):INDEX($FK$245:$ID$316,$FJ233-GM$169,72-GM$169+SwaptionMonthsToGo+SwaptionShift))/SQRT(SUM(INDEX($FK388:$ID388,1+SwaptionShift):INDEX($FK388:$ID388,SwaptionMonthsToGo+SwaptionShift))*SUM(INDEX($FK$325:$ID$396,GM$169,1+SwaptionShift):INDEX($FK$325:$ID$396,GM$169,SwaptionMonthsToGo+SwaptionShift))))))</f>
        <v/>
      </c>
      <c r="GN233" s="150" t="str">
        <f aca="false">IF(OR(GN$169&lt;SwaptionFirstMonthPosition+1,$FJ233&lt;SwaptionFirstMonthPosition+1,GN$169&gt;SwaptionFirstMonthPosition+SwaptionNumOfMonths+1,$FJ233&gt;SwaptionFirstMonthPosition+SwaptionNumOfMonths+1),"",IF($FJ233=GN$169,1,IF($FJ233&lt;GN$169,INDEX($FK$170:$ID$241,GN$169,$FJ233),SUMPRODUCT(INDEX($FK$325:$ID$396,GN$169,1+SwaptionShift):INDEX($FK$325:$ID$396,GN$169,SwaptionMonthsToGo+SwaptionShift),INDEX($FK$245:$ID$316,$FJ233-GN$169,73-GN$169+SwaptionShift):INDEX($FK$245:$ID$316,$FJ233-GN$169,72-GN$169+SwaptionMonthsToGo+SwaptionShift))/SQRT(SUM(INDEX($FK388:$ID388,1+SwaptionShift):INDEX($FK388:$ID388,SwaptionMonthsToGo+SwaptionShift))*SUM(INDEX($FK$325:$ID$396,GN$169,1+SwaptionShift):INDEX($FK$325:$ID$396,GN$169,SwaptionMonthsToGo+SwaptionShift))))))</f>
        <v/>
      </c>
      <c r="GO233" s="150" t="str">
        <f aca="false">IF(OR(GO$169&lt;SwaptionFirstMonthPosition+1,$FJ233&lt;SwaptionFirstMonthPosition+1,GO$169&gt;SwaptionFirstMonthPosition+SwaptionNumOfMonths+1,$FJ233&gt;SwaptionFirstMonthPosition+SwaptionNumOfMonths+1),"",IF($FJ233=GO$169,1,IF($FJ233&lt;GO$169,INDEX($FK$170:$ID$241,GO$169,$FJ233),SUMPRODUCT(INDEX($FK$325:$ID$396,GO$169,1+SwaptionShift):INDEX($FK$325:$ID$396,GO$169,SwaptionMonthsToGo+SwaptionShift),INDEX($FK$245:$ID$316,$FJ233-GO$169,73-GO$169+SwaptionShift):INDEX($FK$245:$ID$316,$FJ233-GO$169,72-GO$169+SwaptionMonthsToGo+SwaptionShift))/SQRT(SUM(INDEX($FK388:$ID388,1+SwaptionShift):INDEX($FK388:$ID388,SwaptionMonthsToGo+SwaptionShift))*SUM(INDEX($FK$325:$ID$396,GO$169,1+SwaptionShift):INDEX($FK$325:$ID$396,GO$169,SwaptionMonthsToGo+SwaptionShift))))))</f>
        <v/>
      </c>
      <c r="GP233" s="150" t="str">
        <f aca="false">IF(OR(GP$169&lt;SwaptionFirstMonthPosition+1,$FJ233&lt;SwaptionFirstMonthPosition+1,GP$169&gt;SwaptionFirstMonthPosition+SwaptionNumOfMonths+1,$FJ233&gt;SwaptionFirstMonthPosition+SwaptionNumOfMonths+1),"",IF($FJ233=GP$169,1,IF($FJ233&lt;GP$169,INDEX($FK$170:$ID$241,GP$169,$FJ233),SUMPRODUCT(INDEX($FK$325:$ID$396,GP$169,1+SwaptionShift):INDEX($FK$325:$ID$396,GP$169,SwaptionMonthsToGo+SwaptionShift),INDEX($FK$245:$ID$316,$FJ233-GP$169,73-GP$169+SwaptionShift):INDEX($FK$245:$ID$316,$FJ233-GP$169,72-GP$169+SwaptionMonthsToGo+SwaptionShift))/SQRT(SUM(INDEX($FK388:$ID388,1+SwaptionShift):INDEX($FK388:$ID388,SwaptionMonthsToGo+SwaptionShift))*SUM(INDEX($FK$325:$ID$396,GP$169,1+SwaptionShift):INDEX($FK$325:$ID$396,GP$169,SwaptionMonthsToGo+SwaptionShift))))))</f>
        <v/>
      </c>
      <c r="GQ233" s="150" t="str">
        <f aca="false">IF(OR(GQ$169&lt;SwaptionFirstMonthPosition+1,$FJ233&lt;SwaptionFirstMonthPosition+1,GQ$169&gt;SwaptionFirstMonthPosition+SwaptionNumOfMonths+1,$FJ233&gt;SwaptionFirstMonthPosition+SwaptionNumOfMonths+1),"",IF($FJ233=GQ$169,1,IF($FJ233&lt;GQ$169,INDEX($FK$170:$ID$241,GQ$169,$FJ233),SUMPRODUCT(INDEX($FK$325:$ID$396,GQ$169,1+SwaptionShift):INDEX($FK$325:$ID$396,GQ$169,SwaptionMonthsToGo+SwaptionShift),INDEX($FK$245:$ID$316,$FJ233-GQ$169,73-GQ$169+SwaptionShift):INDEX($FK$245:$ID$316,$FJ233-GQ$169,72-GQ$169+SwaptionMonthsToGo+SwaptionShift))/SQRT(SUM(INDEX($FK388:$ID388,1+SwaptionShift):INDEX($FK388:$ID388,SwaptionMonthsToGo+SwaptionShift))*SUM(INDEX($FK$325:$ID$396,GQ$169,1+SwaptionShift):INDEX($FK$325:$ID$396,GQ$169,SwaptionMonthsToGo+SwaptionShift))))))</f>
        <v/>
      </c>
      <c r="GR233" s="150" t="str">
        <f aca="false">IF(OR(GR$169&lt;SwaptionFirstMonthPosition+1,$FJ233&lt;SwaptionFirstMonthPosition+1,GR$169&gt;SwaptionFirstMonthPosition+SwaptionNumOfMonths+1,$FJ233&gt;SwaptionFirstMonthPosition+SwaptionNumOfMonths+1),"",IF($FJ233=GR$169,1,IF($FJ233&lt;GR$169,INDEX($FK$170:$ID$241,GR$169,$FJ233),SUMPRODUCT(INDEX($FK$325:$ID$396,GR$169,1+SwaptionShift):INDEX($FK$325:$ID$396,GR$169,SwaptionMonthsToGo+SwaptionShift),INDEX($FK$245:$ID$316,$FJ233-GR$169,73-GR$169+SwaptionShift):INDEX($FK$245:$ID$316,$FJ233-GR$169,72-GR$169+SwaptionMonthsToGo+SwaptionShift))/SQRT(SUM(INDEX($FK388:$ID388,1+SwaptionShift):INDEX($FK388:$ID388,SwaptionMonthsToGo+SwaptionShift))*SUM(INDEX($FK$325:$ID$396,GR$169,1+SwaptionShift):INDEX($FK$325:$ID$396,GR$169,SwaptionMonthsToGo+SwaptionShift))))))</f>
        <v/>
      </c>
      <c r="GS233" s="150" t="str">
        <f aca="false">IF(OR(GS$169&lt;SwaptionFirstMonthPosition+1,$FJ233&lt;SwaptionFirstMonthPosition+1,GS$169&gt;SwaptionFirstMonthPosition+SwaptionNumOfMonths+1,$FJ233&gt;SwaptionFirstMonthPosition+SwaptionNumOfMonths+1),"",IF($FJ233=GS$169,1,IF($FJ233&lt;GS$169,INDEX($FK$170:$ID$241,GS$169,$FJ233),SUMPRODUCT(INDEX($FK$325:$ID$396,GS$169,1+SwaptionShift):INDEX($FK$325:$ID$396,GS$169,SwaptionMonthsToGo+SwaptionShift),INDEX($FK$245:$ID$316,$FJ233-GS$169,73-GS$169+SwaptionShift):INDEX($FK$245:$ID$316,$FJ233-GS$169,72-GS$169+SwaptionMonthsToGo+SwaptionShift))/SQRT(SUM(INDEX($FK388:$ID388,1+SwaptionShift):INDEX($FK388:$ID388,SwaptionMonthsToGo+SwaptionShift))*SUM(INDEX($FK$325:$ID$396,GS$169,1+SwaptionShift):INDEX($FK$325:$ID$396,GS$169,SwaptionMonthsToGo+SwaptionShift))))))</f>
        <v/>
      </c>
      <c r="GT233" s="150" t="str">
        <f aca="false">IF(OR(GT$169&lt;SwaptionFirstMonthPosition+1,$FJ233&lt;SwaptionFirstMonthPosition+1,GT$169&gt;SwaptionFirstMonthPosition+SwaptionNumOfMonths+1,$FJ233&gt;SwaptionFirstMonthPosition+SwaptionNumOfMonths+1),"",IF($FJ233=GT$169,1,IF($FJ233&lt;GT$169,INDEX($FK$170:$ID$241,GT$169,$FJ233),SUMPRODUCT(INDEX($FK$325:$ID$396,GT$169,1+SwaptionShift):INDEX($FK$325:$ID$396,GT$169,SwaptionMonthsToGo+SwaptionShift),INDEX($FK$245:$ID$316,$FJ233-GT$169,73-GT$169+SwaptionShift):INDEX($FK$245:$ID$316,$FJ233-GT$169,72-GT$169+SwaptionMonthsToGo+SwaptionShift))/SQRT(SUM(INDEX($FK388:$ID388,1+SwaptionShift):INDEX($FK388:$ID388,SwaptionMonthsToGo+SwaptionShift))*SUM(INDEX($FK$325:$ID$396,GT$169,1+SwaptionShift):INDEX($FK$325:$ID$396,GT$169,SwaptionMonthsToGo+SwaptionShift))))))</f>
        <v/>
      </c>
      <c r="GU233" s="150" t="str">
        <f aca="false">IF(OR(GU$169&lt;SwaptionFirstMonthPosition+1,$FJ233&lt;SwaptionFirstMonthPosition+1,GU$169&gt;SwaptionFirstMonthPosition+SwaptionNumOfMonths+1,$FJ233&gt;SwaptionFirstMonthPosition+SwaptionNumOfMonths+1),"",IF($FJ233=GU$169,1,IF($FJ233&lt;GU$169,INDEX($FK$170:$ID$241,GU$169,$FJ233),SUMPRODUCT(INDEX($FK$325:$ID$396,GU$169,1+SwaptionShift):INDEX($FK$325:$ID$396,GU$169,SwaptionMonthsToGo+SwaptionShift),INDEX($FK$245:$ID$316,$FJ233-GU$169,73-GU$169+SwaptionShift):INDEX($FK$245:$ID$316,$FJ233-GU$169,72-GU$169+SwaptionMonthsToGo+SwaptionShift))/SQRT(SUM(INDEX($FK388:$ID388,1+SwaptionShift):INDEX($FK388:$ID388,SwaptionMonthsToGo+SwaptionShift))*SUM(INDEX($FK$325:$ID$396,GU$169,1+SwaptionShift):INDEX($FK$325:$ID$396,GU$169,SwaptionMonthsToGo+SwaptionShift))))))</f>
        <v/>
      </c>
      <c r="GV233" s="150" t="str">
        <f aca="false">IF(OR(GV$169&lt;SwaptionFirstMonthPosition+1,$FJ233&lt;SwaptionFirstMonthPosition+1,GV$169&gt;SwaptionFirstMonthPosition+SwaptionNumOfMonths+1,$FJ233&gt;SwaptionFirstMonthPosition+SwaptionNumOfMonths+1),"",IF($FJ233=GV$169,1,IF($FJ233&lt;GV$169,INDEX($FK$170:$ID$241,GV$169,$FJ233),SUMPRODUCT(INDEX($FK$325:$ID$396,GV$169,1+SwaptionShift):INDEX($FK$325:$ID$396,GV$169,SwaptionMonthsToGo+SwaptionShift),INDEX($FK$245:$ID$316,$FJ233-GV$169,73-GV$169+SwaptionShift):INDEX($FK$245:$ID$316,$FJ233-GV$169,72-GV$169+SwaptionMonthsToGo+SwaptionShift))/SQRT(SUM(INDEX($FK388:$ID388,1+SwaptionShift):INDEX($FK388:$ID388,SwaptionMonthsToGo+SwaptionShift))*SUM(INDEX($FK$325:$ID$396,GV$169,1+SwaptionShift):INDEX($FK$325:$ID$396,GV$169,SwaptionMonthsToGo+SwaptionShift))))))</f>
        <v/>
      </c>
      <c r="GW233" s="150" t="str">
        <f aca="false">IF(OR(GW$169&lt;SwaptionFirstMonthPosition+1,$FJ233&lt;SwaptionFirstMonthPosition+1,GW$169&gt;SwaptionFirstMonthPosition+SwaptionNumOfMonths+1,$FJ233&gt;SwaptionFirstMonthPosition+SwaptionNumOfMonths+1),"",IF($FJ233=GW$169,1,IF($FJ233&lt;GW$169,INDEX($FK$170:$ID$241,GW$169,$FJ233),SUMPRODUCT(INDEX($FK$325:$ID$396,GW$169,1+SwaptionShift):INDEX($FK$325:$ID$396,GW$169,SwaptionMonthsToGo+SwaptionShift),INDEX($FK$245:$ID$316,$FJ233-GW$169,73-GW$169+SwaptionShift):INDEX($FK$245:$ID$316,$FJ233-GW$169,72-GW$169+SwaptionMonthsToGo+SwaptionShift))/SQRT(SUM(INDEX($FK388:$ID388,1+SwaptionShift):INDEX($FK388:$ID388,SwaptionMonthsToGo+SwaptionShift))*SUM(INDEX($FK$325:$ID$396,GW$169,1+SwaptionShift):INDEX($FK$325:$ID$396,GW$169,SwaptionMonthsToGo+SwaptionShift))))))</f>
        <v/>
      </c>
      <c r="GX233" s="150" t="str">
        <f aca="false">IF(OR(GX$169&lt;SwaptionFirstMonthPosition+1,$FJ233&lt;SwaptionFirstMonthPosition+1,GX$169&gt;SwaptionFirstMonthPosition+SwaptionNumOfMonths+1,$FJ233&gt;SwaptionFirstMonthPosition+SwaptionNumOfMonths+1),"",IF($FJ233=GX$169,1,IF($FJ233&lt;GX$169,INDEX($FK$170:$ID$241,GX$169,$FJ233),SUMPRODUCT(INDEX($FK$325:$ID$396,GX$169,1+SwaptionShift):INDEX($FK$325:$ID$396,GX$169,SwaptionMonthsToGo+SwaptionShift),INDEX($FK$245:$ID$316,$FJ233-GX$169,73-GX$169+SwaptionShift):INDEX($FK$245:$ID$316,$FJ233-GX$169,72-GX$169+SwaptionMonthsToGo+SwaptionShift))/SQRT(SUM(INDEX($FK388:$ID388,1+SwaptionShift):INDEX($FK388:$ID388,SwaptionMonthsToGo+SwaptionShift))*SUM(INDEX($FK$325:$ID$396,GX$169,1+SwaptionShift):INDEX($FK$325:$ID$396,GX$169,SwaptionMonthsToGo+SwaptionShift))))))</f>
        <v/>
      </c>
      <c r="GY233" s="150" t="str">
        <f aca="false">IF(OR(GY$169&lt;SwaptionFirstMonthPosition+1,$FJ233&lt;SwaptionFirstMonthPosition+1,GY$169&gt;SwaptionFirstMonthPosition+SwaptionNumOfMonths+1,$FJ233&gt;SwaptionFirstMonthPosition+SwaptionNumOfMonths+1),"",IF($FJ233=GY$169,1,IF($FJ233&lt;GY$169,INDEX($FK$170:$ID$241,GY$169,$FJ233),SUMPRODUCT(INDEX($FK$325:$ID$396,GY$169,1+SwaptionShift):INDEX($FK$325:$ID$396,GY$169,SwaptionMonthsToGo+SwaptionShift),INDEX($FK$245:$ID$316,$FJ233-GY$169,73-GY$169+SwaptionShift):INDEX($FK$245:$ID$316,$FJ233-GY$169,72-GY$169+SwaptionMonthsToGo+SwaptionShift))/SQRT(SUM(INDEX($FK388:$ID388,1+SwaptionShift):INDEX($FK388:$ID388,SwaptionMonthsToGo+SwaptionShift))*SUM(INDEX($FK$325:$ID$396,GY$169,1+SwaptionShift):INDEX($FK$325:$ID$396,GY$169,SwaptionMonthsToGo+SwaptionShift))))))</f>
        <v/>
      </c>
      <c r="GZ233" s="150" t="str">
        <f aca="false">IF(OR(GZ$169&lt;SwaptionFirstMonthPosition+1,$FJ233&lt;SwaptionFirstMonthPosition+1,GZ$169&gt;SwaptionFirstMonthPosition+SwaptionNumOfMonths+1,$FJ233&gt;SwaptionFirstMonthPosition+SwaptionNumOfMonths+1),"",IF($FJ233=GZ$169,1,IF($FJ233&lt;GZ$169,INDEX($FK$170:$ID$241,GZ$169,$FJ233),SUMPRODUCT(INDEX($FK$325:$ID$396,GZ$169,1+SwaptionShift):INDEX($FK$325:$ID$396,GZ$169,SwaptionMonthsToGo+SwaptionShift),INDEX($FK$245:$ID$316,$FJ233-GZ$169,73-GZ$169+SwaptionShift):INDEX($FK$245:$ID$316,$FJ233-GZ$169,72-GZ$169+SwaptionMonthsToGo+SwaptionShift))/SQRT(SUM(INDEX($FK388:$ID388,1+SwaptionShift):INDEX($FK388:$ID388,SwaptionMonthsToGo+SwaptionShift))*SUM(INDEX($FK$325:$ID$396,GZ$169,1+SwaptionShift):INDEX($FK$325:$ID$396,GZ$169,SwaptionMonthsToGo+SwaptionShift))))))</f>
        <v/>
      </c>
      <c r="HA233" s="150" t="str">
        <f aca="false">IF(OR(HA$169&lt;SwaptionFirstMonthPosition+1,$FJ233&lt;SwaptionFirstMonthPosition+1,HA$169&gt;SwaptionFirstMonthPosition+SwaptionNumOfMonths+1,$FJ233&gt;SwaptionFirstMonthPosition+SwaptionNumOfMonths+1),"",IF($FJ233=HA$169,1,IF($FJ233&lt;HA$169,INDEX($FK$170:$ID$241,HA$169,$FJ233),SUMPRODUCT(INDEX($FK$325:$ID$396,HA$169,1+SwaptionShift):INDEX($FK$325:$ID$396,HA$169,SwaptionMonthsToGo+SwaptionShift),INDEX($FK$245:$ID$316,$FJ233-HA$169,73-HA$169+SwaptionShift):INDEX($FK$245:$ID$316,$FJ233-HA$169,72-HA$169+SwaptionMonthsToGo+SwaptionShift))/SQRT(SUM(INDEX($FK388:$ID388,1+SwaptionShift):INDEX($FK388:$ID388,SwaptionMonthsToGo+SwaptionShift))*SUM(INDEX($FK$325:$ID$396,HA$169,1+SwaptionShift):INDEX($FK$325:$ID$396,HA$169,SwaptionMonthsToGo+SwaptionShift))))))</f>
        <v/>
      </c>
      <c r="HB233" s="150" t="str">
        <f aca="false">IF(OR(HB$169&lt;SwaptionFirstMonthPosition+1,$FJ233&lt;SwaptionFirstMonthPosition+1,HB$169&gt;SwaptionFirstMonthPosition+SwaptionNumOfMonths+1,$FJ233&gt;SwaptionFirstMonthPosition+SwaptionNumOfMonths+1),"",IF($FJ233=HB$169,1,IF($FJ233&lt;HB$169,INDEX($FK$170:$ID$241,HB$169,$FJ233),SUMPRODUCT(INDEX($FK$325:$ID$396,HB$169,1+SwaptionShift):INDEX($FK$325:$ID$396,HB$169,SwaptionMonthsToGo+SwaptionShift),INDEX($FK$245:$ID$316,$FJ233-HB$169,73-HB$169+SwaptionShift):INDEX($FK$245:$ID$316,$FJ233-HB$169,72-HB$169+SwaptionMonthsToGo+SwaptionShift))/SQRT(SUM(INDEX($FK388:$ID388,1+SwaptionShift):INDEX($FK388:$ID388,SwaptionMonthsToGo+SwaptionShift))*SUM(INDEX($FK$325:$ID$396,HB$169,1+SwaptionShift):INDEX($FK$325:$ID$396,HB$169,SwaptionMonthsToGo+SwaptionShift))))))</f>
        <v/>
      </c>
      <c r="HC233" s="150" t="str">
        <f aca="false">IF(OR(HC$169&lt;SwaptionFirstMonthPosition+1,$FJ233&lt;SwaptionFirstMonthPosition+1,HC$169&gt;SwaptionFirstMonthPosition+SwaptionNumOfMonths+1,$FJ233&gt;SwaptionFirstMonthPosition+SwaptionNumOfMonths+1),"",IF($FJ233=HC$169,1,IF($FJ233&lt;HC$169,INDEX($FK$170:$ID$241,HC$169,$FJ233),SUMPRODUCT(INDEX($FK$325:$ID$396,HC$169,1+SwaptionShift):INDEX($FK$325:$ID$396,HC$169,SwaptionMonthsToGo+SwaptionShift),INDEX($FK$245:$ID$316,$FJ233-HC$169,73-HC$169+SwaptionShift):INDEX($FK$245:$ID$316,$FJ233-HC$169,72-HC$169+SwaptionMonthsToGo+SwaptionShift))/SQRT(SUM(INDEX($FK388:$ID388,1+SwaptionShift):INDEX($FK388:$ID388,SwaptionMonthsToGo+SwaptionShift))*SUM(INDEX($FK$325:$ID$396,HC$169,1+SwaptionShift):INDEX($FK$325:$ID$396,HC$169,SwaptionMonthsToGo+SwaptionShift))))))</f>
        <v/>
      </c>
      <c r="HD233" s="150" t="str">
        <f aca="false">IF(OR(HD$169&lt;SwaptionFirstMonthPosition+1,$FJ233&lt;SwaptionFirstMonthPosition+1,HD$169&gt;SwaptionFirstMonthPosition+SwaptionNumOfMonths+1,$FJ233&gt;SwaptionFirstMonthPosition+SwaptionNumOfMonths+1),"",IF($FJ233=HD$169,1,IF($FJ233&lt;HD$169,INDEX($FK$170:$ID$241,HD$169,$FJ233),SUMPRODUCT(INDEX($FK$325:$ID$396,HD$169,1+SwaptionShift):INDEX($FK$325:$ID$396,HD$169,SwaptionMonthsToGo+SwaptionShift),INDEX($FK$245:$ID$316,$FJ233-HD$169,73-HD$169+SwaptionShift):INDEX($FK$245:$ID$316,$FJ233-HD$169,72-HD$169+SwaptionMonthsToGo+SwaptionShift))/SQRT(SUM(INDEX($FK388:$ID388,1+SwaptionShift):INDEX($FK388:$ID388,SwaptionMonthsToGo+SwaptionShift))*SUM(INDEX($FK$325:$ID$396,HD$169,1+SwaptionShift):INDEX($FK$325:$ID$396,HD$169,SwaptionMonthsToGo+SwaptionShift))))))</f>
        <v/>
      </c>
      <c r="HE233" s="150" t="str">
        <f aca="false">IF(OR(HE$169&lt;SwaptionFirstMonthPosition+1,$FJ233&lt;SwaptionFirstMonthPosition+1,HE$169&gt;SwaptionFirstMonthPosition+SwaptionNumOfMonths+1,$FJ233&gt;SwaptionFirstMonthPosition+SwaptionNumOfMonths+1),"",IF($FJ233=HE$169,1,IF($FJ233&lt;HE$169,INDEX($FK$170:$ID$241,HE$169,$FJ233),SUMPRODUCT(INDEX($FK$325:$ID$396,HE$169,1+SwaptionShift):INDEX($FK$325:$ID$396,HE$169,SwaptionMonthsToGo+SwaptionShift),INDEX($FK$245:$ID$316,$FJ233-HE$169,73-HE$169+SwaptionShift):INDEX($FK$245:$ID$316,$FJ233-HE$169,72-HE$169+SwaptionMonthsToGo+SwaptionShift))/SQRT(SUM(INDEX($FK388:$ID388,1+SwaptionShift):INDEX($FK388:$ID388,SwaptionMonthsToGo+SwaptionShift))*SUM(INDEX($FK$325:$ID$396,HE$169,1+SwaptionShift):INDEX($FK$325:$ID$396,HE$169,SwaptionMonthsToGo+SwaptionShift))))))</f>
        <v/>
      </c>
      <c r="HF233" s="150" t="str">
        <f aca="false">IF(OR(HF$169&lt;SwaptionFirstMonthPosition+1,$FJ233&lt;SwaptionFirstMonthPosition+1,HF$169&gt;SwaptionFirstMonthPosition+SwaptionNumOfMonths+1,$FJ233&gt;SwaptionFirstMonthPosition+SwaptionNumOfMonths+1),"",IF($FJ233=HF$169,1,IF($FJ233&lt;HF$169,INDEX($FK$170:$ID$241,HF$169,$FJ233),SUMPRODUCT(INDEX($FK$325:$ID$396,HF$169,1+SwaptionShift):INDEX($FK$325:$ID$396,HF$169,SwaptionMonthsToGo+SwaptionShift),INDEX($FK$245:$ID$316,$FJ233-HF$169,73-HF$169+SwaptionShift):INDEX($FK$245:$ID$316,$FJ233-HF$169,72-HF$169+SwaptionMonthsToGo+SwaptionShift))/SQRT(SUM(INDEX($FK388:$ID388,1+SwaptionShift):INDEX($FK388:$ID388,SwaptionMonthsToGo+SwaptionShift))*SUM(INDEX($FK$325:$ID$396,HF$169,1+SwaptionShift):INDEX($FK$325:$ID$396,HF$169,SwaptionMonthsToGo+SwaptionShift))))))</f>
        <v/>
      </c>
      <c r="HG233" s="150" t="str">
        <f aca="false">IF(OR(HG$169&lt;SwaptionFirstMonthPosition+1,$FJ233&lt;SwaptionFirstMonthPosition+1,HG$169&gt;SwaptionFirstMonthPosition+SwaptionNumOfMonths+1,$FJ233&gt;SwaptionFirstMonthPosition+SwaptionNumOfMonths+1),"",IF($FJ233=HG$169,1,IF($FJ233&lt;HG$169,INDEX($FK$170:$ID$241,HG$169,$FJ233),SUMPRODUCT(INDEX($FK$325:$ID$396,HG$169,1+SwaptionShift):INDEX($FK$325:$ID$396,HG$169,SwaptionMonthsToGo+SwaptionShift),INDEX($FK$245:$ID$316,$FJ233-HG$169,73-HG$169+SwaptionShift):INDEX($FK$245:$ID$316,$FJ233-HG$169,72-HG$169+SwaptionMonthsToGo+SwaptionShift))/SQRT(SUM(INDEX($FK388:$ID388,1+SwaptionShift):INDEX($FK388:$ID388,SwaptionMonthsToGo+SwaptionShift))*SUM(INDEX($FK$325:$ID$396,HG$169,1+SwaptionShift):INDEX($FK$325:$ID$396,HG$169,SwaptionMonthsToGo+SwaptionShift))))))</f>
        <v/>
      </c>
      <c r="HH233" s="150" t="str">
        <f aca="false">IF(OR(HH$169&lt;SwaptionFirstMonthPosition+1,$FJ233&lt;SwaptionFirstMonthPosition+1,HH$169&gt;SwaptionFirstMonthPosition+SwaptionNumOfMonths+1,$FJ233&gt;SwaptionFirstMonthPosition+SwaptionNumOfMonths+1),"",IF($FJ233=HH$169,1,IF($FJ233&lt;HH$169,INDEX($FK$170:$ID$241,HH$169,$FJ233),SUMPRODUCT(INDEX($FK$325:$ID$396,HH$169,1+SwaptionShift):INDEX($FK$325:$ID$396,HH$169,SwaptionMonthsToGo+SwaptionShift),INDEX($FK$245:$ID$316,$FJ233-HH$169,73-HH$169+SwaptionShift):INDEX($FK$245:$ID$316,$FJ233-HH$169,72-HH$169+SwaptionMonthsToGo+SwaptionShift))/SQRT(SUM(INDEX($FK388:$ID388,1+SwaptionShift):INDEX($FK388:$ID388,SwaptionMonthsToGo+SwaptionShift))*SUM(INDEX($FK$325:$ID$396,HH$169,1+SwaptionShift):INDEX($FK$325:$ID$396,HH$169,SwaptionMonthsToGo+SwaptionShift))))))</f>
        <v/>
      </c>
      <c r="HI233" s="150" t="str">
        <f aca="false">IF(OR(HI$169&lt;SwaptionFirstMonthPosition+1,$FJ233&lt;SwaptionFirstMonthPosition+1,HI$169&gt;SwaptionFirstMonthPosition+SwaptionNumOfMonths+1,$FJ233&gt;SwaptionFirstMonthPosition+SwaptionNumOfMonths+1),"",IF($FJ233=HI$169,1,IF($FJ233&lt;HI$169,INDEX($FK$170:$ID$241,HI$169,$FJ233),SUMPRODUCT(INDEX($FK$325:$ID$396,HI$169,1+SwaptionShift):INDEX($FK$325:$ID$396,HI$169,SwaptionMonthsToGo+SwaptionShift),INDEX($FK$245:$ID$316,$FJ233-HI$169,73-HI$169+SwaptionShift):INDEX($FK$245:$ID$316,$FJ233-HI$169,72-HI$169+SwaptionMonthsToGo+SwaptionShift))/SQRT(SUM(INDEX($FK388:$ID388,1+SwaptionShift):INDEX($FK388:$ID388,SwaptionMonthsToGo+SwaptionShift))*SUM(INDEX($FK$325:$ID$396,HI$169,1+SwaptionShift):INDEX($FK$325:$ID$396,HI$169,SwaptionMonthsToGo+SwaptionShift))))))</f>
        <v/>
      </c>
      <c r="HJ233" s="150" t="str">
        <f aca="false">IF(OR(HJ$169&lt;SwaptionFirstMonthPosition+1,$FJ233&lt;SwaptionFirstMonthPosition+1,HJ$169&gt;SwaptionFirstMonthPosition+SwaptionNumOfMonths+1,$FJ233&gt;SwaptionFirstMonthPosition+SwaptionNumOfMonths+1),"",IF($FJ233=HJ$169,1,IF($FJ233&lt;HJ$169,INDEX($FK$170:$ID$241,HJ$169,$FJ233),SUMPRODUCT(INDEX($FK$325:$ID$396,HJ$169,1+SwaptionShift):INDEX($FK$325:$ID$396,HJ$169,SwaptionMonthsToGo+SwaptionShift),INDEX($FK$245:$ID$316,$FJ233-HJ$169,73-HJ$169+SwaptionShift):INDEX($FK$245:$ID$316,$FJ233-HJ$169,72-HJ$169+SwaptionMonthsToGo+SwaptionShift))/SQRT(SUM(INDEX($FK388:$ID388,1+SwaptionShift):INDEX($FK388:$ID388,SwaptionMonthsToGo+SwaptionShift))*SUM(INDEX($FK$325:$ID$396,HJ$169,1+SwaptionShift):INDEX($FK$325:$ID$396,HJ$169,SwaptionMonthsToGo+SwaptionShift))))))</f>
        <v/>
      </c>
      <c r="HK233" s="150" t="str">
        <f aca="false">IF(OR(HK$169&lt;SwaptionFirstMonthPosition+1,$FJ233&lt;SwaptionFirstMonthPosition+1,HK$169&gt;SwaptionFirstMonthPosition+SwaptionNumOfMonths+1,$FJ233&gt;SwaptionFirstMonthPosition+SwaptionNumOfMonths+1),"",IF($FJ233=HK$169,1,IF($FJ233&lt;HK$169,INDEX($FK$170:$ID$241,HK$169,$FJ233),SUMPRODUCT(INDEX($FK$325:$ID$396,HK$169,1+SwaptionShift):INDEX($FK$325:$ID$396,HK$169,SwaptionMonthsToGo+SwaptionShift),INDEX($FK$245:$ID$316,$FJ233-HK$169,73-HK$169+SwaptionShift):INDEX($FK$245:$ID$316,$FJ233-HK$169,72-HK$169+SwaptionMonthsToGo+SwaptionShift))/SQRT(SUM(INDEX($FK388:$ID388,1+SwaptionShift):INDEX($FK388:$ID388,SwaptionMonthsToGo+SwaptionShift))*SUM(INDEX($FK$325:$ID$396,HK$169,1+SwaptionShift):INDEX($FK$325:$ID$396,HK$169,SwaptionMonthsToGo+SwaptionShift))))))</f>
        <v/>
      </c>
      <c r="HL233" s="150" t="str">
        <f aca="false">IF(OR(HL$169&lt;SwaptionFirstMonthPosition+1,$FJ233&lt;SwaptionFirstMonthPosition+1,HL$169&gt;SwaptionFirstMonthPosition+SwaptionNumOfMonths+1,$FJ233&gt;SwaptionFirstMonthPosition+SwaptionNumOfMonths+1),"",IF($FJ233=HL$169,1,IF($FJ233&lt;HL$169,INDEX($FK$170:$ID$241,HL$169,$FJ233),SUMPRODUCT(INDEX($FK$325:$ID$396,HL$169,1+SwaptionShift):INDEX($FK$325:$ID$396,HL$169,SwaptionMonthsToGo+SwaptionShift),INDEX($FK$245:$ID$316,$FJ233-HL$169,73-HL$169+SwaptionShift):INDEX($FK$245:$ID$316,$FJ233-HL$169,72-HL$169+SwaptionMonthsToGo+SwaptionShift))/SQRT(SUM(INDEX($FK388:$ID388,1+SwaptionShift):INDEX($FK388:$ID388,SwaptionMonthsToGo+SwaptionShift))*SUM(INDEX($FK$325:$ID$396,HL$169,1+SwaptionShift):INDEX($FK$325:$ID$396,HL$169,SwaptionMonthsToGo+SwaptionShift))))))</f>
        <v/>
      </c>
      <c r="HM233" s="150" t="str">
        <f aca="false">IF(OR(HM$169&lt;SwaptionFirstMonthPosition+1,$FJ233&lt;SwaptionFirstMonthPosition+1,HM$169&gt;SwaptionFirstMonthPosition+SwaptionNumOfMonths+1,$FJ233&gt;SwaptionFirstMonthPosition+SwaptionNumOfMonths+1),"",IF($FJ233=HM$169,1,IF($FJ233&lt;HM$169,INDEX($FK$170:$ID$241,HM$169,$FJ233),SUMPRODUCT(INDEX($FK$325:$ID$396,HM$169,1+SwaptionShift):INDEX($FK$325:$ID$396,HM$169,SwaptionMonthsToGo+SwaptionShift),INDEX($FK$245:$ID$316,$FJ233-HM$169,73-HM$169+SwaptionShift):INDEX($FK$245:$ID$316,$FJ233-HM$169,72-HM$169+SwaptionMonthsToGo+SwaptionShift))/SQRT(SUM(INDEX($FK388:$ID388,1+SwaptionShift):INDEX($FK388:$ID388,SwaptionMonthsToGo+SwaptionShift))*SUM(INDEX($FK$325:$ID$396,HM$169,1+SwaptionShift):INDEX($FK$325:$ID$396,HM$169,SwaptionMonthsToGo+SwaptionShift))))))</f>
        <v/>
      </c>
      <c r="HN233" s="150" t="str">
        <f aca="false">IF(OR(HN$169&lt;SwaptionFirstMonthPosition+1,$FJ233&lt;SwaptionFirstMonthPosition+1,HN$169&gt;SwaptionFirstMonthPosition+SwaptionNumOfMonths+1,$FJ233&gt;SwaptionFirstMonthPosition+SwaptionNumOfMonths+1),"",IF($FJ233=HN$169,1,IF($FJ233&lt;HN$169,INDEX($FK$170:$ID$241,HN$169,$FJ233),SUMPRODUCT(INDEX($FK$325:$ID$396,HN$169,1+SwaptionShift):INDEX($FK$325:$ID$396,HN$169,SwaptionMonthsToGo+SwaptionShift),INDEX($FK$245:$ID$316,$FJ233-HN$169,73-HN$169+SwaptionShift):INDEX($FK$245:$ID$316,$FJ233-HN$169,72-HN$169+SwaptionMonthsToGo+SwaptionShift))/SQRT(SUM(INDEX($FK388:$ID388,1+SwaptionShift):INDEX($FK388:$ID388,SwaptionMonthsToGo+SwaptionShift))*SUM(INDEX($FK$325:$ID$396,HN$169,1+SwaptionShift):INDEX($FK$325:$ID$396,HN$169,SwaptionMonthsToGo+SwaptionShift))))))</f>
        <v/>
      </c>
      <c r="HO233" s="150" t="str">
        <f aca="false">IF(OR(HO$169&lt;SwaptionFirstMonthPosition+1,$FJ233&lt;SwaptionFirstMonthPosition+1,HO$169&gt;SwaptionFirstMonthPosition+SwaptionNumOfMonths+1,$FJ233&gt;SwaptionFirstMonthPosition+SwaptionNumOfMonths+1),"",IF($FJ233=HO$169,1,IF($FJ233&lt;HO$169,INDEX($FK$170:$ID$241,HO$169,$FJ233),SUMPRODUCT(INDEX($FK$325:$ID$396,HO$169,1+SwaptionShift):INDEX($FK$325:$ID$396,HO$169,SwaptionMonthsToGo+SwaptionShift),INDEX($FK$245:$ID$316,$FJ233-HO$169,73-HO$169+SwaptionShift):INDEX($FK$245:$ID$316,$FJ233-HO$169,72-HO$169+SwaptionMonthsToGo+SwaptionShift))/SQRT(SUM(INDEX($FK388:$ID388,1+SwaptionShift):INDEX($FK388:$ID388,SwaptionMonthsToGo+SwaptionShift))*SUM(INDEX($FK$325:$ID$396,HO$169,1+SwaptionShift):INDEX($FK$325:$ID$396,HO$169,SwaptionMonthsToGo+SwaptionShift))))))</f>
        <v/>
      </c>
      <c r="HP233" s="150" t="str">
        <f aca="false">IF(OR(HP$169&lt;SwaptionFirstMonthPosition+1,$FJ233&lt;SwaptionFirstMonthPosition+1,HP$169&gt;SwaptionFirstMonthPosition+SwaptionNumOfMonths+1,$FJ233&gt;SwaptionFirstMonthPosition+SwaptionNumOfMonths+1),"",IF($FJ233=HP$169,1,IF($FJ233&lt;HP$169,INDEX($FK$170:$ID$241,HP$169,$FJ233),SUMPRODUCT(INDEX($FK$325:$ID$396,HP$169,1+SwaptionShift):INDEX($FK$325:$ID$396,HP$169,SwaptionMonthsToGo+SwaptionShift),INDEX($FK$245:$ID$316,$FJ233-HP$169,73-HP$169+SwaptionShift):INDEX($FK$245:$ID$316,$FJ233-HP$169,72-HP$169+SwaptionMonthsToGo+SwaptionShift))/SQRT(SUM(INDEX($FK388:$ID388,1+SwaptionShift):INDEX($FK388:$ID388,SwaptionMonthsToGo+SwaptionShift))*SUM(INDEX($FK$325:$ID$396,HP$169,1+SwaptionShift):INDEX($FK$325:$ID$396,HP$169,SwaptionMonthsToGo+SwaptionShift))))))</f>
        <v/>
      </c>
      <c r="HQ233" s="150" t="str">
        <f aca="false">IF(OR(HQ$169&lt;SwaptionFirstMonthPosition+1,$FJ233&lt;SwaptionFirstMonthPosition+1,HQ$169&gt;SwaptionFirstMonthPosition+SwaptionNumOfMonths+1,$FJ233&gt;SwaptionFirstMonthPosition+SwaptionNumOfMonths+1),"",IF($FJ233=HQ$169,1,IF($FJ233&lt;HQ$169,INDEX($FK$170:$ID$241,HQ$169,$FJ233),SUMPRODUCT(INDEX($FK$325:$ID$396,HQ$169,1+SwaptionShift):INDEX($FK$325:$ID$396,HQ$169,SwaptionMonthsToGo+SwaptionShift),INDEX($FK$245:$ID$316,$FJ233-HQ$169,73-HQ$169+SwaptionShift):INDEX($FK$245:$ID$316,$FJ233-HQ$169,72-HQ$169+SwaptionMonthsToGo+SwaptionShift))/SQRT(SUM(INDEX($FK388:$ID388,1+SwaptionShift):INDEX($FK388:$ID388,SwaptionMonthsToGo+SwaptionShift))*SUM(INDEX($FK$325:$ID$396,HQ$169,1+SwaptionShift):INDEX($FK$325:$ID$396,HQ$169,SwaptionMonthsToGo+SwaptionShift))))))</f>
        <v/>
      </c>
      <c r="HR233" s="150" t="str">
        <f aca="false">IF(OR(HR$169&lt;SwaptionFirstMonthPosition+1,$FJ233&lt;SwaptionFirstMonthPosition+1,HR$169&gt;SwaptionFirstMonthPosition+SwaptionNumOfMonths+1,$FJ233&gt;SwaptionFirstMonthPosition+SwaptionNumOfMonths+1),"",IF($FJ233=HR$169,1,IF($FJ233&lt;HR$169,INDEX($FK$170:$ID$241,HR$169,$FJ233),SUMPRODUCT(INDEX($FK$325:$ID$396,HR$169,1+SwaptionShift):INDEX($FK$325:$ID$396,HR$169,SwaptionMonthsToGo+SwaptionShift),INDEX($FK$245:$ID$316,$FJ233-HR$169,73-HR$169+SwaptionShift):INDEX($FK$245:$ID$316,$FJ233-HR$169,72-HR$169+SwaptionMonthsToGo+SwaptionShift))/SQRT(SUM(INDEX($FK388:$ID388,1+SwaptionShift):INDEX($FK388:$ID388,SwaptionMonthsToGo+SwaptionShift))*SUM(INDEX($FK$325:$ID$396,HR$169,1+SwaptionShift):INDEX($FK$325:$ID$396,HR$169,SwaptionMonthsToGo+SwaptionShift))))))</f>
        <v/>
      </c>
      <c r="HS233" s="150" t="str">
        <f aca="false">IF(OR(HS$169&lt;SwaptionFirstMonthPosition+1,$FJ233&lt;SwaptionFirstMonthPosition+1,HS$169&gt;SwaptionFirstMonthPosition+SwaptionNumOfMonths+1,$FJ233&gt;SwaptionFirstMonthPosition+SwaptionNumOfMonths+1),"",IF($FJ233=HS$169,1,IF($FJ233&lt;HS$169,INDEX($FK$170:$ID$241,HS$169,$FJ233),SUMPRODUCT(INDEX($FK$325:$ID$396,HS$169,1+SwaptionShift):INDEX($FK$325:$ID$396,HS$169,SwaptionMonthsToGo+SwaptionShift),INDEX($FK$245:$ID$316,$FJ233-HS$169,73-HS$169+SwaptionShift):INDEX($FK$245:$ID$316,$FJ233-HS$169,72-HS$169+SwaptionMonthsToGo+SwaptionShift))/SQRT(SUM(INDEX($FK388:$ID388,1+SwaptionShift):INDEX($FK388:$ID388,SwaptionMonthsToGo+SwaptionShift))*SUM(INDEX($FK$325:$ID$396,HS$169,1+SwaptionShift):INDEX($FK$325:$ID$396,HS$169,SwaptionMonthsToGo+SwaptionShift))))))</f>
        <v/>
      </c>
      <c r="HT233" s="150" t="str">
        <f aca="false">IF(OR(HT$169&lt;SwaptionFirstMonthPosition+1,$FJ233&lt;SwaptionFirstMonthPosition+1,HT$169&gt;SwaptionFirstMonthPosition+SwaptionNumOfMonths+1,$FJ233&gt;SwaptionFirstMonthPosition+SwaptionNumOfMonths+1),"",IF($FJ233=HT$169,1,IF($FJ233&lt;HT$169,INDEX($FK$170:$ID$241,HT$169,$FJ233),SUMPRODUCT(INDEX($FK$325:$ID$396,HT$169,1+SwaptionShift):INDEX($FK$325:$ID$396,HT$169,SwaptionMonthsToGo+SwaptionShift),INDEX($FK$245:$ID$316,$FJ233-HT$169,73-HT$169+SwaptionShift):INDEX($FK$245:$ID$316,$FJ233-HT$169,72-HT$169+SwaptionMonthsToGo+SwaptionShift))/SQRT(SUM(INDEX($FK388:$ID388,1+SwaptionShift):INDEX($FK388:$ID388,SwaptionMonthsToGo+SwaptionShift))*SUM(INDEX($FK$325:$ID$396,HT$169,1+SwaptionShift):INDEX($FK$325:$ID$396,HT$169,SwaptionMonthsToGo+SwaptionShift))))))</f>
        <v/>
      </c>
      <c r="HU233" s="150" t="str">
        <f aca="false">IF(OR(HU$169&lt;SwaptionFirstMonthPosition+1,$FJ233&lt;SwaptionFirstMonthPosition+1,HU$169&gt;SwaptionFirstMonthPosition+SwaptionNumOfMonths+1,$FJ233&gt;SwaptionFirstMonthPosition+SwaptionNumOfMonths+1),"",IF($FJ233=HU$169,1,IF($FJ233&lt;HU$169,INDEX($FK$170:$ID$241,HU$169,$FJ233),SUMPRODUCT(INDEX($FK$325:$ID$396,HU$169,1+SwaptionShift):INDEX($FK$325:$ID$396,HU$169,SwaptionMonthsToGo+SwaptionShift),INDEX($FK$245:$ID$316,$FJ233-HU$169,73-HU$169+SwaptionShift):INDEX($FK$245:$ID$316,$FJ233-HU$169,72-HU$169+SwaptionMonthsToGo+SwaptionShift))/SQRT(SUM(INDEX($FK388:$ID388,1+SwaptionShift):INDEX($FK388:$ID388,SwaptionMonthsToGo+SwaptionShift))*SUM(INDEX($FK$325:$ID$396,HU$169,1+SwaptionShift):INDEX($FK$325:$ID$396,HU$169,SwaptionMonthsToGo+SwaptionShift))))))</f>
        <v/>
      </c>
      <c r="HV233" s="150" t="str">
        <f aca="false">IF(OR(HV$169&lt;SwaptionFirstMonthPosition+1,$FJ233&lt;SwaptionFirstMonthPosition+1,HV$169&gt;SwaptionFirstMonthPosition+SwaptionNumOfMonths+1,$FJ233&gt;SwaptionFirstMonthPosition+SwaptionNumOfMonths+1),"",IF($FJ233=HV$169,1,IF($FJ233&lt;HV$169,INDEX($FK$170:$ID$241,HV$169,$FJ233),SUMPRODUCT(INDEX($FK$325:$ID$396,HV$169,1+SwaptionShift):INDEX($FK$325:$ID$396,HV$169,SwaptionMonthsToGo+SwaptionShift),INDEX($FK$245:$ID$316,$FJ233-HV$169,73-HV$169+SwaptionShift):INDEX($FK$245:$ID$316,$FJ233-HV$169,72-HV$169+SwaptionMonthsToGo+SwaptionShift))/SQRT(SUM(INDEX($FK388:$ID388,1+SwaptionShift):INDEX($FK388:$ID388,SwaptionMonthsToGo+SwaptionShift))*SUM(INDEX($FK$325:$ID$396,HV$169,1+SwaptionShift):INDEX($FK$325:$ID$396,HV$169,SwaptionMonthsToGo+SwaptionShift))))))</f>
        <v/>
      </c>
      <c r="HW233" s="150" t="str">
        <f aca="false">IF(OR(HW$169&lt;SwaptionFirstMonthPosition+1,$FJ233&lt;SwaptionFirstMonthPosition+1,HW$169&gt;SwaptionFirstMonthPosition+SwaptionNumOfMonths+1,$FJ233&gt;SwaptionFirstMonthPosition+SwaptionNumOfMonths+1),"",IF($FJ233=HW$169,1,IF($FJ233&lt;HW$169,INDEX($FK$170:$ID$241,HW$169,$FJ233),SUMPRODUCT(INDEX($FK$325:$ID$396,HW$169,1+SwaptionShift):INDEX($FK$325:$ID$396,HW$169,SwaptionMonthsToGo+SwaptionShift),INDEX($FK$245:$ID$316,$FJ233-HW$169,73-HW$169+SwaptionShift):INDEX($FK$245:$ID$316,$FJ233-HW$169,72-HW$169+SwaptionMonthsToGo+SwaptionShift))/SQRT(SUM(INDEX($FK388:$ID388,1+SwaptionShift):INDEX($FK388:$ID388,SwaptionMonthsToGo+SwaptionShift))*SUM(INDEX($FK$325:$ID$396,HW$169,1+SwaptionShift):INDEX($FK$325:$ID$396,HW$169,SwaptionMonthsToGo+SwaptionShift))))))</f>
        <v/>
      </c>
      <c r="HX233" s="150" t="str">
        <f aca="false">IF(OR(HX$169&lt;SwaptionFirstMonthPosition+1,$FJ233&lt;SwaptionFirstMonthPosition+1,HX$169&gt;SwaptionFirstMonthPosition+SwaptionNumOfMonths+1,$FJ233&gt;SwaptionFirstMonthPosition+SwaptionNumOfMonths+1),"",IF($FJ233=HX$169,1,IF($FJ233&lt;HX$169,INDEX($FK$170:$ID$241,HX$169,$FJ233),SUMPRODUCT(INDEX($FK$325:$ID$396,HX$169,1+SwaptionShift):INDEX($FK$325:$ID$396,HX$169,SwaptionMonthsToGo+SwaptionShift),INDEX($FK$245:$ID$316,$FJ233-HX$169,73-HX$169+SwaptionShift):INDEX($FK$245:$ID$316,$FJ233-HX$169,72-HX$169+SwaptionMonthsToGo+SwaptionShift))/SQRT(SUM(INDEX($FK388:$ID388,1+SwaptionShift):INDEX($FK388:$ID388,SwaptionMonthsToGo+SwaptionShift))*SUM(INDEX($FK$325:$ID$396,HX$169,1+SwaptionShift):INDEX($FK$325:$ID$396,HX$169,SwaptionMonthsToGo+SwaptionShift))))))</f>
        <v/>
      </c>
      <c r="HY233" s="150" t="str">
        <f aca="false">IF(OR(HY$169&lt;SwaptionFirstMonthPosition+1,$FJ233&lt;SwaptionFirstMonthPosition+1,HY$169&gt;SwaptionFirstMonthPosition+SwaptionNumOfMonths+1,$FJ233&gt;SwaptionFirstMonthPosition+SwaptionNumOfMonths+1),"",IF($FJ233=HY$169,1,IF($FJ233&lt;HY$169,INDEX($FK$170:$ID$241,HY$169,$FJ233),SUMPRODUCT(INDEX($FK$325:$ID$396,HY$169,1+SwaptionShift):INDEX($FK$325:$ID$396,HY$169,SwaptionMonthsToGo+SwaptionShift),INDEX($FK$245:$ID$316,$FJ233-HY$169,73-HY$169+SwaptionShift):INDEX($FK$245:$ID$316,$FJ233-HY$169,72-HY$169+SwaptionMonthsToGo+SwaptionShift))/SQRT(SUM(INDEX($FK388:$ID388,1+SwaptionShift):INDEX($FK388:$ID388,SwaptionMonthsToGo+SwaptionShift))*SUM(INDEX($FK$325:$ID$396,HY$169,1+SwaptionShift):INDEX($FK$325:$ID$396,HY$169,SwaptionMonthsToGo+SwaptionShift))))))</f>
        <v/>
      </c>
      <c r="HZ233" s="150" t="str">
        <f aca="false">IF(OR(HZ$169&lt;SwaptionFirstMonthPosition+1,$FJ233&lt;SwaptionFirstMonthPosition+1,HZ$169&gt;SwaptionFirstMonthPosition+SwaptionNumOfMonths+1,$FJ233&gt;SwaptionFirstMonthPosition+SwaptionNumOfMonths+1),"",IF($FJ233=HZ$169,1,IF($FJ233&lt;HZ$169,INDEX($FK$170:$ID$241,HZ$169,$FJ233),SUMPRODUCT(INDEX($FK$325:$ID$396,HZ$169,1+SwaptionShift):INDEX($FK$325:$ID$396,HZ$169,SwaptionMonthsToGo+SwaptionShift),INDEX($FK$245:$ID$316,$FJ233-HZ$169,73-HZ$169+SwaptionShift):INDEX($FK$245:$ID$316,$FJ233-HZ$169,72-HZ$169+SwaptionMonthsToGo+SwaptionShift))/SQRT(SUM(INDEX($FK388:$ID388,1+SwaptionShift):INDEX($FK388:$ID388,SwaptionMonthsToGo+SwaptionShift))*SUM(INDEX($FK$325:$ID$396,HZ$169,1+SwaptionShift):INDEX($FK$325:$ID$396,HZ$169,SwaptionMonthsToGo+SwaptionShift))))))</f>
        <v/>
      </c>
      <c r="IA233" s="150" t="str">
        <f aca="false">IF(OR(IA$169&lt;SwaptionFirstMonthPosition+1,$FJ233&lt;SwaptionFirstMonthPosition+1,IA$169&gt;SwaptionFirstMonthPosition+SwaptionNumOfMonths+1,$FJ233&gt;SwaptionFirstMonthPosition+SwaptionNumOfMonths+1),"",IF($FJ233=IA$169,1,IF($FJ233&lt;IA$169,INDEX($FK$170:$ID$241,IA$169,$FJ233),SUMPRODUCT(INDEX($FK$325:$ID$396,IA$169,1+SwaptionShift):INDEX($FK$325:$ID$396,IA$169,SwaptionMonthsToGo+SwaptionShift),INDEX($FK$245:$ID$316,$FJ233-IA$169,73-IA$169+SwaptionShift):INDEX($FK$245:$ID$316,$FJ233-IA$169,72-IA$169+SwaptionMonthsToGo+SwaptionShift))/SQRT(SUM(INDEX($FK388:$ID388,1+SwaptionShift):INDEX($FK388:$ID388,SwaptionMonthsToGo+SwaptionShift))*SUM(INDEX($FK$325:$ID$396,IA$169,1+SwaptionShift):INDEX($FK$325:$ID$396,IA$169,SwaptionMonthsToGo+SwaptionShift))))))</f>
        <v/>
      </c>
      <c r="IB233" s="150" t="str">
        <f aca="false">IF(OR(IB$169&lt;SwaptionFirstMonthPosition+1,$FJ233&lt;SwaptionFirstMonthPosition+1,IB$169&gt;SwaptionFirstMonthPosition+SwaptionNumOfMonths+1,$FJ233&gt;SwaptionFirstMonthPosition+SwaptionNumOfMonths+1),"",IF($FJ233=IB$169,1,IF($FJ233&lt;IB$169,INDEX($FK$170:$ID$241,IB$169,$FJ233),SUMPRODUCT(INDEX($FK$325:$ID$396,IB$169,1+SwaptionShift):INDEX($FK$325:$ID$396,IB$169,SwaptionMonthsToGo+SwaptionShift),INDEX($FK$245:$ID$316,$FJ233-IB$169,73-IB$169+SwaptionShift):INDEX($FK$245:$ID$316,$FJ233-IB$169,72-IB$169+SwaptionMonthsToGo+SwaptionShift))/SQRT(SUM(INDEX($FK388:$ID388,1+SwaptionShift):INDEX($FK388:$ID388,SwaptionMonthsToGo+SwaptionShift))*SUM(INDEX($FK$325:$ID$396,IB$169,1+SwaptionShift):INDEX($FK$325:$ID$396,IB$169,SwaptionMonthsToGo+SwaptionShift))))))</f>
        <v/>
      </c>
      <c r="IC233" s="150" t="str">
        <f aca="false">IF(OR(IC$169&lt;SwaptionFirstMonthPosition+1,$FJ233&lt;SwaptionFirstMonthPosition+1,IC$169&gt;SwaptionFirstMonthPosition+SwaptionNumOfMonths+1,$FJ233&gt;SwaptionFirstMonthPosition+SwaptionNumOfMonths+1),"",IF($FJ233=IC$169,1,IF($FJ233&lt;IC$169,INDEX($FK$170:$ID$241,IC$169,$FJ233),SUMPRODUCT(INDEX($FK$325:$ID$396,IC$169,1+SwaptionShift):INDEX($FK$325:$ID$396,IC$169,SwaptionMonthsToGo+SwaptionShift),INDEX($FK$245:$ID$316,$FJ233-IC$169,73-IC$169+SwaptionShift):INDEX($FK$245:$ID$316,$FJ233-IC$169,72-IC$169+SwaptionMonthsToGo+SwaptionShift))/SQRT(SUM(INDEX($FK388:$ID388,1+SwaptionShift):INDEX($FK388:$ID388,SwaptionMonthsToGo+SwaptionShift))*SUM(INDEX($FK$325:$ID$396,IC$169,1+SwaptionShift):INDEX($FK$325:$ID$396,IC$169,SwaptionMonthsToGo+SwaptionShift))))))</f>
        <v/>
      </c>
      <c r="ID233" s="572" t="str">
        <f aca="false">IF(OR(ID$169&lt;SwaptionFirstMonthPosition+1,$FJ233&lt;SwaptionFirstMonthPosition+1,ID$169&gt;SwaptionFirstMonthPosition+SwaptionNumOfMonths+1,$FJ233&gt;SwaptionFirstMonthPosition+SwaptionNumOfMonths+1),"",IF($FJ233=ID$169,1,IF($FJ233&lt;ID$169,INDEX($FK$170:$ID$241,ID$169,$FJ233),SUMPRODUCT(INDEX($FK$325:$ID$396,ID$169,1+SwaptionShift):INDEX($FK$325:$ID$396,ID$169,SwaptionMonthsToGo+SwaptionShift),INDEX($FK$245:$ID$316,$FJ233-ID$169,73-ID$169+SwaptionShift):INDEX($FK$245:$ID$316,$FJ233-ID$169,72-ID$169+SwaptionMonthsToGo+SwaptionShift))/SQRT(SUM(INDEX($FK388:$ID388,1+SwaptionShift):INDEX($FK388:$ID388,SwaptionMonthsToGo+SwaptionShift))*SUM(INDEX($FK$325:$ID$396,ID$169,1+SwaptionShift):INDEX($FK$325:$ID$396,ID$169,SwaptionMonthsToGo+SwaptionShift))))))</f>
        <v/>
      </c>
      <c r="IE233" s="129"/>
    </row>
    <row r="234" customFormat="false" ht="12.75" hidden="false" customHeight="false" outlineLevel="0" collapsed="false">
      <c r="H234" s="219" t="n">
        <f aca="false">VLOOKUP(I234,$EJ$20:$EL$54,3)</f>
        <v>0</v>
      </c>
      <c r="I234" s="511" t="n">
        <f aca="false">EOMONTH(I233,0)+1</f>
        <v>43282</v>
      </c>
      <c r="J234" s="512"/>
      <c r="K234" s="513" t="s">
        <v>280</v>
      </c>
      <c r="L234" s="514" t="n">
        <f aca="false">IF(ISNUMBER(K234),J234+K234/100,IF(K234="extra",L233+VLOOKUP(BF234,PriceSpreadTable,2)/12,IF(K234="inter",interpolateprices($K$19:$L$200,ROW(K234)-ROW(FirstPricingMonth)+1),interpolatechanges($J$19:$K$200,ROW(K234)-ROW(FirstPricingMonth)+1))))</f>
        <v>5.175</v>
      </c>
      <c r="M234" s="515"/>
      <c r="N234" s="516" t="n">
        <v>0</v>
      </c>
      <c r="O234" s="515" t="n">
        <f aca="false">M234+N234</f>
        <v>0</v>
      </c>
      <c r="P234" s="512"/>
      <c r="Q234" s="513" t="s">
        <v>280</v>
      </c>
      <c r="R234" s="512" t="e">
        <f aca="false">IF(ISNUMBER(Q234),P234+Q234/100,IF(Q234="extra",(Z232*AL232-R233*AM232)/AN232,IF(Q234="inter",interpolateprices($Q$19:$R$260,ROW(Q234)-ROW(FirstPricingMonth)+1),interpolatechanges($P$19:$Q$260,ROW(Q234)-ROW(FirstPricingMonth)+1))))</f>
        <v>#VALUE!</v>
      </c>
      <c r="S234" s="597" t="n">
        <f aca="false">S$19+(S233-S$19)*S$18</f>
        <v>0.36</v>
      </c>
      <c r="T234" s="575" t="n">
        <f aca="false">SQRT((1-(1-T233^2/U233)*T$18)*U234)</f>
        <v>1</v>
      </c>
      <c r="U234" s="576" t="n">
        <f aca="false">1-(1-U233)*U$18</f>
        <v>1</v>
      </c>
      <c r="V234" s="521" t="n">
        <v>0</v>
      </c>
      <c r="W234" s="577" t="n">
        <f aca="false">(J235*AJ234+J236*AK234)/AI234</f>
        <v>0</v>
      </c>
      <c r="X234" s="578" t="n">
        <f aca="false">(L235*AJ234+L236*AK234)/AI234</f>
        <v>5.225</v>
      </c>
      <c r="Y234" s="579" t="n">
        <f aca="false">IF(Q236="extra",W234-AA234,(P235*AM234+P236*AN234)/AL234)</f>
        <v>-1.2669</v>
      </c>
      <c r="Z234" s="579" t="n">
        <f aca="false">IF(Q236="extra",X234-AB234,(R235*AM234+R236*AN234)/AL234)</f>
        <v>3.9581</v>
      </c>
      <c r="AA234" s="523" t="n">
        <f aca="false">IF(Q236="extra",INDEX(BrentSeasonalityTable,INT((BG234-1)/3)+1)*VLOOKUP(MAX(BF234,$AB$4),PriceSpreadTable,3),W234-Y234)</f>
        <v>1.2669</v>
      </c>
      <c r="AB234" s="524" t="n">
        <f aca="false">IF(Q236="extra",INDEX(BrentSeasonalityTable,INT((BG234-1)/3)+1)*VLOOKUP(MAX(BF234,$AB$4),PriceSpreadTable,3),X234-Z234)</f>
        <v>1.2669</v>
      </c>
      <c r="AC234" s="646" t="n">
        <v>43271</v>
      </c>
      <c r="AD234" s="646" t="n">
        <v>43267</v>
      </c>
      <c r="AE234" s="646" t="n">
        <v>43266</v>
      </c>
      <c r="AF234" s="646" t="n">
        <v>43262</v>
      </c>
      <c r="AG234" s="438" t="s">
        <v>278</v>
      </c>
      <c r="AH234" s="439" t="s">
        <v>278</v>
      </c>
      <c r="AI234" s="528" t="n">
        <v>21</v>
      </c>
      <c r="AJ234" s="529" t="n">
        <v>14</v>
      </c>
      <c r="AK234" s="529" t="n">
        <v>7</v>
      </c>
      <c r="AL234" s="530" t="n">
        <v>22</v>
      </c>
      <c r="AM234" s="529" t="n">
        <v>10</v>
      </c>
      <c r="AN234" s="531" t="n">
        <v>12</v>
      </c>
      <c r="AO234" s="532"/>
      <c r="AP234" s="465" t="n">
        <f aca="false">(1+AO234/2)^(-2*BL234)</f>
        <v>1</v>
      </c>
      <c r="AQ234" s="532"/>
      <c r="AR234" s="465" t="n">
        <f aca="false">(1+AQ234/2)^(-2*BH234/365.25)</f>
        <v>1</v>
      </c>
      <c r="AS234" s="580" t="n">
        <f aca="false">(O235*AJ234+O236*AK234)/AI234</f>
        <v>0</v>
      </c>
      <c r="AT234" s="468" t="n">
        <f aca="false">O234*VLOOKUP(BF234,BrentVolTable,2)+VLOOKUP(BF234,BrentVolTable,3)</f>
        <v>0</v>
      </c>
      <c r="AU234" s="468" t="n">
        <f aca="false">(AT235*AM234+AT236*AN234)/AL234</f>
        <v>0</v>
      </c>
      <c r="AV234" s="595" t="n">
        <f aca="false">SQRT(MAX(0.000000000001,(O234^2*BH234-S234^2*(BH234-BH233))/BH233))</f>
        <v>0.0386534218562532</v>
      </c>
      <c r="AW234" s="451" t="n">
        <f aca="false">IF($I234-DateToday+15&gt;=$T$8,"",IF($I234-DateToday+15&lt;$T$5,1,MATCH($I234-DateToday+15,$T$5:$T$8)))</f>
        <v>1</v>
      </c>
      <c r="AX234" s="468" t="n">
        <f aca="false">IF($AW234="",AX233^2/AX232,INDEX(U$5:U$8,$AW234)^((INDEX($T$5:$T$8,$AW234+1)-($I234-DateToday+15))/(INDEX($T$5:$T$8,$AW234+1)-INDEX($T$5:$T$8,$AW234)))/INDEX(U$5:U$8,$AW234+1)^((INDEX($T$5:$T$8,$AW234)-($I234-DateToday+15))/(INDEX($T$5:$T$8,$AW234+1)-INDEX($T$5:$T$8,$AW234))))</f>
        <v>0.129466610568686</v>
      </c>
      <c r="AY234" s="468" t="n">
        <f aca="false">IF($AW234="",AY233^2/AY232,INDEX(V$5:V$8,$AW234)^((INDEX($T$5:$T$8,$AW234+1)-($I234-DateToday+15))/(INDEX($T$5:$T$8,$AW234+1)-INDEX($T$5:$T$8,$AW234)))/INDEX(V$5:V$8,$AW234+1)^((INDEX($T$5:$T$8,$AW234)-($I234-DateToday+15))/(INDEX($T$5:$T$8,$AW234+1)-INDEX($T$5:$T$8,$AW234))))</f>
        <v>0.634820656658174</v>
      </c>
      <c r="AZ234" s="468" t="n">
        <f aca="false">IF($AW234="",AZ233^2/AZ232,INDEX(W$5:W$8,$AW234)^((INDEX($T$5:$T$8,$AW234+1)-($I234-DateToday+15))/(INDEX($T$5:$T$8,$AW234+1)-INDEX($T$5:$T$8,$AW234)))/INDEX(W$5:W$8,$AW234+1)^((INDEX($T$5:$T$8,$AW234)-($I234-DateToday+15))/(INDEX($T$5:$T$8,$AW234+1)-INDEX($T$5:$T$8,$AW234))))</f>
        <v>15.8742164678258</v>
      </c>
      <c r="BA234" s="468" t="n">
        <f aca="false">IF($AW234="",BA233^2/BA232,INDEX(X$5:X$8,$AW234)^((INDEX($T$5:$T$8,$AW234+1)-($I234-DateToday+15))/(INDEX($T$5:$T$8,$AW234+1)-INDEX($T$5:$T$8,$AW234)))/INDEX(X$5:X$8,$AW234+1)^((INDEX($T$5:$T$8,$AW234)-($I234-DateToday+15))/(INDEX($T$5:$T$8,$AW234+1)-INDEX($T$5:$T$8,$AW234))))</f>
        <v>21.4081354325314</v>
      </c>
      <c r="BB234" s="468" t="n">
        <f aca="false">IF($AW234="",BB233^2/BB232,INDEX(Y$5:Y$8,$AW234)^((INDEX($T$5:$T$8,$AW234+1)-($I234-DateToday+15))/(INDEX($T$5:$T$8,$AW234+1)-INDEX($T$5:$T$8,$AW234)))/INDEX(Y$5:Y$8,$AW234+1)^((INDEX($T$5:$T$8,$AW234)-($I234-DateToday+15))/(INDEX($T$5:$T$8,$AW234+1)-INDEX($T$5:$T$8,$AW234))))</f>
        <v>71.1741879323591</v>
      </c>
      <c r="BC234" s="468" t="n">
        <f aca="false">IF($AW234="",BC233^2/BC232,INDEX(Z$5:Z$8,$AW234)^((INDEX($T$5:$T$8,$AW234+1)-($I234-DateToday+15))/(INDEX($T$5:$T$8,$AW234+1)-INDEX($T$5:$T$8,$AW234)))/INDEX(Z$5:Z$8,$AW234+1)^((INDEX($T$5:$T$8,$AW234)-($I234-DateToday+15))/(INDEX($T$5:$T$8,$AW234+1)-INDEX($T$5:$T$8,$AW234))))</f>
        <v>150.779785416411</v>
      </c>
      <c r="BD234" s="535" t="n">
        <f aca="false">IF(OR(DateStart&gt;=I235,DateEnd&lt;I234),0,IF(VolumeOverrideFlag,V234,Volume))</f>
        <v>0</v>
      </c>
      <c r="BE234" s="536" t="n">
        <f aca="false">IF(OR(DateStart2&gt;=I235,DateEnd2&lt;I234),0,IF(VolumeOverrideFlag,V234,VolumeSwaption))</f>
        <v>0</v>
      </c>
      <c r="BF234" s="537" t="n">
        <f aca="false">YEAR(I234)</f>
        <v>2018</v>
      </c>
      <c r="BG234" s="538" t="n">
        <f aca="false">MONTH(I234)</f>
        <v>7</v>
      </c>
      <c r="BH234" s="539" t="n">
        <f aca="false">AD234-DateToday+1</f>
        <v>-2658</v>
      </c>
      <c r="BI234" s="540" t="n">
        <f aca="false">(I234-DateToday+1)/365.25</f>
        <v>-7.23613963039014</v>
      </c>
      <c r="BJ234" s="541" t="n">
        <f aca="false">BI234+(BL234-BI234)*CHOOSE(Underlying,AJ234/AI234,AM234/AL234)</f>
        <v>-7.1813826146475</v>
      </c>
      <c r="BK234" s="541" t="n">
        <f aca="false">BJ234+1/365.25</f>
        <v>-7.17864476386037</v>
      </c>
      <c r="BL234" s="541" t="n">
        <f aca="false">(I235-DateToday)/365.25</f>
        <v>-7.15400410677618</v>
      </c>
      <c r="BM234" s="542" t="e">
        <f aca="false">MAX(BI234-(BJ234-BI234)*(S235^2/O235^2-1),0)</f>
        <v>#DIV/0!</v>
      </c>
      <c r="BN234" s="541" t="e">
        <f aca="false">MAX(BL234+(BL234-BK234)*(S236^2/O236^2-1),0)</f>
        <v>#DIV/0!</v>
      </c>
      <c r="BO234" s="530" t="n">
        <f aca="false">CHOOSE(Underlying,AI234,AL234)</f>
        <v>21</v>
      </c>
      <c r="BP234" s="529" t="n">
        <f aca="false">CHOOSE(Underlying,AJ234,AM234)</f>
        <v>14</v>
      </c>
      <c r="BQ234" s="529" t="n">
        <f aca="false">CHOOSE(Underlying,AK234,AN234)</f>
        <v>7</v>
      </c>
      <c r="BR234" s="463" t="str">
        <f aca="false">IF(BD234,IF(Underlying=1,X234,Z234)+UnderlyingPriceAsian-SwapPriceCurve,"")</f>
        <v/>
      </c>
      <c r="BS234" s="463" t="str">
        <f aca="false">IF(BD234,Strike1/BR234-1,"")</f>
        <v/>
      </c>
      <c r="BT234" s="464" t="str">
        <f aca="false">IF(BD234,Strike2/BR234-1,"")</f>
        <v/>
      </c>
      <c r="BU234" s="465" t="str">
        <f aca="false">IF(BD234,IF(Underlying=1,L235,R235)+UnderlyingPriceAsian-SwapPriceCurve,"")</f>
        <v/>
      </c>
      <c r="BV234" s="465" t="str">
        <f aca="false">IF(BD234,IF(Underlying=1,L236,R236)+UnderlyingPriceAsian-SwapPriceCurve,"")</f>
        <v/>
      </c>
      <c r="BW234" s="466" t="str">
        <f aca="false">IF(BD234,IF(Underlying=1,O235,AT235),"")</f>
        <v/>
      </c>
      <c r="BX234" s="467" t="str">
        <f aca="false">IF(BD234,IF(Underlying=1,O236,AT236),"")</f>
        <v/>
      </c>
      <c r="BY234" s="466" t="str">
        <f aca="false">IF(BD234,IF(BS234&gt;0,IF(BS234&gt;0.2,BC234-BB234,IF(BS234&gt;0.1,BB234-BA234,BA234)),IF(BS234&lt;-0.2,AX234-AY234,IF(BS234&lt;-0.1,AY234-AZ234,AZ234))),"")</f>
        <v/>
      </c>
      <c r="BZ234" s="467" t="str">
        <f aca="false">IF(BD234,IF(BT234&gt;0,IF(BT234&gt;0.2,BC234-BB234,IF(BT234&gt;0.1,BB234-BA234,BA234)),IF(BT234&lt;-0.2,AX234-AY234,IF(BT234&lt;-0.1,AY234-AZ234,AZ234))),"")</f>
        <v/>
      </c>
      <c r="CA234" s="468" t="str">
        <f aca="false">IF($BD234,$BW234+IF(VolSkewFlag=1,IF(BS234&gt;0,$BA234*MIN(BS234/10%,1)+($BB234-$BA234)*MAX(0,MIN(BS234/10%-1,1))+($BC234-$BB234)*MAX(0,BS234/10%-2),$AZ234*MIN(-BS234/10%,1)+($AY234-$AZ234)*MAX(0,MIN(-BS234/10%-1,1))+($AX234-$AY234)*MAX(0,-BS234/10%-2)),0),"")</f>
        <v/>
      </c>
      <c r="CB234" s="468" t="str">
        <f aca="false">IF($BD234,$BX234+IF(VolSkewFlag=1,IF(BS234&gt;0,$BA234*MIN(BS234/10%,1)+($BB234-$BA234)*MAX(0,MIN(BS234/10%-1,1))+($BC234-$BB234)*MAX(0,BS234/10%-2),$AZ234*MIN(-BS234/10%,1)+($AY234-$AZ234)*MAX(0,MIN(-BS234/10%-1,1))+($AX234-$AY234)*MAX(0,-BS234/10%-2)),0),"")</f>
        <v/>
      </c>
      <c r="CC234" s="468" t="str">
        <f aca="false">IF($BD234,$BW234+IF(VolSkewFlag=1,IF(BT234&gt;0,$BA234*MIN(BT234/10%,1)+($BB234-$BA234)*MAX(0,MIN(BT234/10%-1,1))+($BC234-$BB234)*MAX(0,BT234/10%-2),$AZ234*MIN(-BT234/10%,1)+($AY234-$AZ234)*MAX(0,MIN(-BT234/10%-1,1))+($AX234-$AY234)*MAX(0,-BT234/10%-2)),0),"")</f>
        <v/>
      </c>
      <c r="CD234" s="468" t="str">
        <f aca="false">IF($BD234,$BX234+IF(VolSkewFlag=1,IF(BT234&gt;0,$BA234*MIN(BT234/10%,1)+($BB234-$BA234)*MAX(0,MIN(BT234/10%-1,1))+($BC234-$BB234)*MAX(0,BT234/10%-2),$AZ234*MIN(-BT234/10%,1)+($AY234-$AZ234)*MAX(0,MIN(-BT234/10%-1,1))+($AX234-$AY234)*MAX(0,-BT234/10%-2)),0),"")</f>
        <v/>
      </c>
      <c r="CE234" s="469" t="n">
        <v>1</v>
      </c>
      <c r="CF234" s="470" t="n">
        <f aca="false">IF(BD234,xCrudeAPO(BU234,BV234,CA234,CB234,S235,S236,BI234,BL234,BP234,BQ234,0,Strike1,AO234,CE234,0,BL234,IF(OptControl=4,0,1),0,1),0)</f>
        <v>0</v>
      </c>
      <c r="CG234" s="470" t="n">
        <f aca="false">IF(BD234,xCrudeAPO(BU234,BV234,CA234,CB234,S235,S236,BI234,BL234,BP234,BQ234,0,Strike1,AO234,CE234,0,BL234,IF(OptControl=4,0,1),1,1)+xCrudeAPO(BU234,BV234,CA234,CB234,S235,S236,BI234,BL234,BP234,BQ234,0,Strike1,AO234,CE234,0,BL234,IF(OptControl=4,0,1),1,2)+IF(OR(VolSkewFlag=2,ABS(BS234)&lt;0.0001),0,IF(BS234&gt;0,-1,1)*CH234*Strike1/BR234^2*BY234/10%),0)</f>
        <v>0</v>
      </c>
      <c r="CH234" s="470" t="n">
        <f aca="false">IF(BD234,(xCrudeAPO(BU234,BV234,CA234,CB234,S235,S236,BI234,BL234,BP234,BQ234,0,Strike1,AO234,CE234,0,BL234,IF(OptControl=4,0,1),3,1)+xCrudeAPO(BU234,BV234,CA234,CB234,S235,S236,BI234,BL234,BP234,BQ234,0,Strike1,AO234,CE234,0,BL234,IF(OptControl=4,0,1),3,2))/100,0)</f>
        <v>0</v>
      </c>
      <c r="CI234" s="470" t="n">
        <f aca="false">IF(BD234,xCrudeAPO(BU234,BV234,CA234,CB234,S235,S236,BI234-DaysForThetaCalculation/365.25,BL234-DaysForThetaCalculation/365.25,BP234,BQ234,0,Strike1,AO234,CE234,0,BL234,IF(OptControl=4,0,1),0,1)-xCrudeAPO(BU234,BV234,CA234,CB234,S235,S236,BI234,BL234,BP234,BQ234,0,Strike1,AO234,CE234,0,BL234,IF(OptControl=4,0,1),0,1),0)</f>
        <v>0</v>
      </c>
      <c r="CJ234" s="471" t="n">
        <f aca="false">IF(BD234,xCrudeAPO(BU234,BV234,CC234,CD234,S235,S236,BI234,BL234,BP234,BQ234,0,Strike2,AO234,CE234,0,BL234,IF(OptControl=3,1,0),0,1),0)</f>
        <v>0</v>
      </c>
      <c r="CK234" s="470" t="n">
        <f aca="false">IF(BD234,xCrudeAPO(BU234,BV234,CC234,CD234,S235,S236,BI234,BL234,BP234,BQ234,0,Strike2,AO234,CE234,0,BL234,IF(OptControl=3,1,0),1,1)+xCrudeAPO(BU234,BV234,CC234,CD234,S235,S236,BI234,BL234,BP234,BQ234,0,Strike2,AO234,CE234,0,BL234,IF(OptControl=3,1,0),1,2)+IF(OR(VolSkewFlag=2,ABS(BT234)&lt;0.0001),0,IF(BT234&gt;0,-1,1)*CL234*Strike2/BR234^2*BZ234/10%),0)</f>
        <v>0</v>
      </c>
      <c r="CL234" s="470" t="n">
        <f aca="false">IF(BD234,(xCrudeAPO(BU234,BV234,CC234,CD234,S235,S236,BI234,BL234,BP234,BQ234,0,Strike2,AO234,CE234,0,BL234,IF(OptControl=3,1,0),3,1)+xCrudeAPO(BU234,BV234,CC234,CD234,S235,S236,BI234,BL234,BP234,BQ234,0,Strike2,AO234,CE234,0,BL234,IF(OptControl=3,1,0),3,2))/100,0)</f>
        <v>0</v>
      </c>
      <c r="CM234" s="472" t="n">
        <f aca="false">IF(BD234,xCrudeAPO(BU234,BV234,CC234,CD234,S235,S236,BI234-DaysForThetaCalculation/365.25,BL234-DaysForThetaCalculation/365.25,BP234,BQ234,0,Strike2,AO234,CE234,0,BL234,IF(OptControl=3,1,0),0,1)-xCrudeAPO(BU234,BV234,CC234,CD234,S235,S236,BI234,BL234,BP234,BQ234,0,Strike2,AO234,CE234,0,BL234,IF(OptControl=3,1,0),0,1),0)</f>
        <v>0</v>
      </c>
      <c r="CN234" s="3"/>
      <c r="CO234" s="543" t="str">
        <f aca="false">IF(BD234,CHOOSE(Underlying,AD234,AF234)-DateToday+1,"")</f>
        <v/>
      </c>
      <c r="CP234" s="582" t="str">
        <f aca="false">IF(BD234,CHOOSE(Underlying,L234,R234),"")</f>
        <v/>
      </c>
      <c r="CQ234" s="544" t="str">
        <f aca="false">IF(BD234,Strike1/CP234-1,"")</f>
        <v/>
      </c>
      <c r="CR234" s="544" t="str">
        <f aca="false">IF(BD234,Strike2/CP234-1,"")</f>
        <v/>
      </c>
      <c r="CS234" s="544" t="str">
        <f aca="false">IF(BD234,IF(CQ234&gt;0,IF(CQ234&gt;0.2,BC233-BB233,IF(CQ234&gt;0.1,BB233-BA233,BA233)),IF(CQ234&lt;-0.2,AX233-AY233,IF(CQ234&lt;-0.1,AY233-AZ233,AZ233))),"")</f>
        <v/>
      </c>
      <c r="CT234" s="544" t="str">
        <f aca="false">IF(BD234,IF(CR234&gt;0,IF(CR234&gt;0.2,BC233-BB233,IF(CR234&gt;0.1,BB233-BA233,BA233)),IF(CR234&lt;-0.2,AX233-AY233,IF(CR234&lt;-0.1,AY233-AZ233,AZ233))),"")</f>
        <v/>
      </c>
      <c r="CU234" s="545" t="str">
        <f aca="false">IF(BD234,CHOOSE(Underlying,O234,AT234),"")</f>
        <v/>
      </c>
      <c r="CV234" s="545" t="str">
        <f aca="false">IF(BD234,CU234+IF(VolSkewFlag=1,IF(CQ234&gt;0,BA233*MIN(CQ234/10%,1)+(BB233-BA233)*MAX(0,MIN(CQ234/10%-1,1))+(BC233-BB233)*MAX(0,CQ234/10%-2),AZ233*MIN(-CQ234/10%,1)+(AY233-AZ233)*MAX(0,MIN(-CQ234/10%-1,1))+(AX233-AY233)*MAX(0,-CQ234/10%-2)),0),"")</f>
        <v/>
      </c>
      <c r="CW234" s="545" t="str">
        <f aca="false">IF(BD234,CU234+IF(VolSkewFlag=1,IF(CR234&gt;0,BA233*MIN(CR234/10%,1)+(BB233-BA233)*MAX(0,MIN(CR234/10%-1,1))+(BC233-BB233)*MAX(0,CR234/10%-2),AZ233*MIN(-CR234/10%,1)+(AY233-AZ233)*MAX(0,MIN(-CR234/10%-1,1))+(AX233-AY233)*MAX(0,-CR234/10%-2)),0),"")</f>
        <v/>
      </c>
      <c r="CX234" s="470" t="n">
        <f aca="false">IF(BD234,EURO(CP234,Strike1,AO234,AO234,CV234,CO234,IF(OptControl=4,0,1),0),0)</f>
        <v>0</v>
      </c>
      <c r="CY234" s="470" t="n">
        <f aca="false">IF(BD234,EURO(CP234,Strike1,AO234,AO234,CV234,CO234,IF(OptControl=4,0,1),1)+IF(OR(VolSkewFlag=2,ABS(CQ234)&lt;0.0001),0,IF(CQ234&gt;0,-1,1)*CZ234*100*Strike1/CP234^2*CS234/10%),0)</f>
        <v>0</v>
      </c>
      <c r="CZ234" s="470" t="n">
        <f aca="false">IF(BD234,EURO(CP234,Strike1,AO234,AO234,CV234,CO234,IF(OptControl=4,0,1),3)/100,0)</f>
        <v>0</v>
      </c>
      <c r="DA234" s="470" t="n">
        <f aca="false">IF(BD234,EURO(CP234,Strike1,AO234,AO234,CV234,CO234,IF(OptControl=4,0,1),0)-EURO(CP234,Strike1,AO234,AO234,CV234,CO234-1,IF(OptControl=4,0,1),0),0)</f>
        <v>0</v>
      </c>
      <c r="DB234" s="470" t="n">
        <f aca="false">IF(BD234,EURO(CP234,Strike2,AO234,AO234,CW234,CO234,IF(OptControl=3,1,0),0),0)</f>
        <v>0</v>
      </c>
      <c r="DC234" s="470" t="n">
        <f aca="false">IF(BD234,EURO(CP234,Strike2,AO234,AO234,CW234,CO234,IF(OptControl=3,1,0),1)+IF(OR(VolSkewFlag=2,ABS(CR234)&lt;0.0001),0,IF(CR234&gt;0,-1,1)*DD234*100*Strike2/CP234^2*CT234/10%),0)</f>
        <v>0</v>
      </c>
      <c r="DD234" s="470" t="n">
        <f aca="false">IF(BD234,EURO(CP234,Strike2,AO234,AO234,CW234,CO234,IF(OptControl=3,1,0),3)/100,0)</f>
        <v>0</v>
      </c>
      <c r="DE234" s="472" t="n">
        <f aca="false">IF(BD234,EURO(CP234,Strike2,AO234,AO234,CW234,CO234,IF(OptControl=3,1,0),0)-EURO(CP234,Strike2,AO234,AO234,CW234,CO234-1,IF(OptControl=3,1,0),0),0)</f>
        <v>0</v>
      </c>
      <c r="DG234" s="481" t="n">
        <f aca="false">EOMONTH(DG233,0)+1</f>
        <v>52201</v>
      </c>
      <c r="DH234" s="478" t="n">
        <v>24.8600000000001</v>
      </c>
      <c r="DI234" s="479" t="n">
        <v>24.9250000000001</v>
      </c>
      <c r="DJ234" s="480" t="n">
        <f aca="false">DG234</f>
        <v>52201</v>
      </c>
      <c r="DK234" s="478" t="n">
        <v>23.6578721960062</v>
      </c>
      <c r="DL234" s="479" t="n">
        <v>23.7319000000001</v>
      </c>
      <c r="DM234" s="481" t="n">
        <f aca="false">DG234</f>
        <v>52201</v>
      </c>
      <c r="DN234" s="482" t="n">
        <f aca="false">DK234+BrentPhyBrentSpread</f>
        <v>23.7078721960062</v>
      </c>
      <c r="DO234" s="481" t="n">
        <f aca="false">DG234</f>
        <v>52201</v>
      </c>
      <c r="DP234" s="483" t="n">
        <f aca="false">DL234+DQ234</f>
        <v>23.7319000000001</v>
      </c>
      <c r="DQ234" s="546" t="n">
        <v>0</v>
      </c>
      <c r="DR234" s="480" t="n">
        <f aca="false">DG234</f>
        <v>52201</v>
      </c>
      <c r="DS234" s="485" t="n">
        <v>0.096199999999998</v>
      </c>
      <c r="DT234" s="486" t="n">
        <v>0.095419999999998</v>
      </c>
      <c r="DU234" s="480" t="n">
        <f aca="false">DG234</f>
        <v>52201</v>
      </c>
      <c r="DV234" s="485" t="n">
        <v>0.096199999999998</v>
      </c>
      <c r="DW234" s="486" t="n">
        <v>0.095419999999998</v>
      </c>
      <c r="DX234" s="481" t="n">
        <f aca="false">DG234</f>
        <v>52201</v>
      </c>
      <c r="DY234" s="486" t="n">
        <v>0.35</v>
      </c>
      <c r="DZ234" s="481" t="n">
        <f aca="false">DR234</f>
        <v>52201</v>
      </c>
      <c r="EA234" s="486" t="n">
        <f aca="false">DT234</f>
        <v>0.095419999999998</v>
      </c>
      <c r="EB234" s="195"/>
      <c r="EC234" s="547" t="str">
        <f aca="false">IF(BD234,IF(Underlying=1,AS234,AU234),"")</f>
        <v/>
      </c>
      <c r="ED234" s="548" t="str">
        <f aca="false">IF($BD234,$EC234+IF(VolSkewFlag=1,IF(BS234&gt;0,$BA234*MIN(BS234/10%,1)+($BB234-$BA234)*MAX(0,MIN(BS234/10%-1,1))+($BC234-$BB234)*MAX(0,BS234/10%-2),$AZ234*MIN(-BS234/10%,1)+($AY234-$AZ234)*MAX(0,MIN(-BS234/10%-1,1))+($AX234-$AY234)*MAX(0,-BS234/10%-2)),0),"")</f>
        <v/>
      </c>
      <c r="EE234" s="549" t="str">
        <f aca="false">IF($BD234,$EC234+IF(VolSkewFlag=1,IF(BT234&gt;0,$BA234*MIN(BT234/10%,1)+($BB234-$BA234)*MAX(0,MIN(BT234/10%-1,1))+($BC234-$BB234)*MAX(0,BT234/10%-2),$AZ234*MIN(-BT234/10%,1)+($AY234-$AZ234)*MAX(0,MIN(-BT234/10%-1,1))+($AX234-$AY234)*MAX(0,-BT234/10%-2)),0),"")</f>
        <v/>
      </c>
      <c r="EF234" s="550" t="n">
        <f aca="false">IF(BD234,xASN(BR234,Strike1,AO234,ED234,0,BO234,0,BI234,BL234,IF(OptControl=4,0,1),0),0)</f>
        <v>0</v>
      </c>
      <c r="EG234" s="551" t="n">
        <f aca="false">IF(BD234,xASN(BR234,Strike2,AO234,EE234,0,BO234,0,BI234,BL234,IF(OptControl=3,1,0),0),0)</f>
        <v>0</v>
      </c>
      <c r="EL234" s="1"/>
      <c r="EM234" s="195"/>
      <c r="EN234" s="240"/>
      <c r="EO234" s="240"/>
      <c r="EP234" s="195"/>
      <c r="EQ234" s="407" t="s">
        <v>462</v>
      </c>
      <c r="ES234" s="1"/>
      <c r="EU234" s="672"/>
      <c r="FJ234" s="571" t="n">
        <v>65</v>
      </c>
      <c r="FK234" s="150" t="str">
        <f aca="false">IF(OR(FK$169&lt;SwaptionFirstMonthPosition+1,$FJ234&lt;SwaptionFirstMonthPosition+1,FK$169&gt;SwaptionFirstMonthPosition+SwaptionNumOfMonths+1,$FJ234&gt;SwaptionFirstMonthPosition+SwaptionNumOfMonths+1),"",IF($FJ234=FK$169,1,IF($FJ234&lt;FK$169,INDEX($FK$170:$ID$241,FK$169,$FJ234),SUMPRODUCT(INDEX($FK$325:$ID$396,FK$169,1+SwaptionShift):INDEX($FK$325:$ID$396,FK$169,SwaptionMonthsToGo+SwaptionShift),INDEX($FK$245:$ID$316,$FJ234-FK$169,73-FK$169+SwaptionShift):INDEX($FK$245:$ID$316,$FJ234-FK$169,72-FK$169+SwaptionMonthsToGo+SwaptionShift))/SQRT(SUM(INDEX($FK389:$ID389,1+SwaptionShift):INDEX($FK389:$ID389,SwaptionMonthsToGo+SwaptionShift))*SUM(INDEX($FK$325:$ID$396,FK$169,1+SwaptionShift):INDEX($FK$325:$ID$396,FK$169,SwaptionMonthsToGo+SwaptionShift))))))</f>
        <v/>
      </c>
      <c r="FL234" s="150" t="str">
        <f aca="false">IF(OR(FL$169&lt;SwaptionFirstMonthPosition+1,$FJ234&lt;SwaptionFirstMonthPosition+1,FL$169&gt;SwaptionFirstMonthPosition+SwaptionNumOfMonths+1,$FJ234&gt;SwaptionFirstMonthPosition+SwaptionNumOfMonths+1),"",IF($FJ234=FL$169,1,IF($FJ234&lt;FL$169,INDEX($FK$170:$ID$241,FL$169,$FJ234),SUMPRODUCT(INDEX($FK$325:$ID$396,FL$169,1+SwaptionShift):INDEX($FK$325:$ID$396,FL$169,SwaptionMonthsToGo+SwaptionShift),INDEX($FK$245:$ID$316,$FJ234-FL$169,73-FL$169+SwaptionShift):INDEX($FK$245:$ID$316,$FJ234-FL$169,72-FL$169+SwaptionMonthsToGo+SwaptionShift))/SQRT(SUM(INDEX($FK389:$ID389,1+SwaptionShift):INDEX($FK389:$ID389,SwaptionMonthsToGo+SwaptionShift))*SUM(INDEX($FK$325:$ID$396,FL$169,1+SwaptionShift):INDEX($FK$325:$ID$396,FL$169,SwaptionMonthsToGo+SwaptionShift))))))</f>
        <v/>
      </c>
      <c r="FM234" s="150" t="str">
        <f aca="false">IF(OR(FM$169&lt;SwaptionFirstMonthPosition+1,$FJ234&lt;SwaptionFirstMonthPosition+1,FM$169&gt;SwaptionFirstMonthPosition+SwaptionNumOfMonths+1,$FJ234&gt;SwaptionFirstMonthPosition+SwaptionNumOfMonths+1),"",IF($FJ234=FM$169,1,IF($FJ234&lt;FM$169,INDEX($FK$170:$ID$241,FM$169,$FJ234),SUMPRODUCT(INDEX($FK$325:$ID$396,FM$169,1+SwaptionShift):INDEX($FK$325:$ID$396,FM$169,SwaptionMonthsToGo+SwaptionShift),INDEX($FK$245:$ID$316,$FJ234-FM$169,73-FM$169+SwaptionShift):INDEX($FK$245:$ID$316,$FJ234-FM$169,72-FM$169+SwaptionMonthsToGo+SwaptionShift))/SQRT(SUM(INDEX($FK389:$ID389,1+SwaptionShift):INDEX($FK389:$ID389,SwaptionMonthsToGo+SwaptionShift))*SUM(INDEX($FK$325:$ID$396,FM$169,1+SwaptionShift):INDEX($FK$325:$ID$396,FM$169,SwaptionMonthsToGo+SwaptionShift))))))</f>
        <v/>
      </c>
      <c r="FN234" s="150" t="str">
        <f aca="false">IF(OR(FN$169&lt;SwaptionFirstMonthPosition+1,$FJ234&lt;SwaptionFirstMonthPosition+1,FN$169&gt;SwaptionFirstMonthPosition+SwaptionNumOfMonths+1,$FJ234&gt;SwaptionFirstMonthPosition+SwaptionNumOfMonths+1),"",IF($FJ234=FN$169,1,IF($FJ234&lt;FN$169,INDEX($FK$170:$ID$241,FN$169,$FJ234),SUMPRODUCT(INDEX($FK$325:$ID$396,FN$169,1+SwaptionShift):INDEX($FK$325:$ID$396,FN$169,SwaptionMonthsToGo+SwaptionShift),INDEX($FK$245:$ID$316,$FJ234-FN$169,73-FN$169+SwaptionShift):INDEX($FK$245:$ID$316,$FJ234-FN$169,72-FN$169+SwaptionMonthsToGo+SwaptionShift))/SQRT(SUM(INDEX($FK389:$ID389,1+SwaptionShift):INDEX($FK389:$ID389,SwaptionMonthsToGo+SwaptionShift))*SUM(INDEX($FK$325:$ID$396,FN$169,1+SwaptionShift):INDEX($FK$325:$ID$396,FN$169,SwaptionMonthsToGo+SwaptionShift))))))</f>
        <v/>
      </c>
      <c r="FO234" s="150" t="str">
        <f aca="false">IF(OR(FO$169&lt;SwaptionFirstMonthPosition+1,$FJ234&lt;SwaptionFirstMonthPosition+1,FO$169&gt;SwaptionFirstMonthPosition+SwaptionNumOfMonths+1,$FJ234&gt;SwaptionFirstMonthPosition+SwaptionNumOfMonths+1),"",IF($FJ234=FO$169,1,IF($FJ234&lt;FO$169,INDEX($FK$170:$ID$241,FO$169,$FJ234),SUMPRODUCT(INDEX($FK$325:$ID$396,FO$169,1+SwaptionShift):INDEX($FK$325:$ID$396,FO$169,SwaptionMonthsToGo+SwaptionShift),INDEX($FK$245:$ID$316,$FJ234-FO$169,73-FO$169+SwaptionShift):INDEX($FK$245:$ID$316,$FJ234-FO$169,72-FO$169+SwaptionMonthsToGo+SwaptionShift))/SQRT(SUM(INDEX($FK389:$ID389,1+SwaptionShift):INDEX($FK389:$ID389,SwaptionMonthsToGo+SwaptionShift))*SUM(INDEX($FK$325:$ID$396,FO$169,1+SwaptionShift):INDEX($FK$325:$ID$396,FO$169,SwaptionMonthsToGo+SwaptionShift))))))</f>
        <v/>
      </c>
      <c r="FP234" s="150" t="str">
        <f aca="false">IF(OR(FP$169&lt;SwaptionFirstMonthPosition+1,$FJ234&lt;SwaptionFirstMonthPosition+1,FP$169&gt;SwaptionFirstMonthPosition+SwaptionNumOfMonths+1,$FJ234&gt;SwaptionFirstMonthPosition+SwaptionNumOfMonths+1),"",IF($FJ234=FP$169,1,IF($FJ234&lt;FP$169,INDEX($FK$170:$ID$241,FP$169,$FJ234),SUMPRODUCT(INDEX($FK$325:$ID$396,FP$169,1+SwaptionShift):INDEX($FK$325:$ID$396,FP$169,SwaptionMonthsToGo+SwaptionShift),INDEX($FK$245:$ID$316,$FJ234-FP$169,73-FP$169+SwaptionShift):INDEX($FK$245:$ID$316,$FJ234-FP$169,72-FP$169+SwaptionMonthsToGo+SwaptionShift))/SQRT(SUM(INDEX($FK389:$ID389,1+SwaptionShift):INDEX($FK389:$ID389,SwaptionMonthsToGo+SwaptionShift))*SUM(INDEX($FK$325:$ID$396,FP$169,1+SwaptionShift):INDEX($FK$325:$ID$396,FP$169,SwaptionMonthsToGo+SwaptionShift))))))</f>
        <v/>
      </c>
      <c r="FQ234" s="150" t="str">
        <f aca="false">IF(OR(FQ$169&lt;SwaptionFirstMonthPosition+1,$FJ234&lt;SwaptionFirstMonthPosition+1,FQ$169&gt;SwaptionFirstMonthPosition+SwaptionNumOfMonths+1,$FJ234&gt;SwaptionFirstMonthPosition+SwaptionNumOfMonths+1),"",IF($FJ234=FQ$169,1,IF($FJ234&lt;FQ$169,INDEX($FK$170:$ID$241,FQ$169,$FJ234),SUMPRODUCT(INDEX($FK$325:$ID$396,FQ$169,1+SwaptionShift):INDEX($FK$325:$ID$396,FQ$169,SwaptionMonthsToGo+SwaptionShift),INDEX($FK$245:$ID$316,$FJ234-FQ$169,73-FQ$169+SwaptionShift):INDEX($FK$245:$ID$316,$FJ234-FQ$169,72-FQ$169+SwaptionMonthsToGo+SwaptionShift))/SQRT(SUM(INDEX($FK389:$ID389,1+SwaptionShift):INDEX($FK389:$ID389,SwaptionMonthsToGo+SwaptionShift))*SUM(INDEX($FK$325:$ID$396,FQ$169,1+SwaptionShift):INDEX($FK$325:$ID$396,FQ$169,SwaptionMonthsToGo+SwaptionShift))))))</f>
        <v/>
      </c>
      <c r="FR234" s="150" t="str">
        <f aca="false">IF(OR(FR$169&lt;SwaptionFirstMonthPosition+1,$FJ234&lt;SwaptionFirstMonthPosition+1,FR$169&gt;SwaptionFirstMonthPosition+SwaptionNumOfMonths+1,$FJ234&gt;SwaptionFirstMonthPosition+SwaptionNumOfMonths+1),"",IF($FJ234=FR$169,1,IF($FJ234&lt;FR$169,INDEX($FK$170:$ID$241,FR$169,$FJ234),SUMPRODUCT(INDEX($FK$325:$ID$396,FR$169,1+SwaptionShift):INDEX($FK$325:$ID$396,FR$169,SwaptionMonthsToGo+SwaptionShift),INDEX($FK$245:$ID$316,$FJ234-FR$169,73-FR$169+SwaptionShift):INDEX($FK$245:$ID$316,$FJ234-FR$169,72-FR$169+SwaptionMonthsToGo+SwaptionShift))/SQRT(SUM(INDEX($FK389:$ID389,1+SwaptionShift):INDEX($FK389:$ID389,SwaptionMonthsToGo+SwaptionShift))*SUM(INDEX($FK$325:$ID$396,FR$169,1+SwaptionShift):INDEX($FK$325:$ID$396,FR$169,SwaptionMonthsToGo+SwaptionShift))))))</f>
        <v/>
      </c>
      <c r="FS234" s="150" t="str">
        <f aca="false">IF(OR(FS$169&lt;SwaptionFirstMonthPosition+1,$FJ234&lt;SwaptionFirstMonthPosition+1,FS$169&gt;SwaptionFirstMonthPosition+SwaptionNumOfMonths+1,$FJ234&gt;SwaptionFirstMonthPosition+SwaptionNumOfMonths+1),"",IF($FJ234=FS$169,1,IF($FJ234&lt;FS$169,INDEX($FK$170:$ID$241,FS$169,$FJ234),SUMPRODUCT(INDEX($FK$325:$ID$396,FS$169,1+SwaptionShift):INDEX($FK$325:$ID$396,FS$169,SwaptionMonthsToGo+SwaptionShift),INDEX($FK$245:$ID$316,$FJ234-FS$169,73-FS$169+SwaptionShift):INDEX($FK$245:$ID$316,$FJ234-FS$169,72-FS$169+SwaptionMonthsToGo+SwaptionShift))/SQRT(SUM(INDEX($FK389:$ID389,1+SwaptionShift):INDEX($FK389:$ID389,SwaptionMonthsToGo+SwaptionShift))*SUM(INDEX($FK$325:$ID$396,FS$169,1+SwaptionShift):INDEX($FK$325:$ID$396,FS$169,SwaptionMonthsToGo+SwaptionShift))))))</f>
        <v/>
      </c>
      <c r="FT234" s="150" t="str">
        <f aca="false">IF(OR(FT$169&lt;SwaptionFirstMonthPosition+1,$FJ234&lt;SwaptionFirstMonthPosition+1,FT$169&gt;SwaptionFirstMonthPosition+SwaptionNumOfMonths+1,$FJ234&gt;SwaptionFirstMonthPosition+SwaptionNumOfMonths+1),"",IF($FJ234=FT$169,1,IF($FJ234&lt;FT$169,INDEX($FK$170:$ID$241,FT$169,$FJ234),SUMPRODUCT(INDEX($FK$325:$ID$396,FT$169,1+SwaptionShift):INDEX($FK$325:$ID$396,FT$169,SwaptionMonthsToGo+SwaptionShift),INDEX($FK$245:$ID$316,$FJ234-FT$169,73-FT$169+SwaptionShift):INDEX($FK$245:$ID$316,$FJ234-FT$169,72-FT$169+SwaptionMonthsToGo+SwaptionShift))/SQRT(SUM(INDEX($FK389:$ID389,1+SwaptionShift):INDEX($FK389:$ID389,SwaptionMonthsToGo+SwaptionShift))*SUM(INDEX($FK$325:$ID$396,FT$169,1+SwaptionShift):INDEX($FK$325:$ID$396,FT$169,SwaptionMonthsToGo+SwaptionShift))))))</f>
        <v/>
      </c>
      <c r="FU234" s="150" t="str">
        <f aca="false">IF(OR(FU$169&lt;SwaptionFirstMonthPosition+1,$FJ234&lt;SwaptionFirstMonthPosition+1,FU$169&gt;SwaptionFirstMonthPosition+SwaptionNumOfMonths+1,$FJ234&gt;SwaptionFirstMonthPosition+SwaptionNumOfMonths+1),"",IF($FJ234=FU$169,1,IF($FJ234&lt;FU$169,INDEX($FK$170:$ID$241,FU$169,$FJ234),SUMPRODUCT(INDEX($FK$325:$ID$396,FU$169,1+SwaptionShift):INDEX($FK$325:$ID$396,FU$169,SwaptionMonthsToGo+SwaptionShift),INDEX($FK$245:$ID$316,$FJ234-FU$169,73-FU$169+SwaptionShift):INDEX($FK$245:$ID$316,$FJ234-FU$169,72-FU$169+SwaptionMonthsToGo+SwaptionShift))/SQRT(SUM(INDEX($FK389:$ID389,1+SwaptionShift):INDEX($FK389:$ID389,SwaptionMonthsToGo+SwaptionShift))*SUM(INDEX($FK$325:$ID$396,FU$169,1+SwaptionShift):INDEX($FK$325:$ID$396,FU$169,SwaptionMonthsToGo+SwaptionShift))))))</f>
        <v/>
      </c>
      <c r="FV234" s="150" t="str">
        <f aca="false">IF(OR(FV$169&lt;SwaptionFirstMonthPosition+1,$FJ234&lt;SwaptionFirstMonthPosition+1,FV$169&gt;SwaptionFirstMonthPosition+SwaptionNumOfMonths+1,$FJ234&gt;SwaptionFirstMonthPosition+SwaptionNumOfMonths+1),"",IF($FJ234=FV$169,1,IF($FJ234&lt;FV$169,INDEX($FK$170:$ID$241,FV$169,$FJ234),SUMPRODUCT(INDEX($FK$325:$ID$396,FV$169,1+SwaptionShift):INDEX($FK$325:$ID$396,FV$169,SwaptionMonthsToGo+SwaptionShift),INDEX($FK$245:$ID$316,$FJ234-FV$169,73-FV$169+SwaptionShift):INDEX($FK$245:$ID$316,$FJ234-FV$169,72-FV$169+SwaptionMonthsToGo+SwaptionShift))/SQRT(SUM(INDEX($FK389:$ID389,1+SwaptionShift):INDEX($FK389:$ID389,SwaptionMonthsToGo+SwaptionShift))*SUM(INDEX($FK$325:$ID$396,FV$169,1+SwaptionShift):INDEX($FK$325:$ID$396,FV$169,SwaptionMonthsToGo+SwaptionShift))))))</f>
        <v/>
      </c>
      <c r="FW234" s="150" t="str">
        <f aca="false">IF(OR(FW$169&lt;SwaptionFirstMonthPosition+1,$FJ234&lt;SwaptionFirstMonthPosition+1,FW$169&gt;SwaptionFirstMonthPosition+SwaptionNumOfMonths+1,$FJ234&gt;SwaptionFirstMonthPosition+SwaptionNumOfMonths+1),"",IF($FJ234=FW$169,1,IF($FJ234&lt;FW$169,INDEX($FK$170:$ID$241,FW$169,$FJ234),SUMPRODUCT(INDEX($FK$325:$ID$396,FW$169,1+SwaptionShift):INDEX($FK$325:$ID$396,FW$169,SwaptionMonthsToGo+SwaptionShift),INDEX($FK$245:$ID$316,$FJ234-FW$169,73-FW$169+SwaptionShift):INDEX($FK$245:$ID$316,$FJ234-FW$169,72-FW$169+SwaptionMonthsToGo+SwaptionShift))/SQRT(SUM(INDEX($FK389:$ID389,1+SwaptionShift):INDEX($FK389:$ID389,SwaptionMonthsToGo+SwaptionShift))*SUM(INDEX($FK$325:$ID$396,FW$169,1+SwaptionShift):INDEX($FK$325:$ID$396,FW$169,SwaptionMonthsToGo+SwaptionShift))))))</f>
        <v/>
      </c>
      <c r="FX234" s="150" t="str">
        <f aca="false">IF(OR(FX$169&lt;SwaptionFirstMonthPosition+1,$FJ234&lt;SwaptionFirstMonthPosition+1,FX$169&gt;SwaptionFirstMonthPosition+SwaptionNumOfMonths+1,$FJ234&gt;SwaptionFirstMonthPosition+SwaptionNumOfMonths+1),"",IF($FJ234=FX$169,1,IF($FJ234&lt;FX$169,INDEX($FK$170:$ID$241,FX$169,$FJ234),SUMPRODUCT(INDEX($FK$325:$ID$396,FX$169,1+SwaptionShift):INDEX($FK$325:$ID$396,FX$169,SwaptionMonthsToGo+SwaptionShift),INDEX($FK$245:$ID$316,$FJ234-FX$169,73-FX$169+SwaptionShift):INDEX($FK$245:$ID$316,$FJ234-FX$169,72-FX$169+SwaptionMonthsToGo+SwaptionShift))/SQRT(SUM(INDEX($FK389:$ID389,1+SwaptionShift):INDEX($FK389:$ID389,SwaptionMonthsToGo+SwaptionShift))*SUM(INDEX($FK$325:$ID$396,FX$169,1+SwaptionShift):INDEX($FK$325:$ID$396,FX$169,SwaptionMonthsToGo+SwaptionShift))))))</f>
        <v/>
      </c>
      <c r="FY234" s="150" t="str">
        <f aca="false">IF(OR(FY$169&lt;SwaptionFirstMonthPosition+1,$FJ234&lt;SwaptionFirstMonthPosition+1,FY$169&gt;SwaptionFirstMonthPosition+SwaptionNumOfMonths+1,$FJ234&gt;SwaptionFirstMonthPosition+SwaptionNumOfMonths+1),"",IF($FJ234=FY$169,1,IF($FJ234&lt;FY$169,INDEX($FK$170:$ID$241,FY$169,$FJ234),SUMPRODUCT(INDEX($FK$325:$ID$396,FY$169,1+SwaptionShift):INDEX($FK$325:$ID$396,FY$169,SwaptionMonthsToGo+SwaptionShift),INDEX($FK$245:$ID$316,$FJ234-FY$169,73-FY$169+SwaptionShift):INDEX($FK$245:$ID$316,$FJ234-FY$169,72-FY$169+SwaptionMonthsToGo+SwaptionShift))/SQRT(SUM(INDEX($FK389:$ID389,1+SwaptionShift):INDEX($FK389:$ID389,SwaptionMonthsToGo+SwaptionShift))*SUM(INDEX($FK$325:$ID$396,FY$169,1+SwaptionShift):INDEX($FK$325:$ID$396,FY$169,SwaptionMonthsToGo+SwaptionShift))))))</f>
        <v/>
      </c>
      <c r="FZ234" s="150" t="str">
        <f aca="false">IF(OR(FZ$169&lt;SwaptionFirstMonthPosition+1,$FJ234&lt;SwaptionFirstMonthPosition+1,FZ$169&gt;SwaptionFirstMonthPosition+SwaptionNumOfMonths+1,$FJ234&gt;SwaptionFirstMonthPosition+SwaptionNumOfMonths+1),"",IF($FJ234=FZ$169,1,IF($FJ234&lt;FZ$169,INDEX($FK$170:$ID$241,FZ$169,$FJ234),SUMPRODUCT(INDEX($FK$325:$ID$396,FZ$169,1+SwaptionShift):INDEX($FK$325:$ID$396,FZ$169,SwaptionMonthsToGo+SwaptionShift),INDEX($FK$245:$ID$316,$FJ234-FZ$169,73-FZ$169+SwaptionShift):INDEX($FK$245:$ID$316,$FJ234-FZ$169,72-FZ$169+SwaptionMonthsToGo+SwaptionShift))/SQRT(SUM(INDEX($FK389:$ID389,1+SwaptionShift):INDEX($FK389:$ID389,SwaptionMonthsToGo+SwaptionShift))*SUM(INDEX($FK$325:$ID$396,FZ$169,1+SwaptionShift):INDEX($FK$325:$ID$396,FZ$169,SwaptionMonthsToGo+SwaptionShift))))))</f>
        <v/>
      </c>
      <c r="GA234" s="150" t="str">
        <f aca="false">IF(OR(GA$169&lt;SwaptionFirstMonthPosition+1,$FJ234&lt;SwaptionFirstMonthPosition+1,GA$169&gt;SwaptionFirstMonthPosition+SwaptionNumOfMonths+1,$FJ234&gt;SwaptionFirstMonthPosition+SwaptionNumOfMonths+1),"",IF($FJ234=GA$169,1,IF($FJ234&lt;GA$169,INDEX($FK$170:$ID$241,GA$169,$FJ234),SUMPRODUCT(INDEX($FK$325:$ID$396,GA$169,1+SwaptionShift):INDEX($FK$325:$ID$396,GA$169,SwaptionMonthsToGo+SwaptionShift),INDEX($FK$245:$ID$316,$FJ234-GA$169,73-GA$169+SwaptionShift):INDEX($FK$245:$ID$316,$FJ234-GA$169,72-GA$169+SwaptionMonthsToGo+SwaptionShift))/SQRT(SUM(INDEX($FK389:$ID389,1+SwaptionShift):INDEX($FK389:$ID389,SwaptionMonthsToGo+SwaptionShift))*SUM(INDEX($FK$325:$ID$396,GA$169,1+SwaptionShift):INDEX($FK$325:$ID$396,GA$169,SwaptionMonthsToGo+SwaptionShift))))))</f>
        <v/>
      </c>
      <c r="GB234" s="150" t="str">
        <f aca="false">IF(OR(GB$169&lt;SwaptionFirstMonthPosition+1,$FJ234&lt;SwaptionFirstMonthPosition+1,GB$169&gt;SwaptionFirstMonthPosition+SwaptionNumOfMonths+1,$FJ234&gt;SwaptionFirstMonthPosition+SwaptionNumOfMonths+1),"",IF($FJ234=GB$169,1,IF($FJ234&lt;GB$169,INDEX($FK$170:$ID$241,GB$169,$FJ234),SUMPRODUCT(INDEX($FK$325:$ID$396,GB$169,1+SwaptionShift):INDEX($FK$325:$ID$396,GB$169,SwaptionMonthsToGo+SwaptionShift),INDEX($FK$245:$ID$316,$FJ234-GB$169,73-GB$169+SwaptionShift):INDEX($FK$245:$ID$316,$FJ234-GB$169,72-GB$169+SwaptionMonthsToGo+SwaptionShift))/SQRT(SUM(INDEX($FK389:$ID389,1+SwaptionShift):INDEX($FK389:$ID389,SwaptionMonthsToGo+SwaptionShift))*SUM(INDEX($FK$325:$ID$396,GB$169,1+SwaptionShift):INDEX($FK$325:$ID$396,GB$169,SwaptionMonthsToGo+SwaptionShift))))))</f>
        <v/>
      </c>
      <c r="GC234" s="150" t="str">
        <f aca="false">IF(OR(GC$169&lt;SwaptionFirstMonthPosition+1,$FJ234&lt;SwaptionFirstMonthPosition+1,GC$169&gt;SwaptionFirstMonthPosition+SwaptionNumOfMonths+1,$FJ234&gt;SwaptionFirstMonthPosition+SwaptionNumOfMonths+1),"",IF($FJ234=GC$169,1,IF($FJ234&lt;GC$169,INDEX($FK$170:$ID$241,GC$169,$FJ234),SUMPRODUCT(INDEX($FK$325:$ID$396,GC$169,1+SwaptionShift):INDEX($FK$325:$ID$396,GC$169,SwaptionMonthsToGo+SwaptionShift),INDEX($FK$245:$ID$316,$FJ234-GC$169,73-GC$169+SwaptionShift):INDEX($FK$245:$ID$316,$FJ234-GC$169,72-GC$169+SwaptionMonthsToGo+SwaptionShift))/SQRT(SUM(INDEX($FK389:$ID389,1+SwaptionShift):INDEX($FK389:$ID389,SwaptionMonthsToGo+SwaptionShift))*SUM(INDEX($FK$325:$ID$396,GC$169,1+SwaptionShift):INDEX($FK$325:$ID$396,GC$169,SwaptionMonthsToGo+SwaptionShift))))))</f>
        <v/>
      </c>
      <c r="GD234" s="150" t="str">
        <f aca="false">IF(OR(GD$169&lt;SwaptionFirstMonthPosition+1,$FJ234&lt;SwaptionFirstMonthPosition+1,GD$169&gt;SwaptionFirstMonthPosition+SwaptionNumOfMonths+1,$FJ234&gt;SwaptionFirstMonthPosition+SwaptionNumOfMonths+1),"",IF($FJ234=GD$169,1,IF($FJ234&lt;GD$169,INDEX($FK$170:$ID$241,GD$169,$FJ234),SUMPRODUCT(INDEX($FK$325:$ID$396,GD$169,1+SwaptionShift):INDEX($FK$325:$ID$396,GD$169,SwaptionMonthsToGo+SwaptionShift),INDEX($FK$245:$ID$316,$FJ234-GD$169,73-GD$169+SwaptionShift):INDEX($FK$245:$ID$316,$FJ234-GD$169,72-GD$169+SwaptionMonthsToGo+SwaptionShift))/SQRT(SUM(INDEX($FK389:$ID389,1+SwaptionShift):INDEX($FK389:$ID389,SwaptionMonthsToGo+SwaptionShift))*SUM(INDEX($FK$325:$ID$396,GD$169,1+SwaptionShift):INDEX($FK$325:$ID$396,GD$169,SwaptionMonthsToGo+SwaptionShift))))))</f>
        <v/>
      </c>
      <c r="GE234" s="150" t="str">
        <f aca="false">IF(OR(GE$169&lt;SwaptionFirstMonthPosition+1,$FJ234&lt;SwaptionFirstMonthPosition+1,GE$169&gt;SwaptionFirstMonthPosition+SwaptionNumOfMonths+1,$FJ234&gt;SwaptionFirstMonthPosition+SwaptionNumOfMonths+1),"",IF($FJ234=GE$169,1,IF($FJ234&lt;GE$169,INDEX($FK$170:$ID$241,GE$169,$FJ234),SUMPRODUCT(INDEX($FK$325:$ID$396,GE$169,1+SwaptionShift):INDEX($FK$325:$ID$396,GE$169,SwaptionMonthsToGo+SwaptionShift),INDEX($FK$245:$ID$316,$FJ234-GE$169,73-GE$169+SwaptionShift):INDEX($FK$245:$ID$316,$FJ234-GE$169,72-GE$169+SwaptionMonthsToGo+SwaptionShift))/SQRT(SUM(INDEX($FK389:$ID389,1+SwaptionShift):INDEX($FK389:$ID389,SwaptionMonthsToGo+SwaptionShift))*SUM(INDEX($FK$325:$ID$396,GE$169,1+SwaptionShift):INDEX($FK$325:$ID$396,GE$169,SwaptionMonthsToGo+SwaptionShift))))))</f>
        <v/>
      </c>
      <c r="GF234" s="150" t="str">
        <f aca="false">IF(OR(GF$169&lt;SwaptionFirstMonthPosition+1,$FJ234&lt;SwaptionFirstMonthPosition+1,GF$169&gt;SwaptionFirstMonthPosition+SwaptionNumOfMonths+1,$FJ234&gt;SwaptionFirstMonthPosition+SwaptionNumOfMonths+1),"",IF($FJ234=GF$169,1,IF($FJ234&lt;GF$169,INDEX($FK$170:$ID$241,GF$169,$FJ234),SUMPRODUCT(INDEX($FK$325:$ID$396,GF$169,1+SwaptionShift):INDEX($FK$325:$ID$396,GF$169,SwaptionMonthsToGo+SwaptionShift),INDEX($FK$245:$ID$316,$FJ234-GF$169,73-GF$169+SwaptionShift):INDEX($FK$245:$ID$316,$FJ234-GF$169,72-GF$169+SwaptionMonthsToGo+SwaptionShift))/SQRT(SUM(INDEX($FK389:$ID389,1+SwaptionShift):INDEX($FK389:$ID389,SwaptionMonthsToGo+SwaptionShift))*SUM(INDEX($FK$325:$ID$396,GF$169,1+SwaptionShift):INDEX($FK$325:$ID$396,GF$169,SwaptionMonthsToGo+SwaptionShift))))))</f>
        <v/>
      </c>
      <c r="GG234" s="150" t="str">
        <f aca="false">IF(OR(GG$169&lt;SwaptionFirstMonthPosition+1,$FJ234&lt;SwaptionFirstMonthPosition+1,GG$169&gt;SwaptionFirstMonthPosition+SwaptionNumOfMonths+1,$FJ234&gt;SwaptionFirstMonthPosition+SwaptionNumOfMonths+1),"",IF($FJ234=GG$169,1,IF($FJ234&lt;GG$169,INDEX($FK$170:$ID$241,GG$169,$FJ234),SUMPRODUCT(INDEX($FK$325:$ID$396,GG$169,1+SwaptionShift):INDEX($FK$325:$ID$396,GG$169,SwaptionMonthsToGo+SwaptionShift),INDEX($FK$245:$ID$316,$FJ234-GG$169,73-GG$169+SwaptionShift):INDEX($FK$245:$ID$316,$FJ234-GG$169,72-GG$169+SwaptionMonthsToGo+SwaptionShift))/SQRT(SUM(INDEX($FK389:$ID389,1+SwaptionShift):INDEX($FK389:$ID389,SwaptionMonthsToGo+SwaptionShift))*SUM(INDEX($FK$325:$ID$396,GG$169,1+SwaptionShift):INDEX($FK$325:$ID$396,GG$169,SwaptionMonthsToGo+SwaptionShift))))))</f>
        <v/>
      </c>
      <c r="GH234" s="150" t="str">
        <f aca="false">IF(OR(GH$169&lt;SwaptionFirstMonthPosition+1,$FJ234&lt;SwaptionFirstMonthPosition+1,GH$169&gt;SwaptionFirstMonthPosition+SwaptionNumOfMonths+1,$FJ234&gt;SwaptionFirstMonthPosition+SwaptionNumOfMonths+1),"",IF($FJ234=GH$169,1,IF($FJ234&lt;GH$169,INDEX($FK$170:$ID$241,GH$169,$FJ234),SUMPRODUCT(INDEX($FK$325:$ID$396,GH$169,1+SwaptionShift):INDEX($FK$325:$ID$396,GH$169,SwaptionMonthsToGo+SwaptionShift),INDEX($FK$245:$ID$316,$FJ234-GH$169,73-GH$169+SwaptionShift):INDEX($FK$245:$ID$316,$FJ234-GH$169,72-GH$169+SwaptionMonthsToGo+SwaptionShift))/SQRT(SUM(INDEX($FK389:$ID389,1+SwaptionShift):INDEX($FK389:$ID389,SwaptionMonthsToGo+SwaptionShift))*SUM(INDEX($FK$325:$ID$396,GH$169,1+SwaptionShift):INDEX($FK$325:$ID$396,GH$169,SwaptionMonthsToGo+SwaptionShift))))))</f>
        <v/>
      </c>
      <c r="GI234" s="150" t="str">
        <f aca="false">IF(OR(GI$169&lt;SwaptionFirstMonthPosition+1,$FJ234&lt;SwaptionFirstMonthPosition+1,GI$169&gt;SwaptionFirstMonthPosition+SwaptionNumOfMonths+1,$FJ234&gt;SwaptionFirstMonthPosition+SwaptionNumOfMonths+1),"",IF($FJ234=GI$169,1,IF($FJ234&lt;GI$169,INDEX($FK$170:$ID$241,GI$169,$FJ234),SUMPRODUCT(INDEX($FK$325:$ID$396,GI$169,1+SwaptionShift):INDEX($FK$325:$ID$396,GI$169,SwaptionMonthsToGo+SwaptionShift),INDEX($FK$245:$ID$316,$FJ234-GI$169,73-GI$169+SwaptionShift):INDEX($FK$245:$ID$316,$FJ234-GI$169,72-GI$169+SwaptionMonthsToGo+SwaptionShift))/SQRT(SUM(INDEX($FK389:$ID389,1+SwaptionShift):INDEX($FK389:$ID389,SwaptionMonthsToGo+SwaptionShift))*SUM(INDEX($FK$325:$ID$396,GI$169,1+SwaptionShift):INDEX($FK$325:$ID$396,GI$169,SwaptionMonthsToGo+SwaptionShift))))))</f>
        <v/>
      </c>
      <c r="GJ234" s="150" t="str">
        <f aca="false">IF(OR(GJ$169&lt;SwaptionFirstMonthPosition+1,$FJ234&lt;SwaptionFirstMonthPosition+1,GJ$169&gt;SwaptionFirstMonthPosition+SwaptionNumOfMonths+1,$FJ234&gt;SwaptionFirstMonthPosition+SwaptionNumOfMonths+1),"",IF($FJ234=GJ$169,1,IF($FJ234&lt;GJ$169,INDEX($FK$170:$ID$241,GJ$169,$FJ234),SUMPRODUCT(INDEX($FK$325:$ID$396,GJ$169,1+SwaptionShift):INDEX($FK$325:$ID$396,GJ$169,SwaptionMonthsToGo+SwaptionShift),INDEX($FK$245:$ID$316,$FJ234-GJ$169,73-GJ$169+SwaptionShift):INDEX($FK$245:$ID$316,$FJ234-GJ$169,72-GJ$169+SwaptionMonthsToGo+SwaptionShift))/SQRT(SUM(INDEX($FK389:$ID389,1+SwaptionShift):INDEX($FK389:$ID389,SwaptionMonthsToGo+SwaptionShift))*SUM(INDEX($FK$325:$ID$396,GJ$169,1+SwaptionShift):INDEX($FK$325:$ID$396,GJ$169,SwaptionMonthsToGo+SwaptionShift))))))</f>
        <v/>
      </c>
      <c r="GK234" s="150" t="str">
        <f aca="false">IF(OR(GK$169&lt;SwaptionFirstMonthPosition+1,$FJ234&lt;SwaptionFirstMonthPosition+1,GK$169&gt;SwaptionFirstMonthPosition+SwaptionNumOfMonths+1,$FJ234&gt;SwaptionFirstMonthPosition+SwaptionNumOfMonths+1),"",IF($FJ234=GK$169,1,IF($FJ234&lt;GK$169,INDEX($FK$170:$ID$241,GK$169,$FJ234),SUMPRODUCT(INDEX($FK$325:$ID$396,GK$169,1+SwaptionShift):INDEX($FK$325:$ID$396,GK$169,SwaptionMonthsToGo+SwaptionShift),INDEX($FK$245:$ID$316,$FJ234-GK$169,73-GK$169+SwaptionShift):INDEX($FK$245:$ID$316,$FJ234-GK$169,72-GK$169+SwaptionMonthsToGo+SwaptionShift))/SQRT(SUM(INDEX($FK389:$ID389,1+SwaptionShift):INDEX($FK389:$ID389,SwaptionMonthsToGo+SwaptionShift))*SUM(INDEX($FK$325:$ID$396,GK$169,1+SwaptionShift):INDEX($FK$325:$ID$396,GK$169,SwaptionMonthsToGo+SwaptionShift))))))</f>
        <v/>
      </c>
      <c r="GL234" s="150" t="str">
        <f aca="false">IF(OR(GL$169&lt;SwaptionFirstMonthPosition+1,$FJ234&lt;SwaptionFirstMonthPosition+1,GL$169&gt;SwaptionFirstMonthPosition+SwaptionNumOfMonths+1,$FJ234&gt;SwaptionFirstMonthPosition+SwaptionNumOfMonths+1),"",IF($FJ234=GL$169,1,IF($FJ234&lt;GL$169,INDEX($FK$170:$ID$241,GL$169,$FJ234),SUMPRODUCT(INDEX($FK$325:$ID$396,GL$169,1+SwaptionShift):INDEX($FK$325:$ID$396,GL$169,SwaptionMonthsToGo+SwaptionShift),INDEX($FK$245:$ID$316,$FJ234-GL$169,73-GL$169+SwaptionShift):INDEX($FK$245:$ID$316,$FJ234-GL$169,72-GL$169+SwaptionMonthsToGo+SwaptionShift))/SQRT(SUM(INDEX($FK389:$ID389,1+SwaptionShift):INDEX($FK389:$ID389,SwaptionMonthsToGo+SwaptionShift))*SUM(INDEX($FK$325:$ID$396,GL$169,1+SwaptionShift):INDEX($FK$325:$ID$396,GL$169,SwaptionMonthsToGo+SwaptionShift))))))</f>
        <v/>
      </c>
      <c r="GM234" s="150" t="str">
        <f aca="false">IF(OR(GM$169&lt;SwaptionFirstMonthPosition+1,$FJ234&lt;SwaptionFirstMonthPosition+1,GM$169&gt;SwaptionFirstMonthPosition+SwaptionNumOfMonths+1,$FJ234&gt;SwaptionFirstMonthPosition+SwaptionNumOfMonths+1),"",IF($FJ234=GM$169,1,IF($FJ234&lt;GM$169,INDEX($FK$170:$ID$241,GM$169,$FJ234),SUMPRODUCT(INDEX($FK$325:$ID$396,GM$169,1+SwaptionShift):INDEX($FK$325:$ID$396,GM$169,SwaptionMonthsToGo+SwaptionShift),INDEX($FK$245:$ID$316,$FJ234-GM$169,73-GM$169+SwaptionShift):INDEX($FK$245:$ID$316,$FJ234-GM$169,72-GM$169+SwaptionMonthsToGo+SwaptionShift))/SQRT(SUM(INDEX($FK389:$ID389,1+SwaptionShift):INDEX($FK389:$ID389,SwaptionMonthsToGo+SwaptionShift))*SUM(INDEX($FK$325:$ID$396,GM$169,1+SwaptionShift):INDEX($FK$325:$ID$396,GM$169,SwaptionMonthsToGo+SwaptionShift))))))</f>
        <v/>
      </c>
      <c r="GN234" s="150" t="str">
        <f aca="false">IF(OR(GN$169&lt;SwaptionFirstMonthPosition+1,$FJ234&lt;SwaptionFirstMonthPosition+1,GN$169&gt;SwaptionFirstMonthPosition+SwaptionNumOfMonths+1,$FJ234&gt;SwaptionFirstMonthPosition+SwaptionNumOfMonths+1),"",IF($FJ234=GN$169,1,IF($FJ234&lt;GN$169,INDEX($FK$170:$ID$241,GN$169,$FJ234),SUMPRODUCT(INDEX($FK$325:$ID$396,GN$169,1+SwaptionShift):INDEX($FK$325:$ID$396,GN$169,SwaptionMonthsToGo+SwaptionShift),INDEX($FK$245:$ID$316,$FJ234-GN$169,73-GN$169+SwaptionShift):INDEX($FK$245:$ID$316,$FJ234-GN$169,72-GN$169+SwaptionMonthsToGo+SwaptionShift))/SQRT(SUM(INDEX($FK389:$ID389,1+SwaptionShift):INDEX($FK389:$ID389,SwaptionMonthsToGo+SwaptionShift))*SUM(INDEX($FK$325:$ID$396,GN$169,1+SwaptionShift):INDEX($FK$325:$ID$396,GN$169,SwaptionMonthsToGo+SwaptionShift))))))</f>
        <v/>
      </c>
      <c r="GO234" s="150" t="str">
        <f aca="false">IF(OR(GO$169&lt;SwaptionFirstMonthPosition+1,$FJ234&lt;SwaptionFirstMonthPosition+1,GO$169&gt;SwaptionFirstMonthPosition+SwaptionNumOfMonths+1,$FJ234&gt;SwaptionFirstMonthPosition+SwaptionNumOfMonths+1),"",IF($FJ234=GO$169,1,IF($FJ234&lt;GO$169,INDEX($FK$170:$ID$241,GO$169,$FJ234),SUMPRODUCT(INDEX($FK$325:$ID$396,GO$169,1+SwaptionShift):INDEX($FK$325:$ID$396,GO$169,SwaptionMonthsToGo+SwaptionShift),INDEX($FK$245:$ID$316,$FJ234-GO$169,73-GO$169+SwaptionShift):INDEX($FK$245:$ID$316,$FJ234-GO$169,72-GO$169+SwaptionMonthsToGo+SwaptionShift))/SQRT(SUM(INDEX($FK389:$ID389,1+SwaptionShift):INDEX($FK389:$ID389,SwaptionMonthsToGo+SwaptionShift))*SUM(INDEX($FK$325:$ID$396,GO$169,1+SwaptionShift):INDEX($FK$325:$ID$396,GO$169,SwaptionMonthsToGo+SwaptionShift))))))</f>
        <v/>
      </c>
      <c r="GP234" s="150" t="str">
        <f aca="false">IF(OR(GP$169&lt;SwaptionFirstMonthPosition+1,$FJ234&lt;SwaptionFirstMonthPosition+1,GP$169&gt;SwaptionFirstMonthPosition+SwaptionNumOfMonths+1,$FJ234&gt;SwaptionFirstMonthPosition+SwaptionNumOfMonths+1),"",IF($FJ234=GP$169,1,IF($FJ234&lt;GP$169,INDEX($FK$170:$ID$241,GP$169,$FJ234),SUMPRODUCT(INDEX($FK$325:$ID$396,GP$169,1+SwaptionShift):INDEX($FK$325:$ID$396,GP$169,SwaptionMonthsToGo+SwaptionShift),INDEX($FK$245:$ID$316,$FJ234-GP$169,73-GP$169+SwaptionShift):INDEX($FK$245:$ID$316,$FJ234-GP$169,72-GP$169+SwaptionMonthsToGo+SwaptionShift))/SQRT(SUM(INDEX($FK389:$ID389,1+SwaptionShift):INDEX($FK389:$ID389,SwaptionMonthsToGo+SwaptionShift))*SUM(INDEX($FK$325:$ID$396,GP$169,1+SwaptionShift):INDEX($FK$325:$ID$396,GP$169,SwaptionMonthsToGo+SwaptionShift))))))</f>
        <v/>
      </c>
      <c r="GQ234" s="150" t="str">
        <f aca="false">IF(OR(GQ$169&lt;SwaptionFirstMonthPosition+1,$FJ234&lt;SwaptionFirstMonthPosition+1,GQ$169&gt;SwaptionFirstMonthPosition+SwaptionNumOfMonths+1,$FJ234&gt;SwaptionFirstMonthPosition+SwaptionNumOfMonths+1),"",IF($FJ234=GQ$169,1,IF($FJ234&lt;GQ$169,INDEX($FK$170:$ID$241,GQ$169,$FJ234),SUMPRODUCT(INDEX($FK$325:$ID$396,GQ$169,1+SwaptionShift):INDEX($FK$325:$ID$396,GQ$169,SwaptionMonthsToGo+SwaptionShift),INDEX($FK$245:$ID$316,$FJ234-GQ$169,73-GQ$169+SwaptionShift):INDEX($FK$245:$ID$316,$FJ234-GQ$169,72-GQ$169+SwaptionMonthsToGo+SwaptionShift))/SQRT(SUM(INDEX($FK389:$ID389,1+SwaptionShift):INDEX($FK389:$ID389,SwaptionMonthsToGo+SwaptionShift))*SUM(INDEX($FK$325:$ID$396,GQ$169,1+SwaptionShift):INDEX($FK$325:$ID$396,GQ$169,SwaptionMonthsToGo+SwaptionShift))))))</f>
        <v/>
      </c>
      <c r="GR234" s="150" t="str">
        <f aca="false">IF(OR(GR$169&lt;SwaptionFirstMonthPosition+1,$FJ234&lt;SwaptionFirstMonthPosition+1,GR$169&gt;SwaptionFirstMonthPosition+SwaptionNumOfMonths+1,$FJ234&gt;SwaptionFirstMonthPosition+SwaptionNumOfMonths+1),"",IF($FJ234=GR$169,1,IF($FJ234&lt;GR$169,INDEX($FK$170:$ID$241,GR$169,$FJ234),SUMPRODUCT(INDEX($FK$325:$ID$396,GR$169,1+SwaptionShift):INDEX($FK$325:$ID$396,GR$169,SwaptionMonthsToGo+SwaptionShift),INDEX($FK$245:$ID$316,$FJ234-GR$169,73-GR$169+SwaptionShift):INDEX($FK$245:$ID$316,$FJ234-GR$169,72-GR$169+SwaptionMonthsToGo+SwaptionShift))/SQRT(SUM(INDEX($FK389:$ID389,1+SwaptionShift):INDEX($FK389:$ID389,SwaptionMonthsToGo+SwaptionShift))*SUM(INDEX($FK$325:$ID$396,GR$169,1+SwaptionShift):INDEX($FK$325:$ID$396,GR$169,SwaptionMonthsToGo+SwaptionShift))))))</f>
        <v/>
      </c>
      <c r="GS234" s="150" t="str">
        <f aca="false">IF(OR(GS$169&lt;SwaptionFirstMonthPosition+1,$FJ234&lt;SwaptionFirstMonthPosition+1,GS$169&gt;SwaptionFirstMonthPosition+SwaptionNumOfMonths+1,$FJ234&gt;SwaptionFirstMonthPosition+SwaptionNumOfMonths+1),"",IF($FJ234=GS$169,1,IF($FJ234&lt;GS$169,INDEX($FK$170:$ID$241,GS$169,$FJ234),SUMPRODUCT(INDEX($FK$325:$ID$396,GS$169,1+SwaptionShift):INDEX($FK$325:$ID$396,GS$169,SwaptionMonthsToGo+SwaptionShift),INDEX($FK$245:$ID$316,$FJ234-GS$169,73-GS$169+SwaptionShift):INDEX($FK$245:$ID$316,$FJ234-GS$169,72-GS$169+SwaptionMonthsToGo+SwaptionShift))/SQRT(SUM(INDEX($FK389:$ID389,1+SwaptionShift):INDEX($FK389:$ID389,SwaptionMonthsToGo+SwaptionShift))*SUM(INDEX($FK$325:$ID$396,GS$169,1+SwaptionShift):INDEX($FK$325:$ID$396,GS$169,SwaptionMonthsToGo+SwaptionShift))))))</f>
        <v/>
      </c>
      <c r="GT234" s="150" t="str">
        <f aca="false">IF(OR(GT$169&lt;SwaptionFirstMonthPosition+1,$FJ234&lt;SwaptionFirstMonthPosition+1,GT$169&gt;SwaptionFirstMonthPosition+SwaptionNumOfMonths+1,$FJ234&gt;SwaptionFirstMonthPosition+SwaptionNumOfMonths+1),"",IF($FJ234=GT$169,1,IF($FJ234&lt;GT$169,INDEX($FK$170:$ID$241,GT$169,$FJ234),SUMPRODUCT(INDEX($FK$325:$ID$396,GT$169,1+SwaptionShift):INDEX($FK$325:$ID$396,GT$169,SwaptionMonthsToGo+SwaptionShift),INDEX($FK$245:$ID$316,$FJ234-GT$169,73-GT$169+SwaptionShift):INDEX($FK$245:$ID$316,$FJ234-GT$169,72-GT$169+SwaptionMonthsToGo+SwaptionShift))/SQRT(SUM(INDEX($FK389:$ID389,1+SwaptionShift):INDEX($FK389:$ID389,SwaptionMonthsToGo+SwaptionShift))*SUM(INDEX($FK$325:$ID$396,GT$169,1+SwaptionShift):INDEX($FK$325:$ID$396,GT$169,SwaptionMonthsToGo+SwaptionShift))))))</f>
        <v/>
      </c>
      <c r="GU234" s="150" t="str">
        <f aca="false">IF(OR(GU$169&lt;SwaptionFirstMonthPosition+1,$FJ234&lt;SwaptionFirstMonthPosition+1,GU$169&gt;SwaptionFirstMonthPosition+SwaptionNumOfMonths+1,$FJ234&gt;SwaptionFirstMonthPosition+SwaptionNumOfMonths+1),"",IF($FJ234=GU$169,1,IF($FJ234&lt;GU$169,INDEX($FK$170:$ID$241,GU$169,$FJ234),SUMPRODUCT(INDEX($FK$325:$ID$396,GU$169,1+SwaptionShift):INDEX($FK$325:$ID$396,GU$169,SwaptionMonthsToGo+SwaptionShift),INDEX($FK$245:$ID$316,$FJ234-GU$169,73-GU$169+SwaptionShift):INDEX($FK$245:$ID$316,$FJ234-GU$169,72-GU$169+SwaptionMonthsToGo+SwaptionShift))/SQRT(SUM(INDEX($FK389:$ID389,1+SwaptionShift):INDEX($FK389:$ID389,SwaptionMonthsToGo+SwaptionShift))*SUM(INDEX($FK$325:$ID$396,GU$169,1+SwaptionShift):INDEX($FK$325:$ID$396,GU$169,SwaptionMonthsToGo+SwaptionShift))))))</f>
        <v/>
      </c>
      <c r="GV234" s="150" t="str">
        <f aca="false">IF(OR(GV$169&lt;SwaptionFirstMonthPosition+1,$FJ234&lt;SwaptionFirstMonthPosition+1,GV$169&gt;SwaptionFirstMonthPosition+SwaptionNumOfMonths+1,$FJ234&gt;SwaptionFirstMonthPosition+SwaptionNumOfMonths+1),"",IF($FJ234=GV$169,1,IF($FJ234&lt;GV$169,INDEX($FK$170:$ID$241,GV$169,$FJ234),SUMPRODUCT(INDEX($FK$325:$ID$396,GV$169,1+SwaptionShift):INDEX($FK$325:$ID$396,GV$169,SwaptionMonthsToGo+SwaptionShift),INDEX($FK$245:$ID$316,$FJ234-GV$169,73-GV$169+SwaptionShift):INDEX($FK$245:$ID$316,$FJ234-GV$169,72-GV$169+SwaptionMonthsToGo+SwaptionShift))/SQRT(SUM(INDEX($FK389:$ID389,1+SwaptionShift):INDEX($FK389:$ID389,SwaptionMonthsToGo+SwaptionShift))*SUM(INDEX($FK$325:$ID$396,GV$169,1+SwaptionShift):INDEX($FK$325:$ID$396,GV$169,SwaptionMonthsToGo+SwaptionShift))))))</f>
        <v/>
      </c>
      <c r="GW234" s="150" t="str">
        <f aca="false">IF(OR(GW$169&lt;SwaptionFirstMonthPosition+1,$FJ234&lt;SwaptionFirstMonthPosition+1,GW$169&gt;SwaptionFirstMonthPosition+SwaptionNumOfMonths+1,$FJ234&gt;SwaptionFirstMonthPosition+SwaptionNumOfMonths+1),"",IF($FJ234=GW$169,1,IF($FJ234&lt;GW$169,INDEX($FK$170:$ID$241,GW$169,$FJ234),SUMPRODUCT(INDEX($FK$325:$ID$396,GW$169,1+SwaptionShift):INDEX($FK$325:$ID$396,GW$169,SwaptionMonthsToGo+SwaptionShift),INDEX($FK$245:$ID$316,$FJ234-GW$169,73-GW$169+SwaptionShift):INDEX($FK$245:$ID$316,$FJ234-GW$169,72-GW$169+SwaptionMonthsToGo+SwaptionShift))/SQRT(SUM(INDEX($FK389:$ID389,1+SwaptionShift):INDEX($FK389:$ID389,SwaptionMonthsToGo+SwaptionShift))*SUM(INDEX($FK$325:$ID$396,GW$169,1+SwaptionShift):INDEX($FK$325:$ID$396,GW$169,SwaptionMonthsToGo+SwaptionShift))))))</f>
        <v/>
      </c>
      <c r="GX234" s="150" t="str">
        <f aca="false">IF(OR(GX$169&lt;SwaptionFirstMonthPosition+1,$FJ234&lt;SwaptionFirstMonthPosition+1,GX$169&gt;SwaptionFirstMonthPosition+SwaptionNumOfMonths+1,$FJ234&gt;SwaptionFirstMonthPosition+SwaptionNumOfMonths+1),"",IF($FJ234=GX$169,1,IF($FJ234&lt;GX$169,INDEX($FK$170:$ID$241,GX$169,$FJ234),SUMPRODUCT(INDEX($FK$325:$ID$396,GX$169,1+SwaptionShift):INDEX($FK$325:$ID$396,GX$169,SwaptionMonthsToGo+SwaptionShift),INDEX($FK$245:$ID$316,$FJ234-GX$169,73-GX$169+SwaptionShift):INDEX($FK$245:$ID$316,$FJ234-GX$169,72-GX$169+SwaptionMonthsToGo+SwaptionShift))/SQRT(SUM(INDEX($FK389:$ID389,1+SwaptionShift):INDEX($FK389:$ID389,SwaptionMonthsToGo+SwaptionShift))*SUM(INDEX($FK$325:$ID$396,GX$169,1+SwaptionShift):INDEX($FK$325:$ID$396,GX$169,SwaptionMonthsToGo+SwaptionShift))))))</f>
        <v/>
      </c>
      <c r="GY234" s="150" t="str">
        <f aca="false">IF(OR(GY$169&lt;SwaptionFirstMonthPosition+1,$FJ234&lt;SwaptionFirstMonthPosition+1,GY$169&gt;SwaptionFirstMonthPosition+SwaptionNumOfMonths+1,$FJ234&gt;SwaptionFirstMonthPosition+SwaptionNumOfMonths+1),"",IF($FJ234=GY$169,1,IF($FJ234&lt;GY$169,INDEX($FK$170:$ID$241,GY$169,$FJ234),SUMPRODUCT(INDEX($FK$325:$ID$396,GY$169,1+SwaptionShift):INDEX($FK$325:$ID$396,GY$169,SwaptionMonthsToGo+SwaptionShift),INDEX($FK$245:$ID$316,$FJ234-GY$169,73-GY$169+SwaptionShift):INDEX($FK$245:$ID$316,$FJ234-GY$169,72-GY$169+SwaptionMonthsToGo+SwaptionShift))/SQRT(SUM(INDEX($FK389:$ID389,1+SwaptionShift):INDEX($FK389:$ID389,SwaptionMonthsToGo+SwaptionShift))*SUM(INDEX($FK$325:$ID$396,GY$169,1+SwaptionShift):INDEX($FK$325:$ID$396,GY$169,SwaptionMonthsToGo+SwaptionShift))))))</f>
        <v/>
      </c>
      <c r="GZ234" s="150" t="str">
        <f aca="false">IF(OR(GZ$169&lt;SwaptionFirstMonthPosition+1,$FJ234&lt;SwaptionFirstMonthPosition+1,GZ$169&gt;SwaptionFirstMonthPosition+SwaptionNumOfMonths+1,$FJ234&gt;SwaptionFirstMonthPosition+SwaptionNumOfMonths+1),"",IF($FJ234=GZ$169,1,IF($FJ234&lt;GZ$169,INDEX($FK$170:$ID$241,GZ$169,$FJ234),SUMPRODUCT(INDEX($FK$325:$ID$396,GZ$169,1+SwaptionShift):INDEX($FK$325:$ID$396,GZ$169,SwaptionMonthsToGo+SwaptionShift),INDEX($FK$245:$ID$316,$FJ234-GZ$169,73-GZ$169+SwaptionShift):INDEX($FK$245:$ID$316,$FJ234-GZ$169,72-GZ$169+SwaptionMonthsToGo+SwaptionShift))/SQRT(SUM(INDEX($FK389:$ID389,1+SwaptionShift):INDEX($FK389:$ID389,SwaptionMonthsToGo+SwaptionShift))*SUM(INDEX($FK$325:$ID$396,GZ$169,1+SwaptionShift):INDEX($FK$325:$ID$396,GZ$169,SwaptionMonthsToGo+SwaptionShift))))))</f>
        <v/>
      </c>
      <c r="HA234" s="150" t="str">
        <f aca="false">IF(OR(HA$169&lt;SwaptionFirstMonthPosition+1,$FJ234&lt;SwaptionFirstMonthPosition+1,HA$169&gt;SwaptionFirstMonthPosition+SwaptionNumOfMonths+1,$FJ234&gt;SwaptionFirstMonthPosition+SwaptionNumOfMonths+1),"",IF($FJ234=HA$169,1,IF($FJ234&lt;HA$169,INDEX($FK$170:$ID$241,HA$169,$FJ234),SUMPRODUCT(INDEX($FK$325:$ID$396,HA$169,1+SwaptionShift):INDEX($FK$325:$ID$396,HA$169,SwaptionMonthsToGo+SwaptionShift),INDEX($FK$245:$ID$316,$FJ234-HA$169,73-HA$169+SwaptionShift):INDEX($FK$245:$ID$316,$FJ234-HA$169,72-HA$169+SwaptionMonthsToGo+SwaptionShift))/SQRT(SUM(INDEX($FK389:$ID389,1+SwaptionShift):INDEX($FK389:$ID389,SwaptionMonthsToGo+SwaptionShift))*SUM(INDEX($FK$325:$ID$396,HA$169,1+SwaptionShift):INDEX($FK$325:$ID$396,HA$169,SwaptionMonthsToGo+SwaptionShift))))))</f>
        <v/>
      </c>
      <c r="HB234" s="150" t="str">
        <f aca="false">IF(OR(HB$169&lt;SwaptionFirstMonthPosition+1,$FJ234&lt;SwaptionFirstMonthPosition+1,HB$169&gt;SwaptionFirstMonthPosition+SwaptionNumOfMonths+1,$FJ234&gt;SwaptionFirstMonthPosition+SwaptionNumOfMonths+1),"",IF($FJ234=HB$169,1,IF($FJ234&lt;HB$169,INDEX($FK$170:$ID$241,HB$169,$FJ234),SUMPRODUCT(INDEX($FK$325:$ID$396,HB$169,1+SwaptionShift):INDEX($FK$325:$ID$396,HB$169,SwaptionMonthsToGo+SwaptionShift),INDEX($FK$245:$ID$316,$FJ234-HB$169,73-HB$169+SwaptionShift):INDEX($FK$245:$ID$316,$FJ234-HB$169,72-HB$169+SwaptionMonthsToGo+SwaptionShift))/SQRT(SUM(INDEX($FK389:$ID389,1+SwaptionShift):INDEX($FK389:$ID389,SwaptionMonthsToGo+SwaptionShift))*SUM(INDEX($FK$325:$ID$396,HB$169,1+SwaptionShift):INDEX($FK$325:$ID$396,HB$169,SwaptionMonthsToGo+SwaptionShift))))))</f>
        <v/>
      </c>
      <c r="HC234" s="150" t="str">
        <f aca="false">IF(OR(HC$169&lt;SwaptionFirstMonthPosition+1,$FJ234&lt;SwaptionFirstMonthPosition+1,HC$169&gt;SwaptionFirstMonthPosition+SwaptionNumOfMonths+1,$FJ234&gt;SwaptionFirstMonthPosition+SwaptionNumOfMonths+1),"",IF($FJ234=HC$169,1,IF($FJ234&lt;HC$169,INDEX($FK$170:$ID$241,HC$169,$FJ234),SUMPRODUCT(INDEX($FK$325:$ID$396,HC$169,1+SwaptionShift):INDEX($FK$325:$ID$396,HC$169,SwaptionMonthsToGo+SwaptionShift),INDEX($FK$245:$ID$316,$FJ234-HC$169,73-HC$169+SwaptionShift):INDEX($FK$245:$ID$316,$FJ234-HC$169,72-HC$169+SwaptionMonthsToGo+SwaptionShift))/SQRT(SUM(INDEX($FK389:$ID389,1+SwaptionShift):INDEX($FK389:$ID389,SwaptionMonthsToGo+SwaptionShift))*SUM(INDEX($FK$325:$ID$396,HC$169,1+SwaptionShift):INDEX($FK$325:$ID$396,HC$169,SwaptionMonthsToGo+SwaptionShift))))))</f>
        <v/>
      </c>
      <c r="HD234" s="150" t="str">
        <f aca="false">IF(OR(HD$169&lt;SwaptionFirstMonthPosition+1,$FJ234&lt;SwaptionFirstMonthPosition+1,HD$169&gt;SwaptionFirstMonthPosition+SwaptionNumOfMonths+1,$FJ234&gt;SwaptionFirstMonthPosition+SwaptionNumOfMonths+1),"",IF($FJ234=HD$169,1,IF($FJ234&lt;HD$169,INDEX($FK$170:$ID$241,HD$169,$FJ234),SUMPRODUCT(INDEX($FK$325:$ID$396,HD$169,1+SwaptionShift):INDEX($FK$325:$ID$396,HD$169,SwaptionMonthsToGo+SwaptionShift),INDEX($FK$245:$ID$316,$FJ234-HD$169,73-HD$169+SwaptionShift):INDEX($FK$245:$ID$316,$FJ234-HD$169,72-HD$169+SwaptionMonthsToGo+SwaptionShift))/SQRT(SUM(INDEX($FK389:$ID389,1+SwaptionShift):INDEX($FK389:$ID389,SwaptionMonthsToGo+SwaptionShift))*SUM(INDEX($FK$325:$ID$396,HD$169,1+SwaptionShift):INDEX($FK$325:$ID$396,HD$169,SwaptionMonthsToGo+SwaptionShift))))))</f>
        <v/>
      </c>
      <c r="HE234" s="150" t="str">
        <f aca="false">IF(OR(HE$169&lt;SwaptionFirstMonthPosition+1,$FJ234&lt;SwaptionFirstMonthPosition+1,HE$169&gt;SwaptionFirstMonthPosition+SwaptionNumOfMonths+1,$FJ234&gt;SwaptionFirstMonthPosition+SwaptionNumOfMonths+1),"",IF($FJ234=HE$169,1,IF($FJ234&lt;HE$169,INDEX($FK$170:$ID$241,HE$169,$FJ234),SUMPRODUCT(INDEX($FK$325:$ID$396,HE$169,1+SwaptionShift):INDEX($FK$325:$ID$396,HE$169,SwaptionMonthsToGo+SwaptionShift),INDEX($FK$245:$ID$316,$FJ234-HE$169,73-HE$169+SwaptionShift):INDEX($FK$245:$ID$316,$FJ234-HE$169,72-HE$169+SwaptionMonthsToGo+SwaptionShift))/SQRT(SUM(INDEX($FK389:$ID389,1+SwaptionShift):INDEX($FK389:$ID389,SwaptionMonthsToGo+SwaptionShift))*SUM(INDEX($FK$325:$ID$396,HE$169,1+SwaptionShift):INDEX($FK$325:$ID$396,HE$169,SwaptionMonthsToGo+SwaptionShift))))))</f>
        <v/>
      </c>
      <c r="HF234" s="150" t="str">
        <f aca="false">IF(OR(HF$169&lt;SwaptionFirstMonthPosition+1,$FJ234&lt;SwaptionFirstMonthPosition+1,HF$169&gt;SwaptionFirstMonthPosition+SwaptionNumOfMonths+1,$FJ234&gt;SwaptionFirstMonthPosition+SwaptionNumOfMonths+1),"",IF($FJ234=HF$169,1,IF($FJ234&lt;HF$169,INDEX($FK$170:$ID$241,HF$169,$FJ234),SUMPRODUCT(INDEX($FK$325:$ID$396,HF$169,1+SwaptionShift):INDEX($FK$325:$ID$396,HF$169,SwaptionMonthsToGo+SwaptionShift),INDEX($FK$245:$ID$316,$FJ234-HF$169,73-HF$169+SwaptionShift):INDEX($FK$245:$ID$316,$FJ234-HF$169,72-HF$169+SwaptionMonthsToGo+SwaptionShift))/SQRT(SUM(INDEX($FK389:$ID389,1+SwaptionShift):INDEX($FK389:$ID389,SwaptionMonthsToGo+SwaptionShift))*SUM(INDEX($FK$325:$ID$396,HF$169,1+SwaptionShift):INDEX($FK$325:$ID$396,HF$169,SwaptionMonthsToGo+SwaptionShift))))))</f>
        <v/>
      </c>
      <c r="HG234" s="150" t="str">
        <f aca="false">IF(OR(HG$169&lt;SwaptionFirstMonthPosition+1,$FJ234&lt;SwaptionFirstMonthPosition+1,HG$169&gt;SwaptionFirstMonthPosition+SwaptionNumOfMonths+1,$FJ234&gt;SwaptionFirstMonthPosition+SwaptionNumOfMonths+1),"",IF($FJ234=HG$169,1,IF($FJ234&lt;HG$169,INDEX($FK$170:$ID$241,HG$169,$FJ234),SUMPRODUCT(INDEX($FK$325:$ID$396,HG$169,1+SwaptionShift):INDEX($FK$325:$ID$396,HG$169,SwaptionMonthsToGo+SwaptionShift),INDEX($FK$245:$ID$316,$FJ234-HG$169,73-HG$169+SwaptionShift):INDEX($FK$245:$ID$316,$FJ234-HG$169,72-HG$169+SwaptionMonthsToGo+SwaptionShift))/SQRT(SUM(INDEX($FK389:$ID389,1+SwaptionShift):INDEX($FK389:$ID389,SwaptionMonthsToGo+SwaptionShift))*SUM(INDEX($FK$325:$ID$396,HG$169,1+SwaptionShift):INDEX($FK$325:$ID$396,HG$169,SwaptionMonthsToGo+SwaptionShift))))))</f>
        <v/>
      </c>
      <c r="HH234" s="150" t="str">
        <f aca="false">IF(OR(HH$169&lt;SwaptionFirstMonthPosition+1,$FJ234&lt;SwaptionFirstMonthPosition+1,HH$169&gt;SwaptionFirstMonthPosition+SwaptionNumOfMonths+1,$FJ234&gt;SwaptionFirstMonthPosition+SwaptionNumOfMonths+1),"",IF($FJ234=HH$169,1,IF($FJ234&lt;HH$169,INDEX($FK$170:$ID$241,HH$169,$FJ234),SUMPRODUCT(INDEX($FK$325:$ID$396,HH$169,1+SwaptionShift):INDEX($FK$325:$ID$396,HH$169,SwaptionMonthsToGo+SwaptionShift),INDEX($FK$245:$ID$316,$FJ234-HH$169,73-HH$169+SwaptionShift):INDEX($FK$245:$ID$316,$FJ234-HH$169,72-HH$169+SwaptionMonthsToGo+SwaptionShift))/SQRT(SUM(INDEX($FK389:$ID389,1+SwaptionShift):INDEX($FK389:$ID389,SwaptionMonthsToGo+SwaptionShift))*SUM(INDEX($FK$325:$ID$396,HH$169,1+SwaptionShift):INDEX($FK$325:$ID$396,HH$169,SwaptionMonthsToGo+SwaptionShift))))))</f>
        <v/>
      </c>
      <c r="HI234" s="150" t="str">
        <f aca="false">IF(OR(HI$169&lt;SwaptionFirstMonthPosition+1,$FJ234&lt;SwaptionFirstMonthPosition+1,HI$169&gt;SwaptionFirstMonthPosition+SwaptionNumOfMonths+1,$FJ234&gt;SwaptionFirstMonthPosition+SwaptionNumOfMonths+1),"",IF($FJ234=HI$169,1,IF($FJ234&lt;HI$169,INDEX($FK$170:$ID$241,HI$169,$FJ234),SUMPRODUCT(INDEX($FK$325:$ID$396,HI$169,1+SwaptionShift):INDEX($FK$325:$ID$396,HI$169,SwaptionMonthsToGo+SwaptionShift),INDEX($FK$245:$ID$316,$FJ234-HI$169,73-HI$169+SwaptionShift):INDEX($FK$245:$ID$316,$FJ234-HI$169,72-HI$169+SwaptionMonthsToGo+SwaptionShift))/SQRT(SUM(INDEX($FK389:$ID389,1+SwaptionShift):INDEX($FK389:$ID389,SwaptionMonthsToGo+SwaptionShift))*SUM(INDEX($FK$325:$ID$396,HI$169,1+SwaptionShift):INDEX($FK$325:$ID$396,HI$169,SwaptionMonthsToGo+SwaptionShift))))))</f>
        <v/>
      </c>
      <c r="HJ234" s="150" t="str">
        <f aca="false">IF(OR(HJ$169&lt;SwaptionFirstMonthPosition+1,$FJ234&lt;SwaptionFirstMonthPosition+1,HJ$169&gt;SwaptionFirstMonthPosition+SwaptionNumOfMonths+1,$FJ234&gt;SwaptionFirstMonthPosition+SwaptionNumOfMonths+1),"",IF($FJ234=HJ$169,1,IF($FJ234&lt;HJ$169,INDEX($FK$170:$ID$241,HJ$169,$FJ234),SUMPRODUCT(INDEX($FK$325:$ID$396,HJ$169,1+SwaptionShift):INDEX($FK$325:$ID$396,HJ$169,SwaptionMonthsToGo+SwaptionShift),INDEX($FK$245:$ID$316,$FJ234-HJ$169,73-HJ$169+SwaptionShift):INDEX($FK$245:$ID$316,$FJ234-HJ$169,72-HJ$169+SwaptionMonthsToGo+SwaptionShift))/SQRT(SUM(INDEX($FK389:$ID389,1+SwaptionShift):INDEX($FK389:$ID389,SwaptionMonthsToGo+SwaptionShift))*SUM(INDEX($FK$325:$ID$396,HJ$169,1+SwaptionShift):INDEX($FK$325:$ID$396,HJ$169,SwaptionMonthsToGo+SwaptionShift))))))</f>
        <v/>
      </c>
      <c r="HK234" s="150" t="str">
        <f aca="false">IF(OR(HK$169&lt;SwaptionFirstMonthPosition+1,$FJ234&lt;SwaptionFirstMonthPosition+1,HK$169&gt;SwaptionFirstMonthPosition+SwaptionNumOfMonths+1,$FJ234&gt;SwaptionFirstMonthPosition+SwaptionNumOfMonths+1),"",IF($FJ234=HK$169,1,IF($FJ234&lt;HK$169,INDEX($FK$170:$ID$241,HK$169,$FJ234),SUMPRODUCT(INDEX($FK$325:$ID$396,HK$169,1+SwaptionShift):INDEX($FK$325:$ID$396,HK$169,SwaptionMonthsToGo+SwaptionShift),INDEX($FK$245:$ID$316,$FJ234-HK$169,73-HK$169+SwaptionShift):INDEX($FK$245:$ID$316,$FJ234-HK$169,72-HK$169+SwaptionMonthsToGo+SwaptionShift))/SQRT(SUM(INDEX($FK389:$ID389,1+SwaptionShift):INDEX($FK389:$ID389,SwaptionMonthsToGo+SwaptionShift))*SUM(INDEX($FK$325:$ID$396,HK$169,1+SwaptionShift):INDEX($FK$325:$ID$396,HK$169,SwaptionMonthsToGo+SwaptionShift))))))</f>
        <v/>
      </c>
      <c r="HL234" s="150" t="str">
        <f aca="false">IF(OR(HL$169&lt;SwaptionFirstMonthPosition+1,$FJ234&lt;SwaptionFirstMonthPosition+1,HL$169&gt;SwaptionFirstMonthPosition+SwaptionNumOfMonths+1,$FJ234&gt;SwaptionFirstMonthPosition+SwaptionNumOfMonths+1),"",IF($FJ234=HL$169,1,IF($FJ234&lt;HL$169,INDEX($FK$170:$ID$241,HL$169,$FJ234),SUMPRODUCT(INDEX($FK$325:$ID$396,HL$169,1+SwaptionShift):INDEX($FK$325:$ID$396,HL$169,SwaptionMonthsToGo+SwaptionShift),INDEX($FK$245:$ID$316,$FJ234-HL$169,73-HL$169+SwaptionShift):INDEX($FK$245:$ID$316,$FJ234-HL$169,72-HL$169+SwaptionMonthsToGo+SwaptionShift))/SQRT(SUM(INDEX($FK389:$ID389,1+SwaptionShift):INDEX($FK389:$ID389,SwaptionMonthsToGo+SwaptionShift))*SUM(INDEX($FK$325:$ID$396,HL$169,1+SwaptionShift):INDEX($FK$325:$ID$396,HL$169,SwaptionMonthsToGo+SwaptionShift))))))</f>
        <v/>
      </c>
      <c r="HM234" s="150" t="str">
        <f aca="false">IF(OR(HM$169&lt;SwaptionFirstMonthPosition+1,$FJ234&lt;SwaptionFirstMonthPosition+1,HM$169&gt;SwaptionFirstMonthPosition+SwaptionNumOfMonths+1,$FJ234&gt;SwaptionFirstMonthPosition+SwaptionNumOfMonths+1),"",IF($FJ234=HM$169,1,IF($FJ234&lt;HM$169,INDEX($FK$170:$ID$241,HM$169,$FJ234),SUMPRODUCT(INDEX($FK$325:$ID$396,HM$169,1+SwaptionShift):INDEX($FK$325:$ID$396,HM$169,SwaptionMonthsToGo+SwaptionShift),INDEX($FK$245:$ID$316,$FJ234-HM$169,73-HM$169+SwaptionShift):INDEX($FK$245:$ID$316,$FJ234-HM$169,72-HM$169+SwaptionMonthsToGo+SwaptionShift))/SQRT(SUM(INDEX($FK389:$ID389,1+SwaptionShift):INDEX($FK389:$ID389,SwaptionMonthsToGo+SwaptionShift))*SUM(INDEX($FK$325:$ID$396,HM$169,1+SwaptionShift):INDEX($FK$325:$ID$396,HM$169,SwaptionMonthsToGo+SwaptionShift))))))</f>
        <v/>
      </c>
      <c r="HN234" s="150" t="str">
        <f aca="false">IF(OR(HN$169&lt;SwaptionFirstMonthPosition+1,$FJ234&lt;SwaptionFirstMonthPosition+1,HN$169&gt;SwaptionFirstMonthPosition+SwaptionNumOfMonths+1,$FJ234&gt;SwaptionFirstMonthPosition+SwaptionNumOfMonths+1),"",IF($FJ234=HN$169,1,IF($FJ234&lt;HN$169,INDEX($FK$170:$ID$241,HN$169,$FJ234),SUMPRODUCT(INDEX($FK$325:$ID$396,HN$169,1+SwaptionShift):INDEX($FK$325:$ID$396,HN$169,SwaptionMonthsToGo+SwaptionShift),INDEX($FK$245:$ID$316,$FJ234-HN$169,73-HN$169+SwaptionShift):INDEX($FK$245:$ID$316,$FJ234-HN$169,72-HN$169+SwaptionMonthsToGo+SwaptionShift))/SQRT(SUM(INDEX($FK389:$ID389,1+SwaptionShift):INDEX($FK389:$ID389,SwaptionMonthsToGo+SwaptionShift))*SUM(INDEX($FK$325:$ID$396,HN$169,1+SwaptionShift):INDEX($FK$325:$ID$396,HN$169,SwaptionMonthsToGo+SwaptionShift))))))</f>
        <v/>
      </c>
      <c r="HO234" s="150" t="str">
        <f aca="false">IF(OR(HO$169&lt;SwaptionFirstMonthPosition+1,$FJ234&lt;SwaptionFirstMonthPosition+1,HO$169&gt;SwaptionFirstMonthPosition+SwaptionNumOfMonths+1,$FJ234&gt;SwaptionFirstMonthPosition+SwaptionNumOfMonths+1),"",IF($FJ234=HO$169,1,IF($FJ234&lt;HO$169,INDEX($FK$170:$ID$241,HO$169,$FJ234),SUMPRODUCT(INDEX($FK$325:$ID$396,HO$169,1+SwaptionShift):INDEX($FK$325:$ID$396,HO$169,SwaptionMonthsToGo+SwaptionShift),INDEX($FK$245:$ID$316,$FJ234-HO$169,73-HO$169+SwaptionShift):INDEX($FK$245:$ID$316,$FJ234-HO$169,72-HO$169+SwaptionMonthsToGo+SwaptionShift))/SQRT(SUM(INDEX($FK389:$ID389,1+SwaptionShift):INDEX($FK389:$ID389,SwaptionMonthsToGo+SwaptionShift))*SUM(INDEX($FK$325:$ID$396,HO$169,1+SwaptionShift):INDEX($FK$325:$ID$396,HO$169,SwaptionMonthsToGo+SwaptionShift))))))</f>
        <v/>
      </c>
      <c r="HP234" s="150" t="str">
        <f aca="false">IF(OR(HP$169&lt;SwaptionFirstMonthPosition+1,$FJ234&lt;SwaptionFirstMonthPosition+1,HP$169&gt;SwaptionFirstMonthPosition+SwaptionNumOfMonths+1,$FJ234&gt;SwaptionFirstMonthPosition+SwaptionNumOfMonths+1),"",IF($FJ234=HP$169,1,IF($FJ234&lt;HP$169,INDEX($FK$170:$ID$241,HP$169,$FJ234),SUMPRODUCT(INDEX($FK$325:$ID$396,HP$169,1+SwaptionShift):INDEX($FK$325:$ID$396,HP$169,SwaptionMonthsToGo+SwaptionShift),INDEX($FK$245:$ID$316,$FJ234-HP$169,73-HP$169+SwaptionShift):INDEX($FK$245:$ID$316,$FJ234-HP$169,72-HP$169+SwaptionMonthsToGo+SwaptionShift))/SQRT(SUM(INDEX($FK389:$ID389,1+SwaptionShift):INDEX($FK389:$ID389,SwaptionMonthsToGo+SwaptionShift))*SUM(INDEX($FK$325:$ID$396,HP$169,1+SwaptionShift):INDEX($FK$325:$ID$396,HP$169,SwaptionMonthsToGo+SwaptionShift))))))</f>
        <v/>
      </c>
      <c r="HQ234" s="150" t="str">
        <f aca="false">IF(OR(HQ$169&lt;SwaptionFirstMonthPosition+1,$FJ234&lt;SwaptionFirstMonthPosition+1,HQ$169&gt;SwaptionFirstMonthPosition+SwaptionNumOfMonths+1,$FJ234&gt;SwaptionFirstMonthPosition+SwaptionNumOfMonths+1),"",IF($FJ234=HQ$169,1,IF($FJ234&lt;HQ$169,INDEX($FK$170:$ID$241,HQ$169,$FJ234),SUMPRODUCT(INDEX($FK$325:$ID$396,HQ$169,1+SwaptionShift):INDEX($FK$325:$ID$396,HQ$169,SwaptionMonthsToGo+SwaptionShift),INDEX($FK$245:$ID$316,$FJ234-HQ$169,73-HQ$169+SwaptionShift):INDEX($FK$245:$ID$316,$FJ234-HQ$169,72-HQ$169+SwaptionMonthsToGo+SwaptionShift))/SQRT(SUM(INDEX($FK389:$ID389,1+SwaptionShift):INDEX($FK389:$ID389,SwaptionMonthsToGo+SwaptionShift))*SUM(INDEX($FK$325:$ID$396,HQ$169,1+SwaptionShift):INDEX($FK$325:$ID$396,HQ$169,SwaptionMonthsToGo+SwaptionShift))))))</f>
        <v/>
      </c>
      <c r="HR234" s="150" t="str">
        <f aca="false">IF(OR(HR$169&lt;SwaptionFirstMonthPosition+1,$FJ234&lt;SwaptionFirstMonthPosition+1,HR$169&gt;SwaptionFirstMonthPosition+SwaptionNumOfMonths+1,$FJ234&gt;SwaptionFirstMonthPosition+SwaptionNumOfMonths+1),"",IF($FJ234=HR$169,1,IF($FJ234&lt;HR$169,INDEX($FK$170:$ID$241,HR$169,$FJ234),SUMPRODUCT(INDEX($FK$325:$ID$396,HR$169,1+SwaptionShift):INDEX($FK$325:$ID$396,HR$169,SwaptionMonthsToGo+SwaptionShift),INDEX($FK$245:$ID$316,$FJ234-HR$169,73-HR$169+SwaptionShift):INDEX($FK$245:$ID$316,$FJ234-HR$169,72-HR$169+SwaptionMonthsToGo+SwaptionShift))/SQRT(SUM(INDEX($FK389:$ID389,1+SwaptionShift):INDEX($FK389:$ID389,SwaptionMonthsToGo+SwaptionShift))*SUM(INDEX($FK$325:$ID$396,HR$169,1+SwaptionShift):INDEX($FK$325:$ID$396,HR$169,SwaptionMonthsToGo+SwaptionShift))))))</f>
        <v/>
      </c>
      <c r="HS234" s="150" t="str">
        <f aca="false">IF(OR(HS$169&lt;SwaptionFirstMonthPosition+1,$FJ234&lt;SwaptionFirstMonthPosition+1,HS$169&gt;SwaptionFirstMonthPosition+SwaptionNumOfMonths+1,$FJ234&gt;SwaptionFirstMonthPosition+SwaptionNumOfMonths+1),"",IF($FJ234=HS$169,1,IF($FJ234&lt;HS$169,INDEX($FK$170:$ID$241,HS$169,$FJ234),SUMPRODUCT(INDEX($FK$325:$ID$396,HS$169,1+SwaptionShift):INDEX($FK$325:$ID$396,HS$169,SwaptionMonthsToGo+SwaptionShift),INDEX($FK$245:$ID$316,$FJ234-HS$169,73-HS$169+SwaptionShift):INDEX($FK$245:$ID$316,$FJ234-HS$169,72-HS$169+SwaptionMonthsToGo+SwaptionShift))/SQRT(SUM(INDEX($FK389:$ID389,1+SwaptionShift):INDEX($FK389:$ID389,SwaptionMonthsToGo+SwaptionShift))*SUM(INDEX($FK$325:$ID$396,HS$169,1+SwaptionShift):INDEX($FK$325:$ID$396,HS$169,SwaptionMonthsToGo+SwaptionShift))))))</f>
        <v/>
      </c>
      <c r="HT234" s="150" t="str">
        <f aca="false">IF(OR(HT$169&lt;SwaptionFirstMonthPosition+1,$FJ234&lt;SwaptionFirstMonthPosition+1,HT$169&gt;SwaptionFirstMonthPosition+SwaptionNumOfMonths+1,$FJ234&gt;SwaptionFirstMonthPosition+SwaptionNumOfMonths+1),"",IF($FJ234=HT$169,1,IF($FJ234&lt;HT$169,INDEX($FK$170:$ID$241,HT$169,$FJ234),SUMPRODUCT(INDEX($FK$325:$ID$396,HT$169,1+SwaptionShift):INDEX($FK$325:$ID$396,HT$169,SwaptionMonthsToGo+SwaptionShift),INDEX($FK$245:$ID$316,$FJ234-HT$169,73-HT$169+SwaptionShift):INDEX($FK$245:$ID$316,$FJ234-HT$169,72-HT$169+SwaptionMonthsToGo+SwaptionShift))/SQRT(SUM(INDEX($FK389:$ID389,1+SwaptionShift):INDEX($FK389:$ID389,SwaptionMonthsToGo+SwaptionShift))*SUM(INDEX($FK$325:$ID$396,HT$169,1+SwaptionShift):INDEX($FK$325:$ID$396,HT$169,SwaptionMonthsToGo+SwaptionShift))))))</f>
        <v/>
      </c>
      <c r="HU234" s="150" t="str">
        <f aca="false">IF(OR(HU$169&lt;SwaptionFirstMonthPosition+1,$FJ234&lt;SwaptionFirstMonthPosition+1,HU$169&gt;SwaptionFirstMonthPosition+SwaptionNumOfMonths+1,$FJ234&gt;SwaptionFirstMonthPosition+SwaptionNumOfMonths+1),"",IF($FJ234=HU$169,1,IF($FJ234&lt;HU$169,INDEX($FK$170:$ID$241,HU$169,$FJ234),SUMPRODUCT(INDEX($FK$325:$ID$396,HU$169,1+SwaptionShift):INDEX($FK$325:$ID$396,HU$169,SwaptionMonthsToGo+SwaptionShift),INDEX($FK$245:$ID$316,$FJ234-HU$169,73-HU$169+SwaptionShift):INDEX($FK$245:$ID$316,$FJ234-HU$169,72-HU$169+SwaptionMonthsToGo+SwaptionShift))/SQRT(SUM(INDEX($FK389:$ID389,1+SwaptionShift):INDEX($FK389:$ID389,SwaptionMonthsToGo+SwaptionShift))*SUM(INDEX($FK$325:$ID$396,HU$169,1+SwaptionShift):INDEX($FK$325:$ID$396,HU$169,SwaptionMonthsToGo+SwaptionShift))))))</f>
        <v/>
      </c>
      <c r="HV234" s="150" t="str">
        <f aca="false">IF(OR(HV$169&lt;SwaptionFirstMonthPosition+1,$FJ234&lt;SwaptionFirstMonthPosition+1,HV$169&gt;SwaptionFirstMonthPosition+SwaptionNumOfMonths+1,$FJ234&gt;SwaptionFirstMonthPosition+SwaptionNumOfMonths+1),"",IF($FJ234=HV$169,1,IF($FJ234&lt;HV$169,INDEX($FK$170:$ID$241,HV$169,$FJ234),SUMPRODUCT(INDEX($FK$325:$ID$396,HV$169,1+SwaptionShift):INDEX($FK$325:$ID$396,HV$169,SwaptionMonthsToGo+SwaptionShift),INDEX($FK$245:$ID$316,$FJ234-HV$169,73-HV$169+SwaptionShift):INDEX($FK$245:$ID$316,$FJ234-HV$169,72-HV$169+SwaptionMonthsToGo+SwaptionShift))/SQRT(SUM(INDEX($FK389:$ID389,1+SwaptionShift):INDEX($FK389:$ID389,SwaptionMonthsToGo+SwaptionShift))*SUM(INDEX($FK$325:$ID$396,HV$169,1+SwaptionShift):INDEX($FK$325:$ID$396,HV$169,SwaptionMonthsToGo+SwaptionShift))))))</f>
        <v/>
      </c>
      <c r="HW234" s="150" t="str">
        <f aca="false">IF(OR(HW$169&lt;SwaptionFirstMonthPosition+1,$FJ234&lt;SwaptionFirstMonthPosition+1,HW$169&gt;SwaptionFirstMonthPosition+SwaptionNumOfMonths+1,$FJ234&gt;SwaptionFirstMonthPosition+SwaptionNumOfMonths+1),"",IF($FJ234=HW$169,1,IF($FJ234&lt;HW$169,INDEX($FK$170:$ID$241,HW$169,$FJ234),SUMPRODUCT(INDEX($FK$325:$ID$396,HW$169,1+SwaptionShift):INDEX($FK$325:$ID$396,HW$169,SwaptionMonthsToGo+SwaptionShift),INDEX($FK$245:$ID$316,$FJ234-HW$169,73-HW$169+SwaptionShift):INDEX($FK$245:$ID$316,$FJ234-HW$169,72-HW$169+SwaptionMonthsToGo+SwaptionShift))/SQRT(SUM(INDEX($FK389:$ID389,1+SwaptionShift):INDEX($FK389:$ID389,SwaptionMonthsToGo+SwaptionShift))*SUM(INDEX($FK$325:$ID$396,HW$169,1+SwaptionShift):INDEX($FK$325:$ID$396,HW$169,SwaptionMonthsToGo+SwaptionShift))))))</f>
        <v/>
      </c>
      <c r="HX234" s="150" t="str">
        <f aca="false">IF(OR(HX$169&lt;SwaptionFirstMonthPosition+1,$FJ234&lt;SwaptionFirstMonthPosition+1,HX$169&gt;SwaptionFirstMonthPosition+SwaptionNumOfMonths+1,$FJ234&gt;SwaptionFirstMonthPosition+SwaptionNumOfMonths+1),"",IF($FJ234=HX$169,1,IF($FJ234&lt;HX$169,INDEX($FK$170:$ID$241,HX$169,$FJ234),SUMPRODUCT(INDEX($FK$325:$ID$396,HX$169,1+SwaptionShift):INDEX($FK$325:$ID$396,HX$169,SwaptionMonthsToGo+SwaptionShift),INDEX($FK$245:$ID$316,$FJ234-HX$169,73-HX$169+SwaptionShift):INDEX($FK$245:$ID$316,$FJ234-HX$169,72-HX$169+SwaptionMonthsToGo+SwaptionShift))/SQRT(SUM(INDEX($FK389:$ID389,1+SwaptionShift):INDEX($FK389:$ID389,SwaptionMonthsToGo+SwaptionShift))*SUM(INDEX($FK$325:$ID$396,HX$169,1+SwaptionShift):INDEX($FK$325:$ID$396,HX$169,SwaptionMonthsToGo+SwaptionShift))))))</f>
        <v/>
      </c>
      <c r="HY234" s="150" t="str">
        <f aca="false">IF(OR(HY$169&lt;SwaptionFirstMonthPosition+1,$FJ234&lt;SwaptionFirstMonthPosition+1,HY$169&gt;SwaptionFirstMonthPosition+SwaptionNumOfMonths+1,$FJ234&gt;SwaptionFirstMonthPosition+SwaptionNumOfMonths+1),"",IF($FJ234=HY$169,1,IF($FJ234&lt;HY$169,INDEX($FK$170:$ID$241,HY$169,$FJ234),SUMPRODUCT(INDEX($FK$325:$ID$396,HY$169,1+SwaptionShift):INDEX($FK$325:$ID$396,HY$169,SwaptionMonthsToGo+SwaptionShift),INDEX($FK$245:$ID$316,$FJ234-HY$169,73-HY$169+SwaptionShift):INDEX($FK$245:$ID$316,$FJ234-HY$169,72-HY$169+SwaptionMonthsToGo+SwaptionShift))/SQRT(SUM(INDEX($FK389:$ID389,1+SwaptionShift):INDEX($FK389:$ID389,SwaptionMonthsToGo+SwaptionShift))*SUM(INDEX($FK$325:$ID$396,HY$169,1+SwaptionShift):INDEX($FK$325:$ID$396,HY$169,SwaptionMonthsToGo+SwaptionShift))))))</f>
        <v/>
      </c>
      <c r="HZ234" s="150" t="str">
        <f aca="false">IF(OR(HZ$169&lt;SwaptionFirstMonthPosition+1,$FJ234&lt;SwaptionFirstMonthPosition+1,HZ$169&gt;SwaptionFirstMonthPosition+SwaptionNumOfMonths+1,$FJ234&gt;SwaptionFirstMonthPosition+SwaptionNumOfMonths+1),"",IF($FJ234=HZ$169,1,IF($FJ234&lt;HZ$169,INDEX($FK$170:$ID$241,HZ$169,$FJ234),SUMPRODUCT(INDEX($FK$325:$ID$396,HZ$169,1+SwaptionShift):INDEX($FK$325:$ID$396,HZ$169,SwaptionMonthsToGo+SwaptionShift),INDEX($FK$245:$ID$316,$FJ234-HZ$169,73-HZ$169+SwaptionShift):INDEX($FK$245:$ID$316,$FJ234-HZ$169,72-HZ$169+SwaptionMonthsToGo+SwaptionShift))/SQRT(SUM(INDEX($FK389:$ID389,1+SwaptionShift):INDEX($FK389:$ID389,SwaptionMonthsToGo+SwaptionShift))*SUM(INDEX($FK$325:$ID$396,HZ$169,1+SwaptionShift):INDEX($FK$325:$ID$396,HZ$169,SwaptionMonthsToGo+SwaptionShift))))))</f>
        <v/>
      </c>
      <c r="IA234" s="150" t="str">
        <f aca="false">IF(OR(IA$169&lt;SwaptionFirstMonthPosition+1,$FJ234&lt;SwaptionFirstMonthPosition+1,IA$169&gt;SwaptionFirstMonthPosition+SwaptionNumOfMonths+1,$FJ234&gt;SwaptionFirstMonthPosition+SwaptionNumOfMonths+1),"",IF($FJ234=IA$169,1,IF($FJ234&lt;IA$169,INDEX($FK$170:$ID$241,IA$169,$FJ234),SUMPRODUCT(INDEX($FK$325:$ID$396,IA$169,1+SwaptionShift):INDEX($FK$325:$ID$396,IA$169,SwaptionMonthsToGo+SwaptionShift),INDEX($FK$245:$ID$316,$FJ234-IA$169,73-IA$169+SwaptionShift):INDEX($FK$245:$ID$316,$FJ234-IA$169,72-IA$169+SwaptionMonthsToGo+SwaptionShift))/SQRT(SUM(INDEX($FK389:$ID389,1+SwaptionShift):INDEX($FK389:$ID389,SwaptionMonthsToGo+SwaptionShift))*SUM(INDEX($FK$325:$ID$396,IA$169,1+SwaptionShift):INDEX($FK$325:$ID$396,IA$169,SwaptionMonthsToGo+SwaptionShift))))))</f>
        <v/>
      </c>
      <c r="IB234" s="150" t="str">
        <f aca="false">IF(OR(IB$169&lt;SwaptionFirstMonthPosition+1,$FJ234&lt;SwaptionFirstMonthPosition+1,IB$169&gt;SwaptionFirstMonthPosition+SwaptionNumOfMonths+1,$FJ234&gt;SwaptionFirstMonthPosition+SwaptionNumOfMonths+1),"",IF($FJ234=IB$169,1,IF($FJ234&lt;IB$169,INDEX($FK$170:$ID$241,IB$169,$FJ234),SUMPRODUCT(INDEX($FK$325:$ID$396,IB$169,1+SwaptionShift):INDEX($FK$325:$ID$396,IB$169,SwaptionMonthsToGo+SwaptionShift),INDEX($FK$245:$ID$316,$FJ234-IB$169,73-IB$169+SwaptionShift):INDEX($FK$245:$ID$316,$FJ234-IB$169,72-IB$169+SwaptionMonthsToGo+SwaptionShift))/SQRT(SUM(INDEX($FK389:$ID389,1+SwaptionShift):INDEX($FK389:$ID389,SwaptionMonthsToGo+SwaptionShift))*SUM(INDEX($FK$325:$ID$396,IB$169,1+SwaptionShift):INDEX($FK$325:$ID$396,IB$169,SwaptionMonthsToGo+SwaptionShift))))))</f>
        <v/>
      </c>
      <c r="IC234" s="150" t="str">
        <f aca="false">IF(OR(IC$169&lt;SwaptionFirstMonthPosition+1,$FJ234&lt;SwaptionFirstMonthPosition+1,IC$169&gt;SwaptionFirstMonthPosition+SwaptionNumOfMonths+1,$FJ234&gt;SwaptionFirstMonthPosition+SwaptionNumOfMonths+1),"",IF($FJ234=IC$169,1,IF($FJ234&lt;IC$169,INDEX($FK$170:$ID$241,IC$169,$FJ234),SUMPRODUCT(INDEX($FK$325:$ID$396,IC$169,1+SwaptionShift):INDEX($FK$325:$ID$396,IC$169,SwaptionMonthsToGo+SwaptionShift),INDEX($FK$245:$ID$316,$FJ234-IC$169,73-IC$169+SwaptionShift):INDEX($FK$245:$ID$316,$FJ234-IC$169,72-IC$169+SwaptionMonthsToGo+SwaptionShift))/SQRT(SUM(INDEX($FK389:$ID389,1+SwaptionShift):INDEX($FK389:$ID389,SwaptionMonthsToGo+SwaptionShift))*SUM(INDEX($FK$325:$ID$396,IC$169,1+SwaptionShift):INDEX($FK$325:$ID$396,IC$169,SwaptionMonthsToGo+SwaptionShift))))))</f>
        <v/>
      </c>
      <c r="ID234" s="572" t="str">
        <f aca="false">IF(OR(ID$169&lt;SwaptionFirstMonthPosition+1,$FJ234&lt;SwaptionFirstMonthPosition+1,ID$169&gt;SwaptionFirstMonthPosition+SwaptionNumOfMonths+1,$FJ234&gt;SwaptionFirstMonthPosition+SwaptionNumOfMonths+1),"",IF($FJ234=ID$169,1,IF($FJ234&lt;ID$169,INDEX($FK$170:$ID$241,ID$169,$FJ234),SUMPRODUCT(INDEX($FK$325:$ID$396,ID$169,1+SwaptionShift):INDEX($FK$325:$ID$396,ID$169,SwaptionMonthsToGo+SwaptionShift),INDEX($FK$245:$ID$316,$FJ234-ID$169,73-ID$169+SwaptionShift):INDEX($FK$245:$ID$316,$FJ234-ID$169,72-ID$169+SwaptionMonthsToGo+SwaptionShift))/SQRT(SUM(INDEX($FK389:$ID389,1+SwaptionShift):INDEX($FK389:$ID389,SwaptionMonthsToGo+SwaptionShift))*SUM(INDEX($FK$325:$ID$396,ID$169,1+SwaptionShift):INDEX($FK$325:$ID$396,ID$169,SwaptionMonthsToGo+SwaptionShift))))))</f>
        <v/>
      </c>
      <c r="IE234" s="129"/>
    </row>
    <row r="235" customFormat="false" ht="12.75" hidden="false" customHeight="false" outlineLevel="0" collapsed="false">
      <c r="H235" s="219" t="n">
        <f aca="false">VLOOKUP(I235,$EJ$20:$EL$54,3)</f>
        <v>0</v>
      </c>
      <c r="I235" s="511" t="n">
        <f aca="false">EOMONTH(I234,0)+1</f>
        <v>43313</v>
      </c>
      <c r="J235" s="512"/>
      <c r="K235" s="513" t="s">
        <v>280</v>
      </c>
      <c r="L235" s="514" t="n">
        <f aca="false">IF(ISNUMBER(K235),J235+K235/100,IF(K235="extra",L234+VLOOKUP(BF235,PriceSpreadTable,2)/12,IF(K235="inter",interpolateprices($K$19:$L$200,ROW(K235)-ROW(FirstPricingMonth)+1),interpolatechanges($J$19:$K$200,ROW(K235)-ROW(FirstPricingMonth)+1))))</f>
        <v>5.2125</v>
      </c>
      <c r="M235" s="515"/>
      <c r="N235" s="516" t="n">
        <v>0</v>
      </c>
      <c r="O235" s="515" t="n">
        <f aca="false">M235+N235</f>
        <v>0</v>
      </c>
      <c r="P235" s="512"/>
      <c r="Q235" s="513" t="s">
        <v>280</v>
      </c>
      <c r="R235" s="512" t="e">
        <f aca="false">IF(ISNUMBER(Q235),P235+Q235/100,IF(Q235="extra",(Z233*AL233-R234*AM233)/AN233,IF(Q235="inter",interpolateprices($Q$19:$R$260,ROW(Q235)-ROW(FirstPricingMonth)+1),interpolatechanges($P$19:$Q$260,ROW(Q235)-ROW(FirstPricingMonth)+1))))</f>
        <v>#VALUE!</v>
      </c>
      <c r="S235" s="597" t="n">
        <f aca="false">S$19+(S234-S$19)*S$18</f>
        <v>0.36</v>
      </c>
      <c r="T235" s="575" t="n">
        <f aca="false">SQRT((1-(1-T234^2/U234)*T$18)*U235)</f>
        <v>1</v>
      </c>
      <c r="U235" s="576" t="n">
        <f aca="false">1-(1-U234)*U$18</f>
        <v>1</v>
      </c>
      <c r="V235" s="521" t="n">
        <v>0</v>
      </c>
      <c r="W235" s="577" t="n">
        <f aca="false">(J236*AJ235+J237*AK235)/AI235</f>
        <v>0</v>
      </c>
      <c r="X235" s="578" t="n">
        <f aca="false">(L236*AJ235+L237*AK235)/AI235</f>
        <v>5.26467391304347</v>
      </c>
      <c r="Y235" s="579" t="n">
        <f aca="false">IF(Q237="extra",W235-AA235,(P236*AM235+P237*AN235)/AL235)</f>
        <v>-1.2669</v>
      </c>
      <c r="Z235" s="579" t="n">
        <f aca="false">IF(Q237="extra",X235-AB235,(R236*AM235+R237*AN235)/AL235)</f>
        <v>3.99777391304347</v>
      </c>
      <c r="AA235" s="523" t="n">
        <f aca="false">IF(Q237="extra",INDEX(BrentSeasonalityTable,INT((BG235-1)/3)+1)*VLOOKUP(MAX(BF235,$AB$4),PriceSpreadTable,3),W235-Y235)</f>
        <v>1.2669</v>
      </c>
      <c r="AB235" s="524" t="n">
        <f aca="false">IF(Q237="extra",INDEX(BrentSeasonalityTable,INT((BG235-1)/3)+1)*VLOOKUP(MAX(BF235,$AB$4),PriceSpreadTable,3),X235-Z235)</f>
        <v>1.2669</v>
      </c>
      <c r="AC235" s="646" t="n">
        <v>43301</v>
      </c>
      <c r="AD235" s="646" t="n">
        <v>43297</v>
      </c>
      <c r="AE235" s="646" t="n">
        <v>43296</v>
      </c>
      <c r="AF235" s="646" t="n">
        <v>43292</v>
      </c>
      <c r="AG235" s="438" t="s">
        <v>278</v>
      </c>
      <c r="AH235" s="439" t="s">
        <v>278</v>
      </c>
      <c r="AI235" s="528" t="n">
        <v>23</v>
      </c>
      <c r="AJ235" s="529" t="n">
        <v>14</v>
      </c>
      <c r="AK235" s="529" t="n">
        <v>9</v>
      </c>
      <c r="AL235" s="530" t="n">
        <v>23</v>
      </c>
      <c r="AM235" s="529" t="n">
        <v>10</v>
      </c>
      <c r="AN235" s="531" t="n">
        <v>13</v>
      </c>
      <c r="AO235" s="532"/>
      <c r="AP235" s="465" t="n">
        <f aca="false">(1+AO235/2)^(-2*BL235)</f>
        <v>1</v>
      </c>
      <c r="AQ235" s="532"/>
      <c r="AR235" s="465" t="n">
        <f aca="false">(1+AQ235/2)^(-2*BH235/365.25)</f>
        <v>1</v>
      </c>
      <c r="AS235" s="580" t="n">
        <f aca="false">(O236*AJ235+O237*AK235)/AI235</f>
        <v>0</v>
      </c>
      <c r="AT235" s="468" t="n">
        <f aca="false">O235*VLOOKUP(BF235,BrentVolTable,2)+VLOOKUP(BF235,BrentVolTable,3)</f>
        <v>0</v>
      </c>
      <c r="AU235" s="468" t="n">
        <f aca="false">(AT236*AM235+AT237*AN235)/AL235</f>
        <v>0</v>
      </c>
      <c r="AV235" s="595" t="n">
        <f aca="false">SQRT(MAX(0.000000000001,(O235^2*BH235-S235^2*(BH235-BH234))/BH234))</f>
        <v>0.0382459664584202</v>
      </c>
      <c r="AW235" s="451" t="n">
        <f aca="false">IF($I235-DateToday+15&gt;=$T$8,"",IF($I235-DateToday+15&lt;$T$5,1,MATCH($I235-DateToday+15,$T$5:$T$8)))</f>
        <v>1</v>
      </c>
      <c r="AX235" s="468" t="n">
        <f aca="false">IF($AW235="",AX234^2/AX233,INDEX(U$5:U$8,$AW235)^((INDEX($T$5:$T$8,$AW235+1)-($I235-DateToday+15))/(INDEX($T$5:$T$8,$AW235+1)-INDEX($T$5:$T$8,$AW235)))/INDEX(U$5:U$8,$AW235+1)^((INDEX($T$5:$T$8,$AW235)-($I235-DateToday+15))/(INDEX($T$5:$T$8,$AW235+1)-INDEX($T$5:$T$8,$AW235))))</f>
        <v>0.126678009392554</v>
      </c>
      <c r="AY235" s="468" t="n">
        <f aca="false">IF($AW235="",AY234^2/AY233,INDEX(V$5:V$8,$AW235)^((INDEX($T$5:$T$8,$AW235+1)-($I235-DateToday+15))/(INDEX($T$5:$T$8,$AW235+1)-INDEX($T$5:$T$8,$AW235)))/INDEX(V$5:V$8,$AW235+1)^((INDEX($T$5:$T$8,$AW235)-($I235-DateToday+15))/(INDEX($T$5:$T$8,$AW235+1)-INDEX($T$5:$T$8,$AW235))))</f>
        <v>0.608155370651208</v>
      </c>
      <c r="AZ235" s="468" t="n">
        <f aca="false">IF($AW235="",AZ234^2/AZ233,INDEX(W$5:W$8,$AW235)^((INDEX($T$5:$T$8,$AW235+1)-($I235-DateToday+15))/(INDEX($T$5:$T$8,$AW235+1)-INDEX($T$5:$T$8,$AW235)))/INDEX(W$5:W$8,$AW235+1)^((INDEX($T$5:$T$8,$AW235)-($I235-DateToday+15))/(INDEX($T$5:$T$8,$AW235+1)-INDEX($T$5:$T$8,$AW235))))</f>
        <v>14.5982267354365</v>
      </c>
      <c r="BA235" s="468" t="n">
        <f aca="false">IF($AW235="",BA234^2/BA233,INDEX(X$5:X$8,$AW235)^((INDEX($T$5:$T$8,$AW235+1)-($I235-DateToday+15))/(INDEX($T$5:$T$8,$AW235+1)-INDEX($T$5:$T$8,$AW235)))/INDEX(X$5:X$8,$AW235+1)^((INDEX($T$5:$T$8,$AW235)-($I235-DateToday+15))/(INDEX($T$5:$T$8,$AW235+1)-INDEX($T$5:$T$8,$AW235))))</f>
        <v>19.2632739948569</v>
      </c>
      <c r="BB235" s="468" t="n">
        <f aca="false">IF($AW235="",BB234^2/BB233,INDEX(Y$5:Y$8,$AW235)^((INDEX($T$5:$T$8,$AW235+1)-($I235-DateToday+15))/(INDEX($T$5:$T$8,$AW235+1)-INDEX($T$5:$T$8,$AW235)))/INDEX(Y$5:Y$8,$AW235+1)^((INDEX($T$5:$T$8,$AW235)-($I235-DateToday+15))/(INDEX($T$5:$T$8,$AW235+1)-INDEX($T$5:$T$8,$AW235))))</f>
        <v>63.4007882379947</v>
      </c>
      <c r="BC235" s="468" t="n">
        <f aca="false">IF($AW235="",BC234^2/BC233,INDEX(Z$5:Z$8,$AW235)^((INDEX($T$5:$T$8,$AW235+1)-($I235-DateToday+15))/(INDEX($T$5:$T$8,$AW235+1)-INDEX($T$5:$T$8,$AW235)))/INDEX(Z$5:Z$8,$AW235+1)^((INDEX($T$5:$T$8,$AW235)-($I235-DateToday+15))/(INDEX($T$5:$T$8,$AW235+1)-INDEX($T$5:$T$8,$AW235))))</f>
        <v>133.532445648834</v>
      </c>
      <c r="BD235" s="535" t="n">
        <f aca="false">IF(OR(DateStart&gt;=I236,DateEnd&lt;I235),0,IF(VolumeOverrideFlag,V235,Volume))</f>
        <v>0</v>
      </c>
      <c r="BE235" s="536" t="n">
        <f aca="false">IF(OR(DateStart2&gt;=I236,DateEnd2&lt;I235),0,IF(VolumeOverrideFlag,V235,VolumeSwaption))</f>
        <v>0</v>
      </c>
      <c r="BF235" s="537" t="n">
        <f aca="false">YEAR(I235)</f>
        <v>2018</v>
      </c>
      <c r="BG235" s="538" t="n">
        <f aca="false">MONTH(I235)</f>
        <v>8</v>
      </c>
      <c r="BH235" s="539" t="n">
        <f aca="false">AD235-DateToday+1</f>
        <v>-2628</v>
      </c>
      <c r="BI235" s="540" t="n">
        <f aca="false">(I235-DateToday+1)/365.25</f>
        <v>-7.15126625598905</v>
      </c>
      <c r="BJ235" s="541" t="n">
        <f aca="false">BI235+(BL235-BI235)*CHOOSE(Underlying,AJ235/AI235,AM235/AL235)</f>
        <v>-7.1012707198762</v>
      </c>
      <c r="BK235" s="541" t="n">
        <f aca="false">BJ235+1/365.25</f>
        <v>-7.09853286908907</v>
      </c>
      <c r="BL235" s="541" t="n">
        <f aca="false">(I236-DateToday)/365.25</f>
        <v>-7.06913073237509</v>
      </c>
      <c r="BM235" s="542" t="e">
        <f aca="false">MAX(BI235-(BJ235-BI235)*(S236^2/O236^2-1),0)</f>
        <v>#DIV/0!</v>
      </c>
      <c r="BN235" s="541" t="e">
        <f aca="false">MAX(BL235+(BL235-BK235)*(S237^2/O237^2-1),0)</f>
        <v>#DIV/0!</v>
      </c>
      <c r="BO235" s="530" t="n">
        <f aca="false">CHOOSE(Underlying,AI235,AL235)</f>
        <v>23</v>
      </c>
      <c r="BP235" s="529" t="n">
        <f aca="false">CHOOSE(Underlying,AJ235,AM235)</f>
        <v>14</v>
      </c>
      <c r="BQ235" s="529" t="n">
        <f aca="false">CHOOSE(Underlying,AK235,AN235)</f>
        <v>9</v>
      </c>
      <c r="BR235" s="463" t="str">
        <f aca="false">IF(BD235,IF(Underlying=1,X235,Z235)+UnderlyingPriceAsian-SwapPriceCurve,"")</f>
        <v/>
      </c>
      <c r="BS235" s="463" t="str">
        <f aca="false">IF(BD235,Strike1/BR235-1,"")</f>
        <v/>
      </c>
      <c r="BT235" s="464" t="str">
        <f aca="false">IF(BD235,Strike2/BR235-1,"")</f>
        <v/>
      </c>
      <c r="BU235" s="465" t="str">
        <f aca="false">IF(BD235,IF(Underlying=1,L236,R236)+UnderlyingPriceAsian-SwapPriceCurve,"")</f>
        <v/>
      </c>
      <c r="BV235" s="465" t="str">
        <f aca="false">IF(BD235,IF(Underlying=1,L237,R237)+UnderlyingPriceAsian-SwapPriceCurve,"")</f>
        <v/>
      </c>
      <c r="BW235" s="466" t="str">
        <f aca="false">IF(BD235,IF(Underlying=1,O236,AT236),"")</f>
        <v/>
      </c>
      <c r="BX235" s="467" t="str">
        <f aca="false">IF(BD235,IF(Underlying=1,O237,AT237),"")</f>
        <v/>
      </c>
      <c r="BY235" s="466" t="str">
        <f aca="false">IF(BD235,IF(BS235&gt;0,IF(BS235&gt;0.2,BC235-BB235,IF(BS235&gt;0.1,BB235-BA235,BA235)),IF(BS235&lt;-0.2,AX235-AY235,IF(BS235&lt;-0.1,AY235-AZ235,AZ235))),"")</f>
        <v/>
      </c>
      <c r="BZ235" s="467" t="str">
        <f aca="false">IF(BD235,IF(BT235&gt;0,IF(BT235&gt;0.2,BC235-BB235,IF(BT235&gt;0.1,BB235-BA235,BA235)),IF(BT235&lt;-0.2,AX235-AY235,IF(BT235&lt;-0.1,AY235-AZ235,AZ235))),"")</f>
        <v/>
      </c>
      <c r="CA235" s="468" t="str">
        <f aca="false">IF($BD235,$BW235+IF(VolSkewFlag=1,IF(BS235&gt;0,$BA235*MIN(BS235/10%,1)+($BB235-$BA235)*MAX(0,MIN(BS235/10%-1,1))+($BC235-$BB235)*MAX(0,BS235/10%-2),$AZ235*MIN(-BS235/10%,1)+($AY235-$AZ235)*MAX(0,MIN(-BS235/10%-1,1))+($AX235-$AY235)*MAX(0,-BS235/10%-2)),0),"")</f>
        <v/>
      </c>
      <c r="CB235" s="468" t="str">
        <f aca="false">IF($BD235,$BX235+IF(VolSkewFlag=1,IF(BS235&gt;0,$BA235*MIN(BS235/10%,1)+($BB235-$BA235)*MAX(0,MIN(BS235/10%-1,1))+($BC235-$BB235)*MAX(0,BS235/10%-2),$AZ235*MIN(-BS235/10%,1)+($AY235-$AZ235)*MAX(0,MIN(-BS235/10%-1,1))+($AX235-$AY235)*MAX(0,-BS235/10%-2)),0),"")</f>
        <v/>
      </c>
      <c r="CC235" s="468" t="str">
        <f aca="false">IF($BD235,$BW235+IF(VolSkewFlag=1,IF(BT235&gt;0,$BA235*MIN(BT235/10%,1)+($BB235-$BA235)*MAX(0,MIN(BT235/10%-1,1))+($BC235-$BB235)*MAX(0,BT235/10%-2),$AZ235*MIN(-BT235/10%,1)+($AY235-$AZ235)*MAX(0,MIN(-BT235/10%-1,1))+($AX235-$AY235)*MAX(0,-BT235/10%-2)),0),"")</f>
        <v/>
      </c>
      <c r="CD235" s="468" t="str">
        <f aca="false">IF($BD235,$BX235+IF(VolSkewFlag=1,IF(BT235&gt;0,$BA235*MIN(BT235/10%,1)+($BB235-$BA235)*MAX(0,MIN(BT235/10%-1,1))+($BC235-$BB235)*MAX(0,BT235/10%-2),$AZ235*MIN(-BT235/10%,1)+($AY235-$AZ235)*MAX(0,MIN(-BT235/10%-1,1))+($AX235-$AY235)*MAX(0,-BT235/10%-2)),0),"")</f>
        <v/>
      </c>
      <c r="CE235" s="469" t="n">
        <v>1</v>
      </c>
      <c r="CF235" s="470" t="n">
        <f aca="false">IF(BD235,xCrudeAPO(BU235,BV235,CA235,CB235,S236,S237,BI235,BL235,BP235,BQ235,0,Strike1,AO235,CE235,0,BL235,IF(OptControl=4,0,1),0,1),0)</f>
        <v>0</v>
      </c>
      <c r="CG235" s="470" t="n">
        <f aca="false">IF(BD235,xCrudeAPO(BU235,BV235,CA235,CB235,S236,S237,BI235,BL235,BP235,BQ235,0,Strike1,AO235,CE235,0,BL235,IF(OptControl=4,0,1),1,1)+xCrudeAPO(BU235,BV235,CA235,CB235,S236,S237,BI235,BL235,BP235,BQ235,0,Strike1,AO235,CE235,0,BL235,IF(OptControl=4,0,1),1,2)+IF(OR(VolSkewFlag=2,ABS(BS235)&lt;0.0001),0,IF(BS235&gt;0,-1,1)*CH235*Strike1/BR235^2*BY235/10%),0)</f>
        <v>0</v>
      </c>
      <c r="CH235" s="470" t="n">
        <f aca="false">IF(BD235,(xCrudeAPO(BU235,BV235,CA235,CB235,S236,S237,BI235,BL235,BP235,BQ235,0,Strike1,AO235,CE235,0,BL235,IF(OptControl=4,0,1),3,1)+xCrudeAPO(BU235,BV235,CA235,CB235,S236,S237,BI235,BL235,BP235,BQ235,0,Strike1,AO235,CE235,0,BL235,IF(OptControl=4,0,1),3,2))/100,0)</f>
        <v>0</v>
      </c>
      <c r="CI235" s="470" t="n">
        <f aca="false">IF(BD235,xCrudeAPO(BU235,BV235,CA235,CB235,S236,S237,BI235-DaysForThetaCalculation/365.25,BL235-DaysForThetaCalculation/365.25,BP235,BQ235,0,Strike1,AO235,CE235,0,BL235,IF(OptControl=4,0,1),0,1)-xCrudeAPO(BU235,BV235,CA235,CB235,S236,S237,BI235,BL235,BP235,BQ235,0,Strike1,AO235,CE235,0,BL235,IF(OptControl=4,0,1),0,1),0)</f>
        <v>0</v>
      </c>
      <c r="CJ235" s="471" t="n">
        <f aca="false">IF(BD235,xCrudeAPO(BU235,BV235,CC235,CD235,S236,S237,BI235,BL235,BP235,BQ235,0,Strike2,AO235,CE235,0,BL235,IF(OptControl=3,1,0),0,1),0)</f>
        <v>0</v>
      </c>
      <c r="CK235" s="470" t="n">
        <f aca="false">IF(BD235,xCrudeAPO(BU235,BV235,CC235,CD235,S236,S237,BI235,BL235,BP235,BQ235,0,Strike2,AO235,CE235,0,BL235,IF(OptControl=3,1,0),1,1)+xCrudeAPO(BU235,BV235,CC235,CD235,S236,S237,BI235,BL235,BP235,BQ235,0,Strike2,AO235,CE235,0,BL235,IF(OptControl=3,1,0),1,2)+IF(OR(VolSkewFlag=2,ABS(BT235)&lt;0.0001),0,IF(BT235&gt;0,-1,1)*CL235*Strike2/BR235^2*BZ235/10%),0)</f>
        <v>0</v>
      </c>
      <c r="CL235" s="470" t="n">
        <f aca="false">IF(BD235,(xCrudeAPO(BU235,BV235,CC235,CD235,S236,S237,BI235,BL235,BP235,BQ235,0,Strike2,AO235,CE235,0,BL235,IF(OptControl=3,1,0),3,1)+xCrudeAPO(BU235,BV235,CC235,CD235,S236,S237,BI235,BL235,BP235,BQ235,0,Strike2,AO235,CE235,0,BL235,IF(OptControl=3,1,0),3,2))/100,0)</f>
        <v>0</v>
      </c>
      <c r="CM235" s="472" t="n">
        <f aca="false">IF(BD235,xCrudeAPO(BU235,BV235,CC235,CD235,S236,S237,BI235-DaysForThetaCalculation/365.25,BL235-DaysForThetaCalculation/365.25,BP235,BQ235,0,Strike2,AO235,CE235,0,BL235,IF(OptControl=3,1,0),0,1)-xCrudeAPO(BU235,BV235,CC235,CD235,S236,S237,BI235,BL235,BP235,BQ235,0,Strike2,AO235,CE235,0,BL235,IF(OptControl=3,1,0),0,1),0)</f>
        <v>0</v>
      </c>
      <c r="CN235" s="3"/>
      <c r="CO235" s="543" t="str">
        <f aca="false">IF(BD235,CHOOSE(Underlying,AD235,AF235)-DateToday+1,"")</f>
        <v/>
      </c>
      <c r="CP235" s="582" t="str">
        <f aca="false">IF(BD235,CHOOSE(Underlying,L235,R235),"")</f>
        <v/>
      </c>
      <c r="CQ235" s="544" t="str">
        <f aca="false">IF(BD235,Strike1/CP235-1,"")</f>
        <v/>
      </c>
      <c r="CR235" s="544" t="str">
        <f aca="false">IF(BD235,Strike2/CP235-1,"")</f>
        <v/>
      </c>
      <c r="CS235" s="544" t="str">
        <f aca="false">IF(BD235,IF(CQ235&gt;0,IF(CQ235&gt;0.2,BC234-BB234,IF(CQ235&gt;0.1,BB234-BA234,BA234)),IF(CQ235&lt;-0.2,AX234-AY234,IF(CQ235&lt;-0.1,AY234-AZ234,AZ234))),"")</f>
        <v/>
      </c>
      <c r="CT235" s="544" t="str">
        <f aca="false">IF(BD235,IF(CR235&gt;0,IF(CR235&gt;0.2,BC234-BB234,IF(CR235&gt;0.1,BB234-BA234,BA234)),IF(CR235&lt;-0.2,AX234-AY234,IF(CR235&lt;-0.1,AY234-AZ234,AZ234))),"")</f>
        <v/>
      </c>
      <c r="CU235" s="545" t="str">
        <f aca="false">IF(BD235,CHOOSE(Underlying,O235,AT235),"")</f>
        <v/>
      </c>
      <c r="CV235" s="545" t="str">
        <f aca="false">IF(BD235,CU235+IF(VolSkewFlag=1,IF(CQ235&gt;0,BA234*MIN(CQ235/10%,1)+(BB234-BA234)*MAX(0,MIN(CQ235/10%-1,1))+(BC234-BB234)*MAX(0,CQ235/10%-2),AZ234*MIN(-CQ235/10%,1)+(AY234-AZ234)*MAX(0,MIN(-CQ235/10%-1,1))+(AX234-AY234)*MAX(0,-CQ235/10%-2)),0),"")</f>
        <v/>
      </c>
      <c r="CW235" s="545" t="str">
        <f aca="false">IF(BD235,CU235+IF(VolSkewFlag=1,IF(CR235&gt;0,BA234*MIN(CR235/10%,1)+(BB234-BA234)*MAX(0,MIN(CR235/10%-1,1))+(BC234-BB234)*MAX(0,CR235/10%-2),AZ234*MIN(-CR235/10%,1)+(AY234-AZ234)*MAX(0,MIN(-CR235/10%-1,1))+(AX234-AY234)*MAX(0,-CR235/10%-2)),0),"")</f>
        <v/>
      </c>
      <c r="CX235" s="470" t="n">
        <f aca="false">IF(BD235,EURO(CP235,Strike1,AO235,AO235,CV235,CO235,IF(OptControl=4,0,1),0),0)</f>
        <v>0</v>
      </c>
      <c r="CY235" s="470" t="n">
        <f aca="false">IF(BD235,EURO(CP235,Strike1,AO235,AO235,CV235,CO235,IF(OptControl=4,0,1),1)+IF(OR(VolSkewFlag=2,ABS(CQ235)&lt;0.0001),0,IF(CQ235&gt;0,-1,1)*CZ235*100*Strike1/CP235^2*CS235/10%),0)</f>
        <v>0</v>
      </c>
      <c r="CZ235" s="470" t="n">
        <f aca="false">IF(BD235,EURO(CP235,Strike1,AO235,AO235,CV235,CO235,IF(OptControl=4,0,1),3)/100,0)</f>
        <v>0</v>
      </c>
      <c r="DA235" s="470" t="n">
        <f aca="false">IF(BD235,EURO(CP235,Strike1,AO235,AO235,CV235,CO235,IF(OptControl=4,0,1),0)-EURO(CP235,Strike1,AO235,AO235,CV235,CO235-1,IF(OptControl=4,0,1),0),0)</f>
        <v>0</v>
      </c>
      <c r="DB235" s="470" t="n">
        <f aca="false">IF(BD235,EURO(CP235,Strike2,AO235,AO235,CW235,CO235,IF(OptControl=3,1,0),0),0)</f>
        <v>0</v>
      </c>
      <c r="DC235" s="470" t="n">
        <f aca="false">IF(BD235,EURO(CP235,Strike2,AO235,AO235,CW235,CO235,IF(OptControl=3,1,0),1)+IF(OR(VolSkewFlag=2,ABS(CR235)&lt;0.0001),0,IF(CR235&gt;0,-1,1)*DD235*100*Strike2/CP235^2*CT235/10%),0)</f>
        <v>0</v>
      </c>
      <c r="DD235" s="470" t="n">
        <f aca="false">IF(BD235,EURO(CP235,Strike2,AO235,AO235,CW235,CO235,IF(OptControl=3,1,0),3)/100,0)</f>
        <v>0</v>
      </c>
      <c r="DE235" s="472" t="n">
        <f aca="false">IF(BD235,EURO(CP235,Strike2,AO235,AO235,CW235,CO235,IF(OptControl=3,1,0),0)-EURO(CP235,Strike2,AO235,AO235,CW235,CO235-1,IF(OptControl=3,1,0),0),0)</f>
        <v>0</v>
      </c>
      <c r="DG235" s="481" t="n">
        <f aca="false">EOMONTH(DG234,0)+1</f>
        <v>52232</v>
      </c>
      <c r="DH235" s="478" t="n">
        <v>24.9100000000001</v>
      </c>
      <c r="DI235" s="479" t="n">
        <v>24.9781818181819</v>
      </c>
      <c r="DJ235" s="480" t="n">
        <f aca="false">DG235</f>
        <v>52232</v>
      </c>
      <c r="DK235" s="478" t="n">
        <v>23.7077565033284</v>
      </c>
      <c r="DL235" s="479" t="n">
        <v>23.8096818181819</v>
      </c>
      <c r="DM235" s="481" t="n">
        <f aca="false">DG235</f>
        <v>52232</v>
      </c>
      <c r="DN235" s="482" t="n">
        <f aca="false">DK235+BrentPhyBrentSpread</f>
        <v>23.7577565033284</v>
      </c>
      <c r="DO235" s="481" t="n">
        <f aca="false">DG235</f>
        <v>52232</v>
      </c>
      <c r="DP235" s="483" t="n">
        <f aca="false">DL235+DQ235</f>
        <v>23.8096818181819</v>
      </c>
      <c r="DQ235" s="546" t="n">
        <v>0</v>
      </c>
      <c r="DR235" s="480" t="n">
        <f aca="false">DG235</f>
        <v>52232</v>
      </c>
      <c r="DS235" s="485" t="n">
        <v>0.095599999999998</v>
      </c>
      <c r="DT235" s="486" t="n">
        <v>0.0947818181818162</v>
      </c>
      <c r="DU235" s="480" t="n">
        <f aca="false">DG235</f>
        <v>52232</v>
      </c>
      <c r="DV235" s="485" t="n">
        <v>0.095599999999998</v>
      </c>
      <c r="DW235" s="486" t="n">
        <v>0.0947818181818162</v>
      </c>
      <c r="DX235" s="481" t="n">
        <f aca="false">DG235</f>
        <v>52232</v>
      </c>
      <c r="DY235" s="486" t="n">
        <v>0.35</v>
      </c>
      <c r="DZ235" s="481" t="n">
        <f aca="false">DR235</f>
        <v>52232</v>
      </c>
      <c r="EA235" s="486" t="n">
        <f aca="false">DT235</f>
        <v>0.0947818181818162</v>
      </c>
      <c r="EB235" s="195"/>
      <c r="EC235" s="547" t="str">
        <f aca="false">IF(BD235,IF(Underlying=1,AS235,AU235),"")</f>
        <v/>
      </c>
      <c r="ED235" s="548" t="str">
        <f aca="false">IF($BD235,$EC235+IF(VolSkewFlag=1,IF(BS235&gt;0,$BA235*MIN(BS235/10%,1)+($BB235-$BA235)*MAX(0,MIN(BS235/10%-1,1))+($BC235-$BB235)*MAX(0,BS235/10%-2),$AZ235*MIN(-BS235/10%,1)+($AY235-$AZ235)*MAX(0,MIN(-BS235/10%-1,1))+($AX235-$AY235)*MAX(0,-BS235/10%-2)),0),"")</f>
        <v/>
      </c>
      <c r="EE235" s="549" t="str">
        <f aca="false">IF($BD235,$EC235+IF(VolSkewFlag=1,IF(BT235&gt;0,$BA235*MIN(BT235/10%,1)+($BB235-$BA235)*MAX(0,MIN(BT235/10%-1,1))+($BC235-$BB235)*MAX(0,BT235/10%-2),$AZ235*MIN(-BT235/10%,1)+($AY235-$AZ235)*MAX(0,MIN(-BT235/10%-1,1))+($AX235-$AY235)*MAX(0,-BT235/10%-2)),0),"")</f>
        <v/>
      </c>
      <c r="EF235" s="550" t="n">
        <f aca="false">IF(BD235,xASN(BR235,Strike1,AO235,ED235,0,BO235,0,BI235,BL235,IF(OptControl=4,0,1),0),0)</f>
        <v>0</v>
      </c>
      <c r="EG235" s="551" t="n">
        <f aca="false">IF(BD235,xASN(BR235,Strike2,AO235,EE235,0,BO235,0,BI235,BL235,IF(OptControl=3,1,0),0),0)</f>
        <v>0</v>
      </c>
      <c r="EL235" s="1"/>
      <c r="EM235" s="195"/>
      <c r="EN235" s="240"/>
      <c r="EO235" s="240"/>
      <c r="EP235" s="195"/>
      <c r="EQ235" s="407" t="s">
        <v>463</v>
      </c>
      <c r="ES235" s="1"/>
      <c r="EU235" s="672"/>
      <c r="FJ235" s="571" t="n">
        <v>66</v>
      </c>
      <c r="FK235" s="150" t="str">
        <f aca="false">IF(OR(FK$169&lt;SwaptionFirstMonthPosition+1,$FJ235&lt;SwaptionFirstMonthPosition+1,FK$169&gt;SwaptionFirstMonthPosition+SwaptionNumOfMonths+1,$FJ235&gt;SwaptionFirstMonthPosition+SwaptionNumOfMonths+1),"",IF($FJ235=FK$169,1,IF($FJ235&lt;FK$169,INDEX($FK$170:$ID$241,FK$169,$FJ235),SUMPRODUCT(INDEX($FK$325:$ID$396,FK$169,1+SwaptionShift):INDEX($FK$325:$ID$396,FK$169,SwaptionMonthsToGo+SwaptionShift),INDEX($FK$245:$ID$316,$FJ235-FK$169,73-FK$169+SwaptionShift):INDEX($FK$245:$ID$316,$FJ235-FK$169,72-FK$169+SwaptionMonthsToGo+SwaptionShift))/SQRT(SUM(INDEX($FK390:$ID390,1+SwaptionShift):INDEX($FK390:$ID390,SwaptionMonthsToGo+SwaptionShift))*SUM(INDEX($FK$325:$ID$396,FK$169,1+SwaptionShift):INDEX($FK$325:$ID$396,FK$169,SwaptionMonthsToGo+SwaptionShift))))))</f>
        <v/>
      </c>
      <c r="FL235" s="150" t="str">
        <f aca="false">IF(OR(FL$169&lt;SwaptionFirstMonthPosition+1,$FJ235&lt;SwaptionFirstMonthPosition+1,FL$169&gt;SwaptionFirstMonthPosition+SwaptionNumOfMonths+1,$FJ235&gt;SwaptionFirstMonthPosition+SwaptionNumOfMonths+1),"",IF($FJ235=FL$169,1,IF($FJ235&lt;FL$169,INDEX($FK$170:$ID$241,FL$169,$FJ235),SUMPRODUCT(INDEX($FK$325:$ID$396,FL$169,1+SwaptionShift):INDEX($FK$325:$ID$396,FL$169,SwaptionMonthsToGo+SwaptionShift),INDEX($FK$245:$ID$316,$FJ235-FL$169,73-FL$169+SwaptionShift):INDEX($FK$245:$ID$316,$FJ235-FL$169,72-FL$169+SwaptionMonthsToGo+SwaptionShift))/SQRT(SUM(INDEX($FK390:$ID390,1+SwaptionShift):INDEX($FK390:$ID390,SwaptionMonthsToGo+SwaptionShift))*SUM(INDEX($FK$325:$ID$396,FL$169,1+SwaptionShift):INDEX($FK$325:$ID$396,FL$169,SwaptionMonthsToGo+SwaptionShift))))))</f>
        <v/>
      </c>
      <c r="FM235" s="150" t="str">
        <f aca="false">IF(OR(FM$169&lt;SwaptionFirstMonthPosition+1,$FJ235&lt;SwaptionFirstMonthPosition+1,FM$169&gt;SwaptionFirstMonthPosition+SwaptionNumOfMonths+1,$FJ235&gt;SwaptionFirstMonthPosition+SwaptionNumOfMonths+1),"",IF($FJ235=FM$169,1,IF($FJ235&lt;FM$169,INDEX($FK$170:$ID$241,FM$169,$FJ235),SUMPRODUCT(INDEX($FK$325:$ID$396,FM$169,1+SwaptionShift):INDEX($FK$325:$ID$396,FM$169,SwaptionMonthsToGo+SwaptionShift),INDEX($FK$245:$ID$316,$FJ235-FM$169,73-FM$169+SwaptionShift):INDEX($FK$245:$ID$316,$FJ235-FM$169,72-FM$169+SwaptionMonthsToGo+SwaptionShift))/SQRT(SUM(INDEX($FK390:$ID390,1+SwaptionShift):INDEX($FK390:$ID390,SwaptionMonthsToGo+SwaptionShift))*SUM(INDEX($FK$325:$ID$396,FM$169,1+SwaptionShift):INDEX($FK$325:$ID$396,FM$169,SwaptionMonthsToGo+SwaptionShift))))))</f>
        <v/>
      </c>
      <c r="FN235" s="150" t="str">
        <f aca="false">IF(OR(FN$169&lt;SwaptionFirstMonthPosition+1,$FJ235&lt;SwaptionFirstMonthPosition+1,FN$169&gt;SwaptionFirstMonthPosition+SwaptionNumOfMonths+1,$FJ235&gt;SwaptionFirstMonthPosition+SwaptionNumOfMonths+1),"",IF($FJ235=FN$169,1,IF($FJ235&lt;FN$169,INDEX($FK$170:$ID$241,FN$169,$FJ235),SUMPRODUCT(INDEX($FK$325:$ID$396,FN$169,1+SwaptionShift):INDEX($FK$325:$ID$396,FN$169,SwaptionMonthsToGo+SwaptionShift),INDEX($FK$245:$ID$316,$FJ235-FN$169,73-FN$169+SwaptionShift):INDEX($FK$245:$ID$316,$FJ235-FN$169,72-FN$169+SwaptionMonthsToGo+SwaptionShift))/SQRT(SUM(INDEX($FK390:$ID390,1+SwaptionShift):INDEX($FK390:$ID390,SwaptionMonthsToGo+SwaptionShift))*SUM(INDEX($FK$325:$ID$396,FN$169,1+SwaptionShift):INDEX($FK$325:$ID$396,FN$169,SwaptionMonthsToGo+SwaptionShift))))))</f>
        <v/>
      </c>
      <c r="FO235" s="150" t="str">
        <f aca="false">IF(OR(FO$169&lt;SwaptionFirstMonthPosition+1,$FJ235&lt;SwaptionFirstMonthPosition+1,FO$169&gt;SwaptionFirstMonthPosition+SwaptionNumOfMonths+1,$FJ235&gt;SwaptionFirstMonthPosition+SwaptionNumOfMonths+1),"",IF($FJ235=FO$169,1,IF($FJ235&lt;FO$169,INDEX($FK$170:$ID$241,FO$169,$FJ235),SUMPRODUCT(INDEX($FK$325:$ID$396,FO$169,1+SwaptionShift):INDEX($FK$325:$ID$396,FO$169,SwaptionMonthsToGo+SwaptionShift),INDEX($FK$245:$ID$316,$FJ235-FO$169,73-FO$169+SwaptionShift):INDEX($FK$245:$ID$316,$FJ235-FO$169,72-FO$169+SwaptionMonthsToGo+SwaptionShift))/SQRT(SUM(INDEX($FK390:$ID390,1+SwaptionShift):INDEX($FK390:$ID390,SwaptionMonthsToGo+SwaptionShift))*SUM(INDEX($FK$325:$ID$396,FO$169,1+SwaptionShift):INDEX($FK$325:$ID$396,FO$169,SwaptionMonthsToGo+SwaptionShift))))))</f>
        <v/>
      </c>
      <c r="FP235" s="150" t="str">
        <f aca="false">IF(OR(FP$169&lt;SwaptionFirstMonthPosition+1,$FJ235&lt;SwaptionFirstMonthPosition+1,FP$169&gt;SwaptionFirstMonthPosition+SwaptionNumOfMonths+1,$FJ235&gt;SwaptionFirstMonthPosition+SwaptionNumOfMonths+1),"",IF($FJ235=FP$169,1,IF($FJ235&lt;FP$169,INDEX($FK$170:$ID$241,FP$169,$FJ235),SUMPRODUCT(INDEX($FK$325:$ID$396,FP$169,1+SwaptionShift):INDEX($FK$325:$ID$396,FP$169,SwaptionMonthsToGo+SwaptionShift),INDEX($FK$245:$ID$316,$FJ235-FP$169,73-FP$169+SwaptionShift):INDEX($FK$245:$ID$316,$FJ235-FP$169,72-FP$169+SwaptionMonthsToGo+SwaptionShift))/SQRT(SUM(INDEX($FK390:$ID390,1+SwaptionShift):INDEX($FK390:$ID390,SwaptionMonthsToGo+SwaptionShift))*SUM(INDEX($FK$325:$ID$396,FP$169,1+SwaptionShift):INDEX($FK$325:$ID$396,FP$169,SwaptionMonthsToGo+SwaptionShift))))))</f>
        <v/>
      </c>
      <c r="FQ235" s="150" t="str">
        <f aca="false">IF(OR(FQ$169&lt;SwaptionFirstMonthPosition+1,$FJ235&lt;SwaptionFirstMonthPosition+1,FQ$169&gt;SwaptionFirstMonthPosition+SwaptionNumOfMonths+1,$FJ235&gt;SwaptionFirstMonthPosition+SwaptionNumOfMonths+1),"",IF($FJ235=FQ$169,1,IF($FJ235&lt;FQ$169,INDEX($FK$170:$ID$241,FQ$169,$FJ235),SUMPRODUCT(INDEX($FK$325:$ID$396,FQ$169,1+SwaptionShift):INDEX($FK$325:$ID$396,FQ$169,SwaptionMonthsToGo+SwaptionShift),INDEX($FK$245:$ID$316,$FJ235-FQ$169,73-FQ$169+SwaptionShift):INDEX($FK$245:$ID$316,$FJ235-FQ$169,72-FQ$169+SwaptionMonthsToGo+SwaptionShift))/SQRT(SUM(INDEX($FK390:$ID390,1+SwaptionShift):INDEX($FK390:$ID390,SwaptionMonthsToGo+SwaptionShift))*SUM(INDEX($FK$325:$ID$396,FQ$169,1+SwaptionShift):INDEX($FK$325:$ID$396,FQ$169,SwaptionMonthsToGo+SwaptionShift))))))</f>
        <v/>
      </c>
      <c r="FR235" s="150" t="str">
        <f aca="false">IF(OR(FR$169&lt;SwaptionFirstMonthPosition+1,$FJ235&lt;SwaptionFirstMonthPosition+1,FR$169&gt;SwaptionFirstMonthPosition+SwaptionNumOfMonths+1,$FJ235&gt;SwaptionFirstMonthPosition+SwaptionNumOfMonths+1),"",IF($FJ235=FR$169,1,IF($FJ235&lt;FR$169,INDEX($FK$170:$ID$241,FR$169,$FJ235),SUMPRODUCT(INDEX($FK$325:$ID$396,FR$169,1+SwaptionShift):INDEX($FK$325:$ID$396,FR$169,SwaptionMonthsToGo+SwaptionShift),INDEX($FK$245:$ID$316,$FJ235-FR$169,73-FR$169+SwaptionShift):INDEX($FK$245:$ID$316,$FJ235-FR$169,72-FR$169+SwaptionMonthsToGo+SwaptionShift))/SQRT(SUM(INDEX($FK390:$ID390,1+SwaptionShift):INDEX($FK390:$ID390,SwaptionMonthsToGo+SwaptionShift))*SUM(INDEX($FK$325:$ID$396,FR$169,1+SwaptionShift):INDEX($FK$325:$ID$396,FR$169,SwaptionMonthsToGo+SwaptionShift))))))</f>
        <v/>
      </c>
      <c r="FS235" s="150" t="str">
        <f aca="false">IF(OR(FS$169&lt;SwaptionFirstMonthPosition+1,$FJ235&lt;SwaptionFirstMonthPosition+1,FS$169&gt;SwaptionFirstMonthPosition+SwaptionNumOfMonths+1,$FJ235&gt;SwaptionFirstMonthPosition+SwaptionNumOfMonths+1),"",IF($FJ235=FS$169,1,IF($FJ235&lt;FS$169,INDEX($FK$170:$ID$241,FS$169,$FJ235),SUMPRODUCT(INDEX($FK$325:$ID$396,FS$169,1+SwaptionShift):INDEX($FK$325:$ID$396,FS$169,SwaptionMonthsToGo+SwaptionShift),INDEX($FK$245:$ID$316,$FJ235-FS$169,73-FS$169+SwaptionShift):INDEX($FK$245:$ID$316,$FJ235-FS$169,72-FS$169+SwaptionMonthsToGo+SwaptionShift))/SQRT(SUM(INDEX($FK390:$ID390,1+SwaptionShift):INDEX($FK390:$ID390,SwaptionMonthsToGo+SwaptionShift))*SUM(INDEX($FK$325:$ID$396,FS$169,1+SwaptionShift):INDEX($FK$325:$ID$396,FS$169,SwaptionMonthsToGo+SwaptionShift))))))</f>
        <v/>
      </c>
      <c r="FT235" s="150" t="str">
        <f aca="false">IF(OR(FT$169&lt;SwaptionFirstMonthPosition+1,$FJ235&lt;SwaptionFirstMonthPosition+1,FT$169&gt;SwaptionFirstMonthPosition+SwaptionNumOfMonths+1,$FJ235&gt;SwaptionFirstMonthPosition+SwaptionNumOfMonths+1),"",IF($FJ235=FT$169,1,IF($FJ235&lt;FT$169,INDEX($FK$170:$ID$241,FT$169,$FJ235),SUMPRODUCT(INDEX($FK$325:$ID$396,FT$169,1+SwaptionShift):INDEX($FK$325:$ID$396,FT$169,SwaptionMonthsToGo+SwaptionShift),INDEX($FK$245:$ID$316,$FJ235-FT$169,73-FT$169+SwaptionShift):INDEX($FK$245:$ID$316,$FJ235-FT$169,72-FT$169+SwaptionMonthsToGo+SwaptionShift))/SQRT(SUM(INDEX($FK390:$ID390,1+SwaptionShift):INDEX($FK390:$ID390,SwaptionMonthsToGo+SwaptionShift))*SUM(INDEX($FK$325:$ID$396,FT$169,1+SwaptionShift):INDEX($FK$325:$ID$396,FT$169,SwaptionMonthsToGo+SwaptionShift))))))</f>
        <v/>
      </c>
      <c r="FU235" s="150" t="str">
        <f aca="false">IF(OR(FU$169&lt;SwaptionFirstMonthPosition+1,$FJ235&lt;SwaptionFirstMonthPosition+1,FU$169&gt;SwaptionFirstMonthPosition+SwaptionNumOfMonths+1,$FJ235&gt;SwaptionFirstMonthPosition+SwaptionNumOfMonths+1),"",IF($FJ235=FU$169,1,IF($FJ235&lt;FU$169,INDEX($FK$170:$ID$241,FU$169,$FJ235),SUMPRODUCT(INDEX($FK$325:$ID$396,FU$169,1+SwaptionShift):INDEX($FK$325:$ID$396,FU$169,SwaptionMonthsToGo+SwaptionShift),INDEX($FK$245:$ID$316,$FJ235-FU$169,73-FU$169+SwaptionShift):INDEX($FK$245:$ID$316,$FJ235-FU$169,72-FU$169+SwaptionMonthsToGo+SwaptionShift))/SQRT(SUM(INDEX($FK390:$ID390,1+SwaptionShift):INDEX($FK390:$ID390,SwaptionMonthsToGo+SwaptionShift))*SUM(INDEX($FK$325:$ID$396,FU$169,1+SwaptionShift):INDEX($FK$325:$ID$396,FU$169,SwaptionMonthsToGo+SwaptionShift))))))</f>
        <v/>
      </c>
      <c r="FV235" s="150" t="str">
        <f aca="false">IF(OR(FV$169&lt;SwaptionFirstMonthPosition+1,$FJ235&lt;SwaptionFirstMonthPosition+1,FV$169&gt;SwaptionFirstMonthPosition+SwaptionNumOfMonths+1,$FJ235&gt;SwaptionFirstMonthPosition+SwaptionNumOfMonths+1),"",IF($FJ235=FV$169,1,IF($FJ235&lt;FV$169,INDEX($FK$170:$ID$241,FV$169,$FJ235),SUMPRODUCT(INDEX($FK$325:$ID$396,FV$169,1+SwaptionShift):INDEX($FK$325:$ID$396,FV$169,SwaptionMonthsToGo+SwaptionShift),INDEX($FK$245:$ID$316,$FJ235-FV$169,73-FV$169+SwaptionShift):INDEX($FK$245:$ID$316,$FJ235-FV$169,72-FV$169+SwaptionMonthsToGo+SwaptionShift))/SQRT(SUM(INDEX($FK390:$ID390,1+SwaptionShift):INDEX($FK390:$ID390,SwaptionMonthsToGo+SwaptionShift))*SUM(INDEX($FK$325:$ID$396,FV$169,1+SwaptionShift):INDEX($FK$325:$ID$396,FV$169,SwaptionMonthsToGo+SwaptionShift))))))</f>
        <v/>
      </c>
      <c r="FW235" s="150" t="str">
        <f aca="false">IF(OR(FW$169&lt;SwaptionFirstMonthPosition+1,$FJ235&lt;SwaptionFirstMonthPosition+1,FW$169&gt;SwaptionFirstMonthPosition+SwaptionNumOfMonths+1,$FJ235&gt;SwaptionFirstMonthPosition+SwaptionNumOfMonths+1),"",IF($FJ235=FW$169,1,IF($FJ235&lt;FW$169,INDEX($FK$170:$ID$241,FW$169,$FJ235),SUMPRODUCT(INDEX($FK$325:$ID$396,FW$169,1+SwaptionShift):INDEX($FK$325:$ID$396,FW$169,SwaptionMonthsToGo+SwaptionShift),INDEX($FK$245:$ID$316,$FJ235-FW$169,73-FW$169+SwaptionShift):INDEX($FK$245:$ID$316,$FJ235-FW$169,72-FW$169+SwaptionMonthsToGo+SwaptionShift))/SQRT(SUM(INDEX($FK390:$ID390,1+SwaptionShift):INDEX($FK390:$ID390,SwaptionMonthsToGo+SwaptionShift))*SUM(INDEX($FK$325:$ID$396,FW$169,1+SwaptionShift):INDEX($FK$325:$ID$396,FW$169,SwaptionMonthsToGo+SwaptionShift))))))</f>
        <v/>
      </c>
      <c r="FX235" s="150" t="str">
        <f aca="false">IF(OR(FX$169&lt;SwaptionFirstMonthPosition+1,$FJ235&lt;SwaptionFirstMonthPosition+1,FX$169&gt;SwaptionFirstMonthPosition+SwaptionNumOfMonths+1,$FJ235&gt;SwaptionFirstMonthPosition+SwaptionNumOfMonths+1),"",IF($FJ235=FX$169,1,IF($FJ235&lt;FX$169,INDEX($FK$170:$ID$241,FX$169,$FJ235),SUMPRODUCT(INDEX($FK$325:$ID$396,FX$169,1+SwaptionShift):INDEX($FK$325:$ID$396,FX$169,SwaptionMonthsToGo+SwaptionShift),INDEX($FK$245:$ID$316,$FJ235-FX$169,73-FX$169+SwaptionShift):INDEX($FK$245:$ID$316,$FJ235-FX$169,72-FX$169+SwaptionMonthsToGo+SwaptionShift))/SQRT(SUM(INDEX($FK390:$ID390,1+SwaptionShift):INDEX($FK390:$ID390,SwaptionMonthsToGo+SwaptionShift))*SUM(INDEX($FK$325:$ID$396,FX$169,1+SwaptionShift):INDEX($FK$325:$ID$396,FX$169,SwaptionMonthsToGo+SwaptionShift))))))</f>
        <v/>
      </c>
      <c r="FY235" s="150" t="str">
        <f aca="false">IF(OR(FY$169&lt;SwaptionFirstMonthPosition+1,$FJ235&lt;SwaptionFirstMonthPosition+1,FY$169&gt;SwaptionFirstMonthPosition+SwaptionNumOfMonths+1,$FJ235&gt;SwaptionFirstMonthPosition+SwaptionNumOfMonths+1),"",IF($FJ235=FY$169,1,IF($FJ235&lt;FY$169,INDEX($FK$170:$ID$241,FY$169,$FJ235),SUMPRODUCT(INDEX($FK$325:$ID$396,FY$169,1+SwaptionShift):INDEX($FK$325:$ID$396,FY$169,SwaptionMonthsToGo+SwaptionShift),INDEX($FK$245:$ID$316,$FJ235-FY$169,73-FY$169+SwaptionShift):INDEX($FK$245:$ID$316,$FJ235-FY$169,72-FY$169+SwaptionMonthsToGo+SwaptionShift))/SQRT(SUM(INDEX($FK390:$ID390,1+SwaptionShift):INDEX($FK390:$ID390,SwaptionMonthsToGo+SwaptionShift))*SUM(INDEX($FK$325:$ID$396,FY$169,1+SwaptionShift):INDEX($FK$325:$ID$396,FY$169,SwaptionMonthsToGo+SwaptionShift))))))</f>
        <v/>
      </c>
      <c r="FZ235" s="150" t="str">
        <f aca="false">IF(OR(FZ$169&lt;SwaptionFirstMonthPosition+1,$FJ235&lt;SwaptionFirstMonthPosition+1,FZ$169&gt;SwaptionFirstMonthPosition+SwaptionNumOfMonths+1,$FJ235&gt;SwaptionFirstMonthPosition+SwaptionNumOfMonths+1),"",IF($FJ235=FZ$169,1,IF($FJ235&lt;FZ$169,INDEX($FK$170:$ID$241,FZ$169,$FJ235),SUMPRODUCT(INDEX($FK$325:$ID$396,FZ$169,1+SwaptionShift):INDEX($FK$325:$ID$396,FZ$169,SwaptionMonthsToGo+SwaptionShift),INDEX($FK$245:$ID$316,$FJ235-FZ$169,73-FZ$169+SwaptionShift):INDEX($FK$245:$ID$316,$FJ235-FZ$169,72-FZ$169+SwaptionMonthsToGo+SwaptionShift))/SQRT(SUM(INDEX($FK390:$ID390,1+SwaptionShift):INDEX($FK390:$ID390,SwaptionMonthsToGo+SwaptionShift))*SUM(INDEX($FK$325:$ID$396,FZ$169,1+SwaptionShift):INDEX($FK$325:$ID$396,FZ$169,SwaptionMonthsToGo+SwaptionShift))))))</f>
        <v/>
      </c>
      <c r="GA235" s="150" t="str">
        <f aca="false">IF(OR(GA$169&lt;SwaptionFirstMonthPosition+1,$FJ235&lt;SwaptionFirstMonthPosition+1,GA$169&gt;SwaptionFirstMonthPosition+SwaptionNumOfMonths+1,$FJ235&gt;SwaptionFirstMonthPosition+SwaptionNumOfMonths+1),"",IF($FJ235=GA$169,1,IF($FJ235&lt;GA$169,INDEX($FK$170:$ID$241,GA$169,$FJ235),SUMPRODUCT(INDEX($FK$325:$ID$396,GA$169,1+SwaptionShift):INDEX($FK$325:$ID$396,GA$169,SwaptionMonthsToGo+SwaptionShift),INDEX($FK$245:$ID$316,$FJ235-GA$169,73-GA$169+SwaptionShift):INDEX($FK$245:$ID$316,$FJ235-GA$169,72-GA$169+SwaptionMonthsToGo+SwaptionShift))/SQRT(SUM(INDEX($FK390:$ID390,1+SwaptionShift):INDEX($FK390:$ID390,SwaptionMonthsToGo+SwaptionShift))*SUM(INDEX($FK$325:$ID$396,GA$169,1+SwaptionShift):INDEX($FK$325:$ID$396,GA$169,SwaptionMonthsToGo+SwaptionShift))))))</f>
        <v/>
      </c>
      <c r="GB235" s="150" t="str">
        <f aca="false">IF(OR(GB$169&lt;SwaptionFirstMonthPosition+1,$FJ235&lt;SwaptionFirstMonthPosition+1,GB$169&gt;SwaptionFirstMonthPosition+SwaptionNumOfMonths+1,$FJ235&gt;SwaptionFirstMonthPosition+SwaptionNumOfMonths+1),"",IF($FJ235=GB$169,1,IF($FJ235&lt;GB$169,INDEX($FK$170:$ID$241,GB$169,$FJ235),SUMPRODUCT(INDEX($FK$325:$ID$396,GB$169,1+SwaptionShift):INDEX($FK$325:$ID$396,GB$169,SwaptionMonthsToGo+SwaptionShift),INDEX($FK$245:$ID$316,$FJ235-GB$169,73-GB$169+SwaptionShift):INDEX($FK$245:$ID$316,$FJ235-GB$169,72-GB$169+SwaptionMonthsToGo+SwaptionShift))/SQRT(SUM(INDEX($FK390:$ID390,1+SwaptionShift):INDEX($FK390:$ID390,SwaptionMonthsToGo+SwaptionShift))*SUM(INDEX($FK$325:$ID$396,GB$169,1+SwaptionShift):INDEX($FK$325:$ID$396,GB$169,SwaptionMonthsToGo+SwaptionShift))))))</f>
        <v/>
      </c>
      <c r="GC235" s="150" t="str">
        <f aca="false">IF(OR(GC$169&lt;SwaptionFirstMonthPosition+1,$FJ235&lt;SwaptionFirstMonthPosition+1,GC$169&gt;SwaptionFirstMonthPosition+SwaptionNumOfMonths+1,$FJ235&gt;SwaptionFirstMonthPosition+SwaptionNumOfMonths+1),"",IF($FJ235=GC$169,1,IF($FJ235&lt;GC$169,INDEX($FK$170:$ID$241,GC$169,$FJ235),SUMPRODUCT(INDEX($FK$325:$ID$396,GC$169,1+SwaptionShift):INDEX($FK$325:$ID$396,GC$169,SwaptionMonthsToGo+SwaptionShift),INDEX($FK$245:$ID$316,$FJ235-GC$169,73-GC$169+SwaptionShift):INDEX($FK$245:$ID$316,$FJ235-GC$169,72-GC$169+SwaptionMonthsToGo+SwaptionShift))/SQRT(SUM(INDEX($FK390:$ID390,1+SwaptionShift):INDEX($FK390:$ID390,SwaptionMonthsToGo+SwaptionShift))*SUM(INDEX($FK$325:$ID$396,GC$169,1+SwaptionShift):INDEX($FK$325:$ID$396,GC$169,SwaptionMonthsToGo+SwaptionShift))))))</f>
        <v/>
      </c>
      <c r="GD235" s="150" t="str">
        <f aca="false">IF(OR(GD$169&lt;SwaptionFirstMonthPosition+1,$FJ235&lt;SwaptionFirstMonthPosition+1,GD$169&gt;SwaptionFirstMonthPosition+SwaptionNumOfMonths+1,$FJ235&gt;SwaptionFirstMonthPosition+SwaptionNumOfMonths+1),"",IF($FJ235=GD$169,1,IF($FJ235&lt;GD$169,INDEX($FK$170:$ID$241,GD$169,$FJ235),SUMPRODUCT(INDEX($FK$325:$ID$396,GD$169,1+SwaptionShift):INDEX($FK$325:$ID$396,GD$169,SwaptionMonthsToGo+SwaptionShift),INDEX($FK$245:$ID$316,$FJ235-GD$169,73-GD$169+SwaptionShift):INDEX($FK$245:$ID$316,$FJ235-GD$169,72-GD$169+SwaptionMonthsToGo+SwaptionShift))/SQRT(SUM(INDEX($FK390:$ID390,1+SwaptionShift):INDEX($FK390:$ID390,SwaptionMonthsToGo+SwaptionShift))*SUM(INDEX($FK$325:$ID$396,GD$169,1+SwaptionShift):INDEX($FK$325:$ID$396,GD$169,SwaptionMonthsToGo+SwaptionShift))))))</f>
        <v/>
      </c>
      <c r="GE235" s="150" t="str">
        <f aca="false">IF(OR(GE$169&lt;SwaptionFirstMonthPosition+1,$FJ235&lt;SwaptionFirstMonthPosition+1,GE$169&gt;SwaptionFirstMonthPosition+SwaptionNumOfMonths+1,$FJ235&gt;SwaptionFirstMonthPosition+SwaptionNumOfMonths+1),"",IF($FJ235=GE$169,1,IF($FJ235&lt;GE$169,INDEX($FK$170:$ID$241,GE$169,$FJ235),SUMPRODUCT(INDEX($FK$325:$ID$396,GE$169,1+SwaptionShift):INDEX($FK$325:$ID$396,GE$169,SwaptionMonthsToGo+SwaptionShift),INDEX($FK$245:$ID$316,$FJ235-GE$169,73-GE$169+SwaptionShift):INDEX($FK$245:$ID$316,$FJ235-GE$169,72-GE$169+SwaptionMonthsToGo+SwaptionShift))/SQRT(SUM(INDEX($FK390:$ID390,1+SwaptionShift):INDEX($FK390:$ID390,SwaptionMonthsToGo+SwaptionShift))*SUM(INDEX($FK$325:$ID$396,GE$169,1+SwaptionShift):INDEX($FK$325:$ID$396,GE$169,SwaptionMonthsToGo+SwaptionShift))))))</f>
        <v/>
      </c>
      <c r="GF235" s="150" t="str">
        <f aca="false">IF(OR(GF$169&lt;SwaptionFirstMonthPosition+1,$FJ235&lt;SwaptionFirstMonthPosition+1,GF$169&gt;SwaptionFirstMonthPosition+SwaptionNumOfMonths+1,$FJ235&gt;SwaptionFirstMonthPosition+SwaptionNumOfMonths+1),"",IF($FJ235=GF$169,1,IF($FJ235&lt;GF$169,INDEX($FK$170:$ID$241,GF$169,$FJ235),SUMPRODUCT(INDEX($FK$325:$ID$396,GF$169,1+SwaptionShift):INDEX($FK$325:$ID$396,GF$169,SwaptionMonthsToGo+SwaptionShift),INDEX($FK$245:$ID$316,$FJ235-GF$169,73-GF$169+SwaptionShift):INDEX($FK$245:$ID$316,$FJ235-GF$169,72-GF$169+SwaptionMonthsToGo+SwaptionShift))/SQRT(SUM(INDEX($FK390:$ID390,1+SwaptionShift):INDEX($FK390:$ID390,SwaptionMonthsToGo+SwaptionShift))*SUM(INDEX($FK$325:$ID$396,GF$169,1+SwaptionShift):INDEX($FK$325:$ID$396,GF$169,SwaptionMonthsToGo+SwaptionShift))))))</f>
        <v/>
      </c>
      <c r="GG235" s="150" t="str">
        <f aca="false">IF(OR(GG$169&lt;SwaptionFirstMonthPosition+1,$FJ235&lt;SwaptionFirstMonthPosition+1,GG$169&gt;SwaptionFirstMonthPosition+SwaptionNumOfMonths+1,$FJ235&gt;SwaptionFirstMonthPosition+SwaptionNumOfMonths+1),"",IF($FJ235=GG$169,1,IF($FJ235&lt;GG$169,INDEX($FK$170:$ID$241,GG$169,$FJ235),SUMPRODUCT(INDEX($FK$325:$ID$396,GG$169,1+SwaptionShift):INDEX($FK$325:$ID$396,GG$169,SwaptionMonthsToGo+SwaptionShift),INDEX($FK$245:$ID$316,$FJ235-GG$169,73-GG$169+SwaptionShift):INDEX($FK$245:$ID$316,$FJ235-GG$169,72-GG$169+SwaptionMonthsToGo+SwaptionShift))/SQRT(SUM(INDEX($FK390:$ID390,1+SwaptionShift):INDEX($FK390:$ID390,SwaptionMonthsToGo+SwaptionShift))*SUM(INDEX($FK$325:$ID$396,GG$169,1+SwaptionShift):INDEX($FK$325:$ID$396,GG$169,SwaptionMonthsToGo+SwaptionShift))))))</f>
        <v/>
      </c>
      <c r="GH235" s="150" t="str">
        <f aca="false">IF(OR(GH$169&lt;SwaptionFirstMonthPosition+1,$FJ235&lt;SwaptionFirstMonthPosition+1,GH$169&gt;SwaptionFirstMonthPosition+SwaptionNumOfMonths+1,$FJ235&gt;SwaptionFirstMonthPosition+SwaptionNumOfMonths+1),"",IF($FJ235=GH$169,1,IF($FJ235&lt;GH$169,INDEX($FK$170:$ID$241,GH$169,$FJ235),SUMPRODUCT(INDEX($FK$325:$ID$396,GH$169,1+SwaptionShift):INDEX($FK$325:$ID$396,GH$169,SwaptionMonthsToGo+SwaptionShift),INDEX($FK$245:$ID$316,$FJ235-GH$169,73-GH$169+SwaptionShift):INDEX($FK$245:$ID$316,$FJ235-GH$169,72-GH$169+SwaptionMonthsToGo+SwaptionShift))/SQRT(SUM(INDEX($FK390:$ID390,1+SwaptionShift):INDEX($FK390:$ID390,SwaptionMonthsToGo+SwaptionShift))*SUM(INDEX($FK$325:$ID$396,GH$169,1+SwaptionShift):INDEX($FK$325:$ID$396,GH$169,SwaptionMonthsToGo+SwaptionShift))))))</f>
        <v/>
      </c>
      <c r="GI235" s="150" t="str">
        <f aca="false">IF(OR(GI$169&lt;SwaptionFirstMonthPosition+1,$FJ235&lt;SwaptionFirstMonthPosition+1,GI$169&gt;SwaptionFirstMonthPosition+SwaptionNumOfMonths+1,$FJ235&gt;SwaptionFirstMonthPosition+SwaptionNumOfMonths+1),"",IF($FJ235=GI$169,1,IF($FJ235&lt;GI$169,INDEX($FK$170:$ID$241,GI$169,$FJ235),SUMPRODUCT(INDEX($FK$325:$ID$396,GI$169,1+SwaptionShift):INDEX($FK$325:$ID$396,GI$169,SwaptionMonthsToGo+SwaptionShift),INDEX($FK$245:$ID$316,$FJ235-GI$169,73-GI$169+SwaptionShift):INDEX($FK$245:$ID$316,$FJ235-GI$169,72-GI$169+SwaptionMonthsToGo+SwaptionShift))/SQRT(SUM(INDEX($FK390:$ID390,1+SwaptionShift):INDEX($FK390:$ID390,SwaptionMonthsToGo+SwaptionShift))*SUM(INDEX($FK$325:$ID$396,GI$169,1+SwaptionShift):INDEX($FK$325:$ID$396,GI$169,SwaptionMonthsToGo+SwaptionShift))))))</f>
        <v/>
      </c>
      <c r="GJ235" s="150" t="str">
        <f aca="false">IF(OR(GJ$169&lt;SwaptionFirstMonthPosition+1,$FJ235&lt;SwaptionFirstMonthPosition+1,GJ$169&gt;SwaptionFirstMonthPosition+SwaptionNumOfMonths+1,$FJ235&gt;SwaptionFirstMonthPosition+SwaptionNumOfMonths+1),"",IF($FJ235=GJ$169,1,IF($FJ235&lt;GJ$169,INDEX($FK$170:$ID$241,GJ$169,$FJ235),SUMPRODUCT(INDEX($FK$325:$ID$396,GJ$169,1+SwaptionShift):INDEX($FK$325:$ID$396,GJ$169,SwaptionMonthsToGo+SwaptionShift),INDEX($FK$245:$ID$316,$FJ235-GJ$169,73-GJ$169+SwaptionShift):INDEX($FK$245:$ID$316,$FJ235-GJ$169,72-GJ$169+SwaptionMonthsToGo+SwaptionShift))/SQRT(SUM(INDEX($FK390:$ID390,1+SwaptionShift):INDEX($FK390:$ID390,SwaptionMonthsToGo+SwaptionShift))*SUM(INDEX($FK$325:$ID$396,GJ$169,1+SwaptionShift):INDEX($FK$325:$ID$396,GJ$169,SwaptionMonthsToGo+SwaptionShift))))))</f>
        <v/>
      </c>
      <c r="GK235" s="150" t="str">
        <f aca="false">IF(OR(GK$169&lt;SwaptionFirstMonthPosition+1,$FJ235&lt;SwaptionFirstMonthPosition+1,GK$169&gt;SwaptionFirstMonthPosition+SwaptionNumOfMonths+1,$FJ235&gt;SwaptionFirstMonthPosition+SwaptionNumOfMonths+1),"",IF($FJ235=GK$169,1,IF($FJ235&lt;GK$169,INDEX($FK$170:$ID$241,GK$169,$FJ235),SUMPRODUCT(INDEX($FK$325:$ID$396,GK$169,1+SwaptionShift):INDEX($FK$325:$ID$396,GK$169,SwaptionMonthsToGo+SwaptionShift),INDEX($FK$245:$ID$316,$FJ235-GK$169,73-GK$169+SwaptionShift):INDEX($FK$245:$ID$316,$FJ235-GK$169,72-GK$169+SwaptionMonthsToGo+SwaptionShift))/SQRT(SUM(INDEX($FK390:$ID390,1+SwaptionShift):INDEX($FK390:$ID390,SwaptionMonthsToGo+SwaptionShift))*SUM(INDEX($FK$325:$ID$396,GK$169,1+SwaptionShift):INDEX($FK$325:$ID$396,GK$169,SwaptionMonthsToGo+SwaptionShift))))))</f>
        <v/>
      </c>
      <c r="GL235" s="150" t="str">
        <f aca="false">IF(OR(GL$169&lt;SwaptionFirstMonthPosition+1,$FJ235&lt;SwaptionFirstMonthPosition+1,GL$169&gt;SwaptionFirstMonthPosition+SwaptionNumOfMonths+1,$FJ235&gt;SwaptionFirstMonthPosition+SwaptionNumOfMonths+1),"",IF($FJ235=GL$169,1,IF($FJ235&lt;GL$169,INDEX($FK$170:$ID$241,GL$169,$FJ235),SUMPRODUCT(INDEX($FK$325:$ID$396,GL$169,1+SwaptionShift):INDEX($FK$325:$ID$396,GL$169,SwaptionMonthsToGo+SwaptionShift),INDEX($FK$245:$ID$316,$FJ235-GL$169,73-GL$169+SwaptionShift):INDEX($FK$245:$ID$316,$FJ235-GL$169,72-GL$169+SwaptionMonthsToGo+SwaptionShift))/SQRT(SUM(INDEX($FK390:$ID390,1+SwaptionShift):INDEX($FK390:$ID390,SwaptionMonthsToGo+SwaptionShift))*SUM(INDEX($FK$325:$ID$396,GL$169,1+SwaptionShift):INDEX($FK$325:$ID$396,GL$169,SwaptionMonthsToGo+SwaptionShift))))))</f>
        <v/>
      </c>
      <c r="GM235" s="150" t="str">
        <f aca="false">IF(OR(GM$169&lt;SwaptionFirstMonthPosition+1,$FJ235&lt;SwaptionFirstMonthPosition+1,GM$169&gt;SwaptionFirstMonthPosition+SwaptionNumOfMonths+1,$FJ235&gt;SwaptionFirstMonthPosition+SwaptionNumOfMonths+1),"",IF($FJ235=GM$169,1,IF($FJ235&lt;GM$169,INDEX($FK$170:$ID$241,GM$169,$FJ235),SUMPRODUCT(INDEX($FK$325:$ID$396,GM$169,1+SwaptionShift):INDEX($FK$325:$ID$396,GM$169,SwaptionMonthsToGo+SwaptionShift),INDEX($FK$245:$ID$316,$FJ235-GM$169,73-GM$169+SwaptionShift):INDEX($FK$245:$ID$316,$FJ235-GM$169,72-GM$169+SwaptionMonthsToGo+SwaptionShift))/SQRT(SUM(INDEX($FK390:$ID390,1+SwaptionShift):INDEX($FK390:$ID390,SwaptionMonthsToGo+SwaptionShift))*SUM(INDEX($FK$325:$ID$396,GM$169,1+SwaptionShift):INDEX($FK$325:$ID$396,GM$169,SwaptionMonthsToGo+SwaptionShift))))))</f>
        <v/>
      </c>
      <c r="GN235" s="150" t="str">
        <f aca="false">IF(OR(GN$169&lt;SwaptionFirstMonthPosition+1,$FJ235&lt;SwaptionFirstMonthPosition+1,GN$169&gt;SwaptionFirstMonthPosition+SwaptionNumOfMonths+1,$FJ235&gt;SwaptionFirstMonthPosition+SwaptionNumOfMonths+1),"",IF($FJ235=GN$169,1,IF($FJ235&lt;GN$169,INDEX($FK$170:$ID$241,GN$169,$FJ235),SUMPRODUCT(INDEX($FK$325:$ID$396,GN$169,1+SwaptionShift):INDEX($FK$325:$ID$396,GN$169,SwaptionMonthsToGo+SwaptionShift),INDEX($FK$245:$ID$316,$FJ235-GN$169,73-GN$169+SwaptionShift):INDEX($FK$245:$ID$316,$FJ235-GN$169,72-GN$169+SwaptionMonthsToGo+SwaptionShift))/SQRT(SUM(INDEX($FK390:$ID390,1+SwaptionShift):INDEX($FK390:$ID390,SwaptionMonthsToGo+SwaptionShift))*SUM(INDEX($FK$325:$ID$396,GN$169,1+SwaptionShift):INDEX($FK$325:$ID$396,GN$169,SwaptionMonthsToGo+SwaptionShift))))))</f>
        <v/>
      </c>
      <c r="GO235" s="150" t="str">
        <f aca="false">IF(OR(GO$169&lt;SwaptionFirstMonthPosition+1,$FJ235&lt;SwaptionFirstMonthPosition+1,GO$169&gt;SwaptionFirstMonthPosition+SwaptionNumOfMonths+1,$FJ235&gt;SwaptionFirstMonthPosition+SwaptionNumOfMonths+1),"",IF($FJ235=GO$169,1,IF($FJ235&lt;GO$169,INDEX($FK$170:$ID$241,GO$169,$FJ235),SUMPRODUCT(INDEX($FK$325:$ID$396,GO$169,1+SwaptionShift):INDEX($FK$325:$ID$396,GO$169,SwaptionMonthsToGo+SwaptionShift),INDEX($FK$245:$ID$316,$FJ235-GO$169,73-GO$169+SwaptionShift):INDEX($FK$245:$ID$316,$FJ235-GO$169,72-GO$169+SwaptionMonthsToGo+SwaptionShift))/SQRT(SUM(INDEX($FK390:$ID390,1+SwaptionShift):INDEX($FK390:$ID390,SwaptionMonthsToGo+SwaptionShift))*SUM(INDEX($FK$325:$ID$396,GO$169,1+SwaptionShift):INDEX($FK$325:$ID$396,GO$169,SwaptionMonthsToGo+SwaptionShift))))))</f>
        <v/>
      </c>
      <c r="GP235" s="150" t="str">
        <f aca="false">IF(OR(GP$169&lt;SwaptionFirstMonthPosition+1,$FJ235&lt;SwaptionFirstMonthPosition+1,GP$169&gt;SwaptionFirstMonthPosition+SwaptionNumOfMonths+1,$FJ235&gt;SwaptionFirstMonthPosition+SwaptionNumOfMonths+1),"",IF($FJ235=GP$169,1,IF($FJ235&lt;GP$169,INDEX($FK$170:$ID$241,GP$169,$FJ235),SUMPRODUCT(INDEX($FK$325:$ID$396,GP$169,1+SwaptionShift):INDEX($FK$325:$ID$396,GP$169,SwaptionMonthsToGo+SwaptionShift),INDEX($FK$245:$ID$316,$FJ235-GP$169,73-GP$169+SwaptionShift):INDEX($FK$245:$ID$316,$FJ235-GP$169,72-GP$169+SwaptionMonthsToGo+SwaptionShift))/SQRT(SUM(INDEX($FK390:$ID390,1+SwaptionShift):INDEX($FK390:$ID390,SwaptionMonthsToGo+SwaptionShift))*SUM(INDEX($FK$325:$ID$396,GP$169,1+SwaptionShift):INDEX($FK$325:$ID$396,GP$169,SwaptionMonthsToGo+SwaptionShift))))))</f>
        <v/>
      </c>
      <c r="GQ235" s="150" t="str">
        <f aca="false">IF(OR(GQ$169&lt;SwaptionFirstMonthPosition+1,$FJ235&lt;SwaptionFirstMonthPosition+1,GQ$169&gt;SwaptionFirstMonthPosition+SwaptionNumOfMonths+1,$FJ235&gt;SwaptionFirstMonthPosition+SwaptionNumOfMonths+1),"",IF($FJ235=GQ$169,1,IF($FJ235&lt;GQ$169,INDEX($FK$170:$ID$241,GQ$169,$FJ235),SUMPRODUCT(INDEX($FK$325:$ID$396,GQ$169,1+SwaptionShift):INDEX($FK$325:$ID$396,GQ$169,SwaptionMonthsToGo+SwaptionShift),INDEX($FK$245:$ID$316,$FJ235-GQ$169,73-GQ$169+SwaptionShift):INDEX($FK$245:$ID$316,$FJ235-GQ$169,72-GQ$169+SwaptionMonthsToGo+SwaptionShift))/SQRT(SUM(INDEX($FK390:$ID390,1+SwaptionShift):INDEX($FK390:$ID390,SwaptionMonthsToGo+SwaptionShift))*SUM(INDEX($FK$325:$ID$396,GQ$169,1+SwaptionShift):INDEX($FK$325:$ID$396,GQ$169,SwaptionMonthsToGo+SwaptionShift))))))</f>
        <v/>
      </c>
      <c r="GR235" s="150" t="str">
        <f aca="false">IF(OR(GR$169&lt;SwaptionFirstMonthPosition+1,$FJ235&lt;SwaptionFirstMonthPosition+1,GR$169&gt;SwaptionFirstMonthPosition+SwaptionNumOfMonths+1,$FJ235&gt;SwaptionFirstMonthPosition+SwaptionNumOfMonths+1),"",IF($FJ235=GR$169,1,IF($FJ235&lt;GR$169,INDEX($FK$170:$ID$241,GR$169,$FJ235),SUMPRODUCT(INDEX($FK$325:$ID$396,GR$169,1+SwaptionShift):INDEX($FK$325:$ID$396,GR$169,SwaptionMonthsToGo+SwaptionShift),INDEX($FK$245:$ID$316,$FJ235-GR$169,73-GR$169+SwaptionShift):INDEX($FK$245:$ID$316,$FJ235-GR$169,72-GR$169+SwaptionMonthsToGo+SwaptionShift))/SQRT(SUM(INDEX($FK390:$ID390,1+SwaptionShift):INDEX($FK390:$ID390,SwaptionMonthsToGo+SwaptionShift))*SUM(INDEX($FK$325:$ID$396,GR$169,1+SwaptionShift):INDEX($FK$325:$ID$396,GR$169,SwaptionMonthsToGo+SwaptionShift))))))</f>
        <v/>
      </c>
      <c r="GS235" s="150" t="str">
        <f aca="false">IF(OR(GS$169&lt;SwaptionFirstMonthPosition+1,$FJ235&lt;SwaptionFirstMonthPosition+1,GS$169&gt;SwaptionFirstMonthPosition+SwaptionNumOfMonths+1,$FJ235&gt;SwaptionFirstMonthPosition+SwaptionNumOfMonths+1),"",IF($FJ235=GS$169,1,IF($FJ235&lt;GS$169,INDEX($FK$170:$ID$241,GS$169,$FJ235),SUMPRODUCT(INDEX($FK$325:$ID$396,GS$169,1+SwaptionShift):INDEX($FK$325:$ID$396,GS$169,SwaptionMonthsToGo+SwaptionShift),INDEX($FK$245:$ID$316,$FJ235-GS$169,73-GS$169+SwaptionShift):INDEX($FK$245:$ID$316,$FJ235-GS$169,72-GS$169+SwaptionMonthsToGo+SwaptionShift))/SQRT(SUM(INDEX($FK390:$ID390,1+SwaptionShift):INDEX($FK390:$ID390,SwaptionMonthsToGo+SwaptionShift))*SUM(INDEX($FK$325:$ID$396,GS$169,1+SwaptionShift):INDEX($FK$325:$ID$396,GS$169,SwaptionMonthsToGo+SwaptionShift))))))</f>
        <v/>
      </c>
      <c r="GT235" s="150" t="str">
        <f aca="false">IF(OR(GT$169&lt;SwaptionFirstMonthPosition+1,$FJ235&lt;SwaptionFirstMonthPosition+1,GT$169&gt;SwaptionFirstMonthPosition+SwaptionNumOfMonths+1,$FJ235&gt;SwaptionFirstMonthPosition+SwaptionNumOfMonths+1),"",IF($FJ235=GT$169,1,IF($FJ235&lt;GT$169,INDEX($FK$170:$ID$241,GT$169,$FJ235),SUMPRODUCT(INDEX($FK$325:$ID$396,GT$169,1+SwaptionShift):INDEX($FK$325:$ID$396,GT$169,SwaptionMonthsToGo+SwaptionShift),INDEX($FK$245:$ID$316,$FJ235-GT$169,73-GT$169+SwaptionShift):INDEX($FK$245:$ID$316,$FJ235-GT$169,72-GT$169+SwaptionMonthsToGo+SwaptionShift))/SQRT(SUM(INDEX($FK390:$ID390,1+SwaptionShift):INDEX($FK390:$ID390,SwaptionMonthsToGo+SwaptionShift))*SUM(INDEX($FK$325:$ID$396,GT$169,1+SwaptionShift):INDEX($FK$325:$ID$396,GT$169,SwaptionMonthsToGo+SwaptionShift))))))</f>
        <v/>
      </c>
      <c r="GU235" s="150" t="str">
        <f aca="false">IF(OR(GU$169&lt;SwaptionFirstMonthPosition+1,$FJ235&lt;SwaptionFirstMonthPosition+1,GU$169&gt;SwaptionFirstMonthPosition+SwaptionNumOfMonths+1,$FJ235&gt;SwaptionFirstMonthPosition+SwaptionNumOfMonths+1),"",IF($FJ235=GU$169,1,IF($FJ235&lt;GU$169,INDEX($FK$170:$ID$241,GU$169,$FJ235),SUMPRODUCT(INDEX($FK$325:$ID$396,GU$169,1+SwaptionShift):INDEX($FK$325:$ID$396,GU$169,SwaptionMonthsToGo+SwaptionShift),INDEX($FK$245:$ID$316,$FJ235-GU$169,73-GU$169+SwaptionShift):INDEX($FK$245:$ID$316,$FJ235-GU$169,72-GU$169+SwaptionMonthsToGo+SwaptionShift))/SQRT(SUM(INDEX($FK390:$ID390,1+SwaptionShift):INDEX($FK390:$ID390,SwaptionMonthsToGo+SwaptionShift))*SUM(INDEX($FK$325:$ID$396,GU$169,1+SwaptionShift):INDEX($FK$325:$ID$396,GU$169,SwaptionMonthsToGo+SwaptionShift))))))</f>
        <v/>
      </c>
      <c r="GV235" s="150" t="str">
        <f aca="false">IF(OR(GV$169&lt;SwaptionFirstMonthPosition+1,$FJ235&lt;SwaptionFirstMonthPosition+1,GV$169&gt;SwaptionFirstMonthPosition+SwaptionNumOfMonths+1,$FJ235&gt;SwaptionFirstMonthPosition+SwaptionNumOfMonths+1),"",IF($FJ235=GV$169,1,IF($FJ235&lt;GV$169,INDEX($FK$170:$ID$241,GV$169,$FJ235),SUMPRODUCT(INDEX($FK$325:$ID$396,GV$169,1+SwaptionShift):INDEX($FK$325:$ID$396,GV$169,SwaptionMonthsToGo+SwaptionShift),INDEX($FK$245:$ID$316,$FJ235-GV$169,73-GV$169+SwaptionShift):INDEX($FK$245:$ID$316,$FJ235-GV$169,72-GV$169+SwaptionMonthsToGo+SwaptionShift))/SQRT(SUM(INDEX($FK390:$ID390,1+SwaptionShift):INDEX($FK390:$ID390,SwaptionMonthsToGo+SwaptionShift))*SUM(INDEX($FK$325:$ID$396,GV$169,1+SwaptionShift):INDEX($FK$325:$ID$396,GV$169,SwaptionMonthsToGo+SwaptionShift))))))</f>
        <v/>
      </c>
      <c r="GW235" s="150" t="str">
        <f aca="false">IF(OR(GW$169&lt;SwaptionFirstMonthPosition+1,$FJ235&lt;SwaptionFirstMonthPosition+1,GW$169&gt;SwaptionFirstMonthPosition+SwaptionNumOfMonths+1,$FJ235&gt;SwaptionFirstMonthPosition+SwaptionNumOfMonths+1),"",IF($FJ235=GW$169,1,IF($FJ235&lt;GW$169,INDEX($FK$170:$ID$241,GW$169,$FJ235),SUMPRODUCT(INDEX($FK$325:$ID$396,GW$169,1+SwaptionShift):INDEX($FK$325:$ID$396,GW$169,SwaptionMonthsToGo+SwaptionShift),INDEX($FK$245:$ID$316,$FJ235-GW$169,73-GW$169+SwaptionShift):INDEX($FK$245:$ID$316,$FJ235-GW$169,72-GW$169+SwaptionMonthsToGo+SwaptionShift))/SQRT(SUM(INDEX($FK390:$ID390,1+SwaptionShift):INDEX($FK390:$ID390,SwaptionMonthsToGo+SwaptionShift))*SUM(INDEX($FK$325:$ID$396,GW$169,1+SwaptionShift):INDEX($FK$325:$ID$396,GW$169,SwaptionMonthsToGo+SwaptionShift))))))</f>
        <v/>
      </c>
      <c r="GX235" s="150" t="str">
        <f aca="false">IF(OR(GX$169&lt;SwaptionFirstMonthPosition+1,$FJ235&lt;SwaptionFirstMonthPosition+1,GX$169&gt;SwaptionFirstMonthPosition+SwaptionNumOfMonths+1,$FJ235&gt;SwaptionFirstMonthPosition+SwaptionNumOfMonths+1),"",IF($FJ235=GX$169,1,IF($FJ235&lt;GX$169,INDEX($FK$170:$ID$241,GX$169,$FJ235),SUMPRODUCT(INDEX($FK$325:$ID$396,GX$169,1+SwaptionShift):INDEX($FK$325:$ID$396,GX$169,SwaptionMonthsToGo+SwaptionShift),INDEX($FK$245:$ID$316,$FJ235-GX$169,73-GX$169+SwaptionShift):INDEX($FK$245:$ID$316,$FJ235-GX$169,72-GX$169+SwaptionMonthsToGo+SwaptionShift))/SQRT(SUM(INDEX($FK390:$ID390,1+SwaptionShift):INDEX($FK390:$ID390,SwaptionMonthsToGo+SwaptionShift))*SUM(INDEX($FK$325:$ID$396,GX$169,1+SwaptionShift):INDEX($FK$325:$ID$396,GX$169,SwaptionMonthsToGo+SwaptionShift))))))</f>
        <v/>
      </c>
      <c r="GY235" s="150" t="str">
        <f aca="false">IF(OR(GY$169&lt;SwaptionFirstMonthPosition+1,$FJ235&lt;SwaptionFirstMonthPosition+1,GY$169&gt;SwaptionFirstMonthPosition+SwaptionNumOfMonths+1,$FJ235&gt;SwaptionFirstMonthPosition+SwaptionNumOfMonths+1),"",IF($FJ235=GY$169,1,IF($FJ235&lt;GY$169,INDEX($FK$170:$ID$241,GY$169,$FJ235),SUMPRODUCT(INDEX($FK$325:$ID$396,GY$169,1+SwaptionShift):INDEX($FK$325:$ID$396,GY$169,SwaptionMonthsToGo+SwaptionShift),INDEX($FK$245:$ID$316,$FJ235-GY$169,73-GY$169+SwaptionShift):INDEX($FK$245:$ID$316,$FJ235-GY$169,72-GY$169+SwaptionMonthsToGo+SwaptionShift))/SQRT(SUM(INDEX($FK390:$ID390,1+SwaptionShift):INDEX($FK390:$ID390,SwaptionMonthsToGo+SwaptionShift))*SUM(INDEX($FK$325:$ID$396,GY$169,1+SwaptionShift):INDEX($FK$325:$ID$396,GY$169,SwaptionMonthsToGo+SwaptionShift))))))</f>
        <v/>
      </c>
      <c r="GZ235" s="150" t="str">
        <f aca="false">IF(OR(GZ$169&lt;SwaptionFirstMonthPosition+1,$FJ235&lt;SwaptionFirstMonthPosition+1,GZ$169&gt;SwaptionFirstMonthPosition+SwaptionNumOfMonths+1,$FJ235&gt;SwaptionFirstMonthPosition+SwaptionNumOfMonths+1),"",IF($FJ235=GZ$169,1,IF($FJ235&lt;GZ$169,INDEX($FK$170:$ID$241,GZ$169,$FJ235),SUMPRODUCT(INDEX($FK$325:$ID$396,GZ$169,1+SwaptionShift):INDEX($FK$325:$ID$396,GZ$169,SwaptionMonthsToGo+SwaptionShift),INDEX($FK$245:$ID$316,$FJ235-GZ$169,73-GZ$169+SwaptionShift):INDEX($FK$245:$ID$316,$FJ235-GZ$169,72-GZ$169+SwaptionMonthsToGo+SwaptionShift))/SQRT(SUM(INDEX($FK390:$ID390,1+SwaptionShift):INDEX($FK390:$ID390,SwaptionMonthsToGo+SwaptionShift))*SUM(INDEX($FK$325:$ID$396,GZ$169,1+SwaptionShift):INDEX($FK$325:$ID$396,GZ$169,SwaptionMonthsToGo+SwaptionShift))))))</f>
        <v/>
      </c>
      <c r="HA235" s="150" t="str">
        <f aca="false">IF(OR(HA$169&lt;SwaptionFirstMonthPosition+1,$FJ235&lt;SwaptionFirstMonthPosition+1,HA$169&gt;SwaptionFirstMonthPosition+SwaptionNumOfMonths+1,$FJ235&gt;SwaptionFirstMonthPosition+SwaptionNumOfMonths+1),"",IF($FJ235=HA$169,1,IF($FJ235&lt;HA$169,INDEX($FK$170:$ID$241,HA$169,$FJ235),SUMPRODUCT(INDEX($FK$325:$ID$396,HA$169,1+SwaptionShift):INDEX($FK$325:$ID$396,HA$169,SwaptionMonthsToGo+SwaptionShift),INDEX($FK$245:$ID$316,$FJ235-HA$169,73-HA$169+SwaptionShift):INDEX($FK$245:$ID$316,$FJ235-HA$169,72-HA$169+SwaptionMonthsToGo+SwaptionShift))/SQRT(SUM(INDEX($FK390:$ID390,1+SwaptionShift):INDEX($FK390:$ID390,SwaptionMonthsToGo+SwaptionShift))*SUM(INDEX($FK$325:$ID$396,HA$169,1+SwaptionShift):INDEX($FK$325:$ID$396,HA$169,SwaptionMonthsToGo+SwaptionShift))))))</f>
        <v/>
      </c>
      <c r="HB235" s="150" t="str">
        <f aca="false">IF(OR(HB$169&lt;SwaptionFirstMonthPosition+1,$FJ235&lt;SwaptionFirstMonthPosition+1,HB$169&gt;SwaptionFirstMonthPosition+SwaptionNumOfMonths+1,$FJ235&gt;SwaptionFirstMonthPosition+SwaptionNumOfMonths+1),"",IF($FJ235=HB$169,1,IF($FJ235&lt;HB$169,INDEX($FK$170:$ID$241,HB$169,$FJ235),SUMPRODUCT(INDEX($FK$325:$ID$396,HB$169,1+SwaptionShift):INDEX($FK$325:$ID$396,HB$169,SwaptionMonthsToGo+SwaptionShift),INDEX($FK$245:$ID$316,$FJ235-HB$169,73-HB$169+SwaptionShift):INDEX($FK$245:$ID$316,$FJ235-HB$169,72-HB$169+SwaptionMonthsToGo+SwaptionShift))/SQRT(SUM(INDEX($FK390:$ID390,1+SwaptionShift):INDEX($FK390:$ID390,SwaptionMonthsToGo+SwaptionShift))*SUM(INDEX($FK$325:$ID$396,HB$169,1+SwaptionShift):INDEX($FK$325:$ID$396,HB$169,SwaptionMonthsToGo+SwaptionShift))))))</f>
        <v/>
      </c>
      <c r="HC235" s="150" t="str">
        <f aca="false">IF(OR(HC$169&lt;SwaptionFirstMonthPosition+1,$FJ235&lt;SwaptionFirstMonthPosition+1,HC$169&gt;SwaptionFirstMonthPosition+SwaptionNumOfMonths+1,$FJ235&gt;SwaptionFirstMonthPosition+SwaptionNumOfMonths+1),"",IF($FJ235=HC$169,1,IF($FJ235&lt;HC$169,INDEX($FK$170:$ID$241,HC$169,$FJ235),SUMPRODUCT(INDEX($FK$325:$ID$396,HC$169,1+SwaptionShift):INDEX($FK$325:$ID$396,HC$169,SwaptionMonthsToGo+SwaptionShift),INDEX($FK$245:$ID$316,$FJ235-HC$169,73-HC$169+SwaptionShift):INDEX($FK$245:$ID$316,$FJ235-HC$169,72-HC$169+SwaptionMonthsToGo+SwaptionShift))/SQRT(SUM(INDEX($FK390:$ID390,1+SwaptionShift):INDEX($FK390:$ID390,SwaptionMonthsToGo+SwaptionShift))*SUM(INDEX($FK$325:$ID$396,HC$169,1+SwaptionShift):INDEX($FK$325:$ID$396,HC$169,SwaptionMonthsToGo+SwaptionShift))))))</f>
        <v/>
      </c>
      <c r="HD235" s="150" t="str">
        <f aca="false">IF(OR(HD$169&lt;SwaptionFirstMonthPosition+1,$FJ235&lt;SwaptionFirstMonthPosition+1,HD$169&gt;SwaptionFirstMonthPosition+SwaptionNumOfMonths+1,$FJ235&gt;SwaptionFirstMonthPosition+SwaptionNumOfMonths+1),"",IF($FJ235=HD$169,1,IF($FJ235&lt;HD$169,INDEX($FK$170:$ID$241,HD$169,$FJ235),SUMPRODUCT(INDEX($FK$325:$ID$396,HD$169,1+SwaptionShift):INDEX($FK$325:$ID$396,HD$169,SwaptionMonthsToGo+SwaptionShift),INDEX($FK$245:$ID$316,$FJ235-HD$169,73-HD$169+SwaptionShift):INDEX($FK$245:$ID$316,$FJ235-HD$169,72-HD$169+SwaptionMonthsToGo+SwaptionShift))/SQRT(SUM(INDEX($FK390:$ID390,1+SwaptionShift):INDEX($FK390:$ID390,SwaptionMonthsToGo+SwaptionShift))*SUM(INDEX($FK$325:$ID$396,HD$169,1+SwaptionShift):INDEX($FK$325:$ID$396,HD$169,SwaptionMonthsToGo+SwaptionShift))))))</f>
        <v/>
      </c>
      <c r="HE235" s="150" t="str">
        <f aca="false">IF(OR(HE$169&lt;SwaptionFirstMonthPosition+1,$FJ235&lt;SwaptionFirstMonthPosition+1,HE$169&gt;SwaptionFirstMonthPosition+SwaptionNumOfMonths+1,$FJ235&gt;SwaptionFirstMonthPosition+SwaptionNumOfMonths+1),"",IF($FJ235=HE$169,1,IF($FJ235&lt;HE$169,INDEX($FK$170:$ID$241,HE$169,$FJ235),SUMPRODUCT(INDEX($FK$325:$ID$396,HE$169,1+SwaptionShift):INDEX($FK$325:$ID$396,HE$169,SwaptionMonthsToGo+SwaptionShift),INDEX($FK$245:$ID$316,$FJ235-HE$169,73-HE$169+SwaptionShift):INDEX($FK$245:$ID$316,$FJ235-HE$169,72-HE$169+SwaptionMonthsToGo+SwaptionShift))/SQRT(SUM(INDEX($FK390:$ID390,1+SwaptionShift):INDEX($FK390:$ID390,SwaptionMonthsToGo+SwaptionShift))*SUM(INDEX($FK$325:$ID$396,HE$169,1+SwaptionShift):INDEX($FK$325:$ID$396,HE$169,SwaptionMonthsToGo+SwaptionShift))))))</f>
        <v/>
      </c>
      <c r="HF235" s="150" t="str">
        <f aca="false">IF(OR(HF$169&lt;SwaptionFirstMonthPosition+1,$FJ235&lt;SwaptionFirstMonthPosition+1,HF$169&gt;SwaptionFirstMonthPosition+SwaptionNumOfMonths+1,$FJ235&gt;SwaptionFirstMonthPosition+SwaptionNumOfMonths+1),"",IF($FJ235=HF$169,1,IF($FJ235&lt;HF$169,INDEX($FK$170:$ID$241,HF$169,$FJ235),SUMPRODUCT(INDEX($FK$325:$ID$396,HF$169,1+SwaptionShift):INDEX($FK$325:$ID$396,HF$169,SwaptionMonthsToGo+SwaptionShift),INDEX($FK$245:$ID$316,$FJ235-HF$169,73-HF$169+SwaptionShift):INDEX($FK$245:$ID$316,$FJ235-HF$169,72-HF$169+SwaptionMonthsToGo+SwaptionShift))/SQRT(SUM(INDEX($FK390:$ID390,1+SwaptionShift):INDEX($FK390:$ID390,SwaptionMonthsToGo+SwaptionShift))*SUM(INDEX($FK$325:$ID$396,HF$169,1+SwaptionShift):INDEX($FK$325:$ID$396,HF$169,SwaptionMonthsToGo+SwaptionShift))))))</f>
        <v/>
      </c>
      <c r="HG235" s="150" t="str">
        <f aca="false">IF(OR(HG$169&lt;SwaptionFirstMonthPosition+1,$FJ235&lt;SwaptionFirstMonthPosition+1,HG$169&gt;SwaptionFirstMonthPosition+SwaptionNumOfMonths+1,$FJ235&gt;SwaptionFirstMonthPosition+SwaptionNumOfMonths+1),"",IF($FJ235=HG$169,1,IF($FJ235&lt;HG$169,INDEX($FK$170:$ID$241,HG$169,$FJ235),SUMPRODUCT(INDEX($FK$325:$ID$396,HG$169,1+SwaptionShift):INDEX($FK$325:$ID$396,HG$169,SwaptionMonthsToGo+SwaptionShift),INDEX($FK$245:$ID$316,$FJ235-HG$169,73-HG$169+SwaptionShift):INDEX($FK$245:$ID$316,$FJ235-HG$169,72-HG$169+SwaptionMonthsToGo+SwaptionShift))/SQRT(SUM(INDEX($FK390:$ID390,1+SwaptionShift):INDEX($FK390:$ID390,SwaptionMonthsToGo+SwaptionShift))*SUM(INDEX($FK$325:$ID$396,HG$169,1+SwaptionShift):INDEX($FK$325:$ID$396,HG$169,SwaptionMonthsToGo+SwaptionShift))))))</f>
        <v/>
      </c>
      <c r="HH235" s="150" t="str">
        <f aca="false">IF(OR(HH$169&lt;SwaptionFirstMonthPosition+1,$FJ235&lt;SwaptionFirstMonthPosition+1,HH$169&gt;SwaptionFirstMonthPosition+SwaptionNumOfMonths+1,$FJ235&gt;SwaptionFirstMonthPosition+SwaptionNumOfMonths+1),"",IF($FJ235=HH$169,1,IF($FJ235&lt;HH$169,INDEX($FK$170:$ID$241,HH$169,$FJ235),SUMPRODUCT(INDEX($FK$325:$ID$396,HH$169,1+SwaptionShift):INDEX($FK$325:$ID$396,HH$169,SwaptionMonthsToGo+SwaptionShift),INDEX($FK$245:$ID$316,$FJ235-HH$169,73-HH$169+SwaptionShift):INDEX($FK$245:$ID$316,$FJ235-HH$169,72-HH$169+SwaptionMonthsToGo+SwaptionShift))/SQRT(SUM(INDEX($FK390:$ID390,1+SwaptionShift):INDEX($FK390:$ID390,SwaptionMonthsToGo+SwaptionShift))*SUM(INDEX($FK$325:$ID$396,HH$169,1+SwaptionShift):INDEX($FK$325:$ID$396,HH$169,SwaptionMonthsToGo+SwaptionShift))))))</f>
        <v/>
      </c>
      <c r="HI235" s="150" t="str">
        <f aca="false">IF(OR(HI$169&lt;SwaptionFirstMonthPosition+1,$FJ235&lt;SwaptionFirstMonthPosition+1,HI$169&gt;SwaptionFirstMonthPosition+SwaptionNumOfMonths+1,$FJ235&gt;SwaptionFirstMonthPosition+SwaptionNumOfMonths+1),"",IF($FJ235=HI$169,1,IF($FJ235&lt;HI$169,INDEX($FK$170:$ID$241,HI$169,$FJ235),SUMPRODUCT(INDEX($FK$325:$ID$396,HI$169,1+SwaptionShift):INDEX($FK$325:$ID$396,HI$169,SwaptionMonthsToGo+SwaptionShift),INDEX($FK$245:$ID$316,$FJ235-HI$169,73-HI$169+SwaptionShift):INDEX($FK$245:$ID$316,$FJ235-HI$169,72-HI$169+SwaptionMonthsToGo+SwaptionShift))/SQRT(SUM(INDEX($FK390:$ID390,1+SwaptionShift):INDEX($FK390:$ID390,SwaptionMonthsToGo+SwaptionShift))*SUM(INDEX($FK$325:$ID$396,HI$169,1+SwaptionShift):INDEX($FK$325:$ID$396,HI$169,SwaptionMonthsToGo+SwaptionShift))))))</f>
        <v/>
      </c>
      <c r="HJ235" s="150" t="str">
        <f aca="false">IF(OR(HJ$169&lt;SwaptionFirstMonthPosition+1,$FJ235&lt;SwaptionFirstMonthPosition+1,HJ$169&gt;SwaptionFirstMonthPosition+SwaptionNumOfMonths+1,$FJ235&gt;SwaptionFirstMonthPosition+SwaptionNumOfMonths+1),"",IF($FJ235=HJ$169,1,IF($FJ235&lt;HJ$169,INDEX($FK$170:$ID$241,HJ$169,$FJ235),SUMPRODUCT(INDEX($FK$325:$ID$396,HJ$169,1+SwaptionShift):INDEX($FK$325:$ID$396,HJ$169,SwaptionMonthsToGo+SwaptionShift),INDEX($FK$245:$ID$316,$FJ235-HJ$169,73-HJ$169+SwaptionShift):INDEX($FK$245:$ID$316,$FJ235-HJ$169,72-HJ$169+SwaptionMonthsToGo+SwaptionShift))/SQRT(SUM(INDEX($FK390:$ID390,1+SwaptionShift):INDEX($FK390:$ID390,SwaptionMonthsToGo+SwaptionShift))*SUM(INDEX($FK$325:$ID$396,HJ$169,1+SwaptionShift):INDEX($FK$325:$ID$396,HJ$169,SwaptionMonthsToGo+SwaptionShift))))))</f>
        <v/>
      </c>
      <c r="HK235" s="150" t="str">
        <f aca="false">IF(OR(HK$169&lt;SwaptionFirstMonthPosition+1,$FJ235&lt;SwaptionFirstMonthPosition+1,HK$169&gt;SwaptionFirstMonthPosition+SwaptionNumOfMonths+1,$FJ235&gt;SwaptionFirstMonthPosition+SwaptionNumOfMonths+1),"",IF($FJ235=HK$169,1,IF($FJ235&lt;HK$169,INDEX($FK$170:$ID$241,HK$169,$FJ235),SUMPRODUCT(INDEX($FK$325:$ID$396,HK$169,1+SwaptionShift):INDEX($FK$325:$ID$396,HK$169,SwaptionMonthsToGo+SwaptionShift),INDEX($FK$245:$ID$316,$FJ235-HK$169,73-HK$169+SwaptionShift):INDEX($FK$245:$ID$316,$FJ235-HK$169,72-HK$169+SwaptionMonthsToGo+SwaptionShift))/SQRT(SUM(INDEX($FK390:$ID390,1+SwaptionShift):INDEX($FK390:$ID390,SwaptionMonthsToGo+SwaptionShift))*SUM(INDEX($FK$325:$ID$396,HK$169,1+SwaptionShift):INDEX($FK$325:$ID$396,HK$169,SwaptionMonthsToGo+SwaptionShift))))))</f>
        <v/>
      </c>
      <c r="HL235" s="150" t="str">
        <f aca="false">IF(OR(HL$169&lt;SwaptionFirstMonthPosition+1,$FJ235&lt;SwaptionFirstMonthPosition+1,HL$169&gt;SwaptionFirstMonthPosition+SwaptionNumOfMonths+1,$FJ235&gt;SwaptionFirstMonthPosition+SwaptionNumOfMonths+1),"",IF($FJ235=HL$169,1,IF($FJ235&lt;HL$169,INDEX($FK$170:$ID$241,HL$169,$FJ235),SUMPRODUCT(INDEX($FK$325:$ID$396,HL$169,1+SwaptionShift):INDEX($FK$325:$ID$396,HL$169,SwaptionMonthsToGo+SwaptionShift),INDEX($FK$245:$ID$316,$FJ235-HL$169,73-HL$169+SwaptionShift):INDEX($FK$245:$ID$316,$FJ235-HL$169,72-HL$169+SwaptionMonthsToGo+SwaptionShift))/SQRT(SUM(INDEX($FK390:$ID390,1+SwaptionShift):INDEX($FK390:$ID390,SwaptionMonthsToGo+SwaptionShift))*SUM(INDEX($FK$325:$ID$396,HL$169,1+SwaptionShift):INDEX($FK$325:$ID$396,HL$169,SwaptionMonthsToGo+SwaptionShift))))))</f>
        <v/>
      </c>
      <c r="HM235" s="150" t="str">
        <f aca="false">IF(OR(HM$169&lt;SwaptionFirstMonthPosition+1,$FJ235&lt;SwaptionFirstMonthPosition+1,HM$169&gt;SwaptionFirstMonthPosition+SwaptionNumOfMonths+1,$FJ235&gt;SwaptionFirstMonthPosition+SwaptionNumOfMonths+1),"",IF($FJ235=HM$169,1,IF($FJ235&lt;HM$169,INDEX($FK$170:$ID$241,HM$169,$FJ235),SUMPRODUCT(INDEX($FK$325:$ID$396,HM$169,1+SwaptionShift):INDEX($FK$325:$ID$396,HM$169,SwaptionMonthsToGo+SwaptionShift),INDEX($FK$245:$ID$316,$FJ235-HM$169,73-HM$169+SwaptionShift):INDEX($FK$245:$ID$316,$FJ235-HM$169,72-HM$169+SwaptionMonthsToGo+SwaptionShift))/SQRT(SUM(INDEX($FK390:$ID390,1+SwaptionShift):INDEX($FK390:$ID390,SwaptionMonthsToGo+SwaptionShift))*SUM(INDEX($FK$325:$ID$396,HM$169,1+SwaptionShift):INDEX($FK$325:$ID$396,HM$169,SwaptionMonthsToGo+SwaptionShift))))))</f>
        <v/>
      </c>
      <c r="HN235" s="150" t="str">
        <f aca="false">IF(OR(HN$169&lt;SwaptionFirstMonthPosition+1,$FJ235&lt;SwaptionFirstMonthPosition+1,HN$169&gt;SwaptionFirstMonthPosition+SwaptionNumOfMonths+1,$FJ235&gt;SwaptionFirstMonthPosition+SwaptionNumOfMonths+1),"",IF($FJ235=HN$169,1,IF($FJ235&lt;HN$169,INDEX($FK$170:$ID$241,HN$169,$FJ235),SUMPRODUCT(INDEX($FK$325:$ID$396,HN$169,1+SwaptionShift):INDEX($FK$325:$ID$396,HN$169,SwaptionMonthsToGo+SwaptionShift),INDEX($FK$245:$ID$316,$FJ235-HN$169,73-HN$169+SwaptionShift):INDEX($FK$245:$ID$316,$FJ235-HN$169,72-HN$169+SwaptionMonthsToGo+SwaptionShift))/SQRT(SUM(INDEX($FK390:$ID390,1+SwaptionShift):INDEX($FK390:$ID390,SwaptionMonthsToGo+SwaptionShift))*SUM(INDEX($FK$325:$ID$396,HN$169,1+SwaptionShift):INDEX($FK$325:$ID$396,HN$169,SwaptionMonthsToGo+SwaptionShift))))))</f>
        <v/>
      </c>
      <c r="HO235" s="150" t="str">
        <f aca="false">IF(OR(HO$169&lt;SwaptionFirstMonthPosition+1,$FJ235&lt;SwaptionFirstMonthPosition+1,HO$169&gt;SwaptionFirstMonthPosition+SwaptionNumOfMonths+1,$FJ235&gt;SwaptionFirstMonthPosition+SwaptionNumOfMonths+1),"",IF($FJ235=HO$169,1,IF($FJ235&lt;HO$169,INDEX($FK$170:$ID$241,HO$169,$FJ235),SUMPRODUCT(INDEX($FK$325:$ID$396,HO$169,1+SwaptionShift):INDEX($FK$325:$ID$396,HO$169,SwaptionMonthsToGo+SwaptionShift),INDEX($FK$245:$ID$316,$FJ235-HO$169,73-HO$169+SwaptionShift):INDEX($FK$245:$ID$316,$FJ235-HO$169,72-HO$169+SwaptionMonthsToGo+SwaptionShift))/SQRT(SUM(INDEX($FK390:$ID390,1+SwaptionShift):INDEX($FK390:$ID390,SwaptionMonthsToGo+SwaptionShift))*SUM(INDEX($FK$325:$ID$396,HO$169,1+SwaptionShift):INDEX($FK$325:$ID$396,HO$169,SwaptionMonthsToGo+SwaptionShift))))))</f>
        <v/>
      </c>
      <c r="HP235" s="150" t="str">
        <f aca="false">IF(OR(HP$169&lt;SwaptionFirstMonthPosition+1,$FJ235&lt;SwaptionFirstMonthPosition+1,HP$169&gt;SwaptionFirstMonthPosition+SwaptionNumOfMonths+1,$FJ235&gt;SwaptionFirstMonthPosition+SwaptionNumOfMonths+1),"",IF($FJ235=HP$169,1,IF($FJ235&lt;HP$169,INDEX($FK$170:$ID$241,HP$169,$FJ235),SUMPRODUCT(INDEX($FK$325:$ID$396,HP$169,1+SwaptionShift):INDEX($FK$325:$ID$396,HP$169,SwaptionMonthsToGo+SwaptionShift),INDEX($FK$245:$ID$316,$FJ235-HP$169,73-HP$169+SwaptionShift):INDEX($FK$245:$ID$316,$FJ235-HP$169,72-HP$169+SwaptionMonthsToGo+SwaptionShift))/SQRT(SUM(INDEX($FK390:$ID390,1+SwaptionShift):INDEX($FK390:$ID390,SwaptionMonthsToGo+SwaptionShift))*SUM(INDEX($FK$325:$ID$396,HP$169,1+SwaptionShift):INDEX($FK$325:$ID$396,HP$169,SwaptionMonthsToGo+SwaptionShift))))))</f>
        <v/>
      </c>
      <c r="HQ235" s="150" t="str">
        <f aca="false">IF(OR(HQ$169&lt;SwaptionFirstMonthPosition+1,$FJ235&lt;SwaptionFirstMonthPosition+1,HQ$169&gt;SwaptionFirstMonthPosition+SwaptionNumOfMonths+1,$FJ235&gt;SwaptionFirstMonthPosition+SwaptionNumOfMonths+1),"",IF($FJ235=HQ$169,1,IF($FJ235&lt;HQ$169,INDEX($FK$170:$ID$241,HQ$169,$FJ235),SUMPRODUCT(INDEX($FK$325:$ID$396,HQ$169,1+SwaptionShift):INDEX($FK$325:$ID$396,HQ$169,SwaptionMonthsToGo+SwaptionShift),INDEX($FK$245:$ID$316,$FJ235-HQ$169,73-HQ$169+SwaptionShift):INDEX($FK$245:$ID$316,$FJ235-HQ$169,72-HQ$169+SwaptionMonthsToGo+SwaptionShift))/SQRT(SUM(INDEX($FK390:$ID390,1+SwaptionShift):INDEX($FK390:$ID390,SwaptionMonthsToGo+SwaptionShift))*SUM(INDEX($FK$325:$ID$396,HQ$169,1+SwaptionShift):INDEX($FK$325:$ID$396,HQ$169,SwaptionMonthsToGo+SwaptionShift))))))</f>
        <v/>
      </c>
      <c r="HR235" s="150" t="str">
        <f aca="false">IF(OR(HR$169&lt;SwaptionFirstMonthPosition+1,$FJ235&lt;SwaptionFirstMonthPosition+1,HR$169&gt;SwaptionFirstMonthPosition+SwaptionNumOfMonths+1,$FJ235&gt;SwaptionFirstMonthPosition+SwaptionNumOfMonths+1),"",IF($FJ235=HR$169,1,IF($FJ235&lt;HR$169,INDEX($FK$170:$ID$241,HR$169,$FJ235),SUMPRODUCT(INDEX($FK$325:$ID$396,HR$169,1+SwaptionShift):INDEX($FK$325:$ID$396,HR$169,SwaptionMonthsToGo+SwaptionShift),INDEX($FK$245:$ID$316,$FJ235-HR$169,73-HR$169+SwaptionShift):INDEX($FK$245:$ID$316,$FJ235-HR$169,72-HR$169+SwaptionMonthsToGo+SwaptionShift))/SQRT(SUM(INDEX($FK390:$ID390,1+SwaptionShift):INDEX($FK390:$ID390,SwaptionMonthsToGo+SwaptionShift))*SUM(INDEX($FK$325:$ID$396,HR$169,1+SwaptionShift):INDEX($FK$325:$ID$396,HR$169,SwaptionMonthsToGo+SwaptionShift))))))</f>
        <v/>
      </c>
      <c r="HS235" s="150" t="str">
        <f aca="false">IF(OR(HS$169&lt;SwaptionFirstMonthPosition+1,$FJ235&lt;SwaptionFirstMonthPosition+1,HS$169&gt;SwaptionFirstMonthPosition+SwaptionNumOfMonths+1,$FJ235&gt;SwaptionFirstMonthPosition+SwaptionNumOfMonths+1),"",IF($FJ235=HS$169,1,IF($FJ235&lt;HS$169,INDEX($FK$170:$ID$241,HS$169,$FJ235),SUMPRODUCT(INDEX($FK$325:$ID$396,HS$169,1+SwaptionShift):INDEX($FK$325:$ID$396,HS$169,SwaptionMonthsToGo+SwaptionShift),INDEX($FK$245:$ID$316,$FJ235-HS$169,73-HS$169+SwaptionShift):INDEX($FK$245:$ID$316,$FJ235-HS$169,72-HS$169+SwaptionMonthsToGo+SwaptionShift))/SQRT(SUM(INDEX($FK390:$ID390,1+SwaptionShift):INDEX($FK390:$ID390,SwaptionMonthsToGo+SwaptionShift))*SUM(INDEX($FK$325:$ID$396,HS$169,1+SwaptionShift):INDEX($FK$325:$ID$396,HS$169,SwaptionMonthsToGo+SwaptionShift))))))</f>
        <v/>
      </c>
      <c r="HT235" s="150" t="str">
        <f aca="false">IF(OR(HT$169&lt;SwaptionFirstMonthPosition+1,$FJ235&lt;SwaptionFirstMonthPosition+1,HT$169&gt;SwaptionFirstMonthPosition+SwaptionNumOfMonths+1,$FJ235&gt;SwaptionFirstMonthPosition+SwaptionNumOfMonths+1),"",IF($FJ235=HT$169,1,IF($FJ235&lt;HT$169,INDEX($FK$170:$ID$241,HT$169,$FJ235),SUMPRODUCT(INDEX($FK$325:$ID$396,HT$169,1+SwaptionShift):INDEX($FK$325:$ID$396,HT$169,SwaptionMonthsToGo+SwaptionShift),INDEX($FK$245:$ID$316,$FJ235-HT$169,73-HT$169+SwaptionShift):INDEX($FK$245:$ID$316,$FJ235-HT$169,72-HT$169+SwaptionMonthsToGo+SwaptionShift))/SQRT(SUM(INDEX($FK390:$ID390,1+SwaptionShift):INDEX($FK390:$ID390,SwaptionMonthsToGo+SwaptionShift))*SUM(INDEX($FK$325:$ID$396,HT$169,1+SwaptionShift):INDEX($FK$325:$ID$396,HT$169,SwaptionMonthsToGo+SwaptionShift))))))</f>
        <v/>
      </c>
      <c r="HU235" s="150" t="str">
        <f aca="false">IF(OR(HU$169&lt;SwaptionFirstMonthPosition+1,$FJ235&lt;SwaptionFirstMonthPosition+1,HU$169&gt;SwaptionFirstMonthPosition+SwaptionNumOfMonths+1,$FJ235&gt;SwaptionFirstMonthPosition+SwaptionNumOfMonths+1),"",IF($FJ235=HU$169,1,IF($FJ235&lt;HU$169,INDEX($FK$170:$ID$241,HU$169,$FJ235),SUMPRODUCT(INDEX($FK$325:$ID$396,HU$169,1+SwaptionShift):INDEX($FK$325:$ID$396,HU$169,SwaptionMonthsToGo+SwaptionShift),INDEX($FK$245:$ID$316,$FJ235-HU$169,73-HU$169+SwaptionShift):INDEX($FK$245:$ID$316,$FJ235-HU$169,72-HU$169+SwaptionMonthsToGo+SwaptionShift))/SQRT(SUM(INDEX($FK390:$ID390,1+SwaptionShift):INDEX($FK390:$ID390,SwaptionMonthsToGo+SwaptionShift))*SUM(INDEX($FK$325:$ID$396,HU$169,1+SwaptionShift):INDEX($FK$325:$ID$396,HU$169,SwaptionMonthsToGo+SwaptionShift))))))</f>
        <v/>
      </c>
      <c r="HV235" s="150" t="str">
        <f aca="false">IF(OR(HV$169&lt;SwaptionFirstMonthPosition+1,$FJ235&lt;SwaptionFirstMonthPosition+1,HV$169&gt;SwaptionFirstMonthPosition+SwaptionNumOfMonths+1,$FJ235&gt;SwaptionFirstMonthPosition+SwaptionNumOfMonths+1),"",IF($FJ235=HV$169,1,IF($FJ235&lt;HV$169,INDEX($FK$170:$ID$241,HV$169,$FJ235),SUMPRODUCT(INDEX($FK$325:$ID$396,HV$169,1+SwaptionShift):INDEX($FK$325:$ID$396,HV$169,SwaptionMonthsToGo+SwaptionShift),INDEX($FK$245:$ID$316,$FJ235-HV$169,73-HV$169+SwaptionShift):INDEX($FK$245:$ID$316,$FJ235-HV$169,72-HV$169+SwaptionMonthsToGo+SwaptionShift))/SQRT(SUM(INDEX($FK390:$ID390,1+SwaptionShift):INDEX($FK390:$ID390,SwaptionMonthsToGo+SwaptionShift))*SUM(INDEX($FK$325:$ID$396,HV$169,1+SwaptionShift):INDEX($FK$325:$ID$396,HV$169,SwaptionMonthsToGo+SwaptionShift))))))</f>
        <v/>
      </c>
      <c r="HW235" s="150" t="str">
        <f aca="false">IF(OR(HW$169&lt;SwaptionFirstMonthPosition+1,$FJ235&lt;SwaptionFirstMonthPosition+1,HW$169&gt;SwaptionFirstMonthPosition+SwaptionNumOfMonths+1,$FJ235&gt;SwaptionFirstMonthPosition+SwaptionNumOfMonths+1),"",IF($FJ235=HW$169,1,IF($FJ235&lt;HW$169,INDEX($FK$170:$ID$241,HW$169,$FJ235),SUMPRODUCT(INDEX($FK$325:$ID$396,HW$169,1+SwaptionShift):INDEX($FK$325:$ID$396,HW$169,SwaptionMonthsToGo+SwaptionShift),INDEX($FK$245:$ID$316,$FJ235-HW$169,73-HW$169+SwaptionShift):INDEX($FK$245:$ID$316,$FJ235-HW$169,72-HW$169+SwaptionMonthsToGo+SwaptionShift))/SQRT(SUM(INDEX($FK390:$ID390,1+SwaptionShift):INDEX($FK390:$ID390,SwaptionMonthsToGo+SwaptionShift))*SUM(INDEX($FK$325:$ID$396,HW$169,1+SwaptionShift):INDEX($FK$325:$ID$396,HW$169,SwaptionMonthsToGo+SwaptionShift))))))</f>
        <v/>
      </c>
      <c r="HX235" s="150" t="str">
        <f aca="false">IF(OR(HX$169&lt;SwaptionFirstMonthPosition+1,$FJ235&lt;SwaptionFirstMonthPosition+1,HX$169&gt;SwaptionFirstMonthPosition+SwaptionNumOfMonths+1,$FJ235&gt;SwaptionFirstMonthPosition+SwaptionNumOfMonths+1),"",IF($FJ235=HX$169,1,IF($FJ235&lt;HX$169,INDEX($FK$170:$ID$241,HX$169,$FJ235),SUMPRODUCT(INDEX($FK$325:$ID$396,HX$169,1+SwaptionShift):INDEX($FK$325:$ID$396,HX$169,SwaptionMonthsToGo+SwaptionShift),INDEX($FK$245:$ID$316,$FJ235-HX$169,73-HX$169+SwaptionShift):INDEX($FK$245:$ID$316,$FJ235-HX$169,72-HX$169+SwaptionMonthsToGo+SwaptionShift))/SQRT(SUM(INDEX($FK390:$ID390,1+SwaptionShift):INDEX($FK390:$ID390,SwaptionMonthsToGo+SwaptionShift))*SUM(INDEX($FK$325:$ID$396,HX$169,1+SwaptionShift):INDEX($FK$325:$ID$396,HX$169,SwaptionMonthsToGo+SwaptionShift))))))</f>
        <v/>
      </c>
      <c r="HY235" s="150" t="str">
        <f aca="false">IF(OR(HY$169&lt;SwaptionFirstMonthPosition+1,$FJ235&lt;SwaptionFirstMonthPosition+1,HY$169&gt;SwaptionFirstMonthPosition+SwaptionNumOfMonths+1,$FJ235&gt;SwaptionFirstMonthPosition+SwaptionNumOfMonths+1),"",IF($FJ235=HY$169,1,IF($FJ235&lt;HY$169,INDEX($FK$170:$ID$241,HY$169,$FJ235),SUMPRODUCT(INDEX($FK$325:$ID$396,HY$169,1+SwaptionShift):INDEX($FK$325:$ID$396,HY$169,SwaptionMonthsToGo+SwaptionShift),INDEX($FK$245:$ID$316,$FJ235-HY$169,73-HY$169+SwaptionShift):INDEX($FK$245:$ID$316,$FJ235-HY$169,72-HY$169+SwaptionMonthsToGo+SwaptionShift))/SQRT(SUM(INDEX($FK390:$ID390,1+SwaptionShift):INDEX($FK390:$ID390,SwaptionMonthsToGo+SwaptionShift))*SUM(INDEX($FK$325:$ID$396,HY$169,1+SwaptionShift):INDEX($FK$325:$ID$396,HY$169,SwaptionMonthsToGo+SwaptionShift))))))</f>
        <v/>
      </c>
      <c r="HZ235" s="150" t="str">
        <f aca="false">IF(OR(HZ$169&lt;SwaptionFirstMonthPosition+1,$FJ235&lt;SwaptionFirstMonthPosition+1,HZ$169&gt;SwaptionFirstMonthPosition+SwaptionNumOfMonths+1,$FJ235&gt;SwaptionFirstMonthPosition+SwaptionNumOfMonths+1),"",IF($FJ235=HZ$169,1,IF($FJ235&lt;HZ$169,INDEX($FK$170:$ID$241,HZ$169,$FJ235),SUMPRODUCT(INDEX($FK$325:$ID$396,HZ$169,1+SwaptionShift):INDEX($FK$325:$ID$396,HZ$169,SwaptionMonthsToGo+SwaptionShift),INDEX($FK$245:$ID$316,$FJ235-HZ$169,73-HZ$169+SwaptionShift):INDEX($FK$245:$ID$316,$FJ235-HZ$169,72-HZ$169+SwaptionMonthsToGo+SwaptionShift))/SQRT(SUM(INDEX($FK390:$ID390,1+SwaptionShift):INDEX($FK390:$ID390,SwaptionMonthsToGo+SwaptionShift))*SUM(INDEX($FK$325:$ID$396,HZ$169,1+SwaptionShift):INDEX($FK$325:$ID$396,HZ$169,SwaptionMonthsToGo+SwaptionShift))))))</f>
        <v/>
      </c>
      <c r="IA235" s="150" t="str">
        <f aca="false">IF(OR(IA$169&lt;SwaptionFirstMonthPosition+1,$FJ235&lt;SwaptionFirstMonthPosition+1,IA$169&gt;SwaptionFirstMonthPosition+SwaptionNumOfMonths+1,$FJ235&gt;SwaptionFirstMonthPosition+SwaptionNumOfMonths+1),"",IF($FJ235=IA$169,1,IF($FJ235&lt;IA$169,INDEX($FK$170:$ID$241,IA$169,$FJ235),SUMPRODUCT(INDEX($FK$325:$ID$396,IA$169,1+SwaptionShift):INDEX($FK$325:$ID$396,IA$169,SwaptionMonthsToGo+SwaptionShift),INDEX($FK$245:$ID$316,$FJ235-IA$169,73-IA$169+SwaptionShift):INDEX($FK$245:$ID$316,$FJ235-IA$169,72-IA$169+SwaptionMonthsToGo+SwaptionShift))/SQRT(SUM(INDEX($FK390:$ID390,1+SwaptionShift):INDEX($FK390:$ID390,SwaptionMonthsToGo+SwaptionShift))*SUM(INDEX($FK$325:$ID$396,IA$169,1+SwaptionShift):INDEX($FK$325:$ID$396,IA$169,SwaptionMonthsToGo+SwaptionShift))))))</f>
        <v/>
      </c>
      <c r="IB235" s="150" t="str">
        <f aca="false">IF(OR(IB$169&lt;SwaptionFirstMonthPosition+1,$FJ235&lt;SwaptionFirstMonthPosition+1,IB$169&gt;SwaptionFirstMonthPosition+SwaptionNumOfMonths+1,$FJ235&gt;SwaptionFirstMonthPosition+SwaptionNumOfMonths+1),"",IF($FJ235=IB$169,1,IF($FJ235&lt;IB$169,INDEX($FK$170:$ID$241,IB$169,$FJ235),SUMPRODUCT(INDEX($FK$325:$ID$396,IB$169,1+SwaptionShift):INDEX($FK$325:$ID$396,IB$169,SwaptionMonthsToGo+SwaptionShift),INDEX($FK$245:$ID$316,$FJ235-IB$169,73-IB$169+SwaptionShift):INDEX($FK$245:$ID$316,$FJ235-IB$169,72-IB$169+SwaptionMonthsToGo+SwaptionShift))/SQRT(SUM(INDEX($FK390:$ID390,1+SwaptionShift):INDEX($FK390:$ID390,SwaptionMonthsToGo+SwaptionShift))*SUM(INDEX($FK$325:$ID$396,IB$169,1+SwaptionShift):INDEX($FK$325:$ID$396,IB$169,SwaptionMonthsToGo+SwaptionShift))))))</f>
        <v/>
      </c>
      <c r="IC235" s="150" t="str">
        <f aca="false">IF(OR(IC$169&lt;SwaptionFirstMonthPosition+1,$FJ235&lt;SwaptionFirstMonthPosition+1,IC$169&gt;SwaptionFirstMonthPosition+SwaptionNumOfMonths+1,$FJ235&gt;SwaptionFirstMonthPosition+SwaptionNumOfMonths+1),"",IF($FJ235=IC$169,1,IF($FJ235&lt;IC$169,INDEX($FK$170:$ID$241,IC$169,$FJ235),SUMPRODUCT(INDEX($FK$325:$ID$396,IC$169,1+SwaptionShift):INDEX($FK$325:$ID$396,IC$169,SwaptionMonthsToGo+SwaptionShift),INDEX($FK$245:$ID$316,$FJ235-IC$169,73-IC$169+SwaptionShift):INDEX($FK$245:$ID$316,$FJ235-IC$169,72-IC$169+SwaptionMonthsToGo+SwaptionShift))/SQRT(SUM(INDEX($FK390:$ID390,1+SwaptionShift):INDEX($FK390:$ID390,SwaptionMonthsToGo+SwaptionShift))*SUM(INDEX($FK$325:$ID$396,IC$169,1+SwaptionShift):INDEX($FK$325:$ID$396,IC$169,SwaptionMonthsToGo+SwaptionShift))))))</f>
        <v/>
      </c>
      <c r="ID235" s="572" t="str">
        <f aca="false">IF(OR(ID$169&lt;SwaptionFirstMonthPosition+1,$FJ235&lt;SwaptionFirstMonthPosition+1,ID$169&gt;SwaptionFirstMonthPosition+SwaptionNumOfMonths+1,$FJ235&gt;SwaptionFirstMonthPosition+SwaptionNumOfMonths+1),"",IF($FJ235=ID$169,1,IF($FJ235&lt;ID$169,INDEX($FK$170:$ID$241,ID$169,$FJ235),SUMPRODUCT(INDEX($FK$325:$ID$396,ID$169,1+SwaptionShift):INDEX($FK$325:$ID$396,ID$169,SwaptionMonthsToGo+SwaptionShift),INDEX($FK$245:$ID$316,$FJ235-ID$169,73-ID$169+SwaptionShift):INDEX($FK$245:$ID$316,$FJ235-ID$169,72-ID$169+SwaptionMonthsToGo+SwaptionShift))/SQRT(SUM(INDEX($FK390:$ID390,1+SwaptionShift):INDEX($FK390:$ID390,SwaptionMonthsToGo+SwaptionShift))*SUM(INDEX($FK$325:$ID$396,ID$169,1+SwaptionShift):INDEX($FK$325:$ID$396,ID$169,SwaptionMonthsToGo+SwaptionShift))))))</f>
        <v/>
      </c>
      <c r="IE235" s="129"/>
    </row>
    <row r="236" customFormat="false" ht="12.75" hidden="false" customHeight="false" outlineLevel="0" collapsed="false">
      <c r="H236" s="219" t="n">
        <f aca="false">VLOOKUP(I236,$EJ$20:$EL$54,3)</f>
        <v>0</v>
      </c>
      <c r="I236" s="511" t="n">
        <f aca="false">EOMONTH(I235,0)+1</f>
        <v>43344</v>
      </c>
      <c r="J236" s="512"/>
      <c r="K236" s="513" t="s">
        <v>280</v>
      </c>
      <c r="L236" s="514" t="n">
        <f aca="false">IF(ISNUMBER(K236),J236+K236/100,IF(K236="extra",L235+VLOOKUP(BF236,PriceSpreadTable,2)/12,IF(K236="inter",interpolateprices($K$19:$L$200,ROW(K236)-ROW(FirstPricingMonth)+1),interpolatechanges($J$19:$K$200,ROW(K236)-ROW(FirstPricingMonth)+1))))</f>
        <v>5.25</v>
      </c>
      <c r="M236" s="515"/>
      <c r="N236" s="516" t="n">
        <v>0</v>
      </c>
      <c r="O236" s="515" t="n">
        <f aca="false">M236+N236</f>
        <v>0</v>
      </c>
      <c r="P236" s="512"/>
      <c r="Q236" s="513" t="s">
        <v>280</v>
      </c>
      <c r="R236" s="512" t="e">
        <f aca="false">IF(ISNUMBER(Q236),P236+Q236/100,IF(Q236="extra",(Z234*AL234-R235*AM234)/AN234,IF(Q236="inter",interpolateprices($Q$19:$R$260,ROW(Q236)-ROW(FirstPricingMonth)+1),interpolatechanges($P$19:$Q$260,ROW(Q236)-ROW(FirstPricingMonth)+1))))</f>
        <v>#VALUE!</v>
      </c>
      <c r="S236" s="597" t="n">
        <f aca="false">S$19+(S235-S$19)*S$18</f>
        <v>0.36</v>
      </c>
      <c r="T236" s="575" t="n">
        <f aca="false">SQRT((1-(1-T235^2/U235)*T$18)*U236)</f>
        <v>1</v>
      </c>
      <c r="U236" s="576" t="n">
        <f aca="false">1-(1-U235)*U$18</f>
        <v>1</v>
      </c>
      <c r="V236" s="521" t="n">
        <v>0</v>
      </c>
      <c r="W236" s="577" t="n">
        <f aca="false">(J237*AJ236+J238*AK236)/AI236</f>
        <v>0</v>
      </c>
      <c r="X236" s="578" t="n">
        <f aca="false">(L237*AJ236+L238*AK236)/AI236</f>
        <v>5.29874999999999</v>
      </c>
      <c r="Y236" s="579" t="n">
        <f aca="false">IF(Q238="extra",W236-AA236,(P237*AM236+P238*AN236)/AL236)</f>
        <v>-1.2669</v>
      </c>
      <c r="Z236" s="579" t="n">
        <f aca="false">IF(Q238="extra",X236-AB236,(R237*AM236+R238*AN236)/AL236)</f>
        <v>4.03184999999999</v>
      </c>
      <c r="AA236" s="523" t="n">
        <f aca="false">IF(Q238="extra",INDEX(BrentSeasonalityTable,INT((BG236-1)/3)+1)*VLOOKUP(MAX(BF236,$AB$4),PriceSpreadTable,3),W236-Y236)</f>
        <v>1.2669</v>
      </c>
      <c r="AB236" s="524" t="n">
        <f aca="false">IF(Q238="extra",INDEX(BrentSeasonalityTable,INT((BG236-1)/3)+1)*VLOOKUP(MAX(BF236,$AB$4),PriceSpreadTable,3),X236-Z236)</f>
        <v>1.2669</v>
      </c>
      <c r="AC236" s="646" t="n">
        <v>43332</v>
      </c>
      <c r="AD236" s="646" t="n">
        <v>43328</v>
      </c>
      <c r="AE236" s="646" t="n">
        <v>43327</v>
      </c>
      <c r="AF236" s="646" t="n">
        <v>43323</v>
      </c>
      <c r="AG236" s="438" t="s">
        <v>278</v>
      </c>
      <c r="AH236" s="439" t="s">
        <v>278</v>
      </c>
      <c r="AI236" s="528" t="n">
        <v>20</v>
      </c>
      <c r="AJ236" s="529" t="n">
        <v>14</v>
      </c>
      <c r="AK236" s="529" t="n">
        <v>6</v>
      </c>
      <c r="AL236" s="530" t="n">
        <v>20</v>
      </c>
      <c r="AM236" s="529" t="n">
        <v>10</v>
      </c>
      <c r="AN236" s="531" t="n">
        <v>10</v>
      </c>
      <c r="AO236" s="532"/>
      <c r="AP236" s="465" t="n">
        <f aca="false">(1+AO236/2)^(-2*BL236)</f>
        <v>1</v>
      </c>
      <c r="AQ236" s="532"/>
      <c r="AR236" s="465" t="n">
        <f aca="false">(1+AQ236/2)^(-2*BH236/365.25)</f>
        <v>1</v>
      </c>
      <c r="AS236" s="580" t="n">
        <f aca="false">(O237*AJ236+O238*AK236)/AI236</f>
        <v>0</v>
      </c>
      <c r="AT236" s="468" t="n">
        <f aca="false">O236*VLOOKUP(BF236,BrentVolTable,2)+VLOOKUP(BF236,BrentVolTable,3)</f>
        <v>0</v>
      </c>
      <c r="AU236" s="468" t="n">
        <f aca="false">(AT237*AM236+AT238*AN236)/AL236</f>
        <v>0</v>
      </c>
      <c r="AV236" s="595" t="n">
        <f aca="false">SQRT(MAX(0.000000000001,(O236^2*BH236-S236^2*(BH236-BH235))/BH235))</f>
        <v>0.0390994517006015</v>
      </c>
      <c r="AW236" s="451" t="n">
        <f aca="false">IF($I236-DateToday+15&gt;=$T$8,"",IF($I236-DateToday+15&lt;$T$5,1,MATCH($I236-DateToday+15,$T$5:$T$8)))</f>
        <v>1</v>
      </c>
      <c r="AX236" s="468" t="n">
        <f aca="false">IF($AW236="",AX235^2/AX234,INDEX(U$5:U$8,$AW236)^((INDEX($T$5:$T$8,$AW236+1)-($I236-DateToday+15))/(INDEX($T$5:$T$8,$AW236+1)-INDEX($T$5:$T$8,$AW236)))/INDEX(U$5:U$8,$AW236+1)^((INDEX($T$5:$T$8,$AW236)-($I236-DateToday+15))/(INDEX($T$5:$T$8,$AW236+1)-INDEX($T$5:$T$8,$AW236))))</f>
        <v>0.123949472324731</v>
      </c>
      <c r="AY236" s="468" t="n">
        <f aca="false">IF($AW236="",AY235^2/AY234,INDEX(V$5:V$8,$AW236)^((INDEX($T$5:$T$8,$AW236+1)-($I236-DateToday+15))/(INDEX($T$5:$T$8,$AW236+1)-INDEX($T$5:$T$8,$AW236)))/INDEX(V$5:V$8,$AW236+1)^((INDEX($T$5:$T$8,$AW236)-($I236-DateToday+15))/(INDEX($T$5:$T$8,$AW236+1)-INDEX($T$5:$T$8,$AW236))))</f>
        <v>0.582610145042994</v>
      </c>
      <c r="AZ236" s="468" t="n">
        <f aca="false">IF($AW236="",AZ235^2/AZ234,INDEX(W$5:W$8,$AW236)^((INDEX($T$5:$T$8,$AW236+1)-($I236-DateToday+15))/(INDEX($T$5:$T$8,$AW236+1)-INDEX($T$5:$T$8,$AW236)))/INDEX(W$5:W$8,$AW236+1)^((INDEX($T$5:$T$8,$AW236)-($I236-DateToday+15))/(INDEX($T$5:$T$8,$AW236+1)-INDEX($T$5:$T$8,$AW236))))</f>
        <v>13.4248026824597</v>
      </c>
      <c r="BA236" s="468" t="n">
        <f aca="false">IF($AW236="",BA235^2/BA234,INDEX(X$5:X$8,$AW236)^((INDEX($T$5:$T$8,$AW236+1)-($I236-DateToday+15))/(INDEX($T$5:$T$8,$AW236+1)-INDEX($T$5:$T$8,$AW236)))/INDEX(X$5:X$8,$AW236+1)^((INDEX($T$5:$T$8,$AW236)-($I236-DateToday+15))/(INDEX($T$5:$T$8,$AW236+1)-INDEX($T$5:$T$8,$AW236))))</f>
        <v>17.3333042557762</v>
      </c>
      <c r="BB236" s="468" t="n">
        <f aca="false">IF($AW236="",BB235^2/BB234,INDEX(Y$5:Y$8,$AW236)^((INDEX($T$5:$T$8,$AW236+1)-($I236-DateToday+15))/(INDEX($T$5:$T$8,$AW236+1)-INDEX($T$5:$T$8,$AW236)))/INDEX(Y$5:Y$8,$AW236+1)^((INDEX($T$5:$T$8,$AW236)-($I236-DateToday+15))/(INDEX($T$5:$T$8,$AW236+1)-INDEX($T$5:$T$8,$AW236))))</f>
        <v>56.4763724880032</v>
      </c>
      <c r="BC236" s="468" t="n">
        <f aca="false">IF($AW236="",BC235^2/BC234,INDEX(Z$5:Z$8,$AW236)^((INDEX($T$5:$T$8,$AW236+1)-($I236-DateToday+15))/(INDEX($T$5:$T$8,$AW236+1)-INDEX($T$5:$T$8,$AW236)))/INDEX(Z$5:Z$8,$AW236+1)^((INDEX($T$5:$T$8,$AW236)-($I236-DateToday+15))/(INDEX($T$5:$T$8,$AW236+1)-INDEX($T$5:$T$8,$AW236))))</f>
        <v>118.257987910746</v>
      </c>
      <c r="BD236" s="535" t="n">
        <f aca="false">IF(OR(DateStart&gt;=I237,DateEnd&lt;I236),0,IF(VolumeOverrideFlag,V236,Volume))</f>
        <v>0</v>
      </c>
      <c r="BE236" s="536" t="n">
        <f aca="false">IF(OR(DateStart2&gt;=I237,DateEnd2&lt;I236),0,IF(VolumeOverrideFlag,V236,VolumeSwaption))</f>
        <v>0</v>
      </c>
      <c r="BF236" s="537" t="n">
        <f aca="false">YEAR(I236)</f>
        <v>2018</v>
      </c>
      <c r="BG236" s="538" t="n">
        <f aca="false">MONTH(I236)</f>
        <v>9</v>
      </c>
      <c r="BH236" s="539" t="n">
        <f aca="false">AD236-DateToday+1</f>
        <v>-2597</v>
      </c>
      <c r="BI236" s="540" t="n">
        <f aca="false">(I236-DateToday+1)/365.25</f>
        <v>-7.06639288158795</v>
      </c>
      <c r="BJ236" s="541" t="n">
        <f aca="false">BI236+(BL236-BI236)*CHOOSE(Underlying,AJ236/AI236,AM236/AL236)</f>
        <v>-7.01081451060917</v>
      </c>
      <c r="BK236" s="541" t="n">
        <f aca="false">BJ236+1/365.25</f>
        <v>-7.00807665982204</v>
      </c>
      <c r="BL236" s="541" t="n">
        <f aca="false">(I237-DateToday)/365.25</f>
        <v>-6.98699520876112</v>
      </c>
      <c r="BM236" s="542" t="e">
        <f aca="false">MAX(BI236-(BJ236-BI236)*(S237^2/O237^2-1),0)</f>
        <v>#DIV/0!</v>
      </c>
      <c r="BN236" s="541" t="e">
        <f aca="false">MAX(BL236+(BL236-BK236)*(S238^2/O238^2-1),0)</f>
        <v>#DIV/0!</v>
      </c>
      <c r="BO236" s="530" t="n">
        <f aca="false">CHOOSE(Underlying,AI236,AL236)</f>
        <v>20</v>
      </c>
      <c r="BP236" s="529" t="n">
        <f aca="false">CHOOSE(Underlying,AJ236,AM236)</f>
        <v>14</v>
      </c>
      <c r="BQ236" s="529" t="n">
        <f aca="false">CHOOSE(Underlying,AK236,AN236)</f>
        <v>6</v>
      </c>
      <c r="BR236" s="463" t="str">
        <f aca="false">IF(BD236,IF(Underlying=1,X236,Z236)+UnderlyingPriceAsian-SwapPriceCurve,"")</f>
        <v/>
      </c>
      <c r="BS236" s="463" t="str">
        <f aca="false">IF(BD236,Strike1/BR236-1,"")</f>
        <v/>
      </c>
      <c r="BT236" s="464" t="str">
        <f aca="false">IF(BD236,Strike2/BR236-1,"")</f>
        <v/>
      </c>
      <c r="BU236" s="465" t="str">
        <f aca="false">IF(BD236,IF(Underlying=1,L237,R237)+UnderlyingPriceAsian-SwapPriceCurve,"")</f>
        <v/>
      </c>
      <c r="BV236" s="465" t="str">
        <f aca="false">IF(BD236,IF(Underlying=1,L238,R238)+UnderlyingPriceAsian-SwapPriceCurve,"")</f>
        <v/>
      </c>
      <c r="BW236" s="466" t="str">
        <f aca="false">IF(BD236,IF(Underlying=1,O237,AT237),"")</f>
        <v/>
      </c>
      <c r="BX236" s="467" t="str">
        <f aca="false">IF(BD236,IF(Underlying=1,O238,AT238),"")</f>
        <v/>
      </c>
      <c r="BY236" s="466" t="str">
        <f aca="false">IF(BD236,IF(BS236&gt;0,IF(BS236&gt;0.2,BC236-BB236,IF(BS236&gt;0.1,BB236-BA236,BA236)),IF(BS236&lt;-0.2,AX236-AY236,IF(BS236&lt;-0.1,AY236-AZ236,AZ236))),"")</f>
        <v/>
      </c>
      <c r="BZ236" s="467" t="str">
        <f aca="false">IF(BD236,IF(BT236&gt;0,IF(BT236&gt;0.2,BC236-BB236,IF(BT236&gt;0.1,BB236-BA236,BA236)),IF(BT236&lt;-0.2,AX236-AY236,IF(BT236&lt;-0.1,AY236-AZ236,AZ236))),"")</f>
        <v/>
      </c>
      <c r="CA236" s="468" t="str">
        <f aca="false">IF($BD236,$BW236+IF(VolSkewFlag=1,IF(BS236&gt;0,$BA236*MIN(BS236/10%,1)+($BB236-$BA236)*MAX(0,MIN(BS236/10%-1,1))+($BC236-$BB236)*MAX(0,BS236/10%-2),$AZ236*MIN(-BS236/10%,1)+($AY236-$AZ236)*MAX(0,MIN(-BS236/10%-1,1))+($AX236-$AY236)*MAX(0,-BS236/10%-2)),0),"")</f>
        <v/>
      </c>
      <c r="CB236" s="468" t="str">
        <f aca="false">IF($BD236,$BX236+IF(VolSkewFlag=1,IF(BS236&gt;0,$BA236*MIN(BS236/10%,1)+($BB236-$BA236)*MAX(0,MIN(BS236/10%-1,1))+($BC236-$BB236)*MAX(0,BS236/10%-2),$AZ236*MIN(-BS236/10%,1)+($AY236-$AZ236)*MAX(0,MIN(-BS236/10%-1,1))+($AX236-$AY236)*MAX(0,-BS236/10%-2)),0),"")</f>
        <v/>
      </c>
      <c r="CC236" s="468" t="str">
        <f aca="false">IF($BD236,$BW236+IF(VolSkewFlag=1,IF(BT236&gt;0,$BA236*MIN(BT236/10%,1)+($BB236-$BA236)*MAX(0,MIN(BT236/10%-1,1))+($BC236-$BB236)*MAX(0,BT236/10%-2),$AZ236*MIN(-BT236/10%,1)+($AY236-$AZ236)*MAX(0,MIN(-BT236/10%-1,1))+($AX236-$AY236)*MAX(0,-BT236/10%-2)),0),"")</f>
        <v/>
      </c>
      <c r="CD236" s="468" t="str">
        <f aca="false">IF($BD236,$BX236+IF(VolSkewFlag=1,IF(BT236&gt;0,$BA236*MIN(BT236/10%,1)+($BB236-$BA236)*MAX(0,MIN(BT236/10%-1,1))+($BC236-$BB236)*MAX(0,BT236/10%-2),$AZ236*MIN(-BT236/10%,1)+($AY236-$AZ236)*MAX(0,MIN(-BT236/10%-1,1))+($AX236-$AY236)*MAX(0,-BT236/10%-2)),0),"")</f>
        <v/>
      </c>
      <c r="CE236" s="469" t="n">
        <v>1</v>
      </c>
      <c r="CF236" s="470" t="n">
        <f aca="false">IF(BD236,xCrudeAPO(BU236,BV236,CA236,CB236,S237,S238,BI236,BL236,BP236,BQ236,0,Strike1,AO236,CE236,0,BL236,IF(OptControl=4,0,1),0,1),0)</f>
        <v>0</v>
      </c>
      <c r="CG236" s="470" t="n">
        <f aca="false">IF(BD236,xCrudeAPO(BU236,BV236,CA236,CB236,S237,S238,BI236,BL236,BP236,BQ236,0,Strike1,AO236,CE236,0,BL236,IF(OptControl=4,0,1),1,1)+xCrudeAPO(BU236,BV236,CA236,CB236,S237,S238,BI236,BL236,BP236,BQ236,0,Strike1,AO236,CE236,0,BL236,IF(OptControl=4,0,1),1,2)+IF(OR(VolSkewFlag=2,ABS(BS236)&lt;0.0001),0,IF(BS236&gt;0,-1,1)*CH236*Strike1/BR236^2*BY236/10%),0)</f>
        <v>0</v>
      </c>
      <c r="CH236" s="470" t="n">
        <f aca="false">IF(BD236,(xCrudeAPO(BU236,BV236,CA236,CB236,S237,S238,BI236,BL236,BP236,BQ236,0,Strike1,AO236,CE236,0,BL236,IF(OptControl=4,0,1),3,1)+xCrudeAPO(BU236,BV236,CA236,CB236,S237,S238,BI236,BL236,BP236,BQ236,0,Strike1,AO236,CE236,0,BL236,IF(OptControl=4,0,1),3,2))/100,0)</f>
        <v>0</v>
      </c>
      <c r="CI236" s="470" t="n">
        <f aca="false">IF(BD236,xCrudeAPO(BU236,BV236,CA236,CB236,S237,S238,BI236-DaysForThetaCalculation/365.25,BL236-DaysForThetaCalculation/365.25,BP236,BQ236,0,Strike1,AO236,CE236,0,BL236,IF(OptControl=4,0,1),0,1)-xCrudeAPO(BU236,BV236,CA236,CB236,S237,S238,BI236,BL236,BP236,BQ236,0,Strike1,AO236,CE236,0,BL236,IF(OptControl=4,0,1),0,1),0)</f>
        <v>0</v>
      </c>
      <c r="CJ236" s="471" t="n">
        <f aca="false">IF(BD236,xCrudeAPO(BU236,BV236,CC236,CD236,S237,S238,BI236,BL236,BP236,BQ236,0,Strike2,AO236,CE236,0,BL236,IF(OptControl=3,1,0),0,1),0)</f>
        <v>0</v>
      </c>
      <c r="CK236" s="470" t="n">
        <f aca="false">IF(BD236,xCrudeAPO(BU236,BV236,CC236,CD236,S237,S238,BI236,BL236,BP236,BQ236,0,Strike2,AO236,CE236,0,BL236,IF(OptControl=3,1,0),1,1)+xCrudeAPO(BU236,BV236,CC236,CD236,S237,S238,BI236,BL236,BP236,BQ236,0,Strike2,AO236,CE236,0,BL236,IF(OptControl=3,1,0),1,2)+IF(OR(VolSkewFlag=2,ABS(BT236)&lt;0.0001),0,IF(BT236&gt;0,-1,1)*CL236*Strike2/BR236^2*BZ236/10%),0)</f>
        <v>0</v>
      </c>
      <c r="CL236" s="470" t="n">
        <f aca="false">IF(BD236,(xCrudeAPO(BU236,BV236,CC236,CD236,S237,S238,BI236,BL236,BP236,BQ236,0,Strike2,AO236,CE236,0,BL236,IF(OptControl=3,1,0),3,1)+xCrudeAPO(BU236,BV236,CC236,CD236,S237,S238,BI236,BL236,BP236,BQ236,0,Strike2,AO236,CE236,0,BL236,IF(OptControl=3,1,0),3,2))/100,0)</f>
        <v>0</v>
      </c>
      <c r="CM236" s="472" t="n">
        <f aca="false">IF(BD236,xCrudeAPO(BU236,BV236,CC236,CD236,S237,S238,BI236-DaysForThetaCalculation/365.25,BL236-DaysForThetaCalculation/365.25,BP236,BQ236,0,Strike2,AO236,CE236,0,BL236,IF(OptControl=3,1,0),0,1)-xCrudeAPO(BU236,BV236,CC236,CD236,S237,S238,BI236,BL236,BP236,BQ236,0,Strike2,AO236,CE236,0,BL236,IF(OptControl=3,1,0),0,1),0)</f>
        <v>0</v>
      </c>
      <c r="CN236" s="3"/>
      <c r="CO236" s="543" t="str">
        <f aca="false">IF(BD236,CHOOSE(Underlying,AD236,AF236)-DateToday+1,"")</f>
        <v/>
      </c>
      <c r="CP236" s="582" t="str">
        <f aca="false">IF(BD236,CHOOSE(Underlying,L236,R236),"")</f>
        <v/>
      </c>
      <c r="CQ236" s="544" t="str">
        <f aca="false">IF(BD236,Strike1/CP236-1,"")</f>
        <v/>
      </c>
      <c r="CR236" s="544" t="str">
        <f aca="false">IF(BD236,Strike2/CP236-1,"")</f>
        <v/>
      </c>
      <c r="CS236" s="544" t="str">
        <f aca="false">IF(BD236,IF(CQ236&gt;0,IF(CQ236&gt;0.2,BC235-BB235,IF(CQ236&gt;0.1,BB235-BA235,BA235)),IF(CQ236&lt;-0.2,AX235-AY235,IF(CQ236&lt;-0.1,AY235-AZ235,AZ235))),"")</f>
        <v/>
      </c>
      <c r="CT236" s="544" t="str">
        <f aca="false">IF(BD236,IF(CR236&gt;0,IF(CR236&gt;0.2,BC235-BB235,IF(CR236&gt;0.1,BB235-BA235,BA235)),IF(CR236&lt;-0.2,AX235-AY235,IF(CR236&lt;-0.1,AY235-AZ235,AZ235))),"")</f>
        <v/>
      </c>
      <c r="CU236" s="545" t="str">
        <f aca="false">IF(BD236,CHOOSE(Underlying,O236,AT236),"")</f>
        <v/>
      </c>
      <c r="CV236" s="545" t="str">
        <f aca="false">IF(BD236,CU236+IF(VolSkewFlag=1,IF(CQ236&gt;0,BA235*MIN(CQ236/10%,1)+(BB235-BA235)*MAX(0,MIN(CQ236/10%-1,1))+(BC235-BB235)*MAX(0,CQ236/10%-2),AZ235*MIN(-CQ236/10%,1)+(AY235-AZ235)*MAX(0,MIN(-CQ236/10%-1,1))+(AX235-AY235)*MAX(0,-CQ236/10%-2)),0),"")</f>
        <v/>
      </c>
      <c r="CW236" s="545" t="str">
        <f aca="false">IF(BD236,CU236+IF(VolSkewFlag=1,IF(CR236&gt;0,BA235*MIN(CR236/10%,1)+(BB235-BA235)*MAX(0,MIN(CR236/10%-1,1))+(BC235-BB235)*MAX(0,CR236/10%-2),AZ235*MIN(-CR236/10%,1)+(AY235-AZ235)*MAX(0,MIN(-CR236/10%-1,1))+(AX235-AY235)*MAX(0,-CR236/10%-2)),0),"")</f>
        <v/>
      </c>
      <c r="CX236" s="470" t="n">
        <f aca="false">IF(BD236,EURO(CP236,Strike1,AO236,AO236,CV236,CO236,IF(OptControl=4,0,1),0),0)</f>
        <v>0</v>
      </c>
      <c r="CY236" s="470" t="n">
        <f aca="false">IF(BD236,EURO(CP236,Strike1,AO236,AO236,CV236,CO236,IF(OptControl=4,0,1),1)+IF(OR(VolSkewFlag=2,ABS(CQ236)&lt;0.0001),0,IF(CQ236&gt;0,-1,1)*CZ236*100*Strike1/CP236^2*CS236/10%),0)</f>
        <v>0</v>
      </c>
      <c r="CZ236" s="470" t="n">
        <f aca="false">IF(BD236,EURO(CP236,Strike1,AO236,AO236,CV236,CO236,IF(OptControl=4,0,1),3)/100,0)</f>
        <v>0</v>
      </c>
      <c r="DA236" s="470" t="n">
        <f aca="false">IF(BD236,EURO(CP236,Strike1,AO236,AO236,CV236,CO236,IF(OptControl=4,0,1),0)-EURO(CP236,Strike1,AO236,AO236,CV236,CO236-1,IF(OptControl=4,0,1),0),0)</f>
        <v>0</v>
      </c>
      <c r="DB236" s="470" t="n">
        <f aca="false">IF(BD236,EURO(CP236,Strike2,AO236,AO236,CW236,CO236,IF(OptControl=3,1,0),0),0)</f>
        <v>0</v>
      </c>
      <c r="DC236" s="470" t="n">
        <f aca="false">IF(BD236,EURO(CP236,Strike2,AO236,AO236,CW236,CO236,IF(OptControl=3,1,0),1)+IF(OR(VolSkewFlag=2,ABS(CR236)&lt;0.0001),0,IF(CR236&gt;0,-1,1)*DD236*100*Strike2/CP236^2*CT236/10%),0)</f>
        <v>0</v>
      </c>
      <c r="DD236" s="470" t="n">
        <f aca="false">IF(BD236,EURO(CP236,Strike2,AO236,AO236,CW236,CO236,IF(OptControl=3,1,0),3)/100,0)</f>
        <v>0</v>
      </c>
      <c r="DE236" s="472" t="n">
        <f aca="false">IF(BD236,EURO(CP236,Strike2,AO236,AO236,CW236,CO236,IF(OptControl=3,1,0),0)-EURO(CP236,Strike2,AO236,AO236,CW236,CO236-1,IF(OptControl=3,1,0),0),0)</f>
        <v>0</v>
      </c>
      <c r="DG236" s="481" t="n">
        <f aca="false">EOMONTH(DG235,0)+1</f>
        <v>52263</v>
      </c>
      <c r="DH236" s="478" t="n">
        <v>24.9600000000001</v>
      </c>
      <c r="DI236" s="479" t="n">
        <v>25.0250000000001</v>
      </c>
      <c r="DJ236" s="480" t="n">
        <f aca="false">DG236</f>
        <v>52263</v>
      </c>
      <c r="DK236" s="478" t="n">
        <v>23.7560434966718</v>
      </c>
      <c r="DL236" s="479" t="n">
        <v>23.8565000000001</v>
      </c>
      <c r="DM236" s="481" t="n">
        <f aca="false">DG236</f>
        <v>52263</v>
      </c>
      <c r="DN236" s="482" t="n">
        <f aca="false">DK236+BrentPhyBrentSpread</f>
        <v>23.8060434966718</v>
      </c>
      <c r="DO236" s="481" t="n">
        <f aca="false">DG236</f>
        <v>52263</v>
      </c>
      <c r="DP236" s="483" t="n">
        <f aca="false">DL236+DQ236</f>
        <v>23.8565000000001</v>
      </c>
      <c r="DQ236" s="546" t="n">
        <v>0</v>
      </c>
      <c r="DR236" s="480" t="n">
        <f aca="false">DG236</f>
        <v>52263</v>
      </c>
      <c r="DS236" s="485" t="n">
        <v>0.094999999999998</v>
      </c>
      <c r="DT236" s="486" t="n">
        <v>0.0942199999999977</v>
      </c>
      <c r="DU236" s="480" t="n">
        <f aca="false">DG236</f>
        <v>52263</v>
      </c>
      <c r="DV236" s="485" t="n">
        <v>0.094999999999998</v>
      </c>
      <c r="DW236" s="486" t="n">
        <v>0.0942199999999977</v>
      </c>
      <c r="DX236" s="481" t="n">
        <f aca="false">DG236</f>
        <v>52263</v>
      </c>
      <c r="DY236" s="486" t="n">
        <v>0.35</v>
      </c>
      <c r="DZ236" s="481" t="n">
        <f aca="false">DR236</f>
        <v>52263</v>
      </c>
      <c r="EA236" s="486" t="n">
        <f aca="false">DT236</f>
        <v>0.0942199999999977</v>
      </c>
      <c r="EB236" s="195"/>
      <c r="EC236" s="547" t="str">
        <f aca="false">IF(BD236,IF(Underlying=1,AS236,AU236),"")</f>
        <v/>
      </c>
      <c r="ED236" s="548" t="str">
        <f aca="false">IF($BD236,$EC236+IF(VolSkewFlag=1,IF(BS236&gt;0,$BA236*MIN(BS236/10%,1)+($BB236-$BA236)*MAX(0,MIN(BS236/10%-1,1))+($BC236-$BB236)*MAX(0,BS236/10%-2),$AZ236*MIN(-BS236/10%,1)+($AY236-$AZ236)*MAX(0,MIN(-BS236/10%-1,1))+($AX236-$AY236)*MAX(0,-BS236/10%-2)),0),"")</f>
        <v/>
      </c>
      <c r="EE236" s="549" t="str">
        <f aca="false">IF($BD236,$EC236+IF(VolSkewFlag=1,IF(BT236&gt;0,$BA236*MIN(BT236/10%,1)+($BB236-$BA236)*MAX(0,MIN(BT236/10%-1,1))+($BC236-$BB236)*MAX(0,BT236/10%-2),$AZ236*MIN(-BT236/10%,1)+($AY236-$AZ236)*MAX(0,MIN(-BT236/10%-1,1))+($AX236-$AY236)*MAX(0,-BT236/10%-2)),0),"")</f>
        <v/>
      </c>
      <c r="EF236" s="550" t="n">
        <f aca="false">IF(BD236,xASN(BR236,Strike1,AO236,ED236,0,BO236,0,BI236,BL236,IF(OptControl=4,0,1),0),0)</f>
        <v>0</v>
      </c>
      <c r="EG236" s="551" t="n">
        <f aca="false">IF(BD236,xASN(BR236,Strike2,AO236,EE236,0,BO236,0,BI236,BL236,IF(OptControl=3,1,0),0),0)</f>
        <v>0</v>
      </c>
      <c r="EL236" s="1"/>
      <c r="EM236" s="195"/>
      <c r="EN236" s="240"/>
      <c r="EO236" s="240"/>
      <c r="EP236" s="195"/>
      <c r="EQ236" s="407" t="s">
        <v>464</v>
      </c>
      <c r="ES236" s="1"/>
      <c r="EU236" s="672"/>
      <c r="FJ236" s="571" t="n">
        <v>67</v>
      </c>
      <c r="FK236" s="150" t="str">
        <f aca="false">IF(OR(FK$169&lt;SwaptionFirstMonthPosition+1,$FJ236&lt;SwaptionFirstMonthPosition+1,FK$169&gt;SwaptionFirstMonthPosition+SwaptionNumOfMonths+1,$FJ236&gt;SwaptionFirstMonthPosition+SwaptionNumOfMonths+1),"",IF($FJ236=FK$169,1,IF($FJ236&lt;FK$169,INDEX($FK$170:$ID$241,FK$169,$FJ236),SUMPRODUCT(INDEX($FK$325:$ID$396,FK$169,1+SwaptionShift):INDEX($FK$325:$ID$396,FK$169,SwaptionMonthsToGo+SwaptionShift),INDEX($FK$245:$ID$316,$FJ236-FK$169,73-FK$169+SwaptionShift):INDEX($FK$245:$ID$316,$FJ236-FK$169,72-FK$169+SwaptionMonthsToGo+SwaptionShift))/SQRT(SUM(INDEX($FK391:$ID391,1+SwaptionShift):INDEX($FK391:$ID391,SwaptionMonthsToGo+SwaptionShift))*SUM(INDEX($FK$325:$ID$396,FK$169,1+SwaptionShift):INDEX($FK$325:$ID$396,FK$169,SwaptionMonthsToGo+SwaptionShift))))))</f>
        <v/>
      </c>
      <c r="FL236" s="150" t="str">
        <f aca="false">IF(OR(FL$169&lt;SwaptionFirstMonthPosition+1,$FJ236&lt;SwaptionFirstMonthPosition+1,FL$169&gt;SwaptionFirstMonthPosition+SwaptionNumOfMonths+1,$FJ236&gt;SwaptionFirstMonthPosition+SwaptionNumOfMonths+1),"",IF($FJ236=FL$169,1,IF($FJ236&lt;FL$169,INDEX($FK$170:$ID$241,FL$169,$FJ236),SUMPRODUCT(INDEX($FK$325:$ID$396,FL$169,1+SwaptionShift):INDEX($FK$325:$ID$396,FL$169,SwaptionMonthsToGo+SwaptionShift),INDEX($FK$245:$ID$316,$FJ236-FL$169,73-FL$169+SwaptionShift):INDEX($FK$245:$ID$316,$FJ236-FL$169,72-FL$169+SwaptionMonthsToGo+SwaptionShift))/SQRT(SUM(INDEX($FK391:$ID391,1+SwaptionShift):INDEX($FK391:$ID391,SwaptionMonthsToGo+SwaptionShift))*SUM(INDEX($FK$325:$ID$396,FL$169,1+SwaptionShift):INDEX($FK$325:$ID$396,FL$169,SwaptionMonthsToGo+SwaptionShift))))))</f>
        <v/>
      </c>
      <c r="FM236" s="150" t="str">
        <f aca="false">IF(OR(FM$169&lt;SwaptionFirstMonthPosition+1,$FJ236&lt;SwaptionFirstMonthPosition+1,FM$169&gt;SwaptionFirstMonthPosition+SwaptionNumOfMonths+1,$FJ236&gt;SwaptionFirstMonthPosition+SwaptionNumOfMonths+1),"",IF($FJ236=FM$169,1,IF($FJ236&lt;FM$169,INDEX($FK$170:$ID$241,FM$169,$FJ236),SUMPRODUCT(INDEX($FK$325:$ID$396,FM$169,1+SwaptionShift):INDEX($FK$325:$ID$396,FM$169,SwaptionMonthsToGo+SwaptionShift),INDEX($FK$245:$ID$316,$FJ236-FM$169,73-FM$169+SwaptionShift):INDEX($FK$245:$ID$316,$FJ236-FM$169,72-FM$169+SwaptionMonthsToGo+SwaptionShift))/SQRT(SUM(INDEX($FK391:$ID391,1+SwaptionShift):INDEX($FK391:$ID391,SwaptionMonthsToGo+SwaptionShift))*SUM(INDEX($FK$325:$ID$396,FM$169,1+SwaptionShift):INDEX($FK$325:$ID$396,FM$169,SwaptionMonthsToGo+SwaptionShift))))))</f>
        <v/>
      </c>
      <c r="FN236" s="150" t="str">
        <f aca="false">IF(OR(FN$169&lt;SwaptionFirstMonthPosition+1,$FJ236&lt;SwaptionFirstMonthPosition+1,FN$169&gt;SwaptionFirstMonthPosition+SwaptionNumOfMonths+1,$FJ236&gt;SwaptionFirstMonthPosition+SwaptionNumOfMonths+1),"",IF($FJ236=FN$169,1,IF($FJ236&lt;FN$169,INDEX($FK$170:$ID$241,FN$169,$FJ236),SUMPRODUCT(INDEX($FK$325:$ID$396,FN$169,1+SwaptionShift):INDEX($FK$325:$ID$396,FN$169,SwaptionMonthsToGo+SwaptionShift),INDEX($FK$245:$ID$316,$FJ236-FN$169,73-FN$169+SwaptionShift):INDEX($FK$245:$ID$316,$FJ236-FN$169,72-FN$169+SwaptionMonthsToGo+SwaptionShift))/SQRT(SUM(INDEX($FK391:$ID391,1+SwaptionShift):INDEX($FK391:$ID391,SwaptionMonthsToGo+SwaptionShift))*SUM(INDEX($FK$325:$ID$396,FN$169,1+SwaptionShift):INDEX($FK$325:$ID$396,FN$169,SwaptionMonthsToGo+SwaptionShift))))))</f>
        <v/>
      </c>
      <c r="FO236" s="150" t="str">
        <f aca="false">IF(OR(FO$169&lt;SwaptionFirstMonthPosition+1,$FJ236&lt;SwaptionFirstMonthPosition+1,FO$169&gt;SwaptionFirstMonthPosition+SwaptionNumOfMonths+1,$FJ236&gt;SwaptionFirstMonthPosition+SwaptionNumOfMonths+1),"",IF($FJ236=FO$169,1,IF($FJ236&lt;FO$169,INDEX($FK$170:$ID$241,FO$169,$FJ236),SUMPRODUCT(INDEX($FK$325:$ID$396,FO$169,1+SwaptionShift):INDEX($FK$325:$ID$396,FO$169,SwaptionMonthsToGo+SwaptionShift),INDEX($FK$245:$ID$316,$FJ236-FO$169,73-FO$169+SwaptionShift):INDEX($FK$245:$ID$316,$FJ236-FO$169,72-FO$169+SwaptionMonthsToGo+SwaptionShift))/SQRT(SUM(INDEX($FK391:$ID391,1+SwaptionShift):INDEX($FK391:$ID391,SwaptionMonthsToGo+SwaptionShift))*SUM(INDEX($FK$325:$ID$396,FO$169,1+SwaptionShift):INDEX($FK$325:$ID$396,FO$169,SwaptionMonthsToGo+SwaptionShift))))))</f>
        <v/>
      </c>
      <c r="FP236" s="150" t="str">
        <f aca="false">IF(OR(FP$169&lt;SwaptionFirstMonthPosition+1,$FJ236&lt;SwaptionFirstMonthPosition+1,FP$169&gt;SwaptionFirstMonthPosition+SwaptionNumOfMonths+1,$FJ236&gt;SwaptionFirstMonthPosition+SwaptionNumOfMonths+1),"",IF($FJ236=FP$169,1,IF($FJ236&lt;FP$169,INDEX($FK$170:$ID$241,FP$169,$FJ236),SUMPRODUCT(INDEX($FK$325:$ID$396,FP$169,1+SwaptionShift):INDEX($FK$325:$ID$396,FP$169,SwaptionMonthsToGo+SwaptionShift),INDEX($FK$245:$ID$316,$FJ236-FP$169,73-FP$169+SwaptionShift):INDEX($FK$245:$ID$316,$FJ236-FP$169,72-FP$169+SwaptionMonthsToGo+SwaptionShift))/SQRT(SUM(INDEX($FK391:$ID391,1+SwaptionShift):INDEX($FK391:$ID391,SwaptionMonthsToGo+SwaptionShift))*SUM(INDEX($FK$325:$ID$396,FP$169,1+SwaptionShift):INDEX($FK$325:$ID$396,FP$169,SwaptionMonthsToGo+SwaptionShift))))))</f>
        <v/>
      </c>
      <c r="FQ236" s="150" t="str">
        <f aca="false">IF(OR(FQ$169&lt;SwaptionFirstMonthPosition+1,$FJ236&lt;SwaptionFirstMonthPosition+1,FQ$169&gt;SwaptionFirstMonthPosition+SwaptionNumOfMonths+1,$FJ236&gt;SwaptionFirstMonthPosition+SwaptionNumOfMonths+1),"",IF($FJ236=FQ$169,1,IF($FJ236&lt;FQ$169,INDEX($FK$170:$ID$241,FQ$169,$FJ236),SUMPRODUCT(INDEX($FK$325:$ID$396,FQ$169,1+SwaptionShift):INDEX($FK$325:$ID$396,FQ$169,SwaptionMonthsToGo+SwaptionShift),INDEX($FK$245:$ID$316,$FJ236-FQ$169,73-FQ$169+SwaptionShift):INDEX($FK$245:$ID$316,$FJ236-FQ$169,72-FQ$169+SwaptionMonthsToGo+SwaptionShift))/SQRT(SUM(INDEX($FK391:$ID391,1+SwaptionShift):INDEX($FK391:$ID391,SwaptionMonthsToGo+SwaptionShift))*SUM(INDEX($FK$325:$ID$396,FQ$169,1+SwaptionShift):INDEX($FK$325:$ID$396,FQ$169,SwaptionMonthsToGo+SwaptionShift))))))</f>
        <v/>
      </c>
      <c r="FR236" s="150" t="str">
        <f aca="false">IF(OR(FR$169&lt;SwaptionFirstMonthPosition+1,$FJ236&lt;SwaptionFirstMonthPosition+1,FR$169&gt;SwaptionFirstMonthPosition+SwaptionNumOfMonths+1,$FJ236&gt;SwaptionFirstMonthPosition+SwaptionNumOfMonths+1),"",IF($FJ236=FR$169,1,IF($FJ236&lt;FR$169,INDEX($FK$170:$ID$241,FR$169,$FJ236),SUMPRODUCT(INDEX($FK$325:$ID$396,FR$169,1+SwaptionShift):INDEX($FK$325:$ID$396,FR$169,SwaptionMonthsToGo+SwaptionShift),INDEX($FK$245:$ID$316,$FJ236-FR$169,73-FR$169+SwaptionShift):INDEX($FK$245:$ID$316,$FJ236-FR$169,72-FR$169+SwaptionMonthsToGo+SwaptionShift))/SQRT(SUM(INDEX($FK391:$ID391,1+SwaptionShift):INDEX($FK391:$ID391,SwaptionMonthsToGo+SwaptionShift))*SUM(INDEX($FK$325:$ID$396,FR$169,1+SwaptionShift):INDEX($FK$325:$ID$396,FR$169,SwaptionMonthsToGo+SwaptionShift))))))</f>
        <v/>
      </c>
      <c r="FS236" s="150" t="str">
        <f aca="false">IF(OR(FS$169&lt;SwaptionFirstMonthPosition+1,$FJ236&lt;SwaptionFirstMonthPosition+1,FS$169&gt;SwaptionFirstMonthPosition+SwaptionNumOfMonths+1,$FJ236&gt;SwaptionFirstMonthPosition+SwaptionNumOfMonths+1),"",IF($FJ236=FS$169,1,IF($FJ236&lt;FS$169,INDEX($FK$170:$ID$241,FS$169,$FJ236),SUMPRODUCT(INDEX($FK$325:$ID$396,FS$169,1+SwaptionShift):INDEX($FK$325:$ID$396,FS$169,SwaptionMonthsToGo+SwaptionShift),INDEX($FK$245:$ID$316,$FJ236-FS$169,73-FS$169+SwaptionShift):INDEX($FK$245:$ID$316,$FJ236-FS$169,72-FS$169+SwaptionMonthsToGo+SwaptionShift))/SQRT(SUM(INDEX($FK391:$ID391,1+SwaptionShift):INDEX($FK391:$ID391,SwaptionMonthsToGo+SwaptionShift))*SUM(INDEX($FK$325:$ID$396,FS$169,1+SwaptionShift):INDEX($FK$325:$ID$396,FS$169,SwaptionMonthsToGo+SwaptionShift))))))</f>
        <v/>
      </c>
      <c r="FT236" s="150" t="str">
        <f aca="false">IF(OR(FT$169&lt;SwaptionFirstMonthPosition+1,$FJ236&lt;SwaptionFirstMonthPosition+1,FT$169&gt;SwaptionFirstMonthPosition+SwaptionNumOfMonths+1,$FJ236&gt;SwaptionFirstMonthPosition+SwaptionNumOfMonths+1),"",IF($FJ236=FT$169,1,IF($FJ236&lt;FT$169,INDEX($FK$170:$ID$241,FT$169,$FJ236),SUMPRODUCT(INDEX($FK$325:$ID$396,FT$169,1+SwaptionShift):INDEX($FK$325:$ID$396,FT$169,SwaptionMonthsToGo+SwaptionShift),INDEX($FK$245:$ID$316,$FJ236-FT$169,73-FT$169+SwaptionShift):INDEX($FK$245:$ID$316,$FJ236-FT$169,72-FT$169+SwaptionMonthsToGo+SwaptionShift))/SQRT(SUM(INDEX($FK391:$ID391,1+SwaptionShift):INDEX($FK391:$ID391,SwaptionMonthsToGo+SwaptionShift))*SUM(INDEX($FK$325:$ID$396,FT$169,1+SwaptionShift):INDEX($FK$325:$ID$396,FT$169,SwaptionMonthsToGo+SwaptionShift))))))</f>
        <v/>
      </c>
      <c r="FU236" s="150" t="str">
        <f aca="false">IF(OR(FU$169&lt;SwaptionFirstMonthPosition+1,$FJ236&lt;SwaptionFirstMonthPosition+1,FU$169&gt;SwaptionFirstMonthPosition+SwaptionNumOfMonths+1,$FJ236&gt;SwaptionFirstMonthPosition+SwaptionNumOfMonths+1),"",IF($FJ236=FU$169,1,IF($FJ236&lt;FU$169,INDEX($FK$170:$ID$241,FU$169,$FJ236),SUMPRODUCT(INDEX($FK$325:$ID$396,FU$169,1+SwaptionShift):INDEX($FK$325:$ID$396,FU$169,SwaptionMonthsToGo+SwaptionShift),INDEX($FK$245:$ID$316,$FJ236-FU$169,73-FU$169+SwaptionShift):INDEX($FK$245:$ID$316,$FJ236-FU$169,72-FU$169+SwaptionMonthsToGo+SwaptionShift))/SQRT(SUM(INDEX($FK391:$ID391,1+SwaptionShift):INDEX($FK391:$ID391,SwaptionMonthsToGo+SwaptionShift))*SUM(INDEX($FK$325:$ID$396,FU$169,1+SwaptionShift):INDEX($FK$325:$ID$396,FU$169,SwaptionMonthsToGo+SwaptionShift))))))</f>
        <v/>
      </c>
      <c r="FV236" s="150" t="str">
        <f aca="false">IF(OR(FV$169&lt;SwaptionFirstMonthPosition+1,$FJ236&lt;SwaptionFirstMonthPosition+1,FV$169&gt;SwaptionFirstMonthPosition+SwaptionNumOfMonths+1,$FJ236&gt;SwaptionFirstMonthPosition+SwaptionNumOfMonths+1),"",IF($FJ236=FV$169,1,IF($FJ236&lt;FV$169,INDEX($FK$170:$ID$241,FV$169,$FJ236),SUMPRODUCT(INDEX($FK$325:$ID$396,FV$169,1+SwaptionShift):INDEX($FK$325:$ID$396,FV$169,SwaptionMonthsToGo+SwaptionShift),INDEX($FK$245:$ID$316,$FJ236-FV$169,73-FV$169+SwaptionShift):INDEX($FK$245:$ID$316,$FJ236-FV$169,72-FV$169+SwaptionMonthsToGo+SwaptionShift))/SQRT(SUM(INDEX($FK391:$ID391,1+SwaptionShift):INDEX($FK391:$ID391,SwaptionMonthsToGo+SwaptionShift))*SUM(INDEX($FK$325:$ID$396,FV$169,1+SwaptionShift):INDEX($FK$325:$ID$396,FV$169,SwaptionMonthsToGo+SwaptionShift))))))</f>
        <v/>
      </c>
      <c r="FW236" s="150" t="str">
        <f aca="false">IF(OR(FW$169&lt;SwaptionFirstMonthPosition+1,$FJ236&lt;SwaptionFirstMonthPosition+1,FW$169&gt;SwaptionFirstMonthPosition+SwaptionNumOfMonths+1,$FJ236&gt;SwaptionFirstMonthPosition+SwaptionNumOfMonths+1),"",IF($FJ236=FW$169,1,IF($FJ236&lt;FW$169,INDEX($FK$170:$ID$241,FW$169,$FJ236),SUMPRODUCT(INDEX($FK$325:$ID$396,FW$169,1+SwaptionShift):INDEX($FK$325:$ID$396,FW$169,SwaptionMonthsToGo+SwaptionShift),INDEX($FK$245:$ID$316,$FJ236-FW$169,73-FW$169+SwaptionShift):INDEX($FK$245:$ID$316,$FJ236-FW$169,72-FW$169+SwaptionMonthsToGo+SwaptionShift))/SQRT(SUM(INDEX($FK391:$ID391,1+SwaptionShift):INDEX($FK391:$ID391,SwaptionMonthsToGo+SwaptionShift))*SUM(INDEX($FK$325:$ID$396,FW$169,1+SwaptionShift):INDEX($FK$325:$ID$396,FW$169,SwaptionMonthsToGo+SwaptionShift))))))</f>
        <v/>
      </c>
      <c r="FX236" s="150" t="str">
        <f aca="false">IF(OR(FX$169&lt;SwaptionFirstMonthPosition+1,$FJ236&lt;SwaptionFirstMonthPosition+1,FX$169&gt;SwaptionFirstMonthPosition+SwaptionNumOfMonths+1,$FJ236&gt;SwaptionFirstMonthPosition+SwaptionNumOfMonths+1),"",IF($FJ236=FX$169,1,IF($FJ236&lt;FX$169,INDEX($FK$170:$ID$241,FX$169,$FJ236),SUMPRODUCT(INDEX($FK$325:$ID$396,FX$169,1+SwaptionShift):INDEX($FK$325:$ID$396,FX$169,SwaptionMonthsToGo+SwaptionShift),INDEX($FK$245:$ID$316,$FJ236-FX$169,73-FX$169+SwaptionShift):INDEX($FK$245:$ID$316,$FJ236-FX$169,72-FX$169+SwaptionMonthsToGo+SwaptionShift))/SQRT(SUM(INDEX($FK391:$ID391,1+SwaptionShift):INDEX($FK391:$ID391,SwaptionMonthsToGo+SwaptionShift))*SUM(INDEX($FK$325:$ID$396,FX$169,1+SwaptionShift):INDEX($FK$325:$ID$396,FX$169,SwaptionMonthsToGo+SwaptionShift))))))</f>
        <v/>
      </c>
      <c r="FY236" s="150" t="str">
        <f aca="false">IF(OR(FY$169&lt;SwaptionFirstMonthPosition+1,$FJ236&lt;SwaptionFirstMonthPosition+1,FY$169&gt;SwaptionFirstMonthPosition+SwaptionNumOfMonths+1,$FJ236&gt;SwaptionFirstMonthPosition+SwaptionNumOfMonths+1),"",IF($FJ236=FY$169,1,IF($FJ236&lt;FY$169,INDEX($FK$170:$ID$241,FY$169,$FJ236),SUMPRODUCT(INDEX($FK$325:$ID$396,FY$169,1+SwaptionShift):INDEX($FK$325:$ID$396,FY$169,SwaptionMonthsToGo+SwaptionShift),INDEX($FK$245:$ID$316,$FJ236-FY$169,73-FY$169+SwaptionShift):INDEX($FK$245:$ID$316,$FJ236-FY$169,72-FY$169+SwaptionMonthsToGo+SwaptionShift))/SQRT(SUM(INDEX($FK391:$ID391,1+SwaptionShift):INDEX($FK391:$ID391,SwaptionMonthsToGo+SwaptionShift))*SUM(INDEX($FK$325:$ID$396,FY$169,1+SwaptionShift):INDEX($FK$325:$ID$396,FY$169,SwaptionMonthsToGo+SwaptionShift))))))</f>
        <v/>
      </c>
      <c r="FZ236" s="150" t="str">
        <f aca="false">IF(OR(FZ$169&lt;SwaptionFirstMonthPosition+1,$FJ236&lt;SwaptionFirstMonthPosition+1,FZ$169&gt;SwaptionFirstMonthPosition+SwaptionNumOfMonths+1,$FJ236&gt;SwaptionFirstMonthPosition+SwaptionNumOfMonths+1),"",IF($FJ236=FZ$169,1,IF($FJ236&lt;FZ$169,INDEX($FK$170:$ID$241,FZ$169,$FJ236),SUMPRODUCT(INDEX($FK$325:$ID$396,FZ$169,1+SwaptionShift):INDEX($FK$325:$ID$396,FZ$169,SwaptionMonthsToGo+SwaptionShift),INDEX($FK$245:$ID$316,$FJ236-FZ$169,73-FZ$169+SwaptionShift):INDEX($FK$245:$ID$316,$FJ236-FZ$169,72-FZ$169+SwaptionMonthsToGo+SwaptionShift))/SQRT(SUM(INDEX($FK391:$ID391,1+SwaptionShift):INDEX($FK391:$ID391,SwaptionMonthsToGo+SwaptionShift))*SUM(INDEX($FK$325:$ID$396,FZ$169,1+SwaptionShift):INDEX($FK$325:$ID$396,FZ$169,SwaptionMonthsToGo+SwaptionShift))))))</f>
        <v/>
      </c>
      <c r="GA236" s="150" t="str">
        <f aca="false">IF(OR(GA$169&lt;SwaptionFirstMonthPosition+1,$FJ236&lt;SwaptionFirstMonthPosition+1,GA$169&gt;SwaptionFirstMonthPosition+SwaptionNumOfMonths+1,$FJ236&gt;SwaptionFirstMonthPosition+SwaptionNumOfMonths+1),"",IF($FJ236=GA$169,1,IF($FJ236&lt;GA$169,INDEX($FK$170:$ID$241,GA$169,$FJ236),SUMPRODUCT(INDEX($FK$325:$ID$396,GA$169,1+SwaptionShift):INDEX($FK$325:$ID$396,GA$169,SwaptionMonthsToGo+SwaptionShift),INDEX($FK$245:$ID$316,$FJ236-GA$169,73-GA$169+SwaptionShift):INDEX($FK$245:$ID$316,$FJ236-GA$169,72-GA$169+SwaptionMonthsToGo+SwaptionShift))/SQRT(SUM(INDEX($FK391:$ID391,1+SwaptionShift):INDEX($FK391:$ID391,SwaptionMonthsToGo+SwaptionShift))*SUM(INDEX($FK$325:$ID$396,GA$169,1+SwaptionShift):INDEX($FK$325:$ID$396,GA$169,SwaptionMonthsToGo+SwaptionShift))))))</f>
        <v/>
      </c>
      <c r="GB236" s="150" t="str">
        <f aca="false">IF(OR(GB$169&lt;SwaptionFirstMonthPosition+1,$FJ236&lt;SwaptionFirstMonthPosition+1,GB$169&gt;SwaptionFirstMonthPosition+SwaptionNumOfMonths+1,$FJ236&gt;SwaptionFirstMonthPosition+SwaptionNumOfMonths+1),"",IF($FJ236=GB$169,1,IF($FJ236&lt;GB$169,INDEX($FK$170:$ID$241,GB$169,$FJ236),SUMPRODUCT(INDEX($FK$325:$ID$396,GB$169,1+SwaptionShift):INDEX($FK$325:$ID$396,GB$169,SwaptionMonthsToGo+SwaptionShift),INDEX($FK$245:$ID$316,$FJ236-GB$169,73-GB$169+SwaptionShift):INDEX($FK$245:$ID$316,$FJ236-GB$169,72-GB$169+SwaptionMonthsToGo+SwaptionShift))/SQRT(SUM(INDEX($FK391:$ID391,1+SwaptionShift):INDEX($FK391:$ID391,SwaptionMonthsToGo+SwaptionShift))*SUM(INDEX($FK$325:$ID$396,GB$169,1+SwaptionShift):INDEX($FK$325:$ID$396,GB$169,SwaptionMonthsToGo+SwaptionShift))))))</f>
        <v/>
      </c>
      <c r="GC236" s="150" t="str">
        <f aca="false">IF(OR(GC$169&lt;SwaptionFirstMonthPosition+1,$FJ236&lt;SwaptionFirstMonthPosition+1,GC$169&gt;SwaptionFirstMonthPosition+SwaptionNumOfMonths+1,$FJ236&gt;SwaptionFirstMonthPosition+SwaptionNumOfMonths+1),"",IF($FJ236=GC$169,1,IF($FJ236&lt;GC$169,INDEX($FK$170:$ID$241,GC$169,$FJ236),SUMPRODUCT(INDEX($FK$325:$ID$396,GC$169,1+SwaptionShift):INDEX($FK$325:$ID$396,GC$169,SwaptionMonthsToGo+SwaptionShift),INDEX($FK$245:$ID$316,$FJ236-GC$169,73-GC$169+SwaptionShift):INDEX($FK$245:$ID$316,$FJ236-GC$169,72-GC$169+SwaptionMonthsToGo+SwaptionShift))/SQRT(SUM(INDEX($FK391:$ID391,1+SwaptionShift):INDEX($FK391:$ID391,SwaptionMonthsToGo+SwaptionShift))*SUM(INDEX($FK$325:$ID$396,GC$169,1+SwaptionShift):INDEX($FK$325:$ID$396,GC$169,SwaptionMonthsToGo+SwaptionShift))))))</f>
        <v/>
      </c>
      <c r="GD236" s="150" t="str">
        <f aca="false">IF(OR(GD$169&lt;SwaptionFirstMonthPosition+1,$FJ236&lt;SwaptionFirstMonthPosition+1,GD$169&gt;SwaptionFirstMonthPosition+SwaptionNumOfMonths+1,$FJ236&gt;SwaptionFirstMonthPosition+SwaptionNumOfMonths+1),"",IF($FJ236=GD$169,1,IF($FJ236&lt;GD$169,INDEX($FK$170:$ID$241,GD$169,$FJ236),SUMPRODUCT(INDEX($FK$325:$ID$396,GD$169,1+SwaptionShift):INDEX($FK$325:$ID$396,GD$169,SwaptionMonthsToGo+SwaptionShift),INDEX($FK$245:$ID$316,$FJ236-GD$169,73-GD$169+SwaptionShift):INDEX($FK$245:$ID$316,$FJ236-GD$169,72-GD$169+SwaptionMonthsToGo+SwaptionShift))/SQRT(SUM(INDEX($FK391:$ID391,1+SwaptionShift):INDEX($FK391:$ID391,SwaptionMonthsToGo+SwaptionShift))*SUM(INDEX($FK$325:$ID$396,GD$169,1+SwaptionShift):INDEX($FK$325:$ID$396,GD$169,SwaptionMonthsToGo+SwaptionShift))))))</f>
        <v/>
      </c>
      <c r="GE236" s="150" t="str">
        <f aca="false">IF(OR(GE$169&lt;SwaptionFirstMonthPosition+1,$FJ236&lt;SwaptionFirstMonthPosition+1,GE$169&gt;SwaptionFirstMonthPosition+SwaptionNumOfMonths+1,$FJ236&gt;SwaptionFirstMonthPosition+SwaptionNumOfMonths+1),"",IF($FJ236=GE$169,1,IF($FJ236&lt;GE$169,INDEX($FK$170:$ID$241,GE$169,$FJ236),SUMPRODUCT(INDEX($FK$325:$ID$396,GE$169,1+SwaptionShift):INDEX($FK$325:$ID$396,GE$169,SwaptionMonthsToGo+SwaptionShift),INDEX($FK$245:$ID$316,$FJ236-GE$169,73-GE$169+SwaptionShift):INDEX($FK$245:$ID$316,$FJ236-GE$169,72-GE$169+SwaptionMonthsToGo+SwaptionShift))/SQRT(SUM(INDEX($FK391:$ID391,1+SwaptionShift):INDEX($FK391:$ID391,SwaptionMonthsToGo+SwaptionShift))*SUM(INDEX($FK$325:$ID$396,GE$169,1+SwaptionShift):INDEX($FK$325:$ID$396,GE$169,SwaptionMonthsToGo+SwaptionShift))))))</f>
        <v/>
      </c>
      <c r="GF236" s="150" t="str">
        <f aca="false">IF(OR(GF$169&lt;SwaptionFirstMonthPosition+1,$FJ236&lt;SwaptionFirstMonthPosition+1,GF$169&gt;SwaptionFirstMonthPosition+SwaptionNumOfMonths+1,$FJ236&gt;SwaptionFirstMonthPosition+SwaptionNumOfMonths+1),"",IF($FJ236=GF$169,1,IF($FJ236&lt;GF$169,INDEX($FK$170:$ID$241,GF$169,$FJ236),SUMPRODUCT(INDEX($FK$325:$ID$396,GF$169,1+SwaptionShift):INDEX($FK$325:$ID$396,GF$169,SwaptionMonthsToGo+SwaptionShift),INDEX($FK$245:$ID$316,$FJ236-GF$169,73-GF$169+SwaptionShift):INDEX($FK$245:$ID$316,$FJ236-GF$169,72-GF$169+SwaptionMonthsToGo+SwaptionShift))/SQRT(SUM(INDEX($FK391:$ID391,1+SwaptionShift):INDEX($FK391:$ID391,SwaptionMonthsToGo+SwaptionShift))*SUM(INDEX($FK$325:$ID$396,GF$169,1+SwaptionShift):INDEX($FK$325:$ID$396,GF$169,SwaptionMonthsToGo+SwaptionShift))))))</f>
        <v/>
      </c>
      <c r="GG236" s="150" t="str">
        <f aca="false">IF(OR(GG$169&lt;SwaptionFirstMonthPosition+1,$FJ236&lt;SwaptionFirstMonthPosition+1,GG$169&gt;SwaptionFirstMonthPosition+SwaptionNumOfMonths+1,$FJ236&gt;SwaptionFirstMonthPosition+SwaptionNumOfMonths+1),"",IF($FJ236=GG$169,1,IF($FJ236&lt;GG$169,INDEX($FK$170:$ID$241,GG$169,$FJ236),SUMPRODUCT(INDEX($FK$325:$ID$396,GG$169,1+SwaptionShift):INDEX($FK$325:$ID$396,GG$169,SwaptionMonthsToGo+SwaptionShift),INDEX($FK$245:$ID$316,$FJ236-GG$169,73-GG$169+SwaptionShift):INDEX($FK$245:$ID$316,$FJ236-GG$169,72-GG$169+SwaptionMonthsToGo+SwaptionShift))/SQRT(SUM(INDEX($FK391:$ID391,1+SwaptionShift):INDEX($FK391:$ID391,SwaptionMonthsToGo+SwaptionShift))*SUM(INDEX($FK$325:$ID$396,GG$169,1+SwaptionShift):INDEX($FK$325:$ID$396,GG$169,SwaptionMonthsToGo+SwaptionShift))))))</f>
        <v/>
      </c>
      <c r="GH236" s="150" t="str">
        <f aca="false">IF(OR(GH$169&lt;SwaptionFirstMonthPosition+1,$FJ236&lt;SwaptionFirstMonthPosition+1,GH$169&gt;SwaptionFirstMonthPosition+SwaptionNumOfMonths+1,$FJ236&gt;SwaptionFirstMonthPosition+SwaptionNumOfMonths+1),"",IF($FJ236=GH$169,1,IF($FJ236&lt;GH$169,INDEX($FK$170:$ID$241,GH$169,$FJ236),SUMPRODUCT(INDEX($FK$325:$ID$396,GH$169,1+SwaptionShift):INDEX($FK$325:$ID$396,GH$169,SwaptionMonthsToGo+SwaptionShift),INDEX($FK$245:$ID$316,$FJ236-GH$169,73-GH$169+SwaptionShift):INDEX($FK$245:$ID$316,$FJ236-GH$169,72-GH$169+SwaptionMonthsToGo+SwaptionShift))/SQRT(SUM(INDEX($FK391:$ID391,1+SwaptionShift):INDEX($FK391:$ID391,SwaptionMonthsToGo+SwaptionShift))*SUM(INDEX($FK$325:$ID$396,GH$169,1+SwaptionShift):INDEX($FK$325:$ID$396,GH$169,SwaptionMonthsToGo+SwaptionShift))))))</f>
        <v/>
      </c>
      <c r="GI236" s="150" t="str">
        <f aca="false">IF(OR(GI$169&lt;SwaptionFirstMonthPosition+1,$FJ236&lt;SwaptionFirstMonthPosition+1,GI$169&gt;SwaptionFirstMonthPosition+SwaptionNumOfMonths+1,$FJ236&gt;SwaptionFirstMonthPosition+SwaptionNumOfMonths+1),"",IF($FJ236=GI$169,1,IF($FJ236&lt;GI$169,INDEX($FK$170:$ID$241,GI$169,$FJ236),SUMPRODUCT(INDEX($FK$325:$ID$396,GI$169,1+SwaptionShift):INDEX($FK$325:$ID$396,GI$169,SwaptionMonthsToGo+SwaptionShift),INDEX($FK$245:$ID$316,$FJ236-GI$169,73-GI$169+SwaptionShift):INDEX($FK$245:$ID$316,$FJ236-GI$169,72-GI$169+SwaptionMonthsToGo+SwaptionShift))/SQRT(SUM(INDEX($FK391:$ID391,1+SwaptionShift):INDEX($FK391:$ID391,SwaptionMonthsToGo+SwaptionShift))*SUM(INDEX($FK$325:$ID$396,GI$169,1+SwaptionShift):INDEX($FK$325:$ID$396,GI$169,SwaptionMonthsToGo+SwaptionShift))))))</f>
        <v/>
      </c>
      <c r="GJ236" s="150" t="str">
        <f aca="false">IF(OR(GJ$169&lt;SwaptionFirstMonthPosition+1,$FJ236&lt;SwaptionFirstMonthPosition+1,GJ$169&gt;SwaptionFirstMonthPosition+SwaptionNumOfMonths+1,$FJ236&gt;SwaptionFirstMonthPosition+SwaptionNumOfMonths+1),"",IF($FJ236=GJ$169,1,IF($FJ236&lt;GJ$169,INDEX($FK$170:$ID$241,GJ$169,$FJ236),SUMPRODUCT(INDEX($FK$325:$ID$396,GJ$169,1+SwaptionShift):INDEX($FK$325:$ID$396,GJ$169,SwaptionMonthsToGo+SwaptionShift),INDEX($FK$245:$ID$316,$FJ236-GJ$169,73-GJ$169+SwaptionShift):INDEX($FK$245:$ID$316,$FJ236-GJ$169,72-GJ$169+SwaptionMonthsToGo+SwaptionShift))/SQRT(SUM(INDEX($FK391:$ID391,1+SwaptionShift):INDEX($FK391:$ID391,SwaptionMonthsToGo+SwaptionShift))*SUM(INDEX($FK$325:$ID$396,GJ$169,1+SwaptionShift):INDEX($FK$325:$ID$396,GJ$169,SwaptionMonthsToGo+SwaptionShift))))))</f>
        <v/>
      </c>
      <c r="GK236" s="150" t="str">
        <f aca="false">IF(OR(GK$169&lt;SwaptionFirstMonthPosition+1,$FJ236&lt;SwaptionFirstMonthPosition+1,GK$169&gt;SwaptionFirstMonthPosition+SwaptionNumOfMonths+1,$FJ236&gt;SwaptionFirstMonthPosition+SwaptionNumOfMonths+1),"",IF($FJ236=GK$169,1,IF($FJ236&lt;GK$169,INDEX($FK$170:$ID$241,GK$169,$FJ236),SUMPRODUCT(INDEX($FK$325:$ID$396,GK$169,1+SwaptionShift):INDEX($FK$325:$ID$396,GK$169,SwaptionMonthsToGo+SwaptionShift),INDEX($FK$245:$ID$316,$FJ236-GK$169,73-GK$169+SwaptionShift):INDEX($FK$245:$ID$316,$FJ236-GK$169,72-GK$169+SwaptionMonthsToGo+SwaptionShift))/SQRT(SUM(INDEX($FK391:$ID391,1+SwaptionShift):INDEX($FK391:$ID391,SwaptionMonthsToGo+SwaptionShift))*SUM(INDEX($FK$325:$ID$396,GK$169,1+SwaptionShift):INDEX($FK$325:$ID$396,GK$169,SwaptionMonthsToGo+SwaptionShift))))))</f>
        <v/>
      </c>
      <c r="GL236" s="150" t="str">
        <f aca="false">IF(OR(GL$169&lt;SwaptionFirstMonthPosition+1,$FJ236&lt;SwaptionFirstMonthPosition+1,GL$169&gt;SwaptionFirstMonthPosition+SwaptionNumOfMonths+1,$FJ236&gt;SwaptionFirstMonthPosition+SwaptionNumOfMonths+1),"",IF($FJ236=GL$169,1,IF($FJ236&lt;GL$169,INDEX($FK$170:$ID$241,GL$169,$FJ236),SUMPRODUCT(INDEX($FK$325:$ID$396,GL$169,1+SwaptionShift):INDEX($FK$325:$ID$396,GL$169,SwaptionMonthsToGo+SwaptionShift),INDEX($FK$245:$ID$316,$FJ236-GL$169,73-GL$169+SwaptionShift):INDEX($FK$245:$ID$316,$FJ236-GL$169,72-GL$169+SwaptionMonthsToGo+SwaptionShift))/SQRT(SUM(INDEX($FK391:$ID391,1+SwaptionShift):INDEX($FK391:$ID391,SwaptionMonthsToGo+SwaptionShift))*SUM(INDEX($FK$325:$ID$396,GL$169,1+SwaptionShift):INDEX($FK$325:$ID$396,GL$169,SwaptionMonthsToGo+SwaptionShift))))))</f>
        <v/>
      </c>
      <c r="GM236" s="150" t="str">
        <f aca="false">IF(OR(GM$169&lt;SwaptionFirstMonthPosition+1,$FJ236&lt;SwaptionFirstMonthPosition+1,GM$169&gt;SwaptionFirstMonthPosition+SwaptionNumOfMonths+1,$FJ236&gt;SwaptionFirstMonthPosition+SwaptionNumOfMonths+1),"",IF($FJ236=GM$169,1,IF($FJ236&lt;GM$169,INDEX($FK$170:$ID$241,GM$169,$FJ236),SUMPRODUCT(INDEX($FK$325:$ID$396,GM$169,1+SwaptionShift):INDEX($FK$325:$ID$396,GM$169,SwaptionMonthsToGo+SwaptionShift),INDEX($FK$245:$ID$316,$FJ236-GM$169,73-GM$169+SwaptionShift):INDEX($FK$245:$ID$316,$FJ236-GM$169,72-GM$169+SwaptionMonthsToGo+SwaptionShift))/SQRT(SUM(INDEX($FK391:$ID391,1+SwaptionShift):INDEX($FK391:$ID391,SwaptionMonthsToGo+SwaptionShift))*SUM(INDEX($FK$325:$ID$396,GM$169,1+SwaptionShift):INDEX($FK$325:$ID$396,GM$169,SwaptionMonthsToGo+SwaptionShift))))))</f>
        <v/>
      </c>
      <c r="GN236" s="150" t="str">
        <f aca="false">IF(OR(GN$169&lt;SwaptionFirstMonthPosition+1,$FJ236&lt;SwaptionFirstMonthPosition+1,GN$169&gt;SwaptionFirstMonthPosition+SwaptionNumOfMonths+1,$FJ236&gt;SwaptionFirstMonthPosition+SwaptionNumOfMonths+1),"",IF($FJ236=GN$169,1,IF($FJ236&lt;GN$169,INDEX($FK$170:$ID$241,GN$169,$FJ236),SUMPRODUCT(INDEX($FK$325:$ID$396,GN$169,1+SwaptionShift):INDEX($FK$325:$ID$396,GN$169,SwaptionMonthsToGo+SwaptionShift),INDEX($FK$245:$ID$316,$FJ236-GN$169,73-GN$169+SwaptionShift):INDEX($FK$245:$ID$316,$FJ236-GN$169,72-GN$169+SwaptionMonthsToGo+SwaptionShift))/SQRT(SUM(INDEX($FK391:$ID391,1+SwaptionShift):INDEX($FK391:$ID391,SwaptionMonthsToGo+SwaptionShift))*SUM(INDEX($FK$325:$ID$396,GN$169,1+SwaptionShift):INDEX($FK$325:$ID$396,GN$169,SwaptionMonthsToGo+SwaptionShift))))))</f>
        <v/>
      </c>
      <c r="GO236" s="150" t="str">
        <f aca="false">IF(OR(GO$169&lt;SwaptionFirstMonthPosition+1,$FJ236&lt;SwaptionFirstMonthPosition+1,GO$169&gt;SwaptionFirstMonthPosition+SwaptionNumOfMonths+1,$FJ236&gt;SwaptionFirstMonthPosition+SwaptionNumOfMonths+1),"",IF($FJ236=GO$169,1,IF($FJ236&lt;GO$169,INDEX($FK$170:$ID$241,GO$169,$FJ236),SUMPRODUCT(INDEX($FK$325:$ID$396,GO$169,1+SwaptionShift):INDEX($FK$325:$ID$396,GO$169,SwaptionMonthsToGo+SwaptionShift),INDEX($FK$245:$ID$316,$FJ236-GO$169,73-GO$169+SwaptionShift):INDEX($FK$245:$ID$316,$FJ236-GO$169,72-GO$169+SwaptionMonthsToGo+SwaptionShift))/SQRT(SUM(INDEX($FK391:$ID391,1+SwaptionShift):INDEX($FK391:$ID391,SwaptionMonthsToGo+SwaptionShift))*SUM(INDEX($FK$325:$ID$396,GO$169,1+SwaptionShift):INDEX($FK$325:$ID$396,GO$169,SwaptionMonthsToGo+SwaptionShift))))))</f>
        <v/>
      </c>
      <c r="GP236" s="150" t="str">
        <f aca="false">IF(OR(GP$169&lt;SwaptionFirstMonthPosition+1,$FJ236&lt;SwaptionFirstMonthPosition+1,GP$169&gt;SwaptionFirstMonthPosition+SwaptionNumOfMonths+1,$FJ236&gt;SwaptionFirstMonthPosition+SwaptionNumOfMonths+1),"",IF($FJ236=GP$169,1,IF($FJ236&lt;GP$169,INDEX($FK$170:$ID$241,GP$169,$FJ236),SUMPRODUCT(INDEX($FK$325:$ID$396,GP$169,1+SwaptionShift):INDEX($FK$325:$ID$396,GP$169,SwaptionMonthsToGo+SwaptionShift),INDEX($FK$245:$ID$316,$FJ236-GP$169,73-GP$169+SwaptionShift):INDEX($FK$245:$ID$316,$FJ236-GP$169,72-GP$169+SwaptionMonthsToGo+SwaptionShift))/SQRT(SUM(INDEX($FK391:$ID391,1+SwaptionShift):INDEX($FK391:$ID391,SwaptionMonthsToGo+SwaptionShift))*SUM(INDEX($FK$325:$ID$396,GP$169,1+SwaptionShift):INDEX($FK$325:$ID$396,GP$169,SwaptionMonthsToGo+SwaptionShift))))))</f>
        <v/>
      </c>
      <c r="GQ236" s="150" t="str">
        <f aca="false">IF(OR(GQ$169&lt;SwaptionFirstMonthPosition+1,$FJ236&lt;SwaptionFirstMonthPosition+1,GQ$169&gt;SwaptionFirstMonthPosition+SwaptionNumOfMonths+1,$FJ236&gt;SwaptionFirstMonthPosition+SwaptionNumOfMonths+1),"",IF($FJ236=GQ$169,1,IF($FJ236&lt;GQ$169,INDEX($FK$170:$ID$241,GQ$169,$FJ236),SUMPRODUCT(INDEX($FK$325:$ID$396,GQ$169,1+SwaptionShift):INDEX($FK$325:$ID$396,GQ$169,SwaptionMonthsToGo+SwaptionShift),INDEX($FK$245:$ID$316,$FJ236-GQ$169,73-GQ$169+SwaptionShift):INDEX($FK$245:$ID$316,$FJ236-GQ$169,72-GQ$169+SwaptionMonthsToGo+SwaptionShift))/SQRT(SUM(INDEX($FK391:$ID391,1+SwaptionShift):INDEX($FK391:$ID391,SwaptionMonthsToGo+SwaptionShift))*SUM(INDEX($FK$325:$ID$396,GQ$169,1+SwaptionShift):INDEX($FK$325:$ID$396,GQ$169,SwaptionMonthsToGo+SwaptionShift))))))</f>
        <v/>
      </c>
      <c r="GR236" s="150" t="str">
        <f aca="false">IF(OR(GR$169&lt;SwaptionFirstMonthPosition+1,$FJ236&lt;SwaptionFirstMonthPosition+1,GR$169&gt;SwaptionFirstMonthPosition+SwaptionNumOfMonths+1,$FJ236&gt;SwaptionFirstMonthPosition+SwaptionNumOfMonths+1),"",IF($FJ236=GR$169,1,IF($FJ236&lt;GR$169,INDEX($FK$170:$ID$241,GR$169,$FJ236),SUMPRODUCT(INDEX($FK$325:$ID$396,GR$169,1+SwaptionShift):INDEX($FK$325:$ID$396,GR$169,SwaptionMonthsToGo+SwaptionShift),INDEX($FK$245:$ID$316,$FJ236-GR$169,73-GR$169+SwaptionShift):INDEX($FK$245:$ID$316,$FJ236-GR$169,72-GR$169+SwaptionMonthsToGo+SwaptionShift))/SQRT(SUM(INDEX($FK391:$ID391,1+SwaptionShift):INDEX($FK391:$ID391,SwaptionMonthsToGo+SwaptionShift))*SUM(INDEX($FK$325:$ID$396,GR$169,1+SwaptionShift):INDEX($FK$325:$ID$396,GR$169,SwaptionMonthsToGo+SwaptionShift))))))</f>
        <v/>
      </c>
      <c r="GS236" s="150" t="str">
        <f aca="false">IF(OR(GS$169&lt;SwaptionFirstMonthPosition+1,$FJ236&lt;SwaptionFirstMonthPosition+1,GS$169&gt;SwaptionFirstMonthPosition+SwaptionNumOfMonths+1,$FJ236&gt;SwaptionFirstMonthPosition+SwaptionNumOfMonths+1),"",IF($FJ236=GS$169,1,IF($FJ236&lt;GS$169,INDEX($FK$170:$ID$241,GS$169,$FJ236),SUMPRODUCT(INDEX($FK$325:$ID$396,GS$169,1+SwaptionShift):INDEX($FK$325:$ID$396,GS$169,SwaptionMonthsToGo+SwaptionShift),INDEX($FK$245:$ID$316,$FJ236-GS$169,73-GS$169+SwaptionShift):INDEX($FK$245:$ID$316,$FJ236-GS$169,72-GS$169+SwaptionMonthsToGo+SwaptionShift))/SQRT(SUM(INDEX($FK391:$ID391,1+SwaptionShift):INDEX($FK391:$ID391,SwaptionMonthsToGo+SwaptionShift))*SUM(INDEX($FK$325:$ID$396,GS$169,1+SwaptionShift):INDEX($FK$325:$ID$396,GS$169,SwaptionMonthsToGo+SwaptionShift))))))</f>
        <v/>
      </c>
      <c r="GT236" s="150" t="str">
        <f aca="false">IF(OR(GT$169&lt;SwaptionFirstMonthPosition+1,$FJ236&lt;SwaptionFirstMonthPosition+1,GT$169&gt;SwaptionFirstMonthPosition+SwaptionNumOfMonths+1,$FJ236&gt;SwaptionFirstMonthPosition+SwaptionNumOfMonths+1),"",IF($FJ236=GT$169,1,IF($FJ236&lt;GT$169,INDEX($FK$170:$ID$241,GT$169,$FJ236),SUMPRODUCT(INDEX($FK$325:$ID$396,GT$169,1+SwaptionShift):INDEX($FK$325:$ID$396,GT$169,SwaptionMonthsToGo+SwaptionShift),INDEX($FK$245:$ID$316,$FJ236-GT$169,73-GT$169+SwaptionShift):INDEX($FK$245:$ID$316,$FJ236-GT$169,72-GT$169+SwaptionMonthsToGo+SwaptionShift))/SQRT(SUM(INDEX($FK391:$ID391,1+SwaptionShift):INDEX($FK391:$ID391,SwaptionMonthsToGo+SwaptionShift))*SUM(INDEX($FK$325:$ID$396,GT$169,1+SwaptionShift):INDEX($FK$325:$ID$396,GT$169,SwaptionMonthsToGo+SwaptionShift))))))</f>
        <v/>
      </c>
      <c r="GU236" s="150" t="str">
        <f aca="false">IF(OR(GU$169&lt;SwaptionFirstMonthPosition+1,$FJ236&lt;SwaptionFirstMonthPosition+1,GU$169&gt;SwaptionFirstMonthPosition+SwaptionNumOfMonths+1,$FJ236&gt;SwaptionFirstMonthPosition+SwaptionNumOfMonths+1),"",IF($FJ236=GU$169,1,IF($FJ236&lt;GU$169,INDEX($FK$170:$ID$241,GU$169,$FJ236),SUMPRODUCT(INDEX($FK$325:$ID$396,GU$169,1+SwaptionShift):INDEX($FK$325:$ID$396,GU$169,SwaptionMonthsToGo+SwaptionShift),INDEX($FK$245:$ID$316,$FJ236-GU$169,73-GU$169+SwaptionShift):INDEX($FK$245:$ID$316,$FJ236-GU$169,72-GU$169+SwaptionMonthsToGo+SwaptionShift))/SQRT(SUM(INDEX($FK391:$ID391,1+SwaptionShift):INDEX($FK391:$ID391,SwaptionMonthsToGo+SwaptionShift))*SUM(INDEX($FK$325:$ID$396,GU$169,1+SwaptionShift):INDEX($FK$325:$ID$396,GU$169,SwaptionMonthsToGo+SwaptionShift))))))</f>
        <v/>
      </c>
      <c r="GV236" s="150" t="str">
        <f aca="false">IF(OR(GV$169&lt;SwaptionFirstMonthPosition+1,$FJ236&lt;SwaptionFirstMonthPosition+1,GV$169&gt;SwaptionFirstMonthPosition+SwaptionNumOfMonths+1,$FJ236&gt;SwaptionFirstMonthPosition+SwaptionNumOfMonths+1),"",IF($FJ236=GV$169,1,IF($FJ236&lt;GV$169,INDEX($FK$170:$ID$241,GV$169,$FJ236),SUMPRODUCT(INDEX($FK$325:$ID$396,GV$169,1+SwaptionShift):INDEX($FK$325:$ID$396,GV$169,SwaptionMonthsToGo+SwaptionShift),INDEX($FK$245:$ID$316,$FJ236-GV$169,73-GV$169+SwaptionShift):INDEX($FK$245:$ID$316,$FJ236-GV$169,72-GV$169+SwaptionMonthsToGo+SwaptionShift))/SQRT(SUM(INDEX($FK391:$ID391,1+SwaptionShift):INDEX($FK391:$ID391,SwaptionMonthsToGo+SwaptionShift))*SUM(INDEX($FK$325:$ID$396,GV$169,1+SwaptionShift):INDEX($FK$325:$ID$396,GV$169,SwaptionMonthsToGo+SwaptionShift))))))</f>
        <v/>
      </c>
      <c r="GW236" s="150" t="str">
        <f aca="false">IF(OR(GW$169&lt;SwaptionFirstMonthPosition+1,$FJ236&lt;SwaptionFirstMonthPosition+1,GW$169&gt;SwaptionFirstMonthPosition+SwaptionNumOfMonths+1,$FJ236&gt;SwaptionFirstMonthPosition+SwaptionNumOfMonths+1),"",IF($FJ236=GW$169,1,IF($FJ236&lt;GW$169,INDEX($FK$170:$ID$241,GW$169,$FJ236),SUMPRODUCT(INDEX($FK$325:$ID$396,GW$169,1+SwaptionShift):INDEX($FK$325:$ID$396,GW$169,SwaptionMonthsToGo+SwaptionShift),INDEX($FK$245:$ID$316,$FJ236-GW$169,73-GW$169+SwaptionShift):INDEX($FK$245:$ID$316,$FJ236-GW$169,72-GW$169+SwaptionMonthsToGo+SwaptionShift))/SQRT(SUM(INDEX($FK391:$ID391,1+SwaptionShift):INDEX($FK391:$ID391,SwaptionMonthsToGo+SwaptionShift))*SUM(INDEX($FK$325:$ID$396,GW$169,1+SwaptionShift):INDEX($FK$325:$ID$396,GW$169,SwaptionMonthsToGo+SwaptionShift))))))</f>
        <v/>
      </c>
      <c r="GX236" s="150" t="str">
        <f aca="false">IF(OR(GX$169&lt;SwaptionFirstMonthPosition+1,$FJ236&lt;SwaptionFirstMonthPosition+1,GX$169&gt;SwaptionFirstMonthPosition+SwaptionNumOfMonths+1,$FJ236&gt;SwaptionFirstMonthPosition+SwaptionNumOfMonths+1),"",IF($FJ236=GX$169,1,IF($FJ236&lt;GX$169,INDEX($FK$170:$ID$241,GX$169,$FJ236),SUMPRODUCT(INDEX($FK$325:$ID$396,GX$169,1+SwaptionShift):INDEX($FK$325:$ID$396,GX$169,SwaptionMonthsToGo+SwaptionShift),INDEX($FK$245:$ID$316,$FJ236-GX$169,73-GX$169+SwaptionShift):INDEX($FK$245:$ID$316,$FJ236-GX$169,72-GX$169+SwaptionMonthsToGo+SwaptionShift))/SQRT(SUM(INDEX($FK391:$ID391,1+SwaptionShift):INDEX($FK391:$ID391,SwaptionMonthsToGo+SwaptionShift))*SUM(INDEX($FK$325:$ID$396,GX$169,1+SwaptionShift):INDEX($FK$325:$ID$396,GX$169,SwaptionMonthsToGo+SwaptionShift))))))</f>
        <v/>
      </c>
      <c r="GY236" s="150" t="str">
        <f aca="false">IF(OR(GY$169&lt;SwaptionFirstMonthPosition+1,$FJ236&lt;SwaptionFirstMonthPosition+1,GY$169&gt;SwaptionFirstMonthPosition+SwaptionNumOfMonths+1,$FJ236&gt;SwaptionFirstMonthPosition+SwaptionNumOfMonths+1),"",IF($FJ236=GY$169,1,IF($FJ236&lt;GY$169,INDEX($FK$170:$ID$241,GY$169,$FJ236),SUMPRODUCT(INDEX($FK$325:$ID$396,GY$169,1+SwaptionShift):INDEX($FK$325:$ID$396,GY$169,SwaptionMonthsToGo+SwaptionShift),INDEX($FK$245:$ID$316,$FJ236-GY$169,73-GY$169+SwaptionShift):INDEX($FK$245:$ID$316,$FJ236-GY$169,72-GY$169+SwaptionMonthsToGo+SwaptionShift))/SQRT(SUM(INDEX($FK391:$ID391,1+SwaptionShift):INDEX($FK391:$ID391,SwaptionMonthsToGo+SwaptionShift))*SUM(INDEX($FK$325:$ID$396,GY$169,1+SwaptionShift):INDEX($FK$325:$ID$396,GY$169,SwaptionMonthsToGo+SwaptionShift))))))</f>
        <v/>
      </c>
      <c r="GZ236" s="150" t="str">
        <f aca="false">IF(OR(GZ$169&lt;SwaptionFirstMonthPosition+1,$FJ236&lt;SwaptionFirstMonthPosition+1,GZ$169&gt;SwaptionFirstMonthPosition+SwaptionNumOfMonths+1,$FJ236&gt;SwaptionFirstMonthPosition+SwaptionNumOfMonths+1),"",IF($FJ236=GZ$169,1,IF($FJ236&lt;GZ$169,INDEX($FK$170:$ID$241,GZ$169,$FJ236),SUMPRODUCT(INDEX($FK$325:$ID$396,GZ$169,1+SwaptionShift):INDEX($FK$325:$ID$396,GZ$169,SwaptionMonthsToGo+SwaptionShift),INDEX($FK$245:$ID$316,$FJ236-GZ$169,73-GZ$169+SwaptionShift):INDEX($FK$245:$ID$316,$FJ236-GZ$169,72-GZ$169+SwaptionMonthsToGo+SwaptionShift))/SQRT(SUM(INDEX($FK391:$ID391,1+SwaptionShift):INDEX($FK391:$ID391,SwaptionMonthsToGo+SwaptionShift))*SUM(INDEX($FK$325:$ID$396,GZ$169,1+SwaptionShift):INDEX($FK$325:$ID$396,GZ$169,SwaptionMonthsToGo+SwaptionShift))))))</f>
        <v/>
      </c>
      <c r="HA236" s="150" t="str">
        <f aca="false">IF(OR(HA$169&lt;SwaptionFirstMonthPosition+1,$FJ236&lt;SwaptionFirstMonthPosition+1,HA$169&gt;SwaptionFirstMonthPosition+SwaptionNumOfMonths+1,$FJ236&gt;SwaptionFirstMonthPosition+SwaptionNumOfMonths+1),"",IF($FJ236=HA$169,1,IF($FJ236&lt;HA$169,INDEX($FK$170:$ID$241,HA$169,$FJ236),SUMPRODUCT(INDEX($FK$325:$ID$396,HA$169,1+SwaptionShift):INDEX($FK$325:$ID$396,HA$169,SwaptionMonthsToGo+SwaptionShift),INDEX($FK$245:$ID$316,$FJ236-HA$169,73-HA$169+SwaptionShift):INDEX($FK$245:$ID$316,$FJ236-HA$169,72-HA$169+SwaptionMonthsToGo+SwaptionShift))/SQRT(SUM(INDEX($FK391:$ID391,1+SwaptionShift):INDEX($FK391:$ID391,SwaptionMonthsToGo+SwaptionShift))*SUM(INDEX($FK$325:$ID$396,HA$169,1+SwaptionShift):INDEX($FK$325:$ID$396,HA$169,SwaptionMonthsToGo+SwaptionShift))))))</f>
        <v/>
      </c>
      <c r="HB236" s="150" t="str">
        <f aca="false">IF(OR(HB$169&lt;SwaptionFirstMonthPosition+1,$FJ236&lt;SwaptionFirstMonthPosition+1,HB$169&gt;SwaptionFirstMonthPosition+SwaptionNumOfMonths+1,$FJ236&gt;SwaptionFirstMonthPosition+SwaptionNumOfMonths+1),"",IF($FJ236=HB$169,1,IF($FJ236&lt;HB$169,INDEX($FK$170:$ID$241,HB$169,$FJ236),SUMPRODUCT(INDEX($FK$325:$ID$396,HB$169,1+SwaptionShift):INDEX($FK$325:$ID$396,HB$169,SwaptionMonthsToGo+SwaptionShift),INDEX($FK$245:$ID$316,$FJ236-HB$169,73-HB$169+SwaptionShift):INDEX($FK$245:$ID$316,$FJ236-HB$169,72-HB$169+SwaptionMonthsToGo+SwaptionShift))/SQRT(SUM(INDEX($FK391:$ID391,1+SwaptionShift):INDEX($FK391:$ID391,SwaptionMonthsToGo+SwaptionShift))*SUM(INDEX($FK$325:$ID$396,HB$169,1+SwaptionShift):INDEX($FK$325:$ID$396,HB$169,SwaptionMonthsToGo+SwaptionShift))))))</f>
        <v/>
      </c>
      <c r="HC236" s="150" t="str">
        <f aca="false">IF(OR(HC$169&lt;SwaptionFirstMonthPosition+1,$FJ236&lt;SwaptionFirstMonthPosition+1,HC$169&gt;SwaptionFirstMonthPosition+SwaptionNumOfMonths+1,$FJ236&gt;SwaptionFirstMonthPosition+SwaptionNumOfMonths+1),"",IF($FJ236=HC$169,1,IF($FJ236&lt;HC$169,INDEX($FK$170:$ID$241,HC$169,$FJ236),SUMPRODUCT(INDEX($FK$325:$ID$396,HC$169,1+SwaptionShift):INDEX($FK$325:$ID$396,HC$169,SwaptionMonthsToGo+SwaptionShift),INDEX($FK$245:$ID$316,$FJ236-HC$169,73-HC$169+SwaptionShift):INDEX($FK$245:$ID$316,$FJ236-HC$169,72-HC$169+SwaptionMonthsToGo+SwaptionShift))/SQRT(SUM(INDEX($FK391:$ID391,1+SwaptionShift):INDEX($FK391:$ID391,SwaptionMonthsToGo+SwaptionShift))*SUM(INDEX($FK$325:$ID$396,HC$169,1+SwaptionShift):INDEX($FK$325:$ID$396,HC$169,SwaptionMonthsToGo+SwaptionShift))))))</f>
        <v/>
      </c>
      <c r="HD236" s="150" t="str">
        <f aca="false">IF(OR(HD$169&lt;SwaptionFirstMonthPosition+1,$FJ236&lt;SwaptionFirstMonthPosition+1,HD$169&gt;SwaptionFirstMonthPosition+SwaptionNumOfMonths+1,$FJ236&gt;SwaptionFirstMonthPosition+SwaptionNumOfMonths+1),"",IF($FJ236=HD$169,1,IF($FJ236&lt;HD$169,INDEX($FK$170:$ID$241,HD$169,$FJ236),SUMPRODUCT(INDEX($FK$325:$ID$396,HD$169,1+SwaptionShift):INDEX($FK$325:$ID$396,HD$169,SwaptionMonthsToGo+SwaptionShift),INDEX($FK$245:$ID$316,$FJ236-HD$169,73-HD$169+SwaptionShift):INDEX($FK$245:$ID$316,$FJ236-HD$169,72-HD$169+SwaptionMonthsToGo+SwaptionShift))/SQRT(SUM(INDEX($FK391:$ID391,1+SwaptionShift):INDEX($FK391:$ID391,SwaptionMonthsToGo+SwaptionShift))*SUM(INDEX($FK$325:$ID$396,HD$169,1+SwaptionShift):INDEX($FK$325:$ID$396,HD$169,SwaptionMonthsToGo+SwaptionShift))))))</f>
        <v/>
      </c>
      <c r="HE236" s="150" t="str">
        <f aca="false">IF(OR(HE$169&lt;SwaptionFirstMonthPosition+1,$FJ236&lt;SwaptionFirstMonthPosition+1,HE$169&gt;SwaptionFirstMonthPosition+SwaptionNumOfMonths+1,$FJ236&gt;SwaptionFirstMonthPosition+SwaptionNumOfMonths+1),"",IF($FJ236=HE$169,1,IF($FJ236&lt;HE$169,INDEX($FK$170:$ID$241,HE$169,$FJ236),SUMPRODUCT(INDEX($FK$325:$ID$396,HE$169,1+SwaptionShift):INDEX($FK$325:$ID$396,HE$169,SwaptionMonthsToGo+SwaptionShift),INDEX($FK$245:$ID$316,$FJ236-HE$169,73-HE$169+SwaptionShift):INDEX($FK$245:$ID$316,$FJ236-HE$169,72-HE$169+SwaptionMonthsToGo+SwaptionShift))/SQRT(SUM(INDEX($FK391:$ID391,1+SwaptionShift):INDEX($FK391:$ID391,SwaptionMonthsToGo+SwaptionShift))*SUM(INDEX($FK$325:$ID$396,HE$169,1+SwaptionShift):INDEX($FK$325:$ID$396,HE$169,SwaptionMonthsToGo+SwaptionShift))))))</f>
        <v/>
      </c>
      <c r="HF236" s="150" t="str">
        <f aca="false">IF(OR(HF$169&lt;SwaptionFirstMonthPosition+1,$FJ236&lt;SwaptionFirstMonthPosition+1,HF$169&gt;SwaptionFirstMonthPosition+SwaptionNumOfMonths+1,$FJ236&gt;SwaptionFirstMonthPosition+SwaptionNumOfMonths+1),"",IF($FJ236=HF$169,1,IF($FJ236&lt;HF$169,INDEX($FK$170:$ID$241,HF$169,$FJ236),SUMPRODUCT(INDEX($FK$325:$ID$396,HF$169,1+SwaptionShift):INDEX($FK$325:$ID$396,HF$169,SwaptionMonthsToGo+SwaptionShift),INDEX($FK$245:$ID$316,$FJ236-HF$169,73-HF$169+SwaptionShift):INDEX($FK$245:$ID$316,$FJ236-HF$169,72-HF$169+SwaptionMonthsToGo+SwaptionShift))/SQRT(SUM(INDEX($FK391:$ID391,1+SwaptionShift):INDEX($FK391:$ID391,SwaptionMonthsToGo+SwaptionShift))*SUM(INDEX($FK$325:$ID$396,HF$169,1+SwaptionShift):INDEX($FK$325:$ID$396,HF$169,SwaptionMonthsToGo+SwaptionShift))))))</f>
        <v/>
      </c>
      <c r="HG236" s="150" t="str">
        <f aca="false">IF(OR(HG$169&lt;SwaptionFirstMonthPosition+1,$FJ236&lt;SwaptionFirstMonthPosition+1,HG$169&gt;SwaptionFirstMonthPosition+SwaptionNumOfMonths+1,$FJ236&gt;SwaptionFirstMonthPosition+SwaptionNumOfMonths+1),"",IF($FJ236=HG$169,1,IF($FJ236&lt;HG$169,INDEX($FK$170:$ID$241,HG$169,$FJ236),SUMPRODUCT(INDEX($FK$325:$ID$396,HG$169,1+SwaptionShift):INDEX($FK$325:$ID$396,HG$169,SwaptionMonthsToGo+SwaptionShift),INDEX($FK$245:$ID$316,$FJ236-HG$169,73-HG$169+SwaptionShift):INDEX($FK$245:$ID$316,$FJ236-HG$169,72-HG$169+SwaptionMonthsToGo+SwaptionShift))/SQRT(SUM(INDEX($FK391:$ID391,1+SwaptionShift):INDEX($FK391:$ID391,SwaptionMonthsToGo+SwaptionShift))*SUM(INDEX($FK$325:$ID$396,HG$169,1+SwaptionShift):INDEX($FK$325:$ID$396,HG$169,SwaptionMonthsToGo+SwaptionShift))))))</f>
        <v/>
      </c>
      <c r="HH236" s="150" t="str">
        <f aca="false">IF(OR(HH$169&lt;SwaptionFirstMonthPosition+1,$FJ236&lt;SwaptionFirstMonthPosition+1,HH$169&gt;SwaptionFirstMonthPosition+SwaptionNumOfMonths+1,$FJ236&gt;SwaptionFirstMonthPosition+SwaptionNumOfMonths+1),"",IF($FJ236=HH$169,1,IF($FJ236&lt;HH$169,INDEX($FK$170:$ID$241,HH$169,$FJ236),SUMPRODUCT(INDEX($FK$325:$ID$396,HH$169,1+SwaptionShift):INDEX($FK$325:$ID$396,HH$169,SwaptionMonthsToGo+SwaptionShift),INDEX($FK$245:$ID$316,$FJ236-HH$169,73-HH$169+SwaptionShift):INDEX($FK$245:$ID$316,$FJ236-HH$169,72-HH$169+SwaptionMonthsToGo+SwaptionShift))/SQRT(SUM(INDEX($FK391:$ID391,1+SwaptionShift):INDEX($FK391:$ID391,SwaptionMonthsToGo+SwaptionShift))*SUM(INDEX($FK$325:$ID$396,HH$169,1+SwaptionShift):INDEX($FK$325:$ID$396,HH$169,SwaptionMonthsToGo+SwaptionShift))))))</f>
        <v/>
      </c>
      <c r="HI236" s="150" t="str">
        <f aca="false">IF(OR(HI$169&lt;SwaptionFirstMonthPosition+1,$FJ236&lt;SwaptionFirstMonthPosition+1,HI$169&gt;SwaptionFirstMonthPosition+SwaptionNumOfMonths+1,$FJ236&gt;SwaptionFirstMonthPosition+SwaptionNumOfMonths+1),"",IF($FJ236=HI$169,1,IF($FJ236&lt;HI$169,INDEX($FK$170:$ID$241,HI$169,$FJ236),SUMPRODUCT(INDEX($FK$325:$ID$396,HI$169,1+SwaptionShift):INDEX($FK$325:$ID$396,HI$169,SwaptionMonthsToGo+SwaptionShift),INDEX($FK$245:$ID$316,$FJ236-HI$169,73-HI$169+SwaptionShift):INDEX($FK$245:$ID$316,$FJ236-HI$169,72-HI$169+SwaptionMonthsToGo+SwaptionShift))/SQRT(SUM(INDEX($FK391:$ID391,1+SwaptionShift):INDEX($FK391:$ID391,SwaptionMonthsToGo+SwaptionShift))*SUM(INDEX($FK$325:$ID$396,HI$169,1+SwaptionShift):INDEX($FK$325:$ID$396,HI$169,SwaptionMonthsToGo+SwaptionShift))))))</f>
        <v/>
      </c>
      <c r="HJ236" s="150" t="str">
        <f aca="false">IF(OR(HJ$169&lt;SwaptionFirstMonthPosition+1,$FJ236&lt;SwaptionFirstMonthPosition+1,HJ$169&gt;SwaptionFirstMonthPosition+SwaptionNumOfMonths+1,$FJ236&gt;SwaptionFirstMonthPosition+SwaptionNumOfMonths+1),"",IF($FJ236=HJ$169,1,IF($FJ236&lt;HJ$169,INDEX($FK$170:$ID$241,HJ$169,$FJ236),SUMPRODUCT(INDEX($FK$325:$ID$396,HJ$169,1+SwaptionShift):INDEX($FK$325:$ID$396,HJ$169,SwaptionMonthsToGo+SwaptionShift),INDEX($FK$245:$ID$316,$FJ236-HJ$169,73-HJ$169+SwaptionShift):INDEX($FK$245:$ID$316,$FJ236-HJ$169,72-HJ$169+SwaptionMonthsToGo+SwaptionShift))/SQRT(SUM(INDEX($FK391:$ID391,1+SwaptionShift):INDEX($FK391:$ID391,SwaptionMonthsToGo+SwaptionShift))*SUM(INDEX($FK$325:$ID$396,HJ$169,1+SwaptionShift):INDEX($FK$325:$ID$396,HJ$169,SwaptionMonthsToGo+SwaptionShift))))))</f>
        <v/>
      </c>
      <c r="HK236" s="150" t="str">
        <f aca="false">IF(OR(HK$169&lt;SwaptionFirstMonthPosition+1,$FJ236&lt;SwaptionFirstMonthPosition+1,HK$169&gt;SwaptionFirstMonthPosition+SwaptionNumOfMonths+1,$FJ236&gt;SwaptionFirstMonthPosition+SwaptionNumOfMonths+1),"",IF($FJ236=HK$169,1,IF($FJ236&lt;HK$169,INDEX($FK$170:$ID$241,HK$169,$FJ236),SUMPRODUCT(INDEX($FK$325:$ID$396,HK$169,1+SwaptionShift):INDEX($FK$325:$ID$396,HK$169,SwaptionMonthsToGo+SwaptionShift),INDEX($FK$245:$ID$316,$FJ236-HK$169,73-HK$169+SwaptionShift):INDEX($FK$245:$ID$316,$FJ236-HK$169,72-HK$169+SwaptionMonthsToGo+SwaptionShift))/SQRT(SUM(INDEX($FK391:$ID391,1+SwaptionShift):INDEX($FK391:$ID391,SwaptionMonthsToGo+SwaptionShift))*SUM(INDEX($FK$325:$ID$396,HK$169,1+SwaptionShift):INDEX($FK$325:$ID$396,HK$169,SwaptionMonthsToGo+SwaptionShift))))))</f>
        <v/>
      </c>
      <c r="HL236" s="150" t="str">
        <f aca="false">IF(OR(HL$169&lt;SwaptionFirstMonthPosition+1,$FJ236&lt;SwaptionFirstMonthPosition+1,HL$169&gt;SwaptionFirstMonthPosition+SwaptionNumOfMonths+1,$FJ236&gt;SwaptionFirstMonthPosition+SwaptionNumOfMonths+1),"",IF($FJ236=HL$169,1,IF($FJ236&lt;HL$169,INDEX($FK$170:$ID$241,HL$169,$FJ236),SUMPRODUCT(INDEX($FK$325:$ID$396,HL$169,1+SwaptionShift):INDEX($FK$325:$ID$396,HL$169,SwaptionMonthsToGo+SwaptionShift),INDEX($FK$245:$ID$316,$FJ236-HL$169,73-HL$169+SwaptionShift):INDEX($FK$245:$ID$316,$FJ236-HL$169,72-HL$169+SwaptionMonthsToGo+SwaptionShift))/SQRT(SUM(INDEX($FK391:$ID391,1+SwaptionShift):INDEX($FK391:$ID391,SwaptionMonthsToGo+SwaptionShift))*SUM(INDEX($FK$325:$ID$396,HL$169,1+SwaptionShift):INDEX($FK$325:$ID$396,HL$169,SwaptionMonthsToGo+SwaptionShift))))))</f>
        <v/>
      </c>
      <c r="HM236" s="150" t="str">
        <f aca="false">IF(OR(HM$169&lt;SwaptionFirstMonthPosition+1,$FJ236&lt;SwaptionFirstMonthPosition+1,HM$169&gt;SwaptionFirstMonthPosition+SwaptionNumOfMonths+1,$FJ236&gt;SwaptionFirstMonthPosition+SwaptionNumOfMonths+1),"",IF($FJ236=HM$169,1,IF($FJ236&lt;HM$169,INDEX($FK$170:$ID$241,HM$169,$FJ236),SUMPRODUCT(INDEX($FK$325:$ID$396,HM$169,1+SwaptionShift):INDEX($FK$325:$ID$396,HM$169,SwaptionMonthsToGo+SwaptionShift),INDEX($FK$245:$ID$316,$FJ236-HM$169,73-HM$169+SwaptionShift):INDEX($FK$245:$ID$316,$FJ236-HM$169,72-HM$169+SwaptionMonthsToGo+SwaptionShift))/SQRT(SUM(INDEX($FK391:$ID391,1+SwaptionShift):INDEX($FK391:$ID391,SwaptionMonthsToGo+SwaptionShift))*SUM(INDEX($FK$325:$ID$396,HM$169,1+SwaptionShift):INDEX($FK$325:$ID$396,HM$169,SwaptionMonthsToGo+SwaptionShift))))))</f>
        <v/>
      </c>
      <c r="HN236" s="150" t="str">
        <f aca="false">IF(OR(HN$169&lt;SwaptionFirstMonthPosition+1,$FJ236&lt;SwaptionFirstMonthPosition+1,HN$169&gt;SwaptionFirstMonthPosition+SwaptionNumOfMonths+1,$FJ236&gt;SwaptionFirstMonthPosition+SwaptionNumOfMonths+1),"",IF($FJ236=HN$169,1,IF($FJ236&lt;HN$169,INDEX($FK$170:$ID$241,HN$169,$FJ236),SUMPRODUCT(INDEX($FK$325:$ID$396,HN$169,1+SwaptionShift):INDEX($FK$325:$ID$396,HN$169,SwaptionMonthsToGo+SwaptionShift),INDEX($FK$245:$ID$316,$FJ236-HN$169,73-HN$169+SwaptionShift):INDEX($FK$245:$ID$316,$FJ236-HN$169,72-HN$169+SwaptionMonthsToGo+SwaptionShift))/SQRT(SUM(INDEX($FK391:$ID391,1+SwaptionShift):INDEX($FK391:$ID391,SwaptionMonthsToGo+SwaptionShift))*SUM(INDEX($FK$325:$ID$396,HN$169,1+SwaptionShift):INDEX($FK$325:$ID$396,HN$169,SwaptionMonthsToGo+SwaptionShift))))))</f>
        <v/>
      </c>
      <c r="HO236" s="150" t="str">
        <f aca="false">IF(OR(HO$169&lt;SwaptionFirstMonthPosition+1,$FJ236&lt;SwaptionFirstMonthPosition+1,HO$169&gt;SwaptionFirstMonthPosition+SwaptionNumOfMonths+1,$FJ236&gt;SwaptionFirstMonthPosition+SwaptionNumOfMonths+1),"",IF($FJ236=HO$169,1,IF($FJ236&lt;HO$169,INDEX($FK$170:$ID$241,HO$169,$FJ236),SUMPRODUCT(INDEX($FK$325:$ID$396,HO$169,1+SwaptionShift):INDEX($FK$325:$ID$396,HO$169,SwaptionMonthsToGo+SwaptionShift),INDEX($FK$245:$ID$316,$FJ236-HO$169,73-HO$169+SwaptionShift):INDEX($FK$245:$ID$316,$FJ236-HO$169,72-HO$169+SwaptionMonthsToGo+SwaptionShift))/SQRT(SUM(INDEX($FK391:$ID391,1+SwaptionShift):INDEX($FK391:$ID391,SwaptionMonthsToGo+SwaptionShift))*SUM(INDEX($FK$325:$ID$396,HO$169,1+SwaptionShift):INDEX($FK$325:$ID$396,HO$169,SwaptionMonthsToGo+SwaptionShift))))))</f>
        <v/>
      </c>
      <c r="HP236" s="150" t="str">
        <f aca="false">IF(OR(HP$169&lt;SwaptionFirstMonthPosition+1,$FJ236&lt;SwaptionFirstMonthPosition+1,HP$169&gt;SwaptionFirstMonthPosition+SwaptionNumOfMonths+1,$FJ236&gt;SwaptionFirstMonthPosition+SwaptionNumOfMonths+1),"",IF($FJ236=HP$169,1,IF($FJ236&lt;HP$169,INDEX($FK$170:$ID$241,HP$169,$FJ236),SUMPRODUCT(INDEX($FK$325:$ID$396,HP$169,1+SwaptionShift):INDEX($FK$325:$ID$396,HP$169,SwaptionMonthsToGo+SwaptionShift),INDEX($FK$245:$ID$316,$FJ236-HP$169,73-HP$169+SwaptionShift):INDEX($FK$245:$ID$316,$FJ236-HP$169,72-HP$169+SwaptionMonthsToGo+SwaptionShift))/SQRT(SUM(INDEX($FK391:$ID391,1+SwaptionShift):INDEX($FK391:$ID391,SwaptionMonthsToGo+SwaptionShift))*SUM(INDEX($FK$325:$ID$396,HP$169,1+SwaptionShift):INDEX($FK$325:$ID$396,HP$169,SwaptionMonthsToGo+SwaptionShift))))))</f>
        <v/>
      </c>
      <c r="HQ236" s="150" t="str">
        <f aca="false">IF(OR(HQ$169&lt;SwaptionFirstMonthPosition+1,$FJ236&lt;SwaptionFirstMonthPosition+1,HQ$169&gt;SwaptionFirstMonthPosition+SwaptionNumOfMonths+1,$FJ236&gt;SwaptionFirstMonthPosition+SwaptionNumOfMonths+1),"",IF($FJ236=HQ$169,1,IF($FJ236&lt;HQ$169,INDEX($FK$170:$ID$241,HQ$169,$FJ236),SUMPRODUCT(INDEX($FK$325:$ID$396,HQ$169,1+SwaptionShift):INDEX($FK$325:$ID$396,HQ$169,SwaptionMonthsToGo+SwaptionShift),INDEX($FK$245:$ID$316,$FJ236-HQ$169,73-HQ$169+SwaptionShift):INDEX($FK$245:$ID$316,$FJ236-HQ$169,72-HQ$169+SwaptionMonthsToGo+SwaptionShift))/SQRT(SUM(INDEX($FK391:$ID391,1+SwaptionShift):INDEX($FK391:$ID391,SwaptionMonthsToGo+SwaptionShift))*SUM(INDEX($FK$325:$ID$396,HQ$169,1+SwaptionShift):INDEX($FK$325:$ID$396,HQ$169,SwaptionMonthsToGo+SwaptionShift))))))</f>
        <v/>
      </c>
      <c r="HR236" s="150" t="str">
        <f aca="false">IF(OR(HR$169&lt;SwaptionFirstMonthPosition+1,$FJ236&lt;SwaptionFirstMonthPosition+1,HR$169&gt;SwaptionFirstMonthPosition+SwaptionNumOfMonths+1,$FJ236&gt;SwaptionFirstMonthPosition+SwaptionNumOfMonths+1),"",IF($FJ236=HR$169,1,IF($FJ236&lt;HR$169,INDEX($FK$170:$ID$241,HR$169,$FJ236),SUMPRODUCT(INDEX($FK$325:$ID$396,HR$169,1+SwaptionShift):INDEX($FK$325:$ID$396,HR$169,SwaptionMonthsToGo+SwaptionShift),INDEX($FK$245:$ID$316,$FJ236-HR$169,73-HR$169+SwaptionShift):INDEX($FK$245:$ID$316,$FJ236-HR$169,72-HR$169+SwaptionMonthsToGo+SwaptionShift))/SQRT(SUM(INDEX($FK391:$ID391,1+SwaptionShift):INDEX($FK391:$ID391,SwaptionMonthsToGo+SwaptionShift))*SUM(INDEX($FK$325:$ID$396,HR$169,1+SwaptionShift):INDEX($FK$325:$ID$396,HR$169,SwaptionMonthsToGo+SwaptionShift))))))</f>
        <v/>
      </c>
      <c r="HS236" s="150" t="str">
        <f aca="false">IF(OR(HS$169&lt;SwaptionFirstMonthPosition+1,$FJ236&lt;SwaptionFirstMonthPosition+1,HS$169&gt;SwaptionFirstMonthPosition+SwaptionNumOfMonths+1,$FJ236&gt;SwaptionFirstMonthPosition+SwaptionNumOfMonths+1),"",IF($FJ236=HS$169,1,IF($FJ236&lt;HS$169,INDEX($FK$170:$ID$241,HS$169,$FJ236),SUMPRODUCT(INDEX($FK$325:$ID$396,HS$169,1+SwaptionShift):INDEX($FK$325:$ID$396,HS$169,SwaptionMonthsToGo+SwaptionShift),INDEX($FK$245:$ID$316,$FJ236-HS$169,73-HS$169+SwaptionShift):INDEX($FK$245:$ID$316,$FJ236-HS$169,72-HS$169+SwaptionMonthsToGo+SwaptionShift))/SQRT(SUM(INDEX($FK391:$ID391,1+SwaptionShift):INDEX($FK391:$ID391,SwaptionMonthsToGo+SwaptionShift))*SUM(INDEX($FK$325:$ID$396,HS$169,1+SwaptionShift):INDEX($FK$325:$ID$396,HS$169,SwaptionMonthsToGo+SwaptionShift))))))</f>
        <v/>
      </c>
      <c r="HT236" s="150" t="str">
        <f aca="false">IF(OR(HT$169&lt;SwaptionFirstMonthPosition+1,$FJ236&lt;SwaptionFirstMonthPosition+1,HT$169&gt;SwaptionFirstMonthPosition+SwaptionNumOfMonths+1,$FJ236&gt;SwaptionFirstMonthPosition+SwaptionNumOfMonths+1),"",IF($FJ236=HT$169,1,IF($FJ236&lt;HT$169,INDEX($FK$170:$ID$241,HT$169,$FJ236),SUMPRODUCT(INDEX($FK$325:$ID$396,HT$169,1+SwaptionShift):INDEX($FK$325:$ID$396,HT$169,SwaptionMonthsToGo+SwaptionShift),INDEX($FK$245:$ID$316,$FJ236-HT$169,73-HT$169+SwaptionShift):INDEX($FK$245:$ID$316,$FJ236-HT$169,72-HT$169+SwaptionMonthsToGo+SwaptionShift))/SQRT(SUM(INDEX($FK391:$ID391,1+SwaptionShift):INDEX($FK391:$ID391,SwaptionMonthsToGo+SwaptionShift))*SUM(INDEX($FK$325:$ID$396,HT$169,1+SwaptionShift):INDEX($FK$325:$ID$396,HT$169,SwaptionMonthsToGo+SwaptionShift))))))</f>
        <v/>
      </c>
      <c r="HU236" s="150" t="str">
        <f aca="false">IF(OR(HU$169&lt;SwaptionFirstMonthPosition+1,$FJ236&lt;SwaptionFirstMonthPosition+1,HU$169&gt;SwaptionFirstMonthPosition+SwaptionNumOfMonths+1,$FJ236&gt;SwaptionFirstMonthPosition+SwaptionNumOfMonths+1),"",IF($FJ236=HU$169,1,IF($FJ236&lt;HU$169,INDEX($FK$170:$ID$241,HU$169,$FJ236),SUMPRODUCT(INDEX($FK$325:$ID$396,HU$169,1+SwaptionShift):INDEX($FK$325:$ID$396,HU$169,SwaptionMonthsToGo+SwaptionShift),INDEX($FK$245:$ID$316,$FJ236-HU$169,73-HU$169+SwaptionShift):INDEX($FK$245:$ID$316,$FJ236-HU$169,72-HU$169+SwaptionMonthsToGo+SwaptionShift))/SQRT(SUM(INDEX($FK391:$ID391,1+SwaptionShift):INDEX($FK391:$ID391,SwaptionMonthsToGo+SwaptionShift))*SUM(INDEX($FK$325:$ID$396,HU$169,1+SwaptionShift):INDEX($FK$325:$ID$396,HU$169,SwaptionMonthsToGo+SwaptionShift))))))</f>
        <v/>
      </c>
      <c r="HV236" s="150" t="str">
        <f aca="false">IF(OR(HV$169&lt;SwaptionFirstMonthPosition+1,$FJ236&lt;SwaptionFirstMonthPosition+1,HV$169&gt;SwaptionFirstMonthPosition+SwaptionNumOfMonths+1,$FJ236&gt;SwaptionFirstMonthPosition+SwaptionNumOfMonths+1),"",IF($FJ236=HV$169,1,IF($FJ236&lt;HV$169,INDEX($FK$170:$ID$241,HV$169,$FJ236),SUMPRODUCT(INDEX($FK$325:$ID$396,HV$169,1+SwaptionShift):INDEX($FK$325:$ID$396,HV$169,SwaptionMonthsToGo+SwaptionShift),INDEX($FK$245:$ID$316,$FJ236-HV$169,73-HV$169+SwaptionShift):INDEX($FK$245:$ID$316,$FJ236-HV$169,72-HV$169+SwaptionMonthsToGo+SwaptionShift))/SQRT(SUM(INDEX($FK391:$ID391,1+SwaptionShift):INDEX($FK391:$ID391,SwaptionMonthsToGo+SwaptionShift))*SUM(INDEX($FK$325:$ID$396,HV$169,1+SwaptionShift):INDEX($FK$325:$ID$396,HV$169,SwaptionMonthsToGo+SwaptionShift))))))</f>
        <v/>
      </c>
      <c r="HW236" s="150" t="str">
        <f aca="false">IF(OR(HW$169&lt;SwaptionFirstMonthPosition+1,$FJ236&lt;SwaptionFirstMonthPosition+1,HW$169&gt;SwaptionFirstMonthPosition+SwaptionNumOfMonths+1,$FJ236&gt;SwaptionFirstMonthPosition+SwaptionNumOfMonths+1),"",IF($FJ236=HW$169,1,IF($FJ236&lt;HW$169,INDEX($FK$170:$ID$241,HW$169,$FJ236),SUMPRODUCT(INDEX($FK$325:$ID$396,HW$169,1+SwaptionShift):INDEX($FK$325:$ID$396,HW$169,SwaptionMonthsToGo+SwaptionShift),INDEX($FK$245:$ID$316,$FJ236-HW$169,73-HW$169+SwaptionShift):INDEX($FK$245:$ID$316,$FJ236-HW$169,72-HW$169+SwaptionMonthsToGo+SwaptionShift))/SQRT(SUM(INDEX($FK391:$ID391,1+SwaptionShift):INDEX($FK391:$ID391,SwaptionMonthsToGo+SwaptionShift))*SUM(INDEX($FK$325:$ID$396,HW$169,1+SwaptionShift):INDEX($FK$325:$ID$396,HW$169,SwaptionMonthsToGo+SwaptionShift))))))</f>
        <v/>
      </c>
      <c r="HX236" s="150" t="str">
        <f aca="false">IF(OR(HX$169&lt;SwaptionFirstMonthPosition+1,$FJ236&lt;SwaptionFirstMonthPosition+1,HX$169&gt;SwaptionFirstMonthPosition+SwaptionNumOfMonths+1,$FJ236&gt;SwaptionFirstMonthPosition+SwaptionNumOfMonths+1),"",IF($FJ236=HX$169,1,IF($FJ236&lt;HX$169,INDEX($FK$170:$ID$241,HX$169,$FJ236),SUMPRODUCT(INDEX($FK$325:$ID$396,HX$169,1+SwaptionShift):INDEX($FK$325:$ID$396,HX$169,SwaptionMonthsToGo+SwaptionShift),INDEX($FK$245:$ID$316,$FJ236-HX$169,73-HX$169+SwaptionShift):INDEX($FK$245:$ID$316,$FJ236-HX$169,72-HX$169+SwaptionMonthsToGo+SwaptionShift))/SQRT(SUM(INDEX($FK391:$ID391,1+SwaptionShift):INDEX($FK391:$ID391,SwaptionMonthsToGo+SwaptionShift))*SUM(INDEX($FK$325:$ID$396,HX$169,1+SwaptionShift):INDEX($FK$325:$ID$396,HX$169,SwaptionMonthsToGo+SwaptionShift))))))</f>
        <v/>
      </c>
      <c r="HY236" s="150" t="str">
        <f aca="false">IF(OR(HY$169&lt;SwaptionFirstMonthPosition+1,$FJ236&lt;SwaptionFirstMonthPosition+1,HY$169&gt;SwaptionFirstMonthPosition+SwaptionNumOfMonths+1,$FJ236&gt;SwaptionFirstMonthPosition+SwaptionNumOfMonths+1),"",IF($FJ236=HY$169,1,IF($FJ236&lt;HY$169,INDEX($FK$170:$ID$241,HY$169,$FJ236),SUMPRODUCT(INDEX($FK$325:$ID$396,HY$169,1+SwaptionShift):INDEX($FK$325:$ID$396,HY$169,SwaptionMonthsToGo+SwaptionShift),INDEX($FK$245:$ID$316,$FJ236-HY$169,73-HY$169+SwaptionShift):INDEX($FK$245:$ID$316,$FJ236-HY$169,72-HY$169+SwaptionMonthsToGo+SwaptionShift))/SQRT(SUM(INDEX($FK391:$ID391,1+SwaptionShift):INDEX($FK391:$ID391,SwaptionMonthsToGo+SwaptionShift))*SUM(INDEX($FK$325:$ID$396,HY$169,1+SwaptionShift):INDEX($FK$325:$ID$396,HY$169,SwaptionMonthsToGo+SwaptionShift))))))</f>
        <v/>
      </c>
      <c r="HZ236" s="150" t="str">
        <f aca="false">IF(OR(HZ$169&lt;SwaptionFirstMonthPosition+1,$FJ236&lt;SwaptionFirstMonthPosition+1,HZ$169&gt;SwaptionFirstMonthPosition+SwaptionNumOfMonths+1,$FJ236&gt;SwaptionFirstMonthPosition+SwaptionNumOfMonths+1),"",IF($FJ236=HZ$169,1,IF($FJ236&lt;HZ$169,INDEX($FK$170:$ID$241,HZ$169,$FJ236),SUMPRODUCT(INDEX($FK$325:$ID$396,HZ$169,1+SwaptionShift):INDEX($FK$325:$ID$396,HZ$169,SwaptionMonthsToGo+SwaptionShift),INDEX($FK$245:$ID$316,$FJ236-HZ$169,73-HZ$169+SwaptionShift):INDEX($FK$245:$ID$316,$FJ236-HZ$169,72-HZ$169+SwaptionMonthsToGo+SwaptionShift))/SQRT(SUM(INDEX($FK391:$ID391,1+SwaptionShift):INDEX($FK391:$ID391,SwaptionMonthsToGo+SwaptionShift))*SUM(INDEX($FK$325:$ID$396,HZ$169,1+SwaptionShift):INDEX($FK$325:$ID$396,HZ$169,SwaptionMonthsToGo+SwaptionShift))))))</f>
        <v/>
      </c>
      <c r="IA236" s="150" t="str">
        <f aca="false">IF(OR(IA$169&lt;SwaptionFirstMonthPosition+1,$FJ236&lt;SwaptionFirstMonthPosition+1,IA$169&gt;SwaptionFirstMonthPosition+SwaptionNumOfMonths+1,$FJ236&gt;SwaptionFirstMonthPosition+SwaptionNumOfMonths+1),"",IF($FJ236=IA$169,1,IF($FJ236&lt;IA$169,INDEX($FK$170:$ID$241,IA$169,$FJ236),SUMPRODUCT(INDEX($FK$325:$ID$396,IA$169,1+SwaptionShift):INDEX($FK$325:$ID$396,IA$169,SwaptionMonthsToGo+SwaptionShift),INDEX($FK$245:$ID$316,$FJ236-IA$169,73-IA$169+SwaptionShift):INDEX($FK$245:$ID$316,$FJ236-IA$169,72-IA$169+SwaptionMonthsToGo+SwaptionShift))/SQRT(SUM(INDEX($FK391:$ID391,1+SwaptionShift):INDEX($FK391:$ID391,SwaptionMonthsToGo+SwaptionShift))*SUM(INDEX($FK$325:$ID$396,IA$169,1+SwaptionShift):INDEX($FK$325:$ID$396,IA$169,SwaptionMonthsToGo+SwaptionShift))))))</f>
        <v/>
      </c>
      <c r="IB236" s="150" t="str">
        <f aca="false">IF(OR(IB$169&lt;SwaptionFirstMonthPosition+1,$FJ236&lt;SwaptionFirstMonthPosition+1,IB$169&gt;SwaptionFirstMonthPosition+SwaptionNumOfMonths+1,$FJ236&gt;SwaptionFirstMonthPosition+SwaptionNumOfMonths+1),"",IF($FJ236=IB$169,1,IF($FJ236&lt;IB$169,INDEX($FK$170:$ID$241,IB$169,$FJ236),SUMPRODUCT(INDEX($FK$325:$ID$396,IB$169,1+SwaptionShift):INDEX($FK$325:$ID$396,IB$169,SwaptionMonthsToGo+SwaptionShift),INDEX($FK$245:$ID$316,$FJ236-IB$169,73-IB$169+SwaptionShift):INDEX($FK$245:$ID$316,$FJ236-IB$169,72-IB$169+SwaptionMonthsToGo+SwaptionShift))/SQRT(SUM(INDEX($FK391:$ID391,1+SwaptionShift):INDEX($FK391:$ID391,SwaptionMonthsToGo+SwaptionShift))*SUM(INDEX($FK$325:$ID$396,IB$169,1+SwaptionShift):INDEX($FK$325:$ID$396,IB$169,SwaptionMonthsToGo+SwaptionShift))))))</f>
        <v/>
      </c>
      <c r="IC236" s="150" t="str">
        <f aca="false">IF(OR(IC$169&lt;SwaptionFirstMonthPosition+1,$FJ236&lt;SwaptionFirstMonthPosition+1,IC$169&gt;SwaptionFirstMonthPosition+SwaptionNumOfMonths+1,$FJ236&gt;SwaptionFirstMonthPosition+SwaptionNumOfMonths+1),"",IF($FJ236=IC$169,1,IF($FJ236&lt;IC$169,INDEX($FK$170:$ID$241,IC$169,$FJ236),SUMPRODUCT(INDEX($FK$325:$ID$396,IC$169,1+SwaptionShift):INDEX($FK$325:$ID$396,IC$169,SwaptionMonthsToGo+SwaptionShift),INDEX($FK$245:$ID$316,$FJ236-IC$169,73-IC$169+SwaptionShift):INDEX($FK$245:$ID$316,$FJ236-IC$169,72-IC$169+SwaptionMonthsToGo+SwaptionShift))/SQRT(SUM(INDEX($FK391:$ID391,1+SwaptionShift):INDEX($FK391:$ID391,SwaptionMonthsToGo+SwaptionShift))*SUM(INDEX($FK$325:$ID$396,IC$169,1+SwaptionShift):INDEX($FK$325:$ID$396,IC$169,SwaptionMonthsToGo+SwaptionShift))))))</f>
        <v/>
      </c>
      <c r="ID236" s="572" t="str">
        <f aca="false">IF(OR(ID$169&lt;SwaptionFirstMonthPosition+1,$FJ236&lt;SwaptionFirstMonthPosition+1,ID$169&gt;SwaptionFirstMonthPosition+SwaptionNumOfMonths+1,$FJ236&gt;SwaptionFirstMonthPosition+SwaptionNumOfMonths+1),"",IF($FJ236=ID$169,1,IF($FJ236&lt;ID$169,INDEX($FK$170:$ID$241,ID$169,$FJ236),SUMPRODUCT(INDEX($FK$325:$ID$396,ID$169,1+SwaptionShift):INDEX($FK$325:$ID$396,ID$169,SwaptionMonthsToGo+SwaptionShift),INDEX($FK$245:$ID$316,$FJ236-ID$169,73-ID$169+SwaptionShift):INDEX($FK$245:$ID$316,$FJ236-ID$169,72-ID$169+SwaptionMonthsToGo+SwaptionShift))/SQRT(SUM(INDEX($FK391:$ID391,1+SwaptionShift):INDEX($FK391:$ID391,SwaptionMonthsToGo+SwaptionShift))*SUM(INDEX($FK$325:$ID$396,ID$169,1+SwaptionShift):INDEX($FK$325:$ID$396,ID$169,SwaptionMonthsToGo+SwaptionShift))))))</f>
        <v/>
      </c>
      <c r="IE236" s="129"/>
    </row>
    <row r="237" customFormat="false" ht="12.75" hidden="false" customHeight="false" outlineLevel="0" collapsed="false">
      <c r="H237" s="219" t="n">
        <f aca="false">VLOOKUP(I237,$EJ$20:$EL$54,3)</f>
        <v>0</v>
      </c>
      <c r="I237" s="511" t="n">
        <f aca="false">EOMONTH(I236,0)+1</f>
        <v>43374</v>
      </c>
      <c r="J237" s="512"/>
      <c r="K237" s="513" t="s">
        <v>280</v>
      </c>
      <c r="L237" s="514" t="n">
        <f aca="false">IF(ISNUMBER(K237),J237+K237/100,IF(K237="extra",L236+VLOOKUP(BF237,PriceSpreadTable,2)/12,IF(K237="inter",interpolateprices($K$19:$L$200,ROW(K237)-ROW(FirstPricingMonth)+1),interpolatechanges($J$19:$K$200,ROW(K237)-ROW(FirstPricingMonth)+1))))</f>
        <v>5.28749999999999</v>
      </c>
      <c r="M237" s="515"/>
      <c r="N237" s="516" t="n">
        <v>0</v>
      </c>
      <c r="O237" s="515" t="n">
        <f aca="false">M237+N237</f>
        <v>0</v>
      </c>
      <c r="P237" s="512"/>
      <c r="Q237" s="513" t="s">
        <v>280</v>
      </c>
      <c r="R237" s="512" t="e">
        <f aca="false">IF(ISNUMBER(Q237),P237+Q237/100,IF(Q237="extra",(Z235*AL235-R236*AM235)/AN235,IF(Q237="inter",interpolateprices($Q$19:$R$260,ROW(Q237)-ROW(FirstPricingMonth)+1),interpolatechanges($P$19:$Q$260,ROW(Q237)-ROW(FirstPricingMonth)+1))))</f>
        <v>#VALUE!</v>
      </c>
      <c r="S237" s="597" t="n">
        <f aca="false">S$19+(S236-S$19)*S$18</f>
        <v>0.36</v>
      </c>
      <c r="T237" s="575" t="n">
        <f aca="false">SQRT((1-(1-T236^2/U236)*T$18)*U237)</f>
        <v>1</v>
      </c>
      <c r="U237" s="576" t="n">
        <f aca="false">1-(1-U236)*U$18</f>
        <v>1</v>
      </c>
      <c r="V237" s="521" t="n">
        <v>0</v>
      </c>
      <c r="W237" s="577" t="n">
        <f aca="false">(J238*AJ237+J239*AK237)/AI237</f>
        <v>0</v>
      </c>
      <c r="X237" s="578" t="n">
        <f aca="false">(L238*AJ237+L239*AK237)/AI237</f>
        <v>5.33804347826086</v>
      </c>
      <c r="Y237" s="579" t="n">
        <f aca="false">IF(Q239="extra",W237-AA237,(P238*AM237+P239*AN237)/AL237)</f>
        <v>-1.1931</v>
      </c>
      <c r="Z237" s="579" t="n">
        <f aca="false">IF(Q239="extra",X237-AB237,(R238*AM237+R239*AN237)/AL237)</f>
        <v>4.14494347826086</v>
      </c>
      <c r="AA237" s="523" t="n">
        <f aca="false">IF(Q239="extra",INDEX(BrentSeasonalityTable,INT((BG237-1)/3)+1)*VLOOKUP(MAX(BF237,$AB$4),PriceSpreadTable,3),W237-Y237)</f>
        <v>1.1931</v>
      </c>
      <c r="AB237" s="524" t="n">
        <f aca="false">IF(Q239="extra",INDEX(BrentSeasonalityTable,INT((BG237-1)/3)+1)*VLOOKUP(MAX(BF237,$AB$4),PriceSpreadTable,3),X237-Z237)</f>
        <v>1.1931</v>
      </c>
      <c r="AC237" s="646" t="n">
        <v>43363</v>
      </c>
      <c r="AD237" s="646" t="n">
        <v>43359</v>
      </c>
      <c r="AE237" s="646" t="n">
        <v>43358</v>
      </c>
      <c r="AF237" s="646" t="n">
        <v>43354</v>
      </c>
      <c r="AG237" s="438" t="s">
        <v>278</v>
      </c>
      <c r="AH237" s="439" t="s">
        <v>278</v>
      </c>
      <c r="AI237" s="528" t="n">
        <v>23</v>
      </c>
      <c r="AJ237" s="529" t="n">
        <v>15</v>
      </c>
      <c r="AK237" s="529" t="n">
        <v>8</v>
      </c>
      <c r="AL237" s="530" t="n">
        <v>23</v>
      </c>
      <c r="AM237" s="529" t="n">
        <v>10</v>
      </c>
      <c r="AN237" s="531" t="n">
        <v>13</v>
      </c>
      <c r="AO237" s="532"/>
      <c r="AP237" s="465" t="n">
        <f aca="false">(1+AO237/2)^(-2*BL237)</f>
        <v>1</v>
      </c>
      <c r="AQ237" s="532"/>
      <c r="AR237" s="465" t="n">
        <f aca="false">(1+AQ237/2)^(-2*BH237/365.25)</f>
        <v>1</v>
      </c>
      <c r="AS237" s="580" t="n">
        <f aca="false">(O238*AJ237+O239*AK237)/AI237</f>
        <v>0</v>
      </c>
      <c r="AT237" s="468" t="n">
        <f aca="false">O237*VLOOKUP(BF237,BrentVolTable,2)+VLOOKUP(BF237,BrentVolTable,3)</f>
        <v>0</v>
      </c>
      <c r="AU237" s="468" t="n">
        <f aca="false">(AT238*AM237+AT239*AN237)/AL237</f>
        <v>0</v>
      </c>
      <c r="AV237" s="595" t="n">
        <f aca="false">SQRT(MAX(0.000000000001,(O237^2*BH237-S237^2*(BH237-BH236))/BH236))</f>
        <v>0.0393321215731755</v>
      </c>
      <c r="AW237" s="451" t="n">
        <f aca="false">IF($I237-DateToday+15&gt;=$T$8,"",IF($I237-DateToday+15&lt;$T$5,1,MATCH($I237-DateToday+15,$T$5:$T$8)))</f>
        <v>1</v>
      </c>
      <c r="AX237" s="468" t="n">
        <f aca="false">IF($AW237="",AX236^2/AX235,INDEX(U$5:U$8,$AW237)^((INDEX($T$5:$T$8,$AW237+1)-($I237-DateToday+15))/(INDEX($T$5:$T$8,$AW237+1)-INDEX($T$5:$T$8,$AW237)))/INDEX(U$5:U$8,$AW237+1)^((INDEX($T$5:$T$8,$AW237)-($I237-DateToday+15))/(INDEX($T$5:$T$8,$AW237+1)-INDEX($T$5:$T$8,$AW237))))</f>
        <v>0.121364922842268</v>
      </c>
      <c r="AY237" s="468" t="n">
        <f aca="false">IF($AW237="",AY236^2/AY235,INDEX(V$5:V$8,$AW237)^((INDEX($T$5:$T$8,$AW237+1)-($I237-DateToday+15))/(INDEX($T$5:$T$8,$AW237+1)-INDEX($T$5:$T$8,$AW237)))/INDEX(V$5:V$8,$AW237+1)^((INDEX($T$5:$T$8,$AW237)-($I237-DateToday+15))/(INDEX($T$5:$T$8,$AW237+1)-INDEX($T$5:$T$8,$AW237))))</f>
        <v>0.558911076689432</v>
      </c>
      <c r="AZ237" s="468" t="n">
        <f aca="false">IF($AW237="",AZ236^2/AZ235,INDEX(W$5:W$8,$AW237)^((INDEX($T$5:$T$8,$AW237+1)-($I237-DateToday+15))/(INDEX($T$5:$T$8,$AW237+1)-INDEX($T$5:$T$8,$AW237)))/INDEX(W$5:W$8,$AW237+1)^((INDEX($T$5:$T$8,$AW237)-($I237-DateToday+15))/(INDEX($T$5:$T$8,$AW237+1)-INDEX($T$5:$T$8,$AW237))))</f>
        <v>12.3791167635772</v>
      </c>
      <c r="BA237" s="468" t="n">
        <f aca="false">IF($AW237="",BA236^2/BA235,INDEX(X$5:X$8,$AW237)^((INDEX($T$5:$T$8,$AW237+1)-($I237-DateToday+15))/(INDEX($T$5:$T$8,$AW237+1)-INDEX($T$5:$T$8,$AW237)))/INDEX(X$5:X$8,$AW237+1)^((INDEX($T$5:$T$8,$AW237)-($I237-DateToday+15))/(INDEX($T$5:$T$8,$AW237+1)-INDEX($T$5:$T$8,$AW237))))</f>
        <v>15.6499015715309</v>
      </c>
      <c r="BB237" s="468" t="n">
        <f aca="false">IF($AW237="",BB236^2/BB235,INDEX(Y$5:Y$8,$AW237)^((INDEX($T$5:$T$8,$AW237+1)-($I237-DateToday+15))/(INDEX($T$5:$T$8,$AW237+1)-INDEX($T$5:$T$8,$AW237)))/INDEX(Y$5:Y$8,$AW237+1)^((INDEX($T$5:$T$8,$AW237)-($I237-DateToday+15))/(INDEX($T$5:$T$8,$AW237+1)-INDEX($T$5:$T$8,$AW237))))</f>
        <v>50.4962566124715</v>
      </c>
      <c r="BC237" s="468" t="n">
        <f aca="false">IF($AW237="",BC236^2/BC235,INDEX(Z$5:Z$8,$AW237)^((INDEX($T$5:$T$8,$AW237+1)-($I237-DateToday+15))/(INDEX($T$5:$T$8,$AW237+1)-INDEX($T$5:$T$8,$AW237)))/INDEX(Z$5:Z$8,$AW237+1)^((INDEX($T$5:$T$8,$AW237)-($I237-DateToday+15))/(INDEX($T$5:$T$8,$AW237+1)-INDEX($T$5:$T$8,$AW237))))</f>
        <v>105.141939615492</v>
      </c>
      <c r="BD237" s="535" t="n">
        <f aca="false">IF(OR(DateStart&gt;=I238,DateEnd&lt;I237),0,IF(VolumeOverrideFlag,V237,Volume))</f>
        <v>0</v>
      </c>
      <c r="BE237" s="536" t="n">
        <f aca="false">IF(OR(DateStart2&gt;=I238,DateEnd2&lt;I237),0,IF(VolumeOverrideFlag,V237,VolumeSwaption))</f>
        <v>0</v>
      </c>
      <c r="BF237" s="537" t="n">
        <f aca="false">YEAR(I237)</f>
        <v>2018</v>
      </c>
      <c r="BG237" s="538" t="n">
        <f aca="false">MONTH(I237)</f>
        <v>10</v>
      </c>
      <c r="BH237" s="539" t="n">
        <f aca="false">AD237-DateToday+1</f>
        <v>-2566</v>
      </c>
      <c r="BI237" s="540" t="n">
        <f aca="false">(I237-DateToday+1)/365.25</f>
        <v>-6.98425735797399</v>
      </c>
      <c r="BJ237" s="541" t="n">
        <f aca="false">BI237+(BL237-BI237)*CHOOSE(Underlying,AJ237/AI237,AM237/AL237)</f>
        <v>-6.9306907121388</v>
      </c>
      <c r="BK237" s="541" t="n">
        <f aca="false">BJ237+1/365.25</f>
        <v>-6.92795286135167</v>
      </c>
      <c r="BL237" s="541" t="n">
        <f aca="false">(I238-DateToday)/365.25</f>
        <v>-6.90212183436003</v>
      </c>
      <c r="BM237" s="542" t="e">
        <f aca="false">MAX(BI237-(BJ237-BI237)*(S238^2/O238^2-1),0)</f>
        <v>#DIV/0!</v>
      </c>
      <c r="BN237" s="541" t="e">
        <f aca="false">MAX(BL237+(BL237-BK237)*(S239^2/O239^2-1),0)</f>
        <v>#DIV/0!</v>
      </c>
      <c r="BO237" s="530" t="n">
        <f aca="false">CHOOSE(Underlying,AI237,AL237)</f>
        <v>23</v>
      </c>
      <c r="BP237" s="529" t="n">
        <f aca="false">CHOOSE(Underlying,AJ237,AM237)</f>
        <v>15</v>
      </c>
      <c r="BQ237" s="529" t="n">
        <f aca="false">CHOOSE(Underlying,AK237,AN237)</f>
        <v>8</v>
      </c>
      <c r="BR237" s="463" t="str">
        <f aca="false">IF(BD237,IF(Underlying=1,X237,Z237)+UnderlyingPriceAsian-SwapPriceCurve,"")</f>
        <v/>
      </c>
      <c r="BS237" s="463" t="str">
        <f aca="false">IF(BD237,Strike1/BR237-1,"")</f>
        <v/>
      </c>
      <c r="BT237" s="464" t="str">
        <f aca="false">IF(BD237,Strike2/BR237-1,"")</f>
        <v/>
      </c>
      <c r="BU237" s="465" t="str">
        <f aca="false">IF(BD237,IF(Underlying=1,L238,R238)+UnderlyingPriceAsian-SwapPriceCurve,"")</f>
        <v/>
      </c>
      <c r="BV237" s="465" t="str">
        <f aca="false">IF(BD237,IF(Underlying=1,L239,R239)+UnderlyingPriceAsian-SwapPriceCurve,"")</f>
        <v/>
      </c>
      <c r="BW237" s="466" t="str">
        <f aca="false">IF(BD237,IF(Underlying=1,O238,AT238),"")</f>
        <v/>
      </c>
      <c r="BX237" s="467" t="str">
        <f aca="false">IF(BD237,IF(Underlying=1,O239,AT239),"")</f>
        <v/>
      </c>
      <c r="BY237" s="466" t="str">
        <f aca="false">IF(BD237,IF(BS237&gt;0,IF(BS237&gt;0.2,BC237-BB237,IF(BS237&gt;0.1,BB237-BA237,BA237)),IF(BS237&lt;-0.2,AX237-AY237,IF(BS237&lt;-0.1,AY237-AZ237,AZ237))),"")</f>
        <v/>
      </c>
      <c r="BZ237" s="467" t="str">
        <f aca="false">IF(BD237,IF(BT237&gt;0,IF(BT237&gt;0.2,BC237-BB237,IF(BT237&gt;0.1,BB237-BA237,BA237)),IF(BT237&lt;-0.2,AX237-AY237,IF(BT237&lt;-0.1,AY237-AZ237,AZ237))),"")</f>
        <v/>
      </c>
      <c r="CA237" s="468" t="str">
        <f aca="false">IF($BD237,$BW237+IF(VolSkewFlag=1,IF(BS237&gt;0,$BA237*MIN(BS237/10%,1)+($BB237-$BA237)*MAX(0,MIN(BS237/10%-1,1))+($BC237-$BB237)*MAX(0,BS237/10%-2),$AZ237*MIN(-BS237/10%,1)+($AY237-$AZ237)*MAX(0,MIN(-BS237/10%-1,1))+($AX237-$AY237)*MAX(0,-BS237/10%-2)),0),"")</f>
        <v/>
      </c>
      <c r="CB237" s="468" t="str">
        <f aca="false">IF($BD237,$BX237+IF(VolSkewFlag=1,IF(BS237&gt;0,$BA237*MIN(BS237/10%,1)+($BB237-$BA237)*MAX(0,MIN(BS237/10%-1,1))+($BC237-$BB237)*MAX(0,BS237/10%-2),$AZ237*MIN(-BS237/10%,1)+($AY237-$AZ237)*MAX(0,MIN(-BS237/10%-1,1))+($AX237-$AY237)*MAX(0,-BS237/10%-2)),0),"")</f>
        <v/>
      </c>
      <c r="CC237" s="468" t="str">
        <f aca="false">IF($BD237,$BW237+IF(VolSkewFlag=1,IF(BT237&gt;0,$BA237*MIN(BT237/10%,1)+($BB237-$BA237)*MAX(0,MIN(BT237/10%-1,1))+($BC237-$BB237)*MAX(0,BT237/10%-2),$AZ237*MIN(-BT237/10%,1)+($AY237-$AZ237)*MAX(0,MIN(-BT237/10%-1,1))+($AX237-$AY237)*MAX(0,-BT237/10%-2)),0),"")</f>
        <v/>
      </c>
      <c r="CD237" s="468" t="str">
        <f aca="false">IF($BD237,$BX237+IF(VolSkewFlag=1,IF(BT237&gt;0,$BA237*MIN(BT237/10%,1)+($BB237-$BA237)*MAX(0,MIN(BT237/10%-1,1))+($BC237-$BB237)*MAX(0,BT237/10%-2),$AZ237*MIN(-BT237/10%,1)+($AY237-$AZ237)*MAX(0,MIN(-BT237/10%-1,1))+($AX237-$AY237)*MAX(0,-BT237/10%-2)),0),"")</f>
        <v/>
      </c>
      <c r="CE237" s="469" t="n">
        <v>1</v>
      </c>
      <c r="CF237" s="470" t="n">
        <f aca="false">IF(BD237,xCrudeAPO(BU237,BV237,CA237,CB237,S238,S239,BI237,BL237,BP237,BQ237,0,Strike1,AO237,CE237,0,BL237,IF(OptControl=4,0,1),0,1),0)</f>
        <v>0</v>
      </c>
      <c r="CG237" s="470" t="n">
        <f aca="false">IF(BD237,xCrudeAPO(BU237,BV237,CA237,CB237,S238,S239,BI237,BL237,BP237,BQ237,0,Strike1,AO237,CE237,0,BL237,IF(OptControl=4,0,1),1,1)+xCrudeAPO(BU237,BV237,CA237,CB237,S238,S239,BI237,BL237,BP237,BQ237,0,Strike1,AO237,CE237,0,BL237,IF(OptControl=4,0,1),1,2)+IF(OR(VolSkewFlag=2,ABS(BS237)&lt;0.0001),0,IF(BS237&gt;0,-1,1)*CH237*Strike1/BR237^2*BY237/10%),0)</f>
        <v>0</v>
      </c>
      <c r="CH237" s="470" t="n">
        <f aca="false">IF(BD237,(xCrudeAPO(BU237,BV237,CA237,CB237,S238,S239,BI237,BL237,BP237,BQ237,0,Strike1,AO237,CE237,0,BL237,IF(OptControl=4,0,1),3,1)+xCrudeAPO(BU237,BV237,CA237,CB237,S238,S239,BI237,BL237,BP237,BQ237,0,Strike1,AO237,CE237,0,BL237,IF(OptControl=4,0,1),3,2))/100,0)</f>
        <v>0</v>
      </c>
      <c r="CI237" s="470" t="n">
        <f aca="false">IF(BD237,xCrudeAPO(BU237,BV237,CA237,CB237,S238,S239,BI237-DaysForThetaCalculation/365.25,BL237-DaysForThetaCalculation/365.25,BP237,BQ237,0,Strike1,AO237,CE237,0,BL237,IF(OptControl=4,0,1),0,1)-xCrudeAPO(BU237,BV237,CA237,CB237,S238,S239,BI237,BL237,BP237,BQ237,0,Strike1,AO237,CE237,0,BL237,IF(OptControl=4,0,1),0,1),0)</f>
        <v>0</v>
      </c>
      <c r="CJ237" s="471" t="n">
        <f aca="false">IF(BD237,xCrudeAPO(BU237,BV237,CC237,CD237,S238,S239,BI237,BL237,BP237,BQ237,0,Strike2,AO237,CE237,0,BL237,IF(OptControl=3,1,0),0,1),0)</f>
        <v>0</v>
      </c>
      <c r="CK237" s="470" t="n">
        <f aca="false">IF(BD237,xCrudeAPO(BU237,BV237,CC237,CD237,S238,S239,BI237,BL237,BP237,BQ237,0,Strike2,AO237,CE237,0,BL237,IF(OptControl=3,1,0),1,1)+xCrudeAPO(BU237,BV237,CC237,CD237,S238,S239,BI237,BL237,BP237,BQ237,0,Strike2,AO237,CE237,0,BL237,IF(OptControl=3,1,0),1,2)+IF(OR(VolSkewFlag=2,ABS(BT237)&lt;0.0001),0,IF(BT237&gt;0,-1,1)*CL237*Strike2/BR237^2*BZ237/10%),0)</f>
        <v>0</v>
      </c>
      <c r="CL237" s="470" t="n">
        <f aca="false">IF(BD237,(xCrudeAPO(BU237,BV237,CC237,CD237,S238,S239,BI237,BL237,BP237,BQ237,0,Strike2,AO237,CE237,0,BL237,IF(OptControl=3,1,0),3,1)+xCrudeAPO(BU237,BV237,CC237,CD237,S238,S239,BI237,BL237,BP237,BQ237,0,Strike2,AO237,CE237,0,BL237,IF(OptControl=3,1,0),3,2))/100,0)</f>
        <v>0</v>
      </c>
      <c r="CM237" s="472" t="n">
        <f aca="false">IF(BD237,xCrudeAPO(BU237,BV237,CC237,CD237,S238,S239,BI237-DaysForThetaCalculation/365.25,BL237-DaysForThetaCalculation/365.25,BP237,BQ237,0,Strike2,AO237,CE237,0,BL237,IF(OptControl=3,1,0),0,1)-xCrudeAPO(BU237,BV237,CC237,CD237,S238,S239,BI237,BL237,BP237,BQ237,0,Strike2,AO237,CE237,0,BL237,IF(OptControl=3,1,0),0,1),0)</f>
        <v>0</v>
      </c>
      <c r="CN237" s="3"/>
      <c r="CO237" s="543" t="str">
        <f aca="false">IF(BD237,CHOOSE(Underlying,AD237,AF237)-DateToday+1,"")</f>
        <v/>
      </c>
      <c r="CP237" s="582" t="str">
        <f aca="false">IF(BD237,CHOOSE(Underlying,L237,R237),"")</f>
        <v/>
      </c>
      <c r="CQ237" s="544" t="str">
        <f aca="false">IF(BD237,Strike1/CP237-1,"")</f>
        <v/>
      </c>
      <c r="CR237" s="544" t="str">
        <f aca="false">IF(BD237,Strike2/CP237-1,"")</f>
        <v/>
      </c>
      <c r="CS237" s="544" t="str">
        <f aca="false">IF(BD237,IF(CQ237&gt;0,IF(CQ237&gt;0.2,BC236-BB236,IF(CQ237&gt;0.1,BB236-BA236,BA236)),IF(CQ237&lt;-0.2,AX236-AY236,IF(CQ237&lt;-0.1,AY236-AZ236,AZ236))),"")</f>
        <v/>
      </c>
      <c r="CT237" s="544" t="str">
        <f aca="false">IF(BD237,IF(CR237&gt;0,IF(CR237&gt;0.2,BC236-BB236,IF(CR237&gt;0.1,BB236-BA236,BA236)),IF(CR237&lt;-0.2,AX236-AY236,IF(CR237&lt;-0.1,AY236-AZ236,AZ236))),"")</f>
        <v/>
      </c>
      <c r="CU237" s="545" t="str">
        <f aca="false">IF(BD237,CHOOSE(Underlying,O237,AT237),"")</f>
        <v/>
      </c>
      <c r="CV237" s="545" t="str">
        <f aca="false">IF(BD237,CU237+IF(VolSkewFlag=1,IF(CQ237&gt;0,BA236*MIN(CQ237/10%,1)+(BB236-BA236)*MAX(0,MIN(CQ237/10%-1,1))+(BC236-BB236)*MAX(0,CQ237/10%-2),AZ236*MIN(-CQ237/10%,1)+(AY236-AZ236)*MAX(0,MIN(-CQ237/10%-1,1))+(AX236-AY236)*MAX(0,-CQ237/10%-2)),0),"")</f>
        <v/>
      </c>
      <c r="CW237" s="545" t="str">
        <f aca="false">IF(BD237,CU237+IF(VolSkewFlag=1,IF(CR237&gt;0,BA236*MIN(CR237/10%,1)+(BB236-BA236)*MAX(0,MIN(CR237/10%-1,1))+(BC236-BB236)*MAX(0,CR237/10%-2),AZ236*MIN(-CR237/10%,1)+(AY236-AZ236)*MAX(0,MIN(-CR237/10%-1,1))+(AX236-AY236)*MAX(0,-CR237/10%-2)),0),"")</f>
        <v/>
      </c>
      <c r="CX237" s="470" t="n">
        <f aca="false">IF(BD237,EURO(CP237,Strike1,AO237,AO237,CV237,CO237,IF(OptControl=4,0,1),0),0)</f>
        <v>0</v>
      </c>
      <c r="CY237" s="470" t="n">
        <f aca="false">IF(BD237,EURO(CP237,Strike1,AO237,AO237,CV237,CO237,IF(OptControl=4,0,1),1)+IF(OR(VolSkewFlag=2,ABS(CQ237)&lt;0.0001),0,IF(CQ237&gt;0,-1,1)*CZ237*100*Strike1/CP237^2*CS237/10%),0)</f>
        <v>0</v>
      </c>
      <c r="CZ237" s="470" t="n">
        <f aca="false">IF(BD237,EURO(CP237,Strike1,AO237,AO237,CV237,CO237,IF(OptControl=4,0,1),3)/100,0)</f>
        <v>0</v>
      </c>
      <c r="DA237" s="470" t="n">
        <f aca="false">IF(BD237,EURO(CP237,Strike1,AO237,AO237,CV237,CO237,IF(OptControl=4,0,1),0)-EURO(CP237,Strike1,AO237,AO237,CV237,CO237-1,IF(OptControl=4,0,1),0),0)</f>
        <v>0</v>
      </c>
      <c r="DB237" s="470" t="n">
        <f aca="false">IF(BD237,EURO(CP237,Strike2,AO237,AO237,CW237,CO237,IF(OptControl=3,1,0),0),0)</f>
        <v>0</v>
      </c>
      <c r="DC237" s="470" t="n">
        <f aca="false">IF(BD237,EURO(CP237,Strike2,AO237,AO237,CW237,CO237,IF(OptControl=3,1,0),1)+IF(OR(VolSkewFlag=2,ABS(CR237)&lt;0.0001),0,IF(CR237&gt;0,-1,1)*DD237*100*Strike2/CP237^2*CT237/10%),0)</f>
        <v>0</v>
      </c>
      <c r="DD237" s="470" t="n">
        <f aca="false">IF(BD237,EURO(CP237,Strike2,AO237,AO237,CW237,CO237,IF(OptControl=3,1,0),3)/100,0)</f>
        <v>0</v>
      </c>
      <c r="DE237" s="472" t="n">
        <f aca="false">IF(BD237,EURO(CP237,Strike2,AO237,AO237,CW237,CO237,IF(OptControl=3,1,0),0)-EURO(CP237,Strike2,AO237,AO237,CW237,CO237-1,IF(OptControl=3,1,0),0),0)</f>
        <v>0</v>
      </c>
      <c r="DG237" s="481" t="n">
        <f aca="false">EOMONTH(DG236,0)+1</f>
        <v>52291</v>
      </c>
      <c r="DH237" s="478" t="n">
        <v>25.0100000000001</v>
      </c>
      <c r="DI237" s="479" t="n">
        <v>25.0781818181819</v>
      </c>
      <c r="DJ237" s="480" t="n">
        <f aca="false">DG237</f>
        <v>52291</v>
      </c>
      <c r="DK237" s="478" t="n">
        <v>23.8468160407658</v>
      </c>
      <c r="DL237" s="479" t="n">
        <v>23.9096818181819</v>
      </c>
      <c r="DM237" s="481" t="n">
        <f aca="false">DG237</f>
        <v>52291</v>
      </c>
      <c r="DN237" s="482" t="n">
        <f aca="false">DK237+BrentPhyBrentSpread</f>
        <v>23.8968160407658</v>
      </c>
      <c r="DO237" s="481" t="n">
        <f aca="false">DG237</f>
        <v>52291</v>
      </c>
      <c r="DP237" s="483" t="n">
        <f aca="false">DL237+DQ237</f>
        <v>23.9096818181819</v>
      </c>
      <c r="DQ237" s="546" t="n">
        <v>0</v>
      </c>
      <c r="DR237" s="480" t="n">
        <f aca="false">DG237</f>
        <v>52291</v>
      </c>
      <c r="DS237" s="485" t="n">
        <v>0.094399999999998</v>
      </c>
      <c r="DT237" s="486" t="n">
        <v>0.0935818181818152</v>
      </c>
      <c r="DU237" s="480" t="n">
        <f aca="false">DG237</f>
        <v>52291</v>
      </c>
      <c r="DV237" s="485" t="n">
        <v>0.094399999999998</v>
      </c>
      <c r="DW237" s="486" t="n">
        <v>0.0935818181818152</v>
      </c>
      <c r="DX237" s="481" t="n">
        <f aca="false">DG237</f>
        <v>52291</v>
      </c>
      <c r="DY237" s="486" t="n">
        <v>0.35</v>
      </c>
      <c r="DZ237" s="481" t="n">
        <f aca="false">DR237</f>
        <v>52291</v>
      </c>
      <c r="EA237" s="486" t="n">
        <f aca="false">DT237</f>
        <v>0.0935818181818152</v>
      </c>
      <c r="EB237" s="195"/>
      <c r="EC237" s="547" t="str">
        <f aca="false">IF(BD237,IF(Underlying=1,AS237,AU237),"")</f>
        <v/>
      </c>
      <c r="ED237" s="548" t="str">
        <f aca="false">IF($BD237,$EC237+IF(VolSkewFlag=1,IF(BS237&gt;0,$BA237*MIN(BS237/10%,1)+($BB237-$BA237)*MAX(0,MIN(BS237/10%-1,1))+($BC237-$BB237)*MAX(0,BS237/10%-2),$AZ237*MIN(-BS237/10%,1)+($AY237-$AZ237)*MAX(0,MIN(-BS237/10%-1,1))+($AX237-$AY237)*MAX(0,-BS237/10%-2)),0),"")</f>
        <v/>
      </c>
      <c r="EE237" s="549" t="str">
        <f aca="false">IF($BD237,$EC237+IF(VolSkewFlag=1,IF(BT237&gt;0,$BA237*MIN(BT237/10%,1)+($BB237-$BA237)*MAX(0,MIN(BT237/10%-1,1))+($BC237-$BB237)*MAX(0,BT237/10%-2),$AZ237*MIN(-BT237/10%,1)+($AY237-$AZ237)*MAX(0,MIN(-BT237/10%-1,1))+($AX237-$AY237)*MAX(0,-BT237/10%-2)),0),"")</f>
        <v/>
      </c>
      <c r="EF237" s="550" t="n">
        <f aca="false">IF(BD237,xASN(BR237,Strike1,AO237,ED237,0,BO237,0,BI237,BL237,IF(OptControl=4,0,1),0),0)</f>
        <v>0</v>
      </c>
      <c r="EG237" s="551" t="n">
        <f aca="false">IF(BD237,xASN(BR237,Strike2,AO237,EE237,0,BO237,0,BI237,BL237,IF(OptControl=3,1,0),0),0)</f>
        <v>0</v>
      </c>
      <c r="EL237" s="1"/>
      <c r="EM237" s="195"/>
      <c r="EN237" s="240"/>
      <c r="EO237" s="240"/>
      <c r="EP237" s="195"/>
      <c r="EQ237" s="407" t="s">
        <v>465</v>
      </c>
      <c r="ES237" s="1"/>
      <c r="EU237" s="672"/>
      <c r="FJ237" s="571" t="n">
        <v>68</v>
      </c>
      <c r="FK237" s="150" t="str">
        <f aca="false">IF(OR(FK$169&lt;SwaptionFirstMonthPosition+1,$FJ237&lt;SwaptionFirstMonthPosition+1,FK$169&gt;SwaptionFirstMonthPosition+SwaptionNumOfMonths+1,$FJ237&gt;SwaptionFirstMonthPosition+SwaptionNumOfMonths+1),"",IF($FJ237=FK$169,1,IF($FJ237&lt;FK$169,INDEX($FK$170:$ID$241,FK$169,$FJ237),SUMPRODUCT(INDEX($FK$325:$ID$396,FK$169,1+SwaptionShift):INDEX($FK$325:$ID$396,FK$169,SwaptionMonthsToGo+SwaptionShift),INDEX($FK$245:$ID$316,$FJ237-FK$169,73-FK$169+SwaptionShift):INDEX($FK$245:$ID$316,$FJ237-FK$169,72-FK$169+SwaptionMonthsToGo+SwaptionShift))/SQRT(SUM(INDEX($FK392:$ID392,1+SwaptionShift):INDEX($FK392:$ID392,SwaptionMonthsToGo+SwaptionShift))*SUM(INDEX($FK$325:$ID$396,FK$169,1+SwaptionShift):INDEX($FK$325:$ID$396,FK$169,SwaptionMonthsToGo+SwaptionShift))))))</f>
        <v/>
      </c>
      <c r="FL237" s="150" t="str">
        <f aca="false">IF(OR(FL$169&lt;SwaptionFirstMonthPosition+1,$FJ237&lt;SwaptionFirstMonthPosition+1,FL$169&gt;SwaptionFirstMonthPosition+SwaptionNumOfMonths+1,$FJ237&gt;SwaptionFirstMonthPosition+SwaptionNumOfMonths+1),"",IF($FJ237=FL$169,1,IF($FJ237&lt;FL$169,INDEX($FK$170:$ID$241,FL$169,$FJ237),SUMPRODUCT(INDEX($FK$325:$ID$396,FL$169,1+SwaptionShift):INDEX($FK$325:$ID$396,FL$169,SwaptionMonthsToGo+SwaptionShift),INDEX($FK$245:$ID$316,$FJ237-FL$169,73-FL$169+SwaptionShift):INDEX($FK$245:$ID$316,$FJ237-FL$169,72-FL$169+SwaptionMonthsToGo+SwaptionShift))/SQRT(SUM(INDEX($FK392:$ID392,1+SwaptionShift):INDEX($FK392:$ID392,SwaptionMonthsToGo+SwaptionShift))*SUM(INDEX($FK$325:$ID$396,FL$169,1+SwaptionShift):INDEX($FK$325:$ID$396,FL$169,SwaptionMonthsToGo+SwaptionShift))))))</f>
        <v/>
      </c>
      <c r="FM237" s="150" t="str">
        <f aca="false">IF(OR(FM$169&lt;SwaptionFirstMonthPosition+1,$FJ237&lt;SwaptionFirstMonthPosition+1,FM$169&gt;SwaptionFirstMonthPosition+SwaptionNumOfMonths+1,$FJ237&gt;SwaptionFirstMonthPosition+SwaptionNumOfMonths+1),"",IF($FJ237=FM$169,1,IF($FJ237&lt;FM$169,INDEX($FK$170:$ID$241,FM$169,$FJ237),SUMPRODUCT(INDEX($FK$325:$ID$396,FM$169,1+SwaptionShift):INDEX($FK$325:$ID$396,FM$169,SwaptionMonthsToGo+SwaptionShift),INDEX($FK$245:$ID$316,$FJ237-FM$169,73-FM$169+SwaptionShift):INDEX($FK$245:$ID$316,$FJ237-FM$169,72-FM$169+SwaptionMonthsToGo+SwaptionShift))/SQRT(SUM(INDEX($FK392:$ID392,1+SwaptionShift):INDEX($FK392:$ID392,SwaptionMonthsToGo+SwaptionShift))*SUM(INDEX($FK$325:$ID$396,FM$169,1+SwaptionShift):INDEX($FK$325:$ID$396,FM$169,SwaptionMonthsToGo+SwaptionShift))))))</f>
        <v/>
      </c>
      <c r="FN237" s="150" t="str">
        <f aca="false">IF(OR(FN$169&lt;SwaptionFirstMonthPosition+1,$FJ237&lt;SwaptionFirstMonthPosition+1,FN$169&gt;SwaptionFirstMonthPosition+SwaptionNumOfMonths+1,$FJ237&gt;SwaptionFirstMonthPosition+SwaptionNumOfMonths+1),"",IF($FJ237=FN$169,1,IF($FJ237&lt;FN$169,INDEX($FK$170:$ID$241,FN$169,$FJ237),SUMPRODUCT(INDEX($FK$325:$ID$396,FN$169,1+SwaptionShift):INDEX($FK$325:$ID$396,FN$169,SwaptionMonthsToGo+SwaptionShift),INDEX($FK$245:$ID$316,$FJ237-FN$169,73-FN$169+SwaptionShift):INDEX($FK$245:$ID$316,$FJ237-FN$169,72-FN$169+SwaptionMonthsToGo+SwaptionShift))/SQRT(SUM(INDEX($FK392:$ID392,1+SwaptionShift):INDEX($FK392:$ID392,SwaptionMonthsToGo+SwaptionShift))*SUM(INDEX($FK$325:$ID$396,FN$169,1+SwaptionShift):INDEX($FK$325:$ID$396,FN$169,SwaptionMonthsToGo+SwaptionShift))))))</f>
        <v/>
      </c>
      <c r="FO237" s="150" t="str">
        <f aca="false">IF(OR(FO$169&lt;SwaptionFirstMonthPosition+1,$FJ237&lt;SwaptionFirstMonthPosition+1,FO$169&gt;SwaptionFirstMonthPosition+SwaptionNumOfMonths+1,$FJ237&gt;SwaptionFirstMonthPosition+SwaptionNumOfMonths+1),"",IF($FJ237=FO$169,1,IF($FJ237&lt;FO$169,INDEX($FK$170:$ID$241,FO$169,$FJ237),SUMPRODUCT(INDEX($FK$325:$ID$396,FO$169,1+SwaptionShift):INDEX($FK$325:$ID$396,FO$169,SwaptionMonthsToGo+SwaptionShift),INDEX($FK$245:$ID$316,$FJ237-FO$169,73-FO$169+SwaptionShift):INDEX($FK$245:$ID$316,$FJ237-FO$169,72-FO$169+SwaptionMonthsToGo+SwaptionShift))/SQRT(SUM(INDEX($FK392:$ID392,1+SwaptionShift):INDEX($FK392:$ID392,SwaptionMonthsToGo+SwaptionShift))*SUM(INDEX($FK$325:$ID$396,FO$169,1+SwaptionShift):INDEX($FK$325:$ID$396,FO$169,SwaptionMonthsToGo+SwaptionShift))))))</f>
        <v/>
      </c>
      <c r="FP237" s="150" t="str">
        <f aca="false">IF(OR(FP$169&lt;SwaptionFirstMonthPosition+1,$FJ237&lt;SwaptionFirstMonthPosition+1,FP$169&gt;SwaptionFirstMonthPosition+SwaptionNumOfMonths+1,$FJ237&gt;SwaptionFirstMonthPosition+SwaptionNumOfMonths+1),"",IF($FJ237=FP$169,1,IF($FJ237&lt;FP$169,INDEX($FK$170:$ID$241,FP$169,$FJ237),SUMPRODUCT(INDEX($FK$325:$ID$396,FP$169,1+SwaptionShift):INDEX($FK$325:$ID$396,FP$169,SwaptionMonthsToGo+SwaptionShift),INDEX($FK$245:$ID$316,$FJ237-FP$169,73-FP$169+SwaptionShift):INDEX($FK$245:$ID$316,$FJ237-FP$169,72-FP$169+SwaptionMonthsToGo+SwaptionShift))/SQRT(SUM(INDEX($FK392:$ID392,1+SwaptionShift):INDEX($FK392:$ID392,SwaptionMonthsToGo+SwaptionShift))*SUM(INDEX($FK$325:$ID$396,FP$169,1+SwaptionShift):INDEX($FK$325:$ID$396,FP$169,SwaptionMonthsToGo+SwaptionShift))))))</f>
        <v/>
      </c>
      <c r="FQ237" s="150" t="str">
        <f aca="false">IF(OR(FQ$169&lt;SwaptionFirstMonthPosition+1,$FJ237&lt;SwaptionFirstMonthPosition+1,FQ$169&gt;SwaptionFirstMonthPosition+SwaptionNumOfMonths+1,$FJ237&gt;SwaptionFirstMonthPosition+SwaptionNumOfMonths+1),"",IF($FJ237=FQ$169,1,IF($FJ237&lt;FQ$169,INDEX($FK$170:$ID$241,FQ$169,$FJ237),SUMPRODUCT(INDEX($FK$325:$ID$396,FQ$169,1+SwaptionShift):INDEX($FK$325:$ID$396,FQ$169,SwaptionMonthsToGo+SwaptionShift),INDEX($FK$245:$ID$316,$FJ237-FQ$169,73-FQ$169+SwaptionShift):INDEX($FK$245:$ID$316,$FJ237-FQ$169,72-FQ$169+SwaptionMonthsToGo+SwaptionShift))/SQRT(SUM(INDEX($FK392:$ID392,1+SwaptionShift):INDEX($FK392:$ID392,SwaptionMonthsToGo+SwaptionShift))*SUM(INDEX($FK$325:$ID$396,FQ$169,1+SwaptionShift):INDEX($FK$325:$ID$396,FQ$169,SwaptionMonthsToGo+SwaptionShift))))))</f>
        <v/>
      </c>
      <c r="FR237" s="150" t="str">
        <f aca="false">IF(OR(FR$169&lt;SwaptionFirstMonthPosition+1,$FJ237&lt;SwaptionFirstMonthPosition+1,FR$169&gt;SwaptionFirstMonthPosition+SwaptionNumOfMonths+1,$FJ237&gt;SwaptionFirstMonthPosition+SwaptionNumOfMonths+1),"",IF($FJ237=FR$169,1,IF($FJ237&lt;FR$169,INDEX($FK$170:$ID$241,FR$169,$FJ237),SUMPRODUCT(INDEX($FK$325:$ID$396,FR$169,1+SwaptionShift):INDEX($FK$325:$ID$396,FR$169,SwaptionMonthsToGo+SwaptionShift),INDEX($FK$245:$ID$316,$FJ237-FR$169,73-FR$169+SwaptionShift):INDEX($FK$245:$ID$316,$FJ237-FR$169,72-FR$169+SwaptionMonthsToGo+SwaptionShift))/SQRT(SUM(INDEX($FK392:$ID392,1+SwaptionShift):INDEX($FK392:$ID392,SwaptionMonthsToGo+SwaptionShift))*SUM(INDEX($FK$325:$ID$396,FR$169,1+SwaptionShift):INDEX($FK$325:$ID$396,FR$169,SwaptionMonthsToGo+SwaptionShift))))))</f>
        <v/>
      </c>
      <c r="FS237" s="150" t="str">
        <f aca="false">IF(OR(FS$169&lt;SwaptionFirstMonthPosition+1,$FJ237&lt;SwaptionFirstMonthPosition+1,FS$169&gt;SwaptionFirstMonthPosition+SwaptionNumOfMonths+1,$FJ237&gt;SwaptionFirstMonthPosition+SwaptionNumOfMonths+1),"",IF($FJ237=FS$169,1,IF($FJ237&lt;FS$169,INDEX($FK$170:$ID$241,FS$169,$FJ237),SUMPRODUCT(INDEX($FK$325:$ID$396,FS$169,1+SwaptionShift):INDEX($FK$325:$ID$396,FS$169,SwaptionMonthsToGo+SwaptionShift),INDEX($FK$245:$ID$316,$FJ237-FS$169,73-FS$169+SwaptionShift):INDEX($FK$245:$ID$316,$FJ237-FS$169,72-FS$169+SwaptionMonthsToGo+SwaptionShift))/SQRT(SUM(INDEX($FK392:$ID392,1+SwaptionShift):INDEX($FK392:$ID392,SwaptionMonthsToGo+SwaptionShift))*SUM(INDEX($FK$325:$ID$396,FS$169,1+SwaptionShift):INDEX($FK$325:$ID$396,FS$169,SwaptionMonthsToGo+SwaptionShift))))))</f>
        <v/>
      </c>
      <c r="FT237" s="150" t="str">
        <f aca="false">IF(OR(FT$169&lt;SwaptionFirstMonthPosition+1,$FJ237&lt;SwaptionFirstMonthPosition+1,FT$169&gt;SwaptionFirstMonthPosition+SwaptionNumOfMonths+1,$FJ237&gt;SwaptionFirstMonthPosition+SwaptionNumOfMonths+1),"",IF($FJ237=FT$169,1,IF($FJ237&lt;FT$169,INDEX($FK$170:$ID$241,FT$169,$FJ237),SUMPRODUCT(INDEX($FK$325:$ID$396,FT$169,1+SwaptionShift):INDEX($FK$325:$ID$396,FT$169,SwaptionMonthsToGo+SwaptionShift),INDEX($FK$245:$ID$316,$FJ237-FT$169,73-FT$169+SwaptionShift):INDEX($FK$245:$ID$316,$FJ237-FT$169,72-FT$169+SwaptionMonthsToGo+SwaptionShift))/SQRT(SUM(INDEX($FK392:$ID392,1+SwaptionShift):INDEX($FK392:$ID392,SwaptionMonthsToGo+SwaptionShift))*SUM(INDEX($FK$325:$ID$396,FT$169,1+SwaptionShift):INDEX($FK$325:$ID$396,FT$169,SwaptionMonthsToGo+SwaptionShift))))))</f>
        <v/>
      </c>
      <c r="FU237" s="150" t="str">
        <f aca="false">IF(OR(FU$169&lt;SwaptionFirstMonthPosition+1,$FJ237&lt;SwaptionFirstMonthPosition+1,FU$169&gt;SwaptionFirstMonthPosition+SwaptionNumOfMonths+1,$FJ237&gt;SwaptionFirstMonthPosition+SwaptionNumOfMonths+1),"",IF($FJ237=FU$169,1,IF($FJ237&lt;FU$169,INDEX($FK$170:$ID$241,FU$169,$FJ237),SUMPRODUCT(INDEX($FK$325:$ID$396,FU$169,1+SwaptionShift):INDEX($FK$325:$ID$396,FU$169,SwaptionMonthsToGo+SwaptionShift),INDEX($FK$245:$ID$316,$FJ237-FU$169,73-FU$169+SwaptionShift):INDEX($FK$245:$ID$316,$FJ237-FU$169,72-FU$169+SwaptionMonthsToGo+SwaptionShift))/SQRT(SUM(INDEX($FK392:$ID392,1+SwaptionShift):INDEX($FK392:$ID392,SwaptionMonthsToGo+SwaptionShift))*SUM(INDEX($FK$325:$ID$396,FU$169,1+SwaptionShift):INDEX($FK$325:$ID$396,FU$169,SwaptionMonthsToGo+SwaptionShift))))))</f>
        <v/>
      </c>
      <c r="FV237" s="150" t="str">
        <f aca="false">IF(OR(FV$169&lt;SwaptionFirstMonthPosition+1,$FJ237&lt;SwaptionFirstMonthPosition+1,FV$169&gt;SwaptionFirstMonthPosition+SwaptionNumOfMonths+1,$FJ237&gt;SwaptionFirstMonthPosition+SwaptionNumOfMonths+1),"",IF($FJ237=FV$169,1,IF($FJ237&lt;FV$169,INDEX($FK$170:$ID$241,FV$169,$FJ237),SUMPRODUCT(INDEX($FK$325:$ID$396,FV$169,1+SwaptionShift):INDEX($FK$325:$ID$396,FV$169,SwaptionMonthsToGo+SwaptionShift),INDEX($FK$245:$ID$316,$FJ237-FV$169,73-FV$169+SwaptionShift):INDEX($FK$245:$ID$316,$FJ237-FV$169,72-FV$169+SwaptionMonthsToGo+SwaptionShift))/SQRT(SUM(INDEX($FK392:$ID392,1+SwaptionShift):INDEX($FK392:$ID392,SwaptionMonthsToGo+SwaptionShift))*SUM(INDEX($FK$325:$ID$396,FV$169,1+SwaptionShift):INDEX($FK$325:$ID$396,FV$169,SwaptionMonthsToGo+SwaptionShift))))))</f>
        <v/>
      </c>
      <c r="FW237" s="150" t="str">
        <f aca="false">IF(OR(FW$169&lt;SwaptionFirstMonthPosition+1,$FJ237&lt;SwaptionFirstMonthPosition+1,FW$169&gt;SwaptionFirstMonthPosition+SwaptionNumOfMonths+1,$FJ237&gt;SwaptionFirstMonthPosition+SwaptionNumOfMonths+1),"",IF($FJ237=FW$169,1,IF($FJ237&lt;FW$169,INDEX($FK$170:$ID$241,FW$169,$FJ237),SUMPRODUCT(INDEX($FK$325:$ID$396,FW$169,1+SwaptionShift):INDEX($FK$325:$ID$396,FW$169,SwaptionMonthsToGo+SwaptionShift),INDEX($FK$245:$ID$316,$FJ237-FW$169,73-FW$169+SwaptionShift):INDEX($FK$245:$ID$316,$FJ237-FW$169,72-FW$169+SwaptionMonthsToGo+SwaptionShift))/SQRT(SUM(INDEX($FK392:$ID392,1+SwaptionShift):INDEX($FK392:$ID392,SwaptionMonthsToGo+SwaptionShift))*SUM(INDEX($FK$325:$ID$396,FW$169,1+SwaptionShift):INDEX($FK$325:$ID$396,FW$169,SwaptionMonthsToGo+SwaptionShift))))))</f>
        <v/>
      </c>
      <c r="FX237" s="150" t="str">
        <f aca="false">IF(OR(FX$169&lt;SwaptionFirstMonthPosition+1,$FJ237&lt;SwaptionFirstMonthPosition+1,FX$169&gt;SwaptionFirstMonthPosition+SwaptionNumOfMonths+1,$FJ237&gt;SwaptionFirstMonthPosition+SwaptionNumOfMonths+1),"",IF($FJ237=FX$169,1,IF($FJ237&lt;FX$169,INDEX($FK$170:$ID$241,FX$169,$FJ237),SUMPRODUCT(INDEX($FK$325:$ID$396,FX$169,1+SwaptionShift):INDEX($FK$325:$ID$396,FX$169,SwaptionMonthsToGo+SwaptionShift),INDEX($FK$245:$ID$316,$FJ237-FX$169,73-FX$169+SwaptionShift):INDEX($FK$245:$ID$316,$FJ237-FX$169,72-FX$169+SwaptionMonthsToGo+SwaptionShift))/SQRT(SUM(INDEX($FK392:$ID392,1+SwaptionShift):INDEX($FK392:$ID392,SwaptionMonthsToGo+SwaptionShift))*SUM(INDEX($FK$325:$ID$396,FX$169,1+SwaptionShift):INDEX($FK$325:$ID$396,FX$169,SwaptionMonthsToGo+SwaptionShift))))))</f>
        <v/>
      </c>
      <c r="FY237" s="150" t="str">
        <f aca="false">IF(OR(FY$169&lt;SwaptionFirstMonthPosition+1,$FJ237&lt;SwaptionFirstMonthPosition+1,FY$169&gt;SwaptionFirstMonthPosition+SwaptionNumOfMonths+1,$FJ237&gt;SwaptionFirstMonthPosition+SwaptionNumOfMonths+1),"",IF($FJ237=FY$169,1,IF($FJ237&lt;FY$169,INDEX($FK$170:$ID$241,FY$169,$FJ237),SUMPRODUCT(INDEX($FK$325:$ID$396,FY$169,1+SwaptionShift):INDEX($FK$325:$ID$396,FY$169,SwaptionMonthsToGo+SwaptionShift),INDEX($FK$245:$ID$316,$FJ237-FY$169,73-FY$169+SwaptionShift):INDEX($FK$245:$ID$316,$FJ237-FY$169,72-FY$169+SwaptionMonthsToGo+SwaptionShift))/SQRT(SUM(INDEX($FK392:$ID392,1+SwaptionShift):INDEX($FK392:$ID392,SwaptionMonthsToGo+SwaptionShift))*SUM(INDEX($FK$325:$ID$396,FY$169,1+SwaptionShift):INDEX($FK$325:$ID$396,FY$169,SwaptionMonthsToGo+SwaptionShift))))))</f>
        <v/>
      </c>
      <c r="FZ237" s="150" t="str">
        <f aca="false">IF(OR(FZ$169&lt;SwaptionFirstMonthPosition+1,$FJ237&lt;SwaptionFirstMonthPosition+1,FZ$169&gt;SwaptionFirstMonthPosition+SwaptionNumOfMonths+1,$FJ237&gt;SwaptionFirstMonthPosition+SwaptionNumOfMonths+1),"",IF($FJ237=FZ$169,1,IF($FJ237&lt;FZ$169,INDEX($FK$170:$ID$241,FZ$169,$FJ237),SUMPRODUCT(INDEX($FK$325:$ID$396,FZ$169,1+SwaptionShift):INDEX($FK$325:$ID$396,FZ$169,SwaptionMonthsToGo+SwaptionShift),INDEX($FK$245:$ID$316,$FJ237-FZ$169,73-FZ$169+SwaptionShift):INDEX($FK$245:$ID$316,$FJ237-FZ$169,72-FZ$169+SwaptionMonthsToGo+SwaptionShift))/SQRT(SUM(INDEX($FK392:$ID392,1+SwaptionShift):INDEX($FK392:$ID392,SwaptionMonthsToGo+SwaptionShift))*SUM(INDEX($FK$325:$ID$396,FZ$169,1+SwaptionShift):INDEX($FK$325:$ID$396,FZ$169,SwaptionMonthsToGo+SwaptionShift))))))</f>
        <v/>
      </c>
      <c r="GA237" s="150" t="str">
        <f aca="false">IF(OR(GA$169&lt;SwaptionFirstMonthPosition+1,$FJ237&lt;SwaptionFirstMonthPosition+1,GA$169&gt;SwaptionFirstMonthPosition+SwaptionNumOfMonths+1,$FJ237&gt;SwaptionFirstMonthPosition+SwaptionNumOfMonths+1),"",IF($FJ237=GA$169,1,IF($FJ237&lt;GA$169,INDEX($FK$170:$ID$241,GA$169,$FJ237),SUMPRODUCT(INDEX($FK$325:$ID$396,GA$169,1+SwaptionShift):INDEX($FK$325:$ID$396,GA$169,SwaptionMonthsToGo+SwaptionShift),INDEX($FK$245:$ID$316,$FJ237-GA$169,73-GA$169+SwaptionShift):INDEX($FK$245:$ID$316,$FJ237-GA$169,72-GA$169+SwaptionMonthsToGo+SwaptionShift))/SQRT(SUM(INDEX($FK392:$ID392,1+SwaptionShift):INDEX($FK392:$ID392,SwaptionMonthsToGo+SwaptionShift))*SUM(INDEX($FK$325:$ID$396,GA$169,1+SwaptionShift):INDEX($FK$325:$ID$396,GA$169,SwaptionMonthsToGo+SwaptionShift))))))</f>
        <v/>
      </c>
      <c r="GB237" s="150" t="str">
        <f aca="false">IF(OR(GB$169&lt;SwaptionFirstMonthPosition+1,$FJ237&lt;SwaptionFirstMonthPosition+1,GB$169&gt;SwaptionFirstMonthPosition+SwaptionNumOfMonths+1,$FJ237&gt;SwaptionFirstMonthPosition+SwaptionNumOfMonths+1),"",IF($FJ237=GB$169,1,IF($FJ237&lt;GB$169,INDEX($FK$170:$ID$241,GB$169,$FJ237),SUMPRODUCT(INDEX($FK$325:$ID$396,GB$169,1+SwaptionShift):INDEX($FK$325:$ID$396,GB$169,SwaptionMonthsToGo+SwaptionShift),INDEX($FK$245:$ID$316,$FJ237-GB$169,73-GB$169+SwaptionShift):INDEX($FK$245:$ID$316,$FJ237-GB$169,72-GB$169+SwaptionMonthsToGo+SwaptionShift))/SQRT(SUM(INDEX($FK392:$ID392,1+SwaptionShift):INDEX($FK392:$ID392,SwaptionMonthsToGo+SwaptionShift))*SUM(INDEX($FK$325:$ID$396,GB$169,1+SwaptionShift):INDEX($FK$325:$ID$396,GB$169,SwaptionMonthsToGo+SwaptionShift))))))</f>
        <v/>
      </c>
      <c r="GC237" s="150" t="str">
        <f aca="false">IF(OR(GC$169&lt;SwaptionFirstMonthPosition+1,$FJ237&lt;SwaptionFirstMonthPosition+1,GC$169&gt;SwaptionFirstMonthPosition+SwaptionNumOfMonths+1,$FJ237&gt;SwaptionFirstMonthPosition+SwaptionNumOfMonths+1),"",IF($FJ237=GC$169,1,IF($FJ237&lt;GC$169,INDEX($FK$170:$ID$241,GC$169,$FJ237),SUMPRODUCT(INDEX($FK$325:$ID$396,GC$169,1+SwaptionShift):INDEX($FK$325:$ID$396,GC$169,SwaptionMonthsToGo+SwaptionShift),INDEX($FK$245:$ID$316,$FJ237-GC$169,73-GC$169+SwaptionShift):INDEX($FK$245:$ID$316,$FJ237-GC$169,72-GC$169+SwaptionMonthsToGo+SwaptionShift))/SQRT(SUM(INDEX($FK392:$ID392,1+SwaptionShift):INDEX($FK392:$ID392,SwaptionMonthsToGo+SwaptionShift))*SUM(INDEX($FK$325:$ID$396,GC$169,1+SwaptionShift):INDEX($FK$325:$ID$396,GC$169,SwaptionMonthsToGo+SwaptionShift))))))</f>
        <v/>
      </c>
      <c r="GD237" s="150" t="str">
        <f aca="false">IF(OR(GD$169&lt;SwaptionFirstMonthPosition+1,$FJ237&lt;SwaptionFirstMonthPosition+1,GD$169&gt;SwaptionFirstMonthPosition+SwaptionNumOfMonths+1,$FJ237&gt;SwaptionFirstMonthPosition+SwaptionNumOfMonths+1),"",IF($FJ237=GD$169,1,IF($FJ237&lt;GD$169,INDEX($FK$170:$ID$241,GD$169,$FJ237),SUMPRODUCT(INDEX($FK$325:$ID$396,GD$169,1+SwaptionShift):INDEX($FK$325:$ID$396,GD$169,SwaptionMonthsToGo+SwaptionShift),INDEX($FK$245:$ID$316,$FJ237-GD$169,73-GD$169+SwaptionShift):INDEX($FK$245:$ID$316,$FJ237-GD$169,72-GD$169+SwaptionMonthsToGo+SwaptionShift))/SQRT(SUM(INDEX($FK392:$ID392,1+SwaptionShift):INDEX($FK392:$ID392,SwaptionMonthsToGo+SwaptionShift))*SUM(INDEX($FK$325:$ID$396,GD$169,1+SwaptionShift):INDEX($FK$325:$ID$396,GD$169,SwaptionMonthsToGo+SwaptionShift))))))</f>
        <v/>
      </c>
      <c r="GE237" s="150" t="str">
        <f aca="false">IF(OR(GE$169&lt;SwaptionFirstMonthPosition+1,$FJ237&lt;SwaptionFirstMonthPosition+1,GE$169&gt;SwaptionFirstMonthPosition+SwaptionNumOfMonths+1,$FJ237&gt;SwaptionFirstMonthPosition+SwaptionNumOfMonths+1),"",IF($FJ237=GE$169,1,IF($FJ237&lt;GE$169,INDEX($FK$170:$ID$241,GE$169,$FJ237),SUMPRODUCT(INDEX($FK$325:$ID$396,GE$169,1+SwaptionShift):INDEX($FK$325:$ID$396,GE$169,SwaptionMonthsToGo+SwaptionShift),INDEX($FK$245:$ID$316,$FJ237-GE$169,73-GE$169+SwaptionShift):INDEX($FK$245:$ID$316,$FJ237-GE$169,72-GE$169+SwaptionMonthsToGo+SwaptionShift))/SQRT(SUM(INDEX($FK392:$ID392,1+SwaptionShift):INDEX($FK392:$ID392,SwaptionMonthsToGo+SwaptionShift))*SUM(INDEX($FK$325:$ID$396,GE$169,1+SwaptionShift):INDEX($FK$325:$ID$396,GE$169,SwaptionMonthsToGo+SwaptionShift))))))</f>
        <v/>
      </c>
      <c r="GF237" s="150" t="str">
        <f aca="false">IF(OR(GF$169&lt;SwaptionFirstMonthPosition+1,$FJ237&lt;SwaptionFirstMonthPosition+1,GF$169&gt;SwaptionFirstMonthPosition+SwaptionNumOfMonths+1,$FJ237&gt;SwaptionFirstMonthPosition+SwaptionNumOfMonths+1),"",IF($FJ237=GF$169,1,IF($FJ237&lt;GF$169,INDEX($FK$170:$ID$241,GF$169,$FJ237),SUMPRODUCT(INDEX($FK$325:$ID$396,GF$169,1+SwaptionShift):INDEX($FK$325:$ID$396,GF$169,SwaptionMonthsToGo+SwaptionShift),INDEX($FK$245:$ID$316,$FJ237-GF$169,73-GF$169+SwaptionShift):INDEX($FK$245:$ID$316,$FJ237-GF$169,72-GF$169+SwaptionMonthsToGo+SwaptionShift))/SQRT(SUM(INDEX($FK392:$ID392,1+SwaptionShift):INDEX($FK392:$ID392,SwaptionMonthsToGo+SwaptionShift))*SUM(INDEX($FK$325:$ID$396,GF$169,1+SwaptionShift):INDEX($FK$325:$ID$396,GF$169,SwaptionMonthsToGo+SwaptionShift))))))</f>
        <v/>
      </c>
      <c r="GG237" s="150" t="str">
        <f aca="false">IF(OR(GG$169&lt;SwaptionFirstMonthPosition+1,$FJ237&lt;SwaptionFirstMonthPosition+1,GG$169&gt;SwaptionFirstMonthPosition+SwaptionNumOfMonths+1,$FJ237&gt;SwaptionFirstMonthPosition+SwaptionNumOfMonths+1),"",IF($FJ237=GG$169,1,IF($FJ237&lt;GG$169,INDEX($FK$170:$ID$241,GG$169,$FJ237),SUMPRODUCT(INDEX($FK$325:$ID$396,GG$169,1+SwaptionShift):INDEX($FK$325:$ID$396,GG$169,SwaptionMonthsToGo+SwaptionShift),INDEX($FK$245:$ID$316,$FJ237-GG$169,73-GG$169+SwaptionShift):INDEX($FK$245:$ID$316,$FJ237-GG$169,72-GG$169+SwaptionMonthsToGo+SwaptionShift))/SQRT(SUM(INDEX($FK392:$ID392,1+SwaptionShift):INDEX($FK392:$ID392,SwaptionMonthsToGo+SwaptionShift))*SUM(INDEX($FK$325:$ID$396,GG$169,1+SwaptionShift):INDEX($FK$325:$ID$396,GG$169,SwaptionMonthsToGo+SwaptionShift))))))</f>
        <v/>
      </c>
      <c r="GH237" s="150" t="str">
        <f aca="false">IF(OR(GH$169&lt;SwaptionFirstMonthPosition+1,$FJ237&lt;SwaptionFirstMonthPosition+1,GH$169&gt;SwaptionFirstMonthPosition+SwaptionNumOfMonths+1,$FJ237&gt;SwaptionFirstMonthPosition+SwaptionNumOfMonths+1),"",IF($FJ237=GH$169,1,IF($FJ237&lt;GH$169,INDEX($FK$170:$ID$241,GH$169,$FJ237),SUMPRODUCT(INDEX($FK$325:$ID$396,GH$169,1+SwaptionShift):INDEX($FK$325:$ID$396,GH$169,SwaptionMonthsToGo+SwaptionShift),INDEX($FK$245:$ID$316,$FJ237-GH$169,73-GH$169+SwaptionShift):INDEX($FK$245:$ID$316,$FJ237-GH$169,72-GH$169+SwaptionMonthsToGo+SwaptionShift))/SQRT(SUM(INDEX($FK392:$ID392,1+SwaptionShift):INDEX($FK392:$ID392,SwaptionMonthsToGo+SwaptionShift))*SUM(INDEX($FK$325:$ID$396,GH$169,1+SwaptionShift):INDEX($FK$325:$ID$396,GH$169,SwaptionMonthsToGo+SwaptionShift))))))</f>
        <v/>
      </c>
      <c r="GI237" s="150" t="str">
        <f aca="false">IF(OR(GI$169&lt;SwaptionFirstMonthPosition+1,$FJ237&lt;SwaptionFirstMonthPosition+1,GI$169&gt;SwaptionFirstMonthPosition+SwaptionNumOfMonths+1,$FJ237&gt;SwaptionFirstMonthPosition+SwaptionNumOfMonths+1),"",IF($FJ237=GI$169,1,IF($FJ237&lt;GI$169,INDEX($FK$170:$ID$241,GI$169,$FJ237),SUMPRODUCT(INDEX($FK$325:$ID$396,GI$169,1+SwaptionShift):INDEX($FK$325:$ID$396,GI$169,SwaptionMonthsToGo+SwaptionShift),INDEX($FK$245:$ID$316,$FJ237-GI$169,73-GI$169+SwaptionShift):INDEX($FK$245:$ID$316,$FJ237-GI$169,72-GI$169+SwaptionMonthsToGo+SwaptionShift))/SQRT(SUM(INDEX($FK392:$ID392,1+SwaptionShift):INDEX($FK392:$ID392,SwaptionMonthsToGo+SwaptionShift))*SUM(INDEX($FK$325:$ID$396,GI$169,1+SwaptionShift):INDEX($FK$325:$ID$396,GI$169,SwaptionMonthsToGo+SwaptionShift))))))</f>
        <v/>
      </c>
      <c r="GJ237" s="150" t="str">
        <f aca="false">IF(OR(GJ$169&lt;SwaptionFirstMonthPosition+1,$FJ237&lt;SwaptionFirstMonthPosition+1,GJ$169&gt;SwaptionFirstMonthPosition+SwaptionNumOfMonths+1,$FJ237&gt;SwaptionFirstMonthPosition+SwaptionNumOfMonths+1),"",IF($FJ237=GJ$169,1,IF($FJ237&lt;GJ$169,INDEX($FK$170:$ID$241,GJ$169,$FJ237),SUMPRODUCT(INDEX($FK$325:$ID$396,GJ$169,1+SwaptionShift):INDEX($FK$325:$ID$396,GJ$169,SwaptionMonthsToGo+SwaptionShift),INDEX($FK$245:$ID$316,$FJ237-GJ$169,73-GJ$169+SwaptionShift):INDEX($FK$245:$ID$316,$FJ237-GJ$169,72-GJ$169+SwaptionMonthsToGo+SwaptionShift))/SQRT(SUM(INDEX($FK392:$ID392,1+SwaptionShift):INDEX($FK392:$ID392,SwaptionMonthsToGo+SwaptionShift))*SUM(INDEX($FK$325:$ID$396,GJ$169,1+SwaptionShift):INDEX($FK$325:$ID$396,GJ$169,SwaptionMonthsToGo+SwaptionShift))))))</f>
        <v/>
      </c>
      <c r="GK237" s="150" t="str">
        <f aca="false">IF(OR(GK$169&lt;SwaptionFirstMonthPosition+1,$FJ237&lt;SwaptionFirstMonthPosition+1,GK$169&gt;SwaptionFirstMonthPosition+SwaptionNumOfMonths+1,$FJ237&gt;SwaptionFirstMonthPosition+SwaptionNumOfMonths+1),"",IF($FJ237=GK$169,1,IF($FJ237&lt;GK$169,INDEX($FK$170:$ID$241,GK$169,$FJ237),SUMPRODUCT(INDEX($FK$325:$ID$396,GK$169,1+SwaptionShift):INDEX($FK$325:$ID$396,GK$169,SwaptionMonthsToGo+SwaptionShift),INDEX($FK$245:$ID$316,$FJ237-GK$169,73-GK$169+SwaptionShift):INDEX($FK$245:$ID$316,$FJ237-GK$169,72-GK$169+SwaptionMonthsToGo+SwaptionShift))/SQRT(SUM(INDEX($FK392:$ID392,1+SwaptionShift):INDEX($FK392:$ID392,SwaptionMonthsToGo+SwaptionShift))*SUM(INDEX($FK$325:$ID$396,GK$169,1+SwaptionShift):INDEX($FK$325:$ID$396,GK$169,SwaptionMonthsToGo+SwaptionShift))))))</f>
        <v/>
      </c>
      <c r="GL237" s="150" t="str">
        <f aca="false">IF(OR(GL$169&lt;SwaptionFirstMonthPosition+1,$FJ237&lt;SwaptionFirstMonthPosition+1,GL$169&gt;SwaptionFirstMonthPosition+SwaptionNumOfMonths+1,$FJ237&gt;SwaptionFirstMonthPosition+SwaptionNumOfMonths+1),"",IF($FJ237=GL$169,1,IF($FJ237&lt;GL$169,INDEX($FK$170:$ID$241,GL$169,$FJ237),SUMPRODUCT(INDEX($FK$325:$ID$396,GL$169,1+SwaptionShift):INDEX($FK$325:$ID$396,GL$169,SwaptionMonthsToGo+SwaptionShift),INDEX($FK$245:$ID$316,$FJ237-GL$169,73-GL$169+SwaptionShift):INDEX($FK$245:$ID$316,$FJ237-GL$169,72-GL$169+SwaptionMonthsToGo+SwaptionShift))/SQRT(SUM(INDEX($FK392:$ID392,1+SwaptionShift):INDEX($FK392:$ID392,SwaptionMonthsToGo+SwaptionShift))*SUM(INDEX($FK$325:$ID$396,GL$169,1+SwaptionShift):INDEX($FK$325:$ID$396,GL$169,SwaptionMonthsToGo+SwaptionShift))))))</f>
        <v/>
      </c>
      <c r="GM237" s="150" t="str">
        <f aca="false">IF(OR(GM$169&lt;SwaptionFirstMonthPosition+1,$FJ237&lt;SwaptionFirstMonthPosition+1,GM$169&gt;SwaptionFirstMonthPosition+SwaptionNumOfMonths+1,$FJ237&gt;SwaptionFirstMonthPosition+SwaptionNumOfMonths+1),"",IF($FJ237=GM$169,1,IF($FJ237&lt;GM$169,INDEX($FK$170:$ID$241,GM$169,$FJ237),SUMPRODUCT(INDEX($FK$325:$ID$396,GM$169,1+SwaptionShift):INDEX($FK$325:$ID$396,GM$169,SwaptionMonthsToGo+SwaptionShift),INDEX($FK$245:$ID$316,$FJ237-GM$169,73-GM$169+SwaptionShift):INDEX($FK$245:$ID$316,$FJ237-GM$169,72-GM$169+SwaptionMonthsToGo+SwaptionShift))/SQRT(SUM(INDEX($FK392:$ID392,1+SwaptionShift):INDEX($FK392:$ID392,SwaptionMonthsToGo+SwaptionShift))*SUM(INDEX($FK$325:$ID$396,GM$169,1+SwaptionShift):INDEX($FK$325:$ID$396,GM$169,SwaptionMonthsToGo+SwaptionShift))))))</f>
        <v/>
      </c>
      <c r="GN237" s="150" t="str">
        <f aca="false">IF(OR(GN$169&lt;SwaptionFirstMonthPosition+1,$FJ237&lt;SwaptionFirstMonthPosition+1,GN$169&gt;SwaptionFirstMonthPosition+SwaptionNumOfMonths+1,$FJ237&gt;SwaptionFirstMonthPosition+SwaptionNumOfMonths+1),"",IF($FJ237=GN$169,1,IF($FJ237&lt;GN$169,INDEX($FK$170:$ID$241,GN$169,$FJ237),SUMPRODUCT(INDEX($FK$325:$ID$396,GN$169,1+SwaptionShift):INDEX($FK$325:$ID$396,GN$169,SwaptionMonthsToGo+SwaptionShift),INDEX($FK$245:$ID$316,$FJ237-GN$169,73-GN$169+SwaptionShift):INDEX($FK$245:$ID$316,$FJ237-GN$169,72-GN$169+SwaptionMonthsToGo+SwaptionShift))/SQRT(SUM(INDEX($FK392:$ID392,1+SwaptionShift):INDEX($FK392:$ID392,SwaptionMonthsToGo+SwaptionShift))*SUM(INDEX($FK$325:$ID$396,GN$169,1+SwaptionShift):INDEX($FK$325:$ID$396,GN$169,SwaptionMonthsToGo+SwaptionShift))))))</f>
        <v/>
      </c>
      <c r="GO237" s="150" t="str">
        <f aca="false">IF(OR(GO$169&lt;SwaptionFirstMonthPosition+1,$FJ237&lt;SwaptionFirstMonthPosition+1,GO$169&gt;SwaptionFirstMonthPosition+SwaptionNumOfMonths+1,$FJ237&gt;SwaptionFirstMonthPosition+SwaptionNumOfMonths+1),"",IF($FJ237=GO$169,1,IF($FJ237&lt;GO$169,INDEX($FK$170:$ID$241,GO$169,$FJ237),SUMPRODUCT(INDEX($FK$325:$ID$396,GO$169,1+SwaptionShift):INDEX($FK$325:$ID$396,GO$169,SwaptionMonthsToGo+SwaptionShift),INDEX($FK$245:$ID$316,$FJ237-GO$169,73-GO$169+SwaptionShift):INDEX($FK$245:$ID$316,$FJ237-GO$169,72-GO$169+SwaptionMonthsToGo+SwaptionShift))/SQRT(SUM(INDEX($FK392:$ID392,1+SwaptionShift):INDEX($FK392:$ID392,SwaptionMonthsToGo+SwaptionShift))*SUM(INDEX($FK$325:$ID$396,GO$169,1+SwaptionShift):INDEX($FK$325:$ID$396,GO$169,SwaptionMonthsToGo+SwaptionShift))))))</f>
        <v/>
      </c>
      <c r="GP237" s="150" t="str">
        <f aca="false">IF(OR(GP$169&lt;SwaptionFirstMonthPosition+1,$FJ237&lt;SwaptionFirstMonthPosition+1,GP$169&gt;SwaptionFirstMonthPosition+SwaptionNumOfMonths+1,$FJ237&gt;SwaptionFirstMonthPosition+SwaptionNumOfMonths+1),"",IF($FJ237=GP$169,1,IF($FJ237&lt;GP$169,INDEX($FK$170:$ID$241,GP$169,$FJ237),SUMPRODUCT(INDEX($FK$325:$ID$396,GP$169,1+SwaptionShift):INDEX($FK$325:$ID$396,GP$169,SwaptionMonthsToGo+SwaptionShift),INDEX($FK$245:$ID$316,$FJ237-GP$169,73-GP$169+SwaptionShift):INDEX($FK$245:$ID$316,$FJ237-GP$169,72-GP$169+SwaptionMonthsToGo+SwaptionShift))/SQRT(SUM(INDEX($FK392:$ID392,1+SwaptionShift):INDEX($FK392:$ID392,SwaptionMonthsToGo+SwaptionShift))*SUM(INDEX($FK$325:$ID$396,GP$169,1+SwaptionShift):INDEX($FK$325:$ID$396,GP$169,SwaptionMonthsToGo+SwaptionShift))))))</f>
        <v/>
      </c>
      <c r="GQ237" s="150" t="str">
        <f aca="false">IF(OR(GQ$169&lt;SwaptionFirstMonthPosition+1,$FJ237&lt;SwaptionFirstMonthPosition+1,GQ$169&gt;SwaptionFirstMonthPosition+SwaptionNumOfMonths+1,$FJ237&gt;SwaptionFirstMonthPosition+SwaptionNumOfMonths+1),"",IF($FJ237=GQ$169,1,IF($FJ237&lt;GQ$169,INDEX($FK$170:$ID$241,GQ$169,$FJ237),SUMPRODUCT(INDEX($FK$325:$ID$396,GQ$169,1+SwaptionShift):INDEX($FK$325:$ID$396,GQ$169,SwaptionMonthsToGo+SwaptionShift),INDEX($FK$245:$ID$316,$FJ237-GQ$169,73-GQ$169+SwaptionShift):INDEX($FK$245:$ID$316,$FJ237-GQ$169,72-GQ$169+SwaptionMonthsToGo+SwaptionShift))/SQRT(SUM(INDEX($FK392:$ID392,1+SwaptionShift):INDEX($FK392:$ID392,SwaptionMonthsToGo+SwaptionShift))*SUM(INDEX($FK$325:$ID$396,GQ$169,1+SwaptionShift):INDEX($FK$325:$ID$396,GQ$169,SwaptionMonthsToGo+SwaptionShift))))))</f>
        <v/>
      </c>
      <c r="GR237" s="150" t="str">
        <f aca="false">IF(OR(GR$169&lt;SwaptionFirstMonthPosition+1,$FJ237&lt;SwaptionFirstMonthPosition+1,GR$169&gt;SwaptionFirstMonthPosition+SwaptionNumOfMonths+1,$FJ237&gt;SwaptionFirstMonthPosition+SwaptionNumOfMonths+1),"",IF($FJ237=GR$169,1,IF($FJ237&lt;GR$169,INDEX($FK$170:$ID$241,GR$169,$FJ237),SUMPRODUCT(INDEX($FK$325:$ID$396,GR$169,1+SwaptionShift):INDEX($FK$325:$ID$396,GR$169,SwaptionMonthsToGo+SwaptionShift),INDEX($FK$245:$ID$316,$FJ237-GR$169,73-GR$169+SwaptionShift):INDEX($FK$245:$ID$316,$FJ237-GR$169,72-GR$169+SwaptionMonthsToGo+SwaptionShift))/SQRT(SUM(INDEX($FK392:$ID392,1+SwaptionShift):INDEX($FK392:$ID392,SwaptionMonthsToGo+SwaptionShift))*SUM(INDEX($FK$325:$ID$396,GR$169,1+SwaptionShift):INDEX($FK$325:$ID$396,GR$169,SwaptionMonthsToGo+SwaptionShift))))))</f>
        <v/>
      </c>
      <c r="GS237" s="150" t="str">
        <f aca="false">IF(OR(GS$169&lt;SwaptionFirstMonthPosition+1,$FJ237&lt;SwaptionFirstMonthPosition+1,GS$169&gt;SwaptionFirstMonthPosition+SwaptionNumOfMonths+1,$FJ237&gt;SwaptionFirstMonthPosition+SwaptionNumOfMonths+1),"",IF($FJ237=GS$169,1,IF($FJ237&lt;GS$169,INDEX($FK$170:$ID$241,GS$169,$FJ237),SUMPRODUCT(INDEX($FK$325:$ID$396,GS$169,1+SwaptionShift):INDEX($FK$325:$ID$396,GS$169,SwaptionMonthsToGo+SwaptionShift),INDEX($FK$245:$ID$316,$FJ237-GS$169,73-GS$169+SwaptionShift):INDEX($FK$245:$ID$316,$FJ237-GS$169,72-GS$169+SwaptionMonthsToGo+SwaptionShift))/SQRT(SUM(INDEX($FK392:$ID392,1+SwaptionShift):INDEX($FK392:$ID392,SwaptionMonthsToGo+SwaptionShift))*SUM(INDEX($FK$325:$ID$396,GS$169,1+SwaptionShift):INDEX($FK$325:$ID$396,GS$169,SwaptionMonthsToGo+SwaptionShift))))))</f>
        <v/>
      </c>
      <c r="GT237" s="150" t="str">
        <f aca="false">IF(OR(GT$169&lt;SwaptionFirstMonthPosition+1,$FJ237&lt;SwaptionFirstMonthPosition+1,GT$169&gt;SwaptionFirstMonthPosition+SwaptionNumOfMonths+1,$FJ237&gt;SwaptionFirstMonthPosition+SwaptionNumOfMonths+1),"",IF($FJ237=GT$169,1,IF($FJ237&lt;GT$169,INDEX($FK$170:$ID$241,GT$169,$FJ237),SUMPRODUCT(INDEX($FK$325:$ID$396,GT$169,1+SwaptionShift):INDEX($FK$325:$ID$396,GT$169,SwaptionMonthsToGo+SwaptionShift),INDEX($FK$245:$ID$316,$FJ237-GT$169,73-GT$169+SwaptionShift):INDEX($FK$245:$ID$316,$FJ237-GT$169,72-GT$169+SwaptionMonthsToGo+SwaptionShift))/SQRT(SUM(INDEX($FK392:$ID392,1+SwaptionShift):INDEX($FK392:$ID392,SwaptionMonthsToGo+SwaptionShift))*SUM(INDEX($FK$325:$ID$396,GT$169,1+SwaptionShift):INDEX($FK$325:$ID$396,GT$169,SwaptionMonthsToGo+SwaptionShift))))))</f>
        <v/>
      </c>
      <c r="GU237" s="150" t="str">
        <f aca="false">IF(OR(GU$169&lt;SwaptionFirstMonthPosition+1,$FJ237&lt;SwaptionFirstMonthPosition+1,GU$169&gt;SwaptionFirstMonthPosition+SwaptionNumOfMonths+1,$FJ237&gt;SwaptionFirstMonthPosition+SwaptionNumOfMonths+1),"",IF($FJ237=GU$169,1,IF($FJ237&lt;GU$169,INDEX($FK$170:$ID$241,GU$169,$FJ237),SUMPRODUCT(INDEX($FK$325:$ID$396,GU$169,1+SwaptionShift):INDEX($FK$325:$ID$396,GU$169,SwaptionMonthsToGo+SwaptionShift),INDEX($FK$245:$ID$316,$FJ237-GU$169,73-GU$169+SwaptionShift):INDEX($FK$245:$ID$316,$FJ237-GU$169,72-GU$169+SwaptionMonthsToGo+SwaptionShift))/SQRT(SUM(INDEX($FK392:$ID392,1+SwaptionShift):INDEX($FK392:$ID392,SwaptionMonthsToGo+SwaptionShift))*SUM(INDEX($FK$325:$ID$396,GU$169,1+SwaptionShift):INDEX($FK$325:$ID$396,GU$169,SwaptionMonthsToGo+SwaptionShift))))))</f>
        <v/>
      </c>
      <c r="GV237" s="150" t="str">
        <f aca="false">IF(OR(GV$169&lt;SwaptionFirstMonthPosition+1,$FJ237&lt;SwaptionFirstMonthPosition+1,GV$169&gt;SwaptionFirstMonthPosition+SwaptionNumOfMonths+1,$FJ237&gt;SwaptionFirstMonthPosition+SwaptionNumOfMonths+1),"",IF($FJ237=GV$169,1,IF($FJ237&lt;GV$169,INDEX($FK$170:$ID$241,GV$169,$FJ237),SUMPRODUCT(INDEX($FK$325:$ID$396,GV$169,1+SwaptionShift):INDEX($FK$325:$ID$396,GV$169,SwaptionMonthsToGo+SwaptionShift),INDEX($FK$245:$ID$316,$FJ237-GV$169,73-GV$169+SwaptionShift):INDEX($FK$245:$ID$316,$FJ237-GV$169,72-GV$169+SwaptionMonthsToGo+SwaptionShift))/SQRT(SUM(INDEX($FK392:$ID392,1+SwaptionShift):INDEX($FK392:$ID392,SwaptionMonthsToGo+SwaptionShift))*SUM(INDEX($FK$325:$ID$396,GV$169,1+SwaptionShift):INDEX($FK$325:$ID$396,GV$169,SwaptionMonthsToGo+SwaptionShift))))))</f>
        <v/>
      </c>
      <c r="GW237" s="150" t="str">
        <f aca="false">IF(OR(GW$169&lt;SwaptionFirstMonthPosition+1,$FJ237&lt;SwaptionFirstMonthPosition+1,GW$169&gt;SwaptionFirstMonthPosition+SwaptionNumOfMonths+1,$FJ237&gt;SwaptionFirstMonthPosition+SwaptionNumOfMonths+1),"",IF($FJ237=GW$169,1,IF($FJ237&lt;GW$169,INDEX($FK$170:$ID$241,GW$169,$FJ237),SUMPRODUCT(INDEX($FK$325:$ID$396,GW$169,1+SwaptionShift):INDEX($FK$325:$ID$396,GW$169,SwaptionMonthsToGo+SwaptionShift),INDEX($FK$245:$ID$316,$FJ237-GW$169,73-GW$169+SwaptionShift):INDEX($FK$245:$ID$316,$FJ237-GW$169,72-GW$169+SwaptionMonthsToGo+SwaptionShift))/SQRT(SUM(INDEX($FK392:$ID392,1+SwaptionShift):INDEX($FK392:$ID392,SwaptionMonthsToGo+SwaptionShift))*SUM(INDEX($FK$325:$ID$396,GW$169,1+SwaptionShift):INDEX($FK$325:$ID$396,GW$169,SwaptionMonthsToGo+SwaptionShift))))))</f>
        <v/>
      </c>
      <c r="GX237" s="150" t="str">
        <f aca="false">IF(OR(GX$169&lt;SwaptionFirstMonthPosition+1,$FJ237&lt;SwaptionFirstMonthPosition+1,GX$169&gt;SwaptionFirstMonthPosition+SwaptionNumOfMonths+1,$FJ237&gt;SwaptionFirstMonthPosition+SwaptionNumOfMonths+1),"",IF($FJ237=GX$169,1,IF($FJ237&lt;GX$169,INDEX($FK$170:$ID$241,GX$169,$FJ237),SUMPRODUCT(INDEX($FK$325:$ID$396,GX$169,1+SwaptionShift):INDEX($FK$325:$ID$396,GX$169,SwaptionMonthsToGo+SwaptionShift),INDEX($FK$245:$ID$316,$FJ237-GX$169,73-GX$169+SwaptionShift):INDEX($FK$245:$ID$316,$FJ237-GX$169,72-GX$169+SwaptionMonthsToGo+SwaptionShift))/SQRT(SUM(INDEX($FK392:$ID392,1+SwaptionShift):INDEX($FK392:$ID392,SwaptionMonthsToGo+SwaptionShift))*SUM(INDEX($FK$325:$ID$396,GX$169,1+SwaptionShift):INDEX($FK$325:$ID$396,GX$169,SwaptionMonthsToGo+SwaptionShift))))))</f>
        <v/>
      </c>
      <c r="GY237" s="150" t="str">
        <f aca="false">IF(OR(GY$169&lt;SwaptionFirstMonthPosition+1,$FJ237&lt;SwaptionFirstMonthPosition+1,GY$169&gt;SwaptionFirstMonthPosition+SwaptionNumOfMonths+1,$FJ237&gt;SwaptionFirstMonthPosition+SwaptionNumOfMonths+1),"",IF($FJ237=GY$169,1,IF($FJ237&lt;GY$169,INDEX($FK$170:$ID$241,GY$169,$FJ237),SUMPRODUCT(INDEX($FK$325:$ID$396,GY$169,1+SwaptionShift):INDEX($FK$325:$ID$396,GY$169,SwaptionMonthsToGo+SwaptionShift),INDEX($FK$245:$ID$316,$FJ237-GY$169,73-GY$169+SwaptionShift):INDEX($FK$245:$ID$316,$FJ237-GY$169,72-GY$169+SwaptionMonthsToGo+SwaptionShift))/SQRT(SUM(INDEX($FK392:$ID392,1+SwaptionShift):INDEX($FK392:$ID392,SwaptionMonthsToGo+SwaptionShift))*SUM(INDEX($FK$325:$ID$396,GY$169,1+SwaptionShift):INDEX($FK$325:$ID$396,GY$169,SwaptionMonthsToGo+SwaptionShift))))))</f>
        <v/>
      </c>
      <c r="GZ237" s="150" t="str">
        <f aca="false">IF(OR(GZ$169&lt;SwaptionFirstMonthPosition+1,$FJ237&lt;SwaptionFirstMonthPosition+1,GZ$169&gt;SwaptionFirstMonthPosition+SwaptionNumOfMonths+1,$FJ237&gt;SwaptionFirstMonthPosition+SwaptionNumOfMonths+1),"",IF($FJ237=GZ$169,1,IF($FJ237&lt;GZ$169,INDEX($FK$170:$ID$241,GZ$169,$FJ237),SUMPRODUCT(INDEX($FK$325:$ID$396,GZ$169,1+SwaptionShift):INDEX($FK$325:$ID$396,GZ$169,SwaptionMonthsToGo+SwaptionShift),INDEX($FK$245:$ID$316,$FJ237-GZ$169,73-GZ$169+SwaptionShift):INDEX($FK$245:$ID$316,$FJ237-GZ$169,72-GZ$169+SwaptionMonthsToGo+SwaptionShift))/SQRT(SUM(INDEX($FK392:$ID392,1+SwaptionShift):INDEX($FK392:$ID392,SwaptionMonthsToGo+SwaptionShift))*SUM(INDEX($FK$325:$ID$396,GZ$169,1+SwaptionShift):INDEX($FK$325:$ID$396,GZ$169,SwaptionMonthsToGo+SwaptionShift))))))</f>
        <v/>
      </c>
      <c r="HA237" s="150" t="str">
        <f aca="false">IF(OR(HA$169&lt;SwaptionFirstMonthPosition+1,$FJ237&lt;SwaptionFirstMonthPosition+1,HA$169&gt;SwaptionFirstMonthPosition+SwaptionNumOfMonths+1,$FJ237&gt;SwaptionFirstMonthPosition+SwaptionNumOfMonths+1),"",IF($FJ237=HA$169,1,IF($FJ237&lt;HA$169,INDEX($FK$170:$ID$241,HA$169,$FJ237),SUMPRODUCT(INDEX($FK$325:$ID$396,HA$169,1+SwaptionShift):INDEX($FK$325:$ID$396,HA$169,SwaptionMonthsToGo+SwaptionShift),INDEX($FK$245:$ID$316,$FJ237-HA$169,73-HA$169+SwaptionShift):INDEX($FK$245:$ID$316,$FJ237-HA$169,72-HA$169+SwaptionMonthsToGo+SwaptionShift))/SQRT(SUM(INDEX($FK392:$ID392,1+SwaptionShift):INDEX($FK392:$ID392,SwaptionMonthsToGo+SwaptionShift))*SUM(INDEX($FK$325:$ID$396,HA$169,1+SwaptionShift):INDEX($FK$325:$ID$396,HA$169,SwaptionMonthsToGo+SwaptionShift))))))</f>
        <v/>
      </c>
      <c r="HB237" s="150" t="str">
        <f aca="false">IF(OR(HB$169&lt;SwaptionFirstMonthPosition+1,$FJ237&lt;SwaptionFirstMonthPosition+1,HB$169&gt;SwaptionFirstMonthPosition+SwaptionNumOfMonths+1,$FJ237&gt;SwaptionFirstMonthPosition+SwaptionNumOfMonths+1),"",IF($FJ237=HB$169,1,IF($FJ237&lt;HB$169,INDEX($FK$170:$ID$241,HB$169,$FJ237),SUMPRODUCT(INDEX($FK$325:$ID$396,HB$169,1+SwaptionShift):INDEX($FK$325:$ID$396,HB$169,SwaptionMonthsToGo+SwaptionShift),INDEX($FK$245:$ID$316,$FJ237-HB$169,73-HB$169+SwaptionShift):INDEX($FK$245:$ID$316,$FJ237-HB$169,72-HB$169+SwaptionMonthsToGo+SwaptionShift))/SQRT(SUM(INDEX($FK392:$ID392,1+SwaptionShift):INDEX($FK392:$ID392,SwaptionMonthsToGo+SwaptionShift))*SUM(INDEX($FK$325:$ID$396,HB$169,1+SwaptionShift):INDEX($FK$325:$ID$396,HB$169,SwaptionMonthsToGo+SwaptionShift))))))</f>
        <v/>
      </c>
      <c r="HC237" s="150" t="str">
        <f aca="false">IF(OR(HC$169&lt;SwaptionFirstMonthPosition+1,$FJ237&lt;SwaptionFirstMonthPosition+1,HC$169&gt;SwaptionFirstMonthPosition+SwaptionNumOfMonths+1,$FJ237&gt;SwaptionFirstMonthPosition+SwaptionNumOfMonths+1),"",IF($FJ237=HC$169,1,IF($FJ237&lt;HC$169,INDEX($FK$170:$ID$241,HC$169,$FJ237),SUMPRODUCT(INDEX($FK$325:$ID$396,HC$169,1+SwaptionShift):INDEX($FK$325:$ID$396,HC$169,SwaptionMonthsToGo+SwaptionShift),INDEX($FK$245:$ID$316,$FJ237-HC$169,73-HC$169+SwaptionShift):INDEX($FK$245:$ID$316,$FJ237-HC$169,72-HC$169+SwaptionMonthsToGo+SwaptionShift))/SQRT(SUM(INDEX($FK392:$ID392,1+SwaptionShift):INDEX($FK392:$ID392,SwaptionMonthsToGo+SwaptionShift))*SUM(INDEX($FK$325:$ID$396,HC$169,1+SwaptionShift):INDEX($FK$325:$ID$396,HC$169,SwaptionMonthsToGo+SwaptionShift))))))</f>
        <v/>
      </c>
      <c r="HD237" s="150" t="str">
        <f aca="false">IF(OR(HD$169&lt;SwaptionFirstMonthPosition+1,$FJ237&lt;SwaptionFirstMonthPosition+1,HD$169&gt;SwaptionFirstMonthPosition+SwaptionNumOfMonths+1,$FJ237&gt;SwaptionFirstMonthPosition+SwaptionNumOfMonths+1),"",IF($FJ237=HD$169,1,IF($FJ237&lt;HD$169,INDEX($FK$170:$ID$241,HD$169,$FJ237),SUMPRODUCT(INDEX($FK$325:$ID$396,HD$169,1+SwaptionShift):INDEX($FK$325:$ID$396,HD$169,SwaptionMonthsToGo+SwaptionShift),INDEX($FK$245:$ID$316,$FJ237-HD$169,73-HD$169+SwaptionShift):INDEX($FK$245:$ID$316,$FJ237-HD$169,72-HD$169+SwaptionMonthsToGo+SwaptionShift))/SQRT(SUM(INDEX($FK392:$ID392,1+SwaptionShift):INDEX($FK392:$ID392,SwaptionMonthsToGo+SwaptionShift))*SUM(INDEX($FK$325:$ID$396,HD$169,1+SwaptionShift):INDEX($FK$325:$ID$396,HD$169,SwaptionMonthsToGo+SwaptionShift))))))</f>
        <v/>
      </c>
      <c r="HE237" s="150" t="str">
        <f aca="false">IF(OR(HE$169&lt;SwaptionFirstMonthPosition+1,$FJ237&lt;SwaptionFirstMonthPosition+1,HE$169&gt;SwaptionFirstMonthPosition+SwaptionNumOfMonths+1,$FJ237&gt;SwaptionFirstMonthPosition+SwaptionNumOfMonths+1),"",IF($FJ237=HE$169,1,IF($FJ237&lt;HE$169,INDEX($FK$170:$ID$241,HE$169,$FJ237),SUMPRODUCT(INDEX($FK$325:$ID$396,HE$169,1+SwaptionShift):INDEX($FK$325:$ID$396,HE$169,SwaptionMonthsToGo+SwaptionShift),INDEX($FK$245:$ID$316,$FJ237-HE$169,73-HE$169+SwaptionShift):INDEX($FK$245:$ID$316,$FJ237-HE$169,72-HE$169+SwaptionMonthsToGo+SwaptionShift))/SQRT(SUM(INDEX($FK392:$ID392,1+SwaptionShift):INDEX($FK392:$ID392,SwaptionMonthsToGo+SwaptionShift))*SUM(INDEX($FK$325:$ID$396,HE$169,1+SwaptionShift):INDEX($FK$325:$ID$396,HE$169,SwaptionMonthsToGo+SwaptionShift))))))</f>
        <v/>
      </c>
      <c r="HF237" s="150" t="str">
        <f aca="false">IF(OR(HF$169&lt;SwaptionFirstMonthPosition+1,$FJ237&lt;SwaptionFirstMonthPosition+1,HF$169&gt;SwaptionFirstMonthPosition+SwaptionNumOfMonths+1,$FJ237&gt;SwaptionFirstMonthPosition+SwaptionNumOfMonths+1),"",IF($FJ237=HF$169,1,IF($FJ237&lt;HF$169,INDEX($FK$170:$ID$241,HF$169,$FJ237),SUMPRODUCT(INDEX($FK$325:$ID$396,HF$169,1+SwaptionShift):INDEX($FK$325:$ID$396,HF$169,SwaptionMonthsToGo+SwaptionShift),INDEX($FK$245:$ID$316,$FJ237-HF$169,73-HF$169+SwaptionShift):INDEX($FK$245:$ID$316,$FJ237-HF$169,72-HF$169+SwaptionMonthsToGo+SwaptionShift))/SQRT(SUM(INDEX($FK392:$ID392,1+SwaptionShift):INDEX($FK392:$ID392,SwaptionMonthsToGo+SwaptionShift))*SUM(INDEX($FK$325:$ID$396,HF$169,1+SwaptionShift):INDEX($FK$325:$ID$396,HF$169,SwaptionMonthsToGo+SwaptionShift))))))</f>
        <v/>
      </c>
      <c r="HG237" s="150" t="str">
        <f aca="false">IF(OR(HG$169&lt;SwaptionFirstMonthPosition+1,$FJ237&lt;SwaptionFirstMonthPosition+1,HG$169&gt;SwaptionFirstMonthPosition+SwaptionNumOfMonths+1,$FJ237&gt;SwaptionFirstMonthPosition+SwaptionNumOfMonths+1),"",IF($FJ237=HG$169,1,IF($FJ237&lt;HG$169,INDEX($FK$170:$ID$241,HG$169,$FJ237),SUMPRODUCT(INDEX($FK$325:$ID$396,HG$169,1+SwaptionShift):INDEX($FK$325:$ID$396,HG$169,SwaptionMonthsToGo+SwaptionShift),INDEX($FK$245:$ID$316,$FJ237-HG$169,73-HG$169+SwaptionShift):INDEX($FK$245:$ID$316,$FJ237-HG$169,72-HG$169+SwaptionMonthsToGo+SwaptionShift))/SQRT(SUM(INDEX($FK392:$ID392,1+SwaptionShift):INDEX($FK392:$ID392,SwaptionMonthsToGo+SwaptionShift))*SUM(INDEX($FK$325:$ID$396,HG$169,1+SwaptionShift):INDEX($FK$325:$ID$396,HG$169,SwaptionMonthsToGo+SwaptionShift))))))</f>
        <v/>
      </c>
      <c r="HH237" s="150" t="str">
        <f aca="false">IF(OR(HH$169&lt;SwaptionFirstMonthPosition+1,$FJ237&lt;SwaptionFirstMonthPosition+1,HH$169&gt;SwaptionFirstMonthPosition+SwaptionNumOfMonths+1,$FJ237&gt;SwaptionFirstMonthPosition+SwaptionNumOfMonths+1),"",IF($FJ237=HH$169,1,IF($FJ237&lt;HH$169,INDEX($FK$170:$ID$241,HH$169,$FJ237),SUMPRODUCT(INDEX($FK$325:$ID$396,HH$169,1+SwaptionShift):INDEX($FK$325:$ID$396,HH$169,SwaptionMonthsToGo+SwaptionShift),INDEX($FK$245:$ID$316,$FJ237-HH$169,73-HH$169+SwaptionShift):INDEX($FK$245:$ID$316,$FJ237-HH$169,72-HH$169+SwaptionMonthsToGo+SwaptionShift))/SQRT(SUM(INDEX($FK392:$ID392,1+SwaptionShift):INDEX($FK392:$ID392,SwaptionMonthsToGo+SwaptionShift))*SUM(INDEX($FK$325:$ID$396,HH$169,1+SwaptionShift):INDEX($FK$325:$ID$396,HH$169,SwaptionMonthsToGo+SwaptionShift))))))</f>
        <v/>
      </c>
      <c r="HI237" s="150" t="str">
        <f aca="false">IF(OR(HI$169&lt;SwaptionFirstMonthPosition+1,$FJ237&lt;SwaptionFirstMonthPosition+1,HI$169&gt;SwaptionFirstMonthPosition+SwaptionNumOfMonths+1,$FJ237&gt;SwaptionFirstMonthPosition+SwaptionNumOfMonths+1),"",IF($FJ237=HI$169,1,IF($FJ237&lt;HI$169,INDEX($FK$170:$ID$241,HI$169,$FJ237),SUMPRODUCT(INDEX($FK$325:$ID$396,HI$169,1+SwaptionShift):INDEX($FK$325:$ID$396,HI$169,SwaptionMonthsToGo+SwaptionShift),INDEX($FK$245:$ID$316,$FJ237-HI$169,73-HI$169+SwaptionShift):INDEX($FK$245:$ID$316,$FJ237-HI$169,72-HI$169+SwaptionMonthsToGo+SwaptionShift))/SQRT(SUM(INDEX($FK392:$ID392,1+SwaptionShift):INDEX($FK392:$ID392,SwaptionMonthsToGo+SwaptionShift))*SUM(INDEX($FK$325:$ID$396,HI$169,1+SwaptionShift):INDEX($FK$325:$ID$396,HI$169,SwaptionMonthsToGo+SwaptionShift))))))</f>
        <v/>
      </c>
      <c r="HJ237" s="150" t="str">
        <f aca="false">IF(OR(HJ$169&lt;SwaptionFirstMonthPosition+1,$FJ237&lt;SwaptionFirstMonthPosition+1,HJ$169&gt;SwaptionFirstMonthPosition+SwaptionNumOfMonths+1,$FJ237&gt;SwaptionFirstMonthPosition+SwaptionNumOfMonths+1),"",IF($FJ237=HJ$169,1,IF($FJ237&lt;HJ$169,INDEX($FK$170:$ID$241,HJ$169,$FJ237),SUMPRODUCT(INDEX($FK$325:$ID$396,HJ$169,1+SwaptionShift):INDEX($FK$325:$ID$396,HJ$169,SwaptionMonthsToGo+SwaptionShift),INDEX($FK$245:$ID$316,$FJ237-HJ$169,73-HJ$169+SwaptionShift):INDEX($FK$245:$ID$316,$FJ237-HJ$169,72-HJ$169+SwaptionMonthsToGo+SwaptionShift))/SQRT(SUM(INDEX($FK392:$ID392,1+SwaptionShift):INDEX($FK392:$ID392,SwaptionMonthsToGo+SwaptionShift))*SUM(INDEX($FK$325:$ID$396,HJ$169,1+SwaptionShift):INDEX($FK$325:$ID$396,HJ$169,SwaptionMonthsToGo+SwaptionShift))))))</f>
        <v/>
      </c>
      <c r="HK237" s="150" t="str">
        <f aca="false">IF(OR(HK$169&lt;SwaptionFirstMonthPosition+1,$FJ237&lt;SwaptionFirstMonthPosition+1,HK$169&gt;SwaptionFirstMonthPosition+SwaptionNumOfMonths+1,$FJ237&gt;SwaptionFirstMonthPosition+SwaptionNumOfMonths+1),"",IF($FJ237=HK$169,1,IF($FJ237&lt;HK$169,INDEX($FK$170:$ID$241,HK$169,$FJ237),SUMPRODUCT(INDEX($FK$325:$ID$396,HK$169,1+SwaptionShift):INDEX($FK$325:$ID$396,HK$169,SwaptionMonthsToGo+SwaptionShift),INDEX($FK$245:$ID$316,$FJ237-HK$169,73-HK$169+SwaptionShift):INDEX($FK$245:$ID$316,$FJ237-HK$169,72-HK$169+SwaptionMonthsToGo+SwaptionShift))/SQRT(SUM(INDEX($FK392:$ID392,1+SwaptionShift):INDEX($FK392:$ID392,SwaptionMonthsToGo+SwaptionShift))*SUM(INDEX($FK$325:$ID$396,HK$169,1+SwaptionShift):INDEX($FK$325:$ID$396,HK$169,SwaptionMonthsToGo+SwaptionShift))))))</f>
        <v/>
      </c>
      <c r="HL237" s="150" t="str">
        <f aca="false">IF(OR(HL$169&lt;SwaptionFirstMonthPosition+1,$FJ237&lt;SwaptionFirstMonthPosition+1,HL$169&gt;SwaptionFirstMonthPosition+SwaptionNumOfMonths+1,$FJ237&gt;SwaptionFirstMonthPosition+SwaptionNumOfMonths+1),"",IF($FJ237=HL$169,1,IF($FJ237&lt;HL$169,INDEX($FK$170:$ID$241,HL$169,$FJ237),SUMPRODUCT(INDEX($FK$325:$ID$396,HL$169,1+SwaptionShift):INDEX($FK$325:$ID$396,HL$169,SwaptionMonthsToGo+SwaptionShift),INDEX($FK$245:$ID$316,$FJ237-HL$169,73-HL$169+SwaptionShift):INDEX($FK$245:$ID$316,$FJ237-HL$169,72-HL$169+SwaptionMonthsToGo+SwaptionShift))/SQRT(SUM(INDEX($FK392:$ID392,1+SwaptionShift):INDEX($FK392:$ID392,SwaptionMonthsToGo+SwaptionShift))*SUM(INDEX($FK$325:$ID$396,HL$169,1+SwaptionShift):INDEX($FK$325:$ID$396,HL$169,SwaptionMonthsToGo+SwaptionShift))))))</f>
        <v/>
      </c>
      <c r="HM237" s="150" t="str">
        <f aca="false">IF(OR(HM$169&lt;SwaptionFirstMonthPosition+1,$FJ237&lt;SwaptionFirstMonthPosition+1,HM$169&gt;SwaptionFirstMonthPosition+SwaptionNumOfMonths+1,$FJ237&gt;SwaptionFirstMonthPosition+SwaptionNumOfMonths+1),"",IF($FJ237=HM$169,1,IF($FJ237&lt;HM$169,INDEX($FK$170:$ID$241,HM$169,$FJ237),SUMPRODUCT(INDEX($FK$325:$ID$396,HM$169,1+SwaptionShift):INDEX($FK$325:$ID$396,HM$169,SwaptionMonthsToGo+SwaptionShift),INDEX($FK$245:$ID$316,$FJ237-HM$169,73-HM$169+SwaptionShift):INDEX($FK$245:$ID$316,$FJ237-HM$169,72-HM$169+SwaptionMonthsToGo+SwaptionShift))/SQRT(SUM(INDEX($FK392:$ID392,1+SwaptionShift):INDEX($FK392:$ID392,SwaptionMonthsToGo+SwaptionShift))*SUM(INDEX($FK$325:$ID$396,HM$169,1+SwaptionShift):INDEX($FK$325:$ID$396,HM$169,SwaptionMonthsToGo+SwaptionShift))))))</f>
        <v/>
      </c>
      <c r="HN237" s="150" t="str">
        <f aca="false">IF(OR(HN$169&lt;SwaptionFirstMonthPosition+1,$FJ237&lt;SwaptionFirstMonthPosition+1,HN$169&gt;SwaptionFirstMonthPosition+SwaptionNumOfMonths+1,$FJ237&gt;SwaptionFirstMonthPosition+SwaptionNumOfMonths+1),"",IF($FJ237=HN$169,1,IF($FJ237&lt;HN$169,INDEX($FK$170:$ID$241,HN$169,$FJ237),SUMPRODUCT(INDEX($FK$325:$ID$396,HN$169,1+SwaptionShift):INDEX($FK$325:$ID$396,HN$169,SwaptionMonthsToGo+SwaptionShift),INDEX($FK$245:$ID$316,$FJ237-HN$169,73-HN$169+SwaptionShift):INDEX($FK$245:$ID$316,$FJ237-HN$169,72-HN$169+SwaptionMonthsToGo+SwaptionShift))/SQRT(SUM(INDEX($FK392:$ID392,1+SwaptionShift):INDEX($FK392:$ID392,SwaptionMonthsToGo+SwaptionShift))*SUM(INDEX($FK$325:$ID$396,HN$169,1+SwaptionShift):INDEX($FK$325:$ID$396,HN$169,SwaptionMonthsToGo+SwaptionShift))))))</f>
        <v/>
      </c>
      <c r="HO237" s="150" t="str">
        <f aca="false">IF(OR(HO$169&lt;SwaptionFirstMonthPosition+1,$FJ237&lt;SwaptionFirstMonthPosition+1,HO$169&gt;SwaptionFirstMonthPosition+SwaptionNumOfMonths+1,$FJ237&gt;SwaptionFirstMonthPosition+SwaptionNumOfMonths+1),"",IF($FJ237=HO$169,1,IF($FJ237&lt;HO$169,INDEX($FK$170:$ID$241,HO$169,$FJ237),SUMPRODUCT(INDEX($FK$325:$ID$396,HO$169,1+SwaptionShift):INDEX($FK$325:$ID$396,HO$169,SwaptionMonthsToGo+SwaptionShift),INDEX($FK$245:$ID$316,$FJ237-HO$169,73-HO$169+SwaptionShift):INDEX($FK$245:$ID$316,$FJ237-HO$169,72-HO$169+SwaptionMonthsToGo+SwaptionShift))/SQRT(SUM(INDEX($FK392:$ID392,1+SwaptionShift):INDEX($FK392:$ID392,SwaptionMonthsToGo+SwaptionShift))*SUM(INDEX($FK$325:$ID$396,HO$169,1+SwaptionShift):INDEX($FK$325:$ID$396,HO$169,SwaptionMonthsToGo+SwaptionShift))))))</f>
        <v/>
      </c>
      <c r="HP237" s="150" t="str">
        <f aca="false">IF(OR(HP$169&lt;SwaptionFirstMonthPosition+1,$FJ237&lt;SwaptionFirstMonthPosition+1,HP$169&gt;SwaptionFirstMonthPosition+SwaptionNumOfMonths+1,$FJ237&gt;SwaptionFirstMonthPosition+SwaptionNumOfMonths+1),"",IF($FJ237=HP$169,1,IF($FJ237&lt;HP$169,INDEX($FK$170:$ID$241,HP$169,$FJ237),SUMPRODUCT(INDEX($FK$325:$ID$396,HP$169,1+SwaptionShift):INDEX($FK$325:$ID$396,HP$169,SwaptionMonthsToGo+SwaptionShift),INDEX($FK$245:$ID$316,$FJ237-HP$169,73-HP$169+SwaptionShift):INDEX($FK$245:$ID$316,$FJ237-HP$169,72-HP$169+SwaptionMonthsToGo+SwaptionShift))/SQRT(SUM(INDEX($FK392:$ID392,1+SwaptionShift):INDEX($FK392:$ID392,SwaptionMonthsToGo+SwaptionShift))*SUM(INDEX($FK$325:$ID$396,HP$169,1+SwaptionShift):INDEX($FK$325:$ID$396,HP$169,SwaptionMonthsToGo+SwaptionShift))))))</f>
        <v/>
      </c>
      <c r="HQ237" s="150" t="str">
        <f aca="false">IF(OR(HQ$169&lt;SwaptionFirstMonthPosition+1,$FJ237&lt;SwaptionFirstMonthPosition+1,HQ$169&gt;SwaptionFirstMonthPosition+SwaptionNumOfMonths+1,$FJ237&gt;SwaptionFirstMonthPosition+SwaptionNumOfMonths+1),"",IF($FJ237=HQ$169,1,IF($FJ237&lt;HQ$169,INDEX($FK$170:$ID$241,HQ$169,$FJ237),SUMPRODUCT(INDEX($FK$325:$ID$396,HQ$169,1+SwaptionShift):INDEX($FK$325:$ID$396,HQ$169,SwaptionMonthsToGo+SwaptionShift),INDEX($FK$245:$ID$316,$FJ237-HQ$169,73-HQ$169+SwaptionShift):INDEX($FK$245:$ID$316,$FJ237-HQ$169,72-HQ$169+SwaptionMonthsToGo+SwaptionShift))/SQRT(SUM(INDEX($FK392:$ID392,1+SwaptionShift):INDEX($FK392:$ID392,SwaptionMonthsToGo+SwaptionShift))*SUM(INDEX($FK$325:$ID$396,HQ$169,1+SwaptionShift):INDEX($FK$325:$ID$396,HQ$169,SwaptionMonthsToGo+SwaptionShift))))))</f>
        <v/>
      </c>
      <c r="HR237" s="150" t="str">
        <f aca="false">IF(OR(HR$169&lt;SwaptionFirstMonthPosition+1,$FJ237&lt;SwaptionFirstMonthPosition+1,HR$169&gt;SwaptionFirstMonthPosition+SwaptionNumOfMonths+1,$FJ237&gt;SwaptionFirstMonthPosition+SwaptionNumOfMonths+1),"",IF($FJ237=HR$169,1,IF($FJ237&lt;HR$169,INDEX($FK$170:$ID$241,HR$169,$FJ237),SUMPRODUCT(INDEX($FK$325:$ID$396,HR$169,1+SwaptionShift):INDEX($FK$325:$ID$396,HR$169,SwaptionMonthsToGo+SwaptionShift),INDEX($FK$245:$ID$316,$FJ237-HR$169,73-HR$169+SwaptionShift):INDEX($FK$245:$ID$316,$FJ237-HR$169,72-HR$169+SwaptionMonthsToGo+SwaptionShift))/SQRT(SUM(INDEX($FK392:$ID392,1+SwaptionShift):INDEX($FK392:$ID392,SwaptionMonthsToGo+SwaptionShift))*SUM(INDEX($FK$325:$ID$396,HR$169,1+SwaptionShift):INDEX($FK$325:$ID$396,HR$169,SwaptionMonthsToGo+SwaptionShift))))))</f>
        <v/>
      </c>
      <c r="HS237" s="150" t="str">
        <f aca="false">IF(OR(HS$169&lt;SwaptionFirstMonthPosition+1,$FJ237&lt;SwaptionFirstMonthPosition+1,HS$169&gt;SwaptionFirstMonthPosition+SwaptionNumOfMonths+1,$FJ237&gt;SwaptionFirstMonthPosition+SwaptionNumOfMonths+1),"",IF($FJ237=HS$169,1,IF($FJ237&lt;HS$169,INDEX($FK$170:$ID$241,HS$169,$FJ237),SUMPRODUCT(INDEX($FK$325:$ID$396,HS$169,1+SwaptionShift):INDEX($FK$325:$ID$396,HS$169,SwaptionMonthsToGo+SwaptionShift),INDEX($FK$245:$ID$316,$FJ237-HS$169,73-HS$169+SwaptionShift):INDEX($FK$245:$ID$316,$FJ237-HS$169,72-HS$169+SwaptionMonthsToGo+SwaptionShift))/SQRT(SUM(INDEX($FK392:$ID392,1+SwaptionShift):INDEX($FK392:$ID392,SwaptionMonthsToGo+SwaptionShift))*SUM(INDEX($FK$325:$ID$396,HS$169,1+SwaptionShift):INDEX($FK$325:$ID$396,HS$169,SwaptionMonthsToGo+SwaptionShift))))))</f>
        <v/>
      </c>
      <c r="HT237" s="150" t="str">
        <f aca="false">IF(OR(HT$169&lt;SwaptionFirstMonthPosition+1,$FJ237&lt;SwaptionFirstMonthPosition+1,HT$169&gt;SwaptionFirstMonthPosition+SwaptionNumOfMonths+1,$FJ237&gt;SwaptionFirstMonthPosition+SwaptionNumOfMonths+1),"",IF($FJ237=HT$169,1,IF($FJ237&lt;HT$169,INDEX($FK$170:$ID$241,HT$169,$FJ237),SUMPRODUCT(INDEX($FK$325:$ID$396,HT$169,1+SwaptionShift):INDEX($FK$325:$ID$396,HT$169,SwaptionMonthsToGo+SwaptionShift),INDEX($FK$245:$ID$316,$FJ237-HT$169,73-HT$169+SwaptionShift):INDEX($FK$245:$ID$316,$FJ237-HT$169,72-HT$169+SwaptionMonthsToGo+SwaptionShift))/SQRT(SUM(INDEX($FK392:$ID392,1+SwaptionShift):INDEX($FK392:$ID392,SwaptionMonthsToGo+SwaptionShift))*SUM(INDEX($FK$325:$ID$396,HT$169,1+SwaptionShift):INDEX($FK$325:$ID$396,HT$169,SwaptionMonthsToGo+SwaptionShift))))))</f>
        <v/>
      </c>
      <c r="HU237" s="150" t="str">
        <f aca="false">IF(OR(HU$169&lt;SwaptionFirstMonthPosition+1,$FJ237&lt;SwaptionFirstMonthPosition+1,HU$169&gt;SwaptionFirstMonthPosition+SwaptionNumOfMonths+1,$FJ237&gt;SwaptionFirstMonthPosition+SwaptionNumOfMonths+1),"",IF($FJ237=HU$169,1,IF($FJ237&lt;HU$169,INDEX($FK$170:$ID$241,HU$169,$FJ237),SUMPRODUCT(INDEX($FK$325:$ID$396,HU$169,1+SwaptionShift):INDEX($FK$325:$ID$396,HU$169,SwaptionMonthsToGo+SwaptionShift),INDEX($FK$245:$ID$316,$FJ237-HU$169,73-HU$169+SwaptionShift):INDEX($FK$245:$ID$316,$FJ237-HU$169,72-HU$169+SwaptionMonthsToGo+SwaptionShift))/SQRT(SUM(INDEX($FK392:$ID392,1+SwaptionShift):INDEX($FK392:$ID392,SwaptionMonthsToGo+SwaptionShift))*SUM(INDEX($FK$325:$ID$396,HU$169,1+SwaptionShift):INDEX($FK$325:$ID$396,HU$169,SwaptionMonthsToGo+SwaptionShift))))))</f>
        <v/>
      </c>
      <c r="HV237" s="150" t="str">
        <f aca="false">IF(OR(HV$169&lt;SwaptionFirstMonthPosition+1,$FJ237&lt;SwaptionFirstMonthPosition+1,HV$169&gt;SwaptionFirstMonthPosition+SwaptionNumOfMonths+1,$FJ237&gt;SwaptionFirstMonthPosition+SwaptionNumOfMonths+1),"",IF($FJ237=HV$169,1,IF($FJ237&lt;HV$169,INDEX($FK$170:$ID$241,HV$169,$FJ237),SUMPRODUCT(INDEX($FK$325:$ID$396,HV$169,1+SwaptionShift):INDEX($FK$325:$ID$396,HV$169,SwaptionMonthsToGo+SwaptionShift),INDEX($FK$245:$ID$316,$FJ237-HV$169,73-HV$169+SwaptionShift):INDEX($FK$245:$ID$316,$FJ237-HV$169,72-HV$169+SwaptionMonthsToGo+SwaptionShift))/SQRT(SUM(INDEX($FK392:$ID392,1+SwaptionShift):INDEX($FK392:$ID392,SwaptionMonthsToGo+SwaptionShift))*SUM(INDEX($FK$325:$ID$396,HV$169,1+SwaptionShift):INDEX($FK$325:$ID$396,HV$169,SwaptionMonthsToGo+SwaptionShift))))))</f>
        <v/>
      </c>
      <c r="HW237" s="150" t="str">
        <f aca="false">IF(OR(HW$169&lt;SwaptionFirstMonthPosition+1,$FJ237&lt;SwaptionFirstMonthPosition+1,HW$169&gt;SwaptionFirstMonthPosition+SwaptionNumOfMonths+1,$FJ237&gt;SwaptionFirstMonthPosition+SwaptionNumOfMonths+1),"",IF($FJ237=HW$169,1,IF($FJ237&lt;HW$169,INDEX($FK$170:$ID$241,HW$169,$FJ237),SUMPRODUCT(INDEX($FK$325:$ID$396,HW$169,1+SwaptionShift):INDEX($FK$325:$ID$396,HW$169,SwaptionMonthsToGo+SwaptionShift),INDEX($FK$245:$ID$316,$FJ237-HW$169,73-HW$169+SwaptionShift):INDEX($FK$245:$ID$316,$FJ237-HW$169,72-HW$169+SwaptionMonthsToGo+SwaptionShift))/SQRT(SUM(INDEX($FK392:$ID392,1+SwaptionShift):INDEX($FK392:$ID392,SwaptionMonthsToGo+SwaptionShift))*SUM(INDEX($FK$325:$ID$396,HW$169,1+SwaptionShift):INDEX($FK$325:$ID$396,HW$169,SwaptionMonthsToGo+SwaptionShift))))))</f>
        <v/>
      </c>
      <c r="HX237" s="150" t="str">
        <f aca="false">IF(OR(HX$169&lt;SwaptionFirstMonthPosition+1,$FJ237&lt;SwaptionFirstMonthPosition+1,HX$169&gt;SwaptionFirstMonthPosition+SwaptionNumOfMonths+1,$FJ237&gt;SwaptionFirstMonthPosition+SwaptionNumOfMonths+1),"",IF($FJ237=HX$169,1,IF($FJ237&lt;HX$169,INDEX($FK$170:$ID$241,HX$169,$FJ237),SUMPRODUCT(INDEX($FK$325:$ID$396,HX$169,1+SwaptionShift):INDEX($FK$325:$ID$396,HX$169,SwaptionMonthsToGo+SwaptionShift),INDEX($FK$245:$ID$316,$FJ237-HX$169,73-HX$169+SwaptionShift):INDEX($FK$245:$ID$316,$FJ237-HX$169,72-HX$169+SwaptionMonthsToGo+SwaptionShift))/SQRT(SUM(INDEX($FK392:$ID392,1+SwaptionShift):INDEX($FK392:$ID392,SwaptionMonthsToGo+SwaptionShift))*SUM(INDEX($FK$325:$ID$396,HX$169,1+SwaptionShift):INDEX($FK$325:$ID$396,HX$169,SwaptionMonthsToGo+SwaptionShift))))))</f>
        <v/>
      </c>
      <c r="HY237" s="150" t="str">
        <f aca="false">IF(OR(HY$169&lt;SwaptionFirstMonthPosition+1,$FJ237&lt;SwaptionFirstMonthPosition+1,HY$169&gt;SwaptionFirstMonthPosition+SwaptionNumOfMonths+1,$FJ237&gt;SwaptionFirstMonthPosition+SwaptionNumOfMonths+1),"",IF($FJ237=HY$169,1,IF($FJ237&lt;HY$169,INDEX($FK$170:$ID$241,HY$169,$FJ237),SUMPRODUCT(INDEX($FK$325:$ID$396,HY$169,1+SwaptionShift):INDEX($FK$325:$ID$396,HY$169,SwaptionMonthsToGo+SwaptionShift),INDEX($FK$245:$ID$316,$FJ237-HY$169,73-HY$169+SwaptionShift):INDEX($FK$245:$ID$316,$FJ237-HY$169,72-HY$169+SwaptionMonthsToGo+SwaptionShift))/SQRT(SUM(INDEX($FK392:$ID392,1+SwaptionShift):INDEX($FK392:$ID392,SwaptionMonthsToGo+SwaptionShift))*SUM(INDEX($FK$325:$ID$396,HY$169,1+SwaptionShift):INDEX($FK$325:$ID$396,HY$169,SwaptionMonthsToGo+SwaptionShift))))))</f>
        <v/>
      </c>
      <c r="HZ237" s="150" t="str">
        <f aca="false">IF(OR(HZ$169&lt;SwaptionFirstMonthPosition+1,$FJ237&lt;SwaptionFirstMonthPosition+1,HZ$169&gt;SwaptionFirstMonthPosition+SwaptionNumOfMonths+1,$FJ237&gt;SwaptionFirstMonthPosition+SwaptionNumOfMonths+1),"",IF($FJ237=HZ$169,1,IF($FJ237&lt;HZ$169,INDEX($FK$170:$ID$241,HZ$169,$FJ237),SUMPRODUCT(INDEX($FK$325:$ID$396,HZ$169,1+SwaptionShift):INDEX($FK$325:$ID$396,HZ$169,SwaptionMonthsToGo+SwaptionShift),INDEX($FK$245:$ID$316,$FJ237-HZ$169,73-HZ$169+SwaptionShift):INDEX($FK$245:$ID$316,$FJ237-HZ$169,72-HZ$169+SwaptionMonthsToGo+SwaptionShift))/SQRT(SUM(INDEX($FK392:$ID392,1+SwaptionShift):INDEX($FK392:$ID392,SwaptionMonthsToGo+SwaptionShift))*SUM(INDEX($FK$325:$ID$396,HZ$169,1+SwaptionShift):INDEX($FK$325:$ID$396,HZ$169,SwaptionMonthsToGo+SwaptionShift))))))</f>
        <v/>
      </c>
      <c r="IA237" s="150" t="str">
        <f aca="false">IF(OR(IA$169&lt;SwaptionFirstMonthPosition+1,$FJ237&lt;SwaptionFirstMonthPosition+1,IA$169&gt;SwaptionFirstMonthPosition+SwaptionNumOfMonths+1,$FJ237&gt;SwaptionFirstMonthPosition+SwaptionNumOfMonths+1),"",IF($FJ237=IA$169,1,IF($FJ237&lt;IA$169,INDEX($FK$170:$ID$241,IA$169,$FJ237),SUMPRODUCT(INDEX($FK$325:$ID$396,IA$169,1+SwaptionShift):INDEX($FK$325:$ID$396,IA$169,SwaptionMonthsToGo+SwaptionShift),INDEX($FK$245:$ID$316,$FJ237-IA$169,73-IA$169+SwaptionShift):INDEX($FK$245:$ID$316,$FJ237-IA$169,72-IA$169+SwaptionMonthsToGo+SwaptionShift))/SQRT(SUM(INDEX($FK392:$ID392,1+SwaptionShift):INDEX($FK392:$ID392,SwaptionMonthsToGo+SwaptionShift))*SUM(INDEX($FK$325:$ID$396,IA$169,1+SwaptionShift):INDEX($FK$325:$ID$396,IA$169,SwaptionMonthsToGo+SwaptionShift))))))</f>
        <v/>
      </c>
      <c r="IB237" s="150" t="str">
        <f aca="false">IF(OR(IB$169&lt;SwaptionFirstMonthPosition+1,$FJ237&lt;SwaptionFirstMonthPosition+1,IB$169&gt;SwaptionFirstMonthPosition+SwaptionNumOfMonths+1,$FJ237&gt;SwaptionFirstMonthPosition+SwaptionNumOfMonths+1),"",IF($FJ237=IB$169,1,IF($FJ237&lt;IB$169,INDEX($FK$170:$ID$241,IB$169,$FJ237),SUMPRODUCT(INDEX($FK$325:$ID$396,IB$169,1+SwaptionShift):INDEX($FK$325:$ID$396,IB$169,SwaptionMonthsToGo+SwaptionShift),INDEX($FK$245:$ID$316,$FJ237-IB$169,73-IB$169+SwaptionShift):INDEX($FK$245:$ID$316,$FJ237-IB$169,72-IB$169+SwaptionMonthsToGo+SwaptionShift))/SQRT(SUM(INDEX($FK392:$ID392,1+SwaptionShift):INDEX($FK392:$ID392,SwaptionMonthsToGo+SwaptionShift))*SUM(INDEX($FK$325:$ID$396,IB$169,1+SwaptionShift):INDEX($FK$325:$ID$396,IB$169,SwaptionMonthsToGo+SwaptionShift))))))</f>
        <v/>
      </c>
      <c r="IC237" s="150" t="str">
        <f aca="false">IF(OR(IC$169&lt;SwaptionFirstMonthPosition+1,$FJ237&lt;SwaptionFirstMonthPosition+1,IC$169&gt;SwaptionFirstMonthPosition+SwaptionNumOfMonths+1,$FJ237&gt;SwaptionFirstMonthPosition+SwaptionNumOfMonths+1),"",IF($FJ237=IC$169,1,IF($FJ237&lt;IC$169,INDEX($FK$170:$ID$241,IC$169,$FJ237),SUMPRODUCT(INDEX($FK$325:$ID$396,IC$169,1+SwaptionShift):INDEX($FK$325:$ID$396,IC$169,SwaptionMonthsToGo+SwaptionShift),INDEX($FK$245:$ID$316,$FJ237-IC$169,73-IC$169+SwaptionShift):INDEX($FK$245:$ID$316,$FJ237-IC$169,72-IC$169+SwaptionMonthsToGo+SwaptionShift))/SQRT(SUM(INDEX($FK392:$ID392,1+SwaptionShift):INDEX($FK392:$ID392,SwaptionMonthsToGo+SwaptionShift))*SUM(INDEX($FK$325:$ID$396,IC$169,1+SwaptionShift):INDEX($FK$325:$ID$396,IC$169,SwaptionMonthsToGo+SwaptionShift))))))</f>
        <v/>
      </c>
      <c r="ID237" s="572" t="str">
        <f aca="false">IF(OR(ID$169&lt;SwaptionFirstMonthPosition+1,$FJ237&lt;SwaptionFirstMonthPosition+1,ID$169&gt;SwaptionFirstMonthPosition+SwaptionNumOfMonths+1,$FJ237&gt;SwaptionFirstMonthPosition+SwaptionNumOfMonths+1),"",IF($FJ237=ID$169,1,IF($FJ237&lt;ID$169,INDEX($FK$170:$ID$241,ID$169,$FJ237),SUMPRODUCT(INDEX($FK$325:$ID$396,ID$169,1+SwaptionShift):INDEX($FK$325:$ID$396,ID$169,SwaptionMonthsToGo+SwaptionShift),INDEX($FK$245:$ID$316,$FJ237-ID$169,73-ID$169+SwaptionShift):INDEX($FK$245:$ID$316,$FJ237-ID$169,72-ID$169+SwaptionMonthsToGo+SwaptionShift))/SQRT(SUM(INDEX($FK392:$ID392,1+SwaptionShift):INDEX($FK392:$ID392,SwaptionMonthsToGo+SwaptionShift))*SUM(INDEX($FK$325:$ID$396,ID$169,1+SwaptionShift):INDEX($FK$325:$ID$396,ID$169,SwaptionMonthsToGo+SwaptionShift))))))</f>
        <v/>
      </c>
      <c r="IE237" s="129"/>
    </row>
    <row r="238" customFormat="false" ht="12.75" hidden="false" customHeight="false" outlineLevel="0" collapsed="false">
      <c r="H238" s="219" t="n">
        <f aca="false">VLOOKUP(I238,$EJ$20:$EL$54,3)</f>
        <v>0</v>
      </c>
      <c r="I238" s="511" t="n">
        <f aca="false">EOMONTH(I237,0)+1</f>
        <v>43405</v>
      </c>
      <c r="J238" s="512"/>
      <c r="K238" s="513" t="s">
        <v>280</v>
      </c>
      <c r="L238" s="514" t="n">
        <f aca="false">IF(ISNUMBER(K238),J238+K238/100,IF(K238="extra",L237+VLOOKUP(BF238,PriceSpreadTable,2)/12,IF(K238="inter",interpolateprices($K$19:$L$200,ROW(K238)-ROW(FirstPricingMonth)+1),interpolatechanges($J$19:$K$200,ROW(K238)-ROW(FirstPricingMonth)+1))))</f>
        <v>5.32499999999999</v>
      </c>
      <c r="M238" s="515"/>
      <c r="N238" s="516" t="n">
        <v>0</v>
      </c>
      <c r="O238" s="515" t="n">
        <f aca="false">M238+N238</f>
        <v>0</v>
      </c>
      <c r="P238" s="512"/>
      <c r="Q238" s="513" t="s">
        <v>280</v>
      </c>
      <c r="R238" s="512" t="e">
        <f aca="false">IF(ISNUMBER(Q238),P238+Q238/100,IF(Q238="extra",(Z236*AL236-R237*AM236)/AN236,IF(Q238="inter",interpolateprices($Q$19:$R$260,ROW(Q238)-ROW(FirstPricingMonth)+1),interpolatechanges($P$19:$Q$260,ROW(Q238)-ROW(FirstPricingMonth)+1))))</f>
        <v>#VALUE!</v>
      </c>
      <c r="S238" s="597" t="n">
        <f aca="false">S$19+(S237-S$19)*S$18</f>
        <v>0.36</v>
      </c>
      <c r="T238" s="575" t="n">
        <f aca="false">SQRT((1-(1-T237^2/U237)*T$18)*U238)</f>
        <v>1</v>
      </c>
      <c r="U238" s="576" t="n">
        <f aca="false">1-(1-U237)*U$18</f>
        <v>1</v>
      </c>
      <c r="V238" s="521" t="n">
        <v>0</v>
      </c>
      <c r="W238" s="577" t="n">
        <f aca="false">(J239*AJ238+J240*AK238)/AI238</f>
        <v>0</v>
      </c>
      <c r="X238" s="578" t="n">
        <f aca="false">(L239*AJ238+L240*AK238)/AI238</f>
        <v>5.37613636363636</v>
      </c>
      <c r="Y238" s="579" t="n">
        <f aca="false">IF(Q240="extra",W238-AA238,(P239*AM238+P240*AN238)/AL238)</f>
        <v>-1.1931</v>
      </c>
      <c r="Z238" s="579" t="n">
        <f aca="false">IF(Q240="extra",X238-AB238,(R239*AM238+R240*AN238)/AL238)</f>
        <v>4.18303636363636</v>
      </c>
      <c r="AA238" s="523" t="n">
        <f aca="false">IF(Q240="extra",INDEX(BrentSeasonalityTable,INT((BG238-1)/3)+1)*VLOOKUP(MAX(BF238,$AB$4),PriceSpreadTable,3),W238-Y238)</f>
        <v>1.1931</v>
      </c>
      <c r="AB238" s="524" t="n">
        <f aca="false">IF(Q240="extra",INDEX(BrentSeasonalityTable,INT((BG238-1)/3)+1)*VLOOKUP(MAX(BF238,$AB$4),PriceSpreadTable,3),X238-Z238)</f>
        <v>1.1931</v>
      </c>
      <c r="AC238" s="646" t="n">
        <v>43393</v>
      </c>
      <c r="AD238" s="646" t="n">
        <v>43389</v>
      </c>
      <c r="AE238" s="646" t="n">
        <v>43388</v>
      </c>
      <c r="AF238" s="646" t="n">
        <v>43384</v>
      </c>
      <c r="AG238" s="438" t="s">
        <v>278</v>
      </c>
      <c r="AH238" s="439" t="s">
        <v>278</v>
      </c>
      <c r="AI238" s="528" t="n">
        <v>22</v>
      </c>
      <c r="AJ238" s="529" t="n">
        <v>14</v>
      </c>
      <c r="AK238" s="529" t="n">
        <v>8</v>
      </c>
      <c r="AL238" s="530" t="n">
        <v>22</v>
      </c>
      <c r="AM238" s="529" t="n">
        <v>10</v>
      </c>
      <c r="AN238" s="531" t="n">
        <v>12</v>
      </c>
      <c r="AO238" s="532"/>
      <c r="AP238" s="465" t="n">
        <f aca="false">(1+AO238/2)^(-2*BL238)</f>
        <v>1</v>
      </c>
      <c r="AQ238" s="532"/>
      <c r="AR238" s="465" t="n">
        <f aca="false">(1+AQ238/2)^(-2*BH238/365.25)</f>
        <v>1</v>
      </c>
      <c r="AS238" s="580" t="n">
        <f aca="false">(O239*AJ238+O240*AK238)/AI238</f>
        <v>0</v>
      </c>
      <c r="AT238" s="468" t="n">
        <f aca="false">O238*VLOOKUP(BF238,BrentVolTable,2)+VLOOKUP(BF238,BrentVolTable,3)</f>
        <v>0</v>
      </c>
      <c r="AU238" s="468" t="n">
        <f aca="false">(AT239*AM238+AT240*AN238)/AL238</f>
        <v>0</v>
      </c>
      <c r="AV238" s="595" t="n">
        <f aca="false">SQRT(MAX(0.000000000001,(O238^2*BH238-S238^2*(BH238-BH237))/BH237))</f>
        <v>0.038925553983506</v>
      </c>
      <c r="AW238" s="451" t="n">
        <f aca="false">IF($I238-DateToday+15&gt;=$T$8,"",IF($I238-DateToday+15&lt;$T$5,1,MATCH($I238-DateToday+15,$T$5:$T$8)))</f>
        <v>1</v>
      </c>
      <c r="AX238" s="468" t="n">
        <f aca="false">IF($AW238="",AX237^2/AX236,INDEX(U$5:U$8,$AW238)^((INDEX($T$5:$T$8,$AW238+1)-($I238-DateToday+15))/(INDEX($T$5:$T$8,$AW238+1)-INDEX($T$5:$T$8,$AW238)))/INDEX(U$5:U$8,$AW238+1)^((INDEX($T$5:$T$8,$AW238)-($I238-DateToday+15))/(INDEX($T$5:$T$8,$AW238+1)-INDEX($T$5:$T$8,$AW238))))</f>
        <v>0.118750825160306</v>
      </c>
      <c r="AY238" s="468" t="n">
        <f aca="false">IF($AW238="",AY237^2/AY236,INDEX(V$5:V$8,$AW238)^((INDEX($T$5:$T$8,$AW238+1)-($I238-DateToday+15))/(INDEX($T$5:$T$8,$AW238+1)-INDEX($T$5:$T$8,$AW238)))/INDEX(V$5:V$8,$AW238+1)^((INDEX($T$5:$T$8,$AW238)-($I238-DateToday+15))/(INDEX($T$5:$T$8,$AW238+1)-INDEX($T$5:$T$8,$AW238))))</f>
        <v>0.535434330058595</v>
      </c>
      <c r="AZ238" s="468" t="n">
        <f aca="false">IF($AW238="",AZ237^2/AZ236,INDEX(W$5:W$8,$AW238)^((INDEX($T$5:$T$8,$AW238+1)-($I238-DateToday+15))/(INDEX($T$5:$T$8,$AW238+1)-INDEX($T$5:$T$8,$AW238)))/INDEX(W$5:W$8,$AW238+1)^((INDEX($T$5:$T$8,$AW238)-($I238-DateToday+15))/(INDEX($T$5:$T$8,$AW238+1)-INDEX($T$5:$T$8,$AW238))))</f>
        <v>11.3840675957403</v>
      </c>
      <c r="BA238" s="468" t="n">
        <f aca="false">IF($AW238="",BA237^2/BA236,INDEX(X$5:X$8,$AW238)^((INDEX($T$5:$T$8,$AW238+1)-($I238-DateToday+15))/(INDEX($T$5:$T$8,$AW238+1)-INDEX($T$5:$T$8,$AW238)))/INDEX(X$5:X$8,$AW238+1)^((INDEX($T$5:$T$8,$AW238)-($I238-DateToday+15))/(INDEX($T$5:$T$8,$AW238+1)-INDEX($T$5:$T$8,$AW238))))</f>
        <v>14.0819522986965</v>
      </c>
      <c r="BB238" s="468" t="n">
        <f aca="false">IF($AW238="",BB237^2/BB236,INDEX(Y$5:Y$8,$AW238)^((INDEX($T$5:$T$8,$AW238+1)-($I238-DateToday+15))/(INDEX($T$5:$T$8,$AW238+1)-INDEX($T$5:$T$8,$AW238)))/INDEX(Y$5:Y$8,$AW238+1)^((INDEX($T$5:$T$8,$AW238)-($I238-DateToday+15))/(INDEX($T$5:$T$8,$AW238+1)-INDEX($T$5:$T$8,$AW238))))</f>
        <v>44.981229365642</v>
      </c>
      <c r="BC238" s="468" t="n">
        <f aca="false">IF($AW238="",BC237^2/BC236,INDEX(Z$5:Z$8,$AW238)^((INDEX($T$5:$T$8,$AW238+1)-($I238-DateToday+15))/(INDEX($T$5:$T$8,$AW238+1)-INDEX($T$5:$T$8,$AW238)))/INDEX(Z$5:Z$8,$AW238+1)^((INDEX($T$5:$T$8,$AW238)-($I238-DateToday+15))/(INDEX($T$5:$T$8,$AW238+1)-INDEX($T$5:$T$8,$AW238))))</f>
        <v>93.1150040991544</v>
      </c>
      <c r="BD238" s="535" t="n">
        <f aca="false">IF(OR(DateStart&gt;=I239,DateEnd&lt;I238),0,IF(VolumeOverrideFlag,V238,Volume))</f>
        <v>0</v>
      </c>
      <c r="BE238" s="536" t="n">
        <f aca="false">IF(OR(DateStart2&gt;=I239,DateEnd2&lt;I238),0,IF(VolumeOverrideFlag,V238,VolumeSwaption))</f>
        <v>0</v>
      </c>
      <c r="BF238" s="537" t="n">
        <f aca="false">YEAR(I238)</f>
        <v>2018</v>
      </c>
      <c r="BG238" s="538" t="n">
        <f aca="false">MONTH(I238)</f>
        <v>11</v>
      </c>
      <c r="BH238" s="539" t="n">
        <f aca="false">AD238-DateToday+1</f>
        <v>-2536</v>
      </c>
      <c r="BI238" s="540" t="n">
        <f aca="false">(I238-DateToday+1)/365.25</f>
        <v>-6.8993839835729</v>
      </c>
      <c r="BJ238" s="541" t="n">
        <f aca="false">BI238+(BL238-BI238)*CHOOSE(Underlying,AJ238/AI238,AM238/AL238)</f>
        <v>-6.848858191774</v>
      </c>
      <c r="BK238" s="541" t="n">
        <f aca="false">BJ238+1/365.25</f>
        <v>-6.84612034098687</v>
      </c>
      <c r="BL238" s="541" t="n">
        <f aca="false">(I239-DateToday)/365.25</f>
        <v>-6.81998631074606</v>
      </c>
      <c r="BM238" s="542" t="e">
        <f aca="false">MAX(BI238-(BJ238-BI238)*(S239^2/O239^2-1),0)</f>
        <v>#DIV/0!</v>
      </c>
      <c r="BN238" s="541" t="e">
        <f aca="false">MAX(BL238+(BL238-BK238)*(S240^2/O240^2-1),0)</f>
        <v>#DIV/0!</v>
      </c>
      <c r="BO238" s="530" t="n">
        <f aca="false">CHOOSE(Underlying,AI238,AL238)</f>
        <v>22</v>
      </c>
      <c r="BP238" s="529" t="n">
        <f aca="false">CHOOSE(Underlying,AJ238,AM238)</f>
        <v>14</v>
      </c>
      <c r="BQ238" s="529" t="n">
        <f aca="false">CHOOSE(Underlying,AK238,AN238)</f>
        <v>8</v>
      </c>
      <c r="BR238" s="463" t="str">
        <f aca="false">IF(BD238,IF(Underlying=1,X238,Z238)+UnderlyingPriceAsian-SwapPriceCurve,"")</f>
        <v/>
      </c>
      <c r="BS238" s="463" t="str">
        <f aca="false">IF(BD238,Strike1/BR238-1,"")</f>
        <v/>
      </c>
      <c r="BT238" s="464" t="str">
        <f aca="false">IF(BD238,Strike2/BR238-1,"")</f>
        <v/>
      </c>
      <c r="BU238" s="465" t="str">
        <f aca="false">IF(BD238,IF(Underlying=1,L239,R239)+UnderlyingPriceAsian-SwapPriceCurve,"")</f>
        <v/>
      </c>
      <c r="BV238" s="465" t="str">
        <f aca="false">IF(BD238,IF(Underlying=1,L240,R240)+UnderlyingPriceAsian-SwapPriceCurve,"")</f>
        <v/>
      </c>
      <c r="BW238" s="466" t="str">
        <f aca="false">IF(BD238,IF(Underlying=1,O239,AT239),"")</f>
        <v/>
      </c>
      <c r="BX238" s="467" t="str">
        <f aca="false">IF(BD238,IF(Underlying=1,O240,AT240),"")</f>
        <v/>
      </c>
      <c r="BY238" s="466" t="str">
        <f aca="false">IF(BD238,IF(BS238&gt;0,IF(BS238&gt;0.2,BC238-BB238,IF(BS238&gt;0.1,BB238-BA238,BA238)),IF(BS238&lt;-0.2,AX238-AY238,IF(BS238&lt;-0.1,AY238-AZ238,AZ238))),"")</f>
        <v/>
      </c>
      <c r="BZ238" s="467" t="str">
        <f aca="false">IF(BD238,IF(BT238&gt;0,IF(BT238&gt;0.2,BC238-BB238,IF(BT238&gt;0.1,BB238-BA238,BA238)),IF(BT238&lt;-0.2,AX238-AY238,IF(BT238&lt;-0.1,AY238-AZ238,AZ238))),"")</f>
        <v/>
      </c>
      <c r="CA238" s="468" t="str">
        <f aca="false">IF($BD238,$BW238+IF(VolSkewFlag=1,IF(BS238&gt;0,$BA238*MIN(BS238/10%,1)+($BB238-$BA238)*MAX(0,MIN(BS238/10%-1,1))+($BC238-$BB238)*MAX(0,BS238/10%-2),$AZ238*MIN(-BS238/10%,1)+($AY238-$AZ238)*MAX(0,MIN(-BS238/10%-1,1))+($AX238-$AY238)*MAX(0,-BS238/10%-2)),0),"")</f>
        <v/>
      </c>
      <c r="CB238" s="468" t="str">
        <f aca="false">IF($BD238,$BX238+IF(VolSkewFlag=1,IF(BS238&gt;0,$BA238*MIN(BS238/10%,1)+($BB238-$BA238)*MAX(0,MIN(BS238/10%-1,1))+($BC238-$BB238)*MAX(0,BS238/10%-2),$AZ238*MIN(-BS238/10%,1)+($AY238-$AZ238)*MAX(0,MIN(-BS238/10%-1,1))+($AX238-$AY238)*MAX(0,-BS238/10%-2)),0),"")</f>
        <v/>
      </c>
      <c r="CC238" s="468" t="str">
        <f aca="false">IF($BD238,$BW238+IF(VolSkewFlag=1,IF(BT238&gt;0,$BA238*MIN(BT238/10%,1)+($BB238-$BA238)*MAX(0,MIN(BT238/10%-1,1))+($BC238-$BB238)*MAX(0,BT238/10%-2),$AZ238*MIN(-BT238/10%,1)+($AY238-$AZ238)*MAX(0,MIN(-BT238/10%-1,1))+($AX238-$AY238)*MAX(0,-BT238/10%-2)),0),"")</f>
        <v/>
      </c>
      <c r="CD238" s="468" t="str">
        <f aca="false">IF($BD238,$BX238+IF(VolSkewFlag=1,IF(BT238&gt;0,$BA238*MIN(BT238/10%,1)+($BB238-$BA238)*MAX(0,MIN(BT238/10%-1,1))+($BC238-$BB238)*MAX(0,BT238/10%-2),$AZ238*MIN(-BT238/10%,1)+($AY238-$AZ238)*MAX(0,MIN(-BT238/10%-1,1))+($AX238-$AY238)*MAX(0,-BT238/10%-2)),0),"")</f>
        <v/>
      </c>
      <c r="CE238" s="469" t="n">
        <v>1</v>
      </c>
      <c r="CF238" s="470" t="n">
        <f aca="false">IF(BD238,xCrudeAPO(BU238,BV238,CA238,CB238,S239,S240,BI238,BL238,BP238,BQ238,0,Strike1,AO238,CE238,0,BL238,IF(OptControl=4,0,1),0,1),0)</f>
        <v>0</v>
      </c>
      <c r="CG238" s="470" t="n">
        <f aca="false">IF(BD238,xCrudeAPO(BU238,BV238,CA238,CB238,S239,S240,BI238,BL238,BP238,BQ238,0,Strike1,AO238,CE238,0,BL238,IF(OptControl=4,0,1),1,1)+xCrudeAPO(BU238,BV238,CA238,CB238,S239,S240,BI238,BL238,BP238,BQ238,0,Strike1,AO238,CE238,0,BL238,IF(OptControl=4,0,1),1,2)+IF(OR(VolSkewFlag=2,ABS(BS238)&lt;0.0001),0,IF(BS238&gt;0,-1,1)*CH238*Strike1/BR238^2*BY238/10%),0)</f>
        <v>0</v>
      </c>
      <c r="CH238" s="470" t="n">
        <f aca="false">IF(BD238,(xCrudeAPO(BU238,BV238,CA238,CB238,S239,S240,BI238,BL238,BP238,BQ238,0,Strike1,AO238,CE238,0,BL238,IF(OptControl=4,0,1),3,1)+xCrudeAPO(BU238,BV238,CA238,CB238,S239,S240,BI238,BL238,BP238,BQ238,0,Strike1,AO238,CE238,0,BL238,IF(OptControl=4,0,1),3,2))/100,0)</f>
        <v>0</v>
      </c>
      <c r="CI238" s="470" t="n">
        <f aca="false">IF(BD238,xCrudeAPO(BU238,BV238,CA238,CB238,S239,S240,BI238-DaysForThetaCalculation/365.25,BL238-DaysForThetaCalculation/365.25,BP238,BQ238,0,Strike1,AO238,CE238,0,BL238,IF(OptControl=4,0,1),0,1)-xCrudeAPO(BU238,BV238,CA238,CB238,S239,S240,BI238,BL238,BP238,BQ238,0,Strike1,AO238,CE238,0,BL238,IF(OptControl=4,0,1),0,1),0)</f>
        <v>0</v>
      </c>
      <c r="CJ238" s="471" t="n">
        <f aca="false">IF(BD238,xCrudeAPO(BU238,BV238,CC238,CD238,S239,S240,BI238,BL238,BP238,BQ238,0,Strike2,AO238,CE238,0,BL238,IF(OptControl=3,1,0),0,1),0)</f>
        <v>0</v>
      </c>
      <c r="CK238" s="470" t="n">
        <f aca="false">IF(BD238,xCrudeAPO(BU238,BV238,CC238,CD238,S239,S240,BI238,BL238,BP238,BQ238,0,Strike2,AO238,CE238,0,BL238,IF(OptControl=3,1,0),1,1)+xCrudeAPO(BU238,BV238,CC238,CD238,S239,S240,BI238,BL238,BP238,BQ238,0,Strike2,AO238,CE238,0,BL238,IF(OptControl=3,1,0),1,2)+IF(OR(VolSkewFlag=2,ABS(BT238)&lt;0.0001),0,IF(BT238&gt;0,-1,1)*CL238*Strike2/BR238^2*BZ238/10%),0)</f>
        <v>0</v>
      </c>
      <c r="CL238" s="470" t="n">
        <f aca="false">IF(BD238,(xCrudeAPO(BU238,BV238,CC238,CD238,S239,S240,BI238,BL238,BP238,BQ238,0,Strike2,AO238,CE238,0,BL238,IF(OptControl=3,1,0),3,1)+xCrudeAPO(BU238,BV238,CC238,CD238,S239,S240,BI238,BL238,BP238,BQ238,0,Strike2,AO238,CE238,0,BL238,IF(OptControl=3,1,0),3,2))/100,0)</f>
        <v>0</v>
      </c>
      <c r="CM238" s="472" t="n">
        <f aca="false">IF(BD238,xCrudeAPO(BU238,BV238,CC238,CD238,S239,S240,BI238-DaysForThetaCalculation/365.25,BL238-DaysForThetaCalculation/365.25,BP238,BQ238,0,Strike2,AO238,CE238,0,BL238,IF(OptControl=3,1,0),0,1)-xCrudeAPO(BU238,BV238,CC238,CD238,S239,S240,BI238,BL238,BP238,BQ238,0,Strike2,AO238,CE238,0,BL238,IF(OptControl=3,1,0),0,1),0)</f>
        <v>0</v>
      </c>
      <c r="CN238" s="3"/>
      <c r="CO238" s="543" t="str">
        <f aca="false">IF(BD238,CHOOSE(Underlying,AD238,AF238)-DateToday+1,"")</f>
        <v/>
      </c>
      <c r="CP238" s="582" t="str">
        <f aca="false">IF(BD238,CHOOSE(Underlying,L238,R238),"")</f>
        <v/>
      </c>
      <c r="CQ238" s="544" t="str">
        <f aca="false">IF(BD238,Strike1/CP238-1,"")</f>
        <v/>
      </c>
      <c r="CR238" s="544" t="str">
        <f aca="false">IF(BD238,Strike2/CP238-1,"")</f>
        <v/>
      </c>
      <c r="CS238" s="544" t="str">
        <f aca="false">IF(BD238,IF(CQ238&gt;0,IF(CQ238&gt;0.2,BC237-BB237,IF(CQ238&gt;0.1,BB237-BA237,BA237)),IF(CQ238&lt;-0.2,AX237-AY237,IF(CQ238&lt;-0.1,AY237-AZ237,AZ237))),"")</f>
        <v/>
      </c>
      <c r="CT238" s="544" t="str">
        <f aca="false">IF(BD238,IF(CR238&gt;0,IF(CR238&gt;0.2,BC237-BB237,IF(CR238&gt;0.1,BB237-BA237,BA237)),IF(CR238&lt;-0.2,AX237-AY237,IF(CR238&lt;-0.1,AY237-AZ237,AZ237))),"")</f>
        <v/>
      </c>
      <c r="CU238" s="545" t="str">
        <f aca="false">IF(BD238,CHOOSE(Underlying,O238,AT238),"")</f>
        <v/>
      </c>
      <c r="CV238" s="545" t="str">
        <f aca="false">IF(BD238,CU238+IF(VolSkewFlag=1,IF(CQ238&gt;0,BA237*MIN(CQ238/10%,1)+(BB237-BA237)*MAX(0,MIN(CQ238/10%-1,1))+(BC237-BB237)*MAX(0,CQ238/10%-2),AZ237*MIN(-CQ238/10%,1)+(AY237-AZ237)*MAX(0,MIN(-CQ238/10%-1,1))+(AX237-AY237)*MAX(0,-CQ238/10%-2)),0),"")</f>
        <v/>
      </c>
      <c r="CW238" s="545" t="str">
        <f aca="false">IF(BD238,CU238+IF(VolSkewFlag=1,IF(CR238&gt;0,BA237*MIN(CR238/10%,1)+(BB237-BA237)*MAX(0,MIN(CR238/10%-1,1))+(BC237-BB237)*MAX(0,CR238/10%-2),AZ237*MIN(-CR238/10%,1)+(AY237-AZ237)*MAX(0,MIN(-CR238/10%-1,1))+(AX237-AY237)*MAX(0,-CR238/10%-2)),0),"")</f>
        <v/>
      </c>
      <c r="CX238" s="470" t="n">
        <f aca="false">IF(BD238,EURO(CP238,Strike1,AO238,AO238,CV238,CO238,IF(OptControl=4,0,1),0),0)</f>
        <v>0</v>
      </c>
      <c r="CY238" s="470" t="n">
        <f aca="false">IF(BD238,EURO(CP238,Strike1,AO238,AO238,CV238,CO238,IF(OptControl=4,0,1),1)+IF(OR(VolSkewFlag=2,ABS(CQ238)&lt;0.0001),0,IF(CQ238&gt;0,-1,1)*CZ238*100*Strike1/CP238^2*CS238/10%),0)</f>
        <v>0</v>
      </c>
      <c r="CZ238" s="470" t="n">
        <f aca="false">IF(BD238,EURO(CP238,Strike1,AO238,AO238,CV238,CO238,IF(OptControl=4,0,1),3)/100,0)</f>
        <v>0</v>
      </c>
      <c r="DA238" s="470" t="n">
        <f aca="false">IF(BD238,EURO(CP238,Strike1,AO238,AO238,CV238,CO238,IF(OptControl=4,0,1),0)-EURO(CP238,Strike1,AO238,AO238,CV238,CO238-1,IF(OptControl=4,0,1),0),0)</f>
        <v>0</v>
      </c>
      <c r="DB238" s="470" t="n">
        <f aca="false">IF(BD238,EURO(CP238,Strike2,AO238,AO238,CW238,CO238,IF(OptControl=3,1,0),0),0)</f>
        <v>0</v>
      </c>
      <c r="DC238" s="470" t="n">
        <f aca="false">IF(BD238,EURO(CP238,Strike2,AO238,AO238,CW238,CO238,IF(OptControl=3,1,0),1)+IF(OR(VolSkewFlag=2,ABS(CR238)&lt;0.0001),0,IF(CR238&gt;0,-1,1)*DD238*100*Strike2/CP238^2*CT238/10%),0)</f>
        <v>0</v>
      </c>
      <c r="DD238" s="470" t="n">
        <f aca="false">IF(BD238,EURO(CP238,Strike2,AO238,AO238,CW238,CO238,IF(OptControl=3,1,0),3)/100,0)</f>
        <v>0</v>
      </c>
      <c r="DE238" s="472" t="n">
        <f aca="false">IF(BD238,EURO(CP238,Strike2,AO238,AO238,CW238,CO238,IF(OptControl=3,1,0),0)-EURO(CP238,Strike2,AO238,AO238,CW238,CO238-1,IF(OptControl=3,1,0),0),0)</f>
        <v>0</v>
      </c>
      <c r="DG238" s="481" t="n">
        <f aca="false">EOMONTH(DG237,0)+1</f>
        <v>52322</v>
      </c>
      <c r="DH238" s="478" t="n">
        <v>25.0600000000001</v>
      </c>
      <c r="DI238" s="479" t="n">
        <v>25.1242857142858</v>
      </c>
      <c r="DJ238" s="480" t="n">
        <f aca="false">DG238</f>
        <v>52322</v>
      </c>
      <c r="DK238" s="478" t="n">
        <v>23.8661839592344</v>
      </c>
      <c r="DL238" s="479" t="n">
        <v>23.8327857142858</v>
      </c>
      <c r="DM238" s="481" t="n">
        <f aca="false">DG238</f>
        <v>52322</v>
      </c>
      <c r="DN238" s="482" t="n">
        <f aca="false">DK238+BrentPhyBrentSpread</f>
        <v>23.9161839592344</v>
      </c>
      <c r="DO238" s="481" t="n">
        <f aca="false">DG238</f>
        <v>52322</v>
      </c>
      <c r="DP238" s="483" t="n">
        <f aca="false">DL238+DQ238</f>
        <v>23.8327857142858</v>
      </c>
      <c r="DQ238" s="546" t="n">
        <v>0</v>
      </c>
      <c r="DR238" s="480" t="n">
        <f aca="false">DG238</f>
        <v>52322</v>
      </c>
      <c r="DS238" s="485" t="n">
        <v>0.093799999999997</v>
      </c>
      <c r="DT238" s="486" t="n">
        <v>0.0930285714285684</v>
      </c>
      <c r="DU238" s="480" t="n">
        <f aca="false">DG238</f>
        <v>52322</v>
      </c>
      <c r="DV238" s="485" t="n">
        <v>0.093799999999997</v>
      </c>
      <c r="DW238" s="486" t="n">
        <v>0.0930285714285684</v>
      </c>
      <c r="DX238" s="481" t="n">
        <f aca="false">DG238</f>
        <v>52322</v>
      </c>
      <c r="DY238" s="486" t="n">
        <v>0.35</v>
      </c>
      <c r="DZ238" s="481" t="n">
        <f aca="false">DR238</f>
        <v>52322</v>
      </c>
      <c r="EA238" s="486" t="n">
        <f aca="false">DT238</f>
        <v>0.0930285714285684</v>
      </c>
      <c r="EB238" s="195"/>
      <c r="EC238" s="547" t="str">
        <f aca="false">IF(BD238,IF(Underlying=1,AS238,AU238),"")</f>
        <v/>
      </c>
      <c r="ED238" s="548" t="str">
        <f aca="false">IF($BD238,$EC238+IF(VolSkewFlag=1,IF(BS238&gt;0,$BA238*MIN(BS238/10%,1)+($BB238-$BA238)*MAX(0,MIN(BS238/10%-1,1))+($BC238-$BB238)*MAX(0,BS238/10%-2),$AZ238*MIN(-BS238/10%,1)+($AY238-$AZ238)*MAX(0,MIN(-BS238/10%-1,1))+($AX238-$AY238)*MAX(0,-BS238/10%-2)),0),"")</f>
        <v/>
      </c>
      <c r="EE238" s="549" t="str">
        <f aca="false">IF($BD238,$EC238+IF(VolSkewFlag=1,IF(BT238&gt;0,$BA238*MIN(BT238/10%,1)+($BB238-$BA238)*MAX(0,MIN(BT238/10%-1,1))+($BC238-$BB238)*MAX(0,BT238/10%-2),$AZ238*MIN(-BT238/10%,1)+($AY238-$AZ238)*MAX(0,MIN(-BT238/10%-1,1))+($AX238-$AY238)*MAX(0,-BT238/10%-2)),0),"")</f>
        <v/>
      </c>
      <c r="EF238" s="550" t="n">
        <f aca="false">IF(BD238,xASN(BR238,Strike1,AO238,ED238,0,BO238,0,BI238,BL238,IF(OptControl=4,0,1),0),0)</f>
        <v>0</v>
      </c>
      <c r="EG238" s="551" t="n">
        <f aca="false">IF(BD238,xASN(BR238,Strike2,AO238,EE238,0,BO238,0,BI238,BL238,IF(OptControl=3,1,0),0),0)</f>
        <v>0</v>
      </c>
      <c r="EL238" s="1"/>
      <c r="EM238" s="195"/>
      <c r="EN238" s="240"/>
      <c r="EO238" s="240"/>
      <c r="EP238" s="195"/>
      <c r="EQ238" s="407" t="s">
        <v>466</v>
      </c>
      <c r="ES238" s="1"/>
      <c r="EU238" s="672"/>
      <c r="FJ238" s="571" t="n">
        <v>69</v>
      </c>
      <c r="FK238" s="150" t="str">
        <f aca="false">IF(OR(FK$169&lt;SwaptionFirstMonthPosition+1,$FJ238&lt;SwaptionFirstMonthPosition+1,FK$169&gt;SwaptionFirstMonthPosition+SwaptionNumOfMonths+1,$FJ238&gt;SwaptionFirstMonthPosition+SwaptionNumOfMonths+1),"",IF($FJ238=FK$169,1,IF($FJ238&lt;FK$169,INDEX($FK$170:$ID$241,FK$169,$FJ238),SUMPRODUCT(INDEX($FK$325:$ID$396,FK$169,1+SwaptionShift):INDEX($FK$325:$ID$396,FK$169,SwaptionMonthsToGo+SwaptionShift),INDEX($FK$245:$ID$316,$FJ238-FK$169,73-FK$169+SwaptionShift):INDEX($FK$245:$ID$316,$FJ238-FK$169,72-FK$169+SwaptionMonthsToGo+SwaptionShift))/SQRT(SUM(INDEX($FK393:$ID393,1+SwaptionShift):INDEX($FK393:$ID393,SwaptionMonthsToGo+SwaptionShift))*SUM(INDEX($FK$325:$ID$396,FK$169,1+SwaptionShift):INDEX($FK$325:$ID$396,FK$169,SwaptionMonthsToGo+SwaptionShift))))))</f>
        <v/>
      </c>
      <c r="FL238" s="150" t="str">
        <f aca="false">IF(OR(FL$169&lt;SwaptionFirstMonthPosition+1,$FJ238&lt;SwaptionFirstMonthPosition+1,FL$169&gt;SwaptionFirstMonthPosition+SwaptionNumOfMonths+1,$FJ238&gt;SwaptionFirstMonthPosition+SwaptionNumOfMonths+1),"",IF($FJ238=FL$169,1,IF($FJ238&lt;FL$169,INDEX($FK$170:$ID$241,FL$169,$FJ238),SUMPRODUCT(INDEX($FK$325:$ID$396,FL$169,1+SwaptionShift):INDEX($FK$325:$ID$396,FL$169,SwaptionMonthsToGo+SwaptionShift),INDEX($FK$245:$ID$316,$FJ238-FL$169,73-FL$169+SwaptionShift):INDEX($FK$245:$ID$316,$FJ238-FL$169,72-FL$169+SwaptionMonthsToGo+SwaptionShift))/SQRT(SUM(INDEX($FK393:$ID393,1+SwaptionShift):INDEX($FK393:$ID393,SwaptionMonthsToGo+SwaptionShift))*SUM(INDEX($FK$325:$ID$396,FL$169,1+SwaptionShift):INDEX($FK$325:$ID$396,FL$169,SwaptionMonthsToGo+SwaptionShift))))))</f>
        <v/>
      </c>
      <c r="FM238" s="150" t="str">
        <f aca="false">IF(OR(FM$169&lt;SwaptionFirstMonthPosition+1,$FJ238&lt;SwaptionFirstMonthPosition+1,FM$169&gt;SwaptionFirstMonthPosition+SwaptionNumOfMonths+1,$FJ238&gt;SwaptionFirstMonthPosition+SwaptionNumOfMonths+1),"",IF($FJ238=FM$169,1,IF($FJ238&lt;FM$169,INDEX($FK$170:$ID$241,FM$169,$FJ238),SUMPRODUCT(INDEX($FK$325:$ID$396,FM$169,1+SwaptionShift):INDEX($FK$325:$ID$396,FM$169,SwaptionMonthsToGo+SwaptionShift),INDEX($FK$245:$ID$316,$FJ238-FM$169,73-FM$169+SwaptionShift):INDEX($FK$245:$ID$316,$FJ238-FM$169,72-FM$169+SwaptionMonthsToGo+SwaptionShift))/SQRT(SUM(INDEX($FK393:$ID393,1+SwaptionShift):INDEX($FK393:$ID393,SwaptionMonthsToGo+SwaptionShift))*SUM(INDEX($FK$325:$ID$396,FM$169,1+SwaptionShift):INDEX($FK$325:$ID$396,FM$169,SwaptionMonthsToGo+SwaptionShift))))))</f>
        <v/>
      </c>
      <c r="FN238" s="150" t="str">
        <f aca="false">IF(OR(FN$169&lt;SwaptionFirstMonthPosition+1,$FJ238&lt;SwaptionFirstMonthPosition+1,FN$169&gt;SwaptionFirstMonthPosition+SwaptionNumOfMonths+1,$FJ238&gt;SwaptionFirstMonthPosition+SwaptionNumOfMonths+1),"",IF($FJ238=FN$169,1,IF($FJ238&lt;FN$169,INDEX($FK$170:$ID$241,FN$169,$FJ238),SUMPRODUCT(INDEX($FK$325:$ID$396,FN$169,1+SwaptionShift):INDEX($FK$325:$ID$396,FN$169,SwaptionMonthsToGo+SwaptionShift),INDEX($FK$245:$ID$316,$FJ238-FN$169,73-FN$169+SwaptionShift):INDEX($FK$245:$ID$316,$FJ238-FN$169,72-FN$169+SwaptionMonthsToGo+SwaptionShift))/SQRT(SUM(INDEX($FK393:$ID393,1+SwaptionShift):INDEX($FK393:$ID393,SwaptionMonthsToGo+SwaptionShift))*SUM(INDEX($FK$325:$ID$396,FN$169,1+SwaptionShift):INDEX($FK$325:$ID$396,FN$169,SwaptionMonthsToGo+SwaptionShift))))))</f>
        <v/>
      </c>
      <c r="FO238" s="150" t="str">
        <f aca="false">IF(OR(FO$169&lt;SwaptionFirstMonthPosition+1,$FJ238&lt;SwaptionFirstMonthPosition+1,FO$169&gt;SwaptionFirstMonthPosition+SwaptionNumOfMonths+1,$FJ238&gt;SwaptionFirstMonthPosition+SwaptionNumOfMonths+1),"",IF($FJ238=FO$169,1,IF($FJ238&lt;FO$169,INDEX($FK$170:$ID$241,FO$169,$FJ238),SUMPRODUCT(INDEX($FK$325:$ID$396,FO$169,1+SwaptionShift):INDEX($FK$325:$ID$396,FO$169,SwaptionMonthsToGo+SwaptionShift),INDEX($FK$245:$ID$316,$FJ238-FO$169,73-FO$169+SwaptionShift):INDEX($FK$245:$ID$316,$FJ238-FO$169,72-FO$169+SwaptionMonthsToGo+SwaptionShift))/SQRT(SUM(INDEX($FK393:$ID393,1+SwaptionShift):INDEX($FK393:$ID393,SwaptionMonthsToGo+SwaptionShift))*SUM(INDEX($FK$325:$ID$396,FO$169,1+SwaptionShift):INDEX($FK$325:$ID$396,FO$169,SwaptionMonthsToGo+SwaptionShift))))))</f>
        <v/>
      </c>
      <c r="FP238" s="150" t="str">
        <f aca="false">IF(OR(FP$169&lt;SwaptionFirstMonthPosition+1,$FJ238&lt;SwaptionFirstMonthPosition+1,FP$169&gt;SwaptionFirstMonthPosition+SwaptionNumOfMonths+1,$FJ238&gt;SwaptionFirstMonthPosition+SwaptionNumOfMonths+1),"",IF($FJ238=FP$169,1,IF($FJ238&lt;FP$169,INDEX($FK$170:$ID$241,FP$169,$FJ238),SUMPRODUCT(INDEX($FK$325:$ID$396,FP$169,1+SwaptionShift):INDEX($FK$325:$ID$396,FP$169,SwaptionMonthsToGo+SwaptionShift),INDEX($FK$245:$ID$316,$FJ238-FP$169,73-FP$169+SwaptionShift):INDEX($FK$245:$ID$316,$FJ238-FP$169,72-FP$169+SwaptionMonthsToGo+SwaptionShift))/SQRT(SUM(INDEX($FK393:$ID393,1+SwaptionShift):INDEX($FK393:$ID393,SwaptionMonthsToGo+SwaptionShift))*SUM(INDEX($FK$325:$ID$396,FP$169,1+SwaptionShift):INDEX($FK$325:$ID$396,FP$169,SwaptionMonthsToGo+SwaptionShift))))))</f>
        <v/>
      </c>
      <c r="FQ238" s="150" t="str">
        <f aca="false">IF(OR(FQ$169&lt;SwaptionFirstMonthPosition+1,$FJ238&lt;SwaptionFirstMonthPosition+1,FQ$169&gt;SwaptionFirstMonthPosition+SwaptionNumOfMonths+1,$FJ238&gt;SwaptionFirstMonthPosition+SwaptionNumOfMonths+1),"",IF($FJ238=FQ$169,1,IF($FJ238&lt;FQ$169,INDEX($FK$170:$ID$241,FQ$169,$FJ238),SUMPRODUCT(INDEX($FK$325:$ID$396,FQ$169,1+SwaptionShift):INDEX($FK$325:$ID$396,FQ$169,SwaptionMonthsToGo+SwaptionShift),INDEX($FK$245:$ID$316,$FJ238-FQ$169,73-FQ$169+SwaptionShift):INDEX($FK$245:$ID$316,$FJ238-FQ$169,72-FQ$169+SwaptionMonthsToGo+SwaptionShift))/SQRT(SUM(INDEX($FK393:$ID393,1+SwaptionShift):INDEX($FK393:$ID393,SwaptionMonthsToGo+SwaptionShift))*SUM(INDEX($FK$325:$ID$396,FQ$169,1+SwaptionShift):INDEX($FK$325:$ID$396,FQ$169,SwaptionMonthsToGo+SwaptionShift))))))</f>
        <v/>
      </c>
      <c r="FR238" s="150" t="str">
        <f aca="false">IF(OR(FR$169&lt;SwaptionFirstMonthPosition+1,$FJ238&lt;SwaptionFirstMonthPosition+1,FR$169&gt;SwaptionFirstMonthPosition+SwaptionNumOfMonths+1,$FJ238&gt;SwaptionFirstMonthPosition+SwaptionNumOfMonths+1),"",IF($FJ238=FR$169,1,IF($FJ238&lt;FR$169,INDEX($FK$170:$ID$241,FR$169,$FJ238),SUMPRODUCT(INDEX($FK$325:$ID$396,FR$169,1+SwaptionShift):INDEX($FK$325:$ID$396,FR$169,SwaptionMonthsToGo+SwaptionShift),INDEX($FK$245:$ID$316,$FJ238-FR$169,73-FR$169+SwaptionShift):INDEX($FK$245:$ID$316,$FJ238-FR$169,72-FR$169+SwaptionMonthsToGo+SwaptionShift))/SQRT(SUM(INDEX($FK393:$ID393,1+SwaptionShift):INDEX($FK393:$ID393,SwaptionMonthsToGo+SwaptionShift))*SUM(INDEX($FK$325:$ID$396,FR$169,1+SwaptionShift):INDEX($FK$325:$ID$396,FR$169,SwaptionMonthsToGo+SwaptionShift))))))</f>
        <v/>
      </c>
      <c r="FS238" s="150" t="str">
        <f aca="false">IF(OR(FS$169&lt;SwaptionFirstMonthPosition+1,$FJ238&lt;SwaptionFirstMonthPosition+1,FS$169&gt;SwaptionFirstMonthPosition+SwaptionNumOfMonths+1,$FJ238&gt;SwaptionFirstMonthPosition+SwaptionNumOfMonths+1),"",IF($FJ238=FS$169,1,IF($FJ238&lt;FS$169,INDEX($FK$170:$ID$241,FS$169,$FJ238),SUMPRODUCT(INDEX($FK$325:$ID$396,FS$169,1+SwaptionShift):INDEX($FK$325:$ID$396,FS$169,SwaptionMonthsToGo+SwaptionShift),INDEX($FK$245:$ID$316,$FJ238-FS$169,73-FS$169+SwaptionShift):INDEX($FK$245:$ID$316,$FJ238-FS$169,72-FS$169+SwaptionMonthsToGo+SwaptionShift))/SQRT(SUM(INDEX($FK393:$ID393,1+SwaptionShift):INDEX($FK393:$ID393,SwaptionMonthsToGo+SwaptionShift))*SUM(INDEX($FK$325:$ID$396,FS$169,1+SwaptionShift):INDEX($FK$325:$ID$396,FS$169,SwaptionMonthsToGo+SwaptionShift))))))</f>
        <v/>
      </c>
      <c r="FT238" s="150" t="str">
        <f aca="false">IF(OR(FT$169&lt;SwaptionFirstMonthPosition+1,$FJ238&lt;SwaptionFirstMonthPosition+1,FT$169&gt;SwaptionFirstMonthPosition+SwaptionNumOfMonths+1,$FJ238&gt;SwaptionFirstMonthPosition+SwaptionNumOfMonths+1),"",IF($FJ238=FT$169,1,IF($FJ238&lt;FT$169,INDEX($FK$170:$ID$241,FT$169,$FJ238),SUMPRODUCT(INDEX($FK$325:$ID$396,FT$169,1+SwaptionShift):INDEX($FK$325:$ID$396,FT$169,SwaptionMonthsToGo+SwaptionShift),INDEX($FK$245:$ID$316,$FJ238-FT$169,73-FT$169+SwaptionShift):INDEX($FK$245:$ID$316,$FJ238-FT$169,72-FT$169+SwaptionMonthsToGo+SwaptionShift))/SQRT(SUM(INDEX($FK393:$ID393,1+SwaptionShift):INDEX($FK393:$ID393,SwaptionMonthsToGo+SwaptionShift))*SUM(INDEX($FK$325:$ID$396,FT$169,1+SwaptionShift):INDEX($FK$325:$ID$396,FT$169,SwaptionMonthsToGo+SwaptionShift))))))</f>
        <v/>
      </c>
      <c r="FU238" s="150" t="str">
        <f aca="false">IF(OR(FU$169&lt;SwaptionFirstMonthPosition+1,$FJ238&lt;SwaptionFirstMonthPosition+1,FU$169&gt;SwaptionFirstMonthPosition+SwaptionNumOfMonths+1,$FJ238&gt;SwaptionFirstMonthPosition+SwaptionNumOfMonths+1),"",IF($FJ238=FU$169,1,IF($FJ238&lt;FU$169,INDEX($FK$170:$ID$241,FU$169,$FJ238),SUMPRODUCT(INDEX($FK$325:$ID$396,FU$169,1+SwaptionShift):INDEX($FK$325:$ID$396,FU$169,SwaptionMonthsToGo+SwaptionShift),INDEX($FK$245:$ID$316,$FJ238-FU$169,73-FU$169+SwaptionShift):INDEX($FK$245:$ID$316,$FJ238-FU$169,72-FU$169+SwaptionMonthsToGo+SwaptionShift))/SQRT(SUM(INDEX($FK393:$ID393,1+SwaptionShift):INDEX($FK393:$ID393,SwaptionMonthsToGo+SwaptionShift))*SUM(INDEX($FK$325:$ID$396,FU$169,1+SwaptionShift):INDEX($FK$325:$ID$396,FU$169,SwaptionMonthsToGo+SwaptionShift))))))</f>
        <v/>
      </c>
      <c r="FV238" s="150" t="str">
        <f aca="false">IF(OR(FV$169&lt;SwaptionFirstMonthPosition+1,$FJ238&lt;SwaptionFirstMonthPosition+1,FV$169&gt;SwaptionFirstMonthPosition+SwaptionNumOfMonths+1,$FJ238&gt;SwaptionFirstMonthPosition+SwaptionNumOfMonths+1),"",IF($FJ238=FV$169,1,IF($FJ238&lt;FV$169,INDEX($FK$170:$ID$241,FV$169,$FJ238),SUMPRODUCT(INDEX($FK$325:$ID$396,FV$169,1+SwaptionShift):INDEX($FK$325:$ID$396,FV$169,SwaptionMonthsToGo+SwaptionShift),INDEX($FK$245:$ID$316,$FJ238-FV$169,73-FV$169+SwaptionShift):INDEX($FK$245:$ID$316,$FJ238-FV$169,72-FV$169+SwaptionMonthsToGo+SwaptionShift))/SQRT(SUM(INDEX($FK393:$ID393,1+SwaptionShift):INDEX($FK393:$ID393,SwaptionMonthsToGo+SwaptionShift))*SUM(INDEX($FK$325:$ID$396,FV$169,1+SwaptionShift):INDEX($FK$325:$ID$396,FV$169,SwaptionMonthsToGo+SwaptionShift))))))</f>
        <v/>
      </c>
      <c r="FW238" s="150" t="str">
        <f aca="false">IF(OR(FW$169&lt;SwaptionFirstMonthPosition+1,$FJ238&lt;SwaptionFirstMonthPosition+1,FW$169&gt;SwaptionFirstMonthPosition+SwaptionNumOfMonths+1,$FJ238&gt;SwaptionFirstMonthPosition+SwaptionNumOfMonths+1),"",IF($FJ238=FW$169,1,IF($FJ238&lt;FW$169,INDEX($FK$170:$ID$241,FW$169,$FJ238),SUMPRODUCT(INDEX($FK$325:$ID$396,FW$169,1+SwaptionShift):INDEX($FK$325:$ID$396,FW$169,SwaptionMonthsToGo+SwaptionShift),INDEX($FK$245:$ID$316,$FJ238-FW$169,73-FW$169+SwaptionShift):INDEX($FK$245:$ID$316,$FJ238-FW$169,72-FW$169+SwaptionMonthsToGo+SwaptionShift))/SQRT(SUM(INDEX($FK393:$ID393,1+SwaptionShift):INDEX($FK393:$ID393,SwaptionMonthsToGo+SwaptionShift))*SUM(INDEX($FK$325:$ID$396,FW$169,1+SwaptionShift):INDEX($FK$325:$ID$396,FW$169,SwaptionMonthsToGo+SwaptionShift))))))</f>
        <v/>
      </c>
      <c r="FX238" s="150" t="str">
        <f aca="false">IF(OR(FX$169&lt;SwaptionFirstMonthPosition+1,$FJ238&lt;SwaptionFirstMonthPosition+1,FX$169&gt;SwaptionFirstMonthPosition+SwaptionNumOfMonths+1,$FJ238&gt;SwaptionFirstMonthPosition+SwaptionNumOfMonths+1),"",IF($FJ238=FX$169,1,IF($FJ238&lt;FX$169,INDEX($FK$170:$ID$241,FX$169,$FJ238),SUMPRODUCT(INDEX($FK$325:$ID$396,FX$169,1+SwaptionShift):INDEX($FK$325:$ID$396,FX$169,SwaptionMonthsToGo+SwaptionShift),INDEX($FK$245:$ID$316,$FJ238-FX$169,73-FX$169+SwaptionShift):INDEX($FK$245:$ID$316,$FJ238-FX$169,72-FX$169+SwaptionMonthsToGo+SwaptionShift))/SQRT(SUM(INDEX($FK393:$ID393,1+SwaptionShift):INDEX($FK393:$ID393,SwaptionMonthsToGo+SwaptionShift))*SUM(INDEX($FK$325:$ID$396,FX$169,1+SwaptionShift):INDEX($FK$325:$ID$396,FX$169,SwaptionMonthsToGo+SwaptionShift))))))</f>
        <v/>
      </c>
      <c r="FY238" s="150" t="str">
        <f aca="false">IF(OR(FY$169&lt;SwaptionFirstMonthPosition+1,$FJ238&lt;SwaptionFirstMonthPosition+1,FY$169&gt;SwaptionFirstMonthPosition+SwaptionNumOfMonths+1,$FJ238&gt;SwaptionFirstMonthPosition+SwaptionNumOfMonths+1),"",IF($FJ238=FY$169,1,IF($FJ238&lt;FY$169,INDEX($FK$170:$ID$241,FY$169,$FJ238),SUMPRODUCT(INDEX($FK$325:$ID$396,FY$169,1+SwaptionShift):INDEX($FK$325:$ID$396,FY$169,SwaptionMonthsToGo+SwaptionShift),INDEX($FK$245:$ID$316,$FJ238-FY$169,73-FY$169+SwaptionShift):INDEX($FK$245:$ID$316,$FJ238-FY$169,72-FY$169+SwaptionMonthsToGo+SwaptionShift))/SQRT(SUM(INDEX($FK393:$ID393,1+SwaptionShift):INDEX($FK393:$ID393,SwaptionMonthsToGo+SwaptionShift))*SUM(INDEX($FK$325:$ID$396,FY$169,1+SwaptionShift):INDEX($FK$325:$ID$396,FY$169,SwaptionMonthsToGo+SwaptionShift))))))</f>
        <v/>
      </c>
      <c r="FZ238" s="150" t="str">
        <f aca="false">IF(OR(FZ$169&lt;SwaptionFirstMonthPosition+1,$FJ238&lt;SwaptionFirstMonthPosition+1,FZ$169&gt;SwaptionFirstMonthPosition+SwaptionNumOfMonths+1,$FJ238&gt;SwaptionFirstMonthPosition+SwaptionNumOfMonths+1),"",IF($FJ238=FZ$169,1,IF($FJ238&lt;FZ$169,INDEX($FK$170:$ID$241,FZ$169,$FJ238),SUMPRODUCT(INDEX($FK$325:$ID$396,FZ$169,1+SwaptionShift):INDEX($FK$325:$ID$396,FZ$169,SwaptionMonthsToGo+SwaptionShift),INDEX($FK$245:$ID$316,$FJ238-FZ$169,73-FZ$169+SwaptionShift):INDEX($FK$245:$ID$316,$FJ238-FZ$169,72-FZ$169+SwaptionMonthsToGo+SwaptionShift))/SQRT(SUM(INDEX($FK393:$ID393,1+SwaptionShift):INDEX($FK393:$ID393,SwaptionMonthsToGo+SwaptionShift))*SUM(INDEX($FK$325:$ID$396,FZ$169,1+SwaptionShift):INDEX($FK$325:$ID$396,FZ$169,SwaptionMonthsToGo+SwaptionShift))))))</f>
        <v/>
      </c>
      <c r="GA238" s="150" t="str">
        <f aca="false">IF(OR(GA$169&lt;SwaptionFirstMonthPosition+1,$FJ238&lt;SwaptionFirstMonthPosition+1,GA$169&gt;SwaptionFirstMonthPosition+SwaptionNumOfMonths+1,$FJ238&gt;SwaptionFirstMonthPosition+SwaptionNumOfMonths+1),"",IF($FJ238=GA$169,1,IF($FJ238&lt;GA$169,INDEX($FK$170:$ID$241,GA$169,$FJ238),SUMPRODUCT(INDEX($FK$325:$ID$396,GA$169,1+SwaptionShift):INDEX($FK$325:$ID$396,GA$169,SwaptionMonthsToGo+SwaptionShift),INDEX($FK$245:$ID$316,$FJ238-GA$169,73-GA$169+SwaptionShift):INDEX($FK$245:$ID$316,$FJ238-GA$169,72-GA$169+SwaptionMonthsToGo+SwaptionShift))/SQRT(SUM(INDEX($FK393:$ID393,1+SwaptionShift):INDEX($FK393:$ID393,SwaptionMonthsToGo+SwaptionShift))*SUM(INDEX($FK$325:$ID$396,GA$169,1+SwaptionShift):INDEX($FK$325:$ID$396,GA$169,SwaptionMonthsToGo+SwaptionShift))))))</f>
        <v/>
      </c>
      <c r="GB238" s="150" t="str">
        <f aca="false">IF(OR(GB$169&lt;SwaptionFirstMonthPosition+1,$FJ238&lt;SwaptionFirstMonthPosition+1,GB$169&gt;SwaptionFirstMonthPosition+SwaptionNumOfMonths+1,$FJ238&gt;SwaptionFirstMonthPosition+SwaptionNumOfMonths+1),"",IF($FJ238=GB$169,1,IF($FJ238&lt;GB$169,INDEX($FK$170:$ID$241,GB$169,$FJ238),SUMPRODUCT(INDEX($FK$325:$ID$396,GB$169,1+SwaptionShift):INDEX($FK$325:$ID$396,GB$169,SwaptionMonthsToGo+SwaptionShift),INDEX($FK$245:$ID$316,$FJ238-GB$169,73-GB$169+SwaptionShift):INDEX($FK$245:$ID$316,$FJ238-GB$169,72-GB$169+SwaptionMonthsToGo+SwaptionShift))/SQRT(SUM(INDEX($FK393:$ID393,1+SwaptionShift):INDEX($FK393:$ID393,SwaptionMonthsToGo+SwaptionShift))*SUM(INDEX($FK$325:$ID$396,GB$169,1+SwaptionShift):INDEX($FK$325:$ID$396,GB$169,SwaptionMonthsToGo+SwaptionShift))))))</f>
        <v/>
      </c>
      <c r="GC238" s="150" t="str">
        <f aca="false">IF(OR(GC$169&lt;SwaptionFirstMonthPosition+1,$FJ238&lt;SwaptionFirstMonthPosition+1,GC$169&gt;SwaptionFirstMonthPosition+SwaptionNumOfMonths+1,$FJ238&gt;SwaptionFirstMonthPosition+SwaptionNumOfMonths+1),"",IF($FJ238=GC$169,1,IF($FJ238&lt;GC$169,INDEX($FK$170:$ID$241,GC$169,$FJ238),SUMPRODUCT(INDEX($FK$325:$ID$396,GC$169,1+SwaptionShift):INDEX($FK$325:$ID$396,GC$169,SwaptionMonthsToGo+SwaptionShift),INDEX($FK$245:$ID$316,$FJ238-GC$169,73-GC$169+SwaptionShift):INDEX($FK$245:$ID$316,$FJ238-GC$169,72-GC$169+SwaptionMonthsToGo+SwaptionShift))/SQRT(SUM(INDEX($FK393:$ID393,1+SwaptionShift):INDEX($FK393:$ID393,SwaptionMonthsToGo+SwaptionShift))*SUM(INDEX($FK$325:$ID$396,GC$169,1+SwaptionShift):INDEX($FK$325:$ID$396,GC$169,SwaptionMonthsToGo+SwaptionShift))))))</f>
        <v/>
      </c>
      <c r="GD238" s="150" t="str">
        <f aca="false">IF(OR(GD$169&lt;SwaptionFirstMonthPosition+1,$FJ238&lt;SwaptionFirstMonthPosition+1,GD$169&gt;SwaptionFirstMonthPosition+SwaptionNumOfMonths+1,$FJ238&gt;SwaptionFirstMonthPosition+SwaptionNumOfMonths+1),"",IF($FJ238=GD$169,1,IF($FJ238&lt;GD$169,INDEX($FK$170:$ID$241,GD$169,$FJ238),SUMPRODUCT(INDEX($FK$325:$ID$396,GD$169,1+SwaptionShift):INDEX($FK$325:$ID$396,GD$169,SwaptionMonthsToGo+SwaptionShift),INDEX($FK$245:$ID$316,$FJ238-GD$169,73-GD$169+SwaptionShift):INDEX($FK$245:$ID$316,$FJ238-GD$169,72-GD$169+SwaptionMonthsToGo+SwaptionShift))/SQRT(SUM(INDEX($FK393:$ID393,1+SwaptionShift):INDEX($FK393:$ID393,SwaptionMonthsToGo+SwaptionShift))*SUM(INDEX($FK$325:$ID$396,GD$169,1+SwaptionShift):INDEX($FK$325:$ID$396,GD$169,SwaptionMonthsToGo+SwaptionShift))))))</f>
        <v/>
      </c>
      <c r="GE238" s="150" t="str">
        <f aca="false">IF(OR(GE$169&lt;SwaptionFirstMonthPosition+1,$FJ238&lt;SwaptionFirstMonthPosition+1,GE$169&gt;SwaptionFirstMonthPosition+SwaptionNumOfMonths+1,$FJ238&gt;SwaptionFirstMonthPosition+SwaptionNumOfMonths+1),"",IF($FJ238=GE$169,1,IF($FJ238&lt;GE$169,INDEX($FK$170:$ID$241,GE$169,$FJ238),SUMPRODUCT(INDEX($FK$325:$ID$396,GE$169,1+SwaptionShift):INDEX($FK$325:$ID$396,GE$169,SwaptionMonthsToGo+SwaptionShift),INDEX($FK$245:$ID$316,$FJ238-GE$169,73-GE$169+SwaptionShift):INDEX($FK$245:$ID$316,$FJ238-GE$169,72-GE$169+SwaptionMonthsToGo+SwaptionShift))/SQRT(SUM(INDEX($FK393:$ID393,1+SwaptionShift):INDEX($FK393:$ID393,SwaptionMonthsToGo+SwaptionShift))*SUM(INDEX($FK$325:$ID$396,GE$169,1+SwaptionShift):INDEX($FK$325:$ID$396,GE$169,SwaptionMonthsToGo+SwaptionShift))))))</f>
        <v/>
      </c>
      <c r="GF238" s="150" t="str">
        <f aca="false">IF(OR(GF$169&lt;SwaptionFirstMonthPosition+1,$FJ238&lt;SwaptionFirstMonthPosition+1,GF$169&gt;SwaptionFirstMonthPosition+SwaptionNumOfMonths+1,$FJ238&gt;SwaptionFirstMonthPosition+SwaptionNumOfMonths+1),"",IF($FJ238=GF$169,1,IF($FJ238&lt;GF$169,INDEX($FK$170:$ID$241,GF$169,$FJ238),SUMPRODUCT(INDEX($FK$325:$ID$396,GF$169,1+SwaptionShift):INDEX($FK$325:$ID$396,GF$169,SwaptionMonthsToGo+SwaptionShift),INDEX($FK$245:$ID$316,$FJ238-GF$169,73-GF$169+SwaptionShift):INDEX($FK$245:$ID$316,$FJ238-GF$169,72-GF$169+SwaptionMonthsToGo+SwaptionShift))/SQRT(SUM(INDEX($FK393:$ID393,1+SwaptionShift):INDEX($FK393:$ID393,SwaptionMonthsToGo+SwaptionShift))*SUM(INDEX($FK$325:$ID$396,GF$169,1+SwaptionShift):INDEX($FK$325:$ID$396,GF$169,SwaptionMonthsToGo+SwaptionShift))))))</f>
        <v/>
      </c>
      <c r="GG238" s="150" t="str">
        <f aca="false">IF(OR(GG$169&lt;SwaptionFirstMonthPosition+1,$FJ238&lt;SwaptionFirstMonthPosition+1,GG$169&gt;SwaptionFirstMonthPosition+SwaptionNumOfMonths+1,$FJ238&gt;SwaptionFirstMonthPosition+SwaptionNumOfMonths+1),"",IF($FJ238=GG$169,1,IF($FJ238&lt;GG$169,INDEX($FK$170:$ID$241,GG$169,$FJ238),SUMPRODUCT(INDEX($FK$325:$ID$396,GG$169,1+SwaptionShift):INDEX($FK$325:$ID$396,GG$169,SwaptionMonthsToGo+SwaptionShift),INDEX($FK$245:$ID$316,$FJ238-GG$169,73-GG$169+SwaptionShift):INDEX($FK$245:$ID$316,$FJ238-GG$169,72-GG$169+SwaptionMonthsToGo+SwaptionShift))/SQRT(SUM(INDEX($FK393:$ID393,1+SwaptionShift):INDEX($FK393:$ID393,SwaptionMonthsToGo+SwaptionShift))*SUM(INDEX($FK$325:$ID$396,GG$169,1+SwaptionShift):INDEX($FK$325:$ID$396,GG$169,SwaptionMonthsToGo+SwaptionShift))))))</f>
        <v/>
      </c>
      <c r="GH238" s="150" t="str">
        <f aca="false">IF(OR(GH$169&lt;SwaptionFirstMonthPosition+1,$FJ238&lt;SwaptionFirstMonthPosition+1,GH$169&gt;SwaptionFirstMonthPosition+SwaptionNumOfMonths+1,$FJ238&gt;SwaptionFirstMonthPosition+SwaptionNumOfMonths+1),"",IF($FJ238=GH$169,1,IF($FJ238&lt;GH$169,INDEX($FK$170:$ID$241,GH$169,$FJ238),SUMPRODUCT(INDEX($FK$325:$ID$396,GH$169,1+SwaptionShift):INDEX($FK$325:$ID$396,GH$169,SwaptionMonthsToGo+SwaptionShift),INDEX($FK$245:$ID$316,$FJ238-GH$169,73-GH$169+SwaptionShift):INDEX($FK$245:$ID$316,$FJ238-GH$169,72-GH$169+SwaptionMonthsToGo+SwaptionShift))/SQRT(SUM(INDEX($FK393:$ID393,1+SwaptionShift):INDEX($FK393:$ID393,SwaptionMonthsToGo+SwaptionShift))*SUM(INDEX($FK$325:$ID$396,GH$169,1+SwaptionShift):INDEX($FK$325:$ID$396,GH$169,SwaptionMonthsToGo+SwaptionShift))))))</f>
        <v/>
      </c>
      <c r="GI238" s="150" t="str">
        <f aca="false">IF(OR(GI$169&lt;SwaptionFirstMonthPosition+1,$FJ238&lt;SwaptionFirstMonthPosition+1,GI$169&gt;SwaptionFirstMonthPosition+SwaptionNumOfMonths+1,$FJ238&gt;SwaptionFirstMonthPosition+SwaptionNumOfMonths+1),"",IF($FJ238=GI$169,1,IF($FJ238&lt;GI$169,INDEX($FK$170:$ID$241,GI$169,$FJ238),SUMPRODUCT(INDEX($FK$325:$ID$396,GI$169,1+SwaptionShift):INDEX($FK$325:$ID$396,GI$169,SwaptionMonthsToGo+SwaptionShift),INDEX($FK$245:$ID$316,$FJ238-GI$169,73-GI$169+SwaptionShift):INDEX($FK$245:$ID$316,$FJ238-GI$169,72-GI$169+SwaptionMonthsToGo+SwaptionShift))/SQRT(SUM(INDEX($FK393:$ID393,1+SwaptionShift):INDEX($FK393:$ID393,SwaptionMonthsToGo+SwaptionShift))*SUM(INDEX($FK$325:$ID$396,GI$169,1+SwaptionShift):INDEX($FK$325:$ID$396,GI$169,SwaptionMonthsToGo+SwaptionShift))))))</f>
        <v/>
      </c>
      <c r="GJ238" s="150" t="str">
        <f aca="false">IF(OR(GJ$169&lt;SwaptionFirstMonthPosition+1,$FJ238&lt;SwaptionFirstMonthPosition+1,GJ$169&gt;SwaptionFirstMonthPosition+SwaptionNumOfMonths+1,$FJ238&gt;SwaptionFirstMonthPosition+SwaptionNumOfMonths+1),"",IF($FJ238=GJ$169,1,IF($FJ238&lt;GJ$169,INDEX($FK$170:$ID$241,GJ$169,$FJ238),SUMPRODUCT(INDEX($FK$325:$ID$396,GJ$169,1+SwaptionShift):INDEX($FK$325:$ID$396,GJ$169,SwaptionMonthsToGo+SwaptionShift),INDEX($FK$245:$ID$316,$FJ238-GJ$169,73-GJ$169+SwaptionShift):INDEX($FK$245:$ID$316,$FJ238-GJ$169,72-GJ$169+SwaptionMonthsToGo+SwaptionShift))/SQRT(SUM(INDEX($FK393:$ID393,1+SwaptionShift):INDEX($FK393:$ID393,SwaptionMonthsToGo+SwaptionShift))*SUM(INDEX($FK$325:$ID$396,GJ$169,1+SwaptionShift):INDEX($FK$325:$ID$396,GJ$169,SwaptionMonthsToGo+SwaptionShift))))))</f>
        <v/>
      </c>
      <c r="GK238" s="150" t="str">
        <f aca="false">IF(OR(GK$169&lt;SwaptionFirstMonthPosition+1,$FJ238&lt;SwaptionFirstMonthPosition+1,GK$169&gt;SwaptionFirstMonthPosition+SwaptionNumOfMonths+1,$FJ238&gt;SwaptionFirstMonthPosition+SwaptionNumOfMonths+1),"",IF($FJ238=GK$169,1,IF($FJ238&lt;GK$169,INDEX($FK$170:$ID$241,GK$169,$FJ238),SUMPRODUCT(INDEX($FK$325:$ID$396,GK$169,1+SwaptionShift):INDEX($FK$325:$ID$396,GK$169,SwaptionMonthsToGo+SwaptionShift),INDEX($FK$245:$ID$316,$FJ238-GK$169,73-GK$169+SwaptionShift):INDEX($FK$245:$ID$316,$FJ238-GK$169,72-GK$169+SwaptionMonthsToGo+SwaptionShift))/SQRT(SUM(INDEX($FK393:$ID393,1+SwaptionShift):INDEX($FK393:$ID393,SwaptionMonthsToGo+SwaptionShift))*SUM(INDEX($FK$325:$ID$396,GK$169,1+SwaptionShift):INDEX($FK$325:$ID$396,GK$169,SwaptionMonthsToGo+SwaptionShift))))))</f>
        <v/>
      </c>
      <c r="GL238" s="150" t="str">
        <f aca="false">IF(OR(GL$169&lt;SwaptionFirstMonthPosition+1,$FJ238&lt;SwaptionFirstMonthPosition+1,GL$169&gt;SwaptionFirstMonthPosition+SwaptionNumOfMonths+1,$FJ238&gt;SwaptionFirstMonthPosition+SwaptionNumOfMonths+1),"",IF($FJ238=GL$169,1,IF($FJ238&lt;GL$169,INDEX($FK$170:$ID$241,GL$169,$FJ238),SUMPRODUCT(INDEX($FK$325:$ID$396,GL$169,1+SwaptionShift):INDEX($FK$325:$ID$396,GL$169,SwaptionMonthsToGo+SwaptionShift),INDEX($FK$245:$ID$316,$FJ238-GL$169,73-GL$169+SwaptionShift):INDEX($FK$245:$ID$316,$FJ238-GL$169,72-GL$169+SwaptionMonthsToGo+SwaptionShift))/SQRT(SUM(INDEX($FK393:$ID393,1+SwaptionShift):INDEX($FK393:$ID393,SwaptionMonthsToGo+SwaptionShift))*SUM(INDEX($FK$325:$ID$396,GL$169,1+SwaptionShift):INDEX($FK$325:$ID$396,GL$169,SwaptionMonthsToGo+SwaptionShift))))))</f>
        <v/>
      </c>
      <c r="GM238" s="150" t="str">
        <f aca="false">IF(OR(GM$169&lt;SwaptionFirstMonthPosition+1,$FJ238&lt;SwaptionFirstMonthPosition+1,GM$169&gt;SwaptionFirstMonthPosition+SwaptionNumOfMonths+1,$FJ238&gt;SwaptionFirstMonthPosition+SwaptionNumOfMonths+1),"",IF($FJ238=GM$169,1,IF($FJ238&lt;GM$169,INDEX($FK$170:$ID$241,GM$169,$FJ238),SUMPRODUCT(INDEX($FK$325:$ID$396,GM$169,1+SwaptionShift):INDEX($FK$325:$ID$396,GM$169,SwaptionMonthsToGo+SwaptionShift),INDEX($FK$245:$ID$316,$FJ238-GM$169,73-GM$169+SwaptionShift):INDEX($FK$245:$ID$316,$FJ238-GM$169,72-GM$169+SwaptionMonthsToGo+SwaptionShift))/SQRT(SUM(INDEX($FK393:$ID393,1+SwaptionShift):INDEX($FK393:$ID393,SwaptionMonthsToGo+SwaptionShift))*SUM(INDEX($FK$325:$ID$396,GM$169,1+SwaptionShift):INDEX($FK$325:$ID$396,GM$169,SwaptionMonthsToGo+SwaptionShift))))))</f>
        <v/>
      </c>
      <c r="GN238" s="150" t="str">
        <f aca="false">IF(OR(GN$169&lt;SwaptionFirstMonthPosition+1,$FJ238&lt;SwaptionFirstMonthPosition+1,GN$169&gt;SwaptionFirstMonthPosition+SwaptionNumOfMonths+1,$FJ238&gt;SwaptionFirstMonthPosition+SwaptionNumOfMonths+1),"",IF($FJ238=GN$169,1,IF($FJ238&lt;GN$169,INDEX($FK$170:$ID$241,GN$169,$FJ238),SUMPRODUCT(INDEX($FK$325:$ID$396,GN$169,1+SwaptionShift):INDEX($FK$325:$ID$396,GN$169,SwaptionMonthsToGo+SwaptionShift),INDEX($FK$245:$ID$316,$FJ238-GN$169,73-GN$169+SwaptionShift):INDEX($FK$245:$ID$316,$FJ238-GN$169,72-GN$169+SwaptionMonthsToGo+SwaptionShift))/SQRT(SUM(INDEX($FK393:$ID393,1+SwaptionShift):INDEX($FK393:$ID393,SwaptionMonthsToGo+SwaptionShift))*SUM(INDEX($FK$325:$ID$396,GN$169,1+SwaptionShift):INDEX($FK$325:$ID$396,GN$169,SwaptionMonthsToGo+SwaptionShift))))))</f>
        <v/>
      </c>
      <c r="GO238" s="150" t="str">
        <f aca="false">IF(OR(GO$169&lt;SwaptionFirstMonthPosition+1,$FJ238&lt;SwaptionFirstMonthPosition+1,GO$169&gt;SwaptionFirstMonthPosition+SwaptionNumOfMonths+1,$FJ238&gt;SwaptionFirstMonthPosition+SwaptionNumOfMonths+1),"",IF($FJ238=GO$169,1,IF($FJ238&lt;GO$169,INDEX($FK$170:$ID$241,GO$169,$FJ238),SUMPRODUCT(INDEX($FK$325:$ID$396,GO$169,1+SwaptionShift):INDEX($FK$325:$ID$396,GO$169,SwaptionMonthsToGo+SwaptionShift),INDEX($FK$245:$ID$316,$FJ238-GO$169,73-GO$169+SwaptionShift):INDEX($FK$245:$ID$316,$FJ238-GO$169,72-GO$169+SwaptionMonthsToGo+SwaptionShift))/SQRT(SUM(INDEX($FK393:$ID393,1+SwaptionShift):INDEX($FK393:$ID393,SwaptionMonthsToGo+SwaptionShift))*SUM(INDEX($FK$325:$ID$396,GO$169,1+SwaptionShift):INDEX($FK$325:$ID$396,GO$169,SwaptionMonthsToGo+SwaptionShift))))))</f>
        <v/>
      </c>
      <c r="GP238" s="150" t="str">
        <f aca="false">IF(OR(GP$169&lt;SwaptionFirstMonthPosition+1,$FJ238&lt;SwaptionFirstMonthPosition+1,GP$169&gt;SwaptionFirstMonthPosition+SwaptionNumOfMonths+1,$FJ238&gt;SwaptionFirstMonthPosition+SwaptionNumOfMonths+1),"",IF($FJ238=GP$169,1,IF($FJ238&lt;GP$169,INDEX($FK$170:$ID$241,GP$169,$FJ238),SUMPRODUCT(INDEX($FK$325:$ID$396,GP$169,1+SwaptionShift):INDEX($FK$325:$ID$396,GP$169,SwaptionMonthsToGo+SwaptionShift),INDEX($FK$245:$ID$316,$FJ238-GP$169,73-GP$169+SwaptionShift):INDEX($FK$245:$ID$316,$FJ238-GP$169,72-GP$169+SwaptionMonthsToGo+SwaptionShift))/SQRT(SUM(INDEX($FK393:$ID393,1+SwaptionShift):INDEX($FK393:$ID393,SwaptionMonthsToGo+SwaptionShift))*SUM(INDEX($FK$325:$ID$396,GP$169,1+SwaptionShift):INDEX($FK$325:$ID$396,GP$169,SwaptionMonthsToGo+SwaptionShift))))))</f>
        <v/>
      </c>
      <c r="GQ238" s="150" t="str">
        <f aca="false">IF(OR(GQ$169&lt;SwaptionFirstMonthPosition+1,$FJ238&lt;SwaptionFirstMonthPosition+1,GQ$169&gt;SwaptionFirstMonthPosition+SwaptionNumOfMonths+1,$FJ238&gt;SwaptionFirstMonthPosition+SwaptionNumOfMonths+1),"",IF($FJ238=GQ$169,1,IF($FJ238&lt;GQ$169,INDEX($FK$170:$ID$241,GQ$169,$FJ238),SUMPRODUCT(INDEX($FK$325:$ID$396,GQ$169,1+SwaptionShift):INDEX($FK$325:$ID$396,GQ$169,SwaptionMonthsToGo+SwaptionShift),INDEX($FK$245:$ID$316,$FJ238-GQ$169,73-GQ$169+SwaptionShift):INDEX($FK$245:$ID$316,$FJ238-GQ$169,72-GQ$169+SwaptionMonthsToGo+SwaptionShift))/SQRT(SUM(INDEX($FK393:$ID393,1+SwaptionShift):INDEX($FK393:$ID393,SwaptionMonthsToGo+SwaptionShift))*SUM(INDEX($FK$325:$ID$396,GQ$169,1+SwaptionShift):INDEX($FK$325:$ID$396,GQ$169,SwaptionMonthsToGo+SwaptionShift))))))</f>
        <v/>
      </c>
      <c r="GR238" s="150" t="str">
        <f aca="false">IF(OR(GR$169&lt;SwaptionFirstMonthPosition+1,$FJ238&lt;SwaptionFirstMonthPosition+1,GR$169&gt;SwaptionFirstMonthPosition+SwaptionNumOfMonths+1,$FJ238&gt;SwaptionFirstMonthPosition+SwaptionNumOfMonths+1),"",IF($FJ238=GR$169,1,IF($FJ238&lt;GR$169,INDEX($FK$170:$ID$241,GR$169,$FJ238),SUMPRODUCT(INDEX($FK$325:$ID$396,GR$169,1+SwaptionShift):INDEX($FK$325:$ID$396,GR$169,SwaptionMonthsToGo+SwaptionShift),INDEX($FK$245:$ID$316,$FJ238-GR$169,73-GR$169+SwaptionShift):INDEX($FK$245:$ID$316,$FJ238-GR$169,72-GR$169+SwaptionMonthsToGo+SwaptionShift))/SQRT(SUM(INDEX($FK393:$ID393,1+SwaptionShift):INDEX($FK393:$ID393,SwaptionMonthsToGo+SwaptionShift))*SUM(INDEX($FK$325:$ID$396,GR$169,1+SwaptionShift):INDEX($FK$325:$ID$396,GR$169,SwaptionMonthsToGo+SwaptionShift))))))</f>
        <v/>
      </c>
      <c r="GS238" s="150" t="str">
        <f aca="false">IF(OR(GS$169&lt;SwaptionFirstMonthPosition+1,$FJ238&lt;SwaptionFirstMonthPosition+1,GS$169&gt;SwaptionFirstMonthPosition+SwaptionNumOfMonths+1,$FJ238&gt;SwaptionFirstMonthPosition+SwaptionNumOfMonths+1),"",IF($FJ238=GS$169,1,IF($FJ238&lt;GS$169,INDEX($FK$170:$ID$241,GS$169,$FJ238),SUMPRODUCT(INDEX($FK$325:$ID$396,GS$169,1+SwaptionShift):INDEX($FK$325:$ID$396,GS$169,SwaptionMonthsToGo+SwaptionShift),INDEX($FK$245:$ID$316,$FJ238-GS$169,73-GS$169+SwaptionShift):INDEX($FK$245:$ID$316,$FJ238-GS$169,72-GS$169+SwaptionMonthsToGo+SwaptionShift))/SQRT(SUM(INDEX($FK393:$ID393,1+SwaptionShift):INDEX($FK393:$ID393,SwaptionMonthsToGo+SwaptionShift))*SUM(INDEX($FK$325:$ID$396,GS$169,1+SwaptionShift):INDEX($FK$325:$ID$396,GS$169,SwaptionMonthsToGo+SwaptionShift))))))</f>
        <v/>
      </c>
      <c r="GT238" s="150" t="str">
        <f aca="false">IF(OR(GT$169&lt;SwaptionFirstMonthPosition+1,$FJ238&lt;SwaptionFirstMonthPosition+1,GT$169&gt;SwaptionFirstMonthPosition+SwaptionNumOfMonths+1,$FJ238&gt;SwaptionFirstMonthPosition+SwaptionNumOfMonths+1),"",IF($FJ238=GT$169,1,IF($FJ238&lt;GT$169,INDEX($FK$170:$ID$241,GT$169,$FJ238),SUMPRODUCT(INDEX($FK$325:$ID$396,GT$169,1+SwaptionShift):INDEX($FK$325:$ID$396,GT$169,SwaptionMonthsToGo+SwaptionShift),INDEX($FK$245:$ID$316,$FJ238-GT$169,73-GT$169+SwaptionShift):INDEX($FK$245:$ID$316,$FJ238-GT$169,72-GT$169+SwaptionMonthsToGo+SwaptionShift))/SQRT(SUM(INDEX($FK393:$ID393,1+SwaptionShift):INDEX($FK393:$ID393,SwaptionMonthsToGo+SwaptionShift))*SUM(INDEX($FK$325:$ID$396,GT$169,1+SwaptionShift):INDEX($FK$325:$ID$396,GT$169,SwaptionMonthsToGo+SwaptionShift))))))</f>
        <v/>
      </c>
      <c r="GU238" s="150" t="str">
        <f aca="false">IF(OR(GU$169&lt;SwaptionFirstMonthPosition+1,$FJ238&lt;SwaptionFirstMonthPosition+1,GU$169&gt;SwaptionFirstMonthPosition+SwaptionNumOfMonths+1,$FJ238&gt;SwaptionFirstMonthPosition+SwaptionNumOfMonths+1),"",IF($FJ238=GU$169,1,IF($FJ238&lt;GU$169,INDEX($FK$170:$ID$241,GU$169,$FJ238),SUMPRODUCT(INDEX($FK$325:$ID$396,GU$169,1+SwaptionShift):INDEX($FK$325:$ID$396,GU$169,SwaptionMonthsToGo+SwaptionShift),INDEX($FK$245:$ID$316,$FJ238-GU$169,73-GU$169+SwaptionShift):INDEX($FK$245:$ID$316,$FJ238-GU$169,72-GU$169+SwaptionMonthsToGo+SwaptionShift))/SQRT(SUM(INDEX($FK393:$ID393,1+SwaptionShift):INDEX($FK393:$ID393,SwaptionMonthsToGo+SwaptionShift))*SUM(INDEX($FK$325:$ID$396,GU$169,1+SwaptionShift):INDEX($FK$325:$ID$396,GU$169,SwaptionMonthsToGo+SwaptionShift))))))</f>
        <v/>
      </c>
      <c r="GV238" s="150" t="str">
        <f aca="false">IF(OR(GV$169&lt;SwaptionFirstMonthPosition+1,$FJ238&lt;SwaptionFirstMonthPosition+1,GV$169&gt;SwaptionFirstMonthPosition+SwaptionNumOfMonths+1,$FJ238&gt;SwaptionFirstMonthPosition+SwaptionNumOfMonths+1),"",IF($FJ238=GV$169,1,IF($FJ238&lt;GV$169,INDEX($FK$170:$ID$241,GV$169,$FJ238),SUMPRODUCT(INDEX($FK$325:$ID$396,GV$169,1+SwaptionShift):INDEX($FK$325:$ID$396,GV$169,SwaptionMonthsToGo+SwaptionShift),INDEX($FK$245:$ID$316,$FJ238-GV$169,73-GV$169+SwaptionShift):INDEX($FK$245:$ID$316,$FJ238-GV$169,72-GV$169+SwaptionMonthsToGo+SwaptionShift))/SQRT(SUM(INDEX($FK393:$ID393,1+SwaptionShift):INDEX($FK393:$ID393,SwaptionMonthsToGo+SwaptionShift))*SUM(INDEX($FK$325:$ID$396,GV$169,1+SwaptionShift):INDEX($FK$325:$ID$396,GV$169,SwaptionMonthsToGo+SwaptionShift))))))</f>
        <v/>
      </c>
      <c r="GW238" s="150" t="str">
        <f aca="false">IF(OR(GW$169&lt;SwaptionFirstMonthPosition+1,$FJ238&lt;SwaptionFirstMonthPosition+1,GW$169&gt;SwaptionFirstMonthPosition+SwaptionNumOfMonths+1,$FJ238&gt;SwaptionFirstMonthPosition+SwaptionNumOfMonths+1),"",IF($FJ238=GW$169,1,IF($FJ238&lt;GW$169,INDEX($FK$170:$ID$241,GW$169,$FJ238),SUMPRODUCT(INDEX($FK$325:$ID$396,GW$169,1+SwaptionShift):INDEX($FK$325:$ID$396,GW$169,SwaptionMonthsToGo+SwaptionShift),INDEX($FK$245:$ID$316,$FJ238-GW$169,73-GW$169+SwaptionShift):INDEX($FK$245:$ID$316,$FJ238-GW$169,72-GW$169+SwaptionMonthsToGo+SwaptionShift))/SQRT(SUM(INDEX($FK393:$ID393,1+SwaptionShift):INDEX($FK393:$ID393,SwaptionMonthsToGo+SwaptionShift))*SUM(INDEX($FK$325:$ID$396,GW$169,1+SwaptionShift):INDEX($FK$325:$ID$396,GW$169,SwaptionMonthsToGo+SwaptionShift))))))</f>
        <v/>
      </c>
      <c r="GX238" s="150" t="str">
        <f aca="false">IF(OR(GX$169&lt;SwaptionFirstMonthPosition+1,$FJ238&lt;SwaptionFirstMonthPosition+1,GX$169&gt;SwaptionFirstMonthPosition+SwaptionNumOfMonths+1,$FJ238&gt;SwaptionFirstMonthPosition+SwaptionNumOfMonths+1),"",IF($FJ238=GX$169,1,IF($FJ238&lt;GX$169,INDEX($FK$170:$ID$241,GX$169,$FJ238),SUMPRODUCT(INDEX($FK$325:$ID$396,GX$169,1+SwaptionShift):INDEX($FK$325:$ID$396,GX$169,SwaptionMonthsToGo+SwaptionShift),INDEX($FK$245:$ID$316,$FJ238-GX$169,73-GX$169+SwaptionShift):INDEX($FK$245:$ID$316,$FJ238-GX$169,72-GX$169+SwaptionMonthsToGo+SwaptionShift))/SQRT(SUM(INDEX($FK393:$ID393,1+SwaptionShift):INDEX($FK393:$ID393,SwaptionMonthsToGo+SwaptionShift))*SUM(INDEX($FK$325:$ID$396,GX$169,1+SwaptionShift):INDEX($FK$325:$ID$396,GX$169,SwaptionMonthsToGo+SwaptionShift))))))</f>
        <v/>
      </c>
      <c r="GY238" s="150" t="str">
        <f aca="false">IF(OR(GY$169&lt;SwaptionFirstMonthPosition+1,$FJ238&lt;SwaptionFirstMonthPosition+1,GY$169&gt;SwaptionFirstMonthPosition+SwaptionNumOfMonths+1,$FJ238&gt;SwaptionFirstMonthPosition+SwaptionNumOfMonths+1),"",IF($FJ238=GY$169,1,IF($FJ238&lt;GY$169,INDEX($FK$170:$ID$241,GY$169,$FJ238),SUMPRODUCT(INDEX($FK$325:$ID$396,GY$169,1+SwaptionShift):INDEX($FK$325:$ID$396,GY$169,SwaptionMonthsToGo+SwaptionShift),INDEX($FK$245:$ID$316,$FJ238-GY$169,73-GY$169+SwaptionShift):INDEX($FK$245:$ID$316,$FJ238-GY$169,72-GY$169+SwaptionMonthsToGo+SwaptionShift))/SQRT(SUM(INDEX($FK393:$ID393,1+SwaptionShift):INDEX($FK393:$ID393,SwaptionMonthsToGo+SwaptionShift))*SUM(INDEX($FK$325:$ID$396,GY$169,1+SwaptionShift):INDEX($FK$325:$ID$396,GY$169,SwaptionMonthsToGo+SwaptionShift))))))</f>
        <v/>
      </c>
      <c r="GZ238" s="150" t="str">
        <f aca="false">IF(OR(GZ$169&lt;SwaptionFirstMonthPosition+1,$FJ238&lt;SwaptionFirstMonthPosition+1,GZ$169&gt;SwaptionFirstMonthPosition+SwaptionNumOfMonths+1,$FJ238&gt;SwaptionFirstMonthPosition+SwaptionNumOfMonths+1),"",IF($FJ238=GZ$169,1,IF($FJ238&lt;GZ$169,INDEX($FK$170:$ID$241,GZ$169,$FJ238),SUMPRODUCT(INDEX($FK$325:$ID$396,GZ$169,1+SwaptionShift):INDEX($FK$325:$ID$396,GZ$169,SwaptionMonthsToGo+SwaptionShift),INDEX($FK$245:$ID$316,$FJ238-GZ$169,73-GZ$169+SwaptionShift):INDEX($FK$245:$ID$316,$FJ238-GZ$169,72-GZ$169+SwaptionMonthsToGo+SwaptionShift))/SQRT(SUM(INDEX($FK393:$ID393,1+SwaptionShift):INDEX($FK393:$ID393,SwaptionMonthsToGo+SwaptionShift))*SUM(INDEX($FK$325:$ID$396,GZ$169,1+SwaptionShift):INDEX($FK$325:$ID$396,GZ$169,SwaptionMonthsToGo+SwaptionShift))))))</f>
        <v/>
      </c>
      <c r="HA238" s="150" t="str">
        <f aca="false">IF(OR(HA$169&lt;SwaptionFirstMonthPosition+1,$FJ238&lt;SwaptionFirstMonthPosition+1,HA$169&gt;SwaptionFirstMonthPosition+SwaptionNumOfMonths+1,$FJ238&gt;SwaptionFirstMonthPosition+SwaptionNumOfMonths+1),"",IF($FJ238=HA$169,1,IF($FJ238&lt;HA$169,INDEX($FK$170:$ID$241,HA$169,$FJ238),SUMPRODUCT(INDEX($FK$325:$ID$396,HA$169,1+SwaptionShift):INDEX($FK$325:$ID$396,HA$169,SwaptionMonthsToGo+SwaptionShift),INDEX($FK$245:$ID$316,$FJ238-HA$169,73-HA$169+SwaptionShift):INDEX($FK$245:$ID$316,$FJ238-HA$169,72-HA$169+SwaptionMonthsToGo+SwaptionShift))/SQRT(SUM(INDEX($FK393:$ID393,1+SwaptionShift):INDEX($FK393:$ID393,SwaptionMonthsToGo+SwaptionShift))*SUM(INDEX($FK$325:$ID$396,HA$169,1+SwaptionShift):INDEX($FK$325:$ID$396,HA$169,SwaptionMonthsToGo+SwaptionShift))))))</f>
        <v/>
      </c>
      <c r="HB238" s="150" t="str">
        <f aca="false">IF(OR(HB$169&lt;SwaptionFirstMonthPosition+1,$FJ238&lt;SwaptionFirstMonthPosition+1,HB$169&gt;SwaptionFirstMonthPosition+SwaptionNumOfMonths+1,$FJ238&gt;SwaptionFirstMonthPosition+SwaptionNumOfMonths+1),"",IF($FJ238=HB$169,1,IF($FJ238&lt;HB$169,INDEX($FK$170:$ID$241,HB$169,$FJ238),SUMPRODUCT(INDEX($FK$325:$ID$396,HB$169,1+SwaptionShift):INDEX($FK$325:$ID$396,HB$169,SwaptionMonthsToGo+SwaptionShift),INDEX($FK$245:$ID$316,$FJ238-HB$169,73-HB$169+SwaptionShift):INDEX($FK$245:$ID$316,$FJ238-HB$169,72-HB$169+SwaptionMonthsToGo+SwaptionShift))/SQRT(SUM(INDEX($FK393:$ID393,1+SwaptionShift):INDEX($FK393:$ID393,SwaptionMonthsToGo+SwaptionShift))*SUM(INDEX($FK$325:$ID$396,HB$169,1+SwaptionShift):INDEX($FK$325:$ID$396,HB$169,SwaptionMonthsToGo+SwaptionShift))))))</f>
        <v/>
      </c>
      <c r="HC238" s="150" t="str">
        <f aca="false">IF(OR(HC$169&lt;SwaptionFirstMonthPosition+1,$FJ238&lt;SwaptionFirstMonthPosition+1,HC$169&gt;SwaptionFirstMonthPosition+SwaptionNumOfMonths+1,$FJ238&gt;SwaptionFirstMonthPosition+SwaptionNumOfMonths+1),"",IF($FJ238=HC$169,1,IF($FJ238&lt;HC$169,INDEX($FK$170:$ID$241,HC$169,$FJ238),SUMPRODUCT(INDEX($FK$325:$ID$396,HC$169,1+SwaptionShift):INDEX($FK$325:$ID$396,HC$169,SwaptionMonthsToGo+SwaptionShift),INDEX($FK$245:$ID$316,$FJ238-HC$169,73-HC$169+SwaptionShift):INDEX($FK$245:$ID$316,$FJ238-HC$169,72-HC$169+SwaptionMonthsToGo+SwaptionShift))/SQRT(SUM(INDEX($FK393:$ID393,1+SwaptionShift):INDEX($FK393:$ID393,SwaptionMonthsToGo+SwaptionShift))*SUM(INDEX($FK$325:$ID$396,HC$169,1+SwaptionShift):INDEX($FK$325:$ID$396,HC$169,SwaptionMonthsToGo+SwaptionShift))))))</f>
        <v/>
      </c>
      <c r="HD238" s="150" t="str">
        <f aca="false">IF(OR(HD$169&lt;SwaptionFirstMonthPosition+1,$FJ238&lt;SwaptionFirstMonthPosition+1,HD$169&gt;SwaptionFirstMonthPosition+SwaptionNumOfMonths+1,$FJ238&gt;SwaptionFirstMonthPosition+SwaptionNumOfMonths+1),"",IF($FJ238=HD$169,1,IF($FJ238&lt;HD$169,INDEX($FK$170:$ID$241,HD$169,$FJ238),SUMPRODUCT(INDEX($FK$325:$ID$396,HD$169,1+SwaptionShift):INDEX($FK$325:$ID$396,HD$169,SwaptionMonthsToGo+SwaptionShift),INDEX($FK$245:$ID$316,$FJ238-HD$169,73-HD$169+SwaptionShift):INDEX($FK$245:$ID$316,$FJ238-HD$169,72-HD$169+SwaptionMonthsToGo+SwaptionShift))/SQRT(SUM(INDEX($FK393:$ID393,1+SwaptionShift):INDEX($FK393:$ID393,SwaptionMonthsToGo+SwaptionShift))*SUM(INDEX($FK$325:$ID$396,HD$169,1+SwaptionShift):INDEX($FK$325:$ID$396,HD$169,SwaptionMonthsToGo+SwaptionShift))))))</f>
        <v/>
      </c>
      <c r="HE238" s="150" t="str">
        <f aca="false">IF(OR(HE$169&lt;SwaptionFirstMonthPosition+1,$FJ238&lt;SwaptionFirstMonthPosition+1,HE$169&gt;SwaptionFirstMonthPosition+SwaptionNumOfMonths+1,$FJ238&gt;SwaptionFirstMonthPosition+SwaptionNumOfMonths+1),"",IF($FJ238=HE$169,1,IF($FJ238&lt;HE$169,INDEX($FK$170:$ID$241,HE$169,$FJ238),SUMPRODUCT(INDEX($FK$325:$ID$396,HE$169,1+SwaptionShift):INDEX($FK$325:$ID$396,HE$169,SwaptionMonthsToGo+SwaptionShift),INDEX($FK$245:$ID$316,$FJ238-HE$169,73-HE$169+SwaptionShift):INDEX($FK$245:$ID$316,$FJ238-HE$169,72-HE$169+SwaptionMonthsToGo+SwaptionShift))/SQRT(SUM(INDEX($FK393:$ID393,1+SwaptionShift):INDEX($FK393:$ID393,SwaptionMonthsToGo+SwaptionShift))*SUM(INDEX($FK$325:$ID$396,HE$169,1+SwaptionShift):INDEX($FK$325:$ID$396,HE$169,SwaptionMonthsToGo+SwaptionShift))))))</f>
        <v/>
      </c>
      <c r="HF238" s="150" t="str">
        <f aca="false">IF(OR(HF$169&lt;SwaptionFirstMonthPosition+1,$FJ238&lt;SwaptionFirstMonthPosition+1,HF$169&gt;SwaptionFirstMonthPosition+SwaptionNumOfMonths+1,$FJ238&gt;SwaptionFirstMonthPosition+SwaptionNumOfMonths+1),"",IF($FJ238=HF$169,1,IF($FJ238&lt;HF$169,INDEX($FK$170:$ID$241,HF$169,$FJ238),SUMPRODUCT(INDEX($FK$325:$ID$396,HF$169,1+SwaptionShift):INDEX($FK$325:$ID$396,HF$169,SwaptionMonthsToGo+SwaptionShift),INDEX($FK$245:$ID$316,$FJ238-HF$169,73-HF$169+SwaptionShift):INDEX($FK$245:$ID$316,$FJ238-HF$169,72-HF$169+SwaptionMonthsToGo+SwaptionShift))/SQRT(SUM(INDEX($FK393:$ID393,1+SwaptionShift):INDEX($FK393:$ID393,SwaptionMonthsToGo+SwaptionShift))*SUM(INDEX($FK$325:$ID$396,HF$169,1+SwaptionShift):INDEX($FK$325:$ID$396,HF$169,SwaptionMonthsToGo+SwaptionShift))))))</f>
        <v/>
      </c>
      <c r="HG238" s="150" t="str">
        <f aca="false">IF(OR(HG$169&lt;SwaptionFirstMonthPosition+1,$FJ238&lt;SwaptionFirstMonthPosition+1,HG$169&gt;SwaptionFirstMonthPosition+SwaptionNumOfMonths+1,$FJ238&gt;SwaptionFirstMonthPosition+SwaptionNumOfMonths+1),"",IF($FJ238=HG$169,1,IF($FJ238&lt;HG$169,INDEX($FK$170:$ID$241,HG$169,$FJ238),SUMPRODUCT(INDEX($FK$325:$ID$396,HG$169,1+SwaptionShift):INDEX($FK$325:$ID$396,HG$169,SwaptionMonthsToGo+SwaptionShift),INDEX($FK$245:$ID$316,$FJ238-HG$169,73-HG$169+SwaptionShift):INDEX($FK$245:$ID$316,$FJ238-HG$169,72-HG$169+SwaptionMonthsToGo+SwaptionShift))/SQRT(SUM(INDEX($FK393:$ID393,1+SwaptionShift):INDEX($FK393:$ID393,SwaptionMonthsToGo+SwaptionShift))*SUM(INDEX($FK$325:$ID$396,HG$169,1+SwaptionShift):INDEX($FK$325:$ID$396,HG$169,SwaptionMonthsToGo+SwaptionShift))))))</f>
        <v/>
      </c>
      <c r="HH238" s="150" t="str">
        <f aca="false">IF(OR(HH$169&lt;SwaptionFirstMonthPosition+1,$FJ238&lt;SwaptionFirstMonthPosition+1,HH$169&gt;SwaptionFirstMonthPosition+SwaptionNumOfMonths+1,$FJ238&gt;SwaptionFirstMonthPosition+SwaptionNumOfMonths+1),"",IF($FJ238=HH$169,1,IF($FJ238&lt;HH$169,INDEX($FK$170:$ID$241,HH$169,$FJ238),SUMPRODUCT(INDEX($FK$325:$ID$396,HH$169,1+SwaptionShift):INDEX($FK$325:$ID$396,HH$169,SwaptionMonthsToGo+SwaptionShift),INDEX($FK$245:$ID$316,$FJ238-HH$169,73-HH$169+SwaptionShift):INDEX($FK$245:$ID$316,$FJ238-HH$169,72-HH$169+SwaptionMonthsToGo+SwaptionShift))/SQRT(SUM(INDEX($FK393:$ID393,1+SwaptionShift):INDEX($FK393:$ID393,SwaptionMonthsToGo+SwaptionShift))*SUM(INDEX($FK$325:$ID$396,HH$169,1+SwaptionShift):INDEX($FK$325:$ID$396,HH$169,SwaptionMonthsToGo+SwaptionShift))))))</f>
        <v/>
      </c>
      <c r="HI238" s="150" t="str">
        <f aca="false">IF(OR(HI$169&lt;SwaptionFirstMonthPosition+1,$FJ238&lt;SwaptionFirstMonthPosition+1,HI$169&gt;SwaptionFirstMonthPosition+SwaptionNumOfMonths+1,$FJ238&gt;SwaptionFirstMonthPosition+SwaptionNumOfMonths+1),"",IF($FJ238=HI$169,1,IF($FJ238&lt;HI$169,INDEX($FK$170:$ID$241,HI$169,$FJ238),SUMPRODUCT(INDEX($FK$325:$ID$396,HI$169,1+SwaptionShift):INDEX($FK$325:$ID$396,HI$169,SwaptionMonthsToGo+SwaptionShift),INDEX($FK$245:$ID$316,$FJ238-HI$169,73-HI$169+SwaptionShift):INDEX($FK$245:$ID$316,$FJ238-HI$169,72-HI$169+SwaptionMonthsToGo+SwaptionShift))/SQRT(SUM(INDEX($FK393:$ID393,1+SwaptionShift):INDEX($FK393:$ID393,SwaptionMonthsToGo+SwaptionShift))*SUM(INDEX($FK$325:$ID$396,HI$169,1+SwaptionShift):INDEX($FK$325:$ID$396,HI$169,SwaptionMonthsToGo+SwaptionShift))))))</f>
        <v/>
      </c>
      <c r="HJ238" s="150" t="str">
        <f aca="false">IF(OR(HJ$169&lt;SwaptionFirstMonthPosition+1,$FJ238&lt;SwaptionFirstMonthPosition+1,HJ$169&gt;SwaptionFirstMonthPosition+SwaptionNumOfMonths+1,$FJ238&gt;SwaptionFirstMonthPosition+SwaptionNumOfMonths+1),"",IF($FJ238=HJ$169,1,IF($FJ238&lt;HJ$169,INDEX($FK$170:$ID$241,HJ$169,$FJ238),SUMPRODUCT(INDEX($FK$325:$ID$396,HJ$169,1+SwaptionShift):INDEX($FK$325:$ID$396,HJ$169,SwaptionMonthsToGo+SwaptionShift),INDEX($FK$245:$ID$316,$FJ238-HJ$169,73-HJ$169+SwaptionShift):INDEX($FK$245:$ID$316,$FJ238-HJ$169,72-HJ$169+SwaptionMonthsToGo+SwaptionShift))/SQRT(SUM(INDEX($FK393:$ID393,1+SwaptionShift):INDEX($FK393:$ID393,SwaptionMonthsToGo+SwaptionShift))*SUM(INDEX($FK$325:$ID$396,HJ$169,1+SwaptionShift):INDEX($FK$325:$ID$396,HJ$169,SwaptionMonthsToGo+SwaptionShift))))))</f>
        <v/>
      </c>
      <c r="HK238" s="150" t="str">
        <f aca="false">IF(OR(HK$169&lt;SwaptionFirstMonthPosition+1,$FJ238&lt;SwaptionFirstMonthPosition+1,HK$169&gt;SwaptionFirstMonthPosition+SwaptionNumOfMonths+1,$FJ238&gt;SwaptionFirstMonthPosition+SwaptionNumOfMonths+1),"",IF($FJ238=HK$169,1,IF($FJ238&lt;HK$169,INDEX($FK$170:$ID$241,HK$169,$FJ238),SUMPRODUCT(INDEX($FK$325:$ID$396,HK$169,1+SwaptionShift):INDEX($FK$325:$ID$396,HK$169,SwaptionMonthsToGo+SwaptionShift),INDEX($FK$245:$ID$316,$FJ238-HK$169,73-HK$169+SwaptionShift):INDEX($FK$245:$ID$316,$FJ238-HK$169,72-HK$169+SwaptionMonthsToGo+SwaptionShift))/SQRT(SUM(INDEX($FK393:$ID393,1+SwaptionShift):INDEX($FK393:$ID393,SwaptionMonthsToGo+SwaptionShift))*SUM(INDEX($FK$325:$ID$396,HK$169,1+SwaptionShift):INDEX($FK$325:$ID$396,HK$169,SwaptionMonthsToGo+SwaptionShift))))))</f>
        <v/>
      </c>
      <c r="HL238" s="150" t="str">
        <f aca="false">IF(OR(HL$169&lt;SwaptionFirstMonthPosition+1,$FJ238&lt;SwaptionFirstMonthPosition+1,HL$169&gt;SwaptionFirstMonthPosition+SwaptionNumOfMonths+1,$FJ238&gt;SwaptionFirstMonthPosition+SwaptionNumOfMonths+1),"",IF($FJ238=HL$169,1,IF($FJ238&lt;HL$169,INDEX($FK$170:$ID$241,HL$169,$FJ238),SUMPRODUCT(INDEX($FK$325:$ID$396,HL$169,1+SwaptionShift):INDEX($FK$325:$ID$396,HL$169,SwaptionMonthsToGo+SwaptionShift),INDEX($FK$245:$ID$316,$FJ238-HL$169,73-HL$169+SwaptionShift):INDEX($FK$245:$ID$316,$FJ238-HL$169,72-HL$169+SwaptionMonthsToGo+SwaptionShift))/SQRT(SUM(INDEX($FK393:$ID393,1+SwaptionShift):INDEX($FK393:$ID393,SwaptionMonthsToGo+SwaptionShift))*SUM(INDEX($FK$325:$ID$396,HL$169,1+SwaptionShift):INDEX($FK$325:$ID$396,HL$169,SwaptionMonthsToGo+SwaptionShift))))))</f>
        <v/>
      </c>
      <c r="HM238" s="150" t="str">
        <f aca="false">IF(OR(HM$169&lt;SwaptionFirstMonthPosition+1,$FJ238&lt;SwaptionFirstMonthPosition+1,HM$169&gt;SwaptionFirstMonthPosition+SwaptionNumOfMonths+1,$FJ238&gt;SwaptionFirstMonthPosition+SwaptionNumOfMonths+1),"",IF($FJ238=HM$169,1,IF($FJ238&lt;HM$169,INDEX($FK$170:$ID$241,HM$169,$FJ238),SUMPRODUCT(INDEX($FK$325:$ID$396,HM$169,1+SwaptionShift):INDEX($FK$325:$ID$396,HM$169,SwaptionMonthsToGo+SwaptionShift),INDEX($FK$245:$ID$316,$FJ238-HM$169,73-HM$169+SwaptionShift):INDEX($FK$245:$ID$316,$FJ238-HM$169,72-HM$169+SwaptionMonthsToGo+SwaptionShift))/SQRT(SUM(INDEX($FK393:$ID393,1+SwaptionShift):INDEX($FK393:$ID393,SwaptionMonthsToGo+SwaptionShift))*SUM(INDEX($FK$325:$ID$396,HM$169,1+SwaptionShift):INDEX($FK$325:$ID$396,HM$169,SwaptionMonthsToGo+SwaptionShift))))))</f>
        <v/>
      </c>
      <c r="HN238" s="150" t="str">
        <f aca="false">IF(OR(HN$169&lt;SwaptionFirstMonthPosition+1,$FJ238&lt;SwaptionFirstMonthPosition+1,HN$169&gt;SwaptionFirstMonthPosition+SwaptionNumOfMonths+1,$FJ238&gt;SwaptionFirstMonthPosition+SwaptionNumOfMonths+1),"",IF($FJ238=HN$169,1,IF($FJ238&lt;HN$169,INDEX($FK$170:$ID$241,HN$169,$FJ238),SUMPRODUCT(INDEX($FK$325:$ID$396,HN$169,1+SwaptionShift):INDEX($FK$325:$ID$396,HN$169,SwaptionMonthsToGo+SwaptionShift),INDEX($FK$245:$ID$316,$FJ238-HN$169,73-HN$169+SwaptionShift):INDEX($FK$245:$ID$316,$FJ238-HN$169,72-HN$169+SwaptionMonthsToGo+SwaptionShift))/SQRT(SUM(INDEX($FK393:$ID393,1+SwaptionShift):INDEX($FK393:$ID393,SwaptionMonthsToGo+SwaptionShift))*SUM(INDEX($FK$325:$ID$396,HN$169,1+SwaptionShift):INDEX($FK$325:$ID$396,HN$169,SwaptionMonthsToGo+SwaptionShift))))))</f>
        <v/>
      </c>
      <c r="HO238" s="150" t="str">
        <f aca="false">IF(OR(HO$169&lt;SwaptionFirstMonthPosition+1,$FJ238&lt;SwaptionFirstMonthPosition+1,HO$169&gt;SwaptionFirstMonthPosition+SwaptionNumOfMonths+1,$FJ238&gt;SwaptionFirstMonthPosition+SwaptionNumOfMonths+1),"",IF($FJ238=HO$169,1,IF($FJ238&lt;HO$169,INDEX($FK$170:$ID$241,HO$169,$FJ238),SUMPRODUCT(INDEX($FK$325:$ID$396,HO$169,1+SwaptionShift):INDEX($FK$325:$ID$396,HO$169,SwaptionMonthsToGo+SwaptionShift),INDEX($FK$245:$ID$316,$FJ238-HO$169,73-HO$169+SwaptionShift):INDEX($FK$245:$ID$316,$FJ238-HO$169,72-HO$169+SwaptionMonthsToGo+SwaptionShift))/SQRT(SUM(INDEX($FK393:$ID393,1+SwaptionShift):INDEX($FK393:$ID393,SwaptionMonthsToGo+SwaptionShift))*SUM(INDEX($FK$325:$ID$396,HO$169,1+SwaptionShift):INDEX($FK$325:$ID$396,HO$169,SwaptionMonthsToGo+SwaptionShift))))))</f>
        <v/>
      </c>
      <c r="HP238" s="150" t="str">
        <f aca="false">IF(OR(HP$169&lt;SwaptionFirstMonthPosition+1,$FJ238&lt;SwaptionFirstMonthPosition+1,HP$169&gt;SwaptionFirstMonthPosition+SwaptionNumOfMonths+1,$FJ238&gt;SwaptionFirstMonthPosition+SwaptionNumOfMonths+1),"",IF($FJ238=HP$169,1,IF($FJ238&lt;HP$169,INDEX($FK$170:$ID$241,HP$169,$FJ238),SUMPRODUCT(INDEX($FK$325:$ID$396,HP$169,1+SwaptionShift):INDEX($FK$325:$ID$396,HP$169,SwaptionMonthsToGo+SwaptionShift),INDEX($FK$245:$ID$316,$FJ238-HP$169,73-HP$169+SwaptionShift):INDEX($FK$245:$ID$316,$FJ238-HP$169,72-HP$169+SwaptionMonthsToGo+SwaptionShift))/SQRT(SUM(INDEX($FK393:$ID393,1+SwaptionShift):INDEX($FK393:$ID393,SwaptionMonthsToGo+SwaptionShift))*SUM(INDEX($FK$325:$ID$396,HP$169,1+SwaptionShift):INDEX($FK$325:$ID$396,HP$169,SwaptionMonthsToGo+SwaptionShift))))))</f>
        <v/>
      </c>
      <c r="HQ238" s="150" t="str">
        <f aca="false">IF(OR(HQ$169&lt;SwaptionFirstMonthPosition+1,$FJ238&lt;SwaptionFirstMonthPosition+1,HQ$169&gt;SwaptionFirstMonthPosition+SwaptionNumOfMonths+1,$FJ238&gt;SwaptionFirstMonthPosition+SwaptionNumOfMonths+1),"",IF($FJ238=HQ$169,1,IF($FJ238&lt;HQ$169,INDEX($FK$170:$ID$241,HQ$169,$FJ238),SUMPRODUCT(INDEX($FK$325:$ID$396,HQ$169,1+SwaptionShift):INDEX($FK$325:$ID$396,HQ$169,SwaptionMonthsToGo+SwaptionShift),INDEX($FK$245:$ID$316,$FJ238-HQ$169,73-HQ$169+SwaptionShift):INDEX($FK$245:$ID$316,$FJ238-HQ$169,72-HQ$169+SwaptionMonthsToGo+SwaptionShift))/SQRT(SUM(INDEX($FK393:$ID393,1+SwaptionShift):INDEX($FK393:$ID393,SwaptionMonthsToGo+SwaptionShift))*SUM(INDEX($FK$325:$ID$396,HQ$169,1+SwaptionShift):INDEX($FK$325:$ID$396,HQ$169,SwaptionMonthsToGo+SwaptionShift))))))</f>
        <v/>
      </c>
      <c r="HR238" s="150" t="str">
        <f aca="false">IF(OR(HR$169&lt;SwaptionFirstMonthPosition+1,$FJ238&lt;SwaptionFirstMonthPosition+1,HR$169&gt;SwaptionFirstMonthPosition+SwaptionNumOfMonths+1,$FJ238&gt;SwaptionFirstMonthPosition+SwaptionNumOfMonths+1),"",IF($FJ238=HR$169,1,IF($FJ238&lt;HR$169,INDEX($FK$170:$ID$241,HR$169,$FJ238),SUMPRODUCT(INDEX($FK$325:$ID$396,HR$169,1+SwaptionShift):INDEX($FK$325:$ID$396,HR$169,SwaptionMonthsToGo+SwaptionShift),INDEX($FK$245:$ID$316,$FJ238-HR$169,73-HR$169+SwaptionShift):INDEX($FK$245:$ID$316,$FJ238-HR$169,72-HR$169+SwaptionMonthsToGo+SwaptionShift))/SQRT(SUM(INDEX($FK393:$ID393,1+SwaptionShift):INDEX($FK393:$ID393,SwaptionMonthsToGo+SwaptionShift))*SUM(INDEX($FK$325:$ID$396,HR$169,1+SwaptionShift):INDEX($FK$325:$ID$396,HR$169,SwaptionMonthsToGo+SwaptionShift))))))</f>
        <v/>
      </c>
      <c r="HS238" s="150" t="str">
        <f aca="false">IF(OR(HS$169&lt;SwaptionFirstMonthPosition+1,$FJ238&lt;SwaptionFirstMonthPosition+1,HS$169&gt;SwaptionFirstMonthPosition+SwaptionNumOfMonths+1,$FJ238&gt;SwaptionFirstMonthPosition+SwaptionNumOfMonths+1),"",IF($FJ238=HS$169,1,IF($FJ238&lt;HS$169,INDEX($FK$170:$ID$241,HS$169,$FJ238),SUMPRODUCT(INDEX($FK$325:$ID$396,HS$169,1+SwaptionShift):INDEX($FK$325:$ID$396,HS$169,SwaptionMonthsToGo+SwaptionShift),INDEX($FK$245:$ID$316,$FJ238-HS$169,73-HS$169+SwaptionShift):INDEX($FK$245:$ID$316,$FJ238-HS$169,72-HS$169+SwaptionMonthsToGo+SwaptionShift))/SQRT(SUM(INDEX($FK393:$ID393,1+SwaptionShift):INDEX($FK393:$ID393,SwaptionMonthsToGo+SwaptionShift))*SUM(INDEX($FK$325:$ID$396,HS$169,1+SwaptionShift):INDEX($FK$325:$ID$396,HS$169,SwaptionMonthsToGo+SwaptionShift))))))</f>
        <v/>
      </c>
      <c r="HT238" s="150" t="str">
        <f aca="false">IF(OR(HT$169&lt;SwaptionFirstMonthPosition+1,$FJ238&lt;SwaptionFirstMonthPosition+1,HT$169&gt;SwaptionFirstMonthPosition+SwaptionNumOfMonths+1,$FJ238&gt;SwaptionFirstMonthPosition+SwaptionNumOfMonths+1),"",IF($FJ238=HT$169,1,IF($FJ238&lt;HT$169,INDEX($FK$170:$ID$241,HT$169,$FJ238),SUMPRODUCT(INDEX($FK$325:$ID$396,HT$169,1+SwaptionShift):INDEX($FK$325:$ID$396,HT$169,SwaptionMonthsToGo+SwaptionShift),INDEX($FK$245:$ID$316,$FJ238-HT$169,73-HT$169+SwaptionShift):INDEX($FK$245:$ID$316,$FJ238-HT$169,72-HT$169+SwaptionMonthsToGo+SwaptionShift))/SQRT(SUM(INDEX($FK393:$ID393,1+SwaptionShift):INDEX($FK393:$ID393,SwaptionMonthsToGo+SwaptionShift))*SUM(INDEX($FK$325:$ID$396,HT$169,1+SwaptionShift):INDEX($FK$325:$ID$396,HT$169,SwaptionMonthsToGo+SwaptionShift))))))</f>
        <v/>
      </c>
      <c r="HU238" s="150" t="str">
        <f aca="false">IF(OR(HU$169&lt;SwaptionFirstMonthPosition+1,$FJ238&lt;SwaptionFirstMonthPosition+1,HU$169&gt;SwaptionFirstMonthPosition+SwaptionNumOfMonths+1,$FJ238&gt;SwaptionFirstMonthPosition+SwaptionNumOfMonths+1),"",IF($FJ238=HU$169,1,IF($FJ238&lt;HU$169,INDEX($FK$170:$ID$241,HU$169,$FJ238),SUMPRODUCT(INDEX($FK$325:$ID$396,HU$169,1+SwaptionShift):INDEX($FK$325:$ID$396,HU$169,SwaptionMonthsToGo+SwaptionShift),INDEX($FK$245:$ID$316,$FJ238-HU$169,73-HU$169+SwaptionShift):INDEX($FK$245:$ID$316,$FJ238-HU$169,72-HU$169+SwaptionMonthsToGo+SwaptionShift))/SQRT(SUM(INDEX($FK393:$ID393,1+SwaptionShift):INDEX($FK393:$ID393,SwaptionMonthsToGo+SwaptionShift))*SUM(INDEX($FK$325:$ID$396,HU$169,1+SwaptionShift):INDEX($FK$325:$ID$396,HU$169,SwaptionMonthsToGo+SwaptionShift))))))</f>
        <v/>
      </c>
      <c r="HV238" s="150" t="str">
        <f aca="false">IF(OR(HV$169&lt;SwaptionFirstMonthPosition+1,$FJ238&lt;SwaptionFirstMonthPosition+1,HV$169&gt;SwaptionFirstMonthPosition+SwaptionNumOfMonths+1,$FJ238&gt;SwaptionFirstMonthPosition+SwaptionNumOfMonths+1),"",IF($FJ238=HV$169,1,IF($FJ238&lt;HV$169,INDEX($FK$170:$ID$241,HV$169,$FJ238),SUMPRODUCT(INDEX($FK$325:$ID$396,HV$169,1+SwaptionShift):INDEX($FK$325:$ID$396,HV$169,SwaptionMonthsToGo+SwaptionShift),INDEX($FK$245:$ID$316,$FJ238-HV$169,73-HV$169+SwaptionShift):INDEX($FK$245:$ID$316,$FJ238-HV$169,72-HV$169+SwaptionMonthsToGo+SwaptionShift))/SQRT(SUM(INDEX($FK393:$ID393,1+SwaptionShift):INDEX($FK393:$ID393,SwaptionMonthsToGo+SwaptionShift))*SUM(INDEX($FK$325:$ID$396,HV$169,1+SwaptionShift):INDEX($FK$325:$ID$396,HV$169,SwaptionMonthsToGo+SwaptionShift))))))</f>
        <v/>
      </c>
      <c r="HW238" s="150" t="str">
        <f aca="false">IF(OR(HW$169&lt;SwaptionFirstMonthPosition+1,$FJ238&lt;SwaptionFirstMonthPosition+1,HW$169&gt;SwaptionFirstMonthPosition+SwaptionNumOfMonths+1,$FJ238&gt;SwaptionFirstMonthPosition+SwaptionNumOfMonths+1),"",IF($FJ238=HW$169,1,IF($FJ238&lt;HW$169,INDEX($FK$170:$ID$241,HW$169,$FJ238),SUMPRODUCT(INDEX($FK$325:$ID$396,HW$169,1+SwaptionShift):INDEX($FK$325:$ID$396,HW$169,SwaptionMonthsToGo+SwaptionShift),INDEX($FK$245:$ID$316,$FJ238-HW$169,73-HW$169+SwaptionShift):INDEX($FK$245:$ID$316,$FJ238-HW$169,72-HW$169+SwaptionMonthsToGo+SwaptionShift))/SQRT(SUM(INDEX($FK393:$ID393,1+SwaptionShift):INDEX($FK393:$ID393,SwaptionMonthsToGo+SwaptionShift))*SUM(INDEX($FK$325:$ID$396,HW$169,1+SwaptionShift):INDEX($FK$325:$ID$396,HW$169,SwaptionMonthsToGo+SwaptionShift))))))</f>
        <v/>
      </c>
      <c r="HX238" s="150" t="str">
        <f aca="false">IF(OR(HX$169&lt;SwaptionFirstMonthPosition+1,$FJ238&lt;SwaptionFirstMonthPosition+1,HX$169&gt;SwaptionFirstMonthPosition+SwaptionNumOfMonths+1,$FJ238&gt;SwaptionFirstMonthPosition+SwaptionNumOfMonths+1),"",IF($FJ238=HX$169,1,IF($FJ238&lt;HX$169,INDEX($FK$170:$ID$241,HX$169,$FJ238),SUMPRODUCT(INDEX($FK$325:$ID$396,HX$169,1+SwaptionShift):INDEX($FK$325:$ID$396,HX$169,SwaptionMonthsToGo+SwaptionShift),INDEX($FK$245:$ID$316,$FJ238-HX$169,73-HX$169+SwaptionShift):INDEX($FK$245:$ID$316,$FJ238-HX$169,72-HX$169+SwaptionMonthsToGo+SwaptionShift))/SQRT(SUM(INDEX($FK393:$ID393,1+SwaptionShift):INDEX($FK393:$ID393,SwaptionMonthsToGo+SwaptionShift))*SUM(INDEX($FK$325:$ID$396,HX$169,1+SwaptionShift):INDEX($FK$325:$ID$396,HX$169,SwaptionMonthsToGo+SwaptionShift))))))</f>
        <v/>
      </c>
      <c r="HY238" s="150" t="str">
        <f aca="false">IF(OR(HY$169&lt;SwaptionFirstMonthPosition+1,$FJ238&lt;SwaptionFirstMonthPosition+1,HY$169&gt;SwaptionFirstMonthPosition+SwaptionNumOfMonths+1,$FJ238&gt;SwaptionFirstMonthPosition+SwaptionNumOfMonths+1),"",IF($FJ238=HY$169,1,IF($FJ238&lt;HY$169,INDEX($FK$170:$ID$241,HY$169,$FJ238),SUMPRODUCT(INDEX($FK$325:$ID$396,HY$169,1+SwaptionShift):INDEX($FK$325:$ID$396,HY$169,SwaptionMonthsToGo+SwaptionShift),INDEX($FK$245:$ID$316,$FJ238-HY$169,73-HY$169+SwaptionShift):INDEX($FK$245:$ID$316,$FJ238-HY$169,72-HY$169+SwaptionMonthsToGo+SwaptionShift))/SQRT(SUM(INDEX($FK393:$ID393,1+SwaptionShift):INDEX($FK393:$ID393,SwaptionMonthsToGo+SwaptionShift))*SUM(INDEX($FK$325:$ID$396,HY$169,1+SwaptionShift):INDEX($FK$325:$ID$396,HY$169,SwaptionMonthsToGo+SwaptionShift))))))</f>
        <v/>
      </c>
      <c r="HZ238" s="150" t="str">
        <f aca="false">IF(OR(HZ$169&lt;SwaptionFirstMonthPosition+1,$FJ238&lt;SwaptionFirstMonthPosition+1,HZ$169&gt;SwaptionFirstMonthPosition+SwaptionNumOfMonths+1,$FJ238&gt;SwaptionFirstMonthPosition+SwaptionNumOfMonths+1),"",IF($FJ238=HZ$169,1,IF($FJ238&lt;HZ$169,INDEX($FK$170:$ID$241,HZ$169,$FJ238),SUMPRODUCT(INDEX($FK$325:$ID$396,HZ$169,1+SwaptionShift):INDEX($FK$325:$ID$396,HZ$169,SwaptionMonthsToGo+SwaptionShift),INDEX($FK$245:$ID$316,$FJ238-HZ$169,73-HZ$169+SwaptionShift):INDEX($FK$245:$ID$316,$FJ238-HZ$169,72-HZ$169+SwaptionMonthsToGo+SwaptionShift))/SQRT(SUM(INDEX($FK393:$ID393,1+SwaptionShift):INDEX($FK393:$ID393,SwaptionMonthsToGo+SwaptionShift))*SUM(INDEX($FK$325:$ID$396,HZ$169,1+SwaptionShift):INDEX($FK$325:$ID$396,HZ$169,SwaptionMonthsToGo+SwaptionShift))))))</f>
        <v/>
      </c>
      <c r="IA238" s="150" t="str">
        <f aca="false">IF(OR(IA$169&lt;SwaptionFirstMonthPosition+1,$FJ238&lt;SwaptionFirstMonthPosition+1,IA$169&gt;SwaptionFirstMonthPosition+SwaptionNumOfMonths+1,$FJ238&gt;SwaptionFirstMonthPosition+SwaptionNumOfMonths+1),"",IF($FJ238=IA$169,1,IF($FJ238&lt;IA$169,INDEX($FK$170:$ID$241,IA$169,$FJ238),SUMPRODUCT(INDEX($FK$325:$ID$396,IA$169,1+SwaptionShift):INDEX($FK$325:$ID$396,IA$169,SwaptionMonthsToGo+SwaptionShift),INDEX($FK$245:$ID$316,$FJ238-IA$169,73-IA$169+SwaptionShift):INDEX($FK$245:$ID$316,$FJ238-IA$169,72-IA$169+SwaptionMonthsToGo+SwaptionShift))/SQRT(SUM(INDEX($FK393:$ID393,1+SwaptionShift):INDEX($FK393:$ID393,SwaptionMonthsToGo+SwaptionShift))*SUM(INDEX($FK$325:$ID$396,IA$169,1+SwaptionShift):INDEX($FK$325:$ID$396,IA$169,SwaptionMonthsToGo+SwaptionShift))))))</f>
        <v/>
      </c>
      <c r="IB238" s="150" t="str">
        <f aca="false">IF(OR(IB$169&lt;SwaptionFirstMonthPosition+1,$FJ238&lt;SwaptionFirstMonthPosition+1,IB$169&gt;SwaptionFirstMonthPosition+SwaptionNumOfMonths+1,$FJ238&gt;SwaptionFirstMonthPosition+SwaptionNumOfMonths+1),"",IF($FJ238=IB$169,1,IF($FJ238&lt;IB$169,INDEX($FK$170:$ID$241,IB$169,$FJ238),SUMPRODUCT(INDEX($FK$325:$ID$396,IB$169,1+SwaptionShift):INDEX($FK$325:$ID$396,IB$169,SwaptionMonthsToGo+SwaptionShift),INDEX($FK$245:$ID$316,$FJ238-IB$169,73-IB$169+SwaptionShift):INDEX($FK$245:$ID$316,$FJ238-IB$169,72-IB$169+SwaptionMonthsToGo+SwaptionShift))/SQRT(SUM(INDEX($FK393:$ID393,1+SwaptionShift):INDEX($FK393:$ID393,SwaptionMonthsToGo+SwaptionShift))*SUM(INDEX($FK$325:$ID$396,IB$169,1+SwaptionShift):INDEX($FK$325:$ID$396,IB$169,SwaptionMonthsToGo+SwaptionShift))))))</f>
        <v/>
      </c>
      <c r="IC238" s="150" t="str">
        <f aca="false">IF(OR(IC$169&lt;SwaptionFirstMonthPosition+1,$FJ238&lt;SwaptionFirstMonthPosition+1,IC$169&gt;SwaptionFirstMonthPosition+SwaptionNumOfMonths+1,$FJ238&gt;SwaptionFirstMonthPosition+SwaptionNumOfMonths+1),"",IF($FJ238=IC$169,1,IF($FJ238&lt;IC$169,INDEX($FK$170:$ID$241,IC$169,$FJ238),SUMPRODUCT(INDEX($FK$325:$ID$396,IC$169,1+SwaptionShift):INDEX($FK$325:$ID$396,IC$169,SwaptionMonthsToGo+SwaptionShift),INDEX($FK$245:$ID$316,$FJ238-IC$169,73-IC$169+SwaptionShift):INDEX($FK$245:$ID$316,$FJ238-IC$169,72-IC$169+SwaptionMonthsToGo+SwaptionShift))/SQRT(SUM(INDEX($FK393:$ID393,1+SwaptionShift):INDEX($FK393:$ID393,SwaptionMonthsToGo+SwaptionShift))*SUM(INDEX($FK$325:$ID$396,IC$169,1+SwaptionShift):INDEX($FK$325:$ID$396,IC$169,SwaptionMonthsToGo+SwaptionShift))))))</f>
        <v/>
      </c>
      <c r="ID238" s="572" t="str">
        <f aca="false">IF(OR(ID$169&lt;SwaptionFirstMonthPosition+1,$FJ238&lt;SwaptionFirstMonthPosition+1,ID$169&gt;SwaptionFirstMonthPosition+SwaptionNumOfMonths+1,$FJ238&gt;SwaptionFirstMonthPosition+SwaptionNumOfMonths+1),"",IF($FJ238=ID$169,1,IF($FJ238&lt;ID$169,INDEX($FK$170:$ID$241,ID$169,$FJ238),SUMPRODUCT(INDEX($FK$325:$ID$396,ID$169,1+SwaptionShift):INDEX($FK$325:$ID$396,ID$169,SwaptionMonthsToGo+SwaptionShift),INDEX($FK$245:$ID$316,$FJ238-ID$169,73-ID$169+SwaptionShift):INDEX($FK$245:$ID$316,$FJ238-ID$169,72-ID$169+SwaptionMonthsToGo+SwaptionShift))/SQRT(SUM(INDEX($FK393:$ID393,1+SwaptionShift):INDEX($FK393:$ID393,SwaptionMonthsToGo+SwaptionShift))*SUM(INDEX($FK$325:$ID$396,ID$169,1+SwaptionShift):INDEX($FK$325:$ID$396,ID$169,SwaptionMonthsToGo+SwaptionShift))))))</f>
        <v/>
      </c>
      <c r="IE238" s="129"/>
    </row>
    <row r="239" customFormat="false" ht="12.75" hidden="false" customHeight="false" outlineLevel="0" collapsed="false">
      <c r="H239" s="219" t="n">
        <f aca="false">VLOOKUP(I239,$EJ$20:$EL$54,3)</f>
        <v>0</v>
      </c>
      <c r="I239" s="511" t="n">
        <f aca="false">EOMONTH(I238,0)+1</f>
        <v>43435</v>
      </c>
      <c r="J239" s="512"/>
      <c r="K239" s="513" t="s">
        <v>280</v>
      </c>
      <c r="L239" s="514" t="n">
        <f aca="false">IF(ISNUMBER(K239),J239+K239/100,IF(K239="extra",L238+VLOOKUP(BF239,PriceSpreadTable,2)/12,IF(K239="inter",interpolateprices($K$19:$L$200,ROW(K239)-ROW(FirstPricingMonth)+1),interpolatechanges($J$19:$K$200,ROW(K239)-ROW(FirstPricingMonth)+1))))</f>
        <v>5.36249999999999</v>
      </c>
      <c r="M239" s="515"/>
      <c r="N239" s="516" t="n">
        <v>0</v>
      </c>
      <c r="O239" s="515" t="n">
        <f aca="false">M239+N239</f>
        <v>0</v>
      </c>
      <c r="P239" s="512"/>
      <c r="Q239" s="513" t="s">
        <v>280</v>
      </c>
      <c r="R239" s="512" t="e">
        <f aca="false">IF(ISNUMBER(Q239),P239+Q239/100,IF(Q239="extra",(Z237*AL237-R238*AM237)/AN237,IF(Q239="inter",interpolateprices($Q$19:$R$260,ROW(Q239)-ROW(FirstPricingMonth)+1),interpolatechanges($P$19:$Q$260,ROW(Q239)-ROW(FirstPricingMonth)+1))))</f>
        <v>#VALUE!</v>
      </c>
      <c r="S239" s="597" t="n">
        <f aca="false">S$19+(S238-S$19)*S$18</f>
        <v>0.36</v>
      </c>
      <c r="T239" s="575" t="n">
        <f aca="false">SQRT((1-(1-T238^2/U238)*T$18)*U239)</f>
        <v>1</v>
      </c>
      <c r="U239" s="576" t="n">
        <f aca="false">1-(1-U238)*U$18</f>
        <v>1</v>
      </c>
      <c r="V239" s="521" t="n">
        <v>0</v>
      </c>
      <c r="W239" s="577" t="n">
        <f aca="false">(J240*AJ239+J241*AK239)/AI239</f>
        <v>0</v>
      </c>
      <c r="X239" s="578" t="n">
        <f aca="false">(L240*AJ239+L241*AK239)/AI239</f>
        <v>5.41124999999999</v>
      </c>
      <c r="Y239" s="579" t="n">
        <f aca="false">IF(Q241="extra",W239-AA239,(P240*AM239+P241*AN239)/AL239)</f>
        <v>-1.1931</v>
      </c>
      <c r="Z239" s="579" t="n">
        <f aca="false">IF(Q241="extra",X239-AB239,(R240*AM239+R241*AN239)/AL239)</f>
        <v>4.21814999999999</v>
      </c>
      <c r="AA239" s="523" t="n">
        <f aca="false">IF(Q241="extra",INDEX(BrentSeasonalityTable,INT((BG239-1)/3)+1)*VLOOKUP(MAX(BF239,$AB$4),PriceSpreadTable,3),W239-Y239)</f>
        <v>1.1931</v>
      </c>
      <c r="AB239" s="524" t="n">
        <f aca="false">IF(Q241="extra",INDEX(BrentSeasonalityTable,INT((BG239-1)/3)+1)*VLOOKUP(MAX(BF239,$AB$4),PriceSpreadTable,3),X239-Z239)</f>
        <v>1.1931</v>
      </c>
      <c r="AC239" s="646" t="n">
        <v>43424</v>
      </c>
      <c r="AD239" s="646" t="n">
        <v>43420</v>
      </c>
      <c r="AE239" s="646" t="n">
        <v>43419</v>
      </c>
      <c r="AF239" s="646" t="n">
        <v>43415</v>
      </c>
      <c r="AG239" s="438" t="s">
        <v>278</v>
      </c>
      <c r="AH239" s="439" t="s">
        <v>278</v>
      </c>
      <c r="AI239" s="528" t="n">
        <v>20</v>
      </c>
      <c r="AJ239" s="529" t="n">
        <v>14</v>
      </c>
      <c r="AK239" s="529" t="n">
        <v>6</v>
      </c>
      <c r="AL239" s="530" t="n">
        <v>20</v>
      </c>
      <c r="AM239" s="529" t="n">
        <v>10</v>
      </c>
      <c r="AN239" s="531" t="n">
        <v>10</v>
      </c>
      <c r="AO239" s="532"/>
      <c r="AP239" s="465" t="n">
        <f aca="false">(1+AO239/2)^(-2*BL239)</f>
        <v>1</v>
      </c>
      <c r="AQ239" s="532"/>
      <c r="AR239" s="465" t="n">
        <f aca="false">(1+AQ239/2)^(-2*BH239/365.25)</f>
        <v>1</v>
      </c>
      <c r="AS239" s="580" t="n">
        <f aca="false">(O240*AJ239+O241*AK239)/AI239</f>
        <v>0</v>
      </c>
      <c r="AT239" s="468" t="n">
        <f aca="false">O239*VLOOKUP(BF239,BrentVolTable,2)+VLOOKUP(BF239,BrentVolTable,3)</f>
        <v>0</v>
      </c>
      <c r="AU239" s="468" t="n">
        <f aca="false">(AT240*AM239+AT241*AN239)/AL239</f>
        <v>0</v>
      </c>
      <c r="AV239" s="595" t="n">
        <f aca="false">SQRT(MAX(0.000000000001,(O239^2*BH239-S239^2*(BH239-BH238))/BH238))</f>
        <v>0.0398023508016491</v>
      </c>
      <c r="AW239" s="451" t="n">
        <f aca="false">IF($I239-DateToday+15&gt;=$T$8,"",IF($I239-DateToday+15&lt;$T$5,1,MATCH($I239-DateToday+15,$T$5:$T$8)))</f>
        <v>1</v>
      </c>
      <c r="AX239" s="468" t="n">
        <f aca="false">IF($AW239="",AX238^2/AX237,INDEX(U$5:U$8,$AW239)^((INDEX($T$5:$T$8,$AW239+1)-($I239-DateToday+15))/(INDEX($T$5:$T$8,$AW239+1)-INDEX($T$5:$T$8,$AW239)))/INDEX(U$5:U$8,$AW239+1)^((INDEX($T$5:$T$8,$AW239)-($I239-DateToday+15))/(INDEX($T$5:$T$8,$AW239+1)-INDEX($T$5:$T$8,$AW239))))</f>
        <v>0.116274675984728</v>
      </c>
      <c r="AY239" s="468" t="n">
        <f aca="false">IF($AW239="",AY238^2/AY237,INDEX(V$5:V$8,$AW239)^((INDEX($T$5:$T$8,$AW239+1)-($I239-DateToday+15))/(INDEX($T$5:$T$8,$AW239+1)-INDEX($T$5:$T$8,$AW239)))/INDEX(V$5:V$8,$AW239+1)^((INDEX($T$5:$T$8,$AW239)-($I239-DateToday+15))/(INDEX($T$5:$T$8,$AW239+1)-INDEX($T$5:$T$8,$AW239))))</f>
        <v>0.51365425139902</v>
      </c>
      <c r="AZ239" s="468" t="n">
        <f aca="false">IF($AW239="",AZ238^2/AZ237,INDEX(W$5:W$8,$AW239)^((INDEX($T$5:$T$8,$AW239+1)-($I239-DateToday+15))/(INDEX($T$5:$T$8,$AW239+1)-INDEX($T$5:$T$8,$AW239)))/INDEX(W$5:W$8,$AW239+1)^((INDEX($T$5:$T$8,$AW239)-($I239-DateToday+15))/(INDEX($T$5:$T$8,$AW239+1)-INDEX($T$5:$T$8,$AW239))))</f>
        <v>10.4973387948749</v>
      </c>
      <c r="BA239" s="468" t="n">
        <f aca="false">IF($AW239="",BA238^2/BA237,INDEX(X$5:X$8,$AW239)^((INDEX($T$5:$T$8,$AW239+1)-($I239-DateToday+15))/(INDEX($T$5:$T$8,$AW239+1)-INDEX($T$5:$T$8,$AW239)))/INDEX(X$5:X$8,$AW239+1)^((INDEX($T$5:$T$8,$AW239)-($I239-DateToday+15))/(INDEX($T$5:$T$8,$AW239+1)-INDEX($T$5:$T$8,$AW239))))</f>
        <v>12.7143194487083</v>
      </c>
      <c r="BB239" s="468" t="n">
        <f aca="false">IF($AW239="",BB238^2/BB237,INDEX(Y$5:Y$8,$AW239)^((INDEX($T$5:$T$8,$AW239+1)-($I239-DateToday+15))/(INDEX($T$5:$T$8,$AW239+1)-INDEX($T$5:$T$8,$AW239)))/INDEX(Y$5:Y$8,$AW239+1)^((INDEX($T$5:$T$8,$AW239)-($I239-DateToday+15))/(INDEX($T$5:$T$8,$AW239+1)-INDEX($T$5:$T$8,$AW239))))</f>
        <v>40.2183001621499</v>
      </c>
      <c r="BC239" s="468" t="n">
        <f aca="false">IF($AW239="",BC238^2/BC237,INDEX(Z$5:Z$8,$AW239)^((INDEX($T$5:$T$8,$AW239+1)-($I239-DateToday+15))/(INDEX($T$5:$T$8,$AW239+1)-INDEX($T$5:$T$8,$AW239)))/INDEX(Z$5:Z$8,$AW239+1)^((INDEX($T$5:$T$8,$AW239)-($I239-DateToday+15))/(INDEX($T$5:$T$8,$AW239+1)-INDEX($T$5:$T$8,$AW239))))</f>
        <v>82.7875758014651</v>
      </c>
      <c r="BD239" s="535" t="n">
        <f aca="false">IF(OR(DateStart&gt;=I240,DateEnd&lt;I239),0,IF(VolumeOverrideFlag,V239,Volume))</f>
        <v>0</v>
      </c>
      <c r="BE239" s="536" t="n">
        <f aca="false">IF(OR(DateStart2&gt;=I240,DateEnd2&lt;I239),0,IF(VolumeOverrideFlag,V239,VolumeSwaption))</f>
        <v>0</v>
      </c>
      <c r="BF239" s="537" t="n">
        <f aca="false">YEAR(I239)</f>
        <v>2018</v>
      </c>
      <c r="BG239" s="538" t="n">
        <f aca="false">MONTH(I239)</f>
        <v>12</v>
      </c>
      <c r="BH239" s="539" t="n">
        <f aca="false">AD239-DateToday+1</f>
        <v>-2505</v>
      </c>
      <c r="BI239" s="540" t="n">
        <f aca="false">(I239-DateToday+1)/365.25</f>
        <v>-6.81724845995893</v>
      </c>
      <c r="BJ239" s="541" t="n">
        <f aca="false">BI239+(BL239-BI239)*CHOOSE(Underlying,AJ239/AI239,AM239/AL239)</f>
        <v>-6.75975359342916</v>
      </c>
      <c r="BK239" s="541" t="n">
        <f aca="false">BJ239+1/365.25</f>
        <v>-6.75701574264203</v>
      </c>
      <c r="BL239" s="541" t="n">
        <f aca="false">(I240-DateToday)/365.25</f>
        <v>-6.73511293634497</v>
      </c>
      <c r="BM239" s="542" t="e">
        <f aca="false">MAX(BI239-(BJ239-BI239)*(S240^2/O240^2-1),0)</f>
        <v>#DIV/0!</v>
      </c>
      <c r="BN239" s="541" t="e">
        <f aca="false">MAX(BL239+(BL239-BK239)*(S241^2/O241^2-1),0)</f>
        <v>#DIV/0!</v>
      </c>
      <c r="BO239" s="530" t="n">
        <f aca="false">CHOOSE(Underlying,AI239,AL239)</f>
        <v>20</v>
      </c>
      <c r="BP239" s="529" t="n">
        <f aca="false">CHOOSE(Underlying,AJ239,AM239)</f>
        <v>14</v>
      </c>
      <c r="BQ239" s="529" t="n">
        <f aca="false">CHOOSE(Underlying,AK239,AN239)</f>
        <v>6</v>
      </c>
      <c r="BR239" s="463" t="str">
        <f aca="false">IF(BD239,IF(Underlying=1,X239,Z239)+UnderlyingPriceAsian-SwapPriceCurve,"")</f>
        <v/>
      </c>
      <c r="BS239" s="463" t="str">
        <f aca="false">IF(BD239,Strike1/BR239-1,"")</f>
        <v/>
      </c>
      <c r="BT239" s="464" t="str">
        <f aca="false">IF(BD239,Strike2/BR239-1,"")</f>
        <v/>
      </c>
      <c r="BU239" s="465" t="str">
        <f aca="false">IF(BD239,IF(Underlying=1,L240,R240)+UnderlyingPriceAsian-SwapPriceCurve,"")</f>
        <v/>
      </c>
      <c r="BV239" s="465" t="str">
        <f aca="false">IF(BD239,IF(Underlying=1,L241,R241)+UnderlyingPriceAsian-SwapPriceCurve,"")</f>
        <v/>
      </c>
      <c r="BW239" s="466" t="str">
        <f aca="false">IF(BD239,IF(Underlying=1,O240,AT240),"")</f>
        <v/>
      </c>
      <c r="BX239" s="467" t="str">
        <f aca="false">IF(BD239,IF(Underlying=1,O241,AT241),"")</f>
        <v/>
      </c>
      <c r="BY239" s="466" t="str">
        <f aca="false">IF(BD239,IF(BS239&gt;0,IF(BS239&gt;0.2,BC239-BB239,IF(BS239&gt;0.1,BB239-BA239,BA239)),IF(BS239&lt;-0.2,AX239-AY239,IF(BS239&lt;-0.1,AY239-AZ239,AZ239))),"")</f>
        <v/>
      </c>
      <c r="BZ239" s="467" t="str">
        <f aca="false">IF(BD239,IF(BT239&gt;0,IF(BT239&gt;0.2,BC239-BB239,IF(BT239&gt;0.1,BB239-BA239,BA239)),IF(BT239&lt;-0.2,AX239-AY239,IF(BT239&lt;-0.1,AY239-AZ239,AZ239))),"")</f>
        <v/>
      </c>
      <c r="CA239" s="468" t="str">
        <f aca="false">IF($BD239,$BW239+IF(VolSkewFlag=1,IF(BS239&gt;0,$BA239*MIN(BS239/10%,1)+($BB239-$BA239)*MAX(0,MIN(BS239/10%-1,1))+($BC239-$BB239)*MAX(0,BS239/10%-2),$AZ239*MIN(-BS239/10%,1)+($AY239-$AZ239)*MAX(0,MIN(-BS239/10%-1,1))+($AX239-$AY239)*MAX(0,-BS239/10%-2)),0),"")</f>
        <v/>
      </c>
      <c r="CB239" s="468" t="str">
        <f aca="false">IF($BD239,$BX239+IF(VolSkewFlag=1,IF(BS239&gt;0,$BA239*MIN(BS239/10%,1)+($BB239-$BA239)*MAX(0,MIN(BS239/10%-1,1))+($BC239-$BB239)*MAX(0,BS239/10%-2),$AZ239*MIN(-BS239/10%,1)+($AY239-$AZ239)*MAX(0,MIN(-BS239/10%-1,1))+($AX239-$AY239)*MAX(0,-BS239/10%-2)),0),"")</f>
        <v/>
      </c>
      <c r="CC239" s="468" t="str">
        <f aca="false">IF($BD239,$BW239+IF(VolSkewFlag=1,IF(BT239&gt;0,$BA239*MIN(BT239/10%,1)+($BB239-$BA239)*MAX(0,MIN(BT239/10%-1,1))+($BC239-$BB239)*MAX(0,BT239/10%-2),$AZ239*MIN(-BT239/10%,1)+($AY239-$AZ239)*MAX(0,MIN(-BT239/10%-1,1))+($AX239-$AY239)*MAX(0,-BT239/10%-2)),0),"")</f>
        <v/>
      </c>
      <c r="CD239" s="468" t="str">
        <f aca="false">IF($BD239,$BX239+IF(VolSkewFlag=1,IF(BT239&gt;0,$BA239*MIN(BT239/10%,1)+($BB239-$BA239)*MAX(0,MIN(BT239/10%-1,1))+($BC239-$BB239)*MAX(0,BT239/10%-2),$AZ239*MIN(-BT239/10%,1)+($AY239-$AZ239)*MAX(0,MIN(-BT239/10%-1,1))+($AX239-$AY239)*MAX(0,-BT239/10%-2)),0),"")</f>
        <v/>
      </c>
      <c r="CE239" s="469" t="n">
        <v>1</v>
      </c>
      <c r="CF239" s="470" t="n">
        <f aca="false">IF(BD239,xCrudeAPO(BU239,BV239,CA239,CB239,S240,S241,BI239,BL239,BP239,BQ239,0,Strike1,AO239,CE239,0,BL239,IF(OptControl=4,0,1),0,1),0)</f>
        <v>0</v>
      </c>
      <c r="CG239" s="470" t="n">
        <f aca="false">IF(BD239,xCrudeAPO(BU239,BV239,CA239,CB239,S240,S241,BI239,BL239,BP239,BQ239,0,Strike1,AO239,CE239,0,BL239,IF(OptControl=4,0,1),1,1)+xCrudeAPO(BU239,BV239,CA239,CB239,S240,S241,BI239,BL239,BP239,BQ239,0,Strike1,AO239,CE239,0,BL239,IF(OptControl=4,0,1),1,2)+IF(OR(VolSkewFlag=2,ABS(BS239)&lt;0.0001),0,IF(BS239&gt;0,-1,1)*CH239*Strike1/BR239^2*BY239/10%),0)</f>
        <v>0</v>
      </c>
      <c r="CH239" s="470" t="n">
        <f aca="false">IF(BD239,(xCrudeAPO(BU239,BV239,CA239,CB239,S240,S241,BI239,BL239,BP239,BQ239,0,Strike1,AO239,CE239,0,BL239,IF(OptControl=4,0,1),3,1)+xCrudeAPO(BU239,BV239,CA239,CB239,S240,S241,BI239,BL239,BP239,BQ239,0,Strike1,AO239,CE239,0,BL239,IF(OptControl=4,0,1),3,2))/100,0)</f>
        <v>0</v>
      </c>
      <c r="CI239" s="470" t="n">
        <f aca="false">IF(BD239,xCrudeAPO(BU239,BV239,CA239,CB239,S240,S241,BI239-DaysForThetaCalculation/365.25,BL239-DaysForThetaCalculation/365.25,BP239,BQ239,0,Strike1,AO239,CE239,0,BL239,IF(OptControl=4,0,1),0,1)-xCrudeAPO(BU239,BV239,CA239,CB239,S240,S241,BI239,BL239,BP239,BQ239,0,Strike1,AO239,CE239,0,BL239,IF(OptControl=4,0,1),0,1),0)</f>
        <v>0</v>
      </c>
      <c r="CJ239" s="471" t="n">
        <f aca="false">IF(BD239,xCrudeAPO(BU239,BV239,CC239,CD239,S240,S241,BI239,BL239,BP239,BQ239,0,Strike2,AO239,CE239,0,BL239,IF(OptControl=3,1,0),0,1),0)</f>
        <v>0</v>
      </c>
      <c r="CK239" s="470" t="n">
        <f aca="false">IF(BD239,xCrudeAPO(BU239,BV239,CC239,CD239,S240,S241,BI239,BL239,BP239,BQ239,0,Strike2,AO239,CE239,0,BL239,IF(OptControl=3,1,0),1,1)+xCrudeAPO(BU239,BV239,CC239,CD239,S240,S241,BI239,BL239,BP239,BQ239,0,Strike2,AO239,CE239,0,BL239,IF(OptControl=3,1,0),1,2)+IF(OR(VolSkewFlag=2,ABS(BT239)&lt;0.0001),0,IF(BT239&gt;0,-1,1)*CL239*Strike2/BR239^2*BZ239/10%),0)</f>
        <v>0</v>
      </c>
      <c r="CL239" s="470" t="n">
        <f aca="false">IF(BD239,(xCrudeAPO(BU239,BV239,CC239,CD239,S240,S241,BI239,BL239,BP239,BQ239,0,Strike2,AO239,CE239,0,BL239,IF(OptControl=3,1,0),3,1)+xCrudeAPO(BU239,BV239,CC239,CD239,S240,S241,BI239,BL239,BP239,BQ239,0,Strike2,AO239,CE239,0,BL239,IF(OptControl=3,1,0),3,2))/100,0)</f>
        <v>0</v>
      </c>
      <c r="CM239" s="472" t="n">
        <f aca="false">IF(BD239,xCrudeAPO(BU239,BV239,CC239,CD239,S240,S241,BI239-DaysForThetaCalculation/365.25,BL239-DaysForThetaCalculation/365.25,BP239,BQ239,0,Strike2,AO239,CE239,0,BL239,IF(OptControl=3,1,0),0,1)-xCrudeAPO(BU239,BV239,CC239,CD239,S240,S241,BI239,BL239,BP239,BQ239,0,Strike2,AO239,CE239,0,BL239,IF(OptControl=3,1,0),0,1),0)</f>
        <v>0</v>
      </c>
      <c r="CN239" s="3"/>
      <c r="CO239" s="543" t="str">
        <f aca="false">IF(BD239,CHOOSE(Underlying,AD239,AF239)-DateToday+1,"")</f>
        <v/>
      </c>
      <c r="CP239" s="582" t="str">
        <f aca="false">IF(BD239,CHOOSE(Underlying,L239,R239),"")</f>
        <v/>
      </c>
      <c r="CQ239" s="544" t="str">
        <f aca="false">IF(BD239,Strike1/CP239-1,"")</f>
        <v/>
      </c>
      <c r="CR239" s="544" t="str">
        <f aca="false">IF(BD239,Strike2/CP239-1,"")</f>
        <v/>
      </c>
      <c r="CS239" s="544" t="str">
        <f aca="false">IF(BD239,IF(CQ239&gt;0,IF(CQ239&gt;0.2,BC238-BB238,IF(CQ239&gt;0.1,BB238-BA238,BA238)),IF(CQ239&lt;-0.2,AX238-AY238,IF(CQ239&lt;-0.1,AY238-AZ238,AZ238))),"")</f>
        <v/>
      </c>
      <c r="CT239" s="544" t="str">
        <f aca="false">IF(BD239,IF(CR239&gt;0,IF(CR239&gt;0.2,BC238-BB238,IF(CR239&gt;0.1,BB238-BA238,BA238)),IF(CR239&lt;-0.2,AX238-AY238,IF(CR239&lt;-0.1,AY238-AZ238,AZ238))),"")</f>
        <v/>
      </c>
      <c r="CU239" s="545" t="str">
        <f aca="false">IF(BD239,CHOOSE(Underlying,O239,AT239),"")</f>
        <v/>
      </c>
      <c r="CV239" s="545" t="str">
        <f aca="false">IF(BD239,CU239+IF(VolSkewFlag=1,IF(CQ239&gt;0,BA238*MIN(CQ239/10%,1)+(BB238-BA238)*MAX(0,MIN(CQ239/10%-1,1))+(BC238-BB238)*MAX(0,CQ239/10%-2),AZ238*MIN(-CQ239/10%,1)+(AY238-AZ238)*MAX(0,MIN(-CQ239/10%-1,1))+(AX238-AY238)*MAX(0,-CQ239/10%-2)),0),"")</f>
        <v/>
      </c>
      <c r="CW239" s="545" t="str">
        <f aca="false">IF(BD239,CU239+IF(VolSkewFlag=1,IF(CR239&gt;0,BA238*MIN(CR239/10%,1)+(BB238-BA238)*MAX(0,MIN(CR239/10%-1,1))+(BC238-BB238)*MAX(0,CR239/10%-2),AZ238*MIN(-CR239/10%,1)+(AY238-AZ238)*MAX(0,MIN(-CR239/10%-1,1))+(AX238-AY238)*MAX(0,-CR239/10%-2)),0),"")</f>
        <v/>
      </c>
      <c r="CX239" s="470" t="n">
        <f aca="false">IF(BD239,EURO(CP239,Strike1,AO239,AO239,CV239,CO239,IF(OptControl=4,0,1),0),0)</f>
        <v>0</v>
      </c>
      <c r="CY239" s="470" t="n">
        <f aca="false">IF(BD239,EURO(CP239,Strike1,AO239,AO239,CV239,CO239,IF(OptControl=4,0,1),1)+IF(OR(VolSkewFlag=2,ABS(CQ239)&lt;0.0001),0,IF(CQ239&gt;0,-1,1)*CZ239*100*Strike1/CP239^2*CS239/10%),0)</f>
        <v>0</v>
      </c>
      <c r="CZ239" s="470" t="n">
        <f aca="false">IF(BD239,EURO(CP239,Strike1,AO239,AO239,CV239,CO239,IF(OptControl=4,0,1),3)/100,0)</f>
        <v>0</v>
      </c>
      <c r="DA239" s="470" t="n">
        <f aca="false">IF(BD239,EURO(CP239,Strike1,AO239,AO239,CV239,CO239,IF(OptControl=4,0,1),0)-EURO(CP239,Strike1,AO239,AO239,CV239,CO239-1,IF(OptControl=4,0,1),0),0)</f>
        <v>0</v>
      </c>
      <c r="DB239" s="470" t="n">
        <f aca="false">IF(BD239,EURO(CP239,Strike2,AO239,AO239,CW239,CO239,IF(OptControl=3,1,0),0),0)</f>
        <v>0</v>
      </c>
      <c r="DC239" s="470" t="n">
        <f aca="false">IF(BD239,EURO(CP239,Strike2,AO239,AO239,CW239,CO239,IF(OptControl=3,1,0),1)+IF(OR(VolSkewFlag=2,ABS(CR239)&lt;0.0001),0,IF(CR239&gt;0,-1,1)*DD239*100*Strike2/CP239^2*CT239/10%),0)</f>
        <v>0</v>
      </c>
      <c r="DD239" s="470" t="n">
        <f aca="false">IF(BD239,EURO(CP239,Strike2,AO239,AO239,CW239,CO239,IF(OptControl=3,1,0),3)/100,0)</f>
        <v>0</v>
      </c>
      <c r="DE239" s="472" t="n">
        <f aca="false">IF(BD239,EURO(CP239,Strike2,AO239,AO239,CW239,CO239,IF(OptControl=3,1,0),0)-EURO(CP239,Strike2,AO239,AO239,CW239,CO239-1,IF(OptControl=3,1,0),0),0)</f>
        <v>0</v>
      </c>
      <c r="DG239" s="481" t="n">
        <f aca="false">EOMONTH(DG238,0)+1</f>
        <v>52352</v>
      </c>
      <c r="DH239" s="478" t="n">
        <v>25.1100000000001</v>
      </c>
      <c r="DI239" s="479" t="n">
        <v>25.1795652173914</v>
      </c>
      <c r="DJ239" s="480" t="n">
        <f aca="false">DG239</f>
        <v>52352</v>
      </c>
      <c r="DK239" s="478" t="n">
        <v>23.9459300339715</v>
      </c>
      <c r="DL239" s="479" t="n">
        <v>23.8880652173914</v>
      </c>
      <c r="DM239" s="481" t="n">
        <f aca="false">DG239</f>
        <v>52352</v>
      </c>
      <c r="DN239" s="482" t="n">
        <f aca="false">DK239+BrentPhyBrentSpread</f>
        <v>23.9959300339715</v>
      </c>
      <c r="DO239" s="481" t="n">
        <f aca="false">DG239</f>
        <v>52352</v>
      </c>
      <c r="DP239" s="483" t="n">
        <f aca="false">DL239+DQ239</f>
        <v>23.8880652173914</v>
      </c>
      <c r="DQ239" s="546" t="n">
        <v>0</v>
      </c>
      <c r="DR239" s="480" t="n">
        <f aca="false">DG239</f>
        <v>52352</v>
      </c>
      <c r="DS239" s="485" t="n">
        <v>0.093199999999997</v>
      </c>
      <c r="DT239" s="486" t="n">
        <v>0.0923652173913014</v>
      </c>
      <c r="DU239" s="480" t="n">
        <f aca="false">DG239</f>
        <v>52352</v>
      </c>
      <c r="DV239" s="485" t="n">
        <v>0.093199999999997</v>
      </c>
      <c r="DW239" s="486" t="n">
        <v>0.0923652173913014</v>
      </c>
      <c r="DX239" s="481" t="n">
        <f aca="false">DG239</f>
        <v>52352</v>
      </c>
      <c r="DY239" s="486" t="n">
        <v>0.35</v>
      </c>
      <c r="DZ239" s="481" t="n">
        <f aca="false">DR239</f>
        <v>52352</v>
      </c>
      <c r="EA239" s="486" t="n">
        <f aca="false">DT239</f>
        <v>0.0923652173913014</v>
      </c>
      <c r="EB239" s="195"/>
      <c r="EC239" s="547" t="str">
        <f aca="false">IF(BD239,IF(Underlying=1,AS239,AU239),"")</f>
        <v/>
      </c>
      <c r="ED239" s="548" t="str">
        <f aca="false">IF($BD239,$EC239+IF(VolSkewFlag=1,IF(BS239&gt;0,$BA239*MIN(BS239/10%,1)+($BB239-$BA239)*MAX(0,MIN(BS239/10%-1,1))+($BC239-$BB239)*MAX(0,BS239/10%-2),$AZ239*MIN(-BS239/10%,1)+($AY239-$AZ239)*MAX(0,MIN(-BS239/10%-1,1))+($AX239-$AY239)*MAX(0,-BS239/10%-2)),0),"")</f>
        <v/>
      </c>
      <c r="EE239" s="549" t="str">
        <f aca="false">IF($BD239,$EC239+IF(VolSkewFlag=1,IF(BT239&gt;0,$BA239*MIN(BT239/10%,1)+($BB239-$BA239)*MAX(0,MIN(BT239/10%-1,1))+($BC239-$BB239)*MAX(0,BT239/10%-2),$AZ239*MIN(-BT239/10%,1)+($AY239-$AZ239)*MAX(0,MIN(-BT239/10%-1,1))+($AX239-$AY239)*MAX(0,-BT239/10%-2)),0),"")</f>
        <v/>
      </c>
      <c r="EF239" s="550" t="n">
        <f aca="false">IF(BD239,xASN(BR239,Strike1,AO239,ED239,0,BO239,0,BI239,BL239,IF(OptControl=4,0,1),0),0)</f>
        <v>0</v>
      </c>
      <c r="EG239" s="551" t="n">
        <f aca="false">IF(BD239,xASN(BR239,Strike2,AO239,EE239,0,BO239,0,BI239,BL239,IF(OptControl=3,1,0),0),0)</f>
        <v>0</v>
      </c>
      <c r="EL239" s="1"/>
      <c r="EM239" s="195"/>
      <c r="EN239" s="240"/>
      <c r="EO239" s="240"/>
      <c r="EP239" s="195"/>
      <c r="EQ239" s="407" t="s">
        <v>467</v>
      </c>
      <c r="ES239" s="1"/>
      <c r="EU239" s="672"/>
      <c r="FJ239" s="571" t="n">
        <v>70</v>
      </c>
      <c r="FK239" s="150" t="str">
        <f aca="false">IF(OR(FK$169&lt;SwaptionFirstMonthPosition+1,$FJ239&lt;SwaptionFirstMonthPosition+1,FK$169&gt;SwaptionFirstMonthPosition+SwaptionNumOfMonths+1,$FJ239&gt;SwaptionFirstMonthPosition+SwaptionNumOfMonths+1),"",IF($FJ239=FK$169,1,IF($FJ239&lt;FK$169,INDEX($FK$170:$ID$241,FK$169,$FJ239),SUMPRODUCT(INDEX($FK$325:$ID$396,FK$169,1+SwaptionShift):INDEX($FK$325:$ID$396,FK$169,SwaptionMonthsToGo+SwaptionShift),INDEX($FK$245:$ID$316,$FJ239-FK$169,73-FK$169+SwaptionShift):INDEX($FK$245:$ID$316,$FJ239-FK$169,72-FK$169+SwaptionMonthsToGo+SwaptionShift))/SQRT(SUM(INDEX($FK394:$ID394,1+SwaptionShift):INDEX($FK394:$ID394,SwaptionMonthsToGo+SwaptionShift))*SUM(INDEX($FK$325:$ID$396,FK$169,1+SwaptionShift):INDEX($FK$325:$ID$396,FK$169,SwaptionMonthsToGo+SwaptionShift))))))</f>
        <v/>
      </c>
      <c r="FL239" s="150" t="str">
        <f aca="false">IF(OR(FL$169&lt;SwaptionFirstMonthPosition+1,$FJ239&lt;SwaptionFirstMonthPosition+1,FL$169&gt;SwaptionFirstMonthPosition+SwaptionNumOfMonths+1,$FJ239&gt;SwaptionFirstMonthPosition+SwaptionNumOfMonths+1),"",IF($FJ239=FL$169,1,IF($FJ239&lt;FL$169,INDEX($FK$170:$ID$241,FL$169,$FJ239),SUMPRODUCT(INDEX($FK$325:$ID$396,FL$169,1+SwaptionShift):INDEX($FK$325:$ID$396,FL$169,SwaptionMonthsToGo+SwaptionShift),INDEX($FK$245:$ID$316,$FJ239-FL$169,73-FL$169+SwaptionShift):INDEX($FK$245:$ID$316,$FJ239-FL$169,72-FL$169+SwaptionMonthsToGo+SwaptionShift))/SQRT(SUM(INDEX($FK394:$ID394,1+SwaptionShift):INDEX($FK394:$ID394,SwaptionMonthsToGo+SwaptionShift))*SUM(INDEX($FK$325:$ID$396,FL$169,1+SwaptionShift):INDEX($FK$325:$ID$396,FL$169,SwaptionMonthsToGo+SwaptionShift))))))</f>
        <v/>
      </c>
      <c r="FM239" s="150" t="str">
        <f aca="false">IF(OR(FM$169&lt;SwaptionFirstMonthPosition+1,$FJ239&lt;SwaptionFirstMonthPosition+1,FM$169&gt;SwaptionFirstMonthPosition+SwaptionNumOfMonths+1,$FJ239&gt;SwaptionFirstMonthPosition+SwaptionNumOfMonths+1),"",IF($FJ239=FM$169,1,IF($FJ239&lt;FM$169,INDEX($FK$170:$ID$241,FM$169,$FJ239),SUMPRODUCT(INDEX($FK$325:$ID$396,FM$169,1+SwaptionShift):INDEX($FK$325:$ID$396,FM$169,SwaptionMonthsToGo+SwaptionShift),INDEX($FK$245:$ID$316,$FJ239-FM$169,73-FM$169+SwaptionShift):INDEX($FK$245:$ID$316,$FJ239-FM$169,72-FM$169+SwaptionMonthsToGo+SwaptionShift))/SQRT(SUM(INDEX($FK394:$ID394,1+SwaptionShift):INDEX($FK394:$ID394,SwaptionMonthsToGo+SwaptionShift))*SUM(INDEX($FK$325:$ID$396,FM$169,1+SwaptionShift):INDEX($FK$325:$ID$396,FM$169,SwaptionMonthsToGo+SwaptionShift))))))</f>
        <v/>
      </c>
      <c r="FN239" s="150" t="str">
        <f aca="false">IF(OR(FN$169&lt;SwaptionFirstMonthPosition+1,$FJ239&lt;SwaptionFirstMonthPosition+1,FN$169&gt;SwaptionFirstMonthPosition+SwaptionNumOfMonths+1,$FJ239&gt;SwaptionFirstMonthPosition+SwaptionNumOfMonths+1),"",IF($FJ239=FN$169,1,IF($FJ239&lt;FN$169,INDEX($FK$170:$ID$241,FN$169,$FJ239),SUMPRODUCT(INDEX($FK$325:$ID$396,FN$169,1+SwaptionShift):INDEX($FK$325:$ID$396,FN$169,SwaptionMonthsToGo+SwaptionShift),INDEX($FK$245:$ID$316,$FJ239-FN$169,73-FN$169+SwaptionShift):INDEX($FK$245:$ID$316,$FJ239-FN$169,72-FN$169+SwaptionMonthsToGo+SwaptionShift))/SQRT(SUM(INDEX($FK394:$ID394,1+SwaptionShift):INDEX($FK394:$ID394,SwaptionMonthsToGo+SwaptionShift))*SUM(INDEX($FK$325:$ID$396,FN$169,1+SwaptionShift):INDEX($FK$325:$ID$396,FN$169,SwaptionMonthsToGo+SwaptionShift))))))</f>
        <v/>
      </c>
      <c r="FO239" s="150" t="str">
        <f aca="false">IF(OR(FO$169&lt;SwaptionFirstMonthPosition+1,$FJ239&lt;SwaptionFirstMonthPosition+1,FO$169&gt;SwaptionFirstMonthPosition+SwaptionNumOfMonths+1,$FJ239&gt;SwaptionFirstMonthPosition+SwaptionNumOfMonths+1),"",IF($FJ239=FO$169,1,IF($FJ239&lt;FO$169,INDEX($FK$170:$ID$241,FO$169,$FJ239),SUMPRODUCT(INDEX($FK$325:$ID$396,FO$169,1+SwaptionShift):INDEX($FK$325:$ID$396,FO$169,SwaptionMonthsToGo+SwaptionShift),INDEX($FK$245:$ID$316,$FJ239-FO$169,73-FO$169+SwaptionShift):INDEX($FK$245:$ID$316,$FJ239-FO$169,72-FO$169+SwaptionMonthsToGo+SwaptionShift))/SQRT(SUM(INDEX($FK394:$ID394,1+SwaptionShift):INDEX($FK394:$ID394,SwaptionMonthsToGo+SwaptionShift))*SUM(INDEX($FK$325:$ID$396,FO$169,1+SwaptionShift):INDEX($FK$325:$ID$396,FO$169,SwaptionMonthsToGo+SwaptionShift))))))</f>
        <v/>
      </c>
      <c r="FP239" s="150" t="str">
        <f aca="false">IF(OR(FP$169&lt;SwaptionFirstMonthPosition+1,$FJ239&lt;SwaptionFirstMonthPosition+1,FP$169&gt;SwaptionFirstMonthPosition+SwaptionNumOfMonths+1,$FJ239&gt;SwaptionFirstMonthPosition+SwaptionNumOfMonths+1),"",IF($FJ239=FP$169,1,IF($FJ239&lt;FP$169,INDEX($FK$170:$ID$241,FP$169,$FJ239),SUMPRODUCT(INDEX($FK$325:$ID$396,FP$169,1+SwaptionShift):INDEX($FK$325:$ID$396,FP$169,SwaptionMonthsToGo+SwaptionShift),INDEX($FK$245:$ID$316,$FJ239-FP$169,73-FP$169+SwaptionShift):INDEX($FK$245:$ID$316,$FJ239-FP$169,72-FP$169+SwaptionMonthsToGo+SwaptionShift))/SQRT(SUM(INDEX($FK394:$ID394,1+SwaptionShift):INDEX($FK394:$ID394,SwaptionMonthsToGo+SwaptionShift))*SUM(INDEX($FK$325:$ID$396,FP$169,1+SwaptionShift):INDEX($FK$325:$ID$396,FP$169,SwaptionMonthsToGo+SwaptionShift))))))</f>
        <v/>
      </c>
      <c r="FQ239" s="150" t="str">
        <f aca="false">IF(OR(FQ$169&lt;SwaptionFirstMonthPosition+1,$FJ239&lt;SwaptionFirstMonthPosition+1,FQ$169&gt;SwaptionFirstMonthPosition+SwaptionNumOfMonths+1,$FJ239&gt;SwaptionFirstMonthPosition+SwaptionNumOfMonths+1),"",IF($FJ239=FQ$169,1,IF($FJ239&lt;FQ$169,INDEX($FK$170:$ID$241,FQ$169,$FJ239),SUMPRODUCT(INDEX($FK$325:$ID$396,FQ$169,1+SwaptionShift):INDEX($FK$325:$ID$396,FQ$169,SwaptionMonthsToGo+SwaptionShift),INDEX($FK$245:$ID$316,$FJ239-FQ$169,73-FQ$169+SwaptionShift):INDEX($FK$245:$ID$316,$FJ239-FQ$169,72-FQ$169+SwaptionMonthsToGo+SwaptionShift))/SQRT(SUM(INDEX($FK394:$ID394,1+SwaptionShift):INDEX($FK394:$ID394,SwaptionMonthsToGo+SwaptionShift))*SUM(INDEX($FK$325:$ID$396,FQ$169,1+SwaptionShift):INDEX($FK$325:$ID$396,FQ$169,SwaptionMonthsToGo+SwaptionShift))))))</f>
        <v/>
      </c>
      <c r="FR239" s="150" t="str">
        <f aca="false">IF(OR(FR$169&lt;SwaptionFirstMonthPosition+1,$FJ239&lt;SwaptionFirstMonthPosition+1,FR$169&gt;SwaptionFirstMonthPosition+SwaptionNumOfMonths+1,$FJ239&gt;SwaptionFirstMonthPosition+SwaptionNumOfMonths+1),"",IF($FJ239=FR$169,1,IF($FJ239&lt;FR$169,INDEX($FK$170:$ID$241,FR$169,$FJ239),SUMPRODUCT(INDEX($FK$325:$ID$396,FR$169,1+SwaptionShift):INDEX($FK$325:$ID$396,FR$169,SwaptionMonthsToGo+SwaptionShift),INDEX($FK$245:$ID$316,$FJ239-FR$169,73-FR$169+SwaptionShift):INDEX($FK$245:$ID$316,$FJ239-FR$169,72-FR$169+SwaptionMonthsToGo+SwaptionShift))/SQRT(SUM(INDEX($FK394:$ID394,1+SwaptionShift):INDEX($FK394:$ID394,SwaptionMonthsToGo+SwaptionShift))*SUM(INDEX($FK$325:$ID$396,FR$169,1+SwaptionShift):INDEX($FK$325:$ID$396,FR$169,SwaptionMonthsToGo+SwaptionShift))))))</f>
        <v/>
      </c>
      <c r="FS239" s="150" t="str">
        <f aca="false">IF(OR(FS$169&lt;SwaptionFirstMonthPosition+1,$FJ239&lt;SwaptionFirstMonthPosition+1,FS$169&gt;SwaptionFirstMonthPosition+SwaptionNumOfMonths+1,$FJ239&gt;SwaptionFirstMonthPosition+SwaptionNumOfMonths+1),"",IF($FJ239=FS$169,1,IF($FJ239&lt;FS$169,INDEX($FK$170:$ID$241,FS$169,$FJ239),SUMPRODUCT(INDEX($FK$325:$ID$396,FS$169,1+SwaptionShift):INDEX($FK$325:$ID$396,FS$169,SwaptionMonthsToGo+SwaptionShift),INDEX($FK$245:$ID$316,$FJ239-FS$169,73-FS$169+SwaptionShift):INDEX($FK$245:$ID$316,$FJ239-FS$169,72-FS$169+SwaptionMonthsToGo+SwaptionShift))/SQRT(SUM(INDEX($FK394:$ID394,1+SwaptionShift):INDEX($FK394:$ID394,SwaptionMonthsToGo+SwaptionShift))*SUM(INDEX($FK$325:$ID$396,FS$169,1+SwaptionShift):INDEX($FK$325:$ID$396,FS$169,SwaptionMonthsToGo+SwaptionShift))))))</f>
        <v/>
      </c>
      <c r="FT239" s="150" t="str">
        <f aca="false">IF(OR(FT$169&lt;SwaptionFirstMonthPosition+1,$FJ239&lt;SwaptionFirstMonthPosition+1,FT$169&gt;SwaptionFirstMonthPosition+SwaptionNumOfMonths+1,$FJ239&gt;SwaptionFirstMonthPosition+SwaptionNumOfMonths+1),"",IF($FJ239=FT$169,1,IF($FJ239&lt;FT$169,INDEX($FK$170:$ID$241,FT$169,$FJ239),SUMPRODUCT(INDEX($FK$325:$ID$396,FT$169,1+SwaptionShift):INDEX($FK$325:$ID$396,FT$169,SwaptionMonthsToGo+SwaptionShift),INDEX($FK$245:$ID$316,$FJ239-FT$169,73-FT$169+SwaptionShift):INDEX($FK$245:$ID$316,$FJ239-FT$169,72-FT$169+SwaptionMonthsToGo+SwaptionShift))/SQRT(SUM(INDEX($FK394:$ID394,1+SwaptionShift):INDEX($FK394:$ID394,SwaptionMonthsToGo+SwaptionShift))*SUM(INDEX($FK$325:$ID$396,FT$169,1+SwaptionShift):INDEX($FK$325:$ID$396,FT$169,SwaptionMonthsToGo+SwaptionShift))))))</f>
        <v/>
      </c>
      <c r="FU239" s="150" t="str">
        <f aca="false">IF(OR(FU$169&lt;SwaptionFirstMonthPosition+1,$FJ239&lt;SwaptionFirstMonthPosition+1,FU$169&gt;SwaptionFirstMonthPosition+SwaptionNumOfMonths+1,$FJ239&gt;SwaptionFirstMonthPosition+SwaptionNumOfMonths+1),"",IF($FJ239=FU$169,1,IF($FJ239&lt;FU$169,INDEX($FK$170:$ID$241,FU$169,$FJ239),SUMPRODUCT(INDEX($FK$325:$ID$396,FU$169,1+SwaptionShift):INDEX($FK$325:$ID$396,FU$169,SwaptionMonthsToGo+SwaptionShift),INDEX($FK$245:$ID$316,$FJ239-FU$169,73-FU$169+SwaptionShift):INDEX($FK$245:$ID$316,$FJ239-FU$169,72-FU$169+SwaptionMonthsToGo+SwaptionShift))/SQRT(SUM(INDEX($FK394:$ID394,1+SwaptionShift):INDEX($FK394:$ID394,SwaptionMonthsToGo+SwaptionShift))*SUM(INDEX($FK$325:$ID$396,FU$169,1+SwaptionShift):INDEX($FK$325:$ID$396,FU$169,SwaptionMonthsToGo+SwaptionShift))))))</f>
        <v/>
      </c>
      <c r="FV239" s="150" t="str">
        <f aca="false">IF(OR(FV$169&lt;SwaptionFirstMonthPosition+1,$FJ239&lt;SwaptionFirstMonthPosition+1,FV$169&gt;SwaptionFirstMonthPosition+SwaptionNumOfMonths+1,$FJ239&gt;SwaptionFirstMonthPosition+SwaptionNumOfMonths+1),"",IF($FJ239=FV$169,1,IF($FJ239&lt;FV$169,INDEX($FK$170:$ID$241,FV$169,$FJ239),SUMPRODUCT(INDEX($FK$325:$ID$396,FV$169,1+SwaptionShift):INDEX($FK$325:$ID$396,FV$169,SwaptionMonthsToGo+SwaptionShift),INDEX($FK$245:$ID$316,$FJ239-FV$169,73-FV$169+SwaptionShift):INDEX($FK$245:$ID$316,$FJ239-FV$169,72-FV$169+SwaptionMonthsToGo+SwaptionShift))/SQRT(SUM(INDEX($FK394:$ID394,1+SwaptionShift):INDEX($FK394:$ID394,SwaptionMonthsToGo+SwaptionShift))*SUM(INDEX($FK$325:$ID$396,FV$169,1+SwaptionShift):INDEX($FK$325:$ID$396,FV$169,SwaptionMonthsToGo+SwaptionShift))))))</f>
        <v/>
      </c>
      <c r="FW239" s="150" t="str">
        <f aca="false">IF(OR(FW$169&lt;SwaptionFirstMonthPosition+1,$FJ239&lt;SwaptionFirstMonthPosition+1,FW$169&gt;SwaptionFirstMonthPosition+SwaptionNumOfMonths+1,$FJ239&gt;SwaptionFirstMonthPosition+SwaptionNumOfMonths+1),"",IF($FJ239=FW$169,1,IF($FJ239&lt;FW$169,INDEX($FK$170:$ID$241,FW$169,$FJ239),SUMPRODUCT(INDEX($FK$325:$ID$396,FW$169,1+SwaptionShift):INDEX($FK$325:$ID$396,FW$169,SwaptionMonthsToGo+SwaptionShift),INDEX($FK$245:$ID$316,$FJ239-FW$169,73-FW$169+SwaptionShift):INDEX($FK$245:$ID$316,$FJ239-FW$169,72-FW$169+SwaptionMonthsToGo+SwaptionShift))/SQRT(SUM(INDEX($FK394:$ID394,1+SwaptionShift):INDEX($FK394:$ID394,SwaptionMonthsToGo+SwaptionShift))*SUM(INDEX($FK$325:$ID$396,FW$169,1+SwaptionShift):INDEX($FK$325:$ID$396,FW$169,SwaptionMonthsToGo+SwaptionShift))))))</f>
        <v/>
      </c>
      <c r="FX239" s="150" t="str">
        <f aca="false">IF(OR(FX$169&lt;SwaptionFirstMonthPosition+1,$FJ239&lt;SwaptionFirstMonthPosition+1,FX$169&gt;SwaptionFirstMonthPosition+SwaptionNumOfMonths+1,$FJ239&gt;SwaptionFirstMonthPosition+SwaptionNumOfMonths+1),"",IF($FJ239=FX$169,1,IF($FJ239&lt;FX$169,INDEX($FK$170:$ID$241,FX$169,$FJ239),SUMPRODUCT(INDEX($FK$325:$ID$396,FX$169,1+SwaptionShift):INDEX($FK$325:$ID$396,FX$169,SwaptionMonthsToGo+SwaptionShift),INDEX($FK$245:$ID$316,$FJ239-FX$169,73-FX$169+SwaptionShift):INDEX($FK$245:$ID$316,$FJ239-FX$169,72-FX$169+SwaptionMonthsToGo+SwaptionShift))/SQRT(SUM(INDEX($FK394:$ID394,1+SwaptionShift):INDEX($FK394:$ID394,SwaptionMonthsToGo+SwaptionShift))*SUM(INDEX($FK$325:$ID$396,FX$169,1+SwaptionShift):INDEX($FK$325:$ID$396,FX$169,SwaptionMonthsToGo+SwaptionShift))))))</f>
        <v/>
      </c>
      <c r="FY239" s="150" t="str">
        <f aca="false">IF(OR(FY$169&lt;SwaptionFirstMonthPosition+1,$FJ239&lt;SwaptionFirstMonthPosition+1,FY$169&gt;SwaptionFirstMonthPosition+SwaptionNumOfMonths+1,$FJ239&gt;SwaptionFirstMonthPosition+SwaptionNumOfMonths+1),"",IF($FJ239=FY$169,1,IF($FJ239&lt;FY$169,INDEX($FK$170:$ID$241,FY$169,$FJ239),SUMPRODUCT(INDEX($FK$325:$ID$396,FY$169,1+SwaptionShift):INDEX($FK$325:$ID$396,FY$169,SwaptionMonthsToGo+SwaptionShift),INDEX($FK$245:$ID$316,$FJ239-FY$169,73-FY$169+SwaptionShift):INDEX($FK$245:$ID$316,$FJ239-FY$169,72-FY$169+SwaptionMonthsToGo+SwaptionShift))/SQRT(SUM(INDEX($FK394:$ID394,1+SwaptionShift):INDEX($FK394:$ID394,SwaptionMonthsToGo+SwaptionShift))*SUM(INDEX($FK$325:$ID$396,FY$169,1+SwaptionShift):INDEX($FK$325:$ID$396,FY$169,SwaptionMonthsToGo+SwaptionShift))))))</f>
        <v/>
      </c>
      <c r="FZ239" s="150" t="str">
        <f aca="false">IF(OR(FZ$169&lt;SwaptionFirstMonthPosition+1,$FJ239&lt;SwaptionFirstMonthPosition+1,FZ$169&gt;SwaptionFirstMonthPosition+SwaptionNumOfMonths+1,$FJ239&gt;SwaptionFirstMonthPosition+SwaptionNumOfMonths+1),"",IF($FJ239=FZ$169,1,IF($FJ239&lt;FZ$169,INDEX($FK$170:$ID$241,FZ$169,$FJ239),SUMPRODUCT(INDEX($FK$325:$ID$396,FZ$169,1+SwaptionShift):INDEX($FK$325:$ID$396,FZ$169,SwaptionMonthsToGo+SwaptionShift),INDEX($FK$245:$ID$316,$FJ239-FZ$169,73-FZ$169+SwaptionShift):INDEX($FK$245:$ID$316,$FJ239-FZ$169,72-FZ$169+SwaptionMonthsToGo+SwaptionShift))/SQRT(SUM(INDEX($FK394:$ID394,1+SwaptionShift):INDEX($FK394:$ID394,SwaptionMonthsToGo+SwaptionShift))*SUM(INDEX($FK$325:$ID$396,FZ$169,1+SwaptionShift):INDEX($FK$325:$ID$396,FZ$169,SwaptionMonthsToGo+SwaptionShift))))))</f>
        <v/>
      </c>
      <c r="GA239" s="150" t="str">
        <f aca="false">IF(OR(GA$169&lt;SwaptionFirstMonthPosition+1,$FJ239&lt;SwaptionFirstMonthPosition+1,GA$169&gt;SwaptionFirstMonthPosition+SwaptionNumOfMonths+1,$FJ239&gt;SwaptionFirstMonthPosition+SwaptionNumOfMonths+1),"",IF($FJ239=GA$169,1,IF($FJ239&lt;GA$169,INDEX($FK$170:$ID$241,GA$169,$FJ239),SUMPRODUCT(INDEX($FK$325:$ID$396,GA$169,1+SwaptionShift):INDEX($FK$325:$ID$396,GA$169,SwaptionMonthsToGo+SwaptionShift),INDEX($FK$245:$ID$316,$FJ239-GA$169,73-GA$169+SwaptionShift):INDEX($FK$245:$ID$316,$FJ239-GA$169,72-GA$169+SwaptionMonthsToGo+SwaptionShift))/SQRT(SUM(INDEX($FK394:$ID394,1+SwaptionShift):INDEX($FK394:$ID394,SwaptionMonthsToGo+SwaptionShift))*SUM(INDEX($FK$325:$ID$396,GA$169,1+SwaptionShift):INDEX($FK$325:$ID$396,GA$169,SwaptionMonthsToGo+SwaptionShift))))))</f>
        <v/>
      </c>
      <c r="GB239" s="150" t="str">
        <f aca="false">IF(OR(GB$169&lt;SwaptionFirstMonthPosition+1,$FJ239&lt;SwaptionFirstMonthPosition+1,GB$169&gt;SwaptionFirstMonthPosition+SwaptionNumOfMonths+1,$FJ239&gt;SwaptionFirstMonthPosition+SwaptionNumOfMonths+1),"",IF($FJ239=GB$169,1,IF($FJ239&lt;GB$169,INDEX($FK$170:$ID$241,GB$169,$FJ239),SUMPRODUCT(INDEX($FK$325:$ID$396,GB$169,1+SwaptionShift):INDEX($FK$325:$ID$396,GB$169,SwaptionMonthsToGo+SwaptionShift),INDEX($FK$245:$ID$316,$FJ239-GB$169,73-GB$169+SwaptionShift):INDEX($FK$245:$ID$316,$FJ239-GB$169,72-GB$169+SwaptionMonthsToGo+SwaptionShift))/SQRT(SUM(INDEX($FK394:$ID394,1+SwaptionShift):INDEX($FK394:$ID394,SwaptionMonthsToGo+SwaptionShift))*SUM(INDEX($FK$325:$ID$396,GB$169,1+SwaptionShift):INDEX($FK$325:$ID$396,GB$169,SwaptionMonthsToGo+SwaptionShift))))))</f>
        <v/>
      </c>
      <c r="GC239" s="150" t="str">
        <f aca="false">IF(OR(GC$169&lt;SwaptionFirstMonthPosition+1,$FJ239&lt;SwaptionFirstMonthPosition+1,GC$169&gt;SwaptionFirstMonthPosition+SwaptionNumOfMonths+1,$FJ239&gt;SwaptionFirstMonthPosition+SwaptionNumOfMonths+1),"",IF($FJ239=GC$169,1,IF($FJ239&lt;GC$169,INDEX($FK$170:$ID$241,GC$169,$FJ239),SUMPRODUCT(INDEX($FK$325:$ID$396,GC$169,1+SwaptionShift):INDEX($FK$325:$ID$396,GC$169,SwaptionMonthsToGo+SwaptionShift),INDEX($FK$245:$ID$316,$FJ239-GC$169,73-GC$169+SwaptionShift):INDEX($FK$245:$ID$316,$FJ239-GC$169,72-GC$169+SwaptionMonthsToGo+SwaptionShift))/SQRT(SUM(INDEX($FK394:$ID394,1+SwaptionShift):INDEX($FK394:$ID394,SwaptionMonthsToGo+SwaptionShift))*SUM(INDEX($FK$325:$ID$396,GC$169,1+SwaptionShift):INDEX($FK$325:$ID$396,GC$169,SwaptionMonthsToGo+SwaptionShift))))))</f>
        <v/>
      </c>
      <c r="GD239" s="150" t="str">
        <f aca="false">IF(OR(GD$169&lt;SwaptionFirstMonthPosition+1,$FJ239&lt;SwaptionFirstMonthPosition+1,GD$169&gt;SwaptionFirstMonthPosition+SwaptionNumOfMonths+1,$FJ239&gt;SwaptionFirstMonthPosition+SwaptionNumOfMonths+1),"",IF($FJ239=GD$169,1,IF($FJ239&lt;GD$169,INDEX($FK$170:$ID$241,GD$169,$FJ239),SUMPRODUCT(INDEX($FK$325:$ID$396,GD$169,1+SwaptionShift):INDEX($FK$325:$ID$396,GD$169,SwaptionMonthsToGo+SwaptionShift),INDEX($FK$245:$ID$316,$FJ239-GD$169,73-GD$169+SwaptionShift):INDEX($FK$245:$ID$316,$FJ239-GD$169,72-GD$169+SwaptionMonthsToGo+SwaptionShift))/SQRT(SUM(INDEX($FK394:$ID394,1+SwaptionShift):INDEX($FK394:$ID394,SwaptionMonthsToGo+SwaptionShift))*SUM(INDEX($FK$325:$ID$396,GD$169,1+SwaptionShift):INDEX($FK$325:$ID$396,GD$169,SwaptionMonthsToGo+SwaptionShift))))))</f>
        <v/>
      </c>
      <c r="GE239" s="150" t="str">
        <f aca="false">IF(OR(GE$169&lt;SwaptionFirstMonthPosition+1,$FJ239&lt;SwaptionFirstMonthPosition+1,GE$169&gt;SwaptionFirstMonthPosition+SwaptionNumOfMonths+1,$FJ239&gt;SwaptionFirstMonthPosition+SwaptionNumOfMonths+1),"",IF($FJ239=GE$169,1,IF($FJ239&lt;GE$169,INDEX($FK$170:$ID$241,GE$169,$FJ239),SUMPRODUCT(INDEX($FK$325:$ID$396,GE$169,1+SwaptionShift):INDEX($FK$325:$ID$396,GE$169,SwaptionMonthsToGo+SwaptionShift),INDEX($FK$245:$ID$316,$FJ239-GE$169,73-GE$169+SwaptionShift):INDEX($FK$245:$ID$316,$FJ239-GE$169,72-GE$169+SwaptionMonthsToGo+SwaptionShift))/SQRT(SUM(INDEX($FK394:$ID394,1+SwaptionShift):INDEX($FK394:$ID394,SwaptionMonthsToGo+SwaptionShift))*SUM(INDEX($FK$325:$ID$396,GE$169,1+SwaptionShift):INDEX($FK$325:$ID$396,GE$169,SwaptionMonthsToGo+SwaptionShift))))))</f>
        <v/>
      </c>
      <c r="GF239" s="150" t="str">
        <f aca="false">IF(OR(GF$169&lt;SwaptionFirstMonthPosition+1,$FJ239&lt;SwaptionFirstMonthPosition+1,GF$169&gt;SwaptionFirstMonthPosition+SwaptionNumOfMonths+1,$FJ239&gt;SwaptionFirstMonthPosition+SwaptionNumOfMonths+1),"",IF($FJ239=GF$169,1,IF($FJ239&lt;GF$169,INDEX($FK$170:$ID$241,GF$169,$FJ239),SUMPRODUCT(INDEX($FK$325:$ID$396,GF$169,1+SwaptionShift):INDEX($FK$325:$ID$396,GF$169,SwaptionMonthsToGo+SwaptionShift),INDEX($FK$245:$ID$316,$FJ239-GF$169,73-GF$169+SwaptionShift):INDEX($FK$245:$ID$316,$FJ239-GF$169,72-GF$169+SwaptionMonthsToGo+SwaptionShift))/SQRT(SUM(INDEX($FK394:$ID394,1+SwaptionShift):INDEX($FK394:$ID394,SwaptionMonthsToGo+SwaptionShift))*SUM(INDEX($FK$325:$ID$396,GF$169,1+SwaptionShift):INDEX($FK$325:$ID$396,GF$169,SwaptionMonthsToGo+SwaptionShift))))))</f>
        <v/>
      </c>
      <c r="GG239" s="150" t="str">
        <f aca="false">IF(OR(GG$169&lt;SwaptionFirstMonthPosition+1,$FJ239&lt;SwaptionFirstMonthPosition+1,GG$169&gt;SwaptionFirstMonthPosition+SwaptionNumOfMonths+1,$FJ239&gt;SwaptionFirstMonthPosition+SwaptionNumOfMonths+1),"",IF($FJ239=GG$169,1,IF($FJ239&lt;GG$169,INDEX($FK$170:$ID$241,GG$169,$FJ239),SUMPRODUCT(INDEX($FK$325:$ID$396,GG$169,1+SwaptionShift):INDEX($FK$325:$ID$396,GG$169,SwaptionMonthsToGo+SwaptionShift),INDEX($FK$245:$ID$316,$FJ239-GG$169,73-GG$169+SwaptionShift):INDEX($FK$245:$ID$316,$FJ239-GG$169,72-GG$169+SwaptionMonthsToGo+SwaptionShift))/SQRT(SUM(INDEX($FK394:$ID394,1+SwaptionShift):INDEX($FK394:$ID394,SwaptionMonthsToGo+SwaptionShift))*SUM(INDEX($FK$325:$ID$396,GG$169,1+SwaptionShift):INDEX($FK$325:$ID$396,GG$169,SwaptionMonthsToGo+SwaptionShift))))))</f>
        <v/>
      </c>
      <c r="GH239" s="150" t="str">
        <f aca="false">IF(OR(GH$169&lt;SwaptionFirstMonthPosition+1,$FJ239&lt;SwaptionFirstMonthPosition+1,GH$169&gt;SwaptionFirstMonthPosition+SwaptionNumOfMonths+1,$FJ239&gt;SwaptionFirstMonthPosition+SwaptionNumOfMonths+1),"",IF($FJ239=GH$169,1,IF($FJ239&lt;GH$169,INDEX($FK$170:$ID$241,GH$169,$FJ239),SUMPRODUCT(INDEX($FK$325:$ID$396,GH$169,1+SwaptionShift):INDEX($FK$325:$ID$396,GH$169,SwaptionMonthsToGo+SwaptionShift),INDEX($FK$245:$ID$316,$FJ239-GH$169,73-GH$169+SwaptionShift):INDEX($FK$245:$ID$316,$FJ239-GH$169,72-GH$169+SwaptionMonthsToGo+SwaptionShift))/SQRT(SUM(INDEX($FK394:$ID394,1+SwaptionShift):INDEX($FK394:$ID394,SwaptionMonthsToGo+SwaptionShift))*SUM(INDEX($FK$325:$ID$396,GH$169,1+SwaptionShift):INDEX($FK$325:$ID$396,GH$169,SwaptionMonthsToGo+SwaptionShift))))))</f>
        <v/>
      </c>
      <c r="GI239" s="150" t="str">
        <f aca="false">IF(OR(GI$169&lt;SwaptionFirstMonthPosition+1,$FJ239&lt;SwaptionFirstMonthPosition+1,GI$169&gt;SwaptionFirstMonthPosition+SwaptionNumOfMonths+1,$FJ239&gt;SwaptionFirstMonthPosition+SwaptionNumOfMonths+1),"",IF($FJ239=GI$169,1,IF($FJ239&lt;GI$169,INDEX($FK$170:$ID$241,GI$169,$FJ239),SUMPRODUCT(INDEX($FK$325:$ID$396,GI$169,1+SwaptionShift):INDEX($FK$325:$ID$396,GI$169,SwaptionMonthsToGo+SwaptionShift),INDEX($FK$245:$ID$316,$FJ239-GI$169,73-GI$169+SwaptionShift):INDEX($FK$245:$ID$316,$FJ239-GI$169,72-GI$169+SwaptionMonthsToGo+SwaptionShift))/SQRT(SUM(INDEX($FK394:$ID394,1+SwaptionShift):INDEX($FK394:$ID394,SwaptionMonthsToGo+SwaptionShift))*SUM(INDEX($FK$325:$ID$396,GI$169,1+SwaptionShift):INDEX($FK$325:$ID$396,GI$169,SwaptionMonthsToGo+SwaptionShift))))))</f>
        <v/>
      </c>
      <c r="GJ239" s="150" t="str">
        <f aca="false">IF(OR(GJ$169&lt;SwaptionFirstMonthPosition+1,$FJ239&lt;SwaptionFirstMonthPosition+1,GJ$169&gt;SwaptionFirstMonthPosition+SwaptionNumOfMonths+1,$FJ239&gt;SwaptionFirstMonthPosition+SwaptionNumOfMonths+1),"",IF($FJ239=GJ$169,1,IF($FJ239&lt;GJ$169,INDEX($FK$170:$ID$241,GJ$169,$FJ239),SUMPRODUCT(INDEX($FK$325:$ID$396,GJ$169,1+SwaptionShift):INDEX($FK$325:$ID$396,GJ$169,SwaptionMonthsToGo+SwaptionShift),INDEX($FK$245:$ID$316,$FJ239-GJ$169,73-GJ$169+SwaptionShift):INDEX($FK$245:$ID$316,$FJ239-GJ$169,72-GJ$169+SwaptionMonthsToGo+SwaptionShift))/SQRT(SUM(INDEX($FK394:$ID394,1+SwaptionShift):INDEX($FK394:$ID394,SwaptionMonthsToGo+SwaptionShift))*SUM(INDEX($FK$325:$ID$396,GJ$169,1+SwaptionShift):INDEX($FK$325:$ID$396,GJ$169,SwaptionMonthsToGo+SwaptionShift))))))</f>
        <v/>
      </c>
      <c r="GK239" s="150" t="str">
        <f aca="false">IF(OR(GK$169&lt;SwaptionFirstMonthPosition+1,$FJ239&lt;SwaptionFirstMonthPosition+1,GK$169&gt;SwaptionFirstMonthPosition+SwaptionNumOfMonths+1,$FJ239&gt;SwaptionFirstMonthPosition+SwaptionNumOfMonths+1),"",IF($FJ239=GK$169,1,IF($FJ239&lt;GK$169,INDEX($FK$170:$ID$241,GK$169,$FJ239),SUMPRODUCT(INDEX($FK$325:$ID$396,GK$169,1+SwaptionShift):INDEX($FK$325:$ID$396,GK$169,SwaptionMonthsToGo+SwaptionShift),INDEX($FK$245:$ID$316,$FJ239-GK$169,73-GK$169+SwaptionShift):INDEX($FK$245:$ID$316,$FJ239-GK$169,72-GK$169+SwaptionMonthsToGo+SwaptionShift))/SQRT(SUM(INDEX($FK394:$ID394,1+SwaptionShift):INDEX($FK394:$ID394,SwaptionMonthsToGo+SwaptionShift))*SUM(INDEX($FK$325:$ID$396,GK$169,1+SwaptionShift):INDEX($FK$325:$ID$396,GK$169,SwaptionMonthsToGo+SwaptionShift))))))</f>
        <v/>
      </c>
      <c r="GL239" s="150" t="str">
        <f aca="false">IF(OR(GL$169&lt;SwaptionFirstMonthPosition+1,$FJ239&lt;SwaptionFirstMonthPosition+1,GL$169&gt;SwaptionFirstMonthPosition+SwaptionNumOfMonths+1,$FJ239&gt;SwaptionFirstMonthPosition+SwaptionNumOfMonths+1),"",IF($FJ239=GL$169,1,IF($FJ239&lt;GL$169,INDEX($FK$170:$ID$241,GL$169,$FJ239),SUMPRODUCT(INDEX($FK$325:$ID$396,GL$169,1+SwaptionShift):INDEX($FK$325:$ID$396,GL$169,SwaptionMonthsToGo+SwaptionShift),INDEX($FK$245:$ID$316,$FJ239-GL$169,73-GL$169+SwaptionShift):INDEX($FK$245:$ID$316,$FJ239-GL$169,72-GL$169+SwaptionMonthsToGo+SwaptionShift))/SQRT(SUM(INDEX($FK394:$ID394,1+SwaptionShift):INDEX($FK394:$ID394,SwaptionMonthsToGo+SwaptionShift))*SUM(INDEX($FK$325:$ID$396,GL$169,1+SwaptionShift):INDEX($FK$325:$ID$396,GL$169,SwaptionMonthsToGo+SwaptionShift))))))</f>
        <v/>
      </c>
      <c r="GM239" s="150" t="str">
        <f aca="false">IF(OR(GM$169&lt;SwaptionFirstMonthPosition+1,$FJ239&lt;SwaptionFirstMonthPosition+1,GM$169&gt;SwaptionFirstMonthPosition+SwaptionNumOfMonths+1,$FJ239&gt;SwaptionFirstMonthPosition+SwaptionNumOfMonths+1),"",IF($FJ239=GM$169,1,IF($FJ239&lt;GM$169,INDEX($FK$170:$ID$241,GM$169,$FJ239),SUMPRODUCT(INDEX($FK$325:$ID$396,GM$169,1+SwaptionShift):INDEX($FK$325:$ID$396,GM$169,SwaptionMonthsToGo+SwaptionShift),INDEX($FK$245:$ID$316,$FJ239-GM$169,73-GM$169+SwaptionShift):INDEX($FK$245:$ID$316,$FJ239-GM$169,72-GM$169+SwaptionMonthsToGo+SwaptionShift))/SQRT(SUM(INDEX($FK394:$ID394,1+SwaptionShift):INDEX($FK394:$ID394,SwaptionMonthsToGo+SwaptionShift))*SUM(INDEX($FK$325:$ID$396,GM$169,1+SwaptionShift):INDEX($FK$325:$ID$396,GM$169,SwaptionMonthsToGo+SwaptionShift))))))</f>
        <v/>
      </c>
      <c r="GN239" s="150" t="str">
        <f aca="false">IF(OR(GN$169&lt;SwaptionFirstMonthPosition+1,$FJ239&lt;SwaptionFirstMonthPosition+1,GN$169&gt;SwaptionFirstMonthPosition+SwaptionNumOfMonths+1,$FJ239&gt;SwaptionFirstMonthPosition+SwaptionNumOfMonths+1),"",IF($FJ239=GN$169,1,IF($FJ239&lt;GN$169,INDEX($FK$170:$ID$241,GN$169,$FJ239),SUMPRODUCT(INDEX($FK$325:$ID$396,GN$169,1+SwaptionShift):INDEX($FK$325:$ID$396,GN$169,SwaptionMonthsToGo+SwaptionShift),INDEX($FK$245:$ID$316,$FJ239-GN$169,73-GN$169+SwaptionShift):INDEX($FK$245:$ID$316,$FJ239-GN$169,72-GN$169+SwaptionMonthsToGo+SwaptionShift))/SQRT(SUM(INDEX($FK394:$ID394,1+SwaptionShift):INDEX($FK394:$ID394,SwaptionMonthsToGo+SwaptionShift))*SUM(INDEX($FK$325:$ID$396,GN$169,1+SwaptionShift):INDEX($FK$325:$ID$396,GN$169,SwaptionMonthsToGo+SwaptionShift))))))</f>
        <v/>
      </c>
      <c r="GO239" s="150" t="str">
        <f aca="false">IF(OR(GO$169&lt;SwaptionFirstMonthPosition+1,$FJ239&lt;SwaptionFirstMonthPosition+1,GO$169&gt;SwaptionFirstMonthPosition+SwaptionNumOfMonths+1,$FJ239&gt;SwaptionFirstMonthPosition+SwaptionNumOfMonths+1),"",IF($FJ239=GO$169,1,IF($FJ239&lt;GO$169,INDEX($FK$170:$ID$241,GO$169,$FJ239),SUMPRODUCT(INDEX($FK$325:$ID$396,GO$169,1+SwaptionShift):INDEX($FK$325:$ID$396,GO$169,SwaptionMonthsToGo+SwaptionShift),INDEX($FK$245:$ID$316,$FJ239-GO$169,73-GO$169+SwaptionShift):INDEX($FK$245:$ID$316,$FJ239-GO$169,72-GO$169+SwaptionMonthsToGo+SwaptionShift))/SQRT(SUM(INDEX($FK394:$ID394,1+SwaptionShift):INDEX($FK394:$ID394,SwaptionMonthsToGo+SwaptionShift))*SUM(INDEX($FK$325:$ID$396,GO$169,1+SwaptionShift):INDEX($FK$325:$ID$396,GO$169,SwaptionMonthsToGo+SwaptionShift))))))</f>
        <v/>
      </c>
      <c r="GP239" s="150" t="str">
        <f aca="false">IF(OR(GP$169&lt;SwaptionFirstMonthPosition+1,$FJ239&lt;SwaptionFirstMonthPosition+1,GP$169&gt;SwaptionFirstMonthPosition+SwaptionNumOfMonths+1,$FJ239&gt;SwaptionFirstMonthPosition+SwaptionNumOfMonths+1),"",IF($FJ239=GP$169,1,IF($FJ239&lt;GP$169,INDEX($FK$170:$ID$241,GP$169,$FJ239),SUMPRODUCT(INDEX($FK$325:$ID$396,GP$169,1+SwaptionShift):INDEX($FK$325:$ID$396,GP$169,SwaptionMonthsToGo+SwaptionShift),INDEX($FK$245:$ID$316,$FJ239-GP$169,73-GP$169+SwaptionShift):INDEX($FK$245:$ID$316,$FJ239-GP$169,72-GP$169+SwaptionMonthsToGo+SwaptionShift))/SQRT(SUM(INDEX($FK394:$ID394,1+SwaptionShift):INDEX($FK394:$ID394,SwaptionMonthsToGo+SwaptionShift))*SUM(INDEX($FK$325:$ID$396,GP$169,1+SwaptionShift):INDEX($FK$325:$ID$396,GP$169,SwaptionMonthsToGo+SwaptionShift))))))</f>
        <v/>
      </c>
      <c r="GQ239" s="150" t="str">
        <f aca="false">IF(OR(GQ$169&lt;SwaptionFirstMonthPosition+1,$FJ239&lt;SwaptionFirstMonthPosition+1,GQ$169&gt;SwaptionFirstMonthPosition+SwaptionNumOfMonths+1,$FJ239&gt;SwaptionFirstMonthPosition+SwaptionNumOfMonths+1),"",IF($FJ239=GQ$169,1,IF($FJ239&lt;GQ$169,INDEX($FK$170:$ID$241,GQ$169,$FJ239),SUMPRODUCT(INDEX($FK$325:$ID$396,GQ$169,1+SwaptionShift):INDEX($FK$325:$ID$396,GQ$169,SwaptionMonthsToGo+SwaptionShift),INDEX($FK$245:$ID$316,$FJ239-GQ$169,73-GQ$169+SwaptionShift):INDEX($FK$245:$ID$316,$FJ239-GQ$169,72-GQ$169+SwaptionMonthsToGo+SwaptionShift))/SQRT(SUM(INDEX($FK394:$ID394,1+SwaptionShift):INDEX($FK394:$ID394,SwaptionMonthsToGo+SwaptionShift))*SUM(INDEX($FK$325:$ID$396,GQ$169,1+SwaptionShift):INDEX($FK$325:$ID$396,GQ$169,SwaptionMonthsToGo+SwaptionShift))))))</f>
        <v/>
      </c>
      <c r="GR239" s="150" t="str">
        <f aca="false">IF(OR(GR$169&lt;SwaptionFirstMonthPosition+1,$FJ239&lt;SwaptionFirstMonthPosition+1,GR$169&gt;SwaptionFirstMonthPosition+SwaptionNumOfMonths+1,$FJ239&gt;SwaptionFirstMonthPosition+SwaptionNumOfMonths+1),"",IF($FJ239=GR$169,1,IF($FJ239&lt;GR$169,INDEX($FK$170:$ID$241,GR$169,$FJ239),SUMPRODUCT(INDEX($FK$325:$ID$396,GR$169,1+SwaptionShift):INDEX($FK$325:$ID$396,GR$169,SwaptionMonthsToGo+SwaptionShift),INDEX($FK$245:$ID$316,$FJ239-GR$169,73-GR$169+SwaptionShift):INDEX($FK$245:$ID$316,$FJ239-GR$169,72-GR$169+SwaptionMonthsToGo+SwaptionShift))/SQRT(SUM(INDEX($FK394:$ID394,1+SwaptionShift):INDEX($FK394:$ID394,SwaptionMonthsToGo+SwaptionShift))*SUM(INDEX($FK$325:$ID$396,GR$169,1+SwaptionShift):INDEX($FK$325:$ID$396,GR$169,SwaptionMonthsToGo+SwaptionShift))))))</f>
        <v/>
      </c>
      <c r="GS239" s="150" t="str">
        <f aca="false">IF(OR(GS$169&lt;SwaptionFirstMonthPosition+1,$FJ239&lt;SwaptionFirstMonthPosition+1,GS$169&gt;SwaptionFirstMonthPosition+SwaptionNumOfMonths+1,$FJ239&gt;SwaptionFirstMonthPosition+SwaptionNumOfMonths+1),"",IF($FJ239=GS$169,1,IF($FJ239&lt;GS$169,INDEX($FK$170:$ID$241,GS$169,$FJ239),SUMPRODUCT(INDEX($FK$325:$ID$396,GS$169,1+SwaptionShift):INDEX($FK$325:$ID$396,GS$169,SwaptionMonthsToGo+SwaptionShift),INDEX($FK$245:$ID$316,$FJ239-GS$169,73-GS$169+SwaptionShift):INDEX($FK$245:$ID$316,$FJ239-GS$169,72-GS$169+SwaptionMonthsToGo+SwaptionShift))/SQRT(SUM(INDEX($FK394:$ID394,1+SwaptionShift):INDEX($FK394:$ID394,SwaptionMonthsToGo+SwaptionShift))*SUM(INDEX($FK$325:$ID$396,GS$169,1+SwaptionShift):INDEX($FK$325:$ID$396,GS$169,SwaptionMonthsToGo+SwaptionShift))))))</f>
        <v/>
      </c>
      <c r="GT239" s="150" t="str">
        <f aca="false">IF(OR(GT$169&lt;SwaptionFirstMonthPosition+1,$FJ239&lt;SwaptionFirstMonthPosition+1,GT$169&gt;SwaptionFirstMonthPosition+SwaptionNumOfMonths+1,$FJ239&gt;SwaptionFirstMonthPosition+SwaptionNumOfMonths+1),"",IF($FJ239=GT$169,1,IF($FJ239&lt;GT$169,INDEX($FK$170:$ID$241,GT$169,$FJ239),SUMPRODUCT(INDEX($FK$325:$ID$396,GT$169,1+SwaptionShift):INDEX($FK$325:$ID$396,GT$169,SwaptionMonthsToGo+SwaptionShift),INDEX($FK$245:$ID$316,$FJ239-GT$169,73-GT$169+SwaptionShift):INDEX($FK$245:$ID$316,$FJ239-GT$169,72-GT$169+SwaptionMonthsToGo+SwaptionShift))/SQRT(SUM(INDEX($FK394:$ID394,1+SwaptionShift):INDEX($FK394:$ID394,SwaptionMonthsToGo+SwaptionShift))*SUM(INDEX($FK$325:$ID$396,GT$169,1+SwaptionShift):INDEX($FK$325:$ID$396,GT$169,SwaptionMonthsToGo+SwaptionShift))))))</f>
        <v/>
      </c>
      <c r="GU239" s="150" t="str">
        <f aca="false">IF(OR(GU$169&lt;SwaptionFirstMonthPosition+1,$FJ239&lt;SwaptionFirstMonthPosition+1,GU$169&gt;SwaptionFirstMonthPosition+SwaptionNumOfMonths+1,$FJ239&gt;SwaptionFirstMonthPosition+SwaptionNumOfMonths+1),"",IF($FJ239=GU$169,1,IF($FJ239&lt;GU$169,INDEX($FK$170:$ID$241,GU$169,$FJ239),SUMPRODUCT(INDEX($FK$325:$ID$396,GU$169,1+SwaptionShift):INDEX($FK$325:$ID$396,GU$169,SwaptionMonthsToGo+SwaptionShift),INDEX($FK$245:$ID$316,$FJ239-GU$169,73-GU$169+SwaptionShift):INDEX($FK$245:$ID$316,$FJ239-GU$169,72-GU$169+SwaptionMonthsToGo+SwaptionShift))/SQRT(SUM(INDEX($FK394:$ID394,1+SwaptionShift):INDEX($FK394:$ID394,SwaptionMonthsToGo+SwaptionShift))*SUM(INDEX($FK$325:$ID$396,GU$169,1+SwaptionShift):INDEX($FK$325:$ID$396,GU$169,SwaptionMonthsToGo+SwaptionShift))))))</f>
        <v/>
      </c>
      <c r="GV239" s="150" t="str">
        <f aca="false">IF(OR(GV$169&lt;SwaptionFirstMonthPosition+1,$FJ239&lt;SwaptionFirstMonthPosition+1,GV$169&gt;SwaptionFirstMonthPosition+SwaptionNumOfMonths+1,$FJ239&gt;SwaptionFirstMonthPosition+SwaptionNumOfMonths+1),"",IF($FJ239=GV$169,1,IF($FJ239&lt;GV$169,INDEX($FK$170:$ID$241,GV$169,$FJ239),SUMPRODUCT(INDEX($FK$325:$ID$396,GV$169,1+SwaptionShift):INDEX($FK$325:$ID$396,GV$169,SwaptionMonthsToGo+SwaptionShift),INDEX($FK$245:$ID$316,$FJ239-GV$169,73-GV$169+SwaptionShift):INDEX($FK$245:$ID$316,$FJ239-GV$169,72-GV$169+SwaptionMonthsToGo+SwaptionShift))/SQRT(SUM(INDEX($FK394:$ID394,1+SwaptionShift):INDEX($FK394:$ID394,SwaptionMonthsToGo+SwaptionShift))*SUM(INDEX($FK$325:$ID$396,GV$169,1+SwaptionShift):INDEX($FK$325:$ID$396,GV$169,SwaptionMonthsToGo+SwaptionShift))))))</f>
        <v/>
      </c>
      <c r="GW239" s="150" t="str">
        <f aca="false">IF(OR(GW$169&lt;SwaptionFirstMonthPosition+1,$FJ239&lt;SwaptionFirstMonthPosition+1,GW$169&gt;SwaptionFirstMonthPosition+SwaptionNumOfMonths+1,$FJ239&gt;SwaptionFirstMonthPosition+SwaptionNumOfMonths+1),"",IF($FJ239=GW$169,1,IF($FJ239&lt;GW$169,INDEX($FK$170:$ID$241,GW$169,$FJ239),SUMPRODUCT(INDEX($FK$325:$ID$396,GW$169,1+SwaptionShift):INDEX($FK$325:$ID$396,GW$169,SwaptionMonthsToGo+SwaptionShift),INDEX($FK$245:$ID$316,$FJ239-GW$169,73-GW$169+SwaptionShift):INDEX($FK$245:$ID$316,$FJ239-GW$169,72-GW$169+SwaptionMonthsToGo+SwaptionShift))/SQRT(SUM(INDEX($FK394:$ID394,1+SwaptionShift):INDEX($FK394:$ID394,SwaptionMonthsToGo+SwaptionShift))*SUM(INDEX($FK$325:$ID$396,GW$169,1+SwaptionShift):INDEX($FK$325:$ID$396,GW$169,SwaptionMonthsToGo+SwaptionShift))))))</f>
        <v/>
      </c>
      <c r="GX239" s="150" t="str">
        <f aca="false">IF(OR(GX$169&lt;SwaptionFirstMonthPosition+1,$FJ239&lt;SwaptionFirstMonthPosition+1,GX$169&gt;SwaptionFirstMonthPosition+SwaptionNumOfMonths+1,$FJ239&gt;SwaptionFirstMonthPosition+SwaptionNumOfMonths+1),"",IF($FJ239=GX$169,1,IF($FJ239&lt;GX$169,INDEX($FK$170:$ID$241,GX$169,$FJ239),SUMPRODUCT(INDEX($FK$325:$ID$396,GX$169,1+SwaptionShift):INDEX($FK$325:$ID$396,GX$169,SwaptionMonthsToGo+SwaptionShift),INDEX($FK$245:$ID$316,$FJ239-GX$169,73-GX$169+SwaptionShift):INDEX($FK$245:$ID$316,$FJ239-GX$169,72-GX$169+SwaptionMonthsToGo+SwaptionShift))/SQRT(SUM(INDEX($FK394:$ID394,1+SwaptionShift):INDEX($FK394:$ID394,SwaptionMonthsToGo+SwaptionShift))*SUM(INDEX($FK$325:$ID$396,GX$169,1+SwaptionShift):INDEX($FK$325:$ID$396,GX$169,SwaptionMonthsToGo+SwaptionShift))))))</f>
        <v/>
      </c>
      <c r="GY239" s="150" t="str">
        <f aca="false">IF(OR(GY$169&lt;SwaptionFirstMonthPosition+1,$FJ239&lt;SwaptionFirstMonthPosition+1,GY$169&gt;SwaptionFirstMonthPosition+SwaptionNumOfMonths+1,$FJ239&gt;SwaptionFirstMonthPosition+SwaptionNumOfMonths+1),"",IF($FJ239=GY$169,1,IF($FJ239&lt;GY$169,INDEX($FK$170:$ID$241,GY$169,$FJ239),SUMPRODUCT(INDEX($FK$325:$ID$396,GY$169,1+SwaptionShift):INDEX($FK$325:$ID$396,GY$169,SwaptionMonthsToGo+SwaptionShift),INDEX($FK$245:$ID$316,$FJ239-GY$169,73-GY$169+SwaptionShift):INDEX($FK$245:$ID$316,$FJ239-GY$169,72-GY$169+SwaptionMonthsToGo+SwaptionShift))/SQRT(SUM(INDEX($FK394:$ID394,1+SwaptionShift):INDEX($FK394:$ID394,SwaptionMonthsToGo+SwaptionShift))*SUM(INDEX($FK$325:$ID$396,GY$169,1+SwaptionShift):INDEX($FK$325:$ID$396,GY$169,SwaptionMonthsToGo+SwaptionShift))))))</f>
        <v/>
      </c>
      <c r="GZ239" s="150" t="str">
        <f aca="false">IF(OR(GZ$169&lt;SwaptionFirstMonthPosition+1,$FJ239&lt;SwaptionFirstMonthPosition+1,GZ$169&gt;SwaptionFirstMonthPosition+SwaptionNumOfMonths+1,$FJ239&gt;SwaptionFirstMonthPosition+SwaptionNumOfMonths+1),"",IF($FJ239=GZ$169,1,IF($FJ239&lt;GZ$169,INDEX($FK$170:$ID$241,GZ$169,$FJ239),SUMPRODUCT(INDEX($FK$325:$ID$396,GZ$169,1+SwaptionShift):INDEX($FK$325:$ID$396,GZ$169,SwaptionMonthsToGo+SwaptionShift),INDEX($FK$245:$ID$316,$FJ239-GZ$169,73-GZ$169+SwaptionShift):INDEX($FK$245:$ID$316,$FJ239-GZ$169,72-GZ$169+SwaptionMonthsToGo+SwaptionShift))/SQRT(SUM(INDEX($FK394:$ID394,1+SwaptionShift):INDEX($FK394:$ID394,SwaptionMonthsToGo+SwaptionShift))*SUM(INDEX($FK$325:$ID$396,GZ$169,1+SwaptionShift):INDEX($FK$325:$ID$396,GZ$169,SwaptionMonthsToGo+SwaptionShift))))))</f>
        <v/>
      </c>
      <c r="HA239" s="150" t="str">
        <f aca="false">IF(OR(HA$169&lt;SwaptionFirstMonthPosition+1,$FJ239&lt;SwaptionFirstMonthPosition+1,HA$169&gt;SwaptionFirstMonthPosition+SwaptionNumOfMonths+1,$FJ239&gt;SwaptionFirstMonthPosition+SwaptionNumOfMonths+1),"",IF($FJ239=HA$169,1,IF($FJ239&lt;HA$169,INDEX($FK$170:$ID$241,HA$169,$FJ239),SUMPRODUCT(INDEX($FK$325:$ID$396,HA$169,1+SwaptionShift):INDEX($FK$325:$ID$396,HA$169,SwaptionMonthsToGo+SwaptionShift),INDEX($FK$245:$ID$316,$FJ239-HA$169,73-HA$169+SwaptionShift):INDEX($FK$245:$ID$316,$FJ239-HA$169,72-HA$169+SwaptionMonthsToGo+SwaptionShift))/SQRT(SUM(INDEX($FK394:$ID394,1+SwaptionShift):INDEX($FK394:$ID394,SwaptionMonthsToGo+SwaptionShift))*SUM(INDEX($FK$325:$ID$396,HA$169,1+SwaptionShift):INDEX($FK$325:$ID$396,HA$169,SwaptionMonthsToGo+SwaptionShift))))))</f>
        <v/>
      </c>
      <c r="HB239" s="150" t="str">
        <f aca="false">IF(OR(HB$169&lt;SwaptionFirstMonthPosition+1,$FJ239&lt;SwaptionFirstMonthPosition+1,HB$169&gt;SwaptionFirstMonthPosition+SwaptionNumOfMonths+1,$FJ239&gt;SwaptionFirstMonthPosition+SwaptionNumOfMonths+1),"",IF($FJ239=HB$169,1,IF($FJ239&lt;HB$169,INDEX($FK$170:$ID$241,HB$169,$FJ239),SUMPRODUCT(INDEX($FK$325:$ID$396,HB$169,1+SwaptionShift):INDEX($FK$325:$ID$396,HB$169,SwaptionMonthsToGo+SwaptionShift),INDEX($FK$245:$ID$316,$FJ239-HB$169,73-HB$169+SwaptionShift):INDEX($FK$245:$ID$316,$FJ239-HB$169,72-HB$169+SwaptionMonthsToGo+SwaptionShift))/SQRT(SUM(INDEX($FK394:$ID394,1+SwaptionShift):INDEX($FK394:$ID394,SwaptionMonthsToGo+SwaptionShift))*SUM(INDEX($FK$325:$ID$396,HB$169,1+SwaptionShift):INDEX($FK$325:$ID$396,HB$169,SwaptionMonthsToGo+SwaptionShift))))))</f>
        <v/>
      </c>
      <c r="HC239" s="150" t="str">
        <f aca="false">IF(OR(HC$169&lt;SwaptionFirstMonthPosition+1,$FJ239&lt;SwaptionFirstMonthPosition+1,HC$169&gt;SwaptionFirstMonthPosition+SwaptionNumOfMonths+1,$FJ239&gt;SwaptionFirstMonthPosition+SwaptionNumOfMonths+1),"",IF($FJ239=HC$169,1,IF($FJ239&lt;HC$169,INDEX($FK$170:$ID$241,HC$169,$FJ239),SUMPRODUCT(INDEX($FK$325:$ID$396,HC$169,1+SwaptionShift):INDEX($FK$325:$ID$396,HC$169,SwaptionMonthsToGo+SwaptionShift),INDEX($FK$245:$ID$316,$FJ239-HC$169,73-HC$169+SwaptionShift):INDEX($FK$245:$ID$316,$FJ239-HC$169,72-HC$169+SwaptionMonthsToGo+SwaptionShift))/SQRT(SUM(INDEX($FK394:$ID394,1+SwaptionShift):INDEX($FK394:$ID394,SwaptionMonthsToGo+SwaptionShift))*SUM(INDEX($FK$325:$ID$396,HC$169,1+SwaptionShift):INDEX($FK$325:$ID$396,HC$169,SwaptionMonthsToGo+SwaptionShift))))))</f>
        <v/>
      </c>
      <c r="HD239" s="150" t="str">
        <f aca="false">IF(OR(HD$169&lt;SwaptionFirstMonthPosition+1,$FJ239&lt;SwaptionFirstMonthPosition+1,HD$169&gt;SwaptionFirstMonthPosition+SwaptionNumOfMonths+1,$FJ239&gt;SwaptionFirstMonthPosition+SwaptionNumOfMonths+1),"",IF($FJ239=HD$169,1,IF($FJ239&lt;HD$169,INDEX($FK$170:$ID$241,HD$169,$FJ239),SUMPRODUCT(INDEX($FK$325:$ID$396,HD$169,1+SwaptionShift):INDEX($FK$325:$ID$396,HD$169,SwaptionMonthsToGo+SwaptionShift),INDEX($FK$245:$ID$316,$FJ239-HD$169,73-HD$169+SwaptionShift):INDEX($FK$245:$ID$316,$FJ239-HD$169,72-HD$169+SwaptionMonthsToGo+SwaptionShift))/SQRT(SUM(INDEX($FK394:$ID394,1+SwaptionShift):INDEX($FK394:$ID394,SwaptionMonthsToGo+SwaptionShift))*SUM(INDEX($FK$325:$ID$396,HD$169,1+SwaptionShift):INDEX($FK$325:$ID$396,HD$169,SwaptionMonthsToGo+SwaptionShift))))))</f>
        <v/>
      </c>
      <c r="HE239" s="150" t="str">
        <f aca="false">IF(OR(HE$169&lt;SwaptionFirstMonthPosition+1,$FJ239&lt;SwaptionFirstMonthPosition+1,HE$169&gt;SwaptionFirstMonthPosition+SwaptionNumOfMonths+1,$FJ239&gt;SwaptionFirstMonthPosition+SwaptionNumOfMonths+1),"",IF($FJ239=HE$169,1,IF($FJ239&lt;HE$169,INDEX($FK$170:$ID$241,HE$169,$FJ239),SUMPRODUCT(INDEX($FK$325:$ID$396,HE$169,1+SwaptionShift):INDEX($FK$325:$ID$396,HE$169,SwaptionMonthsToGo+SwaptionShift),INDEX($FK$245:$ID$316,$FJ239-HE$169,73-HE$169+SwaptionShift):INDEX($FK$245:$ID$316,$FJ239-HE$169,72-HE$169+SwaptionMonthsToGo+SwaptionShift))/SQRT(SUM(INDEX($FK394:$ID394,1+SwaptionShift):INDEX($FK394:$ID394,SwaptionMonthsToGo+SwaptionShift))*SUM(INDEX($FK$325:$ID$396,HE$169,1+SwaptionShift):INDEX($FK$325:$ID$396,HE$169,SwaptionMonthsToGo+SwaptionShift))))))</f>
        <v/>
      </c>
      <c r="HF239" s="150" t="str">
        <f aca="false">IF(OR(HF$169&lt;SwaptionFirstMonthPosition+1,$FJ239&lt;SwaptionFirstMonthPosition+1,HF$169&gt;SwaptionFirstMonthPosition+SwaptionNumOfMonths+1,$FJ239&gt;SwaptionFirstMonthPosition+SwaptionNumOfMonths+1),"",IF($FJ239=HF$169,1,IF($FJ239&lt;HF$169,INDEX($FK$170:$ID$241,HF$169,$FJ239),SUMPRODUCT(INDEX($FK$325:$ID$396,HF$169,1+SwaptionShift):INDEX($FK$325:$ID$396,HF$169,SwaptionMonthsToGo+SwaptionShift),INDEX($FK$245:$ID$316,$FJ239-HF$169,73-HF$169+SwaptionShift):INDEX($FK$245:$ID$316,$FJ239-HF$169,72-HF$169+SwaptionMonthsToGo+SwaptionShift))/SQRT(SUM(INDEX($FK394:$ID394,1+SwaptionShift):INDEX($FK394:$ID394,SwaptionMonthsToGo+SwaptionShift))*SUM(INDEX($FK$325:$ID$396,HF$169,1+SwaptionShift):INDEX($FK$325:$ID$396,HF$169,SwaptionMonthsToGo+SwaptionShift))))))</f>
        <v/>
      </c>
      <c r="HG239" s="150" t="str">
        <f aca="false">IF(OR(HG$169&lt;SwaptionFirstMonthPosition+1,$FJ239&lt;SwaptionFirstMonthPosition+1,HG$169&gt;SwaptionFirstMonthPosition+SwaptionNumOfMonths+1,$FJ239&gt;SwaptionFirstMonthPosition+SwaptionNumOfMonths+1),"",IF($FJ239=HG$169,1,IF($FJ239&lt;HG$169,INDEX($FK$170:$ID$241,HG$169,$FJ239),SUMPRODUCT(INDEX($FK$325:$ID$396,HG$169,1+SwaptionShift):INDEX($FK$325:$ID$396,HG$169,SwaptionMonthsToGo+SwaptionShift),INDEX($FK$245:$ID$316,$FJ239-HG$169,73-HG$169+SwaptionShift):INDEX($FK$245:$ID$316,$FJ239-HG$169,72-HG$169+SwaptionMonthsToGo+SwaptionShift))/SQRT(SUM(INDEX($FK394:$ID394,1+SwaptionShift):INDEX($FK394:$ID394,SwaptionMonthsToGo+SwaptionShift))*SUM(INDEX($FK$325:$ID$396,HG$169,1+SwaptionShift):INDEX($FK$325:$ID$396,HG$169,SwaptionMonthsToGo+SwaptionShift))))))</f>
        <v/>
      </c>
      <c r="HH239" s="150" t="str">
        <f aca="false">IF(OR(HH$169&lt;SwaptionFirstMonthPosition+1,$FJ239&lt;SwaptionFirstMonthPosition+1,HH$169&gt;SwaptionFirstMonthPosition+SwaptionNumOfMonths+1,$FJ239&gt;SwaptionFirstMonthPosition+SwaptionNumOfMonths+1),"",IF($FJ239=HH$169,1,IF($FJ239&lt;HH$169,INDEX($FK$170:$ID$241,HH$169,$FJ239),SUMPRODUCT(INDEX($FK$325:$ID$396,HH$169,1+SwaptionShift):INDEX($FK$325:$ID$396,HH$169,SwaptionMonthsToGo+SwaptionShift),INDEX($FK$245:$ID$316,$FJ239-HH$169,73-HH$169+SwaptionShift):INDEX($FK$245:$ID$316,$FJ239-HH$169,72-HH$169+SwaptionMonthsToGo+SwaptionShift))/SQRT(SUM(INDEX($FK394:$ID394,1+SwaptionShift):INDEX($FK394:$ID394,SwaptionMonthsToGo+SwaptionShift))*SUM(INDEX($FK$325:$ID$396,HH$169,1+SwaptionShift):INDEX($FK$325:$ID$396,HH$169,SwaptionMonthsToGo+SwaptionShift))))))</f>
        <v/>
      </c>
      <c r="HI239" s="150" t="str">
        <f aca="false">IF(OR(HI$169&lt;SwaptionFirstMonthPosition+1,$FJ239&lt;SwaptionFirstMonthPosition+1,HI$169&gt;SwaptionFirstMonthPosition+SwaptionNumOfMonths+1,$FJ239&gt;SwaptionFirstMonthPosition+SwaptionNumOfMonths+1),"",IF($FJ239=HI$169,1,IF($FJ239&lt;HI$169,INDEX($FK$170:$ID$241,HI$169,$FJ239),SUMPRODUCT(INDEX($FK$325:$ID$396,HI$169,1+SwaptionShift):INDEX($FK$325:$ID$396,HI$169,SwaptionMonthsToGo+SwaptionShift),INDEX($FK$245:$ID$316,$FJ239-HI$169,73-HI$169+SwaptionShift):INDEX($FK$245:$ID$316,$FJ239-HI$169,72-HI$169+SwaptionMonthsToGo+SwaptionShift))/SQRT(SUM(INDEX($FK394:$ID394,1+SwaptionShift):INDEX($FK394:$ID394,SwaptionMonthsToGo+SwaptionShift))*SUM(INDEX($FK$325:$ID$396,HI$169,1+SwaptionShift):INDEX($FK$325:$ID$396,HI$169,SwaptionMonthsToGo+SwaptionShift))))))</f>
        <v/>
      </c>
      <c r="HJ239" s="150" t="str">
        <f aca="false">IF(OR(HJ$169&lt;SwaptionFirstMonthPosition+1,$FJ239&lt;SwaptionFirstMonthPosition+1,HJ$169&gt;SwaptionFirstMonthPosition+SwaptionNumOfMonths+1,$FJ239&gt;SwaptionFirstMonthPosition+SwaptionNumOfMonths+1),"",IF($FJ239=HJ$169,1,IF($FJ239&lt;HJ$169,INDEX($FK$170:$ID$241,HJ$169,$FJ239),SUMPRODUCT(INDEX($FK$325:$ID$396,HJ$169,1+SwaptionShift):INDEX($FK$325:$ID$396,HJ$169,SwaptionMonthsToGo+SwaptionShift),INDEX($FK$245:$ID$316,$FJ239-HJ$169,73-HJ$169+SwaptionShift):INDEX($FK$245:$ID$316,$FJ239-HJ$169,72-HJ$169+SwaptionMonthsToGo+SwaptionShift))/SQRT(SUM(INDEX($FK394:$ID394,1+SwaptionShift):INDEX($FK394:$ID394,SwaptionMonthsToGo+SwaptionShift))*SUM(INDEX($FK$325:$ID$396,HJ$169,1+SwaptionShift):INDEX($FK$325:$ID$396,HJ$169,SwaptionMonthsToGo+SwaptionShift))))))</f>
        <v/>
      </c>
      <c r="HK239" s="150" t="str">
        <f aca="false">IF(OR(HK$169&lt;SwaptionFirstMonthPosition+1,$FJ239&lt;SwaptionFirstMonthPosition+1,HK$169&gt;SwaptionFirstMonthPosition+SwaptionNumOfMonths+1,$FJ239&gt;SwaptionFirstMonthPosition+SwaptionNumOfMonths+1),"",IF($FJ239=HK$169,1,IF($FJ239&lt;HK$169,INDEX($FK$170:$ID$241,HK$169,$FJ239),SUMPRODUCT(INDEX($FK$325:$ID$396,HK$169,1+SwaptionShift):INDEX($FK$325:$ID$396,HK$169,SwaptionMonthsToGo+SwaptionShift),INDEX($FK$245:$ID$316,$FJ239-HK$169,73-HK$169+SwaptionShift):INDEX($FK$245:$ID$316,$FJ239-HK$169,72-HK$169+SwaptionMonthsToGo+SwaptionShift))/SQRT(SUM(INDEX($FK394:$ID394,1+SwaptionShift):INDEX($FK394:$ID394,SwaptionMonthsToGo+SwaptionShift))*SUM(INDEX($FK$325:$ID$396,HK$169,1+SwaptionShift):INDEX($FK$325:$ID$396,HK$169,SwaptionMonthsToGo+SwaptionShift))))))</f>
        <v/>
      </c>
      <c r="HL239" s="150" t="str">
        <f aca="false">IF(OR(HL$169&lt;SwaptionFirstMonthPosition+1,$FJ239&lt;SwaptionFirstMonthPosition+1,HL$169&gt;SwaptionFirstMonthPosition+SwaptionNumOfMonths+1,$FJ239&gt;SwaptionFirstMonthPosition+SwaptionNumOfMonths+1),"",IF($FJ239=HL$169,1,IF($FJ239&lt;HL$169,INDEX($FK$170:$ID$241,HL$169,$FJ239),SUMPRODUCT(INDEX($FK$325:$ID$396,HL$169,1+SwaptionShift):INDEX($FK$325:$ID$396,HL$169,SwaptionMonthsToGo+SwaptionShift),INDEX($FK$245:$ID$316,$FJ239-HL$169,73-HL$169+SwaptionShift):INDEX($FK$245:$ID$316,$FJ239-HL$169,72-HL$169+SwaptionMonthsToGo+SwaptionShift))/SQRT(SUM(INDEX($FK394:$ID394,1+SwaptionShift):INDEX($FK394:$ID394,SwaptionMonthsToGo+SwaptionShift))*SUM(INDEX($FK$325:$ID$396,HL$169,1+SwaptionShift):INDEX($FK$325:$ID$396,HL$169,SwaptionMonthsToGo+SwaptionShift))))))</f>
        <v/>
      </c>
      <c r="HM239" s="150" t="str">
        <f aca="false">IF(OR(HM$169&lt;SwaptionFirstMonthPosition+1,$FJ239&lt;SwaptionFirstMonthPosition+1,HM$169&gt;SwaptionFirstMonthPosition+SwaptionNumOfMonths+1,$FJ239&gt;SwaptionFirstMonthPosition+SwaptionNumOfMonths+1),"",IF($FJ239=HM$169,1,IF($FJ239&lt;HM$169,INDEX($FK$170:$ID$241,HM$169,$FJ239),SUMPRODUCT(INDEX($FK$325:$ID$396,HM$169,1+SwaptionShift):INDEX($FK$325:$ID$396,HM$169,SwaptionMonthsToGo+SwaptionShift),INDEX($FK$245:$ID$316,$FJ239-HM$169,73-HM$169+SwaptionShift):INDEX($FK$245:$ID$316,$FJ239-HM$169,72-HM$169+SwaptionMonthsToGo+SwaptionShift))/SQRT(SUM(INDEX($FK394:$ID394,1+SwaptionShift):INDEX($FK394:$ID394,SwaptionMonthsToGo+SwaptionShift))*SUM(INDEX($FK$325:$ID$396,HM$169,1+SwaptionShift):INDEX($FK$325:$ID$396,HM$169,SwaptionMonthsToGo+SwaptionShift))))))</f>
        <v/>
      </c>
      <c r="HN239" s="150" t="str">
        <f aca="false">IF(OR(HN$169&lt;SwaptionFirstMonthPosition+1,$FJ239&lt;SwaptionFirstMonthPosition+1,HN$169&gt;SwaptionFirstMonthPosition+SwaptionNumOfMonths+1,$FJ239&gt;SwaptionFirstMonthPosition+SwaptionNumOfMonths+1),"",IF($FJ239=HN$169,1,IF($FJ239&lt;HN$169,INDEX($FK$170:$ID$241,HN$169,$FJ239),SUMPRODUCT(INDEX($FK$325:$ID$396,HN$169,1+SwaptionShift):INDEX($FK$325:$ID$396,HN$169,SwaptionMonthsToGo+SwaptionShift),INDEX($FK$245:$ID$316,$FJ239-HN$169,73-HN$169+SwaptionShift):INDEX($FK$245:$ID$316,$FJ239-HN$169,72-HN$169+SwaptionMonthsToGo+SwaptionShift))/SQRT(SUM(INDEX($FK394:$ID394,1+SwaptionShift):INDEX($FK394:$ID394,SwaptionMonthsToGo+SwaptionShift))*SUM(INDEX($FK$325:$ID$396,HN$169,1+SwaptionShift):INDEX($FK$325:$ID$396,HN$169,SwaptionMonthsToGo+SwaptionShift))))))</f>
        <v/>
      </c>
      <c r="HO239" s="150" t="str">
        <f aca="false">IF(OR(HO$169&lt;SwaptionFirstMonthPosition+1,$FJ239&lt;SwaptionFirstMonthPosition+1,HO$169&gt;SwaptionFirstMonthPosition+SwaptionNumOfMonths+1,$FJ239&gt;SwaptionFirstMonthPosition+SwaptionNumOfMonths+1),"",IF($FJ239=HO$169,1,IF($FJ239&lt;HO$169,INDEX($FK$170:$ID$241,HO$169,$FJ239),SUMPRODUCT(INDEX($FK$325:$ID$396,HO$169,1+SwaptionShift):INDEX($FK$325:$ID$396,HO$169,SwaptionMonthsToGo+SwaptionShift),INDEX($FK$245:$ID$316,$FJ239-HO$169,73-HO$169+SwaptionShift):INDEX($FK$245:$ID$316,$FJ239-HO$169,72-HO$169+SwaptionMonthsToGo+SwaptionShift))/SQRT(SUM(INDEX($FK394:$ID394,1+SwaptionShift):INDEX($FK394:$ID394,SwaptionMonthsToGo+SwaptionShift))*SUM(INDEX($FK$325:$ID$396,HO$169,1+SwaptionShift):INDEX($FK$325:$ID$396,HO$169,SwaptionMonthsToGo+SwaptionShift))))))</f>
        <v/>
      </c>
      <c r="HP239" s="150" t="str">
        <f aca="false">IF(OR(HP$169&lt;SwaptionFirstMonthPosition+1,$FJ239&lt;SwaptionFirstMonthPosition+1,HP$169&gt;SwaptionFirstMonthPosition+SwaptionNumOfMonths+1,$FJ239&gt;SwaptionFirstMonthPosition+SwaptionNumOfMonths+1),"",IF($FJ239=HP$169,1,IF($FJ239&lt;HP$169,INDEX($FK$170:$ID$241,HP$169,$FJ239),SUMPRODUCT(INDEX($FK$325:$ID$396,HP$169,1+SwaptionShift):INDEX($FK$325:$ID$396,HP$169,SwaptionMonthsToGo+SwaptionShift),INDEX($FK$245:$ID$316,$FJ239-HP$169,73-HP$169+SwaptionShift):INDEX($FK$245:$ID$316,$FJ239-HP$169,72-HP$169+SwaptionMonthsToGo+SwaptionShift))/SQRT(SUM(INDEX($FK394:$ID394,1+SwaptionShift):INDEX($FK394:$ID394,SwaptionMonthsToGo+SwaptionShift))*SUM(INDEX($FK$325:$ID$396,HP$169,1+SwaptionShift):INDEX($FK$325:$ID$396,HP$169,SwaptionMonthsToGo+SwaptionShift))))))</f>
        <v/>
      </c>
      <c r="HQ239" s="150" t="str">
        <f aca="false">IF(OR(HQ$169&lt;SwaptionFirstMonthPosition+1,$FJ239&lt;SwaptionFirstMonthPosition+1,HQ$169&gt;SwaptionFirstMonthPosition+SwaptionNumOfMonths+1,$FJ239&gt;SwaptionFirstMonthPosition+SwaptionNumOfMonths+1),"",IF($FJ239=HQ$169,1,IF($FJ239&lt;HQ$169,INDEX($FK$170:$ID$241,HQ$169,$FJ239),SUMPRODUCT(INDEX($FK$325:$ID$396,HQ$169,1+SwaptionShift):INDEX($FK$325:$ID$396,HQ$169,SwaptionMonthsToGo+SwaptionShift),INDEX($FK$245:$ID$316,$FJ239-HQ$169,73-HQ$169+SwaptionShift):INDEX($FK$245:$ID$316,$FJ239-HQ$169,72-HQ$169+SwaptionMonthsToGo+SwaptionShift))/SQRT(SUM(INDEX($FK394:$ID394,1+SwaptionShift):INDEX($FK394:$ID394,SwaptionMonthsToGo+SwaptionShift))*SUM(INDEX($FK$325:$ID$396,HQ$169,1+SwaptionShift):INDEX($FK$325:$ID$396,HQ$169,SwaptionMonthsToGo+SwaptionShift))))))</f>
        <v/>
      </c>
      <c r="HR239" s="150" t="str">
        <f aca="false">IF(OR(HR$169&lt;SwaptionFirstMonthPosition+1,$FJ239&lt;SwaptionFirstMonthPosition+1,HR$169&gt;SwaptionFirstMonthPosition+SwaptionNumOfMonths+1,$FJ239&gt;SwaptionFirstMonthPosition+SwaptionNumOfMonths+1),"",IF($FJ239=HR$169,1,IF($FJ239&lt;HR$169,INDEX($FK$170:$ID$241,HR$169,$FJ239),SUMPRODUCT(INDEX($FK$325:$ID$396,HR$169,1+SwaptionShift):INDEX($FK$325:$ID$396,HR$169,SwaptionMonthsToGo+SwaptionShift),INDEX($FK$245:$ID$316,$FJ239-HR$169,73-HR$169+SwaptionShift):INDEX($FK$245:$ID$316,$FJ239-HR$169,72-HR$169+SwaptionMonthsToGo+SwaptionShift))/SQRT(SUM(INDEX($FK394:$ID394,1+SwaptionShift):INDEX($FK394:$ID394,SwaptionMonthsToGo+SwaptionShift))*SUM(INDEX($FK$325:$ID$396,HR$169,1+SwaptionShift):INDEX($FK$325:$ID$396,HR$169,SwaptionMonthsToGo+SwaptionShift))))))</f>
        <v/>
      </c>
      <c r="HS239" s="150" t="str">
        <f aca="false">IF(OR(HS$169&lt;SwaptionFirstMonthPosition+1,$FJ239&lt;SwaptionFirstMonthPosition+1,HS$169&gt;SwaptionFirstMonthPosition+SwaptionNumOfMonths+1,$FJ239&gt;SwaptionFirstMonthPosition+SwaptionNumOfMonths+1),"",IF($FJ239=HS$169,1,IF($FJ239&lt;HS$169,INDEX($FK$170:$ID$241,HS$169,$FJ239),SUMPRODUCT(INDEX($FK$325:$ID$396,HS$169,1+SwaptionShift):INDEX($FK$325:$ID$396,HS$169,SwaptionMonthsToGo+SwaptionShift),INDEX($FK$245:$ID$316,$FJ239-HS$169,73-HS$169+SwaptionShift):INDEX($FK$245:$ID$316,$FJ239-HS$169,72-HS$169+SwaptionMonthsToGo+SwaptionShift))/SQRT(SUM(INDEX($FK394:$ID394,1+SwaptionShift):INDEX($FK394:$ID394,SwaptionMonthsToGo+SwaptionShift))*SUM(INDEX($FK$325:$ID$396,HS$169,1+SwaptionShift):INDEX($FK$325:$ID$396,HS$169,SwaptionMonthsToGo+SwaptionShift))))))</f>
        <v/>
      </c>
      <c r="HT239" s="150" t="str">
        <f aca="false">IF(OR(HT$169&lt;SwaptionFirstMonthPosition+1,$FJ239&lt;SwaptionFirstMonthPosition+1,HT$169&gt;SwaptionFirstMonthPosition+SwaptionNumOfMonths+1,$FJ239&gt;SwaptionFirstMonthPosition+SwaptionNumOfMonths+1),"",IF($FJ239=HT$169,1,IF($FJ239&lt;HT$169,INDEX($FK$170:$ID$241,HT$169,$FJ239),SUMPRODUCT(INDEX($FK$325:$ID$396,HT$169,1+SwaptionShift):INDEX($FK$325:$ID$396,HT$169,SwaptionMonthsToGo+SwaptionShift),INDEX($FK$245:$ID$316,$FJ239-HT$169,73-HT$169+SwaptionShift):INDEX($FK$245:$ID$316,$FJ239-HT$169,72-HT$169+SwaptionMonthsToGo+SwaptionShift))/SQRT(SUM(INDEX($FK394:$ID394,1+SwaptionShift):INDEX($FK394:$ID394,SwaptionMonthsToGo+SwaptionShift))*SUM(INDEX($FK$325:$ID$396,HT$169,1+SwaptionShift):INDEX($FK$325:$ID$396,HT$169,SwaptionMonthsToGo+SwaptionShift))))))</f>
        <v/>
      </c>
      <c r="HU239" s="150" t="str">
        <f aca="false">IF(OR(HU$169&lt;SwaptionFirstMonthPosition+1,$FJ239&lt;SwaptionFirstMonthPosition+1,HU$169&gt;SwaptionFirstMonthPosition+SwaptionNumOfMonths+1,$FJ239&gt;SwaptionFirstMonthPosition+SwaptionNumOfMonths+1),"",IF($FJ239=HU$169,1,IF($FJ239&lt;HU$169,INDEX($FK$170:$ID$241,HU$169,$FJ239),SUMPRODUCT(INDEX($FK$325:$ID$396,HU$169,1+SwaptionShift):INDEX($FK$325:$ID$396,HU$169,SwaptionMonthsToGo+SwaptionShift),INDEX($FK$245:$ID$316,$FJ239-HU$169,73-HU$169+SwaptionShift):INDEX($FK$245:$ID$316,$FJ239-HU$169,72-HU$169+SwaptionMonthsToGo+SwaptionShift))/SQRT(SUM(INDEX($FK394:$ID394,1+SwaptionShift):INDEX($FK394:$ID394,SwaptionMonthsToGo+SwaptionShift))*SUM(INDEX($FK$325:$ID$396,HU$169,1+SwaptionShift):INDEX($FK$325:$ID$396,HU$169,SwaptionMonthsToGo+SwaptionShift))))))</f>
        <v/>
      </c>
      <c r="HV239" s="150" t="str">
        <f aca="false">IF(OR(HV$169&lt;SwaptionFirstMonthPosition+1,$FJ239&lt;SwaptionFirstMonthPosition+1,HV$169&gt;SwaptionFirstMonthPosition+SwaptionNumOfMonths+1,$FJ239&gt;SwaptionFirstMonthPosition+SwaptionNumOfMonths+1),"",IF($FJ239=HV$169,1,IF($FJ239&lt;HV$169,INDEX($FK$170:$ID$241,HV$169,$FJ239),SUMPRODUCT(INDEX($FK$325:$ID$396,HV$169,1+SwaptionShift):INDEX($FK$325:$ID$396,HV$169,SwaptionMonthsToGo+SwaptionShift),INDEX($FK$245:$ID$316,$FJ239-HV$169,73-HV$169+SwaptionShift):INDEX($FK$245:$ID$316,$FJ239-HV$169,72-HV$169+SwaptionMonthsToGo+SwaptionShift))/SQRT(SUM(INDEX($FK394:$ID394,1+SwaptionShift):INDEX($FK394:$ID394,SwaptionMonthsToGo+SwaptionShift))*SUM(INDEX($FK$325:$ID$396,HV$169,1+SwaptionShift):INDEX($FK$325:$ID$396,HV$169,SwaptionMonthsToGo+SwaptionShift))))))</f>
        <v/>
      </c>
      <c r="HW239" s="150" t="str">
        <f aca="false">IF(OR(HW$169&lt;SwaptionFirstMonthPosition+1,$FJ239&lt;SwaptionFirstMonthPosition+1,HW$169&gt;SwaptionFirstMonthPosition+SwaptionNumOfMonths+1,$FJ239&gt;SwaptionFirstMonthPosition+SwaptionNumOfMonths+1),"",IF($FJ239=HW$169,1,IF($FJ239&lt;HW$169,INDEX($FK$170:$ID$241,HW$169,$FJ239),SUMPRODUCT(INDEX($FK$325:$ID$396,HW$169,1+SwaptionShift):INDEX($FK$325:$ID$396,HW$169,SwaptionMonthsToGo+SwaptionShift),INDEX($FK$245:$ID$316,$FJ239-HW$169,73-HW$169+SwaptionShift):INDEX($FK$245:$ID$316,$FJ239-HW$169,72-HW$169+SwaptionMonthsToGo+SwaptionShift))/SQRT(SUM(INDEX($FK394:$ID394,1+SwaptionShift):INDEX($FK394:$ID394,SwaptionMonthsToGo+SwaptionShift))*SUM(INDEX($FK$325:$ID$396,HW$169,1+SwaptionShift):INDEX($FK$325:$ID$396,HW$169,SwaptionMonthsToGo+SwaptionShift))))))</f>
        <v/>
      </c>
      <c r="HX239" s="150" t="str">
        <f aca="false">IF(OR(HX$169&lt;SwaptionFirstMonthPosition+1,$FJ239&lt;SwaptionFirstMonthPosition+1,HX$169&gt;SwaptionFirstMonthPosition+SwaptionNumOfMonths+1,$FJ239&gt;SwaptionFirstMonthPosition+SwaptionNumOfMonths+1),"",IF($FJ239=HX$169,1,IF($FJ239&lt;HX$169,INDEX($FK$170:$ID$241,HX$169,$FJ239),SUMPRODUCT(INDEX($FK$325:$ID$396,HX$169,1+SwaptionShift):INDEX($FK$325:$ID$396,HX$169,SwaptionMonthsToGo+SwaptionShift),INDEX($FK$245:$ID$316,$FJ239-HX$169,73-HX$169+SwaptionShift):INDEX($FK$245:$ID$316,$FJ239-HX$169,72-HX$169+SwaptionMonthsToGo+SwaptionShift))/SQRT(SUM(INDEX($FK394:$ID394,1+SwaptionShift):INDEX($FK394:$ID394,SwaptionMonthsToGo+SwaptionShift))*SUM(INDEX($FK$325:$ID$396,HX$169,1+SwaptionShift):INDEX($FK$325:$ID$396,HX$169,SwaptionMonthsToGo+SwaptionShift))))))</f>
        <v/>
      </c>
      <c r="HY239" s="150" t="str">
        <f aca="false">IF(OR(HY$169&lt;SwaptionFirstMonthPosition+1,$FJ239&lt;SwaptionFirstMonthPosition+1,HY$169&gt;SwaptionFirstMonthPosition+SwaptionNumOfMonths+1,$FJ239&gt;SwaptionFirstMonthPosition+SwaptionNumOfMonths+1),"",IF($FJ239=HY$169,1,IF($FJ239&lt;HY$169,INDEX($FK$170:$ID$241,HY$169,$FJ239),SUMPRODUCT(INDEX($FK$325:$ID$396,HY$169,1+SwaptionShift):INDEX($FK$325:$ID$396,HY$169,SwaptionMonthsToGo+SwaptionShift),INDEX($FK$245:$ID$316,$FJ239-HY$169,73-HY$169+SwaptionShift):INDEX($FK$245:$ID$316,$FJ239-HY$169,72-HY$169+SwaptionMonthsToGo+SwaptionShift))/SQRT(SUM(INDEX($FK394:$ID394,1+SwaptionShift):INDEX($FK394:$ID394,SwaptionMonthsToGo+SwaptionShift))*SUM(INDEX($FK$325:$ID$396,HY$169,1+SwaptionShift):INDEX($FK$325:$ID$396,HY$169,SwaptionMonthsToGo+SwaptionShift))))))</f>
        <v/>
      </c>
      <c r="HZ239" s="150" t="str">
        <f aca="false">IF(OR(HZ$169&lt;SwaptionFirstMonthPosition+1,$FJ239&lt;SwaptionFirstMonthPosition+1,HZ$169&gt;SwaptionFirstMonthPosition+SwaptionNumOfMonths+1,$FJ239&gt;SwaptionFirstMonthPosition+SwaptionNumOfMonths+1),"",IF($FJ239=HZ$169,1,IF($FJ239&lt;HZ$169,INDEX($FK$170:$ID$241,HZ$169,$FJ239),SUMPRODUCT(INDEX($FK$325:$ID$396,HZ$169,1+SwaptionShift):INDEX($FK$325:$ID$396,HZ$169,SwaptionMonthsToGo+SwaptionShift),INDEX($FK$245:$ID$316,$FJ239-HZ$169,73-HZ$169+SwaptionShift):INDEX($FK$245:$ID$316,$FJ239-HZ$169,72-HZ$169+SwaptionMonthsToGo+SwaptionShift))/SQRT(SUM(INDEX($FK394:$ID394,1+SwaptionShift):INDEX($FK394:$ID394,SwaptionMonthsToGo+SwaptionShift))*SUM(INDEX($FK$325:$ID$396,HZ$169,1+SwaptionShift):INDEX($FK$325:$ID$396,HZ$169,SwaptionMonthsToGo+SwaptionShift))))))</f>
        <v/>
      </c>
      <c r="IA239" s="150" t="str">
        <f aca="false">IF(OR(IA$169&lt;SwaptionFirstMonthPosition+1,$FJ239&lt;SwaptionFirstMonthPosition+1,IA$169&gt;SwaptionFirstMonthPosition+SwaptionNumOfMonths+1,$FJ239&gt;SwaptionFirstMonthPosition+SwaptionNumOfMonths+1),"",IF($FJ239=IA$169,1,IF($FJ239&lt;IA$169,INDEX($FK$170:$ID$241,IA$169,$FJ239),SUMPRODUCT(INDEX($FK$325:$ID$396,IA$169,1+SwaptionShift):INDEX($FK$325:$ID$396,IA$169,SwaptionMonthsToGo+SwaptionShift),INDEX($FK$245:$ID$316,$FJ239-IA$169,73-IA$169+SwaptionShift):INDEX($FK$245:$ID$316,$FJ239-IA$169,72-IA$169+SwaptionMonthsToGo+SwaptionShift))/SQRT(SUM(INDEX($FK394:$ID394,1+SwaptionShift):INDEX($FK394:$ID394,SwaptionMonthsToGo+SwaptionShift))*SUM(INDEX($FK$325:$ID$396,IA$169,1+SwaptionShift):INDEX($FK$325:$ID$396,IA$169,SwaptionMonthsToGo+SwaptionShift))))))</f>
        <v/>
      </c>
      <c r="IB239" s="150" t="str">
        <f aca="false">IF(OR(IB$169&lt;SwaptionFirstMonthPosition+1,$FJ239&lt;SwaptionFirstMonthPosition+1,IB$169&gt;SwaptionFirstMonthPosition+SwaptionNumOfMonths+1,$FJ239&gt;SwaptionFirstMonthPosition+SwaptionNumOfMonths+1),"",IF($FJ239=IB$169,1,IF($FJ239&lt;IB$169,INDEX($FK$170:$ID$241,IB$169,$FJ239),SUMPRODUCT(INDEX($FK$325:$ID$396,IB$169,1+SwaptionShift):INDEX($FK$325:$ID$396,IB$169,SwaptionMonthsToGo+SwaptionShift),INDEX($FK$245:$ID$316,$FJ239-IB$169,73-IB$169+SwaptionShift):INDEX($FK$245:$ID$316,$FJ239-IB$169,72-IB$169+SwaptionMonthsToGo+SwaptionShift))/SQRT(SUM(INDEX($FK394:$ID394,1+SwaptionShift):INDEX($FK394:$ID394,SwaptionMonthsToGo+SwaptionShift))*SUM(INDEX($FK$325:$ID$396,IB$169,1+SwaptionShift):INDEX($FK$325:$ID$396,IB$169,SwaptionMonthsToGo+SwaptionShift))))))</f>
        <v/>
      </c>
      <c r="IC239" s="150" t="str">
        <f aca="false">IF(OR(IC$169&lt;SwaptionFirstMonthPosition+1,$FJ239&lt;SwaptionFirstMonthPosition+1,IC$169&gt;SwaptionFirstMonthPosition+SwaptionNumOfMonths+1,$FJ239&gt;SwaptionFirstMonthPosition+SwaptionNumOfMonths+1),"",IF($FJ239=IC$169,1,IF($FJ239&lt;IC$169,INDEX($FK$170:$ID$241,IC$169,$FJ239),SUMPRODUCT(INDEX($FK$325:$ID$396,IC$169,1+SwaptionShift):INDEX($FK$325:$ID$396,IC$169,SwaptionMonthsToGo+SwaptionShift),INDEX($FK$245:$ID$316,$FJ239-IC$169,73-IC$169+SwaptionShift):INDEX($FK$245:$ID$316,$FJ239-IC$169,72-IC$169+SwaptionMonthsToGo+SwaptionShift))/SQRT(SUM(INDEX($FK394:$ID394,1+SwaptionShift):INDEX($FK394:$ID394,SwaptionMonthsToGo+SwaptionShift))*SUM(INDEX($FK$325:$ID$396,IC$169,1+SwaptionShift):INDEX($FK$325:$ID$396,IC$169,SwaptionMonthsToGo+SwaptionShift))))))</f>
        <v/>
      </c>
      <c r="ID239" s="572" t="str">
        <f aca="false">IF(OR(ID$169&lt;SwaptionFirstMonthPosition+1,$FJ239&lt;SwaptionFirstMonthPosition+1,ID$169&gt;SwaptionFirstMonthPosition+SwaptionNumOfMonths+1,$FJ239&gt;SwaptionFirstMonthPosition+SwaptionNumOfMonths+1),"",IF($FJ239=ID$169,1,IF($FJ239&lt;ID$169,INDEX($FK$170:$ID$241,ID$169,$FJ239),SUMPRODUCT(INDEX($FK$325:$ID$396,ID$169,1+SwaptionShift):INDEX($FK$325:$ID$396,ID$169,SwaptionMonthsToGo+SwaptionShift),INDEX($FK$245:$ID$316,$FJ239-ID$169,73-ID$169+SwaptionShift):INDEX($FK$245:$ID$316,$FJ239-ID$169,72-ID$169+SwaptionMonthsToGo+SwaptionShift))/SQRT(SUM(INDEX($FK394:$ID394,1+SwaptionShift):INDEX($FK394:$ID394,SwaptionMonthsToGo+SwaptionShift))*SUM(INDEX($FK$325:$ID$396,ID$169,1+SwaptionShift):INDEX($FK$325:$ID$396,ID$169,SwaptionMonthsToGo+SwaptionShift))))))</f>
        <v/>
      </c>
      <c r="IE239" s="129"/>
    </row>
    <row r="240" customFormat="false" ht="12.75" hidden="false" customHeight="false" outlineLevel="0" collapsed="false">
      <c r="H240" s="219" t="n">
        <f aca="false">VLOOKUP(I240,$EJ$20:$EL$54,3)</f>
        <v>0</v>
      </c>
      <c r="I240" s="511" t="n">
        <f aca="false">EOMONTH(I239,0)+1</f>
        <v>43466</v>
      </c>
      <c r="J240" s="512"/>
      <c r="K240" s="513" t="s">
        <v>280</v>
      </c>
      <c r="L240" s="514" t="n">
        <f aca="false">IF(ISNUMBER(K240),J240+K240/100,IF(K240="extra",L239+VLOOKUP(BF240,PriceSpreadTable,2)/12,IF(K240="inter",interpolateprices($K$19:$L$200,ROW(K240)-ROW(FirstPricingMonth)+1),interpolatechanges($J$19:$K$200,ROW(K240)-ROW(FirstPricingMonth)+1))))</f>
        <v>5.39999999999999</v>
      </c>
      <c r="M240" s="515"/>
      <c r="N240" s="516" t="n">
        <v>0</v>
      </c>
      <c r="O240" s="515" t="n">
        <f aca="false">M240+N240</f>
        <v>0</v>
      </c>
      <c r="P240" s="512"/>
      <c r="Q240" s="513" t="s">
        <v>280</v>
      </c>
      <c r="R240" s="512" t="e">
        <f aca="false">IF(ISNUMBER(Q240),P240+Q240/100,IF(Q240="extra",(Z238*AL238-R239*AM238)/AN238,IF(Q240="inter",interpolateprices($Q$19:$R$260,ROW(Q240)-ROW(FirstPricingMonth)+1),interpolatechanges($P$19:$Q$260,ROW(Q240)-ROW(FirstPricingMonth)+1))))</f>
        <v>#VALUE!</v>
      </c>
      <c r="S240" s="597" t="n">
        <f aca="false">S$19+(S239-S$19)*S$18</f>
        <v>0.36</v>
      </c>
      <c r="T240" s="575" t="n">
        <f aca="false">SQRT((1-(1-T239^2/U239)*T$18)*U240)</f>
        <v>1</v>
      </c>
      <c r="U240" s="576" t="n">
        <f aca="false">1-(1-U239)*U$18</f>
        <v>1</v>
      </c>
      <c r="V240" s="521" t="n">
        <v>0</v>
      </c>
      <c r="W240" s="577" t="n">
        <f aca="false">(J241*AJ240+J242*AK240)/AI240</f>
        <v>0</v>
      </c>
      <c r="X240" s="578" t="n">
        <f aca="false">(L241*AJ240+L242*AK240)/AI240</f>
        <v>5.4528409090909</v>
      </c>
      <c r="Y240" s="579" t="n">
        <f aca="false">IF(Q242="extra",W240-AA240,(P241*AM240+P242*AN240)/AL240)</f>
        <v>-1.1685</v>
      </c>
      <c r="Z240" s="579" t="n">
        <f aca="false">IF(Q242="extra",X240-AB240,(R241*AM240+R242*AN240)/AL240)</f>
        <v>4.2843409090909</v>
      </c>
      <c r="AA240" s="523" t="n">
        <f aca="false">IF(Q242="extra",INDEX(BrentSeasonalityTable,INT((BG240-1)/3)+1)*VLOOKUP(MAX(BF240,$AB$4),PriceSpreadTable,3),W240-Y240)</f>
        <v>1.1685</v>
      </c>
      <c r="AB240" s="524" t="n">
        <f aca="false">IF(Q242="extra",INDEX(BrentSeasonalityTable,INT((BG240-1)/3)+1)*VLOOKUP(MAX(BF240,$AB$4),PriceSpreadTable,3),X240-Z240)</f>
        <v>1.1685</v>
      </c>
      <c r="AC240" s="646" t="n">
        <v>43454</v>
      </c>
      <c r="AD240" s="646" t="n">
        <v>43450</v>
      </c>
      <c r="AE240" s="646" t="n">
        <v>43449</v>
      </c>
      <c r="AF240" s="646" t="n">
        <v>43445</v>
      </c>
      <c r="AG240" s="438" t="s">
        <v>278</v>
      </c>
      <c r="AH240" s="439" t="s">
        <v>278</v>
      </c>
      <c r="AI240" s="528" t="n">
        <v>22</v>
      </c>
      <c r="AJ240" s="529" t="n">
        <v>13</v>
      </c>
      <c r="AK240" s="529" t="n">
        <v>9</v>
      </c>
      <c r="AL240" s="530" t="n">
        <v>22</v>
      </c>
      <c r="AM240" s="529" t="n">
        <v>9</v>
      </c>
      <c r="AN240" s="531" t="n">
        <v>13</v>
      </c>
      <c r="AO240" s="532"/>
      <c r="AP240" s="465" t="n">
        <f aca="false">(1+AO240/2)^(-2*BL240)</f>
        <v>1</v>
      </c>
      <c r="AQ240" s="532"/>
      <c r="AR240" s="465" t="n">
        <f aca="false">(1+AQ240/2)^(-2*BH240/365.25)</f>
        <v>1</v>
      </c>
      <c r="AS240" s="580" t="n">
        <f aca="false">(O241*AJ240+O242*AK240)/AI240</f>
        <v>0</v>
      </c>
      <c r="AT240" s="468" t="n">
        <f aca="false">O240*VLOOKUP(BF240,BrentVolTable,2)+VLOOKUP(BF240,BrentVolTable,3)</f>
        <v>0</v>
      </c>
      <c r="AU240" s="468" t="n">
        <f aca="false">(AT241*AM240+AT242*AN240)/AL240</f>
        <v>0</v>
      </c>
      <c r="AV240" s="595" t="n">
        <f aca="false">SQRT(MAX(0.000000000001,(O240^2*BH240-S240^2*(BH240-BH239))/BH239))</f>
        <v>0.03939664717185</v>
      </c>
      <c r="AW240" s="451" t="n">
        <f aca="false">IF($I240-DateToday+15&gt;=$T$8,"",IF($I240-DateToday+15&lt;$T$5,1,MATCH($I240-DateToday+15,$T$5:$T$8)))</f>
        <v>1</v>
      </c>
      <c r="AX240" s="468" t="n">
        <f aca="false">IF($AW240="",AX239^2/AX238,INDEX(U$5:U$8,$AW240)^((INDEX($T$5:$T$8,$AW240+1)-($I240-DateToday+15))/(INDEX($T$5:$T$8,$AW240+1)-INDEX($T$5:$T$8,$AW240)))/INDEX(U$5:U$8,$AW240+1)^((INDEX($T$5:$T$8,$AW240)-($I240-DateToday+15))/(INDEX($T$5:$T$8,$AW240+1)-INDEX($T$5:$T$8,$AW240))))</f>
        <v>0.113770217910318</v>
      </c>
      <c r="AY240" s="468" t="n">
        <f aca="false">IF($AW240="",AY239^2/AY238,INDEX(V$5:V$8,$AW240)^((INDEX($T$5:$T$8,$AW240+1)-($I240-DateToday+15))/(INDEX($T$5:$T$8,$AW240+1)-INDEX($T$5:$T$8,$AW240)))/INDEX(V$5:V$8,$AW240+1)^((INDEX($T$5:$T$8,$AW240)-($I240-DateToday+15))/(INDEX($T$5:$T$8,$AW240+1)-INDEX($T$5:$T$8,$AW240))))</f>
        <v>0.49207849235811</v>
      </c>
      <c r="AZ240" s="468" t="n">
        <f aca="false">IF($AW240="",AZ239^2/AZ238,INDEX(W$5:W$8,$AW240)^((INDEX($T$5:$T$8,$AW240+1)-($I240-DateToday+15))/(INDEX($T$5:$T$8,$AW240+1)-INDEX($T$5:$T$8,$AW240)))/INDEX(W$5:W$8,$AW240+1)^((INDEX($T$5:$T$8,$AW240)-($I240-DateToday+15))/(INDEX($T$5:$T$8,$AW240+1)-INDEX($T$5:$T$8,$AW240))))</f>
        <v>9.65354933623803</v>
      </c>
      <c r="BA240" s="468" t="n">
        <f aca="false">IF($AW240="",BA239^2/BA238,INDEX(X$5:X$8,$AW240)^((INDEX($T$5:$T$8,$AW240+1)-($I240-DateToday+15))/(INDEX($T$5:$T$8,$AW240+1)-INDEX($T$5:$T$8,$AW240)))/INDEX(X$5:X$8,$AW240+1)^((INDEX($T$5:$T$8,$AW240)-($I240-DateToday+15))/(INDEX($T$5:$T$8,$AW240+1)-INDEX($T$5:$T$8,$AW240))))</f>
        <v>11.4404834540813</v>
      </c>
      <c r="BB240" s="468" t="n">
        <f aca="false">IF($AW240="",BB239^2/BB238,INDEX(Y$5:Y$8,$AW240)^((INDEX($T$5:$T$8,$AW240+1)-($I240-DateToday+15))/(INDEX($T$5:$T$8,$AW240+1)-INDEX($T$5:$T$8,$AW240)))/INDEX(Y$5:Y$8,$AW240+1)^((INDEX($T$5:$T$8,$AW240)-($I240-DateToday+15))/(INDEX($T$5:$T$8,$AW240+1)-INDEX($T$5:$T$8,$AW240))))</f>
        <v>35.8257959233179</v>
      </c>
      <c r="BC240" s="468" t="n">
        <f aca="false">IF($AW240="",BC239^2/BC238,INDEX(Z$5:Z$8,$AW240)^((INDEX($T$5:$T$8,$AW240+1)-($I240-DateToday+15))/(INDEX($T$5:$T$8,$AW240+1)-INDEX($T$5:$T$8,$AW240)))/INDEX(Z$5:Z$8,$AW240+1)^((INDEX($T$5:$T$8,$AW240)-($I240-DateToday+15))/(INDEX($T$5:$T$8,$AW240+1)-INDEX($T$5:$T$8,$AW240))))</f>
        <v>73.3177026056746</v>
      </c>
      <c r="BD240" s="535" t="n">
        <f aca="false">IF(OR(DateStart&gt;=I241,DateEnd&lt;I240),0,IF(VolumeOverrideFlag,V240,Volume))</f>
        <v>0</v>
      </c>
      <c r="BE240" s="536" t="n">
        <f aca="false">IF(OR(DateStart2&gt;=I241,DateEnd2&lt;I240),0,IF(VolumeOverrideFlag,V240,VolumeSwaption))</f>
        <v>0</v>
      </c>
      <c r="BF240" s="537" t="n">
        <f aca="false">YEAR(I240)</f>
        <v>2019</v>
      </c>
      <c r="BG240" s="538" t="n">
        <f aca="false">MONTH(I240)</f>
        <v>1</v>
      </c>
      <c r="BH240" s="539" t="n">
        <f aca="false">AD240-DateToday+1</f>
        <v>-2475</v>
      </c>
      <c r="BI240" s="540" t="n">
        <f aca="false">(I240-DateToday+1)/365.25</f>
        <v>-6.73237508555784</v>
      </c>
      <c r="BJ240" s="541" t="n">
        <f aca="false">BI240+(BL240-BI240)*CHOOSE(Underlying,AJ240/AI240,AM240/AL240)</f>
        <v>-6.68384045796777</v>
      </c>
      <c r="BK240" s="541" t="n">
        <f aca="false">BJ240+1/365.25</f>
        <v>-6.68110260718064</v>
      </c>
      <c r="BL240" s="541" t="n">
        <f aca="false">(I241-DateToday)/365.25</f>
        <v>-6.65023956194387</v>
      </c>
      <c r="BM240" s="542" t="e">
        <f aca="false">MAX(BI240-(BJ240-BI240)*(S241^2/O241^2-1),0)</f>
        <v>#DIV/0!</v>
      </c>
      <c r="BN240" s="541" t="e">
        <f aca="false">MAX(BL240+(BL240-BK240)*(S242^2/O242^2-1),0)</f>
        <v>#DIV/0!</v>
      </c>
      <c r="BO240" s="530" t="n">
        <f aca="false">CHOOSE(Underlying,AI240,AL240)</f>
        <v>22</v>
      </c>
      <c r="BP240" s="529" t="n">
        <f aca="false">CHOOSE(Underlying,AJ240,AM240)</f>
        <v>13</v>
      </c>
      <c r="BQ240" s="529" t="n">
        <f aca="false">CHOOSE(Underlying,AK240,AN240)</f>
        <v>9</v>
      </c>
      <c r="BR240" s="463" t="str">
        <f aca="false">IF(BD240,IF(Underlying=1,X240,Z240)+UnderlyingPriceAsian-SwapPriceCurve,"")</f>
        <v/>
      </c>
      <c r="BS240" s="463" t="str">
        <f aca="false">IF(BD240,Strike1/BR240-1,"")</f>
        <v/>
      </c>
      <c r="BT240" s="464" t="str">
        <f aca="false">IF(BD240,Strike2/BR240-1,"")</f>
        <v/>
      </c>
      <c r="BU240" s="465" t="str">
        <f aca="false">IF(BD240,IF(Underlying=1,L241,R241)+UnderlyingPriceAsian-SwapPriceCurve,"")</f>
        <v/>
      </c>
      <c r="BV240" s="465" t="str">
        <f aca="false">IF(BD240,IF(Underlying=1,L242,R242)+UnderlyingPriceAsian-SwapPriceCurve,"")</f>
        <v/>
      </c>
      <c r="BW240" s="466" t="str">
        <f aca="false">IF(BD240,IF(Underlying=1,O241,AT241),"")</f>
        <v/>
      </c>
      <c r="BX240" s="467" t="str">
        <f aca="false">IF(BD240,IF(Underlying=1,O242,AT242),"")</f>
        <v/>
      </c>
      <c r="BY240" s="466" t="str">
        <f aca="false">IF(BD240,IF(BS240&gt;0,IF(BS240&gt;0.2,BC240-BB240,IF(BS240&gt;0.1,BB240-BA240,BA240)),IF(BS240&lt;-0.2,AX240-AY240,IF(BS240&lt;-0.1,AY240-AZ240,AZ240))),"")</f>
        <v/>
      </c>
      <c r="BZ240" s="467" t="str">
        <f aca="false">IF(BD240,IF(BT240&gt;0,IF(BT240&gt;0.2,BC240-BB240,IF(BT240&gt;0.1,BB240-BA240,BA240)),IF(BT240&lt;-0.2,AX240-AY240,IF(BT240&lt;-0.1,AY240-AZ240,AZ240))),"")</f>
        <v/>
      </c>
      <c r="CA240" s="468" t="str">
        <f aca="false">IF($BD240,$BW240+IF(VolSkewFlag=1,IF(BS240&gt;0,$BA240*MIN(BS240/10%,1)+($BB240-$BA240)*MAX(0,MIN(BS240/10%-1,1))+($BC240-$BB240)*MAX(0,BS240/10%-2),$AZ240*MIN(-BS240/10%,1)+($AY240-$AZ240)*MAX(0,MIN(-BS240/10%-1,1))+($AX240-$AY240)*MAX(0,-BS240/10%-2)),0),"")</f>
        <v/>
      </c>
      <c r="CB240" s="468" t="str">
        <f aca="false">IF($BD240,$BX240+IF(VolSkewFlag=1,IF(BS240&gt;0,$BA240*MIN(BS240/10%,1)+($BB240-$BA240)*MAX(0,MIN(BS240/10%-1,1))+($BC240-$BB240)*MAX(0,BS240/10%-2),$AZ240*MIN(-BS240/10%,1)+($AY240-$AZ240)*MAX(0,MIN(-BS240/10%-1,1))+($AX240-$AY240)*MAX(0,-BS240/10%-2)),0),"")</f>
        <v/>
      </c>
      <c r="CC240" s="468" t="str">
        <f aca="false">IF($BD240,$BW240+IF(VolSkewFlag=1,IF(BT240&gt;0,$BA240*MIN(BT240/10%,1)+($BB240-$BA240)*MAX(0,MIN(BT240/10%-1,1))+($BC240-$BB240)*MAX(0,BT240/10%-2),$AZ240*MIN(-BT240/10%,1)+($AY240-$AZ240)*MAX(0,MIN(-BT240/10%-1,1))+($AX240-$AY240)*MAX(0,-BT240/10%-2)),0),"")</f>
        <v/>
      </c>
      <c r="CD240" s="468" t="str">
        <f aca="false">IF($BD240,$BX240+IF(VolSkewFlag=1,IF(BT240&gt;0,$BA240*MIN(BT240/10%,1)+($BB240-$BA240)*MAX(0,MIN(BT240/10%-1,1))+($BC240-$BB240)*MAX(0,BT240/10%-2),$AZ240*MIN(-BT240/10%,1)+($AY240-$AZ240)*MAX(0,MIN(-BT240/10%-1,1))+($AX240-$AY240)*MAX(0,-BT240/10%-2)),0),"")</f>
        <v/>
      </c>
      <c r="CE240" s="469" t="n">
        <v>1</v>
      </c>
      <c r="CF240" s="470" t="n">
        <f aca="false">IF(BD240,xCrudeAPO(BU240,BV240,CA240,CB240,S241,S242,BI240,BL240,BP240,BQ240,0,Strike1,AO240,CE240,0,BL240,IF(OptControl=4,0,1),0,1),0)</f>
        <v>0</v>
      </c>
      <c r="CG240" s="470" t="n">
        <f aca="false">IF(BD240,xCrudeAPO(BU240,BV240,CA240,CB240,S241,S242,BI240,BL240,BP240,BQ240,0,Strike1,AO240,CE240,0,BL240,IF(OptControl=4,0,1),1,1)+xCrudeAPO(BU240,BV240,CA240,CB240,S241,S242,BI240,BL240,BP240,BQ240,0,Strike1,AO240,CE240,0,BL240,IF(OptControl=4,0,1),1,2)+IF(OR(VolSkewFlag=2,ABS(BS240)&lt;0.0001),0,IF(BS240&gt;0,-1,1)*CH240*Strike1/BR240^2*BY240/10%),0)</f>
        <v>0</v>
      </c>
      <c r="CH240" s="470" t="n">
        <f aca="false">IF(BD240,(xCrudeAPO(BU240,BV240,CA240,CB240,S241,S242,BI240,BL240,BP240,BQ240,0,Strike1,AO240,CE240,0,BL240,IF(OptControl=4,0,1),3,1)+xCrudeAPO(BU240,BV240,CA240,CB240,S241,S242,BI240,BL240,BP240,BQ240,0,Strike1,AO240,CE240,0,BL240,IF(OptControl=4,0,1),3,2))/100,0)</f>
        <v>0</v>
      </c>
      <c r="CI240" s="470" t="n">
        <f aca="false">IF(BD240,xCrudeAPO(BU240,BV240,CA240,CB240,S241,S242,BI240-DaysForThetaCalculation/365.25,BL240-DaysForThetaCalculation/365.25,BP240,BQ240,0,Strike1,AO240,CE240,0,BL240,IF(OptControl=4,0,1),0,1)-xCrudeAPO(BU240,BV240,CA240,CB240,S241,S242,BI240,BL240,BP240,BQ240,0,Strike1,AO240,CE240,0,BL240,IF(OptControl=4,0,1),0,1),0)</f>
        <v>0</v>
      </c>
      <c r="CJ240" s="471" t="n">
        <f aca="false">IF(BD240,xCrudeAPO(BU240,BV240,CC240,CD240,S241,S242,BI240,BL240,BP240,BQ240,0,Strike2,AO240,CE240,0,BL240,IF(OptControl=3,1,0),0,1),0)</f>
        <v>0</v>
      </c>
      <c r="CK240" s="470" t="n">
        <f aca="false">IF(BD240,xCrudeAPO(BU240,BV240,CC240,CD240,S241,S242,BI240,BL240,BP240,BQ240,0,Strike2,AO240,CE240,0,BL240,IF(OptControl=3,1,0),1,1)+xCrudeAPO(BU240,BV240,CC240,CD240,S241,S242,BI240,BL240,BP240,BQ240,0,Strike2,AO240,CE240,0,BL240,IF(OptControl=3,1,0),1,2)+IF(OR(VolSkewFlag=2,ABS(BT240)&lt;0.0001),0,IF(BT240&gt;0,-1,1)*CL240*Strike2/BR240^2*BZ240/10%),0)</f>
        <v>0</v>
      </c>
      <c r="CL240" s="470" t="n">
        <f aca="false">IF(BD240,(xCrudeAPO(BU240,BV240,CC240,CD240,S241,S242,BI240,BL240,BP240,BQ240,0,Strike2,AO240,CE240,0,BL240,IF(OptControl=3,1,0),3,1)+xCrudeAPO(BU240,BV240,CC240,CD240,S241,S242,BI240,BL240,BP240,BQ240,0,Strike2,AO240,CE240,0,BL240,IF(OptControl=3,1,0),3,2))/100,0)</f>
        <v>0</v>
      </c>
      <c r="CM240" s="472" t="n">
        <f aca="false">IF(BD240,xCrudeAPO(BU240,BV240,CC240,CD240,S241,S242,BI240-DaysForThetaCalculation/365.25,BL240-DaysForThetaCalculation/365.25,BP240,BQ240,0,Strike2,AO240,CE240,0,BL240,IF(OptControl=3,1,0),0,1)-xCrudeAPO(BU240,BV240,CC240,CD240,S241,S242,BI240,BL240,BP240,BQ240,0,Strike2,AO240,CE240,0,BL240,IF(OptControl=3,1,0),0,1),0)</f>
        <v>0</v>
      </c>
      <c r="CN240" s="3"/>
      <c r="CO240" s="543" t="str">
        <f aca="false">IF(BD240,CHOOSE(Underlying,AD240,AF240)-DateToday+1,"")</f>
        <v/>
      </c>
      <c r="CP240" s="582" t="str">
        <f aca="false">IF(BD240,CHOOSE(Underlying,L240,R240),"")</f>
        <v/>
      </c>
      <c r="CQ240" s="544" t="str">
        <f aca="false">IF(BD240,Strike1/CP240-1,"")</f>
        <v/>
      </c>
      <c r="CR240" s="544" t="str">
        <f aca="false">IF(BD240,Strike2/CP240-1,"")</f>
        <v/>
      </c>
      <c r="CS240" s="544" t="str">
        <f aca="false">IF(BD240,IF(CQ240&gt;0,IF(CQ240&gt;0.2,BC239-BB239,IF(CQ240&gt;0.1,BB239-BA239,BA239)),IF(CQ240&lt;-0.2,AX239-AY239,IF(CQ240&lt;-0.1,AY239-AZ239,AZ239))),"")</f>
        <v/>
      </c>
      <c r="CT240" s="544" t="str">
        <f aca="false">IF(BD240,IF(CR240&gt;0,IF(CR240&gt;0.2,BC239-BB239,IF(CR240&gt;0.1,BB239-BA239,BA239)),IF(CR240&lt;-0.2,AX239-AY239,IF(CR240&lt;-0.1,AY239-AZ239,AZ239))),"")</f>
        <v/>
      </c>
      <c r="CU240" s="545" t="str">
        <f aca="false">IF(BD240,CHOOSE(Underlying,O240,AT240),"")</f>
        <v/>
      </c>
      <c r="CV240" s="545" t="str">
        <f aca="false">IF(BD240,CU240+IF(VolSkewFlag=1,IF(CQ240&gt;0,BA239*MIN(CQ240/10%,1)+(BB239-BA239)*MAX(0,MIN(CQ240/10%-1,1))+(BC239-BB239)*MAX(0,CQ240/10%-2),AZ239*MIN(-CQ240/10%,1)+(AY239-AZ239)*MAX(0,MIN(-CQ240/10%-1,1))+(AX239-AY239)*MAX(0,-CQ240/10%-2)),0),"")</f>
        <v/>
      </c>
      <c r="CW240" s="545" t="str">
        <f aca="false">IF(BD240,CU240+IF(VolSkewFlag=1,IF(CR240&gt;0,BA239*MIN(CR240/10%,1)+(BB239-BA239)*MAX(0,MIN(CR240/10%-1,1))+(BC239-BB239)*MAX(0,CR240/10%-2),AZ239*MIN(-CR240/10%,1)+(AY239-AZ239)*MAX(0,MIN(-CR240/10%-1,1))+(AX239-AY239)*MAX(0,-CR240/10%-2)),0),"")</f>
        <v/>
      </c>
      <c r="CX240" s="470" t="n">
        <f aca="false">IF(BD240,EURO(CP240,Strike1,AO240,AO240,CV240,CO240,IF(OptControl=4,0,1),0),0)</f>
        <v>0</v>
      </c>
      <c r="CY240" s="470" t="n">
        <f aca="false">IF(BD240,EURO(CP240,Strike1,AO240,AO240,CV240,CO240,IF(OptControl=4,0,1),1)+IF(OR(VolSkewFlag=2,ABS(CQ240)&lt;0.0001),0,IF(CQ240&gt;0,-1,1)*CZ240*100*Strike1/CP240^2*CS240/10%),0)</f>
        <v>0</v>
      </c>
      <c r="CZ240" s="470" t="n">
        <f aca="false">IF(BD240,EURO(CP240,Strike1,AO240,AO240,CV240,CO240,IF(OptControl=4,0,1),3)/100,0)</f>
        <v>0</v>
      </c>
      <c r="DA240" s="470" t="n">
        <f aca="false">IF(BD240,EURO(CP240,Strike1,AO240,AO240,CV240,CO240,IF(OptControl=4,0,1),0)-EURO(CP240,Strike1,AO240,AO240,CV240,CO240-1,IF(OptControl=4,0,1),0),0)</f>
        <v>0</v>
      </c>
      <c r="DB240" s="470" t="n">
        <f aca="false">IF(BD240,EURO(CP240,Strike2,AO240,AO240,CW240,CO240,IF(OptControl=3,1,0),0),0)</f>
        <v>0</v>
      </c>
      <c r="DC240" s="470" t="n">
        <f aca="false">IF(BD240,EURO(CP240,Strike2,AO240,AO240,CW240,CO240,IF(OptControl=3,1,0),1)+IF(OR(VolSkewFlag=2,ABS(CR240)&lt;0.0001),0,IF(CR240&gt;0,-1,1)*DD240*100*Strike2/CP240^2*CT240/10%),0)</f>
        <v>0</v>
      </c>
      <c r="DD240" s="470" t="n">
        <f aca="false">IF(BD240,EURO(CP240,Strike2,AO240,AO240,CW240,CO240,IF(OptControl=3,1,0),3)/100,0)</f>
        <v>0</v>
      </c>
      <c r="DE240" s="472" t="n">
        <f aca="false">IF(BD240,EURO(CP240,Strike2,AO240,AO240,CW240,CO240,IF(OptControl=3,1,0),0)-EURO(CP240,Strike2,AO240,AO240,CW240,CO240-1,IF(OptControl=3,1,0),0),0)</f>
        <v>0</v>
      </c>
      <c r="DG240" s="481" t="n">
        <f aca="false">EOMONTH(DG239,0)+1</f>
        <v>52383</v>
      </c>
      <c r="DH240" s="478" t="n">
        <v>25.1600000000001</v>
      </c>
      <c r="DI240" s="479" t="n">
        <v>25.2266666666668</v>
      </c>
      <c r="DJ240" s="480" t="n">
        <f aca="false">DG240</f>
        <v>52383</v>
      </c>
      <c r="DK240" s="478" t="n">
        <v>23.7299272418443</v>
      </c>
      <c r="DL240" s="479" t="n">
        <v>23.9351666666668</v>
      </c>
      <c r="DM240" s="481" t="n">
        <f aca="false">DG240</f>
        <v>52383</v>
      </c>
      <c r="DN240" s="482" t="n">
        <f aca="false">DK240+BrentPhyBrentSpread</f>
        <v>23.7799272418443</v>
      </c>
      <c r="DO240" s="481" t="n">
        <f aca="false">DG240</f>
        <v>52383</v>
      </c>
      <c r="DP240" s="483" t="n">
        <f aca="false">DL240+DQ240</f>
        <v>23.9351666666668</v>
      </c>
      <c r="DQ240" s="546" t="n">
        <v>0</v>
      </c>
      <c r="DR240" s="480" t="n">
        <f aca="false">DG240</f>
        <v>52383</v>
      </c>
      <c r="DS240" s="485" t="n">
        <v>0.092599999999997</v>
      </c>
      <c r="DT240" s="486" t="n">
        <v>0.091799999999997</v>
      </c>
      <c r="DU240" s="480" t="n">
        <f aca="false">DG240</f>
        <v>52383</v>
      </c>
      <c r="DV240" s="485" t="n">
        <v>0.092599999999997</v>
      </c>
      <c r="DW240" s="486" t="n">
        <v>0.091799999999997</v>
      </c>
      <c r="DX240" s="481" t="n">
        <f aca="false">DG240</f>
        <v>52383</v>
      </c>
      <c r="DY240" s="486" t="n">
        <v>0.35</v>
      </c>
      <c r="DZ240" s="481" t="n">
        <f aca="false">DR240</f>
        <v>52383</v>
      </c>
      <c r="EA240" s="486" t="n">
        <f aca="false">DT240</f>
        <v>0.091799999999997</v>
      </c>
      <c r="EB240" s="195"/>
      <c r="EC240" s="547" t="str">
        <f aca="false">IF(BD240,IF(Underlying=1,AS240,AU240),"")</f>
        <v/>
      </c>
      <c r="ED240" s="548" t="str">
        <f aca="false">IF($BD240,$EC240+IF(VolSkewFlag=1,IF(BS240&gt;0,$BA240*MIN(BS240/10%,1)+($BB240-$BA240)*MAX(0,MIN(BS240/10%-1,1))+($BC240-$BB240)*MAX(0,BS240/10%-2),$AZ240*MIN(-BS240/10%,1)+($AY240-$AZ240)*MAX(0,MIN(-BS240/10%-1,1))+($AX240-$AY240)*MAX(0,-BS240/10%-2)),0),"")</f>
        <v/>
      </c>
      <c r="EE240" s="549" t="str">
        <f aca="false">IF($BD240,$EC240+IF(VolSkewFlag=1,IF(BT240&gt;0,$BA240*MIN(BT240/10%,1)+($BB240-$BA240)*MAX(0,MIN(BT240/10%-1,1))+($BC240-$BB240)*MAX(0,BT240/10%-2),$AZ240*MIN(-BT240/10%,1)+($AY240-$AZ240)*MAX(0,MIN(-BT240/10%-1,1))+($AX240-$AY240)*MAX(0,-BT240/10%-2)),0),"")</f>
        <v/>
      </c>
      <c r="EF240" s="550" t="n">
        <f aca="false">IF(BD240,xASN(BR240,Strike1,AO240,ED240,0,BO240,0,BI240,BL240,IF(OptControl=4,0,1),0),0)</f>
        <v>0</v>
      </c>
      <c r="EG240" s="551" t="n">
        <f aca="false">IF(BD240,xASN(BR240,Strike2,AO240,EE240,0,BO240,0,BI240,BL240,IF(OptControl=3,1,0),0),0)</f>
        <v>0</v>
      </c>
      <c r="EL240" s="1"/>
      <c r="EM240" s="195"/>
      <c r="EN240" s="240"/>
      <c r="EO240" s="240"/>
      <c r="EP240" s="195"/>
      <c r="EQ240" s="407" t="s">
        <v>468</v>
      </c>
      <c r="ES240" s="1"/>
      <c r="EU240" s="672"/>
      <c r="FJ240" s="571" t="n">
        <v>71</v>
      </c>
      <c r="FK240" s="150" t="str">
        <f aca="false">IF(OR(FK$169&lt;SwaptionFirstMonthPosition+1,$FJ240&lt;SwaptionFirstMonthPosition+1,FK$169&gt;SwaptionFirstMonthPosition+SwaptionNumOfMonths+1,$FJ240&gt;SwaptionFirstMonthPosition+SwaptionNumOfMonths+1),"",IF($FJ240=FK$169,1,IF($FJ240&lt;FK$169,INDEX($FK$170:$ID$241,FK$169,$FJ240),SUMPRODUCT(INDEX($FK$325:$ID$396,FK$169,1+SwaptionShift):INDEX($FK$325:$ID$396,FK$169,SwaptionMonthsToGo+SwaptionShift),INDEX($FK$245:$ID$316,$FJ240-FK$169,73-FK$169+SwaptionShift):INDEX($FK$245:$ID$316,$FJ240-FK$169,72-FK$169+SwaptionMonthsToGo+SwaptionShift))/SQRT(SUM(INDEX($FK395:$ID395,1+SwaptionShift):INDEX($FK395:$ID395,SwaptionMonthsToGo+SwaptionShift))*SUM(INDEX($FK$325:$ID$396,FK$169,1+SwaptionShift):INDEX($FK$325:$ID$396,FK$169,SwaptionMonthsToGo+SwaptionShift))))))</f>
        <v/>
      </c>
      <c r="FL240" s="150" t="str">
        <f aca="false">IF(OR(FL$169&lt;SwaptionFirstMonthPosition+1,$FJ240&lt;SwaptionFirstMonthPosition+1,FL$169&gt;SwaptionFirstMonthPosition+SwaptionNumOfMonths+1,$FJ240&gt;SwaptionFirstMonthPosition+SwaptionNumOfMonths+1),"",IF($FJ240=FL$169,1,IF($FJ240&lt;FL$169,INDEX($FK$170:$ID$241,FL$169,$FJ240),SUMPRODUCT(INDEX($FK$325:$ID$396,FL$169,1+SwaptionShift):INDEX($FK$325:$ID$396,FL$169,SwaptionMonthsToGo+SwaptionShift),INDEX($FK$245:$ID$316,$FJ240-FL$169,73-FL$169+SwaptionShift):INDEX($FK$245:$ID$316,$FJ240-FL$169,72-FL$169+SwaptionMonthsToGo+SwaptionShift))/SQRT(SUM(INDEX($FK395:$ID395,1+SwaptionShift):INDEX($FK395:$ID395,SwaptionMonthsToGo+SwaptionShift))*SUM(INDEX($FK$325:$ID$396,FL$169,1+SwaptionShift):INDEX($FK$325:$ID$396,FL$169,SwaptionMonthsToGo+SwaptionShift))))))</f>
        <v/>
      </c>
      <c r="FM240" s="150" t="str">
        <f aca="false">IF(OR(FM$169&lt;SwaptionFirstMonthPosition+1,$FJ240&lt;SwaptionFirstMonthPosition+1,FM$169&gt;SwaptionFirstMonthPosition+SwaptionNumOfMonths+1,$FJ240&gt;SwaptionFirstMonthPosition+SwaptionNumOfMonths+1),"",IF($FJ240=FM$169,1,IF($FJ240&lt;FM$169,INDEX($FK$170:$ID$241,FM$169,$FJ240),SUMPRODUCT(INDEX($FK$325:$ID$396,FM$169,1+SwaptionShift):INDEX($FK$325:$ID$396,FM$169,SwaptionMonthsToGo+SwaptionShift),INDEX($FK$245:$ID$316,$FJ240-FM$169,73-FM$169+SwaptionShift):INDEX($FK$245:$ID$316,$FJ240-FM$169,72-FM$169+SwaptionMonthsToGo+SwaptionShift))/SQRT(SUM(INDEX($FK395:$ID395,1+SwaptionShift):INDEX($FK395:$ID395,SwaptionMonthsToGo+SwaptionShift))*SUM(INDEX($FK$325:$ID$396,FM$169,1+SwaptionShift):INDEX($FK$325:$ID$396,FM$169,SwaptionMonthsToGo+SwaptionShift))))))</f>
        <v/>
      </c>
      <c r="FN240" s="150" t="str">
        <f aca="false">IF(OR(FN$169&lt;SwaptionFirstMonthPosition+1,$FJ240&lt;SwaptionFirstMonthPosition+1,FN$169&gt;SwaptionFirstMonthPosition+SwaptionNumOfMonths+1,$FJ240&gt;SwaptionFirstMonthPosition+SwaptionNumOfMonths+1),"",IF($FJ240=FN$169,1,IF($FJ240&lt;FN$169,INDEX($FK$170:$ID$241,FN$169,$FJ240),SUMPRODUCT(INDEX($FK$325:$ID$396,FN$169,1+SwaptionShift):INDEX($FK$325:$ID$396,FN$169,SwaptionMonthsToGo+SwaptionShift),INDEX($FK$245:$ID$316,$FJ240-FN$169,73-FN$169+SwaptionShift):INDEX($FK$245:$ID$316,$FJ240-FN$169,72-FN$169+SwaptionMonthsToGo+SwaptionShift))/SQRT(SUM(INDEX($FK395:$ID395,1+SwaptionShift):INDEX($FK395:$ID395,SwaptionMonthsToGo+SwaptionShift))*SUM(INDEX($FK$325:$ID$396,FN$169,1+SwaptionShift):INDEX($FK$325:$ID$396,FN$169,SwaptionMonthsToGo+SwaptionShift))))))</f>
        <v/>
      </c>
      <c r="FO240" s="150" t="str">
        <f aca="false">IF(OR(FO$169&lt;SwaptionFirstMonthPosition+1,$FJ240&lt;SwaptionFirstMonthPosition+1,FO$169&gt;SwaptionFirstMonthPosition+SwaptionNumOfMonths+1,$FJ240&gt;SwaptionFirstMonthPosition+SwaptionNumOfMonths+1),"",IF($FJ240=FO$169,1,IF($FJ240&lt;FO$169,INDEX($FK$170:$ID$241,FO$169,$FJ240),SUMPRODUCT(INDEX($FK$325:$ID$396,FO$169,1+SwaptionShift):INDEX($FK$325:$ID$396,FO$169,SwaptionMonthsToGo+SwaptionShift),INDEX($FK$245:$ID$316,$FJ240-FO$169,73-FO$169+SwaptionShift):INDEX($FK$245:$ID$316,$FJ240-FO$169,72-FO$169+SwaptionMonthsToGo+SwaptionShift))/SQRT(SUM(INDEX($FK395:$ID395,1+SwaptionShift):INDEX($FK395:$ID395,SwaptionMonthsToGo+SwaptionShift))*SUM(INDEX($FK$325:$ID$396,FO$169,1+SwaptionShift):INDEX($FK$325:$ID$396,FO$169,SwaptionMonthsToGo+SwaptionShift))))))</f>
        <v/>
      </c>
      <c r="FP240" s="150" t="str">
        <f aca="false">IF(OR(FP$169&lt;SwaptionFirstMonthPosition+1,$FJ240&lt;SwaptionFirstMonthPosition+1,FP$169&gt;SwaptionFirstMonthPosition+SwaptionNumOfMonths+1,$FJ240&gt;SwaptionFirstMonthPosition+SwaptionNumOfMonths+1),"",IF($FJ240=FP$169,1,IF($FJ240&lt;FP$169,INDEX($FK$170:$ID$241,FP$169,$FJ240),SUMPRODUCT(INDEX($FK$325:$ID$396,FP$169,1+SwaptionShift):INDEX($FK$325:$ID$396,FP$169,SwaptionMonthsToGo+SwaptionShift),INDEX($FK$245:$ID$316,$FJ240-FP$169,73-FP$169+SwaptionShift):INDEX($FK$245:$ID$316,$FJ240-FP$169,72-FP$169+SwaptionMonthsToGo+SwaptionShift))/SQRT(SUM(INDEX($FK395:$ID395,1+SwaptionShift):INDEX($FK395:$ID395,SwaptionMonthsToGo+SwaptionShift))*SUM(INDEX($FK$325:$ID$396,FP$169,1+SwaptionShift):INDEX($FK$325:$ID$396,FP$169,SwaptionMonthsToGo+SwaptionShift))))))</f>
        <v/>
      </c>
      <c r="FQ240" s="150" t="str">
        <f aca="false">IF(OR(FQ$169&lt;SwaptionFirstMonthPosition+1,$FJ240&lt;SwaptionFirstMonthPosition+1,FQ$169&gt;SwaptionFirstMonthPosition+SwaptionNumOfMonths+1,$FJ240&gt;SwaptionFirstMonthPosition+SwaptionNumOfMonths+1),"",IF($FJ240=FQ$169,1,IF($FJ240&lt;FQ$169,INDEX($FK$170:$ID$241,FQ$169,$FJ240),SUMPRODUCT(INDEX($FK$325:$ID$396,FQ$169,1+SwaptionShift):INDEX($FK$325:$ID$396,FQ$169,SwaptionMonthsToGo+SwaptionShift),INDEX($FK$245:$ID$316,$FJ240-FQ$169,73-FQ$169+SwaptionShift):INDEX($FK$245:$ID$316,$FJ240-FQ$169,72-FQ$169+SwaptionMonthsToGo+SwaptionShift))/SQRT(SUM(INDEX($FK395:$ID395,1+SwaptionShift):INDEX($FK395:$ID395,SwaptionMonthsToGo+SwaptionShift))*SUM(INDEX($FK$325:$ID$396,FQ$169,1+SwaptionShift):INDEX($FK$325:$ID$396,FQ$169,SwaptionMonthsToGo+SwaptionShift))))))</f>
        <v/>
      </c>
      <c r="FR240" s="150" t="str">
        <f aca="false">IF(OR(FR$169&lt;SwaptionFirstMonthPosition+1,$FJ240&lt;SwaptionFirstMonthPosition+1,FR$169&gt;SwaptionFirstMonthPosition+SwaptionNumOfMonths+1,$FJ240&gt;SwaptionFirstMonthPosition+SwaptionNumOfMonths+1),"",IF($FJ240=FR$169,1,IF($FJ240&lt;FR$169,INDEX($FK$170:$ID$241,FR$169,$FJ240),SUMPRODUCT(INDEX($FK$325:$ID$396,FR$169,1+SwaptionShift):INDEX($FK$325:$ID$396,FR$169,SwaptionMonthsToGo+SwaptionShift),INDEX($FK$245:$ID$316,$FJ240-FR$169,73-FR$169+SwaptionShift):INDEX($FK$245:$ID$316,$FJ240-FR$169,72-FR$169+SwaptionMonthsToGo+SwaptionShift))/SQRT(SUM(INDEX($FK395:$ID395,1+SwaptionShift):INDEX($FK395:$ID395,SwaptionMonthsToGo+SwaptionShift))*SUM(INDEX($FK$325:$ID$396,FR$169,1+SwaptionShift):INDEX($FK$325:$ID$396,FR$169,SwaptionMonthsToGo+SwaptionShift))))))</f>
        <v/>
      </c>
      <c r="FS240" s="150" t="str">
        <f aca="false">IF(OR(FS$169&lt;SwaptionFirstMonthPosition+1,$FJ240&lt;SwaptionFirstMonthPosition+1,FS$169&gt;SwaptionFirstMonthPosition+SwaptionNumOfMonths+1,$FJ240&gt;SwaptionFirstMonthPosition+SwaptionNumOfMonths+1),"",IF($FJ240=FS$169,1,IF($FJ240&lt;FS$169,INDEX($FK$170:$ID$241,FS$169,$FJ240),SUMPRODUCT(INDEX($FK$325:$ID$396,FS$169,1+SwaptionShift):INDEX($FK$325:$ID$396,FS$169,SwaptionMonthsToGo+SwaptionShift),INDEX($FK$245:$ID$316,$FJ240-FS$169,73-FS$169+SwaptionShift):INDEX($FK$245:$ID$316,$FJ240-FS$169,72-FS$169+SwaptionMonthsToGo+SwaptionShift))/SQRT(SUM(INDEX($FK395:$ID395,1+SwaptionShift):INDEX($FK395:$ID395,SwaptionMonthsToGo+SwaptionShift))*SUM(INDEX($FK$325:$ID$396,FS$169,1+SwaptionShift):INDEX($FK$325:$ID$396,FS$169,SwaptionMonthsToGo+SwaptionShift))))))</f>
        <v/>
      </c>
      <c r="FT240" s="150" t="str">
        <f aca="false">IF(OR(FT$169&lt;SwaptionFirstMonthPosition+1,$FJ240&lt;SwaptionFirstMonthPosition+1,FT$169&gt;SwaptionFirstMonthPosition+SwaptionNumOfMonths+1,$FJ240&gt;SwaptionFirstMonthPosition+SwaptionNumOfMonths+1),"",IF($FJ240=FT$169,1,IF($FJ240&lt;FT$169,INDEX($FK$170:$ID$241,FT$169,$FJ240),SUMPRODUCT(INDEX($FK$325:$ID$396,FT$169,1+SwaptionShift):INDEX($FK$325:$ID$396,FT$169,SwaptionMonthsToGo+SwaptionShift),INDEX($FK$245:$ID$316,$FJ240-FT$169,73-FT$169+SwaptionShift):INDEX($FK$245:$ID$316,$FJ240-FT$169,72-FT$169+SwaptionMonthsToGo+SwaptionShift))/SQRT(SUM(INDEX($FK395:$ID395,1+SwaptionShift):INDEX($FK395:$ID395,SwaptionMonthsToGo+SwaptionShift))*SUM(INDEX($FK$325:$ID$396,FT$169,1+SwaptionShift):INDEX($FK$325:$ID$396,FT$169,SwaptionMonthsToGo+SwaptionShift))))))</f>
        <v/>
      </c>
      <c r="FU240" s="150" t="str">
        <f aca="false">IF(OR(FU$169&lt;SwaptionFirstMonthPosition+1,$FJ240&lt;SwaptionFirstMonthPosition+1,FU$169&gt;SwaptionFirstMonthPosition+SwaptionNumOfMonths+1,$FJ240&gt;SwaptionFirstMonthPosition+SwaptionNumOfMonths+1),"",IF($FJ240=FU$169,1,IF($FJ240&lt;FU$169,INDEX($FK$170:$ID$241,FU$169,$FJ240),SUMPRODUCT(INDEX($FK$325:$ID$396,FU$169,1+SwaptionShift):INDEX($FK$325:$ID$396,FU$169,SwaptionMonthsToGo+SwaptionShift),INDEX($FK$245:$ID$316,$FJ240-FU$169,73-FU$169+SwaptionShift):INDEX($FK$245:$ID$316,$FJ240-FU$169,72-FU$169+SwaptionMonthsToGo+SwaptionShift))/SQRT(SUM(INDEX($FK395:$ID395,1+SwaptionShift):INDEX($FK395:$ID395,SwaptionMonthsToGo+SwaptionShift))*SUM(INDEX($FK$325:$ID$396,FU$169,1+SwaptionShift):INDEX($FK$325:$ID$396,FU$169,SwaptionMonthsToGo+SwaptionShift))))))</f>
        <v/>
      </c>
      <c r="FV240" s="150" t="str">
        <f aca="false">IF(OR(FV$169&lt;SwaptionFirstMonthPosition+1,$FJ240&lt;SwaptionFirstMonthPosition+1,FV$169&gt;SwaptionFirstMonthPosition+SwaptionNumOfMonths+1,$FJ240&gt;SwaptionFirstMonthPosition+SwaptionNumOfMonths+1),"",IF($FJ240=FV$169,1,IF($FJ240&lt;FV$169,INDEX($FK$170:$ID$241,FV$169,$FJ240),SUMPRODUCT(INDEX($FK$325:$ID$396,FV$169,1+SwaptionShift):INDEX($FK$325:$ID$396,FV$169,SwaptionMonthsToGo+SwaptionShift),INDEX($FK$245:$ID$316,$FJ240-FV$169,73-FV$169+SwaptionShift):INDEX($FK$245:$ID$316,$FJ240-FV$169,72-FV$169+SwaptionMonthsToGo+SwaptionShift))/SQRT(SUM(INDEX($FK395:$ID395,1+SwaptionShift):INDEX($FK395:$ID395,SwaptionMonthsToGo+SwaptionShift))*SUM(INDEX($FK$325:$ID$396,FV$169,1+SwaptionShift):INDEX($FK$325:$ID$396,FV$169,SwaptionMonthsToGo+SwaptionShift))))))</f>
        <v/>
      </c>
      <c r="FW240" s="150" t="str">
        <f aca="false">IF(OR(FW$169&lt;SwaptionFirstMonthPosition+1,$FJ240&lt;SwaptionFirstMonthPosition+1,FW$169&gt;SwaptionFirstMonthPosition+SwaptionNumOfMonths+1,$FJ240&gt;SwaptionFirstMonthPosition+SwaptionNumOfMonths+1),"",IF($FJ240=FW$169,1,IF($FJ240&lt;FW$169,INDEX($FK$170:$ID$241,FW$169,$FJ240),SUMPRODUCT(INDEX($FK$325:$ID$396,FW$169,1+SwaptionShift):INDEX($FK$325:$ID$396,FW$169,SwaptionMonthsToGo+SwaptionShift),INDEX($FK$245:$ID$316,$FJ240-FW$169,73-FW$169+SwaptionShift):INDEX($FK$245:$ID$316,$FJ240-FW$169,72-FW$169+SwaptionMonthsToGo+SwaptionShift))/SQRT(SUM(INDEX($FK395:$ID395,1+SwaptionShift):INDEX($FK395:$ID395,SwaptionMonthsToGo+SwaptionShift))*SUM(INDEX($FK$325:$ID$396,FW$169,1+SwaptionShift):INDEX($FK$325:$ID$396,FW$169,SwaptionMonthsToGo+SwaptionShift))))))</f>
        <v/>
      </c>
      <c r="FX240" s="150" t="str">
        <f aca="false">IF(OR(FX$169&lt;SwaptionFirstMonthPosition+1,$FJ240&lt;SwaptionFirstMonthPosition+1,FX$169&gt;SwaptionFirstMonthPosition+SwaptionNumOfMonths+1,$FJ240&gt;SwaptionFirstMonthPosition+SwaptionNumOfMonths+1),"",IF($FJ240=FX$169,1,IF($FJ240&lt;FX$169,INDEX($FK$170:$ID$241,FX$169,$FJ240),SUMPRODUCT(INDEX($FK$325:$ID$396,FX$169,1+SwaptionShift):INDEX($FK$325:$ID$396,FX$169,SwaptionMonthsToGo+SwaptionShift),INDEX($FK$245:$ID$316,$FJ240-FX$169,73-FX$169+SwaptionShift):INDEX($FK$245:$ID$316,$FJ240-FX$169,72-FX$169+SwaptionMonthsToGo+SwaptionShift))/SQRT(SUM(INDEX($FK395:$ID395,1+SwaptionShift):INDEX($FK395:$ID395,SwaptionMonthsToGo+SwaptionShift))*SUM(INDEX($FK$325:$ID$396,FX$169,1+SwaptionShift):INDEX($FK$325:$ID$396,FX$169,SwaptionMonthsToGo+SwaptionShift))))))</f>
        <v/>
      </c>
      <c r="FY240" s="150" t="str">
        <f aca="false">IF(OR(FY$169&lt;SwaptionFirstMonthPosition+1,$FJ240&lt;SwaptionFirstMonthPosition+1,FY$169&gt;SwaptionFirstMonthPosition+SwaptionNumOfMonths+1,$FJ240&gt;SwaptionFirstMonthPosition+SwaptionNumOfMonths+1),"",IF($FJ240=FY$169,1,IF($FJ240&lt;FY$169,INDEX($FK$170:$ID$241,FY$169,$FJ240),SUMPRODUCT(INDEX($FK$325:$ID$396,FY$169,1+SwaptionShift):INDEX($FK$325:$ID$396,FY$169,SwaptionMonthsToGo+SwaptionShift),INDEX($FK$245:$ID$316,$FJ240-FY$169,73-FY$169+SwaptionShift):INDEX($FK$245:$ID$316,$FJ240-FY$169,72-FY$169+SwaptionMonthsToGo+SwaptionShift))/SQRT(SUM(INDEX($FK395:$ID395,1+SwaptionShift):INDEX($FK395:$ID395,SwaptionMonthsToGo+SwaptionShift))*SUM(INDEX($FK$325:$ID$396,FY$169,1+SwaptionShift):INDEX($FK$325:$ID$396,FY$169,SwaptionMonthsToGo+SwaptionShift))))))</f>
        <v/>
      </c>
      <c r="FZ240" s="150" t="str">
        <f aca="false">IF(OR(FZ$169&lt;SwaptionFirstMonthPosition+1,$FJ240&lt;SwaptionFirstMonthPosition+1,FZ$169&gt;SwaptionFirstMonthPosition+SwaptionNumOfMonths+1,$FJ240&gt;SwaptionFirstMonthPosition+SwaptionNumOfMonths+1),"",IF($FJ240=FZ$169,1,IF($FJ240&lt;FZ$169,INDEX($FK$170:$ID$241,FZ$169,$FJ240),SUMPRODUCT(INDEX($FK$325:$ID$396,FZ$169,1+SwaptionShift):INDEX($FK$325:$ID$396,FZ$169,SwaptionMonthsToGo+SwaptionShift),INDEX($FK$245:$ID$316,$FJ240-FZ$169,73-FZ$169+SwaptionShift):INDEX($FK$245:$ID$316,$FJ240-FZ$169,72-FZ$169+SwaptionMonthsToGo+SwaptionShift))/SQRT(SUM(INDEX($FK395:$ID395,1+SwaptionShift):INDEX($FK395:$ID395,SwaptionMonthsToGo+SwaptionShift))*SUM(INDEX($FK$325:$ID$396,FZ$169,1+SwaptionShift):INDEX($FK$325:$ID$396,FZ$169,SwaptionMonthsToGo+SwaptionShift))))))</f>
        <v/>
      </c>
      <c r="GA240" s="150" t="str">
        <f aca="false">IF(OR(GA$169&lt;SwaptionFirstMonthPosition+1,$FJ240&lt;SwaptionFirstMonthPosition+1,GA$169&gt;SwaptionFirstMonthPosition+SwaptionNumOfMonths+1,$FJ240&gt;SwaptionFirstMonthPosition+SwaptionNumOfMonths+1),"",IF($FJ240=GA$169,1,IF($FJ240&lt;GA$169,INDEX($FK$170:$ID$241,GA$169,$FJ240),SUMPRODUCT(INDEX($FK$325:$ID$396,GA$169,1+SwaptionShift):INDEX($FK$325:$ID$396,GA$169,SwaptionMonthsToGo+SwaptionShift),INDEX($FK$245:$ID$316,$FJ240-GA$169,73-GA$169+SwaptionShift):INDEX($FK$245:$ID$316,$FJ240-GA$169,72-GA$169+SwaptionMonthsToGo+SwaptionShift))/SQRT(SUM(INDEX($FK395:$ID395,1+SwaptionShift):INDEX($FK395:$ID395,SwaptionMonthsToGo+SwaptionShift))*SUM(INDEX($FK$325:$ID$396,GA$169,1+SwaptionShift):INDEX($FK$325:$ID$396,GA$169,SwaptionMonthsToGo+SwaptionShift))))))</f>
        <v/>
      </c>
      <c r="GB240" s="150" t="str">
        <f aca="false">IF(OR(GB$169&lt;SwaptionFirstMonthPosition+1,$FJ240&lt;SwaptionFirstMonthPosition+1,GB$169&gt;SwaptionFirstMonthPosition+SwaptionNumOfMonths+1,$FJ240&gt;SwaptionFirstMonthPosition+SwaptionNumOfMonths+1),"",IF($FJ240=GB$169,1,IF($FJ240&lt;GB$169,INDEX($FK$170:$ID$241,GB$169,$FJ240),SUMPRODUCT(INDEX($FK$325:$ID$396,GB$169,1+SwaptionShift):INDEX($FK$325:$ID$396,GB$169,SwaptionMonthsToGo+SwaptionShift),INDEX($FK$245:$ID$316,$FJ240-GB$169,73-GB$169+SwaptionShift):INDEX($FK$245:$ID$316,$FJ240-GB$169,72-GB$169+SwaptionMonthsToGo+SwaptionShift))/SQRT(SUM(INDEX($FK395:$ID395,1+SwaptionShift):INDEX($FK395:$ID395,SwaptionMonthsToGo+SwaptionShift))*SUM(INDEX($FK$325:$ID$396,GB$169,1+SwaptionShift):INDEX($FK$325:$ID$396,GB$169,SwaptionMonthsToGo+SwaptionShift))))))</f>
        <v/>
      </c>
      <c r="GC240" s="150" t="str">
        <f aca="false">IF(OR(GC$169&lt;SwaptionFirstMonthPosition+1,$FJ240&lt;SwaptionFirstMonthPosition+1,GC$169&gt;SwaptionFirstMonthPosition+SwaptionNumOfMonths+1,$FJ240&gt;SwaptionFirstMonthPosition+SwaptionNumOfMonths+1),"",IF($FJ240=GC$169,1,IF($FJ240&lt;GC$169,INDEX($FK$170:$ID$241,GC$169,$FJ240),SUMPRODUCT(INDEX($FK$325:$ID$396,GC$169,1+SwaptionShift):INDEX($FK$325:$ID$396,GC$169,SwaptionMonthsToGo+SwaptionShift),INDEX($FK$245:$ID$316,$FJ240-GC$169,73-GC$169+SwaptionShift):INDEX($FK$245:$ID$316,$FJ240-GC$169,72-GC$169+SwaptionMonthsToGo+SwaptionShift))/SQRT(SUM(INDEX($FK395:$ID395,1+SwaptionShift):INDEX($FK395:$ID395,SwaptionMonthsToGo+SwaptionShift))*SUM(INDEX($FK$325:$ID$396,GC$169,1+SwaptionShift):INDEX($FK$325:$ID$396,GC$169,SwaptionMonthsToGo+SwaptionShift))))))</f>
        <v/>
      </c>
      <c r="GD240" s="150" t="str">
        <f aca="false">IF(OR(GD$169&lt;SwaptionFirstMonthPosition+1,$FJ240&lt;SwaptionFirstMonthPosition+1,GD$169&gt;SwaptionFirstMonthPosition+SwaptionNumOfMonths+1,$FJ240&gt;SwaptionFirstMonthPosition+SwaptionNumOfMonths+1),"",IF($FJ240=GD$169,1,IF($FJ240&lt;GD$169,INDEX($FK$170:$ID$241,GD$169,$FJ240),SUMPRODUCT(INDEX($FK$325:$ID$396,GD$169,1+SwaptionShift):INDEX($FK$325:$ID$396,GD$169,SwaptionMonthsToGo+SwaptionShift),INDEX($FK$245:$ID$316,$FJ240-GD$169,73-GD$169+SwaptionShift):INDEX($FK$245:$ID$316,$FJ240-GD$169,72-GD$169+SwaptionMonthsToGo+SwaptionShift))/SQRT(SUM(INDEX($FK395:$ID395,1+SwaptionShift):INDEX($FK395:$ID395,SwaptionMonthsToGo+SwaptionShift))*SUM(INDEX($FK$325:$ID$396,GD$169,1+SwaptionShift):INDEX($FK$325:$ID$396,GD$169,SwaptionMonthsToGo+SwaptionShift))))))</f>
        <v/>
      </c>
      <c r="GE240" s="150" t="str">
        <f aca="false">IF(OR(GE$169&lt;SwaptionFirstMonthPosition+1,$FJ240&lt;SwaptionFirstMonthPosition+1,GE$169&gt;SwaptionFirstMonthPosition+SwaptionNumOfMonths+1,$FJ240&gt;SwaptionFirstMonthPosition+SwaptionNumOfMonths+1),"",IF($FJ240=GE$169,1,IF($FJ240&lt;GE$169,INDEX($FK$170:$ID$241,GE$169,$FJ240),SUMPRODUCT(INDEX($FK$325:$ID$396,GE$169,1+SwaptionShift):INDEX($FK$325:$ID$396,GE$169,SwaptionMonthsToGo+SwaptionShift),INDEX($FK$245:$ID$316,$FJ240-GE$169,73-GE$169+SwaptionShift):INDEX($FK$245:$ID$316,$FJ240-GE$169,72-GE$169+SwaptionMonthsToGo+SwaptionShift))/SQRT(SUM(INDEX($FK395:$ID395,1+SwaptionShift):INDEX($FK395:$ID395,SwaptionMonthsToGo+SwaptionShift))*SUM(INDEX($FK$325:$ID$396,GE$169,1+SwaptionShift):INDEX($FK$325:$ID$396,GE$169,SwaptionMonthsToGo+SwaptionShift))))))</f>
        <v/>
      </c>
      <c r="GF240" s="150" t="str">
        <f aca="false">IF(OR(GF$169&lt;SwaptionFirstMonthPosition+1,$FJ240&lt;SwaptionFirstMonthPosition+1,GF$169&gt;SwaptionFirstMonthPosition+SwaptionNumOfMonths+1,$FJ240&gt;SwaptionFirstMonthPosition+SwaptionNumOfMonths+1),"",IF($FJ240=GF$169,1,IF($FJ240&lt;GF$169,INDEX($FK$170:$ID$241,GF$169,$FJ240),SUMPRODUCT(INDEX($FK$325:$ID$396,GF$169,1+SwaptionShift):INDEX($FK$325:$ID$396,GF$169,SwaptionMonthsToGo+SwaptionShift),INDEX($FK$245:$ID$316,$FJ240-GF$169,73-GF$169+SwaptionShift):INDEX($FK$245:$ID$316,$FJ240-GF$169,72-GF$169+SwaptionMonthsToGo+SwaptionShift))/SQRT(SUM(INDEX($FK395:$ID395,1+SwaptionShift):INDEX($FK395:$ID395,SwaptionMonthsToGo+SwaptionShift))*SUM(INDEX($FK$325:$ID$396,GF$169,1+SwaptionShift):INDEX($FK$325:$ID$396,GF$169,SwaptionMonthsToGo+SwaptionShift))))))</f>
        <v/>
      </c>
      <c r="GG240" s="150" t="str">
        <f aca="false">IF(OR(GG$169&lt;SwaptionFirstMonthPosition+1,$FJ240&lt;SwaptionFirstMonthPosition+1,GG$169&gt;SwaptionFirstMonthPosition+SwaptionNumOfMonths+1,$FJ240&gt;SwaptionFirstMonthPosition+SwaptionNumOfMonths+1),"",IF($FJ240=GG$169,1,IF($FJ240&lt;GG$169,INDEX($FK$170:$ID$241,GG$169,$FJ240),SUMPRODUCT(INDEX($FK$325:$ID$396,GG$169,1+SwaptionShift):INDEX($FK$325:$ID$396,GG$169,SwaptionMonthsToGo+SwaptionShift),INDEX($FK$245:$ID$316,$FJ240-GG$169,73-GG$169+SwaptionShift):INDEX($FK$245:$ID$316,$FJ240-GG$169,72-GG$169+SwaptionMonthsToGo+SwaptionShift))/SQRT(SUM(INDEX($FK395:$ID395,1+SwaptionShift):INDEX($FK395:$ID395,SwaptionMonthsToGo+SwaptionShift))*SUM(INDEX($FK$325:$ID$396,GG$169,1+SwaptionShift):INDEX($FK$325:$ID$396,GG$169,SwaptionMonthsToGo+SwaptionShift))))))</f>
        <v/>
      </c>
      <c r="GH240" s="150" t="str">
        <f aca="false">IF(OR(GH$169&lt;SwaptionFirstMonthPosition+1,$FJ240&lt;SwaptionFirstMonthPosition+1,GH$169&gt;SwaptionFirstMonthPosition+SwaptionNumOfMonths+1,$FJ240&gt;SwaptionFirstMonthPosition+SwaptionNumOfMonths+1),"",IF($FJ240=GH$169,1,IF($FJ240&lt;GH$169,INDEX($FK$170:$ID$241,GH$169,$FJ240),SUMPRODUCT(INDEX($FK$325:$ID$396,GH$169,1+SwaptionShift):INDEX($FK$325:$ID$396,GH$169,SwaptionMonthsToGo+SwaptionShift),INDEX($FK$245:$ID$316,$FJ240-GH$169,73-GH$169+SwaptionShift):INDEX($FK$245:$ID$316,$FJ240-GH$169,72-GH$169+SwaptionMonthsToGo+SwaptionShift))/SQRT(SUM(INDEX($FK395:$ID395,1+SwaptionShift):INDEX($FK395:$ID395,SwaptionMonthsToGo+SwaptionShift))*SUM(INDEX($FK$325:$ID$396,GH$169,1+SwaptionShift):INDEX($FK$325:$ID$396,GH$169,SwaptionMonthsToGo+SwaptionShift))))))</f>
        <v/>
      </c>
      <c r="GI240" s="150" t="str">
        <f aca="false">IF(OR(GI$169&lt;SwaptionFirstMonthPosition+1,$FJ240&lt;SwaptionFirstMonthPosition+1,GI$169&gt;SwaptionFirstMonthPosition+SwaptionNumOfMonths+1,$FJ240&gt;SwaptionFirstMonthPosition+SwaptionNumOfMonths+1),"",IF($FJ240=GI$169,1,IF($FJ240&lt;GI$169,INDEX($FK$170:$ID$241,GI$169,$FJ240),SUMPRODUCT(INDEX($FK$325:$ID$396,GI$169,1+SwaptionShift):INDEX($FK$325:$ID$396,GI$169,SwaptionMonthsToGo+SwaptionShift),INDEX($FK$245:$ID$316,$FJ240-GI$169,73-GI$169+SwaptionShift):INDEX($FK$245:$ID$316,$FJ240-GI$169,72-GI$169+SwaptionMonthsToGo+SwaptionShift))/SQRT(SUM(INDEX($FK395:$ID395,1+SwaptionShift):INDEX($FK395:$ID395,SwaptionMonthsToGo+SwaptionShift))*SUM(INDEX($FK$325:$ID$396,GI$169,1+SwaptionShift):INDEX($FK$325:$ID$396,GI$169,SwaptionMonthsToGo+SwaptionShift))))))</f>
        <v/>
      </c>
      <c r="GJ240" s="150" t="str">
        <f aca="false">IF(OR(GJ$169&lt;SwaptionFirstMonthPosition+1,$FJ240&lt;SwaptionFirstMonthPosition+1,GJ$169&gt;SwaptionFirstMonthPosition+SwaptionNumOfMonths+1,$FJ240&gt;SwaptionFirstMonthPosition+SwaptionNumOfMonths+1),"",IF($FJ240=GJ$169,1,IF($FJ240&lt;GJ$169,INDEX($FK$170:$ID$241,GJ$169,$FJ240),SUMPRODUCT(INDEX($FK$325:$ID$396,GJ$169,1+SwaptionShift):INDEX($FK$325:$ID$396,GJ$169,SwaptionMonthsToGo+SwaptionShift),INDEX($FK$245:$ID$316,$FJ240-GJ$169,73-GJ$169+SwaptionShift):INDEX($FK$245:$ID$316,$FJ240-GJ$169,72-GJ$169+SwaptionMonthsToGo+SwaptionShift))/SQRT(SUM(INDEX($FK395:$ID395,1+SwaptionShift):INDEX($FK395:$ID395,SwaptionMonthsToGo+SwaptionShift))*SUM(INDEX($FK$325:$ID$396,GJ$169,1+SwaptionShift):INDEX($FK$325:$ID$396,GJ$169,SwaptionMonthsToGo+SwaptionShift))))))</f>
        <v/>
      </c>
      <c r="GK240" s="150" t="str">
        <f aca="false">IF(OR(GK$169&lt;SwaptionFirstMonthPosition+1,$FJ240&lt;SwaptionFirstMonthPosition+1,GK$169&gt;SwaptionFirstMonthPosition+SwaptionNumOfMonths+1,$FJ240&gt;SwaptionFirstMonthPosition+SwaptionNumOfMonths+1),"",IF($FJ240=GK$169,1,IF($FJ240&lt;GK$169,INDEX($FK$170:$ID$241,GK$169,$FJ240),SUMPRODUCT(INDEX($FK$325:$ID$396,GK$169,1+SwaptionShift):INDEX($FK$325:$ID$396,GK$169,SwaptionMonthsToGo+SwaptionShift),INDEX($FK$245:$ID$316,$FJ240-GK$169,73-GK$169+SwaptionShift):INDEX($FK$245:$ID$316,$FJ240-GK$169,72-GK$169+SwaptionMonthsToGo+SwaptionShift))/SQRT(SUM(INDEX($FK395:$ID395,1+SwaptionShift):INDEX($FK395:$ID395,SwaptionMonthsToGo+SwaptionShift))*SUM(INDEX($FK$325:$ID$396,GK$169,1+SwaptionShift):INDEX($FK$325:$ID$396,GK$169,SwaptionMonthsToGo+SwaptionShift))))))</f>
        <v/>
      </c>
      <c r="GL240" s="150" t="str">
        <f aca="false">IF(OR(GL$169&lt;SwaptionFirstMonthPosition+1,$FJ240&lt;SwaptionFirstMonthPosition+1,GL$169&gt;SwaptionFirstMonthPosition+SwaptionNumOfMonths+1,$FJ240&gt;SwaptionFirstMonthPosition+SwaptionNumOfMonths+1),"",IF($FJ240=GL$169,1,IF($FJ240&lt;GL$169,INDEX($FK$170:$ID$241,GL$169,$FJ240),SUMPRODUCT(INDEX($FK$325:$ID$396,GL$169,1+SwaptionShift):INDEX($FK$325:$ID$396,GL$169,SwaptionMonthsToGo+SwaptionShift),INDEX($FK$245:$ID$316,$FJ240-GL$169,73-GL$169+SwaptionShift):INDEX($FK$245:$ID$316,$FJ240-GL$169,72-GL$169+SwaptionMonthsToGo+SwaptionShift))/SQRT(SUM(INDEX($FK395:$ID395,1+SwaptionShift):INDEX($FK395:$ID395,SwaptionMonthsToGo+SwaptionShift))*SUM(INDEX($FK$325:$ID$396,GL$169,1+SwaptionShift):INDEX($FK$325:$ID$396,GL$169,SwaptionMonthsToGo+SwaptionShift))))))</f>
        <v/>
      </c>
      <c r="GM240" s="150" t="str">
        <f aca="false">IF(OR(GM$169&lt;SwaptionFirstMonthPosition+1,$FJ240&lt;SwaptionFirstMonthPosition+1,GM$169&gt;SwaptionFirstMonthPosition+SwaptionNumOfMonths+1,$FJ240&gt;SwaptionFirstMonthPosition+SwaptionNumOfMonths+1),"",IF($FJ240=GM$169,1,IF($FJ240&lt;GM$169,INDEX($FK$170:$ID$241,GM$169,$FJ240),SUMPRODUCT(INDEX($FK$325:$ID$396,GM$169,1+SwaptionShift):INDEX($FK$325:$ID$396,GM$169,SwaptionMonthsToGo+SwaptionShift),INDEX($FK$245:$ID$316,$FJ240-GM$169,73-GM$169+SwaptionShift):INDEX($FK$245:$ID$316,$FJ240-GM$169,72-GM$169+SwaptionMonthsToGo+SwaptionShift))/SQRT(SUM(INDEX($FK395:$ID395,1+SwaptionShift):INDEX($FK395:$ID395,SwaptionMonthsToGo+SwaptionShift))*SUM(INDEX($FK$325:$ID$396,GM$169,1+SwaptionShift):INDEX($FK$325:$ID$396,GM$169,SwaptionMonthsToGo+SwaptionShift))))))</f>
        <v/>
      </c>
      <c r="GN240" s="150" t="str">
        <f aca="false">IF(OR(GN$169&lt;SwaptionFirstMonthPosition+1,$FJ240&lt;SwaptionFirstMonthPosition+1,GN$169&gt;SwaptionFirstMonthPosition+SwaptionNumOfMonths+1,$FJ240&gt;SwaptionFirstMonthPosition+SwaptionNumOfMonths+1),"",IF($FJ240=GN$169,1,IF($FJ240&lt;GN$169,INDEX($FK$170:$ID$241,GN$169,$FJ240),SUMPRODUCT(INDEX($FK$325:$ID$396,GN$169,1+SwaptionShift):INDEX($FK$325:$ID$396,GN$169,SwaptionMonthsToGo+SwaptionShift),INDEX($FK$245:$ID$316,$FJ240-GN$169,73-GN$169+SwaptionShift):INDEX($FK$245:$ID$316,$FJ240-GN$169,72-GN$169+SwaptionMonthsToGo+SwaptionShift))/SQRT(SUM(INDEX($FK395:$ID395,1+SwaptionShift):INDEX($FK395:$ID395,SwaptionMonthsToGo+SwaptionShift))*SUM(INDEX($FK$325:$ID$396,GN$169,1+SwaptionShift):INDEX($FK$325:$ID$396,GN$169,SwaptionMonthsToGo+SwaptionShift))))))</f>
        <v/>
      </c>
      <c r="GO240" s="150" t="str">
        <f aca="false">IF(OR(GO$169&lt;SwaptionFirstMonthPosition+1,$FJ240&lt;SwaptionFirstMonthPosition+1,GO$169&gt;SwaptionFirstMonthPosition+SwaptionNumOfMonths+1,$FJ240&gt;SwaptionFirstMonthPosition+SwaptionNumOfMonths+1),"",IF($FJ240=GO$169,1,IF($FJ240&lt;GO$169,INDEX($FK$170:$ID$241,GO$169,$FJ240),SUMPRODUCT(INDEX($FK$325:$ID$396,GO$169,1+SwaptionShift):INDEX($FK$325:$ID$396,GO$169,SwaptionMonthsToGo+SwaptionShift),INDEX($FK$245:$ID$316,$FJ240-GO$169,73-GO$169+SwaptionShift):INDEX($FK$245:$ID$316,$FJ240-GO$169,72-GO$169+SwaptionMonthsToGo+SwaptionShift))/SQRT(SUM(INDEX($FK395:$ID395,1+SwaptionShift):INDEX($FK395:$ID395,SwaptionMonthsToGo+SwaptionShift))*SUM(INDEX($FK$325:$ID$396,GO$169,1+SwaptionShift):INDEX($FK$325:$ID$396,GO$169,SwaptionMonthsToGo+SwaptionShift))))))</f>
        <v/>
      </c>
      <c r="GP240" s="150" t="str">
        <f aca="false">IF(OR(GP$169&lt;SwaptionFirstMonthPosition+1,$FJ240&lt;SwaptionFirstMonthPosition+1,GP$169&gt;SwaptionFirstMonthPosition+SwaptionNumOfMonths+1,$FJ240&gt;SwaptionFirstMonthPosition+SwaptionNumOfMonths+1),"",IF($FJ240=GP$169,1,IF($FJ240&lt;GP$169,INDEX($FK$170:$ID$241,GP$169,$FJ240),SUMPRODUCT(INDEX($FK$325:$ID$396,GP$169,1+SwaptionShift):INDEX($FK$325:$ID$396,GP$169,SwaptionMonthsToGo+SwaptionShift),INDEX($FK$245:$ID$316,$FJ240-GP$169,73-GP$169+SwaptionShift):INDEX($FK$245:$ID$316,$FJ240-GP$169,72-GP$169+SwaptionMonthsToGo+SwaptionShift))/SQRT(SUM(INDEX($FK395:$ID395,1+SwaptionShift):INDEX($FK395:$ID395,SwaptionMonthsToGo+SwaptionShift))*SUM(INDEX($FK$325:$ID$396,GP$169,1+SwaptionShift):INDEX($FK$325:$ID$396,GP$169,SwaptionMonthsToGo+SwaptionShift))))))</f>
        <v/>
      </c>
      <c r="GQ240" s="150" t="str">
        <f aca="false">IF(OR(GQ$169&lt;SwaptionFirstMonthPosition+1,$FJ240&lt;SwaptionFirstMonthPosition+1,GQ$169&gt;SwaptionFirstMonthPosition+SwaptionNumOfMonths+1,$FJ240&gt;SwaptionFirstMonthPosition+SwaptionNumOfMonths+1),"",IF($FJ240=GQ$169,1,IF($FJ240&lt;GQ$169,INDEX($FK$170:$ID$241,GQ$169,$FJ240),SUMPRODUCT(INDEX($FK$325:$ID$396,GQ$169,1+SwaptionShift):INDEX($FK$325:$ID$396,GQ$169,SwaptionMonthsToGo+SwaptionShift),INDEX($FK$245:$ID$316,$FJ240-GQ$169,73-GQ$169+SwaptionShift):INDEX($FK$245:$ID$316,$FJ240-GQ$169,72-GQ$169+SwaptionMonthsToGo+SwaptionShift))/SQRT(SUM(INDEX($FK395:$ID395,1+SwaptionShift):INDEX($FK395:$ID395,SwaptionMonthsToGo+SwaptionShift))*SUM(INDEX($FK$325:$ID$396,GQ$169,1+SwaptionShift):INDEX($FK$325:$ID$396,GQ$169,SwaptionMonthsToGo+SwaptionShift))))))</f>
        <v/>
      </c>
      <c r="GR240" s="150" t="str">
        <f aca="false">IF(OR(GR$169&lt;SwaptionFirstMonthPosition+1,$FJ240&lt;SwaptionFirstMonthPosition+1,GR$169&gt;SwaptionFirstMonthPosition+SwaptionNumOfMonths+1,$FJ240&gt;SwaptionFirstMonthPosition+SwaptionNumOfMonths+1),"",IF($FJ240=GR$169,1,IF($FJ240&lt;GR$169,INDEX($FK$170:$ID$241,GR$169,$FJ240),SUMPRODUCT(INDEX($FK$325:$ID$396,GR$169,1+SwaptionShift):INDEX($FK$325:$ID$396,GR$169,SwaptionMonthsToGo+SwaptionShift),INDEX($FK$245:$ID$316,$FJ240-GR$169,73-GR$169+SwaptionShift):INDEX($FK$245:$ID$316,$FJ240-GR$169,72-GR$169+SwaptionMonthsToGo+SwaptionShift))/SQRT(SUM(INDEX($FK395:$ID395,1+SwaptionShift):INDEX($FK395:$ID395,SwaptionMonthsToGo+SwaptionShift))*SUM(INDEX($FK$325:$ID$396,GR$169,1+SwaptionShift):INDEX($FK$325:$ID$396,GR$169,SwaptionMonthsToGo+SwaptionShift))))))</f>
        <v/>
      </c>
      <c r="GS240" s="150" t="str">
        <f aca="false">IF(OR(GS$169&lt;SwaptionFirstMonthPosition+1,$FJ240&lt;SwaptionFirstMonthPosition+1,GS$169&gt;SwaptionFirstMonthPosition+SwaptionNumOfMonths+1,$FJ240&gt;SwaptionFirstMonthPosition+SwaptionNumOfMonths+1),"",IF($FJ240=GS$169,1,IF($FJ240&lt;GS$169,INDEX($FK$170:$ID$241,GS$169,$FJ240),SUMPRODUCT(INDEX($FK$325:$ID$396,GS$169,1+SwaptionShift):INDEX($FK$325:$ID$396,GS$169,SwaptionMonthsToGo+SwaptionShift),INDEX($FK$245:$ID$316,$FJ240-GS$169,73-GS$169+SwaptionShift):INDEX($FK$245:$ID$316,$FJ240-GS$169,72-GS$169+SwaptionMonthsToGo+SwaptionShift))/SQRT(SUM(INDEX($FK395:$ID395,1+SwaptionShift):INDEX($FK395:$ID395,SwaptionMonthsToGo+SwaptionShift))*SUM(INDEX($FK$325:$ID$396,GS$169,1+SwaptionShift):INDEX($FK$325:$ID$396,GS$169,SwaptionMonthsToGo+SwaptionShift))))))</f>
        <v/>
      </c>
      <c r="GT240" s="150" t="str">
        <f aca="false">IF(OR(GT$169&lt;SwaptionFirstMonthPosition+1,$FJ240&lt;SwaptionFirstMonthPosition+1,GT$169&gt;SwaptionFirstMonthPosition+SwaptionNumOfMonths+1,$FJ240&gt;SwaptionFirstMonthPosition+SwaptionNumOfMonths+1),"",IF($FJ240=GT$169,1,IF($FJ240&lt;GT$169,INDEX($FK$170:$ID$241,GT$169,$FJ240),SUMPRODUCT(INDEX($FK$325:$ID$396,GT$169,1+SwaptionShift):INDEX($FK$325:$ID$396,GT$169,SwaptionMonthsToGo+SwaptionShift),INDEX($FK$245:$ID$316,$FJ240-GT$169,73-GT$169+SwaptionShift):INDEX($FK$245:$ID$316,$FJ240-GT$169,72-GT$169+SwaptionMonthsToGo+SwaptionShift))/SQRT(SUM(INDEX($FK395:$ID395,1+SwaptionShift):INDEX($FK395:$ID395,SwaptionMonthsToGo+SwaptionShift))*SUM(INDEX($FK$325:$ID$396,GT$169,1+SwaptionShift):INDEX($FK$325:$ID$396,GT$169,SwaptionMonthsToGo+SwaptionShift))))))</f>
        <v/>
      </c>
      <c r="GU240" s="150" t="str">
        <f aca="false">IF(OR(GU$169&lt;SwaptionFirstMonthPosition+1,$FJ240&lt;SwaptionFirstMonthPosition+1,GU$169&gt;SwaptionFirstMonthPosition+SwaptionNumOfMonths+1,$FJ240&gt;SwaptionFirstMonthPosition+SwaptionNumOfMonths+1),"",IF($FJ240=GU$169,1,IF($FJ240&lt;GU$169,INDEX($FK$170:$ID$241,GU$169,$FJ240),SUMPRODUCT(INDEX($FK$325:$ID$396,GU$169,1+SwaptionShift):INDEX($FK$325:$ID$396,GU$169,SwaptionMonthsToGo+SwaptionShift),INDEX($FK$245:$ID$316,$FJ240-GU$169,73-GU$169+SwaptionShift):INDEX($FK$245:$ID$316,$FJ240-GU$169,72-GU$169+SwaptionMonthsToGo+SwaptionShift))/SQRT(SUM(INDEX($FK395:$ID395,1+SwaptionShift):INDEX($FK395:$ID395,SwaptionMonthsToGo+SwaptionShift))*SUM(INDEX($FK$325:$ID$396,GU$169,1+SwaptionShift):INDEX($FK$325:$ID$396,GU$169,SwaptionMonthsToGo+SwaptionShift))))))</f>
        <v/>
      </c>
      <c r="GV240" s="150" t="str">
        <f aca="false">IF(OR(GV$169&lt;SwaptionFirstMonthPosition+1,$FJ240&lt;SwaptionFirstMonthPosition+1,GV$169&gt;SwaptionFirstMonthPosition+SwaptionNumOfMonths+1,$FJ240&gt;SwaptionFirstMonthPosition+SwaptionNumOfMonths+1),"",IF($FJ240=GV$169,1,IF($FJ240&lt;GV$169,INDEX($FK$170:$ID$241,GV$169,$FJ240),SUMPRODUCT(INDEX($FK$325:$ID$396,GV$169,1+SwaptionShift):INDEX($FK$325:$ID$396,GV$169,SwaptionMonthsToGo+SwaptionShift),INDEX($FK$245:$ID$316,$FJ240-GV$169,73-GV$169+SwaptionShift):INDEX($FK$245:$ID$316,$FJ240-GV$169,72-GV$169+SwaptionMonthsToGo+SwaptionShift))/SQRT(SUM(INDEX($FK395:$ID395,1+SwaptionShift):INDEX($FK395:$ID395,SwaptionMonthsToGo+SwaptionShift))*SUM(INDEX($FK$325:$ID$396,GV$169,1+SwaptionShift):INDEX($FK$325:$ID$396,GV$169,SwaptionMonthsToGo+SwaptionShift))))))</f>
        <v/>
      </c>
      <c r="GW240" s="150" t="str">
        <f aca="false">IF(OR(GW$169&lt;SwaptionFirstMonthPosition+1,$FJ240&lt;SwaptionFirstMonthPosition+1,GW$169&gt;SwaptionFirstMonthPosition+SwaptionNumOfMonths+1,$FJ240&gt;SwaptionFirstMonthPosition+SwaptionNumOfMonths+1),"",IF($FJ240=GW$169,1,IF($FJ240&lt;GW$169,INDEX($FK$170:$ID$241,GW$169,$FJ240),SUMPRODUCT(INDEX($FK$325:$ID$396,GW$169,1+SwaptionShift):INDEX($FK$325:$ID$396,GW$169,SwaptionMonthsToGo+SwaptionShift),INDEX($FK$245:$ID$316,$FJ240-GW$169,73-GW$169+SwaptionShift):INDEX($FK$245:$ID$316,$FJ240-GW$169,72-GW$169+SwaptionMonthsToGo+SwaptionShift))/SQRT(SUM(INDEX($FK395:$ID395,1+SwaptionShift):INDEX($FK395:$ID395,SwaptionMonthsToGo+SwaptionShift))*SUM(INDEX($FK$325:$ID$396,GW$169,1+SwaptionShift):INDEX($FK$325:$ID$396,GW$169,SwaptionMonthsToGo+SwaptionShift))))))</f>
        <v/>
      </c>
      <c r="GX240" s="150" t="str">
        <f aca="false">IF(OR(GX$169&lt;SwaptionFirstMonthPosition+1,$FJ240&lt;SwaptionFirstMonthPosition+1,GX$169&gt;SwaptionFirstMonthPosition+SwaptionNumOfMonths+1,$FJ240&gt;SwaptionFirstMonthPosition+SwaptionNumOfMonths+1),"",IF($FJ240=GX$169,1,IF($FJ240&lt;GX$169,INDEX($FK$170:$ID$241,GX$169,$FJ240),SUMPRODUCT(INDEX($FK$325:$ID$396,GX$169,1+SwaptionShift):INDEX($FK$325:$ID$396,GX$169,SwaptionMonthsToGo+SwaptionShift),INDEX($FK$245:$ID$316,$FJ240-GX$169,73-GX$169+SwaptionShift):INDEX($FK$245:$ID$316,$FJ240-GX$169,72-GX$169+SwaptionMonthsToGo+SwaptionShift))/SQRT(SUM(INDEX($FK395:$ID395,1+SwaptionShift):INDEX($FK395:$ID395,SwaptionMonthsToGo+SwaptionShift))*SUM(INDEX($FK$325:$ID$396,GX$169,1+SwaptionShift):INDEX($FK$325:$ID$396,GX$169,SwaptionMonthsToGo+SwaptionShift))))))</f>
        <v/>
      </c>
      <c r="GY240" s="150" t="str">
        <f aca="false">IF(OR(GY$169&lt;SwaptionFirstMonthPosition+1,$FJ240&lt;SwaptionFirstMonthPosition+1,GY$169&gt;SwaptionFirstMonthPosition+SwaptionNumOfMonths+1,$FJ240&gt;SwaptionFirstMonthPosition+SwaptionNumOfMonths+1),"",IF($FJ240=GY$169,1,IF($FJ240&lt;GY$169,INDEX($FK$170:$ID$241,GY$169,$FJ240),SUMPRODUCT(INDEX($FK$325:$ID$396,GY$169,1+SwaptionShift):INDEX($FK$325:$ID$396,GY$169,SwaptionMonthsToGo+SwaptionShift),INDEX($FK$245:$ID$316,$FJ240-GY$169,73-GY$169+SwaptionShift):INDEX($FK$245:$ID$316,$FJ240-GY$169,72-GY$169+SwaptionMonthsToGo+SwaptionShift))/SQRT(SUM(INDEX($FK395:$ID395,1+SwaptionShift):INDEX($FK395:$ID395,SwaptionMonthsToGo+SwaptionShift))*SUM(INDEX($FK$325:$ID$396,GY$169,1+SwaptionShift):INDEX($FK$325:$ID$396,GY$169,SwaptionMonthsToGo+SwaptionShift))))))</f>
        <v/>
      </c>
      <c r="GZ240" s="150" t="str">
        <f aca="false">IF(OR(GZ$169&lt;SwaptionFirstMonthPosition+1,$FJ240&lt;SwaptionFirstMonthPosition+1,GZ$169&gt;SwaptionFirstMonthPosition+SwaptionNumOfMonths+1,$FJ240&gt;SwaptionFirstMonthPosition+SwaptionNumOfMonths+1),"",IF($FJ240=GZ$169,1,IF($FJ240&lt;GZ$169,INDEX($FK$170:$ID$241,GZ$169,$FJ240),SUMPRODUCT(INDEX($FK$325:$ID$396,GZ$169,1+SwaptionShift):INDEX($FK$325:$ID$396,GZ$169,SwaptionMonthsToGo+SwaptionShift),INDEX($FK$245:$ID$316,$FJ240-GZ$169,73-GZ$169+SwaptionShift):INDEX($FK$245:$ID$316,$FJ240-GZ$169,72-GZ$169+SwaptionMonthsToGo+SwaptionShift))/SQRT(SUM(INDEX($FK395:$ID395,1+SwaptionShift):INDEX($FK395:$ID395,SwaptionMonthsToGo+SwaptionShift))*SUM(INDEX($FK$325:$ID$396,GZ$169,1+SwaptionShift):INDEX($FK$325:$ID$396,GZ$169,SwaptionMonthsToGo+SwaptionShift))))))</f>
        <v/>
      </c>
      <c r="HA240" s="150" t="str">
        <f aca="false">IF(OR(HA$169&lt;SwaptionFirstMonthPosition+1,$FJ240&lt;SwaptionFirstMonthPosition+1,HA$169&gt;SwaptionFirstMonthPosition+SwaptionNumOfMonths+1,$FJ240&gt;SwaptionFirstMonthPosition+SwaptionNumOfMonths+1),"",IF($FJ240=HA$169,1,IF($FJ240&lt;HA$169,INDEX($FK$170:$ID$241,HA$169,$FJ240),SUMPRODUCT(INDEX($FK$325:$ID$396,HA$169,1+SwaptionShift):INDEX($FK$325:$ID$396,HA$169,SwaptionMonthsToGo+SwaptionShift),INDEX($FK$245:$ID$316,$FJ240-HA$169,73-HA$169+SwaptionShift):INDEX($FK$245:$ID$316,$FJ240-HA$169,72-HA$169+SwaptionMonthsToGo+SwaptionShift))/SQRT(SUM(INDEX($FK395:$ID395,1+SwaptionShift):INDEX($FK395:$ID395,SwaptionMonthsToGo+SwaptionShift))*SUM(INDEX($FK$325:$ID$396,HA$169,1+SwaptionShift):INDEX($FK$325:$ID$396,HA$169,SwaptionMonthsToGo+SwaptionShift))))))</f>
        <v/>
      </c>
      <c r="HB240" s="150" t="str">
        <f aca="false">IF(OR(HB$169&lt;SwaptionFirstMonthPosition+1,$FJ240&lt;SwaptionFirstMonthPosition+1,HB$169&gt;SwaptionFirstMonthPosition+SwaptionNumOfMonths+1,$FJ240&gt;SwaptionFirstMonthPosition+SwaptionNumOfMonths+1),"",IF($FJ240=HB$169,1,IF($FJ240&lt;HB$169,INDEX($FK$170:$ID$241,HB$169,$FJ240),SUMPRODUCT(INDEX($FK$325:$ID$396,HB$169,1+SwaptionShift):INDEX($FK$325:$ID$396,HB$169,SwaptionMonthsToGo+SwaptionShift),INDEX($FK$245:$ID$316,$FJ240-HB$169,73-HB$169+SwaptionShift):INDEX($FK$245:$ID$316,$FJ240-HB$169,72-HB$169+SwaptionMonthsToGo+SwaptionShift))/SQRT(SUM(INDEX($FK395:$ID395,1+SwaptionShift):INDEX($FK395:$ID395,SwaptionMonthsToGo+SwaptionShift))*SUM(INDEX($FK$325:$ID$396,HB$169,1+SwaptionShift):INDEX($FK$325:$ID$396,HB$169,SwaptionMonthsToGo+SwaptionShift))))))</f>
        <v/>
      </c>
      <c r="HC240" s="150" t="str">
        <f aca="false">IF(OR(HC$169&lt;SwaptionFirstMonthPosition+1,$FJ240&lt;SwaptionFirstMonthPosition+1,HC$169&gt;SwaptionFirstMonthPosition+SwaptionNumOfMonths+1,$FJ240&gt;SwaptionFirstMonthPosition+SwaptionNumOfMonths+1),"",IF($FJ240=HC$169,1,IF($FJ240&lt;HC$169,INDEX($FK$170:$ID$241,HC$169,$FJ240),SUMPRODUCT(INDEX($FK$325:$ID$396,HC$169,1+SwaptionShift):INDEX($FK$325:$ID$396,HC$169,SwaptionMonthsToGo+SwaptionShift),INDEX($FK$245:$ID$316,$FJ240-HC$169,73-HC$169+SwaptionShift):INDEX($FK$245:$ID$316,$FJ240-HC$169,72-HC$169+SwaptionMonthsToGo+SwaptionShift))/SQRT(SUM(INDEX($FK395:$ID395,1+SwaptionShift):INDEX($FK395:$ID395,SwaptionMonthsToGo+SwaptionShift))*SUM(INDEX($FK$325:$ID$396,HC$169,1+SwaptionShift):INDEX($FK$325:$ID$396,HC$169,SwaptionMonthsToGo+SwaptionShift))))))</f>
        <v/>
      </c>
      <c r="HD240" s="150" t="str">
        <f aca="false">IF(OR(HD$169&lt;SwaptionFirstMonthPosition+1,$FJ240&lt;SwaptionFirstMonthPosition+1,HD$169&gt;SwaptionFirstMonthPosition+SwaptionNumOfMonths+1,$FJ240&gt;SwaptionFirstMonthPosition+SwaptionNumOfMonths+1),"",IF($FJ240=HD$169,1,IF($FJ240&lt;HD$169,INDEX($FK$170:$ID$241,HD$169,$FJ240),SUMPRODUCT(INDEX($FK$325:$ID$396,HD$169,1+SwaptionShift):INDEX($FK$325:$ID$396,HD$169,SwaptionMonthsToGo+SwaptionShift),INDEX($FK$245:$ID$316,$FJ240-HD$169,73-HD$169+SwaptionShift):INDEX($FK$245:$ID$316,$FJ240-HD$169,72-HD$169+SwaptionMonthsToGo+SwaptionShift))/SQRT(SUM(INDEX($FK395:$ID395,1+SwaptionShift):INDEX($FK395:$ID395,SwaptionMonthsToGo+SwaptionShift))*SUM(INDEX($FK$325:$ID$396,HD$169,1+SwaptionShift):INDEX($FK$325:$ID$396,HD$169,SwaptionMonthsToGo+SwaptionShift))))))</f>
        <v/>
      </c>
      <c r="HE240" s="150" t="str">
        <f aca="false">IF(OR(HE$169&lt;SwaptionFirstMonthPosition+1,$FJ240&lt;SwaptionFirstMonthPosition+1,HE$169&gt;SwaptionFirstMonthPosition+SwaptionNumOfMonths+1,$FJ240&gt;SwaptionFirstMonthPosition+SwaptionNumOfMonths+1),"",IF($FJ240=HE$169,1,IF($FJ240&lt;HE$169,INDEX($FK$170:$ID$241,HE$169,$FJ240),SUMPRODUCT(INDEX($FK$325:$ID$396,HE$169,1+SwaptionShift):INDEX($FK$325:$ID$396,HE$169,SwaptionMonthsToGo+SwaptionShift),INDEX($FK$245:$ID$316,$FJ240-HE$169,73-HE$169+SwaptionShift):INDEX($FK$245:$ID$316,$FJ240-HE$169,72-HE$169+SwaptionMonthsToGo+SwaptionShift))/SQRT(SUM(INDEX($FK395:$ID395,1+SwaptionShift):INDEX($FK395:$ID395,SwaptionMonthsToGo+SwaptionShift))*SUM(INDEX($FK$325:$ID$396,HE$169,1+SwaptionShift):INDEX($FK$325:$ID$396,HE$169,SwaptionMonthsToGo+SwaptionShift))))))</f>
        <v/>
      </c>
      <c r="HF240" s="150" t="str">
        <f aca="false">IF(OR(HF$169&lt;SwaptionFirstMonthPosition+1,$FJ240&lt;SwaptionFirstMonthPosition+1,HF$169&gt;SwaptionFirstMonthPosition+SwaptionNumOfMonths+1,$FJ240&gt;SwaptionFirstMonthPosition+SwaptionNumOfMonths+1),"",IF($FJ240=HF$169,1,IF($FJ240&lt;HF$169,INDEX($FK$170:$ID$241,HF$169,$FJ240),SUMPRODUCT(INDEX($FK$325:$ID$396,HF$169,1+SwaptionShift):INDEX($FK$325:$ID$396,HF$169,SwaptionMonthsToGo+SwaptionShift),INDEX($FK$245:$ID$316,$FJ240-HF$169,73-HF$169+SwaptionShift):INDEX($FK$245:$ID$316,$FJ240-HF$169,72-HF$169+SwaptionMonthsToGo+SwaptionShift))/SQRT(SUM(INDEX($FK395:$ID395,1+SwaptionShift):INDEX($FK395:$ID395,SwaptionMonthsToGo+SwaptionShift))*SUM(INDEX($FK$325:$ID$396,HF$169,1+SwaptionShift):INDEX($FK$325:$ID$396,HF$169,SwaptionMonthsToGo+SwaptionShift))))))</f>
        <v/>
      </c>
      <c r="HG240" s="150" t="str">
        <f aca="false">IF(OR(HG$169&lt;SwaptionFirstMonthPosition+1,$FJ240&lt;SwaptionFirstMonthPosition+1,HG$169&gt;SwaptionFirstMonthPosition+SwaptionNumOfMonths+1,$FJ240&gt;SwaptionFirstMonthPosition+SwaptionNumOfMonths+1),"",IF($FJ240=HG$169,1,IF($FJ240&lt;HG$169,INDEX($FK$170:$ID$241,HG$169,$FJ240),SUMPRODUCT(INDEX($FK$325:$ID$396,HG$169,1+SwaptionShift):INDEX($FK$325:$ID$396,HG$169,SwaptionMonthsToGo+SwaptionShift),INDEX($FK$245:$ID$316,$FJ240-HG$169,73-HG$169+SwaptionShift):INDEX($FK$245:$ID$316,$FJ240-HG$169,72-HG$169+SwaptionMonthsToGo+SwaptionShift))/SQRT(SUM(INDEX($FK395:$ID395,1+SwaptionShift):INDEX($FK395:$ID395,SwaptionMonthsToGo+SwaptionShift))*SUM(INDEX($FK$325:$ID$396,HG$169,1+SwaptionShift):INDEX($FK$325:$ID$396,HG$169,SwaptionMonthsToGo+SwaptionShift))))))</f>
        <v/>
      </c>
      <c r="HH240" s="150" t="str">
        <f aca="false">IF(OR(HH$169&lt;SwaptionFirstMonthPosition+1,$FJ240&lt;SwaptionFirstMonthPosition+1,HH$169&gt;SwaptionFirstMonthPosition+SwaptionNumOfMonths+1,$FJ240&gt;SwaptionFirstMonthPosition+SwaptionNumOfMonths+1),"",IF($FJ240=HH$169,1,IF($FJ240&lt;HH$169,INDEX($FK$170:$ID$241,HH$169,$FJ240),SUMPRODUCT(INDEX($FK$325:$ID$396,HH$169,1+SwaptionShift):INDEX($FK$325:$ID$396,HH$169,SwaptionMonthsToGo+SwaptionShift),INDEX($FK$245:$ID$316,$FJ240-HH$169,73-HH$169+SwaptionShift):INDEX($FK$245:$ID$316,$FJ240-HH$169,72-HH$169+SwaptionMonthsToGo+SwaptionShift))/SQRT(SUM(INDEX($FK395:$ID395,1+SwaptionShift):INDEX($FK395:$ID395,SwaptionMonthsToGo+SwaptionShift))*SUM(INDEX($FK$325:$ID$396,HH$169,1+SwaptionShift):INDEX($FK$325:$ID$396,HH$169,SwaptionMonthsToGo+SwaptionShift))))))</f>
        <v/>
      </c>
      <c r="HI240" s="150" t="str">
        <f aca="false">IF(OR(HI$169&lt;SwaptionFirstMonthPosition+1,$FJ240&lt;SwaptionFirstMonthPosition+1,HI$169&gt;SwaptionFirstMonthPosition+SwaptionNumOfMonths+1,$FJ240&gt;SwaptionFirstMonthPosition+SwaptionNumOfMonths+1),"",IF($FJ240=HI$169,1,IF($FJ240&lt;HI$169,INDEX($FK$170:$ID$241,HI$169,$FJ240),SUMPRODUCT(INDEX($FK$325:$ID$396,HI$169,1+SwaptionShift):INDEX($FK$325:$ID$396,HI$169,SwaptionMonthsToGo+SwaptionShift),INDEX($FK$245:$ID$316,$FJ240-HI$169,73-HI$169+SwaptionShift):INDEX($FK$245:$ID$316,$FJ240-HI$169,72-HI$169+SwaptionMonthsToGo+SwaptionShift))/SQRT(SUM(INDEX($FK395:$ID395,1+SwaptionShift):INDEX($FK395:$ID395,SwaptionMonthsToGo+SwaptionShift))*SUM(INDEX($FK$325:$ID$396,HI$169,1+SwaptionShift):INDEX($FK$325:$ID$396,HI$169,SwaptionMonthsToGo+SwaptionShift))))))</f>
        <v/>
      </c>
      <c r="HJ240" s="150" t="str">
        <f aca="false">IF(OR(HJ$169&lt;SwaptionFirstMonthPosition+1,$FJ240&lt;SwaptionFirstMonthPosition+1,HJ$169&gt;SwaptionFirstMonthPosition+SwaptionNumOfMonths+1,$FJ240&gt;SwaptionFirstMonthPosition+SwaptionNumOfMonths+1),"",IF($FJ240=HJ$169,1,IF($FJ240&lt;HJ$169,INDEX($FK$170:$ID$241,HJ$169,$FJ240),SUMPRODUCT(INDEX($FK$325:$ID$396,HJ$169,1+SwaptionShift):INDEX($FK$325:$ID$396,HJ$169,SwaptionMonthsToGo+SwaptionShift),INDEX($FK$245:$ID$316,$FJ240-HJ$169,73-HJ$169+SwaptionShift):INDEX($FK$245:$ID$316,$FJ240-HJ$169,72-HJ$169+SwaptionMonthsToGo+SwaptionShift))/SQRT(SUM(INDEX($FK395:$ID395,1+SwaptionShift):INDEX($FK395:$ID395,SwaptionMonthsToGo+SwaptionShift))*SUM(INDEX($FK$325:$ID$396,HJ$169,1+SwaptionShift):INDEX($FK$325:$ID$396,HJ$169,SwaptionMonthsToGo+SwaptionShift))))))</f>
        <v/>
      </c>
      <c r="HK240" s="150" t="str">
        <f aca="false">IF(OR(HK$169&lt;SwaptionFirstMonthPosition+1,$FJ240&lt;SwaptionFirstMonthPosition+1,HK$169&gt;SwaptionFirstMonthPosition+SwaptionNumOfMonths+1,$FJ240&gt;SwaptionFirstMonthPosition+SwaptionNumOfMonths+1),"",IF($FJ240=HK$169,1,IF($FJ240&lt;HK$169,INDEX($FK$170:$ID$241,HK$169,$FJ240),SUMPRODUCT(INDEX($FK$325:$ID$396,HK$169,1+SwaptionShift):INDEX($FK$325:$ID$396,HK$169,SwaptionMonthsToGo+SwaptionShift),INDEX($FK$245:$ID$316,$FJ240-HK$169,73-HK$169+SwaptionShift):INDEX($FK$245:$ID$316,$FJ240-HK$169,72-HK$169+SwaptionMonthsToGo+SwaptionShift))/SQRT(SUM(INDEX($FK395:$ID395,1+SwaptionShift):INDEX($FK395:$ID395,SwaptionMonthsToGo+SwaptionShift))*SUM(INDEX($FK$325:$ID$396,HK$169,1+SwaptionShift):INDEX($FK$325:$ID$396,HK$169,SwaptionMonthsToGo+SwaptionShift))))))</f>
        <v/>
      </c>
      <c r="HL240" s="150" t="str">
        <f aca="false">IF(OR(HL$169&lt;SwaptionFirstMonthPosition+1,$FJ240&lt;SwaptionFirstMonthPosition+1,HL$169&gt;SwaptionFirstMonthPosition+SwaptionNumOfMonths+1,$FJ240&gt;SwaptionFirstMonthPosition+SwaptionNumOfMonths+1),"",IF($FJ240=HL$169,1,IF($FJ240&lt;HL$169,INDEX($FK$170:$ID$241,HL$169,$FJ240),SUMPRODUCT(INDEX($FK$325:$ID$396,HL$169,1+SwaptionShift):INDEX($FK$325:$ID$396,HL$169,SwaptionMonthsToGo+SwaptionShift),INDEX($FK$245:$ID$316,$FJ240-HL$169,73-HL$169+SwaptionShift):INDEX($FK$245:$ID$316,$FJ240-HL$169,72-HL$169+SwaptionMonthsToGo+SwaptionShift))/SQRT(SUM(INDEX($FK395:$ID395,1+SwaptionShift):INDEX($FK395:$ID395,SwaptionMonthsToGo+SwaptionShift))*SUM(INDEX($FK$325:$ID$396,HL$169,1+SwaptionShift):INDEX($FK$325:$ID$396,HL$169,SwaptionMonthsToGo+SwaptionShift))))))</f>
        <v/>
      </c>
      <c r="HM240" s="150" t="str">
        <f aca="false">IF(OR(HM$169&lt;SwaptionFirstMonthPosition+1,$FJ240&lt;SwaptionFirstMonthPosition+1,HM$169&gt;SwaptionFirstMonthPosition+SwaptionNumOfMonths+1,$FJ240&gt;SwaptionFirstMonthPosition+SwaptionNumOfMonths+1),"",IF($FJ240=HM$169,1,IF($FJ240&lt;HM$169,INDEX($FK$170:$ID$241,HM$169,$FJ240),SUMPRODUCT(INDEX($FK$325:$ID$396,HM$169,1+SwaptionShift):INDEX($FK$325:$ID$396,HM$169,SwaptionMonthsToGo+SwaptionShift),INDEX($FK$245:$ID$316,$FJ240-HM$169,73-HM$169+SwaptionShift):INDEX($FK$245:$ID$316,$FJ240-HM$169,72-HM$169+SwaptionMonthsToGo+SwaptionShift))/SQRT(SUM(INDEX($FK395:$ID395,1+SwaptionShift):INDEX($FK395:$ID395,SwaptionMonthsToGo+SwaptionShift))*SUM(INDEX($FK$325:$ID$396,HM$169,1+SwaptionShift):INDEX($FK$325:$ID$396,HM$169,SwaptionMonthsToGo+SwaptionShift))))))</f>
        <v/>
      </c>
      <c r="HN240" s="150" t="str">
        <f aca="false">IF(OR(HN$169&lt;SwaptionFirstMonthPosition+1,$FJ240&lt;SwaptionFirstMonthPosition+1,HN$169&gt;SwaptionFirstMonthPosition+SwaptionNumOfMonths+1,$FJ240&gt;SwaptionFirstMonthPosition+SwaptionNumOfMonths+1),"",IF($FJ240=HN$169,1,IF($FJ240&lt;HN$169,INDEX($FK$170:$ID$241,HN$169,$FJ240),SUMPRODUCT(INDEX($FK$325:$ID$396,HN$169,1+SwaptionShift):INDEX($FK$325:$ID$396,HN$169,SwaptionMonthsToGo+SwaptionShift),INDEX($FK$245:$ID$316,$FJ240-HN$169,73-HN$169+SwaptionShift):INDEX($FK$245:$ID$316,$FJ240-HN$169,72-HN$169+SwaptionMonthsToGo+SwaptionShift))/SQRT(SUM(INDEX($FK395:$ID395,1+SwaptionShift):INDEX($FK395:$ID395,SwaptionMonthsToGo+SwaptionShift))*SUM(INDEX($FK$325:$ID$396,HN$169,1+SwaptionShift):INDEX($FK$325:$ID$396,HN$169,SwaptionMonthsToGo+SwaptionShift))))))</f>
        <v/>
      </c>
      <c r="HO240" s="150" t="str">
        <f aca="false">IF(OR(HO$169&lt;SwaptionFirstMonthPosition+1,$FJ240&lt;SwaptionFirstMonthPosition+1,HO$169&gt;SwaptionFirstMonthPosition+SwaptionNumOfMonths+1,$FJ240&gt;SwaptionFirstMonthPosition+SwaptionNumOfMonths+1),"",IF($FJ240=HO$169,1,IF($FJ240&lt;HO$169,INDEX($FK$170:$ID$241,HO$169,$FJ240),SUMPRODUCT(INDEX($FK$325:$ID$396,HO$169,1+SwaptionShift):INDEX($FK$325:$ID$396,HO$169,SwaptionMonthsToGo+SwaptionShift),INDEX($FK$245:$ID$316,$FJ240-HO$169,73-HO$169+SwaptionShift):INDEX($FK$245:$ID$316,$FJ240-HO$169,72-HO$169+SwaptionMonthsToGo+SwaptionShift))/SQRT(SUM(INDEX($FK395:$ID395,1+SwaptionShift):INDEX($FK395:$ID395,SwaptionMonthsToGo+SwaptionShift))*SUM(INDEX($FK$325:$ID$396,HO$169,1+SwaptionShift):INDEX($FK$325:$ID$396,HO$169,SwaptionMonthsToGo+SwaptionShift))))))</f>
        <v/>
      </c>
      <c r="HP240" s="150" t="str">
        <f aca="false">IF(OR(HP$169&lt;SwaptionFirstMonthPosition+1,$FJ240&lt;SwaptionFirstMonthPosition+1,HP$169&gt;SwaptionFirstMonthPosition+SwaptionNumOfMonths+1,$FJ240&gt;SwaptionFirstMonthPosition+SwaptionNumOfMonths+1),"",IF($FJ240=HP$169,1,IF($FJ240&lt;HP$169,INDEX($FK$170:$ID$241,HP$169,$FJ240),SUMPRODUCT(INDEX($FK$325:$ID$396,HP$169,1+SwaptionShift):INDEX($FK$325:$ID$396,HP$169,SwaptionMonthsToGo+SwaptionShift),INDEX($FK$245:$ID$316,$FJ240-HP$169,73-HP$169+SwaptionShift):INDEX($FK$245:$ID$316,$FJ240-HP$169,72-HP$169+SwaptionMonthsToGo+SwaptionShift))/SQRT(SUM(INDEX($FK395:$ID395,1+SwaptionShift):INDEX($FK395:$ID395,SwaptionMonthsToGo+SwaptionShift))*SUM(INDEX($FK$325:$ID$396,HP$169,1+SwaptionShift):INDEX($FK$325:$ID$396,HP$169,SwaptionMonthsToGo+SwaptionShift))))))</f>
        <v/>
      </c>
      <c r="HQ240" s="150" t="str">
        <f aca="false">IF(OR(HQ$169&lt;SwaptionFirstMonthPosition+1,$FJ240&lt;SwaptionFirstMonthPosition+1,HQ$169&gt;SwaptionFirstMonthPosition+SwaptionNumOfMonths+1,$FJ240&gt;SwaptionFirstMonthPosition+SwaptionNumOfMonths+1),"",IF($FJ240=HQ$169,1,IF($FJ240&lt;HQ$169,INDEX($FK$170:$ID$241,HQ$169,$FJ240),SUMPRODUCT(INDEX($FK$325:$ID$396,HQ$169,1+SwaptionShift):INDEX($FK$325:$ID$396,HQ$169,SwaptionMonthsToGo+SwaptionShift),INDEX($FK$245:$ID$316,$FJ240-HQ$169,73-HQ$169+SwaptionShift):INDEX($FK$245:$ID$316,$FJ240-HQ$169,72-HQ$169+SwaptionMonthsToGo+SwaptionShift))/SQRT(SUM(INDEX($FK395:$ID395,1+SwaptionShift):INDEX($FK395:$ID395,SwaptionMonthsToGo+SwaptionShift))*SUM(INDEX($FK$325:$ID$396,HQ$169,1+SwaptionShift):INDEX($FK$325:$ID$396,HQ$169,SwaptionMonthsToGo+SwaptionShift))))))</f>
        <v/>
      </c>
      <c r="HR240" s="150" t="str">
        <f aca="false">IF(OR(HR$169&lt;SwaptionFirstMonthPosition+1,$FJ240&lt;SwaptionFirstMonthPosition+1,HR$169&gt;SwaptionFirstMonthPosition+SwaptionNumOfMonths+1,$FJ240&gt;SwaptionFirstMonthPosition+SwaptionNumOfMonths+1),"",IF($FJ240=HR$169,1,IF($FJ240&lt;HR$169,INDEX($FK$170:$ID$241,HR$169,$FJ240),SUMPRODUCT(INDEX($FK$325:$ID$396,HR$169,1+SwaptionShift):INDEX($FK$325:$ID$396,HR$169,SwaptionMonthsToGo+SwaptionShift),INDEX($FK$245:$ID$316,$FJ240-HR$169,73-HR$169+SwaptionShift):INDEX($FK$245:$ID$316,$FJ240-HR$169,72-HR$169+SwaptionMonthsToGo+SwaptionShift))/SQRT(SUM(INDEX($FK395:$ID395,1+SwaptionShift):INDEX($FK395:$ID395,SwaptionMonthsToGo+SwaptionShift))*SUM(INDEX($FK$325:$ID$396,HR$169,1+SwaptionShift):INDEX($FK$325:$ID$396,HR$169,SwaptionMonthsToGo+SwaptionShift))))))</f>
        <v/>
      </c>
      <c r="HS240" s="150" t="str">
        <f aca="false">IF(OR(HS$169&lt;SwaptionFirstMonthPosition+1,$FJ240&lt;SwaptionFirstMonthPosition+1,HS$169&gt;SwaptionFirstMonthPosition+SwaptionNumOfMonths+1,$FJ240&gt;SwaptionFirstMonthPosition+SwaptionNumOfMonths+1),"",IF($FJ240=HS$169,1,IF($FJ240&lt;HS$169,INDEX($FK$170:$ID$241,HS$169,$FJ240),SUMPRODUCT(INDEX($FK$325:$ID$396,HS$169,1+SwaptionShift):INDEX($FK$325:$ID$396,HS$169,SwaptionMonthsToGo+SwaptionShift),INDEX($FK$245:$ID$316,$FJ240-HS$169,73-HS$169+SwaptionShift):INDEX($FK$245:$ID$316,$FJ240-HS$169,72-HS$169+SwaptionMonthsToGo+SwaptionShift))/SQRT(SUM(INDEX($FK395:$ID395,1+SwaptionShift):INDEX($FK395:$ID395,SwaptionMonthsToGo+SwaptionShift))*SUM(INDEX($FK$325:$ID$396,HS$169,1+SwaptionShift):INDEX($FK$325:$ID$396,HS$169,SwaptionMonthsToGo+SwaptionShift))))))</f>
        <v/>
      </c>
      <c r="HT240" s="150" t="str">
        <f aca="false">IF(OR(HT$169&lt;SwaptionFirstMonthPosition+1,$FJ240&lt;SwaptionFirstMonthPosition+1,HT$169&gt;SwaptionFirstMonthPosition+SwaptionNumOfMonths+1,$FJ240&gt;SwaptionFirstMonthPosition+SwaptionNumOfMonths+1),"",IF($FJ240=HT$169,1,IF($FJ240&lt;HT$169,INDEX($FK$170:$ID$241,HT$169,$FJ240),SUMPRODUCT(INDEX($FK$325:$ID$396,HT$169,1+SwaptionShift):INDEX($FK$325:$ID$396,HT$169,SwaptionMonthsToGo+SwaptionShift),INDEX($FK$245:$ID$316,$FJ240-HT$169,73-HT$169+SwaptionShift):INDEX($FK$245:$ID$316,$FJ240-HT$169,72-HT$169+SwaptionMonthsToGo+SwaptionShift))/SQRT(SUM(INDEX($FK395:$ID395,1+SwaptionShift):INDEX($FK395:$ID395,SwaptionMonthsToGo+SwaptionShift))*SUM(INDEX($FK$325:$ID$396,HT$169,1+SwaptionShift):INDEX($FK$325:$ID$396,HT$169,SwaptionMonthsToGo+SwaptionShift))))))</f>
        <v/>
      </c>
      <c r="HU240" s="150" t="str">
        <f aca="false">IF(OR(HU$169&lt;SwaptionFirstMonthPosition+1,$FJ240&lt;SwaptionFirstMonthPosition+1,HU$169&gt;SwaptionFirstMonthPosition+SwaptionNumOfMonths+1,$FJ240&gt;SwaptionFirstMonthPosition+SwaptionNumOfMonths+1),"",IF($FJ240=HU$169,1,IF($FJ240&lt;HU$169,INDEX($FK$170:$ID$241,HU$169,$FJ240),SUMPRODUCT(INDEX($FK$325:$ID$396,HU$169,1+SwaptionShift):INDEX($FK$325:$ID$396,HU$169,SwaptionMonthsToGo+SwaptionShift),INDEX($FK$245:$ID$316,$FJ240-HU$169,73-HU$169+SwaptionShift):INDEX($FK$245:$ID$316,$FJ240-HU$169,72-HU$169+SwaptionMonthsToGo+SwaptionShift))/SQRT(SUM(INDEX($FK395:$ID395,1+SwaptionShift):INDEX($FK395:$ID395,SwaptionMonthsToGo+SwaptionShift))*SUM(INDEX($FK$325:$ID$396,HU$169,1+SwaptionShift):INDEX($FK$325:$ID$396,HU$169,SwaptionMonthsToGo+SwaptionShift))))))</f>
        <v/>
      </c>
      <c r="HV240" s="150" t="str">
        <f aca="false">IF(OR(HV$169&lt;SwaptionFirstMonthPosition+1,$FJ240&lt;SwaptionFirstMonthPosition+1,HV$169&gt;SwaptionFirstMonthPosition+SwaptionNumOfMonths+1,$FJ240&gt;SwaptionFirstMonthPosition+SwaptionNumOfMonths+1),"",IF($FJ240=HV$169,1,IF($FJ240&lt;HV$169,INDEX($FK$170:$ID$241,HV$169,$FJ240),SUMPRODUCT(INDEX($FK$325:$ID$396,HV$169,1+SwaptionShift):INDEX($FK$325:$ID$396,HV$169,SwaptionMonthsToGo+SwaptionShift),INDEX($FK$245:$ID$316,$FJ240-HV$169,73-HV$169+SwaptionShift):INDEX($FK$245:$ID$316,$FJ240-HV$169,72-HV$169+SwaptionMonthsToGo+SwaptionShift))/SQRT(SUM(INDEX($FK395:$ID395,1+SwaptionShift):INDEX($FK395:$ID395,SwaptionMonthsToGo+SwaptionShift))*SUM(INDEX($FK$325:$ID$396,HV$169,1+SwaptionShift):INDEX($FK$325:$ID$396,HV$169,SwaptionMonthsToGo+SwaptionShift))))))</f>
        <v/>
      </c>
      <c r="HW240" s="150" t="str">
        <f aca="false">IF(OR(HW$169&lt;SwaptionFirstMonthPosition+1,$FJ240&lt;SwaptionFirstMonthPosition+1,HW$169&gt;SwaptionFirstMonthPosition+SwaptionNumOfMonths+1,$FJ240&gt;SwaptionFirstMonthPosition+SwaptionNumOfMonths+1),"",IF($FJ240=HW$169,1,IF($FJ240&lt;HW$169,INDEX($FK$170:$ID$241,HW$169,$FJ240),SUMPRODUCT(INDEX($FK$325:$ID$396,HW$169,1+SwaptionShift):INDEX($FK$325:$ID$396,HW$169,SwaptionMonthsToGo+SwaptionShift),INDEX($FK$245:$ID$316,$FJ240-HW$169,73-HW$169+SwaptionShift):INDEX($FK$245:$ID$316,$FJ240-HW$169,72-HW$169+SwaptionMonthsToGo+SwaptionShift))/SQRT(SUM(INDEX($FK395:$ID395,1+SwaptionShift):INDEX($FK395:$ID395,SwaptionMonthsToGo+SwaptionShift))*SUM(INDEX($FK$325:$ID$396,HW$169,1+SwaptionShift):INDEX($FK$325:$ID$396,HW$169,SwaptionMonthsToGo+SwaptionShift))))))</f>
        <v/>
      </c>
      <c r="HX240" s="150" t="str">
        <f aca="false">IF(OR(HX$169&lt;SwaptionFirstMonthPosition+1,$FJ240&lt;SwaptionFirstMonthPosition+1,HX$169&gt;SwaptionFirstMonthPosition+SwaptionNumOfMonths+1,$FJ240&gt;SwaptionFirstMonthPosition+SwaptionNumOfMonths+1),"",IF($FJ240=HX$169,1,IF($FJ240&lt;HX$169,INDEX($FK$170:$ID$241,HX$169,$FJ240),SUMPRODUCT(INDEX($FK$325:$ID$396,HX$169,1+SwaptionShift):INDEX($FK$325:$ID$396,HX$169,SwaptionMonthsToGo+SwaptionShift),INDEX($FK$245:$ID$316,$FJ240-HX$169,73-HX$169+SwaptionShift):INDEX($FK$245:$ID$316,$FJ240-HX$169,72-HX$169+SwaptionMonthsToGo+SwaptionShift))/SQRT(SUM(INDEX($FK395:$ID395,1+SwaptionShift):INDEX($FK395:$ID395,SwaptionMonthsToGo+SwaptionShift))*SUM(INDEX($FK$325:$ID$396,HX$169,1+SwaptionShift):INDEX($FK$325:$ID$396,HX$169,SwaptionMonthsToGo+SwaptionShift))))))</f>
        <v/>
      </c>
      <c r="HY240" s="150" t="str">
        <f aca="false">IF(OR(HY$169&lt;SwaptionFirstMonthPosition+1,$FJ240&lt;SwaptionFirstMonthPosition+1,HY$169&gt;SwaptionFirstMonthPosition+SwaptionNumOfMonths+1,$FJ240&gt;SwaptionFirstMonthPosition+SwaptionNumOfMonths+1),"",IF($FJ240=HY$169,1,IF($FJ240&lt;HY$169,INDEX($FK$170:$ID$241,HY$169,$FJ240),SUMPRODUCT(INDEX($FK$325:$ID$396,HY$169,1+SwaptionShift):INDEX($FK$325:$ID$396,HY$169,SwaptionMonthsToGo+SwaptionShift),INDEX($FK$245:$ID$316,$FJ240-HY$169,73-HY$169+SwaptionShift):INDEX($FK$245:$ID$316,$FJ240-HY$169,72-HY$169+SwaptionMonthsToGo+SwaptionShift))/SQRT(SUM(INDEX($FK395:$ID395,1+SwaptionShift):INDEX($FK395:$ID395,SwaptionMonthsToGo+SwaptionShift))*SUM(INDEX($FK$325:$ID$396,HY$169,1+SwaptionShift):INDEX($FK$325:$ID$396,HY$169,SwaptionMonthsToGo+SwaptionShift))))))</f>
        <v/>
      </c>
      <c r="HZ240" s="150" t="str">
        <f aca="false">IF(OR(HZ$169&lt;SwaptionFirstMonthPosition+1,$FJ240&lt;SwaptionFirstMonthPosition+1,HZ$169&gt;SwaptionFirstMonthPosition+SwaptionNumOfMonths+1,$FJ240&gt;SwaptionFirstMonthPosition+SwaptionNumOfMonths+1),"",IF($FJ240=HZ$169,1,IF($FJ240&lt;HZ$169,INDEX($FK$170:$ID$241,HZ$169,$FJ240),SUMPRODUCT(INDEX($FK$325:$ID$396,HZ$169,1+SwaptionShift):INDEX($FK$325:$ID$396,HZ$169,SwaptionMonthsToGo+SwaptionShift),INDEX($FK$245:$ID$316,$FJ240-HZ$169,73-HZ$169+SwaptionShift):INDEX($FK$245:$ID$316,$FJ240-HZ$169,72-HZ$169+SwaptionMonthsToGo+SwaptionShift))/SQRT(SUM(INDEX($FK395:$ID395,1+SwaptionShift):INDEX($FK395:$ID395,SwaptionMonthsToGo+SwaptionShift))*SUM(INDEX($FK$325:$ID$396,HZ$169,1+SwaptionShift):INDEX($FK$325:$ID$396,HZ$169,SwaptionMonthsToGo+SwaptionShift))))))</f>
        <v/>
      </c>
      <c r="IA240" s="150" t="str">
        <f aca="false">IF(OR(IA$169&lt;SwaptionFirstMonthPosition+1,$FJ240&lt;SwaptionFirstMonthPosition+1,IA$169&gt;SwaptionFirstMonthPosition+SwaptionNumOfMonths+1,$FJ240&gt;SwaptionFirstMonthPosition+SwaptionNumOfMonths+1),"",IF($FJ240=IA$169,1,IF($FJ240&lt;IA$169,INDEX($FK$170:$ID$241,IA$169,$FJ240),SUMPRODUCT(INDEX($FK$325:$ID$396,IA$169,1+SwaptionShift):INDEX($FK$325:$ID$396,IA$169,SwaptionMonthsToGo+SwaptionShift),INDEX($FK$245:$ID$316,$FJ240-IA$169,73-IA$169+SwaptionShift):INDEX($FK$245:$ID$316,$FJ240-IA$169,72-IA$169+SwaptionMonthsToGo+SwaptionShift))/SQRT(SUM(INDEX($FK395:$ID395,1+SwaptionShift):INDEX($FK395:$ID395,SwaptionMonthsToGo+SwaptionShift))*SUM(INDEX($FK$325:$ID$396,IA$169,1+SwaptionShift):INDEX($FK$325:$ID$396,IA$169,SwaptionMonthsToGo+SwaptionShift))))))</f>
        <v/>
      </c>
      <c r="IB240" s="150" t="str">
        <f aca="false">IF(OR(IB$169&lt;SwaptionFirstMonthPosition+1,$FJ240&lt;SwaptionFirstMonthPosition+1,IB$169&gt;SwaptionFirstMonthPosition+SwaptionNumOfMonths+1,$FJ240&gt;SwaptionFirstMonthPosition+SwaptionNumOfMonths+1),"",IF($FJ240=IB$169,1,IF($FJ240&lt;IB$169,INDEX($FK$170:$ID$241,IB$169,$FJ240),SUMPRODUCT(INDEX($FK$325:$ID$396,IB$169,1+SwaptionShift):INDEX($FK$325:$ID$396,IB$169,SwaptionMonthsToGo+SwaptionShift),INDEX($FK$245:$ID$316,$FJ240-IB$169,73-IB$169+SwaptionShift):INDEX($FK$245:$ID$316,$FJ240-IB$169,72-IB$169+SwaptionMonthsToGo+SwaptionShift))/SQRT(SUM(INDEX($FK395:$ID395,1+SwaptionShift):INDEX($FK395:$ID395,SwaptionMonthsToGo+SwaptionShift))*SUM(INDEX($FK$325:$ID$396,IB$169,1+SwaptionShift):INDEX($FK$325:$ID$396,IB$169,SwaptionMonthsToGo+SwaptionShift))))))</f>
        <v/>
      </c>
      <c r="IC240" s="150" t="str">
        <f aca="false">IF(OR(IC$169&lt;SwaptionFirstMonthPosition+1,$FJ240&lt;SwaptionFirstMonthPosition+1,IC$169&gt;SwaptionFirstMonthPosition+SwaptionNumOfMonths+1,$FJ240&gt;SwaptionFirstMonthPosition+SwaptionNumOfMonths+1),"",IF($FJ240=IC$169,1,IF($FJ240&lt;IC$169,INDEX($FK$170:$ID$241,IC$169,$FJ240),SUMPRODUCT(INDEX($FK$325:$ID$396,IC$169,1+SwaptionShift):INDEX($FK$325:$ID$396,IC$169,SwaptionMonthsToGo+SwaptionShift),INDEX($FK$245:$ID$316,$FJ240-IC$169,73-IC$169+SwaptionShift):INDEX($FK$245:$ID$316,$FJ240-IC$169,72-IC$169+SwaptionMonthsToGo+SwaptionShift))/SQRT(SUM(INDEX($FK395:$ID395,1+SwaptionShift):INDEX($FK395:$ID395,SwaptionMonthsToGo+SwaptionShift))*SUM(INDEX($FK$325:$ID$396,IC$169,1+SwaptionShift):INDEX($FK$325:$ID$396,IC$169,SwaptionMonthsToGo+SwaptionShift))))))</f>
        <v/>
      </c>
      <c r="ID240" s="572" t="str">
        <f aca="false">IF(OR(ID$169&lt;SwaptionFirstMonthPosition+1,$FJ240&lt;SwaptionFirstMonthPosition+1,ID$169&gt;SwaptionFirstMonthPosition+SwaptionNumOfMonths+1,$FJ240&gt;SwaptionFirstMonthPosition+SwaptionNumOfMonths+1),"",IF($FJ240=ID$169,1,IF($FJ240&lt;ID$169,INDEX($FK$170:$ID$241,ID$169,$FJ240),SUMPRODUCT(INDEX($FK$325:$ID$396,ID$169,1+SwaptionShift):INDEX($FK$325:$ID$396,ID$169,SwaptionMonthsToGo+SwaptionShift),INDEX($FK$245:$ID$316,$FJ240-ID$169,73-ID$169+SwaptionShift):INDEX($FK$245:$ID$316,$FJ240-ID$169,72-ID$169+SwaptionMonthsToGo+SwaptionShift))/SQRT(SUM(INDEX($FK395:$ID395,1+SwaptionShift):INDEX($FK395:$ID395,SwaptionMonthsToGo+SwaptionShift))*SUM(INDEX($FK$325:$ID$396,ID$169,1+SwaptionShift):INDEX($FK$325:$ID$396,ID$169,SwaptionMonthsToGo+SwaptionShift))))))</f>
        <v/>
      </c>
      <c r="IE240" s="129"/>
    </row>
    <row r="241" customFormat="false" ht="12.75" hidden="false" customHeight="false" outlineLevel="0" collapsed="false">
      <c r="H241" s="219" t="n">
        <f aca="false">VLOOKUP(I241,$EJ$20:$EL$54,3)</f>
        <v>0</v>
      </c>
      <c r="I241" s="511" t="n">
        <f aca="false">EOMONTH(I240,0)+1</f>
        <v>43497</v>
      </c>
      <c r="J241" s="512"/>
      <c r="K241" s="513" t="s">
        <v>280</v>
      </c>
      <c r="L241" s="514" t="n">
        <f aca="false">IF(ISNUMBER(K241),J241+K241/100,IF(K241="extra",L240+VLOOKUP(BF241,PriceSpreadTable,2)/12,IF(K241="inter",interpolateprices($K$19:$L$200,ROW(K241)-ROW(FirstPricingMonth)+1),interpolatechanges($J$19:$K$200,ROW(K241)-ROW(FirstPricingMonth)+1))))</f>
        <v>5.43749999999999</v>
      </c>
      <c r="M241" s="515"/>
      <c r="N241" s="516" t="n">
        <v>0</v>
      </c>
      <c r="O241" s="515" t="n">
        <f aca="false">M241+N241</f>
        <v>0</v>
      </c>
      <c r="P241" s="512"/>
      <c r="Q241" s="513" t="s">
        <v>280</v>
      </c>
      <c r="R241" s="512" t="e">
        <f aca="false">IF(ISNUMBER(Q241),P241+Q241/100,IF(Q241="extra",(Z239*AL239-R240*AM239)/AN239,IF(Q241="inter",interpolateprices($Q$19:$R$260,ROW(Q241)-ROW(FirstPricingMonth)+1),interpolatechanges($P$19:$Q$260,ROW(Q241)-ROW(FirstPricingMonth)+1))))</f>
        <v>#VALUE!</v>
      </c>
      <c r="S241" s="597" t="n">
        <f aca="false">S$19+(S240-S$19)*S$18</f>
        <v>0.36</v>
      </c>
      <c r="T241" s="575" t="n">
        <f aca="false">SQRT((1-(1-T240^2/U240)*T$18)*U241)</f>
        <v>1</v>
      </c>
      <c r="U241" s="576" t="n">
        <f aca="false">1-(1-U240)*U$18</f>
        <v>1</v>
      </c>
      <c r="V241" s="521" t="n">
        <v>0</v>
      </c>
      <c r="W241" s="577" t="n">
        <f aca="false">(J242*AJ241+J243*AK241)/AI241</f>
        <v>0</v>
      </c>
      <c r="X241" s="578" t="n">
        <f aca="false">(L242*AJ241+L243*AK241)/AI241</f>
        <v>5.48624999999999</v>
      </c>
      <c r="Y241" s="579" t="n">
        <f aca="false">IF(Q243="extra",W241-AA241,(P242*AM241+P243*AN241)/AL241)</f>
        <v>-1.1685</v>
      </c>
      <c r="Z241" s="579" t="n">
        <f aca="false">IF(Q243="extra",X241-AB241,(R242*AM241+R243*AN241)/AL241)</f>
        <v>4.31774999999999</v>
      </c>
      <c r="AA241" s="523" t="n">
        <f aca="false">IF(Q243="extra",INDEX(BrentSeasonalityTable,INT((BG241-1)/3)+1)*VLOOKUP(MAX(BF241,$AB$4),PriceSpreadTable,3),W241-Y241)</f>
        <v>1.1685</v>
      </c>
      <c r="AB241" s="524" t="n">
        <f aca="false">IF(Q243="extra",INDEX(BrentSeasonalityTable,INT((BG241-1)/3)+1)*VLOOKUP(MAX(BF241,$AB$4),PriceSpreadTable,3),X241-Z241)</f>
        <v>1.1685</v>
      </c>
      <c r="AC241" s="646" t="n">
        <v>43485</v>
      </c>
      <c r="AD241" s="646" t="n">
        <v>43481</v>
      </c>
      <c r="AE241" s="646" t="n">
        <v>43480</v>
      </c>
      <c r="AF241" s="646" t="n">
        <v>43476</v>
      </c>
      <c r="AG241" s="438" t="s">
        <v>278</v>
      </c>
      <c r="AH241" s="439" t="s">
        <v>278</v>
      </c>
      <c r="AI241" s="528" t="n">
        <v>20</v>
      </c>
      <c r="AJ241" s="529" t="n">
        <v>14</v>
      </c>
      <c r="AK241" s="529" t="n">
        <v>6</v>
      </c>
      <c r="AL241" s="530" t="n">
        <v>20</v>
      </c>
      <c r="AM241" s="529" t="n">
        <v>10</v>
      </c>
      <c r="AN241" s="531" t="n">
        <v>10</v>
      </c>
      <c r="AO241" s="532"/>
      <c r="AP241" s="465" t="n">
        <f aca="false">(1+AO241/2)^(-2*BL241)</f>
        <v>1</v>
      </c>
      <c r="AQ241" s="532"/>
      <c r="AR241" s="465" t="n">
        <f aca="false">(1+AQ241/2)^(-2*BH241/365.25)</f>
        <v>1</v>
      </c>
      <c r="AS241" s="580" t="n">
        <f aca="false">(O242*AJ241+O243*AK241)/AI241</f>
        <v>0</v>
      </c>
      <c r="AT241" s="468" t="n">
        <f aca="false">O241*VLOOKUP(BF241,BrentVolTable,2)+VLOOKUP(BF241,BrentVolTable,3)</f>
        <v>0</v>
      </c>
      <c r="AU241" s="468" t="n">
        <f aca="false">(AT242*AM241+AT243*AN241)/AL241</f>
        <v>0</v>
      </c>
      <c r="AV241" s="595" t="n">
        <f aca="false">SQRT(MAX(0.000000000001,(O241^2*BH241-S241^2*(BH241-BH240))/BH240))</f>
        <v>0.0402898588638968</v>
      </c>
      <c r="AW241" s="451" t="n">
        <f aca="false">IF($I241-DateToday+15&gt;=$T$8,"",IF($I241-DateToday+15&lt;$T$5,1,MATCH($I241-DateToday+15,$T$5:$T$8)))</f>
        <v>1</v>
      </c>
      <c r="AX241" s="468" t="n">
        <f aca="false">IF($AW241="",AX240^2/AX239,INDEX(U$5:U$8,$AW241)^((INDEX($T$5:$T$8,$AW241+1)-($I241-DateToday+15))/(INDEX($T$5:$T$8,$AW241+1)-INDEX($T$5:$T$8,$AW241)))/INDEX(U$5:U$8,$AW241+1)^((INDEX($T$5:$T$8,$AW241)-($I241-DateToday+15))/(INDEX($T$5:$T$8,$AW241+1)-INDEX($T$5:$T$8,$AW241))))</f>
        <v>0.11131970374238</v>
      </c>
      <c r="AY241" s="468" t="n">
        <f aca="false">IF($AW241="",AY240^2/AY239,INDEX(V$5:V$8,$AW241)^((INDEX($T$5:$T$8,$AW241+1)-($I241-DateToday+15))/(INDEX($T$5:$T$8,$AW241+1)-INDEX($T$5:$T$8,$AW241)))/INDEX(V$5:V$8,$AW241+1)^((INDEX($T$5:$T$8,$AW241)-($I241-DateToday+15))/(INDEX($T$5:$T$8,$AW241+1)-INDEX($T$5:$T$8,$AW241))))</f>
        <v>0.471409010987293</v>
      </c>
      <c r="AZ241" s="468" t="n">
        <f aca="false">IF($AW241="",AZ240^2/AZ239,INDEX(W$5:W$8,$AW241)^((INDEX($T$5:$T$8,$AW241+1)-($I241-DateToday+15))/(INDEX($T$5:$T$8,$AW241+1)-INDEX($T$5:$T$8,$AW241)))/INDEX(W$5:W$8,$AW241+1)^((INDEX($T$5:$T$8,$AW241)-($I241-DateToday+15))/(INDEX($T$5:$T$8,$AW241+1)-INDEX($T$5:$T$8,$AW241))))</f>
        <v>8.87758474868696</v>
      </c>
      <c r="BA241" s="468" t="n">
        <f aca="false">IF($AW241="",BA240^2/BA239,INDEX(X$5:X$8,$AW241)^((INDEX($T$5:$T$8,$AW241+1)-($I241-DateToday+15))/(INDEX($T$5:$T$8,$AW241+1)-INDEX($T$5:$T$8,$AW241)))/INDEX(X$5:X$8,$AW241+1)^((INDEX($T$5:$T$8,$AW241)-($I241-DateToday+15))/(INDEX($T$5:$T$8,$AW241+1)-INDEX($T$5:$T$8,$AW241))))</f>
        <v>10.2942719184552</v>
      </c>
      <c r="BB241" s="468" t="n">
        <f aca="false">IF($AW241="",BB240^2/BB239,INDEX(Y$5:Y$8,$AW241)^((INDEX($T$5:$T$8,$AW241+1)-($I241-DateToday+15))/(INDEX($T$5:$T$8,$AW241+1)-INDEX($T$5:$T$8,$AW241)))/INDEX(Y$5:Y$8,$AW241+1)^((INDEX($T$5:$T$8,$AW241)-($I241-DateToday+15))/(INDEX($T$5:$T$8,$AW241+1)-INDEX($T$5:$T$8,$AW241))))</f>
        <v>31.9130258704254</v>
      </c>
      <c r="BC241" s="468" t="n">
        <f aca="false">IF($AW241="",BC240^2/BC239,INDEX(Z$5:Z$8,$AW241)^((INDEX($T$5:$T$8,$AW241+1)-($I241-DateToday+15))/(INDEX($T$5:$T$8,$AW241+1)-INDEX($T$5:$T$8,$AW241)))/INDEX(Z$5:Z$8,$AW241+1)^((INDEX($T$5:$T$8,$AW241)-($I241-DateToday+15))/(INDEX($T$5:$T$8,$AW241+1)-INDEX($T$5:$T$8,$AW241))))</f>
        <v>64.9310656017424</v>
      </c>
      <c r="BD241" s="535" t="n">
        <f aca="false">IF(OR(DateStart&gt;=I242,DateEnd&lt;I241),0,IF(VolumeOverrideFlag,V241,Volume))</f>
        <v>0</v>
      </c>
      <c r="BE241" s="536" t="n">
        <f aca="false">IF(OR(DateStart2&gt;=I242,DateEnd2&lt;I241),0,IF(VolumeOverrideFlag,V241,VolumeSwaption))</f>
        <v>0</v>
      </c>
      <c r="BF241" s="537" t="n">
        <f aca="false">YEAR(I241)</f>
        <v>2019</v>
      </c>
      <c r="BG241" s="538" t="n">
        <f aca="false">MONTH(I241)</f>
        <v>2</v>
      </c>
      <c r="BH241" s="539" t="n">
        <f aca="false">AD241-DateToday+1</f>
        <v>-2444</v>
      </c>
      <c r="BI241" s="540" t="n">
        <f aca="false">(I241-DateToday+1)/365.25</f>
        <v>-6.64750171115674</v>
      </c>
      <c r="BJ241" s="541" t="n">
        <f aca="false">BI241+(BL241-BI241)*CHOOSE(Underlying,AJ241/AI241,AM241/AL241)</f>
        <v>-6.59575633127994</v>
      </c>
      <c r="BK241" s="541" t="n">
        <f aca="false">BJ241+1/365.25</f>
        <v>-6.59301848049281</v>
      </c>
      <c r="BL241" s="541" t="n">
        <f aca="false">(I242-DateToday)/365.25</f>
        <v>-6.57357973990418</v>
      </c>
      <c r="BM241" s="542" t="e">
        <f aca="false">MAX(BI241-(BJ241-BI241)*(S242^2/O242^2-1),0)</f>
        <v>#DIV/0!</v>
      </c>
      <c r="BN241" s="541" t="e">
        <f aca="false">MAX(BL241+(BL241-BK241)*(S243^2/O243^2-1),0)</f>
        <v>#DIV/0!</v>
      </c>
      <c r="BO241" s="530" t="n">
        <f aca="false">CHOOSE(Underlying,AI241,AL241)</f>
        <v>20</v>
      </c>
      <c r="BP241" s="529" t="n">
        <f aca="false">CHOOSE(Underlying,AJ241,AM241)</f>
        <v>14</v>
      </c>
      <c r="BQ241" s="529" t="n">
        <f aca="false">CHOOSE(Underlying,AK241,AN241)</f>
        <v>6</v>
      </c>
      <c r="BR241" s="463" t="str">
        <f aca="false">IF(BD241,IF(Underlying=1,X241,Z241)+UnderlyingPriceAsian-SwapPriceCurve,"")</f>
        <v/>
      </c>
      <c r="BS241" s="463" t="str">
        <f aca="false">IF(BD241,Strike1/BR241-1,"")</f>
        <v/>
      </c>
      <c r="BT241" s="464" t="str">
        <f aca="false">IF(BD241,Strike2/BR241-1,"")</f>
        <v/>
      </c>
      <c r="BU241" s="465" t="str">
        <f aca="false">IF(BD241,IF(Underlying=1,L242,R242)+UnderlyingPriceAsian-SwapPriceCurve,"")</f>
        <v/>
      </c>
      <c r="BV241" s="465" t="str">
        <f aca="false">IF(BD241,IF(Underlying=1,L243,R243)+UnderlyingPriceAsian-SwapPriceCurve,"")</f>
        <v/>
      </c>
      <c r="BW241" s="466" t="str">
        <f aca="false">IF(BD241,IF(Underlying=1,O242,AT242),"")</f>
        <v/>
      </c>
      <c r="BX241" s="467" t="str">
        <f aca="false">IF(BD241,IF(Underlying=1,O243,AT243),"")</f>
        <v/>
      </c>
      <c r="BY241" s="466" t="str">
        <f aca="false">IF(BD241,IF(BS241&gt;0,IF(BS241&gt;0.2,BC241-BB241,IF(BS241&gt;0.1,BB241-BA241,BA241)),IF(BS241&lt;-0.2,AX241-AY241,IF(BS241&lt;-0.1,AY241-AZ241,AZ241))),"")</f>
        <v/>
      </c>
      <c r="BZ241" s="467" t="str">
        <f aca="false">IF(BD241,IF(BT241&gt;0,IF(BT241&gt;0.2,BC241-BB241,IF(BT241&gt;0.1,BB241-BA241,BA241)),IF(BT241&lt;-0.2,AX241-AY241,IF(BT241&lt;-0.1,AY241-AZ241,AZ241))),"")</f>
        <v/>
      </c>
      <c r="CA241" s="468" t="str">
        <f aca="false">IF($BD241,$BW241+IF(VolSkewFlag=1,IF(BS241&gt;0,$BA241*MIN(BS241/10%,1)+($BB241-$BA241)*MAX(0,MIN(BS241/10%-1,1))+($BC241-$BB241)*MAX(0,BS241/10%-2),$AZ241*MIN(-BS241/10%,1)+($AY241-$AZ241)*MAX(0,MIN(-BS241/10%-1,1))+($AX241-$AY241)*MAX(0,-BS241/10%-2)),0),"")</f>
        <v/>
      </c>
      <c r="CB241" s="468" t="str">
        <f aca="false">IF($BD241,$BX241+IF(VolSkewFlag=1,IF(BS241&gt;0,$BA241*MIN(BS241/10%,1)+($BB241-$BA241)*MAX(0,MIN(BS241/10%-1,1))+($BC241-$BB241)*MAX(0,BS241/10%-2),$AZ241*MIN(-BS241/10%,1)+($AY241-$AZ241)*MAX(0,MIN(-BS241/10%-1,1))+($AX241-$AY241)*MAX(0,-BS241/10%-2)),0),"")</f>
        <v/>
      </c>
      <c r="CC241" s="468" t="str">
        <f aca="false">IF($BD241,$BW241+IF(VolSkewFlag=1,IF(BT241&gt;0,$BA241*MIN(BT241/10%,1)+($BB241-$BA241)*MAX(0,MIN(BT241/10%-1,1))+($BC241-$BB241)*MAX(0,BT241/10%-2),$AZ241*MIN(-BT241/10%,1)+($AY241-$AZ241)*MAX(0,MIN(-BT241/10%-1,1))+($AX241-$AY241)*MAX(0,-BT241/10%-2)),0),"")</f>
        <v/>
      </c>
      <c r="CD241" s="468" t="str">
        <f aca="false">IF($BD241,$BX241+IF(VolSkewFlag=1,IF(BT241&gt;0,$BA241*MIN(BT241/10%,1)+($BB241-$BA241)*MAX(0,MIN(BT241/10%-1,1))+($BC241-$BB241)*MAX(0,BT241/10%-2),$AZ241*MIN(-BT241/10%,1)+($AY241-$AZ241)*MAX(0,MIN(-BT241/10%-1,1))+($AX241-$AY241)*MAX(0,-BT241/10%-2)),0),"")</f>
        <v/>
      </c>
      <c r="CE241" s="469" t="n">
        <v>1</v>
      </c>
      <c r="CF241" s="470" t="n">
        <f aca="false">IF(BD241,xCrudeAPO(BU241,BV241,CA241,CB241,S242,S243,BI241,BL241,BP241,BQ241,0,Strike1,AO241,CE241,0,BL241,IF(OptControl=4,0,1),0,1),0)</f>
        <v>0</v>
      </c>
      <c r="CG241" s="470" t="n">
        <f aca="false">IF(BD241,xCrudeAPO(BU241,BV241,CA241,CB241,S242,S243,BI241,BL241,BP241,BQ241,0,Strike1,AO241,CE241,0,BL241,IF(OptControl=4,0,1),1,1)+xCrudeAPO(BU241,BV241,CA241,CB241,S242,S243,BI241,BL241,BP241,BQ241,0,Strike1,AO241,CE241,0,BL241,IF(OptControl=4,0,1),1,2)+IF(OR(VolSkewFlag=2,ABS(BS241)&lt;0.0001),0,IF(BS241&gt;0,-1,1)*CH241*Strike1/BR241^2*BY241/10%),0)</f>
        <v>0</v>
      </c>
      <c r="CH241" s="470" t="n">
        <f aca="false">IF(BD241,(xCrudeAPO(BU241,BV241,CA241,CB241,S242,S243,BI241,BL241,BP241,BQ241,0,Strike1,AO241,CE241,0,BL241,IF(OptControl=4,0,1),3,1)+xCrudeAPO(BU241,BV241,CA241,CB241,S242,S243,BI241,BL241,BP241,BQ241,0,Strike1,AO241,CE241,0,BL241,IF(OptControl=4,0,1),3,2))/100,0)</f>
        <v>0</v>
      </c>
      <c r="CI241" s="470" t="n">
        <f aca="false">IF(BD241,xCrudeAPO(BU241,BV241,CA241,CB241,S242,S243,BI241-DaysForThetaCalculation/365.25,BL241-DaysForThetaCalculation/365.25,BP241,BQ241,0,Strike1,AO241,CE241,0,BL241,IF(OptControl=4,0,1),0,1)-xCrudeAPO(BU241,BV241,CA241,CB241,S242,S243,BI241,BL241,BP241,BQ241,0,Strike1,AO241,CE241,0,BL241,IF(OptControl=4,0,1),0,1),0)</f>
        <v>0</v>
      </c>
      <c r="CJ241" s="471" t="n">
        <f aca="false">IF(BD241,xCrudeAPO(BU241,BV241,CC241,CD241,S242,S243,BI241,BL241,BP241,BQ241,0,Strike2,AO241,CE241,0,BL241,IF(OptControl=3,1,0),0,1),0)</f>
        <v>0</v>
      </c>
      <c r="CK241" s="470" t="n">
        <f aca="false">IF(BD241,xCrudeAPO(BU241,BV241,CC241,CD241,S242,S243,BI241,BL241,BP241,BQ241,0,Strike2,AO241,CE241,0,BL241,IF(OptControl=3,1,0),1,1)+xCrudeAPO(BU241,BV241,CC241,CD241,S242,S243,BI241,BL241,BP241,BQ241,0,Strike2,AO241,CE241,0,BL241,IF(OptControl=3,1,0),1,2)+IF(OR(VolSkewFlag=2,ABS(BT241)&lt;0.0001),0,IF(BT241&gt;0,-1,1)*CL241*Strike2/BR241^2*BZ241/10%),0)</f>
        <v>0</v>
      </c>
      <c r="CL241" s="470" t="n">
        <f aca="false">IF(BD241,(xCrudeAPO(BU241,BV241,CC241,CD241,S242,S243,BI241,BL241,BP241,BQ241,0,Strike2,AO241,CE241,0,BL241,IF(OptControl=3,1,0),3,1)+xCrudeAPO(BU241,BV241,CC241,CD241,S242,S243,BI241,BL241,BP241,BQ241,0,Strike2,AO241,CE241,0,BL241,IF(OptControl=3,1,0),3,2))/100,0)</f>
        <v>0</v>
      </c>
      <c r="CM241" s="472" t="n">
        <f aca="false">IF(BD241,xCrudeAPO(BU241,BV241,CC241,CD241,S242,S243,BI241-DaysForThetaCalculation/365.25,BL241-DaysForThetaCalculation/365.25,BP241,BQ241,0,Strike2,AO241,CE241,0,BL241,IF(OptControl=3,1,0),0,1)-xCrudeAPO(BU241,BV241,CC241,CD241,S242,S243,BI241,BL241,BP241,BQ241,0,Strike2,AO241,CE241,0,BL241,IF(OptControl=3,1,0),0,1),0)</f>
        <v>0</v>
      </c>
      <c r="CN241" s="3"/>
      <c r="CO241" s="543" t="str">
        <f aca="false">IF(BD241,CHOOSE(Underlying,AD241,AF241)-DateToday+1,"")</f>
        <v/>
      </c>
      <c r="CP241" s="582" t="str">
        <f aca="false">IF(BD241,CHOOSE(Underlying,L241,R241),"")</f>
        <v/>
      </c>
      <c r="CQ241" s="544" t="str">
        <f aca="false">IF(BD241,Strike1/CP241-1,"")</f>
        <v/>
      </c>
      <c r="CR241" s="544" t="str">
        <f aca="false">IF(BD241,Strike2/CP241-1,"")</f>
        <v/>
      </c>
      <c r="CS241" s="544" t="str">
        <f aca="false">IF(BD241,IF(CQ241&gt;0,IF(CQ241&gt;0.2,BC240-BB240,IF(CQ241&gt;0.1,BB240-BA240,BA240)),IF(CQ241&lt;-0.2,AX240-AY240,IF(CQ241&lt;-0.1,AY240-AZ240,AZ240))),"")</f>
        <v/>
      </c>
      <c r="CT241" s="544" t="str">
        <f aca="false">IF(BD241,IF(CR241&gt;0,IF(CR241&gt;0.2,BC240-BB240,IF(CR241&gt;0.1,BB240-BA240,BA240)),IF(CR241&lt;-0.2,AX240-AY240,IF(CR241&lt;-0.1,AY240-AZ240,AZ240))),"")</f>
        <v/>
      </c>
      <c r="CU241" s="545" t="str">
        <f aca="false">IF(BD241,CHOOSE(Underlying,O241,AT241),"")</f>
        <v/>
      </c>
      <c r="CV241" s="545" t="str">
        <f aca="false">IF(BD241,CU241+IF(VolSkewFlag=1,IF(CQ241&gt;0,BA240*MIN(CQ241/10%,1)+(BB240-BA240)*MAX(0,MIN(CQ241/10%-1,1))+(BC240-BB240)*MAX(0,CQ241/10%-2),AZ240*MIN(-CQ241/10%,1)+(AY240-AZ240)*MAX(0,MIN(-CQ241/10%-1,1))+(AX240-AY240)*MAX(0,-CQ241/10%-2)),0),"")</f>
        <v/>
      </c>
      <c r="CW241" s="545" t="str">
        <f aca="false">IF(BD241,CU241+IF(VolSkewFlag=1,IF(CR241&gt;0,BA240*MIN(CR241/10%,1)+(BB240-BA240)*MAX(0,MIN(CR241/10%-1,1))+(BC240-BB240)*MAX(0,CR241/10%-2),AZ240*MIN(-CR241/10%,1)+(AY240-AZ240)*MAX(0,MIN(-CR241/10%-1,1))+(AX240-AY240)*MAX(0,-CR241/10%-2)),0),"")</f>
        <v/>
      </c>
      <c r="CX241" s="470" t="n">
        <f aca="false">IF(BD241,EURO(CP241,Strike1,AO241,AO241,CV241,CO241,IF(OptControl=4,0,1),0),0)</f>
        <v>0</v>
      </c>
      <c r="CY241" s="470" t="n">
        <f aca="false">IF(BD241,EURO(CP241,Strike1,AO241,AO241,CV241,CO241,IF(OptControl=4,0,1),1)+IF(OR(VolSkewFlag=2,ABS(CQ241)&lt;0.0001),0,IF(CQ241&gt;0,-1,1)*CZ241*100*Strike1/CP241^2*CS241/10%),0)</f>
        <v>0</v>
      </c>
      <c r="CZ241" s="470" t="n">
        <f aca="false">IF(BD241,EURO(CP241,Strike1,AO241,AO241,CV241,CO241,IF(OptControl=4,0,1),3)/100,0)</f>
        <v>0</v>
      </c>
      <c r="DA241" s="470" t="n">
        <f aca="false">IF(BD241,EURO(CP241,Strike1,AO241,AO241,CV241,CO241,IF(OptControl=4,0,1),0)-EURO(CP241,Strike1,AO241,AO241,CV241,CO241-1,IF(OptControl=4,0,1),0),0)</f>
        <v>0</v>
      </c>
      <c r="DB241" s="470" t="n">
        <f aca="false">IF(BD241,EURO(CP241,Strike2,AO241,AO241,CW241,CO241,IF(OptControl=3,1,0),0),0)</f>
        <v>0</v>
      </c>
      <c r="DC241" s="470" t="n">
        <f aca="false">IF(BD241,EURO(CP241,Strike2,AO241,AO241,CW241,CO241,IF(OptControl=3,1,0),1)+IF(OR(VolSkewFlag=2,ABS(CR241)&lt;0.0001),0,IF(CR241&gt;0,-1,1)*DD241*100*Strike2/CP241^2*CT241/10%),0)</f>
        <v>0</v>
      </c>
      <c r="DD241" s="470" t="n">
        <f aca="false">IF(BD241,EURO(CP241,Strike2,AO241,AO241,CW241,CO241,IF(OptControl=3,1,0),3)/100,0)</f>
        <v>0</v>
      </c>
      <c r="DE241" s="472" t="n">
        <f aca="false">IF(BD241,EURO(CP241,Strike2,AO241,AO241,CW241,CO241,IF(OptControl=3,1,0),0)-EURO(CP241,Strike2,AO241,AO241,CW241,CO241-1,IF(OptControl=3,1,0),0),0)</f>
        <v>0</v>
      </c>
      <c r="DG241" s="481" t="n">
        <f aca="false">EOMONTH(DG240,0)+1</f>
        <v>52413</v>
      </c>
      <c r="DH241" s="478" t="n">
        <v>25.2100000000001</v>
      </c>
      <c r="DI241" s="479" t="n">
        <v>25.2766666666668</v>
      </c>
      <c r="DJ241" s="480" t="n">
        <f aca="false">DG241</f>
        <v>52413</v>
      </c>
      <c r="DK241" s="478" t="n">
        <v>24.0097098139661</v>
      </c>
      <c r="DL241" s="479" t="n">
        <v>24.0097666666668</v>
      </c>
      <c r="DM241" s="481" t="n">
        <f aca="false">DG241</f>
        <v>52413</v>
      </c>
      <c r="DN241" s="482" t="n">
        <f aca="false">DK241+BrentPhyBrentSpread</f>
        <v>24.0597098139661</v>
      </c>
      <c r="DO241" s="481" t="n">
        <f aca="false">DG241</f>
        <v>52413</v>
      </c>
      <c r="DP241" s="483" t="n">
        <f aca="false">DL241+DQ241</f>
        <v>24.0097666666668</v>
      </c>
      <c r="DQ241" s="546" t="n">
        <v>0</v>
      </c>
      <c r="DR241" s="480" t="n">
        <f aca="false">DG241</f>
        <v>52413</v>
      </c>
      <c r="DS241" s="485" t="n">
        <v>0.091999999999997</v>
      </c>
      <c r="DT241" s="486" t="n">
        <v>0.091199999999997</v>
      </c>
      <c r="DU241" s="480" t="n">
        <f aca="false">DG241</f>
        <v>52413</v>
      </c>
      <c r="DV241" s="485" t="n">
        <v>0.091999999999997</v>
      </c>
      <c r="DW241" s="486" t="n">
        <v>0.091199999999997</v>
      </c>
      <c r="DX241" s="481" t="n">
        <f aca="false">DG241</f>
        <v>52413</v>
      </c>
      <c r="DY241" s="486" t="n">
        <v>0.35</v>
      </c>
      <c r="DZ241" s="481" t="n">
        <f aca="false">DR241</f>
        <v>52413</v>
      </c>
      <c r="EA241" s="486" t="n">
        <f aca="false">DT241</f>
        <v>0.091199999999997</v>
      </c>
      <c r="EB241" s="195"/>
      <c r="EC241" s="547" t="str">
        <f aca="false">IF(BD241,IF(Underlying=1,AS241,AU241),"")</f>
        <v/>
      </c>
      <c r="ED241" s="548" t="str">
        <f aca="false">IF($BD241,$EC241+IF(VolSkewFlag=1,IF(BS241&gt;0,$BA241*MIN(BS241/10%,1)+($BB241-$BA241)*MAX(0,MIN(BS241/10%-1,1))+($BC241-$BB241)*MAX(0,BS241/10%-2),$AZ241*MIN(-BS241/10%,1)+($AY241-$AZ241)*MAX(0,MIN(-BS241/10%-1,1))+($AX241-$AY241)*MAX(0,-BS241/10%-2)),0),"")</f>
        <v/>
      </c>
      <c r="EE241" s="549" t="str">
        <f aca="false">IF($BD241,$EC241+IF(VolSkewFlag=1,IF(BT241&gt;0,$BA241*MIN(BT241/10%,1)+($BB241-$BA241)*MAX(0,MIN(BT241/10%-1,1))+($BC241-$BB241)*MAX(0,BT241/10%-2),$AZ241*MIN(-BT241/10%,1)+($AY241-$AZ241)*MAX(0,MIN(-BT241/10%-1,1))+($AX241-$AY241)*MAX(0,-BT241/10%-2)),0),"")</f>
        <v/>
      </c>
      <c r="EF241" s="550" t="n">
        <f aca="false">IF(BD241,xASN(BR241,Strike1,AO241,ED241,0,BO241,0,BI241,BL241,IF(OptControl=4,0,1),0),0)</f>
        <v>0</v>
      </c>
      <c r="EG241" s="551" t="n">
        <f aca="false">IF(BD241,xASN(BR241,Strike2,AO241,EE241,0,BO241,0,BI241,BL241,IF(OptControl=3,1,0),0),0)</f>
        <v>0</v>
      </c>
      <c r="EL241" s="1"/>
      <c r="EM241" s="195"/>
      <c r="EN241" s="240"/>
      <c r="EO241" s="240"/>
      <c r="EP241" s="195"/>
      <c r="EQ241" s="407" t="s">
        <v>469</v>
      </c>
      <c r="ES241" s="1"/>
      <c r="EU241" s="672"/>
      <c r="FJ241" s="668" t="n">
        <v>72</v>
      </c>
      <c r="FK241" s="669" t="str">
        <f aca="false">IF(OR(FK$169&lt;SwaptionFirstMonthPosition+1,$FJ241&lt;SwaptionFirstMonthPosition+1,FK$169&gt;SwaptionFirstMonthPosition+SwaptionNumOfMonths+1,$FJ241&gt;SwaptionFirstMonthPosition+SwaptionNumOfMonths+1),"",IF($FJ241=FK$169,1,IF($FJ241&lt;FK$169,INDEX($FK$170:$ID$241,FK$169,$FJ241),SUMPRODUCT(INDEX($FK$325:$ID$396,FK$169,1+SwaptionShift):INDEX($FK$325:$ID$396,FK$169,SwaptionMonthsToGo+SwaptionShift),INDEX($FK$245:$ID$316,$FJ241-FK$169,73-FK$169+SwaptionShift):INDEX($FK$245:$ID$316,$FJ241-FK$169,72-FK$169+SwaptionMonthsToGo+SwaptionShift))/SQRT(SUM(INDEX($FK396:$ID396,1+SwaptionShift):INDEX($FK396:$ID396,SwaptionMonthsToGo+SwaptionShift))*SUM(INDEX($FK$325:$ID$396,FK$169,1+SwaptionShift):INDEX($FK$325:$ID$396,FK$169,SwaptionMonthsToGo+SwaptionShift))))))</f>
        <v/>
      </c>
      <c r="FL241" s="669" t="str">
        <f aca="false">IF(OR(FL$169&lt;SwaptionFirstMonthPosition+1,$FJ241&lt;SwaptionFirstMonthPosition+1,FL$169&gt;SwaptionFirstMonthPosition+SwaptionNumOfMonths+1,$FJ241&gt;SwaptionFirstMonthPosition+SwaptionNumOfMonths+1),"",IF($FJ241=FL$169,1,IF($FJ241&lt;FL$169,INDEX($FK$170:$ID$241,FL$169,$FJ241),SUMPRODUCT(INDEX($FK$325:$ID$396,FL$169,1+SwaptionShift):INDEX($FK$325:$ID$396,FL$169,SwaptionMonthsToGo+SwaptionShift),INDEX($FK$245:$ID$316,$FJ241-FL$169,73-FL$169+SwaptionShift):INDEX($FK$245:$ID$316,$FJ241-FL$169,72-FL$169+SwaptionMonthsToGo+SwaptionShift))/SQRT(SUM(INDEX($FK396:$ID396,1+SwaptionShift):INDEX($FK396:$ID396,SwaptionMonthsToGo+SwaptionShift))*SUM(INDEX($FK$325:$ID$396,FL$169,1+SwaptionShift):INDEX($FK$325:$ID$396,FL$169,SwaptionMonthsToGo+SwaptionShift))))))</f>
        <v/>
      </c>
      <c r="FM241" s="669" t="str">
        <f aca="false">IF(OR(FM$169&lt;SwaptionFirstMonthPosition+1,$FJ241&lt;SwaptionFirstMonthPosition+1,FM$169&gt;SwaptionFirstMonthPosition+SwaptionNumOfMonths+1,$FJ241&gt;SwaptionFirstMonthPosition+SwaptionNumOfMonths+1),"",IF($FJ241=FM$169,1,IF($FJ241&lt;FM$169,INDEX($FK$170:$ID$241,FM$169,$FJ241),SUMPRODUCT(INDEX($FK$325:$ID$396,FM$169,1+SwaptionShift):INDEX($FK$325:$ID$396,FM$169,SwaptionMonthsToGo+SwaptionShift),INDEX($FK$245:$ID$316,$FJ241-FM$169,73-FM$169+SwaptionShift):INDEX($FK$245:$ID$316,$FJ241-FM$169,72-FM$169+SwaptionMonthsToGo+SwaptionShift))/SQRT(SUM(INDEX($FK396:$ID396,1+SwaptionShift):INDEX($FK396:$ID396,SwaptionMonthsToGo+SwaptionShift))*SUM(INDEX($FK$325:$ID$396,FM$169,1+SwaptionShift):INDEX($FK$325:$ID$396,FM$169,SwaptionMonthsToGo+SwaptionShift))))))</f>
        <v/>
      </c>
      <c r="FN241" s="669" t="str">
        <f aca="false">IF(OR(FN$169&lt;SwaptionFirstMonthPosition+1,$FJ241&lt;SwaptionFirstMonthPosition+1,FN$169&gt;SwaptionFirstMonthPosition+SwaptionNumOfMonths+1,$FJ241&gt;SwaptionFirstMonthPosition+SwaptionNumOfMonths+1),"",IF($FJ241=FN$169,1,IF($FJ241&lt;FN$169,INDEX($FK$170:$ID$241,FN$169,$FJ241),SUMPRODUCT(INDEX($FK$325:$ID$396,FN$169,1+SwaptionShift):INDEX($FK$325:$ID$396,FN$169,SwaptionMonthsToGo+SwaptionShift),INDEX($FK$245:$ID$316,$FJ241-FN$169,73-FN$169+SwaptionShift):INDEX($FK$245:$ID$316,$FJ241-FN$169,72-FN$169+SwaptionMonthsToGo+SwaptionShift))/SQRT(SUM(INDEX($FK396:$ID396,1+SwaptionShift):INDEX($FK396:$ID396,SwaptionMonthsToGo+SwaptionShift))*SUM(INDEX($FK$325:$ID$396,FN$169,1+SwaptionShift):INDEX($FK$325:$ID$396,FN$169,SwaptionMonthsToGo+SwaptionShift))))))</f>
        <v/>
      </c>
      <c r="FO241" s="669" t="str">
        <f aca="false">IF(OR(FO$169&lt;SwaptionFirstMonthPosition+1,$FJ241&lt;SwaptionFirstMonthPosition+1,FO$169&gt;SwaptionFirstMonthPosition+SwaptionNumOfMonths+1,$FJ241&gt;SwaptionFirstMonthPosition+SwaptionNumOfMonths+1),"",IF($FJ241=FO$169,1,IF($FJ241&lt;FO$169,INDEX($FK$170:$ID$241,FO$169,$FJ241),SUMPRODUCT(INDEX($FK$325:$ID$396,FO$169,1+SwaptionShift):INDEX($FK$325:$ID$396,FO$169,SwaptionMonthsToGo+SwaptionShift),INDEX($FK$245:$ID$316,$FJ241-FO$169,73-FO$169+SwaptionShift):INDEX($FK$245:$ID$316,$FJ241-FO$169,72-FO$169+SwaptionMonthsToGo+SwaptionShift))/SQRT(SUM(INDEX($FK396:$ID396,1+SwaptionShift):INDEX($FK396:$ID396,SwaptionMonthsToGo+SwaptionShift))*SUM(INDEX($FK$325:$ID$396,FO$169,1+SwaptionShift):INDEX($FK$325:$ID$396,FO$169,SwaptionMonthsToGo+SwaptionShift))))))</f>
        <v/>
      </c>
      <c r="FP241" s="669" t="str">
        <f aca="false">IF(OR(FP$169&lt;SwaptionFirstMonthPosition+1,$FJ241&lt;SwaptionFirstMonthPosition+1,FP$169&gt;SwaptionFirstMonthPosition+SwaptionNumOfMonths+1,$FJ241&gt;SwaptionFirstMonthPosition+SwaptionNumOfMonths+1),"",IF($FJ241=FP$169,1,IF($FJ241&lt;FP$169,INDEX($FK$170:$ID$241,FP$169,$FJ241),SUMPRODUCT(INDEX($FK$325:$ID$396,FP$169,1+SwaptionShift):INDEX($FK$325:$ID$396,FP$169,SwaptionMonthsToGo+SwaptionShift),INDEX($FK$245:$ID$316,$FJ241-FP$169,73-FP$169+SwaptionShift):INDEX($FK$245:$ID$316,$FJ241-FP$169,72-FP$169+SwaptionMonthsToGo+SwaptionShift))/SQRT(SUM(INDEX($FK396:$ID396,1+SwaptionShift):INDEX($FK396:$ID396,SwaptionMonthsToGo+SwaptionShift))*SUM(INDEX($FK$325:$ID$396,FP$169,1+SwaptionShift):INDEX($FK$325:$ID$396,FP$169,SwaptionMonthsToGo+SwaptionShift))))))</f>
        <v/>
      </c>
      <c r="FQ241" s="669" t="str">
        <f aca="false">IF(OR(FQ$169&lt;SwaptionFirstMonthPosition+1,$FJ241&lt;SwaptionFirstMonthPosition+1,FQ$169&gt;SwaptionFirstMonthPosition+SwaptionNumOfMonths+1,$FJ241&gt;SwaptionFirstMonthPosition+SwaptionNumOfMonths+1),"",IF($FJ241=FQ$169,1,IF($FJ241&lt;FQ$169,INDEX($FK$170:$ID$241,FQ$169,$FJ241),SUMPRODUCT(INDEX($FK$325:$ID$396,FQ$169,1+SwaptionShift):INDEX($FK$325:$ID$396,FQ$169,SwaptionMonthsToGo+SwaptionShift),INDEX($FK$245:$ID$316,$FJ241-FQ$169,73-FQ$169+SwaptionShift):INDEX($FK$245:$ID$316,$FJ241-FQ$169,72-FQ$169+SwaptionMonthsToGo+SwaptionShift))/SQRT(SUM(INDEX($FK396:$ID396,1+SwaptionShift):INDEX($FK396:$ID396,SwaptionMonthsToGo+SwaptionShift))*SUM(INDEX($FK$325:$ID$396,FQ$169,1+SwaptionShift):INDEX($FK$325:$ID$396,FQ$169,SwaptionMonthsToGo+SwaptionShift))))))</f>
        <v/>
      </c>
      <c r="FR241" s="669" t="str">
        <f aca="false">IF(OR(FR$169&lt;SwaptionFirstMonthPosition+1,$FJ241&lt;SwaptionFirstMonthPosition+1,FR$169&gt;SwaptionFirstMonthPosition+SwaptionNumOfMonths+1,$FJ241&gt;SwaptionFirstMonthPosition+SwaptionNumOfMonths+1),"",IF($FJ241=FR$169,1,IF($FJ241&lt;FR$169,INDEX($FK$170:$ID$241,FR$169,$FJ241),SUMPRODUCT(INDEX($FK$325:$ID$396,FR$169,1+SwaptionShift):INDEX($FK$325:$ID$396,FR$169,SwaptionMonthsToGo+SwaptionShift),INDEX($FK$245:$ID$316,$FJ241-FR$169,73-FR$169+SwaptionShift):INDEX($FK$245:$ID$316,$FJ241-FR$169,72-FR$169+SwaptionMonthsToGo+SwaptionShift))/SQRT(SUM(INDEX($FK396:$ID396,1+SwaptionShift):INDEX($FK396:$ID396,SwaptionMonthsToGo+SwaptionShift))*SUM(INDEX($FK$325:$ID$396,FR$169,1+SwaptionShift):INDEX($FK$325:$ID$396,FR$169,SwaptionMonthsToGo+SwaptionShift))))))</f>
        <v/>
      </c>
      <c r="FS241" s="669" t="str">
        <f aca="false">IF(OR(FS$169&lt;SwaptionFirstMonthPosition+1,$FJ241&lt;SwaptionFirstMonthPosition+1,FS$169&gt;SwaptionFirstMonthPosition+SwaptionNumOfMonths+1,$FJ241&gt;SwaptionFirstMonthPosition+SwaptionNumOfMonths+1),"",IF($FJ241=FS$169,1,IF($FJ241&lt;FS$169,INDEX($FK$170:$ID$241,FS$169,$FJ241),SUMPRODUCT(INDEX($FK$325:$ID$396,FS$169,1+SwaptionShift):INDEX($FK$325:$ID$396,FS$169,SwaptionMonthsToGo+SwaptionShift),INDEX($FK$245:$ID$316,$FJ241-FS$169,73-FS$169+SwaptionShift):INDEX($FK$245:$ID$316,$FJ241-FS$169,72-FS$169+SwaptionMonthsToGo+SwaptionShift))/SQRT(SUM(INDEX($FK396:$ID396,1+SwaptionShift):INDEX($FK396:$ID396,SwaptionMonthsToGo+SwaptionShift))*SUM(INDEX($FK$325:$ID$396,FS$169,1+SwaptionShift):INDEX($FK$325:$ID$396,FS$169,SwaptionMonthsToGo+SwaptionShift))))))</f>
        <v/>
      </c>
      <c r="FT241" s="669" t="str">
        <f aca="false">IF(OR(FT$169&lt;SwaptionFirstMonthPosition+1,$FJ241&lt;SwaptionFirstMonthPosition+1,FT$169&gt;SwaptionFirstMonthPosition+SwaptionNumOfMonths+1,$FJ241&gt;SwaptionFirstMonthPosition+SwaptionNumOfMonths+1),"",IF($FJ241=FT$169,1,IF($FJ241&lt;FT$169,INDEX($FK$170:$ID$241,FT$169,$FJ241),SUMPRODUCT(INDEX($FK$325:$ID$396,FT$169,1+SwaptionShift):INDEX($FK$325:$ID$396,FT$169,SwaptionMonthsToGo+SwaptionShift),INDEX($FK$245:$ID$316,$FJ241-FT$169,73-FT$169+SwaptionShift):INDEX($FK$245:$ID$316,$FJ241-FT$169,72-FT$169+SwaptionMonthsToGo+SwaptionShift))/SQRT(SUM(INDEX($FK396:$ID396,1+SwaptionShift):INDEX($FK396:$ID396,SwaptionMonthsToGo+SwaptionShift))*SUM(INDEX($FK$325:$ID$396,FT$169,1+SwaptionShift):INDEX($FK$325:$ID$396,FT$169,SwaptionMonthsToGo+SwaptionShift))))))</f>
        <v/>
      </c>
      <c r="FU241" s="669" t="str">
        <f aca="false">IF(OR(FU$169&lt;SwaptionFirstMonthPosition+1,$FJ241&lt;SwaptionFirstMonthPosition+1,FU$169&gt;SwaptionFirstMonthPosition+SwaptionNumOfMonths+1,$FJ241&gt;SwaptionFirstMonthPosition+SwaptionNumOfMonths+1),"",IF($FJ241=FU$169,1,IF($FJ241&lt;FU$169,INDEX($FK$170:$ID$241,FU$169,$FJ241),SUMPRODUCT(INDEX($FK$325:$ID$396,FU$169,1+SwaptionShift):INDEX($FK$325:$ID$396,FU$169,SwaptionMonthsToGo+SwaptionShift),INDEX($FK$245:$ID$316,$FJ241-FU$169,73-FU$169+SwaptionShift):INDEX($FK$245:$ID$316,$FJ241-FU$169,72-FU$169+SwaptionMonthsToGo+SwaptionShift))/SQRT(SUM(INDEX($FK396:$ID396,1+SwaptionShift):INDEX($FK396:$ID396,SwaptionMonthsToGo+SwaptionShift))*SUM(INDEX($FK$325:$ID$396,FU$169,1+SwaptionShift):INDEX($FK$325:$ID$396,FU$169,SwaptionMonthsToGo+SwaptionShift))))))</f>
        <v/>
      </c>
      <c r="FV241" s="669" t="str">
        <f aca="false">IF(OR(FV$169&lt;SwaptionFirstMonthPosition+1,$FJ241&lt;SwaptionFirstMonthPosition+1,FV$169&gt;SwaptionFirstMonthPosition+SwaptionNumOfMonths+1,$FJ241&gt;SwaptionFirstMonthPosition+SwaptionNumOfMonths+1),"",IF($FJ241=FV$169,1,IF($FJ241&lt;FV$169,INDEX($FK$170:$ID$241,FV$169,$FJ241),SUMPRODUCT(INDEX($FK$325:$ID$396,FV$169,1+SwaptionShift):INDEX($FK$325:$ID$396,FV$169,SwaptionMonthsToGo+SwaptionShift),INDEX($FK$245:$ID$316,$FJ241-FV$169,73-FV$169+SwaptionShift):INDEX($FK$245:$ID$316,$FJ241-FV$169,72-FV$169+SwaptionMonthsToGo+SwaptionShift))/SQRT(SUM(INDEX($FK396:$ID396,1+SwaptionShift):INDEX($FK396:$ID396,SwaptionMonthsToGo+SwaptionShift))*SUM(INDEX($FK$325:$ID$396,FV$169,1+SwaptionShift):INDEX($FK$325:$ID$396,FV$169,SwaptionMonthsToGo+SwaptionShift))))))</f>
        <v/>
      </c>
      <c r="FW241" s="669" t="str">
        <f aca="false">IF(OR(FW$169&lt;SwaptionFirstMonthPosition+1,$FJ241&lt;SwaptionFirstMonthPosition+1,FW$169&gt;SwaptionFirstMonthPosition+SwaptionNumOfMonths+1,$FJ241&gt;SwaptionFirstMonthPosition+SwaptionNumOfMonths+1),"",IF($FJ241=FW$169,1,IF($FJ241&lt;FW$169,INDEX($FK$170:$ID$241,FW$169,$FJ241),SUMPRODUCT(INDEX($FK$325:$ID$396,FW$169,1+SwaptionShift):INDEX($FK$325:$ID$396,FW$169,SwaptionMonthsToGo+SwaptionShift),INDEX($FK$245:$ID$316,$FJ241-FW$169,73-FW$169+SwaptionShift):INDEX($FK$245:$ID$316,$FJ241-FW$169,72-FW$169+SwaptionMonthsToGo+SwaptionShift))/SQRT(SUM(INDEX($FK396:$ID396,1+SwaptionShift):INDEX($FK396:$ID396,SwaptionMonthsToGo+SwaptionShift))*SUM(INDEX($FK$325:$ID$396,FW$169,1+SwaptionShift):INDEX($FK$325:$ID$396,FW$169,SwaptionMonthsToGo+SwaptionShift))))))</f>
        <v/>
      </c>
      <c r="FX241" s="669" t="str">
        <f aca="false">IF(OR(FX$169&lt;SwaptionFirstMonthPosition+1,$FJ241&lt;SwaptionFirstMonthPosition+1,FX$169&gt;SwaptionFirstMonthPosition+SwaptionNumOfMonths+1,$FJ241&gt;SwaptionFirstMonthPosition+SwaptionNumOfMonths+1),"",IF($FJ241=FX$169,1,IF($FJ241&lt;FX$169,INDEX($FK$170:$ID$241,FX$169,$FJ241),SUMPRODUCT(INDEX($FK$325:$ID$396,FX$169,1+SwaptionShift):INDEX($FK$325:$ID$396,FX$169,SwaptionMonthsToGo+SwaptionShift),INDEX($FK$245:$ID$316,$FJ241-FX$169,73-FX$169+SwaptionShift):INDEX($FK$245:$ID$316,$FJ241-FX$169,72-FX$169+SwaptionMonthsToGo+SwaptionShift))/SQRT(SUM(INDEX($FK396:$ID396,1+SwaptionShift):INDEX($FK396:$ID396,SwaptionMonthsToGo+SwaptionShift))*SUM(INDEX($FK$325:$ID$396,FX$169,1+SwaptionShift):INDEX($FK$325:$ID$396,FX$169,SwaptionMonthsToGo+SwaptionShift))))))</f>
        <v/>
      </c>
      <c r="FY241" s="669" t="str">
        <f aca="false">IF(OR(FY$169&lt;SwaptionFirstMonthPosition+1,$FJ241&lt;SwaptionFirstMonthPosition+1,FY$169&gt;SwaptionFirstMonthPosition+SwaptionNumOfMonths+1,$FJ241&gt;SwaptionFirstMonthPosition+SwaptionNumOfMonths+1),"",IF($FJ241=FY$169,1,IF($FJ241&lt;FY$169,INDEX($FK$170:$ID$241,FY$169,$FJ241),SUMPRODUCT(INDEX($FK$325:$ID$396,FY$169,1+SwaptionShift):INDEX($FK$325:$ID$396,FY$169,SwaptionMonthsToGo+SwaptionShift),INDEX($FK$245:$ID$316,$FJ241-FY$169,73-FY$169+SwaptionShift):INDEX($FK$245:$ID$316,$FJ241-FY$169,72-FY$169+SwaptionMonthsToGo+SwaptionShift))/SQRT(SUM(INDEX($FK396:$ID396,1+SwaptionShift):INDEX($FK396:$ID396,SwaptionMonthsToGo+SwaptionShift))*SUM(INDEX($FK$325:$ID$396,FY$169,1+SwaptionShift):INDEX($FK$325:$ID$396,FY$169,SwaptionMonthsToGo+SwaptionShift))))))</f>
        <v/>
      </c>
      <c r="FZ241" s="669" t="str">
        <f aca="false">IF(OR(FZ$169&lt;SwaptionFirstMonthPosition+1,$FJ241&lt;SwaptionFirstMonthPosition+1,FZ$169&gt;SwaptionFirstMonthPosition+SwaptionNumOfMonths+1,$FJ241&gt;SwaptionFirstMonthPosition+SwaptionNumOfMonths+1),"",IF($FJ241=FZ$169,1,IF($FJ241&lt;FZ$169,INDEX($FK$170:$ID$241,FZ$169,$FJ241),SUMPRODUCT(INDEX($FK$325:$ID$396,FZ$169,1+SwaptionShift):INDEX($FK$325:$ID$396,FZ$169,SwaptionMonthsToGo+SwaptionShift),INDEX($FK$245:$ID$316,$FJ241-FZ$169,73-FZ$169+SwaptionShift):INDEX($FK$245:$ID$316,$FJ241-FZ$169,72-FZ$169+SwaptionMonthsToGo+SwaptionShift))/SQRT(SUM(INDEX($FK396:$ID396,1+SwaptionShift):INDEX($FK396:$ID396,SwaptionMonthsToGo+SwaptionShift))*SUM(INDEX($FK$325:$ID$396,FZ$169,1+SwaptionShift):INDEX($FK$325:$ID$396,FZ$169,SwaptionMonthsToGo+SwaptionShift))))))</f>
        <v/>
      </c>
      <c r="GA241" s="669" t="str">
        <f aca="false">IF(OR(GA$169&lt;SwaptionFirstMonthPosition+1,$FJ241&lt;SwaptionFirstMonthPosition+1,GA$169&gt;SwaptionFirstMonthPosition+SwaptionNumOfMonths+1,$FJ241&gt;SwaptionFirstMonthPosition+SwaptionNumOfMonths+1),"",IF($FJ241=GA$169,1,IF($FJ241&lt;GA$169,INDEX($FK$170:$ID$241,GA$169,$FJ241),SUMPRODUCT(INDEX($FK$325:$ID$396,GA$169,1+SwaptionShift):INDEX($FK$325:$ID$396,GA$169,SwaptionMonthsToGo+SwaptionShift),INDEX($FK$245:$ID$316,$FJ241-GA$169,73-GA$169+SwaptionShift):INDEX($FK$245:$ID$316,$FJ241-GA$169,72-GA$169+SwaptionMonthsToGo+SwaptionShift))/SQRT(SUM(INDEX($FK396:$ID396,1+SwaptionShift):INDEX($FK396:$ID396,SwaptionMonthsToGo+SwaptionShift))*SUM(INDEX($FK$325:$ID$396,GA$169,1+SwaptionShift):INDEX($FK$325:$ID$396,GA$169,SwaptionMonthsToGo+SwaptionShift))))))</f>
        <v/>
      </c>
      <c r="GB241" s="669" t="str">
        <f aca="false">IF(OR(GB$169&lt;SwaptionFirstMonthPosition+1,$FJ241&lt;SwaptionFirstMonthPosition+1,GB$169&gt;SwaptionFirstMonthPosition+SwaptionNumOfMonths+1,$FJ241&gt;SwaptionFirstMonthPosition+SwaptionNumOfMonths+1),"",IF($FJ241=GB$169,1,IF($FJ241&lt;GB$169,INDEX($FK$170:$ID$241,GB$169,$FJ241),SUMPRODUCT(INDEX($FK$325:$ID$396,GB$169,1+SwaptionShift):INDEX($FK$325:$ID$396,GB$169,SwaptionMonthsToGo+SwaptionShift),INDEX($FK$245:$ID$316,$FJ241-GB$169,73-GB$169+SwaptionShift):INDEX($FK$245:$ID$316,$FJ241-GB$169,72-GB$169+SwaptionMonthsToGo+SwaptionShift))/SQRT(SUM(INDEX($FK396:$ID396,1+SwaptionShift):INDEX($FK396:$ID396,SwaptionMonthsToGo+SwaptionShift))*SUM(INDEX($FK$325:$ID$396,GB$169,1+SwaptionShift):INDEX($FK$325:$ID$396,GB$169,SwaptionMonthsToGo+SwaptionShift))))))</f>
        <v/>
      </c>
      <c r="GC241" s="669" t="str">
        <f aca="false">IF(OR(GC$169&lt;SwaptionFirstMonthPosition+1,$FJ241&lt;SwaptionFirstMonthPosition+1,GC$169&gt;SwaptionFirstMonthPosition+SwaptionNumOfMonths+1,$FJ241&gt;SwaptionFirstMonthPosition+SwaptionNumOfMonths+1),"",IF($FJ241=GC$169,1,IF($FJ241&lt;GC$169,INDEX($FK$170:$ID$241,GC$169,$FJ241),SUMPRODUCT(INDEX($FK$325:$ID$396,GC$169,1+SwaptionShift):INDEX($FK$325:$ID$396,GC$169,SwaptionMonthsToGo+SwaptionShift),INDEX($FK$245:$ID$316,$FJ241-GC$169,73-GC$169+SwaptionShift):INDEX($FK$245:$ID$316,$FJ241-GC$169,72-GC$169+SwaptionMonthsToGo+SwaptionShift))/SQRT(SUM(INDEX($FK396:$ID396,1+SwaptionShift):INDEX($FK396:$ID396,SwaptionMonthsToGo+SwaptionShift))*SUM(INDEX($FK$325:$ID$396,GC$169,1+SwaptionShift):INDEX($FK$325:$ID$396,GC$169,SwaptionMonthsToGo+SwaptionShift))))))</f>
        <v/>
      </c>
      <c r="GD241" s="669" t="str">
        <f aca="false">IF(OR(GD$169&lt;SwaptionFirstMonthPosition+1,$FJ241&lt;SwaptionFirstMonthPosition+1,GD$169&gt;SwaptionFirstMonthPosition+SwaptionNumOfMonths+1,$FJ241&gt;SwaptionFirstMonthPosition+SwaptionNumOfMonths+1),"",IF($FJ241=GD$169,1,IF($FJ241&lt;GD$169,INDEX($FK$170:$ID$241,GD$169,$FJ241),SUMPRODUCT(INDEX($FK$325:$ID$396,GD$169,1+SwaptionShift):INDEX($FK$325:$ID$396,GD$169,SwaptionMonthsToGo+SwaptionShift),INDEX($FK$245:$ID$316,$FJ241-GD$169,73-GD$169+SwaptionShift):INDEX($FK$245:$ID$316,$FJ241-GD$169,72-GD$169+SwaptionMonthsToGo+SwaptionShift))/SQRT(SUM(INDEX($FK396:$ID396,1+SwaptionShift):INDEX($FK396:$ID396,SwaptionMonthsToGo+SwaptionShift))*SUM(INDEX($FK$325:$ID$396,GD$169,1+SwaptionShift):INDEX($FK$325:$ID$396,GD$169,SwaptionMonthsToGo+SwaptionShift))))))</f>
        <v/>
      </c>
      <c r="GE241" s="669" t="str">
        <f aca="false">IF(OR(GE$169&lt;SwaptionFirstMonthPosition+1,$FJ241&lt;SwaptionFirstMonthPosition+1,GE$169&gt;SwaptionFirstMonthPosition+SwaptionNumOfMonths+1,$FJ241&gt;SwaptionFirstMonthPosition+SwaptionNumOfMonths+1),"",IF($FJ241=GE$169,1,IF($FJ241&lt;GE$169,INDEX($FK$170:$ID$241,GE$169,$FJ241),SUMPRODUCT(INDEX($FK$325:$ID$396,GE$169,1+SwaptionShift):INDEX($FK$325:$ID$396,GE$169,SwaptionMonthsToGo+SwaptionShift),INDEX($FK$245:$ID$316,$FJ241-GE$169,73-GE$169+SwaptionShift):INDEX($FK$245:$ID$316,$FJ241-GE$169,72-GE$169+SwaptionMonthsToGo+SwaptionShift))/SQRT(SUM(INDEX($FK396:$ID396,1+SwaptionShift):INDEX($FK396:$ID396,SwaptionMonthsToGo+SwaptionShift))*SUM(INDEX($FK$325:$ID$396,GE$169,1+SwaptionShift):INDEX($FK$325:$ID$396,GE$169,SwaptionMonthsToGo+SwaptionShift))))))</f>
        <v/>
      </c>
      <c r="GF241" s="669" t="str">
        <f aca="false">IF(OR(GF$169&lt;SwaptionFirstMonthPosition+1,$FJ241&lt;SwaptionFirstMonthPosition+1,GF$169&gt;SwaptionFirstMonthPosition+SwaptionNumOfMonths+1,$FJ241&gt;SwaptionFirstMonthPosition+SwaptionNumOfMonths+1),"",IF($FJ241=GF$169,1,IF($FJ241&lt;GF$169,INDEX($FK$170:$ID$241,GF$169,$FJ241),SUMPRODUCT(INDEX($FK$325:$ID$396,GF$169,1+SwaptionShift):INDEX($FK$325:$ID$396,GF$169,SwaptionMonthsToGo+SwaptionShift),INDEX($FK$245:$ID$316,$FJ241-GF$169,73-GF$169+SwaptionShift):INDEX($FK$245:$ID$316,$FJ241-GF$169,72-GF$169+SwaptionMonthsToGo+SwaptionShift))/SQRT(SUM(INDEX($FK396:$ID396,1+SwaptionShift):INDEX($FK396:$ID396,SwaptionMonthsToGo+SwaptionShift))*SUM(INDEX($FK$325:$ID$396,GF$169,1+SwaptionShift):INDEX($FK$325:$ID$396,GF$169,SwaptionMonthsToGo+SwaptionShift))))))</f>
        <v/>
      </c>
      <c r="GG241" s="669" t="str">
        <f aca="false">IF(OR(GG$169&lt;SwaptionFirstMonthPosition+1,$FJ241&lt;SwaptionFirstMonthPosition+1,GG$169&gt;SwaptionFirstMonthPosition+SwaptionNumOfMonths+1,$FJ241&gt;SwaptionFirstMonthPosition+SwaptionNumOfMonths+1),"",IF($FJ241=GG$169,1,IF($FJ241&lt;GG$169,INDEX($FK$170:$ID$241,GG$169,$FJ241),SUMPRODUCT(INDEX($FK$325:$ID$396,GG$169,1+SwaptionShift):INDEX($FK$325:$ID$396,GG$169,SwaptionMonthsToGo+SwaptionShift),INDEX($FK$245:$ID$316,$FJ241-GG$169,73-GG$169+SwaptionShift):INDEX($FK$245:$ID$316,$FJ241-GG$169,72-GG$169+SwaptionMonthsToGo+SwaptionShift))/SQRT(SUM(INDEX($FK396:$ID396,1+SwaptionShift):INDEX($FK396:$ID396,SwaptionMonthsToGo+SwaptionShift))*SUM(INDEX($FK$325:$ID$396,GG$169,1+SwaptionShift):INDEX($FK$325:$ID$396,GG$169,SwaptionMonthsToGo+SwaptionShift))))))</f>
        <v/>
      </c>
      <c r="GH241" s="669" t="str">
        <f aca="false">IF(OR(GH$169&lt;SwaptionFirstMonthPosition+1,$FJ241&lt;SwaptionFirstMonthPosition+1,GH$169&gt;SwaptionFirstMonthPosition+SwaptionNumOfMonths+1,$FJ241&gt;SwaptionFirstMonthPosition+SwaptionNumOfMonths+1),"",IF($FJ241=GH$169,1,IF($FJ241&lt;GH$169,INDEX($FK$170:$ID$241,GH$169,$FJ241),SUMPRODUCT(INDEX($FK$325:$ID$396,GH$169,1+SwaptionShift):INDEX($FK$325:$ID$396,GH$169,SwaptionMonthsToGo+SwaptionShift),INDEX($FK$245:$ID$316,$FJ241-GH$169,73-GH$169+SwaptionShift):INDEX($FK$245:$ID$316,$FJ241-GH$169,72-GH$169+SwaptionMonthsToGo+SwaptionShift))/SQRT(SUM(INDEX($FK396:$ID396,1+SwaptionShift):INDEX($FK396:$ID396,SwaptionMonthsToGo+SwaptionShift))*SUM(INDEX($FK$325:$ID$396,GH$169,1+SwaptionShift):INDEX($FK$325:$ID$396,GH$169,SwaptionMonthsToGo+SwaptionShift))))))</f>
        <v/>
      </c>
      <c r="GI241" s="669" t="str">
        <f aca="false">IF(OR(GI$169&lt;SwaptionFirstMonthPosition+1,$FJ241&lt;SwaptionFirstMonthPosition+1,GI$169&gt;SwaptionFirstMonthPosition+SwaptionNumOfMonths+1,$FJ241&gt;SwaptionFirstMonthPosition+SwaptionNumOfMonths+1),"",IF($FJ241=GI$169,1,IF($FJ241&lt;GI$169,INDEX($FK$170:$ID$241,GI$169,$FJ241),SUMPRODUCT(INDEX($FK$325:$ID$396,GI$169,1+SwaptionShift):INDEX($FK$325:$ID$396,GI$169,SwaptionMonthsToGo+SwaptionShift),INDEX($FK$245:$ID$316,$FJ241-GI$169,73-GI$169+SwaptionShift):INDEX($FK$245:$ID$316,$FJ241-GI$169,72-GI$169+SwaptionMonthsToGo+SwaptionShift))/SQRT(SUM(INDEX($FK396:$ID396,1+SwaptionShift):INDEX($FK396:$ID396,SwaptionMonthsToGo+SwaptionShift))*SUM(INDEX($FK$325:$ID$396,GI$169,1+SwaptionShift):INDEX($FK$325:$ID$396,GI$169,SwaptionMonthsToGo+SwaptionShift))))))</f>
        <v/>
      </c>
      <c r="GJ241" s="669" t="str">
        <f aca="false">IF(OR(GJ$169&lt;SwaptionFirstMonthPosition+1,$FJ241&lt;SwaptionFirstMonthPosition+1,GJ$169&gt;SwaptionFirstMonthPosition+SwaptionNumOfMonths+1,$FJ241&gt;SwaptionFirstMonthPosition+SwaptionNumOfMonths+1),"",IF($FJ241=GJ$169,1,IF($FJ241&lt;GJ$169,INDEX($FK$170:$ID$241,GJ$169,$FJ241),SUMPRODUCT(INDEX($FK$325:$ID$396,GJ$169,1+SwaptionShift):INDEX($FK$325:$ID$396,GJ$169,SwaptionMonthsToGo+SwaptionShift),INDEX($FK$245:$ID$316,$FJ241-GJ$169,73-GJ$169+SwaptionShift):INDEX($FK$245:$ID$316,$FJ241-GJ$169,72-GJ$169+SwaptionMonthsToGo+SwaptionShift))/SQRT(SUM(INDEX($FK396:$ID396,1+SwaptionShift):INDEX($FK396:$ID396,SwaptionMonthsToGo+SwaptionShift))*SUM(INDEX($FK$325:$ID$396,GJ$169,1+SwaptionShift):INDEX($FK$325:$ID$396,GJ$169,SwaptionMonthsToGo+SwaptionShift))))))</f>
        <v/>
      </c>
      <c r="GK241" s="669" t="str">
        <f aca="false">IF(OR(GK$169&lt;SwaptionFirstMonthPosition+1,$FJ241&lt;SwaptionFirstMonthPosition+1,GK$169&gt;SwaptionFirstMonthPosition+SwaptionNumOfMonths+1,$FJ241&gt;SwaptionFirstMonthPosition+SwaptionNumOfMonths+1),"",IF($FJ241=GK$169,1,IF($FJ241&lt;GK$169,INDEX($FK$170:$ID$241,GK$169,$FJ241),SUMPRODUCT(INDEX($FK$325:$ID$396,GK$169,1+SwaptionShift):INDEX($FK$325:$ID$396,GK$169,SwaptionMonthsToGo+SwaptionShift),INDEX($FK$245:$ID$316,$FJ241-GK$169,73-GK$169+SwaptionShift):INDEX($FK$245:$ID$316,$FJ241-GK$169,72-GK$169+SwaptionMonthsToGo+SwaptionShift))/SQRT(SUM(INDEX($FK396:$ID396,1+SwaptionShift):INDEX($FK396:$ID396,SwaptionMonthsToGo+SwaptionShift))*SUM(INDEX($FK$325:$ID$396,GK$169,1+SwaptionShift):INDEX($FK$325:$ID$396,GK$169,SwaptionMonthsToGo+SwaptionShift))))))</f>
        <v/>
      </c>
      <c r="GL241" s="669" t="str">
        <f aca="false">IF(OR(GL$169&lt;SwaptionFirstMonthPosition+1,$FJ241&lt;SwaptionFirstMonthPosition+1,GL$169&gt;SwaptionFirstMonthPosition+SwaptionNumOfMonths+1,$FJ241&gt;SwaptionFirstMonthPosition+SwaptionNumOfMonths+1),"",IF($FJ241=GL$169,1,IF($FJ241&lt;GL$169,INDEX($FK$170:$ID$241,GL$169,$FJ241),SUMPRODUCT(INDEX($FK$325:$ID$396,GL$169,1+SwaptionShift):INDEX($FK$325:$ID$396,GL$169,SwaptionMonthsToGo+SwaptionShift),INDEX($FK$245:$ID$316,$FJ241-GL$169,73-GL$169+SwaptionShift):INDEX($FK$245:$ID$316,$FJ241-GL$169,72-GL$169+SwaptionMonthsToGo+SwaptionShift))/SQRT(SUM(INDEX($FK396:$ID396,1+SwaptionShift):INDEX($FK396:$ID396,SwaptionMonthsToGo+SwaptionShift))*SUM(INDEX($FK$325:$ID$396,GL$169,1+SwaptionShift):INDEX($FK$325:$ID$396,GL$169,SwaptionMonthsToGo+SwaptionShift))))))</f>
        <v/>
      </c>
      <c r="GM241" s="669" t="str">
        <f aca="false">IF(OR(GM$169&lt;SwaptionFirstMonthPosition+1,$FJ241&lt;SwaptionFirstMonthPosition+1,GM$169&gt;SwaptionFirstMonthPosition+SwaptionNumOfMonths+1,$FJ241&gt;SwaptionFirstMonthPosition+SwaptionNumOfMonths+1),"",IF($FJ241=GM$169,1,IF($FJ241&lt;GM$169,INDEX($FK$170:$ID$241,GM$169,$FJ241),SUMPRODUCT(INDEX($FK$325:$ID$396,GM$169,1+SwaptionShift):INDEX($FK$325:$ID$396,GM$169,SwaptionMonthsToGo+SwaptionShift),INDEX($FK$245:$ID$316,$FJ241-GM$169,73-GM$169+SwaptionShift):INDEX($FK$245:$ID$316,$FJ241-GM$169,72-GM$169+SwaptionMonthsToGo+SwaptionShift))/SQRT(SUM(INDEX($FK396:$ID396,1+SwaptionShift):INDEX($FK396:$ID396,SwaptionMonthsToGo+SwaptionShift))*SUM(INDEX($FK$325:$ID$396,GM$169,1+SwaptionShift):INDEX($FK$325:$ID$396,GM$169,SwaptionMonthsToGo+SwaptionShift))))))</f>
        <v/>
      </c>
      <c r="GN241" s="669" t="str">
        <f aca="false">IF(OR(GN$169&lt;SwaptionFirstMonthPosition+1,$FJ241&lt;SwaptionFirstMonthPosition+1,GN$169&gt;SwaptionFirstMonthPosition+SwaptionNumOfMonths+1,$FJ241&gt;SwaptionFirstMonthPosition+SwaptionNumOfMonths+1),"",IF($FJ241=GN$169,1,IF($FJ241&lt;GN$169,INDEX($FK$170:$ID$241,GN$169,$FJ241),SUMPRODUCT(INDEX($FK$325:$ID$396,GN$169,1+SwaptionShift):INDEX($FK$325:$ID$396,GN$169,SwaptionMonthsToGo+SwaptionShift),INDEX($FK$245:$ID$316,$FJ241-GN$169,73-GN$169+SwaptionShift):INDEX($FK$245:$ID$316,$FJ241-GN$169,72-GN$169+SwaptionMonthsToGo+SwaptionShift))/SQRT(SUM(INDEX($FK396:$ID396,1+SwaptionShift):INDEX($FK396:$ID396,SwaptionMonthsToGo+SwaptionShift))*SUM(INDEX($FK$325:$ID$396,GN$169,1+SwaptionShift):INDEX($FK$325:$ID$396,GN$169,SwaptionMonthsToGo+SwaptionShift))))))</f>
        <v/>
      </c>
      <c r="GO241" s="669" t="str">
        <f aca="false">IF(OR(GO$169&lt;SwaptionFirstMonthPosition+1,$FJ241&lt;SwaptionFirstMonthPosition+1,GO$169&gt;SwaptionFirstMonthPosition+SwaptionNumOfMonths+1,$FJ241&gt;SwaptionFirstMonthPosition+SwaptionNumOfMonths+1),"",IF($FJ241=GO$169,1,IF($FJ241&lt;GO$169,INDEX($FK$170:$ID$241,GO$169,$FJ241),SUMPRODUCT(INDEX($FK$325:$ID$396,GO$169,1+SwaptionShift):INDEX($FK$325:$ID$396,GO$169,SwaptionMonthsToGo+SwaptionShift),INDEX($FK$245:$ID$316,$FJ241-GO$169,73-GO$169+SwaptionShift):INDEX($FK$245:$ID$316,$FJ241-GO$169,72-GO$169+SwaptionMonthsToGo+SwaptionShift))/SQRT(SUM(INDEX($FK396:$ID396,1+SwaptionShift):INDEX($FK396:$ID396,SwaptionMonthsToGo+SwaptionShift))*SUM(INDEX($FK$325:$ID$396,GO$169,1+SwaptionShift):INDEX($FK$325:$ID$396,GO$169,SwaptionMonthsToGo+SwaptionShift))))))</f>
        <v/>
      </c>
      <c r="GP241" s="669" t="str">
        <f aca="false">IF(OR(GP$169&lt;SwaptionFirstMonthPosition+1,$FJ241&lt;SwaptionFirstMonthPosition+1,GP$169&gt;SwaptionFirstMonthPosition+SwaptionNumOfMonths+1,$FJ241&gt;SwaptionFirstMonthPosition+SwaptionNumOfMonths+1),"",IF($FJ241=GP$169,1,IF($FJ241&lt;GP$169,INDEX($FK$170:$ID$241,GP$169,$FJ241),SUMPRODUCT(INDEX($FK$325:$ID$396,GP$169,1+SwaptionShift):INDEX($FK$325:$ID$396,GP$169,SwaptionMonthsToGo+SwaptionShift),INDEX($FK$245:$ID$316,$FJ241-GP$169,73-GP$169+SwaptionShift):INDEX($FK$245:$ID$316,$FJ241-GP$169,72-GP$169+SwaptionMonthsToGo+SwaptionShift))/SQRT(SUM(INDEX($FK396:$ID396,1+SwaptionShift):INDEX($FK396:$ID396,SwaptionMonthsToGo+SwaptionShift))*SUM(INDEX($FK$325:$ID$396,GP$169,1+SwaptionShift):INDEX($FK$325:$ID$396,GP$169,SwaptionMonthsToGo+SwaptionShift))))))</f>
        <v/>
      </c>
      <c r="GQ241" s="669" t="str">
        <f aca="false">IF(OR(GQ$169&lt;SwaptionFirstMonthPosition+1,$FJ241&lt;SwaptionFirstMonthPosition+1,GQ$169&gt;SwaptionFirstMonthPosition+SwaptionNumOfMonths+1,$FJ241&gt;SwaptionFirstMonthPosition+SwaptionNumOfMonths+1),"",IF($FJ241=GQ$169,1,IF($FJ241&lt;GQ$169,INDEX($FK$170:$ID$241,GQ$169,$FJ241),SUMPRODUCT(INDEX($FK$325:$ID$396,GQ$169,1+SwaptionShift):INDEX($FK$325:$ID$396,GQ$169,SwaptionMonthsToGo+SwaptionShift),INDEX($FK$245:$ID$316,$FJ241-GQ$169,73-GQ$169+SwaptionShift):INDEX($FK$245:$ID$316,$FJ241-GQ$169,72-GQ$169+SwaptionMonthsToGo+SwaptionShift))/SQRT(SUM(INDEX($FK396:$ID396,1+SwaptionShift):INDEX($FK396:$ID396,SwaptionMonthsToGo+SwaptionShift))*SUM(INDEX($FK$325:$ID$396,GQ$169,1+SwaptionShift):INDEX($FK$325:$ID$396,GQ$169,SwaptionMonthsToGo+SwaptionShift))))))</f>
        <v/>
      </c>
      <c r="GR241" s="669" t="str">
        <f aca="false">IF(OR(GR$169&lt;SwaptionFirstMonthPosition+1,$FJ241&lt;SwaptionFirstMonthPosition+1,GR$169&gt;SwaptionFirstMonthPosition+SwaptionNumOfMonths+1,$FJ241&gt;SwaptionFirstMonthPosition+SwaptionNumOfMonths+1),"",IF($FJ241=GR$169,1,IF($FJ241&lt;GR$169,INDEX($FK$170:$ID$241,GR$169,$FJ241),SUMPRODUCT(INDEX($FK$325:$ID$396,GR$169,1+SwaptionShift):INDEX($FK$325:$ID$396,GR$169,SwaptionMonthsToGo+SwaptionShift),INDEX($FK$245:$ID$316,$FJ241-GR$169,73-GR$169+SwaptionShift):INDEX($FK$245:$ID$316,$FJ241-GR$169,72-GR$169+SwaptionMonthsToGo+SwaptionShift))/SQRT(SUM(INDEX($FK396:$ID396,1+SwaptionShift):INDEX($FK396:$ID396,SwaptionMonthsToGo+SwaptionShift))*SUM(INDEX($FK$325:$ID$396,GR$169,1+SwaptionShift):INDEX($FK$325:$ID$396,GR$169,SwaptionMonthsToGo+SwaptionShift))))))</f>
        <v/>
      </c>
      <c r="GS241" s="669" t="str">
        <f aca="false">IF(OR(GS$169&lt;SwaptionFirstMonthPosition+1,$FJ241&lt;SwaptionFirstMonthPosition+1,GS$169&gt;SwaptionFirstMonthPosition+SwaptionNumOfMonths+1,$FJ241&gt;SwaptionFirstMonthPosition+SwaptionNumOfMonths+1),"",IF($FJ241=GS$169,1,IF($FJ241&lt;GS$169,INDEX($FK$170:$ID$241,GS$169,$FJ241),SUMPRODUCT(INDEX($FK$325:$ID$396,GS$169,1+SwaptionShift):INDEX($FK$325:$ID$396,GS$169,SwaptionMonthsToGo+SwaptionShift),INDEX($FK$245:$ID$316,$FJ241-GS$169,73-GS$169+SwaptionShift):INDEX($FK$245:$ID$316,$FJ241-GS$169,72-GS$169+SwaptionMonthsToGo+SwaptionShift))/SQRT(SUM(INDEX($FK396:$ID396,1+SwaptionShift):INDEX($FK396:$ID396,SwaptionMonthsToGo+SwaptionShift))*SUM(INDEX($FK$325:$ID$396,GS$169,1+SwaptionShift):INDEX($FK$325:$ID$396,GS$169,SwaptionMonthsToGo+SwaptionShift))))))</f>
        <v/>
      </c>
      <c r="GT241" s="669" t="str">
        <f aca="false">IF(OR(GT$169&lt;SwaptionFirstMonthPosition+1,$FJ241&lt;SwaptionFirstMonthPosition+1,GT$169&gt;SwaptionFirstMonthPosition+SwaptionNumOfMonths+1,$FJ241&gt;SwaptionFirstMonthPosition+SwaptionNumOfMonths+1),"",IF($FJ241=GT$169,1,IF($FJ241&lt;GT$169,INDEX($FK$170:$ID$241,GT$169,$FJ241),SUMPRODUCT(INDEX($FK$325:$ID$396,GT$169,1+SwaptionShift):INDEX($FK$325:$ID$396,GT$169,SwaptionMonthsToGo+SwaptionShift),INDEX($FK$245:$ID$316,$FJ241-GT$169,73-GT$169+SwaptionShift):INDEX($FK$245:$ID$316,$FJ241-GT$169,72-GT$169+SwaptionMonthsToGo+SwaptionShift))/SQRT(SUM(INDEX($FK396:$ID396,1+SwaptionShift):INDEX($FK396:$ID396,SwaptionMonthsToGo+SwaptionShift))*SUM(INDEX($FK$325:$ID$396,GT$169,1+SwaptionShift):INDEX($FK$325:$ID$396,GT$169,SwaptionMonthsToGo+SwaptionShift))))))</f>
        <v/>
      </c>
      <c r="GU241" s="669" t="str">
        <f aca="false">IF(OR(GU$169&lt;SwaptionFirstMonthPosition+1,$FJ241&lt;SwaptionFirstMonthPosition+1,GU$169&gt;SwaptionFirstMonthPosition+SwaptionNumOfMonths+1,$FJ241&gt;SwaptionFirstMonthPosition+SwaptionNumOfMonths+1),"",IF($FJ241=GU$169,1,IF($FJ241&lt;GU$169,INDEX($FK$170:$ID$241,GU$169,$FJ241),SUMPRODUCT(INDEX($FK$325:$ID$396,GU$169,1+SwaptionShift):INDEX($FK$325:$ID$396,GU$169,SwaptionMonthsToGo+SwaptionShift),INDEX($FK$245:$ID$316,$FJ241-GU$169,73-GU$169+SwaptionShift):INDEX($FK$245:$ID$316,$FJ241-GU$169,72-GU$169+SwaptionMonthsToGo+SwaptionShift))/SQRT(SUM(INDEX($FK396:$ID396,1+SwaptionShift):INDEX($FK396:$ID396,SwaptionMonthsToGo+SwaptionShift))*SUM(INDEX($FK$325:$ID$396,GU$169,1+SwaptionShift):INDEX($FK$325:$ID$396,GU$169,SwaptionMonthsToGo+SwaptionShift))))))</f>
        <v/>
      </c>
      <c r="GV241" s="669" t="str">
        <f aca="false">IF(OR(GV$169&lt;SwaptionFirstMonthPosition+1,$FJ241&lt;SwaptionFirstMonthPosition+1,GV$169&gt;SwaptionFirstMonthPosition+SwaptionNumOfMonths+1,$FJ241&gt;SwaptionFirstMonthPosition+SwaptionNumOfMonths+1),"",IF($FJ241=GV$169,1,IF($FJ241&lt;GV$169,INDEX($FK$170:$ID$241,GV$169,$FJ241),SUMPRODUCT(INDEX($FK$325:$ID$396,GV$169,1+SwaptionShift):INDEX($FK$325:$ID$396,GV$169,SwaptionMonthsToGo+SwaptionShift),INDEX($FK$245:$ID$316,$FJ241-GV$169,73-GV$169+SwaptionShift):INDEX($FK$245:$ID$316,$FJ241-GV$169,72-GV$169+SwaptionMonthsToGo+SwaptionShift))/SQRT(SUM(INDEX($FK396:$ID396,1+SwaptionShift):INDEX($FK396:$ID396,SwaptionMonthsToGo+SwaptionShift))*SUM(INDEX($FK$325:$ID$396,GV$169,1+SwaptionShift):INDEX($FK$325:$ID$396,GV$169,SwaptionMonthsToGo+SwaptionShift))))))</f>
        <v/>
      </c>
      <c r="GW241" s="669" t="str">
        <f aca="false">IF(OR(GW$169&lt;SwaptionFirstMonthPosition+1,$FJ241&lt;SwaptionFirstMonthPosition+1,GW$169&gt;SwaptionFirstMonthPosition+SwaptionNumOfMonths+1,$FJ241&gt;SwaptionFirstMonthPosition+SwaptionNumOfMonths+1),"",IF($FJ241=GW$169,1,IF($FJ241&lt;GW$169,INDEX($FK$170:$ID$241,GW$169,$FJ241),SUMPRODUCT(INDEX($FK$325:$ID$396,GW$169,1+SwaptionShift):INDEX($FK$325:$ID$396,GW$169,SwaptionMonthsToGo+SwaptionShift),INDEX($FK$245:$ID$316,$FJ241-GW$169,73-GW$169+SwaptionShift):INDEX($FK$245:$ID$316,$FJ241-GW$169,72-GW$169+SwaptionMonthsToGo+SwaptionShift))/SQRT(SUM(INDEX($FK396:$ID396,1+SwaptionShift):INDEX($FK396:$ID396,SwaptionMonthsToGo+SwaptionShift))*SUM(INDEX($FK$325:$ID$396,GW$169,1+SwaptionShift):INDEX($FK$325:$ID$396,GW$169,SwaptionMonthsToGo+SwaptionShift))))))</f>
        <v/>
      </c>
      <c r="GX241" s="669" t="str">
        <f aca="false">IF(OR(GX$169&lt;SwaptionFirstMonthPosition+1,$FJ241&lt;SwaptionFirstMonthPosition+1,GX$169&gt;SwaptionFirstMonthPosition+SwaptionNumOfMonths+1,$FJ241&gt;SwaptionFirstMonthPosition+SwaptionNumOfMonths+1),"",IF($FJ241=GX$169,1,IF($FJ241&lt;GX$169,INDEX($FK$170:$ID$241,GX$169,$FJ241),SUMPRODUCT(INDEX($FK$325:$ID$396,GX$169,1+SwaptionShift):INDEX($FK$325:$ID$396,GX$169,SwaptionMonthsToGo+SwaptionShift),INDEX($FK$245:$ID$316,$FJ241-GX$169,73-GX$169+SwaptionShift):INDEX($FK$245:$ID$316,$FJ241-GX$169,72-GX$169+SwaptionMonthsToGo+SwaptionShift))/SQRT(SUM(INDEX($FK396:$ID396,1+SwaptionShift):INDEX($FK396:$ID396,SwaptionMonthsToGo+SwaptionShift))*SUM(INDEX($FK$325:$ID$396,GX$169,1+SwaptionShift):INDEX($FK$325:$ID$396,GX$169,SwaptionMonthsToGo+SwaptionShift))))))</f>
        <v/>
      </c>
      <c r="GY241" s="669" t="str">
        <f aca="false">IF(OR(GY$169&lt;SwaptionFirstMonthPosition+1,$FJ241&lt;SwaptionFirstMonthPosition+1,GY$169&gt;SwaptionFirstMonthPosition+SwaptionNumOfMonths+1,$FJ241&gt;SwaptionFirstMonthPosition+SwaptionNumOfMonths+1),"",IF($FJ241=GY$169,1,IF($FJ241&lt;GY$169,INDEX($FK$170:$ID$241,GY$169,$FJ241),SUMPRODUCT(INDEX($FK$325:$ID$396,GY$169,1+SwaptionShift):INDEX($FK$325:$ID$396,GY$169,SwaptionMonthsToGo+SwaptionShift),INDEX($FK$245:$ID$316,$FJ241-GY$169,73-GY$169+SwaptionShift):INDEX($FK$245:$ID$316,$FJ241-GY$169,72-GY$169+SwaptionMonthsToGo+SwaptionShift))/SQRT(SUM(INDEX($FK396:$ID396,1+SwaptionShift):INDEX($FK396:$ID396,SwaptionMonthsToGo+SwaptionShift))*SUM(INDEX($FK$325:$ID$396,GY$169,1+SwaptionShift):INDEX($FK$325:$ID$396,GY$169,SwaptionMonthsToGo+SwaptionShift))))))</f>
        <v/>
      </c>
      <c r="GZ241" s="669" t="str">
        <f aca="false">IF(OR(GZ$169&lt;SwaptionFirstMonthPosition+1,$FJ241&lt;SwaptionFirstMonthPosition+1,GZ$169&gt;SwaptionFirstMonthPosition+SwaptionNumOfMonths+1,$FJ241&gt;SwaptionFirstMonthPosition+SwaptionNumOfMonths+1),"",IF($FJ241=GZ$169,1,IF($FJ241&lt;GZ$169,INDEX($FK$170:$ID$241,GZ$169,$FJ241),SUMPRODUCT(INDEX($FK$325:$ID$396,GZ$169,1+SwaptionShift):INDEX($FK$325:$ID$396,GZ$169,SwaptionMonthsToGo+SwaptionShift),INDEX($FK$245:$ID$316,$FJ241-GZ$169,73-GZ$169+SwaptionShift):INDEX($FK$245:$ID$316,$FJ241-GZ$169,72-GZ$169+SwaptionMonthsToGo+SwaptionShift))/SQRT(SUM(INDEX($FK396:$ID396,1+SwaptionShift):INDEX($FK396:$ID396,SwaptionMonthsToGo+SwaptionShift))*SUM(INDEX($FK$325:$ID$396,GZ$169,1+SwaptionShift):INDEX($FK$325:$ID$396,GZ$169,SwaptionMonthsToGo+SwaptionShift))))))</f>
        <v/>
      </c>
      <c r="HA241" s="669" t="str">
        <f aca="false">IF(OR(HA$169&lt;SwaptionFirstMonthPosition+1,$FJ241&lt;SwaptionFirstMonthPosition+1,HA$169&gt;SwaptionFirstMonthPosition+SwaptionNumOfMonths+1,$FJ241&gt;SwaptionFirstMonthPosition+SwaptionNumOfMonths+1),"",IF($FJ241=HA$169,1,IF($FJ241&lt;HA$169,INDEX($FK$170:$ID$241,HA$169,$FJ241),SUMPRODUCT(INDEX($FK$325:$ID$396,HA$169,1+SwaptionShift):INDEX($FK$325:$ID$396,HA$169,SwaptionMonthsToGo+SwaptionShift),INDEX($FK$245:$ID$316,$FJ241-HA$169,73-HA$169+SwaptionShift):INDEX($FK$245:$ID$316,$FJ241-HA$169,72-HA$169+SwaptionMonthsToGo+SwaptionShift))/SQRT(SUM(INDEX($FK396:$ID396,1+SwaptionShift):INDEX($FK396:$ID396,SwaptionMonthsToGo+SwaptionShift))*SUM(INDEX($FK$325:$ID$396,HA$169,1+SwaptionShift):INDEX($FK$325:$ID$396,HA$169,SwaptionMonthsToGo+SwaptionShift))))))</f>
        <v/>
      </c>
      <c r="HB241" s="669" t="str">
        <f aca="false">IF(OR(HB$169&lt;SwaptionFirstMonthPosition+1,$FJ241&lt;SwaptionFirstMonthPosition+1,HB$169&gt;SwaptionFirstMonthPosition+SwaptionNumOfMonths+1,$FJ241&gt;SwaptionFirstMonthPosition+SwaptionNumOfMonths+1),"",IF($FJ241=HB$169,1,IF($FJ241&lt;HB$169,INDEX($FK$170:$ID$241,HB$169,$FJ241),SUMPRODUCT(INDEX($FK$325:$ID$396,HB$169,1+SwaptionShift):INDEX($FK$325:$ID$396,HB$169,SwaptionMonthsToGo+SwaptionShift),INDEX($FK$245:$ID$316,$FJ241-HB$169,73-HB$169+SwaptionShift):INDEX($FK$245:$ID$316,$FJ241-HB$169,72-HB$169+SwaptionMonthsToGo+SwaptionShift))/SQRT(SUM(INDEX($FK396:$ID396,1+SwaptionShift):INDEX($FK396:$ID396,SwaptionMonthsToGo+SwaptionShift))*SUM(INDEX($FK$325:$ID$396,HB$169,1+SwaptionShift):INDEX($FK$325:$ID$396,HB$169,SwaptionMonthsToGo+SwaptionShift))))))</f>
        <v/>
      </c>
      <c r="HC241" s="669" t="str">
        <f aca="false">IF(OR(HC$169&lt;SwaptionFirstMonthPosition+1,$FJ241&lt;SwaptionFirstMonthPosition+1,HC$169&gt;SwaptionFirstMonthPosition+SwaptionNumOfMonths+1,$FJ241&gt;SwaptionFirstMonthPosition+SwaptionNumOfMonths+1),"",IF($FJ241=HC$169,1,IF($FJ241&lt;HC$169,INDEX($FK$170:$ID$241,HC$169,$FJ241),SUMPRODUCT(INDEX($FK$325:$ID$396,HC$169,1+SwaptionShift):INDEX($FK$325:$ID$396,HC$169,SwaptionMonthsToGo+SwaptionShift),INDEX($FK$245:$ID$316,$FJ241-HC$169,73-HC$169+SwaptionShift):INDEX($FK$245:$ID$316,$FJ241-HC$169,72-HC$169+SwaptionMonthsToGo+SwaptionShift))/SQRT(SUM(INDEX($FK396:$ID396,1+SwaptionShift):INDEX($FK396:$ID396,SwaptionMonthsToGo+SwaptionShift))*SUM(INDEX($FK$325:$ID$396,HC$169,1+SwaptionShift):INDEX($FK$325:$ID$396,HC$169,SwaptionMonthsToGo+SwaptionShift))))))</f>
        <v/>
      </c>
      <c r="HD241" s="669" t="str">
        <f aca="false">IF(OR(HD$169&lt;SwaptionFirstMonthPosition+1,$FJ241&lt;SwaptionFirstMonthPosition+1,HD$169&gt;SwaptionFirstMonthPosition+SwaptionNumOfMonths+1,$FJ241&gt;SwaptionFirstMonthPosition+SwaptionNumOfMonths+1),"",IF($FJ241=HD$169,1,IF($FJ241&lt;HD$169,INDEX($FK$170:$ID$241,HD$169,$FJ241),SUMPRODUCT(INDEX($FK$325:$ID$396,HD$169,1+SwaptionShift):INDEX($FK$325:$ID$396,HD$169,SwaptionMonthsToGo+SwaptionShift),INDEX($FK$245:$ID$316,$FJ241-HD$169,73-HD$169+SwaptionShift):INDEX($FK$245:$ID$316,$FJ241-HD$169,72-HD$169+SwaptionMonthsToGo+SwaptionShift))/SQRT(SUM(INDEX($FK396:$ID396,1+SwaptionShift):INDEX($FK396:$ID396,SwaptionMonthsToGo+SwaptionShift))*SUM(INDEX($FK$325:$ID$396,HD$169,1+SwaptionShift):INDEX($FK$325:$ID$396,HD$169,SwaptionMonthsToGo+SwaptionShift))))))</f>
        <v/>
      </c>
      <c r="HE241" s="669" t="str">
        <f aca="false">IF(OR(HE$169&lt;SwaptionFirstMonthPosition+1,$FJ241&lt;SwaptionFirstMonthPosition+1,HE$169&gt;SwaptionFirstMonthPosition+SwaptionNumOfMonths+1,$FJ241&gt;SwaptionFirstMonthPosition+SwaptionNumOfMonths+1),"",IF($FJ241=HE$169,1,IF($FJ241&lt;HE$169,INDEX($FK$170:$ID$241,HE$169,$FJ241),SUMPRODUCT(INDEX($FK$325:$ID$396,HE$169,1+SwaptionShift):INDEX($FK$325:$ID$396,HE$169,SwaptionMonthsToGo+SwaptionShift),INDEX($FK$245:$ID$316,$FJ241-HE$169,73-HE$169+SwaptionShift):INDEX($FK$245:$ID$316,$FJ241-HE$169,72-HE$169+SwaptionMonthsToGo+SwaptionShift))/SQRT(SUM(INDEX($FK396:$ID396,1+SwaptionShift):INDEX($FK396:$ID396,SwaptionMonthsToGo+SwaptionShift))*SUM(INDEX($FK$325:$ID$396,HE$169,1+SwaptionShift):INDEX($FK$325:$ID$396,HE$169,SwaptionMonthsToGo+SwaptionShift))))))</f>
        <v/>
      </c>
      <c r="HF241" s="669" t="str">
        <f aca="false">IF(OR(HF$169&lt;SwaptionFirstMonthPosition+1,$FJ241&lt;SwaptionFirstMonthPosition+1,HF$169&gt;SwaptionFirstMonthPosition+SwaptionNumOfMonths+1,$FJ241&gt;SwaptionFirstMonthPosition+SwaptionNumOfMonths+1),"",IF($FJ241=HF$169,1,IF($FJ241&lt;HF$169,INDEX($FK$170:$ID$241,HF$169,$FJ241),SUMPRODUCT(INDEX($FK$325:$ID$396,HF$169,1+SwaptionShift):INDEX($FK$325:$ID$396,HF$169,SwaptionMonthsToGo+SwaptionShift),INDEX($FK$245:$ID$316,$FJ241-HF$169,73-HF$169+SwaptionShift):INDEX($FK$245:$ID$316,$FJ241-HF$169,72-HF$169+SwaptionMonthsToGo+SwaptionShift))/SQRT(SUM(INDEX($FK396:$ID396,1+SwaptionShift):INDEX($FK396:$ID396,SwaptionMonthsToGo+SwaptionShift))*SUM(INDEX($FK$325:$ID$396,HF$169,1+SwaptionShift):INDEX($FK$325:$ID$396,HF$169,SwaptionMonthsToGo+SwaptionShift))))))</f>
        <v/>
      </c>
      <c r="HG241" s="669" t="str">
        <f aca="false">IF(OR(HG$169&lt;SwaptionFirstMonthPosition+1,$FJ241&lt;SwaptionFirstMonthPosition+1,HG$169&gt;SwaptionFirstMonthPosition+SwaptionNumOfMonths+1,$FJ241&gt;SwaptionFirstMonthPosition+SwaptionNumOfMonths+1),"",IF($FJ241=HG$169,1,IF($FJ241&lt;HG$169,INDEX($FK$170:$ID$241,HG$169,$FJ241),SUMPRODUCT(INDEX($FK$325:$ID$396,HG$169,1+SwaptionShift):INDEX($FK$325:$ID$396,HG$169,SwaptionMonthsToGo+SwaptionShift),INDEX($FK$245:$ID$316,$FJ241-HG$169,73-HG$169+SwaptionShift):INDEX($FK$245:$ID$316,$FJ241-HG$169,72-HG$169+SwaptionMonthsToGo+SwaptionShift))/SQRT(SUM(INDEX($FK396:$ID396,1+SwaptionShift):INDEX($FK396:$ID396,SwaptionMonthsToGo+SwaptionShift))*SUM(INDEX($FK$325:$ID$396,HG$169,1+SwaptionShift):INDEX($FK$325:$ID$396,HG$169,SwaptionMonthsToGo+SwaptionShift))))))</f>
        <v/>
      </c>
      <c r="HH241" s="669" t="str">
        <f aca="false">IF(OR(HH$169&lt;SwaptionFirstMonthPosition+1,$FJ241&lt;SwaptionFirstMonthPosition+1,HH$169&gt;SwaptionFirstMonthPosition+SwaptionNumOfMonths+1,$FJ241&gt;SwaptionFirstMonthPosition+SwaptionNumOfMonths+1),"",IF($FJ241=HH$169,1,IF($FJ241&lt;HH$169,INDEX($FK$170:$ID$241,HH$169,$FJ241),SUMPRODUCT(INDEX($FK$325:$ID$396,HH$169,1+SwaptionShift):INDEX($FK$325:$ID$396,HH$169,SwaptionMonthsToGo+SwaptionShift),INDEX($FK$245:$ID$316,$FJ241-HH$169,73-HH$169+SwaptionShift):INDEX($FK$245:$ID$316,$FJ241-HH$169,72-HH$169+SwaptionMonthsToGo+SwaptionShift))/SQRT(SUM(INDEX($FK396:$ID396,1+SwaptionShift):INDEX($FK396:$ID396,SwaptionMonthsToGo+SwaptionShift))*SUM(INDEX($FK$325:$ID$396,HH$169,1+SwaptionShift):INDEX($FK$325:$ID$396,HH$169,SwaptionMonthsToGo+SwaptionShift))))))</f>
        <v/>
      </c>
      <c r="HI241" s="669" t="str">
        <f aca="false">IF(OR(HI$169&lt;SwaptionFirstMonthPosition+1,$FJ241&lt;SwaptionFirstMonthPosition+1,HI$169&gt;SwaptionFirstMonthPosition+SwaptionNumOfMonths+1,$FJ241&gt;SwaptionFirstMonthPosition+SwaptionNumOfMonths+1),"",IF($FJ241=HI$169,1,IF($FJ241&lt;HI$169,INDEX($FK$170:$ID$241,HI$169,$FJ241),SUMPRODUCT(INDEX($FK$325:$ID$396,HI$169,1+SwaptionShift):INDEX($FK$325:$ID$396,HI$169,SwaptionMonthsToGo+SwaptionShift),INDEX($FK$245:$ID$316,$FJ241-HI$169,73-HI$169+SwaptionShift):INDEX($FK$245:$ID$316,$FJ241-HI$169,72-HI$169+SwaptionMonthsToGo+SwaptionShift))/SQRT(SUM(INDEX($FK396:$ID396,1+SwaptionShift):INDEX($FK396:$ID396,SwaptionMonthsToGo+SwaptionShift))*SUM(INDEX($FK$325:$ID$396,HI$169,1+SwaptionShift):INDEX($FK$325:$ID$396,HI$169,SwaptionMonthsToGo+SwaptionShift))))))</f>
        <v/>
      </c>
      <c r="HJ241" s="669" t="str">
        <f aca="false">IF(OR(HJ$169&lt;SwaptionFirstMonthPosition+1,$FJ241&lt;SwaptionFirstMonthPosition+1,HJ$169&gt;SwaptionFirstMonthPosition+SwaptionNumOfMonths+1,$FJ241&gt;SwaptionFirstMonthPosition+SwaptionNumOfMonths+1),"",IF($FJ241=HJ$169,1,IF($FJ241&lt;HJ$169,INDEX($FK$170:$ID$241,HJ$169,$FJ241),SUMPRODUCT(INDEX($FK$325:$ID$396,HJ$169,1+SwaptionShift):INDEX($FK$325:$ID$396,HJ$169,SwaptionMonthsToGo+SwaptionShift),INDEX($FK$245:$ID$316,$FJ241-HJ$169,73-HJ$169+SwaptionShift):INDEX($FK$245:$ID$316,$FJ241-HJ$169,72-HJ$169+SwaptionMonthsToGo+SwaptionShift))/SQRT(SUM(INDEX($FK396:$ID396,1+SwaptionShift):INDEX($FK396:$ID396,SwaptionMonthsToGo+SwaptionShift))*SUM(INDEX($FK$325:$ID$396,HJ$169,1+SwaptionShift):INDEX($FK$325:$ID$396,HJ$169,SwaptionMonthsToGo+SwaptionShift))))))</f>
        <v/>
      </c>
      <c r="HK241" s="669" t="str">
        <f aca="false">IF(OR(HK$169&lt;SwaptionFirstMonthPosition+1,$FJ241&lt;SwaptionFirstMonthPosition+1,HK$169&gt;SwaptionFirstMonthPosition+SwaptionNumOfMonths+1,$FJ241&gt;SwaptionFirstMonthPosition+SwaptionNumOfMonths+1),"",IF($FJ241=HK$169,1,IF($FJ241&lt;HK$169,INDEX($FK$170:$ID$241,HK$169,$FJ241),SUMPRODUCT(INDEX($FK$325:$ID$396,HK$169,1+SwaptionShift):INDEX($FK$325:$ID$396,HK$169,SwaptionMonthsToGo+SwaptionShift),INDEX($FK$245:$ID$316,$FJ241-HK$169,73-HK$169+SwaptionShift):INDEX($FK$245:$ID$316,$FJ241-HK$169,72-HK$169+SwaptionMonthsToGo+SwaptionShift))/SQRT(SUM(INDEX($FK396:$ID396,1+SwaptionShift):INDEX($FK396:$ID396,SwaptionMonthsToGo+SwaptionShift))*SUM(INDEX($FK$325:$ID$396,HK$169,1+SwaptionShift):INDEX($FK$325:$ID$396,HK$169,SwaptionMonthsToGo+SwaptionShift))))))</f>
        <v/>
      </c>
      <c r="HL241" s="669" t="str">
        <f aca="false">IF(OR(HL$169&lt;SwaptionFirstMonthPosition+1,$FJ241&lt;SwaptionFirstMonthPosition+1,HL$169&gt;SwaptionFirstMonthPosition+SwaptionNumOfMonths+1,$FJ241&gt;SwaptionFirstMonthPosition+SwaptionNumOfMonths+1),"",IF($FJ241=HL$169,1,IF($FJ241&lt;HL$169,INDEX($FK$170:$ID$241,HL$169,$FJ241),SUMPRODUCT(INDEX($FK$325:$ID$396,HL$169,1+SwaptionShift):INDEX($FK$325:$ID$396,HL$169,SwaptionMonthsToGo+SwaptionShift),INDEX($FK$245:$ID$316,$FJ241-HL$169,73-HL$169+SwaptionShift):INDEX($FK$245:$ID$316,$FJ241-HL$169,72-HL$169+SwaptionMonthsToGo+SwaptionShift))/SQRT(SUM(INDEX($FK396:$ID396,1+SwaptionShift):INDEX($FK396:$ID396,SwaptionMonthsToGo+SwaptionShift))*SUM(INDEX($FK$325:$ID$396,HL$169,1+SwaptionShift):INDEX($FK$325:$ID$396,HL$169,SwaptionMonthsToGo+SwaptionShift))))))</f>
        <v/>
      </c>
      <c r="HM241" s="669" t="str">
        <f aca="false">IF(OR(HM$169&lt;SwaptionFirstMonthPosition+1,$FJ241&lt;SwaptionFirstMonthPosition+1,HM$169&gt;SwaptionFirstMonthPosition+SwaptionNumOfMonths+1,$FJ241&gt;SwaptionFirstMonthPosition+SwaptionNumOfMonths+1),"",IF($FJ241=HM$169,1,IF($FJ241&lt;HM$169,INDEX($FK$170:$ID$241,HM$169,$FJ241),SUMPRODUCT(INDEX($FK$325:$ID$396,HM$169,1+SwaptionShift):INDEX($FK$325:$ID$396,HM$169,SwaptionMonthsToGo+SwaptionShift),INDEX($FK$245:$ID$316,$FJ241-HM$169,73-HM$169+SwaptionShift):INDEX($FK$245:$ID$316,$FJ241-HM$169,72-HM$169+SwaptionMonthsToGo+SwaptionShift))/SQRT(SUM(INDEX($FK396:$ID396,1+SwaptionShift):INDEX($FK396:$ID396,SwaptionMonthsToGo+SwaptionShift))*SUM(INDEX($FK$325:$ID$396,HM$169,1+SwaptionShift):INDEX($FK$325:$ID$396,HM$169,SwaptionMonthsToGo+SwaptionShift))))))</f>
        <v/>
      </c>
      <c r="HN241" s="669" t="str">
        <f aca="false">IF(OR(HN$169&lt;SwaptionFirstMonthPosition+1,$FJ241&lt;SwaptionFirstMonthPosition+1,HN$169&gt;SwaptionFirstMonthPosition+SwaptionNumOfMonths+1,$FJ241&gt;SwaptionFirstMonthPosition+SwaptionNumOfMonths+1),"",IF($FJ241=HN$169,1,IF($FJ241&lt;HN$169,INDEX($FK$170:$ID$241,HN$169,$FJ241),SUMPRODUCT(INDEX($FK$325:$ID$396,HN$169,1+SwaptionShift):INDEX($FK$325:$ID$396,HN$169,SwaptionMonthsToGo+SwaptionShift),INDEX($FK$245:$ID$316,$FJ241-HN$169,73-HN$169+SwaptionShift):INDEX($FK$245:$ID$316,$FJ241-HN$169,72-HN$169+SwaptionMonthsToGo+SwaptionShift))/SQRT(SUM(INDEX($FK396:$ID396,1+SwaptionShift):INDEX($FK396:$ID396,SwaptionMonthsToGo+SwaptionShift))*SUM(INDEX($FK$325:$ID$396,HN$169,1+SwaptionShift):INDEX($FK$325:$ID$396,HN$169,SwaptionMonthsToGo+SwaptionShift))))))</f>
        <v/>
      </c>
      <c r="HO241" s="669" t="str">
        <f aca="false">IF(OR(HO$169&lt;SwaptionFirstMonthPosition+1,$FJ241&lt;SwaptionFirstMonthPosition+1,HO$169&gt;SwaptionFirstMonthPosition+SwaptionNumOfMonths+1,$FJ241&gt;SwaptionFirstMonthPosition+SwaptionNumOfMonths+1),"",IF($FJ241=HO$169,1,IF($FJ241&lt;HO$169,INDEX($FK$170:$ID$241,HO$169,$FJ241),SUMPRODUCT(INDEX($FK$325:$ID$396,HO$169,1+SwaptionShift):INDEX($FK$325:$ID$396,HO$169,SwaptionMonthsToGo+SwaptionShift),INDEX($FK$245:$ID$316,$FJ241-HO$169,73-HO$169+SwaptionShift):INDEX($FK$245:$ID$316,$FJ241-HO$169,72-HO$169+SwaptionMonthsToGo+SwaptionShift))/SQRT(SUM(INDEX($FK396:$ID396,1+SwaptionShift):INDEX($FK396:$ID396,SwaptionMonthsToGo+SwaptionShift))*SUM(INDEX($FK$325:$ID$396,HO$169,1+SwaptionShift):INDEX($FK$325:$ID$396,HO$169,SwaptionMonthsToGo+SwaptionShift))))))</f>
        <v/>
      </c>
      <c r="HP241" s="669" t="str">
        <f aca="false">IF(OR(HP$169&lt;SwaptionFirstMonthPosition+1,$FJ241&lt;SwaptionFirstMonthPosition+1,HP$169&gt;SwaptionFirstMonthPosition+SwaptionNumOfMonths+1,$FJ241&gt;SwaptionFirstMonthPosition+SwaptionNumOfMonths+1),"",IF($FJ241=HP$169,1,IF($FJ241&lt;HP$169,INDEX($FK$170:$ID$241,HP$169,$FJ241),SUMPRODUCT(INDEX($FK$325:$ID$396,HP$169,1+SwaptionShift):INDEX($FK$325:$ID$396,HP$169,SwaptionMonthsToGo+SwaptionShift),INDEX($FK$245:$ID$316,$FJ241-HP$169,73-HP$169+SwaptionShift):INDEX($FK$245:$ID$316,$FJ241-HP$169,72-HP$169+SwaptionMonthsToGo+SwaptionShift))/SQRT(SUM(INDEX($FK396:$ID396,1+SwaptionShift):INDEX($FK396:$ID396,SwaptionMonthsToGo+SwaptionShift))*SUM(INDEX($FK$325:$ID$396,HP$169,1+SwaptionShift):INDEX($FK$325:$ID$396,HP$169,SwaptionMonthsToGo+SwaptionShift))))))</f>
        <v/>
      </c>
      <c r="HQ241" s="669" t="str">
        <f aca="false">IF(OR(HQ$169&lt;SwaptionFirstMonthPosition+1,$FJ241&lt;SwaptionFirstMonthPosition+1,HQ$169&gt;SwaptionFirstMonthPosition+SwaptionNumOfMonths+1,$FJ241&gt;SwaptionFirstMonthPosition+SwaptionNumOfMonths+1),"",IF($FJ241=HQ$169,1,IF($FJ241&lt;HQ$169,INDEX($FK$170:$ID$241,HQ$169,$FJ241),SUMPRODUCT(INDEX($FK$325:$ID$396,HQ$169,1+SwaptionShift):INDEX($FK$325:$ID$396,HQ$169,SwaptionMonthsToGo+SwaptionShift),INDEX($FK$245:$ID$316,$FJ241-HQ$169,73-HQ$169+SwaptionShift):INDEX($FK$245:$ID$316,$FJ241-HQ$169,72-HQ$169+SwaptionMonthsToGo+SwaptionShift))/SQRT(SUM(INDEX($FK396:$ID396,1+SwaptionShift):INDEX($FK396:$ID396,SwaptionMonthsToGo+SwaptionShift))*SUM(INDEX($FK$325:$ID$396,HQ$169,1+SwaptionShift):INDEX($FK$325:$ID$396,HQ$169,SwaptionMonthsToGo+SwaptionShift))))))</f>
        <v/>
      </c>
      <c r="HR241" s="669" t="str">
        <f aca="false">IF(OR(HR$169&lt;SwaptionFirstMonthPosition+1,$FJ241&lt;SwaptionFirstMonthPosition+1,HR$169&gt;SwaptionFirstMonthPosition+SwaptionNumOfMonths+1,$FJ241&gt;SwaptionFirstMonthPosition+SwaptionNumOfMonths+1),"",IF($FJ241=HR$169,1,IF($FJ241&lt;HR$169,INDEX($FK$170:$ID$241,HR$169,$FJ241),SUMPRODUCT(INDEX($FK$325:$ID$396,HR$169,1+SwaptionShift):INDEX($FK$325:$ID$396,HR$169,SwaptionMonthsToGo+SwaptionShift),INDEX($FK$245:$ID$316,$FJ241-HR$169,73-HR$169+SwaptionShift):INDEX($FK$245:$ID$316,$FJ241-HR$169,72-HR$169+SwaptionMonthsToGo+SwaptionShift))/SQRT(SUM(INDEX($FK396:$ID396,1+SwaptionShift):INDEX($FK396:$ID396,SwaptionMonthsToGo+SwaptionShift))*SUM(INDEX($FK$325:$ID$396,HR$169,1+SwaptionShift):INDEX($FK$325:$ID$396,HR$169,SwaptionMonthsToGo+SwaptionShift))))))</f>
        <v/>
      </c>
      <c r="HS241" s="669" t="str">
        <f aca="false">IF(OR(HS$169&lt;SwaptionFirstMonthPosition+1,$FJ241&lt;SwaptionFirstMonthPosition+1,HS$169&gt;SwaptionFirstMonthPosition+SwaptionNumOfMonths+1,$FJ241&gt;SwaptionFirstMonthPosition+SwaptionNumOfMonths+1),"",IF($FJ241=HS$169,1,IF($FJ241&lt;HS$169,INDEX($FK$170:$ID$241,HS$169,$FJ241),SUMPRODUCT(INDEX($FK$325:$ID$396,HS$169,1+SwaptionShift):INDEX($FK$325:$ID$396,HS$169,SwaptionMonthsToGo+SwaptionShift),INDEX($FK$245:$ID$316,$FJ241-HS$169,73-HS$169+SwaptionShift):INDEX($FK$245:$ID$316,$FJ241-HS$169,72-HS$169+SwaptionMonthsToGo+SwaptionShift))/SQRT(SUM(INDEX($FK396:$ID396,1+SwaptionShift):INDEX($FK396:$ID396,SwaptionMonthsToGo+SwaptionShift))*SUM(INDEX($FK$325:$ID$396,HS$169,1+SwaptionShift):INDEX($FK$325:$ID$396,HS$169,SwaptionMonthsToGo+SwaptionShift))))))</f>
        <v/>
      </c>
      <c r="HT241" s="669" t="str">
        <f aca="false">IF(OR(HT$169&lt;SwaptionFirstMonthPosition+1,$FJ241&lt;SwaptionFirstMonthPosition+1,HT$169&gt;SwaptionFirstMonthPosition+SwaptionNumOfMonths+1,$FJ241&gt;SwaptionFirstMonthPosition+SwaptionNumOfMonths+1),"",IF($FJ241=HT$169,1,IF($FJ241&lt;HT$169,INDEX($FK$170:$ID$241,HT$169,$FJ241),SUMPRODUCT(INDEX($FK$325:$ID$396,HT$169,1+SwaptionShift):INDEX($FK$325:$ID$396,HT$169,SwaptionMonthsToGo+SwaptionShift),INDEX($FK$245:$ID$316,$FJ241-HT$169,73-HT$169+SwaptionShift):INDEX($FK$245:$ID$316,$FJ241-HT$169,72-HT$169+SwaptionMonthsToGo+SwaptionShift))/SQRT(SUM(INDEX($FK396:$ID396,1+SwaptionShift):INDEX($FK396:$ID396,SwaptionMonthsToGo+SwaptionShift))*SUM(INDEX($FK$325:$ID$396,HT$169,1+SwaptionShift):INDEX($FK$325:$ID$396,HT$169,SwaptionMonthsToGo+SwaptionShift))))))</f>
        <v/>
      </c>
      <c r="HU241" s="669" t="str">
        <f aca="false">IF(OR(HU$169&lt;SwaptionFirstMonthPosition+1,$FJ241&lt;SwaptionFirstMonthPosition+1,HU$169&gt;SwaptionFirstMonthPosition+SwaptionNumOfMonths+1,$FJ241&gt;SwaptionFirstMonthPosition+SwaptionNumOfMonths+1),"",IF($FJ241=HU$169,1,IF($FJ241&lt;HU$169,INDEX($FK$170:$ID$241,HU$169,$FJ241),SUMPRODUCT(INDEX($FK$325:$ID$396,HU$169,1+SwaptionShift):INDEX($FK$325:$ID$396,HU$169,SwaptionMonthsToGo+SwaptionShift),INDEX($FK$245:$ID$316,$FJ241-HU$169,73-HU$169+SwaptionShift):INDEX($FK$245:$ID$316,$FJ241-HU$169,72-HU$169+SwaptionMonthsToGo+SwaptionShift))/SQRT(SUM(INDEX($FK396:$ID396,1+SwaptionShift):INDEX($FK396:$ID396,SwaptionMonthsToGo+SwaptionShift))*SUM(INDEX($FK$325:$ID$396,HU$169,1+SwaptionShift):INDEX($FK$325:$ID$396,HU$169,SwaptionMonthsToGo+SwaptionShift))))))</f>
        <v/>
      </c>
      <c r="HV241" s="669" t="str">
        <f aca="false">IF(OR(HV$169&lt;SwaptionFirstMonthPosition+1,$FJ241&lt;SwaptionFirstMonthPosition+1,HV$169&gt;SwaptionFirstMonthPosition+SwaptionNumOfMonths+1,$FJ241&gt;SwaptionFirstMonthPosition+SwaptionNumOfMonths+1),"",IF($FJ241=HV$169,1,IF($FJ241&lt;HV$169,INDEX($FK$170:$ID$241,HV$169,$FJ241),SUMPRODUCT(INDEX($FK$325:$ID$396,HV$169,1+SwaptionShift):INDEX($FK$325:$ID$396,HV$169,SwaptionMonthsToGo+SwaptionShift),INDEX($FK$245:$ID$316,$FJ241-HV$169,73-HV$169+SwaptionShift):INDEX($FK$245:$ID$316,$FJ241-HV$169,72-HV$169+SwaptionMonthsToGo+SwaptionShift))/SQRT(SUM(INDEX($FK396:$ID396,1+SwaptionShift):INDEX($FK396:$ID396,SwaptionMonthsToGo+SwaptionShift))*SUM(INDEX($FK$325:$ID$396,HV$169,1+SwaptionShift):INDEX($FK$325:$ID$396,HV$169,SwaptionMonthsToGo+SwaptionShift))))))</f>
        <v/>
      </c>
      <c r="HW241" s="669" t="str">
        <f aca="false">IF(OR(HW$169&lt;SwaptionFirstMonthPosition+1,$FJ241&lt;SwaptionFirstMonthPosition+1,HW$169&gt;SwaptionFirstMonthPosition+SwaptionNumOfMonths+1,$FJ241&gt;SwaptionFirstMonthPosition+SwaptionNumOfMonths+1),"",IF($FJ241=HW$169,1,IF($FJ241&lt;HW$169,INDEX($FK$170:$ID$241,HW$169,$FJ241),SUMPRODUCT(INDEX($FK$325:$ID$396,HW$169,1+SwaptionShift):INDEX($FK$325:$ID$396,HW$169,SwaptionMonthsToGo+SwaptionShift),INDEX($FK$245:$ID$316,$FJ241-HW$169,73-HW$169+SwaptionShift):INDEX($FK$245:$ID$316,$FJ241-HW$169,72-HW$169+SwaptionMonthsToGo+SwaptionShift))/SQRT(SUM(INDEX($FK396:$ID396,1+SwaptionShift):INDEX($FK396:$ID396,SwaptionMonthsToGo+SwaptionShift))*SUM(INDEX($FK$325:$ID$396,HW$169,1+SwaptionShift):INDEX($FK$325:$ID$396,HW$169,SwaptionMonthsToGo+SwaptionShift))))))</f>
        <v/>
      </c>
      <c r="HX241" s="669" t="str">
        <f aca="false">IF(OR(HX$169&lt;SwaptionFirstMonthPosition+1,$FJ241&lt;SwaptionFirstMonthPosition+1,HX$169&gt;SwaptionFirstMonthPosition+SwaptionNumOfMonths+1,$FJ241&gt;SwaptionFirstMonthPosition+SwaptionNumOfMonths+1),"",IF($FJ241=HX$169,1,IF($FJ241&lt;HX$169,INDEX($FK$170:$ID$241,HX$169,$FJ241),SUMPRODUCT(INDEX($FK$325:$ID$396,HX$169,1+SwaptionShift):INDEX($FK$325:$ID$396,HX$169,SwaptionMonthsToGo+SwaptionShift),INDEX($FK$245:$ID$316,$FJ241-HX$169,73-HX$169+SwaptionShift):INDEX($FK$245:$ID$316,$FJ241-HX$169,72-HX$169+SwaptionMonthsToGo+SwaptionShift))/SQRT(SUM(INDEX($FK396:$ID396,1+SwaptionShift):INDEX($FK396:$ID396,SwaptionMonthsToGo+SwaptionShift))*SUM(INDEX($FK$325:$ID$396,HX$169,1+SwaptionShift):INDEX($FK$325:$ID$396,HX$169,SwaptionMonthsToGo+SwaptionShift))))))</f>
        <v/>
      </c>
      <c r="HY241" s="669" t="str">
        <f aca="false">IF(OR(HY$169&lt;SwaptionFirstMonthPosition+1,$FJ241&lt;SwaptionFirstMonthPosition+1,HY$169&gt;SwaptionFirstMonthPosition+SwaptionNumOfMonths+1,$FJ241&gt;SwaptionFirstMonthPosition+SwaptionNumOfMonths+1),"",IF($FJ241=HY$169,1,IF($FJ241&lt;HY$169,INDEX($FK$170:$ID$241,HY$169,$FJ241),SUMPRODUCT(INDEX($FK$325:$ID$396,HY$169,1+SwaptionShift):INDEX($FK$325:$ID$396,HY$169,SwaptionMonthsToGo+SwaptionShift),INDEX($FK$245:$ID$316,$FJ241-HY$169,73-HY$169+SwaptionShift):INDEX($FK$245:$ID$316,$FJ241-HY$169,72-HY$169+SwaptionMonthsToGo+SwaptionShift))/SQRT(SUM(INDEX($FK396:$ID396,1+SwaptionShift):INDEX($FK396:$ID396,SwaptionMonthsToGo+SwaptionShift))*SUM(INDEX($FK$325:$ID$396,HY$169,1+SwaptionShift):INDEX($FK$325:$ID$396,HY$169,SwaptionMonthsToGo+SwaptionShift))))))</f>
        <v/>
      </c>
      <c r="HZ241" s="669" t="str">
        <f aca="false">IF(OR(HZ$169&lt;SwaptionFirstMonthPosition+1,$FJ241&lt;SwaptionFirstMonthPosition+1,HZ$169&gt;SwaptionFirstMonthPosition+SwaptionNumOfMonths+1,$FJ241&gt;SwaptionFirstMonthPosition+SwaptionNumOfMonths+1),"",IF($FJ241=HZ$169,1,IF($FJ241&lt;HZ$169,INDEX($FK$170:$ID$241,HZ$169,$FJ241),SUMPRODUCT(INDEX($FK$325:$ID$396,HZ$169,1+SwaptionShift):INDEX($FK$325:$ID$396,HZ$169,SwaptionMonthsToGo+SwaptionShift),INDEX($FK$245:$ID$316,$FJ241-HZ$169,73-HZ$169+SwaptionShift):INDEX($FK$245:$ID$316,$FJ241-HZ$169,72-HZ$169+SwaptionMonthsToGo+SwaptionShift))/SQRT(SUM(INDEX($FK396:$ID396,1+SwaptionShift):INDEX($FK396:$ID396,SwaptionMonthsToGo+SwaptionShift))*SUM(INDEX($FK$325:$ID$396,HZ$169,1+SwaptionShift):INDEX($FK$325:$ID$396,HZ$169,SwaptionMonthsToGo+SwaptionShift))))))</f>
        <v/>
      </c>
      <c r="IA241" s="669" t="str">
        <f aca="false">IF(OR(IA$169&lt;SwaptionFirstMonthPosition+1,$FJ241&lt;SwaptionFirstMonthPosition+1,IA$169&gt;SwaptionFirstMonthPosition+SwaptionNumOfMonths+1,$FJ241&gt;SwaptionFirstMonthPosition+SwaptionNumOfMonths+1),"",IF($FJ241=IA$169,1,IF($FJ241&lt;IA$169,INDEX($FK$170:$ID$241,IA$169,$FJ241),SUMPRODUCT(INDEX($FK$325:$ID$396,IA$169,1+SwaptionShift):INDEX($FK$325:$ID$396,IA$169,SwaptionMonthsToGo+SwaptionShift),INDEX($FK$245:$ID$316,$FJ241-IA$169,73-IA$169+SwaptionShift):INDEX($FK$245:$ID$316,$FJ241-IA$169,72-IA$169+SwaptionMonthsToGo+SwaptionShift))/SQRT(SUM(INDEX($FK396:$ID396,1+SwaptionShift):INDEX($FK396:$ID396,SwaptionMonthsToGo+SwaptionShift))*SUM(INDEX($FK$325:$ID$396,IA$169,1+SwaptionShift):INDEX($FK$325:$ID$396,IA$169,SwaptionMonthsToGo+SwaptionShift))))))</f>
        <v/>
      </c>
      <c r="IB241" s="669" t="str">
        <f aca="false">IF(OR(IB$169&lt;SwaptionFirstMonthPosition+1,$FJ241&lt;SwaptionFirstMonthPosition+1,IB$169&gt;SwaptionFirstMonthPosition+SwaptionNumOfMonths+1,$FJ241&gt;SwaptionFirstMonthPosition+SwaptionNumOfMonths+1),"",IF($FJ241=IB$169,1,IF($FJ241&lt;IB$169,INDEX($FK$170:$ID$241,IB$169,$FJ241),SUMPRODUCT(INDEX($FK$325:$ID$396,IB$169,1+SwaptionShift):INDEX($FK$325:$ID$396,IB$169,SwaptionMonthsToGo+SwaptionShift),INDEX($FK$245:$ID$316,$FJ241-IB$169,73-IB$169+SwaptionShift):INDEX($FK$245:$ID$316,$FJ241-IB$169,72-IB$169+SwaptionMonthsToGo+SwaptionShift))/SQRT(SUM(INDEX($FK396:$ID396,1+SwaptionShift):INDEX($FK396:$ID396,SwaptionMonthsToGo+SwaptionShift))*SUM(INDEX($FK$325:$ID$396,IB$169,1+SwaptionShift):INDEX($FK$325:$ID$396,IB$169,SwaptionMonthsToGo+SwaptionShift))))))</f>
        <v/>
      </c>
      <c r="IC241" s="669" t="str">
        <f aca="false">IF(OR(IC$169&lt;SwaptionFirstMonthPosition+1,$FJ241&lt;SwaptionFirstMonthPosition+1,IC$169&gt;SwaptionFirstMonthPosition+SwaptionNumOfMonths+1,$FJ241&gt;SwaptionFirstMonthPosition+SwaptionNumOfMonths+1),"",IF($FJ241=IC$169,1,IF($FJ241&lt;IC$169,INDEX($FK$170:$ID$241,IC$169,$FJ241),SUMPRODUCT(INDEX($FK$325:$ID$396,IC$169,1+SwaptionShift):INDEX($FK$325:$ID$396,IC$169,SwaptionMonthsToGo+SwaptionShift),INDEX($FK$245:$ID$316,$FJ241-IC$169,73-IC$169+SwaptionShift):INDEX($FK$245:$ID$316,$FJ241-IC$169,72-IC$169+SwaptionMonthsToGo+SwaptionShift))/SQRT(SUM(INDEX($FK396:$ID396,1+SwaptionShift):INDEX($FK396:$ID396,SwaptionMonthsToGo+SwaptionShift))*SUM(INDEX($FK$325:$ID$396,IC$169,1+SwaptionShift):INDEX($FK$325:$ID$396,IC$169,SwaptionMonthsToGo+SwaptionShift))))))</f>
        <v/>
      </c>
      <c r="ID241" s="670" t="str">
        <f aca="false">IF(OR(ID$169&lt;SwaptionFirstMonthPosition+1,$FJ241&lt;SwaptionFirstMonthPosition+1,ID$169&gt;SwaptionFirstMonthPosition+SwaptionNumOfMonths+1,$FJ241&gt;SwaptionFirstMonthPosition+SwaptionNumOfMonths+1),"",IF($FJ241=ID$169,1,IF($FJ241&lt;ID$169,INDEX($FK$170:$ID$241,ID$169,$FJ241),SUMPRODUCT(INDEX($FK$325:$ID$396,ID$169,1+SwaptionShift):INDEX($FK$325:$ID$396,ID$169,SwaptionMonthsToGo+SwaptionShift),INDEX($FK$245:$ID$316,$FJ241-ID$169,73-ID$169+SwaptionShift):INDEX($FK$245:$ID$316,$FJ241-ID$169,72-ID$169+SwaptionMonthsToGo+SwaptionShift))/SQRT(SUM(INDEX($FK396:$ID396,1+SwaptionShift):INDEX($FK396:$ID396,SwaptionMonthsToGo+SwaptionShift))*SUM(INDEX($FK$325:$ID$396,ID$169,1+SwaptionShift):INDEX($FK$325:$ID$396,ID$169,SwaptionMonthsToGo+SwaptionShift))))))</f>
        <v/>
      </c>
      <c r="IE241" s="129"/>
    </row>
    <row r="242" customFormat="false" ht="12.75" hidden="false" customHeight="false" outlineLevel="0" collapsed="false">
      <c r="H242" s="219" t="n">
        <f aca="false">VLOOKUP(I242,$EJ$20:$EL$54,3)</f>
        <v>0</v>
      </c>
      <c r="I242" s="511" t="n">
        <f aca="false">EOMONTH(I241,0)+1</f>
        <v>43525</v>
      </c>
      <c r="J242" s="512"/>
      <c r="K242" s="513" t="s">
        <v>280</v>
      </c>
      <c r="L242" s="514" t="n">
        <f aca="false">IF(ISNUMBER(K242),J242+K242/100,IF(K242="extra",L241+VLOOKUP(BF242,PriceSpreadTable,2)/12,IF(K242="inter",interpolateprices($K$19:$L$200,ROW(K242)-ROW(FirstPricingMonth)+1),interpolatechanges($J$19:$K$200,ROW(K242)-ROW(FirstPricingMonth)+1))))</f>
        <v>5.47499999999999</v>
      </c>
      <c r="M242" s="515"/>
      <c r="N242" s="516" t="n">
        <v>0</v>
      </c>
      <c r="O242" s="515" t="n">
        <f aca="false">M242+N242</f>
        <v>0</v>
      </c>
      <c r="P242" s="512"/>
      <c r="Q242" s="513" t="s">
        <v>280</v>
      </c>
      <c r="R242" s="512" t="e">
        <f aca="false">IF(ISNUMBER(Q242),P242+Q242/100,IF(Q242="extra",(Z240*AL240-R241*AM240)/AN240,IF(Q242="inter",interpolateprices($Q$19:$R$260,ROW(Q242)-ROW(FirstPricingMonth)+1),interpolatechanges($P$19:$Q$260,ROW(Q242)-ROW(FirstPricingMonth)+1))))</f>
        <v>#VALUE!</v>
      </c>
      <c r="S242" s="597" t="n">
        <f aca="false">S$19+(S241-S$19)*S$18</f>
        <v>0.36</v>
      </c>
      <c r="T242" s="575" t="n">
        <f aca="false">SQRT((1-(1-T241^2/U241)*T$18)*U242)</f>
        <v>1</v>
      </c>
      <c r="U242" s="576" t="n">
        <f aca="false">1-(1-U241)*U$18</f>
        <v>1</v>
      </c>
      <c r="V242" s="521" t="n">
        <v>0</v>
      </c>
      <c r="W242" s="577" t="n">
        <f aca="false">(J243*AJ242+J244*AK242)/AI242</f>
        <v>0</v>
      </c>
      <c r="X242" s="578" t="n">
        <f aca="false">(L243*AJ242+L244*AK242)/AI242</f>
        <v>5.52499999999999</v>
      </c>
      <c r="Y242" s="579" t="n">
        <f aca="false">IF(Q244="extra",W242-AA242,(P243*AM242+P244*AN242)/AL242)</f>
        <v>-1.1685</v>
      </c>
      <c r="Z242" s="579" t="n">
        <f aca="false">IF(Q244="extra",X242-AB242,(R243*AM242+R244*AN242)/AL242)</f>
        <v>4.35649999999999</v>
      </c>
      <c r="AA242" s="523" t="n">
        <f aca="false">IF(Q244="extra",INDEX(BrentSeasonalityTable,INT((BG242-1)/3)+1)*VLOOKUP(MAX(BF242,$AB$4),PriceSpreadTable,3),W242-Y242)</f>
        <v>1.1685</v>
      </c>
      <c r="AB242" s="524" t="n">
        <f aca="false">IF(Q244="extra",INDEX(BrentSeasonalityTable,INT((BG242-1)/3)+1)*VLOOKUP(MAX(BF242,$AB$4),PriceSpreadTable,3),X242-Z242)</f>
        <v>1.1685</v>
      </c>
      <c r="AC242" s="646" t="n">
        <v>43516</v>
      </c>
      <c r="AD242" s="646" t="n">
        <v>43512</v>
      </c>
      <c r="AE242" s="646" t="n">
        <v>43511</v>
      </c>
      <c r="AF242" s="646" t="n">
        <v>43507</v>
      </c>
      <c r="AG242" s="438" t="s">
        <v>278</v>
      </c>
      <c r="AH242" s="439" t="s">
        <v>278</v>
      </c>
      <c r="AI242" s="528" t="n">
        <v>21</v>
      </c>
      <c r="AJ242" s="529" t="n">
        <v>14</v>
      </c>
      <c r="AK242" s="529" t="n">
        <v>7</v>
      </c>
      <c r="AL242" s="530" t="n">
        <v>21</v>
      </c>
      <c r="AM242" s="529" t="n">
        <v>10</v>
      </c>
      <c r="AN242" s="531" t="n">
        <v>11</v>
      </c>
      <c r="AO242" s="532"/>
      <c r="AP242" s="465" t="n">
        <f aca="false">(1+AO242/2)^(-2*BL242)</f>
        <v>1</v>
      </c>
      <c r="AQ242" s="532"/>
      <c r="AR242" s="465" t="n">
        <f aca="false">(1+AQ242/2)^(-2*BH242/365.25)</f>
        <v>1</v>
      </c>
      <c r="AS242" s="580" t="n">
        <f aca="false">(O243*AJ242+O244*AK242)/AI242</f>
        <v>0</v>
      </c>
      <c r="AT242" s="468" t="n">
        <f aca="false">O242*VLOOKUP(BF242,BrentVolTable,2)+VLOOKUP(BF242,BrentVolTable,3)</f>
        <v>0</v>
      </c>
      <c r="AU242" s="468" t="n">
        <f aca="false">(AT243*AM242+AT244*AN242)/AL242</f>
        <v>0</v>
      </c>
      <c r="AV242" s="595" t="n">
        <f aca="false">SQRT(MAX(0.000000000001,(O242^2*BH242-S242^2*(BH242-BH241))/BH241))</f>
        <v>0.0405445744885585</v>
      </c>
      <c r="AW242" s="451" t="n">
        <f aca="false">IF($I242-DateToday+15&gt;=$T$8,"",IF($I242-DateToday+15&lt;$T$5,1,MATCH($I242-DateToday+15,$T$5:$T$8)))</f>
        <v>1</v>
      </c>
      <c r="AX242" s="468" t="n">
        <f aca="false">IF($AW242="",AX241^2/AX240,INDEX(U$5:U$8,$AW242)^((INDEX($T$5:$T$8,$AW242+1)-($I242-DateToday+15))/(INDEX($T$5:$T$8,$AW242+1)-INDEX($T$5:$T$8,$AW242)))/INDEX(U$5:U$8,$AW242+1)^((INDEX($T$5:$T$8,$AW242)-($I242-DateToday+15))/(INDEX($T$5:$T$8,$AW242+1)-INDEX($T$5:$T$8,$AW242))))</f>
        <v>0.10915173507166</v>
      </c>
      <c r="AY242" s="468" t="n">
        <f aca="false">IF($AW242="",AY241^2/AY240,INDEX(V$5:V$8,$AW242)^((INDEX($T$5:$T$8,$AW242+1)-($I242-DateToday+15))/(INDEX($T$5:$T$8,$AW242+1)-INDEX($T$5:$T$8,$AW242)))/INDEX(V$5:V$8,$AW242+1)^((INDEX($T$5:$T$8,$AW242)-($I242-DateToday+15))/(INDEX($T$5:$T$8,$AW242+1)-INDEX($T$5:$T$8,$AW242))))</f>
        <v>0.453487070013274</v>
      </c>
      <c r="AZ242" s="468" t="n">
        <f aca="false">IF($AW242="",AZ241^2/AZ240,INDEX(W$5:W$8,$AW242)^((INDEX($T$5:$T$8,$AW242+1)-($I242-DateToday+15))/(INDEX($T$5:$T$8,$AW242+1)-INDEX($T$5:$T$8,$AW242)))/INDEX(W$5:W$8,$AW242+1)^((INDEX($T$5:$T$8,$AW242)-($I242-DateToday+15))/(INDEX($T$5:$T$8,$AW242+1)-INDEX($T$5:$T$8,$AW242))))</f>
        <v>8.2304666326579</v>
      </c>
      <c r="BA242" s="468" t="n">
        <f aca="false">IF($AW242="",BA241^2/BA240,INDEX(X$5:X$8,$AW242)^((INDEX($T$5:$T$8,$AW242+1)-($I242-DateToday+15))/(INDEX($T$5:$T$8,$AW242+1)-INDEX($T$5:$T$8,$AW242)))/INDEX(X$5:X$8,$AW242+1)^((INDEX($T$5:$T$8,$AW242)-($I242-DateToday+15))/(INDEX($T$5:$T$8,$AW242+1)-INDEX($T$5:$T$8,$AW242))))</f>
        <v>9.35801784795849</v>
      </c>
      <c r="BB242" s="468" t="n">
        <f aca="false">IF($AW242="",BB241^2/BB240,INDEX(Y$5:Y$8,$AW242)^((INDEX($T$5:$T$8,$AW242+1)-($I242-DateToday+15))/(INDEX($T$5:$T$8,$AW242+1)-INDEX($T$5:$T$8,$AW242)))/INDEX(Y$5:Y$8,$AW242+1)^((INDEX($T$5:$T$8,$AW242)-($I242-DateToday+15))/(INDEX($T$5:$T$8,$AW242+1)-INDEX($T$5:$T$8,$AW242))))</f>
        <v>28.7475529027052</v>
      </c>
      <c r="BC242" s="468" t="n">
        <f aca="false">IF($AW242="",BC241^2/BC240,INDEX(Z$5:Z$8,$AW242)^((INDEX($T$5:$T$8,$AW242+1)-($I242-DateToday+15))/(INDEX($T$5:$T$8,$AW242+1)-INDEX($T$5:$T$8,$AW242)))/INDEX(Z$5:Z$8,$AW242+1)^((INDEX($T$5:$T$8,$AW242)-($I242-DateToday+15))/(INDEX($T$5:$T$8,$AW242+1)-INDEX($T$5:$T$8,$AW242))))</f>
        <v>58.1837438531856</v>
      </c>
      <c r="BD242" s="535" t="n">
        <f aca="false">IF(OR(DateStart&gt;=I243,DateEnd&lt;I242),0,IF(VolumeOverrideFlag,V242,Volume))</f>
        <v>0</v>
      </c>
      <c r="BE242" s="536" t="n">
        <f aca="false">IF(OR(DateStart2&gt;=I243,DateEnd2&lt;I242),0,IF(VolumeOverrideFlag,V242,VolumeSwaption))</f>
        <v>0</v>
      </c>
      <c r="BF242" s="537" t="n">
        <f aca="false">YEAR(I242)</f>
        <v>2019</v>
      </c>
      <c r="BG242" s="538" t="n">
        <f aca="false">MONTH(I242)</f>
        <v>3</v>
      </c>
      <c r="BH242" s="539" t="n">
        <f aca="false">AD242-DateToday+1</f>
        <v>-2413</v>
      </c>
      <c r="BI242" s="540" t="n">
        <f aca="false">(I242-DateToday+1)/365.25</f>
        <v>-6.57084188911704</v>
      </c>
      <c r="BJ242" s="541" t="n">
        <f aca="false">BI242+(BL242-BI242)*CHOOSE(Underlying,AJ242/AI242,AM242/AL242)</f>
        <v>-6.5160848733744</v>
      </c>
      <c r="BK242" s="541" t="n">
        <f aca="false">BJ242+1/365.25</f>
        <v>-6.51334702258727</v>
      </c>
      <c r="BL242" s="541" t="n">
        <f aca="false">(I243-DateToday)/365.25</f>
        <v>-6.48870636550308</v>
      </c>
      <c r="BM242" s="542" t="e">
        <f aca="false">MAX(BI242-(BJ242-BI242)*(S243^2/O243^2-1),0)</f>
        <v>#DIV/0!</v>
      </c>
      <c r="BN242" s="541" t="e">
        <f aca="false">MAX(BL242+(BL242-BK242)*(S244^2/O244^2-1),0)</f>
        <v>#DIV/0!</v>
      </c>
      <c r="BO242" s="530" t="n">
        <f aca="false">CHOOSE(Underlying,AI242,AL242)</f>
        <v>21</v>
      </c>
      <c r="BP242" s="529" t="n">
        <f aca="false">CHOOSE(Underlying,AJ242,AM242)</f>
        <v>14</v>
      </c>
      <c r="BQ242" s="529" t="n">
        <f aca="false">CHOOSE(Underlying,AK242,AN242)</f>
        <v>7</v>
      </c>
      <c r="BR242" s="463" t="str">
        <f aca="false">IF(BD242,IF(Underlying=1,X242,Z242)+UnderlyingPriceAsian-SwapPriceCurve,"")</f>
        <v/>
      </c>
      <c r="BS242" s="463" t="str">
        <f aca="false">IF(BD242,Strike1/BR242-1,"")</f>
        <v/>
      </c>
      <c r="BT242" s="464" t="str">
        <f aca="false">IF(BD242,Strike2/BR242-1,"")</f>
        <v/>
      </c>
      <c r="BU242" s="465" t="str">
        <f aca="false">IF(BD242,IF(Underlying=1,L243,R243)+UnderlyingPriceAsian-SwapPriceCurve,"")</f>
        <v/>
      </c>
      <c r="BV242" s="465" t="str">
        <f aca="false">IF(BD242,IF(Underlying=1,L244,R244)+UnderlyingPriceAsian-SwapPriceCurve,"")</f>
        <v/>
      </c>
      <c r="BW242" s="466" t="str">
        <f aca="false">IF(BD242,IF(Underlying=1,O243,AT243),"")</f>
        <v/>
      </c>
      <c r="BX242" s="467" t="str">
        <f aca="false">IF(BD242,IF(Underlying=1,O244,AT244),"")</f>
        <v/>
      </c>
      <c r="BY242" s="466" t="str">
        <f aca="false">IF(BD242,IF(BS242&gt;0,IF(BS242&gt;0.2,BC242-BB242,IF(BS242&gt;0.1,BB242-BA242,BA242)),IF(BS242&lt;-0.2,AX242-AY242,IF(BS242&lt;-0.1,AY242-AZ242,AZ242))),"")</f>
        <v/>
      </c>
      <c r="BZ242" s="467" t="str">
        <f aca="false">IF(BD242,IF(BT242&gt;0,IF(BT242&gt;0.2,BC242-BB242,IF(BT242&gt;0.1,BB242-BA242,BA242)),IF(BT242&lt;-0.2,AX242-AY242,IF(BT242&lt;-0.1,AY242-AZ242,AZ242))),"")</f>
        <v/>
      </c>
      <c r="CA242" s="468" t="str">
        <f aca="false">IF($BD242,$BW242+IF(VolSkewFlag=1,IF(BS242&gt;0,$BA242*MIN(BS242/10%,1)+($BB242-$BA242)*MAX(0,MIN(BS242/10%-1,1))+($BC242-$BB242)*MAX(0,BS242/10%-2),$AZ242*MIN(-BS242/10%,1)+($AY242-$AZ242)*MAX(0,MIN(-BS242/10%-1,1))+($AX242-$AY242)*MAX(0,-BS242/10%-2)),0),"")</f>
        <v/>
      </c>
      <c r="CB242" s="468" t="str">
        <f aca="false">IF($BD242,$BX242+IF(VolSkewFlag=1,IF(BS242&gt;0,$BA242*MIN(BS242/10%,1)+($BB242-$BA242)*MAX(0,MIN(BS242/10%-1,1))+($BC242-$BB242)*MAX(0,BS242/10%-2),$AZ242*MIN(-BS242/10%,1)+($AY242-$AZ242)*MAX(0,MIN(-BS242/10%-1,1))+($AX242-$AY242)*MAX(0,-BS242/10%-2)),0),"")</f>
        <v/>
      </c>
      <c r="CC242" s="468" t="str">
        <f aca="false">IF($BD242,$BW242+IF(VolSkewFlag=1,IF(BT242&gt;0,$BA242*MIN(BT242/10%,1)+($BB242-$BA242)*MAX(0,MIN(BT242/10%-1,1))+($BC242-$BB242)*MAX(0,BT242/10%-2),$AZ242*MIN(-BT242/10%,1)+($AY242-$AZ242)*MAX(0,MIN(-BT242/10%-1,1))+($AX242-$AY242)*MAX(0,-BT242/10%-2)),0),"")</f>
        <v/>
      </c>
      <c r="CD242" s="468" t="str">
        <f aca="false">IF($BD242,$BX242+IF(VolSkewFlag=1,IF(BT242&gt;0,$BA242*MIN(BT242/10%,1)+($BB242-$BA242)*MAX(0,MIN(BT242/10%-1,1))+($BC242-$BB242)*MAX(0,BT242/10%-2),$AZ242*MIN(-BT242/10%,1)+($AY242-$AZ242)*MAX(0,MIN(-BT242/10%-1,1))+($AX242-$AY242)*MAX(0,-BT242/10%-2)),0),"")</f>
        <v/>
      </c>
      <c r="CE242" s="469" t="n">
        <v>1</v>
      </c>
      <c r="CF242" s="470" t="n">
        <f aca="false">IF(BD242,xCrudeAPO(BU242,BV242,CA242,CB242,S243,S244,BI242,BL242,BP242,BQ242,0,Strike1,AO242,CE242,0,BL242,IF(OptControl=4,0,1),0,1),0)</f>
        <v>0</v>
      </c>
      <c r="CG242" s="470" t="n">
        <f aca="false">IF(BD242,xCrudeAPO(BU242,BV242,CA242,CB242,S243,S244,BI242,BL242,BP242,BQ242,0,Strike1,AO242,CE242,0,BL242,IF(OptControl=4,0,1),1,1)+xCrudeAPO(BU242,BV242,CA242,CB242,S243,S244,BI242,BL242,BP242,BQ242,0,Strike1,AO242,CE242,0,BL242,IF(OptControl=4,0,1),1,2)+IF(OR(VolSkewFlag=2,ABS(BS242)&lt;0.0001),0,IF(BS242&gt;0,-1,1)*CH242*Strike1/BR242^2*BY242/10%),0)</f>
        <v>0</v>
      </c>
      <c r="CH242" s="470" t="n">
        <f aca="false">IF(BD242,(xCrudeAPO(BU242,BV242,CA242,CB242,S243,S244,BI242,BL242,BP242,BQ242,0,Strike1,AO242,CE242,0,BL242,IF(OptControl=4,0,1),3,1)+xCrudeAPO(BU242,BV242,CA242,CB242,S243,S244,BI242,BL242,BP242,BQ242,0,Strike1,AO242,CE242,0,BL242,IF(OptControl=4,0,1),3,2))/100,0)</f>
        <v>0</v>
      </c>
      <c r="CI242" s="470" t="n">
        <f aca="false">IF(BD242,xCrudeAPO(BU242,BV242,CA242,CB242,S243,S244,BI242-DaysForThetaCalculation/365.25,BL242-DaysForThetaCalculation/365.25,BP242,BQ242,0,Strike1,AO242,CE242,0,BL242,IF(OptControl=4,0,1),0,1)-xCrudeAPO(BU242,BV242,CA242,CB242,S243,S244,BI242,BL242,BP242,BQ242,0,Strike1,AO242,CE242,0,BL242,IF(OptControl=4,0,1),0,1),0)</f>
        <v>0</v>
      </c>
      <c r="CJ242" s="471" t="n">
        <f aca="false">IF(BD242,xCrudeAPO(BU242,BV242,CC242,CD242,S243,S244,BI242,BL242,BP242,BQ242,0,Strike2,AO242,CE242,0,BL242,IF(OptControl=3,1,0),0,1),0)</f>
        <v>0</v>
      </c>
      <c r="CK242" s="470" t="n">
        <f aca="false">IF(BD242,xCrudeAPO(BU242,BV242,CC242,CD242,S243,S244,BI242,BL242,BP242,BQ242,0,Strike2,AO242,CE242,0,BL242,IF(OptControl=3,1,0),1,1)+xCrudeAPO(BU242,BV242,CC242,CD242,S243,S244,BI242,BL242,BP242,BQ242,0,Strike2,AO242,CE242,0,BL242,IF(OptControl=3,1,0),1,2)+IF(OR(VolSkewFlag=2,ABS(BT242)&lt;0.0001),0,IF(BT242&gt;0,-1,1)*CL242*Strike2/BR242^2*BZ242/10%),0)</f>
        <v>0</v>
      </c>
      <c r="CL242" s="470" t="n">
        <f aca="false">IF(BD242,(xCrudeAPO(BU242,BV242,CC242,CD242,S243,S244,BI242,BL242,BP242,BQ242,0,Strike2,AO242,CE242,0,BL242,IF(OptControl=3,1,0),3,1)+xCrudeAPO(BU242,BV242,CC242,CD242,S243,S244,BI242,BL242,BP242,BQ242,0,Strike2,AO242,CE242,0,BL242,IF(OptControl=3,1,0),3,2))/100,0)</f>
        <v>0</v>
      </c>
      <c r="CM242" s="472" t="n">
        <f aca="false">IF(BD242,xCrudeAPO(BU242,BV242,CC242,CD242,S243,S244,BI242-DaysForThetaCalculation/365.25,BL242-DaysForThetaCalculation/365.25,BP242,BQ242,0,Strike2,AO242,CE242,0,BL242,IF(OptControl=3,1,0),0,1)-xCrudeAPO(BU242,BV242,CC242,CD242,S243,S244,BI242,BL242,BP242,BQ242,0,Strike2,AO242,CE242,0,BL242,IF(OptControl=3,1,0),0,1),0)</f>
        <v>0</v>
      </c>
      <c r="CN242" s="3"/>
      <c r="CO242" s="543" t="str">
        <f aca="false">IF(BD242,CHOOSE(Underlying,AD242,AF242)-DateToday+1,"")</f>
        <v/>
      </c>
      <c r="CP242" s="582" t="str">
        <f aca="false">IF(BD242,CHOOSE(Underlying,L242,R242),"")</f>
        <v/>
      </c>
      <c r="CQ242" s="544" t="str">
        <f aca="false">IF(BD242,Strike1/CP242-1,"")</f>
        <v/>
      </c>
      <c r="CR242" s="544" t="str">
        <f aca="false">IF(BD242,Strike2/CP242-1,"")</f>
        <v/>
      </c>
      <c r="CS242" s="544" t="str">
        <f aca="false">IF(BD242,IF(CQ242&gt;0,IF(CQ242&gt;0.2,BC241-BB241,IF(CQ242&gt;0.1,BB241-BA241,BA241)),IF(CQ242&lt;-0.2,AX241-AY241,IF(CQ242&lt;-0.1,AY241-AZ241,AZ241))),"")</f>
        <v/>
      </c>
      <c r="CT242" s="544" t="str">
        <f aca="false">IF(BD242,IF(CR242&gt;0,IF(CR242&gt;0.2,BC241-BB241,IF(CR242&gt;0.1,BB241-BA241,BA241)),IF(CR242&lt;-0.2,AX241-AY241,IF(CR242&lt;-0.1,AY241-AZ241,AZ241))),"")</f>
        <v/>
      </c>
      <c r="CU242" s="545" t="str">
        <f aca="false">IF(BD242,CHOOSE(Underlying,O242,AT242),"")</f>
        <v/>
      </c>
      <c r="CV242" s="545" t="str">
        <f aca="false">IF(BD242,CU242+IF(VolSkewFlag=1,IF(CQ242&gt;0,BA241*MIN(CQ242/10%,1)+(BB241-BA241)*MAX(0,MIN(CQ242/10%-1,1))+(BC241-BB241)*MAX(0,CQ242/10%-2),AZ241*MIN(-CQ242/10%,1)+(AY241-AZ241)*MAX(0,MIN(-CQ242/10%-1,1))+(AX241-AY241)*MAX(0,-CQ242/10%-2)),0),"")</f>
        <v/>
      </c>
      <c r="CW242" s="545" t="str">
        <f aca="false">IF(BD242,CU242+IF(VolSkewFlag=1,IF(CR242&gt;0,BA241*MIN(CR242/10%,1)+(BB241-BA241)*MAX(0,MIN(CR242/10%-1,1))+(BC241-BB241)*MAX(0,CR242/10%-2),AZ241*MIN(-CR242/10%,1)+(AY241-AZ241)*MAX(0,MIN(-CR242/10%-1,1))+(AX241-AY241)*MAX(0,-CR242/10%-2)),0),"")</f>
        <v/>
      </c>
      <c r="CX242" s="470" t="n">
        <f aca="false">IF(BD242,EURO(CP242,Strike1,AO242,AO242,CV242,CO242,IF(OptControl=4,0,1),0),0)</f>
        <v>0</v>
      </c>
      <c r="CY242" s="470" t="n">
        <f aca="false">IF(BD242,EURO(CP242,Strike1,AO242,AO242,CV242,CO242,IF(OptControl=4,0,1),1)+IF(OR(VolSkewFlag=2,ABS(CQ242)&lt;0.0001),0,IF(CQ242&gt;0,-1,1)*CZ242*100*Strike1/CP242^2*CS242/10%),0)</f>
        <v>0</v>
      </c>
      <c r="CZ242" s="470" t="n">
        <f aca="false">IF(BD242,EURO(CP242,Strike1,AO242,AO242,CV242,CO242,IF(OptControl=4,0,1),3)/100,0)</f>
        <v>0</v>
      </c>
      <c r="DA242" s="470" t="n">
        <f aca="false">IF(BD242,EURO(CP242,Strike1,AO242,AO242,CV242,CO242,IF(OptControl=4,0,1),0)-EURO(CP242,Strike1,AO242,AO242,CV242,CO242-1,IF(OptControl=4,0,1),0),0)</f>
        <v>0</v>
      </c>
      <c r="DB242" s="470" t="n">
        <f aca="false">IF(BD242,EURO(CP242,Strike2,AO242,AO242,CW242,CO242,IF(OptControl=3,1,0),0),0)</f>
        <v>0</v>
      </c>
      <c r="DC242" s="470" t="n">
        <f aca="false">IF(BD242,EURO(CP242,Strike2,AO242,AO242,CW242,CO242,IF(OptControl=3,1,0),1)+IF(OR(VolSkewFlag=2,ABS(CR242)&lt;0.0001),0,IF(CR242&gt;0,-1,1)*DD242*100*Strike2/CP242^2*CT242/10%),0)</f>
        <v>0</v>
      </c>
      <c r="DD242" s="470" t="n">
        <f aca="false">IF(BD242,EURO(CP242,Strike2,AO242,AO242,CW242,CO242,IF(OptControl=3,1,0),3)/100,0)</f>
        <v>0</v>
      </c>
      <c r="DE242" s="472" t="n">
        <f aca="false">IF(BD242,EURO(CP242,Strike2,AO242,AO242,CW242,CO242,IF(OptControl=3,1,0),0)-EURO(CP242,Strike2,AO242,AO242,CW242,CO242-1,IF(OptControl=3,1,0),0),0)</f>
        <v>0</v>
      </c>
      <c r="DG242" s="481" t="n">
        <f aca="false">EOMONTH(DG241,0)+1</f>
        <v>52444</v>
      </c>
      <c r="DH242" s="478" t="n">
        <v>25.2600000000001</v>
      </c>
      <c r="DI242" s="479" t="n">
        <v>25.3295652173914</v>
      </c>
      <c r="DJ242" s="480" t="n">
        <f aca="false">DG242</f>
        <v>52444</v>
      </c>
      <c r="DK242" s="478" t="n">
        <v>23.8674001691219</v>
      </c>
      <c r="DL242" s="479" t="n">
        <v>24.0626652173914</v>
      </c>
      <c r="DM242" s="481" t="n">
        <f aca="false">DG242</f>
        <v>52444</v>
      </c>
      <c r="DN242" s="482" t="n">
        <f aca="false">DK242+BrentPhyBrentSpread</f>
        <v>23.9174001691219</v>
      </c>
      <c r="DO242" s="481" t="n">
        <f aca="false">DG242</f>
        <v>52444</v>
      </c>
      <c r="DP242" s="483" t="n">
        <f aca="false">DL242+DQ242</f>
        <v>24.0626652173914</v>
      </c>
      <c r="DQ242" s="546" t="n">
        <v>0</v>
      </c>
      <c r="DR242" s="480" t="n">
        <f aca="false">DG242</f>
        <v>52444</v>
      </c>
      <c r="DS242" s="485" t="n">
        <v>0.091399999999997</v>
      </c>
      <c r="DT242" s="486" t="n">
        <v>0.0905652173913013</v>
      </c>
      <c r="DU242" s="480" t="n">
        <f aca="false">DG242</f>
        <v>52444</v>
      </c>
      <c r="DV242" s="485" t="n">
        <v>0.091399999999997</v>
      </c>
      <c r="DW242" s="486" t="n">
        <v>0.0905652173913013</v>
      </c>
      <c r="DX242" s="481" t="n">
        <f aca="false">DG242</f>
        <v>52444</v>
      </c>
      <c r="DY242" s="486" t="n">
        <v>0.35</v>
      </c>
      <c r="DZ242" s="481" t="n">
        <f aca="false">DR242</f>
        <v>52444</v>
      </c>
      <c r="EA242" s="486" t="n">
        <f aca="false">DT242</f>
        <v>0.0905652173913013</v>
      </c>
      <c r="EB242" s="195"/>
      <c r="EC242" s="547" t="str">
        <f aca="false">IF(BD242,IF(Underlying=1,AS242,AU242),"")</f>
        <v/>
      </c>
      <c r="ED242" s="548" t="str">
        <f aca="false">IF($BD242,$EC242+IF(VolSkewFlag=1,IF(BS242&gt;0,$BA242*MIN(BS242/10%,1)+($BB242-$BA242)*MAX(0,MIN(BS242/10%-1,1))+($BC242-$BB242)*MAX(0,BS242/10%-2),$AZ242*MIN(-BS242/10%,1)+($AY242-$AZ242)*MAX(0,MIN(-BS242/10%-1,1))+($AX242-$AY242)*MAX(0,-BS242/10%-2)),0),"")</f>
        <v/>
      </c>
      <c r="EE242" s="549" t="str">
        <f aca="false">IF($BD242,$EC242+IF(VolSkewFlag=1,IF(BT242&gt;0,$BA242*MIN(BT242/10%,1)+($BB242-$BA242)*MAX(0,MIN(BT242/10%-1,1))+($BC242-$BB242)*MAX(0,BT242/10%-2),$AZ242*MIN(-BT242/10%,1)+($AY242-$AZ242)*MAX(0,MIN(-BT242/10%-1,1))+($AX242-$AY242)*MAX(0,-BT242/10%-2)),0),"")</f>
        <v/>
      </c>
      <c r="EF242" s="550" t="n">
        <f aca="false">IF(BD242,xASN(BR242,Strike1,AO242,ED242,0,BO242,0,BI242,BL242,IF(OptControl=4,0,1),0),0)</f>
        <v>0</v>
      </c>
      <c r="EG242" s="551" t="n">
        <f aca="false">IF(BD242,xASN(BR242,Strike2,AO242,EE242,0,BO242,0,BI242,BL242,IF(OptControl=3,1,0),0),0)</f>
        <v>0</v>
      </c>
      <c r="EL242" s="1"/>
      <c r="EM242" s="195"/>
      <c r="EN242" s="240"/>
      <c r="EO242" s="240"/>
      <c r="EP242" s="195"/>
      <c r="EQ242" s="407" t="s">
        <v>470</v>
      </c>
      <c r="ES242" s="1"/>
      <c r="EU242" s="672"/>
      <c r="FJ242" s="129"/>
      <c r="FK242" s="129"/>
      <c r="FL242" s="129"/>
      <c r="FM242" s="150"/>
      <c r="FN242" s="129"/>
      <c r="FO242" s="129"/>
      <c r="FP242" s="129"/>
      <c r="FQ242" s="129"/>
      <c r="FR242" s="129"/>
      <c r="FS242" s="129"/>
      <c r="FT242" s="129"/>
      <c r="FU242" s="129"/>
      <c r="FV242" s="129"/>
      <c r="FW242" s="129"/>
      <c r="FX242" s="129"/>
      <c r="FY242" s="129"/>
      <c r="FZ242" s="129"/>
      <c r="GA242" s="129"/>
      <c r="GB242" s="129"/>
      <c r="GC242" s="129"/>
      <c r="GD242" s="129"/>
      <c r="GE242" s="129"/>
      <c r="GF242" s="129"/>
      <c r="GG242" s="129"/>
      <c r="GH242" s="129"/>
      <c r="GI242" s="129"/>
      <c r="GJ242" s="129"/>
      <c r="GK242" s="129"/>
      <c r="GL242" s="129"/>
      <c r="GM242" s="129"/>
      <c r="GN242" s="129"/>
      <c r="GO242" s="129"/>
      <c r="GP242" s="129"/>
      <c r="GQ242" s="129"/>
      <c r="GR242" s="129"/>
      <c r="GS242" s="129"/>
      <c r="GT242" s="129"/>
      <c r="GU242" s="129"/>
      <c r="GV242" s="129"/>
      <c r="GW242" s="129"/>
      <c r="GX242" s="129"/>
      <c r="GY242" s="129"/>
      <c r="GZ242" s="129"/>
      <c r="HA242" s="129"/>
      <c r="HB242" s="129"/>
      <c r="HC242" s="129"/>
      <c r="HD242" s="129"/>
      <c r="HE242" s="129"/>
      <c r="HF242" s="129"/>
      <c r="HG242" s="129"/>
      <c r="HH242" s="129"/>
      <c r="HI242" s="129"/>
      <c r="HJ242" s="129"/>
      <c r="HK242" s="129"/>
      <c r="HL242" s="129"/>
      <c r="HM242" s="129"/>
      <c r="HN242" s="129"/>
      <c r="HO242" s="129"/>
      <c r="HP242" s="129"/>
      <c r="HQ242" s="129"/>
      <c r="HR242" s="129"/>
      <c r="HS242" s="129"/>
      <c r="HT242" s="129"/>
      <c r="HU242" s="129"/>
      <c r="HV242" s="129"/>
      <c r="HW242" s="129"/>
      <c r="HX242" s="129"/>
      <c r="HY242" s="129"/>
      <c r="HZ242" s="129"/>
      <c r="IA242" s="129"/>
      <c r="IB242" s="129"/>
      <c r="IC242" s="129"/>
      <c r="ID242" s="129"/>
      <c r="IE242" s="129"/>
    </row>
    <row r="243" customFormat="false" ht="12.75" hidden="false" customHeight="false" outlineLevel="0" collapsed="false">
      <c r="H243" s="219" t="n">
        <f aca="false">VLOOKUP(I243,$EJ$20:$EL$54,3)</f>
        <v>0</v>
      </c>
      <c r="I243" s="511" t="n">
        <f aca="false">EOMONTH(I242,0)+1</f>
        <v>43556</v>
      </c>
      <c r="J243" s="512"/>
      <c r="K243" s="513" t="s">
        <v>280</v>
      </c>
      <c r="L243" s="514" t="n">
        <f aca="false">IF(ISNUMBER(K243),J243+K243/100,IF(K243="extra",L242+VLOOKUP(BF243,PriceSpreadTable,2)/12,IF(K243="inter",interpolateprices($K$19:$L$200,ROW(K243)-ROW(FirstPricingMonth)+1),interpolatechanges($J$19:$K$200,ROW(K243)-ROW(FirstPricingMonth)+1))))</f>
        <v>5.51249999999999</v>
      </c>
      <c r="M243" s="515"/>
      <c r="N243" s="516" t="n">
        <v>0</v>
      </c>
      <c r="O243" s="515" t="n">
        <f aca="false">M243+N243</f>
        <v>0</v>
      </c>
      <c r="P243" s="512"/>
      <c r="Q243" s="513" t="s">
        <v>280</v>
      </c>
      <c r="R243" s="512" t="e">
        <f aca="false">IF(ISNUMBER(Q243),P243+Q243/100,IF(Q243="extra",(Z241*AL241-R242*AM241)/AN241,IF(Q243="inter",interpolateprices($Q$19:$R$260,ROW(Q243)-ROW(FirstPricingMonth)+1),interpolatechanges($P$19:$Q$260,ROW(Q243)-ROW(FirstPricingMonth)+1))))</f>
        <v>#VALUE!</v>
      </c>
      <c r="S243" s="597" t="n">
        <f aca="false">S$19+(S242-S$19)*S$18</f>
        <v>0.36</v>
      </c>
      <c r="T243" s="575" t="n">
        <f aca="false">SQRT((1-(1-T242^2/U242)*T$18)*U243)</f>
        <v>1</v>
      </c>
      <c r="U243" s="576" t="n">
        <f aca="false">1-(1-U242)*U$18</f>
        <v>1</v>
      </c>
      <c r="V243" s="521" t="n">
        <v>0</v>
      </c>
      <c r="W243" s="577" t="n">
        <f aca="false">(J244*AJ243+J245*AK243)/AI243</f>
        <v>0</v>
      </c>
      <c r="X243" s="578" t="n">
        <f aca="false">(L244*AJ243+L245*AK243)/AI243</f>
        <v>5.56193181818181</v>
      </c>
      <c r="Y243" s="579" t="n">
        <f aca="false">IF(Q245="extra",W243-AA243,(P244*AM243+P245*AN243)/AL243)</f>
        <v>-1.2915</v>
      </c>
      <c r="Z243" s="579" t="n">
        <f aca="false">IF(Q245="extra",X243-AB243,(R244*AM243+R245*AN243)/AL243)</f>
        <v>4.27043181818181</v>
      </c>
      <c r="AA243" s="523" t="n">
        <f aca="false">IF(Q245="extra",INDEX(BrentSeasonalityTable,INT((BG243-1)/3)+1)*VLOOKUP(MAX(BF243,$AB$4),PriceSpreadTable,3),W243-Y243)</f>
        <v>1.2915</v>
      </c>
      <c r="AB243" s="524" t="n">
        <f aca="false">IF(Q245="extra",INDEX(BrentSeasonalityTable,INT((BG243-1)/3)+1)*VLOOKUP(MAX(BF243,$AB$4),PriceSpreadTable,3),X243-Z243)</f>
        <v>1.2915</v>
      </c>
      <c r="AC243" s="646" t="n">
        <v>43544</v>
      </c>
      <c r="AD243" s="646" t="n">
        <v>43540</v>
      </c>
      <c r="AE243" s="646" t="n">
        <v>43539</v>
      </c>
      <c r="AF243" s="646" t="n">
        <v>43535</v>
      </c>
      <c r="AG243" s="438" t="s">
        <v>278</v>
      </c>
      <c r="AH243" s="439" t="s">
        <v>278</v>
      </c>
      <c r="AI243" s="528" t="n">
        <v>22</v>
      </c>
      <c r="AJ243" s="529" t="n">
        <v>15</v>
      </c>
      <c r="AK243" s="529" t="n">
        <v>7</v>
      </c>
      <c r="AL243" s="530" t="n">
        <v>22</v>
      </c>
      <c r="AM243" s="529" t="n">
        <v>10</v>
      </c>
      <c r="AN243" s="531" t="n">
        <v>12</v>
      </c>
      <c r="AO243" s="532"/>
      <c r="AP243" s="465" t="n">
        <f aca="false">(1+AO243/2)^(-2*BL243)</f>
        <v>1</v>
      </c>
      <c r="AQ243" s="532"/>
      <c r="AR243" s="465" t="n">
        <f aca="false">(1+AQ243/2)^(-2*BH243/365.25)</f>
        <v>1</v>
      </c>
      <c r="AS243" s="580" t="n">
        <f aca="false">(O244*AJ243+O245*AK243)/AI243</f>
        <v>0</v>
      </c>
      <c r="AT243" s="468" t="n">
        <f aca="false">O243*VLOOKUP(BF243,BrentVolTable,2)+VLOOKUP(BF243,BrentVolTable,3)</f>
        <v>0</v>
      </c>
      <c r="AU243" s="468" t="n">
        <f aca="false">(AT244*AM243+AT245*AN243)/AL243</f>
        <v>0</v>
      </c>
      <c r="AV243" s="595" t="n">
        <f aca="false">SQRT(MAX(0.000000000001,(O243^2*BH243-S243^2*(BH243-BH242))/BH242))</f>
        <v>0.0387795580621765</v>
      </c>
      <c r="AW243" s="451" t="n">
        <f aca="false">IF($I243-DateToday+15&gt;=$T$8,"",IF($I243-DateToday+15&lt;$T$5,1,MATCH($I243-DateToday+15,$T$5:$T$8)))</f>
        <v>1</v>
      </c>
      <c r="AX243" s="468" t="n">
        <f aca="false">IF($AW243="",AX242^2/AX241,INDEX(U$5:U$8,$AW243)^((INDEX($T$5:$T$8,$AW243+1)-($I243-DateToday+15))/(INDEX($T$5:$T$8,$AW243+1)-INDEX($T$5:$T$8,$AW243)))/INDEX(U$5:U$8,$AW243+1)^((INDEX($T$5:$T$8,$AW243)-($I243-DateToday+15))/(INDEX($T$5:$T$8,$AW243+1)-INDEX($T$5:$T$8,$AW243))))</f>
        <v>0.106800699113736</v>
      </c>
      <c r="AY243" s="468" t="n">
        <f aca="false">IF($AW243="",AY242^2/AY241,INDEX(V$5:V$8,$AW243)^((INDEX($T$5:$T$8,$AW243+1)-($I243-DateToday+15))/(INDEX($T$5:$T$8,$AW243+1)-INDEX($T$5:$T$8,$AW243)))/INDEX(V$5:V$8,$AW243+1)^((INDEX($T$5:$T$8,$AW243)-($I243-DateToday+15))/(INDEX($T$5:$T$8,$AW243+1)-INDEX($T$5:$T$8,$AW243))))</f>
        <v>0.434438599716136</v>
      </c>
      <c r="AZ243" s="468" t="n">
        <f aca="false">IF($AW243="",AZ242^2/AZ241,INDEX(W$5:W$8,$AW243)^((INDEX($T$5:$T$8,$AW243+1)-($I243-DateToday+15))/(INDEX($T$5:$T$8,$AW243+1)-INDEX($T$5:$T$8,$AW243)))/INDEX(W$5:W$8,$AW243+1)^((INDEX($T$5:$T$8,$AW243)-($I243-DateToday+15))/(INDEX($T$5:$T$8,$AW243+1)-INDEX($T$5:$T$8,$AW243))))</f>
        <v>7.56889124483775</v>
      </c>
      <c r="BA243" s="468" t="n">
        <f aca="false">IF($AW243="",BA242^2/BA241,INDEX(X$5:X$8,$AW243)^((INDEX($T$5:$T$8,$AW243+1)-($I243-DateToday+15))/(INDEX($T$5:$T$8,$AW243+1)-INDEX($T$5:$T$8,$AW243)))/INDEX(X$5:X$8,$AW243+1)^((INDEX($T$5:$T$8,$AW243)-($I243-DateToday+15))/(INDEX($T$5:$T$8,$AW243+1)-INDEX($T$5:$T$8,$AW243))))</f>
        <v>8.4204466298386</v>
      </c>
      <c r="BB243" s="468" t="n">
        <f aca="false">IF($AW243="",BB242^2/BB241,INDEX(Y$5:Y$8,$AW243)^((INDEX($T$5:$T$8,$AW243+1)-($I243-DateToday+15))/(INDEX($T$5:$T$8,$AW243+1)-INDEX($T$5:$T$8,$AW243)))/INDEX(Y$5:Y$8,$AW243+1)^((INDEX($T$5:$T$8,$AW243)-($I243-DateToday+15))/(INDEX($T$5:$T$8,$AW243+1)-INDEX($T$5:$T$8,$AW243))))</f>
        <v>25.6078441762781</v>
      </c>
      <c r="BC243" s="468" t="n">
        <f aca="false">IF($AW243="",BC242^2/BC241,INDEX(Z$5:Z$8,$AW243)^((INDEX($T$5:$T$8,$AW243+1)-($I243-DateToday+15))/(INDEX($T$5:$T$8,$AW243+1)-INDEX($T$5:$T$8,$AW243)))/INDEX(Z$5:Z$8,$AW243+1)^((INDEX($T$5:$T$8,$AW243)-($I243-DateToday+15))/(INDEX($T$5:$T$8,$AW243+1)-INDEX($T$5:$T$8,$AW243))))</f>
        <v>51.528244268715</v>
      </c>
      <c r="BD243" s="535" t="n">
        <f aca="false">IF(OR(DateStart&gt;=I244,DateEnd&lt;I243),0,IF(VolumeOverrideFlag,V243,Volume))</f>
        <v>0</v>
      </c>
      <c r="BE243" s="536" t="n">
        <f aca="false">IF(OR(DateStart2&gt;=I244,DateEnd2&lt;I243),0,IF(VolumeOverrideFlag,V243,VolumeSwaption))</f>
        <v>0</v>
      </c>
      <c r="BF243" s="537" t="n">
        <f aca="false">YEAR(I243)</f>
        <v>2019</v>
      </c>
      <c r="BG243" s="538" t="n">
        <f aca="false">MONTH(I243)</f>
        <v>4</v>
      </c>
      <c r="BH243" s="539" t="n">
        <f aca="false">AD243-DateToday+1</f>
        <v>-2385</v>
      </c>
      <c r="BI243" s="540" t="n">
        <f aca="false">(I243-DateToday+1)/365.25</f>
        <v>-6.48596851471595</v>
      </c>
      <c r="BJ243" s="541" t="n">
        <f aca="false">BI243+(BL243-BI243)*CHOOSE(Underlying,AJ243/AI243,AM243/AL243)</f>
        <v>-6.43183373778856</v>
      </c>
      <c r="BK243" s="541" t="n">
        <f aca="false">BJ243+1/365.25</f>
        <v>-6.42909588700143</v>
      </c>
      <c r="BL243" s="541" t="n">
        <f aca="false">(I244-DateToday)/365.25</f>
        <v>-6.40657084188912</v>
      </c>
      <c r="BM243" s="542" t="e">
        <f aca="false">MAX(BI243-(BJ243-BI243)*(S244^2/O244^2-1),0)</f>
        <v>#DIV/0!</v>
      </c>
      <c r="BN243" s="541" t="e">
        <f aca="false">MAX(BL243+(BL243-BK243)*(S245^2/O245^2-1),0)</f>
        <v>#DIV/0!</v>
      </c>
      <c r="BO243" s="530" t="n">
        <f aca="false">CHOOSE(Underlying,AI243,AL243)</f>
        <v>22</v>
      </c>
      <c r="BP243" s="529" t="n">
        <f aca="false">CHOOSE(Underlying,AJ243,AM243)</f>
        <v>15</v>
      </c>
      <c r="BQ243" s="529" t="n">
        <f aca="false">CHOOSE(Underlying,AK243,AN243)</f>
        <v>7</v>
      </c>
      <c r="BR243" s="463" t="str">
        <f aca="false">IF(BD243,IF(Underlying=1,X243,Z243)+UnderlyingPriceAsian-SwapPriceCurve,"")</f>
        <v/>
      </c>
      <c r="BS243" s="463" t="str">
        <f aca="false">IF(BD243,Strike1/BR243-1,"")</f>
        <v/>
      </c>
      <c r="BT243" s="464" t="str">
        <f aca="false">IF(BD243,Strike2/BR243-1,"")</f>
        <v/>
      </c>
      <c r="BU243" s="465" t="str">
        <f aca="false">IF(BD243,IF(Underlying=1,L244,R244)+UnderlyingPriceAsian-SwapPriceCurve,"")</f>
        <v/>
      </c>
      <c r="BV243" s="465" t="str">
        <f aca="false">IF(BD243,IF(Underlying=1,L245,R245)+UnderlyingPriceAsian-SwapPriceCurve,"")</f>
        <v/>
      </c>
      <c r="BW243" s="466" t="str">
        <f aca="false">IF(BD243,IF(Underlying=1,O244,AT244),"")</f>
        <v/>
      </c>
      <c r="BX243" s="467" t="str">
        <f aca="false">IF(BD243,IF(Underlying=1,O245,AT245),"")</f>
        <v/>
      </c>
      <c r="BY243" s="466" t="str">
        <f aca="false">IF(BD243,IF(BS243&gt;0,IF(BS243&gt;0.2,BC243-BB243,IF(BS243&gt;0.1,BB243-BA243,BA243)),IF(BS243&lt;-0.2,AX243-AY243,IF(BS243&lt;-0.1,AY243-AZ243,AZ243))),"")</f>
        <v/>
      </c>
      <c r="BZ243" s="467" t="str">
        <f aca="false">IF(BD243,IF(BT243&gt;0,IF(BT243&gt;0.2,BC243-BB243,IF(BT243&gt;0.1,BB243-BA243,BA243)),IF(BT243&lt;-0.2,AX243-AY243,IF(BT243&lt;-0.1,AY243-AZ243,AZ243))),"")</f>
        <v/>
      </c>
      <c r="CA243" s="468" t="str">
        <f aca="false">IF($BD243,$BW243+IF(VolSkewFlag=1,IF(BS243&gt;0,$BA243*MIN(BS243/10%,1)+($BB243-$BA243)*MAX(0,MIN(BS243/10%-1,1))+($BC243-$BB243)*MAX(0,BS243/10%-2),$AZ243*MIN(-BS243/10%,1)+($AY243-$AZ243)*MAX(0,MIN(-BS243/10%-1,1))+($AX243-$AY243)*MAX(0,-BS243/10%-2)),0),"")</f>
        <v/>
      </c>
      <c r="CB243" s="468" t="str">
        <f aca="false">IF($BD243,$BX243+IF(VolSkewFlag=1,IF(BS243&gt;0,$BA243*MIN(BS243/10%,1)+($BB243-$BA243)*MAX(0,MIN(BS243/10%-1,1))+($BC243-$BB243)*MAX(0,BS243/10%-2),$AZ243*MIN(-BS243/10%,1)+($AY243-$AZ243)*MAX(0,MIN(-BS243/10%-1,1))+($AX243-$AY243)*MAX(0,-BS243/10%-2)),0),"")</f>
        <v/>
      </c>
      <c r="CC243" s="468" t="str">
        <f aca="false">IF($BD243,$BW243+IF(VolSkewFlag=1,IF(BT243&gt;0,$BA243*MIN(BT243/10%,1)+($BB243-$BA243)*MAX(0,MIN(BT243/10%-1,1))+($BC243-$BB243)*MAX(0,BT243/10%-2),$AZ243*MIN(-BT243/10%,1)+($AY243-$AZ243)*MAX(0,MIN(-BT243/10%-1,1))+($AX243-$AY243)*MAX(0,-BT243/10%-2)),0),"")</f>
        <v/>
      </c>
      <c r="CD243" s="468" t="str">
        <f aca="false">IF($BD243,$BX243+IF(VolSkewFlag=1,IF(BT243&gt;0,$BA243*MIN(BT243/10%,1)+($BB243-$BA243)*MAX(0,MIN(BT243/10%-1,1))+($BC243-$BB243)*MAX(0,BT243/10%-2),$AZ243*MIN(-BT243/10%,1)+($AY243-$AZ243)*MAX(0,MIN(-BT243/10%-1,1))+($AX243-$AY243)*MAX(0,-BT243/10%-2)),0),"")</f>
        <v/>
      </c>
      <c r="CE243" s="469" t="n">
        <v>1</v>
      </c>
      <c r="CF243" s="470" t="n">
        <f aca="false">IF(BD243,xCrudeAPO(BU243,BV243,CA243,CB243,S244,S245,BI243,BL243,BP243,BQ243,0,Strike1,AO243,CE243,0,BL243,IF(OptControl=4,0,1),0,1),0)</f>
        <v>0</v>
      </c>
      <c r="CG243" s="470" t="n">
        <f aca="false">IF(BD243,xCrudeAPO(BU243,BV243,CA243,CB243,S244,S245,BI243,BL243,BP243,BQ243,0,Strike1,AO243,CE243,0,BL243,IF(OptControl=4,0,1),1,1)+xCrudeAPO(BU243,BV243,CA243,CB243,S244,S245,BI243,BL243,BP243,BQ243,0,Strike1,AO243,CE243,0,BL243,IF(OptControl=4,0,1),1,2)+IF(OR(VolSkewFlag=2,ABS(BS243)&lt;0.0001),0,IF(BS243&gt;0,-1,1)*CH243*Strike1/BR243^2*BY243/10%),0)</f>
        <v>0</v>
      </c>
      <c r="CH243" s="470" t="n">
        <f aca="false">IF(BD243,(xCrudeAPO(BU243,BV243,CA243,CB243,S244,S245,BI243,BL243,BP243,BQ243,0,Strike1,AO243,CE243,0,BL243,IF(OptControl=4,0,1),3,1)+xCrudeAPO(BU243,BV243,CA243,CB243,S244,S245,BI243,BL243,BP243,BQ243,0,Strike1,AO243,CE243,0,BL243,IF(OptControl=4,0,1),3,2))/100,0)</f>
        <v>0</v>
      </c>
      <c r="CI243" s="470" t="n">
        <f aca="false">IF(BD243,xCrudeAPO(BU243,BV243,CA243,CB243,S244,S245,BI243-DaysForThetaCalculation/365.25,BL243-DaysForThetaCalculation/365.25,BP243,BQ243,0,Strike1,AO243,CE243,0,BL243,IF(OptControl=4,0,1),0,1)-xCrudeAPO(BU243,BV243,CA243,CB243,S244,S245,BI243,BL243,BP243,BQ243,0,Strike1,AO243,CE243,0,BL243,IF(OptControl=4,0,1),0,1),0)</f>
        <v>0</v>
      </c>
      <c r="CJ243" s="471" t="n">
        <f aca="false">IF(BD243,xCrudeAPO(BU243,BV243,CC243,CD243,S244,S245,BI243,BL243,BP243,BQ243,0,Strike2,AO243,CE243,0,BL243,IF(OptControl=3,1,0),0,1),0)</f>
        <v>0</v>
      </c>
      <c r="CK243" s="470" t="n">
        <f aca="false">IF(BD243,xCrudeAPO(BU243,BV243,CC243,CD243,S244,S245,BI243,BL243,BP243,BQ243,0,Strike2,AO243,CE243,0,BL243,IF(OptControl=3,1,0),1,1)+xCrudeAPO(BU243,BV243,CC243,CD243,S244,S245,BI243,BL243,BP243,BQ243,0,Strike2,AO243,CE243,0,BL243,IF(OptControl=3,1,0),1,2)+IF(OR(VolSkewFlag=2,ABS(BT243)&lt;0.0001),0,IF(BT243&gt;0,-1,1)*CL243*Strike2/BR243^2*BZ243/10%),0)</f>
        <v>0</v>
      </c>
      <c r="CL243" s="470" t="n">
        <f aca="false">IF(BD243,(xCrudeAPO(BU243,BV243,CC243,CD243,S244,S245,BI243,BL243,BP243,BQ243,0,Strike2,AO243,CE243,0,BL243,IF(OptControl=3,1,0),3,1)+xCrudeAPO(BU243,BV243,CC243,CD243,S244,S245,BI243,BL243,BP243,BQ243,0,Strike2,AO243,CE243,0,BL243,IF(OptControl=3,1,0),3,2))/100,0)</f>
        <v>0</v>
      </c>
      <c r="CM243" s="472" t="n">
        <f aca="false">IF(BD243,xCrudeAPO(BU243,BV243,CC243,CD243,S244,S245,BI243-DaysForThetaCalculation/365.25,BL243-DaysForThetaCalculation/365.25,BP243,BQ243,0,Strike2,AO243,CE243,0,BL243,IF(OptControl=3,1,0),0,1)-xCrudeAPO(BU243,BV243,CC243,CD243,S244,S245,BI243,BL243,BP243,BQ243,0,Strike2,AO243,CE243,0,BL243,IF(OptControl=3,1,0),0,1),0)</f>
        <v>0</v>
      </c>
      <c r="CN243" s="3"/>
      <c r="CO243" s="543" t="str">
        <f aca="false">IF(BD243,CHOOSE(Underlying,AD243,AF243)-DateToday+1,"")</f>
        <v/>
      </c>
      <c r="CP243" s="582" t="str">
        <f aca="false">IF(BD243,CHOOSE(Underlying,L243,R243),"")</f>
        <v/>
      </c>
      <c r="CQ243" s="544" t="str">
        <f aca="false">IF(BD243,Strike1/CP243-1,"")</f>
        <v/>
      </c>
      <c r="CR243" s="544" t="str">
        <f aca="false">IF(BD243,Strike2/CP243-1,"")</f>
        <v/>
      </c>
      <c r="CS243" s="544" t="str">
        <f aca="false">IF(BD243,IF(CQ243&gt;0,IF(CQ243&gt;0.2,BC242-BB242,IF(CQ243&gt;0.1,BB242-BA242,BA242)),IF(CQ243&lt;-0.2,AX242-AY242,IF(CQ243&lt;-0.1,AY242-AZ242,AZ242))),"")</f>
        <v/>
      </c>
      <c r="CT243" s="544" t="str">
        <f aca="false">IF(BD243,IF(CR243&gt;0,IF(CR243&gt;0.2,BC242-BB242,IF(CR243&gt;0.1,BB242-BA242,BA242)),IF(CR243&lt;-0.2,AX242-AY242,IF(CR243&lt;-0.1,AY242-AZ242,AZ242))),"")</f>
        <v/>
      </c>
      <c r="CU243" s="545" t="str">
        <f aca="false">IF(BD243,CHOOSE(Underlying,O243,AT243),"")</f>
        <v/>
      </c>
      <c r="CV243" s="545" t="str">
        <f aca="false">IF(BD243,CU243+IF(VolSkewFlag=1,IF(CQ243&gt;0,BA242*MIN(CQ243/10%,1)+(BB242-BA242)*MAX(0,MIN(CQ243/10%-1,1))+(BC242-BB242)*MAX(0,CQ243/10%-2),AZ242*MIN(-CQ243/10%,1)+(AY242-AZ242)*MAX(0,MIN(-CQ243/10%-1,1))+(AX242-AY242)*MAX(0,-CQ243/10%-2)),0),"")</f>
        <v/>
      </c>
      <c r="CW243" s="545" t="str">
        <f aca="false">IF(BD243,CU243+IF(VolSkewFlag=1,IF(CR243&gt;0,BA242*MIN(CR243/10%,1)+(BB242-BA242)*MAX(0,MIN(CR243/10%-1,1))+(BC242-BB242)*MAX(0,CR243/10%-2),AZ242*MIN(-CR243/10%,1)+(AY242-AZ242)*MAX(0,MIN(-CR243/10%-1,1))+(AX242-AY242)*MAX(0,-CR243/10%-2)),0),"")</f>
        <v/>
      </c>
      <c r="CX243" s="470" t="n">
        <f aca="false">IF(BD243,EURO(CP243,Strike1,AO243,AO243,CV243,CO243,IF(OptControl=4,0,1),0),0)</f>
        <v>0</v>
      </c>
      <c r="CY243" s="470" t="n">
        <f aca="false">IF(BD243,EURO(CP243,Strike1,AO243,AO243,CV243,CO243,IF(OptControl=4,0,1),1)+IF(OR(VolSkewFlag=2,ABS(CQ243)&lt;0.0001),0,IF(CQ243&gt;0,-1,1)*CZ243*100*Strike1/CP243^2*CS243/10%),0)</f>
        <v>0</v>
      </c>
      <c r="CZ243" s="470" t="n">
        <f aca="false">IF(BD243,EURO(CP243,Strike1,AO243,AO243,CV243,CO243,IF(OptControl=4,0,1),3)/100,0)</f>
        <v>0</v>
      </c>
      <c r="DA243" s="470" t="n">
        <f aca="false">IF(BD243,EURO(CP243,Strike1,AO243,AO243,CV243,CO243,IF(OptControl=4,0,1),0)-EURO(CP243,Strike1,AO243,AO243,CV243,CO243-1,IF(OptControl=4,0,1),0),0)</f>
        <v>0</v>
      </c>
      <c r="DB243" s="470" t="n">
        <f aca="false">IF(BD243,EURO(CP243,Strike2,AO243,AO243,CW243,CO243,IF(OptControl=3,1,0),0),0)</f>
        <v>0</v>
      </c>
      <c r="DC243" s="470" t="n">
        <f aca="false">IF(BD243,EURO(CP243,Strike2,AO243,AO243,CW243,CO243,IF(OptControl=3,1,0),1)+IF(OR(VolSkewFlag=2,ABS(CR243)&lt;0.0001),0,IF(CR243&gt;0,-1,1)*DD243*100*Strike2/CP243^2*CT243/10%),0)</f>
        <v>0</v>
      </c>
      <c r="DD243" s="470" t="n">
        <f aca="false">IF(BD243,EURO(CP243,Strike2,AO243,AO243,CW243,CO243,IF(OptControl=3,1,0),3)/100,0)</f>
        <v>0</v>
      </c>
      <c r="DE243" s="472" t="n">
        <f aca="false">IF(BD243,EURO(CP243,Strike2,AO243,AO243,CW243,CO243,IF(OptControl=3,1,0),0)-EURO(CP243,Strike2,AO243,AO243,CW243,CO243-1,IF(OptControl=3,1,0),0),0)</f>
        <v>0</v>
      </c>
      <c r="DG243" s="481" t="n">
        <f aca="false">EOMONTH(DG242,0)+1</f>
        <v>52475</v>
      </c>
      <c r="DH243" s="478" t="n">
        <v>25.3100000000001</v>
      </c>
      <c r="DI243" s="479" t="n">
        <v>25.3750000000001</v>
      </c>
      <c r="DJ243" s="480" t="n">
        <f aca="false">DG243</f>
        <v>52475</v>
      </c>
      <c r="DK243" s="478" t="n">
        <v>24.1284054146208</v>
      </c>
      <c r="DL243" s="479" t="n">
        <v>24.1081000000001</v>
      </c>
      <c r="DM243" s="481" t="n">
        <f aca="false">DG243</f>
        <v>52475</v>
      </c>
      <c r="DN243" s="482" t="n">
        <f aca="false">DK243+BrentPhyBrentSpread</f>
        <v>24.1784054146208</v>
      </c>
      <c r="DO243" s="481" t="n">
        <f aca="false">DG243</f>
        <v>52475</v>
      </c>
      <c r="DP243" s="483" t="n">
        <f aca="false">DL243+DQ243</f>
        <v>24.1081000000001</v>
      </c>
      <c r="DQ243" s="546" t="n">
        <v>0</v>
      </c>
      <c r="DR243" s="480" t="n">
        <f aca="false">DG243</f>
        <v>52475</v>
      </c>
      <c r="DS243" s="485" t="n">
        <v>0.090799999999997</v>
      </c>
      <c r="DT243" s="486" t="n">
        <v>0.0900199999999971</v>
      </c>
      <c r="DU243" s="480" t="n">
        <f aca="false">DG243</f>
        <v>52475</v>
      </c>
      <c r="DV243" s="485" t="n">
        <v>0.090799999999997</v>
      </c>
      <c r="DW243" s="486" t="n">
        <v>0.0900199999999971</v>
      </c>
      <c r="DX243" s="481" t="n">
        <f aca="false">DG243</f>
        <v>52475</v>
      </c>
      <c r="DY243" s="486" t="n">
        <v>0.35</v>
      </c>
      <c r="DZ243" s="481" t="n">
        <f aca="false">DR243</f>
        <v>52475</v>
      </c>
      <c r="EA243" s="486" t="n">
        <f aca="false">DT243</f>
        <v>0.0900199999999971</v>
      </c>
      <c r="EB243" s="195"/>
      <c r="EC243" s="547" t="str">
        <f aca="false">IF(BD243,IF(Underlying=1,AS243,AU243),"")</f>
        <v/>
      </c>
      <c r="ED243" s="548" t="str">
        <f aca="false">IF($BD243,$EC243+IF(VolSkewFlag=1,IF(BS243&gt;0,$BA243*MIN(BS243/10%,1)+($BB243-$BA243)*MAX(0,MIN(BS243/10%-1,1))+($BC243-$BB243)*MAX(0,BS243/10%-2),$AZ243*MIN(-BS243/10%,1)+($AY243-$AZ243)*MAX(0,MIN(-BS243/10%-1,1))+($AX243-$AY243)*MAX(0,-BS243/10%-2)),0),"")</f>
        <v/>
      </c>
      <c r="EE243" s="549" t="str">
        <f aca="false">IF($BD243,$EC243+IF(VolSkewFlag=1,IF(BT243&gt;0,$BA243*MIN(BT243/10%,1)+($BB243-$BA243)*MAX(0,MIN(BT243/10%-1,1))+($BC243-$BB243)*MAX(0,BT243/10%-2),$AZ243*MIN(-BT243/10%,1)+($AY243-$AZ243)*MAX(0,MIN(-BT243/10%-1,1))+($AX243-$AY243)*MAX(0,-BT243/10%-2)),0),"")</f>
        <v/>
      </c>
      <c r="EF243" s="550" t="n">
        <f aca="false">IF(BD243,xASN(BR243,Strike1,AO243,ED243,0,BO243,0,BI243,BL243,IF(OptControl=4,0,1),0),0)</f>
        <v>0</v>
      </c>
      <c r="EG243" s="551" t="n">
        <f aca="false">IF(BD243,xASN(BR243,Strike2,AO243,EE243,0,BO243,0,BI243,BL243,IF(OptControl=3,1,0),0),0)</f>
        <v>0</v>
      </c>
      <c r="EL243" s="1"/>
      <c r="EM243" s="195"/>
      <c r="EN243" s="240"/>
      <c r="EO243" s="240"/>
      <c r="EP243" s="195"/>
      <c r="EQ243" s="407" t="s">
        <v>471</v>
      </c>
      <c r="ES243" s="1"/>
      <c r="EU243" s="672"/>
      <c r="FJ243" s="415" t="s">
        <v>472</v>
      </c>
      <c r="FK243" s="129"/>
      <c r="FL243" s="129"/>
      <c r="FM243" s="129"/>
      <c r="FN243" s="129"/>
      <c r="FO243" s="129"/>
      <c r="FP243" s="129"/>
      <c r="FQ243" s="129"/>
      <c r="FR243" s="129"/>
      <c r="FS243" s="129"/>
      <c r="FT243" s="129"/>
      <c r="FU243" s="129"/>
      <c r="FV243" s="129"/>
      <c r="FW243" s="129"/>
      <c r="FX243" s="129"/>
      <c r="FY243" s="129"/>
      <c r="FZ243" s="129"/>
      <c r="GA243" s="129"/>
      <c r="GB243" s="129"/>
      <c r="GC243" s="129"/>
      <c r="GD243" s="129"/>
      <c r="GE243" s="129"/>
      <c r="GF243" s="129"/>
      <c r="GG243" s="129"/>
      <c r="GH243" s="129"/>
      <c r="GI243" s="129"/>
      <c r="GJ243" s="129"/>
      <c r="GK243" s="129"/>
      <c r="GL243" s="129"/>
      <c r="GM243" s="129"/>
      <c r="GN243" s="129"/>
      <c r="GO243" s="129"/>
      <c r="GP243" s="129"/>
      <c r="GQ243" s="129"/>
      <c r="GR243" s="129"/>
      <c r="GS243" s="129"/>
      <c r="GT243" s="129"/>
      <c r="GU243" s="129"/>
      <c r="GV243" s="129"/>
      <c r="GW243" s="129"/>
      <c r="GX243" s="129"/>
      <c r="GY243" s="129"/>
      <c r="GZ243" s="129"/>
      <c r="HA243" s="129"/>
      <c r="HB243" s="129"/>
      <c r="HC243" s="129"/>
      <c r="HD243" s="129"/>
      <c r="HE243" s="129"/>
      <c r="HF243" s="129"/>
      <c r="HG243" s="129"/>
      <c r="HH243" s="129"/>
      <c r="HI243" s="129"/>
      <c r="HJ243" s="129"/>
      <c r="HK243" s="129"/>
      <c r="HL243" s="129"/>
      <c r="HM243" s="129"/>
      <c r="HN243" s="129"/>
      <c r="HO243" s="129"/>
      <c r="HP243" s="129"/>
      <c r="HQ243" s="129"/>
      <c r="HR243" s="129"/>
      <c r="HS243" s="129"/>
      <c r="HT243" s="129"/>
      <c r="HU243" s="129"/>
      <c r="HV243" s="129"/>
      <c r="HW243" s="129"/>
      <c r="HX243" s="129"/>
      <c r="HY243" s="129"/>
      <c r="HZ243" s="129"/>
      <c r="IA243" s="129"/>
      <c r="IB243" s="129"/>
      <c r="IC243" s="129"/>
      <c r="ID243" s="129"/>
      <c r="IE243" s="129"/>
    </row>
    <row r="244" customFormat="false" ht="12.75" hidden="false" customHeight="false" outlineLevel="0" collapsed="false">
      <c r="H244" s="219" t="n">
        <f aca="false">VLOOKUP(I244,$EJ$20:$EL$54,3)</f>
        <v>0</v>
      </c>
      <c r="I244" s="511" t="n">
        <f aca="false">EOMONTH(I243,0)+1</f>
        <v>43586</v>
      </c>
      <c r="J244" s="512"/>
      <c r="K244" s="513" t="s">
        <v>280</v>
      </c>
      <c r="L244" s="514" t="n">
        <f aca="false">IF(ISNUMBER(K244),J244+K244/100,IF(K244="extra",L243+VLOOKUP(BF244,PriceSpreadTable,2)/12,IF(K244="inter",interpolateprices($K$19:$L$200,ROW(K244)-ROW(FirstPricingMonth)+1),interpolatechanges($J$19:$K$200,ROW(K244)-ROW(FirstPricingMonth)+1))))</f>
        <v>5.54999999999999</v>
      </c>
      <c r="M244" s="515"/>
      <c r="N244" s="516" t="n">
        <v>0</v>
      </c>
      <c r="O244" s="515" t="n">
        <f aca="false">M244+N244</f>
        <v>0</v>
      </c>
      <c r="P244" s="512"/>
      <c r="Q244" s="513" t="s">
        <v>280</v>
      </c>
      <c r="R244" s="512" t="e">
        <f aca="false">IF(ISNUMBER(Q244),P244+Q244/100,IF(Q244="extra",(Z242*AL242-R243*AM242)/AN242,IF(Q244="inter",interpolateprices($Q$19:$R$260,ROW(Q244)-ROW(FirstPricingMonth)+1),interpolatechanges($P$19:$Q$260,ROW(Q244)-ROW(FirstPricingMonth)+1))))</f>
        <v>#VALUE!</v>
      </c>
      <c r="S244" s="597" t="n">
        <f aca="false">S$19+(S243-S$19)*S$18</f>
        <v>0.36</v>
      </c>
      <c r="T244" s="575" t="n">
        <f aca="false">SQRT((1-(1-T243^2/U243)*T$18)*U244)</f>
        <v>1</v>
      </c>
      <c r="U244" s="576" t="n">
        <f aca="false">1-(1-U243)*U$18</f>
        <v>1</v>
      </c>
      <c r="V244" s="521" t="n">
        <v>0</v>
      </c>
      <c r="W244" s="577" t="n">
        <f aca="false">(J245*AJ244+J246*AK244)/AI244</f>
        <v>0</v>
      </c>
      <c r="X244" s="578" t="n">
        <f aca="false">(L245*AJ244+L246*AK244)/AI244</f>
        <v>5.60217391304347</v>
      </c>
      <c r="Y244" s="579" t="n">
        <f aca="false">IF(Q246="extra",W244-AA244,(P245*AM244+P246*AN244)/AL244)</f>
        <v>-1.2915</v>
      </c>
      <c r="Z244" s="579" t="n">
        <f aca="false">IF(Q246="extra",X244-AB244,(R245*AM244+R246*AN244)/AL244)</f>
        <v>4.31067391304347</v>
      </c>
      <c r="AA244" s="523" t="n">
        <f aca="false">IF(Q246="extra",INDEX(BrentSeasonalityTable,INT((BG244-1)/3)+1)*VLOOKUP(MAX(BF244,$AB$4),PriceSpreadTable,3),W244-Y244)</f>
        <v>1.2915</v>
      </c>
      <c r="AB244" s="524" t="n">
        <f aca="false">IF(Q246="extra",INDEX(BrentSeasonalityTable,INT((BG244-1)/3)+1)*VLOOKUP(MAX(BF244,$AB$4),PriceSpreadTable,3),X244-Z244)</f>
        <v>1.2915</v>
      </c>
      <c r="AC244" s="646" t="n">
        <v>43575</v>
      </c>
      <c r="AD244" s="646" t="n">
        <v>43571</v>
      </c>
      <c r="AE244" s="646" t="n">
        <v>43570</v>
      </c>
      <c r="AF244" s="646" t="n">
        <v>43566</v>
      </c>
      <c r="AG244" s="438" t="s">
        <v>278</v>
      </c>
      <c r="AH244" s="439" t="s">
        <v>278</v>
      </c>
      <c r="AI244" s="528" t="n">
        <v>23</v>
      </c>
      <c r="AJ244" s="529" t="n">
        <v>14</v>
      </c>
      <c r="AK244" s="529" t="n">
        <v>9</v>
      </c>
      <c r="AL244" s="530" t="n">
        <v>23</v>
      </c>
      <c r="AM244" s="529" t="n">
        <v>10</v>
      </c>
      <c r="AN244" s="531" t="n">
        <v>13</v>
      </c>
      <c r="AO244" s="532"/>
      <c r="AP244" s="465" t="n">
        <f aca="false">(1+AO244/2)^(-2*BL244)</f>
        <v>1</v>
      </c>
      <c r="AQ244" s="532"/>
      <c r="AR244" s="465" t="n">
        <f aca="false">(1+AQ244/2)^(-2*BH244/365.25)</f>
        <v>1</v>
      </c>
      <c r="AS244" s="580" t="n">
        <f aca="false">(O245*AJ244+O246*AK244)/AI244</f>
        <v>0</v>
      </c>
      <c r="AT244" s="468" t="n">
        <f aca="false">O244*VLOOKUP(BF244,BrentVolTable,2)+VLOOKUP(BF244,BrentVolTable,3)</f>
        <v>0</v>
      </c>
      <c r="AU244" s="468" t="n">
        <f aca="false">(AT245*AM244+AT246*AN244)/AL244</f>
        <v>0</v>
      </c>
      <c r="AV244" s="595" t="n">
        <f aca="false">SQRT(MAX(0.000000000001,(O244^2*BH244-S244^2*(BH244-BH243))/BH243))</f>
        <v>0.0410430055172229</v>
      </c>
      <c r="AW244" s="451" t="n">
        <f aca="false">IF($I244-DateToday+15&gt;=$T$8,"",IF($I244-DateToday+15&lt;$T$5,1,MATCH($I244-DateToday+15,$T$5:$T$8)))</f>
        <v>1</v>
      </c>
      <c r="AX244" s="468" t="n">
        <f aca="false">IF($AW244="",AX243^2/AX242,INDEX(U$5:U$8,$AW244)^((INDEX($T$5:$T$8,$AW244+1)-($I244-DateToday+15))/(INDEX($T$5:$T$8,$AW244+1)-INDEX($T$5:$T$8,$AW244)))/INDEX(U$5:U$8,$AW244+1)^((INDEX($T$5:$T$8,$AW244)-($I244-DateToday+15))/(INDEX($T$5:$T$8,$AW244+1)-INDEX($T$5:$T$8,$AW244))))</f>
        <v>0.104573729636222</v>
      </c>
      <c r="AY244" s="468" t="n">
        <f aca="false">IF($AW244="",AY243^2/AY242,INDEX(V$5:V$8,$AW244)^((INDEX($T$5:$T$8,$AW244+1)-($I244-DateToday+15))/(INDEX($T$5:$T$8,$AW244+1)-INDEX($T$5:$T$8,$AW244)))/INDEX(V$5:V$8,$AW244+1)^((INDEX($T$5:$T$8,$AW244)-($I244-DateToday+15))/(INDEX($T$5:$T$8,$AW244+1)-INDEX($T$5:$T$8,$AW244))))</f>
        <v>0.416766765200894</v>
      </c>
      <c r="AZ244" s="468" t="n">
        <f aca="false">IF($AW244="",AZ243^2/AZ242,INDEX(W$5:W$8,$AW244)^((INDEX($T$5:$T$8,$AW244+1)-($I244-DateToday+15))/(INDEX($T$5:$T$8,$AW244+1)-INDEX($T$5:$T$8,$AW244)))/INDEX(W$5:W$8,$AW244+1)^((INDEX($T$5:$T$8,$AW244)-($I244-DateToday+15))/(INDEX($T$5:$T$8,$AW244+1)-INDEX($T$5:$T$8,$AW244))))</f>
        <v>6.97933449800961</v>
      </c>
      <c r="BA244" s="468" t="n">
        <f aca="false">IF($AW244="",BA243^2/BA242,INDEX(X$5:X$8,$AW244)^((INDEX($T$5:$T$8,$AW244+1)-($I244-DateToday+15))/(INDEX($T$5:$T$8,$AW244+1)-INDEX($T$5:$T$8,$AW244)))/INDEX(X$5:X$8,$AW244+1)^((INDEX($T$5:$T$8,$AW244)-($I244-DateToday+15))/(INDEX($T$5:$T$8,$AW244+1)-INDEX($T$5:$T$8,$AW244))))</f>
        <v>7.60265665453762</v>
      </c>
      <c r="BB244" s="468" t="n">
        <f aca="false">IF($AW244="",BB243^2/BB242,INDEX(Y$5:Y$8,$AW244)^((INDEX($T$5:$T$8,$AW244+1)-($I244-DateToday+15))/(INDEX($T$5:$T$8,$AW244+1)-INDEX($T$5:$T$8,$AW244)))/INDEX(Y$5:Y$8,$AW244+1)^((INDEX($T$5:$T$8,$AW244)-($I244-DateToday+15))/(INDEX($T$5:$T$8,$AW244+1)-INDEX($T$5:$T$8,$AW244))))</f>
        <v>22.89630537252</v>
      </c>
      <c r="BC244" s="468" t="n">
        <f aca="false">IF($AW244="",BC243^2/BC242,INDEX(Z$5:Z$8,$AW244)^((INDEX($T$5:$T$8,$AW244+1)-($I244-DateToday+15))/(INDEX($T$5:$T$8,$AW244+1)-INDEX($T$5:$T$8,$AW244)))/INDEX(Z$5:Z$8,$AW244+1)^((INDEX($T$5:$T$8,$AW244)-($I244-DateToday+15))/(INDEX($T$5:$T$8,$AW244+1)-INDEX($T$5:$T$8,$AW244))))</f>
        <v>45.8132227945781</v>
      </c>
      <c r="BD244" s="535" t="n">
        <f aca="false">IF(OR(DateStart&gt;=I245,DateEnd&lt;I244),0,IF(VolumeOverrideFlag,V244,Volume))</f>
        <v>0</v>
      </c>
      <c r="BE244" s="536" t="n">
        <f aca="false">IF(OR(DateStart2&gt;=I245,DateEnd2&lt;I244),0,IF(VolumeOverrideFlag,V244,VolumeSwaption))</f>
        <v>0</v>
      </c>
      <c r="BF244" s="537" t="n">
        <f aca="false">YEAR(I244)</f>
        <v>2019</v>
      </c>
      <c r="BG244" s="538" t="n">
        <f aca="false">MONTH(I244)</f>
        <v>5</v>
      </c>
      <c r="BH244" s="539" t="n">
        <f aca="false">AD244-DateToday+1</f>
        <v>-2354</v>
      </c>
      <c r="BI244" s="540" t="n">
        <f aca="false">(I244-DateToday+1)/365.25</f>
        <v>-6.40383299110199</v>
      </c>
      <c r="BJ244" s="541" t="n">
        <f aca="false">BI244+(BL244-BI244)*CHOOSE(Underlying,AJ244/AI244,AM244/AL244)</f>
        <v>-6.35383745498914</v>
      </c>
      <c r="BK244" s="541" t="n">
        <f aca="false">BJ244+1/365.25</f>
        <v>-6.35109960420201</v>
      </c>
      <c r="BL244" s="541" t="n">
        <f aca="false">(I245-DateToday)/365.25</f>
        <v>-6.32169746748802</v>
      </c>
      <c r="BM244" s="542" t="e">
        <f aca="false">MAX(BI244-(BJ244-BI244)*(S245^2/O245^2-1),0)</f>
        <v>#DIV/0!</v>
      </c>
      <c r="BN244" s="541" t="e">
        <f aca="false">MAX(BL244+(BL244-BK244)*(S246^2/O246^2-1),0)</f>
        <v>#DIV/0!</v>
      </c>
      <c r="BO244" s="530" t="n">
        <f aca="false">CHOOSE(Underlying,AI244,AL244)</f>
        <v>23</v>
      </c>
      <c r="BP244" s="529" t="n">
        <f aca="false">CHOOSE(Underlying,AJ244,AM244)</f>
        <v>14</v>
      </c>
      <c r="BQ244" s="529" t="n">
        <f aca="false">CHOOSE(Underlying,AK244,AN244)</f>
        <v>9</v>
      </c>
      <c r="BR244" s="463" t="str">
        <f aca="false">IF(BD244,IF(Underlying=1,X244,Z244)+UnderlyingPriceAsian-SwapPriceCurve,"")</f>
        <v/>
      </c>
      <c r="BS244" s="463" t="str">
        <f aca="false">IF(BD244,Strike1/BR244-1,"")</f>
        <v/>
      </c>
      <c r="BT244" s="464" t="str">
        <f aca="false">IF(BD244,Strike2/BR244-1,"")</f>
        <v/>
      </c>
      <c r="BU244" s="465" t="str">
        <f aca="false">IF(BD244,IF(Underlying=1,L245,R245)+UnderlyingPriceAsian-SwapPriceCurve,"")</f>
        <v/>
      </c>
      <c r="BV244" s="465" t="str">
        <f aca="false">IF(BD244,IF(Underlying=1,L246,R246)+UnderlyingPriceAsian-SwapPriceCurve,"")</f>
        <v/>
      </c>
      <c r="BW244" s="466" t="str">
        <f aca="false">IF(BD244,IF(Underlying=1,O245,AT245),"")</f>
        <v/>
      </c>
      <c r="BX244" s="467" t="str">
        <f aca="false">IF(BD244,IF(Underlying=1,O246,AT246),"")</f>
        <v/>
      </c>
      <c r="BY244" s="466" t="str">
        <f aca="false">IF(BD244,IF(BS244&gt;0,IF(BS244&gt;0.2,BC244-BB244,IF(BS244&gt;0.1,BB244-BA244,BA244)),IF(BS244&lt;-0.2,AX244-AY244,IF(BS244&lt;-0.1,AY244-AZ244,AZ244))),"")</f>
        <v/>
      </c>
      <c r="BZ244" s="467" t="str">
        <f aca="false">IF(BD244,IF(BT244&gt;0,IF(BT244&gt;0.2,BC244-BB244,IF(BT244&gt;0.1,BB244-BA244,BA244)),IF(BT244&lt;-0.2,AX244-AY244,IF(BT244&lt;-0.1,AY244-AZ244,AZ244))),"")</f>
        <v/>
      </c>
      <c r="CA244" s="468" t="str">
        <f aca="false">IF($BD244,$BW244+IF(VolSkewFlag=1,IF(BS244&gt;0,$BA244*MIN(BS244/10%,1)+($BB244-$BA244)*MAX(0,MIN(BS244/10%-1,1))+($BC244-$BB244)*MAX(0,BS244/10%-2),$AZ244*MIN(-BS244/10%,1)+($AY244-$AZ244)*MAX(0,MIN(-BS244/10%-1,1))+($AX244-$AY244)*MAX(0,-BS244/10%-2)),0),"")</f>
        <v/>
      </c>
      <c r="CB244" s="468" t="str">
        <f aca="false">IF($BD244,$BX244+IF(VolSkewFlag=1,IF(BS244&gt;0,$BA244*MIN(BS244/10%,1)+($BB244-$BA244)*MAX(0,MIN(BS244/10%-1,1))+($BC244-$BB244)*MAX(0,BS244/10%-2),$AZ244*MIN(-BS244/10%,1)+($AY244-$AZ244)*MAX(0,MIN(-BS244/10%-1,1))+($AX244-$AY244)*MAX(0,-BS244/10%-2)),0),"")</f>
        <v/>
      </c>
      <c r="CC244" s="468" t="str">
        <f aca="false">IF($BD244,$BW244+IF(VolSkewFlag=1,IF(BT244&gt;0,$BA244*MIN(BT244/10%,1)+($BB244-$BA244)*MAX(0,MIN(BT244/10%-1,1))+($BC244-$BB244)*MAX(0,BT244/10%-2),$AZ244*MIN(-BT244/10%,1)+($AY244-$AZ244)*MAX(0,MIN(-BT244/10%-1,1))+($AX244-$AY244)*MAX(0,-BT244/10%-2)),0),"")</f>
        <v/>
      </c>
      <c r="CD244" s="468" t="str">
        <f aca="false">IF($BD244,$BX244+IF(VolSkewFlag=1,IF(BT244&gt;0,$BA244*MIN(BT244/10%,1)+($BB244-$BA244)*MAX(0,MIN(BT244/10%-1,1))+($BC244-$BB244)*MAX(0,BT244/10%-2),$AZ244*MIN(-BT244/10%,1)+($AY244-$AZ244)*MAX(0,MIN(-BT244/10%-1,1))+($AX244-$AY244)*MAX(0,-BT244/10%-2)),0),"")</f>
        <v/>
      </c>
      <c r="CE244" s="469" t="n">
        <v>1</v>
      </c>
      <c r="CF244" s="470" t="n">
        <f aca="false">IF(BD244,xCrudeAPO(BU244,BV244,CA244,CB244,S245,S246,BI244,BL244,BP244,BQ244,0,Strike1,AO244,CE244,0,BL244,IF(OptControl=4,0,1),0,1),0)</f>
        <v>0</v>
      </c>
      <c r="CG244" s="470" t="n">
        <f aca="false">IF(BD244,xCrudeAPO(BU244,BV244,CA244,CB244,S245,S246,BI244,BL244,BP244,BQ244,0,Strike1,AO244,CE244,0,BL244,IF(OptControl=4,0,1),1,1)+xCrudeAPO(BU244,BV244,CA244,CB244,S245,S246,BI244,BL244,BP244,BQ244,0,Strike1,AO244,CE244,0,BL244,IF(OptControl=4,0,1),1,2)+IF(OR(VolSkewFlag=2,ABS(BS244)&lt;0.0001),0,IF(BS244&gt;0,-1,1)*CH244*Strike1/BR244^2*BY244/10%),0)</f>
        <v>0</v>
      </c>
      <c r="CH244" s="470" t="n">
        <f aca="false">IF(BD244,(xCrudeAPO(BU244,BV244,CA244,CB244,S245,S246,BI244,BL244,BP244,BQ244,0,Strike1,AO244,CE244,0,BL244,IF(OptControl=4,0,1),3,1)+xCrudeAPO(BU244,BV244,CA244,CB244,S245,S246,BI244,BL244,BP244,BQ244,0,Strike1,AO244,CE244,0,BL244,IF(OptControl=4,0,1),3,2))/100,0)</f>
        <v>0</v>
      </c>
      <c r="CI244" s="470" t="n">
        <f aca="false">IF(BD244,xCrudeAPO(BU244,BV244,CA244,CB244,S245,S246,BI244-DaysForThetaCalculation/365.25,BL244-DaysForThetaCalculation/365.25,BP244,BQ244,0,Strike1,AO244,CE244,0,BL244,IF(OptControl=4,0,1),0,1)-xCrudeAPO(BU244,BV244,CA244,CB244,S245,S246,BI244,BL244,BP244,BQ244,0,Strike1,AO244,CE244,0,BL244,IF(OptControl=4,0,1),0,1),0)</f>
        <v>0</v>
      </c>
      <c r="CJ244" s="471" t="n">
        <f aca="false">IF(BD244,xCrudeAPO(BU244,BV244,CC244,CD244,S245,S246,BI244,BL244,BP244,BQ244,0,Strike2,AO244,CE244,0,BL244,IF(OptControl=3,1,0),0,1),0)</f>
        <v>0</v>
      </c>
      <c r="CK244" s="470" t="n">
        <f aca="false">IF(BD244,xCrudeAPO(BU244,BV244,CC244,CD244,S245,S246,BI244,BL244,BP244,BQ244,0,Strike2,AO244,CE244,0,BL244,IF(OptControl=3,1,0),1,1)+xCrudeAPO(BU244,BV244,CC244,CD244,S245,S246,BI244,BL244,BP244,BQ244,0,Strike2,AO244,CE244,0,BL244,IF(OptControl=3,1,0),1,2)+IF(OR(VolSkewFlag=2,ABS(BT244)&lt;0.0001),0,IF(BT244&gt;0,-1,1)*CL244*Strike2/BR244^2*BZ244/10%),0)</f>
        <v>0</v>
      </c>
      <c r="CL244" s="470" t="n">
        <f aca="false">IF(BD244,(xCrudeAPO(BU244,BV244,CC244,CD244,S245,S246,BI244,BL244,BP244,BQ244,0,Strike2,AO244,CE244,0,BL244,IF(OptControl=3,1,0),3,1)+xCrudeAPO(BU244,BV244,CC244,CD244,S245,S246,BI244,BL244,BP244,BQ244,0,Strike2,AO244,CE244,0,BL244,IF(OptControl=3,1,0),3,2))/100,0)</f>
        <v>0</v>
      </c>
      <c r="CM244" s="472" t="n">
        <f aca="false">IF(BD244,xCrudeAPO(BU244,BV244,CC244,CD244,S245,S246,BI244-DaysForThetaCalculation/365.25,BL244-DaysForThetaCalculation/365.25,BP244,BQ244,0,Strike2,AO244,CE244,0,BL244,IF(OptControl=3,1,0),0,1)-xCrudeAPO(BU244,BV244,CC244,CD244,S245,S246,BI244,BL244,BP244,BQ244,0,Strike2,AO244,CE244,0,BL244,IF(OptControl=3,1,0),0,1),0)</f>
        <v>0</v>
      </c>
      <c r="CN244" s="3"/>
      <c r="CO244" s="543" t="str">
        <f aca="false">IF(BD244,CHOOSE(Underlying,AD244,AF244)-DateToday+1,"")</f>
        <v/>
      </c>
      <c r="CP244" s="582" t="str">
        <f aca="false">IF(BD244,CHOOSE(Underlying,L244,R244),"")</f>
        <v/>
      </c>
      <c r="CQ244" s="544" t="str">
        <f aca="false">IF(BD244,Strike1/CP244-1,"")</f>
        <v/>
      </c>
      <c r="CR244" s="544" t="str">
        <f aca="false">IF(BD244,Strike2/CP244-1,"")</f>
        <v/>
      </c>
      <c r="CS244" s="544" t="str">
        <f aca="false">IF(BD244,IF(CQ244&gt;0,IF(CQ244&gt;0.2,BC243-BB243,IF(CQ244&gt;0.1,BB243-BA243,BA243)),IF(CQ244&lt;-0.2,AX243-AY243,IF(CQ244&lt;-0.1,AY243-AZ243,AZ243))),"")</f>
        <v/>
      </c>
      <c r="CT244" s="544" t="str">
        <f aca="false">IF(BD244,IF(CR244&gt;0,IF(CR244&gt;0.2,BC243-BB243,IF(CR244&gt;0.1,BB243-BA243,BA243)),IF(CR244&lt;-0.2,AX243-AY243,IF(CR244&lt;-0.1,AY243-AZ243,AZ243))),"")</f>
        <v/>
      </c>
      <c r="CU244" s="545" t="str">
        <f aca="false">IF(BD244,CHOOSE(Underlying,O244,AT244),"")</f>
        <v/>
      </c>
      <c r="CV244" s="545" t="str">
        <f aca="false">IF(BD244,CU244+IF(VolSkewFlag=1,IF(CQ244&gt;0,BA243*MIN(CQ244/10%,1)+(BB243-BA243)*MAX(0,MIN(CQ244/10%-1,1))+(BC243-BB243)*MAX(0,CQ244/10%-2),AZ243*MIN(-CQ244/10%,1)+(AY243-AZ243)*MAX(0,MIN(-CQ244/10%-1,1))+(AX243-AY243)*MAX(0,-CQ244/10%-2)),0),"")</f>
        <v/>
      </c>
      <c r="CW244" s="545" t="str">
        <f aca="false">IF(BD244,CU244+IF(VolSkewFlag=1,IF(CR244&gt;0,BA243*MIN(CR244/10%,1)+(BB243-BA243)*MAX(0,MIN(CR244/10%-1,1))+(BC243-BB243)*MAX(0,CR244/10%-2),AZ243*MIN(-CR244/10%,1)+(AY243-AZ243)*MAX(0,MIN(-CR244/10%-1,1))+(AX243-AY243)*MAX(0,-CR244/10%-2)),0),"")</f>
        <v/>
      </c>
      <c r="CX244" s="470" t="n">
        <f aca="false">IF(BD244,EURO(CP244,Strike1,AO244,AO244,CV244,CO244,IF(OptControl=4,0,1),0),0)</f>
        <v>0</v>
      </c>
      <c r="CY244" s="470" t="n">
        <f aca="false">IF(BD244,EURO(CP244,Strike1,AO244,AO244,CV244,CO244,IF(OptControl=4,0,1),1)+IF(OR(VolSkewFlag=2,ABS(CQ244)&lt;0.0001),0,IF(CQ244&gt;0,-1,1)*CZ244*100*Strike1/CP244^2*CS244/10%),0)</f>
        <v>0</v>
      </c>
      <c r="CZ244" s="470" t="n">
        <f aca="false">IF(BD244,EURO(CP244,Strike1,AO244,AO244,CV244,CO244,IF(OptControl=4,0,1),3)/100,0)</f>
        <v>0</v>
      </c>
      <c r="DA244" s="470" t="n">
        <f aca="false">IF(BD244,EURO(CP244,Strike1,AO244,AO244,CV244,CO244,IF(OptControl=4,0,1),0)-EURO(CP244,Strike1,AO244,AO244,CV244,CO244-1,IF(OptControl=4,0,1),0),0)</f>
        <v>0</v>
      </c>
      <c r="DB244" s="470" t="n">
        <f aca="false">IF(BD244,EURO(CP244,Strike2,AO244,AO244,CW244,CO244,IF(OptControl=3,1,0),0),0)</f>
        <v>0</v>
      </c>
      <c r="DC244" s="470" t="n">
        <f aca="false">IF(BD244,EURO(CP244,Strike2,AO244,AO244,CW244,CO244,IF(OptControl=3,1,0),1)+IF(OR(VolSkewFlag=2,ABS(CR244)&lt;0.0001),0,IF(CR244&gt;0,-1,1)*DD244*100*Strike2/CP244^2*CT244/10%),0)</f>
        <v>0</v>
      </c>
      <c r="DD244" s="470" t="n">
        <f aca="false">IF(BD244,EURO(CP244,Strike2,AO244,AO244,CW244,CO244,IF(OptControl=3,1,0),3)/100,0)</f>
        <v>0</v>
      </c>
      <c r="DE244" s="472" t="n">
        <f aca="false">IF(BD244,EURO(CP244,Strike2,AO244,AO244,CW244,CO244,IF(OptControl=3,1,0),0)-EURO(CP244,Strike2,AO244,AO244,CW244,CO244-1,IF(OptControl=3,1,0),0),0)</f>
        <v>0</v>
      </c>
      <c r="DG244" s="481" t="n">
        <f aca="false">EOMONTH(DG243,0)+1</f>
        <v>52505</v>
      </c>
      <c r="DH244" s="478" t="n">
        <v>25.3600000000001</v>
      </c>
      <c r="DI244" s="479" t="n">
        <v>25.4273913043479</v>
      </c>
      <c r="DJ244" s="480" t="n">
        <f aca="false">DG244</f>
        <v>52505</v>
      </c>
      <c r="DK244" s="478" t="n">
        <v>24.0120958349072</v>
      </c>
      <c r="DL244" s="479" t="n">
        <v>24.2342913043479</v>
      </c>
      <c r="DM244" s="481" t="n">
        <f aca="false">DG244</f>
        <v>52505</v>
      </c>
      <c r="DN244" s="482" t="n">
        <f aca="false">DK244+BrentPhyBrentSpread</f>
        <v>24.0620958349072</v>
      </c>
      <c r="DO244" s="481" t="n">
        <f aca="false">DG244</f>
        <v>52505</v>
      </c>
      <c r="DP244" s="483" t="n">
        <f aca="false">DL244+DQ244</f>
        <v>24.2342913043479</v>
      </c>
      <c r="DQ244" s="546" t="n">
        <v>0</v>
      </c>
      <c r="DR244" s="480" t="n">
        <f aca="false">DG244</f>
        <v>52505</v>
      </c>
      <c r="DS244" s="485" t="n">
        <v>0.090199999999997</v>
      </c>
      <c r="DT244" s="486" t="n">
        <v>0.0893913043478234</v>
      </c>
      <c r="DU244" s="480" t="n">
        <f aca="false">DG244</f>
        <v>52505</v>
      </c>
      <c r="DV244" s="485" t="n">
        <v>0.090199999999997</v>
      </c>
      <c r="DW244" s="486" t="n">
        <v>0.0893913043478234</v>
      </c>
      <c r="DX244" s="481" t="n">
        <f aca="false">DG244</f>
        <v>52505</v>
      </c>
      <c r="DY244" s="486" t="n">
        <v>0.35</v>
      </c>
      <c r="DZ244" s="481" t="n">
        <f aca="false">DR244</f>
        <v>52505</v>
      </c>
      <c r="EA244" s="486" t="n">
        <f aca="false">DT244</f>
        <v>0.0893913043478234</v>
      </c>
      <c r="EB244" s="195"/>
      <c r="EC244" s="547" t="str">
        <f aca="false">IF(BD244,IF(Underlying=1,AS244,AU244),"")</f>
        <v/>
      </c>
      <c r="ED244" s="548" t="str">
        <f aca="false">IF($BD244,$EC244+IF(VolSkewFlag=1,IF(BS244&gt;0,$BA244*MIN(BS244/10%,1)+($BB244-$BA244)*MAX(0,MIN(BS244/10%-1,1))+($BC244-$BB244)*MAX(0,BS244/10%-2),$AZ244*MIN(-BS244/10%,1)+($AY244-$AZ244)*MAX(0,MIN(-BS244/10%-1,1))+($AX244-$AY244)*MAX(0,-BS244/10%-2)),0),"")</f>
        <v/>
      </c>
      <c r="EE244" s="549" t="str">
        <f aca="false">IF($BD244,$EC244+IF(VolSkewFlag=1,IF(BT244&gt;0,$BA244*MIN(BT244/10%,1)+($BB244-$BA244)*MAX(0,MIN(BT244/10%-1,1))+($BC244-$BB244)*MAX(0,BT244/10%-2),$AZ244*MIN(-BT244/10%,1)+($AY244-$AZ244)*MAX(0,MIN(-BT244/10%-1,1))+($AX244-$AY244)*MAX(0,-BT244/10%-2)),0),"")</f>
        <v/>
      </c>
      <c r="EF244" s="550" t="n">
        <f aca="false">IF(BD244,xASN(BR244,Strike1,AO244,ED244,0,BO244,0,BI244,BL244,IF(OptControl=4,0,1),0),0)</f>
        <v>0</v>
      </c>
      <c r="EG244" s="551" t="n">
        <f aca="false">IF(BD244,xASN(BR244,Strike2,AO244,EE244,0,BO244,0,BI244,BL244,IF(OptControl=3,1,0),0),0)</f>
        <v>0</v>
      </c>
      <c r="EL244" s="1"/>
      <c r="EM244" s="195"/>
      <c r="EN244" s="240"/>
      <c r="EO244" s="240"/>
      <c r="EP244" s="195"/>
      <c r="EQ244" s="407" t="s">
        <v>473</v>
      </c>
      <c r="ES244" s="1"/>
      <c r="EU244" s="672"/>
      <c r="FJ244" s="508"/>
      <c r="FK244" s="509" t="n">
        <v>72</v>
      </c>
      <c r="FL244" s="509" t="n">
        <v>71</v>
      </c>
      <c r="FM244" s="509" t="n">
        <v>70</v>
      </c>
      <c r="FN244" s="509" t="n">
        <v>69</v>
      </c>
      <c r="FO244" s="509" t="n">
        <v>68</v>
      </c>
      <c r="FP244" s="509" t="n">
        <v>67</v>
      </c>
      <c r="FQ244" s="509" t="n">
        <v>66</v>
      </c>
      <c r="FR244" s="509" t="n">
        <v>65</v>
      </c>
      <c r="FS244" s="509" t="n">
        <v>64</v>
      </c>
      <c r="FT244" s="509" t="n">
        <v>63</v>
      </c>
      <c r="FU244" s="509" t="n">
        <v>62</v>
      </c>
      <c r="FV244" s="509" t="n">
        <v>61</v>
      </c>
      <c r="FW244" s="509" t="n">
        <v>60</v>
      </c>
      <c r="FX244" s="509" t="n">
        <v>59</v>
      </c>
      <c r="FY244" s="509" t="n">
        <v>58</v>
      </c>
      <c r="FZ244" s="509" t="n">
        <v>57</v>
      </c>
      <c r="GA244" s="509" t="n">
        <v>56</v>
      </c>
      <c r="GB244" s="509" t="n">
        <v>55</v>
      </c>
      <c r="GC244" s="509" t="n">
        <v>54</v>
      </c>
      <c r="GD244" s="509" t="n">
        <v>53</v>
      </c>
      <c r="GE244" s="509" t="n">
        <v>52</v>
      </c>
      <c r="GF244" s="509" t="n">
        <v>51</v>
      </c>
      <c r="GG244" s="509" t="n">
        <v>50</v>
      </c>
      <c r="GH244" s="509" t="n">
        <v>49</v>
      </c>
      <c r="GI244" s="509" t="n">
        <v>48</v>
      </c>
      <c r="GJ244" s="509" t="n">
        <v>47</v>
      </c>
      <c r="GK244" s="509" t="n">
        <v>46</v>
      </c>
      <c r="GL244" s="509" t="n">
        <v>45</v>
      </c>
      <c r="GM244" s="509" t="n">
        <v>44</v>
      </c>
      <c r="GN244" s="509" t="n">
        <v>43</v>
      </c>
      <c r="GO244" s="509" t="n">
        <v>42</v>
      </c>
      <c r="GP244" s="509" t="n">
        <v>41</v>
      </c>
      <c r="GQ244" s="509" t="n">
        <v>40</v>
      </c>
      <c r="GR244" s="509" t="n">
        <v>39</v>
      </c>
      <c r="GS244" s="509" t="n">
        <v>38</v>
      </c>
      <c r="GT244" s="509" t="n">
        <v>37</v>
      </c>
      <c r="GU244" s="509" t="n">
        <v>36</v>
      </c>
      <c r="GV244" s="509" t="n">
        <v>35</v>
      </c>
      <c r="GW244" s="509" t="n">
        <v>34</v>
      </c>
      <c r="GX244" s="509" t="n">
        <v>33</v>
      </c>
      <c r="GY244" s="509" t="n">
        <v>32</v>
      </c>
      <c r="GZ244" s="509" t="n">
        <v>31</v>
      </c>
      <c r="HA244" s="509" t="n">
        <v>30</v>
      </c>
      <c r="HB244" s="509" t="n">
        <v>29</v>
      </c>
      <c r="HC244" s="509" t="n">
        <v>28</v>
      </c>
      <c r="HD244" s="509" t="n">
        <v>27</v>
      </c>
      <c r="HE244" s="509" t="n">
        <v>26</v>
      </c>
      <c r="HF244" s="509" t="n">
        <v>25</v>
      </c>
      <c r="HG244" s="509" t="n">
        <v>24</v>
      </c>
      <c r="HH244" s="509" t="n">
        <v>23</v>
      </c>
      <c r="HI244" s="509" t="n">
        <v>22</v>
      </c>
      <c r="HJ244" s="509" t="n">
        <v>21</v>
      </c>
      <c r="HK244" s="509" t="n">
        <v>20</v>
      </c>
      <c r="HL244" s="509" t="n">
        <v>19</v>
      </c>
      <c r="HM244" s="509" t="n">
        <v>18</v>
      </c>
      <c r="HN244" s="509" t="n">
        <v>17</v>
      </c>
      <c r="HO244" s="509" t="n">
        <v>16</v>
      </c>
      <c r="HP244" s="509" t="n">
        <v>15</v>
      </c>
      <c r="HQ244" s="509" t="n">
        <v>14</v>
      </c>
      <c r="HR244" s="509" t="n">
        <v>13</v>
      </c>
      <c r="HS244" s="509" t="n">
        <v>12</v>
      </c>
      <c r="HT244" s="509" t="n">
        <v>11</v>
      </c>
      <c r="HU244" s="509" t="n">
        <v>10</v>
      </c>
      <c r="HV244" s="509" t="n">
        <v>9</v>
      </c>
      <c r="HW244" s="509" t="n">
        <v>8</v>
      </c>
      <c r="HX244" s="509" t="n">
        <v>7</v>
      </c>
      <c r="HY244" s="509" t="n">
        <v>6</v>
      </c>
      <c r="HZ244" s="509" t="n">
        <v>5</v>
      </c>
      <c r="IA244" s="509" t="n">
        <v>4</v>
      </c>
      <c r="IB244" s="509" t="n">
        <v>3</v>
      </c>
      <c r="IC244" s="509" t="n">
        <v>2</v>
      </c>
      <c r="ID244" s="510" t="n">
        <v>1</v>
      </c>
      <c r="IE244" s="129"/>
    </row>
    <row r="245" customFormat="false" ht="12.75" hidden="false" customHeight="false" outlineLevel="0" collapsed="false">
      <c r="H245" s="219" t="n">
        <f aca="false">VLOOKUP(I245,$EJ$20:$EL$54,3)</f>
        <v>0</v>
      </c>
      <c r="I245" s="511" t="n">
        <f aca="false">EOMONTH(I244,0)+1</f>
        <v>43617</v>
      </c>
      <c r="J245" s="512"/>
      <c r="K245" s="513" t="s">
        <v>280</v>
      </c>
      <c r="L245" s="514" t="n">
        <f aca="false">IF(ISNUMBER(K245),J245+K245/100,IF(K245="extra",L244+VLOOKUP(BF245,PriceSpreadTable,2)/12,IF(K245="inter",interpolateprices($K$19:$L$200,ROW(K245)-ROW(FirstPricingMonth)+1),interpolatechanges($J$19:$K$200,ROW(K245)-ROW(FirstPricingMonth)+1))))</f>
        <v>5.58749999999999</v>
      </c>
      <c r="M245" s="515"/>
      <c r="N245" s="516" t="n">
        <v>0</v>
      </c>
      <c r="O245" s="515" t="n">
        <f aca="false">M245+N245</f>
        <v>0</v>
      </c>
      <c r="P245" s="512"/>
      <c r="Q245" s="513" t="s">
        <v>280</v>
      </c>
      <c r="R245" s="512" t="e">
        <f aca="false">IF(ISNUMBER(Q245),P245+Q245/100,IF(Q245="extra",(Z243*AL243-R244*AM243)/AN243,IF(Q245="inter",interpolateprices($Q$19:$R$260,ROW(Q245)-ROW(FirstPricingMonth)+1),interpolatechanges($P$19:$Q$260,ROW(Q245)-ROW(FirstPricingMonth)+1))))</f>
        <v>#VALUE!</v>
      </c>
      <c r="S245" s="597" t="n">
        <f aca="false">S$19+(S244-S$19)*S$18</f>
        <v>0.36</v>
      </c>
      <c r="T245" s="575" t="n">
        <f aca="false">SQRT((1-(1-T244^2/U244)*T$18)*U245)</f>
        <v>1</v>
      </c>
      <c r="U245" s="576" t="n">
        <f aca="false">1-(1-U244)*U$18</f>
        <v>1</v>
      </c>
      <c r="V245" s="521" t="n">
        <v>0</v>
      </c>
      <c r="W245" s="577" t="n">
        <f aca="false">(J246*AJ245+J247*AK245)/AI245</f>
        <v>0</v>
      </c>
      <c r="X245" s="578" t="n">
        <f aca="false">(L246*AJ245+L247*AK245)/AI245</f>
        <v>5.63624999999999</v>
      </c>
      <c r="Y245" s="579" t="n">
        <f aca="false">IF(Q247="extra",W245-AA245,(P246*AM245+P247*AN245)/AL245)</f>
        <v>-1.2915</v>
      </c>
      <c r="Z245" s="579" t="n">
        <f aca="false">IF(Q247="extra",X245-AB245,(R246*AM245+R247*AN245)/AL245)</f>
        <v>4.34474999999999</v>
      </c>
      <c r="AA245" s="523" t="n">
        <f aca="false">IF(Q247="extra",INDEX(BrentSeasonalityTable,INT((BG245-1)/3)+1)*VLOOKUP(MAX(BF245,$AB$4),PriceSpreadTable,3),W245-Y245)</f>
        <v>1.2915</v>
      </c>
      <c r="AB245" s="524" t="n">
        <f aca="false">IF(Q247="extra",INDEX(BrentSeasonalityTable,INT((BG245-1)/3)+1)*VLOOKUP(MAX(BF245,$AB$4),PriceSpreadTable,3),X245-Z245)</f>
        <v>1.2915</v>
      </c>
      <c r="AC245" s="646" t="n">
        <v>43605</v>
      </c>
      <c r="AD245" s="646" t="n">
        <v>43601</v>
      </c>
      <c r="AE245" s="646" t="n">
        <v>43600</v>
      </c>
      <c r="AF245" s="646" t="n">
        <v>43596</v>
      </c>
      <c r="AG245" s="438" t="s">
        <v>278</v>
      </c>
      <c r="AH245" s="439" t="s">
        <v>278</v>
      </c>
      <c r="AI245" s="528" t="n">
        <v>20</v>
      </c>
      <c r="AJ245" s="529" t="n">
        <v>14</v>
      </c>
      <c r="AK245" s="529" t="n">
        <v>6</v>
      </c>
      <c r="AL245" s="530" t="n">
        <v>20</v>
      </c>
      <c r="AM245" s="529" t="n">
        <v>10</v>
      </c>
      <c r="AN245" s="531" t="n">
        <v>10</v>
      </c>
      <c r="AO245" s="532"/>
      <c r="AP245" s="465" t="n">
        <f aca="false">(1+AO245/2)^(-2*BL245)</f>
        <v>1</v>
      </c>
      <c r="AQ245" s="532"/>
      <c r="AR245" s="465" t="n">
        <f aca="false">(1+AQ245/2)^(-2*BH245/365.25)</f>
        <v>1</v>
      </c>
      <c r="AS245" s="580" t="n">
        <f aca="false">(O246*AJ245+O247*AK245)/AI245</f>
        <v>0</v>
      </c>
      <c r="AT245" s="468" t="n">
        <f aca="false">O245*VLOOKUP(BF245,BrentVolTable,2)+VLOOKUP(BF245,BrentVolTable,3)</f>
        <v>0</v>
      </c>
      <c r="AU245" s="468" t="n">
        <f aca="false">(AT246*AM245+AT247*AN245)/AL245</f>
        <v>0</v>
      </c>
      <c r="AV245" s="595" t="n">
        <f aca="false">SQRT(MAX(0.000000000001,(O245^2*BH245-S245^2*(BH245-BH244))/BH244))</f>
        <v>0.0406405801442412</v>
      </c>
      <c r="AW245" s="451" t="n">
        <f aca="false">IF($I245-DateToday+15&gt;=$T$8,"",IF($I245-DateToday+15&lt;$T$5,1,MATCH($I245-DateToday+15,$T$5:$T$8)))</f>
        <v>1</v>
      </c>
      <c r="AX245" s="468" t="n">
        <f aca="false">IF($AW245="",AX244^2/AX243,INDEX(U$5:U$8,$AW245)^((INDEX($T$5:$T$8,$AW245+1)-($I245-DateToday+15))/(INDEX($T$5:$T$8,$AW245+1)-INDEX($T$5:$T$8,$AW245)))/INDEX(U$5:U$8,$AW245+1)^((INDEX($T$5:$T$8,$AW245)-($I245-DateToday+15))/(INDEX($T$5:$T$8,$AW245+1)-INDEX($T$5:$T$8,$AW245))))</f>
        <v>0.102321300039316</v>
      </c>
      <c r="AY245" s="468" t="n">
        <f aca="false">IF($AW245="",AY244^2/AY243,INDEX(V$5:V$8,$AW245)^((INDEX($T$5:$T$8,$AW245+1)-($I245-DateToday+15))/(INDEX($T$5:$T$8,$AW245+1)-INDEX($T$5:$T$8,$AW245)))/INDEX(V$5:V$8,$AW245+1)^((INDEX($T$5:$T$8,$AW245)-($I245-DateToday+15))/(INDEX($T$5:$T$8,$AW245+1)-INDEX($T$5:$T$8,$AW245))))</f>
        <v>0.399260710733826</v>
      </c>
      <c r="AZ245" s="468" t="n">
        <f aca="false">IF($AW245="",AZ244^2/AZ243,INDEX(W$5:W$8,$AW245)^((INDEX($T$5:$T$8,$AW245+1)-($I245-DateToday+15))/(INDEX($T$5:$T$8,$AW245+1)-INDEX($T$5:$T$8,$AW245)))/INDEX(W$5:W$8,$AW245+1)^((INDEX($T$5:$T$8,$AW245)-($I245-DateToday+15))/(INDEX($T$5:$T$8,$AW245+1)-INDEX($T$5:$T$8,$AW245))))</f>
        <v>6.4183267042442</v>
      </c>
      <c r="BA245" s="468" t="n">
        <f aca="false">IF($AW245="",BA244^2/BA243,INDEX(X$5:X$8,$AW245)^((INDEX($T$5:$T$8,$AW245+1)-($I245-DateToday+15))/(INDEX($T$5:$T$8,$AW245+1)-INDEX($T$5:$T$8,$AW245)))/INDEX(X$5:X$8,$AW245+1)^((INDEX($T$5:$T$8,$AW245)-($I245-DateToday+15))/(INDEX($T$5:$T$8,$AW245+1)-INDEX($T$5:$T$8,$AW245))))</f>
        <v>6.84095346307629</v>
      </c>
      <c r="BB245" s="468" t="n">
        <f aca="false">IF($AW245="",BB244^2/BB243,INDEX(Y$5:Y$8,$AW245)^((INDEX($T$5:$T$8,$AW245+1)-($I245-DateToday+15))/(INDEX($T$5:$T$8,$AW245+1)-INDEX($T$5:$T$8,$AW245)))/INDEX(Y$5:Y$8,$AW245+1)^((INDEX($T$5:$T$8,$AW245)-($I245-DateToday+15))/(INDEX($T$5:$T$8,$AW245+1)-INDEX($T$5:$T$8,$AW245))))</f>
        <v>20.395649750654</v>
      </c>
      <c r="BC245" s="468" t="n">
        <f aca="false">IF($AW245="",BC244^2/BC243,INDEX(Z$5:Z$8,$AW245)^((INDEX($T$5:$T$8,$AW245+1)-($I245-DateToday+15))/(INDEX($T$5:$T$8,$AW245+1)-INDEX($T$5:$T$8,$AW245)))/INDEX(Z$5:Z$8,$AW245+1)^((INDEX($T$5:$T$8,$AW245)-($I245-DateToday+15))/(INDEX($T$5:$T$8,$AW245+1)-INDEX($T$5:$T$8,$AW245))))</f>
        <v>40.5727575876305</v>
      </c>
      <c r="BD245" s="535" t="n">
        <f aca="false">IF(OR(DateStart&gt;=I246,DateEnd&lt;I245),0,IF(VolumeOverrideFlag,V245,Volume))</f>
        <v>0</v>
      </c>
      <c r="BE245" s="536" t="n">
        <f aca="false">IF(OR(DateStart2&gt;=I246,DateEnd2&lt;I245),0,IF(VolumeOverrideFlag,V245,VolumeSwaption))</f>
        <v>0</v>
      </c>
      <c r="BF245" s="537" t="n">
        <f aca="false">YEAR(I245)</f>
        <v>2019</v>
      </c>
      <c r="BG245" s="538" t="n">
        <f aca="false">MONTH(I245)</f>
        <v>6</v>
      </c>
      <c r="BH245" s="539" t="n">
        <f aca="false">AD245-DateToday+1</f>
        <v>-2324</v>
      </c>
      <c r="BI245" s="540" t="n">
        <f aca="false">(I245-DateToday+1)/365.25</f>
        <v>-6.31895961670089</v>
      </c>
      <c r="BJ245" s="541" t="n">
        <f aca="false">BI245+(BL245-BI245)*CHOOSE(Underlying,AJ245/AI245,AM245/AL245)</f>
        <v>-6.26338124572211</v>
      </c>
      <c r="BK245" s="541" t="n">
        <f aca="false">BJ245+1/365.25</f>
        <v>-6.26064339493498</v>
      </c>
      <c r="BL245" s="541" t="n">
        <f aca="false">(I246-DateToday)/365.25</f>
        <v>-6.23956194387406</v>
      </c>
      <c r="BM245" s="542" t="e">
        <f aca="false">MAX(BI245-(BJ245-BI245)*(S246^2/O246^2-1),0)</f>
        <v>#DIV/0!</v>
      </c>
      <c r="BN245" s="541" t="e">
        <f aca="false">MAX(BL245+(BL245-BK245)*(S247^2/O247^2-1),0)</f>
        <v>#DIV/0!</v>
      </c>
      <c r="BO245" s="530" t="n">
        <f aca="false">CHOOSE(Underlying,AI245,AL245)</f>
        <v>20</v>
      </c>
      <c r="BP245" s="529" t="n">
        <f aca="false">CHOOSE(Underlying,AJ245,AM245)</f>
        <v>14</v>
      </c>
      <c r="BQ245" s="529" t="n">
        <f aca="false">CHOOSE(Underlying,AK245,AN245)</f>
        <v>6</v>
      </c>
      <c r="BR245" s="463" t="str">
        <f aca="false">IF(BD245,IF(Underlying=1,X245,Z245)+UnderlyingPriceAsian-SwapPriceCurve,"")</f>
        <v/>
      </c>
      <c r="BS245" s="463" t="str">
        <f aca="false">IF(BD245,Strike1/BR245-1,"")</f>
        <v/>
      </c>
      <c r="BT245" s="464" t="str">
        <f aca="false">IF(BD245,Strike2/BR245-1,"")</f>
        <v/>
      </c>
      <c r="BU245" s="465" t="str">
        <f aca="false">IF(BD245,IF(Underlying=1,L246,R246)+UnderlyingPriceAsian-SwapPriceCurve,"")</f>
        <v/>
      </c>
      <c r="BV245" s="465" t="str">
        <f aca="false">IF(BD245,IF(Underlying=1,L247,R247)+UnderlyingPriceAsian-SwapPriceCurve,"")</f>
        <v/>
      </c>
      <c r="BW245" s="466" t="str">
        <f aca="false">IF(BD245,IF(Underlying=1,O246,AT246),"")</f>
        <v/>
      </c>
      <c r="BX245" s="467" t="str">
        <f aca="false">IF(BD245,IF(Underlying=1,O247,AT247),"")</f>
        <v/>
      </c>
      <c r="BY245" s="466" t="str">
        <f aca="false">IF(BD245,IF(BS245&gt;0,IF(BS245&gt;0.2,BC245-BB245,IF(BS245&gt;0.1,BB245-BA245,BA245)),IF(BS245&lt;-0.2,AX245-AY245,IF(BS245&lt;-0.1,AY245-AZ245,AZ245))),"")</f>
        <v/>
      </c>
      <c r="BZ245" s="467" t="str">
        <f aca="false">IF(BD245,IF(BT245&gt;0,IF(BT245&gt;0.2,BC245-BB245,IF(BT245&gt;0.1,BB245-BA245,BA245)),IF(BT245&lt;-0.2,AX245-AY245,IF(BT245&lt;-0.1,AY245-AZ245,AZ245))),"")</f>
        <v/>
      </c>
      <c r="CA245" s="468" t="str">
        <f aca="false">IF($BD245,$BW245+IF(VolSkewFlag=1,IF(BS245&gt;0,$BA245*MIN(BS245/10%,1)+($BB245-$BA245)*MAX(0,MIN(BS245/10%-1,1))+($BC245-$BB245)*MAX(0,BS245/10%-2),$AZ245*MIN(-BS245/10%,1)+($AY245-$AZ245)*MAX(0,MIN(-BS245/10%-1,1))+($AX245-$AY245)*MAX(0,-BS245/10%-2)),0),"")</f>
        <v/>
      </c>
      <c r="CB245" s="468" t="str">
        <f aca="false">IF($BD245,$BX245+IF(VolSkewFlag=1,IF(BS245&gt;0,$BA245*MIN(BS245/10%,1)+($BB245-$BA245)*MAX(0,MIN(BS245/10%-1,1))+($BC245-$BB245)*MAX(0,BS245/10%-2),$AZ245*MIN(-BS245/10%,1)+($AY245-$AZ245)*MAX(0,MIN(-BS245/10%-1,1))+($AX245-$AY245)*MAX(0,-BS245/10%-2)),0),"")</f>
        <v/>
      </c>
      <c r="CC245" s="468" t="str">
        <f aca="false">IF($BD245,$BW245+IF(VolSkewFlag=1,IF(BT245&gt;0,$BA245*MIN(BT245/10%,1)+($BB245-$BA245)*MAX(0,MIN(BT245/10%-1,1))+($BC245-$BB245)*MAX(0,BT245/10%-2),$AZ245*MIN(-BT245/10%,1)+($AY245-$AZ245)*MAX(0,MIN(-BT245/10%-1,1))+($AX245-$AY245)*MAX(0,-BT245/10%-2)),0),"")</f>
        <v/>
      </c>
      <c r="CD245" s="468" t="str">
        <f aca="false">IF($BD245,$BX245+IF(VolSkewFlag=1,IF(BT245&gt;0,$BA245*MIN(BT245/10%,1)+($BB245-$BA245)*MAX(0,MIN(BT245/10%-1,1))+($BC245-$BB245)*MAX(0,BT245/10%-2),$AZ245*MIN(-BT245/10%,1)+($AY245-$AZ245)*MAX(0,MIN(-BT245/10%-1,1))+($AX245-$AY245)*MAX(0,-BT245/10%-2)),0),"")</f>
        <v/>
      </c>
      <c r="CE245" s="469" t="n">
        <v>1</v>
      </c>
      <c r="CF245" s="470" t="n">
        <f aca="false">IF(BD245,xCrudeAPO(BU245,BV245,CA245,CB245,S246,S247,BI245,BL245,BP245,BQ245,0,Strike1,AO245,CE245,0,BL245,IF(OptControl=4,0,1),0,1),0)</f>
        <v>0</v>
      </c>
      <c r="CG245" s="470" t="n">
        <f aca="false">IF(BD245,xCrudeAPO(BU245,BV245,CA245,CB245,S246,S247,BI245,BL245,BP245,BQ245,0,Strike1,AO245,CE245,0,BL245,IF(OptControl=4,0,1),1,1)+xCrudeAPO(BU245,BV245,CA245,CB245,S246,S247,BI245,BL245,BP245,BQ245,0,Strike1,AO245,CE245,0,BL245,IF(OptControl=4,0,1),1,2)+IF(OR(VolSkewFlag=2,ABS(BS245)&lt;0.0001),0,IF(BS245&gt;0,-1,1)*CH245*Strike1/BR245^2*BY245/10%),0)</f>
        <v>0</v>
      </c>
      <c r="CH245" s="470" t="n">
        <f aca="false">IF(BD245,(xCrudeAPO(BU245,BV245,CA245,CB245,S246,S247,BI245,BL245,BP245,BQ245,0,Strike1,AO245,CE245,0,BL245,IF(OptControl=4,0,1),3,1)+xCrudeAPO(BU245,BV245,CA245,CB245,S246,S247,BI245,BL245,BP245,BQ245,0,Strike1,AO245,CE245,0,BL245,IF(OptControl=4,0,1),3,2))/100,0)</f>
        <v>0</v>
      </c>
      <c r="CI245" s="470" t="n">
        <f aca="false">IF(BD245,xCrudeAPO(BU245,BV245,CA245,CB245,S246,S247,BI245-DaysForThetaCalculation/365.25,BL245-DaysForThetaCalculation/365.25,BP245,BQ245,0,Strike1,AO245,CE245,0,BL245,IF(OptControl=4,0,1),0,1)-xCrudeAPO(BU245,BV245,CA245,CB245,S246,S247,BI245,BL245,BP245,BQ245,0,Strike1,AO245,CE245,0,BL245,IF(OptControl=4,0,1),0,1),0)</f>
        <v>0</v>
      </c>
      <c r="CJ245" s="471" t="n">
        <f aca="false">IF(BD245,xCrudeAPO(BU245,BV245,CC245,CD245,S246,S247,BI245,BL245,BP245,BQ245,0,Strike2,AO245,CE245,0,BL245,IF(OptControl=3,1,0),0,1),0)</f>
        <v>0</v>
      </c>
      <c r="CK245" s="470" t="n">
        <f aca="false">IF(BD245,xCrudeAPO(BU245,BV245,CC245,CD245,S246,S247,BI245,BL245,BP245,BQ245,0,Strike2,AO245,CE245,0,BL245,IF(OptControl=3,1,0),1,1)+xCrudeAPO(BU245,BV245,CC245,CD245,S246,S247,BI245,BL245,BP245,BQ245,0,Strike2,AO245,CE245,0,BL245,IF(OptControl=3,1,0),1,2)+IF(OR(VolSkewFlag=2,ABS(BT245)&lt;0.0001),0,IF(BT245&gt;0,-1,1)*CL245*Strike2/BR245^2*BZ245/10%),0)</f>
        <v>0</v>
      </c>
      <c r="CL245" s="470" t="n">
        <f aca="false">IF(BD245,(xCrudeAPO(BU245,BV245,CC245,CD245,S246,S247,BI245,BL245,BP245,BQ245,0,Strike2,AO245,CE245,0,BL245,IF(OptControl=3,1,0),3,1)+xCrudeAPO(BU245,BV245,CC245,CD245,S246,S247,BI245,BL245,BP245,BQ245,0,Strike2,AO245,CE245,0,BL245,IF(OptControl=3,1,0),3,2))/100,0)</f>
        <v>0</v>
      </c>
      <c r="CM245" s="472" t="n">
        <f aca="false">IF(BD245,xCrudeAPO(BU245,BV245,CC245,CD245,S246,S247,BI245-DaysForThetaCalculation/365.25,BL245-DaysForThetaCalculation/365.25,BP245,BQ245,0,Strike2,AO245,CE245,0,BL245,IF(OptControl=3,1,0),0,1)-xCrudeAPO(BU245,BV245,CC245,CD245,S246,S247,BI245,BL245,BP245,BQ245,0,Strike2,AO245,CE245,0,BL245,IF(OptControl=3,1,0),0,1),0)</f>
        <v>0</v>
      </c>
      <c r="CN245" s="3"/>
      <c r="CO245" s="543" t="str">
        <f aca="false">IF(BD245,CHOOSE(Underlying,AD245,AF245)-DateToday+1,"")</f>
        <v/>
      </c>
      <c r="CP245" s="582" t="str">
        <f aca="false">IF(BD245,CHOOSE(Underlying,L245,R245),"")</f>
        <v/>
      </c>
      <c r="CQ245" s="544" t="str">
        <f aca="false">IF(BD245,Strike1/CP245-1,"")</f>
        <v/>
      </c>
      <c r="CR245" s="544" t="str">
        <f aca="false">IF(BD245,Strike2/CP245-1,"")</f>
        <v/>
      </c>
      <c r="CS245" s="544" t="str">
        <f aca="false">IF(BD245,IF(CQ245&gt;0,IF(CQ245&gt;0.2,BC244-BB244,IF(CQ245&gt;0.1,BB244-BA244,BA244)),IF(CQ245&lt;-0.2,AX244-AY244,IF(CQ245&lt;-0.1,AY244-AZ244,AZ244))),"")</f>
        <v/>
      </c>
      <c r="CT245" s="544" t="str">
        <f aca="false">IF(BD245,IF(CR245&gt;0,IF(CR245&gt;0.2,BC244-BB244,IF(CR245&gt;0.1,BB244-BA244,BA244)),IF(CR245&lt;-0.2,AX244-AY244,IF(CR245&lt;-0.1,AY244-AZ244,AZ244))),"")</f>
        <v/>
      </c>
      <c r="CU245" s="545" t="str">
        <f aca="false">IF(BD245,CHOOSE(Underlying,O245,AT245),"")</f>
        <v/>
      </c>
      <c r="CV245" s="545" t="str">
        <f aca="false">IF(BD245,CU245+IF(VolSkewFlag=1,IF(CQ245&gt;0,BA244*MIN(CQ245/10%,1)+(BB244-BA244)*MAX(0,MIN(CQ245/10%-1,1))+(BC244-BB244)*MAX(0,CQ245/10%-2),AZ244*MIN(-CQ245/10%,1)+(AY244-AZ244)*MAX(0,MIN(-CQ245/10%-1,1))+(AX244-AY244)*MAX(0,-CQ245/10%-2)),0),"")</f>
        <v/>
      </c>
      <c r="CW245" s="545" t="str">
        <f aca="false">IF(BD245,CU245+IF(VolSkewFlag=1,IF(CR245&gt;0,BA244*MIN(CR245/10%,1)+(BB244-BA244)*MAX(0,MIN(CR245/10%-1,1))+(BC244-BB244)*MAX(0,CR245/10%-2),AZ244*MIN(-CR245/10%,1)+(AY244-AZ244)*MAX(0,MIN(-CR245/10%-1,1))+(AX244-AY244)*MAX(0,-CR245/10%-2)),0),"")</f>
        <v/>
      </c>
      <c r="CX245" s="470" t="n">
        <f aca="false">IF(BD245,EURO(CP245,Strike1,AO245,AO245,CV245,CO245,IF(OptControl=4,0,1),0),0)</f>
        <v>0</v>
      </c>
      <c r="CY245" s="470" t="n">
        <f aca="false">IF(BD245,EURO(CP245,Strike1,AO245,AO245,CV245,CO245,IF(OptControl=4,0,1),1)+IF(OR(VolSkewFlag=2,ABS(CQ245)&lt;0.0001),0,IF(CQ245&gt;0,-1,1)*CZ245*100*Strike1/CP245^2*CS245/10%),0)</f>
        <v>0</v>
      </c>
      <c r="CZ245" s="470" t="n">
        <f aca="false">IF(BD245,EURO(CP245,Strike1,AO245,AO245,CV245,CO245,IF(OptControl=4,0,1),3)/100,0)</f>
        <v>0</v>
      </c>
      <c r="DA245" s="470" t="n">
        <f aca="false">IF(BD245,EURO(CP245,Strike1,AO245,AO245,CV245,CO245,IF(OptControl=4,0,1),0)-EURO(CP245,Strike1,AO245,AO245,CV245,CO245-1,IF(OptControl=4,0,1),0),0)</f>
        <v>0</v>
      </c>
      <c r="DB245" s="470" t="n">
        <f aca="false">IF(BD245,EURO(CP245,Strike2,AO245,AO245,CW245,CO245,IF(OptControl=3,1,0),0),0)</f>
        <v>0</v>
      </c>
      <c r="DC245" s="470" t="n">
        <f aca="false">IF(BD245,EURO(CP245,Strike2,AO245,AO245,CW245,CO245,IF(OptControl=3,1,0),1)+IF(OR(VolSkewFlag=2,ABS(CR245)&lt;0.0001),0,IF(CR245&gt;0,-1,1)*DD245*100*Strike2/CP245^2*CT245/10%),0)</f>
        <v>0</v>
      </c>
      <c r="DD245" s="470" t="n">
        <f aca="false">IF(BD245,EURO(CP245,Strike2,AO245,AO245,CW245,CO245,IF(OptControl=3,1,0),3)/100,0)</f>
        <v>0</v>
      </c>
      <c r="DE245" s="472" t="n">
        <f aca="false">IF(BD245,EURO(CP245,Strike2,AO245,AO245,CW245,CO245,IF(OptControl=3,1,0),0)-EURO(CP245,Strike2,AO245,AO245,CW245,CO245-1,IF(OptControl=3,1,0),0),0)</f>
        <v>0</v>
      </c>
      <c r="DG245" s="481" t="n">
        <f aca="false">EOMONTH(DG244,0)+1</f>
        <v>52536</v>
      </c>
      <c r="DH245" s="478" t="n">
        <v>25.4100000000001</v>
      </c>
      <c r="DI245" s="479" t="n">
        <v>25.4781818181819</v>
      </c>
      <c r="DJ245" s="480" t="n">
        <f aca="false">DG245</f>
        <v>52536</v>
      </c>
      <c r="DK245" s="478" t="n">
        <v>24.204104165093</v>
      </c>
      <c r="DL245" s="479" t="n">
        <v>24.2850818181819</v>
      </c>
      <c r="DM245" s="481" t="n">
        <f aca="false">DG245</f>
        <v>52536</v>
      </c>
      <c r="DN245" s="482" t="n">
        <f aca="false">DK245+BrentPhyBrentSpread</f>
        <v>24.254104165093</v>
      </c>
      <c r="DO245" s="481" t="n">
        <f aca="false">DG245</f>
        <v>52536</v>
      </c>
      <c r="DP245" s="483" t="n">
        <f aca="false">DL245+DQ245</f>
        <v>24.2850818181819</v>
      </c>
      <c r="DQ245" s="546" t="n">
        <v>0</v>
      </c>
      <c r="DR245" s="480" t="n">
        <f aca="false">DG245</f>
        <v>52536</v>
      </c>
      <c r="DS245" s="485" t="n">
        <v>0.0895999999999973</v>
      </c>
      <c r="DT245" s="486" t="n">
        <v>0.0887818181818155</v>
      </c>
      <c r="DU245" s="480" t="n">
        <f aca="false">DG245</f>
        <v>52536</v>
      </c>
      <c r="DV245" s="485" t="n">
        <v>0.0895999999999973</v>
      </c>
      <c r="DW245" s="486" t="n">
        <v>0.0887818181818155</v>
      </c>
      <c r="DX245" s="481" t="n">
        <f aca="false">DG245</f>
        <v>52536</v>
      </c>
      <c r="DY245" s="486" t="n">
        <v>0.35</v>
      </c>
      <c r="DZ245" s="481" t="n">
        <f aca="false">DR245</f>
        <v>52536</v>
      </c>
      <c r="EA245" s="486" t="n">
        <f aca="false">DT245</f>
        <v>0.0887818181818155</v>
      </c>
      <c r="EB245" s="195"/>
      <c r="EC245" s="547" t="str">
        <f aca="false">IF(BD245,IF(Underlying=1,AS245,AU245),"")</f>
        <v/>
      </c>
      <c r="ED245" s="548" t="str">
        <f aca="false">IF($BD245,$EC245+IF(VolSkewFlag=1,IF(BS245&gt;0,$BA245*MIN(BS245/10%,1)+($BB245-$BA245)*MAX(0,MIN(BS245/10%-1,1))+($BC245-$BB245)*MAX(0,BS245/10%-2),$AZ245*MIN(-BS245/10%,1)+($AY245-$AZ245)*MAX(0,MIN(-BS245/10%-1,1))+($AX245-$AY245)*MAX(0,-BS245/10%-2)),0),"")</f>
        <v/>
      </c>
      <c r="EE245" s="549" t="str">
        <f aca="false">IF($BD245,$EC245+IF(VolSkewFlag=1,IF(BT245&gt;0,$BA245*MIN(BT245/10%,1)+($BB245-$BA245)*MAX(0,MIN(BT245/10%-1,1))+($BC245-$BB245)*MAX(0,BT245/10%-2),$AZ245*MIN(-BT245/10%,1)+($AY245-$AZ245)*MAX(0,MIN(-BT245/10%-1,1))+($AX245-$AY245)*MAX(0,-BT245/10%-2)),0),"")</f>
        <v/>
      </c>
      <c r="EF245" s="550" t="n">
        <f aca="false">IF(BD245,xASN(BR245,Strike1,AO245,ED245,0,BO245,0,BI245,BL245,IF(OptControl=4,0,1),0),0)</f>
        <v>0</v>
      </c>
      <c r="EG245" s="551" t="n">
        <f aca="false">IF(BD245,xASN(BR245,Strike2,AO245,EE245,0,BO245,0,BI245,BL245,IF(OptControl=3,1,0),0),0)</f>
        <v>0</v>
      </c>
      <c r="EL245" s="1"/>
      <c r="EM245" s="195"/>
      <c r="EN245" s="240"/>
      <c r="EO245" s="240"/>
      <c r="EP245" s="195"/>
      <c r="EQ245" s="407" t="s">
        <v>474</v>
      </c>
      <c r="ES245" s="1"/>
      <c r="EU245" s="672"/>
      <c r="FJ245" s="571" t="n">
        <v>1</v>
      </c>
      <c r="FK245" s="150" t="n">
        <f aca="false">IF($FJ245+FK$244&gt;73,"",PRODUCT(INDEX($T$19:$T$93,FK$244):INDEX($T$19:$T$93,FK$244+$FJ245-1)))</f>
        <v>0.999998058583383</v>
      </c>
      <c r="FL245" s="150" t="n">
        <f aca="false">IF($FJ245+FL$244&gt;73,"",PRODUCT(INDEX($T$19:$T$93,FL$244):INDEX($T$19:$T$93,FL$244+$FJ245-1)))</f>
        <v>0.999997729334711</v>
      </c>
      <c r="FM245" s="150" t="n">
        <f aca="false">IF($FJ245+FM$244&gt;73,"",PRODUCT(INDEX($T$19:$T$93,FM$244):INDEX($T$19:$T$93,FM$244+$FJ245-1)))</f>
        <v>0.999997344247672</v>
      </c>
      <c r="FN245" s="150" t="n">
        <f aca="false">IF($FJ245+FN$244&gt;73,"",PRODUCT(INDEX($T$19:$T$93,FN$244):INDEX($T$19:$T$93,FN$244+$FJ245-1)))</f>
        <v>0.999996893852306</v>
      </c>
      <c r="FO245" s="150" t="n">
        <f aca="false">IF($FJ245+FO$244&gt;73,"",PRODUCT(INDEX($T$19:$T$93,FO$244):INDEX($T$19:$T$93,FO$244+$FJ245-1)))</f>
        <v>0.999996367072536</v>
      </c>
      <c r="FP245" s="150" t="n">
        <f aca="false">IF($FJ245+FP$244&gt;73,"",PRODUCT(INDEX($T$19:$T$93,FP$244):INDEX($T$19:$T$93,FP$244+$FJ245-1)))</f>
        <v>0.999995750953751</v>
      </c>
      <c r="FQ245" s="150" t="n">
        <f aca="false">IF($FJ245+FQ$244&gt;73,"",PRODUCT(INDEX($T$19:$T$93,FQ$244):INDEX($T$19:$T$93,FQ$244+$FJ245-1)))</f>
        <v>0.99999503034418</v>
      </c>
      <c r="FR245" s="150" t="n">
        <f aca="false">IF($FJ245+FR$244&gt;73,"",PRODUCT(INDEX($T$19:$T$93,FR$244):INDEX($T$19:$T$93,FR$244+$FJ245-1)))</f>
        <v>0.999994187522212</v>
      </c>
      <c r="FS245" s="150" t="n">
        <f aca="false">IF($FJ245+FS$244&gt;73,"",PRODUCT(INDEX($T$19:$T$93,FS$244):INDEX($T$19:$T$93,FS$244+$FJ245-1)))</f>
        <v>0.999993201760491</v>
      </c>
      <c r="FT245" s="150" t="n">
        <f aca="false">IF($FJ245+FT$244&gt;73,"",PRODUCT(INDEX($T$19:$T$93,FT$244):INDEX($T$19:$T$93,FT$244+$FJ245-1)))</f>
        <v>0.999992048816067</v>
      </c>
      <c r="FU245" s="150" t="n">
        <f aca="false">IF($FJ245+FU$244&gt;73,"",PRODUCT(INDEX($T$19:$T$93,FU$244):INDEX($T$19:$T$93,FU$244+$FJ245-1)))</f>
        <v>0.999990700334025</v>
      </c>
      <c r="FV245" s="150" t="n">
        <f aca="false">IF($FJ245+FV$244&gt;73,"",PRODUCT(INDEX($T$19:$T$93,FV$244):INDEX($T$19:$T$93,FV$244+$FJ245-1)))</f>
        <v>0.99998912314995</v>
      </c>
      <c r="FW245" s="150" t="n">
        <f aca="false">IF($FJ245+FW$244&gt;73,"",PRODUCT(INDEX($T$19:$T$93,FW$244):INDEX($T$19:$T$93,FW$244+$FJ245-1)))</f>
        <v>0.999987278474001</v>
      </c>
      <c r="FX245" s="150" t="n">
        <f aca="false">IF($FJ245+FX$244&gt;73,"",PRODUCT(INDEX($T$19:$T$93,FX$244):INDEX($T$19:$T$93,FX$244+$FJ245-1)))</f>
        <v>0.99998512093655</v>
      </c>
      <c r="FY245" s="150" t="n">
        <f aca="false">IF($FJ245+FY$244&gt;73,"",PRODUCT(INDEX($T$19:$T$93,FY$244):INDEX($T$19:$T$93,FY$244+$FJ245-1)))</f>
        <v>0.99998259747182</v>
      </c>
      <c r="FZ245" s="150" t="n">
        <f aca="false">IF($FJ245+FZ$244&gt;73,"",PRODUCT(INDEX($T$19:$T$93,FZ$244):INDEX($T$19:$T$93,FZ$244+$FJ245-1)))</f>
        <v>0.999979646012063</v>
      </c>
      <c r="GA245" s="150" t="n">
        <f aca="false">IF($FJ245+GA$244&gt;73,"",PRODUCT(INDEX($T$19:$T$93,GA$244):INDEX($T$19:$T$93,GA$244+$FJ245-1)))</f>
        <v>0.999976193960038</v>
      </c>
      <c r="GB245" s="150" t="n">
        <f aca="false">IF($FJ245+GB$244&gt;73,"",PRODUCT(INDEX($T$19:$T$93,GB$244):INDEX($T$19:$T$93,GB$244+$FJ245-1)))</f>
        <v>0.999972156402163</v>
      </c>
      <c r="GC245" s="150" t="n">
        <f aca="false">IF($FJ245+GC$244&gt;73,"",PRODUCT(INDEX($T$19:$T$93,GC$244):INDEX($T$19:$T$93,GC$244+$FJ245-1)))</f>
        <v>0.999967434018228</v>
      </c>
      <c r="GD245" s="150" t="n">
        <f aca="false">IF($FJ245+GD$244&gt;73,"",PRODUCT(INDEX($T$19:$T$93,GD$244):INDEX($T$19:$T$93,GD$244+$FJ245-1)))</f>
        <v>0.999961910636082</v>
      </c>
      <c r="GE245" s="150" t="n">
        <f aca="false">IF($FJ245+GE$244&gt;73,"",PRODUCT(INDEX($T$19:$T$93,GE$244):INDEX($T$19:$T$93,GE$244+$FJ245-1)))</f>
        <v>0.999955450370922</v>
      </c>
      <c r="GF245" s="150" t="n">
        <f aca="false">IF($FJ245+GF$244&gt;73,"",PRODUCT(INDEX($T$19:$T$93,GF$244):INDEX($T$19:$T$93,GF$244+$FJ245-1)))</f>
        <v>0.999947894278456</v>
      </c>
      <c r="GG245" s="150" t="n">
        <f aca="false">IF($FJ245+GG$244&gt;73,"",PRODUCT(INDEX($T$19:$T$93,GG$244):INDEX($T$19:$T$93,GG$244+$FJ245-1)))</f>
        <v>0.999939056439205</v>
      </c>
      <c r="GH245" s="150" t="n">
        <f aca="false">IF($FJ245+GH$244&gt;73,"",PRODUCT(INDEX($T$19:$T$93,GH$244):INDEX($T$19:$T$93,GH$244+$FJ245-1)))</f>
        <v>0.999928719377007</v>
      </c>
      <c r="GI245" s="150" t="n">
        <f aca="false">IF($FJ245+GI$244&gt;73,"",PRODUCT(INDEX($T$19:$T$93,GI$244):INDEX($T$19:$T$93,GI$244+$FJ245-1)))</f>
        <v>0.999916628698224</v>
      </c>
      <c r="GJ245" s="150" t="n">
        <f aca="false">IF($FJ245+GJ$244&gt;73,"",PRODUCT(INDEX($T$19:$T$93,GJ$244):INDEX($T$19:$T$93,GJ$244+$FJ245-1)))</f>
        <v>0.999902486818698</v>
      </c>
      <c r="GK245" s="150" t="n">
        <f aca="false">IF($FJ245+GK$244&gt;73,"",PRODUCT(INDEX($T$19:$T$93,GK$244):INDEX($T$19:$T$93,GK$244+$FJ245-1)))</f>
        <v>0.999885945622669</v>
      </c>
      <c r="GL245" s="150" t="n">
        <f aca="false">IF($FJ245+GL$244&gt;73,"",PRODUCT(INDEX($T$19:$T$93,GL$244):INDEX($T$19:$T$93,GL$244+$FJ245-1)))</f>
        <v>0.99986659787108</v>
      </c>
      <c r="GM245" s="150" t="n">
        <f aca="false">IF($FJ245+GM$244&gt;73,"",PRODUCT(INDEX($T$19:$T$93,GM$244):INDEX($T$19:$T$93,GM$244+$FJ245-1)))</f>
        <v>0.999843967145261</v>
      </c>
      <c r="GN245" s="150" t="n">
        <f aca="false">IF($FJ245+GN$244&gt;73,"",PRODUCT(INDEX($T$19:$T$93,GN$244):INDEX($T$19:$T$93,GN$244+$FJ245-1)))</f>
        <v>0.999817496074963</v>
      </c>
      <c r="GO245" s="150" t="n">
        <f aca="false">IF($FJ245+GO$244&gt;73,"",PRODUCT(INDEX($T$19:$T$93,GO$244):INDEX($T$19:$T$93,GO$244+$FJ245-1)))</f>
        <v>0.99978653255632</v>
      </c>
      <c r="GP245" s="150" t="n">
        <f aca="false">IF($FJ245+GP$244&gt;73,"",PRODUCT(INDEX($T$19:$T$93,GP$244):INDEX($T$19:$T$93,GP$244+$FJ245-1)))</f>
        <v>0.999750313614096</v>
      </c>
      <c r="GQ245" s="150" t="n">
        <f aca="false">IF($FJ245+GQ$244&gt;73,"",PRODUCT(INDEX($T$19:$T$93,GQ$244):INDEX($T$19:$T$93,GQ$244+$FJ245-1)))</f>
        <v>0.999707946502382</v>
      </c>
      <c r="GR245" s="150" t="n">
        <f aca="false">IF($FJ245+GR$244&gt;73,"",PRODUCT(INDEX($T$19:$T$93,GR$244):INDEX($T$19:$T$93,GR$244+$FJ245-1)))</f>
        <v>0.99965838656686</v>
      </c>
      <c r="GS245" s="150" t="n">
        <f aca="false">IF($FJ245+GS$244&gt;73,"",PRODUCT(INDEX($T$19:$T$93,GS$244):INDEX($T$19:$T$93,GS$244+$FJ245-1)))</f>
        <v>0.999600411307941</v>
      </c>
      <c r="GT245" s="150" t="n">
        <f aca="false">IF($FJ245+GT$244&gt;73,"",PRODUCT(INDEX($T$19:$T$93,GT$244):INDEX($T$19:$T$93,GT$244+$FJ245-1)))</f>
        <v>0.99953258998498</v>
      </c>
      <c r="GU245" s="150" t="n">
        <f aca="false">IF($FJ245+GU$244&gt;73,"",PRODUCT(INDEX($T$19:$T$93,GU$244):INDEX($T$19:$T$93,GU$244+$FJ245-1)))</f>
        <v>0.999453247984574</v>
      </c>
      <c r="GV245" s="150" t="n">
        <f aca="false">IF($FJ245+GV$244&gt;73,"",PRODUCT(INDEX($T$19:$T$93,GV$244):INDEX($T$19:$T$93,GV$244+$FJ245-1)))</f>
        <v>0.999360425036905</v>
      </c>
      <c r="GW245" s="150" t="n">
        <f aca="false">IF($FJ245+GW$244&gt;73,"",PRODUCT(INDEX($T$19:$T$93,GW$244):INDEX($T$19:$T$93,GW$244+$FJ245-1)))</f>
        <v>0.999251826199061</v>
      </c>
      <c r="GX245" s="150" t="n">
        <f aca="false">IF($FJ245+GX$244&gt;73,"",PRODUCT(INDEX($T$19:$T$93,GX$244):INDEX($T$19:$T$93,GX$244+$FJ245-1)))</f>
        <v>0.9991247643278</v>
      </c>
      <c r="GY245" s="150" t="n">
        <f aca="false">IF($FJ245+GY$244&gt;73,"",PRODUCT(INDEX($T$19:$T$93,GY$244):INDEX($T$19:$T$93,GY$244+$FJ245-1)))</f>
        <v>0.99897609252996</v>
      </c>
      <c r="GZ245" s="150" t="n">
        <f aca="false">IF($FJ245+GZ$244&gt;73,"",PRODUCT(INDEX($T$19:$T$93,GZ$244):INDEX($T$19:$T$93,GZ$244+$FJ245-1)))</f>
        <v>0.998802124798513</v>
      </c>
      <c r="HA245" s="150" t="n">
        <f aca="false">IF($FJ245+HA$244&gt;73,"",PRODUCT(INDEX($T$19:$T$93,HA$244):INDEX($T$19:$T$93,HA$244+$FJ245-1)))</f>
        <v>0.998598542706373</v>
      </c>
      <c r="HB245" s="150" t="n">
        <f aca="false">IF($FJ245+HB$244&gt;73,"",PRODUCT(INDEX($T$19:$T$93,HB$244):INDEX($T$19:$T$93,HB$244+$FJ245-1)))</f>
        <v>0.99836028562599</v>
      </c>
      <c r="HC245" s="150" t="n">
        <f aca="false">IF($FJ245+HC$244&gt;73,"",PRODUCT(INDEX($T$19:$T$93,HC$244):INDEX($T$19:$T$93,HC$244+$FJ245-1)))</f>
        <v>0.998081421455181</v>
      </c>
      <c r="HD245" s="150" t="n">
        <f aca="false">IF($FJ245+HD$244&gt;73,"",PRODUCT(INDEX($T$19:$T$93,HD$244):INDEX($T$19:$T$93,HD$244+$FJ245-1)))</f>
        <v>0.997754994239166</v>
      </c>
      <c r="HE245" s="150" t="n">
        <f aca="false">IF($FJ245+HE$244&gt;73,"",PRODUCT(INDEX($T$19:$T$93,HE$244):INDEX($T$19:$T$93,HE$244+$FJ245-1)))</f>
        <v>0.997372844360735</v>
      </c>
      <c r="HF245" s="150" t="n">
        <f aca="false">IF($FJ245+HF$244&gt;73,"",PRODUCT(INDEX($T$19:$T$93,HF$244):INDEX($T$19:$T$93,HF$244+$FJ245-1)))</f>
        <v>0.996925396093978</v>
      </c>
      <c r="HG245" s="150" t="n">
        <f aca="false">IF($FJ245+HG$244&gt;73,"",PRODUCT(INDEX($T$19:$T$93,HG$244):INDEX($T$19:$T$93,HG$244+$FJ245-1)))</f>
        <v>0.996401406241978</v>
      </c>
      <c r="HH245" s="150" t="n">
        <f aca="false">IF($FJ245+HH$244&gt;73,"",PRODUCT(INDEX($T$19:$T$93,HH$244):INDEX($T$19:$T$93,HH$244+$FJ245-1)))</f>
        <v>0.99578766625461</v>
      </c>
      <c r="HI245" s="150" t="n">
        <f aca="false">IF($FJ245+HI$244&gt;73,"",PRODUCT(INDEX($T$19:$T$93,HI$244):INDEX($T$19:$T$93,HI$244+$FJ245-1)))</f>
        <v>0.995068648582976</v>
      </c>
      <c r="HJ245" s="150" t="n">
        <f aca="false">IF($FJ245+HJ$244&gt;73,"",PRODUCT(INDEX($T$19:$T$93,HJ$244):INDEX($T$19:$T$93,HJ$244+$FJ245-1)))</f>
        <v>0.994226085987043</v>
      </c>
      <c r="HK245" s="150" t="n">
        <f aca="false">IF($FJ245+HK$244&gt;73,"",PRODUCT(INDEX($T$19:$T$93,HK$244):INDEX($T$19:$T$93,HK$244+$FJ245-1)))</f>
        <v>0.99323846996147</v>
      </c>
      <c r="HL245" s="150" t="n">
        <f aca="false">IF($FJ245+HL$244&gt;73,"",PRODUCT(INDEX($T$19:$T$93,HL$244):INDEX($T$19:$T$93,HL$244+$FJ245-1)))</f>
        <v>0.992080451236286</v>
      </c>
      <c r="HM245" s="150" t="n">
        <f aca="false">IF($FJ245+HM$244&gt;73,"",PRODUCT(INDEX($T$19:$T$93,HM$244):INDEX($T$19:$T$93,HM$244+$FJ245-1)))</f>
        <v>0.990722121252805</v>
      </c>
      <c r="HN245" s="150" t="n">
        <f aca="false">IF($FJ245+HN$244&gt;73,"",PRODUCT(INDEX($T$19:$T$93,HN$244):INDEX($T$19:$T$93,HN$244+$FJ245-1)))</f>
        <v>0.989128148358532</v>
      </c>
      <c r="HO245" s="150" t="n">
        <f aca="false">IF($FJ245+HO$244&gt;73,"",PRODUCT(INDEX($T$19:$T$93,HO$244):INDEX($T$19:$T$93,HO$244+$FJ245-1)))</f>
        <v>0.987256735871936</v>
      </c>
      <c r="HP245" s="150" t="n">
        <f aca="false">IF($FJ245+HP$244&gt;73,"",PRODUCT(INDEX($T$19:$T$93,HP$244):INDEX($T$19:$T$93,HP$244+$FJ245-1)))</f>
        <v>0.985058360690025</v>
      </c>
      <c r="HQ245" s="150" t="n">
        <f aca="false">IF($FJ245+HQ$244&gt;73,"",PRODUCT(INDEX($T$19:$T$93,HQ$244):INDEX($T$19:$T$93,HQ$244+$FJ245-1)))</f>
        <v>0.982474240143559</v>
      </c>
      <c r="HR245" s="150" t="n">
        <f aca="false">IF($FJ245+HR$244&gt;73,"",PRODUCT(INDEX($T$19:$T$93,HR$244):INDEX($T$19:$T$93,HR$244+$FJ245-1)))</f>
        <v>0.979434460524785</v>
      </c>
      <c r="HS245" s="150" t="n">
        <f aca="false">IF($FJ245+HS$244&gt;73,"",PRODUCT(INDEX($T$19:$T$93,HS$244):INDEX($T$19:$T$93,HS$244+$FJ245-1)))</f>
        <v>0.975855681992418</v>
      </c>
      <c r="HT245" s="150" t="n">
        <f aca="false">IF($FJ245+HT$244&gt;73,"",PRODUCT(INDEX($T$19:$T$93,HT$244):INDEX($T$19:$T$93,HT$244+$FJ245-1)))</f>
        <v>0.971638309829534</v>
      </c>
      <c r="HU245" s="150" t="n">
        <f aca="false">IF($FJ245+HU$244&gt;73,"",PRODUCT(INDEX($T$19:$T$93,HU$244):INDEX($T$19:$T$93,HU$244+$FJ245-1)))</f>
        <v>0.966662989075835</v>
      </c>
      <c r="HV245" s="150" t="n">
        <f aca="false">IF($FJ245+HV$244&gt;73,"",PRODUCT(INDEX($T$19:$T$93,HV$244):INDEX($T$19:$T$93,HV$244+$FJ245-1)))</f>
        <v>0.960786235182493</v>
      </c>
      <c r="HW245" s="150" t="n">
        <f aca="false">IF($FJ245+HW$244&gt;73,"",PRODUCT(INDEX($T$19:$T$93,HW$244):INDEX($T$19:$T$93,HW$244+$FJ245-1)))</f>
        <v>0.953834952828563</v>
      </c>
      <c r="HX245" s="150" t="n">
        <f aca="false">IF($FJ245+HX$244&gt;73,"",PRODUCT(INDEX($T$19:$T$93,HX$244):INDEX($T$19:$T$93,HX$244+$FJ245-1)))</f>
        <v>0.94559951121504</v>
      </c>
      <c r="HY245" s="150" t="n">
        <f aca="false">IF($FJ245+HY$244&gt;73,"",PRODUCT(INDEX($T$19:$T$93,HY$244):INDEX($T$19:$T$93,HY$244+$FJ245-1)))</f>
        <v>0.935824925698223</v>
      </c>
      <c r="HZ245" s="150" t="n">
        <f aca="false">IF($FJ245+HZ$244&gt;73,"",PRODUCT(INDEX($T$19:$T$93,HZ$244):INDEX($T$19:$T$93,HZ$244+$FJ245-1)))</f>
        <v>0.924199523938852</v>
      </c>
      <c r="IA245" s="150" t="n">
        <f aca="false">IF($FJ245+IA$244&gt;73,"",PRODUCT(INDEX($T$19:$T$93,IA$244):INDEX($T$19:$T$93,IA$244+$FJ245-1)))</f>
        <v>0.910340217797921</v>
      </c>
      <c r="IB245" s="150" t="n">
        <f aca="false">IF($FJ245+IB$244&gt;73,"",PRODUCT(INDEX($T$19:$T$93,IB$244):INDEX($T$19:$T$93,IB$244+$FJ245-1)))</f>
        <v>0.893773101911717</v>
      </c>
      <c r="IC245" s="150" t="n">
        <f aca="false">IF($FJ245+IC$244&gt;73,"",PRODUCT(INDEX($T$19:$T$93,IC$244):INDEX($T$19:$T$93,IC$244+$FJ245-1)))</f>
        <v>0.873907444720993</v>
      </c>
      <c r="ID245" s="572" t="n">
        <f aca="false">IF($FJ245+ID$244&gt;73,"",PRODUCT(INDEX($T$19:$T$93,ID$244):INDEX($T$19:$T$93,ID$244+$FJ245-1)))</f>
        <v>0.85</v>
      </c>
      <c r="IE245" s="129"/>
    </row>
    <row r="246" customFormat="false" ht="12.75" hidden="false" customHeight="false" outlineLevel="0" collapsed="false">
      <c r="H246" s="219" t="n">
        <f aca="false">VLOOKUP(I246,$EJ$20:$EL$54,3)</f>
        <v>0</v>
      </c>
      <c r="I246" s="511" t="n">
        <f aca="false">EOMONTH(I245,0)+1</f>
        <v>43647</v>
      </c>
      <c r="J246" s="512"/>
      <c r="K246" s="513" t="s">
        <v>280</v>
      </c>
      <c r="L246" s="514" t="n">
        <f aca="false">IF(ISNUMBER(K246),J246+K246/100,IF(K246="extra",L245+VLOOKUP(BF246,PriceSpreadTable,2)/12,IF(K246="inter",interpolateprices($K$19:$L$200,ROW(K246)-ROW(FirstPricingMonth)+1),interpolatechanges($J$19:$K$200,ROW(K246)-ROW(FirstPricingMonth)+1))))</f>
        <v>5.62499999999999</v>
      </c>
      <c r="M246" s="515"/>
      <c r="N246" s="516" t="n">
        <v>0</v>
      </c>
      <c r="O246" s="515" t="n">
        <f aca="false">M246+N246</f>
        <v>0</v>
      </c>
      <c r="P246" s="512"/>
      <c r="Q246" s="513" t="s">
        <v>280</v>
      </c>
      <c r="R246" s="512" t="e">
        <f aca="false">IF(ISNUMBER(Q246),P246+Q246/100,IF(Q246="extra",(Z244*AL244-R245*AM244)/AN244,IF(Q246="inter",interpolateprices($Q$19:$R$260,ROW(Q246)-ROW(FirstPricingMonth)+1),interpolatechanges($P$19:$Q$260,ROW(Q246)-ROW(FirstPricingMonth)+1))))</f>
        <v>#VALUE!</v>
      </c>
      <c r="S246" s="597" t="n">
        <f aca="false">S$19+(S245-S$19)*S$18</f>
        <v>0.36</v>
      </c>
      <c r="T246" s="575" t="n">
        <f aca="false">SQRT((1-(1-T245^2/U245)*T$18)*U246)</f>
        <v>1</v>
      </c>
      <c r="U246" s="576" t="n">
        <f aca="false">1-(1-U245)*U$18</f>
        <v>1</v>
      </c>
      <c r="V246" s="521" t="n">
        <v>0</v>
      </c>
      <c r="W246" s="577" t="n">
        <f aca="false">(J247*AJ246+J248*AK246)/AI246</f>
        <v>0</v>
      </c>
      <c r="X246" s="578" t="n">
        <f aca="false">(L247*AJ246+L248*AK246)/AI246</f>
        <v>5.67613636363635</v>
      </c>
      <c r="Y246" s="579" t="n">
        <f aca="false">IF(Q248="extra",W246-AA246,(P247*AM246+P248*AN246)/AL246)</f>
        <v>-1.2669</v>
      </c>
      <c r="Z246" s="579" t="n">
        <f aca="false">IF(Q248="extra",X246-AB246,(R247*AM246+R248*AN246)/AL246)</f>
        <v>4.40923636363635</v>
      </c>
      <c r="AA246" s="523" t="n">
        <f aca="false">IF(Q248="extra",INDEX(BrentSeasonalityTable,INT((BG246-1)/3)+1)*VLOOKUP(MAX(BF246,$AB$4),PriceSpreadTable,3),W246-Y246)</f>
        <v>1.2669</v>
      </c>
      <c r="AB246" s="524" t="n">
        <f aca="false">IF(Q248="extra",INDEX(BrentSeasonalityTable,INT((BG246-1)/3)+1)*VLOOKUP(MAX(BF246,$AB$4),PriceSpreadTable,3),X246-Z246)</f>
        <v>1.2669</v>
      </c>
      <c r="AC246" s="646" t="n">
        <v>43636</v>
      </c>
      <c r="AD246" s="646" t="n">
        <v>43632</v>
      </c>
      <c r="AE246" s="646" t="n">
        <v>43631</v>
      </c>
      <c r="AF246" s="646" t="n">
        <v>43627</v>
      </c>
      <c r="AG246" s="438" t="s">
        <v>278</v>
      </c>
      <c r="AH246" s="439" t="s">
        <v>278</v>
      </c>
      <c r="AI246" s="528" t="n">
        <v>22</v>
      </c>
      <c r="AJ246" s="529" t="n">
        <v>14</v>
      </c>
      <c r="AK246" s="529" t="n">
        <v>8</v>
      </c>
      <c r="AL246" s="530" t="n">
        <v>23</v>
      </c>
      <c r="AM246" s="529" t="n">
        <v>10</v>
      </c>
      <c r="AN246" s="531" t="n">
        <v>13</v>
      </c>
      <c r="AO246" s="532"/>
      <c r="AP246" s="465" t="n">
        <f aca="false">(1+AO246/2)^(-2*BL246)</f>
        <v>1</v>
      </c>
      <c r="AQ246" s="532"/>
      <c r="AR246" s="465" t="n">
        <f aca="false">(1+AQ246/2)^(-2*BH246/365.25)</f>
        <v>1</v>
      </c>
      <c r="AS246" s="580" t="n">
        <f aca="false">(O247*AJ246+O248*AK246)/AI246</f>
        <v>0</v>
      </c>
      <c r="AT246" s="468" t="n">
        <f aca="false">O246*VLOOKUP(BF246,BrentVolTable,2)+VLOOKUP(BF246,BrentVolTable,3)</f>
        <v>0</v>
      </c>
      <c r="AU246" s="468" t="n">
        <f aca="false">(AT247*AM246+AT248*AN246)/AL246</f>
        <v>0</v>
      </c>
      <c r="AV246" s="595" t="n">
        <f aca="false">SQRT(MAX(0.000000000001,(O246^2*BH246-S246^2*(BH246-BH245))/BH245))</f>
        <v>0.0415781618835058</v>
      </c>
      <c r="AW246" s="451" t="n">
        <f aca="false">IF($I246-DateToday+15&gt;=$T$8,"",IF($I246-DateToday+15&lt;$T$5,1,MATCH($I246-DateToday+15,$T$5:$T$8)))</f>
        <v>1</v>
      </c>
      <c r="AX246" s="468" t="n">
        <f aca="false">IF($AW246="",AX245^2/AX244,INDEX(U$5:U$8,$AW246)^((INDEX($T$5:$T$8,$AW246+1)-($I246-DateToday+15))/(INDEX($T$5:$T$8,$AW246+1)-INDEX($T$5:$T$8,$AW246)))/INDEX(U$5:U$8,$AW246+1)^((INDEX($T$5:$T$8,$AW246)-($I246-DateToday+15))/(INDEX($T$5:$T$8,$AW246+1)-INDEX($T$5:$T$8,$AW246))))</f>
        <v>0.100187733368142</v>
      </c>
      <c r="AY246" s="468" t="n">
        <f aca="false">IF($AW246="",AY245^2/AY244,INDEX(V$5:V$8,$AW246)^((INDEX($T$5:$T$8,$AW246+1)-($I246-DateToday+15))/(INDEX($T$5:$T$8,$AW246+1)-INDEX($T$5:$T$8,$AW246)))/INDEX(V$5:V$8,$AW246+1)^((INDEX($T$5:$T$8,$AW246)-($I246-DateToday+15))/(INDEX($T$5:$T$8,$AW246+1)-INDEX($T$5:$T$8,$AW246))))</f>
        <v>0.383019821427176</v>
      </c>
      <c r="AZ246" s="468" t="n">
        <f aca="false">IF($AW246="",AZ245^2/AZ244,INDEX(W$5:W$8,$AW246)^((INDEX($T$5:$T$8,$AW246+1)-($I246-DateToday+15))/(INDEX($T$5:$T$8,$AW246+1)-INDEX($T$5:$T$8,$AW246)))/INDEX(W$5:W$8,$AW246+1)^((INDEX($T$5:$T$8,$AW246)-($I246-DateToday+15))/(INDEX($T$5:$T$8,$AW246+1)-INDEX($T$5:$T$8,$AW246))))</f>
        <v>5.91838983245797</v>
      </c>
      <c r="BA246" s="468" t="n">
        <f aca="false">IF($AW246="",BA245^2/BA244,INDEX(X$5:X$8,$AW246)^((INDEX($T$5:$T$8,$AW246+1)-($I246-DateToday+15))/(INDEX($T$5:$T$8,$AW246+1)-INDEX($T$5:$T$8,$AW246)))/INDEX(X$5:X$8,$AW246+1)^((INDEX($T$5:$T$8,$AW246)-($I246-DateToday+15))/(INDEX($T$5:$T$8,$AW246+1)-INDEX($T$5:$T$8,$AW246))))</f>
        <v>6.17656315107314</v>
      </c>
      <c r="BB246" s="468" t="n">
        <f aca="false">IF($AW246="",BB245^2/BB244,INDEX(Y$5:Y$8,$AW246)^((INDEX($T$5:$T$8,$AW246+1)-($I246-DateToday+15))/(INDEX($T$5:$T$8,$AW246+1)-INDEX($T$5:$T$8,$AW246)))/INDEX(Y$5:Y$8,$AW246+1)^((INDEX($T$5:$T$8,$AW246)-($I246-DateToday+15))/(INDEX($T$5:$T$8,$AW246+1)-INDEX($T$5:$T$8,$AW246))))</f>
        <v>18.2360147831002</v>
      </c>
      <c r="BC246" s="468" t="n">
        <f aca="false">IF($AW246="",BC245^2/BC244,INDEX(Z$5:Z$8,$AW246)^((INDEX($T$5:$T$8,$AW246+1)-($I246-DateToday+15))/(INDEX($T$5:$T$8,$AW246+1)-INDEX($T$5:$T$8,$AW246)))/INDEX(Z$5:Z$8,$AW246+1)^((INDEX($T$5:$T$8,$AW246)-($I246-DateToday+15))/(INDEX($T$5:$T$8,$AW246+1)-INDEX($T$5:$T$8,$AW246))))</f>
        <v>36.0728142231902</v>
      </c>
      <c r="BD246" s="535" t="n">
        <f aca="false">IF(OR(DateStart&gt;=I247,DateEnd&lt;I246),0,IF(VolumeOverrideFlag,V246,Volume))</f>
        <v>0</v>
      </c>
      <c r="BE246" s="536" t="n">
        <f aca="false">IF(OR(DateStart2&gt;=I247,DateEnd2&lt;I246),0,IF(VolumeOverrideFlag,V246,VolumeSwaption))</f>
        <v>0</v>
      </c>
      <c r="BF246" s="537" t="n">
        <f aca="false">YEAR(I246)</f>
        <v>2019</v>
      </c>
      <c r="BG246" s="538" t="n">
        <f aca="false">MONTH(I246)</f>
        <v>7</v>
      </c>
      <c r="BH246" s="539" t="n">
        <f aca="false">AD246-DateToday+1</f>
        <v>-2293</v>
      </c>
      <c r="BI246" s="540" t="n">
        <f aca="false">(I246-DateToday+1)/365.25</f>
        <v>-6.23682409308693</v>
      </c>
      <c r="BJ246" s="541" t="n">
        <f aca="false">BI246+(BL246-BI246)*CHOOSE(Underlying,AJ246/AI246,AM246/AL246)</f>
        <v>-6.18455603260532</v>
      </c>
      <c r="BK246" s="541" t="n">
        <f aca="false">BJ246+1/365.25</f>
        <v>-6.18181818181818</v>
      </c>
      <c r="BL246" s="541" t="n">
        <f aca="false">(I247-DateToday)/365.25</f>
        <v>-6.15468856947296</v>
      </c>
      <c r="BM246" s="542" t="e">
        <f aca="false">MAX(BI246-(BJ246-BI246)*(S247^2/O247^2-1),0)</f>
        <v>#DIV/0!</v>
      </c>
      <c r="BN246" s="541" t="e">
        <f aca="false">MAX(BL246+(BL246-BK246)*(S248^2/O248^2-1),0)</f>
        <v>#DIV/0!</v>
      </c>
      <c r="BO246" s="530" t="n">
        <f aca="false">CHOOSE(Underlying,AI246,AL246)</f>
        <v>22</v>
      </c>
      <c r="BP246" s="529" t="n">
        <f aca="false">CHOOSE(Underlying,AJ246,AM246)</f>
        <v>14</v>
      </c>
      <c r="BQ246" s="529" t="n">
        <f aca="false">CHOOSE(Underlying,AK246,AN246)</f>
        <v>8</v>
      </c>
      <c r="BR246" s="463" t="str">
        <f aca="false">IF(BD246,IF(Underlying=1,X246,Z246)+UnderlyingPriceAsian-SwapPriceCurve,"")</f>
        <v/>
      </c>
      <c r="BS246" s="463" t="str">
        <f aca="false">IF(BD246,Strike1/BR246-1,"")</f>
        <v/>
      </c>
      <c r="BT246" s="464" t="str">
        <f aca="false">IF(BD246,Strike2/BR246-1,"")</f>
        <v/>
      </c>
      <c r="BU246" s="465" t="str">
        <f aca="false">IF(BD246,IF(Underlying=1,L247,R247)+UnderlyingPriceAsian-SwapPriceCurve,"")</f>
        <v/>
      </c>
      <c r="BV246" s="465" t="str">
        <f aca="false">IF(BD246,IF(Underlying=1,L248,R248)+UnderlyingPriceAsian-SwapPriceCurve,"")</f>
        <v/>
      </c>
      <c r="BW246" s="466" t="str">
        <f aca="false">IF(BD246,IF(Underlying=1,O247,AT247),"")</f>
        <v/>
      </c>
      <c r="BX246" s="467" t="str">
        <f aca="false">IF(BD246,IF(Underlying=1,O248,AT248),"")</f>
        <v/>
      </c>
      <c r="BY246" s="466" t="str">
        <f aca="false">IF(BD246,IF(BS246&gt;0,IF(BS246&gt;0.2,BC246-BB246,IF(BS246&gt;0.1,BB246-BA246,BA246)),IF(BS246&lt;-0.2,AX246-AY246,IF(BS246&lt;-0.1,AY246-AZ246,AZ246))),"")</f>
        <v/>
      </c>
      <c r="BZ246" s="467" t="str">
        <f aca="false">IF(BD246,IF(BT246&gt;0,IF(BT246&gt;0.2,BC246-BB246,IF(BT246&gt;0.1,BB246-BA246,BA246)),IF(BT246&lt;-0.2,AX246-AY246,IF(BT246&lt;-0.1,AY246-AZ246,AZ246))),"")</f>
        <v/>
      </c>
      <c r="CA246" s="468" t="str">
        <f aca="false">IF($BD246,$BW246+IF(VolSkewFlag=1,IF(BS246&gt;0,$BA246*MIN(BS246/10%,1)+($BB246-$BA246)*MAX(0,MIN(BS246/10%-1,1))+($BC246-$BB246)*MAX(0,BS246/10%-2),$AZ246*MIN(-BS246/10%,1)+($AY246-$AZ246)*MAX(0,MIN(-BS246/10%-1,1))+($AX246-$AY246)*MAX(0,-BS246/10%-2)),0),"")</f>
        <v/>
      </c>
      <c r="CB246" s="468" t="str">
        <f aca="false">IF($BD246,$BX246+IF(VolSkewFlag=1,IF(BS246&gt;0,$BA246*MIN(BS246/10%,1)+($BB246-$BA246)*MAX(0,MIN(BS246/10%-1,1))+($BC246-$BB246)*MAX(0,BS246/10%-2),$AZ246*MIN(-BS246/10%,1)+($AY246-$AZ246)*MAX(0,MIN(-BS246/10%-1,1))+($AX246-$AY246)*MAX(0,-BS246/10%-2)),0),"")</f>
        <v/>
      </c>
      <c r="CC246" s="468" t="str">
        <f aca="false">IF($BD246,$BW246+IF(VolSkewFlag=1,IF(BT246&gt;0,$BA246*MIN(BT246/10%,1)+($BB246-$BA246)*MAX(0,MIN(BT246/10%-1,1))+($BC246-$BB246)*MAX(0,BT246/10%-2),$AZ246*MIN(-BT246/10%,1)+($AY246-$AZ246)*MAX(0,MIN(-BT246/10%-1,1))+($AX246-$AY246)*MAX(0,-BT246/10%-2)),0),"")</f>
        <v/>
      </c>
      <c r="CD246" s="468" t="str">
        <f aca="false">IF($BD246,$BX246+IF(VolSkewFlag=1,IF(BT246&gt;0,$BA246*MIN(BT246/10%,1)+($BB246-$BA246)*MAX(0,MIN(BT246/10%-1,1))+($BC246-$BB246)*MAX(0,BT246/10%-2),$AZ246*MIN(-BT246/10%,1)+($AY246-$AZ246)*MAX(0,MIN(-BT246/10%-1,1))+($AX246-$AY246)*MAX(0,-BT246/10%-2)),0),"")</f>
        <v/>
      </c>
      <c r="CE246" s="469" t="n">
        <v>1</v>
      </c>
      <c r="CF246" s="470" t="n">
        <f aca="false">IF(BD246,xCrudeAPO(BU246,BV246,CA246,CB246,S247,S248,BI246,BL246,BP246,BQ246,0,Strike1,AO246,CE246,0,BL246,IF(OptControl=4,0,1),0,1),0)</f>
        <v>0</v>
      </c>
      <c r="CG246" s="470" t="n">
        <f aca="false">IF(BD246,xCrudeAPO(BU246,BV246,CA246,CB246,S247,S248,BI246,BL246,BP246,BQ246,0,Strike1,AO246,CE246,0,BL246,IF(OptControl=4,0,1),1,1)+xCrudeAPO(BU246,BV246,CA246,CB246,S247,S248,BI246,BL246,BP246,BQ246,0,Strike1,AO246,CE246,0,BL246,IF(OptControl=4,0,1),1,2)+IF(OR(VolSkewFlag=2,ABS(BS246)&lt;0.0001),0,IF(BS246&gt;0,-1,1)*CH246*Strike1/BR246^2*BY246/10%),0)</f>
        <v>0</v>
      </c>
      <c r="CH246" s="470" t="n">
        <f aca="false">IF(BD246,(xCrudeAPO(BU246,BV246,CA246,CB246,S247,S248,BI246,BL246,BP246,BQ246,0,Strike1,AO246,CE246,0,BL246,IF(OptControl=4,0,1),3,1)+xCrudeAPO(BU246,BV246,CA246,CB246,S247,S248,BI246,BL246,BP246,BQ246,0,Strike1,AO246,CE246,0,BL246,IF(OptControl=4,0,1),3,2))/100,0)</f>
        <v>0</v>
      </c>
      <c r="CI246" s="470" t="n">
        <f aca="false">IF(BD246,xCrudeAPO(BU246,BV246,CA246,CB246,S247,S248,BI246-DaysForThetaCalculation/365.25,BL246-DaysForThetaCalculation/365.25,BP246,BQ246,0,Strike1,AO246,CE246,0,BL246,IF(OptControl=4,0,1),0,1)-xCrudeAPO(BU246,BV246,CA246,CB246,S247,S248,BI246,BL246,BP246,BQ246,0,Strike1,AO246,CE246,0,BL246,IF(OptControl=4,0,1),0,1),0)</f>
        <v>0</v>
      </c>
      <c r="CJ246" s="471" t="n">
        <f aca="false">IF(BD246,xCrudeAPO(BU246,BV246,CC246,CD246,S247,S248,BI246,BL246,BP246,BQ246,0,Strike2,AO246,CE246,0,BL246,IF(OptControl=3,1,0),0,1),0)</f>
        <v>0</v>
      </c>
      <c r="CK246" s="470" t="n">
        <f aca="false">IF(BD246,xCrudeAPO(BU246,BV246,CC246,CD246,S247,S248,BI246,BL246,BP246,BQ246,0,Strike2,AO246,CE246,0,BL246,IF(OptControl=3,1,0),1,1)+xCrudeAPO(BU246,BV246,CC246,CD246,S247,S248,BI246,BL246,BP246,BQ246,0,Strike2,AO246,CE246,0,BL246,IF(OptControl=3,1,0),1,2)+IF(OR(VolSkewFlag=2,ABS(BT246)&lt;0.0001),0,IF(BT246&gt;0,-1,1)*CL246*Strike2/BR246^2*BZ246/10%),0)</f>
        <v>0</v>
      </c>
      <c r="CL246" s="470" t="n">
        <f aca="false">IF(BD246,(xCrudeAPO(BU246,BV246,CC246,CD246,S247,S248,BI246,BL246,BP246,BQ246,0,Strike2,AO246,CE246,0,BL246,IF(OptControl=3,1,0),3,1)+xCrudeAPO(BU246,BV246,CC246,CD246,S247,S248,BI246,BL246,BP246,BQ246,0,Strike2,AO246,CE246,0,BL246,IF(OptControl=3,1,0),3,2))/100,0)</f>
        <v>0</v>
      </c>
      <c r="CM246" s="472" t="n">
        <f aca="false">IF(BD246,xCrudeAPO(BU246,BV246,CC246,CD246,S247,S248,BI246-DaysForThetaCalculation/365.25,BL246-DaysForThetaCalculation/365.25,BP246,BQ246,0,Strike2,AO246,CE246,0,BL246,IF(OptControl=3,1,0),0,1)-xCrudeAPO(BU246,BV246,CC246,CD246,S247,S248,BI246,BL246,BP246,BQ246,0,Strike2,AO246,CE246,0,BL246,IF(OptControl=3,1,0),0,1),0)</f>
        <v>0</v>
      </c>
      <c r="CN246" s="3"/>
      <c r="CO246" s="543" t="str">
        <f aca="false">IF(BD246,CHOOSE(Underlying,AD246,AF246)-DateToday+1,"")</f>
        <v/>
      </c>
      <c r="CP246" s="582" t="str">
        <f aca="false">IF(BD246,CHOOSE(Underlying,L246,R246),"")</f>
        <v/>
      </c>
      <c r="CQ246" s="544" t="str">
        <f aca="false">IF(BD246,Strike1/CP246-1,"")</f>
        <v/>
      </c>
      <c r="CR246" s="544" t="str">
        <f aca="false">IF(BD246,Strike2/CP246-1,"")</f>
        <v/>
      </c>
      <c r="CS246" s="544" t="str">
        <f aca="false">IF(BD246,IF(CQ246&gt;0,IF(CQ246&gt;0.2,BC245-BB245,IF(CQ246&gt;0.1,BB245-BA245,BA245)),IF(CQ246&lt;-0.2,AX245-AY245,IF(CQ246&lt;-0.1,AY245-AZ245,AZ245))),"")</f>
        <v/>
      </c>
      <c r="CT246" s="544" t="str">
        <f aca="false">IF(BD246,IF(CR246&gt;0,IF(CR246&gt;0.2,BC245-BB245,IF(CR246&gt;0.1,BB245-BA245,BA245)),IF(CR246&lt;-0.2,AX245-AY245,IF(CR246&lt;-0.1,AY245-AZ245,AZ245))),"")</f>
        <v/>
      </c>
      <c r="CU246" s="545" t="str">
        <f aca="false">IF(BD246,CHOOSE(Underlying,O246,AT246),"")</f>
        <v/>
      </c>
      <c r="CV246" s="545" t="str">
        <f aca="false">IF(BD246,CU246+IF(VolSkewFlag=1,IF(CQ246&gt;0,BA245*MIN(CQ246/10%,1)+(BB245-BA245)*MAX(0,MIN(CQ246/10%-1,1))+(BC245-BB245)*MAX(0,CQ246/10%-2),AZ245*MIN(-CQ246/10%,1)+(AY245-AZ245)*MAX(0,MIN(-CQ246/10%-1,1))+(AX245-AY245)*MAX(0,-CQ246/10%-2)),0),"")</f>
        <v/>
      </c>
      <c r="CW246" s="545" t="str">
        <f aca="false">IF(BD246,CU246+IF(VolSkewFlag=1,IF(CR246&gt;0,BA245*MIN(CR246/10%,1)+(BB245-BA245)*MAX(0,MIN(CR246/10%-1,1))+(BC245-BB245)*MAX(0,CR246/10%-2),AZ245*MIN(-CR246/10%,1)+(AY245-AZ245)*MAX(0,MIN(-CR246/10%-1,1))+(AX245-AY245)*MAX(0,-CR246/10%-2)),0),"")</f>
        <v/>
      </c>
      <c r="CX246" s="470" t="n">
        <f aca="false">IF(BD246,EURO(CP246,Strike1,AO246,AO246,CV246,CO246,IF(OptControl=4,0,1),0),0)</f>
        <v>0</v>
      </c>
      <c r="CY246" s="470" t="n">
        <f aca="false">IF(BD246,EURO(CP246,Strike1,AO246,AO246,CV246,CO246,IF(OptControl=4,0,1),1)+IF(OR(VolSkewFlag=2,ABS(CQ246)&lt;0.0001),0,IF(CQ246&gt;0,-1,1)*CZ246*100*Strike1/CP246^2*CS246/10%),0)</f>
        <v>0</v>
      </c>
      <c r="CZ246" s="470" t="n">
        <f aca="false">IF(BD246,EURO(CP246,Strike1,AO246,AO246,CV246,CO246,IF(OptControl=4,0,1),3)/100,0)</f>
        <v>0</v>
      </c>
      <c r="DA246" s="470" t="n">
        <f aca="false">IF(BD246,EURO(CP246,Strike1,AO246,AO246,CV246,CO246,IF(OptControl=4,0,1),0)-EURO(CP246,Strike1,AO246,AO246,CV246,CO246-1,IF(OptControl=4,0,1),0),0)</f>
        <v>0</v>
      </c>
      <c r="DB246" s="470" t="n">
        <f aca="false">IF(BD246,EURO(CP246,Strike2,AO246,AO246,CW246,CO246,IF(OptControl=3,1,0),0),0)</f>
        <v>0</v>
      </c>
      <c r="DC246" s="470" t="n">
        <f aca="false">IF(BD246,EURO(CP246,Strike2,AO246,AO246,CW246,CO246,IF(OptControl=3,1,0),1)+IF(OR(VolSkewFlag=2,ABS(CR246)&lt;0.0001),0,IF(CR246&gt;0,-1,1)*DD246*100*Strike2/CP246^2*CT246/10%),0)</f>
        <v>0</v>
      </c>
      <c r="DD246" s="470" t="n">
        <f aca="false">IF(BD246,EURO(CP246,Strike2,AO246,AO246,CW246,CO246,IF(OptControl=3,1,0),3)/100,0)</f>
        <v>0</v>
      </c>
      <c r="DE246" s="472" t="n">
        <f aca="false">IF(BD246,EURO(CP246,Strike2,AO246,AO246,CW246,CO246,IF(OptControl=3,1,0),0)-EURO(CP246,Strike2,AO246,AO246,CW246,CO246-1,IF(OptControl=3,1,0),0),0)</f>
        <v>0</v>
      </c>
      <c r="DG246" s="481" t="n">
        <f aca="false">EOMONTH(DG245,0)+1</f>
        <v>52566</v>
      </c>
      <c r="DH246" s="478" t="n">
        <v>25.4600000000001</v>
      </c>
      <c r="DI246" s="479" t="n">
        <v>25.5250000000001</v>
      </c>
      <c r="DJ246" s="480" t="n">
        <f aca="false">DG246</f>
        <v>52566</v>
      </c>
      <c r="DK246" s="478" t="n">
        <v>24.2575121806979</v>
      </c>
      <c r="DL246" s="479" t="n">
        <v>24.3319000000001</v>
      </c>
      <c r="DM246" s="481" t="n">
        <f aca="false">DG246</f>
        <v>52566</v>
      </c>
      <c r="DN246" s="482" t="n">
        <f aca="false">DK246+BrentPhyBrentSpread</f>
        <v>24.3075121806979</v>
      </c>
      <c r="DO246" s="481" t="n">
        <f aca="false">DG246</f>
        <v>52566</v>
      </c>
      <c r="DP246" s="483" t="n">
        <f aca="false">DL246+DQ246</f>
        <v>24.3319000000001</v>
      </c>
      <c r="DQ246" s="546" t="n">
        <v>0</v>
      </c>
      <c r="DR246" s="480" t="n">
        <f aca="false">DG246</f>
        <v>52566</v>
      </c>
      <c r="DS246" s="485" t="n">
        <v>0.0889999999999973</v>
      </c>
      <c r="DT246" s="486" t="n">
        <v>0.0882199999999973</v>
      </c>
      <c r="DU246" s="480" t="n">
        <f aca="false">DG246</f>
        <v>52566</v>
      </c>
      <c r="DV246" s="485" t="n">
        <v>0.0889999999999973</v>
      </c>
      <c r="DW246" s="486" t="n">
        <v>0.0882199999999973</v>
      </c>
      <c r="DX246" s="481" t="n">
        <f aca="false">DG246</f>
        <v>52566</v>
      </c>
      <c r="DY246" s="486" t="n">
        <v>0.35</v>
      </c>
      <c r="DZ246" s="481" t="n">
        <f aca="false">DR246</f>
        <v>52566</v>
      </c>
      <c r="EA246" s="486" t="n">
        <f aca="false">DT246</f>
        <v>0.0882199999999973</v>
      </c>
      <c r="EB246" s="195"/>
      <c r="EC246" s="547" t="str">
        <f aca="false">IF(BD246,IF(Underlying=1,AS246,AU246),"")</f>
        <v/>
      </c>
      <c r="ED246" s="548" t="str">
        <f aca="false">IF($BD246,$EC246+IF(VolSkewFlag=1,IF(BS246&gt;0,$BA246*MIN(BS246/10%,1)+($BB246-$BA246)*MAX(0,MIN(BS246/10%-1,1))+($BC246-$BB246)*MAX(0,BS246/10%-2),$AZ246*MIN(-BS246/10%,1)+($AY246-$AZ246)*MAX(0,MIN(-BS246/10%-1,1))+($AX246-$AY246)*MAX(0,-BS246/10%-2)),0),"")</f>
        <v/>
      </c>
      <c r="EE246" s="549" t="str">
        <f aca="false">IF($BD246,$EC246+IF(VolSkewFlag=1,IF(BT246&gt;0,$BA246*MIN(BT246/10%,1)+($BB246-$BA246)*MAX(0,MIN(BT246/10%-1,1))+($BC246-$BB246)*MAX(0,BT246/10%-2),$AZ246*MIN(-BT246/10%,1)+($AY246-$AZ246)*MAX(0,MIN(-BT246/10%-1,1))+($AX246-$AY246)*MAX(0,-BT246/10%-2)),0),"")</f>
        <v/>
      </c>
      <c r="EF246" s="550" t="n">
        <f aca="false">IF(BD246,xASN(BR246,Strike1,AO246,ED246,0,BO246,0,BI246,BL246,IF(OptControl=4,0,1),0),0)</f>
        <v>0</v>
      </c>
      <c r="EG246" s="551" t="n">
        <f aca="false">IF(BD246,xASN(BR246,Strike2,AO246,EE246,0,BO246,0,BI246,BL246,IF(OptControl=3,1,0),0),0)</f>
        <v>0</v>
      </c>
      <c r="EL246" s="1"/>
      <c r="EM246" s="195"/>
      <c r="EN246" s="240"/>
      <c r="EO246" s="240"/>
      <c r="EP246" s="195"/>
      <c r="EQ246" s="407" t="s">
        <v>475</v>
      </c>
      <c r="ES246" s="1"/>
      <c r="EU246" s="672"/>
      <c r="FJ246" s="571" t="n">
        <v>2</v>
      </c>
      <c r="FK246" s="150" t="str">
        <f aca="false">IF($FJ246+FK$244&gt;73,"",PRODUCT(INDEX($T$19:$T$93,FK$244):INDEX($T$19:$T$93,FK$244+$FJ246-1)))</f>
        <v/>
      </c>
      <c r="FL246" s="150" t="n">
        <f aca="false">IF($FJ246+FL$244&gt;73,"",PRODUCT(INDEX($T$19:$T$93,FL$244):INDEX($T$19:$T$93,FL$244+$FJ246-1)))</f>
        <v>0.999995787922503</v>
      </c>
      <c r="FM246" s="150" t="n">
        <f aca="false">IF($FJ246+FM$244&gt;73,"",PRODUCT(INDEX($T$19:$T$93,FM$244):INDEX($T$19:$T$93,FM$244+$FJ246-1)))</f>
        <v>0.999995073588414</v>
      </c>
      <c r="FN246" s="150" t="n">
        <f aca="false">IF($FJ246+FN$244&gt;73,"",PRODUCT(INDEX($T$19:$T$93,FN$244):INDEX($T$19:$T$93,FN$244+$FJ246-1)))</f>
        <v>0.999994238108228</v>
      </c>
      <c r="FO246" s="150" t="n">
        <f aca="false">IF($FJ246+FO$244&gt;73,"",PRODUCT(INDEX($T$19:$T$93,FO$244):INDEX($T$19:$T$93,FO$244+$FJ246-1)))</f>
        <v>0.999993260936127</v>
      </c>
      <c r="FP246" s="150" t="n">
        <f aca="false">IF($FJ246+FP$244&gt;73,"",PRODUCT(INDEX($T$19:$T$93,FP$244):INDEX($T$19:$T$93,FP$244+$FJ246-1)))</f>
        <v>0.999992118041724</v>
      </c>
      <c r="FQ246" s="150" t="n">
        <f aca="false">IF($FJ246+FQ$244&gt;73,"",PRODUCT(INDEX($T$19:$T$93,FQ$244):INDEX($T$19:$T$93,FQ$244+$FJ246-1)))</f>
        <v>0.999990781319048</v>
      </c>
      <c r="FR246" s="150" t="n">
        <f aca="false">IF($FJ246+FR$244&gt;73,"",PRODUCT(INDEX($T$19:$T$93,FR$244):INDEX($T$19:$T$93,FR$244+$FJ246-1)))</f>
        <v>0.999989217895278</v>
      </c>
      <c r="FS246" s="150" t="n">
        <f aca="false">IF($FJ246+FS$244&gt;73,"",PRODUCT(INDEX($T$19:$T$93,FS$244):INDEX($T$19:$T$93,FS$244+$FJ246-1)))</f>
        <v>0.999987389322218</v>
      </c>
      <c r="FT246" s="150" t="n">
        <f aca="false">IF($FJ246+FT$244&gt;73,"",PRODUCT(INDEX($T$19:$T$93,FT$244):INDEX($T$19:$T$93,FT$244+$FJ246-1)))</f>
        <v>0.999985250630612</v>
      </c>
      <c r="FU246" s="150" t="n">
        <f aca="false">IF($FJ246+FU$244&gt;73,"",PRODUCT(INDEX($T$19:$T$93,FU$244):INDEX($T$19:$T$93,FU$244+$FJ246-1)))</f>
        <v>0.999982749224035</v>
      </c>
      <c r="FV246" s="150" t="n">
        <f aca="false">IF($FJ246+FV$244&gt;73,"",PRODUCT(INDEX($T$19:$T$93,FV$244):INDEX($T$19:$T$93,FV$244+$FJ246-1)))</f>
        <v>0.999979823585126</v>
      </c>
      <c r="FW246" s="150" t="n">
        <f aca="false">IF($FJ246+FW$244&gt;73,"",PRODUCT(INDEX($T$19:$T$93,FW$244):INDEX($T$19:$T$93,FW$244+$FJ246-1)))</f>
        <v>0.999976401762321</v>
      </c>
      <c r="FX246" s="150" t="n">
        <f aca="false">IF($FJ246+FX$244&gt;73,"",PRODUCT(INDEX($T$19:$T$93,FX$244):INDEX($T$19:$T$93,FX$244+$FJ246-1)))</f>
        <v>0.999972399599835</v>
      </c>
      <c r="FY246" s="150" t="n">
        <f aca="false">IF($FJ246+FY$244&gt;73,"",PRODUCT(INDEX($T$19:$T$93,FY$244):INDEX($T$19:$T$93,FY$244+$FJ246-1)))</f>
        <v>0.999967718667303</v>
      </c>
      <c r="FZ246" s="150" t="n">
        <f aca="false">IF($FJ246+FZ$244&gt;73,"",PRODUCT(INDEX($T$19:$T$93,FZ$244):INDEX($T$19:$T$93,FZ$244+$FJ246-1)))</f>
        <v>0.999962243838094</v>
      </c>
      <c r="GA246" s="150" t="n">
        <f aca="false">IF($FJ246+GA$244&gt;73,"",PRODUCT(INDEX($T$19:$T$93,GA$244):INDEX($T$19:$T$93,GA$244+$FJ246-1)))</f>
        <v>0.999955840456648</v>
      </c>
      <c r="GB246" s="150" t="n">
        <f aca="false">IF($FJ246+GB$244&gt;73,"",PRODUCT(INDEX($T$19:$T$93,GB$244):INDEX($T$19:$T$93,GB$244+$FJ246-1)))</f>
        <v>0.999948351025047</v>
      </c>
      <c r="GC246" s="150" t="n">
        <f aca="false">IF($FJ246+GC$244&gt;73,"",PRODUCT(INDEX($T$19:$T$93,GC$244):INDEX($T$19:$T$93,GC$244+$FJ246-1)))</f>
        <v>0.999939591327145</v>
      </c>
      <c r="GD246" s="150" t="n">
        <f aca="false">IF($FJ246+GD$244&gt;73,"",PRODUCT(INDEX($T$19:$T$93,GD$244):INDEX($T$19:$T$93,GD$244+$FJ246-1)))</f>
        <v>0.999929345894727</v>
      </c>
      <c r="GE246" s="150" t="n">
        <f aca="false">IF($FJ246+GE$244&gt;73,"",PRODUCT(INDEX($T$19:$T$93,GE$244):INDEX($T$19:$T$93,GE$244+$FJ246-1)))</f>
        <v>0.999917362703872</v>
      </c>
      <c r="GF246" s="150" t="n">
        <f aca="false">IF($FJ246+GF$244&gt;73,"",PRODUCT(INDEX($T$19:$T$93,GF$244):INDEX($T$19:$T$93,GF$244+$FJ246-1)))</f>
        <v>0.999903346970669</v>
      </c>
      <c r="GG246" s="150" t="n">
        <f aca="false">IF($FJ246+GG$244&gt;73,"",PRODUCT(INDEX($T$19:$T$93,GG$244):INDEX($T$19:$T$93,GG$244+$FJ246-1)))</f>
        <v>0.99988695389317</v>
      </c>
      <c r="GH246" s="150" t="n">
        <f aca="false">IF($FJ246+GH$244&gt;73,"",PRODUCT(INDEX($T$19:$T$93,GH$244):INDEX($T$19:$T$93,GH$244+$FJ246-1)))</f>
        <v>0.999867780160307</v>
      </c>
      <c r="GI246" s="150" t="n">
        <f aca="false">IF($FJ246+GI$244&gt;73,"",PRODUCT(INDEX($T$19:$T$93,GI$244):INDEX($T$19:$T$93,GI$244+$FJ246-1)))</f>
        <v>0.999845354017989</v>
      </c>
      <c r="GJ246" s="150" t="n">
        <f aca="false">IF($FJ246+GJ$244&gt;73,"",PRODUCT(INDEX($T$19:$T$93,GJ$244):INDEX($T$19:$T$93,GJ$244+$FJ246-1)))</f>
        <v>0.999819123646722</v>
      </c>
      <c r="GK246" s="150" t="n">
        <f aca="false">IF($FJ246+GK$244&gt;73,"",PRODUCT(INDEX($T$19:$T$93,GK$244):INDEX($T$19:$T$93,GK$244+$FJ246-1)))</f>
        <v>0.999788443563172</v>
      </c>
      <c r="GL246" s="150" t="n">
        <f aca="false">IF($FJ246+GL$244&gt;73,"",PRODUCT(INDEX($T$19:$T$93,GL$244):INDEX($T$19:$T$93,GL$244+$FJ246-1)))</f>
        <v>0.999752558708846</v>
      </c>
      <c r="GM246" s="150" t="n">
        <f aca="false">IF($FJ246+GM$244&gt;73,"",PRODUCT(INDEX($T$19:$T$93,GM$244):INDEX($T$19:$T$93,GM$244+$FJ246-1)))</f>
        <v>0.999710585831456</v>
      </c>
      <c r="GN246" s="150" t="n">
        <f aca="false">IF($FJ246+GN$244&gt;73,"",PRODUCT(INDEX($T$19:$T$93,GN$244):INDEX($T$19:$T$93,GN$244+$FJ246-1)))</f>
        <v>0.999661491696832</v>
      </c>
      <c r="GO246" s="150" t="n">
        <f aca="false">IF($FJ246+GO$244&gt;73,"",PRODUCT(INDEX($T$19:$T$93,GO$244):INDEX($T$19:$T$93,GO$244+$FJ246-1)))</f>
        <v>0.999604067589929</v>
      </c>
      <c r="GP246" s="150" t="n">
        <f aca="false">IF($FJ246+GP$244&gt;73,"",PRODUCT(INDEX($T$19:$T$93,GP$244):INDEX($T$19:$T$93,GP$244+$FJ246-1)))</f>
        <v>0.999536899470331</v>
      </c>
      <c r="GQ246" s="150" t="n">
        <f aca="false">IF($FJ246+GQ$244&gt;73,"",PRODUCT(INDEX($T$19:$T$93,GQ$244):INDEX($T$19:$T$93,GQ$244+$FJ246-1)))</f>
        <v>0.99945833303826</v>
      </c>
      <c r="GR246" s="150" t="n">
        <f aca="false">IF($FJ246+GR$244&gt;73,"",PRODUCT(INDEX($T$19:$T$93,GR$244):INDEX($T$19:$T$93,GR$244+$FJ246-1)))</f>
        <v>0.99936643283864</v>
      </c>
      <c r="GS246" s="150" t="n">
        <f aca="false">IF($FJ246+GS$244&gt;73,"",PRODUCT(INDEX($T$19:$T$93,GS$244):INDEX($T$19:$T$93,GS$244+$FJ246-1)))</f>
        <v>0.999258934379666</v>
      </c>
      <c r="GT246" s="150" t="n">
        <f aca="false">IF($FJ246+GT$244&gt;73,"",PRODUCT(INDEX($T$19:$T$93,GT$244):INDEX($T$19:$T$93,GT$244+$FJ246-1)))</f>
        <v>0.999133188064678</v>
      </c>
      <c r="GU246" s="150" t="n">
        <f aca="false">IF($FJ246+GU$244&gt;73,"",PRODUCT(INDEX($T$19:$T$93,GU$244):INDEX($T$19:$T$93,GU$244+$FJ246-1)))</f>
        <v>0.998986093526921</v>
      </c>
      <c r="GV246" s="150" t="n">
        <f aca="false">IF($FJ246+GV$244&gt;73,"",PRODUCT(INDEX($T$19:$T$93,GV$244):INDEX($T$19:$T$93,GV$244+$FJ246-1)))</f>
        <v>0.998814022710378</v>
      </c>
      <c r="GW246" s="150" t="n">
        <f aca="false">IF($FJ246+GW$244&gt;73,"",PRODUCT(INDEX($T$19:$T$93,GW$244):INDEX($T$19:$T$93,GW$244+$FJ246-1)))</f>
        <v>0.998612729749197</v>
      </c>
      <c r="GX246" s="150" t="n">
        <f aca="false">IF($FJ246+GX$244&gt;73,"",PRODUCT(INDEX($T$19:$T$93,GX$244):INDEX($T$19:$T$93,GX$244+$FJ246-1)))</f>
        <v>0.998377245355261</v>
      </c>
      <c r="GY246" s="150" t="n">
        <f aca="false">IF($FJ246+GY$244&gt;73,"",PRODUCT(INDEX($T$19:$T$93,GY$244):INDEX($T$19:$T$93,GY$244+$FJ246-1)))</f>
        <v>0.998101753018103</v>
      </c>
      <c r="GZ246" s="150" t="n">
        <f aca="false">IF($FJ246+GZ$244&gt;73,"",PRODUCT(INDEX($T$19:$T$93,GZ$244):INDEX($T$19:$T$93,GZ$244+$FJ246-1)))</f>
        <v>0.99777944384184</v>
      </c>
      <c r="HA246" s="150" t="n">
        <f aca="false">IF($FJ246+HA$244&gt;73,"",PRODUCT(INDEX($T$19:$T$93,HA$244):INDEX($T$19:$T$93,HA$244+$FJ246-1)))</f>
        <v>0.997402346275824</v>
      </c>
      <c r="HB246" s="150" t="n">
        <f aca="false">IF($FJ246+HB$244&gt;73,"",PRODUCT(INDEX($T$19:$T$93,HB$244):INDEX($T$19:$T$93,HB$244+$FJ246-1)))</f>
        <v>0.996961126322032</v>
      </c>
      <c r="HC246" s="150" t="n">
        <f aca="false">IF($FJ246+HC$244&gt;73,"",PRODUCT(INDEX($T$19:$T$93,HC$244):INDEX($T$19:$T$93,HC$244+$FJ246-1)))</f>
        <v>0.996444853001989</v>
      </c>
      <c r="HD246" s="150" t="n">
        <f aca="false">IF($FJ246+HD$244&gt;73,"",PRODUCT(INDEX($T$19:$T$93,HD$244):INDEX($T$19:$T$93,HD$244+$FJ246-1)))</f>
        <v>0.995840722914233</v>
      </c>
      <c r="HE246" s="150" t="n">
        <f aca="false">IF($FJ246+HE$244&gt;73,"",PRODUCT(INDEX($T$19:$T$93,HE$244):INDEX($T$19:$T$93,HE$244+$FJ246-1)))</f>
        <v>0.995133736579445</v>
      </c>
      <c r="HF246" s="150" t="n">
        <f aca="false">IF($FJ246+HF$244&gt;73,"",PRODUCT(INDEX($T$19:$T$93,HF$244):INDEX($T$19:$T$93,HF$244+$FJ246-1)))</f>
        <v>0.994306317917703</v>
      </c>
      <c r="HG246" s="150" t="n">
        <f aca="false">IF($FJ246+HG$244&gt;73,"",PRODUCT(INDEX($T$19:$T$93,HG$244):INDEX($T$19:$T$93,HG$244+$FJ246-1)))</f>
        <v>0.99333786658638</v>
      </c>
      <c r="HH246" s="150" t="n">
        <f aca="false">IF($FJ246+HH$244&gt;73,"",PRODUCT(INDEX($T$19:$T$93,HH$244):INDEX($T$19:$T$93,HH$244+$FJ246-1)))</f>
        <v>0.99220423097451</v>
      </c>
      <c r="HI246" s="150" t="n">
        <f aca="false">IF($FJ246+HI$244&gt;73,"",PRODUCT(INDEX($T$19:$T$93,HI$244):INDEX($T$19:$T$93,HI$244+$FJ246-1)))</f>
        <v>0.99087708733557</v>
      </c>
      <c r="HJ246" s="150" t="n">
        <f aca="false">IF($FJ246+HJ$244&gt;73,"",PRODUCT(INDEX($T$19:$T$93,HJ$244):INDEX($T$19:$T$93,HJ$244+$FJ246-1)))</f>
        <v>0.989323207769068</v>
      </c>
      <c r="HK246" s="150" t="n">
        <f aca="false">IF($FJ246+HK$244&gt;73,"",PRODUCT(INDEX($T$19:$T$93,HK$244):INDEX($T$19:$T$93,HK$244+$FJ246-1)))</f>
        <v>0.987503596441551</v>
      </c>
      <c r="HL246" s="150" t="n">
        <f aca="false">IF($FJ246+HL$244&gt;73,"",PRODUCT(INDEX($T$19:$T$93,HL$244):INDEX($T$19:$T$93,HL$244+$FJ246-1)))</f>
        <v>0.985372469464613</v>
      </c>
      <c r="HM246" s="150" t="n">
        <f aca="false">IF($FJ246+HM$244&gt;73,"",PRODUCT(INDEX($T$19:$T$93,HM$244):INDEX($T$19:$T$93,HM$244+$FJ246-1)))</f>
        <v>0.982876049102253</v>
      </c>
      <c r="HN246" s="150" t="n">
        <f aca="false">IF($FJ246+HN$244&gt;73,"",PRODUCT(INDEX($T$19:$T$93,HN$244):INDEX($T$19:$T$93,HN$244+$FJ246-1)))</f>
        <v>0.979951137332624</v>
      </c>
      <c r="HO246" s="150" t="n">
        <f aca="false">IF($FJ246+HO$244&gt;73,"",PRODUCT(INDEX($T$19:$T$93,HO$244):INDEX($T$19:$T$93,HO$244+$FJ246-1)))</f>
        <v>0.976523427107496</v>
      </c>
      <c r="HP246" s="150" t="n">
        <f aca="false">IF($FJ246+HP$244&gt;73,"",PRODUCT(INDEX($T$19:$T$93,HP$244):INDEX($T$19:$T$93,HP$244+$FJ246-1)))</f>
        <v>0.972505501818195</v>
      </c>
      <c r="HQ246" s="150" t="n">
        <f aca="false">IF($FJ246+HQ$244&gt;73,"",PRODUCT(INDEX($T$19:$T$93,HQ$244):INDEX($T$19:$T$93,HQ$244+$FJ246-1)))</f>
        <v>0.967794464415993</v>
      </c>
      <c r="HR246" s="150" t="n">
        <f aca="false">IF($FJ246+HR$244&gt;73,"",PRODUCT(INDEX($T$19:$T$93,HR$244):INDEX($T$19:$T$93,HR$244+$FJ246-1)))</f>
        <v>0.962269127374505</v>
      </c>
      <c r="HS246" s="150" t="n">
        <f aca="false">IF($FJ246+HS$244&gt;73,"",PRODUCT(INDEX($T$19:$T$93,HS$244):INDEX($T$19:$T$93,HS$244+$FJ246-1)))</f>
        <v>0.95578668344229</v>
      </c>
      <c r="HT246" s="150" t="n">
        <f aca="false">IF($FJ246+HT$244&gt;73,"",PRODUCT(INDEX($T$19:$T$93,HT$244):INDEX($T$19:$T$93,HT$244+$FJ246-1)))</f>
        <v>0.94817876548866</v>
      </c>
      <c r="HU246" s="150" t="n">
        <f aca="false">IF($FJ246+HU$244&gt;73,"",PRODUCT(INDEX($T$19:$T$93,HU$244):INDEX($T$19:$T$93,HU$244+$FJ246-1)))</f>
        <v>0.939246792880409</v>
      </c>
      <c r="HV246" s="150" t="n">
        <f aca="false">IF($FJ246+HV$244&gt;73,"",PRODUCT(INDEX($T$19:$T$93,HV$244):INDEX($T$19:$T$93,HV$244+$FJ246-1)))</f>
        <v>0.928756493964426</v>
      </c>
      <c r="HW246" s="150" t="n">
        <f aca="false">IF($FJ246+HW$244&gt;73,"",PRODUCT(INDEX($T$19:$T$93,HW$244):INDEX($T$19:$T$93,HW$244+$FJ246-1)))</f>
        <v>0.916431493313626</v>
      </c>
      <c r="HX246" s="150" t="n">
        <f aca="false">IF($FJ246+HX$244&gt;73,"",PRODUCT(INDEX($T$19:$T$93,HX$244):INDEX($T$19:$T$93,HX$244+$FJ246-1)))</f>
        <v>0.90194586517451</v>
      </c>
      <c r="HY246" s="150" t="n">
        <f aca="false">IF($FJ246+HY$244&gt;73,"",PRODUCT(INDEX($T$19:$T$93,HY$244):INDEX($T$19:$T$93,HY$244+$FJ246-1)))</f>
        <v>0.884915592323091</v>
      </c>
      <c r="HZ246" s="150" t="n">
        <f aca="false">IF($FJ246+HZ$244&gt;73,"",PRODUCT(INDEX($T$19:$T$93,HZ$244):INDEX($T$19:$T$93,HZ$244+$FJ246-1)))</f>
        <v>0.86488895082041</v>
      </c>
      <c r="IA246" s="150" t="n">
        <f aca="false">IF($FJ246+IA$244&gt;73,"",PRODUCT(INDEX($T$19:$T$93,IA$244):INDEX($T$19:$T$93,IA$244+$FJ246-1)))</f>
        <v>0.841335995911229</v>
      </c>
      <c r="IB246" s="150" t="n">
        <f aca="false">IF($FJ246+IB$244&gt;73,"",PRODUCT(INDEX($T$19:$T$93,IB$244):INDEX($T$19:$T$93,IB$244+$FJ246-1)))</f>
        <v>0.813637600256236</v>
      </c>
      <c r="IC246" s="150" t="n">
        <f aca="false">IF($FJ246+IC$244&gt;73,"",PRODUCT(INDEX($T$19:$T$93,IC$244):INDEX($T$19:$T$93,IC$244+$FJ246-1)))</f>
        <v>0.781074967652024</v>
      </c>
      <c r="ID246" s="572" t="n">
        <f aca="false">IF($FJ246+ID$244&gt;73,"",PRODUCT(INDEX($T$19:$T$93,ID$244):INDEX($T$19:$T$93,ID$244+$FJ246-1)))</f>
        <v>0.742821328012844</v>
      </c>
      <c r="IE246" s="129"/>
    </row>
    <row r="247" customFormat="false" ht="12.75" hidden="false" customHeight="false" outlineLevel="0" collapsed="false">
      <c r="H247" s="219" t="n">
        <f aca="false">VLOOKUP(I247,$EJ$20:$EL$54,3)</f>
        <v>0</v>
      </c>
      <c r="I247" s="511" t="n">
        <f aca="false">EOMONTH(I246,0)+1</f>
        <v>43678</v>
      </c>
      <c r="J247" s="512"/>
      <c r="K247" s="513" t="s">
        <v>280</v>
      </c>
      <c r="L247" s="514" t="n">
        <f aca="false">IF(ISNUMBER(K247),J247+K247/100,IF(K247="extra",L246+VLOOKUP(BF247,PriceSpreadTable,2)/12,IF(K247="inter",interpolateprices($K$19:$L$200,ROW(K247)-ROW(FirstPricingMonth)+1),interpolatechanges($J$19:$K$200,ROW(K247)-ROW(FirstPricingMonth)+1))))</f>
        <v>5.66249999999999</v>
      </c>
      <c r="M247" s="515"/>
      <c r="N247" s="516" t="n">
        <v>0</v>
      </c>
      <c r="O247" s="515" t="n">
        <f aca="false">M247+N247</f>
        <v>0</v>
      </c>
      <c r="P247" s="512"/>
      <c r="Q247" s="513" t="s">
        <v>280</v>
      </c>
      <c r="R247" s="512" t="e">
        <f aca="false">IF(ISNUMBER(Q247),P247+Q247/100,IF(Q247="extra",(Z245*AL245-R246*AM245)/AN245,IF(Q247="inter",interpolateprices($Q$19:$R$260,ROW(Q247)-ROW(FirstPricingMonth)+1),interpolatechanges($P$19:$Q$260,ROW(Q247)-ROW(FirstPricingMonth)+1))))</f>
        <v>#VALUE!</v>
      </c>
      <c r="S247" s="597" t="n">
        <f aca="false">S$19+(S246-S$19)*S$18</f>
        <v>0.36</v>
      </c>
      <c r="T247" s="575" t="n">
        <f aca="false">SQRT((1-(1-T246^2/U246)*T$18)*U247)</f>
        <v>1</v>
      </c>
      <c r="U247" s="576" t="n">
        <f aca="false">1-(1-U246)*U$18</f>
        <v>1</v>
      </c>
      <c r="V247" s="521" t="n">
        <v>0</v>
      </c>
      <c r="W247" s="577" t="n">
        <f aca="false">(J248*AJ247+J249*AK247)/AI247</f>
        <v>0</v>
      </c>
      <c r="X247" s="578" t="n">
        <f aca="false">(L248*AJ247+L249*AK247)/AI247</f>
        <v>5.71363636363635</v>
      </c>
      <c r="Y247" s="579" t="n">
        <f aca="false">IF(Q249="extra",W247-AA247,(P248*AM247+P249*AN247)/AL247)</f>
        <v>-1.2669</v>
      </c>
      <c r="Z247" s="579" t="n">
        <f aca="false">IF(Q249="extra",X247-AB247,(R248*AM247+R249*AN247)/AL247)</f>
        <v>4.44673636363635</v>
      </c>
      <c r="AA247" s="523" t="n">
        <f aca="false">IF(Q249="extra",INDEX(BrentSeasonalityTable,INT((BG247-1)/3)+1)*VLOOKUP(MAX(BF247,$AB$4),PriceSpreadTable,3),W247-Y247)</f>
        <v>1.2669</v>
      </c>
      <c r="AB247" s="524" t="n">
        <f aca="false">IF(Q249="extra",INDEX(BrentSeasonalityTable,INT((BG247-1)/3)+1)*VLOOKUP(MAX(BF247,$AB$4),PriceSpreadTable,3),X247-Z247)</f>
        <v>1.2669</v>
      </c>
      <c r="AC247" s="646" t="n">
        <v>43666</v>
      </c>
      <c r="AD247" s="646" t="n">
        <v>43662</v>
      </c>
      <c r="AE247" s="646" t="n">
        <v>43661</v>
      </c>
      <c r="AF247" s="646" t="n">
        <v>43657</v>
      </c>
      <c r="AG247" s="438" t="s">
        <v>278</v>
      </c>
      <c r="AH247" s="439" t="s">
        <v>278</v>
      </c>
      <c r="AI247" s="528" t="n">
        <v>22</v>
      </c>
      <c r="AJ247" s="529" t="n">
        <v>14</v>
      </c>
      <c r="AK247" s="529" t="n">
        <v>8</v>
      </c>
      <c r="AL247" s="530" t="n">
        <v>22</v>
      </c>
      <c r="AM247" s="529" t="n">
        <v>10</v>
      </c>
      <c r="AN247" s="531" t="n">
        <v>12</v>
      </c>
      <c r="AO247" s="532"/>
      <c r="AP247" s="465" t="n">
        <f aca="false">(1+AO247/2)^(-2*BL247)</f>
        <v>1</v>
      </c>
      <c r="AQ247" s="532"/>
      <c r="AR247" s="465" t="n">
        <f aca="false">(1+AQ247/2)^(-2*BH247/365.25)</f>
        <v>1</v>
      </c>
      <c r="AS247" s="580" t="n">
        <f aca="false">(O248*AJ247+O249*AK247)/AI247</f>
        <v>0</v>
      </c>
      <c r="AT247" s="468" t="n">
        <f aca="false">O247*VLOOKUP(BF247,BrentVolTable,2)+VLOOKUP(BF247,BrentVolTable,3)</f>
        <v>0</v>
      </c>
      <c r="AU247" s="468" t="n">
        <f aca="false">(AT248*AM247+AT249*AN247)/AL247</f>
        <v>0</v>
      </c>
      <c r="AV247" s="595" t="n">
        <f aca="false">SQRT(MAX(0.000000000001,(O247^2*BH247-S247^2*(BH247-BH246))/BH246))</f>
        <v>0.0411776066571757</v>
      </c>
      <c r="AW247" s="451" t="n">
        <f aca="false">IF($I247-DateToday+15&gt;=$T$8,"",IF($I247-DateToday+15&lt;$T$5,1,MATCH($I247-DateToday+15,$T$5:$T$8)))</f>
        <v>1</v>
      </c>
      <c r="AX247" s="468" t="n">
        <f aca="false">IF($AW247="",AX246^2/AX245,INDEX(U$5:U$8,$AW247)^((INDEX($T$5:$T$8,$AW247+1)-($I247-DateToday+15))/(INDEX($T$5:$T$8,$AW247+1)-INDEX($T$5:$T$8,$AW247)))/INDEX(U$5:U$8,$AW247+1)^((INDEX($T$5:$T$8,$AW247)-($I247-DateToday+15))/(INDEX($T$5:$T$8,$AW247+1)-INDEX($T$5:$T$8,$AW247))))</f>
        <v>0.0980297744173582</v>
      </c>
      <c r="AY247" s="468" t="n">
        <f aca="false">IF($AW247="",AY246^2/AY245,INDEX(V$5:V$8,$AW247)^((INDEX($T$5:$T$8,$AW247+1)-($I247-DateToday+15))/(INDEX($T$5:$T$8,$AW247+1)-INDEX($T$5:$T$8,$AW247)))/INDEX(V$5:V$8,$AW247+1)^((INDEX($T$5:$T$8,$AW247)-($I247-DateToday+15))/(INDEX($T$5:$T$8,$AW247+1)-INDEX($T$5:$T$8,$AW247))))</f>
        <v>0.366931288425654</v>
      </c>
      <c r="AZ247" s="468" t="n">
        <f aca="false">IF($AW247="",AZ246^2/AZ245,INDEX(W$5:W$8,$AW247)^((INDEX($T$5:$T$8,$AW247+1)-($I247-DateToday+15))/(INDEX($T$5:$T$8,$AW247+1)-INDEX($T$5:$T$8,$AW247)))/INDEX(W$5:W$8,$AW247+1)^((INDEX($T$5:$T$8,$AW247)-($I247-DateToday+15))/(INDEX($T$5:$T$8,$AW247+1)-INDEX($T$5:$T$8,$AW247))))</f>
        <v>5.44266212181477</v>
      </c>
      <c r="BA247" s="468" t="n">
        <f aca="false">IF($AW247="",BA246^2/BA245,INDEX(X$5:X$8,$AW247)^((INDEX($T$5:$T$8,$AW247+1)-($I247-DateToday+15))/(INDEX($T$5:$T$8,$AW247+1)-INDEX($T$5:$T$8,$AW247)))/INDEX(X$5:X$8,$AW247+1)^((INDEX($T$5:$T$8,$AW247)-($I247-DateToday+15))/(INDEX($T$5:$T$8,$AW247+1)-INDEX($T$5:$T$8,$AW247))))</f>
        <v>5.55773895866043</v>
      </c>
      <c r="BB247" s="468" t="n">
        <f aca="false">IF($AW247="",BB246^2/BB245,INDEX(Y$5:Y$8,$AW247)^((INDEX($T$5:$T$8,$AW247+1)-($I247-DateToday+15))/(INDEX($T$5:$T$8,$AW247+1)-INDEX($T$5:$T$8,$AW247)))/INDEX(Y$5:Y$8,$AW247+1)^((INDEX($T$5:$T$8,$AW247)-($I247-DateToday+15))/(INDEX($T$5:$T$8,$AW247+1)-INDEX($T$5:$T$8,$AW247))))</f>
        <v>16.2443400501747</v>
      </c>
      <c r="BC247" s="468" t="n">
        <f aca="false">IF($AW247="",BC246^2/BC245,INDEX(Z$5:Z$8,$AW247)^((INDEX($T$5:$T$8,$AW247+1)-($I247-DateToday+15))/(INDEX($T$5:$T$8,$AW247+1)-INDEX($T$5:$T$8,$AW247)))/INDEX(Z$5:Z$8,$AW247+1)^((INDEX($T$5:$T$8,$AW247)-($I247-DateToday+15))/(INDEX($T$5:$T$8,$AW247+1)-INDEX($T$5:$T$8,$AW247))))</f>
        <v>31.9465311039921</v>
      </c>
      <c r="BD247" s="535" t="n">
        <f aca="false">IF(OR(DateStart&gt;=I248,DateEnd&lt;I247),0,IF(VolumeOverrideFlag,V247,Volume))</f>
        <v>0</v>
      </c>
      <c r="BE247" s="536" t="n">
        <f aca="false">IF(OR(DateStart2&gt;=I248,DateEnd2&lt;I247),0,IF(VolumeOverrideFlag,V247,VolumeSwaption))</f>
        <v>0</v>
      </c>
      <c r="BF247" s="537" t="n">
        <f aca="false">YEAR(I247)</f>
        <v>2019</v>
      </c>
      <c r="BG247" s="538" t="n">
        <f aca="false">MONTH(I247)</f>
        <v>8</v>
      </c>
      <c r="BH247" s="539" t="n">
        <f aca="false">AD247-DateToday+1</f>
        <v>-2263</v>
      </c>
      <c r="BI247" s="540" t="n">
        <f aca="false">(I247-DateToday+1)/365.25</f>
        <v>-6.15195071868583</v>
      </c>
      <c r="BJ247" s="541" t="n">
        <f aca="false">BI247+(BL247-BI247)*CHOOSE(Underlying,AJ247/AI247,AM247/AL247)</f>
        <v>-6.09968265820422</v>
      </c>
      <c r="BK247" s="541" t="n">
        <f aca="false">BJ247+1/365.25</f>
        <v>-6.09694480741709</v>
      </c>
      <c r="BL247" s="541" t="n">
        <f aca="false">(I248-DateToday)/365.25</f>
        <v>-6.06981519507187</v>
      </c>
      <c r="BM247" s="542" t="e">
        <f aca="false">MAX(BI247-(BJ247-BI247)*(S248^2/O248^2-1),0)</f>
        <v>#DIV/0!</v>
      </c>
      <c r="BN247" s="541" t="e">
        <f aca="false">MAX(BL247+(BL247-BK247)*(S249^2/O249^2-1),0)</f>
        <v>#DIV/0!</v>
      </c>
      <c r="BO247" s="530" t="n">
        <f aca="false">CHOOSE(Underlying,AI247,AL247)</f>
        <v>22</v>
      </c>
      <c r="BP247" s="529" t="n">
        <f aca="false">CHOOSE(Underlying,AJ247,AM247)</f>
        <v>14</v>
      </c>
      <c r="BQ247" s="529" t="n">
        <f aca="false">CHOOSE(Underlying,AK247,AN247)</f>
        <v>8</v>
      </c>
      <c r="BR247" s="463" t="str">
        <f aca="false">IF(BD247,IF(Underlying=1,X247,Z247)+UnderlyingPriceAsian-SwapPriceCurve,"")</f>
        <v/>
      </c>
      <c r="BS247" s="463" t="str">
        <f aca="false">IF(BD247,Strike1/BR247-1,"")</f>
        <v/>
      </c>
      <c r="BT247" s="464" t="str">
        <f aca="false">IF(BD247,Strike2/BR247-1,"")</f>
        <v/>
      </c>
      <c r="BU247" s="465" t="str">
        <f aca="false">IF(BD247,IF(Underlying=1,L248,R248)+UnderlyingPriceAsian-SwapPriceCurve,"")</f>
        <v/>
      </c>
      <c r="BV247" s="465" t="str">
        <f aca="false">IF(BD247,IF(Underlying=1,L249,R249)+UnderlyingPriceAsian-SwapPriceCurve,"")</f>
        <v/>
      </c>
      <c r="BW247" s="466" t="str">
        <f aca="false">IF(BD247,IF(Underlying=1,O248,AT248),"")</f>
        <v/>
      </c>
      <c r="BX247" s="467" t="str">
        <f aca="false">IF(BD247,IF(Underlying=1,O249,AT249),"")</f>
        <v/>
      </c>
      <c r="BY247" s="466" t="str">
        <f aca="false">IF(BD247,IF(BS247&gt;0,IF(BS247&gt;0.2,BC247-BB247,IF(BS247&gt;0.1,BB247-BA247,BA247)),IF(BS247&lt;-0.2,AX247-AY247,IF(BS247&lt;-0.1,AY247-AZ247,AZ247))),"")</f>
        <v/>
      </c>
      <c r="BZ247" s="467" t="str">
        <f aca="false">IF(BD247,IF(BT247&gt;0,IF(BT247&gt;0.2,BC247-BB247,IF(BT247&gt;0.1,BB247-BA247,BA247)),IF(BT247&lt;-0.2,AX247-AY247,IF(BT247&lt;-0.1,AY247-AZ247,AZ247))),"")</f>
        <v/>
      </c>
      <c r="CA247" s="468" t="str">
        <f aca="false">IF($BD247,$BW247+IF(VolSkewFlag=1,IF(BS247&gt;0,$BA247*MIN(BS247/10%,1)+($BB247-$BA247)*MAX(0,MIN(BS247/10%-1,1))+($BC247-$BB247)*MAX(0,BS247/10%-2),$AZ247*MIN(-BS247/10%,1)+($AY247-$AZ247)*MAX(0,MIN(-BS247/10%-1,1))+($AX247-$AY247)*MAX(0,-BS247/10%-2)),0),"")</f>
        <v/>
      </c>
      <c r="CB247" s="468" t="str">
        <f aca="false">IF($BD247,$BX247+IF(VolSkewFlag=1,IF(BS247&gt;0,$BA247*MIN(BS247/10%,1)+($BB247-$BA247)*MAX(0,MIN(BS247/10%-1,1))+($BC247-$BB247)*MAX(0,BS247/10%-2),$AZ247*MIN(-BS247/10%,1)+($AY247-$AZ247)*MAX(0,MIN(-BS247/10%-1,1))+($AX247-$AY247)*MAX(0,-BS247/10%-2)),0),"")</f>
        <v/>
      </c>
      <c r="CC247" s="468" t="str">
        <f aca="false">IF($BD247,$BW247+IF(VolSkewFlag=1,IF(BT247&gt;0,$BA247*MIN(BT247/10%,1)+($BB247-$BA247)*MAX(0,MIN(BT247/10%-1,1))+($BC247-$BB247)*MAX(0,BT247/10%-2),$AZ247*MIN(-BT247/10%,1)+($AY247-$AZ247)*MAX(0,MIN(-BT247/10%-1,1))+($AX247-$AY247)*MAX(0,-BT247/10%-2)),0),"")</f>
        <v/>
      </c>
      <c r="CD247" s="468" t="str">
        <f aca="false">IF($BD247,$BX247+IF(VolSkewFlag=1,IF(BT247&gt;0,$BA247*MIN(BT247/10%,1)+($BB247-$BA247)*MAX(0,MIN(BT247/10%-1,1))+($BC247-$BB247)*MAX(0,BT247/10%-2),$AZ247*MIN(-BT247/10%,1)+($AY247-$AZ247)*MAX(0,MIN(-BT247/10%-1,1))+($AX247-$AY247)*MAX(0,-BT247/10%-2)),0),"")</f>
        <v/>
      </c>
      <c r="CE247" s="469" t="n">
        <v>1</v>
      </c>
      <c r="CF247" s="470" t="n">
        <f aca="false">IF(BD247,xCrudeAPO(BU247,BV247,CA247,CB247,S248,S249,BI247,BL247,BP247,BQ247,0,Strike1,AO247,CE247,0,BL247,IF(OptControl=4,0,1),0,1),0)</f>
        <v>0</v>
      </c>
      <c r="CG247" s="470" t="n">
        <f aca="false">IF(BD247,xCrudeAPO(BU247,BV247,CA247,CB247,S248,S249,BI247,BL247,BP247,BQ247,0,Strike1,AO247,CE247,0,BL247,IF(OptControl=4,0,1),1,1)+xCrudeAPO(BU247,BV247,CA247,CB247,S248,S249,BI247,BL247,BP247,BQ247,0,Strike1,AO247,CE247,0,BL247,IF(OptControl=4,0,1),1,2)+IF(OR(VolSkewFlag=2,ABS(BS247)&lt;0.0001),0,IF(BS247&gt;0,-1,1)*CH247*Strike1/BR247^2*BY247/10%),0)</f>
        <v>0</v>
      </c>
      <c r="CH247" s="470" t="n">
        <f aca="false">IF(BD247,(xCrudeAPO(BU247,BV247,CA247,CB247,S248,S249,BI247,BL247,BP247,BQ247,0,Strike1,AO247,CE247,0,BL247,IF(OptControl=4,0,1),3,1)+xCrudeAPO(BU247,BV247,CA247,CB247,S248,S249,BI247,BL247,BP247,BQ247,0,Strike1,AO247,CE247,0,BL247,IF(OptControl=4,0,1),3,2))/100,0)</f>
        <v>0</v>
      </c>
      <c r="CI247" s="470" t="n">
        <f aca="false">IF(BD247,xCrudeAPO(BU247,BV247,CA247,CB247,S248,S249,BI247-DaysForThetaCalculation/365.25,BL247-DaysForThetaCalculation/365.25,BP247,BQ247,0,Strike1,AO247,CE247,0,BL247,IF(OptControl=4,0,1),0,1)-xCrudeAPO(BU247,BV247,CA247,CB247,S248,S249,BI247,BL247,BP247,BQ247,0,Strike1,AO247,CE247,0,BL247,IF(OptControl=4,0,1),0,1),0)</f>
        <v>0</v>
      </c>
      <c r="CJ247" s="471" t="n">
        <f aca="false">IF(BD247,xCrudeAPO(BU247,BV247,CC247,CD247,S248,S249,BI247,BL247,BP247,BQ247,0,Strike2,AO247,CE247,0,BL247,IF(OptControl=3,1,0),0,1),0)</f>
        <v>0</v>
      </c>
      <c r="CK247" s="470" t="n">
        <f aca="false">IF(BD247,xCrudeAPO(BU247,BV247,CC247,CD247,S248,S249,BI247,BL247,BP247,BQ247,0,Strike2,AO247,CE247,0,BL247,IF(OptControl=3,1,0),1,1)+xCrudeAPO(BU247,BV247,CC247,CD247,S248,S249,BI247,BL247,BP247,BQ247,0,Strike2,AO247,CE247,0,BL247,IF(OptControl=3,1,0),1,2)+IF(OR(VolSkewFlag=2,ABS(BT247)&lt;0.0001),0,IF(BT247&gt;0,-1,1)*CL247*Strike2/BR247^2*BZ247/10%),0)</f>
        <v>0</v>
      </c>
      <c r="CL247" s="470" t="n">
        <f aca="false">IF(BD247,(xCrudeAPO(BU247,BV247,CC247,CD247,S248,S249,BI247,BL247,BP247,BQ247,0,Strike2,AO247,CE247,0,BL247,IF(OptControl=3,1,0),3,1)+xCrudeAPO(BU247,BV247,CC247,CD247,S248,S249,BI247,BL247,BP247,BQ247,0,Strike2,AO247,CE247,0,BL247,IF(OptControl=3,1,0),3,2))/100,0)</f>
        <v>0</v>
      </c>
      <c r="CM247" s="472" t="n">
        <f aca="false">IF(BD247,xCrudeAPO(BU247,BV247,CC247,CD247,S248,S249,BI247-DaysForThetaCalculation/365.25,BL247-DaysForThetaCalculation/365.25,BP247,BQ247,0,Strike2,AO247,CE247,0,BL247,IF(OptControl=3,1,0),0,1)-xCrudeAPO(BU247,BV247,CC247,CD247,S248,S249,BI247,BL247,BP247,BQ247,0,Strike2,AO247,CE247,0,BL247,IF(OptControl=3,1,0),0,1),0)</f>
        <v>0</v>
      </c>
      <c r="CN247" s="3"/>
      <c r="CO247" s="543" t="str">
        <f aca="false">IF(BD247,CHOOSE(Underlying,AD247,AF247)-DateToday+1,"")</f>
        <v/>
      </c>
      <c r="CP247" s="582" t="str">
        <f aca="false">IF(BD247,CHOOSE(Underlying,L247,R247),"")</f>
        <v/>
      </c>
      <c r="CQ247" s="544" t="str">
        <f aca="false">IF(BD247,Strike1/CP247-1,"")</f>
        <v/>
      </c>
      <c r="CR247" s="544" t="str">
        <f aca="false">IF(BD247,Strike2/CP247-1,"")</f>
        <v/>
      </c>
      <c r="CS247" s="544" t="str">
        <f aca="false">IF(BD247,IF(CQ247&gt;0,IF(CQ247&gt;0.2,BC246-BB246,IF(CQ247&gt;0.1,BB246-BA246,BA246)),IF(CQ247&lt;-0.2,AX246-AY246,IF(CQ247&lt;-0.1,AY246-AZ246,AZ246))),"")</f>
        <v/>
      </c>
      <c r="CT247" s="544" t="str">
        <f aca="false">IF(BD247,IF(CR247&gt;0,IF(CR247&gt;0.2,BC246-BB246,IF(CR247&gt;0.1,BB246-BA246,BA246)),IF(CR247&lt;-0.2,AX246-AY246,IF(CR247&lt;-0.1,AY246-AZ246,AZ246))),"")</f>
        <v/>
      </c>
      <c r="CU247" s="545" t="str">
        <f aca="false">IF(BD247,CHOOSE(Underlying,O247,AT247),"")</f>
        <v/>
      </c>
      <c r="CV247" s="545" t="str">
        <f aca="false">IF(BD247,CU247+IF(VolSkewFlag=1,IF(CQ247&gt;0,BA246*MIN(CQ247/10%,1)+(BB246-BA246)*MAX(0,MIN(CQ247/10%-1,1))+(BC246-BB246)*MAX(0,CQ247/10%-2),AZ246*MIN(-CQ247/10%,1)+(AY246-AZ246)*MAX(0,MIN(-CQ247/10%-1,1))+(AX246-AY246)*MAX(0,-CQ247/10%-2)),0),"")</f>
        <v/>
      </c>
      <c r="CW247" s="545" t="str">
        <f aca="false">IF(BD247,CU247+IF(VolSkewFlag=1,IF(CR247&gt;0,BA246*MIN(CR247/10%,1)+(BB246-BA246)*MAX(0,MIN(CR247/10%-1,1))+(BC246-BB246)*MAX(0,CR247/10%-2),AZ246*MIN(-CR247/10%,1)+(AY246-AZ246)*MAX(0,MIN(-CR247/10%-1,1))+(AX246-AY246)*MAX(0,-CR247/10%-2)),0),"")</f>
        <v/>
      </c>
      <c r="CX247" s="470" t="n">
        <f aca="false">IF(BD247,EURO(CP247,Strike1,AO247,AO247,CV247,CO247,IF(OptControl=4,0,1),0),0)</f>
        <v>0</v>
      </c>
      <c r="CY247" s="470" t="n">
        <f aca="false">IF(BD247,EURO(CP247,Strike1,AO247,AO247,CV247,CO247,IF(OptControl=4,0,1),1)+IF(OR(VolSkewFlag=2,ABS(CQ247)&lt;0.0001),0,IF(CQ247&gt;0,-1,1)*CZ247*100*Strike1/CP247^2*CS247/10%),0)</f>
        <v>0</v>
      </c>
      <c r="CZ247" s="470" t="n">
        <f aca="false">IF(BD247,EURO(CP247,Strike1,AO247,AO247,CV247,CO247,IF(OptControl=4,0,1),3)/100,0)</f>
        <v>0</v>
      </c>
      <c r="DA247" s="470" t="n">
        <f aca="false">IF(BD247,EURO(CP247,Strike1,AO247,AO247,CV247,CO247,IF(OptControl=4,0,1),0)-EURO(CP247,Strike1,AO247,AO247,CV247,CO247-1,IF(OptControl=4,0,1),0),0)</f>
        <v>0</v>
      </c>
      <c r="DB247" s="470" t="n">
        <f aca="false">IF(BD247,EURO(CP247,Strike2,AO247,AO247,CW247,CO247,IF(OptControl=3,1,0),0),0)</f>
        <v>0</v>
      </c>
      <c r="DC247" s="470" t="n">
        <f aca="false">IF(BD247,EURO(CP247,Strike2,AO247,AO247,CW247,CO247,IF(OptControl=3,1,0),1)+IF(OR(VolSkewFlag=2,ABS(CR247)&lt;0.0001),0,IF(CR247&gt;0,-1,1)*DD247*100*Strike2/CP247^2*CT247/10%),0)</f>
        <v>0</v>
      </c>
      <c r="DD247" s="470" t="n">
        <f aca="false">IF(BD247,EURO(CP247,Strike2,AO247,AO247,CW247,CO247,IF(OptControl=3,1,0),3)/100,0)</f>
        <v>0</v>
      </c>
      <c r="DE247" s="472" t="n">
        <f aca="false">IF(BD247,EURO(CP247,Strike2,AO247,AO247,CW247,CO247,IF(OptControl=3,1,0),0)-EURO(CP247,Strike2,AO247,AO247,CW247,CO247-1,IF(OptControl=3,1,0),0),0)</f>
        <v>0</v>
      </c>
      <c r="DG247" s="481" t="n">
        <f aca="false">EOMONTH(DG246,0)+1</f>
        <v>52597</v>
      </c>
      <c r="DH247" s="478" t="n">
        <v>25.5100000000001</v>
      </c>
      <c r="DI247" s="479" t="n">
        <v>25.5804545454547</v>
      </c>
      <c r="DJ247" s="480" t="n">
        <f aca="false">DG247</f>
        <v>52597</v>
      </c>
      <c r="DK247" s="478" t="n">
        <v>24.3080565160853</v>
      </c>
      <c r="DL247" s="479" t="n">
        <v>24.4119545454547</v>
      </c>
      <c r="DM247" s="481" t="n">
        <f aca="false">DG247</f>
        <v>52597</v>
      </c>
      <c r="DN247" s="482" t="n">
        <f aca="false">DK247+BrentPhyBrentSpread</f>
        <v>24.3580565160853</v>
      </c>
      <c r="DO247" s="481" t="n">
        <f aca="false">DG247</f>
        <v>52597</v>
      </c>
      <c r="DP247" s="483" t="n">
        <f aca="false">DL247+DQ247</f>
        <v>24.4119545454547</v>
      </c>
      <c r="DQ247" s="546" t="n">
        <v>0</v>
      </c>
      <c r="DR247" s="480" t="n">
        <f aca="false">DG247</f>
        <v>52597</v>
      </c>
      <c r="DS247" s="485" t="n">
        <v>0.0883999999999973</v>
      </c>
      <c r="DT247" s="486" t="n">
        <v>0.0875545454545428</v>
      </c>
      <c r="DU247" s="480" t="n">
        <f aca="false">DG247</f>
        <v>52597</v>
      </c>
      <c r="DV247" s="485" t="n">
        <v>0.0883999999999973</v>
      </c>
      <c r="DW247" s="486" t="n">
        <v>0.0875545454545428</v>
      </c>
      <c r="DX247" s="481" t="n">
        <f aca="false">DG247</f>
        <v>52597</v>
      </c>
      <c r="DY247" s="486" t="n">
        <v>0.35</v>
      </c>
      <c r="DZ247" s="481" t="n">
        <f aca="false">DR247</f>
        <v>52597</v>
      </c>
      <c r="EA247" s="486" t="n">
        <f aca="false">DT247</f>
        <v>0.0875545454545428</v>
      </c>
      <c r="EB247" s="195"/>
      <c r="EC247" s="547" t="str">
        <f aca="false">IF(BD247,IF(Underlying=1,AS247,AU247),"")</f>
        <v/>
      </c>
      <c r="ED247" s="548" t="str">
        <f aca="false">IF($BD247,$EC247+IF(VolSkewFlag=1,IF(BS247&gt;0,$BA247*MIN(BS247/10%,1)+($BB247-$BA247)*MAX(0,MIN(BS247/10%-1,1))+($BC247-$BB247)*MAX(0,BS247/10%-2),$AZ247*MIN(-BS247/10%,1)+($AY247-$AZ247)*MAX(0,MIN(-BS247/10%-1,1))+($AX247-$AY247)*MAX(0,-BS247/10%-2)),0),"")</f>
        <v/>
      </c>
      <c r="EE247" s="549" t="str">
        <f aca="false">IF($BD247,$EC247+IF(VolSkewFlag=1,IF(BT247&gt;0,$BA247*MIN(BT247/10%,1)+($BB247-$BA247)*MAX(0,MIN(BT247/10%-1,1))+($BC247-$BB247)*MAX(0,BT247/10%-2),$AZ247*MIN(-BT247/10%,1)+($AY247-$AZ247)*MAX(0,MIN(-BT247/10%-1,1))+($AX247-$AY247)*MAX(0,-BT247/10%-2)),0),"")</f>
        <v/>
      </c>
      <c r="EF247" s="550" t="n">
        <f aca="false">IF(BD247,xASN(BR247,Strike1,AO247,ED247,0,BO247,0,BI247,BL247,IF(OptControl=4,0,1),0),0)</f>
        <v>0</v>
      </c>
      <c r="EG247" s="551" t="n">
        <f aca="false">IF(BD247,xASN(BR247,Strike2,AO247,EE247,0,BO247,0,BI247,BL247,IF(OptControl=3,1,0),0),0)</f>
        <v>0</v>
      </c>
      <c r="EL247" s="1"/>
      <c r="EM247" s="195"/>
      <c r="EN247" s="240"/>
      <c r="EO247" s="240"/>
      <c r="EP247" s="195"/>
      <c r="EQ247" s="407" t="s">
        <v>476</v>
      </c>
      <c r="ES247" s="1"/>
      <c r="EU247" s="672"/>
      <c r="FJ247" s="571" t="n">
        <v>3</v>
      </c>
      <c r="FK247" s="150" t="str">
        <f aca="false">IF($FJ247+FK$244&gt;73,"",PRODUCT(INDEX($T$19:$T$93,FK$244):INDEX($T$19:$T$93,FK$244+$FJ247-1)))</f>
        <v/>
      </c>
      <c r="FL247" s="150" t="str">
        <f aca="false">IF($FJ247+FL$244&gt;73,"",PRODUCT(INDEX($T$19:$T$93,FL$244):INDEX($T$19:$T$93,FL$244+$FJ247-1)))</f>
        <v/>
      </c>
      <c r="FM247" s="150" t="n">
        <f aca="false">IF($FJ247+FM$244&gt;73,"",PRODUCT(INDEX($T$19:$T$93,FM$244):INDEX($T$19:$T$93,FM$244+$FJ247-1)))</f>
        <v>0.999993132181362</v>
      </c>
      <c r="FN247" s="150" t="n">
        <f aca="false">IF($FJ247+FN$244&gt;73,"",PRODUCT(INDEX($T$19:$T$93,FN$244):INDEX($T$19:$T$93,FN$244+$FJ247-1)))</f>
        <v>0.999991967456023</v>
      </c>
      <c r="FO247" s="150" t="n">
        <f aca="false">IF($FJ247+FO$244&gt;73,"",PRODUCT(INDEX($T$19:$T$93,FO$244):INDEX($T$19:$T$93,FO$244+$FJ247-1)))</f>
        <v>0.999990605201697</v>
      </c>
      <c r="FP247" s="150" t="n">
        <f aca="false">IF($FJ247+FP$244&gt;73,"",PRODUCT(INDEX($T$19:$T$93,FP$244):INDEX($T$19:$T$93,FP$244+$FJ247-1)))</f>
        <v>0.999989011918513</v>
      </c>
      <c r="FQ247" s="150" t="n">
        <f aca="false">IF($FJ247+FQ$244&gt;73,"",PRODUCT(INDEX($T$19:$T$93,FQ$244):INDEX($T$19:$T$93,FQ$244+$FJ247-1)))</f>
        <v>0.999987148425075</v>
      </c>
      <c r="FR247" s="150" t="n">
        <f aca="false">IF($FJ247+FR$244&gt;73,"",PRODUCT(INDEX($T$19:$T$93,FR$244):INDEX($T$19:$T$93,FR$244+$FJ247-1)))</f>
        <v>0.999984968894843</v>
      </c>
      <c r="FS247" s="150" t="n">
        <f aca="false">IF($FJ247+FS$244&gt;73,"",PRODUCT(INDEX($T$19:$T$93,FS$244):INDEX($T$19:$T$93,FS$244+$FJ247-1)))</f>
        <v>0.999982419729068</v>
      </c>
      <c r="FT247" s="150" t="n">
        <f aca="false">IF($FJ247+FT$244&gt;73,"",PRODUCT(INDEX($T$19:$T$93,FT$244):INDEX($T$19:$T$93,FT$244+$FJ247-1)))</f>
        <v>0.999979438238554</v>
      </c>
      <c r="FU247" s="150" t="n">
        <f aca="false">IF($FJ247+FU$244&gt;73,"",PRODUCT(INDEX($T$19:$T$93,FU$244):INDEX($T$19:$T$93,FU$244+$FJ247-1)))</f>
        <v>0.999975951101802</v>
      </c>
      <c r="FV247" s="150" t="n">
        <f aca="false">IF($FJ247+FV$244&gt;73,"",PRODUCT(INDEX($T$19:$T$93,FV$244):INDEX($T$19:$T$93,FV$244+$FJ247-1)))</f>
        <v>0.999971872561619</v>
      </c>
      <c r="FW247" s="150" t="n">
        <f aca="false">IF($FJ247+FW$244&gt;73,"",PRODUCT(INDEX($T$19:$T$93,FW$244):INDEX($T$19:$T$93,FW$244+$FJ247-1)))</f>
        <v>0.999967102315802</v>
      </c>
      <c r="FX247" s="150" t="n">
        <f aca="false">IF($FJ247+FX$244&gt;73,"",PRODUCT(INDEX($T$19:$T$93,FX$244):INDEX($T$19:$T$93,FX$244+$FJ247-1)))</f>
        <v>0.99996152304999</v>
      </c>
      <c r="FY247" s="150" t="n">
        <f aca="false">IF($FJ247+FY$244&gt;73,"",PRODUCT(INDEX($T$19:$T$93,FY$244):INDEX($T$19:$T$93,FY$244+$FJ247-1)))</f>
        <v>0.999954997551972</v>
      </c>
      <c r="FZ247" s="150" t="n">
        <f aca="false">IF($FJ247+FZ$244&gt;73,"",PRODUCT(INDEX($T$19:$T$93,FZ$244):INDEX($T$19:$T$93,FZ$244+$FJ247-1)))</f>
        <v>0.99994736533642</v>
      </c>
      <c r="GA247" s="150" t="n">
        <f aca="false">IF($FJ247+GA$244&gt;73,"",PRODUCT(INDEX($T$19:$T$93,GA$244):INDEX($T$19:$T$93,GA$244+$FJ247-1)))</f>
        <v>0.999938438696956</v>
      </c>
      <c r="GB247" s="150" t="n">
        <f aca="false">IF($FJ247+GB$244&gt;73,"",PRODUCT(INDEX($T$19:$T$93,GB$244):INDEX($T$19:$T$93,GB$244+$FJ247-1)))</f>
        <v>0.999927998088372</v>
      </c>
      <c r="GC247" s="150" t="n">
        <f aca="false">IF($FJ247+GC$244&gt;73,"",PRODUCT(INDEX($T$19:$T$93,GC$244):INDEX($T$19:$T$93,GC$244+$FJ247-1)))</f>
        <v>0.999915786725274</v>
      </c>
      <c r="GD247" s="150" t="n">
        <f aca="false">IF($FJ247+GD$244&gt;73,"",PRODUCT(INDEX($T$19:$T$93,GD$244):INDEX($T$19:$T$93,GD$244+$FJ247-1)))</f>
        <v>0.999901504264155</v>
      </c>
      <c r="GE247" s="150" t="n">
        <f aca="false">IF($FJ247+GE$244&gt;73,"",PRODUCT(INDEX($T$19:$T$93,GE$244):INDEX($T$19:$T$93,GE$244+$FJ247-1)))</f>
        <v>0.999884799413264</v>
      </c>
      <c r="GF247" s="150" t="n">
        <f aca="false">IF($FJ247+GF$244&gt;73,"",PRODUCT(INDEX($T$19:$T$93,GF$244):INDEX($T$19:$T$93,GF$244+$FJ247-1)))</f>
        <v>0.999865261288204</v>
      </c>
      <c r="GG247" s="150" t="n">
        <f aca="false">IF($FJ247+GG$244&gt;73,"",PRODUCT(INDEX($T$19:$T$93,GG$244):INDEX($T$19:$T$93,GG$244+$FJ247-1)))</f>
        <v>0.999842409300254</v>
      </c>
      <c r="GH247" s="150" t="n">
        <f aca="false">IF($FJ247+GH$244&gt;73,"",PRODUCT(INDEX($T$19:$T$93,GH$244):INDEX($T$19:$T$93,GH$244+$FJ247-1)))</f>
        <v>0.999815681328173</v>
      </c>
      <c r="GI247" s="150" t="n">
        <f aca="false">IF($FJ247+GI$244&gt;73,"",PRODUCT(INDEX($T$19:$T$93,GI$244):INDEX($T$19:$T$93,GI$244+$FJ247-1)))</f>
        <v>0.999784419881871</v>
      </c>
      <c r="GJ247" s="150" t="n">
        <f aca="false">IF($FJ247+GJ$244&gt;73,"",PRODUCT(INDEX($T$19:$T$93,GJ$244):INDEX($T$19:$T$93,GJ$244+$FJ247-1)))</f>
        <v>0.999747855916708</v>
      </c>
      <c r="GK247" s="150" t="n">
        <f aca="false">IF($FJ247+GK$244&gt;73,"",PRODUCT(INDEX($T$19:$T$93,GK$244):INDEX($T$19:$T$93,GK$244+$FJ247-1)))</f>
        <v>0.999705089899131</v>
      </c>
      <c r="GL247" s="150" t="n">
        <f aca="false">IF($FJ247+GL$244&gt;73,"",PRODUCT(INDEX($T$19:$T$93,GL$244):INDEX($T$19:$T$93,GL$244+$FJ247-1)))</f>
        <v>0.999655069656331</v>
      </c>
      <c r="GM247" s="150" t="n">
        <f aca="false">IF($FJ247+GM$244&gt;73,"",PRODUCT(INDEX($T$19:$T$93,GM$244):INDEX($T$19:$T$93,GM$244+$FJ247-1)))</f>
        <v>0.999596564463077</v>
      </c>
      <c r="GN247" s="150" t="n">
        <f aca="false">IF($FJ247+GN$244&gt;73,"",PRODUCT(INDEX($T$19:$T$93,GN$244):INDEX($T$19:$T$93,GN$244+$FJ247-1)))</f>
        <v>0.99952813472564</v>
      </c>
      <c r="GO247" s="150" t="n">
        <f aca="false">IF($FJ247+GO$244&gt;73,"",PRODUCT(INDEX($T$19:$T$93,GO$244):INDEX($T$19:$T$93,GO$244+$FJ247-1)))</f>
        <v>0.999448096513654</v>
      </c>
      <c r="GP247" s="150" t="n">
        <f aca="false">IF($FJ247+GP$244&gt;73,"",PRODUCT(INDEX($T$19:$T$93,GP$244):INDEX($T$19:$T$93,GP$244+$FJ247-1)))</f>
        <v>0.999354480062958</v>
      </c>
      <c r="GQ247" s="150" t="n">
        <f aca="false">IF($FJ247+GQ$244&gt;73,"",PRODUCT(INDEX($T$19:$T$93,GQ$244):INDEX($T$19:$T$93,GQ$244+$FJ247-1)))</f>
        <v>0.999244981222842</v>
      </c>
      <c r="GR247" s="150" t="n">
        <f aca="false">IF($FJ247+GR$244&gt;73,"",PRODUCT(INDEX($T$19:$T$93,GR$244):INDEX($T$19:$T$93,GR$244+$FJ247-1)))</f>
        <v>0.999116904645831</v>
      </c>
      <c r="GS247" s="150" t="n">
        <f aca="false">IF($FJ247+GS$244&gt;73,"",PRODUCT(INDEX($T$19:$T$93,GS$244):INDEX($T$19:$T$93,GS$244+$FJ247-1)))</f>
        <v>0.998967097312854</v>
      </c>
      <c r="GT247" s="150" t="n">
        <f aca="false">IF($FJ247+GT$244&gt;73,"",PRODUCT(INDEX($T$19:$T$93,GT$244):INDEX($T$19:$T$93,GT$244+$FJ247-1)))</f>
        <v>0.998791870746139</v>
      </c>
      <c r="GU247" s="150" t="n">
        <f aca="false">IF($FJ247+GU$244&gt;73,"",PRODUCT(INDEX($T$19:$T$93,GU$244):INDEX($T$19:$T$93,GU$244+$FJ247-1)))</f>
        <v>0.998586909980424</v>
      </c>
      <c r="GV247" s="150" t="n">
        <f aca="false">IF($FJ247+GV$244&gt;73,"",PRODUCT(INDEX($T$19:$T$93,GV$244):INDEX($T$19:$T$93,GV$244+$FJ247-1)))</f>
        <v>0.998347167033021</v>
      </c>
      <c r="GW247" s="150" t="n">
        <f aca="false">IF($FJ247+GW$244&gt;73,"",PRODUCT(INDEX($T$19:$T$93,GW$244):INDEX($T$19:$T$93,GW$244+$FJ247-1)))</f>
        <v>0.998066736226576</v>
      </c>
      <c r="GX247" s="150" t="n">
        <f aca="false">IF($FJ247+GX$244&gt;73,"",PRODUCT(INDEX($T$19:$T$93,GX$244):INDEX($T$19:$T$93,GX$244+$FJ247-1)))</f>
        <v>0.997738708265407</v>
      </c>
      <c r="GY247" s="150" t="n">
        <f aca="false">IF($FJ247+GY$244&gt;73,"",PRODUCT(INDEX($T$19:$T$93,GY$244):INDEX($T$19:$T$93,GY$244+$FJ247-1)))</f>
        <v>0.997354999435823</v>
      </c>
      <c r="GZ247" s="150" t="n">
        <f aca="false">IF($FJ247+GZ$244&gt;73,"",PRODUCT(INDEX($T$19:$T$93,GZ$244):INDEX($T$19:$T$93,GZ$244+$FJ247-1)))</f>
        <v>0.996906151679602</v>
      </c>
      <c r="HA247" s="150" t="n">
        <f aca="false">IF($FJ247+HA$244&gt;73,"",PRODUCT(INDEX($T$19:$T$93,HA$244):INDEX($T$19:$T$93,HA$244+$FJ247-1)))</f>
        <v>0.996381098562836</v>
      </c>
      <c r="HB247" s="150" t="n">
        <f aca="false">IF($FJ247+HB$244&gt;73,"",PRODUCT(INDEX($T$19:$T$93,HB$244):INDEX($T$19:$T$93,HB$244+$FJ247-1)))</f>
        <v>0.995766891311963</v>
      </c>
      <c r="HC247" s="150" t="n">
        <f aca="false">IF($FJ247+HC$244&gt;73,"",PRODUCT(INDEX($T$19:$T$93,HC$244):INDEX($T$19:$T$93,HC$244+$FJ247-1)))</f>
        <v>0.995048378095052</v>
      </c>
      <c r="HD247" s="150" t="n">
        <f aca="false">IF($FJ247+HD$244&gt;73,"",PRODUCT(INDEX($T$19:$T$93,HD$244):INDEX($T$19:$T$93,HD$244+$FJ247-1)))</f>
        <v>0.994207828566645</v>
      </c>
      <c r="HE247" s="150" t="n">
        <f aca="false">IF($FJ247+HE$244&gt;73,"",PRODUCT(INDEX($T$19:$T$93,HE$244):INDEX($T$19:$T$93,HE$244+$FJ247-1)))</f>
        <v>0.993224494343219</v>
      </c>
      <c r="HF247" s="150" t="n">
        <f aca="false">IF($FJ247+HF$244&gt;73,"",PRODUCT(INDEX($T$19:$T$93,HF$244):INDEX($T$19:$T$93,HF$244+$FJ247-1)))</f>
        <v>0.992074094505943</v>
      </c>
      <c r="HG247" s="150" t="n">
        <f aca="false">IF($FJ247+HG$244&gt;73,"",PRODUCT(INDEX($T$19:$T$93,HG$244):INDEX($T$19:$T$93,HG$244+$FJ247-1)))</f>
        <v>0.990728213408482</v>
      </c>
      <c r="HH247" s="150" t="n">
        <f aca="false">IF($FJ247+HH$244&gt;73,"",PRODUCT(INDEX($T$19:$T$93,HH$244):INDEX($T$19:$T$93,HH$244+$FJ247-1)))</f>
        <v>0.989153595970384</v>
      </c>
      <c r="HI247" s="150" t="n">
        <f aca="false">IF($FJ247+HI$244&gt;73,"",PRODUCT(INDEX($T$19:$T$93,HI$244):INDEX($T$19:$T$93,HI$244+$FJ247-1)))</f>
        <v>0.987311323234117</v>
      </c>
      <c r="HJ247" s="150" t="n">
        <f aca="false">IF($FJ247+HJ$244&gt;73,"",PRODUCT(INDEX($T$19:$T$93,HJ$244):INDEX($T$19:$T$93,HJ$244+$FJ247-1)))</f>
        <v>0.985155848235884</v>
      </c>
      <c r="HK247" s="150" t="n">
        <f aca="false">IF($FJ247+HK$244&gt;73,"",PRODUCT(INDEX($T$19:$T$93,HK$244):INDEX($T$19:$T$93,HK$244+$FJ247-1)))</f>
        <v>0.982633869181923</v>
      </c>
      <c r="HL247" s="150" t="n">
        <f aca="false">IF($FJ247+HL$244&gt;73,"",PRODUCT(INDEX($T$19:$T$93,HL$244):INDEX($T$19:$T$93,HL$244+$FJ247-1)))</f>
        <v>0.979683013555189</v>
      </c>
      <c r="HM247" s="150" t="n">
        <f aca="false">IF($FJ247+HM$244&gt;73,"",PRODUCT(INDEX($T$19:$T$93,HM$244):INDEX($T$19:$T$93,HM$244+$FJ247-1)))</f>
        <v>0.976230303172097</v>
      </c>
      <c r="HN247" s="150" t="n">
        <f aca="false">IF($FJ247+HN$244&gt;73,"",PRODUCT(INDEX($T$19:$T$93,HN$244):INDEX($T$19:$T$93,HN$244+$FJ247-1)))</f>
        <v>0.972190366514461</v>
      </c>
      <c r="HO247" s="150" t="n">
        <f aca="false">IF($FJ247+HO$244&gt;73,"",PRODUCT(INDEX($T$19:$T$93,HO$244):INDEX($T$19:$T$93,HO$244+$FJ247-1)))</f>
        <v>0.967463361156998</v>
      </c>
      <c r="HP247" s="150" t="n">
        <f aca="false">IF($FJ247+HP$244&gt;73,"",PRODUCT(INDEX($T$19:$T$93,HP$244):INDEX($T$19:$T$93,HP$244+$FJ247-1)))</f>
        <v>0.961932566281916</v>
      </c>
      <c r="HQ247" s="150" t="n">
        <f aca="false">IF($FJ247+HQ$244&gt;73,"",PRODUCT(INDEX($T$19:$T$93,HQ$244):INDEX($T$19:$T$93,HQ$244+$FJ247-1)))</f>
        <v>0.955461603934262</v>
      </c>
      <c r="HR247" s="150" t="n">
        <f aca="false">IF($FJ247+HR$244&gt;73,"",PRODUCT(INDEX($T$19:$T$93,HR$244):INDEX($T$19:$T$93,HR$244+$FJ247-1)))</f>
        <v>0.947891249154151</v>
      </c>
      <c r="HS247" s="150" t="n">
        <f aca="false">IF($FJ247+HS$244&gt;73,"",PRODUCT(INDEX($T$19:$T$93,HS$244):INDEX($T$19:$T$93,HS$244+$FJ247-1)))</f>
        <v>0.939035795554296</v>
      </c>
      <c r="HT247" s="150" t="n">
        <f aca="false">IF($FJ247+HT$244&gt;73,"",PRODUCT(INDEX($T$19:$T$93,HT$244):INDEX($T$19:$T$93,HT$244+$FJ247-1)))</f>
        <v>0.928678957657443</v>
      </c>
      <c r="HU247" s="150" t="n">
        <f aca="false">IF($FJ247+HU$244&gt;73,"",PRODUCT(INDEX($T$19:$T$93,HU$244):INDEX($T$19:$T$93,HU$244+$FJ247-1)))</f>
        <v>0.916569319625503</v>
      </c>
      <c r="HV247" s="150" t="n">
        <f aca="false">IF($FJ247+HV$244&gt;73,"",PRODUCT(INDEX($T$19:$T$93,HV$244):INDEX($T$19:$T$93,HV$244+$FJ247-1)))</f>
        <v>0.902415390038799</v>
      </c>
      <c r="HW247" s="150" t="n">
        <f aca="false">IF($FJ247+HW$244&gt;73,"",PRODUCT(INDEX($T$19:$T$93,HW$244):INDEX($T$19:$T$93,HW$244+$FJ247-1)))</f>
        <v>0.88588040660978</v>
      </c>
      <c r="HX247" s="150" t="n">
        <f aca="false">IF($FJ247+HX$244&gt;73,"",PRODUCT(INDEX($T$19:$T$93,HX$244):INDEX($T$19:$T$93,HX$244+$FJ247-1)))</f>
        <v>0.866577172139434</v>
      </c>
      <c r="HY247" s="150" t="n">
        <f aca="false">IF($FJ247+HY$244&gt;73,"",PRODUCT(INDEX($T$19:$T$93,HY$244):INDEX($T$19:$T$93,HY$244+$FJ247-1)))</f>
        <v>0.844063422260756</v>
      </c>
      <c r="HZ247" s="150" t="n">
        <f aca="false">IF($FJ247+HZ$244&gt;73,"",PRODUCT(INDEX($T$19:$T$93,HZ$244):INDEX($T$19:$T$93,HZ$244+$FJ247-1)))</f>
        <v>0.817838569151068</v>
      </c>
      <c r="IA247" s="150" t="n">
        <f aca="false">IF($FJ247+IA$244&gt;73,"",PRODUCT(INDEX($T$19:$T$93,IA$244):INDEX($T$19:$T$93,IA$244+$FJ247-1)))</f>
        <v>0.787343195860867</v>
      </c>
      <c r="IB247" s="150" t="n">
        <f aca="false">IF($FJ247+IB$244&gt;73,"",PRODUCT(INDEX($T$19:$T$93,IB$244):INDEX($T$19:$T$93,IB$244+$FJ247-1)))</f>
        <v>0.751963482815563</v>
      </c>
      <c r="IC247" s="150" t="n">
        <f aca="false">IF($FJ247+IC$244&gt;73,"",PRODUCT(INDEX($T$19:$T$93,IC$244):INDEX($T$19:$T$93,IC$244+$FJ247-1)))</f>
        <v>0.711043956168848</v>
      </c>
      <c r="ID247" s="572" t="n">
        <f aca="false">IF($FJ247+ID$244&gt;73,"",PRODUCT(INDEX($T$19:$T$93,ID$244):INDEX($T$19:$T$93,ID$244+$FJ247-1)))</f>
        <v>0.663913722504221</v>
      </c>
      <c r="IE247" s="129"/>
    </row>
    <row r="248" customFormat="false" ht="12.75" hidden="false" customHeight="false" outlineLevel="0" collapsed="false">
      <c r="H248" s="219" t="n">
        <f aca="false">VLOOKUP(I248,$EJ$20:$EL$54,3)</f>
        <v>0</v>
      </c>
      <c r="I248" s="511" t="n">
        <f aca="false">EOMONTH(I247,0)+1</f>
        <v>43709</v>
      </c>
      <c r="J248" s="512"/>
      <c r="K248" s="513" t="s">
        <v>280</v>
      </c>
      <c r="L248" s="514" t="n">
        <f aca="false">IF(ISNUMBER(K248),J248+K248/100,IF(K248="extra",L247+VLOOKUP(BF248,PriceSpreadTable,2)/12,IF(K248="inter",interpolateprices($K$19:$L$200,ROW(K248)-ROW(FirstPricingMonth)+1),interpolatechanges($J$19:$K$200,ROW(K248)-ROW(FirstPricingMonth)+1))))</f>
        <v>5.69999999999999</v>
      </c>
      <c r="M248" s="515"/>
      <c r="N248" s="516" t="n">
        <v>0</v>
      </c>
      <c r="O248" s="515" t="n">
        <f aca="false">M248+N248</f>
        <v>0</v>
      </c>
      <c r="P248" s="512"/>
      <c r="Q248" s="513" t="s">
        <v>280</v>
      </c>
      <c r="R248" s="512" t="e">
        <f aca="false">IF(ISNUMBER(Q248),P248+Q248/100,IF(Q248="extra",(Z246*AL246-R247*AM246)/AN246,IF(Q248="inter",interpolateprices($Q$19:$R$260,ROW(Q248)-ROW(FirstPricingMonth)+1),interpolatechanges($P$19:$Q$260,ROW(Q248)-ROW(FirstPricingMonth)+1))))</f>
        <v>#VALUE!</v>
      </c>
      <c r="S248" s="597" t="n">
        <f aca="false">S$19+(S247-S$19)*S$18</f>
        <v>0.36</v>
      </c>
      <c r="T248" s="575" t="n">
        <f aca="false">SQRT((1-(1-T247^2/U247)*T$18)*U248)</f>
        <v>1</v>
      </c>
      <c r="U248" s="576" t="n">
        <f aca="false">1-(1-U247)*U$18</f>
        <v>1</v>
      </c>
      <c r="V248" s="521" t="n">
        <v>0</v>
      </c>
      <c r="W248" s="577" t="n">
        <f aca="false">(J249*AJ248+J250*AK248)/AI248</f>
        <v>0</v>
      </c>
      <c r="X248" s="578" t="n">
        <f aca="false">(L249*AJ248+L250*AK248)/AI248</f>
        <v>5.74821428571428</v>
      </c>
      <c r="Y248" s="579" t="n">
        <f aca="false">IF(Q250="extra",W248-AA248,(P249*AM248+P250*AN248)/AL248)</f>
        <v>-1.2669</v>
      </c>
      <c r="Z248" s="579" t="n">
        <f aca="false">IF(Q250="extra",X248-AB248,(R249*AM248+R250*AN248)/AL248)</f>
        <v>4.48131428571428</v>
      </c>
      <c r="AA248" s="523" t="n">
        <f aca="false">IF(Q250="extra",INDEX(BrentSeasonalityTable,INT((BG248-1)/3)+1)*VLOOKUP(MAX(BF248,$AB$4),PriceSpreadTable,3),W248-Y248)</f>
        <v>1.2669</v>
      </c>
      <c r="AB248" s="524" t="n">
        <f aca="false">IF(Q250="extra",INDEX(BrentSeasonalityTable,INT((BG248-1)/3)+1)*VLOOKUP(MAX(BF248,$AB$4),PriceSpreadTable,3),X248-Z248)</f>
        <v>1.2669</v>
      </c>
      <c r="AC248" s="646" t="n">
        <v>43697</v>
      </c>
      <c r="AD248" s="646" t="n">
        <v>43693</v>
      </c>
      <c r="AE248" s="646" t="n">
        <v>43692</v>
      </c>
      <c r="AF248" s="646" t="n">
        <v>43688</v>
      </c>
      <c r="AG248" s="438" t="s">
        <v>278</v>
      </c>
      <c r="AH248" s="439" t="s">
        <v>278</v>
      </c>
      <c r="AI248" s="528" t="n">
        <v>21</v>
      </c>
      <c r="AJ248" s="529" t="n">
        <v>15</v>
      </c>
      <c r="AK248" s="529" t="n">
        <v>6</v>
      </c>
      <c r="AL248" s="530" t="n">
        <v>21</v>
      </c>
      <c r="AM248" s="529" t="n">
        <v>10</v>
      </c>
      <c r="AN248" s="531" t="n">
        <v>11</v>
      </c>
      <c r="AO248" s="532"/>
      <c r="AP248" s="465" t="n">
        <f aca="false">(1+AO248/2)^(-2*BL248)</f>
        <v>1</v>
      </c>
      <c r="AQ248" s="532"/>
      <c r="AR248" s="465" t="n">
        <f aca="false">(1+AQ248/2)^(-2*BH248/365.25)</f>
        <v>1</v>
      </c>
      <c r="AS248" s="580" t="n">
        <f aca="false">(O249*AJ248+O250*AK248)/AI248</f>
        <v>0</v>
      </c>
      <c r="AT248" s="468" t="n">
        <f aca="false">O248*VLOOKUP(BF248,BrentVolTable,2)+VLOOKUP(BF248,BrentVolTable,3)</f>
        <v>0</v>
      </c>
      <c r="AU248" s="468" t="n">
        <f aca="false">(AT249*AM248+AT250*AN248)/AL248</f>
        <v>0</v>
      </c>
      <c r="AV248" s="595" t="n">
        <f aca="false">SQRT(MAX(0.000000000001,(O248^2*BH248-S248^2*(BH248-BH247))/BH247))</f>
        <v>0.042134812990607</v>
      </c>
      <c r="AW248" s="451" t="n">
        <f aca="false">IF($I248-DateToday+15&gt;=$T$8,"",IF($I248-DateToday+15&lt;$T$5,1,MATCH($I248-DateToday+15,$T$5:$T$8)))</f>
        <v>1</v>
      </c>
      <c r="AX248" s="468" t="n">
        <f aca="false">IF($AW248="",AX247^2/AX246,INDEX(U$5:U$8,$AW248)^((INDEX($T$5:$T$8,$AW248+1)-($I248-DateToday+15))/(INDEX($T$5:$T$8,$AW248+1)-INDEX($T$5:$T$8,$AW248)))/INDEX(U$5:U$8,$AW248+1)^((INDEX($T$5:$T$8,$AW248)-($I248-DateToday+15))/(INDEX($T$5:$T$8,$AW248+1)-INDEX($T$5:$T$8,$AW248))))</f>
        <v>0.0959182960752948</v>
      </c>
      <c r="AY248" s="468" t="n">
        <f aca="false">IF($AW248="",AY247^2/AY246,INDEX(V$5:V$8,$AW248)^((INDEX($T$5:$T$8,$AW248+1)-($I248-DateToday+15))/(INDEX($T$5:$T$8,$AW248+1)-INDEX($T$5:$T$8,$AW248)))/INDEX(V$5:V$8,$AW248+1)^((INDEX($T$5:$T$8,$AW248)-($I248-DateToday+15))/(INDEX($T$5:$T$8,$AW248+1)-INDEX($T$5:$T$8,$AW248))))</f>
        <v>0.351518545238812</v>
      </c>
      <c r="AZ248" s="468" t="n">
        <f aca="false">IF($AW248="",AZ247^2/AZ246,INDEX(W$5:W$8,$AW248)^((INDEX($T$5:$T$8,$AW248+1)-($I248-DateToday+15))/(INDEX($T$5:$T$8,$AW248+1)-INDEX($T$5:$T$8,$AW248)))/INDEX(W$5:W$8,$AW248+1)^((INDEX($T$5:$T$8,$AW248)-($I248-DateToday+15))/(INDEX($T$5:$T$8,$AW248+1)-INDEX($T$5:$T$8,$AW248))))</f>
        <v>5.00517401029913</v>
      </c>
      <c r="BA248" s="468" t="n">
        <f aca="false">IF($AW248="",BA247^2/BA246,INDEX(X$5:X$8,$AW248)^((INDEX($T$5:$T$8,$AW248+1)-($I248-DateToday+15))/(INDEX($T$5:$T$8,$AW248+1)-INDEX($T$5:$T$8,$AW248)))/INDEX(X$5:X$8,$AW248+1)^((INDEX($T$5:$T$8,$AW248)-($I248-DateToday+15))/(INDEX($T$5:$T$8,$AW248+1)-INDEX($T$5:$T$8,$AW248))))</f>
        <v>5.00091419404419</v>
      </c>
      <c r="BB248" s="468" t="n">
        <f aca="false">IF($AW248="",BB247^2/BB246,INDEX(Y$5:Y$8,$AW248)^((INDEX($T$5:$T$8,$AW248+1)-($I248-DateToday+15))/(INDEX($T$5:$T$8,$AW248+1)-INDEX($T$5:$T$8,$AW248)))/INDEX(Y$5:Y$8,$AW248+1)^((INDEX($T$5:$T$8,$AW248)-($I248-DateToday+15))/(INDEX($T$5:$T$8,$AW248+1)-INDEX($T$5:$T$8,$AW248))))</f>
        <v>14.4701891725956</v>
      </c>
      <c r="BC248" s="468" t="n">
        <f aca="false">IF($AW248="",BC247^2/BC246,INDEX(Z$5:Z$8,$AW248)^((INDEX($T$5:$T$8,$AW248+1)-($I248-DateToday+15))/(INDEX($T$5:$T$8,$AW248+1)-INDEX($T$5:$T$8,$AW248)))/INDEX(Z$5:Z$8,$AW248+1)^((INDEX($T$5:$T$8,$AW248)-($I248-DateToday+15))/(INDEX($T$5:$T$8,$AW248+1)-INDEX($T$5:$T$8,$AW248))))</f>
        <v>28.2922436620494</v>
      </c>
      <c r="BD248" s="535" t="n">
        <f aca="false">IF(OR(DateStart&gt;=I249,DateEnd&lt;I248),0,IF(VolumeOverrideFlag,V248,Volume))</f>
        <v>0</v>
      </c>
      <c r="BE248" s="536" t="n">
        <f aca="false">IF(OR(DateStart2&gt;=I249,DateEnd2&lt;I248),0,IF(VolumeOverrideFlag,V248,VolumeSwaption))</f>
        <v>0</v>
      </c>
      <c r="BF248" s="537" t="n">
        <f aca="false">YEAR(I248)</f>
        <v>2019</v>
      </c>
      <c r="BG248" s="538" t="n">
        <f aca="false">MONTH(I248)</f>
        <v>9</v>
      </c>
      <c r="BH248" s="539" t="n">
        <f aca="false">AD248-DateToday+1</f>
        <v>-2232</v>
      </c>
      <c r="BI248" s="540" t="n">
        <f aca="false">(I248-DateToday+1)/365.25</f>
        <v>-6.06707734428474</v>
      </c>
      <c r="BJ248" s="541" t="n">
        <f aca="false">BI248+(BL248-BI248)*CHOOSE(Underlying,AJ248/AI248,AM248/AL248)</f>
        <v>-6.010364720837</v>
      </c>
      <c r="BK248" s="541" t="n">
        <f aca="false">BJ248+1/365.25</f>
        <v>-6.00762687004987</v>
      </c>
      <c r="BL248" s="541" t="n">
        <f aca="false">(I249-DateToday)/365.25</f>
        <v>-5.98767967145791</v>
      </c>
      <c r="BM248" s="542" t="e">
        <f aca="false">MAX(BI248-(BJ248-BI248)*(S249^2/O249^2-1),0)</f>
        <v>#DIV/0!</v>
      </c>
      <c r="BN248" s="541" t="e">
        <f aca="false">MAX(BL248+(BL248-BK248)*(S250^2/O250^2-1),0)</f>
        <v>#DIV/0!</v>
      </c>
      <c r="BO248" s="530" t="n">
        <f aca="false">CHOOSE(Underlying,AI248,AL248)</f>
        <v>21</v>
      </c>
      <c r="BP248" s="529" t="n">
        <f aca="false">CHOOSE(Underlying,AJ248,AM248)</f>
        <v>15</v>
      </c>
      <c r="BQ248" s="529" t="n">
        <f aca="false">CHOOSE(Underlying,AK248,AN248)</f>
        <v>6</v>
      </c>
      <c r="BR248" s="463" t="str">
        <f aca="false">IF(BD248,IF(Underlying=1,X248,Z248)+UnderlyingPriceAsian-SwapPriceCurve,"")</f>
        <v/>
      </c>
      <c r="BS248" s="463" t="str">
        <f aca="false">IF(BD248,Strike1/BR248-1,"")</f>
        <v/>
      </c>
      <c r="BT248" s="464" t="str">
        <f aca="false">IF(BD248,Strike2/BR248-1,"")</f>
        <v/>
      </c>
      <c r="BU248" s="465" t="str">
        <f aca="false">IF(BD248,IF(Underlying=1,L249,R249)+UnderlyingPriceAsian-SwapPriceCurve,"")</f>
        <v/>
      </c>
      <c r="BV248" s="465" t="str">
        <f aca="false">IF(BD248,IF(Underlying=1,L250,R250)+UnderlyingPriceAsian-SwapPriceCurve,"")</f>
        <v/>
      </c>
      <c r="BW248" s="466" t="str">
        <f aca="false">IF(BD248,IF(Underlying=1,O249,AT249),"")</f>
        <v/>
      </c>
      <c r="BX248" s="467" t="str">
        <f aca="false">IF(BD248,IF(Underlying=1,O250,AT250),"")</f>
        <v/>
      </c>
      <c r="BY248" s="466" t="str">
        <f aca="false">IF(BD248,IF(BS248&gt;0,IF(BS248&gt;0.2,BC248-BB248,IF(BS248&gt;0.1,BB248-BA248,BA248)),IF(BS248&lt;-0.2,AX248-AY248,IF(BS248&lt;-0.1,AY248-AZ248,AZ248))),"")</f>
        <v/>
      </c>
      <c r="BZ248" s="467" t="str">
        <f aca="false">IF(BD248,IF(BT248&gt;0,IF(BT248&gt;0.2,BC248-BB248,IF(BT248&gt;0.1,BB248-BA248,BA248)),IF(BT248&lt;-0.2,AX248-AY248,IF(BT248&lt;-0.1,AY248-AZ248,AZ248))),"")</f>
        <v/>
      </c>
      <c r="CA248" s="468" t="str">
        <f aca="false">IF($BD248,$BW248+IF(VolSkewFlag=1,IF(BS248&gt;0,$BA248*MIN(BS248/10%,1)+($BB248-$BA248)*MAX(0,MIN(BS248/10%-1,1))+($BC248-$BB248)*MAX(0,BS248/10%-2),$AZ248*MIN(-BS248/10%,1)+($AY248-$AZ248)*MAX(0,MIN(-BS248/10%-1,1))+($AX248-$AY248)*MAX(0,-BS248/10%-2)),0),"")</f>
        <v/>
      </c>
      <c r="CB248" s="468" t="str">
        <f aca="false">IF($BD248,$BX248+IF(VolSkewFlag=1,IF(BS248&gt;0,$BA248*MIN(BS248/10%,1)+($BB248-$BA248)*MAX(0,MIN(BS248/10%-1,1))+($BC248-$BB248)*MAX(0,BS248/10%-2),$AZ248*MIN(-BS248/10%,1)+($AY248-$AZ248)*MAX(0,MIN(-BS248/10%-1,1))+($AX248-$AY248)*MAX(0,-BS248/10%-2)),0),"")</f>
        <v/>
      </c>
      <c r="CC248" s="468" t="str">
        <f aca="false">IF($BD248,$BW248+IF(VolSkewFlag=1,IF(BT248&gt;0,$BA248*MIN(BT248/10%,1)+($BB248-$BA248)*MAX(0,MIN(BT248/10%-1,1))+($BC248-$BB248)*MAX(0,BT248/10%-2),$AZ248*MIN(-BT248/10%,1)+($AY248-$AZ248)*MAX(0,MIN(-BT248/10%-1,1))+($AX248-$AY248)*MAX(0,-BT248/10%-2)),0),"")</f>
        <v/>
      </c>
      <c r="CD248" s="468" t="str">
        <f aca="false">IF($BD248,$BX248+IF(VolSkewFlag=1,IF(BT248&gt;0,$BA248*MIN(BT248/10%,1)+($BB248-$BA248)*MAX(0,MIN(BT248/10%-1,1))+($BC248-$BB248)*MAX(0,BT248/10%-2),$AZ248*MIN(-BT248/10%,1)+($AY248-$AZ248)*MAX(0,MIN(-BT248/10%-1,1))+($AX248-$AY248)*MAX(0,-BT248/10%-2)),0),"")</f>
        <v/>
      </c>
      <c r="CE248" s="469" t="n">
        <v>1</v>
      </c>
      <c r="CF248" s="470" t="n">
        <f aca="false">IF(BD248,xCrudeAPO(BU248,BV248,CA248,CB248,S249,S250,BI248,BL248,BP248,BQ248,0,Strike1,AO248,CE248,0,BL248,IF(OptControl=4,0,1),0,1),0)</f>
        <v>0</v>
      </c>
      <c r="CG248" s="470" t="n">
        <f aca="false">IF(BD248,xCrudeAPO(BU248,BV248,CA248,CB248,S249,S250,BI248,BL248,BP248,BQ248,0,Strike1,AO248,CE248,0,BL248,IF(OptControl=4,0,1),1,1)+xCrudeAPO(BU248,BV248,CA248,CB248,S249,S250,BI248,BL248,BP248,BQ248,0,Strike1,AO248,CE248,0,BL248,IF(OptControl=4,0,1),1,2)+IF(OR(VolSkewFlag=2,ABS(BS248)&lt;0.0001),0,IF(BS248&gt;0,-1,1)*CH248*Strike1/BR248^2*BY248/10%),0)</f>
        <v>0</v>
      </c>
      <c r="CH248" s="470" t="n">
        <f aca="false">IF(BD248,(xCrudeAPO(BU248,BV248,CA248,CB248,S249,S250,BI248,BL248,BP248,BQ248,0,Strike1,AO248,CE248,0,BL248,IF(OptControl=4,0,1),3,1)+xCrudeAPO(BU248,BV248,CA248,CB248,S249,S250,BI248,BL248,BP248,BQ248,0,Strike1,AO248,CE248,0,BL248,IF(OptControl=4,0,1),3,2))/100,0)</f>
        <v>0</v>
      </c>
      <c r="CI248" s="470" t="n">
        <f aca="false">IF(BD248,xCrudeAPO(BU248,BV248,CA248,CB248,S249,S250,BI248-DaysForThetaCalculation/365.25,BL248-DaysForThetaCalculation/365.25,BP248,BQ248,0,Strike1,AO248,CE248,0,BL248,IF(OptControl=4,0,1),0,1)-xCrudeAPO(BU248,BV248,CA248,CB248,S249,S250,BI248,BL248,BP248,BQ248,0,Strike1,AO248,CE248,0,BL248,IF(OptControl=4,0,1),0,1),0)</f>
        <v>0</v>
      </c>
      <c r="CJ248" s="471" t="n">
        <f aca="false">IF(BD248,xCrudeAPO(BU248,BV248,CC248,CD248,S249,S250,BI248,BL248,BP248,BQ248,0,Strike2,AO248,CE248,0,BL248,IF(OptControl=3,1,0),0,1),0)</f>
        <v>0</v>
      </c>
      <c r="CK248" s="470" t="n">
        <f aca="false">IF(BD248,xCrudeAPO(BU248,BV248,CC248,CD248,S249,S250,BI248,BL248,BP248,BQ248,0,Strike2,AO248,CE248,0,BL248,IF(OptControl=3,1,0),1,1)+xCrudeAPO(BU248,BV248,CC248,CD248,S249,S250,BI248,BL248,BP248,BQ248,0,Strike2,AO248,CE248,0,BL248,IF(OptControl=3,1,0),1,2)+IF(OR(VolSkewFlag=2,ABS(BT248)&lt;0.0001),0,IF(BT248&gt;0,-1,1)*CL248*Strike2/BR248^2*BZ248/10%),0)</f>
        <v>0</v>
      </c>
      <c r="CL248" s="470" t="n">
        <f aca="false">IF(BD248,(xCrudeAPO(BU248,BV248,CC248,CD248,S249,S250,BI248,BL248,BP248,BQ248,0,Strike2,AO248,CE248,0,BL248,IF(OptControl=3,1,0),3,1)+xCrudeAPO(BU248,BV248,CC248,CD248,S249,S250,BI248,BL248,BP248,BQ248,0,Strike2,AO248,CE248,0,BL248,IF(OptControl=3,1,0),3,2))/100,0)</f>
        <v>0</v>
      </c>
      <c r="CM248" s="472" t="n">
        <f aca="false">IF(BD248,xCrudeAPO(BU248,BV248,CC248,CD248,S249,S250,BI248-DaysForThetaCalculation/365.25,BL248-DaysForThetaCalculation/365.25,BP248,BQ248,0,Strike2,AO248,CE248,0,BL248,IF(OptControl=3,1,0),0,1)-xCrudeAPO(BU248,BV248,CC248,CD248,S249,S250,BI248,BL248,BP248,BQ248,0,Strike2,AO248,CE248,0,BL248,IF(OptControl=3,1,0),0,1),0)</f>
        <v>0</v>
      </c>
      <c r="CN248" s="3"/>
      <c r="CO248" s="543" t="str">
        <f aca="false">IF(BD248,CHOOSE(Underlying,AD248,AF248)-DateToday+1,"")</f>
        <v/>
      </c>
      <c r="CP248" s="582" t="str">
        <f aca="false">IF(BD248,CHOOSE(Underlying,L248,R248),"")</f>
        <v/>
      </c>
      <c r="CQ248" s="544" t="str">
        <f aca="false">IF(BD248,Strike1/CP248-1,"")</f>
        <v/>
      </c>
      <c r="CR248" s="544" t="str">
        <f aca="false">IF(BD248,Strike2/CP248-1,"")</f>
        <v/>
      </c>
      <c r="CS248" s="544" t="str">
        <f aca="false">IF(BD248,IF(CQ248&gt;0,IF(CQ248&gt;0.2,BC247-BB247,IF(CQ248&gt;0.1,BB247-BA247,BA247)),IF(CQ248&lt;-0.2,AX247-AY247,IF(CQ248&lt;-0.1,AY247-AZ247,AZ247))),"")</f>
        <v/>
      </c>
      <c r="CT248" s="544" t="str">
        <f aca="false">IF(BD248,IF(CR248&gt;0,IF(CR248&gt;0.2,BC247-BB247,IF(CR248&gt;0.1,BB247-BA247,BA247)),IF(CR248&lt;-0.2,AX247-AY247,IF(CR248&lt;-0.1,AY247-AZ247,AZ247))),"")</f>
        <v/>
      </c>
      <c r="CU248" s="545" t="str">
        <f aca="false">IF(BD248,CHOOSE(Underlying,O248,AT248),"")</f>
        <v/>
      </c>
      <c r="CV248" s="545" t="str">
        <f aca="false">IF(BD248,CU248+IF(VolSkewFlag=1,IF(CQ248&gt;0,BA247*MIN(CQ248/10%,1)+(BB247-BA247)*MAX(0,MIN(CQ248/10%-1,1))+(BC247-BB247)*MAX(0,CQ248/10%-2),AZ247*MIN(-CQ248/10%,1)+(AY247-AZ247)*MAX(0,MIN(-CQ248/10%-1,1))+(AX247-AY247)*MAX(0,-CQ248/10%-2)),0),"")</f>
        <v/>
      </c>
      <c r="CW248" s="545" t="str">
        <f aca="false">IF(BD248,CU248+IF(VolSkewFlag=1,IF(CR248&gt;0,BA247*MIN(CR248/10%,1)+(BB247-BA247)*MAX(0,MIN(CR248/10%-1,1))+(BC247-BB247)*MAX(0,CR248/10%-2),AZ247*MIN(-CR248/10%,1)+(AY247-AZ247)*MAX(0,MIN(-CR248/10%-1,1))+(AX247-AY247)*MAX(0,-CR248/10%-2)),0),"")</f>
        <v/>
      </c>
      <c r="CX248" s="470" t="n">
        <f aca="false">IF(BD248,EURO(CP248,Strike1,AO248,AO248,CV248,CO248,IF(OptControl=4,0,1),0),0)</f>
        <v>0</v>
      </c>
      <c r="CY248" s="470" t="n">
        <f aca="false">IF(BD248,EURO(CP248,Strike1,AO248,AO248,CV248,CO248,IF(OptControl=4,0,1),1)+IF(OR(VolSkewFlag=2,ABS(CQ248)&lt;0.0001),0,IF(CQ248&gt;0,-1,1)*CZ248*100*Strike1/CP248^2*CS248/10%),0)</f>
        <v>0</v>
      </c>
      <c r="CZ248" s="470" t="n">
        <f aca="false">IF(BD248,EURO(CP248,Strike1,AO248,AO248,CV248,CO248,IF(OptControl=4,0,1),3)/100,0)</f>
        <v>0</v>
      </c>
      <c r="DA248" s="470" t="n">
        <f aca="false">IF(BD248,EURO(CP248,Strike1,AO248,AO248,CV248,CO248,IF(OptControl=4,0,1),0)-EURO(CP248,Strike1,AO248,AO248,CV248,CO248-1,IF(OptControl=4,0,1),0),0)</f>
        <v>0</v>
      </c>
      <c r="DB248" s="470" t="n">
        <f aca="false">IF(BD248,EURO(CP248,Strike2,AO248,AO248,CW248,CO248,IF(OptControl=3,1,0),0),0)</f>
        <v>0</v>
      </c>
      <c r="DC248" s="470" t="n">
        <f aca="false">IF(BD248,EURO(CP248,Strike2,AO248,AO248,CW248,CO248,IF(OptControl=3,1,0),1)+IF(OR(VolSkewFlag=2,ABS(CR248)&lt;0.0001),0,IF(CR248&gt;0,-1,1)*DD248*100*Strike2/CP248^2*CT248/10%),0)</f>
        <v>0</v>
      </c>
      <c r="DD248" s="470" t="n">
        <f aca="false">IF(BD248,EURO(CP248,Strike2,AO248,AO248,CW248,CO248,IF(OptControl=3,1,0),3)/100,0)</f>
        <v>0</v>
      </c>
      <c r="DE248" s="472" t="n">
        <f aca="false">IF(BD248,EURO(CP248,Strike2,AO248,AO248,CW248,CO248,IF(OptControl=3,1,0),0)-EURO(CP248,Strike2,AO248,AO248,CW248,CO248-1,IF(OptControl=3,1,0),0),0)</f>
        <v>0</v>
      </c>
      <c r="DG248" s="481" t="n">
        <f aca="false">EOMONTH(DG247,0)+1</f>
        <v>52628</v>
      </c>
      <c r="DH248" s="478" t="n">
        <v>25.5600000000001</v>
      </c>
      <c r="DI248" s="479" t="n">
        <v>25.6250000000001</v>
      </c>
      <c r="DJ248" s="480" t="n">
        <f aca="false">DG248</f>
        <v>52628</v>
      </c>
      <c r="DK248" s="478" t="n">
        <v>24.3557434839149</v>
      </c>
      <c r="DL248" s="479" t="n">
        <v>24.4565000000001</v>
      </c>
      <c r="DM248" s="481" t="n">
        <f aca="false">DG248</f>
        <v>52628</v>
      </c>
      <c r="DN248" s="482" t="n">
        <f aca="false">DK248+BrentPhyBrentSpread</f>
        <v>24.4057434839149</v>
      </c>
      <c r="DO248" s="481" t="n">
        <f aca="false">DG248</f>
        <v>52628</v>
      </c>
      <c r="DP248" s="483" t="n">
        <f aca="false">DL248+DQ248</f>
        <v>24.4565000000001</v>
      </c>
      <c r="DQ248" s="546" t="n">
        <v>0</v>
      </c>
      <c r="DR248" s="480" t="n">
        <f aca="false">DG248</f>
        <v>52628</v>
      </c>
      <c r="DS248" s="485" t="n">
        <v>0.0877999999999973</v>
      </c>
      <c r="DT248" s="486" t="n">
        <v>0.0870199999999973</v>
      </c>
      <c r="DU248" s="480" t="n">
        <f aca="false">DG248</f>
        <v>52628</v>
      </c>
      <c r="DV248" s="485" t="n">
        <v>0.0877999999999973</v>
      </c>
      <c r="DW248" s="486" t="n">
        <v>0.0870199999999973</v>
      </c>
      <c r="DX248" s="481" t="n">
        <f aca="false">DG248</f>
        <v>52628</v>
      </c>
      <c r="DY248" s="486" t="n">
        <v>0.35</v>
      </c>
      <c r="DZ248" s="481" t="n">
        <f aca="false">DR248</f>
        <v>52628</v>
      </c>
      <c r="EA248" s="486" t="n">
        <f aca="false">DT248</f>
        <v>0.0870199999999973</v>
      </c>
      <c r="EB248" s="195"/>
      <c r="EC248" s="547" t="str">
        <f aca="false">IF(BD248,IF(Underlying=1,AS248,AU248),"")</f>
        <v/>
      </c>
      <c r="ED248" s="548" t="str">
        <f aca="false">IF($BD248,$EC248+IF(VolSkewFlag=1,IF(BS248&gt;0,$BA248*MIN(BS248/10%,1)+($BB248-$BA248)*MAX(0,MIN(BS248/10%-1,1))+($BC248-$BB248)*MAX(0,BS248/10%-2),$AZ248*MIN(-BS248/10%,1)+($AY248-$AZ248)*MAX(0,MIN(-BS248/10%-1,1))+($AX248-$AY248)*MAX(0,-BS248/10%-2)),0),"")</f>
        <v/>
      </c>
      <c r="EE248" s="549" t="str">
        <f aca="false">IF($BD248,$EC248+IF(VolSkewFlag=1,IF(BT248&gt;0,$BA248*MIN(BT248/10%,1)+($BB248-$BA248)*MAX(0,MIN(BT248/10%-1,1))+($BC248-$BB248)*MAX(0,BT248/10%-2),$AZ248*MIN(-BT248/10%,1)+($AY248-$AZ248)*MAX(0,MIN(-BT248/10%-1,1))+($AX248-$AY248)*MAX(0,-BT248/10%-2)),0),"")</f>
        <v/>
      </c>
      <c r="EF248" s="550" t="n">
        <f aca="false">IF(BD248,xASN(BR248,Strike1,AO248,ED248,0,BO248,0,BI248,BL248,IF(OptControl=4,0,1),0),0)</f>
        <v>0</v>
      </c>
      <c r="EG248" s="551" t="n">
        <f aca="false">IF(BD248,xASN(BR248,Strike2,AO248,EE248,0,BO248,0,BI248,BL248,IF(OptControl=3,1,0),0),0)</f>
        <v>0</v>
      </c>
      <c r="EL248" s="1"/>
      <c r="EM248" s="195"/>
      <c r="EN248" s="240"/>
      <c r="EO248" s="240"/>
      <c r="EP248" s="195"/>
      <c r="EQ248" s="407" t="s">
        <v>477</v>
      </c>
      <c r="ES248" s="1"/>
      <c r="EU248" s="672"/>
      <c r="FJ248" s="571" t="n">
        <v>4</v>
      </c>
      <c r="FK248" s="150" t="str">
        <f aca="false">IF($FJ248+FK$244&gt;73,"",PRODUCT(INDEX($T$19:$T$93,FK$244):INDEX($T$19:$T$93,FK$244+$FJ248-1)))</f>
        <v/>
      </c>
      <c r="FL248" s="150" t="str">
        <f aca="false">IF($FJ248+FL$244&gt;73,"",PRODUCT(INDEX($T$19:$T$93,FL$244):INDEX($T$19:$T$93,FL$244+$FJ248-1)))</f>
        <v/>
      </c>
      <c r="FM248" s="150" t="str">
        <f aca="false">IF($FJ248+FM$244&gt;73,"",PRODUCT(INDEX($T$19:$T$93,FM$244):INDEX($T$19:$T$93,FM$244+$FJ248-1)))</f>
        <v/>
      </c>
      <c r="FN248" s="150" t="n">
        <f aca="false">IF($FJ248+FN$244&gt;73,"",PRODUCT(INDEX($T$19:$T$93,FN$244):INDEX($T$19:$T$93,FN$244+$FJ248-1)))</f>
        <v>0.999990026055001</v>
      </c>
      <c r="FO248" s="150" t="n">
        <f aca="false">IF($FJ248+FO$244&gt;73,"",PRODUCT(INDEX($T$19:$T$93,FO$244):INDEX($T$19:$T$93,FO$244+$FJ248-1)))</f>
        <v>0.999988334557741</v>
      </c>
      <c r="FP248" s="150" t="n">
        <f aca="false">IF($FJ248+FP$244&gt;73,"",PRODUCT(INDEX($T$19:$T$93,FP$244):INDEX($T$19:$T$93,FP$244+$FJ248-1)))</f>
        <v>0.999986356195367</v>
      </c>
      <c r="FQ248" s="150" t="n">
        <f aca="false">IF($FJ248+FQ$244&gt;73,"",PRODUCT(INDEX($T$19:$T$93,FQ$244):INDEX($T$19:$T$93,FQ$244+$FJ248-1)))</f>
        <v>0.9999840423173</v>
      </c>
      <c r="FR248" s="150" t="n">
        <f aca="false">IF($FJ248+FR$244&gt;73,"",PRODUCT(INDEX($T$19:$T$93,FR$244):INDEX($T$19:$T$93,FR$244+$FJ248-1)))</f>
        <v>0.999981336021986</v>
      </c>
      <c r="FS248" s="150" t="n">
        <f aca="false">IF($FJ248+FS$244&gt;73,"",PRODUCT(INDEX($T$19:$T$93,FS$244):INDEX($T$19:$T$93,FS$244+$FJ248-1)))</f>
        <v>0.999978170757519</v>
      </c>
      <c r="FT248" s="150" t="n">
        <f aca="false">IF($FJ248+FT$244&gt;73,"",PRODUCT(INDEX($T$19:$T$93,FT$244):INDEX($T$19:$T$93,FT$244+$FJ248-1)))</f>
        <v>0.999974468684919</v>
      </c>
      <c r="FU248" s="150" t="n">
        <f aca="false">IF($FJ248+FU$244&gt;73,"",PRODUCT(INDEX($T$19:$T$93,FU$244):INDEX($T$19:$T$93,FU$244+$FJ248-1)))</f>
        <v>0.999970138763797</v>
      </c>
      <c r="FV248" s="150" t="n">
        <f aca="false">IF($FJ248+FV$244&gt;73,"",PRODUCT(INDEX($T$19:$T$93,FV$244):INDEX($T$19:$T$93,FV$244+$FJ248-1)))</f>
        <v>0.999965074513327</v>
      </c>
      <c r="FW248" s="150" t="n">
        <f aca="false">IF($FJ248+FW$244&gt;73,"",PRODUCT(INDEX($T$19:$T$93,FW$244):INDEX($T$19:$T$93,FW$244+$FJ248-1)))</f>
        <v>0.999959151393444</v>
      </c>
      <c r="FX248" s="150" t="n">
        <f aca="false">IF($FJ248+FX$244&gt;73,"",PRODUCT(INDEX($T$19:$T$93,FX$244):INDEX($T$19:$T$93,FX$244+$FJ248-1)))</f>
        <v>0.999952223741838</v>
      </c>
      <c r="FY248" s="150" t="n">
        <f aca="false">IF($FJ248+FY$244&gt;73,"",PRODUCT(INDEX($T$19:$T$93,FY$244):INDEX($T$19:$T$93,FY$244+$FJ248-1)))</f>
        <v>0.999944121191407</v>
      </c>
      <c r="FZ248" s="150" t="n">
        <f aca="false">IF($FJ248+FZ$244&gt;73,"",PRODUCT(INDEX($T$19:$T$93,FZ$244):INDEX($T$19:$T$93,FZ$244+$FJ248-1)))</f>
        <v>0.999934644480014</v>
      </c>
      <c r="GA248" s="150" t="n">
        <f aca="false">IF($FJ248+GA$244&gt;73,"",PRODUCT(INDEX($T$19:$T$93,GA$244):INDEX($T$19:$T$93,GA$244+$FJ248-1)))</f>
        <v>0.999923560549481</v>
      </c>
      <c r="GB248" s="150" t="n">
        <f aca="false">IF($FJ248+GB$244&gt;73,"",PRODUCT(INDEX($T$19:$T$93,GB$244):INDEX($T$19:$T$93,GB$244+$FJ248-1)))</f>
        <v>0.999910596813208</v>
      </c>
      <c r="GC248" s="150" t="n">
        <f aca="false">IF($FJ248+GC$244&gt;73,"",PRODUCT(INDEX($T$19:$T$93,GC$244):INDEX($T$19:$T$93,GC$244+$FJ248-1)))</f>
        <v>0.999895434451413</v>
      </c>
      <c r="GD248" s="150" t="n">
        <f aca="false">IF($FJ248+GD$244&gt;73,"",PRODUCT(INDEX($T$19:$T$93,GD$244):INDEX($T$19:$T$93,GD$244+$FJ248-1)))</f>
        <v>0.999877700568987</v>
      </c>
      <c r="GE248" s="150" t="n">
        <f aca="false">IF($FJ248+GE$244&gt;73,"",PRODUCT(INDEX($T$19:$T$93,GE$244):INDEX($T$19:$T$93,GE$244+$FJ248-1)))</f>
        <v>0.999856959023026</v>
      </c>
      <c r="GF248" s="150" t="n">
        <f aca="false">IF($FJ248+GF$244&gt;73,"",PRODUCT(INDEX($T$19:$T$93,GF$244):INDEX($T$19:$T$93,GF$244+$FJ248-1)))</f>
        <v>0.99983269969433</v>
      </c>
      <c r="GG248" s="150" t="n">
        <f aca="false">IF($FJ248+GG$244&gt;73,"",PRODUCT(INDEX($T$19:$T$93,GG$244):INDEX($T$19:$T$93,GG$244+$FJ248-1)))</f>
        <v>0.999804325938866</v>
      </c>
      <c r="GH248" s="150" t="n">
        <f aca="false">IF($FJ248+GH$244&gt;73,"",PRODUCT(INDEX($T$19:$T$93,GH$244):INDEX($T$19:$T$93,GH$244+$FJ248-1)))</f>
        <v>0.999771139910424</v>
      </c>
      <c r="GI248" s="150" t="n">
        <f aca="false">IF($FJ248+GI$244&gt;73,"",PRODUCT(INDEX($T$19:$T$93,GI$244):INDEX($T$19:$T$93,GI$244+$FJ248-1)))</f>
        <v>0.999732325393285</v>
      </c>
      <c r="GJ248" s="150" t="n">
        <f aca="false">IF($FJ248+GJ$244&gt;73,"",PRODUCT(INDEX($T$19:$T$93,GJ$244):INDEX($T$19:$T$93,GJ$244+$FJ248-1)))</f>
        <v>0.999686927722472</v>
      </c>
      <c r="GK248" s="150" t="n">
        <f aca="false">IF($FJ248+GK$244&gt;73,"",PRODUCT(INDEX($T$19:$T$93,GK$244):INDEX($T$19:$T$93,GK$244+$FJ248-1)))</f>
        <v>0.999633830297513</v>
      </c>
      <c r="GL248" s="150" t="n">
        <f aca="false">IF($FJ248+GL$244&gt;73,"",PRODUCT(INDEX($T$19:$T$93,GL$244):INDEX($T$19:$T$93,GL$244+$FJ248-1)))</f>
        <v>0.999571727111846</v>
      </c>
      <c r="GM248" s="150" t="n">
        <f aca="false">IF($FJ248+GM$244&gt;73,"",PRODUCT(INDEX($T$19:$T$93,GM$244):INDEX($T$19:$T$93,GM$244+$FJ248-1)))</f>
        <v>0.999499090622058</v>
      </c>
      <c r="GN248" s="150" t="n">
        <f aca="false">IF($FJ248+GN$244&gt;73,"",PRODUCT(INDEX($T$19:$T$93,GN$244):INDEX($T$19:$T$93,GN$244+$FJ248-1)))</f>
        <v>0.999414134166609</v>
      </c>
      <c r="GO248" s="150" t="n">
        <f aca="false">IF($FJ248+GO$244&gt;73,"",PRODUCT(INDEX($T$19:$T$93,GO$244):INDEX($T$19:$T$93,GO$244+$FJ248-1)))</f>
        <v>0.999314768009834</v>
      </c>
      <c r="GP248" s="150" t="n">
        <f aca="false">IF($FJ248+GP$244&gt;73,"",PRODUCT(INDEX($T$19:$T$93,GP$244):INDEX($T$19:$T$93,GP$244+$FJ248-1)))</f>
        <v>0.999198547930537</v>
      </c>
      <c r="GQ248" s="150" t="n">
        <f aca="false">IF($FJ248+GQ$244&gt;73,"",PRODUCT(INDEX($T$19:$T$93,GQ$244):INDEX($T$19:$T$93,GQ$244+$FJ248-1)))</f>
        <v>0.999062615091695</v>
      </c>
      <c r="GR248" s="150" t="n">
        <f aca="false">IF($FJ248+GR$244&gt;73,"",PRODUCT(INDEX($T$19:$T$93,GR$244):INDEX($T$19:$T$93,GR$244+$FJ248-1)))</f>
        <v>0.998903625714259</v>
      </c>
      <c r="GS248" s="150" t="n">
        <f aca="false">IF($FJ248+GS$244&gt;73,"",PRODUCT(INDEX($T$19:$T$93,GS$244):INDEX($T$19:$T$93,GS$244+$FJ248-1)))</f>
        <v>0.99871766882869</v>
      </c>
      <c r="GT248" s="150" t="n">
        <f aca="false">IF($FJ248+GT$244&gt;73,"",PRODUCT(INDEX($T$19:$T$93,GT$244):INDEX($T$19:$T$93,GT$244+$FJ248-1)))</f>
        <v>0.998500170086895</v>
      </c>
      <c r="GU248" s="150" t="n">
        <f aca="false">IF($FJ248+GU$244&gt;73,"",PRODUCT(INDEX($T$19:$T$93,GU$244):INDEX($T$19:$T$93,GU$244+$FJ248-1)))</f>
        <v>0.998245779277817</v>
      </c>
      <c r="GV248" s="150" t="n">
        <f aca="false">IF($FJ248+GV$244&gt;73,"",PRODUCT(INDEX($T$19:$T$93,GV$244):INDEX($T$19:$T$93,GV$244+$FJ248-1)))</f>
        <v>0.997948238794326</v>
      </c>
      <c r="GW248" s="150" t="n">
        <f aca="false">IF($FJ248+GW$244&gt;73,"",PRODUCT(INDEX($T$19:$T$93,GW$244):INDEX($T$19:$T$93,GW$244+$FJ248-1)))</f>
        <v>0.997600229838405</v>
      </c>
      <c r="GX248" s="150" t="n">
        <f aca="false">IF($FJ248+GX$244&gt;73,"",PRODUCT(INDEX($T$19:$T$93,GX$244):INDEX($T$19:$T$93,GX$244+$FJ248-1)))</f>
        <v>0.997193192615794</v>
      </c>
      <c r="GY248" s="150" t="n">
        <f aca="false">IF($FJ248+GY$244&gt;73,"",PRODUCT(INDEX($T$19:$T$93,GY$244):INDEX($T$19:$T$93,GY$244+$FJ248-1)))</f>
        <v>0.996717116148866</v>
      </c>
      <c r="GZ248" s="150" t="n">
        <f aca="false">IF($FJ248+GZ$244&gt;73,"",PRODUCT(INDEX($T$19:$T$93,GZ$244):INDEX($T$19:$T$93,GZ$244+$FJ248-1)))</f>
        <v>0.99616029261492</v>
      </c>
      <c r="HA248" s="150" t="n">
        <f aca="false">IF($FJ248+HA$244&gt;73,"",PRODUCT(INDEX($T$19:$T$93,HA$244):INDEX($T$19:$T$93,HA$244+$FJ248-1)))</f>
        <v>0.995509030282269</v>
      </c>
      <c r="HB248" s="150" t="n">
        <f aca="false">IF($FJ248+HB$244&gt;73,"",PRODUCT(INDEX($T$19:$T$93,HB$244):INDEX($T$19:$T$93,HB$244+$FJ248-1)))</f>
        <v>0.994747318153531</v>
      </c>
      <c r="HC248" s="150" t="n">
        <f aca="false">IF($FJ248+HC$244&gt;73,"",PRODUCT(INDEX($T$19:$T$93,HC$244):INDEX($T$19:$T$93,HC$244+$FJ248-1)))</f>
        <v>0.993856434318652</v>
      </c>
      <c r="HD248" s="150" t="n">
        <f aca="false">IF($FJ248+HD$244&gt;73,"",PRODUCT(INDEX($T$19:$T$93,HD$244):INDEX($T$19:$T$93,HD$244+$FJ248-1)))</f>
        <v>0.99281448875392</v>
      </c>
      <c r="HE248" s="150" t="n">
        <f aca="false">IF($FJ248+HE$244&gt;73,"",PRODUCT(INDEX($T$19:$T$93,HE$244):INDEX($T$19:$T$93,HE$244+$FJ248-1)))</f>
        <v>0.991595889863225</v>
      </c>
      <c r="HF248" s="150" t="n">
        <f aca="false">IF($FJ248+HF$244&gt;73,"",PRODUCT(INDEX($T$19:$T$93,HF$244):INDEX($T$19:$T$93,HF$244+$FJ248-1)))</f>
        <v>0.990170722433354</v>
      </c>
      <c r="HG248" s="150" t="n">
        <f aca="false">IF($FJ248+HG$244&gt;73,"",PRODUCT(INDEX($T$19:$T$93,HG$244):INDEX($T$19:$T$93,HG$244+$FJ248-1)))</f>
        <v>0.988504022861959</v>
      </c>
      <c r="HH248" s="150" t="n">
        <f aca="false">IF($FJ248+HH$244&gt;73,"",PRODUCT(INDEX($T$19:$T$93,HH$244):INDEX($T$19:$T$93,HH$244+$FJ248-1)))</f>
        <v>0.986554935522631</v>
      </c>
      <c r="HI248" s="150" t="n">
        <f aca="false">IF($FJ248+HI$244&gt;73,"",PRODUCT(INDEX($T$19:$T$93,HI$244):INDEX($T$19:$T$93,HI$244+$FJ248-1)))</f>
        <v>0.984275731983241</v>
      </c>
      <c r="HJ248" s="150" t="n">
        <f aca="false">IF($FJ248+HJ$244&gt;73,"",PRODUCT(INDEX($T$19:$T$93,HJ$244):INDEX($T$19:$T$93,HJ$244+$FJ248-1)))</f>
        <v>0.981610672549744</v>
      </c>
      <c r="HK248" s="150" t="n">
        <f aca="false">IF($FJ248+HK$244&gt;73,"",PRODUCT(INDEX($T$19:$T$93,HK$244):INDEX($T$19:$T$93,HK$244+$FJ248-1)))</f>
        <v>0.978494687375404</v>
      </c>
      <c r="HL248" s="150" t="n">
        <f aca="false">IF($FJ248+HL$244&gt;73,"",PRODUCT(INDEX($T$19:$T$93,HL$244):INDEX($T$19:$T$93,HL$244+$FJ248-1)))</f>
        <v>0.974851852338059</v>
      </c>
      <c r="HM248" s="150" t="n">
        <f aca="false">IF($FJ248+HM$244&gt;73,"",PRODUCT(INDEX($T$19:$T$93,HM$244):INDEX($T$19:$T$93,HM$244+$FJ248-1)))</f>
        <v>0.970593633344738</v>
      </c>
      <c r="HN248" s="150" t="n">
        <f aca="false">IF($FJ248+HN$244&gt;73,"",PRODUCT(INDEX($T$19:$T$93,HN$244):INDEX($T$19:$T$93,HN$244+$FJ248-1)))</f>
        <v>0.965616872148104</v>
      </c>
      <c r="HO248" s="150" t="n">
        <f aca="false">IF($FJ248+HO$244&gt;73,"",PRODUCT(INDEX($T$19:$T$93,HO$244):INDEX($T$19:$T$93,HO$244+$FJ248-1)))</f>
        <v>0.959801487891208</v>
      </c>
      <c r="HP248" s="150" t="n">
        <f aca="false">IF($FJ248+HP$244&gt;73,"",PRODUCT(INDEX($T$19:$T$93,HP$244):INDEX($T$19:$T$93,HP$244+$FJ248-1)))</f>
        <v>0.953007872568974</v>
      </c>
      <c r="HQ248" s="150" t="n">
        <f aca="false">IF($FJ248+HQ$244&gt;73,"",PRODUCT(INDEX($T$19:$T$93,HQ$244):INDEX($T$19:$T$93,HQ$244+$FJ248-1)))</f>
        <v>0.945073967127169</v>
      </c>
      <c r="HR248" s="150" t="n">
        <f aca="false">IF($FJ248+HR$244&gt;73,"",PRODUCT(INDEX($T$19:$T$93,HR$244):INDEX($T$19:$T$93,HR$244+$FJ248-1)))</f>
        <v>0.935812020601499</v>
      </c>
      <c r="HS248" s="150" t="n">
        <f aca="false">IF($FJ248+HS$244&gt;73,"",PRODUCT(INDEX($T$19:$T$93,HS$244):INDEX($T$19:$T$93,HS$244+$FJ248-1)))</f>
        <v>0.925005061397969</v>
      </c>
      <c r="HT248" s="150" t="n">
        <f aca="false">IF($FJ248+HT$244&gt;73,"",PRODUCT(INDEX($T$19:$T$93,HT$244):INDEX($T$19:$T$93,HT$244+$FJ248-1)))</f>
        <v>0.912403153261808</v>
      </c>
      <c r="HU248" s="150" t="n">
        <f aca="false">IF($FJ248+HU$244&gt;73,"",PRODUCT(INDEX($T$19:$T$93,HU$244):INDEX($T$19:$T$93,HU$244+$FJ248-1)))</f>
        <v>0.897719577100974</v>
      </c>
      <c r="HV248" s="150" t="n">
        <f aca="false">IF($FJ248+HV$244&gt;73,"",PRODUCT(INDEX($T$19:$T$93,HV$244):INDEX($T$19:$T$93,HV$244+$FJ248-1)))</f>
        <v>0.880627185886766</v>
      </c>
      <c r="HW248" s="150" t="n">
        <f aca="false">IF($FJ248+HW$244&gt;73,"",PRODUCT(INDEX($T$19:$T$93,HW$244):INDEX($T$19:$T$93,HW$244+$FJ248-1)))</f>
        <v>0.860755340989427</v>
      </c>
      <c r="HX248" s="150" t="n">
        <f aca="false">IF($FJ248+HX$244&gt;73,"",PRODUCT(INDEX($T$19:$T$93,HX$244):INDEX($T$19:$T$93,HX$244+$FJ248-1)))</f>
        <v>0.837688079485189</v>
      </c>
      <c r="HY248" s="150" t="n">
        <f aca="false">IF($FJ248+HY$244&gt;73,"",PRODUCT(INDEX($T$19:$T$93,HY$244):INDEX($T$19:$T$93,HY$244+$FJ248-1)))</f>
        <v>0.810964517729162</v>
      </c>
      <c r="HZ248" s="150" t="n">
        <f aca="false">IF($FJ248+HZ$244&gt;73,"",PRODUCT(INDEX($T$19:$T$93,HZ$244):INDEX($T$19:$T$93,HZ$244+$FJ248-1)))</f>
        <v>0.780083013027589</v>
      </c>
      <c r="IA248" s="150" t="n">
        <f aca="false">IF($FJ248+IA$244&gt;73,"",PRODUCT(INDEX($T$19:$T$93,IA$244):INDEX($T$19:$T$93,IA$244+$FJ248-1)))</f>
        <v>0.744511341164523</v>
      </c>
      <c r="IB248" s="150" t="n">
        <f aca="false">IF($FJ248+IB$244&gt;73,"",PRODUCT(INDEX($T$19:$T$93,IB$244):INDEX($T$19:$T$93,IB$244+$FJ248-1)))</f>
        <v>0.703706170433652</v>
      </c>
      <c r="IC248" s="150" t="n">
        <f aca="false">IF($FJ248+IC$244&gt;73,"",PRODUCT(INDEX($T$19:$T$93,IC$244):INDEX($T$19:$T$93,IC$244+$FJ248-1)))</f>
        <v>0.657146485790847</v>
      </c>
      <c r="ID248" s="572" t="n">
        <f aca="false">IF($FJ248+ID$244&gt;73,"",PRODUCT(INDEX($T$19:$T$93,ID$244):INDEX($T$19:$T$93,ID$244+$FJ248-1)))</f>
        <v>0.604387362743521</v>
      </c>
      <c r="IE248" s="129"/>
    </row>
    <row r="249" customFormat="false" ht="12.75" hidden="false" customHeight="false" outlineLevel="0" collapsed="false">
      <c r="H249" s="219" t="n">
        <f aca="false">VLOOKUP(I249,$EJ$20:$EL$54,3)</f>
        <v>0</v>
      </c>
      <c r="I249" s="511" t="n">
        <f aca="false">EOMONTH(I248,0)+1</f>
        <v>43739</v>
      </c>
      <c r="J249" s="512"/>
      <c r="K249" s="513" t="s">
        <v>280</v>
      </c>
      <c r="L249" s="514" t="n">
        <f aca="false">IF(ISNUMBER(K249),J249+K249/100,IF(K249="extra",L248+VLOOKUP(BF249,PriceSpreadTable,2)/12,IF(K249="inter",interpolateprices($K$19:$L$200,ROW(K249)-ROW(FirstPricingMonth)+1),interpolatechanges($J$19:$K$200,ROW(K249)-ROW(FirstPricingMonth)+1))))</f>
        <v>5.73749999999999</v>
      </c>
      <c r="M249" s="515"/>
      <c r="N249" s="516" t="n">
        <v>0</v>
      </c>
      <c r="O249" s="515" t="n">
        <f aca="false">M249+N249</f>
        <v>0</v>
      </c>
      <c r="P249" s="512"/>
      <c r="Q249" s="513" t="s">
        <v>280</v>
      </c>
      <c r="R249" s="512" t="e">
        <f aca="false">IF(ISNUMBER(Q249),P249+Q249/100,IF(Q249="extra",(Z247*AL247-R248*AM247)/AN247,IF(Q249="inter",interpolateprices($Q$19:$R$260,ROW(Q249)-ROW(FirstPricingMonth)+1),interpolatechanges($P$19:$Q$260,ROW(Q249)-ROW(FirstPricingMonth)+1))))</f>
        <v>#VALUE!</v>
      </c>
      <c r="S249" s="597" t="n">
        <f aca="false">S$19+(S248-S$19)*S$18</f>
        <v>0.36</v>
      </c>
      <c r="T249" s="575" t="n">
        <f aca="false">SQRT((1-(1-T248^2/U248)*T$18)*U249)</f>
        <v>1</v>
      </c>
      <c r="U249" s="576" t="n">
        <f aca="false">1-(1-U248)*U$18</f>
        <v>1</v>
      </c>
      <c r="V249" s="521" t="n">
        <v>0</v>
      </c>
      <c r="W249" s="577" t="n">
        <f aca="false">(J250*AJ249+J251*AK249)/AI249</f>
        <v>0</v>
      </c>
      <c r="X249" s="578" t="n">
        <f aca="false">(L250*AJ249+L251*AK249)/AI249</f>
        <v>5.78967391304347</v>
      </c>
      <c r="Y249" s="579" t="n">
        <f aca="false">IF(Q251="extra",W249-AA249,(P250*AM249+P251*AN249)/AL249)</f>
        <v>-1.1931</v>
      </c>
      <c r="Z249" s="579" t="n">
        <f aca="false">IF(Q251="extra",X249-AB249,(R250*AM249+R251*AN249)/AL249)</f>
        <v>4.59657391304347</v>
      </c>
      <c r="AA249" s="523" t="n">
        <f aca="false">IF(Q251="extra",INDEX(BrentSeasonalityTable,INT((BG249-1)/3)+1)*VLOOKUP(MAX(BF249,$AB$4),PriceSpreadTable,3),W249-Y249)</f>
        <v>1.1931</v>
      </c>
      <c r="AB249" s="524" t="n">
        <f aca="false">IF(Q251="extra",INDEX(BrentSeasonalityTable,INT((BG249-1)/3)+1)*VLOOKUP(MAX(BF249,$AB$4),PriceSpreadTable,3),X249-Z249)</f>
        <v>1.1931</v>
      </c>
      <c r="AC249" s="646" t="n">
        <v>43728</v>
      </c>
      <c r="AD249" s="646" t="n">
        <v>43724</v>
      </c>
      <c r="AE249" s="646" t="n">
        <v>43723</v>
      </c>
      <c r="AF249" s="646" t="n">
        <v>43719</v>
      </c>
      <c r="AG249" s="438" t="s">
        <v>278</v>
      </c>
      <c r="AH249" s="439" t="s">
        <v>278</v>
      </c>
      <c r="AI249" s="528" t="n">
        <v>23</v>
      </c>
      <c r="AJ249" s="529" t="n">
        <v>14</v>
      </c>
      <c r="AK249" s="529" t="n">
        <v>9</v>
      </c>
      <c r="AL249" s="530" t="n">
        <v>23</v>
      </c>
      <c r="AM249" s="529" t="n">
        <v>10</v>
      </c>
      <c r="AN249" s="531" t="n">
        <v>13</v>
      </c>
      <c r="AO249" s="532"/>
      <c r="AP249" s="465" t="n">
        <f aca="false">(1+AO249/2)^(-2*BL249)</f>
        <v>1</v>
      </c>
      <c r="AQ249" s="532"/>
      <c r="AR249" s="465" t="n">
        <f aca="false">(1+AQ249/2)^(-2*BH249/365.25)</f>
        <v>1</v>
      </c>
      <c r="AS249" s="580" t="n">
        <f aca="false">(O250*AJ249+O251*AK249)/AI249</f>
        <v>0</v>
      </c>
      <c r="AT249" s="468" t="n">
        <f aca="false">O249*VLOOKUP(BF249,BrentVolTable,2)+VLOOKUP(BF249,BrentVolTable,3)</f>
        <v>0</v>
      </c>
      <c r="AU249" s="468" t="n">
        <f aca="false">(AT250*AM249+AT251*AN249)/AL249</f>
        <v>0</v>
      </c>
      <c r="AV249" s="595" t="n">
        <f aca="false">SQRT(MAX(0.000000000001,(O249^2*BH249-S249^2*(BH249-BH248))/BH248))</f>
        <v>0.0424264068711929</v>
      </c>
      <c r="AW249" s="451" t="n">
        <f aca="false">IF($I249-DateToday+15&gt;=$T$8,"",IF($I249-DateToday+15&lt;$T$5,1,MATCH($I249-DateToday+15,$T$5:$T$8)))</f>
        <v>1</v>
      </c>
      <c r="AX249" s="468" t="n">
        <f aca="false">IF($AW249="",AX248^2/AX247,INDEX(U$5:U$8,$AW249)^((INDEX($T$5:$T$8,$AW249+1)-($I249-DateToday+15))/(INDEX($T$5:$T$8,$AW249+1)-INDEX($T$5:$T$8,$AW249)))/INDEX(U$5:U$8,$AW249+1)^((INDEX($T$5:$T$8,$AW249)-($I249-DateToday+15))/(INDEX($T$5:$T$8,$AW249+1)-INDEX($T$5:$T$8,$AW249))))</f>
        <v>0.0939182425225802</v>
      </c>
      <c r="AY249" s="468" t="n">
        <f aca="false">IF($AW249="",AY248^2/AY247,INDEX(V$5:V$8,$AW249)^((INDEX($T$5:$T$8,$AW249+1)-($I249-DateToday+15))/(INDEX($T$5:$T$8,$AW249+1)-INDEX($T$5:$T$8,$AW249)))/INDEX(V$5:V$8,$AW249+1)^((INDEX($T$5:$T$8,$AW249)-($I249-DateToday+15))/(INDEX($T$5:$T$8,$AW249+1)-INDEX($T$5:$T$8,$AW249))))</f>
        <v>0.337219683294785</v>
      </c>
      <c r="AZ249" s="468" t="n">
        <f aca="false">IF($AW249="",AZ248^2/AZ247,INDEX(W$5:W$8,$AW249)^((INDEX($T$5:$T$8,$AW249+1)-($I249-DateToday+15))/(INDEX($T$5:$T$8,$AW249+1)-INDEX($T$5:$T$8,$AW249)))/INDEX(W$5:W$8,$AW249+1)^((INDEX($T$5:$T$8,$AW249)-($I249-DateToday+15))/(INDEX($T$5:$T$8,$AW249+1)-INDEX($T$5:$T$8,$AW249))))</f>
        <v>4.61531055323956</v>
      </c>
      <c r="BA249" s="468" t="n">
        <f aca="false">IF($AW249="",BA248^2/BA247,INDEX(X$5:X$8,$AW249)^((INDEX($T$5:$T$8,$AW249+1)-($I249-DateToday+15))/(INDEX($T$5:$T$8,$AW249+1)-INDEX($T$5:$T$8,$AW249)))/INDEX(X$5:X$8,$AW249+1)^((INDEX($T$5:$T$8,$AW249)-($I249-DateToday+15))/(INDEX($T$5:$T$8,$AW249+1)-INDEX($T$5:$T$8,$AW249))))</f>
        <v>4.51522766516849</v>
      </c>
      <c r="BB249" s="468" t="n">
        <f aca="false">IF($AW249="",BB248^2/BB247,INDEX(Y$5:Y$8,$AW249)^((INDEX($T$5:$T$8,$AW249+1)-($I249-DateToday+15))/(INDEX($T$5:$T$8,$AW249+1)-INDEX($T$5:$T$8,$AW249)))/INDEX(Y$5:Y$8,$AW249+1)^((INDEX($T$5:$T$8,$AW249)-($I249-DateToday+15))/(INDEX($T$5:$T$8,$AW249+1)-INDEX($T$5:$T$8,$AW249))))</f>
        <v>12.9379836823905</v>
      </c>
      <c r="BC249" s="468" t="n">
        <f aca="false">IF($AW249="",BC248^2/BC247,INDEX(Z$5:Z$8,$AW249)^((INDEX($T$5:$T$8,$AW249+1)-($I249-DateToday+15))/(INDEX($T$5:$T$8,$AW249+1)-INDEX($T$5:$T$8,$AW249)))/INDEX(Z$5:Z$8,$AW249+1)^((INDEX($T$5:$T$8,$AW249)-($I249-DateToday+15))/(INDEX($T$5:$T$8,$AW249+1)-INDEX($T$5:$T$8,$AW249))))</f>
        <v>25.1543377936306</v>
      </c>
      <c r="BD249" s="535" t="n">
        <f aca="false">IF(OR(DateStart&gt;=I250,DateEnd&lt;I249),0,IF(VolumeOverrideFlag,V249,Volume))</f>
        <v>0</v>
      </c>
      <c r="BE249" s="536" t="n">
        <f aca="false">IF(OR(DateStart2&gt;=I250,DateEnd2&lt;I249),0,IF(VolumeOverrideFlag,V249,VolumeSwaption))</f>
        <v>0</v>
      </c>
      <c r="BF249" s="537" t="n">
        <f aca="false">YEAR(I249)</f>
        <v>2019</v>
      </c>
      <c r="BG249" s="538" t="n">
        <f aca="false">MONTH(I249)</f>
        <v>10</v>
      </c>
      <c r="BH249" s="539" t="n">
        <f aca="false">AD249-DateToday+1</f>
        <v>-2201</v>
      </c>
      <c r="BI249" s="540" t="n">
        <f aca="false">(I249-DateToday+1)/365.25</f>
        <v>-5.98494182067077</v>
      </c>
      <c r="BJ249" s="541" t="n">
        <f aca="false">BI249+(BL249-BI249)*CHOOSE(Underlying,AJ249/AI249,AM249/AL249)</f>
        <v>-5.93494628455793</v>
      </c>
      <c r="BK249" s="541" t="n">
        <f aca="false">BJ249+1/365.25</f>
        <v>-5.93220843377079</v>
      </c>
      <c r="BL249" s="541" t="n">
        <f aca="false">(I250-DateToday)/365.25</f>
        <v>-5.90280629705681</v>
      </c>
      <c r="BM249" s="542" t="e">
        <f aca="false">MAX(BI249-(BJ249-BI249)*(S250^2/O250^2-1),0)</f>
        <v>#DIV/0!</v>
      </c>
      <c r="BN249" s="541" t="e">
        <f aca="false">MAX(BL249+(BL249-BK249)*(S251^2/O251^2-1),0)</f>
        <v>#DIV/0!</v>
      </c>
      <c r="BO249" s="530" t="n">
        <f aca="false">CHOOSE(Underlying,AI249,AL249)</f>
        <v>23</v>
      </c>
      <c r="BP249" s="529" t="n">
        <f aca="false">CHOOSE(Underlying,AJ249,AM249)</f>
        <v>14</v>
      </c>
      <c r="BQ249" s="529" t="n">
        <f aca="false">CHOOSE(Underlying,AK249,AN249)</f>
        <v>9</v>
      </c>
      <c r="BR249" s="463" t="str">
        <f aca="false">IF(BD249,IF(Underlying=1,X249,Z249)+UnderlyingPriceAsian-SwapPriceCurve,"")</f>
        <v/>
      </c>
      <c r="BS249" s="463" t="str">
        <f aca="false">IF(BD249,Strike1/BR249-1,"")</f>
        <v/>
      </c>
      <c r="BT249" s="464" t="str">
        <f aca="false">IF(BD249,Strike2/BR249-1,"")</f>
        <v/>
      </c>
      <c r="BU249" s="465" t="str">
        <f aca="false">IF(BD249,IF(Underlying=1,L250,R250)+UnderlyingPriceAsian-SwapPriceCurve,"")</f>
        <v/>
      </c>
      <c r="BV249" s="465" t="str">
        <f aca="false">IF(BD249,IF(Underlying=1,L251,R251)+UnderlyingPriceAsian-SwapPriceCurve,"")</f>
        <v/>
      </c>
      <c r="BW249" s="466" t="str">
        <f aca="false">IF(BD249,IF(Underlying=1,O250,AT250),"")</f>
        <v/>
      </c>
      <c r="BX249" s="467" t="str">
        <f aca="false">IF(BD249,IF(Underlying=1,O251,AT251),"")</f>
        <v/>
      </c>
      <c r="BY249" s="466" t="str">
        <f aca="false">IF(BD249,IF(BS249&gt;0,IF(BS249&gt;0.2,BC249-BB249,IF(BS249&gt;0.1,BB249-BA249,BA249)),IF(BS249&lt;-0.2,AX249-AY249,IF(BS249&lt;-0.1,AY249-AZ249,AZ249))),"")</f>
        <v/>
      </c>
      <c r="BZ249" s="467" t="str">
        <f aca="false">IF(BD249,IF(BT249&gt;0,IF(BT249&gt;0.2,BC249-BB249,IF(BT249&gt;0.1,BB249-BA249,BA249)),IF(BT249&lt;-0.2,AX249-AY249,IF(BT249&lt;-0.1,AY249-AZ249,AZ249))),"")</f>
        <v/>
      </c>
      <c r="CA249" s="468" t="str">
        <f aca="false">IF($BD249,$BW249+IF(VolSkewFlag=1,IF(BS249&gt;0,$BA249*MIN(BS249/10%,1)+($BB249-$BA249)*MAX(0,MIN(BS249/10%-1,1))+($BC249-$BB249)*MAX(0,BS249/10%-2),$AZ249*MIN(-BS249/10%,1)+($AY249-$AZ249)*MAX(0,MIN(-BS249/10%-1,1))+($AX249-$AY249)*MAX(0,-BS249/10%-2)),0),"")</f>
        <v/>
      </c>
      <c r="CB249" s="468" t="str">
        <f aca="false">IF($BD249,$BX249+IF(VolSkewFlag=1,IF(BS249&gt;0,$BA249*MIN(BS249/10%,1)+($BB249-$BA249)*MAX(0,MIN(BS249/10%-1,1))+($BC249-$BB249)*MAX(0,BS249/10%-2),$AZ249*MIN(-BS249/10%,1)+($AY249-$AZ249)*MAX(0,MIN(-BS249/10%-1,1))+($AX249-$AY249)*MAX(0,-BS249/10%-2)),0),"")</f>
        <v/>
      </c>
      <c r="CC249" s="468" t="str">
        <f aca="false">IF($BD249,$BW249+IF(VolSkewFlag=1,IF(BT249&gt;0,$BA249*MIN(BT249/10%,1)+($BB249-$BA249)*MAX(0,MIN(BT249/10%-1,1))+($BC249-$BB249)*MAX(0,BT249/10%-2),$AZ249*MIN(-BT249/10%,1)+($AY249-$AZ249)*MAX(0,MIN(-BT249/10%-1,1))+($AX249-$AY249)*MAX(0,-BT249/10%-2)),0),"")</f>
        <v/>
      </c>
      <c r="CD249" s="468" t="str">
        <f aca="false">IF($BD249,$BX249+IF(VolSkewFlag=1,IF(BT249&gt;0,$BA249*MIN(BT249/10%,1)+($BB249-$BA249)*MAX(0,MIN(BT249/10%-1,1))+($BC249-$BB249)*MAX(0,BT249/10%-2),$AZ249*MIN(-BT249/10%,1)+($AY249-$AZ249)*MAX(0,MIN(-BT249/10%-1,1))+($AX249-$AY249)*MAX(0,-BT249/10%-2)),0),"")</f>
        <v/>
      </c>
      <c r="CE249" s="469" t="n">
        <v>1</v>
      </c>
      <c r="CF249" s="470" t="n">
        <f aca="false">IF(BD249,xCrudeAPO(BU249,BV249,CA249,CB249,S250,S251,BI249,BL249,BP249,BQ249,0,Strike1,AO249,CE249,0,BL249,IF(OptControl=4,0,1),0,1),0)</f>
        <v>0</v>
      </c>
      <c r="CG249" s="470" t="n">
        <f aca="false">IF(BD249,xCrudeAPO(BU249,BV249,CA249,CB249,S250,S251,BI249,BL249,BP249,BQ249,0,Strike1,AO249,CE249,0,BL249,IF(OptControl=4,0,1),1,1)+xCrudeAPO(BU249,BV249,CA249,CB249,S250,S251,BI249,BL249,BP249,BQ249,0,Strike1,AO249,CE249,0,BL249,IF(OptControl=4,0,1),1,2)+IF(OR(VolSkewFlag=2,ABS(BS249)&lt;0.0001),0,IF(BS249&gt;0,-1,1)*CH249*Strike1/BR249^2*BY249/10%),0)</f>
        <v>0</v>
      </c>
      <c r="CH249" s="470" t="n">
        <f aca="false">IF(BD249,(xCrudeAPO(BU249,BV249,CA249,CB249,S250,S251,BI249,BL249,BP249,BQ249,0,Strike1,AO249,CE249,0,BL249,IF(OptControl=4,0,1),3,1)+xCrudeAPO(BU249,BV249,CA249,CB249,S250,S251,BI249,BL249,BP249,BQ249,0,Strike1,AO249,CE249,0,BL249,IF(OptControl=4,0,1),3,2))/100,0)</f>
        <v>0</v>
      </c>
      <c r="CI249" s="470" t="n">
        <f aca="false">IF(BD249,xCrudeAPO(BU249,BV249,CA249,CB249,S250,S251,BI249-DaysForThetaCalculation/365.25,BL249-DaysForThetaCalculation/365.25,BP249,BQ249,0,Strike1,AO249,CE249,0,BL249,IF(OptControl=4,0,1),0,1)-xCrudeAPO(BU249,BV249,CA249,CB249,S250,S251,BI249,BL249,BP249,BQ249,0,Strike1,AO249,CE249,0,BL249,IF(OptControl=4,0,1),0,1),0)</f>
        <v>0</v>
      </c>
      <c r="CJ249" s="471" t="n">
        <f aca="false">IF(BD249,xCrudeAPO(BU249,BV249,CC249,CD249,S250,S251,BI249,BL249,BP249,BQ249,0,Strike2,AO249,CE249,0,BL249,IF(OptControl=3,1,0),0,1),0)</f>
        <v>0</v>
      </c>
      <c r="CK249" s="470" t="n">
        <f aca="false">IF(BD249,xCrudeAPO(BU249,BV249,CC249,CD249,S250,S251,BI249,BL249,BP249,BQ249,0,Strike2,AO249,CE249,0,BL249,IF(OptControl=3,1,0),1,1)+xCrudeAPO(BU249,BV249,CC249,CD249,S250,S251,BI249,BL249,BP249,BQ249,0,Strike2,AO249,CE249,0,BL249,IF(OptControl=3,1,0),1,2)+IF(OR(VolSkewFlag=2,ABS(BT249)&lt;0.0001),0,IF(BT249&gt;0,-1,1)*CL249*Strike2/BR249^2*BZ249/10%),0)</f>
        <v>0</v>
      </c>
      <c r="CL249" s="470" t="n">
        <f aca="false">IF(BD249,(xCrudeAPO(BU249,BV249,CC249,CD249,S250,S251,BI249,BL249,BP249,BQ249,0,Strike2,AO249,CE249,0,BL249,IF(OptControl=3,1,0),3,1)+xCrudeAPO(BU249,BV249,CC249,CD249,S250,S251,BI249,BL249,BP249,BQ249,0,Strike2,AO249,CE249,0,BL249,IF(OptControl=3,1,0),3,2))/100,0)</f>
        <v>0</v>
      </c>
      <c r="CM249" s="472" t="n">
        <f aca="false">IF(BD249,xCrudeAPO(BU249,BV249,CC249,CD249,S250,S251,BI249-DaysForThetaCalculation/365.25,BL249-DaysForThetaCalculation/365.25,BP249,BQ249,0,Strike2,AO249,CE249,0,BL249,IF(OptControl=3,1,0),0,1)-xCrudeAPO(BU249,BV249,CC249,CD249,S250,S251,BI249,BL249,BP249,BQ249,0,Strike2,AO249,CE249,0,BL249,IF(OptControl=3,1,0),0,1),0)</f>
        <v>0</v>
      </c>
      <c r="CN249" s="3"/>
      <c r="CO249" s="543" t="str">
        <f aca="false">IF(BD249,CHOOSE(Underlying,AD249,AF249)-DateToday+1,"")</f>
        <v/>
      </c>
      <c r="CP249" s="582" t="str">
        <f aca="false">IF(BD249,CHOOSE(Underlying,L249,R249),"")</f>
        <v/>
      </c>
      <c r="CQ249" s="544" t="str">
        <f aca="false">IF(BD249,Strike1/CP249-1,"")</f>
        <v/>
      </c>
      <c r="CR249" s="544" t="str">
        <f aca="false">IF(BD249,Strike2/CP249-1,"")</f>
        <v/>
      </c>
      <c r="CS249" s="544" t="str">
        <f aca="false">IF(BD249,IF(CQ249&gt;0,IF(CQ249&gt;0.2,BC248-BB248,IF(CQ249&gt;0.1,BB248-BA248,BA248)),IF(CQ249&lt;-0.2,AX248-AY248,IF(CQ249&lt;-0.1,AY248-AZ248,AZ248))),"")</f>
        <v/>
      </c>
      <c r="CT249" s="544" t="str">
        <f aca="false">IF(BD249,IF(CR249&gt;0,IF(CR249&gt;0.2,BC248-BB248,IF(CR249&gt;0.1,BB248-BA248,BA248)),IF(CR249&lt;-0.2,AX248-AY248,IF(CR249&lt;-0.1,AY248-AZ248,AZ248))),"")</f>
        <v/>
      </c>
      <c r="CU249" s="545" t="str">
        <f aca="false">IF(BD249,CHOOSE(Underlying,O249,AT249),"")</f>
        <v/>
      </c>
      <c r="CV249" s="545" t="str">
        <f aca="false">IF(BD249,CU249+IF(VolSkewFlag=1,IF(CQ249&gt;0,BA248*MIN(CQ249/10%,1)+(BB248-BA248)*MAX(0,MIN(CQ249/10%-1,1))+(BC248-BB248)*MAX(0,CQ249/10%-2),AZ248*MIN(-CQ249/10%,1)+(AY248-AZ248)*MAX(0,MIN(-CQ249/10%-1,1))+(AX248-AY248)*MAX(0,-CQ249/10%-2)),0),"")</f>
        <v/>
      </c>
      <c r="CW249" s="545" t="str">
        <f aca="false">IF(BD249,CU249+IF(VolSkewFlag=1,IF(CR249&gt;0,BA248*MIN(CR249/10%,1)+(BB248-BA248)*MAX(0,MIN(CR249/10%-1,1))+(BC248-BB248)*MAX(0,CR249/10%-2),AZ248*MIN(-CR249/10%,1)+(AY248-AZ248)*MAX(0,MIN(-CR249/10%-1,1))+(AX248-AY248)*MAX(0,-CR249/10%-2)),0),"")</f>
        <v/>
      </c>
      <c r="CX249" s="470" t="n">
        <f aca="false">IF(BD249,EURO(CP249,Strike1,AO249,AO249,CV249,CO249,IF(OptControl=4,0,1),0),0)</f>
        <v>0</v>
      </c>
      <c r="CY249" s="470" t="n">
        <f aca="false">IF(BD249,EURO(CP249,Strike1,AO249,AO249,CV249,CO249,IF(OptControl=4,0,1),1)+IF(OR(VolSkewFlag=2,ABS(CQ249)&lt;0.0001),0,IF(CQ249&gt;0,-1,1)*CZ249*100*Strike1/CP249^2*CS249/10%),0)</f>
        <v>0</v>
      </c>
      <c r="CZ249" s="470" t="n">
        <f aca="false">IF(BD249,EURO(CP249,Strike1,AO249,AO249,CV249,CO249,IF(OptControl=4,0,1),3)/100,0)</f>
        <v>0</v>
      </c>
      <c r="DA249" s="470" t="n">
        <f aca="false">IF(BD249,EURO(CP249,Strike1,AO249,AO249,CV249,CO249,IF(OptControl=4,0,1),0)-EURO(CP249,Strike1,AO249,AO249,CV249,CO249-1,IF(OptControl=4,0,1),0),0)</f>
        <v>0</v>
      </c>
      <c r="DB249" s="470" t="n">
        <f aca="false">IF(BD249,EURO(CP249,Strike2,AO249,AO249,CW249,CO249,IF(OptControl=3,1,0),0),0)</f>
        <v>0</v>
      </c>
      <c r="DC249" s="470" t="n">
        <f aca="false">IF(BD249,EURO(CP249,Strike2,AO249,AO249,CW249,CO249,IF(OptControl=3,1,0),1)+IF(OR(VolSkewFlag=2,ABS(CR249)&lt;0.0001),0,IF(CR249&gt;0,-1,1)*DD249*100*Strike2/CP249^2*CT249/10%),0)</f>
        <v>0</v>
      </c>
      <c r="DD249" s="470" t="n">
        <f aca="false">IF(BD249,EURO(CP249,Strike2,AO249,AO249,CW249,CO249,IF(OptControl=3,1,0),3)/100,0)</f>
        <v>0</v>
      </c>
      <c r="DE249" s="472" t="n">
        <f aca="false">IF(BD249,EURO(CP249,Strike2,AO249,AO249,CW249,CO249,IF(OptControl=3,1,0),0)-EURO(CP249,Strike2,AO249,AO249,CW249,CO249-1,IF(OptControl=3,1,0),0),0)</f>
        <v>0</v>
      </c>
      <c r="DG249" s="481" t="n">
        <f aca="false">EOMONTH(DG248,0)+1</f>
        <v>52657</v>
      </c>
      <c r="DH249" s="478" t="n">
        <v>25.6100000000001</v>
      </c>
      <c r="DI249" s="479" t="n">
        <v>25.6766666666668</v>
      </c>
      <c r="DJ249" s="480" t="n">
        <f aca="false">DG249</f>
        <v>52657</v>
      </c>
      <c r="DK249" s="478" t="n">
        <v>24.4508698957514</v>
      </c>
      <c r="DL249" s="479" t="n">
        <v>24.5081666666668</v>
      </c>
      <c r="DM249" s="481" t="n">
        <f aca="false">DG249</f>
        <v>52657</v>
      </c>
      <c r="DN249" s="482" t="n">
        <f aca="false">DK249+BrentPhyBrentSpread</f>
        <v>24.5008698957514</v>
      </c>
      <c r="DO249" s="481" t="n">
        <f aca="false">DG249</f>
        <v>52657</v>
      </c>
      <c r="DP249" s="483" t="n">
        <f aca="false">DL249+DQ249</f>
        <v>24.5081666666668</v>
      </c>
      <c r="DQ249" s="546" t="n">
        <v>0</v>
      </c>
      <c r="DR249" s="480" t="n">
        <f aca="false">DG249</f>
        <v>52657</v>
      </c>
      <c r="DS249" s="485" t="n">
        <v>0.0871999999999973</v>
      </c>
      <c r="DT249" s="486" t="n">
        <v>0.0863999999999972</v>
      </c>
      <c r="DU249" s="480" t="n">
        <f aca="false">DG249</f>
        <v>52657</v>
      </c>
      <c r="DV249" s="485" t="n">
        <v>0.0871999999999973</v>
      </c>
      <c r="DW249" s="486" t="n">
        <v>0.0863999999999972</v>
      </c>
      <c r="DX249" s="481" t="n">
        <f aca="false">DG249</f>
        <v>52657</v>
      </c>
      <c r="DY249" s="486" t="n">
        <v>0.35</v>
      </c>
      <c r="DZ249" s="481" t="n">
        <f aca="false">DR249</f>
        <v>52657</v>
      </c>
      <c r="EA249" s="486" t="n">
        <f aca="false">DT249</f>
        <v>0.0863999999999972</v>
      </c>
      <c r="EB249" s="195"/>
      <c r="EC249" s="547" t="str">
        <f aca="false">IF(BD249,IF(Underlying=1,AS249,AU249),"")</f>
        <v/>
      </c>
      <c r="ED249" s="548" t="str">
        <f aca="false">IF($BD249,$EC249+IF(VolSkewFlag=1,IF(BS249&gt;0,$BA249*MIN(BS249/10%,1)+($BB249-$BA249)*MAX(0,MIN(BS249/10%-1,1))+($BC249-$BB249)*MAX(0,BS249/10%-2),$AZ249*MIN(-BS249/10%,1)+($AY249-$AZ249)*MAX(0,MIN(-BS249/10%-1,1))+($AX249-$AY249)*MAX(0,-BS249/10%-2)),0),"")</f>
        <v/>
      </c>
      <c r="EE249" s="549" t="str">
        <f aca="false">IF($BD249,$EC249+IF(VolSkewFlag=1,IF(BT249&gt;0,$BA249*MIN(BT249/10%,1)+($BB249-$BA249)*MAX(0,MIN(BT249/10%-1,1))+($BC249-$BB249)*MAX(0,BT249/10%-2),$AZ249*MIN(-BT249/10%,1)+($AY249-$AZ249)*MAX(0,MIN(-BT249/10%-1,1))+($AX249-$AY249)*MAX(0,-BT249/10%-2)),0),"")</f>
        <v/>
      </c>
      <c r="EF249" s="550" t="n">
        <f aca="false">IF(BD249,xASN(BR249,Strike1,AO249,ED249,0,BO249,0,BI249,BL249,IF(OptControl=4,0,1),0),0)</f>
        <v>0</v>
      </c>
      <c r="EG249" s="551" t="n">
        <f aca="false">IF(BD249,xASN(BR249,Strike2,AO249,EE249,0,BO249,0,BI249,BL249,IF(OptControl=3,1,0),0),0)</f>
        <v>0</v>
      </c>
      <c r="EL249" s="1"/>
      <c r="EM249" s="195"/>
      <c r="EN249" s="240"/>
      <c r="EO249" s="240"/>
      <c r="EP249" s="195"/>
      <c r="EQ249" s="407" t="s">
        <v>478</v>
      </c>
      <c r="ES249" s="1"/>
      <c r="EU249" s="672"/>
      <c r="FJ249" s="571" t="n">
        <v>5</v>
      </c>
      <c r="FK249" s="150" t="str">
        <f aca="false">IF($FJ249+FK$244&gt;73,"",PRODUCT(INDEX($T$19:$T$93,FK$244):INDEX($T$19:$T$93,FK$244+$FJ249-1)))</f>
        <v/>
      </c>
      <c r="FL249" s="150" t="str">
        <f aca="false">IF($FJ249+FL$244&gt;73,"",PRODUCT(INDEX($T$19:$T$93,FL$244):INDEX($T$19:$T$93,FL$244+$FJ249-1)))</f>
        <v/>
      </c>
      <c r="FM249" s="150" t="str">
        <f aca="false">IF($FJ249+FM$244&gt;73,"",PRODUCT(INDEX($T$19:$T$93,FM$244):INDEX($T$19:$T$93,FM$244+$FJ249-1)))</f>
        <v/>
      </c>
      <c r="FN249" s="150" t="str">
        <f aca="false">IF($FJ249+FN$244&gt;73,"",PRODUCT(INDEX($T$19:$T$93,FN$244):INDEX($T$19:$T$93,FN$244+$FJ249-1)))</f>
        <v/>
      </c>
      <c r="FO249" s="150" t="n">
        <f aca="false">IF($FJ249+FO$244&gt;73,"",PRODUCT(INDEX($T$19:$T$93,FO$244):INDEX($T$19:$T$93,FO$244+$FJ249-1)))</f>
        <v>0.999986393163771</v>
      </c>
      <c r="FP249" s="150" t="n">
        <f aca="false">IF($FJ249+FP$244&gt;73,"",PRODUCT(INDEX($T$19:$T$93,FP$244):INDEX($T$19:$T$93,FP$244+$FJ249-1)))</f>
        <v>0.999984085561059</v>
      </c>
      <c r="FQ249" s="150" t="n">
        <f aca="false">IF($FJ249+FQ$244&gt;73,"",PRODUCT(INDEX($T$19:$T$93,FQ$244):INDEX($T$19:$T$93,FQ$244+$FJ249-1)))</f>
        <v>0.999981386607352</v>
      </c>
      <c r="FR249" s="150" t="n">
        <f aca="false">IF($FJ249+FR$244&gt;73,"",PRODUCT(INDEX($T$19:$T$93,FR$244):INDEX($T$19:$T$93,FR$244+$FJ249-1)))</f>
        <v>0.999978229932265</v>
      </c>
      <c r="FS249" s="150" t="n">
        <f aca="false">IF($FJ249+FS$244&gt;73,"",PRODUCT(INDEX($T$19:$T$93,FS$244):INDEX($T$19:$T$93,FS$244+$FJ249-1)))</f>
        <v>0.999974537909359</v>
      </c>
      <c r="FT249" s="150" t="n">
        <f aca="false">IF($FJ249+FT$244&gt;73,"",PRODUCT(INDEX($T$19:$T$93,FT$244):INDEX($T$19:$T$93,FT$244+$FJ249-1)))</f>
        <v>0.999970219747154</v>
      </c>
      <c r="FU249" s="150" t="n">
        <f aca="false">IF($FJ249+FU$244&gt;73,"",PRODUCT(INDEX($T$19:$T$93,FU$244):INDEX($T$19:$T$93,FU$244+$FJ249-1)))</f>
        <v>0.999965169256377</v>
      </c>
      <c r="FV249" s="150" t="n">
        <f aca="false">IF($FJ249+FV$244&gt;73,"",PRODUCT(INDEX($T$19:$T$93,FV$244):INDEX($T$19:$T$93,FV$244+$FJ249-1)))</f>
        <v>0.999959262238542</v>
      </c>
      <c r="FW249" s="150" t="n">
        <f aca="false">IF($FJ249+FW$244&gt;73,"",PRODUCT(INDEX($T$19:$T$93,FW$244):INDEX($T$19:$T$93,FW$244+$FJ249-1)))</f>
        <v>0.999952353431634</v>
      </c>
      <c r="FX249" s="150" t="n">
        <f aca="false">IF($FJ249+FX$244&gt;73,"",PRODUCT(INDEX($T$19:$T$93,FX$244):INDEX($T$19:$T$93,FX$244+$FJ249-1)))</f>
        <v>0.999944272937783</v>
      </c>
      <c r="FY249" s="150" t="n">
        <f aca="false">IF($FJ249+FY$244&gt;73,"",PRODUCT(INDEX($T$19:$T$93,FY$244):INDEX($T$19:$T$93,FY$244+$FJ249-1)))</f>
        <v>0.999934822045086</v>
      </c>
      <c r="FZ249" s="150" t="n">
        <f aca="false">IF($FJ249+FZ$244&gt;73,"",PRODUCT(INDEX($T$19:$T$93,FZ$244):INDEX($T$19:$T$93,FZ$244+$FJ249-1)))</f>
        <v>0.999923768340826</v>
      </c>
      <c r="GA249" s="150" t="n">
        <f aca="false">IF($FJ249+GA$244&gt;73,"",PRODUCT(INDEX($T$19:$T$93,GA$244):INDEX($T$19:$T$93,GA$244+$FJ249-1)))</f>
        <v>0.999910839995908</v>
      </c>
      <c r="GB249" s="150" t="n">
        <f aca="false">IF($FJ249+GB$244&gt;73,"",PRODUCT(INDEX($T$19:$T$93,GB$244):INDEX($T$19:$T$93,GB$244+$FJ249-1)))</f>
        <v>0.999895719079993</v>
      </c>
      <c r="GC249" s="150" t="n">
        <f aca="false">IF($FJ249+GC$244&gt;73,"",PRODUCT(INDEX($T$19:$T$93,GC$244):INDEX($T$19:$T$93,GC$244+$FJ249-1)))</f>
        <v>0.999878033742938</v>
      </c>
      <c r="GD249" s="150" t="n">
        <f aca="false">IF($FJ249+GD$244&gt;73,"",PRODUCT(INDEX($T$19:$T$93,GD$244):INDEX($T$19:$T$93,GD$244+$FJ249-1)))</f>
        <v>0.99985734907033</v>
      </c>
      <c r="GE249" s="150" t="n">
        <f aca="false">IF($FJ249+GE$244&gt;73,"",PRODUCT(INDEX($T$19:$T$93,GE$244):INDEX($T$19:$T$93,GE$244+$FJ249-1)))</f>
        <v>0.999833156388303</v>
      </c>
      <c r="GF249" s="150" t="n">
        <f aca="false">IF($FJ249+GF$244&gt;73,"",PRODUCT(INDEX($T$19:$T$93,GF$244):INDEX($T$19:$T$93,GF$244+$FJ249-1)))</f>
        <v>0.999804860754736</v>
      </c>
      <c r="GG249" s="150" t="n">
        <f aca="false">IF($FJ249+GG$244&gt;73,"",PRODUCT(INDEX($T$19:$T$93,GG$244):INDEX($T$19:$T$93,GG$244+$FJ249-1)))</f>
        <v>0.999771766329411</v>
      </c>
      <c r="GH249" s="150" t="n">
        <f aca="false">IF($FJ249+GH$244&gt;73,"",PRODUCT(INDEX($T$19:$T$93,GH$244):INDEX($T$19:$T$93,GH$244+$FJ249-1)))</f>
        <v>0.999733059263642</v>
      </c>
      <c r="GI249" s="150" t="n">
        <f aca="false">IF($FJ249+GI$244&gt;73,"",PRODUCT(INDEX($T$19:$T$93,GI$244):INDEX($T$19:$T$93,GI$244+$FJ249-1)))</f>
        <v>0.999687787689011</v>
      </c>
      <c r="GJ249" s="150" t="n">
        <f aca="false">IF($FJ249+GJ$244&gt;73,"",PRODUCT(INDEX($T$19:$T$93,GJ$244):INDEX($T$19:$T$93,GJ$244+$FJ249-1)))</f>
        <v>0.999634838313785</v>
      </c>
      <c r="GK249" s="150" t="n">
        <f aca="false">IF($FJ249+GK$244&gt;73,"",PRODUCT(INDEX($T$19:$T$93,GK$244):INDEX($T$19:$T$93,GK$244+$FJ249-1)))</f>
        <v>0.999572909052404</v>
      </c>
      <c r="GL249" s="150" t="n">
        <f aca="false">IF($FJ249+GL$244&gt;73,"",PRODUCT(INDEX($T$19:$T$93,GL$244):INDEX($T$19:$T$93,GL$244+$FJ249-1)))</f>
        <v>0.999500477016411</v>
      </c>
      <c r="GM249" s="150" t="n">
        <f aca="false">IF($FJ249+GM$244&gt;73,"",PRODUCT(INDEX($T$19:$T$93,GM$244):INDEX($T$19:$T$93,GM$244+$FJ249-1)))</f>
        <v>0.999415761081748</v>
      </c>
      <c r="GN249" s="150" t="n">
        <f aca="false">IF($FJ249+GN$244&gt;73,"",PRODUCT(INDEX($T$19:$T$93,GN$244):INDEX($T$19:$T$93,GN$244+$FJ249-1)))</f>
        <v>0.999316678114948</v>
      </c>
      <c r="GO249" s="150" t="n">
        <f aca="false">IF($FJ249+GO$244&gt;73,"",PRODUCT(INDEX($T$19:$T$93,GO$244):INDEX($T$19:$T$93,GO$244+$FJ249-1)))</f>
        <v>0.999200791786211</v>
      </c>
      <c r="GP249" s="150" t="n">
        <f aca="false">IF($FJ249+GP$244&gt;73,"",PRODUCT(INDEX($T$19:$T$93,GP$244):INDEX($T$19:$T$93,GP$244+$FJ249-1)))</f>
        <v>0.99906525271703</v>
      </c>
      <c r="GQ249" s="150" t="n">
        <f aca="false">IF($FJ249+GQ$244&gt;73,"",PRODUCT(INDEX($T$19:$T$93,GQ$244):INDEX($T$19:$T$93,GQ$244+$FJ249-1)))</f>
        <v>0.998906728499799</v>
      </c>
      <c r="GR249" s="150" t="n">
        <f aca="false">IF($FJ249+GR$244&gt;73,"",PRODUCT(INDEX($T$19:$T$93,GR$244):INDEX($T$19:$T$93,GR$244+$FJ249-1)))</f>
        <v>0.998721321881832</v>
      </c>
      <c r="GS249" s="150" t="n">
        <f aca="false">IF($FJ249+GS$244&gt;73,"",PRODUCT(INDEX($T$19:$T$93,GS$244):INDEX($T$19:$T$93,GS$244+$FJ249-1)))</f>
        <v>0.998504475120967</v>
      </c>
      <c r="GT249" s="150" t="n">
        <f aca="false">IF($FJ249+GT$244&gt;73,"",PRODUCT(INDEX($T$19:$T$93,GT$244):INDEX($T$19:$T$93,GT$244+$FJ249-1)))</f>
        <v>0.998250858188101</v>
      </c>
      <c r="GU249" s="150" t="n">
        <f aca="false">IF($FJ249+GU$244&gt;73,"",PRODUCT(INDEX($T$19:$T$93,GU$244):INDEX($T$19:$T$93,GU$244+$FJ249-1)))</f>
        <v>0.997954238106496</v>
      </c>
      <c r="GV249" s="150" t="n">
        <f aca="false">IF($FJ249+GV$244&gt;73,"",PRODUCT(INDEX($T$19:$T$93,GV$244):INDEX($T$19:$T$93,GV$244+$FJ249-1)))</f>
        <v>0.997607326270376</v>
      </c>
      <c r="GW249" s="150" t="n">
        <f aca="false">IF($FJ249+GW$244&gt;73,"",PRODUCT(INDEX($T$19:$T$93,GW$244):INDEX($T$19:$T$93,GW$244+$FJ249-1)))</f>
        <v>0.997201600067366</v>
      </c>
      <c r="GX249" s="150" t="n">
        <f aca="false">IF($FJ249+GX$244&gt;73,"",PRODUCT(INDEX($T$19:$T$93,GX$244):INDEX($T$19:$T$93,GX$244+$FJ249-1)))</f>
        <v>0.996727094530656</v>
      </c>
      <c r="GY249" s="150" t="n">
        <f aca="false">IF($FJ249+GY$244&gt;73,"",PRODUCT(INDEX($T$19:$T$93,GY$244):INDEX($T$19:$T$93,GY$244+$FJ249-1)))</f>
        <v>0.996172159056802</v>
      </c>
      <c r="GZ249" s="150" t="n">
        <f aca="false">IF($FJ249+GZ$244&gt;73,"",PRODUCT(INDEX($T$19:$T$93,GZ$244):INDEX($T$19:$T$93,GZ$244+$FJ249-1)))</f>
        <v>0.995523173432534</v>
      </c>
      <c r="HA249" s="150" t="n">
        <f aca="false">IF($FJ249+HA$244&gt;73,"",PRODUCT(INDEX($T$19:$T$93,HA$244):INDEX($T$19:$T$93,HA$244+$FJ249-1)))</f>
        <v>0.994764216507213</v>
      </c>
      <c r="HB249" s="150" t="n">
        <f aca="false">IF($FJ249+HB$244&gt;73,"",PRODUCT(INDEX($T$19:$T$93,HB$244):INDEX($T$19:$T$93,HB$244+$FJ249-1)))</f>
        <v>0.993876679815858</v>
      </c>
      <c r="HC249" s="150" t="n">
        <f aca="false">IF($FJ249+HC$244&gt;73,"",PRODUCT(INDEX($T$19:$T$93,HC$244):INDEX($T$19:$T$93,HC$244+$FJ249-1)))</f>
        <v>0.992838817291405</v>
      </c>
      <c r="HD249" s="150" t="n">
        <f aca="false">IF($FJ249+HD$244&gt;73,"",PRODUCT(INDEX($T$19:$T$93,HD$244):INDEX($T$19:$T$93,HD$244+$FJ249-1)))</f>
        <v>0.991625220898164</v>
      </c>
      <c r="HE249" s="150" t="n">
        <f aca="false">IF($FJ249+HE$244&gt;73,"",PRODUCT(INDEX($T$19:$T$93,HE$244):INDEX($T$19:$T$93,HE$244+$FJ249-1)))</f>
        <v>0.990206210571046</v>
      </c>
      <c r="HF249" s="150" t="n">
        <f aca="false">IF($FJ249+HF$244&gt;73,"",PRODUCT(INDEX($T$19:$T$93,HF$244):INDEX($T$19:$T$93,HF$244+$FJ249-1)))</f>
        <v>0.988547125267056</v>
      </c>
      <c r="HG249" s="150" t="n">
        <f aca="false">IF($FJ249+HG$244&gt;73,"",PRODUCT(INDEX($T$19:$T$93,HG$244):INDEX($T$19:$T$93,HG$244+$FJ249-1)))</f>
        <v>0.986607500252229</v>
      </c>
      <c r="HH249" s="150" t="n">
        <f aca="false">IF($FJ249+HH$244&gt;73,"",PRODUCT(INDEX($T$19:$T$93,HH$244):INDEX($T$19:$T$93,HH$244+$FJ249-1)))</f>
        <v>0.984340114009003</v>
      </c>
      <c r="HI249" s="150" t="n">
        <f aca="false">IF($FJ249+HI$244&gt;73,"",PRODUCT(INDEX($T$19:$T$93,HI$244):INDEX($T$19:$T$93,HI$244+$FJ249-1)))</f>
        <v>0.981689886443369</v>
      </c>
      <c r="HJ249" s="150" t="n">
        <f aca="false">IF($FJ249+HJ$244&gt;73,"",PRODUCT(INDEX($T$19:$T$93,HJ$244):INDEX($T$19:$T$93,HJ$244+$FJ249-1)))</f>
        <v>0.978592608541729</v>
      </c>
      <c r="HK249" s="150" t="n">
        <f aca="false">IF($FJ249+HK$244&gt;73,"",PRODUCT(INDEX($T$19:$T$93,HK$244):INDEX($T$19:$T$93,HK$244+$FJ249-1)))</f>
        <v>0.974973482501157</v>
      </c>
      <c r="HL249" s="150" t="n">
        <f aca="false">IF($FJ249+HL$244&gt;73,"",PRODUCT(INDEX($T$19:$T$93,HL$244):INDEX($T$19:$T$93,HL$244+$FJ249-1)))</f>
        <v>0.970745450983699</v>
      </c>
      <c r="HM249" s="150" t="n">
        <f aca="false">IF($FJ249+HM$244&gt;73,"",PRODUCT(INDEX($T$19:$T$93,HM$244):INDEX($T$19:$T$93,HM$244+$FJ249-1)))</f>
        <v>0.965807295055588</v>
      </c>
      <c r="HN249" s="150" t="n">
        <f aca="false">IF($FJ249+HN$244&gt;73,"",PRODUCT(INDEX($T$19:$T$93,HN$244):INDEX($T$19:$T$93,HN$244+$FJ249-1)))</f>
        <v>0.96004148335886</v>
      </c>
      <c r="HO249" s="150" t="n">
        <f aca="false">IF($FJ249+HO$244&gt;73,"",PRODUCT(INDEX($T$19:$T$93,HO$244):INDEX($T$19:$T$93,HO$244+$FJ249-1)))</f>
        <v>0.953311761299806</v>
      </c>
      <c r="HP249" s="150" t="n">
        <f aca="false">IF($FJ249+HP$244&gt;73,"",PRODUCT(INDEX($T$19:$T$93,HP$244):INDEX($T$19:$T$93,HP$244+$FJ249-1)))</f>
        <v>0.94546048024996</v>
      </c>
      <c r="HQ249" s="150" t="n">
        <f aca="false">IF($FJ249+HQ$244&gt;73,"",PRODUCT(INDEX($T$19:$T$93,HQ$244):INDEX($T$19:$T$93,HQ$244+$FJ249-1)))</f>
        <v>0.936305685453032</v>
      </c>
      <c r="HR249" s="150" t="n">
        <f aca="false">IF($FJ249+HR$244&gt;73,"",PRODUCT(INDEX($T$19:$T$93,HR$244):INDEX($T$19:$T$93,HR$244+$FJ249-1)))</f>
        <v>0.925638011149217</v>
      </c>
      <c r="HS249" s="150" t="n">
        <f aca="false">IF($FJ249+HS$244&gt;73,"",PRODUCT(INDEX($T$19:$T$93,HS$244):INDEX($T$19:$T$93,HS$244+$FJ249-1)))</f>
        <v>0.913217477580779</v>
      </c>
      <c r="HT249" s="150" t="n">
        <f aca="false">IF($FJ249+HT$244&gt;73,"",PRODUCT(INDEX($T$19:$T$93,HT$244):INDEX($T$19:$T$93,HT$244+$FJ249-1)))</f>
        <v>0.898770354440487</v>
      </c>
      <c r="HU249" s="150" t="n">
        <f aca="false">IF($FJ249+HU$244&gt;73,"",PRODUCT(INDEX($T$19:$T$93,HU$244):INDEX($T$19:$T$93,HU$244+$FJ249-1)))</f>
        <v>0.881986359374276</v>
      </c>
      <c r="HV249" s="150" t="n">
        <f aca="false">IF($FJ249+HV$244&gt;73,"",PRODUCT(INDEX($T$19:$T$93,HV$244):INDEX($T$19:$T$93,HV$244+$FJ249-1)))</f>
        <v>0.862516612732464</v>
      </c>
      <c r="HW249" s="150" t="n">
        <f aca="false">IF($FJ249+HW$244&gt;73,"",PRODUCT(INDEX($T$19:$T$93,HW$244):INDEX($T$19:$T$93,HW$244+$FJ249-1)))</f>
        <v>0.839972990309854</v>
      </c>
      <c r="HX249" s="150" t="n">
        <f aca="false">IF($FJ249+HX$244&gt;73,"",PRODUCT(INDEX($T$19:$T$93,HX$244):INDEX($T$19:$T$93,HX$244+$FJ249-1)))</f>
        <v>0.813929829715338</v>
      </c>
      <c r="HY249" s="150" t="n">
        <f aca="false">IF($FJ249+HY$244&gt;73,"",PRODUCT(INDEX($T$19:$T$93,HY$244):INDEX($T$19:$T$93,HY$244+$FJ249-1)))</f>
        <v>0.783929384742515</v>
      </c>
      <c r="HZ249" s="150" t="n">
        <f aca="false">IF($FJ249+HZ$244&gt;73,"",PRODUCT(INDEX($T$19:$T$93,HZ$244):INDEX($T$19:$T$93,HZ$244+$FJ249-1)))</f>
        <v>0.749493021216593</v>
      </c>
      <c r="IA249" s="150" t="n">
        <f aca="false">IF($FJ249+IA$244&gt;73,"",PRODUCT(INDEX($T$19:$T$93,IA$244):INDEX($T$19:$T$93,IA$244+$FJ249-1)))</f>
        <v>0.710140939979993</v>
      </c>
      <c r="IB249" s="150" t="n">
        <f aca="false">IF($FJ249+IB$244&gt;73,"",PRODUCT(INDEX($T$19:$T$93,IB$244):INDEX($T$19:$T$93,IB$244+$FJ249-1)))</f>
        <v>0.665424210801069</v>
      </c>
      <c r="IC249" s="150" t="n">
        <f aca="false">IF($FJ249+IC$244&gt;73,"",PRODUCT(INDEX($T$19:$T$93,IC$244):INDEX($T$19:$T$93,IC$244+$FJ249-1)))</f>
        <v>0.614974061238068</v>
      </c>
      <c r="ID249" s="572" t="n">
        <f aca="false">IF($FJ249+ID$244&gt;73,"",PRODUCT(INDEX($T$19:$T$93,ID$244):INDEX($T$19:$T$93,ID$244+$FJ249-1)))</f>
        <v>0.55857451292222</v>
      </c>
      <c r="IE249" s="129"/>
    </row>
    <row r="250" customFormat="false" ht="12.75" hidden="false" customHeight="false" outlineLevel="0" collapsed="false">
      <c r="H250" s="219" t="n">
        <f aca="false">VLOOKUP(I250,$EJ$20:$EL$54,3)</f>
        <v>0</v>
      </c>
      <c r="I250" s="511" t="n">
        <f aca="false">EOMONTH(I249,0)+1</f>
        <v>43770</v>
      </c>
      <c r="J250" s="512"/>
      <c r="K250" s="513" t="s">
        <v>280</v>
      </c>
      <c r="L250" s="514" t="n">
        <f aca="false">IF(ISNUMBER(K250),J250+K250/100,IF(K250="extra",L249+VLOOKUP(BF250,PriceSpreadTable,2)/12,IF(K250="inter",interpolateprices($K$19:$L$200,ROW(K250)-ROW(FirstPricingMonth)+1),interpolatechanges($J$19:$K$200,ROW(K250)-ROW(FirstPricingMonth)+1))))</f>
        <v>5.77499999999999</v>
      </c>
      <c r="M250" s="515"/>
      <c r="N250" s="516" t="n">
        <v>0</v>
      </c>
      <c r="O250" s="515" t="n">
        <f aca="false">M250+N250</f>
        <v>0</v>
      </c>
      <c r="P250" s="512"/>
      <c r="Q250" s="513" t="s">
        <v>280</v>
      </c>
      <c r="R250" s="512" t="e">
        <f aca="false">IF(ISNUMBER(Q250),P250+Q250/100,IF(Q250="extra",(Z248*AL248-R249*AM248)/AN248,IF(Q250="inter",interpolateprices($Q$19:$R$260,ROW(Q250)-ROW(FirstPricingMonth)+1),interpolatechanges($P$19:$Q$260,ROW(Q250)-ROW(FirstPricingMonth)+1))))</f>
        <v>#VALUE!</v>
      </c>
      <c r="S250" s="597" t="n">
        <f aca="false">S$19+(S249-S$19)*S$18</f>
        <v>0.36</v>
      </c>
      <c r="T250" s="575" t="n">
        <f aca="false">SQRT((1-(1-T249^2/U249)*T$18)*U250)</f>
        <v>1</v>
      </c>
      <c r="U250" s="576" t="n">
        <f aca="false">1-(1-U249)*U$18</f>
        <v>1</v>
      </c>
      <c r="V250" s="521" t="n">
        <v>0</v>
      </c>
      <c r="W250" s="577" t="n">
        <f aca="false">(J251*AJ250+J252*AK250)/AI250</f>
        <v>0</v>
      </c>
      <c r="X250" s="578" t="n">
        <f aca="false">(L251*AJ250+L252*AK250)/AI250</f>
        <v>5.82499999999999</v>
      </c>
      <c r="Y250" s="579" t="n">
        <f aca="false">IF(Q252="extra",W250-AA250,(P251*AM250+P252*AN250)/AL250)</f>
        <v>-1.1931</v>
      </c>
      <c r="Z250" s="579" t="n">
        <f aca="false">IF(Q252="extra",X250-AB250,(R251*AM250+R252*AN250)/AL250)</f>
        <v>4.63189999999999</v>
      </c>
      <c r="AA250" s="523" t="n">
        <f aca="false">IF(Q252="extra",INDEX(BrentSeasonalityTable,INT((BG250-1)/3)+1)*VLOOKUP(MAX(BF250,$AB$4),PriceSpreadTable,3),W250-Y250)</f>
        <v>1.1931</v>
      </c>
      <c r="AB250" s="524" t="n">
        <f aca="false">IF(Q252="extra",INDEX(BrentSeasonalityTable,INT((BG250-1)/3)+1)*VLOOKUP(MAX(BF250,$AB$4),PriceSpreadTable,3),X250-Z250)</f>
        <v>1.1931</v>
      </c>
      <c r="AC250" s="646" t="n">
        <v>43758</v>
      </c>
      <c r="AD250" s="646" t="n">
        <v>43754</v>
      </c>
      <c r="AE250" s="646" t="n">
        <v>43753</v>
      </c>
      <c r="AF250" s="646" t="n">
        <v>43749</v>
      </c>
      <c r="AG250" s="438" t="s">
        <v>278</v>
      </c>
      <c r="AH250" s="439" t="s">
        <v>278</v>
      </c>
      <c r="AI250" s="528" t="n">
        <v>21</v>
      </c>
      <c r="AJ250" s="529" t="n">
        <v>14</v>
      </c>
      <c r="AK250" s="529" t="n">
        <v>7</v>
      </c>
      <c r="AL250" s="530" t="n">
        <v>21</v>
      </c>
      <c r="AM250" s="529" t="n">
        <v>10</v>
      </c>
      <c r="AN250" s="531" t="n">
        <v>11</v>
      </c>
      <c r="AO250" s="532"/>
      <c r="AP250" s="465" t="n">
        <f aca="false">(1+AO250/2)^(-2*BL250)</f>
        <v>1</v>
      </c>
      <c r="AQ250" s="532"/>
      <c r="AR250" s="465" t="n">
        <f aca="false">(1+AQ250/2)^(-2*BH250/365.25)</f>
        <v>1</v>
      </c>
      <c r="AS250" s="580" t="n">
        <f aca="false">(O251*AJ250+O252*AK250)/AI250</f>
        <v>0</v>
      </c>
      <c r="AT250" s="468" t="n">
        <f aca="false">O250*VLOOKUP(BF250,BrentVolTable,2)+VLOOKUP(BF250,BrentVolTable,3)</f>
        <v>0</v>
      </c>
      <c r="AU250" s="468" t="n">
        <f aca="false">(AT251*AM250+AT252*AN250)/AL250</f>
        <v>0</v>
      </c>
      <c r="AV250" s="595" t="n">
        <f aca="false">SQRT(MAX(0.000000000001,(O250^2*BH250-S250^2*(BH250-BH249))/BH249))</f>
        <v>0.0420293919354147</v>
      </c>
      <c r="AW250" s="451" t="n">
        <f aca="false">IF($I250-DateToday+15&gt;=$T$8,"",IF($I250-DateToday+15&lt;$T$5,1,MATCH($I250-DateToday+15,$T$5:$T$8)))</f>
        <v>1</v>
      </c>
      <c r="AX250" s="468" t="n">
        <f aca="false">IF($AW250="",AX249^2/AX248,INDEX(U$5:U$8,$AW250)^((INDEX($T$5:$T$8,$AW250+1)-($I250-DateToday+15))/(INDEX($T$5:$T$8,$AW250+1)-INDEX($T$5:$T$8,$AW250)))/INDEX(U$5:U$8,$AW250+1)^((INDEX($T$5:$T$8,$AW250)-($I250-DateToday+15))/(INDEX($T$5:$T$8,$AW250+1)-INDEX($T$5:$T$8,$AW250))))</f>
        <v>0.0918953230964188</v>
      </c>
      <c r="AY250" s="468" t="n">
        <f aca="false">IF($AW250="",AY249^2/AY248,INDEX(V$5:V$8,$AW250)^((INDEX($T$5:$T$8,$AW250+1)-($I250-DateToday+15))/(INDEX($T$5:$T$8,$AW250+1)-INDEX($T$5:$T$8,$AW250)))/INDEX(V$5:V$8,$AW250+1)^((INDEX($T$5:$T$8,$AW250)-($I250-DateToday+15))/(INDEX($T$5:$T$8,$AW250+1)-INDEX($T$5:$T$8,$AW250))))</f>
        <v>0.32305495943471</v>
      </c>
      <c r="AZ250" s="468" t="n">
        <f aca="false">IF($AW250="",AZ249^2/AZ248,INDEX(W$5:W$8,$AW250)^((INDEX($T$5:$T$8,$AW250+1)-($I250-DateToday+15))/(INDEX($T$5:$T$8,$AW250+1)-INDEX($T$5:$T$8,$AW250)))/INDEX(W$5:W$8,$AW250+1)^((INDEX($T$5:$T$8,$AW250)-($I250-DateToday+15))/(INDEX($T$5:$T$8,$AW250+1)-INDEX($T$5:$T$8,$AW250))))</f>
        <v>4.24432601427616</v>
      </c>
      <c r="BA250" s="468" t="n">
        <f aca="false">IF($AW250="",BA249^2/BA248,INDEX(X$5:X$8,$AW250)^((INDEX($T$5:$T$8,$AW250+1)-($I250-DateToday+15))/(INDEX($T$5:$T$8,$AW250+1)-INDEX($T$5:$T$8,$AW250)))/INDEX(X$5:X$8,$AW250+1)^((INDEX($T$5:$T$8,$AW250)-($I250-DateToday+15))/(INDEX($T$5:$T$8,$AW250+1)-INDEX($T$5:$T$8,$AW250))))</f>
        <v>4.06285115008794</v>
      </c>
      <c r="BB250" s="468" t="n">
        <f aca="false">IF($AW250="",BB249^2/BB248,INDEX(Y$5:Y$8,$AW250)^((INDEX($T$5:$T$8,$AW250+1)-($I250-DateToday+15))/(INDEX($T$5:$T$8,$AW250+1)-INDEX($T$5:$T$8,$AW250)))/INDEX(Y$5:Y$8,$AW250+1)^((INDEX($T$5:$T$8,$AW250)-($I250-DateToday+15))/(INDEX($T$5:$T$8,$AW250+1)-INDEX($T$5:$T$8,$AW250))))</f>
        <v>11.5249416607806</v>
      </c>
      <c r="BC250" s="468" t="n">
        <f aca="false">IF($AW250="",BC249^2/BC248,INDEX(Z$5:Z$8,$AW250)^((INDEX($T$5:$T$8,$AW250+1)-($I250-DateToday+15))/(INDEX($T$5:$T$8,$AW250+1)-INDEX($T$5:$T$8,$AW250)))/INDEX(Z$5:Z$8,$AW250+1)^((INDEX($T$5:$T$8,$AW250)-($I250-DateToday+15))/(INDEX($T$5:$T$8,$AW250+1)-INDEX($T$5:$T$8,$AW250))))</f>
        <v>22.2769931326272</v>
      </c>
      <c r="BD250" s="535" t="n">
        <f aca="false">IF(OR(DateStart&gt;=I251,DateEnd&lt;I250),0,IF(VolumeOverrideFlag,V250,Volume))</f>
        <v>0</v>
      </c>
      <c r="BE250" s="536" t="n">
        <f aca="false">IF(OR(DateStart2&gt;=I251,DateEnd2&lt;I250),0,IF(VolumeOverrideFlag,V250,VolumeSwaption))</f>
        <v>0</v>
      </c>
      <c r="BF250" s="537" t="n">
        <f aca="false">YEAR(I250)</f>
        <v>2019</v>
      </c>
      <c r="BG250" s="538" t="n">
        <f aca="false">MONTH(I250)</f>
        <v>11</v>
      </c>
      <c r="BH250" s="539" t="n">
        <f aca="false">AD250-DateToday+1</f>
        <v>-2171</v>
      </c>
      <c r="BI250" s="540" t="n">
        <f aca="false">(I250-DateToday+1)/365.25</f>
        <v>-5.90006844626968</v>
      </c>
      <c r="BJ250" s="541" t="n">
        <f aca="false">BI250+(BL250-BI250)*CHOOSE(Underlying,AJ250/AI250,AM250/AL250)</f>
        <v>-5.84713666438513</v>
      </c>
      <c r="BK250" s="541" t="n">
        <f aca="false">BJ250+1/365.25</f>
        <v>-5.84439881359799</v>
      </c>
      <c r="BL250" s="541" t="n">
        <f aca="false">(I251-DateToday)/365.25</f>
        <v>-5.82067077344285</v>
      </c>
      <c r="BM250" s="542" t="e">
        <f aca="false">MAX(BI250-(BJ250-BI250)*(S251^2/O251^2-1),0)</f>
        <v>#DIV/0!</v>
      </c>
      <c r="BN250" s="541" t="e">
        <f aca="false">MAX(BL250+(BL250-BK250)*(S252^2/O252^2-1),0)</f>
        <v>#DIV/0!</v>
      </c>
      <c r="BO250" s="530" t="n">
        <f aca="false">CHOOSE(Underlying,AI250,AL250)</f>
        <v>21</v>
      </c>
      <c r="BP250" s="529" t="n">
        <f aca="false">CHOOSE(Underlying,AJ250,AM250)</f>
        <v>14</v>
      </c>
      <c r="BQ250" s="529" t="n">
        <f aca="false">CHOOSE(Underlying,AK250,AN250)</f>
        <v>7</v>
      </c>
      <c r="BR250" s="463" t="str">
        <f aca="false">IF(BD250,IF(Underlying=1,X250,Z250)+UnderlyingPriceAsian-SwapPriceCurve,"")</f>
        <v/>
      </c>
      <c r="BS250" s="463" t="str">
        <f aca="false">IF(BD250,Strike1/BR250-1,"")</f>
        <v/>
      </c>
      <c r="BT250" s="464" t="str">
        <f aca="false">IF(BD250,Strike2/BR250-1,"")</f>
        <v/>
      </c>
      <c r="BU250" s="465" t="str">
        <f aca="false">IF(BD250,IF(Underlying=1,L251,R251)+UnderlyingPriceAsian-SwapPriceCurve,"")</f>
        <v/>
      </c>
      <c r="BV250" s="465" t="str">
        <f aca="false">IF(BD250,IF(Underlying=1,L252,R252)+UnderlyingPriceAsian-SwapPriceCurve,"")</f>
        <v/>
      </c>
      <c r="BW250" s="466" t="str">
        <f aca="false">IF(BD250,IF(Underlying=1,O251,AT251),"")</f>
        <v/>
      </c>
      <c r="BX250" s="467" t="str">
        <f aca="false">IF(BD250,IF(Underlying=1,O252,AT252),"")</f>
        <v/>
      </c>
      <c r="BY250" s="466" t="str">
        <f aca="false">IF(BD250,IF(BS250&gt;0,IF(BS250&gt;0.2,BC250-BB250,IF(BS250&gt;0.1,BB250-BA250,BA250)),IF(BS250&lt;-0.2,AX250-AY250,IF(BS250&lt;-0.1,AY250-AZ250,AZ250))),"")</f>
        <v/>
      </c>
      <c r="BZ250" s="467" t="str">
        <f aca="false">IF(BD250,IF(BT250&gt;0,IF(BT250&gt;0.2,BC250-BB250,IF(BT250&gt;0.1,BB250-BA250,BA250)),IF(BT250&lt;-0.2,AX250-AY250,IF(BT250&lt;-0.1,AY250-AZ250,AZ250))),"")</f>
        <v/>
      </c>
      <c r="CA250" s="468" t="str">
        <f aca="false">IF($BD250,$BW250+IF(VolSkewFlag=1,IF(BS250&gt;0,$BA250*MIN(BS250/10%,1)+($BB250-$BA250)*MAX(0,MIN(BS250/10%-1,1))+($BC250-$BB250)*MAX(0,BS250/10%-2),$AZ250*MIN(-BS250/10%,1)+($AY250-$AZ250)*MAX(0,MIN(-BS250/10%-1,1))+($AX250-$AY250)*MAX(0,-BS250/10%-2)),0),"")</f>
        <v/>
      </c>
      <c r="CB250" s="468" t="str">
        <f aca="false">IF($BD250,$BX250+IF(VolSkewFlag=1,IF(BS250&gt;0,$BA250*MIN(BS250/10%,1)+($BB250-$BA250)*MAX(0,MIN(BS250/10%-1,1))+($BC250-$BB250)*MAX(0,BS250/10%-2),$AZ250*MIN(-BS250/10%,1)+($AY250-$AZ250)*MAX(0,MIN(-BS250/10%-1,1))+($AX250-$AY250)*MAX(0,-BS250/10%-2)),0),"")</f>
        <v/>
      </c>
      <c r="CC250" s="468" t="str">
        <f aca="false">IF($BD250,$BW250+IF(VolSkewFlag=1,IF(BT250&gt;0,$BA250*MIN(BT250/10%,1)+($BB250-$BA250)*MAX(0,MIN(BT250/10%-1,1))+($BC250-$BB250)*MAX(0,BT250/10%-2),$AZ250*MIN(-BT250/10%,1)+($AY250-$AZ250)*MAX(0,MIN(-BT250/10%-1,1))+($AX250-$AY250)*MAX(0,-BT250/10%-2)),0),"")</f>
        <v/>
      </c>
      <c r="CD250" s="468" t="str">
        <f aca="false">IF($BD250,$BX250+IF(VolSkewFlag=1,IF(BT250&gt;0,$BA250*MIN(BT250/10%,1)+($BB250-$BA250)*MAX(0,MIN(BT250/10%-1,1))+($BC250-$BB250)*MAX(0,BT250/10%-2),$AZ250*MIN(-BT250/10%,1)+($AY250-$AZ250)*MAX(0,MIN(-BT250/10%-1,1))+($AX250-$AY250)*MAX(0,-BT250/10%-2)),0),"")</f>
        <v/>
      </c>
      <c r="CE250" s="469" t="n">
        <v>1</v>
      </c>
      <c r="CF250" s="470" t="n">
        <f aca="false">IF(BD250,xCrudeAPO(BU250,BV250,CA250,CB250,S251,S252,BI250,BL250,BP250,BQ250,0,Strike1,AO250,CE250,0,BL250,IF(OptControl=4,0,1),0,1),0)</f>
        <v>0</v>
      </c>
      <c r="CG250" s="470" t="n">
        <f aca="false">IF(BD250,xCrudeAPO(BU250,BV250,CA250,CB250,S251,S252,BI250,BL250,BP250,BQ250,0,Strike1,AO250,CE250,0,BL250,IF(OptControl=4,0,1),1,1)+xCrudeAPO(BU250,BV250,CA250,CB250,S251,S252,BI250,BL250,BP250,BQ250,0,Strike1,AO250,CE250,0,BL250,IF(OptControl=4,0,1),1,2)+IF(OR(VolSkewFlag=2,ABS(BS250)&lt;0.0001),0,IF(BS250&gt;0,-1,1)*CH250*Strike1/BR250^2*BY250/10%),0)</f>
        <v>0</v>
      </c>
      <c r="CH250" s="470" t="n">
        <f aca="false">IF(BD250,(xCrudeAPO(BU250,BV250,CA250,CB250,S251,S252,BI250,BL250,BP250,BQ250,0,Strike1,AO250,CE250,0,BL250,IF(OptControl=4,0,1),3,1)+xCrudeAPO(BU250,BV250,CA250,CB250,S251,S252,BI250,BL250,BP250,BQ250,0,Strike1,AO250,CE250,0,BL250,IF(OptControl=4,0,1),3,2))/100,0)</f>
        <v>0</v>
      </c>
      <c r="CI250" s="470" t="n">
        <f aca="false">IF(BD250,xCrudeAPO(BU250,BV250,CA250,CB250,S251,S252,BI250-DaysForThetaCalculation/365.25,BL250-DaysForThetaCalculation/365.25,BP250,BQ250,0,Strike1,AO250,CE250,0,BL250,IF(OptControl=4,0,1),0,1)-xCrudeAPO(BU250,BV250,CA250,CB250,S251,S252,BI250,BL250,BP250,BQ250,0,Strike1,AO250,CE250,0,BL250,IF(OptControl=4,0,1),0,1),0)</f>
        <v>0</v>
      </c>
      <c r="CJ250" s="471" t="n">
        <f aca="false">IF(BD250,xCrudeAPO(BU250,BV250,CC250,CD250,S251,S252,BI250,BL250,BP250,BQ250,0,Strike2,AO250,CE250,0,BL250,IF(OptControl=3,1,0),0,1),0)</f>
        <v>0</v>
      </c>
      <c r="CK250" s="470" t="n">
        <f aca="false">IF(BD250,xCrudeAPO(BU250,BV250,CC250,CD250,S251,S252,BI250,BL250,BP250,BQ250,0,Strike2,AO250,CE250,0,BL250,IF(OptControl=3,1,0),1,1)+xCrudeAPO(BU250,BV250,CC250,CD250,S251,S252,BI250,BL250,BP250,BQ250,0,Strike2,AO250,CE250,0,BL250,IF(OptControl=3,1,0),1,2)+IF(OR(VolSkewFlag=2,ABS(BT250)&lt;0.0001),0,IF(BT250&gt;0,-1,1)*CL250*Strike2/BR250^2*BZ250/10%),0)</f>
        <v>0</v>
      </c>
      <c r="CL250" s="470" t="n">
        <f aca="false">IF(BD250,(xCrudeAPO(BU250,BV250,CC250,CD250,S251,S252,BI250,BL250,BP250,BQ250,0,Strike2,AO250,CE250,0,BL250,IF(OptControl=3,1,0),3,1)+xCrudeAPO(BU250,BV250,CC250,CD250,S251,S252,BI250,BL250,BP250,BQ250,0,Strike2,AO250,CE250,0,BL250,IF(OptControl=3,1,0),3,2))/100,0)</f>
        <v>0</v>
      </c>
      <c r="CM250" s="472" t="n">
        <f aca="false">IF(BD250,xCrudeAPO(BU250,BV250,CC250,CD250,S251,S252,BI250-DaysForThetaCalculation/365.25,BL250-DaysForThetaCalculation/365.25,BP250,BQ250,0,Strike2,AO250,CE250,0,BL250,IF(OptControl=3,1,0),0,1)-xCrudeAPO(BU250,BV250,CC250,CD250,S251,S252,BI250,BL250,BP250,BQ250,0,Strike2,AO250,CE250,0,BL250,IF(OptControl=3,1,0),0,1),0)</f>
        <v>0</v>
      </c>
      <c r="CN250" s="3"/>
      <c r="CO250" s="543" t="str">
        <f aca="false">IF(BD250,CHOOSE(Underlying,AD250,AF250)-DateToday+1,"")</f>
        <v/>
      </c>
      <c r="CP250" s="582" t="str">
        <f aca="false">IF(BD250,CHOOSE(Underlying,L250,R250),"")</f>
        <v/>
      </c>
      <c r="CQ250" s="544" t="str">
        <f aca="false">IF(BD250,Strike1/CP250-1,"")</f>
        <v/>
      </c>
      <c r="CR250" s="544" t="str">
        <f aca="false">IF(BD250,Strike2/CP250-1,"")</f>
        <v/>
      </c>
      <c r="CS250" s="544" t="str">
        <f aca="false">IF(BD250,IF(CQ250&gt;0,IF(CQ250&gt;0.2,BC249-BB249,IF(CQ250&gt;0.1,BB249-BA249,BA249)),IF(CQ250&lt;-0.2,AX249-AY249,IF(CQ250&lt;-0.1,AY249-AZ249,AZ249))),"")</f>
        <v/>
      </c>
      <c r="CT250" s="544" t="str">
        <f aca="false">IF(BD250,IF(CR250&gt;0,IF(CR250&gt;0.2,BC249-BB249,IF(CR250&gt;0.1,BB249-BA249,BA249)),IF(CR250&lt;-0.2,AX249-AY249,IF(CR250&lt;-0.1,AY249-AZ249,AZ249))),"")</f>
        <v/>
      </c>
      <c r="CU250" s="545" t="str">
        <f aca="false">IF(BD250,CHOOSE(Underlying,O250,AT250),"")</f>
        <v/>
      </c>
      <c r="CV250" s="545" t="str">
        <f aca="false">IF(BD250,CU250+IF(VolSkewFlag=1,IF(CQ250&gt;0,BA249*MIN(CQ250/10%,1)+(BB249-BA249)*MAX(0,MIN(CQ250/10%-1,1))+(BC249-BB249)*MAX(0,CQ250/10%-2),AZ249*MIN(-CQ250/10%,1)+(AY249-AZ249)*MAX(0,MIN(-CQ250/10%-1,1))+(AX249-AY249)*MAX(0,-CQ250/10%-2)),0),"")</f>
        <v/>
      </c>
      <c r="CW250" s="545" t="str">
        <f aca="false">IF(BD250,CU250+IF(VolSkewFlag=1,IF(CR250&gt;0,BA249*MIN(CR250/10%,1)+(BB249-BA249)*MAX(0,MIN(CR250/10%-1,1))+(BC249-BB249)*MAX(0,CR250/10%-2),AZ249*MIN(-CR250/10%,1)+(AY249-AZ249)*MAX(0,MIN(-CR250/10%-1,1))+(AX249-AY249)*MAX(0,-CR250/10%-2)),0),"")</f>
        <v/>
      </c>
      <c r="CX250" s="470" t="n">
        <f aca="false">IF(BD250,EURO(CP250,Strike1,AO250,AO250,CV250,CO250,IF(OptControl=4,0,1),0),0)</f>
        <v>0</v>
      </c>
      <c r="CY250" s="470" t="n">
        <f aca="false">IF(BD250,EURO(CP250,Strike1,AO250,AO250,CV250,CO250,IF(OptControl=4,0,1),1)+IF(OR(VolSkewFlag=2,ABS(CQ250)&lt;0.0001),0,IF(CQ250&gt;0,-1,1)*CZ250*100*Strike1/CP250^2*CS250/10%),0)</f>
        <v>0</v>
      </c>
      <c r="CZ250" s="470" t="n">
        <f aca="false">IF(BD250,EURO(CP250,Strike1,AO250,AO250,CV250,CO250,IF(OptControl=4,0,1),3)/100,0)</f>
        <v>0</v>
      </c>
      <c r="DA250" s="470" t="n">
        <f aca="false">IF(BD250,EURO(CP250,Strike1,AO250,AO250,CV250,CO250,IF(OptControl=4,0,1),0)-EURO(CP250,Strike1,AO250,AO250,CV250,CO250-1,IF(OptControl=4,0,1),0),0)</f>
        <v>0</v>
      </c>
      <c r="DB250" s="470" t="n">
        <f aca="false">IF(BD250,EURO(CP250,Strike2,AO250,AO250,CW250,CO250,IF(OptControl=3,1,0),0),0)</f>
        <v>0</v>
      </c>
      <c r="DC250" s="470" t="n">
        <f aca="false">IF(BD250,EURO(CP250,Strike2,AO250,AO250,CW250,CO250,IF(OptControl=3,1,0),1)+IF(OR(VolSkewFlag=2,ABS(CR250)&lt;0.0001),0,IF(CR250&gt;0,-1,1)*DD250*100*Strike2/CP250^2*CT250/10%),0)</f>
        <v>0</v>
      </c>
      <c r="DD250" s="470" t="n">
        <f aca="false">IF(BD250,EURO(CP250,Strike2,AO250,AO250,CW250,CO250,IF(OptControl=3,1,0),3)/100,0)</f>
        <v>0</v>
      </c>
      <c r="DE250" s="472" t="n">
        <f aca="false">IF(BD250,EURO(CP250,Strike2,AO250,AO250,CW250,CO250,IF(OptControl=3,1,0),0)-EURO(CP250,Strike2,AO250,AO250,CW250,CO250-1,IF(OptControl=3,1,0),0),0)</f>
        <v>0</v>
      </c>
      <c r="DG250" s="481" t="n">
        <f aca="false">EOMONTH(DG249,0)+1</f>
        <v>52688</v>
      </c>
      <c r="DH250" s="478" t="n">
        <v>25.6600000000001</v>
      </c>
      <c r="DI250" s="479" t="n">
        <v>25.7259090909092</v>
      </c>
      <c r="DJ250" s="480" t="n">
        <f aca="false">DG250</f>
        <v>52688</v>
      </c>
      <c r="DK250" s="478" t="n">
        <v>24.4621301042488</v>
      </c>
      <c r="DL250" s="479" t="n">
        <v>24.4344090909092</v>
      </c>
      <c r="DM250" s="481" t="n">
        <f aca="false">DG250</f>
        <v>52688</v>
      </c>
      <c r="DN250" s="482" t="n">
        <f aca="false">DK250+BrentPhyBrentSpread</f>
        <v>24.5121301042488</v>
      </c>
      <c r="DO250" s="481" t="n">
        <f aca="false">DG250</f>
        <v>52688</v>
      </c>
      <c r="DP250" s="483" t="n">
        <f aca="false">DL250+DQ250</f>
        <v>24.4344090909092</v>
      </c>
      <c r="DQ250" s="546" t="n">
        <v>0</v>
      </c>
      <c r="DR250" s="480" t="n">
        <f aca="false">DG250</f>
        <v>52688</v>
      </c>
      <c r="DS250" s="485" t="n">
        <v>0.0865999999999972</v>
      </c>
      <c r="DT250" s="486" t="n">
        <v>0.0858090909090881</v>
      </c>
      <c r="DU250" s="480" t="n">
        <f aca="false">DG250</f>
        <v>52688</v>
      </c>
      <c r="DV250" s="485" t="n">
        <v>0.0865999999999972</v>
      </c>
      <c r="DW250" s="486" t="n">
        <v>0.0858090909090881</v>
      </c>
      <c r="DX250" s="481" t="n">
        <f aca="false">DG250</f>
        <v>52688</v>
      </c>
      <c r="DY250" s="486" t="n">
        <v>0.35</v>
      </c>
      <c r="DZ250" s="481" t="n">
        <f aca="false">DR250</f>
        <v>52688</v>
      </c>
      <c r="EA250" s="486" t="n">
        <f aca="false">DT250</f>
        <v>0.0858090909090881</v>
      </c>
      <c r="EB250" s="195"/>
      <c r="EC250" s="547" t="str">
        <f aca="false">IF(BD250,IF(Underlying=1,AS250,AU250),"")</f>
        <v/>
      </c>
      <c r="ED250" s="548" t="str">
        <f aca="false">IF($BD250,$EC250+IF(VolSkewFlag=1,IF(BS250&gt;0,$BA250*MIN(BS250/10%,1)+($BB250-$BA250)*MAX(0,MIN(BS250/10%-1,1))+($BC250-$BB250)*MAX(0,BS250/10%-2),$AZ250*MIN(-BS250/10%,1)+($AY250-$AZ250)*MAX(0,MIN(-BS250/10%-1,1))+($AX250-$AY250)*MAX(0,-BS250/10%-2)),0),"")</f>
        <v/>
      </c>
      <c r="EE250" s="549" t="str">
        <f aca="false">IF($BD250,$EC250+IF(VolSkewFlag=1,IF(BT250&gt;0,$BA250*MIN(BT250/10%,1)+($BB250-$BA250)*MAX(0,MIN(BT250/10%-1,1))+($BC250-$BB250)*MAX(0,BT250/10%-2),$AZ250*MIN(-BT250/10%,1)+($AY250-$AZ250)*MAX(0,MIN(-BT250/10%-1,1))+($AX250-$AY250)*MAX(0,-BT250/10%-2)),0),"")</f>
        <v/>
      </c>
      <c r="EF250" s="550" t="n">
        <f aca="false">IF(BD250,xASN(BR250,Strike1,AO250,ED250,0,BO250,0,BI250,BL250,IF(OptControl=4,0,1),0),0)</f>
        <v>0</v>
      </c>
      <c r="EG250" s="551" t="n">
        <f aca="false">IF(BD250,xASN(BR250,Strike2,AO250,EE250,0,BO250,0,BI250,BL250,IF(OptControl=3,1,0),0),0)</f>
        <v>0</v>
      </c>
      <c r="EL250" s="1"/>
      <c r="EM250" s="195"/>
      <c r="EN250" s="240"/>
      <c r="EO250" s="240"/>
      <c r="EP250" s="195"/>
      <c r="EQ250" s="407" t="s">
        <v>479</v>
      </c>
      <c r="ES250" s="1"/>
      <c r="EU250" s="672"/>
      <c r="FJ250" s="571" t="n">
        <v>6</v>
      </c>
      <c r="FK250" s="150" t="str">
        <f aca="false">IF($FJ250+FK$244&gt;73,"",PRODUCT(INDEX($T$19:$T$93,FK$244):INDEX($T$19:$T$93,FK$244+$FJ250-1)))</f>
        <v/>
      </c>
      <c r="FL250" s="150" t="str">
        <f aca="false">IF($FJ250+FL$244&gt;73,"",PRODUCT(INDEX($T$19:$T$93,FL$244):INDEX($T$19:$T$93,FL$244+$FJ250-1)))</f>
        <v/>
      </c>
      <c r="FM250" s="150" t="str">
        <f aca="false">IF($FJ250+FM$244&gt;73,"",PRODUCT(INDEX($T$19:$T$93,FM$244):INDEX($T$19:$T$93,FM$244+$FJ250-1)))</f>
        <v/>
      </c>
      <c r="FN250" s="150" t="str">
        <f aca="false">IF($FJ250+FN$244&gt;73,"",PRODUCT(INDEX($T$19:$T$93,FN$244):INDEX($T$19:$T$93,FN$244+$FJ250-1)))</f>
        <v/>
      </c>
      <c r="FO250" s="150" t="str">
        <f aca="false">IF($FJ250+FO$244&gt;73,"",PRODUCT(INDEX($T$19:$T$93,FO$244):INDEX($T$19:$T$93,FO$244+$FJ250-1)))</f>
        <v/>
      </c>
      <c r="FP250" s="150" t="n">
        <f aca="false">IF($FJ250+FP$244&gt;73,"",PRODUCT(INDEX($T$19:$T$93,FP$244):INDEX($T$19:$T$93,FP$244+$FJ250-1)))</f>
        <v>0.999982144175339</v>
      </c>
      <c r="FQ250" s="150" t="n">
        <f aca="false">IF($FJ250+FQ$244&gt;73,"",PRODUCT(INDEX($T$19:$T$93,FQ$244):INDEX($T$19:$T$93,FQ$244+$FJ250-1)))</f>
        <v>0.999979115984328</v>
      </c>
      <c r="FR250" s="150" t="n">
        <f aca="false">IF($FJ250+FR$244&gt;73,"",PRODUCT(INDEX($T$19:$T$93,FR$244):INDEX($T$19:$T$93,FR$244+$FJ250-1)))</f>
        <v>0.999975574237754</v>
      </c>
      <c r="FS250" s="150" t="n">
        <f aca="false">IF($FJ250+FS$244&gt;73,"",PRODUCT(INDEX($T$19:$T$93,FS$244):INDEX($T$19:$T$93,FS$244+$FJ250-1)))</f>
        <v>0.999971431840755</v>
      </c>
      <c r="FT250" s="150" t="n">
        <f aca="false">IF($FJ250+FT$244&gt;73,"",PRODUCT(INDEX($T$19:$T$93,FT$244):INDEX($T$19:$T$93,FT$244+$FJ250-1)))</f>
        <v>0.99996658692788</v>
      </c>
      <c r="FU250" s="150" t="n">
        <f aca="false">IF($FJ250+FU$244&gt;73,"",PRODUCT(INDEX($T$19:$T$93,FU$244):INDEX($T$19:$T$93,FU$244+$FJ250-1)))</f>
        <v>0.999960920358126</v>
      </c>
      <c r="FV250" s="150" t="n">
        <f aca="false">IF($FJ250+FV$244&gt;73,"",PRODUCT(INDEX($T$19:$T$93,FV$244):INDEX($T$19:$T$93,FV$244+$FJ250-1)))</f>
        <v>0.999954292785175</v>
      </c>
      <c r="FW250" s="150" t="n">
        <f aca="false">IF($FJ250+FW$244&gt;73,"",PRODUCT(INDEX($T$19:$T$93,FW$244):INDEX($T$19:$T$93,FW$244+$FJ250-1)))</f>
        <v>0.99994654123079</v>
      </c>
      <c r="FX250" s="150" t="n">
        <f aca="false">IF($FJ250+FX$244&gt;73,"",PRODUCT(INDEX($T$19:$T$93,FX$244):INDEX($T$19:$T$93,FX$244+$FJ250-1)))</f>
        <v>0.99993747507712</v>
      </c>
      <c r="FY250" s="150" t="n">
        <f aca="false">IF($FJ250+FY$244&gt;73,"",PRODUCT(INDEX($T$19:$T$93,FY$244):INDEX($T$19:$T$93,FY$244+$FJ250-1)))</f>
        <v>0.999926871379395</v>
      </c>
      <c r="FZ250" s="150" t="n">
        <f aca="false">IF($FJ250+FZ$244&gt;73,"",PRODUCT(INDEX($T$19:$T$93,FZ$244):INDEX($T$19:$T$93,FZ$244+$FJ250-1)))</f>
        <v>0.99991446938378</v>
      </c>
      <c r="GA250" s="150" t="n">
        <f aca="false">IF($FJ250+GA$244&gt;73,"",PRODUCT(INDEX($T$19:$T$93,GA$244):INDEX($T$19:$T$93,GA$244+$FJ250-1)))</f>
        <v>0.999899964115638</v>
      </c>
      <c r="GB250" s="150" t="n">
        <f aca="false">IF($FJ250+GB$244&gt;73,"",PRODUCT(INDEX($T$19:$T$93,GB$244):INDEX($T$19:$T$93,GB$244+$FJ250-1)))</f>
        <v>0.999882998880607</v>
      </c>
      <c r="GC250" s="150" t="n">
        <f aca="false">IF($FJ250+GC$244&gt;73,"",PRODUCT(INDEX($T$19:$T$93,GC$244):INDEX($T$19:$T$93,GC$244+$FJ250-1)))</f>
        <v>0.999863156494231</v>
      </c>
      <c r="GD250" s="150" t="n">
        <f aca="false">IF($FJ250+GD$244&gt;73,"",PRODUCT(INDEX($T$19:$T$93,GD$244):INDEX($T$19:$T$93,GD$244+$FJ250-1)))</f>
        <v>0.999839949024637</v>
      </c>
      <c r="GE250" s="150" t="n">
        <f aca="false">IF($FJ250+GE$244&gt;73,"",PRODUCT(INDEX($T$19:$T$93,GE$244):INDEX($T$19:$T$93,GE$244+$FJ250-1)))</f>
        <v>0.999812805796299</v>
      </c>
      <c r="GF250" s="150" t="n">
        <f aca="false">IF($FJ250+GF$244&gt;73,"",PRODUCT(INDEX($T$19:$T$93,GF$244):INDEX($T$19:$T$93,GF$244+$FJ250-1)))</f>
        <v>0.999781059360266</v>
      </c>
      <c r="GG250" s="150" t="n">
        <f aca="false">IF($FJ250+GG$244&gt;73,"",PRODUCT(INDEX($T$19:$T$93,GG$244):INDEX($T$19:$T$93,GG$244+$FJ250-1)))</f>
        <v>0.999743929086421</v>
      </c>
      <c r="GH250" s="150" t="n">
        <f aca="false">IF($FJ250+GH$244&gt;73,"",PRODUCT(INDEX($T$19:$T$93,GH$244):INDEX($T$19:$T$93,GH$244+$FJ250-1)))</f>
        <v>0.999700501975056</v>
      </c>
      <c r="GI250" s="150" t="n">
        <f aca="false">IF($FJ250+GI$244&gt;73,"",PRODUCT(INDEX($T$19:$T$93,GI$244):INDEX($T$19:$T$93,GI$244+$FJ250-1)))</f>
        <v>0.999649710217062</v>
      </c>
      <c r="GJ250" s="150" t="n">
        <f aca="false">IF($FJ250+GJ$244&gt;73,"",PRODUCT(INDEX($T$19:$T$93,GJ$244):INDEX($T$19:$T$93,GJ$244+$FJ250-1)))</f>
        <v>0.999590304952525</v>
      </c>
      <c r="GK250" s="150" t="n">
        <f aca="false">IF($FJ250+GK$244&gt;73,"",PRODUCT(INDEX($T$19:$T$93,GK$244):INDEX($T$19:$T$93,GK$244+$FJ250-1)))</f>
        <v>0.999520825584742</v>
      </c>
      <c r="GL250" s="150" t="n">
        <f aca="false">IF($FJ250+GL$244&gt;73,"",PRODUCT(INDEX($T$19:$T$93,GL$244):INDEX($T$19:$T$93,GL$244+$FJ250-1)))</f>
        <v>0.999439563898326</v>
      </c>
      <c r="GM250" s="150" t="n">
        <f aca="false">IF($FJ250+GM$244&gt;73,"",PRODUCT(INDEX($T$19:$T$93,GM$244):INDEX($T$19:$T$93,GM$244+$FJ250-1)))</f>
        <v>0.999344522103669</v>
      </c>
      <c r="GN250" s="150" t="n">
        <f aca="false">IF($FJ250+GN$244&gt;73,"",PRODUCT(INDEX($T$19:$T$93,GN$244):INDEX($T$19:$T$93,GN$244+$FJ250-1)))</f>
        <v>0.999233363782607</v>
      </c>
      <c r="GO250" s="150" t="n">
        <f aca="false">IF($FJ250+GO$244&gt;73,"",PRODUCT(INDEX($T$19:$T$93,GO$244):INDEX($T$19:$T$93,GO$244+$FJ250-1)))</f>
        <v>0.999103356538244</v>
      </c>
      <c r="GP250" s="150" t="n">
        <f aca="false">IF($FJ250+GP$244&gt;73,"",PRODUCT(INDEX($T$19:$T$93,GP$244):INDEX($T$19:$T$93,GP$244+$FJ250-1)))</f>
        <v>0.998951304951717</v>
      </c>
      <c r="GQ250" s="150" t="n">
        <f aca="false">IF($FJ250+GQ$244&gt;73,"",PRODUCT(INDEX($T$19:$T$93,GQ$244):INDEX($T$19:$T$93,GQ$244+$FJ250-1)))</f>
        <v>0.998773472215625</v>
      </c>
      <c r="GR250" s="150" t="n">
        <f aca="false">IF($FJ250+GR$244&gt;73,"",PRODUCT(INDEX($T$19:$T$93,GR$244):INDEX($T$19:$T$93,GR$244+$FJ250-1)))</f>
        <v>0.99856548854289</v>
      </c>
      <c r="GS250" s="150" t="n">
        <f aca="false">IF($FJ250+GS$244&gt;73,"",PRODUCT(INDEX($T$19:$T$93,GS$244):INDEX($T$19:$T$93,GS$244+$FJ250-1)))</f>
        <v>0.99832224413509</v>
      </c>
      <c r="GT250" s="150" t="n">
        <f aca="false">IF($FJ250+GT$244&gt;73,"",PRODUCT(INDEX($T$19:$T$93,GT$244):INDEX($T$19:$T$93,GT$244+$FJ250-1)))</f>
        <v>0.998037764129253</v>
      </c>
      <c r="GU250" s="150" t="n">
        <f aca="false">IF($FJ250+GU$244&gt;73,"",PRODUCT(INDEX($T$19:$T$93,GU$244):INDEX($T$19:$T$93,GU$244+$FJ250-1)))</f>
        <v>0.997705062519486</v>
      </c>
      <c r="GV250" s="150" t="n">
        <f aca="false">IF($FJ250+GV$244&gt;73,"",PRODUCT(INDEX($T$19:$T$93,GV$244):INDEX($T$19:$T$93,GV$244+$FJ250-1)))</f>
        <v>0.997315971561489</v>
      </c>
      <c r="GW250" s="150" t="n">
        <f aca="false">IF($FJ250+GW$244&gt;73,"",PRODUCT(INDEX($T$19:$T$93,GW$244):INDEX($T$19:$T$93,GW$244+$FJ250-1)))</f>
        <v>0.996860942605235</v>
      </c>
      <c r="GX250" s="150" t="n">
        <f aca="false">IF($FJ250+GX$244&gt;73,"",PRODUCT(INDEX($T$19:$T$93,GX$244):INDEX($T$19:$T$93,GX$244+$FJ250-1)))</f>
        <v>0.996328813654613</v>
      </c>
      <c r="GY250" s="150" t="n">
        <f aca="false">IF($FJ250+GY$244&gt;73,"",PRODUCT(INDEX($T$19:$T$93,GY$244):INDEX($T$19:$T$93,GY$244+$FJ250-1)))</f>
        <v>0.995706538212975</v>
      </c>
      <c r="GZ250" s="150" t="n">
        <f aca="false">IF($FJ250+GZ$244&gt;73,"",PRODUCT(INDEX($T$19:$T$93,GZ$244):INDEX($T$19:$T$93,GZ$244+$FJ250-1)))</f>
        <v>0.994978869131056</v>
      </c>
      <c r="HA250" s="150" t="n">
        <f aca="false">IF($FJ250+HA$244&gt;73,"",PRODUCT(INDEX($T$19:$T$93,HA$244):INDEX($T$19:$T$93,HA$244+$FJ250-1)))</f>
        <v>0.994127990220152</v>
      </c>
      <c r="HB250" s="150" t="n">
        <f aca="false">IF($FJ250+HB$244&gt;73,"",PRODUCT(INDEX($T$19:$T$93,HB$244):INDEX($T$19:$T$93,HB$244+$FJ250-1)))</f>
        <v>0.993133087322655</v>
      </c>
      <c r="HC250" s="150" t="n">
        <f aca="false">IF($FJ250+HC$244&gt;73,"",PRODUCT(INDEX($T$19:$T$93,HC$244):INDEX($T$19:$T$93,HC$244+$FJ250-1)))</f>
        <v>0.991969849341768</v>
      </c>
      <c r="HD250" s="150" t="n">
        <f aca="false">IF($FJ250+HD$244&gt;73,"",PRODUCT(INDEX($T$19:$T$93,HD$244):INDEX($T$19:$T$93,HD$244+$FJ250-1)))</f>
        <v>0.990609888427006</v>
      </c>
      <c r="HE250" s="150" t="n">
        <f aca="false">IF($FJ250+HE$244&gt;73,"",PRODUCT(INDEX($T$19:$T$93,HE$244):INDEX($T$19:$T$93,HE$244+$FJ250-1)))</f>
        <v>0.989020067107044</v>
      </c>
      <c r="HF250" s="150" t="n">
        <f aca="false">IF($FJ250+HF$244&gt;73,"",PRODUCT(INDEX($T$19:$T$93,HF$244):INDEX($T$19:$T$93,HF$244+$FJ250-1)))</f>
        <v>0.987161718688256</v>
      </c>
      <c r="HG250" s="150" t="n">
        <f aca="false">IF($FJ250+HG$244&gt;73,"",PRODUCT(INDEX($T$19:$T$93,HG$244):INDEX($T$19:$T$93,HG$244+$FJ250-1)))</f>
        <v>0.984989745752559</v>
      </c>
      <c r="HH250" s="150" t="n">
        <f aca="false">IF($FJ250+HH$244&gt;73,"",PRODUCT(INDEX($T$19:$T$93,HH$244):INDEX($T$19:$T$93,HH$244+$FJ250-1)))</f>
        <v>0.982451580185461</v>
      </c>
      <c r="HI250" s="150" t="n">
        <f aca="false">IF($FJ250+HI$244&gt;73,"",PRODUCT(INDEX($T$19:$T$93,HI$244):INDEX($T$19:$T$93,HI$244+$FJ250-1)))</f>
        <v>0.979485986992951</v>
      </c>
      <c r="HJ250" s="150" t="n">
        <f aca="false">IF($FJ250+HJ$244&gt;73,"",PRODUCT(INDEX($T$19:$T$93,HJ$244):INDEX($T$19:$T$93,HJ$244+$FJ250-1)))</f>
        <v>0.976021693451655</v>
      </c>
      <c r="HK250" s="150" t="n">
        <f aca="false">IF($FJ250+HK$244&gt;73,"",PRODUCT(INDEX($T$19:$T$93,HK$244):INDEX($T$19:$T$93,HK$244+$FJ250-1)))</f>
        <v>0.971975825223591</v>
      </c>
      <c r="HL250" s="150" t="n">
        <f aca="false">IF($FJ250+HL$244&gt;73,"",PRODUCT(INDEX($T$19:$T$93,HL$244):INDEX($T$19:$T$93,HL$244+$FJ250-1)))</f>
        <v>0.967252132463161</v>
      </c>
      <c r="HM250" s="150" t="n">
        <f aca="false">IF($FJ250+HM$244&gt;73,"",PRODUCT(INDEX($T$19:$T$93,HM$244):INDEX($T$19:$T$93,HM$244+$FJ250-1)))</f>
        <v>0.961738992395081</v>
      </c>
      <c r="HN250" s="150" t="n">
        <f aca="false">IF($FJ250+HN$244&gt;73,"",PRODUCT(INDEX($T$19:$T$93,HN$244):INDEX($T$19:$T$93,HN$244+$FJ250-1)))</f>
        <v>0.955307181429496</v>
      </c>
      <c r="HO250" s="150" t="n">
        <f aca="false">IF($FJ250+HO$244&gt;73,"",PRODUCT(INDEX($T$19:$T$93,HO$244):INDEX($T$19:$T$93,HO$244+$FJ250-1)))</f>
        <v>0.94780742116252</v>
      </c>
      <c r="HP250" s="150" t="n">
        <f aca="false">IF($FJ250+HP$244&gt;73,"",PRODUCT(INDEX($T$19:$T$93,HP$244):INDEX($T$19:$T$93,HP$244+$FJ250-1)))</f>
        <v>0.939067720812508</v>
      </c>
      <c r="HQ250" s="150" t="n">
        <f aca="false">IF($FJ250+HQ$244&gt;73,"",PRODUCT(INDEX($T$19:$T$93,HQ$244):INDEX($T$19:$T$93,HQ$244+$FJ250-1)))</f>
        <v>0.928890566919344</v>
      </c>
      <c r="HR250" s="150" t="n">
        <f aca="false">IF($FJ250+HR$244&gt;73,"",PRODUCT(INDEX($T$19:$T$93,HR$244):INDEX($T$19:$T$93,HR$244+$FJ250-1)))</f>
        <v>0.91705005391798</v>
      </c>
      <c r="HS250" s="150" t="n">
        <f aca="false">IF($FJ250+HS$244&gt;73,"",PRODUCT(INDEX($T$19:$T$93,HS$244):INDEX($T$19:$T$93,HS$244+$FJ250-1)))</f>
        <v>0.903289112648125</v>
      </c>
      <c r="HT250" s="150" t="n">
        <f aca="false">IF($FJ250+HT$244&gt;73,"",PRODUCT(INDEX($T$19:$T$93,HT$244):INDEX($T$19:$T$93,HT$244+$FJ250-1)))</f>
        <v>0.887317086423378</v>
      </c>
      <c r="HU250" s="150" t="n">
        <f aca="false">IF($FJ250+HU$244&gt;73,"",PRODUCT(INDEX($T$19:$T$93,HU$244):INDEX($T$19:$T$93,HU$244+$FJ250-1)))</f>
        <v>0.868808037316188</v>
      </c>
      <c r="HV250" s="150" t="n">
        <f aca="false">IF($FJ250+HV$244&gt;73,"",PRODUCT(INDEX($T$19:$T$93,HV$244):INDEX($T$19:$T$93,HV$244+$FJ250-1)))</f>
        <v>0.847400353705524</v>
      </c>
      <c r="HW250" s="150" t="n">
        <f aca="false">IF($FJ250+HW$244&gt;73,"",PRODUCT(INDEX($T$19:$T$93,HW$244):INDEX($T$19:$T$93,HW$244+$FJ250-1)))</f>
        <v>0.822698492619522</v>
      </c>
      <c r="HX250" s="150" t="n">
        <f aca="false">IF($FJ250+HX$244&gt;73,"",PRODUCT(INDEX($T$19:$T$93,HX$244):INDEX($T$19:$T$93,HX$244+$FJ250-1)))</f>
        <v>0.794278049070833</v>
      </c>
      <c r="HY250" s="150" t="n">
        <f aca="false">IF($FJ250+HY$244&gt;73,"",PRODUCT(INDEX($T$19:$T$93,HY$244):INDEX($T$19:$T$93,HY$244+$FJ250-1)))</f>
        <v>0.761695822416923</v>
      </c>
      <c r="HZ250" s="150" t="n">
        <f aca="false">IF($FJ250+HZ$244&gt;73,"",PRODUCT(INDEX($T$19:$T$93,HZ$244):INDEX($T$19:$T$93,HZ$244+$FJ250-1)))</f>
        <v>0.724507164180709</v>
      </c>
      <c r="IA250" s="150" t="n">
        <f aca="false">IF($FJ250+IA$244&gt;73,"",PRODUCT(INDEX($T$19:$T$93,IA$244):INDEX($T$19:$T$93,IA$244+$FJ250-1)))</f>
        <v>0.682293640172334</v>
      </c>
      <c r="IB250" s="150" t="n">
        <f aca="false">IF($FJ250+IB$244&gt;73,"",PRODUCT(INDEX($T$19:$T$93,IB$244):INDEX($T$19:$T$93,IB$244+$FJ250-1)))</f>
        <v>0.634704870720421</v>
      </c>
      <c r="IC250" s="150" t="n">
        <f aca="false">IF($FJ250+IC$244&gt;73,"",PRODUCT(INDEX($T$19:$T$93,IC$244):INDEX($T$19:$T$93,IC$244+$FJ250-1)))</f>
        <v>0.581519171716645</v>
      </c>
      <c r="ID250" s="572" t="n">
        <f aca="false">IF($FJ250+ID$244&gt;73,"",PRODUCT(INDEX($T$19:$T$93,ID$244):INDEX($T$19:$T$93,ID$244+$FJ250-1)))</f>
        <v>0.522727952052358</v>
      </c>
      <c r="IE250" s="129"/>
    </row>
    <row r="251" customFormat="false" ht="12.75" hidden="false" customHeight="false" outlineLevel="0" collapsed="false">
      <c r="H251" s="219" t="n">
        <f aca="false">VLOOKUP(I251,$EJ$20:$EL$54,3)</f>
        <v>0</v>
      </c>
      <c r="I251" s="511" t="n">
        <f aca="false">EOMONTH(I250,0)+1</f>
        <v>43800</v>
      </c>
      <c r="J251" s="512"/>
      <c r="K251" s="513" t="s">
        <v>280</v>
      </c>
      <c r="L251" s="514" t="n">
        <f aca="false">IF(ISNUMBER(K251),J251+K251/100,IF(K251="extra",L250+VLOOKUP(BF251,PriceSpreadTable,2)/12,IF(K251="inter",interpolateprices($K$19:$L$200,ROW(K251)-ROW(FirstPricingMonth)+1),interpolatechanges($J$19:$K$200,ROW(K251)-ROW(FirstPricingMonth)+1))))</f>
        <v>5.81249999999999</v>
      </c>
      <c r="M251" s="515"/>
      <c r="N251" s="516" t="n">
        <v>0</v>
      </c>
      <c r="O251" s="515" t="n">
        <f aca="false">M251+N251</f>
        <v>0</v>
      </c>
      <c r="P251" s="512"/>
      <c r="Q251" s="513" t="s">
        <v>280</v>
      </c>
      <c r="R251" s="512" t="e">
        <f aca="false">IF(ISNUMBER(Q251),P251+Q251/100,IF(Q251="extra",(Z249*AL249-R250*AM249)/AN249,IF(Q251="inter",interpolateprices($Q$19:$R$260,ROW(Q251)-ROW(FirstPricingMonth)+1),interpolatechanges($P$19:$Q$260,ROW(Q251)-ROW(FirstPricingMonth)+1))))</f>
        <v>#VALUE!</v>
      </c>
      <c r="S251" s="597" t="n">
        <f aca="false">S$19+(S250-S$19)*S$18</f>
        <v>0.36</v>
      </c>
      <c r="T251" s="575" t="n">
        <f aca="false">SQRT((1-(1-T250^2/U250)*T$18)*U251)</f>
        <v>1</v>
      </c>
      <c r="U251" s="576" t="n">
        <f aca="false">1-(1-U250)*U$18</f>
        <v>1</v>
      </c>
      <c r="V251" s="521" t="n">
        <v>0</v>
      </c>
      <c r="W251" s="577" t="n">
        <f aca="false">(J252*AJ251+J253*AK251)/AI251</f>
        <v>0</v>
      </c>
      <c r="X251" s="578" t="n">
        <f aca="false">(L252*AJ251+L253*AK251)/AI251</f>
        <v>5.86071428571427</v>
      </c>
      <c r="Y251" s="579" t="n">
        <f aca="false">IF(Q253="extra",W251-AA251,(P252*AM251+P253*AN251)/AL251)</f>
        <v>-1.1931</v>
      </c>
      <c r="Z251" s="579" t="n">
        <f aca="false">IF(Q253="extra",X251-AB251,(R252*AM251+R253*AN251)/AL251)</f>
        <v>4.66761428571427</v>
      </c>
      <c r="AA251" s="523" t="n">
        <f aca="false">IF(Q253="extra",INDEX(BrentSeasonalityTable,INT((BG251-1)/3)+1)*VLOOKUP(MAX(BF251,$AB$4),PriceSpreadTable,3),W251-Y251)</f>
        <v>1.1931</v>
      </c>
      <c r="AB251" s="524" t="n">
        <f aca="false">IF(Q253="extra",INDEX(BrentSeasonalityTable,INT((BG251-1)/3)+1)*VLOOKUP(MAX(BF251,$AB$4),PriceSpreadTable,3),X251-Z251)</f>
        <v>1.1931</v>
      </c>
      <c r="AC251" s="646" t="n">
        <v>43789</v>
      </c>
      <c r="AD251" s="646" t="n">
        <v>43785</v>
      </c>
      <c r="AE251" s="646" t="n">
        <v>43784</v>
      </c>
      <c r="AF251" s="646" t="n">
        <v>43780</v>
      </c>
      <c r="AG251" s="438" t="s">
        <v>278</v>
      </c>
      <c r="AH251" s="439" t="s">
        <v>278</v>
      </c>
      <c r="AI251" s="528" t="n">
        <v>21</v>
      </c>
      <c r="AJ251" s="529" t="n">
        <v>15</v>
      </c>
      <c r="AK251" s="529" t="n">
        <v>6</v>
      </c>
      <c r="AL251" s="530" t="n">
        <v>21</v>
      </c>
      <c r="AM251" s="529" t="n">
        <v>10</v>
      </c>
      <c r="AN251" s="531" t="n">
        <v>11</v>
      </c>
      <c r="AO251" s="532"/>
      <c r="AP251" s="465" t="n">
        <f aca="false">(1+AO251/2)^(-2*BL251)</f>
        <v>1</v>
      </c>
      <c r="AQ251" s="532"/>
      <c r="AR251" s="465" t="n">
        <f aca="false">(1+AQ251/2)^(-2*BH251/365.25)</f>
        <v>1</v>
      </c>
      <c r="AS251" s="580" t="n">
        <f aca="false">(O252*AJ251+O253*AK251)/AI251</f>
        <v>0</v>
      </c>
      <c r="AT251" s="468" t="n">
        <f aca="false">O251*VLOOKUP(BF251,BrentVolTable,2)+VLOOKUP(BF251,BrentVolTable,3)</f>
        <v>0</v>
      </c>
      <c r="AU251" s="468" t="n">
        <f aca="false">(AT252*AM251+AT253*AN251)/AL251</f>
        <v>0</v>
      </c>
      <c r="AV251" s="595" t="n">
        <f aca="false">SQRT(MAX(0.000000000001,(O251^2*BH251-S251^2*(BH251-BH250))/BH250))</f>
        <v>0.0430183190226426</v>
      </c>
      <c r="AW251" s="451" t="n">
        <f aca="false">IF($I251-DateToday+15&gt;=$T$8,"",IF($I251-DateToday+15&lt;$T$5,1,MATCH($I251-DateToday+15,$T$5:$T$8)))</f>
        <v>1</v>
      </c>
      <c r="AX251" s="468" t="n">
        <f aca="false">IF($AW251="",AX250^2/AX249,INDEX(U$5:U$8,$AW251)^((INDEX($T$5:$T$8,$AW251+1)-($I251-DateToday+15))/(INDEX($T$5:$T$8,$AW251+1)-INDEX($T$5:$T$8,$AW251)))/INDEX(U$5:U$8,$AW251+1)^((INDEX($T$5:$T$8,$AW251)-($I251-DateToday+15))/(INDEX($T$5:$T$8,$AW251+1)-INDEX($T$5:$T$8,$AW251))))</f>
        <v>0.0899791551184913</v>
      </c>
      <c r="AY251" s="468" t="n">
        <f aca="false">IF($AW251="",AY250^2/AY249,INDEX(V$5:V$8,$AW251)^((INDEX($T$5:$T$8,$AW251+1)-($I251-DateToday+15))/(INDEX($T$5:$T$8,$AW251+1)-INDEX($T$5:$T$8,$AW251)))/INDEX(V$5:V$8,$AW251+1)^((INDEX($T$5:$T$8,$AW251)-($I251-DateToday+15))/(INDEX($T$5:$T$8,$AW251+1)-INDEX($T$5:$T$8,$AW251))))</f>
        <v>0.309913922275058</v>
      </c>
      <c r="AZ251" s="468" t="n">
        <f aca="false">IF($AW251="",AZ250^2/AZ249,INDEX(W$5:W$8,$AW251)^((INDEX($T$5:$T$8,$AW251+1)-($I251-DateToday+15))/(INDEX($T$5:$T$8,$AW251+1)-INDEX($T$5:$T$8,$AW251)))/INDEX(W$5:W$8,$AW251+1)^((INDEX($T$5:$T$8,$AW251)-($I251-DateToday+15))/(INDEX($T$5:$T$8,$AW251+1)-INDEX($T$5:$T$8,$AW251))))</f>
        <v>3.91372659667176</v>
      </c>
      <c r="BA251" s="468" t="n">
        <f aca="false">IF($AW251="",BA250^2/BA249,INDEX(X$5:X$8,$AW251)^((INDEX($T$5:$T$8,$AW251+1)-($I251-DateToday+15))/(INDEX($T$5:$T$8,$AW251+1)-INDEX($T$5:$T$8,$AW251)))/INDEX(X$5:X$8,$AW251+1)^((INDEX($T$5:$T$8,$AW251)-($I251-DateToday+15))/(INDEX($T$5:$T$8,$AW251+1)-INDEX($T$5:$T$8,$AW251))))</f>
        <v>3.66826888055513</v>
      </c>
      <c r="BB251" s="468" t="n">
        <f aca="false">IF($AW251="",BB250^2/BB249,INDEX(Y$5:Y$8,$AW251)^((INDEX($T$5:$T$8,$AW251+1)-($I251-DateToday+15))/(INDEX($T$5:$T$8,$AW251+1)-INDEX($T$5:$T$8,$AW251)))/INDEX(Y$5:Y$8,$AW251+1)^((INDEX($T$5:$T$8,$AW251)-($I251-DateToday+15))/(INDEX($T$5:$T$8,$AW251+1)-INDEX($T$5:$T$8,$AW251))))</f>
        <v>10.304599709731</v>
      </c>
      <c r="BC251" s="468" t="n">
        <f aca="false">IF($AW251="",BC250^2/BC249,INDEX(Z$5:Z$8,$AW251)^((INDEX($T$5:$T$8,$AW251+1)-($I251-DateToday+15))/(INDEX($T$5:$T$8,$AW251+1)-INDEX($T$5:$T$8,$AW251)))/INDEX(Z$5:Z$8,$AW251+1)^((INDEX($T$5:$T$8,$AW251)-($I251-DateToday+15))/(INDEX($T$5:$T$8,$AW251+1)-INDEX($T$5:$T$8,$AW251))))</f>
        <v>19.8062414907077</v>
      </c>
      <c r="BD251" s="535" t="n">
        <f aca="false">IF(OR(DateStart&gt;=I252,DateEnd&lt;I251),0,IF(VolumeOverrideFlag,V251,Volume))</f>
        <v>0</v>
      </c>
      <c r="BE251" s="536" t="n">
        <f aca="false">IF(OR(DateStart2&gt;=I252,DateEnd2&lt;I251),0,IF(VolumeOverrideFlag,V251,VolumeSwaption))</f>
        <v>0</v>
      </c>
      <c r="BF251" s="537" t="n">
        <f aca="false">YEAR(I251)</f>
        <v>2019</v>
      </c>
      <c r="BG251" s="538" t="n">
        <f aca="false">MONTH(I251)</f>
        <v>12</v>
      </c>
      <c r="BH251" s="539" t="n">
        <f aca="false">AD251-DateToday+1</f>
        <v>-2140</v>
      </c>
      <c r="BI251" s="540" t="n">
        <f aca="false">(I251-DateToday+1)/365.25</f>
        <v>-5.81793292265572</v>
      </c>
      <c r="BJ251" s="541" t="n">
        <f aca="false">BI251+(BL251-BI251)*CHOOSE(Underlying,AJ251/AI251,AM251/AL251)</f>
        <v>-5.75926469150288</v>
      </c>
      <c r="BK251" s="541" t="n">
        <f aca="false">BJ251+1/365.25</f>
        <v>-5.75652684071575</v>
      </c>
      <c r="BL251" s="541" t="n">
        <f aca="false">(I252-DateToday)/365.25</f>
        <v>-5.73579739904175</v>
      </c>
      <c r="BM251" s="542" t="e">
        <f aca="false">MAX(BI251-(BJ251-BI251)*(S252^2/O252^2-1),0)</f>
        <v>#DIV/0!</v>
      </c>
      <c r="BN251" s="541" t="e">
        <f aca="false">MAX(BL251+(BL251-BK251)*(S253^2/O253^2-1),0)</f>
        <v>#DIV/0!</v>
      </c>
      <c r="BO251" s="530" t="n">
        <f aca="false">CHOOSE(Underlying,AI251,AL251)</f>
        <v>21</v>
      </c>
      <c r="BP251" s="529" t="n">
        <f aca="false">CHOOSE(Underlying,AJ251,AM251)</f>
        <v>15</v>
      </c>
      <c r="BQ251" s="529" t="n">
        <f aca="false">CHOOSE(Underlying,AK251,AN251)</f>
        <v>6</v>
      </c>
      <c r="BR251" s="463" t="str">
        <f aca="false">IF(BD251,IF(Underlying=1,X251,Z251)+UnderlyingPriceAsian-SwapPriceCurve,"")</f>
        <v/>
      </c>
      <c r="BS251" s="463" t="str">
        <f aca="false">IF(BD251,Strike1/BR251-1,"")</f>
        <v/>
      </c>
      <c r="BT251" s="464" t="str">
        <f aca="false">IF(BD251,Strike2/BR251-1,"")</f>
        <v/>
      </c>
      <c r="BU251" s="465" t="str">
        <f aca="false">IF(BD251,IF(Underlying=1,L252,R252)+UnderlyingPriceAsian-SwapPriceCurve,"")</f>
        <v/>
      </c>
      <c r="BV251" s="465" t="str">
        <f aca="false">IF(BD251,IF(Underlying=1,L253,R253)+UnderlyingPriceAsian-SwapPriceCurve,"")</f>
        <v/>
      </c>
      <c r="BW251" s="466" t="str">
        <f aca="false">IF(BD251,IF(Underlying=1,O252,AT252),"")</f>
        <v/>
      </c>
      <c r="BX251" s="467" t="str">
        <f aca="false">IF(BD251,IF(Underlying=1,O253,AT253),"")</f>
        <v/>
      </c>
      <c r="BY251" s="466" t="str">
        <f aca="false">IF(BD251,IF(BS251&gt;0,IF(BS251&gt;0.2,BC251-BB251,IF(BS251&gt;0.1,BB251-BA251,BA251)),IF(BS251&lt;-0.2,AX251-AY251,IF(BS251&lt;-0.1,AY251-AZ251,AZ251))),"")</f>
        <v/>
      </c>
      <c r="BZ251" s="467" t="str">
        <f aca="false">IF(BD251,IF(BT251&gt;0,IF(BT251&gt;0.2,BC251-BB251,IF(BT251&gt;0.1,BB251-BA251,BA251)),IF(BT251&lt;-0.2,AX251-AY251,IF(BT251&lt;-0.1,AY251-AZ251,AZ251))),"")</f>
        <v/>
      </c>
      <c r="CA251" s="468" t="str">
        <f aca="false">IF($BD251,$BW251+IF(VolSkewFlag=1,IF(BS251&gt;0,$BA251*MIN(BS251/10%,1)+($BB251-$BA251)*MAX(0,MIN(BS251/10%-1,1))+($BC251-$BB251)*MAX(0,BS251/10%-2),$AZ251*MIN(-BS251/10%,1)+($AY251-$AZ251)*MAX(0,MIN(-BS251/10%-1,1))+($AX251-$AY251)*MAX(0,-BS251/10%-2)),0),"")</f>
        <v/>
      </c>
      <c r="CB251" s="468" t="str">
        <f aca="false">IF($BD251,$BX251+IF(VolSkewFlag=1,IF(BS251&gt;0,$BA251*MIN(BS251/10%,1)+($BB251-$BA251)*MAX(0,MIN(BS251/10%-1,1))+($BC251-$BB251)*MAX(0,BS251/10%-2),$AZ251*MIN(-BS251/10%,1)+($AY251-$AZ251)*MAX(0,MIN(-BS251/10%-1,1))+($AX251-$AY251)*MAX(0,-BS251/10%-2)),0),"")</f>
        <v/>
      </c>
      <c r="CC251" s="468" t="str">
        <f aca="false">IF($BD251,$BW251+IF(VolSkewFlag=1,IF(BT251&gt;0,$BA251*MIN(BT251/10%,1)+($BB251-$BA251)*MAX(0,MIN(BT251/10%-1,1))+($BC251-$BB251)*MAX(0,BT251/10%-2),$AZ251*MIN(-BT251/10%,1)+($AY251-$AZ251)*MAX(0,MIN(-BT251/10%-1,1))+($AX251-$AY251)*MAX(0,-BT251/10%-2)),0),"")</f>
        <v/>
      </c>
      <c r="CD251" s="468" t="str">
        <f aca="false">IF($BD251,$BX251+IF(VolSkewFlag=1,IF(BT251&gt;0,$BA251*MIN(BT251/10%,1)+($BB251-$BA251)*MAX(0,MIN(BT251/10%-1,1))+($BC251-$BB251)*MAX(0,BT251/10%-2),$AZ251*MIN(-BT251/10%,1)+($AY251-$AZ251)*MAX(0,MIN(-BT251/10%-1,1))+($AX251-$AY251)*MAX(0,-BT251/10%-2)),0),"")</f>
        <v/>
      </c>
      <c r="CE251" s="469" t="n">
        <v>1</v>
      </c>
      <c r="CF251" s="470" t="n">
        <f aca="false">IF(BD251,xCrudeAPO(BU251,BV251,CA251,CB251,S252,S253,BI251,BL251,BP251,BQ251,0,Strike1,AO251,CE251,0,BL251,IF(OptControl=4,0,1),0,1),0)</f>
        <v>0</v>
      </c>
      <c r="CG251" s="470" t="n">
        <f aca="false">IF(BD251,xCrudeAPO(BU251,BV251,CA251,CB251,S252,S253,BI251,BL251,BP251,BQ251,0,Strike1,AO251,CE251,0,BL251,IF(OptControl=4,0,1),1,1)+xCrudeAPO(BU251,BV251,CA251,CB251,S252,S253,BI251,BL251,BP251,BQ251,0,Strike1,AO251,CE251,0,BL251,IF(OptControl=4,0,1),1,2)+IF(OR(VolSkewFlag=2,ABS(BS251)&lt;0.0001),0,IF(BS251&gt;0,-1,1)*CH251*Strike1/BR251^2*BY251/10%),0)</f>
        <v>0</v>
      </c>
      <c r="CH251" s="470" t="n">
        <f aca="false">IF(BD251,(xCrudeAPO(BU251,BV251,CA251,CB251,S252,S253,BI251,BL251,BP251,BQ251,0,Strike1,AO251,CE251,0,BL251,IF(OptControl=4,0,1),3,1)+xCrudeAPO(BU251,BV251,CA251,CB251,S252,S253,BI251,BL251,BP251,BQ251,0,Strike1,AO251,CE251,0,BL251,IF(OptControl=4,0,1),3,2))/100,0)</f>
        <v>0</v>
      </c>
      <c r="CI251" s="470" t="n">
        <f aca="false">IF(BD251,xCrudeAPO(BU251,BV251,CA251,CB251,S252,S253,BI251-DaysForThetaCalculation/365.25,BL251-DaysForThetaCalculation/365.25,BP251,BQ251,0,Strike1,AO251,CE251,0,BL251,IF(OptControl=4,0,1),0,1)-xCrudeAPO(BU251,BV251,CA251,CB251,S252,S253,BI251,BL251,BP251,BQ251,0,Strike1,AO251,CE251,0,BL251,IF(OptControl=4,0,1),0,1),0)</f>
        <v>0</v>
      </c>
      <c r="CJ251" s="471" t="n">
        <f aca="false">IF(BD251,xCrudeAPO(BU251,BV251,CC251,CD251,S252,S253,BI251,BL251,BP251,BQ251,0,Strike2,AO251,CE251,0,BL251,IF(OptControl=3,1,0),0,1),0)</f>
        <v>0</v>
      </c>
      <c r="CK251" s="470" t="n">
        <f aca="false">IF(BD251,xCrudeAPO(BU251,BV251,CC251,CD251,S252,S253,BI251,BL251,BP251,BQ251,0,Strike2,AO251,CE251,0,BL251,IF(OptControl=3,1,0),1,1)+xCrudeAPO(BU251,BV251,CC251,CD251,S252,S253,BI251,BL251,BP251,BQ251,0,Strike2,AO251,CE251,0,BL251,IF(OptControl=3,1,0),1,2)+IF(OR(VolSkewFlag=2,ABS(BT251)&lt;0.0001),0,IF(BT251&gt;0,-1,1)*CL251*Strike2/BR251^2*BZ251/10%),0)</f>
        <v>0</v>
      </c>
      <c r="CL251" s="470" t="n">
        <f aca="false">IF(BD251,(xCrudeAPO(BU251,BV251,CC251,CD251,S252,S253,BI251,BL251,BP251,BQ251,0,Strike2,AO251,CE251,0,BL251,IF(OptControl=3,1,0),3,1)+xCrudeAPO(BU251,BV251,CC251,CD251,S252,S253,BI251,BL251,BP251,BQ251,0,Strike2,AO251,CE251,0,BL251,IF(OptControl=3,1,0),3,2))/100,0)</f>
        <v>0</v>
      </c>
      <c r="CM251" s="472" t="n">
        <f aca="false">IF(BD251,xCrudeAPO(BU251,BV251,CC251,CD251,S252,S253,BI251-DaysForThetaCalculation/365.25,BL251-DaysForThetaCalculation/365.25,BP251,BQ251,0,Strike2,AO251,CE251,0,BL251,IF(OptControl=3,1,0),0,1)-xCrudeAPO(BU251,BV251,CC251,CD251,S252,S253,BI251,BL251,BP251,BQ251,0,Strike2,AO251,CE251,0,BL251,IF(OptControl=3,1,0),0,1),0)</f>
        <v>0</v>
      </c>
      <c r="CN251" s="3"/>
      <c r="CO251" s="543" t="str">
        <f aca="false">IF(BD251,CHOOSE(Underlying,AD251,AF251)-DateToday+1,"")</f>
        <v/>
      </c>
      <c r="CP251" s="582" t="str">
        <f aca="false">IF(BD251,CHOOSE(Underlying,L251,R251),"")</f>
        <v/>
      </c>
      <c r="CQ251" s="544" t="str">
        <f aca="false">IF(BD251,Strike1/CP251-1,"")</f>
        <v/>
      </c>
      <c r="CR251" s="544" t="str">
        <f aca="false">IF(BD251,Strike2/CP251-1,"")</f>
        <v/>
      </c>
      <c r="CS251" s="544" t="str">
        <f aca="false">IF(BD251,IF(CQ251&gt;0,IF(CQ251&gt;0.2,BC250-BB250,IF(CQ251&gt;0.1,BB250-BA250,BA250)),IF(CQ251&lt;-0.2,AX250-AY250,IF(CQ251&lt;-0.1,AY250-AZ250,AZ250))),"")</f>
        <v/>
      </c>
      <c r="CT251" s="544" t="str">
        <f aca="false">IF(BD251,IF(CR251&gt;0,IF(CR251&gt;0.2,BC250-BB250,IF(CR251&gt;0.1,BB250-BA250,BA250)),IF(CR251&lt;-0.2,AX250-AY250,IF(CR251&lt;-0.1,AY250-AZ250,AZ250))),"")</f>
        <v/>
      </c>
      <c r="CU251" s="545" t="str">
        <f aca="false">IF(BD251,CHOOSE(Underlying,O251,AT251),"")</f>
        <v/>
      </c>
      <c r="CV251" s="545" t="str">
        <f aca="false">IF(BD251,CU251+IF(VolSkewFlag=1,IF(CQ251&gt;0,BA250*MIN(CQ251/10%,1)+(BB250-BA250)*MAX(0,MIN(CQ251/10%-1,1))+(BC250-BB250)*MAX(0,CQ251/10%-2),AZ250*MIN(-CQ251/10%,1)+(AY250-AZ250)*MAX(0,MIN(-CQ251/10%-1,1))+(AX250-AY250)*MAX(0,-CQ251/10%-2)),0),"")</f>
        <v/>
      </c>
      <c r="CW251" s="545" t="str">
        <f aca="false">IF(BD251,CU251+IF(VolSkewFlag=1,IF(CR251&gt;0,BA250*MIN(CR251/10%,1)+(BB250-BA250)*MAX(0,MIN(CR251/10%-1,1))+(BC250-BB250)*MAX(0,CR251/10%-2),AZ250*MIN(-CR251/10%,1)+(AY250-AZ250)*MAX(0,MIN(-CR251/10%-1,1))+(AX250-AY250)*MAX(0,-CR251/10%-2)),0),"")</f>
        <v/>
      </c>
      <c r="CX251" s="470" t="n">
        <f aca="false">IF(BD251,EURO(CP251,Strike1,AO251,AO251,CV251,CO251,IF(OptControl=4,0,1),0),0)</f>
        <v>0</v>
      </c>
      <c r="CY251" s="470" t="n">
        <f aca="false">IF(BD251,EURO(CP251,Strike1,AO251,AO251,CV251,CO251,IF(OptControl=4,0,1),1)+IF(OR(VolSkewFlag=2,ABS(CQ251)&lt;0.0001),0,IF(CQ251&gt;0,-1,1)*CZ251*100*Strike1/CP251^2*CS251/10%),0)</f>
        <v>0</v>
      </c>
      <c r="CZ251" s="470" t="n">
        <f aca="false">IF(BD251,EURO(CP251,Strike1,AO251,AO251,CV251,CO251,IF(OptControl=4,0,1),3)/100,0)</f>
        <v>0</v>
      </c>
      <c r="DA251" s="470" t="n">
        <f aca="false">IF(BD251,EURO(CP251,Strike1,AO251,AO251,CV251,CO251,IF(OptControl=4,0,1),0)-EURO(CP251,Strike1,AO251,AO251,CV251,CO251-1,IF(OptControl=4,0,1),0),0)</f>
        <v>0</v>
      </c>
      <c r="DB251" s="470" t="n">
        <f aca="false">IF(BD251,EURO(CP251,Strike2,AO251,AO251,CW251,CO251,IF(OptControl=3,1,0),0),0)</f>
        <v>0</v>
      </c>
      <c r="DC251" s="470" t="n">
        <f aca="false">IF(BD251,EURO(CP251,Strike2,AO251,AO251,CW251,CO251,IF(OptControl=3,1,0),1)+IF(OR(VolSkewFlag=2,ABS(CR251)&lt;0.0001),0,IF(CR251&gt;0,-1,1)*DD251*100*Strike2/CP251^2*CT251/10%),0)</f>
        <v>0</v>
      </c>
      <c r="DD251" s="470" t="n">
        <f aca="false">IF(BD251,EURO(CP251,Strike2,AO251,AO251,CW251,CO251,IF(OptControl=3,1,0),3)/100,0)</f>
        <v>0</v>
      </c>
      <c r="DE251" s="472" t="n">
        <f aca="false">IF(BD251,EURO(CP251,Strike2,AO251,AO251,CW251,CO251,IF(OptControl=3,1,0),0)-EURO(CP251,Strike2,AO251,AO251,CW251,CO251-1,IF(OptControl=3,1,0),0),0)</f>
        <v>0</v>
      </c>
      <c r="DG251" s="481" t="n">
        <f aca="false">EOMONTH(DG250,0)+1</f>
        <v>52718</v>
      </c>
      <c r="DH251" s="478" t="n">
        <v>25.7100000000001</v>
      </c>
      <c r="DI251" s="479" t="n">
        <v>25.7795652173914</v>
      </c>
      <c r="DJ251" s="480" t="n">
        <f aca="false">DG251</f>
        <v>52718</v>
      </c>
      <c r="DK251" s="478" t="n">
        <v>24.5500180870467</v>
      </c>
      <c r="DL251" s="479" t="n">
        <v>24.4880652173914</v>
      </c>
      <c r="DM251" s="481" t="n">
        <f aca="false">DG251</f>
        <v>52718</v>
      </c>
      <c r="DN251" s="482" t="n">
        <f aca="false">DK251+BrentPhyBrentSpread</f>
        <v>24.6000180870467</v>
      </c>
      <c r="DO251" s="481" t="n">
        <f aca="false">DG251</f>
        <v>52718</v>
      </c>
      <c r="DP251" s="483" t="n">
        <f aca="false">DL251+DQ251</f>
        <v>24.4880652173914</v>
      </c>
      <c r="DQ251" s="546" t="n">
        <v>0</v>
      </c>
      <c r="DR251" s="480" t="n">
        <f aca="false">DG251</f>
        <v>52718</v>
      </c>
      <c r="DS251" s="485" t="n">
        <v>0.0859999999999972</v>
      </c>
      <c r="DT251" s="486" t="n">
        <v>0.0851652173913016</v>
      </c>
      <c r="DU251" s="480" t="n">
        <f aca="false">DG251</f>
        <v>52718</v>
      </c>
      <c r="DV251" s="485" t="n">
        <v>0.0859999999999972</v>
      </c>
      <c r="DW251" s="486" t="n">
        <v>0.0851652173913016</v>
      </c>
      <c r="DX251" s="481" t="n">
        <f aca="false">DG251</f>
        <v>52718</v>
      </c>
      <c r="DY251" s="486" t="n">
        <v>0.35</v>
      </c>
      <c r="DZ251" s="481" t="n">
        <f aca="false">DR251</f>
        <v>52718</v>
      </c>
      <c r="EA251" s="486" t="n">
        <f aca="false">DT251</f>
        <v>0.0851652173913016</v>
      </c>
      <c r="EB251" s="195"/>
      <c r="EC251" s="547" t="str">
        <f aca="false">IF(BD251,IF(Underlying=1,AS251,AU251),"")</f>
        <v/>
      </c>
      <c r="ED251" s="548" t="str">
        <f aca="false">IF($BD251,$EC251+IF(VolSkewFlag=1,IF(BS251&gt;0,$BA251*MIN(BS251/10%,1)+($BB251-$BA251)*MAX(0,MIN(BS251/10%-1,1))+($BC251-$BB251)*MAX(0,BS251/10%-2),$AZ251*MIN(-BS251/10%,1)+($AY251-$AZ251)*MAX(0,MIN(-BS251/10%-1,1))+($AX251-$AY251)*MAX(0,-BS251/10%-2)),0),"")</f>
        <v/>
      </c>
      <c r="EE251" s="549" t="str">
        <f aca="false">IF($BD251,$EC251+IF(VolSkewFlag=1,IF(BT251&gt;0,$BA251*MIN(BT251/10%,1)+($BB251-$BA251)*MAX(0,MIN(BT251/10%-1,1))+($BC251-$BB251)*MAX(0,BT251/10%-2),$AZ251*MIN(-BT251/10%,1)+($AY251-$AZ251)*MAX(0,MIN(-BT251/10%-1,1))+($AX251-$AY251)*MAX(0,-BT251/10%-2)),0),"")</f>
        <v/>
      </c>
      <c r="EF251" s="550" t="n">
        <f aca="false">IF(BD251,xASN(BR251,Strike1,AO251,ED251,0,BO251,0,BI251,BL251,IF(OptControl=4,0,1),0),0)</f>
        <v>0</v>
      </c>
      <c r="EG251" s="551" t="n">
        <f aca="false">IF(BD251,xASN(BR251,Strike2,AO251,EE251,0,BO251,0,BI251,BL251,IF(OptControl=3,1,0),0),0)</f>
        <v>0</v>
      </c>
      <c r="EL251" s="1"/>
      <c r="EM251" s="195"/>
      <c r="EN251" s="240"/>
      <c r="EO251" s="240"/>
      <c r="EP251" s="195"/>
      <c r="EQ251" s="407" t="s">
        <v>480</v>
      </c>
      <c r="ES251" s="1"/>
      <c r="EU251" s="672"/>
      <c r="FJ251" s="571" t="n">
        <v>7</v>
      </c>
      <c r="FK251" s="150" t="str">
        <f aca="false">IF($FJ251+FK$244&gt;73,"",PRODUCT(INDEX($T$19:$T$93,FK$244):INDEX($T$19:$T$93,FK$244+$FJ251-1)))</f>
        <v/>
      </c>
      <c r="FL251" s="150" t="str">
        <f aca="false">IF($FJ251+FL$244&gt;73,"",PRODUCT(INDEX($T$19:$T$93,FL$244):INDEX($T$19:$T$93,FL$244+$FJ251-1)))</f>
        <v/>
      </c>
      <c r="FM251" s="150" t="str">
        <f aca="false">IF($FJ251+FM$244&gt;73,"",PRODUCT(INDEX($T$19:$T$93,FM$244):INDEX($T$19:$T$93,FM$244+$FJ251-1)))</f>
        <v/>
      </c>
      <c r="FN251" s="150" t="str">
        <f aca="false">IF($FJ251+FN$244&gt;73,"",PRODUCT(INDEX($T$19:$T$93,FN$244):INDEX($T$19:$T$93,FN$244+$FJ251-1)))</f>
        <v/>
      </c>
      <c r="FO251" s="150" t="str">
        <f aca="false">IF($FJ251+FO$244&gt;73,"",PRODUCT(INDEX($T$19:$T$93,FO$244):INDEX($T$19:$T$93,FO$244+$FJ251-1)))</f>
        <v/>
      </c>
      <c r="FP251" s="150" t="str">
        <f aca="false">IF($FJ251+FP$244&gt;73,"",PRODUCT(INDEX($T$19:$T$93,FP$244):INDEX($T$19:$T$93,FP$244+$FJ251-1)))</f>
        <v/>
      </c>
      <c r="FQ251" s="150" t="n">
        <f aca="false">IF($FJ251+FQ$244&gt;73,"",PRODUCT(INDEX($T$19:$T$93,FQ$244):INDEX($T$19:$T$93,FQ$244+$FJ251-1)))</f>
        <v>0.999977174608256</v>
      </c>
      <c r="FR251" s="150" t="n">
        <f aca="false">IF($FJ251+FR$244&gt;73,"",PRODUCT(INDEX($T$19:$T$93,FR$244):INDEX($T$19:$T$93,FR$244+$FJ251-1)))</f>
        <v>0.999973303627928</v>
      </c>
      <c r="FS251" s="150" t="n">
        <f aca="false">IF($FJ251+FS$244&gt;73,"",PRODUCT(INDEX($T$19:$T$93,FS$244):INDEX($T$19:$T$93,FS$244+$FJ251-1)))</f>
        <v>0.999968776164297</v>
      </c>
      <c r="FT251" s="150" t="n">
        <f aca="false">IF($FJ251+FT$244&gt;73,"",PRODUCT(INDEX($T$19:$T$93,FT$244):INDEX($T$19:$T$93,FT$244+$FJ251-1)))</f>
        <v>0.999963480883972</v>
      </c>
      <c r="FU251" s="150" t="n">
        <f aca="false">IF($FJ251+FU$244&gt;73,"",PRODUCT(INDEX($T$19:$T$93,FU$244):INDEX($T$19:$T$93,FU$244+$FJ251-1)))</f>
        <v>0.999957287572636</v>
      </c>
      <c r="FV251" s="150" t="n">
        <f aca="false">IF($FJ251+FV$244&gt;73,"",PRODUCT(INDEX($T$19:$T$93,FV$244):INDEX($T$19:$T$93,FV$244+$FJ251-1)))</f>
        <v>0.999950043933139</v>
      </c>
      <c r="FW251" s="150" t="n">
        <f aca="false">IF($FJ251+FW$244&gt;73,"",PRODUCT(INDEX($T$19:$T$93,FW$244):INDEX($T$19:$T$93,FW$244+$FJ251-1)))</f>
        <v>0.999941571840642</v>
      </c>
      <c r="FX251" s="150" t="n">
        <f aca="false">IF($FJ251+FX$244&gt;73,"",PRODUCT(INDEX($T$19:$T$93,FX$244):INDEX($T$19:$T$93,FX$244+$FJ251-1)))</f>
        <v>0.999931662962756</v>
      </c>
      <c r="FY251" s="150" t="n">
        <f aca="false">IF($FJ251+FY$244&gt;73,"",PRODUCT(INDEX($T$19:$T$93,FY$244):INDEX($T$19:$T$93,FY$244+$FJ251-1)))</f>
        <v>0.999920073637032</v>
      </c>
      <c r="FZ251" s="150" t="n">
        <f aca="false">IF($FJ251+FZ$244&gt;73,"",PRODUCT(INDEX($T$19:$T$93,FZ$244):INDEX($T$19:$T$93,FZ$244+$FJ251-1)))</f>
        <v>0.999906518879916</v>
      </c>
      <c r="GA251" s="150" t="n">
        <f aca="false">IF($FJ251+GA$244&gt;73,"",PRODUCT(INDEX($T$19:$T$93,GA$244):INDEX($T$19:$T$93,GA$244+$FJ251-1)))</f>
        <v>0.999890665379964</v>
      </c>
      <c r="GB251" s="150" t="n">
        <f aca="false">IF($FJ251+GB$244&gt;73,"",PRODUCT(INDEX($T$19:$T$93,GB$244):INDEX($T$19:$T$93,GB$244+$FJ251-1)))</f>
        <v>0.99987212330316</v>
      </c>
      <c r="GC251" s="150" t="n">
        <f aca="false">IF($FJ251+GC$244&gt;73,"",PRODUCT(INDEX($T$19:$T$93,GC$244):INDEX($T$19:$T$93,GC$244+$FJ251-1)))</f>
        <v>0.999850436709091</v>
      </c>
      <c r="GD251" s="150" t="n">
        <f aca="false">IF($FJ251+GD$244&gt;73,"",PRODUCT(INDEX($T$19:$T$93,GD$244):INDEX($T$19:$T$93,GD$244+$FJ251-1)))</f>
        <v>0.999825072342596</v>
      </c>
      <c r="GE251" s="150" t="n">
        <f aca="false">IF($FJ251+GE$244&gt;73,"",PRODUCT(INDEX($T$19:$T$93,GE$244):INDEX($T$19:$T$93,GE$244+$FJ251-1)))</f>
        <v>0.999795406525771</v>
      </c>
      <c r="GF251" s="150" t="n">
        <f aca="false">IF($FJ251+GF$244&gt;73,"",PRODUCT(INDEX($T$19:$T$93,GF$244):INDEX($T$19:$T$93,GF$244+$FJ251-1)))</f>
        <v>0.999760709828644</v>
      </c>
      <c r="GG251" s="150" t="n">
        <f aca="false">IF($FJ251+GG$244&gt;73,"",PRODUCT(INDEX($T$19:$T$93,GG$244):INDEX($T$19:$T$93,GG$244+$FJ251-1)))</f>
        <v>0.999720129142494</v>
      </c>
      <c r="GH251" s="150" t="n">
        <f aca="false">IF($FJ251+GH$244&gt;73,"",PRODUCT(INDEX($T$19:$T$93,GH$244):INDEX($T$19:$T$93,GH$244+$FJ251-1)))</f>
        <v>0.999672666716322</v>
      </c>
      <c r="GI251" s="150" t="n">
        <f aca="false">IF($FJ251+GI$244&gt;73,"",PRODUCT(INDEX($T$19:$T$93,GI$244):INDEX($T$19:$T$93,GI$244+$FJ251-1)))</f>
        <v>0.99961715564282</v>
      </c>
      <c r="GJ251" s="150" t="n">
        <f aca="false">IF($FJ251+GJ$244&gt;73,"",PRODUCT(INDEX($T$19:$T$93,GJ$244):INDEX($T$19:$T$93,GJ$244+$FJ251-1)))</f>
        <v>0.999552231193631</v>
      </c>
      <c r="GK251" s="150" t="n">
        <f aca="false">IF($FJ251+GK$244&gt;73,"",PRODUCT(INDEX($T$19:$T$93,GK$244):INDEX($T$19:$T$93,GK$244+$FJ251-1)))</f>
        <v>0.999476297302707</v>
      </c>
      <c r="GL251" s="150" t="n">
        <f aca="false">IF($FJ251+GL$244&gt;73,"",PRODUCT(INDEX($T$19:$T$93,GL$244):INDEX($T$19:$T$93,GL$244+$FJ251-1)))</f>
        <v>0.99938748737871</v>
      </c>
      <c r="GM251" s="150" t="n">
        <f aca="false">IF($FJ251+GM$244&gt;73,"",PRODUCT(INDEX($T$19:$T$93,GM$244):INDEX($T$19:$T$93,GM$244+$FJ251-1)))</f>
        <v>0.999283618490031</v>
      </c>
      <c r="GN251" s="150" t="n">
        <f aca="false">IF($FJ251+GN$244&gt;73,"",PRODUCT(INDEX($T$19:$T$93,GN$244):INDEX($T$19:$T$93,GN$244+$FJ251-1)))</f>
        <v>0.99916213780592</v>
      </c>
      <c r="GO251" s="150" t="n">
        <f aca="false">IF($FJ251+GO$244&gt;73,"",PRODUCT(INDEX($T$19:$T$93,GO$244):INDEX($T$19:$T$93,GO$244+$FJ251-1)))</f>
        <v>0.9990200599908</v>
      </c>
      <c r="GP251" s="150" t="n">
        <f aca="false">IF($FJ251+GP$244&gt;73,"",PRODUCT(INDEX($T$19:$T$93,GP$244):INDEX($T$19:$T$93,GP$244+$FJ251-1)))</f>
        <v>0.998853894032006</v>
      </c>
      <c r="GQ251" s="150" t="n">
        <f aca="false">IF($FJ251+GQ$244&gt;73,"",PRODUCT(INDEX($T$19:$T$93,GQ$244):INDEX($T$19:$T$93,GQ$244+$FJ251-1)))</f>
        <v>0.998659557729156</v>
      </c>
      <c r="GR251" s="150" t="n">
        <f aca="false">IF($FJ251+GR$244&gt;73,"",PRODUCT(INDEX($T$19:$T$93,GR$244):INDEX($T$19:$T$93,GR$244+$FJ251-1)))</f>
        <v>0.998432277780852</v>
      </c>
      <c r="GS251" s="150" t="n">
        <f aca="false">IF($FJ251+GS$244&gt;73,"",PRODUCT(INDEX($T$19:$T$93,GS$244):INDEX($T$19:$T$93,GS$244+$FJ251-1)))</f>
        <v>0.998166473065388</v>
      </c>
      <c r="GT251" s="150" t="n">
        <f aca="false">IF($FJ251+GT$244&gt;73,"",PRODUCT(INDEX($T$19:$T$93,GT$244):INDEX($T$19:$T$93,GT$244+$FJ251-1)))</f>
        <v>0.997855618319964</v>
      </c>
      <c r="GU251" s="150" t="n">
        <f aca="false">IF($FJ251+GU$244&gt;73,"",PRODUCT(INDEX($T$19:$T$93,GU$244):INDEX($T$19:$T$93,GU$244+$FJ251-1)))</f>
        <v>0.997492084970243</v>
      </c>
      <c r="GV251" s="150" t="n">
        <f aca="false">IF($FJ251+GV$244&gt;73,"",PRODUCT(INDEX($T$19:$T$93,GV$244):INDEX($T$19:$T$93,GV$244+$FJ251-1)))</f>
        <v>0.997066955340945</v>
      </c>
      <c r="GW251" s="150" t="n">
        <f aca="false">IF($FJ251+GW$244&gt;73,"",PRODUCT(INDEX($T$19:$T$93,GW$244):INDEX($T$19:$T$93,GW$244+$FJ251-1)))</f>
        <v>0.996569805880308</v>
      </c>
      <c r="GX251" s="150" t="n">
        <f aca="false">IF($FJ251+GX$244&gt;73,"",PRODUCT(INDEX($T$19:$T$93,GX$244):INDEX($T$19:$T$93,GX$244+$FJ251-1)))</f>
        <v>0.995988454348044</v>
      </c>
      <c r="GY251" s="150" t="n">
        <f aca="false">IF($FJ251+GY$244&gt;73,"",PRODUCT(INDEX($T$19:$T$93,GY$244):INDEX($T$19:$T$93,GY$244+$FJ251-1)))</f>
        <v>0.995308665139696</v>
      </c>
      <c r="GZ251" s="150" t="n">
        <f aca="false">IF($FJ251+GZ$244&gt;73,"",PRODUCT(INDEX($T$19:$T$93,GZ$244):INDEX($T$19:$T$93,GZ$244+$FJ251-1)))</f>
        <v>0.994513806042891</v>
      </c>
      <c r="HA251" s="150" t="n">
        <f aca="false">IF($FJ251+HA$244&gt;73,"",PRODUCT(INDEX($T$19:$T$93,HA$244):INDEX($T$19:$T$93,HA$244+$FJ251-1)))</f>
        <v>0.993584448737907</v>
      </c>
      <c r="HB251" s="150" t="n">
        <f aca="false">IF($FJ251+HB$244&gt;73,"",PRODUCT(INDEX($T$19:$T$93,HB$244):INDEX($T$19:$T$93,HB$244+$FJ251-1)))</f>
        <v>0.992497904264982</v>
      </c>
      <c r="HC251" s="150" t="n">
        <f aca="false">IF($FJ251+HC$244&gt;73,"",PRODUCT(INDEX($T$19:$T$93,HC$244):INDEX($T$19:$T$93,HC$244+$FJ251-1)))</f>
        <v>0.991227683489168</v>
      </c>
      <c r="HD251" s="150" t="n">
        <f aca="false">IF($FJ251+HD$244&gt;73,"",PRODUCT(INDEX($T$19:$T$93,HD$244):INDEX($T$19:$T$93,HD$244+$FJ251-1)))</f>
        <v>0.989742871315421</v>
      </c>
      <c r="HE251" s="150" t="n">
        <f aca="false">IF($FJ251+HE$244&gt;73,"",PRODUCT(INDEX($T$19:$T$93,HE$244):INDEX($T$19:$T$93,HE$244+$FJ251-1)))</f>
        <v>0.988007402072314</v>
      </c>
      <c r="HF251" s="150" t="n">
        <f aca="false">IF($FJ251+HF$244&gt;73,"",PRODUCT(INDEX($T$19:$T$93,HF$244):INDEX($T$19:$T$93,HF$244+$FJ251-1)))</f>
        <v>0.985979222145582</v>
      </c>
      <c r="HG251" s="150" t="n">
        <f aca="false">IF($FJ251+HG$244&gt;73,"",PRODUCT(INDEX($T$19:$T$93,HG$244):INDEX($T$19:$T$93,HG$244+$FJ251-1)))</f>
        <v>0.983609324689226</v>
      </c>
      <c r="HH251" s="150" t="n">
        <f aca="false">IF($FJ251+HH$244&gt;73,"",PRODUCT(INDEX($T$19:$T$93,HH$244):INDEX($T$19:$T$93,HH$244+$FJ251-1)))</f>
        <v>0.980840640207662</v>
      </c>
      <c r="HI251" s="150" t="n">
        <f aca="false">IF($FJ251+HI$244&gt;73,"",PRODUCT(INDEX($T$19:$T$93,HI$244):INDEX($T$19:$T$93,HI$244+$FJ251-1)))</f>
        <v>0.977606766193356</v>
      </c>
      <c r="HJ251" s="150" t="n">
        <f aca="false">IF($FJ251+HJ$244&gt;73,"",PRODUCT(INDEX($T$19:$T$93,HJ$244):INDEX($T$19:$T$93,HJ$244+$FJ251-1)))</f>
        <v>0.973830519127157</v>
      </c>
      <c r="HK251" s="150" t="n">
        <f aca="false">IF($FJ251+HK$244&gt;73,"",PRODUCT(INDEX($T$19:$T$93,HK$244):INDEX($T$19:$T$93,HK$244+$FJ251-1)))</f>
        <v>0.969422293453125</v>
      </c>
      <c r="HL251" s="150" t="n">
        <f aca="false">IF($FJ251+HL$244&gt;73,"",PRODUCT(INDEX($T$19:$T$93,HL$244):INDEX($T$19:$T$93,HL$244+$FJ251-1)))</f>
        <v>0.964278215278581</v>
      </c>
      <c r="HM251" s="150" t="n">
        <f aca="false">IF($FJ251+HM$244&gt;73,"",PRODUCT(INDEX($T$19:$T$93,HM$244):INDEX($T$19:$T$93,HM$244+$FJ251-1)))</f>
        <v>0.958278084460202</v>
      </c>
      <c r="HN251" s="150" t="n">
        <f aca="false">IF($FJ251+HN$244&gt;73,"",PRODUCT(INDEX($T$19:$T$93,HN$244):INDEX($T$19:$T$93,HN$244+$FJ251-1)))</f>
        <v>0.951283108751947</v>
      </c>
      <c r="HO251" s="150" t="n">
        <f aca="false">IF($FJ251+HO$244&gt;73,"",PRODUCT(INDEX($T$19:$T$93,HO$244):INDEX($T$19:$T$93,HO$244+$FJ251-1)))</f>
        <v>0.943133449693104</v>
      </c>
      <c r="HP251" s="150" t="n">
        <f aca="false">IF($FJ251+HP$244&gt;73,"",PRODUCT(INDEX($T$19:$T$93,HP$244):INDEX($T$19:$T$93,HP$244+$FJ251-1)))</f>
        <v>0.933645624540192</v>
      </c>
      <c r="HQ251" s="150" t="n">
        <f aca="false">IF($FJ251+HQ$244&gt;73,"",PRODUCT(INDEX($T$19:$T$93,HQ$244):INDEX($T$19:$T$93,HQ$244+$FJ251-1)))</f>
        <v>0.922609845448612</v>
      </c>
      <c r="HR251" s="150" t="n">
        <f aca="false">IF($FJ251+HR$244&gt;73,"",PRODUCT(INDEX($T$19:$T$93,HR$244):INDEX($T$19:$T$93,HR$244+$FJ251-1)))</f>
        <v>0.90978743129721</v>
      </c>
      <c r="HS251" s="150" t="n">
        <f aca="false">IF($FJ251+HS$244&gt;73,"",PRODUCT(INDEX($T$19:$T$93,HS$244):INDEX($T$19:$T$93,HS$244+$FJ251-1)))</f>
        <v>0.894908505787314</v>
      </c>
      <c r="HT251" s="150" t="n">
        <f aca="false">IF($FJ251+HT$244&gt;73,"",PRODUCT(INDEX($T$19:$T$93,HT$244):INDEX($T$19:$T$93,HT$244+$FJ251-1)))</f>
        <v>0.877670306700843</v>
      </c>
      <c r="HU251" s="150" t="n">
        <f aca="false">IF($FJ251+HU$244&gt;73,"",PRODUCT(INDEX($T$19:$T$93,HU$244):INDEX($T$19:$T$93,HU$244+$FJ251-1)))</f>
        <v>0.857736587020083</v>
      </c>
      <c r="HV251" s="150" t="n">
        <f aca="false">IF($FJ251+HV$244&gt;73,"",PRODUCT(INDEX($T$19:$T$93,HV$244):INDEX($T$19:$T$93,HV$244+$FJ251-1)))</f>
        <v>0.834738803269311</v>
      </c>
      <c r="HW251" s="150" t="n">
        <f aca="false">IF($FJ251+HW$244&gt;73,"",PRODUCT(INDEX($T$19:$T$93,HW$244):INDEX($T$19:$T$93,HW$244+$FJ251-1)))</f>
        <v>0.808280076403616</v>
      </c>
      <c r="HX251" s="150" t="n">
        <f aca="false">IF($FJ251+HX$244&gt;73,"",PRODUCT(INDEX($T$19:$T$93,HX$244):INDEX($T$19:$T$93,HX$244+$FJ251-1)))</f>
        <v>0.777943292498371</v>
      </c>
      <c r="HY251" s="150" t="n">
        <f aca="false">IF($FJ251+HY$244&gt;73,"",PRODUCT(INDEX($T$19:$T$93,HY$244):INDEX($T$19:$T$93,HY$244+$FJ251-1)))</f>
        <v>0.743305196255442</v>
      </c>
      <c r="HZ251" s="150" t="n">
        <f aca="false">IF($FJ251+HZ$244&gt;73,"",PRODUCT(INDEX($T$19:$T$93,HZ$244):INDEX($T$19:$T$93,HZ$244+$FJ251-1)))</f>
        <v>0.703958916463933</v>
      </c>
      <c r="IA251" s="150" t="n">
        <f aca="false">IF($FJ251+IA$244&gt;73,"",PRODUCT(INDEX($T$19:$T$93,IA$244):INDEX($T$19:$T$93,IA$244+$FJ251-1)))</f>
        <v>0.659548009636421</v>
      </c>
      <c r="IB251" s="150" t="n">
        <f aca="false">IF($FJ251+IB$244&gt;73,"",PRODUCT(INDEX($T$19:$T$93,IB$244):INDEX($T$19:$T$93,IB$244+$FJ251-1)))</f>
        <v>0.609815703191464</v>
      </c>
      <c r="IC251" s="150" t="n">
        <f aca="false">IF($FJ251+IC$244&gt;73,"",PRODUCT(INDEX($T$19:$T$93,IC$244):INDEX($T$19:$T$93,IC$244+$FJ251-1)))</f>
        <v>0.554673311723252</v>
      </c>
      <c r="ID251" s="572" t="n">
        <f aca="false">IF($FJ251+ID$244&gt;73,"",PRODUCT(INDEX($T$19:$T$93,ID$244):INDEX($T$19:$T$93,ID$244+$FJ251-1)))</f>
        <v>0.494291295959149</v>
      </c>
      <c r="IE251" s="129"/>
    </row>
    <row r="252" customFormat="false" ht="12.75" hidden="false" customHeight="false" outlineLevel="0" collapsed="false">
      <c r="H252" s="219" t="n">
        <f aca="false">VLOOKUP(I252,$EJ$20:$EL$54,3)</f>
        <v>0</v>
      </c>
      <c r="I252" s="511" t="n">
        <f aca="false">EOMONTH(I251,0)+1</f>
        <v>43831</v>
      </c>
      <c r="J252" s="512"/>
      <c r="K252" s="513" t="s">
        <v>280</v>
      </c>
      <c r="L252" s="514" t="n">
        <f aca="false">IF(ISNUMBER(K252),J252+K252/100,IF(K252="extra",L251+VLOOKUP(BF252,PriceSpreadTable,2)/12,IF(K252="inter",interpolateprices($K$19:$L$200,ROW(K252)-ROW(FirstPricingMonth)+1),interpolatechanges($J$19:$K$200,ROW(K252)-ROW(FirstPricingMonth)+1))))</f>
        <v>5.84999999999999</v>
      </c>
      <c r="M252" s="515"/>
      <c r="N252" s="516" t="n">
        <v>0</v>
      </c>
      <c r="O252" s="515" t="n">
        <f aca="false">M252+N252</f>
        <v>0</v>
      </c>
      <c r="P252" s="512"/>
      <c r="Q252" s="513" t="s">
        <v>280</v>
      </c>
      <c r="R252" s="512" t="e">
        <f aca="false">IF(ISNUMBER(Q252),P252+Q252/100,IF(Q252="extra",(Z250*AL250-R251*AM250)/AN250,IF(Q252="inter",interpolateprices($Q$19:$R$260,ROW(Q252)-ROW(FirstPricingMonth)+1),interpolatechanges($P$19:$Q$260,ROW(Q252)-ROW(FirstPricingMonth)+1))))</f>
        <v>#VALUE!</v>
      </c>
      <c r="S252" s="597" t="n">
        <f aca="false">S$19+(S251-S$19)*S$18</f>
        <v>0.36</v>
      </c>
      <c r="T252" s="575" t="n">
        <f aca="false">SQRT((1-(1-T251^2/U251)*T$18)*U252)</f>
        <v>1</v>
      </c>
      <c r="U252" s="576" t="n">
        <f aca="false">1-(1-U251)*U$18</f>
        <v>1</v>
      </c>
      <c r="V252" s="521" t="n">
        <v>0</v>
      </c>
      <c r="W252" s="577" t="n">
        <f aca="false">(J253*AJ252+J254*AK252)/AI252</f>
        <v>0</v>
      </c>
      <c r="X252" s="578" t="n">
        <f aca="false">(L253*AJ252+L254*AK252)/AI252</f>
        <v>5.9028409090909</v>
      </c>
      <c r="Y252" s="579" t="n">
        <f aca="false">IF(Q254="extra",W252-AA252,(P253*AM252+P254*AN252)/AL252)</f>
        <v>-1.1685</v>
      </c>
      <c r="Z252" s="579" t="n">
        <f aca="false">IF(Q254="extra",X252-AB252,(R253*AM252+R254*AN252)/AL252)</f>
        <v>4.7343409090909</v>
      </c>
      <c r="AA252" s="523" t="n">
        <f aca="false">IF(Q254="extra",INDEX(BrentSeasonalityTable,INT((BG252-1)/3)+1)*VLOOKUP(MAX(BF252,$AB$4),PriceSpreadTable,3),W252-Y252)</f>
        <v>1.1685</v>
      </c>
      <c r="AB252" s="524" t="n">
        <f aca="false">IF(Q254="extra",INDEX(BrentSeasonalityTable,INT((BG252-1)/3)+1)*VLOOKUP(MAX(BF252,$AB$4),PriceSpreadTable,3),X252-Z252)</f>
        <v>1.1685</v>
      </c>
      <c r="AC252" s="646" t="n">
        <v>43819</v>
      </c>
      <c r="AD252" s="646" t="n">
        <v>43815</v>
      </c>
      <c r="AE252" s="646" t="n">
        <v>43814</v>
      </c>
      <c r="AF252" s="646" t="n">
        <v>43810</v>
      </c>
      <c r="AG252" s="438" t="s">
        <v>278</v>
      </c>
      <c r="AH252" s="439" t="s">
        <v>278</v>
      </c>
      <c r="AI252" s="528" t="n">
        <v>22</v>
      </c>
      <c r="AJ252" s="529" t="n">
        <v>13</v>
      </c>
      <c r="AK252" s="529" t="n">
        <v>9</v>
      </c>
      <c r="AL252" s="530" t="n">
        <v>22</v>
      </c>
      <c r="AM252" s="529" t="n">
        <v>9</v>
      </c>
      <c r="AN252" s="531" t="n">
        <v>13</v>
      </c>
      <c r="AO252" s="532"/>
      <c r="AP252" s="465" t="n">
        <f aca="false">(1+AO252/2)^(-2*BL252)</f>
        <v>1</v>
      </c>
      <c r="AQ252" s="532"/>
      <c r="AR252" s="465" t="n">
        <f aca="false">(1+AQ252/2)^(-2*BH252/365.25)</f>
        <v>1</v>
      </c>
      <c r="AS252" s="580" t="n">
        <f aca="false">(O253*AJ252+O254*AK252)/AI252</f>
        <v>0</v>
      </c>
      <c r="AT252" s="468" t="n">
        <f aca="false">O252*VLOOKUP(BF252,BrentVolTable,2)+VLOOKUP(BF252,BrentVolTable,3)</f>
        <v>0</v>
      </c>
      <c r="AU252" s="468" t="n">
        <f aca="false">(AT253*AM252+AT254*AN252)/AL252</f>
        <v>0</v>
      </c>
      <c r="AV252" s="595" t="n">
        <f aca="false">SQRT(MAX(0.000000000001,(O252^2*BH252-S252^2*(BH252-BH251))/BH251))</f>
        <v>0.0426242000500484</v>
      </c>
      <c r="AW252" s="451" t="n">
        <f aca="false">IF($I252-DateToday+15&gt;=$T$8,"",IF($I252-DateToday+15&lt;$T$5,1,MATCH($I252-DateToday+15,$T$5:$T$8)))</f>
        <v>1</v>
      </c>
      <c r="AX252" s="468" t="n">
        <f aca="false">IF($AW252="",AX251^2/AX250,INDEX(U$5:U$8,$AW252)^((INDEX($T$5:$T$8,$AW252+1)-($I252-DateToday+15))/(INDEX($T$5:$T$8,$AW252+1)-INDEX($T$5:$T$8,$AW252)))/INDEX(U$5:U$8,$AW252+1)^((INDEX($T$5:$T$8,$AW252)-($I252-DateToday+15))/(INDEX($T$5:$T$8,$AW252+1)-INDEX($T$5:$T$8,$AW252))))</f>
        <v>0.0880410802999061</v>
      </c>
      <c r="AY252" s="468" t="n">
        <f aca="false">IF($AW252="",AY251^2/AY250,INDEX(V$5:V$8,$AW252)^((INDEX($T$5:$T$8,$AW252+1)-($I252-DateToday+15))/(INDEX($T$5:$T$8,$AW252+1)-INDEX($T$5:$T$8,$AW252)))/INDEX(V$5:V$8,$AW252+1)^((INDEX($T$5:$T$8,$AW252)-($I252-DateToday+15))/(INDEX($T$5:$T$8,$AW252+1)-INDEX($T$5:$T$8,$AW252))))</f>
        <v>0.296896161607804</v>
      </c>
      <c r="AZ252" s="468" t="n">
        <f aca="false">IF($AW252="",AZ251^2/AZ250,INDEX(W$5:W$8,$AW252)^((INDEX($T$5:$T$8,$AW252+1)-($I252-DateToday+15))/(INDEX($T$5:$T$8,$AW252+1)-INDEX($T$5:$T$8,$AW252)))/INDEX(W$5:W$8,$AW252+1)^((INDEX($T$5:$T$8,$AW252)-($I252-DateToday+15))/(INDEX($T$5:$T$8,$AW252+1)-INDEX($T$5:$T$8,$AW252))))</f>
        <v>3.59913626946703</v>
      </c>
      <c r="BA252" s="468" t="n">
        <f aca="false">IF($AW252="",BA251^2/BA250,INDEX(X$5:X$8,$AW252)^((INDEX($T$5:$T$8,$AW252+1)-($I252-DateToday+15))/(INDEX($T$5:$T$8,$AW252+1)-INDEX($T$5:$T$8,$AW252)))/INDEX(X$5:X$8,$AW252+1)^((INDEX($T$5:$T$8,$AW252)-($I252-DateToday+15))/(INDEX($T$5:$T$8,$AW252+1)-INDEX($T$5:$T$8,$AW252))))</f>
        <v>3.30074838865053</v>
      </c>
      <c r="BB252" s="468" t="n">
        <f aca="false">IF($AW252="",BB251^2/BB250,INDEX(Y$5:Y$8,$AW252)^((INDEX($T$5:$T$8,$AW252+1)-($I252-DateToday+15))/(INDEX($T$5:$T$8,$AW252+1)-INDEX($T$5:$T$8,$AW252)))/INDEX(Y$5:Y$8,$AW252+1)^((INDEX($T$5:$T$8,$AW252)-($I252-DateToday+15))/(INDEX($T$5:$T$8,$AW252+1)-INDEX($T$5:$T$8,$AW252))))</f>
        <v>9.17916681669548</v>
      </c>
      <c r="BC252" s="468" t="n">
        <f aca="false">IF($AW252="",BC251^2/BC250,INDEX(Z$5:Z$8,$AW252)^((INDEX($T$5:$T$8,$AW252+1)-($I252-DateToday+15))/(INDEX($T$5:$T$8,$AW252+1)-INDEX($T$5:$T$8,$AW252)))/INDEX(Z$5:Z$8,$AW252+1)^((INDEX($T$5:$T$8,$AW252)-($I252-DateToday+15))/(INDEX($T$5:$T$8,$AW252+1)-INDEX($T$5:$T$8,$AW252))))</f>
        <v>17.5406528007816</v>
      </c>
      <c r="BD252" s="535" t="n">
        <f aca="false">IF(OR(DateStart&gt;=I253,DateEnd&lt;I252),0,IF(VolumeOverrideFlag,V252,Volume))</f>
        <v>0</v>
      </c>
      <c r="BE252" s="536" t="n">
        <f aca="false">IF(OR(DateStart2&gt;=I253,DateEnd2&lt;I252),0,IF(VolumeOverrideFlag,V252,VolumeSwaption))</f>
        <v>0</v>
      </c>
      <c r="BF252" s="537" t="n">
        <f aca="false">YEAR(I252)</f>
        <v>2020</v>
      </c>
      <c r="BG252" s="538" t="n">
        <f aca="false">MONTH(I252)</f>
        <v>1</v>
      </c>
      <c r="BH252" s="539" t="n">
        <f aca="false">AD252-DateToday+1</f>
        <v>-2110</v>
      </c>
      <c r="BI252" s="540" t="n">
        <f aca="false">(I252-DateToday+1)/365.25</f>
        <v>-5.73305954825462</v>
      </c>
      <c r="BJ252" s="541" t="n">
        <f aca="false">BI252+(BL252-BI252)*CHOOSE(Underlying,AJ252/AI252,AM252/AL252)</f>
        <v>-5.68452492066455</v>
      </c>
      <c r="BK252" s="541" t="n">
        <f aca="false">BJ252+1/365.25</f>
        <v>-5.68178706987742</v>
      </c>
      <c r="BL252" s="541" t="n">
        <f aca="false">(I253-DateToday)/365.25</f>
        <v>-5.65092402464066</v>
      </c>
      <c r="BM252" s="542" t="e">
        <f aca="false">MAX(BI252-(BJ252-BI252)*(S253^2/O253^2-1),0)</f>
        <v>#DIV/0!</v>
      </c>
      <c r="BN252" s="541" t="e">
        <f aca="false">MAX(BL252+(BL252-BK252)*(S254^2/O254^2-1),0)</f>
        <v>#DIV/0!</v>
      </c>
      <c r="BO252" s="530" t="n">
        <f aca="false">CHOOSE(Underlying,AI252,AL252)</f>
        <v>22</v>
      </c>
      <c r="BP252" s="529" t="n">
        <f aca="false">CHOOSE(Underlying,AJ252,AM252)</f>
        <v>13</v>
      </c>
      <c r="BQ252" s="529" t="n">
        <f aca="false">CHOOSE(Underlying,AK252,AN252)</f>
        <v>9</v>
      </c>
      <c r="BR252" s="463" t="str">
        <f aca="false">IF(BD252,IF(Underlying=1,X252,Z252)+UnderlyingPriceAsian-SwapPriceCurve,"")</f>
        <v/>
      </c>
      <c r="BS252" s="463" t="str">
        <f aca="false">IF(BD252,Strike1/BR252-1,"")</f>
        <v/>
      </c>
      <c r="BT252" s="464" t="str">
        <f aca="false">IF(BD252,Strike2/BR252-1,"")</f>
        <v/>
      </c>
      <c r="BU252" s="465" t="str">
        <f aca="false">IF(BD252,IF(Underlying=1,L253,R253)+UnderlyingPriceAsian-SwapPriceCurve,"")</f>
        <v/>
      </c>
      <c r="BV252" s="465" t="str">
        <f aca="false">IF(BD252,IF(Underlying=1,L254,R254)+UnderlyingPriceAsian-SwapPriceCurve,"")</f>
        <v/>
      </c>
      <c r="BW252" s="466" t="str">
        <f aca="false">IF(BD252,IF(Underlying=1,O253,AT253),"")</f>
        <v/>
      </c>
      <c r="BX252" s="467" t="str">
        <f aca="false">IF(BD252,IF(Underlying=1,O254,AT254),"")</f>
        <v/>
      </c>
      <c r="BY252" s="466" t="str">
        <f aca="false">IF(BD252,IF(BS252&gt;0,IF(BS252&gt;0.2,BC252-BB252,IF(BS252&gt;0.1,BB252-BA252,BA252)),IF(BS252&lt;-0.2,AX252-AY252,IF(BS252&lt;-0.1,AY252-AZ252,AZ252))),"")</f>
        <v/>
      </c>
      <c r="BZ252" s="467" t="str">
        <f aca="false">IF(BD252,IF(BT252&gt;0,IF(BT252&gt;0.2,BC252-BB252,IF(BT252&gt;0.1,BB252-BA252,BA252)),IF(BT252&lt;-0.2,AX252-AY252,IF(BT252&lt;-0.1,AY252-AZ252,AZ252))),"")</f>
        <v/>
      </c>
      <c r="CA252" s="468" t="str">
        <f aca="false">IF($BD252,$BW252+IF(VolSkewFlag=1,IF(BS252&gt;0,$BA252*MIN(BS252/10%,1)+($BB252-$BA252)*MAX(0,MIN(BS252/10%-1,1))+($BC252-$BB252)*MAX(0,BS252/10%-2),$AZ252*MIN(-BS252/10%,1)+($AY252-$AZ252)*MAX(0,MIN(-BS252/10%-1,1))+($AX252-$AY252)*MAX(0,-BS252/10%-2)),0),"")</f>
        <v/>
      </c>
      <c r="CB252" s="468" t="str">
        <f aca="false">IF($BD252,$BX252+IF(VolSkewFlag=1,IF(BS252&gt;0,$BA252*MIN(BS252/10%,1)+($BB252-$BA252)*MAX(0,MIN(BS252/10%-1,1))+($BC252-$BB252)*MAX(0,BS252/10%-2),$AZ252*MIN(-BS252/10%,1)+($AY252-$AZ252)*MAX(0,MIN(-BS252/10%-1,1))+($AX252-$AY252)*MAX(0,-BS252/10%-2)),0),"")</f>
        <v/>
      </c>
      <c r="CC252" s="468" t="str">
        <f aca="false">IF($BD252,$BW252+IF(VolSkewFlag=1,IF(BT252&gt;0,$BA252*MIN(BT252/10%,1)+($BB252-$BA252)*MAX(0,MIN(BT252/10%-1,1))+($BC252-$BB252)*MAX(0,BT252/10%-2),$AZ252*MIN(-BT252/10%,1)+($AY252-$AZ252)*MAX(0,MIN(-BT252/10%-1,1))+($AX252-$AY252)*MAX(0,-BT252/10%-2)),0),"")</f>
        <v/>
      </c>
      <c r="CD252" s="468" t="str">
        <f aca="false">IF($BD252,$BX252+IF(VolSkewFlag=1,IF(BT252&gt;0,$BA252*MIN(BT252/10%,1)+($BB252-$BA252)*MAX(0,MIN(BT252/10%-1,1))+($BC252-$BB252)*MAX(0,BT252/10%-2),$AZ252*MIN(-BT252/10%,1)+($AY252-$AZ252)*MAX(0,MIN(-BT252/10%-1,1))+($AX252-$AY252)*MAX(0,-BT252/10%-2)),0),"")</f>
        <v/>
      </c>
      <c r="CE252" s="469" t="n">
        <v>1</v>
      </c>
      <c r="CF252" s="470" t="n">
        <f aca="false">IF(BD252,xCrudeAPO(BU252,BV252,CA252,CB252,S253,S254,BI252,BL252,BP252,BQ252,0,Strike1,AO252,CE252,0,BL252,IF(OptControl=4,0,1),0,1),0)</f>
        <v>0</v>
      </c>
      <c r="CG252" s="470" t="n">
        <f aca="false">IF(BD252,xCrudeAPO(BU252,BV252,CA252,CB252,S253,S254,BI252,BL252,BP252,BQ252,0,Strike1,AO252,CE252,0,BL252,IF(OptControl=4,0,1),1,1)+xCrudeAPO(BU252,BV252,CA252,CB252,S253,S254,BI252,BL252,BP252,BQ252,0,Strike1,AO252,CE252,0,BL252,IF(OptControl=4,0,1),1,2)+IF(OR(VolSkewFlag=2,ABS(BS252)&lt;0.0001),0,IF(BS252&gt;0,-1,1)*CH252*Strike1/BR252^2*BY252/10%),0)</f>
        <v>0</v>
      </c>
      <c r="CH252" s="470" t="n">
        <f aca="false">IF(BD252,(xCrudeAPO(BU252,BV252,CA252,CB252,S253,S254,BI252,BL252,BP252,BQ252,0,Strike1,AO252,CE252,0,BL252,IF(OptControl=4,0,1),3,1)+xCrudeAPO(BU252,BV252,CA252,CB252,S253,S254,BI252,BL252,BP252,BQ252,0,Strike1,AO252,CE252,0,BL252,IF(OptControl=4,0,1),3,2))/100,0)</f>
        <v>0</v>
      </c>
      <c r="CI252" s="470" t="n">
        <f aca="false">IF(BD252,xCrudeAPO(BU252,BV252,CA252,CB252,S253,S254,BI252-DaysForThetaCalculation/365.25,BL252-DaysForThetaCalculation/365.25,BP252,BQ252,0,Strike1,AO252,CE252,0,BL252,IF(OptControl=4,0,1),0,1)-xCrudeAPO(BU252,BV252,CA252,CB252,S253,S254,BI252,BL252,BP252,BQ252,0,Strike1,AO252,CE252,0,BL252,IF(OptControl=4,0,1),0,1),0)</f>
        <v>0</v>
      </c>
      <c r="CJ252" s="471" t="n">
        <f aca="false">IF(BD252,xCrudeAPO(BU252,BV252,CC252,CD252,S253,S254,BI252,BL252,BP252,BQ252,0,Strike2,AO252,CE252,0,BL252,IF(OptControl=3,1,0),0,1),0)</f>
        <v>0</v>
      </c>
      <c r="CK252" s="470" t="n">
        <f aca="false">IF(BD252,xCrudeAPO(BU252,BV252,CC252,CD252,S253,S254,BI252,BL252,BP252,BQ252,0,Strike2,AO252,CE252,0,BL252,IF(OptControl=3,1,0),1,1)+xCrudeAPO(BU252,BV252,CC252,CD252,S253,S254,BI252,BL252,BP252,BQ252,0,Strike2,AO252,CE252,0,BL252,IF(OptControl=3,1,0),1,2)+IF(OR(VolSkewFlag=2,ABS(BT252)&lt;0.0001),0,IF(BT252&gt;0,-1,1)*CL252*Strike2/BR252^2*BZ252/10%),0)</f>
        <v>0</v>
      </c>
      <c r="CL252" s="470" t="n">
        <f aca="false">IF(BD252,(xCrudeAPO(BU252,BV252,CC252,CD252,S253,S254,BI252,BL252,BP252,BQ252,0,Strike2,AO252,CE252,0,BL252,IF(OptControl=3,1,0),3,1)+xCrudeAPO(BU252,BV252,CC252,CD252,S253,S254,BI252,BL252,BP252,BQ252,0,Strike2,AO252,CE252,0,BL252,IF(OptControl=3,1,0),3,2))/100,0)</f>
        <v>0</v>
      </c>
      <c r="CM252" s="472" t="n">
        <f aca="false">IF(BD252,xCrudeAPO(BU252,BV252,CC252,CD252,S253,S254,BI252-DaysForThetaCalculation/365.25,BL252-DaysForThetaCalculation/365.25,BP252,BQ252,0,Strike2,AO252,CE252,0,BL252,IF(OptControl=3,1,0),0,1)-xCrudeAPO(BU252,BV252,CC252,CD252,S253,S254,BI252,BL252,BP252,BQ252,0,Strike2,AO252,CE252,0,BL252,IF(OptControl=3,1,0),0,1),0)</f>
        <v>0</v>
      </c>
      <c r="CN252" s="3"/>
      <c r="CO252" s="543" t="str">
        <f aca="false">IF(BD252,CHOOSE(Underlying,AD252,AF252)-DateToday+1,"")</f>
        <v/>
      </c>
      <c r="CP252" s="582" t="str">
        <f aca="false">IF(BD252,CHOOSE(Underlying,L252,R252),"")</f>
        <v/>
      </c>
      <c r="CQ252" s="544" t="str">
        <f aca="false">IF(BD252,Strike1/CP252-1,"")</f>
        <v/>
      </c>
      <c r="CR252" s="544" t="str">
        <f aca="false">IF(BD252,Strike2/CP252-1,"")</f>
        <v/>
      </c>
      <c r="CS252" s="544" t="str">
        <f aca="false">IF(BD252,IF(CQ252&gt;0,IF(CQ252&gt;0.2,BC251-BB251,IF(CQ252&gt;0.1,BB251-BA251,BA251)),IF(CQ252&lt;-0.2,AX251-AY251,IF(CQ252&lt;-0.1,AY251-AZ251,AZ251))),"")</f>
        <v/>
      </c>
      <c r="CT252" s="544" t="str">
        <f aca="false">IF(BD252,IF(CR252&gt;0,IF(CR252&gt;0.2,BC251-BB251,IF(CR252&gt;0.1,BB251-BA251,BA251)),IF(CR252&lt;-0.2,AX251-AY251,IF(CR252&lt;-0.1,AY251-AZ251,AZ251))),"")</f>
        <v/>
      </c>
      <c r="CU252" s="545" t="str">
        <f aca="false">IF(BD252,CHOOSE(Underlying,O252,AT252),"")</f>
        <v/>
      </c>
      <c r="CV252" s="545" t="str">
        <f aca="false">IF(BD252,CU252+IF(VolSkewFlag=1,IF(CQ252&gt;0,BA251*MIN(CQ252/10%,1)+(BB251-BA251)*MAX(0,MIN(CQ252/10%-1,1))+(BC251-BB251)*MAX(0,CQ252/10%-2),AZ251*MIN(-CQ252/10%,1)+(AY251-AZ251)*MAX(0,MIN(-CQ252/10%-1,1))+(AX251-AY251)*MAX(0,-CQ252/10%-2)),0),"")</f>
        <v/>
      </c>
      <c r="CW252" s="545" t="str">
        <f aca="false">IF(BD252,CU252+IF(VolSkewFlag=1,IF(CR252&gt;0,BA251*MIN(CR252/10%,1)+(BB251-BA251)*MAX(0,MIN(CR252/10%-1,1))+(BC251-BB251)*MAX(0,CR252/10%-2),AZ251*MIN(-CR252/10%,1)+(AY251-AZ251)*MAX(0,MIN(-CR252/10%-1,1))+(AX251-AY251)*MAX(0,-CR252/10%-2)),0),"")</f>
        <v/>
      </c>
      <c r="CX252" s="470" t="n">
        <f aca="false">IF(BD252,EURO(CP252,Strike1,AO252,AO252,CV252,CO252,IF(OptControl=4,0,1),0),0)</f>
        <v>0</v>
      </c>
      <c r="CY252" s="470" t="n">
        <f aca="false">IF(BD252,EURO(CP252,Strike1,AO252,AO252,CV252,CO252,IF(OptControl=4,0,1),1)+IF(OR(VolSkewFlag=2,ABS(CQ252)&lt;0.0001),0,IF(CQ252&gt;0,-1,1)*CZ252*100*Strike1/CP252^2*CS252/10%),0)</f>
        <v>0</v>
      </c>
      <c r="CZ252" s="470" t="n">
        <f aca="false">IF(BD252,EURO(CP252,Strike1,AO252,AO252,CV252,CO252,IF(OptControl=4,0,1),3)/100,0)</f>
        <v>0</v>
      </c>
      <c r="DA252" s="470" t="n">
        <f aca="false">IF(BD252,EURO(CP252,Strike1,AO252,AO252,CV252,CO252,IF(OptControl=4,0,1),0)-EURO(CP252,Strike1,AO252,AO252,CV252,CO252-1,IF(OptControl=4,0,1),0),0)</f>
        <v>0</v>
      </c>
      <c r="DB252" s="470" t="n">
        <f aca="false">IF(BD252,EURO(CP252,Strike2,AO252,AO252,CW252,CO252,IF(OptControl=3,1,0),0),0)</f>
        <v>0</v>
      </c>
      <c r="DC252" s="470" t="n">
        <f aca="false">IF(BD252,EURO(CP252,Strike2,AO252,AO252,CW252,CO252,IF(OptControl=3,1,0),1)+IF(OR(VolSkewFlag=2,ABS(CR252)&lt;0.0001),0,IF(CR252&gt;0,-1,1)*DD252*100*Strike2/CP252^2*CT252/10%),0)</f>
        <v>0</v>
      </c>
      <c r="DD252" s="470" t="n">
        <f aca="false">IF(BD252,EURO(CP252,Strike2,AO252,AO252,CW252,CO252,IF(OptControl=3,1,0),3)/100,0)</f>
        <v>0</v>
      </c>
      <c r="DE252" s="472" t="n">
        <f aca="false">IF(BD252,EURO(CP252,Strike2,AO252,AO252,CW252,CO252,IF(OptControl=3,1,0),0)-EURO(CP252,Strike2,AO252,AO252,CW252,CO252-1,IF(OptControl=3,1,0),0),0)</f>
        <v>0</v>
      </c>
      <c r="DG252" s="481" t="n">
        <f aca="false">EOMONTH(DG251,0)+1</f>
        <v>52749</v>
      </c>
      <c r="DH252" s="478" t="n">
        <v>25.7600000000001</v>
      </c>
      <c r="DI252" s="479" t="n">
        <v>25.8250000000001</v>
      </c>
      <c r="DJ252" s="480" t="n">
        <f aca="false">DG252</f>
        <v>52749</v>
      </c>
      <c r="DK252" s="478" t="n">
        <v>24.3380682607946</v>
      </c>
      <c r="DL252" s="479" t="n">
        <v>24.5335000000001</v>
      </c>
      <c r="DM252" s="481" t="n">
        <f aca="false">DG252</f>
        <v>52749</v>
      </c>
      <c r="DN252" s="482" t="n">
        <f aca="false">DK252+BrentPhyBrentSpread</f>
        <v>24.3880682607946</v>
      </c>
      <c r="DO252" s="481" t="n">
        <f aca="false">DG252</f>
        <v>52749</v>
      </c>
      <c r="DP252" s="483" t="n">
        <f aca="false">DL252+DQ252</f>
        <v>24.5335000000001</v>
      </c>
      <c r="DQ252" s="546" t="n">
        <v>0</v>
      </c>
      <c r="DR252" s="480" t="n">
        <f aca="false">DG252</f>
        <v>52749</v>
      </c>
      <c r="DS252" s="485" t="n">
        <v>0.0853999999999972</v>
      </c>
      <c r="DT252" s="486" t="n">
        <v>0.0846199999999972</v>
      </c>
      <c r="DU252" s="480" t="n">
        <f aca="false">DG252</f>
        <v>52749</v>
      </c>
      <c r="DV252" s="485" t="n">
        <v>0.0853999999999972</v>
      </c>
      <c r="DW252" s="486" t="n">
        <v>0.0846199999999972</v>
      </c>
      <c r="DX252" s="481" t="n">
        <f aca="false">DG252</f>
        <v>52749</v>
      </c>
      <c r="DY252" s="486" t="n">
        <v>0.35</v>
      </c>
      <c r="DZ252" s="481" t="n">
        <f aca="false">DR252</f>
        <v>52749</v>
      </c>
      <c r="EA252" s="486" t="n">
        <f aca="false">DT252</f>
        <v>0.0846199999999972</v>
      </c>
      <c r="EB252" s="195"/>
      <c r="EC252" s="547" t="str">
        <f aca="false">IF(BD252,IF(Underlying=1,AS252,AU252),"")</f>
        <v/>
      </c>
      <c r="ED252" s="548" t="str">
        <f aca="false">IF($BD252,$EC252+IF(VolSkewFlag=1,IF(BS252&gt;0,$BA252*MIN(BS252/10%,1)+($BB252-$BA252)*MAX(0,MIN(BS252/10%-1,1))+($BC252-$BB252)*MAX(0,BS252/10%-2),$AZ252*MIN(-BS252/10%,1)+($AY252-$AZ252)*MAX(0,MIN(-BS252/10%-1,1))+($AX252-$AY252)*MAX(0,-BS252/10%-2)),0),"")</f>
        <v/>
      </c>
      <c r="EE252" s="549" t="str">
        <f aca="false">IF($BD252,$EC252+IF(VolSkewFlag=1,IF(BT252&gt;0,$BA252*MIN(BT252/10%,1)+($BB252-$BA252)*MAX(0,MIN(BT252/10%-1,1))+($BC252-$BB252)*MAX(0,BT252/10%-2),$AZ252*MIN(-BT252/10%,1)+($AY252-$AZ252)*MAX(0,MIN(-BT252/10%-1,1))+($AX252-$AY252)*MAX(0,-BT252/10%-2)),0),"")</f>
        <v/>
      </c>
      <c r="EF252" s="550" t="n">
        <f aca="false">IF(BD252,xASN(BR252,Strike1,AO252,ED252,0,BO252,0,BI252,BL252,IF(OptControl=4,0,1),0),0)</f>
        <v>0</v>
      </c>
      <c r="EG252" s="551" t="n">
        <f aca="false">IF(BD252,xASN(BR252,Strike2,AO252,EE252,0,BO252,0,BI252,BL252,IF(OptControl=3,1,0),0),0)</f>
        <v>0</v>
      </c>
      <c r="EL252" s="1"/>
      <c r="EM252" s="195"/>
      <c r="EN252" s="240"/>
      <c r="EO252" s="240"/>
      <c r="EP252" s="195"/>
      <c r="EQ252" s="407" t="s">
        <v>481</v>
      </c>
      <c r="ES252" s="1"/>
      <c r="EU252" s="672"/>
      <c r="FJ252" s="571" t="n">
        <v>8</v>
      </c>
      <c r="FK252" s="150" t="str">
        <f aca="false">IF($FJ252+FK$244&gt;73,"",PRODUCT(INDEX($T$19:$T$93,FK$244):INDEX($T$19:$T$93,FK$244+$FJ252-1)))</f>
        <v/>
      </c>
      <c r="FL252" s="150" t="str">
        <f aca="false">IF($FJ252+FL$244&gt;73,"",PRODUCT(INDEX($T$19:$T$93,FL$244):INDEX($T$19:$T$93,FL$244+$FJ252-1)))</f>
        <v/>
      </c>
      <c r="FM252" s="150" t="str">
        <f aca="false">IF($FJ252+FM$244&gt;73,"",PRODUCT(INDEX($T$19:$T$93,FM$244):INDEX($T$19:$T$93,FM$244+$FJ252-1)))</f>
        <v/>
      </c>
      <c r="FN252" s="150" t="str">
        <f aca="false">IF($FJ252+FN$244&gt;73,"",PRODUCT(INDEX($T$19:$T$93,FN$244):INDEX($T$19:$T$93,FN$244+$FJ252-1)))</f>
        <v/>
      </c>
      <c r="FO252" s="150" t="str">
        <f aca="false">IF($FJ252+FO$244&gt;73,"",PRODUCT(INDEX($T$19:$T$93,FO$244):INDEX($T$19:$T$93,FO$244+$FJ252-1)))</f>
        <v/>
      </c>
      <c r="FP252" s="150" t="str">
        <f aca="false">IF($FJ252+FP$244&gt;73,"",PRODUCT(INDEX($T$19:$T$93,FP$244):INDEX($T$19:$T$93,FP$244+$FJ252-1)))</f>
        <v/>
      </c>
      <c r="FQ252" s="150" t="str">
        <f aca="false">IF($FJ252+FQ$244&gt;73,"",PRODUCT(INDEX($T$19:$T$93,FQ$244):INDEX($T$19:$T$93,FQ$244+$FJ252-1)))</f>
        <v/>
      </c>
      <c r="FR252" s="150" t="n">
        <f aca="false">IF($FJ252+FR$244&gt;73,"",PRODUCT(INDEX($T$19:$T$93,FR$244):INDEX($T$19:$T$93,FR$244+$FJ252-1)))</f>
        <v>0.99997136226314</v>
      </c>
      <c r="FS252" s="150" t="n">
        <f aca="false">IF($FJ252+FS$244&gt;73,"",PRODUCT(INDEX($T$19:$T$93,FS$244):INDEX($T$19:$T$93,FS$244+$FJ252-1)))</f>
        <v>0.999966505569907</v>
      </c>
      <c r="FT252" s="150" t="n">
        <f aca="false">IF($FJ252+FT$244&gt;73,"",PRODUCT(INDEX($T$19:$T$93,FT$244):INDEX($T$19:$T$93,FT$244+$FJ252-1)))</f>
        <v>0.99996082522863</v>
      </c>
      <c r="FU252" s="150" t="n">
        <f aca="false">IF($FJ252+FU$244&gt;73,"",PRODUCT(INDEX($T$19:$T$93,FU$244):INDEX($T$19:$T$93,FU$244+$FJ252-1)))</f>
        <v>0.999954181557613</v>
      </c>
      <c r="FV252" s="150" t="n">
        <f aca="false">IF($FJ252+FV$244&gt;73,"",PRODUCT(INDEX($T$19:$T$93,FV$244):INDEX($T$19:$T$93,FV$244+$FJ252-1)))</f>
        <v>0.999946411187161</v>
      </c>
      <c r="FW252" s="150" t="n">
        <f aca="false">IF($FJ252+FW$244&gt;73,"",PRODUCT(INDEX($T$19:$T$93,FW$244):INDEX($T$19:$T$93,FW$244+$FJ252-1)))</f>
        <v>0.999937323042657</v>
      </c>
      <c r="FX252" s="150" t="n">
        <f aca="false">IF($FJ252+FX$244&gt;73,"",PRODUCT(INDEX($T$19:$T$93,FX$244):INDEX($T$19:$T$93,FX$244+$FJ252-1)))</f>
        <v>0.999926693646548</v>
      </c>
      <c r="FY252" s="150" t="n">
        <f aca="false">IF($FJ252+FY$244&gt;73,"",PRODUCT(INDEX($T$19:$T$93,FY$244):INDEX($T$19:$T$93,FY$244+$FJ252-1)))</f>
        <v>0.999914261623814</v>
      </c>
      <c r="FZ252" s="150" t="n">
        <f aca="false">IF($FJ252+FZ$244&gt;73,"",PRODUCT(INDEX($T$19:$T$93,FZ$244):INDEX($T$19:$T$93,FZ$244+$FJ252-1)))</f>
        <v>0.999899721275915</v>
      </c>
      <c r="GA252" s="150" t="n">
        <f aca="false">IF($FJ252+GA$244&gt;73,"",PRODUCT(INDEX($T$19:$T$93,GA$244):INDEX($T$19:$T$93,GA$244+$FJ252-1)))</f>
        <v>0.99988271506537</v>
      </c>
      <c r="GB252" s="150" t="n">
        <f aca="false">IF($FJ252+GB$244&gt;73,"",PRODUCT(INDEX($T$19:$T$93,GB$244):INDEX($T$19:$T$93,GB$244+$FJ252-1)))</f>
        <v>0.999862824826396</v>
      </c>
      <c r="GC252" s="150" t="n">
        <f aca="false">IF($FJ252+GC$244&gt;73,"",PRODUCT(INDEX($T$19:$T$93,GC$244):INDEX($T$19:$T$93,GC$244+$FJ252-1)))</f>
        <v>0.999839561485818</v>
      </c>
      <c r="GD252" s="150" t="n">
        <f aca="false">IF($FJ252+GD$244&gt;73,"",PRODUCT(INDEX($T$19:$T$93,GD$244):INDEX($T$19:$T$93,GD$244+$FJ252-1)))</f>
        <v>0.999812353041944</v>
      </c>
      <c r="GE252" s="150" t="n">
        <f aca="false">IF($FJ252+GE$244&gt;73,"",PRODUCT(INDEX($T$19:$T$93,GE$244):INDEX($T$19:$T$93,GE$244+$FJ252-1)))</f>
        <v>0.99978053050648</v>
      </c>
      <c r="GF252" s="150" t="n">
        <f aca="false">IF($FJ252+GF$244&gt;73,"",PRODUCT(INDEX($T$19:$T$93,GF$244):INDEX($T$19:$T$93,GF$244+$FJ252-1)))</f>
        <v>0.999743311464718</v>
      </c>
      <c r="GG252" s="150" t="n">
        <f aca="false">IF($FJ252+GG$244&gt;73,"",PRODUCT(INDEX($T$19:$T$93,GG$244):INDEX($T$19:$T$93,GG$244+$FJ252-1)))</f>
        <v>0.999699780851044</v>
      </c>
      <c r="GH252" s="150" t="n">
        <f aca="false">IF($FJ252+GH$244&gt;73,"",PRODUCT(INDEX($T$19:$T$93,GH$244):INDEX($T$19:$T$93,GH$244+$FJ252-1)))</f>
        <v>0.999648868468869</v>
      </c>
      <c r="GI252" s="150" t="n">
        <f aca="false">IF($FJ252+GI$244&gt;73,"",PRODUCT(INDEX($T$19:$T$93,GI$244):INDEX($T$19:$T$93,GI$244+$FJ252-1)))</f>
        <v>0.999589322704748</v>
      </c>
      <c r="GJ252" s="150" t="n">
        <f aca="false">IF($FJ252+GJ$244&gt;73,"",PRODUCT(INDEX($T$19:$T$93,GJ$244):INDEX($T$19:$T$93,GJ$244+$FJ252-1)))</f>
        <v>0.999519679793889</v>
      </c>
      <c r="GK252" s="150" t="n">
        <f aca="false">IF($FJ252+GK$244&gt;73,"",PRODUCT(INDEX($T$19:$T$93,GK$244):INDEX($T$19:$T$93,GK$244+$FJ252-1)))</f>
        <v>0.999438227886292</v>
      </c>
      <c r="GL252" s="150" t="n">
        <f aca="false">IF($FJ252+GL$244&gt;73,"",PRODUCT(INDEX($T$19:$T$93,GL$244):INDEX($T$19:$T$93,GL$244+$FJ252-1)))</f>
        <v>0.999342965036842</v>
      </c>
      <c r="GM252" s="150" t="n">
        <f aca="false">IF($FJ252+GM$244&gt;73,"",PRODUCT(INDEX($T$19:$T$93,GM$244):INDEX($T$19:$T$93,GM$244+$FJ252-1)))</f>
        <v>0.999231550096063</v>
      </c>
      <c r="GN252" s="150" t="n">
        <f aca="false">IF($FJ252+GN$244&gt;73,"",PRODUCT(INDEX($T$19:$T$93,GN$244):INDEX($T$19:$T$93,GN$244+$FJ252-1)))</f>
        <v>0.999101245307431</v>
      </c>
      <c r="GO252" s="150" t="n">
        <f aca="false">IF($FJ252+GO$244&gt;73,"",PRODUCT(INDEX($T$19:$T$93,GO$244):INDEX($T$19:$T$93,GO$244+$FJ252-1)))</f>
        <v>0.998948849218541</v>
      </c>
      <c r="GP252" s="150" t="n">
        <f aca="false">IF($FJ252+GP$244&gt;73,"",PRODUCT(INDEX($T$19:$T$93,GP$244):INDEX($T$19:$T$93,GP$244+$FJ252-1)))</f>
        <v>0.998770618282576</v>
      </c>
      <c r="GQ252" s="150" t="n">
        <f aca="false">IF($FJ252+GQ$244&gt;73,"",PRODUCT(INDEX($T$19:$T$93,GQ$244):INDEX($T$19:$T$93,GQ$244+$FJ252-1)))</f>
        <v>0.998562175258644</v>
      </c>
      <c r="GR252" s="150" t="n">
        <f aca="false">IF($FJ252+GR$244&gt;73,"",PRODUCT(INDEX($T$19:$T$93,GR$244):INDEX($T$19:$T$93,GR$244+$FJ252-1)))</f>
        <v>0.998318402209102</v>
      </c>
      <c r="GS252" s="150" t="n">
        <f aca="false">IF($FJ252+GS$244&gt;73,"",PRODUCT(INDEX($T$19:$T$93,GS$244):INDEX($T$19:$T$93,GS$244+$FJ252-1)))</f>
        <v>0.998033315532864</v>
      </c>
      <c r="GT252" s="150" t="n">
        <f aca="false">IF($FJ252+GT$244&gt;73,"",PRODUCT(INDEX($T$19:$T$93,GT$244):INDEX($T$19:$T$93,GT$244+$FJ252-1)))</f>
        <v>0.997699920059219</v>
      </c>
      <c r="GU252" s="150" t="n">
        <f aca="false">IF($FJ252+GU$244&gt;73,"",PRODUCT(INDEX($T$19:$T$93,GU$244):INDEX($T$19:$T$93,GU$244+$FJ252-1)))</f>
        <v>0.997310038749543</v>
      </c>
      <c r="GV252" s="150" t="n">
        <f aca="false">IF($FJ252+GV$244&gt;73,"",PRODUCT(INDEX($T$19:$T$93,GV$244):INDEX($T$19:$T$93,GV$244+$FJ252-1)))</f>
        <v>0.996854114006811</v>
      </c>
      <c r="GW252" s="150" t="n">
        <f aca="false">IF($FJ252+GW$244&gt;73,"",PRODUCT(INDEX($T$19:$T$93,GW$244):INDEX($T$19:$T$93,GW$244+$FJ252-1)))</f>
        <v>0.996320975967177</v>
      </c>
      <c r="GX252" s="150" t="n">
        <f aca="false">IF($FJ252+GX$244&gt;73,"",PRODUCT(INDEX($T$19:$T$93,GX$244):INDEX($T$19:$T$93,GX$244+$FJ252-1)))</f>
        <v>0.995697572436364</v>
      </c>
      <c r="GY252" s="150" t="n">
        <f aca="false">IF($FJ252+GY$244&gt;73,"",PRODUCT(INDEX($T$19:$T$93,GY$244):INDEX($T$19:$T$93,GY$244+$FJ252-1)))</f>
        <v>0.994968654329564</v>
      </c>
      <c r="GZ252" s="150" t="n">
        <f aca="false">IF($FJ252+GZ$244&gt;73,"",PRODUCT(INDEX($T$19:$T$93,GZ$244):INDEX($T$19:$T$93,GZ$244+$FJ252-1)))</f>
        <v>0.994116409571899</v>
      </c>
      <c r="HA252" s="150" t="n">
        <f aca="false">IF($FJ252+HA$244&gt;73,"",PRODUCT(INDEX($T$19:$T$93,HA$244):INDEX($T$19:$T$93,HA$244+$FJ252-1)))</f>
        <v>0.993120037415799</v>
      </c>
      <c r="HB252" s="150" t="n">
        <f aca="false">IF($FJ252+HB$244&gt;73,"",PRODUCT(INDEX($T$19:$T$93,HB$244):INDEX($T$19:$T$93,HB$244+$FJ252-1)))</f>
        <v>0.991955254035518</v>
      </c>
      <c r="HC252" s="150" t="n">
        <f aca="false">IF($FJ252+HC$244&gt;73,"",PRODUCT(INDEX($T$19:$T$93,HC$244):INDEX($T$19:$T$93,HC$244+$FJ252-1)))</f>
        <v>0.990593719080082</v>
      </c>
      <c r="HD252" s="150" t="n">
        <f aca="false">IF($FJ252+HD$244&gt;73,"",PRODUCT(INDEX($T$19:$T$93,HD$244):INDEX($T$19:$T$93,HD$244+$FJ252-1)))</f>
        <v>0.989002371629437</v>
      </c>
      <c r="HE252" s="150" t="n">
        <f aca="false">IF($FJ252+HE$244&gt;73,"",PRODUCT(INDEX($T$19:$T$93,HE$244):INDEX($T$19:$T$93,HE$244+$FJ252-1)))</f>
        <v>0.987142662749623</v>
      </c>
      <c r="HF252" s="150" t="n">
        <f aca="false">IF($FJ252+HF$244&gt;73,"",PRODUCT(INDEX($T$19:$T$93,HF$244):INDEX($T$19:$T$93,HF$244+$FJ252-1)))</f>
        <v>0.984969670654723</v>
      </c>
      <c r="HG252" s="150" t="n">
        <f aca="false">IF($FJ252+HG$244&gt;73,"",PRODUCT(INDEX($T$19:$T$93,HG$244):INDEX($T$19:$T$93,HG$244+$FJ252-1)))</f>
        <v>0.982431083471229</v>
      </c>
      <c r="HH252" s="150" t="n">
        <f aca="false">IF($FJ252+HH$244&gt;73,"",PRODUCT(INDEX($T$19:$T$93,HH$244):INDEX($T$19:$T$93,HH$244+$FJ252-1)))</f>
        <v>0.979466033938557</v>
      </c>
      <c r="HI252" s="150" t="n">
        <f aca="false">IF($FJ252+HI$244&gt;73,"",PRODUCT(INDEX($T$19:$T$93,HI$244):INDEX($T$19:$T$93,HI$244+$FJ252-1)))</f>
        <v>0.976003770326699</v>
      </c>
      <c r="HJ252" s="150" t="n">
        <f aca="false">IF($FJ252+HJ$244&gt;73,"",PRODUCT(INDEX($T$19:$T$93,HJ$244):INDEX($T$19:$T$93,HJ$244+$FJ252-1)))</f>
        <v>0.97196214878687</v>
      </c>
      <c r="HK252" s="150" t="n">
        <f aca="false">IF($FJ252+HK$244&gt;73,"",PRODUCT(INDEX($T$19:$T$93,HK$244):INDEX($T$19:$T$93,HK$244+$FJ252-1)))</f>
        <v>0.967245934819642</v>
      </c>
      <c r="HL252" s="150" t="n">
        <f aca="false">IF($FJ252+HL$244&gt;73,"",PRODUCT(INDEX($T$19:$T$93,HL$244):INDEX($T$19:$T$93,HL$244+$FJ252-1)))</f>
        <v>0.961744906327492</v>
      </c>
      <c r="HM252" s="150" t="n">
        <f aca="false">IF($FJ252+HM$244&gt;73,"",PRODUCT(INDEX($T$19:$T$93,HM$244):INDEX($T$19:$T$93,HM$244+$FJ252-1)))</f>
        <v>0.955331758918665</v>
      </c>
      <c r="HN252" s="150" t="n">
        <f aca="false">IF($FJ252+HN$244&gt;73,"",PRODUCT(INDEX($T$19:$T$93,HN$244):INDEX($T$19:$T$93,HN$244+$FJ252-1)))</f>
        <v>0.94785982729468</v>
      </c>
      <c r="HO252" s="150" t="n">
        <f aca="false">IF($FJ252+HO$244&gt;73,"",PRODUCT(INDEX($T$19:$T$93,HO$244):INDEX($T$19:$T$93,HO$244+$FJ252-1)))</f>
        <v>0.939160656836555</v>
      </c>
      <c r="HP252" s="150" t="n">
        <f aca="false">IF($FJ252+HP$244&gt;73,"",PRODUCT(INDEX($T$19:$T$93,HP$244):INDEX($T$19:$T$93,HP$244+$FJ252-1)))</f>
        <v>0.929041489866617</v>
      </c>
      <c r="HQ252" s="150" t="n">
        <f aca="false">IF($FJ252+HQ$244&gt;73,"",PRODUCT(INDEX($T$19:$T$93,HQ$244):INDEX($T$19:$T$93,HQ$244+$FJ252-1)))</f>
        <v>0.917282775533484</v>
      </c>
      <c r="HR252" s="150" t="n">
        <f aca="false">IF($FJ252+HR$244&gt;73,"",PRODUCT(INDEX($T$19:$T$93,HR$244):INDEX($T$19:$T$93,HR$244+$FJ252-1)))</f>
        <v>0.903635876251817</v>
      </c>
      <c r="HS252" s="150" t="n">
        <f aca="false">IF($FJ252+HS$244&gt;73,"",PRODUCT(INDEX($T$19:$T$93,HS$244):INDEX($T$19:$T$93,HS$244+$FJ252-1)))</f>
        <v>0.887821234236669</v>
      </c>
      <c r="HT252" s="150" t="n">
        <f aca="false">IF($FJ252+HT$244&gt;73,"",PRODUCT(INDEX($T$19:$T$93,HT$244):INDEX($T$19:$T$93,HT$244+$FJ252-1)))</f>
        <v>0.869527388015259</v>
      </c>
      <c r="HU252" s="150" t="n">
        <f aca="false">IF($FJ252+HU$244&gt;73,"",PRODUCT(INDEX($T$19:$T$93,HU$244):INDEX($T$19:$T$93,HU$244+$FJ252-1)))</f>
        <v>0.848411402098542</v>
      </c>
      <c r="HV252" s="150" t="n">
        <f aca="false">IF($FJ252+HV$244&gt;73,"",PRODUCT(INDEX($T$19:$T$93,HV$244):INDEX($T$19:$T$93,HV$244+$FJ252-1)))</f>
        <v>0.824101506221307</v>
      </c>
      <c r="HW252" s="150" t="n">
        <f aca="false">IF($FJ252+HW$244&gt;73,"",PRODUCT(INDEX($T$19:$T$93,HW$244):INDEX($T$19:$T$93,HW$244+$FJ252-1)))</f>
        <v>0.796203047040555</v>
      </c>
      <c r="HX252" s="150" t="n">
        <f aca="false">IF($FJ252+HX$244&gt;73,"",PRODUCT(INDEX($T$19:$T$93,HX$244):INDEX($T$19:$T$93,HX$244+$FJ252-1)))</f>
        <v>0.764309245172115</v>
      </c>
      <c r="HY252" s="150" t="n">
        <f aca="false">IF($FJ252+HY$244&gt;73,"",PRODUCT(INDEX($T$19:$T$93,HY$244):INDEX($T$19:$T$93,HY$244+$FJ252-1)))</f>
        <v>0.728018723899719</v>
      </c>
      <c r="HZ252" s="150" t="n">
        <f aca="false">IF($FJ252+HZ$244&gt;73,"",PRODUCT(INDEX($T$19:$T$93,HZ$244):INDEX($T$19:$T$93,HZ$244+$FJ252-1)))</f>
        <v>0.686962308520555</v>
      </c>
      <c r="IA252" s="150" t="n">
        <f aca="false">IF($FJ252+IA$244&gt;73,"",PRODUCT(INDEX($T$19:$T$93,IA$244):INDEX($T$19:$T$93,IA$244+$FJ252-1)))</f>
        <v>0.640842113334565</v>
      </c>
      <c r="IB252" s="150" t="n">
        <f aca="false">IF($FJ252+IB$244&gt;73,"",PRODUCT(INDEX($T$19:$T$93,IB$244):INDEX($T$19:$T$93,IB$244+$FJ252-1)))</f>
        <v>0.589486270432443</v>
      </c>
      <c r="IC252" s="150" t="n">
        <f aca="false">IF($FJ252+IC$244&gt;73,"",PRODUCT(INDEX($T$19:$T$93,IC$244):INDEX($T$19:$T$93,IC$244+$FJ252-1)))</f>
        <v>0.532922482926788</v>
      </c>
      <c r="ID252" s="572" t="n">
        <f aca="false">IF($FJ252+ID$244&gt;73,"",PRODUCT(INDEX($T$19:$T$93,ID$244):INDEX($T$19:$T$93,ID$244+$FJ252-1)))</f>
        <v>0.471472314964764</v>
      </c>
      <c r="IE252" s="129"/>
    </row>
    <row r="253" customFormat="false" ht="12.75" hidden="false" customHeight="false" outlineLevel="0" collapsed="false">
      <c r="H253" s="219" t="n">
        <f aca="false">VLOOKUP(I253,$EJ$20:$EL$54,3)</f>
        <v>0</v>
      </c>
      <c r="I253" s="511" t="n">
        <f aca="false">EOMONTH(I252,0)+1</f>
        <v>43862</v>
      </c>
      <c r="J253" s="512"/>
      <c r="K253" s="513" t="s">
        <v>280</v>
      </c>
      <c r="L253" s="514" t="n">
        <f aca="false">IF(ISNUMBER(K253),J253+K253/100,IF(K253="extra",L252+VLOOKUP(BF253,PriceSpreadTable,2)/12,IF(K253="inter",interpolateprices($K$19:$L$200,ROW(K253)-ROW(FirstPricingMonth)+1),interpolatechanges($J$19:$K$200,ROW(K253)-ROW(FirstPricingMonth)+1))))</f>
        <v>5.88749999999999</v>
      </c>
      <c r="M253" s="515"/>
      <c r="N253" s="516" t="n">
        <v>0</v>
      </c>
      <c r="O253" s="515" t="n">
        <f aca="false">M253+N253</f>
        <v>0</v>
      </c>
      <c r="P253" s="512"/>
      <c r="Q253" s="513" t="s">
        <v>280</v>
      </c>
      <c r="R253" s="512" t="e">
        <f aca="false">IF(ISNUMBER(Q253),P253+Q253/100,IF(Q253="extra",(Z251*AL251-R252*AM251)/AN251,IF(Q253="inter",interpolateprices($Q$19:$R$260,ROW(Q253)-ROW(FirstPricingMonth)+1),interpolatechanges($P$19:$Q$260,ROW(Q253)-ROW(FirstPricingMonth)+1))))</f>
        <v>#VALUE!</v>
      </c>
      <c r="S253" s="597" t="n">
        <f aca="false">S$19+(S252-S$19)*S$18</f>
        <v>0.36</v>
      </c>
      <c r="T253" s="575" t="n">
        <f aca="false">SQRT((1-(1-T252^2/U252)*T$18)*U253)</f>
        <v>1</v>
      </c>
      <c r="U253" s="576" t="n">
        <f aca="false">1-(1-U252)*U$18</f>
        <v>1</v>
      </c>
      <c r="V253" s="521" t="n">
        <v>0</v>
      </c>
      <c r="W253" s="577" t="n">
        <f aca="false">(J254*AJ253+J255*AK253)/AI253</f>
        <v>0</v>
      </c>
      <c r="X253" s="578" t="n">
        <f aca="false">(L254*AJ253+L255*AK253)/AI253</f>
        <v>5.93624999999999</v>
      </c>
      <c r="Y253" s="579" t="n">
        <f aca="false">IF(Q255="extra",W253-AA253,(P254*AM253+P255*AN253)/AL253)</f>
        <v>-1.1685</v>
      </c>
      <c r="Z253" s="579" t="n">
        <f aca="false">IF(Q255="extra",X253-AB253,(R254*AM253+R255*AN253)/AL253)</f>
        <v>4.76774999999999</v>
      </c>
      <c r="AA253" s="523" t="n">
        <f aca="false">IF(Q255="extra",INDEX(BrentSeasonalityTable,INT((BG253-1)/3)+1)*VLOOKUP(MAX(BF253,$AB$4),PriceSpreadTable,3),W253-Y253)</f>
        <v>1.1685</v>
      </c>
      <c r="AB253" s="524" t="n">
        <f aca="false">IF(Q255="extra",INDEX(BrentSeasonalityTable,INT((BG253-1)/3)+1)*VLOOKUP(MAX(BF253,$AB$4),PriceSpreadTable,3),X253-Z253)</f>
        <v>1.1685</v>
      </c>
      <c r="AC253" s="646" t="n">
        <v>43850</v>
      </c>
      <c r="AD253" s="646" t="n">
        <v>43846</v>
      </c>
      <c r="AE253" s="646" t="n">
        <v>43845</v>
      </c>
      <c r="AF253" s="646" t="n">
        <v>43841</v>
      </c>
      <c r="AG253" s="438" t="s">
        <v>278</v>
      </c>
      <c r="AH253" s="439" t="s">
        <v>278</v>
      </c>
      <c r="AI253" s="528" t="n">
        <v>20</v>
      </c>
      <c r="AJ253" s="529" t="n">
        <v>14</v>
      </c>
      <c r="AK253" s="529" t="n">
        <v>6</v>
      </c>
      <c r="AL253" s="530" t="n">
        <v>20</v>
      </c>
      <c r="AM253" s="529" t="n">
        <v>10</v>
      </c>
      <c r="AN253" s="531" t="n">
        <v>10</v>
      </c>
      <c r="AO253" s="532"/>
      <c r="AP253" s="465" t="n">
        <f aca="false">(1+AO253/2)^(-2*BL253)</f>
        <v>1</v>
      </c>
      <c r="AQ253" s="532"/>
      <c r="AR253" s="465" t="n">
        <f aca="false">(1+AQ253/2)^(-2*BH253/365.25)</f>
        <v>1</v>
      </c>
      <c r="AS253" s="580" t="n">
        <f aca="false">(O254*AJ253+O255*AK253)/AI253</f>
        <v>0</v>
      </c>
      <c r="AT253" s="468" t="n">
        <f aca="false">O253*VLOOKUP(BF253,BrentVolTable,2)+VLOOKUP(BF253,BrentVolTable,3)</f>
        <v>0</v>
      </c>
      <c r="AU253" s="468" t="n">
        <f aca="false">(AT254*AM253+AT255*AN253)/AL253</f>
        <v>0</v>
      </c>
      <c r="AV253" s="595" t="n">
        <f aca="false">SQRT(MAX(0.000000000001,(O253^2*BH253-S253^2*(BH253-BH252))/BH252))</f>
        <v>0.0436357173584197</v>
      </c>
      <c r="AW253" s="451" t="n">
        <f aca="false">IF($I253-DateToday+15&gt;=$T$8,"",IF($I253-DateToday+15&lt;$T$5,1,MATCH($I253-DateToday+15,$T$5:$T$8)))</f>
        <v>1</v>
      </c>
      <c r="AX253" s="468" t="n">
        <f aca="false">IF($AW253="",AX252^2/AX251,INDEX(U$5:U$8,$AW253)^((INDEX($T$5:$T$8,$AW253+1)-($I253-DateToday+15))/(INDEX($T$5:$T$8,$AW253+1)-INDEX($T$5:$T$8,$AW253)))/INDEX(U$5:U$8,$AW253+1)^((INDEX($T$5:$T$8,$AW253)-($I253-DateToday+15))/(INDEX($T$5:$T$8,$AW253+1)-INDEX($T$5:$T$8,$AW253))))</f>
        <v>0.0861447499720032</v>
      </c>
      <c r="AY253" s="468" t="n">
        <f aca="false">IF($AW253="",AY252^2/AY251,INDEX(V$5:V$8,$AW253)^((INDEX($T$5:$T$8,$AW253+1)-($I253-DateToday+15))/(INDEX($T$5:$T$8,$AW253+1)-INDEX($T$5:$T$8,$AW253)))/INDEX(V$5:V$8,$AW253+1)^((INDEX($T$5:$T$8,$AW253)-($I253-DateToday+15))/(INDEX($T$5:$T$8,$AW253+1)-INDEX($T$5:$T$8,$AW253))))</f>
        <v>0.284425204683815</v>
      </c>
      <c r="AZ253" s="468" t="n">
        <f aca="false">IF($AW253="",AZ252^2/AZ251,INDEX(W$5:W$8,$AW253)^((INDEX($T$5:$T$8,$AW253+1)-($I253-DateToday+15))/(INDEX($T$5:$T$8,$AW253+1)-INDEX($T$5:$T$8,$AW253)))/INDEX(W$5:W$8,$AW253+1)^((INDEX($T$5:$T$8,$AW253)-($I253-DateToday+15))/(INDEX($T$5:$T$8,$AW253+1)-INDEX($T$5:$T$8,$AW253))))</f>
        <v>3.30983311333219</v>
      </c>
      <c r="BA253" s="468" t="n">
        <f aca="false">IF($AW253="",BA252^2/BA251,INDEX(X$5:X$8,$AW253)^((INDEX($T$5:$T$8,$AW253+1)-($I253-DateToday+15))/(INDEX($T$5:$T$8,$AW253+1)-INDEX($T$5:$T$8,$AW253)))/INDEX(X$5:X$8,$AW253+1)^((INDEX($T$5:$T$8,$AW253)-($I253-DateToday+15))/(INDEX($T$5:$T$8,$AW253+1)-INDEX($T$5:$T$8,$AW253))))</f>
        <v>2.97004943746935</v>
      </c>
      <c r="BB253" s="468" t="n">
        <f aca="false">IF($AW253="",BB252^2/BB251,INDEX(Y$5:Y$8,$AW253)^((INDEX($T$5:$T$8,$AW253+1)-($I253-DateToday+15))/(INDEX($T$5:$T$8,$AW253+1)-INDEX($T$5:$T$8,$AW253)))/INDEX(Y$5:Y$8,$AW253+1)^((INDEX($T$5:$T$8,$AW253)-($I253-DateToday+15))/(INDEX($T$5:$T$8,$AW253+1)-INDEX($T$5:$T$8,$AW253))))</f>
        <v>8.17664982844082</v>
      </c>
      <c r="BC253" s="468" t="n">
        <f aca="false">IF($AW253="",BC252^2/BC251,INDEX(Z$5:Z$8,$AW253)^((INDEX($T$5:$T$8,$AW253+1)-($I253-DateToday+15))/(INDEX($T$5:$T$8,$AW253+1)-INDEX($T$5:$T$8,$AW253)))/INDEX(Z$5:Z$8,$AW253+1)^((INDEX($T$5:$T$8,$AW253)-($I253-DateToday+15))/(INDEX($T$5:$T$8,$AW253+1)-INDEX($T$5:$T$8,$AW253))))</f>
        <v>15.5342193935136</v>
      </c>
      <c r="BD253" s="535" t="n">
        <f aca="false">IF(OR(DateStart&gt;=I254,DateEnd&lt;I253),0,IF(VolumeOverrideFlag,V253,Volume))</f>
        <v>0</v>
      </c>
      <c r="BE253" s="536" t="n">
        <f aca="false">IF(OR(DateStart2&gt;=I254,DateEnd2&lt;I253),0,IF(VolumeOverrideFlag,V253,VolumeSwaption))</f>
        <v>0</v>
      </c>
      <c r="BF253" s="537" t="n">
        <f aca="false">YEAR(I253)</f>
        <v>2020</v>
      </c>
      <c r="BG253" s="538" t="n">
        <f aca="false">MONTH(I253)</f>
        <v>2</v>
      </c>
      <c r="BH253" s="539" t="n">
        <f aca="false">AD253-DateToday+1</f>
        <v>-2079</v>
      </c>
      <c r="BI253" s="540" t="n">
        <f aca="false">(I253-DateToday+1)/365.25</f>
        <v>-5.64818617385353</v>
      </c>
      <c r="BJ253" s="541" t="n">
        <f aca="false">BI253+(BL253-BI253)*CHOOSE(Underlying,AJ253/AI253,AM253/AL253)</f>
        <v>-5.59452429842574</v>
      </c>
      <c r="BK253" s="541" t="n">
        <f aca="false">BJ253+1/365.25</f>
        <v>-5.5917864476386</v>
      </c>
      <c r="BL253" s="541" t="n">
        <f aca="false">(I254-DateToday)/365.25</f>
        <v>-5.57152635181383</v>
      </c>
      <c r="BM253" s="542" t="e">
        <f aca="false">MAX(BI253-(BJ253-BI253)*(S254^2/O254^2-1),0)</f>
        <v>#DIV/0!</v>
      </c>
      <c r="BN253" s="541" t="e">
        <f aca="false">MAX(BL253+(BL253-BK253)*(S255^2/O255^2-1),0)</f>
        <v>#DIV/0!</v>
      </c>
      <c r="BO253" s="530" t="n">
        <f aca="false">CHOOSE(Underlying,AI253,AL253)</f>
        <v>20</v>
      </c>
      <c r="BP253" s="529" t="n">
        <f aca="false">CHOOSE(Underlying,AJ253,AM253)</f>
        <v>14</v>
      </c>
      <c r="BQ253" s="529" t="n">
        <f aca="false">CHOOSE(Underlying,AK253,AN253)</f>
        <v>6</v>
      </c>
      <c r="BR253" s="463" t="str">
        <f aca="false">IF(BD253,IF(Underlying=1,X253,Z253)+UnderlyingPriceAsian-SwapPriceCurve,"")</f>
        <v/>
      </c>
      <c r="BS253" s="463" t="str">
        <f aca="false">IF(BD253,Strike1/BR253-1,"")</f>
        <v/>
      </c>
      <c r="BT253" s="464" t="str">
        <f aca="false">IF(BD253,Strike2/BR253-1,"")</f>
        <v/>
      </c>
      <c r="BU253" s="465" t="str">
        <f aca="false">IF(BD253,IF(Underlying=1,L254,R254)+UnderlyingPriceAsian-SwapPriceCurve,"")</f>
        <v/>
      </c>
      <c r="BV253" s="465" t="str">
        <f aca="false">IF(BD253,IF(Underlying=1,L255,R255)+UnderlyingPriceAsian-SwapPriceCurve,"")</f>
        <v/>
      </c>
      <c r="BW253" s="466" t="str">
        <f aca="false">IF(BD253,IF(Underlying=1,O254,AT254),"")</f>
        <v/>
      </c>
      <c r="BX253" s="467" t="str">
        <f aca="false">IF(BD253,IF(Underlying=1,O255,AT255),"")</f>
        <v/>
      </c>
      <c r="BY253" s="466" t="str">
        <f aca="false">IF(BD253,IF(BS253&gt;0,IF(BS253&gt;0.2,BC253-BB253,IF(BS253&gt;0.1,BB253-BA253,BA253)),IF(BS253&lt;-0.2,AX253-AY253,IF(BS253&lt;-0.1,AY253-AZ253,AZ253))),"")</f>
        <v/>
      </c>
      <c r="BZ253" s="467" t="str">
        <f aca="false">IF(BD253,IF(BT253&gt;0,IF(BT253&gt;0.2,BC253-BB253,IF(BT253&gt;0.1,BB253-BA253,BA253)),IF(BT253&lt;-0.2,AX253-AY253,IF(BT253&lt;-0.1,AY253-AZ253,AZ253))),"")</f>
        <v/>
      </c>
      <c r="CA253" s="468" t="str">
        <f aca="false">IF($BD253,$BW253+IF(VolSkewFlag=1,IF(BS253&gt;0,$BA253*MIN(BS253/10%,1)+($BB253-$BA253)*MAX(0,MIN(BS253/10%-1,1))+($BC253-$BB253)*MAX(0,BS253/10%-2),$AZ253*MIN(-BS253/10%,1)+($AY253-$AZ253)*MAX(0,MIN(-BS253/10%-1,1))+($AX253-$AY253)*MAX(0,-BS253/10%-2)),0),"")</f>
        <v/>
      </c>
      <c r="CB253" s="468" t="str">
        <f aca="false">IF($BD253,$BX253+IF(VolSkewFlag=1,IF(BS253&gt;0,$BA253*MIN(BS253/10%,1)+($BB253-$BA253)*MAX(0,MIN(BS253/10%-1,1))+($BC253-$BB253)*MAX(0,BS253/10%-2),$AZ253*MIN(-BS253/10%,1)+($AY253-$AZ253)*MAX(0,MIN(-BS253/10%-1,1))+($AX253-$AY253)*MAX(0,-BS253/10%-2)),0),"")</f>
        <v/>
      </c>
      <c r="CC253" s="468" t="str">
        <f aca="false">IF($BD253,$BW253+IF(VolSkewFlag=1,IF(BT253&gt;0,$BA253*MIN(BT253/10%,1)+($BB253-$BA253)*MAX(0,MIN(BT253/10%-1,1))+($BC253-$BB253)*MAX(0,BT253/10%-2),$AZ253*MIN(-BT253/10%,1)+($AY253-$AZ253)*MAX(0,MIN(-BT253/10%-1,1))+($AX253-$AY253)*MAX(0,-BT253/10%-2)),0),"")</f>
        <v/>
      </c>
      <c r="CD253" s="468" t="str">
        <f aca="false">IF($BD253,$BX253+IF(VolSkewFlag=1,IF(BT253&gt;0,$BA253*MIN(BT253/10%,1)+($BB253-$BA253)*MAX(0,MIN(BT253/10%-1,1))+($BC253-$BB253)*MAX(0,BT253/10%-2),$AZ253*MIN(-BT253/10%,1)+($AY253-$AZ253)*MAX(0,MIN(-BT253/10%-1,1))+($AX253-$AY253)*MAX(0,-BT253/10%-2)),0),"")</f>
        <v/>
      </c>
      <c r="CE253" s="469" t="n">
        <v>1</v>
      </c>
      <c r="CF253" s="470" t="n">
        <f aca="false">IF(BD253,xCrudeAPO(BU253,BV253,CA253,CB253,S254,S255,BI253,BL253,BP253,BQ253,0,Strike1,AO253,CE253,0,BL253,IF(OptControl=4,0,1),0,1),0)</f>
        <v>0</v>
      </c>
      <c r="CG253" s="470" t="n">
        <f aca="false">IF(BD253,xCrudeAPO(BU253,BV253,CA253,CB253,S254,S255,BI253,BL253,BP253,BQ253,0,Strike1,AO253,CE253,0,BL253,IF(OptControl=4,0,1),1,1)+xCrudeAPO(BU253,BV253,CA253,CB253,S254,S255,BI253,BL253,BP253,BQ253,0,Strike1,AO253,CE253,0,BL253,IF(OptControl=4,0,1),1,2)+IF(OR(VolSkewFlag=2,ABS(BS253)&lt;0.0001),0,IF(BS253&gt;0,-1,1)*CH253*Strike1/BR253^2*BY253/10%),0)</f>
        <v>0</v>
      </c>
      <c r="CH253" s="470" t="n">
        <f aca="false">IF(BD253,(xCrudeAPO(BU253,BV253,CA253,CB253,S254,S255,BI253,BL253,BP253,BQ253,0,Strike1,AO253,CE253,0,BL253,IF(OptControl=4,0,1),3,1)+xCrudeAPO(BU253,BV253,CA253,CB253,S254,S255,BI253,BL253,BP253,BQ253,0,Strike1,AO253,CE253,0,BL253,IF(OptControl=4,0,1),3,2))/100,0)</f>
        <v>0</v>
      </c>
      <c r="CI253" s="470" t="n">
        <f aca="false">IF(BD253,xCrudeAPO(BU253,BV253,CA253,CB253,S254,S255,BI253-DaysForThetaCalculation/365.25,BL253-DaysForThetaCalculation/365.25,BP253,BQ253,0,Strike1,AO253,CE253,0,BL253,IF(OptControl=4,0,1),0,1)-xCrudeAPO(BU253,BV253,CA253,CB253,S254,S255,BI253,BL253,BP253,BQ253,0,Strike1,AO253,CE253,0,BL253,IF(OptControl=4,0,1),0,1),0)</f>
        <v>0</v>
      </c>
      <c r="CJ253" s="471" t="n">
        <f aca="false">IF(BD253,xCrudeAPO(BU253,BV253,CC253,CD253,S254,S255,BI253,BL253,BP253,BQ253,0,Strike2,AO253,CE253,0,BL253,IF(OptControl=3,1,0),0,1),0)</f>
        <v>0</v>
      </c>
      <c r="CK253" s="470" t="n">
        <f aca="false">IF(BD253,xCrudeAPO(BU253,BV253,CC253,CD253,S254,S255,BI253,BL253,BP253,BQ253,0,Strike2,AO253,CE253,0,BL253,IF(OptControl=3,1,0),1,1)+xCrudeAPO(BU253,BV253,CC253,CD253,S254,S255,BI253,BL253,BP253,BQ253,0,Strike2,AO253,CE253,0,BL253,IF(OptControl=3,1,0),1,2)+IF(OR(VolSkewFlag=2,ABS(BT253)&lt;0.0001),0,IF(BT253&gt;0,-1,1)*CL253*Strike2/BR253^2*BZ253/10%),0)</f>
        <v>0</v>
      </c>
      <c r="CL253" s="470" t="n">
        <f aca="false">IF(BD253,(xCrudeAPO(BU253,BV253,CC253,CD253,S254,S255,BI253,BL253,BP253,BQ253,0,Strike2,AO253,CE253,0,BL253,IF(OptControl=3,1,0),3,1)+xCrudeAPO(BU253,BV253,CC253,CD253,S254,S255,BI253,BL253,BP253,BQ253,0,Strike2,AO253,CE253,0,BL253,IF(OptControl=3,1,0),3,2))/100,0)</f>
        <v>0</v>
      </c>
      <c r="CM253" s="472" t="n">
        <f aca="false">IF(BD253,xCrudeAPO(BU253,BV253,CC253,CD253,S254,S255,BI253-DaysForThetaCalculation/365.25,BL253-DaysForThetaCalculation/365.25,BP253,BQ253,0,Strike2,AO253,CE253,0,BL253,IF(OptControl=3,1,0),0,1)-xCrudeAPO(BU253,BV253,CC253,CD253,S254,S255,BI253,BL253,BP253,BQ253,0,Strike2,AO253,CE253,0,BL253,IF(OptControl=3,1,0),0,1),0)</f>
        <v>0</v>
      </c>
      <c r="CN253" s="3"/>
      <c r="CO253" s="543" t="str">
        <f aca="false">IF(BD253,CHOOSE(Underlying,AD253,AF253)-DateToday+1,"")</f>
        <v/>
      </c>
      <c r="CP253" s="582" t="str">
        <f aca="false">IF(BD253,CHOOSE(Underlying,L253,R253),"")</f>
        <v/>
      </c>
      <c r="CQ253" s="544" t="str">
        <f aca="false">IF(BD253,Strike1/CP253-1,"")</f>
        <v/>
      </c>
      <c r="CR253" s="544" t="str">
        <f aca="false">IF(BD253,Strike2/CP253-1,"")</f>
        <v/>
      </c>
      <c r="CS253" s="544" t="str">
        <f aca="false">IF(BD253,IF(CQ253&gt;0,IF(CQ253&gt;0.2,BC252-BB252,IF(CQ253&gt;0.1,BB252-BA252,BA252)),IF(CQ253&lt;-0.2,AX252-AY252,IF(CQ253&lt;-0.1,AY252-AZ252,AZ252))),"")</f>
        <v/>
      </c>
      <c r="CT253" s="544" t="str">
        <f aca="false">IF(BD253,IF(CR253&gt;0,IF(CR253&gt;0.2,BC252-BB252,IF(CR253&gt;0.1,BB252-BA252,BA252)),IF(CR253&lt;-0.2,AX252-AY252,IF(CR253&lt;-0.1,AY252-AZ252,AZ252))),"")</f>
        <v/>
      </c>
      <c r="CU253" s="545" t="str">
        <f aca="false">IF(BD253,CHOOSE(Underlying,O253,AT253),"")</f>
        <v/>
      </c>
      <c r="CV253" s="545" t="str">
        <f aca="false">IF(BD253,CU253+IF(VolSkewFlag=1,IF(CQ253&gt;0,BA252*MIN(CQ253/10%,1)+(BB252-BA252)*MAX(0,MIN(CQ253/10%-1,1))+(BC252-BB252)*MAX(0,CQ253/10%-2),AZ252*MIN(-CQ253/10%,1)+(AY252-AZ252)*MAX(0,MIN(-CQ253/10%-1,1))+(AX252-AY252)*MAX(0,-CQ253/10%-2)),0),"")</f>
        <v/>
      </c>
      <c r="CW253" s="545" t="str">
        <f aca="false">IF(BD253,CU253+IF(VolSkewFlag=1,IF(CR253&gt;0,BA252*MIN(CR253/10%,1)+(BB252-BA252)*MAX(0,MIN(CR253/10%-1,1))+(BC252-BB252)*MAX(0,CR253/10%-2),AZ252*MIN(-CR253/10%,1)+(AY252-AZ252)*MAX(0,MIN(-CR253/10%-1,1))+(AX252-AY252)*MAX(0,-CR253/10%-2)),0),"")</f>
        <v/>
      </c>
      <c r="CX253" s="470" t="n">
        <f aca="false">IF(BD253,EURO(CP253,Strike1,AO253,AO253,CV253,CO253,IF(OptControl=4,0,1),0),0)</f>
        <v>0</v>
      </c>
      <c r="CY253" s="470" t="n">
        <f aca="false">IF(BD253,EURO(CP253,Strike1,AO253,AO253,CV253,CO253,IF(OptControl=4,0,1),1)+IF(OR(VolSkewFlag=2,ABS(CQ253)&lt;0.0001),0,IF(CQ253&gt;0,-1,1)*CZ253*100*Strike1/CP253^2*CS253/10%),0)</f>
        <v>0</v>
      </c>
      <c r="CZ253" s="470" t="n">
        <f aca="false">IF(BD253,EURO(CP253,Strike1,AO253,AO253,CV253,CO253,IF(OptControl=4,0,1),3)/100,0)</f>
        <v>0</v>
      </c>
      <c r="DA253" s="470" t="n">
        <f aca="false">IF(BD253,EURO(CP253,Strike1,AO253,AO253,CV253,CO253,IF(OptControl=4,0,1),0)-EURO(CP253,Strike1,AO253,AO253,CV253,CO253-1,IF(OptControl=4,0,1),0),0)</f>
        <v>0</v>
      </c>
      <c r="DB253" s="470" t="n">
        <f aca="false">IF(BD253,EURO(CP253,Strike2,AO253,AO253,CW253,CO253,IF(OptControl=3,1,0),0),0)</f>
        <v>0</v>
      </c>
      <c r="DC253" s="470" t="n">
        <f aca="false">IF(BD253,EURO(CP253,Strike2,AO253,AO253,CW253,CO253,IF(OptControl=3,1,0),1)+IF(OR(VolSkewFlag=2,ABS(CR253)&lt;0.0001),0,IF(CR253&gt;0,-1,1)*DD253*100*Strike2/CP253^2*CT253/10%),0)</f>
        <v>0</v>
      </c>
      <c r="DD253" s="470" t="n">
        <f aca="false">IF(BD253,EURO(CP253,Strike2,AO253,AO253,CW253,CO253,IF(OptControl=3,1,0),3)/100,0)</f>
        <v>0</v>
      </c>
      <c r="DE253" s="472" t="n">
        <f aca="false">IF(BD253,EURO(CP253,Strike2,AO253,AO253,CW253,CO253,IF(OptControl=3,1,0),0)-EURO(CP253,Strike2,AO253,AO253,CW253,CO253-1,IF(OptControl=3,1,0),0),0)</f>
        <v>0</v>
      </c>
      <c r="DG253" s="481" t="n">
        <f aca="false">EOMONTH(DG252,0)+1</f>
        <v>52779</v>
      </c>
      <c r="DH253" s="478" t="n">
        <v>25.8100000000001</v>
      </c>
      <c r="DI253" s="479" t="n">
        <v>25.8781818181819</v>
      </c>
      <c r="DJ253" s="480" t="n">
        <f aca="false">DG253</f>
        <v>52779</v>
      </c>
      <c r="DK253" s="478" t="n">
        <v>24.6034474916967</v>
      </c>
      <c r="DL253" s="479" t="n">
        <v>24.6112818181819</v>
      </c>
      <c r="DM253" s="481" t="n">
        <f aca="false">DG253</f>
        <v>52779</v>
      </c>
      <c r="DN253" s="482" t="n">
        <f aca="false">DK253+BrentPhyBrentSpread</f>
        <v>24.6534474916967</v>
      </c>
      <c r="DO253" s="481" t="n">
        <f aca="false">DG253</f>
        <v>52779</v>
      </c>
      <c r="DP253" s="483" t="n">
        <f aca="false">DL253+DQ253</f>
        <v>24.6112818181819</v>
      </c>
      <c r="DQ253" s="546" t="n">
        <v>0</v>
      </c>
      <c r="DR253" s="480" t="n">
        <f aca="false">DG253</f>
        <v>52779</v>
      </c>
      <c r="DS253" s="485" t="n">
        <v>0.0847999999999972</v>
      </c>
      <c r="DT253" s="486" t="n">
        <v>0.0839818181818154</v>
      </c>
      <c r="DU253" s="480" t="n">
        <f aca="false">DG253</f>
        <v>52779</v>
      </c>
      <c r="DV253" s="485" t="n">
        <v>0.0847999999999972</v>
      </c>
      <c r="DW253" s="486" t="n">
        <v>0.0839818181818154</v>
      </c>
      <c r="DX253" s="481" t="n">
        <f aca="false">DG253</f>
        <v>52779</v>
      </c>
      <c r="DY253" s="486" t="n">
        <v>0.35</v>
      </c>
      <c r="DZ253" s="481" t="n">
        <f aca="false">DR253</f>
        <v>52779</v>
      </c>
      <c r="EA253" s="486" t="n">
        <f aca="false">DT253</f>
        <v>0.0839818181818154</v>
      </c>
      <c r="EB253" s="195"/>
      <c r="EC253" s="547" t="str">
        <f aca="false">IF(BD253,IF(Underlying=1,AS253,AU253),"")</f>
        <v/>
      </c>
      <c r="ED253" s="548" t="str">
        <f aca="false">IF($BD253,$EC253+IF(VolSkewFlag=1,IF(BS253&gt;0,$BA253*MIN(BS253/10%,1)+($BB253-$BA253)*MAX(0,MIN(BS253/10%-1,1))+($BC253-$BB253)*MAX(0,BS253/10%-2),$AZ253*MIN(-BS253/10%,1)+($AY253-$AZ253)*MAX(0,MIN(-BS253/10%-1,1))+($AX253-$AY253)*MAX(0,-BS253/10%-2)),0),"")</f>
        <v/>
      </c>
      <c r="EE253" s="549" t="str">
        <f aca="false">IF($BD253,$EC253+IF(VolSkewFlag=1,IF(BT253&gt;0,$BA253*MIN(BT253/10%,1)+($BB253-$BA253)*MAX(0,MIN(BT253/10%-1,1))+($BC253-$BB253)*MAX(0,BT253/10%-2),$AZ253*MIN(-BT253/10%,1)+($AY253-$AZ253)*MAX(0,MIN(-BT253/10%-1,1))+($AX253-$AY253)*MAX(0,-BT253/10%-2)),0),"")</f>
        <v/>
      </c>
      <c r="EF253" s="550" t="n">
        <f aca="false">IF(BD253,xASN(BR253,Strike1,AO253,ED253,0,BO253,0,BI253,BL253,IF(OptControl=4,0,1),0),0)</f>
        <v>0</v>
      </c>
      <c r="EG253" s="551" t="n">
        <f aca="false">IF(BD253,xASN(BR253,Strike2,AO253,EE253,0,BO253,0,BI253,BL253,IF(OptControl=3,1,0),0),0)</f>
        <v>0</v>
      </c>
      <c r="EL253" s="1"/>
      <c r="EM253" s="195"/>
      <c r="EN253" s="240"/>
      <c r="EO253" s="240"/>
      <c r="EP253" s="195"/>
      <c r="EQ253" s="407" t="s">
        <v>482</v>
      </c>
      <c r="ES253" s="1"/>
      <c r="EU253" s="672"/>
      <c r="FJ253" s="571" t="n">
        <v>9</v>
      </c>
      <c r="FK253" s="150" t="str">
        <f aca="false">IF($FJ253+FK$244&gt;73,"",PRODUCT(INDEX($T$19:$T$93,FK$244):INDEX($T$19:$T$93,FK$244+$FJ253-1)))</f>
        <v/>
      </c>
      <c r="FL253" s="150" t="str">
        <f aca="false">IF($FJ253+FL$244&gt;73,"",PRODUCT(INDEX($T$19:$T$93,FL$244):INDEX($T$19:$T$93,FL$244+$FJ253-1)))</f>
        <v/>
      </c>
      <c r="FM253" s="150" t="str">
        <f aca="false">IF($FJ253+FM$244&gt;73,"",PRODUCT(INDEX($T$19:$T$93,FM$244):INDEX($T$19:$T$93,FM$244+$FJ253-1)))</f>
        <v/>
      </c>
      <c r="FN253" s="150" t="str">
        <f aca="false">IF($FJ253+FN$244&gt;73,"",PRODUCT(INDEX($T$19:$T$93,FN$244):INDEX($T$19:$T$93,FN$244+$FJ253-1)))</f>
        <v/>
      </c>
      <c r="FO253" s="150" t="str">
        <f aca="false">IF($FJ253+FO$244&gt;73,"",PRODUCT(INDEX($T$19:$T$93,FO$244):INDEX($T$19:$T$93,FO$244+$FJ253-1)))</f>
        <v/>
      </c>
      <c r="FP253" s="150" t="str">
        <f aca="false">IF($FJ253+FP$244&gt;73,"",PRODUCT(INDEX($T$19:$T$93,FP$244):INDEX($T$19:$T$93,FP$244+$FJ253-1)))</f>
        <v/>
      </c>
      <c r="FQ253" s="150" t="str">
        <f aca="false">IF($FJ253+FQ$244&gt;73,"",PRODUCT(INDEX($T$19:$T$93,FQ$244):INDEX($T$19:$T$93,FQ$244+$FJ253-1)))</f>
        <v/>
      </c>
      <c r="FR253" s="150" t="str">
        <f aca="false">IF($FJ253+FR$244&gt;73,"",PRODUCT(INDEX($T$19:$T$93,FR$244):INDEX($T$19:$T$93,FR$244+$FJ253-1)))</f>
        <v/>
      </c>
      <c r="FS253" s="150" t="n">
        <f aca="false">IF($FJ253+FS$244&gt;73,"",PRODUCT(INDEX($T$19:$T$93,FS$244):INDEX($T$19:$T$93,FS$244+$FJ253-1)))</f>
        <v>0.999964564218317</v>
      </c>
      <c r="FT253" s="150" t="n">
        <f aca="false">IF($FJ253+FT$244&gt;73,"",PRODUCT(INDEX($T$19:$T$93,FT$244):INDEX($T$19:$T$93,FT$244+$FJ253-1)))</f>
        <v>0.999958554652294</v>
      </c>
      <c r="FU253" s="150" t="n">
        <f aca="false">IF($FJ253+FU$244&gt;73,"",PRODUCT(INDEX($T$19:$T$93,FU$244):INDEX($T$19:$T$93,FU$244+$FJ253-1)))</f>
        <v>0.999951525926968</v>
      </c>
      <c r="FV253" s="150" t="n">
        <f aca="false">IF($FJ253+FV$244&gt;73,"",PRODUCT(INDEX($T$19:$T$93,FV$244):INDEX($T$19:$T$93,FV$244+$FJ253-1)))</f>
        <v>0.999943305205923</v>
      </c>
      <c r="FW253" s="150" t="n">
        <f aca="false">IF($FJ253+FW$244&gt;73,"",PRODUCT(INDEX($T$19:$T$93,FW$244):INDEX($T$19:$T$93,FW$244+$FJ253-1)))</f>
        <v>0.999933690342894</v>
      </c>
      <c r="FX253" s="150" t="n">
        <f aca="false">IF($FJ253+FX$244&gt;73,"",PRODUCT(INDEX($T$19:$T$93,FX$244):INDEX($T$19:$T$93,FX$244+$FJ253-1)))</f>
        <v>0.999922444911781</v>
      </c>
      <c r="FY253" s="150" t="n">
        <f aca="false">IF($FJ253+FY$244&gt;73,"",PRODUCT(INDEX($T$19:$T$93,FY$244):INDEX($T$19:$T$93,FY$244+$FJ253-1)))</f>
        <v>0.999909292394084</v>
      </c>
      <c r="FZ253" s="150" t="n">
        <f aca="false">IF($FJ253+FZ$244&gt;73,"",PRODUCT(INDEX($T$19:$T$93,FZ$244):INDEX($T$19:$T$93,FZ$244+$FJ253-1)))</f>
        <v>0.999893909380994</v>
      </c>
      <c r="GA253" s="150" t="n">
        <f aca="false">IF($FJ253+GA$244&gt;73,"",PRODUCT(INDEX($T$19:$T$93,GA$244):INDEX($T$19:$T$93,GA$244+$FJ253-1)))</f>
        <v>0.999875917623192</v>
      </c>
      <c r="GB253" s="150" t="n">
        <f aca="false">IF($FJ253+GB$244&gt;73,"",PRODUCT(INDEX($T$19:$T$93,GB$244):INDEX($T$19:$T$93,GB$244+$FJ253-1)))</f>
        <v>0.999854874733168</v>
      </c>
      <c r="GC253" s="150" t="n">
        <f aca="false">IF($FJ253+GC$244&gt;73,"",PRODUCT(INDEX($T$19:$T$93,GC$244):INDEX($T$19:$T$93,GC$244+$FJ253-1)))</f>
        <v>0.999830263311868</v>
      </c>
      <c r="GD253" s="150" t="n">
        <f aca="false">IF($FJ253+GD$244&gt;73,"",PRODUCT(INDEX($T$19:$T$93,GD$244):INDEX($T$19:$T$93,GD$244+$FJ253-1)))</f>
        <v>0.999801478232901</v>
      </c>
      <c r="GE253" s="150" t="n">
        <f aca="false">IF($FJ253+GE$244&gt;73,"",PRODUCT(INDEX($T$19:$T$93,GE$244):INDEX($T$19:$T$93,GE$244+$FJ253-1)))</f>
        <v>0.999767811772468</v>
      </c>
      <c r="GF253" s="150" t="n">
        <f aca="false">IF($FJ253+GF$244&gt;73,"",PRODUCT(INDEX($T$19:$T$93,GF$244):INDEX($T$19:$T$93,GF$244+$FJ253-1)))</f>
        <v>0.999728436220553</v>
      </c>
      <c r="GG253" s="150" t="n">
        <f aca="false">IF($FJ253+GG$244&gt;73,"",PRODUCT(INDEX($T$19:$T$93,GG$244):INDEX($T$19:$T$93,GG$244+$FJ253-1)))</f>
        <v>0.999682383547437</v>
      </c>
      <c r="GH253" s="150" t="n">
        <f aca="false">IF($FJ253+GH$244&gt;73,"",PRODUCT(INDEX($T$19:$T$93,GH$244):INDEX($T$19:$T$93,GH$244+$FJ253-1)))</f>
        <v>0.999628521627859</v>
      </c>
      <c r="GI253" s="150" t="n">
        <f aca="false">IF($FJ253+GI$244&gt;73,"",PRODUCT(INDEX($T$19:$T$93,GI$244):INDEX($T$19:$T$93,GI$244+$FJ253-1)))</f>
        <v>0.999565526441386</v>
      </c>
      <c r="GJ253" s="150" t="n">
        <f aca="false">IF($FJ253+GJ$244&gt;73,"",PRODUCT(INDEX($T$19:$T$93,GJ$244):INDEX($T$19:$T$93,GJ$244+$FJ253-1)))</f>
        <v>0.999491849569895</v>
      </c>
      <c r="GK253" s="150" t="n">
        <f aca="false">IF($FJ253+GK$244&gt;73,"",PRODUCT(INDEX($T$19:$T$93,GK$244):INDEX($T$19:$T$93,GK$244+$FJ253-1)))</f>
        <v>0.99940568019918</v>
      </c>
      <c r="GL253" s="150" t="n">
        <f aca="false">IF($FJ253+GL$244&gt;73,"",PRODUCT(INDEX($T$19:$T$93,GL$244):INDEX($T$19:$T$93,GL$244+$FJ253-1)))</f>
        <v>0.999304900698968</v>
      </c>
      <c r="GM253" s="150" t="n">
        <f aca="false">IF($FJ253+GM$244&gt;73,"",PRODUCT(INDEX($T$19:$T$93,GM$244):INDEX($T$19:$T$93,GM$244+$FJ253-1)))</f>
        <v>0.999187034701144</v>
      </c>
      <c r="GN253" s="150" t="n">
        <f aca="false">IF($FJ253+GN$244&gt;73,"",PRODUCT(INDEX($T$19:$T$93,GN$244):INDEX($T$19:$T$93,GN$244+$FJ253-1)))</f>
        <v>0.99904918641615</v>
      </c>
      <c r="GO253" s="150" t="n">
        <f aca="false">IF($FJ253+GO$244&gt;73,"",PRODUCT(INDEX($T$19:$T$93,GO$244):INDEX($T$19:$T$93,GO$244+$FJ253-1)))</f>
        <v>0.998887969718618</v>
      </c>
      <c r="GP253" s="150" t="n">
        <f aca="false">IF($FJ253+GP$244&gt;73,"",PRODUCT(INDEX($T$19:$T$93,GP$244):INDEX($T$19:$T$93,GP$244+$FJ253-1)))</f>
        <v>0.998699425290677</v>
      </c>
      <c r="GQ253" s="150" t="n">
        <f aca="false">IF($FJ253+GQ$244&gt;73,"",PRODUCT(INDEX($T$19:$T$93,GQ$244):INDEX($T$19:$T$93,GQ$244+$FJ253-1)))</f>
        <v>0.998478923830188</v>
      </c>
      <c r="GR253" s="150" t="n">
        <f aca="false">IF($FJ253+GR$244&gt;73,"",PRODUCT(INDEX($T$19:$T$93,GR$244):INDEX($T$19:$T$93,GR$244+$FJ253-1)))</f>
        <v>0.998221053005751</v>
      </c>
      <c r="GS253" s="150" t="n">
        <f aca="false">IF($FJ253+GS$244&gt;73,"",PRODUCT(INDEX($T$19:$T$93,GS$244):INDEX($T$19:$T$93,GS$244+$FJ253-1)))</f>
        <v>0.997919485464505</v>
      </c>
      <c r="GT253" s="150" t="n">
        <f aca="false">IF($FJ253+GT$244&gt;73,"",PRODUCT(INDEX($T$19:$T$93,GT$244):INDEX($T$19:$T$93,GT$244+$FJ253-1)))</f>
        <v>0.99756682476586</v>
      </c>
      <c r="GU253" s="150" t="n">
        <f aca="false">IF($FJ253+GU$244&gt;73,"",PRODUCT(INDEX($T$19:$T$93,GU$244):INDEX($T$19:$T$93,GU$244+$FJ253-1)))</f>
        <v>0.997154425617136</v>
      </c>
      <c r="GV253" s="150" t="n">
        <f aca="false">IF($FJ253+GV$244&gt;73,"",PRODUCT(INDEX($T$19:$T$93,GV$244):INDEX($T$19:$T$93,GV$244+$FJ253-1)))</f>
        <v>0.996672184218315</v>
      </c>
      <c r="GW253" s="150" t="n">
        <f aca="false">IF($FJ253+GW$244&gt;73,"",PRODUCT(INDEX($T$19:$T$93,GW$244):INDEX($T$19:$T$93,GW$244+$FJ253-1)))</f>
        <v>0.996108293875352</v>
      </c>
      <c r="GX253" s="150" t="n">
        <f aca="false">IF($FJ253+GX$244&gt;73,"",PRODUCT(INDEX($T$19:$T$93,GX$244):INDEX($T$19:$T$93,GX$244+$FJ253-1)))</f>
        <v>0.99544896030805</v>
      </c>
      <c r="GY253" s="150" t="n">
        <f aca="false">IF($FJ253+GY$244&gt;73,"",PRODUCT(INDEX($T$19:$T$93,GY$244):INDEX($T$19:$T$93,GY$244+$FJ253-1)))</f>
        <v>0.994678070254046</v>
      </c>
      <c r="GZ253" s="150" t="n">
        <f aca="false">IF($FJ253+GZ$244&gt;73,"",PRODUCT(INDEX($T$19:$T$93,GZ$244):INDEX($T$19:$T$93,GZ$244+$FJ253-1)))</f>
        <v>0.993776806052285</v>
      </c>
      <c r="HA253" s="150" t="n">
        <f aca="false">IF($FJ253+HA$244&gt;73,"",PRODUCT(INDEX($T$19:$T$93,HA$244):INDEX($T$19:$T$93,HA$244+$FJ253-1)))</f>
        <v>0.99272319787899</v>
      </c>
      <c r="HB253" s="150" t="n">
        <f aca="false">IF($FJ253+HB$244&gt;73,"",PRODUCT(INDEX($T$19:$T$93,HB$244):INDEX($T$19:$T$93,HB$244+$FJ253-1)))</f>
        <v>0.99149160421533</v>
      </c>
      <c r="HC253" s="150" t="n">
        <f aca="false">IF($FJ253+HC$244&gt;73,"",PRODUCT(INDEX($T$19:$T$93,HC$244):INDEX($T$19:$T$93,HC$244+$FJ253-1)))</f>
        <v>0.990052109967706</v>
      </c>
      <c r="HD253" s="150" t="n">
        <f aca="false">IF($FJ253+HD$244&gt;73,"",PRODUCT(INDEX($T$19:$T$93,HD$244):INDEX($T$19:$T$93,HD$244+$FJ253-1)))</f>
        <v>0.988369830474101</v>
      </c>
      <c r="HE253" s="150" t="n">
        <f aca="false">IF($FJ253+HE$244&gt;73,"",PRODUCT(INDEX($T$19:$T$93,HE$244):INDEX($T$19:$T$93,HE$244+$FJ253-1)))</f>
        <v>0.986404108471564</v>
      </c>
      <c r="HF253" s="150" t="n">
        <f aca="false">IF($FJ253+HF$244&gt;73,"",PRODUCT(INDEX($T$19:$T$93,HF$244):INDEX($T$19:$T$93,HF$244+$FJ253-1)))</f>
        <v>0.984107590062931</v>
      </c>
      <c r="HG253" s="150" t="n">
        <f aca="false">IF($FJ253+HG$244&gt;73,"",PRODUCT(INDEX($T$19:$T$93,HG$244):INDEX($T$19:$T$93,HG$244+$FJ253-1)))</f>
        <v>0.981425164946064</v>
      </c>
      <c r="HH253" s="150" t="n">
        <f aca="false">IF($FJ253+HH$244&gt;73,"",PRODUCT(INDEX($T$19:$T$93,HH$244):INDEX($T$19:$T$93,HH$244+$FJ253-1)))</f>
        <v>0.978292755865803</v>
      </c>
      <c r="HI253" s="150" t="n">
        <f aca="false">IF($FJ253+HI$244&gt;73,"",PRODUCT(INDEX($T$19:$T$93,HI$244):INDEX($T$19:$T$93,HI$244+$FJ253-1)))</f>
        <v>0.974635942724167</v>
      </c>
      <c r="HJ253" s="150" t="n">
        <f aca="false">IF($FJ253+HJ$244&gt;73,"",PRODUCT(INDEX($T$19:$T$93,HJ$244):INDEX($T$19:$T$93,HJ$244+$FJ253-1)))</f>
        <v>0.97036840848051</v>
      </c>
      <c r="HK253" s="150" t="n">
        <f aca="false">IF($FJ253+HK$244&gt;73,"",PRODUCT(INDEX($T$19:$T$93,HK$244):INDEX($T$19:$T$93,HK$244+$FJ253-1)))</f>
        <v>0.965390197521534</v>
      </c>
      <c r="HL253" s="150" t="n">
        <f aca="false">IF($FJ253+HL$244&gt;73,"",PRODUCT(INDEX($T$19:$T$93,HL$244):INDEX($T$19:$T$93,HL$244+$FJ253-1)))</f>
        <v>0.959585783472333</v>
      </c>
      <c r="HM253" s="150" t="n">
        <f aca="false">IF($FJ253+HM$244&gt;73,"",PRODUCT(INDEX($T$19:$T$93,HM$244):INDEX($T$19:$T$93,HM$244+$FJ253-1)))</f>
        <v>0.952821953700853</v>
      </c>
      <c r="HN253" s="150" t="n">
        <f aca="false">IF($FJ253+HN$244&gt;73,"",PRODUCT(INDEX($T$19:$T$93,HN$244):INDEX($T$19:$T$93,HN$244+$FJ253-1)))</f>
        <v>0.944945533767318</v>
      </c>
      <c r="HO253" s="150" t="n">
        <f aca="false">IF($FJ253+HO$244&gt;73,"",PRODUCT(INDEX($T$19:$T$93,HO$244):INDEX($T$19:$T$93,HO$244+$FJ253-1)))</f>
        <v>0.935780999159083</v>
      </c>
      <c r="HP253" s="150" t="n">
        <f aca="false">IF($FJ253+HP$244&gt;73,"",PRODUCT(INDEX($T$19:$T$93,HP$244):INDEX($T$19:$T$93,HP$244+$FJ253-1)))</f>
        <v>0.925128057047985</v>
      </c>
      <c r="HQ253" s="150" t="n">
        <f aca="false">IF($FJ253+HQ$244&gt;73,"",PRODUCT(INDEX($T$19:$T$93,HQ$244):INDEX($T$19:$T$93,HQ$244+$FJ253-1)))</f>
        <v>0.912759331818545</v>
      </c>
      <c r="HR253" s="150" t="n">
        <f aca="false">IF($FJ253+HR$244&gt;73,"",PRODUCT(INDEX($T$19:$T$93,HR$244):INDEX($T$19:$T$93,HR$244+$FJ253-1)))</f>
        <v>0.898418360403315</v>
      </c>
      <c r="HS253" s="150" t="n">
        <f aca="false">IF($FJ253+HS$244&gt;73,"",PRODUCT(INDEX($T$19:$T$93,HS$244):INDEX($T$19:$T$93,HS$244+$FJ253-1)))</f>
        <v>0.881818204292533</v>
      </c>
      <c r="HT253" s="150" t="n">
        <f aca="false">IF($FJ253+HT$244&gt;73,"",PRODUCT(INDEX($T$19:$T$93,HT$244):INDEX($T$19:$T$93,HT$244+$FJ253-1)))</f>
        <v>0.862641123464487</v>
      </c>
      <c r="HU253" s="150" t="n">
        <f aca="false">IF($FJ253+HU$244&gt;73,"",PRODUCT(INDEX($T$19:$T$93,HU$244):INDEX($T$19:$T$93,HU$244+$FJ253-1)))</f>
        <v>0.840539943982133</v>
      </c>
      <c r="HV253" s="150" t="n">
        <f aca="false">IF($FJ253+HV$244&gt;73,"",PRODUCT(INDEX($T$19:$T$93,HV$244):INDEX($T$19:$T$93,HV$244+$FJ253-1)))</f>
        <v>0.815141996908158</v>
      </c>
      <c r="HW253" s="150" t="n">
        <f aca="false">IF($FJ253+HW$244&gt;73,"",PRODUCT(INDEX($T$19:$T$93,HW$244):INDEX($T$19:$T$93,HW$244+$FJ253-1)))</f>
        <v>0.786056821312548</v>
      </c>
      <c r="HX253" s="150" t="n">
        <f aca="false">IF($FJ253+HX$244&gt;73,"",PRODUCT(INDEX($T$19:$T$93,HX$244):INDEX($T$19:$T$93,HX$244+$FJ253-1)))</f>
        <v>0.752889212109474</v>
      </c>
      <c r="HY253" s="150" t="n">
        <f aca="false">IF($FJ253+HY$244&gt;73,"",PRODUCT(INDEX($T$19:$T$93,HY$244):INDEX($T$19:$T$93,HY$244+$FJ253-1)))</f>
        <v>0.71525964257366</v>
      </c>
      <c r="HZ253" s="150" t="n">
        <f aca="false">IF($FJ253+HZ$244&gt;73,"",PRODUCT(INDEX($T$19:$T$93,HZ$244):INDEX($T$19:$T$93,HZ$244+$FJ253-1)))</f>
        <v>0.672834558046691</v>
      </c>
      <c r="IA253" s="150" t="n">
        <f aca="false">IF($FJ253+IA$244&gt;73,"",PRODUCT(INDEX($T$19:$T$93,IA$244):INDEX($T$19:$T$93,IA$244+$FJ253-1)))</f>
        <v>0.625369417557564</v>
      </c>
      <c r="IB253" s="150" t="n">
        <f aca="false">IF($FJ253+IB$244&gt;73,"",PRODUCT(INDEX($T$19:$T$93,IB$244):INDEX($T$19:$T$93,IB$244+$FJ253-1)))</f>
        <v>0.572767443470694</v>
      </c>
      <c r="IC253" s="150" t="n">
        <f aca="false">IF($FJ253+IC$244&gt;73,"",PRODUCT(INDEX($T$19:$T$93,IC$244):INDEX($T$19:$T$93,IC$244+$FJ253-1)))</f>
        <v>0.515156440291725</v>
      </c>
      <c r="ID253" s="572" t="n">
        <f aca="false">IF($FJ253+ID$244&gt;73,"",PRODUCT(INDEX($T$19:$T$93,ID$244):INDEX($T$19:$T$93,ID$244+$FJ253-1)))</f>
        <v>0.45298411048777</v>
      </c>
      <c r="IE253" s="129"/>
    </row>
    <row r="254" customFormat="false" ht="12.75" hidden="false" customHeight="false" outlineLevel="0" collapsed="false">
      <c r="H254" s="219" t="n">
        <f aca="false">VLOOKUP(I254,$EJ$20:$EL$54,3)</f>
        <v>0</v>
      </c>
      <c r="I254" s="511" t="n">
        <f aca="false">EOMONTH(I253,0)+1</f>
        <v>43891</v>
      </c>
      <c r="J254" s="512"/>
      <c r="K254" s="513" t="s">
        <v>280</v>
      </c>
      <c r="L254" s="514" t="n">
        <f aca="false">IF(ISNUMBER(K254),J254+K254/100,IF(K254="extra",L253+VLOOKUP(BF254,PriceSpreadTable,2)/12,IF(K254="inter",interpolateprices($K$19:$L$200,ROW(K254)-ROW(FirstPricingMonth)+1),interpolatechanges($J$19:$K$200,ROW(K254)-ROW(FirstPricingMonth)+1))))</f>
        <v>5.92499999999999</v>
      </c>
      <c r="M254" s="515"/>
      <c r="N254" s="516" t="n">
        <v>0</v>
      </c>
      <c r="O254" s="515" t="n">
        <f aca="false">M254+N254</f>
        <v>0</v>
      </c>
      <c r="P254" s="512"/>
      <c r="Q254" s="513" t="s">
        <v>280</v>
      </c>
      <c r="R254" s="512" t="e">
        <f aca="false">IF(ISNUMBER(Q254),P254+Q254/100,IF(Q254="extra",(Z252*AL252-R253*AM252)/AN252,IF(Q254="inter",interpolateprices($Q$19:$R$260,ROW(Q254)-ROW(FirstPricingMonth)+1),interpolatechanges($P$19:$Q$260,ROW(Q254)-ROW(FirstPricingMonth)+1))))</f>
        <v>#VALUE!</v>
      </c>
      <c r="S254" s="597" t="n">
        <f aca="false">S$19+(S253-S$19)*S$18</f>
        <v>0.36</v>
      </c>
      <c r="T254" s="575" t="n">
        <f aca="false">SQRT((1-(1-T253^2/U253)*T$18)*U254)</f>
        <v>1</v>
      </c>
      <c r="U254" s="576" t="n">
        <f aca="false">1-(1-U253)*U$18</f>
        <v>1</v>
      </c>
      <c r="V254" s="521" t="n">
        <v>0</v>
      </c>
      <c r="W254" s="577" t="n">
        <f aca="false">(J255*AJ254+J256*AK254)/AI254</f>
        <v>0</v>
      </c>
      <c r="X254" s="578" t="n">
        <f aca="false">(L255*AJ254+L256*AK254)/AI254</f>
        <v>5.97443181818181</v>
      </c>
      <c r="Y254" s="579" t="n">
        <f aca="false">IF(Q256="extra",W254-AA254,(P255*AM254+P256*AN254)/AL254)</f>
        <v>-1.1685</v>
      </c>
      <c r="Z254" s="579" t="n">
        <f aca="false">IF(Q256="extra",X254-AB254,(R255*AM254+R256*AN254)/AL254)</f>
        <v>4.80593181818181</v>
      </c>
      <c r="AA254" s="523" t="n">
        <f aca="false">IF(Q256="extra",INDEX(BrentSeasonalityTable,INT((BG254-1)/3)+1)*VLOOKUP(MAX(BF254,$AB$4),PriceSpreadTable,3),W254-Y254)</f>
        <v>1.1685</v>
      </c>
      <c r="AB254" s="524" t="n">
        <f aca="false">IF(Q256="extra",INDEX(BrentSeasonalityTable,INT((BG254-1)/3)+1)*VLOOKUP(MAX(BF254,$AB$4),PriceSpreadTable,3),X254-Z254)</f>
        <v>1.1685</v>
      </c>
      <c r="AC254" s="646" t="n">
        <v>43881</v>
      </c>
      <c r="AD254" s="646" t="n">
        <v>43877</v>
      </c>
      <c r="AE254" s="646" t="n">
        <v>43876</v>
      </c>
      <c r="AF254" s="646" t="n">
        <v>43872</v>
      </c>
      <c r="AG254" s="438" t="s">
        <v>278</v>
      </c>
      <c r="AH254" s="439" t="s">
        <v>278</v>
      </c>
      <c r="AI254" s="528" t="n">
        <v>22</v>
      </c>
      <c r="AJ254" s="529" t="n">
        <v>15</v>
      </c>
      <c r="AK254" s="529" t="n">
        <v>7</v>
      </c>
      <c r="AL254" s="530" t="n">
        <v>22</v>
      </c>
      <c r="AM254" s="529" t="n">
        <v>10</v>
      </c>
      <c r="AN254" s="531" t="n">
        <v>12</v>
      </c>
      <c r="AO254" s="532"/>
      <c r="AP254" s="465" t="n">
        <f aca="false">(1+AO254/2)^(-2*BL254)</f>
        <v>1</v>
      </c>
      <c r="AQ254" s="532"/>
      <c r="AR254" s="465" t="n">
        <f aca="false">(1+AQ254/2)^(-2*BH254/365.25)</f>
        <v>1</v>
      </c>
      <c r="AS254" s="580" t="n">
        <f aca="false">(O255*AJ254+O256*AK254)/AI254</f>
        <v>0</v>
      </c>
      <c r="AT254" s="468" t="n">
        <f aca="false">O254*VLOOKUP(BF254,BrentVolTable,2)+VLOOKUP(BF254,BrentVolTable,3)</f>
        <v>0</v>
      </c>
      <c r="AU254" s="468" t="n">
        <f aca="false">(AT255*AM254+AT256*AN254)/AL254</f>
        <v>0</v>
      </c>
      <c r="AV254" s="595" t="n">
        <f aca="false">SQRT(MAX(0.000000000001,(O254^2*BH254-S254^2*(BH254-BH253))/BH253))</f>
        <v>0.0439598399959273</v>
      </c>
      <c r="AW254" s="451" t="n">
        <f aca="false">IF($I254-DateToday+15&gt;=$T$8,"",IF($I254-DateToday+15&lt;$T$5,1,MATCH($I254-DateToday+15,$T$5:$T$8)))</f>
        <v>1</v>
      </c>
      <c r="AX254" s="468" t="n">
        <f aca="false">IF($AW254="",AX253^2/AX252,INDEX(U$5:U$8,$AW254)^((INDEX($T$5:$T$8,$AW254+1)-($I254-DateToday+15))/(INDEX($T$5:$T$8,$AW254+1)-INDEX($T$5:$T$8,$AW254)))/INDEX(U$5:U$8,$AW254+1)^((INDEX($T$5:$T$8,$AW254)-($I254-DateToday+15))/(INDEX($T$5:$T$8,$AW254+1)-INDEX($T$5:$T$8,$AW254))))</f>
        <v>0.0844077583434349</v>
      </c>
      <c r="AY254" s="468" t="n">
        <f aca="false">IF($AW254="",AY253^2/AY252,INDEX(V$5:V$8,$AW254)^((INDEX($T$5:$T$8,$AW254+1)-($I254-DateToday+15))/(INDEX($T$5:$T$8,$AW254+1)-INDEX($T$5:$T$8,$AW254)))/INDEX(V$5:V$8,$AW254+1)^((INDEX($T$5:$T$8,$AW254)-($I254-DateToday+15))/(INDEX($T$5:$T$8,$AW254+1)-INDEX($T$5:$T$8,$AW254))))</f>
        <v>0.273233490866489</v>
      </c>
      <c r="AZ254" s="468" t="n">
        <f aca="false">IF($AW254="",AZ253^2/AZ252,INDEX(W$5:W$8,$AW254)^((INDEX($T$5:$T$8,$AW254+1)-($I254-DateToday+15))/(INDEX($T$5:$T$8,$AW254+1)-INDEX($T$5:$T$8,$AW254)))/INDEX(W$5:W$8,$AW254+1)^((INDEX($T$5:$T$8,$AW254)-($I254-DateToday+15))/(INDEX($T$5:$T$8,$AW254+1)-INDEX($T$5:$T$8,$AW254))))</f>
        <v>3.06028438611278</v>
      </c>
      <c r="BA254" s="468" t="n">
        <f aca="false">IF($AW254="",BA253^2/BA252,INDEX(X$5:X$8,$AW254)^((INDEX($T$5:$T$8,$AW254+1)-($I254-DateToday+15))/(INDEX($T$5:$T$8,$AW254+1)-INDEX($T$5:$T$8,$AW254)))/INDEX(X$5:X$8,$AW254+1)^((INDEX($T$5:$T$8,$AW254)-($I254-DateToday+15))/(INDEX($T$5:$T$8,$AW254+1)-INDEX($T$5:$T$8,$AW254))))</f>
        <v>2.69074734297077</v>
      </c>
      <c r="BB254" s="468" t="n">
        <f aca="false">IF($AW254="",BB253^2/BB252,INDEX(Y$5:Y$8,$AW254)^((INDEX($T$5:$T$8,$AW254+1)-($I254-DateToday+15))/(INDEX($T$5:$T$8,$AW254+1)-INDEX($T$5:$T$8,$AW254)))/INDEX(Y$5:Y$8,$AW254+1)^((INDEX($T$5:$T$8,$AW254)-($I254-DateToday+15))/(INDEX($T$5:$T$8,$AW254+1)-INDEX($T$5:$T$8,$AW254))))</f>
        <v>7.33817463692093</v>
      </c>
      <c r="BC254" s="468" t="n">
        <f aca="false">IF($AW254="",BC253^2/BC252,INDEX(Z$5:Z$8,$AW254)^((INDEX($T$5:$T$8,$AW254+1)-($I254-DateToday+15))/(INDEX($T$5:$T$8,$AW254+1)-INDEX($T$5:$T$8,$AW254)))/INDEX(Z$5:Z$8,$AW254+1)^((INDEX($T$5:$T$8,$AW254)-($I254-DateToday+15))/(INDEX($T$5:$T$8,$AW254+1)-INDEX($T$5:$T$8,$AW254))))</f>
        <v>13.8655387912709</v>
      </c>
      <c r="BD254" s="535" t="n">
        <f aca="false">IF(OR(DateStart&gt;=I255,DateEnd&lt;I254),0,IF(VolumeOverrideFlag,V254,Volume))</f>
        <v>0</v>
      </c>
      <c r="BE254" s="536" t="n">
        <f aca="false">IF(OR(DateStart2&gt;=I255,DateEnd2&lt;I254),0,IF(VolumeOverrideFlag,V254,VolumeSwaption))</f>
        <v>0</v>
      </c>
      <c r="BF254" s="537" t="n">
        <f aca="false">YEAR(I254)</f>
        <v>2020</v>
      </c>
      <c r="BG254" s="538" t="n">
        <f aca="false">MONTH(I254)</f>
        <v>3</v>
      </c>
      <c r="BH254" s="539" t="n">
        <f aca="false">AD254-DateToday+1</f>
        <v>-2048</v>
      </c>
      <c r="BI254" s="540" t="n">
        <f aca="false">(I254-DateToday+1)/365.25</f>
        <v>-5.56878850102669</v>
      </c>
      <c r="BJ254" s="541" t="n">
        <f aca="false">BI254+(BL254-BI254)*CHOOSE(Underlying,AJ254/AI254,AM254/AL254)</f>
        <v>-5.51278700765354</v>
      </c>
      <c r="BK254" s="541" t="n">
        <f aca="false">BJ254+1/365.25</f>
        <v>-5.51004915686641</v>
      </c>
      <c r="BL254" s="541" t="n">
        <f aca="false">(I255-DateToday)/365.25</f>
        <v>-5.48665297741273</v>
      </c>
      <c r="BM254" s="542" t="e">
        <f aca="false">MAX(BI254-(BJ254-BI254)*(S255^2/O255^2-1),0)</f>
        <v>#DIV/0!</v>
      </c>
      <c r="BN254" s="541" t="e">
        <f aca="false">MAX(BL254+(BL254-BK254)*(S256^2/O256^2-1),0)</f>
        <v>#DIV/0!</v>
      </c>
      <c r="BO254" s="530" t="n">
        <f aca="false">CHOOSE(Underlying,AI254,AL254)</f>
        <v>22</v>
      </c>
      <c r="BP254" s="529" t="n">
        <f aca="false">CHOOSE(Underlying,AJ254,AM254)</f>
        <v>15</v>
      </c>
      <c r="BQ254" s="529" t="n">
        <f aca="false">CHOOSE(Underlying,AK254,AN254)</f>
        <v>7</v>
      </c>
      <c r="BR254" s="463" t="str">
        <f aca="false">IF(BD254,IF(Underlying=1,X254,Z254)+UnderlyingPriceAsian-SwapPriceCurve,"")</f>
        <v/>
      </c>
      <c r="BS254" s="463" t="str">
        <f aca="false">IF(BD254,Strike1/BR254-1,"")</f>
        <v/>
      </c>
      <c r="BT254" s="464" t="str">
        <f aca="false">IF(BD254,Strike2/BR254-1,"")</f>
        <v/>
      </c>
      <c r="BU254" s="465" t="str">
        <f aca="false">IF(BD254,IF(Underlying=1,L255,R255)+UnderlyingPriceAsian-SwapPriceCurve,"")</f>
        <v/>
      </c>
      <c r="BV254" s="465" t="str">
        <f aca="false">IF(BD254,IF(Underlying=1,L256,R256)+UnderlyingPriceAsian-SwapPriceCurve,"")</f>
        <v/>
      </c>
      <c r="BW254" s="466" t="str">
        <f aca="false">IF(BD254,IF(Underlying=1,O255,AT255),"")</f>
        <v/>
      </c>
      <c r="BX254" s="467" t="str">
        <f aca="false">IF(BD254,IF(Underlying=1,O256,AT256),"")</f>
        <v/>
      </c>
      <c r="BY254" s="466" t="str">
        <f aca="false">IF(BD254,IF(BS254&gt;0,IF(BS254&gt;0.2,BC254-BB254,IF(BS254&gt;0.1,BB254-BA254,BA254)),IF(BS254&lt;-0.2,AX254-AY254,IF(BS254&lt;-0.1,AY254-AZ254,AZ254))),"")</f>
        <v/>
      </c>
      <c r="BZ254" s="467" t="str">
        <f aca="false">IF(BD254,IF(BT254&gt;0,IF(BT254&gt;0.2,BC254-BB254,IF(BT254&gt;0.1,BB254-BA254,BA254)),IF(BT254&lt;-0.2,AX254-AY254,IF(BT254&lt;-0.1,AY254-AZ254,AZ254))),"")</f>
        <v/>
      </c>
      <c r="CA254" s="468" t="str">
        <f aca="false">IF($BD254,$BW254+IF(VolSkewFlag=1,IF(BS254&gt;0,$BA254*MIN(BS254/10%,1)+($BB254-$BA254)*MAX(0,MIN(BS254/10%-1,1))+($BC254-$BB254)*MAX(0,BS254/10%-2),$AZ254*MIN(-BS254/10%,1)+($AY254-$AZ254)*MAX(0,MIN(-BS254/10%-1,1))+($AX254-$AY254)*MAX(0,-BS254/10%-2)),0),"")</f>
        <v/>
      </c>
      <c r="CB254" s="468" t="str">
        <f aca="false">IF($BD254,$BX254+IF(VolSkewFlag=1,IF(BS254&gt;0,$BA254*MIN(BS254/10%,1)+($BB254-$BA254)*MAX(0,MIN(BS254/10%-1,1))+($BC254-$BB254)*MAX(0,BS254/10%-2),$AZ254*MIN(-BS254/10%,1)+($AY254-$AZ254)*MAX(0,MIN(-BS254/10%-1,1))+($AX254-$AY254)*MAX(0,-BS254/10%-2)),0),"")</f>
        <v/>
      </c>
      <c r="CC254" s="468" t="str">
        <f aca="false">IF($BD254,$BW254+IF(VolSkewFlag=1,IF(BT254&gt;0,$BA254*MIN(BT254/10%,1)+($BB254-$BA254)*MAX(0,MIN(BT254/10%-1,1))+($BC254-$BB254)*MAX(0,BT254/10%-2),$AZ254*MIN(-BT254/10%,1)+($AY254-$AZ254)*MAX(0,MIN(-BT254/10%-1,1))+($AX254-$AY254)*MAX(0,-BT254/10%-2)),0),"")</f>
        <v/>
      </c>
      <c r="CD254" s="468" t="str">
        <f aca="false">IF($BD254,$BX254+IF(VolSkewFlag=1,IF(BT254&gt;0,$BA254*MIN(BT254/10%,1)+($BB254-$BA254)*MAX(0,MIN(BT254/10%-1,1))+($BC254-$BB254)*MAX(0,BT254/10%-2),$AZ254*MIN(-BT254/10%,1)+($AY254-$AZ254)*MAX(0,MIN(-BT254/10%-1,1))+($AX254-$AY254)*MAX(0,-BT254/10%-2)),0),"")</f>
        <v/>
      </c>
      <c r="CE254" s="469" t="n">
        <v>1</v>
      </c>
      <c r="CF254" s="470" t="n">
        <f aca="false">IF(BD254,xCrudeAPO(BU254,BV254,CA254,CB254,S255,S256,BI254,BL254,BP254,BQ254,0,Strike1,AO254,CE254,0,BL254,IF(OptControl=4,0,1),0,1),0)</f>
        <v>0</v>
      </c>
      <c r="CG254" s="470" t="n">
        <f aca="false">IF(BD254,xCrudeAPO(BU254,BV254,CA254,CB254,S255,S256,BI254,BL254,BP254,BQ254,0,Strike1,AO254,CE254,0,BL254,IF(OptControl=4,0,1),1,1)+xCrudeAPO(BU254,BV254,CA254,CB254,S255,S256,BI254,BL254,BP254,BQ254,0,Strike1,AO254,CE254,0,BL254,IF(OptControl=4,0,1),1,2)+IF(OR(VolSkewFlag=2,ABS(BS254)&lt;0.0001),0,IF(BS254&gt;0,-1,1)*CH254*Strike1/BR254^2*BY254/10%),0)</f>
        <v>0</v>
      </c>
      <c r="CH254" s="470" t="n">
        <f aca="false">IF(BD254,(xCrudeAPO(BU254,BV254,CA254,CB254,S255,S256,BI254,BL254,BP254,BQ254,0,Strike1,AO254,CE254,0,BL254,IF(OptControl=4,0,1),3,1)+xCrudeAPO(BU254,BV254,CA254,CB254,S255,S256,BI254,BL254,BP254,BQ254,0,Strike1,AO254,CE254,0,BL254,IF(OptControl=4,0,1),3,2))/100,0)</f>
        <v>0</v>
      </c>
      <c r="CI254" s="470" t="n">
        <f aca="false">IF(BD254,xCrudeAPO(BU254,BV254,CA254,CB254,S255,S256,BI254-DaysForThetaCalculation/365.25,BL254-DaysForThetaCalculation/365.25,BP254,BQ254,0,Strike1,AO254,CE254,0,BL254,IF(OptControl=4,0,1),0,1)-xCrudeAPO(BU254,BV254,CA254,CB254,S255,S256,BI254,BL254,BP254,BQ254,0,Strike1,AO254,CE254,0,BL254,IF(OptControl=4,0,1),0,1),0)</f>
        <v>0</v>
      </c>
      <c r="CJ254" s="471" t="n">
        <f aca="false">IF(BD254,xCrudeAPO(BU254,BV254,CC254,CD254,S255,S256,BI254,BL254,BP254,BQ254,0,Strike2,AO254,CE254,0,BL254,IF(OptControl=3,1,0),0,1),0)</f>
        <v>0</v>
      </c>
      <c r="CK254" s="470" t="n">
        <f aca="false">IF(BD254,xCrudeAPO(BU254,BV254,CC254,CD254,S255,S256,BI254,BL254,BP254,BQ254,0,Strike2,AO254,CE254,0,BL254,IF(OptControl=3,1,0),1,1)+xCrudeAPO(BU254,BV254,CC254,CD254,S255,S256,BI254,BL254,BP254,BQ254,0,Strike2,AO254,CE254,0,BL254,IF(OptControl=3,1,0),1,2)+IF(OR(VolSkewFlag=2,ABS(BT254)&lt;0.0001),0,IF(BT254&gt;0,-1,1)*CL254*Strike2/BR254^2*BZ254/10%),0)</f>
        <v>0</v>
      </c>
      <c r="CL254" s="470" t="n">
        <f aca="false">IF(BD254,(xCrudeAPO(BU254,BV254,CC254,CD254,S255,S256,BI254,BL254,BP254,BQ254,0,Strike2,AO254,CE254,0,BL254,IF(OptControl=3,1,0),3,1)+xCrudeAPO(BU254,BV254,CC254,CD254,S255,S256,BI254,BL254,BP254,BQ254,0,Strike2,AO254,CE254,0,BL254,IF(OptControl=3,1,0),3,2))/100,0)</f>
        <v>0</v>
      </c>
      <c r="CM254" s="472" t="n">
        <f aca="false">IF(BD254,xCrudeAPO(BU254,BV254,CC254,CD254,S255,S256,BI254-DaysForThetaCalculation/365.25,BL254-DaysForThetaCalculation/365.25,BP254,BQ254,0,Strike2,AO254,CE254,0,BL254,IF(OptControl=3,1,0),0,1)-xCrudeAPO(BU254,BV254,CC254,CD254,S255,S256,BI254,BL254,BP254,BQ254,0,Strike2,AO254,CE254,0,BL254,IF(OptControl=3,1,0),0,1),0)</f>
        <v>0</v>
      </c>
      <c r="CN254" s="3"/>
      <c r="CO254" s="543" t="str">
        <f aca="false">IF(BD254,CHOOSE(Underlying,AD254,AF254)-DateToday+1,"")</f>
        <v/>
      </c>
      <c r="CP254" s="582" t="str">
        <f aca="false">IF(BD254,CHOOSE(Underlying,L254,R254),"")</f>
        <v/>
      </c>
      <c r="CQ254" s="544" t="str">
        <f aca="false">IF(BD254,Strike1/CP254-1,"")</f>
        <v/>
      </c>
      <c r="CR254" s="544" t="str">
        <f aca="false">IF(BD254,Strike2/CP254-1,"")</f>
        <v/>
      </c>
      <c r="CS254" s="544" t="str">
        <f aca="false">IF(BD254,IF(CQ254&gt;0,IF(CQ254&gt;0.2,BC253-BB253,IF(CQ254&gt;0.1,BB253-BA253,BA253)),IF(CQ254&lt;-0.2,AX253-AY253,IF(CQ254&lt;-0.1,AY253-AZ253,AZ253))),"")</f>
        <v/>
      </c>
      <c r="CT254" s="544" t="str">
        <f aca="false">IF(BD254,IF(CR254&gt;0,IF(CR254&gt;0.2,BC253-BB253,IF(CR254&gt;0.1,BB253-BA253,BA253)),IF(CR254&lt;-0.2,AX253-AY253,IF(CR254&lt;-0.1,AY253-AZ253,AZ253))),"")</f>
        <v/>
      </c>
      <c r="CU254" s="545" t="str">
        <f aca="false">IF(BD254,CHOOSE(Underlying,O254,AT254),"")</f>
        <v/>
      </c>
      <c r="CV254" s="545" t="str">
        <f aca="false">IF(BD254,CU254+IF(VolSkewFlag=1,IF(CQ254&gt;0,BA253*MIN(CQ254/10%,1)+(BB253-BA253)*MAX(0,MIN(CQ254/10%-1,1))+(BC253-BB253)*MAX(0,CQ254/10%-2),AZ253*MIN(-CQ254/10%,1)+(AY253-AZ253)*MAX(0,MIN(-CQ254/10%-1,1))+(AX253-AY253)*MAX(0,-CQ254/10%-2)),0),"")</f>
        <v/>
      </c>
      <c r="CW254" s="545" t="str">
        <f aca="false">IF(BD254,CU254+IF(VolSkewFlag=1,IF(CR254&gt;0,BA253*MIN(CR254/10%,1)+(BB253-BA253)*MAX(0,MIN(CR254/10%-1,1))+(BC253-BB253)*MAX(0,CR254/10%-2),AZ253*MIN(-CR254/10%,1)+(AY253-AZ253)*MAX(0,MIN(-CR254/10%-1,1))+(AX253-AY253)*MAX(0,-CR254/10%-2)),0),"")</f>
        <v/>
      </c>
      <c r="CX254" s="470" t="n">
        <f aca="false">IF(BD254,EURO(CP254,Strike1,AO254,AO254,CV254,CO254,IF(OptControl=4,0,1),0),0)</f>
        <v>0</v>
      </c>
      <c r="CY254" s="470" t="n">
        <f aca="false">IF(BD254,EURO(CP254,Strike1,AO254,AO254,CV254,CO254,IF(OptControl=4,0,1),1)+IF(OR(VolSkewFlag=2,ABS(CQ254)&lt;0.0001),0,IF(CQ254&gt;0,-1,1)*CZ254*100*Strike1/CP254^2*CS254/10%),0)</f>
        <v>0</v>
      </c>
      <c r="CZ254" s="470" t="n">
        <f aca="false">IF(BD254,EURO(CP254,Strike1,AO254,AO254,CV254,CO254,IF(OptControl=4,0,1),3)/100,0)</f>
        <v>0</v>
      </c>
      <c r="DA254" s="470" t="n">
        <f aca="false">IF(BD254,EURO(CP254,Strike1,AO254,AO254,CV254,CO254,IF(OptControl=4,0,1),0)-EURO(CP254,Strike1,AO254,AO254,CV254,CO254-1,IF(OptControl=4,0,1),0),0)</f>
        <v>0</v>
      </c>
      <c r="DB254" s="470" t="n">
        <f aca="false">IF(BD254,EURO(CP254,Strike2,AO254,AO254,CW254,CO254,IF(OptControl=3,1,0),0),0)</f>
        <v>0</v>
      </c>
      <c r="DC254" s="470" t="n">
        <f aca="false">IF(BD254,EURO(CP254,Strike2,AO254,AO254,CW254,CO254,IF(OptControl=3,1,0),1)+IF(OR(VolSkewFlag=2,ABS(CR254)&lt;0.0001),0,IF(CR254&gt;0,-1,1)*DD254*100*Strike2/CP254^2*CT254/10%),0)</f>
        <v>0</v>
      </c>
      <c r="DD254" s="470" t="n">
        <f aca="false">IF(BD254,EURO(CP254,Strike2,AO254,AO254,CW254,CO254,IF(OptControl=3,1,0),3)/100,0)</f>
        <v>0</v>
      </c>
      <c r="DE254" s="472" t="n">
        <f aca="false">IF(BD254,EURO(CP254,Strike2,AO254,AO254,CW254,CO254,IF(OptControl=3,1,0),0)-EURO(CP254,Strike2,AO254,AO254,CW254,CO254-1,IF(OptControl=3,1,0),0),0)</f>
        <v>0</v>
      </c>
      <c r="DG254" s="481" t="n">
        <f aca="false">EOMONTH(DG253,0)+1</f>
        <v>52810</v>
      </c>
      <c r="DH254" s="478" t="n">
        <v>25.8600000000001</v>
      </c>
      <c r="DI254" s="479" t="n">
        <v>25.9281818181819</v>
      </c>
      <c r="DJ254" s="480" t="n">
        <f aca="false">DG254</f>
        <v>52810</v>
      </c>
      <c r="DK254" s="478" t="n">
        <v>24.4635525083036</v>
      </c>
      <c r="DL254" s="479" t="n">
        <v>24.6612818181819</v>
      </c>
      <c r="DM254" s="481" t="n">
        <f aca="false">DG254</f>
        <v>52810</v>
      </c>
      <c r="DN254" s="482" t="n">
        <f aca="false">DK254+BrentPhyBrentSpread</f>
        <v>24.5135525083036</v>
      </c>
      <c r="DO254" s="481" t="n">
        <f aca="false">DG254</f>
        <v>52810</v>
      </c>
      <c r="DP254" s="483" t="n">
        <f aca="false">DL254+DQ254</f>
        <v>24.6612818181819</v>
      </c>
      <c r="DQ254" s="546" t="n">
        <v>0</v>
      </c>
      <c r="DR254" s="480" t="n">
        <f aca="false">DG254</f>
        <v>52810</v>
      </c>
      <c r="DS254" s="485" t="n">
        <v>0.0841999999999972</v>
      </c>
      <c r="DT254" s="486" t="n">
        <v>0.0833818181818153</v>
      </c>
      <c r="DU254" s="480" t="n">
        <f aca="false">DG254</f>
        <v>52810</v>
      </c>
      <c r="DV254" s="485" t="n">
        <v>0.0841999999999972</v>
      </c>
      <c r="DW254" s="486" t="n">
        <v>0.0833818181818153</v>
      </c>
      <c r="DX254" s="481" t="n">
        <f aca="false">DG254</f>
        <v>52810</v>
      </c>
      <c r="DY254" s="486" t="n">
        <v>0.35</v>
      </c>
      <c r="DZ254" s="481" t="n">
        <f aca="false">DR254</f>
        <v>52810</v>
      </c>
      <c r="EA254" s="486" t="n">
        <f aca="false">DT254</f>
        <v>0.0833818181818153</v>
      </c>
      <c r="EB254" s="195"/>
      <c r="EC254" s="547" t="str">
        <f aca="false">IF(BD254,IF(Underlying=1,AS254,AU254),"")</f>
        <v/>
      </c>
      <c r="ED254" s="548" t="str">
        <f aca="false">IF($BD254,$EC254+IF(VolSkewFlag=1,IF(BS254&gt;0,$BA254*MIN(BS254/10%,1)+($BB254-$BA254)*MAX(0,MIN(BS254/10%-1,1))+($BC254-$BB254)*MAX(0,BS254/10%-2),$AZ254*MIN(-BS254/10%,1)+($AY254-$AZ254)*MAX(0,MIN(-BS254/10%-1,1))+($AX254-$AY254)*MAX(0,-BS254/10%-2)),0),"")</f>
        <v/>
      </c>
      <c r="EE254" s="549" t="str">
        <f aca="false">IF($BD254,$EC254+IF(VolSkewFlag=1,IF(BT254&gt;0,$BA254*MIN(BT254/10%,1)+($BB254-$BA254)*MAX(0,MIN(BT254/10%-1,1))+($BC254-$BB254)*MAX(0,BT254/10%-2),$AZ254*MIN(-BT254/10%,1)+($AY254-$AZ254)*MAX(0,MIN(-BT254/10%-1,1))+($AX254-$AY254)*MAX(0,-BT254/10%-2)),0),"")</f>
        <v/>
      </c>
      <c r="EF254" s="550" t="n">
        <f aca="false">IF(BD254,xASN(BR254,Strike1,AO254,ED254,0,BO254,0,BI254,BL254,IF(OptControl=4,0,1),0),0)</f>
        <v>0</v>
      </c>
      <c r="EG254" s="551" t="n">
        <f aca="false">IF(BD254,xASN(BR254,Strike2,AO254,EE254,0,BO254,0,BI254,BL254,IF(OptControl=3,1,0),0),0)</f>
        <v>0</v>
      </c>
      <c r="EL254" s="1"/>
      <c r="EM254" s="195"/>
      <c r="EN254" s="240"/>
      <c r="EO254" s="240"/>
      <c r="EP254" s="195"/>
      <c r="EQ254" s="407" t="s">
        <v>483</v>
      </c>
      <c r="ES254" s="1"/>
      <c r="EU254" s="672"/>
      <c r="FJ254" s="571" t="n">
        <v>10</v>
      </c>
      <c r="FK254" s="150" t="str">
        <f aca="false">IF($FJ254+FK$244&gt;73,"",PRODUCT(INDEX($T$19:$T$93,FK$244):INDEX($T$19:$T$93,FK$244+$FJ254-1)))</f>
        <v/>
      </c>
      <c r="FL254" s="150" t="str">
        <f aca="false">IF($FJ254+FL$244&gt;73,"",PRODUCT(INDEX($T$19:$T$93,FL$244):INDEX($T$19:$T$93,FL$244+$FJ254-1)))</f>
        <v/>
      </c>
      <c r="FM254" s="150" t="str">
        <f aca="false">IF($FJ254+FM$244&gt;73,"",PRODUCT(INDEX($T$19:$T$93,FM$244):INDEX($T$19:$T$93,FM$244+$FJ254-1)))</f>
        <v/>
      </c>
      <c r="FN254" s="150" t="str">
        <f aca="false">IF($FJ254+FN$244&gt;73,"",PRODUCT(INDEX($T$19:$T$93,FN$244):INDEX($T$19:$T$93,FN$244+$FJ254-1)))</f>
        <v/>
      </c>
      <c r="FO254" s="150" t="str">
        <f aca="false">IF($FJ254+FO$244&gt;73,"",PRODUCT(INDEX($T$19:$T$93,FO$244):INDEX($T$19:$T$93,FO$244+$FJ254-1)))</f>
        <v/>
      </c>
      <c r="FP254" s="150" t="str">
        <f aca="false">IF($FJ254+FP$244&gt;73,"",PRODUCT(INDEX($T$19:$T$93,FP$244):INDEX($T$19:$T$93,FP$244+$FJ254-1)))</f>
        <v/>
      </c>
      <c r="FQ254" s="150" t="str">
        <f aca="false">IF($FJ254+FQ$244&gt;73,"",PRODUCT(INDEX($T$19:$T$93,FQ$244):INDEX($T$19:$T$93,FQ$244+$FJ254-1)))</f>
        <v/>
      </c>
      <c r="FR254" s="150" t="str">
        <f aca="false">IF($FJ254+FR$244&gt;73,"",PRODUCT(INDEX($T$19:$T$93,FR$244):INDEX($T$19:$T$93,FR$244+$FJ254-1)))</f>
        <v/>
      </c>
      <c r="FS254" s="150" t="str">
        <f aca="false">IF($FJ254+FS$244&gt;73,"",PRODUCT(INDEX($T$19:$T$93,FS$244):INDEX($T$19:$T$93,FS$244+$FJ254-1)))</f>
        <v/>
      </c>
      <c r="FT254" s="150" t="n">
        <f aca="false">IF($FJ254+FT$244&gt;73,"",PRODUCT(INDEX($T$19:$T$93,FT$244):INDEX($T$19:$T$93,FT$244+$FJ254-1)))</f>
        <v>0.999956613316141</v>
      </c>
      <c r="FU254" s="150" t="n">
        <f aca="false">IF($FJ254+FU$244&gt;73,"",PRODUCT(INDEX($T$19:$T$93,FU$244):INDEX($T$19:$T$93,FU$244+$FJ254-1)))</f>
        <v>0.999949255371748</v>
      </c>
      <c r="FV254" s="150" t="n">
        <f aca="false">IF($FJ254+FV$244&gt;73,"",PRODUCT(INDEX($T$19:$T$93,FV$244):INDEX($T$19:$T$93,FV$244+$FJ254-1)))</f>
        <v>0.999940649604162</v>
      </c>
      <c r="FW254" s="150" t="n">
        <f aca="false">IF($FJ254+FW$244&gt;73,"",PRODUCT(INDEX($T$19:$T$93,FW$244):INDEX($T$19:$T$93,FW$244+$FJ254-1)))</f>
        <v>0.999930584401168</v>
      </c>
      <c r="FX254" s="150" t="n">
        <f aca="false">IF($FJ254+FX$244&gt;73,"",PRODUCT(INDEX($T$19:$T$93,FX$244):INDEX($T$19:$T$93,FX$244+$FJ254-1)))</f>
        <v>0.99991881226607</v>
      </c>
      <c r="FY254" s="150" t="n">
        <f aca="false">IF($FJ254+FY$244&gt;73,"",PRODUCT(INDEX($T$19:$T$93,FY$244):INDEX($T$19:$T$93,FY$244+$FJ254-1)))</f>
        <v>0.999905043733256</v>
      </c>
      <c r="FZ254" s="150" t="n">
        <f aca="false">IF($FJ254+FZ$244&gt;73,"",PRODUCT(INDEX($T$19:$T$93,FZ$244):INDEX($T$19:$T$93,FZ$244+$FJ254-1)))</f>
        <v>0.999888940252408</v>
      </c>
      <c r="GA254" s="150" t="n">
        <f aca="false">IF($FJ254+GA$244&gt;73,"",PRODUCT(INDEX($T$19:$T$93,GA$244):INDEX($T$19:$T$93,GA$244+$FJ254-1)))</f>
        <v>0.99987010586663</v>
      </c>
      <c r="GB254" s="150" t="n">
        <f aca="false">IF($FJ254+GB$244&gt;73,"",PRODUCT(INDEX($T$19:$T$93,GB$244):INDEX($T$19:$T$93,GB$244+$FJ254-1)))</f>
        <v>0.999848077480255</v>
      </c>
      <c r="GC254" s="150" t="n">
        <f aca="false">IF($FJ254+GC$244&gt;73,"",PRODUCT(INDEX($T$19:$T$93,GC$244):INDEX($T$19:$T$93,GC$244+$FJ254-1)))</f>
        <v>0.999822313477542</v>
      </c>
      <c r="GD254" s="150" t="n">
        <f aca="false">IF($FJ254+GD$244&gt;73,"",PRODUCT(INDEX($T$19:$T$93,GD$244):INDEX($T$19:$T$93,GD$244+$FJ254-1)))</f>
        <v>0.999792180413113</v>
      </c>
      <c r="GE254" s="150" t="n">
        <f aca="false">IF($FJ254+GE$244&gt;73,"",PRODUCT(INDEX($T$19:$T$93,GE$244):INDEX($T$19:$T$93,GE$244+$FJ254-1)))</f>
        <v>0.999756937447894</v>
      </c>
      <c r="GF254" s="150" t="n">
        <f aca="false">IF($FJ254+GF$244&gt;73,"",PRODUCT(INDEX($T$19:$T$93,GF$244):INDEX($T$19:$T$93,GF$244+$FJ254-1)))</f>
        <v>0.99971571814926</v>
      </c>
      <c r="GG254" s="150" t="n">
        <f aca="false">IF($FJ254+GG$244&gt;73,"",PRODUCT(INDEX($T$19:$T$93,GG$244):INDEX($T$19:$T$93,GG$244+$FJ254-1)))</f>
        <v>0.999667509209822</v>
      </c>
      <c r="GH254" s="150" t="n">
        <f aca="false">IF($FJ254+GH$244&gt;73,"",PRODUCT(INDEX($T$19:$T$93,GH$244):INDEX($T$19:$T$93,GH$244+$FJ254-1)))</f>
        <v>0.999611125564342</v>
      </c>
      <c r="GI254" s="150" t="n">
        <f aca="false">IF($FJ254+GI$244&gt;73,"",PRODUCT(INDEX($T$19:$T$93,GI$244):INDEX($T$19:$T$93,GI$244+$FJ254-1)))</f>
        <v>0.999545181296718</v>
      </c>
      <c r="GJ254" s="150" t="n">
        <f aca="false">IF($FJ254+GJ$244&gt;73,"",PRODUCT(INDEX($T$19:$T$93,GJ$244):INDEX($T$19:$T$93,GJ$244+$FJ254-1)))</f>
        <v>0.999468055626983</v>
      </c>
      <c r="GK254" s="150" t="n">
        <f aca="false">IF($FJ254+GK$244&gt;73,"",PRODUCT(INDEX($T$19:$T$93,GK$244):INDEX($T$19:$T$93,GK$244+$FJ254-1)))</f>
        <v>0.999377853149345</v>
      </c>
      <c r="GL254" s="150" t="n">
        <f aca="false">IF($FJ254+GL$244&gt;73,"",PRODUCT(INDEX($T$19:$T$93,GL$244):INDEX($T$19:$T$93,GL$244+$FJ254-1)))</f>
        <v>0.999272357353787</v>
      </c>
      <c r="GM254" s="150" t="n">
        <f aca="false">IF($FJ254+GM$244&gt;73,"",PRODUCT(INDEX($T$19:$T$93,GM$244):INDEX($T$19:$T$93,GM$244+$FJ254-1)))</f>
        <v>0.999148976302557</v>
      </c>
      <c r="GN254" s="150" t="n">
        <f aca="false">IF($FJ254+GN$244&gt;73,"",PRODUCT(INDEX($T$19:$T$93,GN$244):INDEX($T$19:$T$93,GN$244+$FJ254-1)))</f>
        <v>0.999004679145464</v>
      </c>
      <c r="GO254" s="150" t="n">
        <f aca="false">IF($FJ254+GO$244&gt;73,"",PRODUCT(INDEX($T$19:$T$93,GO$244):INDEX($T$19:$T$93,GO$244+$FJ254-1)))</f>
        <v>0.998835921940215</v>
      </c>
      <c r="GP254" s="150" t="n">
        <f aca="false">IF($FJ254+GP$244&gt;73,"",PRODUCT(INDEX($T$19:$T$93,GP$244):INDEX($T$19:$T$93,GP$244+$FJ254-1)))</f>
        <v>0.998638560991536</v>
      </c>
      <c r="GQ254" s="150" t="n">
        <f aca="false">IF($FJ254+GQ$244&gt;73,"",PRODUCT(INDEX($T$19:$T$93,GQ$244):INDEX($T$19:$T$93,GQ$244+$FJ254-1)))</f>
        <v>0.998407751630452</v>
      </c>
      <c r="GR254" s="150" t="n">
        <f aca="false">IF($FJ254+GR$244&gt;73,"",PRODUCT(INDEX($T$19:$T$93,GR$244):INDEX($T$19:$T$93,GR$244+$FJ254-1)))</f>
        <v>0.998137830017101</v>
      </c>
      <c r="GS254" s="150" t="n">
        <f aca="false">IF($FJ254+GS$244&gt;73,"",PRODUCT(INDEX($T$19:$T$93,GS$244):INDEX($T$19:$T$93,GS$244+$FJ254-1)))</f>
        <v>0.997822175160794</v>
      </c>
      <c r="GT254" s="150" t="n">
        <f aca="false">IF($FJ254+GT$244&gt;73,"",PRODUCT(INDEX($T$19:$T$93,GT$244):INDEX($T$19:$T$93,GT$244+$FJ254-1)))</f>
        <v>0.997453047902815</v>
      </c>
      <c r="GU254" s="150" t="n">
        <f aca="false">IF($FJ254+GU$244&gt;73,"",PRODUCT(INDEX($T$19:$T$93,GU$244):INDEX($T$19:$T$93,GU$244+$FJ254-1)))</f>
        <v>0.997021403093897</v>
      </c>
      <c r="GV254" s="150" t="n">
        <f aca="false">IF($FJ254+GV$244&gt;73,"",PRODUCT(INDEX($T$19:$T$93,GV$244):INDEX($T$19:$T$93,GV$244+$FJ254-1)))</f>
        <v>0.996516670612172</v>
      </c>
      <c r="GW254" s="150" t="n">
        <f aca="false">IF($FJ254+GW$244&gt;73,"",PRODUCT(INDEX($T$19:$T$93,GW$244):INDEX($T$19:$T$93,GW$244+$FJ254-1)))</f>
        <v>0.995926500201958</v>
      </c>
      <c r="GX254" s="150" t="n">
        <f aca="false">IF($FJ254+GX$244&gt;73,"",PRODUCT(INDEX($T$19:$T$93,GX$244):INDEX($T$19:$T$93,GX$244+$FJ254-1)))</f>
        <v>0.995236464363179</v>
      </c>
      <c r="GY254" s="150" t="n">
        <f aca="false">IF($FJ254+GY$244&gt;73,"",PRODUCT(INDEX($T$19:$T$93,GY$244):INDEX($T$19:$T$93,GY$244+$FJ254-1)))</f>
        <v>0.994429712681547</v>
      </c>
      <c r="GZ254" s="150" t="n">
        <f aca="false">IF($FJ254+GZ$244&gt;73,"",PRODUCT(INDEX($T$19:$T$93,GZ$244):INDEX($T$19:$T$93,GZ$244+$FJ254-1)))</f>
        <v>0.993486570060225</v>
      </c>
      <c r="HA254" s="150" t="n">
        <f aca="false">IF($FJ254+HA$244&gt;73,"",PRODUCT(INDEX($T$19:$T$93,HA$244):INDEX($T$19:$T$93,HA$244+$FJ254-1)))</f>
        <v>0.992384070299206</v>
      </c>
      <c r="HB254" s="150" t="n">
        <f aca="false">IF($FJ254+HB$244&gt;73,"",PRODUCT(INDEX($T$19:$T$93,HB$244):INDEX($T$19:$T$93,HB$244+$FJ254-1)))</f>
        <v>0.991095415382015</v>
      </c>
      <c r="HC254" s="150" t="n">
        <f aca="false">IF($FJ254+HC$244&gt;73,"",PRODUCT(INDEX($T$19:$T$93,HC$244):INDEX($T$19:$T$93,HC$244+$FJ254-1)))</f>
        <v>0.989589349696115</v>
      </c>
      <c r="HD254" s="150" t="n">
        <f aca="false">IF($FJ254+HD$244&gt;73,"",PRODUCT(INDEX($T$19:$T$93,HD$244):INDEX($T$19:$T$93,HD$244+$FJ254-1)))</f>
        <v>0.987829437277302</v>
      </c>
      <c r="HE254" s="150" t="n">
        <f aca="false">IF($FJ254+HE$244&gt;73,"",PRODUCT(INDEX($T$19:$T$93,HE$244):INDEX($T$19:$T$93,HE$244+$FJ254-1)))</f>
        <v>0.985773229100291</v>
      </c>
      <c r="HF254" s="150" t="n">
        <f aca="false">IF($FJ254+HF$244&gt;73,"",PRODUCT(INDEX($T$19:$T$93,HF$244):INDEX($T$19:$T$93,HF$244+$FJ254-1)))</f>
        <v>0.98337130654674</v>
      </c>
      <c r="HG254" s="150" t="n">
        <f aca="false">IF($FJ254+HG$244&gt;73,"",PRODUCT(INDEX($T$19:$T$93,HG$244):INDEX($T$19:$T$93,HG$244+$FJ254-1)))</f>
        <v>0.980566186632108</v>
      </c>
      <c r="HH254" s="150" t="n">
        <f aca="false">IF($FJ254+HH$244&gt;73,"",PRODUCT(INDEX($T$19:$T$93,HH$244):INDEX($T$19:$T$93,HH$244+$FJ254-1)))</f>
        <v>0.977291074605186</v>
      </c>
      <c r="HI254" s="150" t="n">
        <f aca="false">IF($FJ254+HI$244&gt;73,"",PRODUCT(INDEX($T$19:$T$93,HI$244):INDEX($T$19:$T$93,HI$244+$FJ254-1)))</f>
        <v>0.9734684504979</v>
      </c>
      <c r="HJ254" s="150" t="n">
        <f aca="false">IF($FJ254+HJ$244&gt;73,"",PRODUCT(INDEX($T$19:$T$93,HJ$244):INDEX($T$19:$T$93,HJ$244+$FJ254-1)))</f>
        <v>0.96900847859694</v>
      </c>
      <c r="HK254" s="150" t="n">
        <f aca="false">IF($FJ254+HK$244&gt;73,"",PRODUCT(INDEX($T$19:$T$93,HK$244):INDEX($T$19:$T$93,HK$244+$FJ254-1)))</f>
        <v>0.963807233338129</v>
      </c>
      <c r="HL254" s="150" t="n">
        <f aca="false">IF($FJ254+HL$244&gt;73,"",PRODUCT(INDEX($T$19:$T$93,HL$244):INDEX($T$19:$T$93,HL$244+$FJ254-1)))</f>
        <v>0.95774474277625</v>
      </c>
      <c r="HM254" s="150" t="n">
        <f aca="false">IF($FJ254+HM$244&gt;73,"",PRODUCT(INDEX($T$19:$T$93,HM$244):INDEX($T$19:$T$93,HM$244+$FJ254-1)))</f>
        <v>0.950682862925745</v>
      </c>
      <c r="HN254" s="150" t="n">
        <f aca="false">IF($FJ254+HN$244&gt;73,"",PRODUCT(INDEX($T$19:$T$93,HN$244):INDEX($T$19:$T$93,HN$244+$FJ254-1)))</f>
        <v>0.942463014779483</v>
      </c>
      <c r="HO254" s="150" t="n">
        <f aca="false">IF($FJ254+HO$244&gt;73,"",PRODUCT(INDEX($T$19:$T$93,HO$244):INDEX($T$19:$T$93,HO$244+$FJ254-1)))</f>
        <v>0.932903843243887</v>
      </c>
      <c r="HP254" s="150" t="n">
        <f aca="false">IF($FJ254+HP$244&gt;73,"",PRODUCT(INDEX($T$19:$T$93,HP$244):INDEX($T$19:$T$93,HP$244+$FJ254-1)))</f>
        <v>0.92179889699652</v>
      </c>
      <c r="HQ254" s="150" t="n">
        <f aca="false">IF($FJ254+HQ$244&gt;73,"",PRODUCT(INDEX($T$19:$T$93,HQ$244):INDEX($T$19:$T$93,HQ$244+$FJ254-1)))</f>
        <v>0.908914484883706</v>
      </c>
      <c r="HR254" s="150" t="n">
        <f aca="false">IF($FJ254+HR$244&gt;73,"",PRODUCT(INDEX($T$19:$T$93,HR$244):INDEX($T$19:$T$93,HR$244+$FJ254-1)))</f>
        <v>0.89398794374866</v>
      </c>
      <c r="HS254" s="150" t="n">
        <f aca="false">IF($FJ254+HS$244&gt;73,"",PRODUCT(INDEX($T$19:$T$93,HS$244):INDEX($T$19:$T$93,HS$244+$FJ254-1)))</f>
        <v>0.876726661805887</v>
      </c>
      <c r="HT254" s="150" t="n">
        <f aca="false">IF($FJ254+HT$244&gt;73,"",PRODUCT(INDEX($T$19:$T$93,HT$244):INDEX($T$19:$T$93,HT$244+$FJ254-1)))</f>
        <v>0.856808349595711</v>
      </c>
      <c r="HU254" s="150" t="n">
        <f aca="false">IF($FJ254+HU$244&gt;73,"",PRODUCT(INDEX($T$19:$T$93,HU$244):INDEX($T$19:$T$93,HU$244+$FJ254-1)))</f>
        <v>0.833883246907917</v>
      </c>
      <c r="HV254" s="150" t="n">
        <f aca="false">IF($FJ254+HV$244&gt;73,"",PRODUCT(INDEX($T$19:$T$93,HV$244):INDEX($T$19:$T$93,HV$244+$FJ254-1)))</f>
        <v>0.807579208299098</v>
      </c>
      <c r="HW254" s="150" t="n">
        <f aca="false">IF($FJ254+HW$244&gt;73,"",PRODUCT(INDEX($T$19:$T$93,HW$244):INDEX($T$19:$T$93,HW$244+$FJ254-1)))</f>
        <v>0.777510928169474</v>
      </c>
      <c r="HX254" s="150" t="n">
        <f aca="false">IF($FJ254+HX$244&gt;73,"",PRODUCT(INDEX($T$19:$T$93,HX$244):INDEX($T$19:$T$93,HX$244+$FJ254-1)))</f>
        <v>0.743294946020393</v>
      </c>
      <c r="HY254" s="150" t="n">
        <f aca="false">IF($FJ254+HY$244&gt;73,"",PRODUCT(INDEX($T$19:$T$93,HY$244):INDEX($T$19:$T$93,HY$244+$FJ254-1)))</f>
        <v>0.704572490981343</v>
      </c>
      <c r="HZ254" s="150" t="n">
        <f aca="false">IF($FJ254+HZ$244&gt;73,"",PRODUCT(INDEX($T$19:$T$93,HZ$244):INDEX($T$19:$T$93,HZ$244+$FJ254-1)))</f>
        <v>0.66104262115925</v>
      </c>
      <c r="IA254" s="150" t="n">
        <f aca="false">IF($FJ254+IA$244&gt;73,"",PRODUCT(INDEX($T$19:$T$93,IA$244):INDEX($T$19:$T$93,IA$244+$FJ254-1)))</f>
        <v>0.612508358114192</v>
      </c>
      <c r="IB254" s="150" t="n">
        <f aca="false">IF($FJ254+IB$244&gt;73,"",PRODUCT(INDEX($T$19:$T$93,IB$244):INDEX($T$19:$T$93,IB$244+$FJ254-1)))</f>
        <v>0.558938364171148</v>
      </c>
      <c r="IC254" s="150" t="n">
        <f aca="false">IF($FJ254+IC$244&gt;73,"",PRODUCT(INDEX($T$19:$T$93,IC$244):INDEX($T$19:$T$93,IC$244+$FJ254-1)))</f>
        <v>0.50054573294285</v>
      </c>
      <c r="ID254" s="572" t="n">
        <f aca="false">IF($FJ254+ID$244&gt;73,"",PRODUCT(INDEX($T$19:$T$93,ID$244):INDEX($T$19:$T$93,ID$244+$FJ254-1)))</f>
        <v>0.437882974247966</v>
      </c>
      <c r="IE254" s="129"/>
    </row>
    <row r="255" customFormat="false" ht="12.75" hidden="false" customHeight="false" outlineLevel="0" collapsed="false">
      <c r="H255" s="219" t="n">
        <f aca="false">VLOOKUP(I255,$EJ$20:$EL$54,3)</f>
        <v>0</v>
      </c>
      <c r="I255" s="511" t="n">
        <f aca="false">EOMONTH(I254,0)+1</f>
        <v>43922</v>
      </c>
      <c r="J255" s="512"/>
      <c r="K255" s="513" t="s">
        <v>280</v>
      </c>
      <c r="L255" s="514" t="n">
        <f aca="false">IF(ISNUMBER(K255),J255+K255/100,IF(K255="extra",L254+VLOOKUP(BF255,PriceSpreadTable,2)/12,IF(K255="inter",interpolateprices($K$19:$L$200,ROW(K255)-ROW(FirstPricingMonth)+1),interpolatechanges($J$19:$K$200,ROW(K255)-ROW(FirstPricingMonth)+1))))</f>
        <v>5.96249999999999</v>
      </c>
      <c r="M255" s="515"/>
      <c r="N255" s="516" t="n">
        <v>0</v>
      </c>
      <c r="O255" s="515" t="n">
        <f aca="false">M255+N255</f>
        <v>0</v>
      </c>
      <c r="P255" s="512"/>
      <c r="Q255" s="513" t="s">
        <v>280</v>
      </c>
      <c r="R255" s="512" t="e">
        <f aca="false">IF(ISNUMBER(Q255),P255+Q255/100,IF(Q255="extra",(Z253*AL253-R254*AM253)/AN253,IF(Q255="inter",interpolateprices($Q$19:$R$260,ROW(Q255)-ROW(FirstPricingMonth)+1),interpolatechanges($P$19:$Q$260,ROW(Q255)-ROW(FirstPricingMonth)+1))))</f>
        <v>#VALUE!</v>
      </c>
      <c r="S255" s="597" t="n">
        <f aca="false">S$19+(S254-S$19)*S$18</f>
        <v>0.36</v>
      </c>
      <c r="T255" s="575" t="n">
        <f aca="false">SQRT((1-(1-T254^2/U254)*T$18)*U255)</f>
        <v>1</v>
      </c>
      <c r="U255" s="576" t="n">
        <f aca="false">1-(1-U254)*U$18</f>
        <v>1</v>
      </c>
      <c r="V255" s="521" t="n">
        <v>0</v>
      </c>
      <c r="W255" s="577" t="n">
        <f aca="false">(J256*AJ255+J257*AK255)/AI255</f>
        <v>0</v>
      </c>
      <c r="X255" s="578" t="n">
        <f aca="false">(L256*AJ255+L257*AK255)/AI255</f>
        <v>6.01363636363635</v>
      </c>
      <c r="Y255" s="579" t="n">
        <f aca="false">IF(Q257="extra",W255-AA255,(P256*AM255+P257*AN255)/AL255)</f>
        <v>-1.2915</v>
      </c>
      <c r="Z255" s="579" t="n">
        <f aca="false">IF(Q257="extra",X255-AB255,(R256*AM255+R257*AN255)/AL255)</f>
        <v>4.72213636363635</v>
      </c>
      <c r="AA255" s="523" t="n">
        <f aca="false">IF(Q257="extra",INDEX(BrentSeasonalityTable,INT((BG255-1)/3)+1)*VLOOKUP(MAX(BF255,$AB$4),PriceSpreadTable,3),W255-Y255)</f>
        <v>1.2915</v>
      </c>
      <c r="AB255" s="524" t="n">
        <f aca="false">IF(Q257="extra",INDEX(BrentSeasonalityTable,INT((BG255-1)/3)+1)*VLOOKUP(MAX(BF255,$AB$4),PriceSpreadTable,3),X255-Z255)</f>
        <v>1.2915</v>
      </c>
      <c r="AC255" s="646" t="n">
        <v>43910</v>
      </c>
      <c r="AD255" s="646" t="n">
        <v>43906</v>
      </c>
      <c r="AE255" s="646" t="n">
        <v>43905</v>
      </c>
      <c r="AF255" s="646" t="n">
        <v>43901</v>
      </c>
      <c r="AG255" s="438" t="s">
        <v>278</v>
      </c>
      <c r="AH255" s="439" t="s">
        <v>278</v>
      </c>
      <c r="AI255" s="528" t="n">
        <v>22</v>
      </c>
      <c r="AJ255" s="529" t="n">
        <v>14</v>
      </c>
      <c r="AK255" s="529" t="n">
        <v>8</v>
      </c>
      <c r="AL255" s="530" t="n">
        <v>22</v>
      </c>
      <c r="AM255" s="529" t="n">
        <v>10</v>
      </c>
      <c r="AN255" s="531" t="n">
        <v>12</v>
      </c>
      <c r="AO255" s="532"/>
      <c r="AP255" s="465" t="n">
        <f aca="false">(1+AO255/2)^(-2*BL255)</f>
        <v>1</v>
      </c>
      <c r="AQ255" s="532"/>
      <c r="AR255" s="465" t="n">
        <f aca="false">(1+AQ255/2)^(-2*BH255/365.25)</f>
        <v>1</v>
      </c>
      <c r="AS255" s="580" t="n">
        <f aca="false">(O256*AJ255+O257*AK255)/AI255</f>
        <v>0</v>
      </c>
      <c r="AT255" s="468" t="n">
        <f aca="false">O255*VLOOKUP(BF255,BrentVolTable,2)+VLOOKUP(BF255,BrentVolTable,3)</f>
        <v>0</v>
      </c>
      <c r="AU255" s="468" t="n">
        <f aca="false">(AT256*AM255+AT257*AN255)/AL255</f>
        <v>0</v>
      </c>
      <c r="AV255" s="595" t="n">
        <f aca="false">SQRT(MAX(0.000000000001,(O255^2*BH255-S255^2*(BH255-BH254))/BH254))</f>
        <v>0.0428387237204845</v>
      </c>
      <c r="AW255" s="451" t="n">
        <f aca="false">IF($I255-DateToday+15&gt;=$T$8,"",IF($I255-DateToday+15&lt;$T$5,1,MATCH($I255-DateToday+15,$T$5:$T$8)))</f>
        <v>1</v>
      </c>
      <c r="AX255" s="468" t="n">
        <f aca="false">IF($AW255="",AX254^2/AX253,INDEX(U$5:U$8,$AW255)^((INDEX($T$5:$T$8,$AW255+1)-($I255-DateToday+15))/(INDEX($T$5:$T$8,$AW255+1)-INDEX($T$5:$T$8,$AW255)))/INDEX(U$5:U$8,$AW255+1)^((INDEX($T$5:$T$8,$AW255)-($I255-DateToday+15))/(INDEX($T$5:$T$8,$AW255+1)-INDEX($T$5:$T$8,$AW255))))</f>
        <v>0.082589686694249</v>
      </c>
      <c r="AY255" s="468" t="n">
        <f aca="false">IF($AW255="",AY254^2/AY253,INDEX(V$5:V$8,$AW255)^((INDEX($T$5:$T$8,$AW255+1)-($I255-DateToday+15))/(INDEX($T$5:$T$8,$AW255+1)-INDEX($T$5:$T$8,$AW255)))/INDEX(V$5:V$8,$AW255+1)^((INDEX($T$5:$T$8,$AW255)-($I255-DateToday+15))/(INDEX($T$5:$T$8,$AW255+1)-INDEX($T$5:$T$8,$AW255))))</f>
        <v>0.261756471169319</v>
      </c>
      <c r="AZ255" s="468" t="n">
        <f aca="false">IF($AW255="",AZ254^2/AZ253,INDEX(W$5:W$8,$AW255)^((INDEX($T$5:$T$8,$AW255+1)-($I255-DateToday+15))/(INDEX($T$5:$T$8,$AW255+1)-INDEX($T$5:$T$8,$AW255)))/INDEX(W$5:W$8,$AW255+1)^((INDEX($T$5:$T$8,$AW255)-($I255-DateToday+15))/(INDEX($T$5:$T$8,$AW255+1)-INDEX($T$5:$T$8,$AW255))))</f>
        <v>2.81429483048428</v>
      </c>
      <c r="BA255" s="468" t="n">
        <f aca="false">IF($AW255="",BA254^2/BA253,INDEX(X$5:X$8,$AW255)^((INDEX($T$5:$T$8,$AW255+1)-($I255-DateToday+15))/(INDEX($T$5:$T$8,$AW255+1)-INDEX($T$5:$T$8,$AW255)))/INDEX(X$5:X$8,$AW255+1)^((INDEX($T$5:$T$8,$AW255)-($I255-DateToday+15))/(INDEX($T$5:$T$8,$AW255+1)-INDEX($T$5:$T$8,$AW255))))</f>
        <v>2.42116383661397</v>
      </c>
      <c r="BB255" s="468" t="n">
        <f aca="false">IF($AW255="",BB254^2/BB253,INDEX(Y$5:Y$8,$AW255)^((INDEX($T$5:$T$8,$AW255+1)-($I255-DateToday+15))/(INDEX($T$5:$T$8,$AW255+1)-INDEX($T$5:$T$8,$AW255)))/INDEX(Y$5:Y$8,$AW255+1)^((INDEX($T$5:$T$8,$AW255)-($I255-DateToday+15))/(INDEX($T$5:$T$8,$AW255+1)-INDEX($T$5:$T$8,$AW255))))</f>
        <v>6.53672447448221</v>
      </c>
      <c r="BC255" s="468" t="n">
        <f aca="false">IF($AW255="",BC254^2/BC253,INDEX(Z$5:Z$8,$AW255)^((INDEX($T$5:$T$8,$AW255+1)-($I255-DateToday+15))/(INDEX($T$5:$T$8,$AW255+1)-INDEX($T$5:$T$8,$AW255)))/INDEX(Z$5:Z$8,$AW255+1)^((INDEX($T$5:$T$8,$AW255)-($I255-DateToday+15))/(INDEX($T$5:$T$8,$AW255+1)-INDEX($T$5:$T$8,$AW255))))</f>
        <v>12.2794929036665</v>
      </c>
      <c r="BD255" s="535" t="n">
        <f aca="false">IF(OR(DateStart&gt;=I256,DateEnd&lt;I255),0,IF(VolumeOverrideFlag,V255,Volume))</f>
        <v>0</v>
      </c>
      <c r="BE255" s="536" t="n">
        <f aca="false">IF(OR(DateStart2&gt;=I256,DateEnd2&lt;I255),0,IF(VolumeOverrideFlag,V255,VolumeSwaption))</f>
        <v>0</v>
      </c>
      <c r="BF255" s="537" t="n">
        <f aca="false">YEAR(I255)</f>
        <v>2020</v>
      </c>
      <c r="BG255" s="538" t="n">
        <f aca="false">MONTH(I255)</f>
        <v>4</v>
      </c>
      <c r="BH255" s="539" t="n">
        <f aca="false">AD255-DateToday+1</f>
        <v>-2019</v>
      </c>
      <c r="BI255" s="540" t="n">
        <f aca="false">(I255-DateToday+1)/365.25</f>
        <v>-5.4839151266256</v>
      </c>
      <c r="BJ255" s="541" t="n">
        <f aca="false">BI255+(BL255-BI255)*CHOOSE(Underlying,AJ255/AI255,AM255/AL255)</f>
        <v>-5.43338933482671</v>
      </c>
      <c r="BK255" s="541" t="n">
        <f aca="false">BJ255+1/365.25</f>
        <v>-5.43065148403957</v>
      </c>
      <c r="BL255" s="541" t="n">
        <f aca="false">(I256-DateToday)/365.25</f>
        <v>-5.40451745379877</v>
      </c>
      <c r="BM255" s="542" t="e">
        <f aca="false">MAX(BI255-(BJ255-BI255)*(S256^2/O256^2-1),0)</f>
        <v>#DIV/0!</v>
      </c>
      <c r="BN255" s="541" t="e">
        <f aca="false">MAX(BL255+(BL255-BK255)*(S257^2/O257^2-1),0)</f>
        <v>#DIV/0!</v>
      </c>
      <c r="BO255" s="530" t="n">
        <f aca="false">CHOOSE(Underlying,AI255,AL255)</f>
        <v>22</v>
      </c>
      <c r="BP255" s="529" t="n">
        <f aca="false">CHOOSE(Underlying,AJ255,AM255)</f>
        <v>14</v>
      </c>
      <c r="BQ255" s="529" t="n">
        <f aca="false">CHOOSE(Underlying,AK255,AN255)</f>
        <v>8</v>
      </c>
      <c r="BR255" s="463" t="str">
        <f aca="false">IF(BD255,IF(Underlying=1,X255,Z255)+UnderlyingPriceAsian-SwapPriceCurve,"")</f>
        <v/>
      </c>
      <c r="BS255" s="463" t="str">
        <f aca="false">IF(BD255,Strike1/BR255-1,"")</f>
        <v/>
      </c>
      <c r="BT255" s="464" t="str">
        <f aca="false">IF(BD255,Strike2/BR255-1,"")</f>
        <v/>
      </c>
      <c r="BU255" s="465" t="str">
        <f aca="false">IF(BD255,IF(Underlying=1,L256,R256)+UnderlyingPriceAsian-SwapPriceCurve,"")</f>
        <v/>
      </c>
      <c r="BV255" s="465" t="str">
        <f aca="false">IF(BD255,IF(Underlying=1,L257,R257)+UnderlyingPriceAsian-SwapPriceCurve,"")</f>
        <v/>
      </c>
      <c r="BW255" s="466" t="str">
        <f aca="false">IF(BD255,IF(Underlying=1,O256,AT256),"")</f>
        <v/>
      </c>
      <c r="BX255" s="467" t="str">
        <f aca="false">IF(BD255,IF(Underlying=1,O257,AT257),"")</f>
        <v/>
      </c>
      <c r="BY255" s="466" t="str">
        <f aca="false">IF(BD255,IF(BS255&gt;0,IF(BS255&gt;0.2,BC255-BB255,IF(BS255&gt;0.1,BB255-BA255,BA255)),IF(BS255&lt;-0.2,AX255-AY255,IF(BS255&lt;-0.1,AY255-AZ255,AZ255))),"")</f>
        <v/>
      </c>
      <c r="BZ255" s="467" t="str">
        <f aca="false">IF(BD255,IF(BT255&gt;0,IF(BT255&gt;0.2,BC255-BB255,IF(BT255&gt;0.1,BB255-BA255,BA255)),IF(BT255&lt;-0.2,AX255-AY255,IF(BT255&lt;-0.1,AY255-AZ255,AZ255))),"")</f>
        <v/>
      </c>
      <c r="CA255" s="468" t="str">
        <f aca="false">IF($BD255,$BW255+IF(VolSkewFlag=1,IF(BS255&gt;0,$BA255*MIN(BS255/10%,1)+($BB255-$BA255)*MAX(0,MIN(BS255/10%-1,1))+($BC255-$BB255)*MAX(0,BS255/10%-2),$AZ255*MIN(-BS255/10%,1)+($AY255-$AZ255)*MAX(0,MIN(-BS255/10%-1,1))+($AX255-$AY255)*MAX(0,-BS255/10%-2)),0),"")</f>
        <v/>
      </c>
      <c r="CB255" s="468" t="str">
        <f aca="false">IF($BD255,$BX255+IF(VolSkewFlag=1,IF(BS255&gt;0,$BA255*MIN(BS255/10%,1)+($BB255-$BA255)*MAX(0,MIN(BS255/10%-1,1))+($BC255-$BB255)*MAX(0,BS255/10%-2),$AZ255*MIN(-BS255/10%,1)+($AY255-$AZ255)*MAX(0,MIN(-BS255/10%-1,1))+($AX255-$AY255)*MAX(0,-BS255/10%-2)),0),"")</f>
        <v/>
      </c>
      <c r="CC255" s="468" t="str">
        <f aca="false">IF($BD255,$BW255+IF(VolSkewFlag=1,IF(BT255&gt;0,$BA255*MIN(BT255/10%,1)+($BB255-$BA255)*MAX(0,MIN(BT255/10%-1,1))+($BC255-$BB255)*MAX(0,BT255/10%-2),$AZ255*MIN(-BT255/10%,1)+($AY255-$AZ255)*MAX(0,MIN(-BT255/10%-1,1))+($AX255-$AY255)*MAX(0,-BT255/10%-2)),0),"")</f>
        <v/>
      </c>
      <c r="CD255" s="468" t="str">
        <f aca="false">IF($BD255,$BX255+IF(VolSkewFlag=1,IF(BT255&gt;0,$BA255*MIN(BT255/10%,1)+($BB255-$BA255)*MAX(0,MIN(BT255/10%-1,1))+($BC255-$BB255)*MAX(0,BT255/10%-2),$AZ255*MIN(-BT255/10%,1)+($AY255-$AZ255)*MAX(0,MIN(-BT255/10%-1,1))+($AX255-$AY255)*MAX(0,-BT255/10%-2)),0),"")</f>
        <v/>
      </c>
      <c r="CE255" s="469" t="n">
        <v>1</v>
      </c>
      <c r="CF255" s="470" t="n">
        <f aca="false">IF(BD255,xCrudeAPO(BU255,BV255,CA255,CB255,S256,S257,BI255,BL255,BP255,BQ255,0,Strike1,AO255,CE255,0,BL255,IF(OptControl=4,0,1),0,1),0)</f>
        <v>0</v>
      </c>
      <c r="CG255" s="470" t="n">
        <f aca="false">IF(BD255,xCrudeAPO(BU255,BV255,CA255,CB255,S256,S257,BI255,BL255,BP255,BQ255,0,Strike1,AO255,CE255,0,BL255,IF(OptControl=4,0,1),1,1)+xCrudeAPO(BU255,BV255,CA255,CB255,S256,S257,BI255,BL255,BP255,BQ255,0,Strike1,AO255,CE255,0,BL255,IF(OptControl=4,0,1),1,2)+IF(OR(VolSkewFlag=2,ABS(BS255)&lt;0.0001),0,IF(BS255&gt;0,-1,1)*CH255*Strike1/BR255^2*BY255/10%),0)</f>
        <v>0</v>
      </c>
      <c r="CH255" s="470" t="n">
        <f aca="false">IF(BD255,(xCrudeAPO(BU255,BV255,CA255,CB255,S256,S257,BI255,BL255,BP255,BQ255,0,Strike1,AO255,CE255,0,BL255,IF(OptControl=4,0,1),3,1)+xCrudeAPO(BU255,BV255,CA255,CB255,S256,S257,BI255,BL255,BP255,BQ255,0,Strike1,AO255,CE255,0,BL255,IF(OptControl=4,0,1),3,2))/100,0)</f>
        <v>0</v>
      </c>
      <c r="CI255" s="470" t="n">
        <f aca="false">IF(BD255,xCrudeAPO(BU255,BV255,CA255,CB255,S256,S257,BI255-DaysForThetaCalculation/365.25,BL255-DaysForThetaCalculation/365.25,BP255,BQ255,0,Strike1,AO255,CE255,0,BL255,IF(OptControl=4,0,1),0,1)-xCrudeAPO(BU255,BV255,CA255,CB255,S256,S257,BI255,BL255,BP255,BQ255,0,Strike1,AO255,CE255,0,BL255,IF(OptControl=4,0,1),0,1),0)</f>
        <v>0</v>
      </c>
      <c r="CJ255" s="471" t="n">
        <f aca="false">IF(BD255,xCrudeAPO(BU255,BV255,CC255,CD255,S256,S257,BI255,BL255,BP255,BQ255,0,Strike2,AO255,CE255,0,BL255,IF(OptControl=3,1,0),0,1),0)</f>
        <v>0</v>
      </c>
      <c r="CK255" s="470" t="n">
        <f aca="false">IF(BD255,xCrudeAPO(BU255,BV255,CC255,CD255,S256,S257,BI255,BL255,BP255,BQ255,0,Strike2,AO255,CE255,0,BL255,IF(OptControl=3,1,0),1,1)+xCrudeAPO(BU255,BV255,CC255,CD255,S256,S257,BI255,BL255,BP255,BQ255,0,Strike2,AO255,CE255,0,BL255,IF(OptControl=3,1,0),1,2)+IF(OR(VolSkewFlag=2,ABS(BT255)&lt;0.0001),0,IF(BT255&gt;0,-1,1)*CL255*Strike2/BR255^2*BZ255/10%),0)</f>
        <v>0</v>
      </c>
      <c r="CL255" s="470" t="n">
        <f aca="false">IF(BD255,(xCrudeAPO(BU255,BV255,CC255,CD255,S256,S257,BI255,BL255,BP255,BQ255,0,Strike2,AO255,CE255,0,BL255,IF(OptControl=3,1,0),3,1)+xCrudeAPO(BU255,BV255,CC255,CD255,S256,S257,BI255,BL255,BP255,BQ255,0,Strike2,AO255,CE255,0,BL255,IF(OptControl=3,1,0),3,2))/100,0)</f>
        <v>0</v>
      </c>
      <c r="CM255" s="472" t="n">
        <f aca="false">IF(BD255,xCrudeAPO(BU255,BV255,CC255,CD255,S256,S257,BI255-DaysForThetaCalculation/365.25,BL255-DaysForThetaCalculation/365.25,BP255,BQ255,0,Strike2,AO255,CE255,0,BL255,IF(OptControl=3,1,0),0,1)-xCrudeAPO(BU255,BV255,CC255,CD255,S256,S257,BI255,BL255,BP255,BQ255,0,Strike2,AO255,CE255,0,BL255,IF(OptControl=3,1,0),0,1),0)</f>
        <v>0</v>
      </c>
      <c r="CN255" s="3"/>
      <c r="CO255" s="543" t="str">
        <f aca="false">IF(BD255,CHOOSE(Underlying,AD255,AF255)-DateToday+1,"")</f>
        <v/>
      </c>
      <c r="CP255" s="582" t="str">
        <f aca="false">IF(BD255,CHOOSE(Underlying,L255,R255),"")</f>
        <v/>
      </c>
      <c r="CQ255" s="544" t="str">
        <f aca="false">IF(BD255,Strike1/CP255-1,"")</f>
        <v/>
      </c>
      <c r="CR255" s="544" t="str">
        <f aca="false">IF(BD255,Strike2/CP255-1,"")</f>
        <v/>
      </c>
      <c r="CS255" s="544" t="str">
        <f aca="false">IF(BD255,IF(CQ255&gt;0,IF(CQ255&gt;0.2,BC254-BB254,IF(CQ255&gt;0.1,BB254-BA254,BA254)),IF(CQ255&lt;-0.2,AX254-AY254,IF(CQ255&lt;-0.1,AY254-AZ254,AZ254))),"")</f>
        <v/>
      </c>
      <c r="CT255" s="544" t="str">
        <f aca="false">IF(BD255,IF(CR255&gt;0,IF(CR255&gt;0.2,BC254-BB254,IF(CR255&gt;0.1,BB254-BA254,BA254)),IF(CR255&lt;-0.2,AX254-AY254,IF(CR255&lt;-0.1,AY254-AZ254,AZ254))),"")</f>
        <v/>
      </c>
      <c r="CU255" s="545" t="str">
        <f aca="false">IF(BD255,CHOOSE(Underlying,O255,AT255),"")</f>
        <v/>
      </c>
      <c r="CV255" s="545" t="str">
        <f aca="false">IF(BD255,CU255+IF(VolSkewFlag=1,IF(CQ255&gt;0,BA254*MIN(CQ255/10%,1)+(BB254-BA254)*MAX(0,MIN(CQ255/10%-1,1))+(BC254-BB254)*MAX(0,CQ255/10%-2),AZ254*MIN(-CQ255/10%,1)+(AY254-AZ254)*MAX(0,MIN(-CQ255/10%-1,1))+(AX254-AY254)*MAX(0,-CQ255/10%-2)),0),"")</f>
        <v/>
      </c>
      <c r="CW255" s="545" t="str">
        <f aca="false">IF(BD255,CU255+IF(VolSkewFlag=1,IF(CR255&gt;0,BA254*MIN(CR255/10%,1)+(BB254-BA254)*MAX(0,MIN(CR255/10%-1,1))+(BC254-BB254)*MAX(0,CR255/10%-2),AZ254*MIN(-CR255/10%,1)+(AY254-AZ254)*MAX(0,MIN(-CR255/10%-1,1))+(AX254-AY254)*MAX(0,-CR255/10%-2)),0),"")</f>
        <v/>
      </c>
      <c r="CX255" s="470" t="n">
        <f aca="false">IF(BD255,EURO(CP255,Strike1,AO255,AO255,CV255,CO255,IF(OptControl=4,0,1),0),0)</f>
        <v>0</v>
      </c>
      <c r="CY255" s="470" t="n">
        <f aca="false">IF(BD255,EURO(CP255,Strike1,AO255,AO255,CV255,CO255,IF(OptControl=4,0,1),1)+IF(OR(VolSkewFlag=2,ABS(CQ255)&lt;0.0001),0,IF(CQ255&gt;0,-1,1)*CZ255*100*Strike1/CP255^2*CS255/10%),0)</f>
        <v>0</v>
      </c>
      <c r="CZ255" s="470" t="n">
        <f aca="false">IF(BD255,EURO(CP255,Strike1,AO255,AO255,CV255,CO255,IF(OptControl=4,0,1),3)/100,0)</f>
        <v>0</v>
      </c>
      <c r="DA255" s="470" t="n">
        <f aca="false">IF(BD255,EURO(CP255,Strike1,AO255,AO255,CV255,CO255,IF(OptControl=4,0,1),0)-EURO(CP255,Strike1,AO255,AO255,CV255,CO255-1,IF(OptControl=4,0,1),0),0)</f>
        <v>0</v>
      </c>
      <c r="DB255" s="470" t="n">
        <f aca="false">IF(BD255,EURO(CP255,Strike2,AO255,AO255,CW255,CO255,IF(OptControl=3,1,0),0),0)</f>
        <v>0</v>
      </c>
      <c r="DC255" s="470" t="n">
        <f aca="false">IF(BD255,EURO(CP255,Strike2,AO255,AO255,CW255,CO255,IF(OptControl=3,1,0),1)+IF(OR(VolSkewFlag=2,ABS(CR255)&lt;0.0001),0,IF(CR255&gt;0,-1,1)*DD255*100*Strike2/CP255^2*CT255/10%),0)</f>
        <v>0</v>
      </c>
      <c r="DD255" s="470" t="n">
        <f aca="false">IF(BD255,EURO(CP255,Strike2,AO255,AO255,CW255,CO255,IF(OptControl=3,1,0),3)/100,0)</f>
        <v>0</v>
      </c>
      <c r="DE255" s="472" t="n">
        <f aca="false">IF(BD255,EURO(CP255,Strike2,AO255,AO255,CW255,CO255,IF(OptControl=3,1,0),0)-EURO(CP255,Strike2,AO255,AO255,CW255,CO255-1,IF(OptControl=3,1,0),0),0)</f>
        <v>0</v>
      </c>
      <c r="DG255" s="481" t="n">
        <f aca="false">EOMONTH(DG254,0)+1</f>
        <v>52841</v>
      </c>
      <c r="DH255" s="478" t="n">
        <v>25.9100000000001</v>
      </c>
      <c r="DI255" s="479" t="n">
        <v>25.9742857142858</v>
      </c>
      <c r="DJ255" s="480" t="n">
        <f aca="false">DG255</f>
        <v>52841</v>
      </c>
      <c r="DK255" s="478" t="n">
        <v>24.7249197488576</v>
      </c>
      <c r="DL255" s="479" t="n">
        <v>24.7073857142858</v>
      </c>
      <c r="DM255" s="481" t="n">
        <f aca="false">DG255</f>
        <v>52841</v>
      </c>
      <c r="DN255" s="482" t="n">
        <f aca="false">DK255+BrentPhyBrentSpread</f>
        <v>24.7749197488576</v>
      </c>
      <c r="DO255" s="481" t="n">
        <f aca="false">DG255</f>
        <v>52841</v>
      </c>
      <c r="DP255" s="483" t="n">
        <f aca="false">DL255+DQ255</f>
        <v>24.7073857142858</v>
      </c>
      <c r="DQ255" s="546" t="n">
        <v>0</v>
      </c>
      <c r="DR255" s="480" t="n">
        <f aca="false">DG255</f>
        <v>52841</v>
      </c>
      <c r="DS255" s="485" t="n">
        <v>0.0835999999999971</v>
      </c>
      <c r="DT255" s="486" t="n">
        <v>0.0828285714285684</v>
      </c>
      <c r="DU255" s="480" t="n">
        <f aca="false">DG255</f>
        <v>52841</v>
      </c>
      <c r="DV255" s="485" t="n">
        <v>0.0835999999999971</v>
      </c>
      <c r="DW255" s="486" t="n">
        <v>0.0828285714285684</v>
      </c>
      <c r="DX255" s="481" t="n">
        <f aca="false">DG255</f>
        <v>52841</v>
      </c>
      <c r="DY255" s="486" t="n">
        <v>0.35</v>
      </c>
      <c r="DZ255" s="481" t="n">
        <f aca="false">DR255</f>
        <v>52841</v>
      </c>
      <c r="EA255" s="486" t="n">
        <f aca="false">DT255</f>
        <v>0.0828285714285684</v>
      </c>
      <c r="EB255" s="195"/>
      <c r="EC255" s="547" t="str">
        <f aca="false">IF(BD255,IF(Underlying=1,AS255,AU255),"")</f>
        <v/>
      </c>
      <c r="ED255" s="548" t="str">
        <f aca="false">IF($BD255,$EC255+IF(VolSkewFlag=1,IF(BS255&gt;0,$BA255*MIN(BS255/10%,1)+($BB255-$BA255)*MAX(0,MIN(BS255/10%-1,1))+($BC255-$BB255)*MAX(0,BS255/10%-2),$AZ255*MIN(-BS255/10%,1)+($AY255-$AZ255)*MAX(0,MIN(-BS255/10%-1,1))+($AX255-$AY255)*MAX(0,-BS255/10%-2)),0),"")</f>
        <v/>
      </c>
      <c r="EE255" s="549" t="str">
        <f aca="false">IF($BD255,$EC255+IF(VolSkewFlag=1,IF(BT255&gt;0,$BA255*MIN(BT255/10%,1)+($BB255-$BA255)*MAX(0,MIN(BT255/10%-1,1))+($BC255-$BB255)*MAX(0,BT255/10%-2),$AZ255*MIN(-BT255/10%,1)+($AY255-$AZ255)*MAX(0,MIN(-BT255/10%-1,1))+($AX255-$AY255)*MAX(0,-BT255/10%-2)),0),"")</f>
        <v/>
      </c>
      <c r="EF255" s="550" t="n">
        <f aca="false">IF(BD255,xASN(BR255,Strike1,AO255,ED255,0,BO255,0,BI255,BL255,IF(OptControl=4,0,1),0),0)</f>
        <v>0</v>
      </c>
      <c r="EG255" s="551" t="n">
        <f aca="false">IF(BD255,xASN(BR255,Strike2,AO255,EE255,0,BO255,0,BI255,BL255,IF(OptControl=3,1,0),0),0)</f>
        <v>0</v>
      </c>
      <c r="EL255" s="1"/>
      <c r="EM255" s="195"/>
      <c r="EN255" s="240"/>
      <c r="EO255" s="240"/>
      <c r="EP255" s="195"/>
      <c r="EQ255" s="407" t="s">
        <v>484</v>
      </c>
      <c r="ES255" s="1"/>
      <c r="EU255" s="672"/>
      <c r="FJ255" s="571" t="n">
        <v>11</v>
      </c>
      <c r="FK255" s="150" t="str">
        <f aca="false">IF($FJ255+FK$244&gt;73,"",PRODUCT(INDEX($T$19:$T$93,FK$244):INDEX($T$19:$T$93,FK$244+$FJ255-1)))</f>
        <v/>
      </c>
      <c r="FL255" s="150" t="str">
        <f aca="false">IF($FJ255+FL$244&gt;73,"",PRODUCT(INDEX($T$19:$T$93,FL$244):INDEX($T$19:$T$93,FL$244+$FJ255-1)))</f>
        <v/>
      </c>
      <c r="FM255" s="150" t="str">
        <f aca="false">IF($FJ255+FM$244&gt;73,"",PRODUCT(INDEX($T$19:$T$93,FM$244):INDEX($T$19:$T$93,FM$244+$FJ255-1)))</f>
        <v/>
      </c>
      <c r="FN255" s="150" t="str">
        <f aca="false">IF($FJ255+FN$244&gt;73,"",PRODUCT(INDEX($T$19:$T$93,FN$244):INDEX($T$19:$T$93,FN$244+$FJ255-1)))</f>
        <v/>
      </c>
      <c r="FO255" s="150" t="str">
        <f aca="false">IF($FJ255+FO$244&gt;73,"",PRODUCT(INDEX($T$19:$T$93,FO$244):INDEX($T$19:$T$93,FO$244+$FJ255-1)))</f>
        <v/>
      </c>
      <c r="FP255" s="150" t="str">
        <f aca="false">IF($FJ255+FP$244&gt;73,"",PRODUCT(INDEX($T$19:$T$93,FP$244):INDEX($T$19:$T$93,FP$244+$FJ255-1)))</f>
        <v/>
      </c>
      <c r="FQ255" s="150" t="str">
        <f aca="false">IF($FJ255+FQ$244&gt;73,"",PRODUCT(INDEX($T$19:$T$93,FQ$244):INDEX($T$19:$T$93,FQ$244+$FJ255-1)))</f>
        <v/>
      </c>
      <c r="FR255" s="150" t="str">
        <f aca="false">IF($FJ255+FR$244&gt;73,"",PRODUCT(INDEX($T$19:$T$93,FR$244):INDEX($T$19:$T$93,FR$244+$FJ255-1)))</f>
        <v/>
      </c>
      <c r="FS255" s="150" t="str">
        <f aca="false">IF($FJ255+FS$244&gt;73,"",PRODUCT(INDEX($T$19:$T$93,FS$244):INDEX($T$19:$T$93,FS$244+$FJ255-1)))</f>
        <v/>
      </c>
      <c r="FT255" s="150" t="str">
        <f aca="false">IF($FJ255+FT$244&gt;73,"",PRODUCT(INDEX($T$19:$T$93,FT$244):INDEX($T$19:$T$93,FT$244+$FJ255-1)))</f>
        <v/>
      </c>
      <c r="FU255" s="150" t="n">
        <f aca="false">IF($FJ255+FU$244&gt;73,"",PRODUCT(INDEX($T$19:$T$93,FU$244):INDEX($T$19:$T$93,FU$244+$FJ255-1)))</f>
        <v>0.999947314053647</v>
      </c>
      <c r="FV255" s="150" t="n">
        <f aca="false">IF($FJ255+FV$244&gt;73,"",PRODUCT(INDEX($T$19:$T$93,FV$244):INDEX($T$19:$T$93,FV$244+$FJ255-1)))</f>
        <v>0.999938379073639</v>
      </c>
      <c r="FW255" s="150" t="n">
        <f aca="false">IF($FJ255+FW$244&gt;73,"",PRODUCT(INDEX($T$19:$T$93,FW$244):INDEX($T$19:$T$93,FW$244+$FJ255-1)))</f>
        <v>0.999927928833191</v>
      </c>
      <c r="FX255" s="150" t="n">
        <f aca="false">IF($FJ255+FX$244&gt;73,"",PRODUCT(INDEX($T$19:$T$93,FX$244):INDEX($T$19:$T$93,FX$244+$FJ255-1)))</f>
        <v>0.999915706370557</v>
      </c>
      <c r="FY255" s="150" t="n">
        <f aca="false">IF($FJ255+FY$244&gt;73,"",PRODUCT(INDEX($T$19:$T$93,FY$244):INDEX($T$19:$T$93,FY$244+$FJ255-1)))</f>
        <v>0.999901411150762</v>
      </c>
      <c r="FZ255" s="150" t="n">
        <f aca="false">IF($FJ255+FZ$244&gt;73,"",PRODUCT(INDEX($T$19:$T$93,FZ$244):INDEX($T$19:$T$93,FZ$244+$FJ255-1)))</f>
        <v>0.999884691678058</v>
      </c>
      <c r="GA255" s="150" t="n">
        <f aca="false">IF($FJ255+GA$244&gt;73,"",PRODUCT(INDEX($T$19:$T$93,GA$244):INDEX($T$19:$T$93,GA$244+$FJ255-1)))</f>
        <v>0.999865136856339</v>
      </c>
      <c r="GB255" s="150" t="n">
        <f aca="false">IF($FJ255+GB$244&gt;73,"",PRODUCT(INDEX($T$19:$T$93,GB$244):INDEX($T$19:$T$93,GB$244+$FJ255-1)))</f>
        <v>0.999842265885513</v>
      </c>
      <c r="GC255" s="150" t="n">
        <f aca="false">IF($FJ255+GC$244&gt;73,"",PRODUCT(INDEX($T$19:$T$93,GC$244):INDEX($T$19:$T$93,GC$244+$FJ255-1)))</f>
        <v>0.999815516445989</v>
      </c>
      <c r="GD255" s="150" t="n">
        <f aca="false">IF($FJ255+GD$244&gt;73,"",PRODUCT(INDEX($T$19:$T$93,GD$244):INDEX($T$19:$T$93,GD$244+$FJ255-1)))</f>
        <v>0.999784230881591</v>
      </c>
      <c r="GE255" s="150" t="n">
        <f aca="false">IF($FJ255+GE$244&gt;73,"",PRODUCT(INDEX($T$19:$T$93,GE$244):INDEX($T$19:$T$93,GE$244+$FJ255-1)))</f>
        <v>0.99974764004232</v>
      </c>
      <c r="GF255" s="150" t="n">
        <f aca="false">IF($FJ255+GF$244&gt;73,"",PRODUCT(INDEX($T$19:$T$93,GF$244):INDEX($T$19:$T$93,GF$244+$FJ255-1)))</f>
        <v>0.9997048443913</v>
      </c>
      <c r="GG255" s="150" t="n">
        <f aca="false">IF($FJ255+GG$244&gt;73,"",PRODUCT(INDEX($T$19:$T$93,GG$244):INDEX($T$19:$T$93,GG$244+$FJ255-1)))</f>
        <v>0.999654791913613</v>
      </c>
      <c r="GH255" s="150" t="n">
        <f aca="false">IF($FJ255+GH$244&gt;73,"",PRODUCT(INDEX($T$19:$T$93,GH$244):INDEX($T$19:$T$93,GH$244+$FJ255-1)))</f>
        <v>0.999596252286979</v>
      </c>
      <c r="GI255" s="150" t="n">
        <f aca="false">IF($FJ255+GI$244&gt;73,"",PRODUCT(INDEX($T$19:$T$93,GI$244):INDEX($T$19:$T$93,GI$244+$FJ255-1)))</f>
        <v>0.999527786683534</v>
      </c>
      <c r="GJ255" s="150" t="n">
        <f aca="false">IF($FJ255+GJ$244&gt;73,"",PRODUCT(INDEX($T$19:$T$93,GJ$244):INDEX($T$19:$T$93,GJ$244+$FJ255-1)))</f>
        <v>0.999447712466235</v>
      </c>
      <c r="GK255" s="150" t="n">
        <f aca="false">IF($FJ255+GK$244&gt;73,"",PRODUCT(INDEX($T$19:$T$93,GK$244):INDEX($T$19:$T$93,GK$244+$FJ255-1)))</f>
        <v>0.999354061920235</v>
      </c>
      <c r="GL255" s="150" t="n">
        <f aca="false">IF($FJ255+GL$244&gt;73,"",PRODUCT(INDEX($T$19:$T$93,GL$244):INDEX($T$19:$T$93,GL$244+$FJ255-1)))</f>
        <v>0.999244534016139</v>
      </c>
      <c r="GM255" s="150" t="n">
        <f aca="false">IF($FJ255+GM$244&gt;73,"",PRODUCT(INDEX($T$19:$T$93,GM$244):INDEX($T$19:$T$93,GM$244+$FJ255-1)))</f>
        <v>0.999116438035207</v>
      </c>
      <c r="GN255" s="150" t="n">
        <f aca="false">IF($FJ255+GN$244&gt;73,"",PRODUCT(INDEX($T$19:$T$93,GN$244):INDEX($T$19:$T$93,GN$244+$FJ255-1)))</f>
        <v>0.998966627692685</v>
      </c>
      <c r="GO255" s="150" t="n">
        <f aca="false">IF($FJ255+GO$244&gt;73,"",PRODUCT(INDEX($T$19:$T$93,GO$244):INDEX($T$19:$T$93,GO$244+$FJ255-1)))</f>
        <v>0.998791424170383</v>
      </c>
      <c r="GP255" s="150" t="n">
        <f aca="false">IF($FJ255+GP$244&gt;73,"",PRODUCT(INDEX($T$19:$T$93,GP$244):INDEX($T$19:$T$93,GP$244+$FJ255-1)))</f>
        <v>0.998586526208755</v>
      </c>
      <c r="GQ255" s="150" t="n">
        <f aca="false">IF($FJ255+GQ$244&gt;73,"",PRODUCT(INDEX($T$19:$T$93,GQ$244):INDEX($T$19:$T$93,GQ$244+$FJ255-1)))</f>
        <v>0.998346905106942</v>
      </c>
      <c r="GR255" s="150" t="n">
        <f aca="false">IF($FJ255+GR$244&gt;73,"",PRODUCT(INDEX($T$19:$T$93,GR$244):INDEX($T$19:$T$93,GR$244+$FJ255-1)))</f>
        <v>0.998066682130744</v>
      </c>
      <c r="GS255" s="150" t="n">
        <f aca="false">IF($FJ255+GS$244&gt;73,"",PRODUCT(INDEX($T$19:$T$93,GS$244):INDEX($T$19:$T$93,GS$244+$FJ255-1)))</f>
        <v>0.99773898542711</v>
      </c>
      <c r="GT255" s="150" t="n">
        <f aca="false">IF($FJ255+GT$244&gt;73,"",PRODUCT(INDEX($T$19:$T$93,GT$244):INDEX($T$19:$T$93,GT$244+$FJ255-1)))</f>
        <v>0.997355783082915</v>
      </c>
      <c r="GU255" s="150" t="n">
        <f aca="false">IF($FJ255+GU$244&gt;73,"",PRODUCT(INDEX($T$19:$T$93,GU$244):INDEX($T$19:$T$93,GU$244+$FJ255-1)))</f>
        <v>0.996907688438581</v>
      </c>
      <c r="GV255" s="150" t="n">
        <f aca="false">IF($FJ255+GV$244&gt;73,"",PRODUCT(INDEX($T$19:$T$93,GV$244):INDEX($T$19:$T$93,GV$244+$FJ255-1)))</f>
        <v>0.996383733166808</v>
      </c>
      <c r="GW255" s="150" t="n">
        <f aca="false">IF($FJ255+GW$244&gt;73,"",PRODUCT(INDEX($T$19:$T$93,GW$244):INDEX($T$19:$T$93,GW$244+$FJ255-1)))</f>
        <v>0.995771102947021</v>
      </c>
      <c r="GX255" s="150" t="n">
        <f aca="false">IF($FJ255+GX$244&gt;73,"",PRODUCT(INDEX($T$19:$T$93,GX$244):INDEX($T$19:$T$93,GX$244+$FJ255-1)))</f>
        <v>0.995054829802092</v>
      </c>
      <c r="GY255" s="150" t="n">
        <f aca="false">IF($FJ255+GY$244&gt;73,"",PRODUCT(INDEX($T$19:$T$93,GY$244):INDEX($T$19:$T$93,GY$244+$FJ255-1)))</f>
        <v>0.994217434312861</v>
      </c>
      <c r="GZ255" s="150" t="n">
        <f aca="false">IF($FJ255+GZ$244&gt;73,"",PRODUCT(INDEX($T$19:$T$93,GZ$244):INDEX($T$19:$T$93,GZ$244+$FJ255-1)))</f>
        <v>0.993238509989103</v>
      </c>
      <c r="HA255" s="150" t="n">
        <f aca="false">IF($FJ255+HA$244&gt;73,"",PRODUCT(INDEX($T$19:$T$93,HA$244):INDEX($T$19:$T$93,HA$244+$FJ255-1)))</f>
        <v>0.992094241060494</v>
      </c>
      <c r="HB255" s="150" t="n">
        <f aca="false">IF($FJ255+HB$244&gt;73,"",PRODUCT(INDEX($T$19:$T$93,HB$244):INDEX($T$19:$T$93,HB$244+$FJ255-1)))</f>
        <v>0.990756843874597</v>
      </c>
      <c r="HC255" s="150" t="n">
        <f aca="false">IF($FJ255+HC$244&gt;73,"",PRODUCT(INDEX($T$19:$T$93,HC$244):INDEX($T$19:$T$93,HC$244+$FJ255-1)))</f>
        <v>0.989193920982195</v>
      </c>
      <c r="HD255" s="150" t="n">
        <f aca="false">IF($FJ255+HD$244&gt;73,"",PRODUCT(INDEX($T$19:$T$93,HD$244):INDEX($T$19:$T$93,HD$244+$FJ255-1)))</f>
        <v>0.987367715905187</v>
      </c>
      <c r="HE255" s="150" t="n">
        <f aca="false">IF($FJ255+HE$244&gt;73,"",PRODUCT(INDEX($T$19:$T$93,HE$244):INDEX($T$19:$T$93,HE$244+$FJ255-1)))</f>
        <v>0.985234255600527</v>
      </c>
      <c r="HF255" s="150" t="n">
        <f aca="false">IF($FJ255+HF$244&gt;73,"",PRODUCT(INDEX($T$19:$T$93,HF$244):INDEX($T$19:$T$93,HF$244+$FJ255-1)))</f>
        <v>0.982742366879647</v>
      </c>
      <c r="HG255" s="150" t="n">
        <f aca="false">IF($FJ255+HG$244&gt;73,"",PRODUCT(INDEX($T$19:$T$93,HG$244):INDEX($T$19:$T$93,HG$244+$FJ255-1)))</f>
        <v>0.979832552701183</v>
      </c>
      <c r="HH255" s="150" t="n">
        <f aca="false">IF($FJ255+HH$244&gt;73,"",PRODUCT(INDEX($T$19:$T$93,HH$244):INDEX($T$19:$T$93,HH$244+$FJ255-1)))</f>
        <v>0.976435714594569</v>
      </c>
      <c r="HI255" s="150" t="n">
        <f aca="false">IF($FJ255+HI$244&gt;73,"",PRODUCT(INDEX($T$19:$T$93,HI$244):INDEX($T$19:$T$93,HI$244+$FJ255-1)))</f>
        <v>0.972471708879587</v>
      </c>
      <c r="HJ255" s="150" t="n">
        <f aca="false">IF($FJ255+HJ$244&gt;73,"",PRODUCT(INDEX($T$19:$T$93,HJ$244):INDEX($T$19:$T$93,HJ$244+$FJ255-1)))</f>
        <v>0.967847727370398</v>
      </c>
      <c r="HK255" s="150" t="n">
        <f aca="false">IF($FJ255+HK$244&gt;73,"",PRODUCT(INDEX($T$19:$T$93,HK$244):INDEX($T$19:$T$93,HK$244+$FJ255-1)))</f>
        <v>0.962456498661317</v>
      </c>
      <c r="HL255" s="150" t="n">
        <f aca="false">IF($FJ255+HL$244&gt;73,"",PRODUCT(INDEX($T$19:$T$93,HL$244):INDEX($T$19:$T$93,HL$244+$FJ255-1)))</f>
        <v>0.956174314954887</v>
      </c>
      <c r="HM255" s="150" t="n">
        <f aca="false">IF($FJ255+HM$244&gt;73,"",PRODUCT(INDEX($T$19:$T$93,HM$244):INDEX($T$19:$T$93,HM$244+$FJ255-1)))</f>
        <v>0.948858903182009</v>
      </c>
      <c r="HN255" s="150" t="n">
        <f aca="false">IF($FJ255+HN$244&gt;73,"",PRODUCT(INDEX($T$19:$T$93,HN$244):INDEX($T$19:$T$93,HN$244+$FJ255-1)))</f>
        <v>0.94034717988193</v>
      </c>
      <c r="HO255" s="150" t="n">
        <f aca="false">IF($FJ255+HO$244&gt;73,"",PRODUCT(INDEX($T$19:$T$93,HO$244):INDEX($T$19:$T$93,HO$244+$FJ255-1)))</f>
        <v>0.930452959651217</v>
      </c>
      <c r="HP255" s="150" t="n">
        <f aca="false">IF($FJ255+HP$244&gt;73,"",PRODUCT(INDEX($T$19:$T$93,HP$244):INDEX($T$19:$T$93,HP$244+$FJ255-1)))</f>
        <v>0.918964730507248</v>
      </c>
      <c r="HQ255" s="150" t="n">
        <f aca="false">IF($FJ255+HQ$244&gt;73,"",PRODUCT(INDEX($T$19:$T$93,HQ$244):INDEX($T$19:$T$93,HQ$244+$FJ255-1)))</f>
        <v>0.905643670891827</v>
      </c>
      <c r="HR255" s="150" t="n">
        <f aca="false">IF($FJ255+HR$244&gt;73,"",PRODUCT(INDEX($T$19:$T$93,HR$244):INDEX($T$19:$T$93,HR$244+$FJ255-1)))</f>
        <v>0.890222168165235</v>
      </c>
      <c r="HS255" s="150" t="n">
        <f aca="false">IF($FJ255+HS$244&gt;73,"",PRODUCT(INDEX($T$19:$T$93,HS$244):INDEX($T$19:$T$93,HS$244+$FJ255-1)))</f>
        <v>0.872403214539848</v>
      </c>
      <c r="HT255" s="150" t="n">
        <f aca="false">IF($FJ255+HT$244&gt;73,"",PRODUCT(INDEX($T$19:$T$93,HT$244):INDEX($T$19:$T$93,HT$244+$FJ255-1)))</f>
        <v>0.851861211859562</v>
      </c>
      <c r="HU255" s="150" t="n">
        <f aca="false">IF($FJ255+HU$244&gt;73,"",PRODUCT(INDEX($T$19:$T$93,HU$244):INDEX($T$19:$T$93,HU$244+$FJ255-1)))</f>
        <v>0.828244920285323</v>
      </c>
      <c r="HV255" s="150" t="n">
        <f aca="false">IF($FJ255+HV$244&gt;73,"",PRODUCT(INDEX($T$19:$T$93,HV$244):INDEX($T$19:$T$93,HV$244+$FJ255-1)))</f>
        <v>0.801183545378411</v>
      </c>
      <c r="HW255" s="150" t="n">
        <f aca="false">IF($FJ255+HW$244&gt;73,"",PRODUCT(INDEX($T$19:$T$93,HW$244):INDEX($T$19:$T$93,HW$244+$FJ255-1)))</f>
        <v>0.770297276053298</v>
      </c>
      <c r="HX255" s="150" t="n">
        <f aca="false">IF($FJ255+HX$244&gt;73,"",PRODUCT(INDEX($T$19:$T$93,HX$244):INDEX($T$19:$T$93,HX$244+$FJ255-1)))</f>
        <v>0.735213953641406</v>
      </c>
      <c r="HY255" s="150" t="n">
        <f aca="false">IF($FJ255+HY$244&gt;73,"",PRODUCT(INDEX($T$19:$T$93,HY$244):INDEX($T$19:$T$93,HY$244+$FJ255-1)))</f>
        <v>0.6955939376314</v>
      </c>
      <c r="HZ255" s="150" t="n">
        <f aca="false">IF($FJ255+HZ$244&gt;73,"",PRODUCT(INDEX($T$19:$T$93,HZ$244):INDEX($T$19:$T$93,HZ$244+$FJ255-1)))</f>
        <v>0.651165560745368</v>
      </c>
      <c r="IA255" s="150" t="n">
        <f aca="false">IF($FJ255+IA$244&gt;73,"",PRODUCT(INDEX($T$19:$T$93,IA$244):INDEX($T$19:$T$93,IA$244+$FJ255-1)))</f>
        <v>0.60177368371982</v>
      </c>
      <c r="IB255" s="150" t="n">
        <f aca="false">IF($FJ255+IB$244&gt;73,"",PRODUCT(INDEX($T$19:$T$93,IB$244):INDEX($T$19:$T$93,IB$244+$FJ255-1)))</f>
        <v>0.547443495178574</v>
      </c>
      <c r="IC255" s="150" t="n">
        <f aca="false">IF($FJ255+IC$244&gt;73,"",PRODUCT(INDEX($T$19:$T$93,IC$244):INDEX($T$19:$T$93,IC$244+$FJ255-1)))</f>
        <v>0.48846039758934</v>
      </c>
      <c r="ID255" s="572" t="n">
        <f aca="false">IF($FJ255+ID$244&gt;73,"",PRODUCT(INDEX($T$19:$T$93,ID$244):INDEX($T$19:$T$93,ID$244+$FJ255-1)))</f>
        <v>0.425463873001423</v>
      </c>
      <c r="IE255" s="129"/>
    </row>
    <row r="256" customFormat="false" ht="12.75" hidden="false" customHeight="false" outlineLevel="0" collapsed="false">
      <c r="H256" s="219" t="n">
        <f aca="false">VLOOKUP(I256,$EJ$20:$EL$54,3)</f>
        <v>0</v>
      </c>
      <c r="I256" s="511" t="n">
        <f aca="false">EOMONTH(I255,0)+1</f>
        <v>43952</v>
      </c>
      <c r="J256" s="512"/>
      <c r="K256" s="513" t="s">
        <v>280</v>
      </c>
      <c r="L256" s="514" t="n">
        <f aca="false">IF(ISNUMBER(K256),J256+K256/100,IF(K256="extra",L255+VLOOKUP(BF256,PriceSpreadTable,2)/12,IF(K256="inter",interpolateprices($K$19:$L$200,ROW(K256)-ROW(FirstPricingMonth)+1),interpolatechanges($J$19:$K$200,ROW(K256)-ROW(FirstPricingMonth)+1))))</f>
        <v>5.99999999999999</v>
      </c>
      <c r="M256" s="515"/>
      <c r="N256" s="516" t="n">
        <v>0</v>
      </c>
      <c r="O256" s="515" t="n">
        <f aca="false">M256+N256</f>
        <v>0</v>
      </c>
      <c r="P256" s="512"/>
      <c r="Q256" s="513" t="s">
        <v>280</v>
      </c>
      <c r="R256" s="512" t="e">
        <f aca="false">IF(ISNUMBER(Q256),P256+Q256/100,IF(Q256="extra",(Z254*AL254-R255*AM254)/AN254,IF(Q256="inter",interpolateprices($Q$19:$R$260,ROW(Q256)-ROW(FirstPricingMonth)+1),interpolatechanges($P$19:$Q$260,ROW(Q256)-ROW(FirstPricingMonth)+1))))</f>
        <v>#VALUE!</v>
      </c>
      <c r="S256" s="597" t="n">
        <f aca="false">S$19+(S255-S$19)*S$18</f>
        <v>0.36</v>
      </c>
      <c r="T256" s="575" t="n">
        <f aca="false">SQRT((1-(1-T255^2/U255)*T$18)*U256)</f>
        <v>1</v>
      </c>
      <c r="U256" s="576" t="n">
        <f aca="false">1-(1-U255)*U$18</f>
        <v>1</v>
      </c>
      <c r="V256" s="521" t="n">
        <v>0</v>
      </c>
      <c r="W256" s="577" t="n">
        <f aca="false">(J257*AJ256+J258*AK256)/AI256</f>
        <v>0</v>
      </c>
      <c r="X256" s="578" t="n">
        <f aca="false">(L257*AJ256+L258*AK256)/AI256</f>
        <v>6.04999999999999</v>
      </c>
      <c r="Y256" s="579" t="n">
        <f aca="false">IF(Q258="extra",W256-AA256,(P257*AM256+P258*AN256)/AL256)</f>
        <v>-1.2915</v>
      </c>
      <c r="Z256" s="579" t="n">
        <f aca="false">IF(Q258="extra",X256-AB256,(R257*AM256+R258*AN256)/AL256)</f>
        <v>4.75849999999999</v>
      </c>
      <c r="AA256" s="523" t="n">
        <f aca="false">IF(Q258="extra",INDEX(BrentSeasonalityTable,INT((BG256-1)/3)+1)*VLOOKUP(MAX(BF256,$AB$4),PriceSpreadTable,3),W256-Y256)</f>
        <v>1.2915</v>
      </c>
      <c r="AB256" s="524" t="n">
        <f aca="false">IF(Q258="extra",INDEX(BrentSeasonalityTable,INT((BG256-1)/3)+1)*VLOOKUP(MAX(BF256,$AB$4),PriceSpreadTable,3),X256-Z256)</f>
        <v>1.2915</v>
      </c>
      <c r="AC256" s="646" t="n">
        <v>43941</v>
      </c>
      <c r="AD256" s="646" t="n">
        <v>43937</v>
      </c>
      <c r="AE256" s="646" t="n">
        <v>43936</v>
      </c>
      <c r="AF256" s="646" t="n">
        <v>43932</v>
      </c>
      <c r="AG256" s="438" t="s">
        <v>278</v>
      </c>
      <c r="AH256" s="439" t="s">
        <v>278</v>
      </c>
      <c r="AI256" s="528" t="n">
        <v>21</v>
      </c>
      <c r="AJ256" s="529" t="n">
        <v>14</v>
      </c>
      <c r="AK256" s="529" t="n">
        <v>7</v>
      </c>
      <c r="AL256" s="530" t="n">
        <v>21</v>
      </c>
      <c r="AM256" s="529" t="n">
        <v>10</v>
      </c>
      <c r="AN256" s="531" t="n">
        <v>11</v>
      </c>
      <c r="AO256" s="532"/>
      <c r="AP256" s="465" t="n">
        <f aca="false">(1+AO256/2)^(-2*BL256)</f>
        <v>1</v>
      </c>
      <c r="AQ256" s="532"/>
      <c r="AR256" s="465" t="n">
        <f aca="false">(1+AQ256/2)^(-2*BH256/365.25)</f>
        <v>1</v>
      </c>
      <c r="AS256" s="580" t="n">
        <f aca="false">(O257*AJ256+O258*AK256)/AI256</f>
        <v>0</v>
      </c>
      <c r="AT256" s="468" t="n">
        <f aca="false">O256*VLOOKUP(BF256,BrentVolTable,2)+VLOOKUP(BF256,BrentVolTable,3)</f>
        <v>0</v>
      </c>
      <c r="AU256" s="468" t="n">
        <f aca="false">(AT257*AM256+AT258*AN256)/AL256</f>
        <v>0</v>
      </c>
      <c r="AV256" s="595" t="n">
        <f aca="false">SQRT(MAX(0.000000000001,(O256^2*BH256-S256^2*(BH256-BH255))/BH255))</f>
        <v>0.044608250224739</v>
      </c>
      <c r="AW256" s="451" t="n">
        <f aca="false">IF($I256-DateToday+15&gt;=$T$8,"",IF($I256-DateToday+15&lt;$T$5,1,MATCH($I256-DateToday+15,$T$5:$T$8)))</f>
        <v>1</v>
      </c>
      <c r="AX256" s="468" t="n">
        <f aca="false">IF($AW256="",AX255^2/AX254,INDEX(U$5:U$8,$AW256)^((INDEX($T$5:$T$8,$AW256+1)-($I256-DateToday+15))/(INDEX($T$5:$T$8,$AW256+1)-INDEX($T$5:$T$8,$AW256)))/INDEX(U$5:U$8,$AW256+1)^((INDEX($T$5:$T$8,$AW256)-($I256-DateToday+15))/(INDEX($T$5:$T$8,$AW256+1)-INDEX($T$5:$T$8,$AW256))))</f>
        <v>0.08086755647458</v>
      </c>
      <c r="AY256" s="468" t="n">
        <f aca="false">IF($AW256="",AY255^2/AY254,INDEX(V$5:V$8,$AW256)^((INDEX($T$5:$T$8,$AW256+1)-($I256-DateToday+15))/(INDEX($T$5:$T$8,$AW256+1)-INDEX($T$5:$T$8,$AW256)))/INDEX(V$5:V$8,$AW256+1)^((INDEX($T$5:$T$8,$AW256)-($I256-DateToday+15))/(INDEX($T$5:$T$8,$AW256+1)-INDEX($T$5:$T$8,$AW256))))</f>
        <v>0.251108897392911</v>
      </c>
      <c r="AZ256" s="468" t="n">
        <f aca="false">IF($AW256="",AZ255^2/AZ254,INDEX(W$5:W$8,$AW256)^((INDEX($T$5:$T$8,$AW256+1)-($I256-DateToday+15))/(INDEX($T$5:$T$8,$AW256+1)-INDEX($T$5:$T$8,$AW256)))/INDEX(W$5:W$8,$AW256+1)^((INDEX($T$5:$T$8,$AW256)-($I256-DateToday+15))/(INDEX($T$5:$T$8,$AW256+1)-INDEX($T$5:$T$8,$AW256))))</f>
        <v>2.59508352843168</v>
      </c>
      <c r="BA256" s="468" t="n">
        <f aca="false">IF($AW256="",BA255^2/BA254,INDEX(X$5:X$8,$AW256)^((INDEX($T$5:$T$8,$AW256+1)-($I256-DateToday+15))/(INDEX($T$5:$T$8,$AW256+1)-INDEX($T$5:$T$8,$AW256)))/INDEX(X$5:X$8,$AW256+1)^((INDEX($T$5:$T$8,$AW256)-($I256-DateToday+15))/(INDEX($T$5:$T$8,$AW256+1)-INDEX($T$5:$T$8,$AW256))))</f>
        <v>2.18602149783022</v>
      </c>
      <c r="BB256" s="468" t="n">
        <f aca="false">IF($AW256="",BB255^2/BB254,INDEX(Y$5:Y$8,$AW256)^((INDEX($T$5:$T$8,$AW256+1)-($I256-DateToday+15))/(INDEX($T$5:$T$8,$AW256+1)-INDEX($T$5:$T$8,$AW256)))/INDEX(Y$5:Y$8,$AW256+1)^((INDEX($T$5:$T$8,$AW256)-($I256-DateToday+15))/(INDEX($T$5:$T$8,$AW256+1)-INDEX($T$5:$T$8,$AW256))))</f>
        <v>5.84457007288478</v>
      </c>
      <c r="BC256" s="468" t="n">
        <f aca="false">IF($AW256="",BC255^2/BC254,INDEX(Z$5:Z$8,$AW256)^((INDEX($T$5:$T$8,$AW256+1)-($I256-DateToday+15))/(INDEX($T$5:$T$8,$AW256+1)-INDEX($T$5:$T$8,$AW256)))/INDEX(Z$5:Z$8,$AW256+1)^((INDEX($T$5:$T$8,$AW256)-($I256-DateToday+15))/(INDEX($T$5:$T$8,$AW256+1)-INDEX($T$5:$T$8,$AW256))))</f>
        <v>10.9175686496595</v>
      </c>
      <c r="BD256" s="535" t="n">
        <f aca="false">IF(OR(DateStart&gt;=I257,DateEnd&lt;I256),0,IF(VolumeOverrideFlag,V256,Volume))</f>
        <v>0</v>
      </c>
      <c r="BE256" s="536" t="n">
        <f aca="false">IF(OR(DateStart2&gt;=I257,DateEnd2&lt;I256),0,IF(VolumeOverrideFlag,V256,VolumeSwaption))</f>
        <v>0</v>
      </c>
      <c r="BF256" s="537" t="n">
        <f aca="false">YEAR(I256)</f>
        <v>2020</v>
      </c>
      <c r="BG256" s="538" t="n">
        <f aca="false">MONTH(I256)</f>
        <v>5</v>
      </c>
      <c r="BH256" s="539" t="n">
        <f aca="false">AD256-DateToday+1</f>
        <v>-1988</v>
      </c>
      <c r="BI256" s="540" t="n">
        <f aca="false">(I256-DateToday+1)/365.25</f>
        <v>-5.40177960301164</v>
      </c>
      <c r="BJ256" s="541" t="n">
        <f aca="false">BI256+(BL256-BI256)*CHOOSE(Underlying,AJ256/AI256,AM256/AL256)</f>
        <v>-5.34702258726899</v>
      </c>
      <c r="BK256" s="541" t="n">
        <f aca="false">BJ256+1/365.25</f>
        <v>-5.34428473648186</v>
      </c>
      <c r="BL256" s="541" t="n">
        <f aca="false">(I257-DateToday)/365.25</f>
        <v>-5.31964407939767</v>
      </c>
      <c r="BM256" s="542" t="e">
        <f aca="false">MAX(BI256-(BJ256-BI256)*(S257^2/O257^2-1),0)</f>
        <v>#DIV/0!</v>
      </c>
      <c r="BN256" s="541" t="e">
        <f aca="false">MAX(BL256+(BL256-BK256)*(S258^2/O258^2-1),0)</f>
        <v>#DIV/0!</v>
      </c>
      <c r="BO256" s="530" t="n">
        <f aca="false">CHOOSE(Underlying,AI256,AL256)</f>
        <v>21</v>
      </c>
      <c r="BP256" s="529" t="n">
        <f aca="false">CHOOSE(Underlying,AJ256,AM256)</f>
        <v>14</v>
      </c>
      <c r="BQ256" s="529" t="n">
        <f aca="false">CHOOSE(Underlying,AK256,AN256)</f>
        <v>7</v>
      </c>
      <c r="BR256" s="463" t="str">
        <f aca="false">IF(BD256,IF(Underlying=1,X256,Z256)+UnderlyingPriceAsian-SwapPriceCurve,"")</f>
        <v/>
      </c>
      <c r="BS256" s="463" t="str">
        <f aca="false">IF(BD256,Strike1/BR256-1,"")</f>
        <v/>
      </c>
      <c r="BT256" s="464" t="str">
        <f aca="false">IF(BD256,Strike2/BR256-1,"")</f>
        <v/>
      </c>
      <c r="BU256" s="465" t="str">
        <f aca="false">IF(BD256,IF(Underlying=1,L257,R257)+UnderlyingPriceAsian-SwapPriceCurve,"")</f>
        <v/>
      </c>
      <c r="BV256" s="465" t="str">
        <f aca="false">IF(BD256,IF(Underlying=1,L258,R258)+UnderlyingPriceAsian-SwapPriceCurve,"")</f>
        <v/>
      </c>
      <c r="BW256" s="466" t="str">
        <f aca="false">IF(BD256,IF(Underlying=1,O257,AT257),"")</f>
        <v/>
      </c>
      <c r="BX256" s="467" t="str">
        <f aca="false">IF(BD256,IF(Underlying=1,O258,AT258),"")</f>
        <v/>
      </c>
      <c r="BY256" s="466" t="str">
        <f aca="false">IF(BD256,IF(BS256&gt;0,IF(BS256&gt;0.2,BC256-BB256,IF(BS256&gt;0.1,BB256-BA256,BA256)),IF(BS256&lt;-0.2,AX256-AY256,IF(BS256&lt;-0.1,AY256-AZ256,AZ256))),"")</f>
        <v/>
      </c>
      <c r="BZ256" s="467" t="str">
        <f aca="false">IF(BD256,IF(BT256&gt;0,IF(BT256&gt;0.2,BC256-BB256,IF(BT256&gt;0.1,BB256-BA256,BA256)),IF(BT256&lt;-0.2,AX256-AY256,IF(BT256&lt;-0.1,AY256-AZ256,AZ256))),"")</f>
        <v/>
      </c>
      <c r="CA256" s="468" t="str">
        <f aca="false">IF($BD256,$BW256+IF(VolSkewFlag=1,IF(BS256&gt;0,$BA256*MIN(BS256/10%,1)+($BB256-$BA256)*MAX(0,MIN(BS256/10%-1,1))+($BC256-$BB256)*MAX(0,BS256/10%-2),$AZ256*MIN(-BS256/10%,1)+($AY256-$AZ256)*MAX(0,MIN(-BS256/10%-1,1))+($AX256-$AY256)*MAX(0,-BS256/10%-2)),0),"")</f>
        <v/>
      </c>
      <c r="CB256" s="468" t="str">
        <f aca="false">IF($BD256,$BX256+IF(VolSkewFlag=1,IF(BS256&gt;0,$BA256*MIN(BS256/10%,1)+($BB256-$BA256)*MAX(0,MIN(BS256/10%-1,1))+($BC256-$BB256)*MAX(0,BS256/10%-2),$AZ256*MIN(-BS256/10%,1)+($AY256-$AZ256)*MAX(0,MIN(-BS256/10%-1,1))+($AX256-$AY256)*MAX(0,-BS256/10%-2)),0),"")</f>
        <v/>
      </c>
      <c r="CC256" s="468" t="str">
        <f aca="false">IF($BD256,$BW256+IF(VolSkewFlag=1,IF(BT256&gt;0,$BA256*MIN(BT256/10%,1)+($BB256-$BA256)*MAX(0,MIN(BT256/10%-1,1))+($BC256-$BB256)*MAX(0,BT256/10%-2),$AZ256*MIN(-BT256/10%,1)+($AY256-$AZ256)*MAX(0,MIN(-BT256/10%-1,1))+($AX256-$AY256)*MAX(0,-BT256/10%-2)),0),"")</f>
        <v/>
      </c>
      <c r="CD256" s="468" t="str">
        <f aca="false">IF($BD256,$BX256+IF(VolSkewFlag=1,IF(BT256&gt;0,$BA256*MIN(BT256/10%,1)+($BB256-$BA256)*MAX(0,MIN(BT256/10%-1,1))+($BC256-$BB256)*MAX(0,BT256/10%-2),$AZ256*MIN(-BT256/10%,1)+($AY256-$AZ256)*MAX(0,MIN(-BT256/10%-1,1))+($AX256-$AY256)*MAX(0,-BT256/10%-2)),0),"")</f>
        <v/>
      </c>
      <c r="CE256" s="469" t="n">
        <v>1</v>
      </c>
      <c r="CF256" s="470" t="n">
        <f aca="false">IF(BD256,xCrudeAPO(BU256,BV256,CA256,CB256,S257,S258,BI256,BL256,BP256,BQ256,0,Strike1,AO256,CE256,0,BL256,IF(OptControl=4,0,1),0,1),0)</f>
        <v>0</v>
      </c>
      <c r="CG256" s="470" t="n">
        <f aca="false">IF(BD256,xCrudeAPO(BU256,BV256,CA256,CB256,S257,S258,BI256,BL256,BP256,BQ256,0,Strike1,AO256,CE256,0,BL256,IF(OptControl=4,0,1),1,1)+xCrudeAPO(BU256,BV256,CA256,CB256,S257,S258,BI256,BL256,BP256,BQ256,0,Strike1,AO256,CE256,0,BL256,IF(OptControl=4,0,1),1,2)+IF(OR(VolSkewFlag=2,ABS(BS256)&lt;0.0001),0,IF(BS256&gt;0,-1,1)*CH256*Strike1/BR256^2*BY256/10%),0)</f>
        <v>0</v>
      </c>
      <c r="CH256" s="470" t="n">
        <f aca="false">IF(BD256,(xCrudeAPO(BU256,BV256,CA256,CB256,S257,S258,BI256,BL256,BP256,BQ256,0,Strike1,AO256,CE256,0,BL256,IF(OptControl=4,0,1),3,1)+xCrudeAPO(BU256,BV256,CA256,CB256,S257,S258,BI256,BL256,BP256,BQ256,0,Strike1,AO256,CE256,0,BL256,IF(OptControl=4,0,1),3,2))/100,0)</f>
        <v>0</v>
      </c>
      <c r="CI256" s="470" t="n">
        <f aca="false">IF(BD256,xCrudeAPO(BU256,BV256,CA256,CB256,S257,S258,BI256-DaysForThetaCalculation/365.25,BL256-DaysForThetaCalculation/365.25,BP256,BQ256,0,Strike1,AO256,CE256,0,BL256,IF(OptControl=4,0,1),0,1)-xCrudeAPO(BU256,BV256,CA256,CB256,S257,S258,BI256,BL256,BP256,BQ256,0,Strike1,AO256,CE256,0,BL256,IF(OptControl=4,0,1),0,1),0)</f>
        <v>0</v>
      </c>
      <c r="CJ256" s="471" t="n">
        <f aca="false">IF(BD256,xCrudeAPO(BU256,BV256,CC256,CD256,S257,S258,BI256,BL256,BP256,BQ256,0,Strike2,AO256,CE256,0,BL256,IF(OptControl=3,1,0),0,1),0)</f>
        <v>0</v>
      </c>
      <c r="CK256" s="470" t="n">
        <f aca="false">IF(BD256,xCrudeAPO(BU256,BV256,CC256,CD256,S257,S258,BI256,BL256,BP256,BQ256,0,Strike2,AO256,CE256,0,BL256,IF(OptControl=3,1,0),1,1)+xCrudeAPO(BU256,BV256,CC256,CD256,S257,S258,BI256,BL256,BP256,BQ256,0,Strike2,AO256,CE256,0,BL256,IF(OptControl=3,1,0),1,2)+IF(OR(VolSkewFlag=2,ABS(BT256)&lt;0.0001),0,IF(BT256&gt;0,-1,1)*CL256*Strike2/BR256^2*BZ256/10%),0)</f>
        <v>0</v>
      </c>
      <c r="CL256" s="470" t="n">
        <f aca="false">IF(BD256,(xCrudeAPO(BU256,BV256,CC256,CD256,S257,S258,BI256,BL256,BP256,BQ256,0,Strike2,AO256,CE256,0,BL256,IF(OptControl=3,1,0),3,1)+xCrudeAPO(BU256,BV256,CC256,CD256,S257,S258,BI256,BL256,BP256,BQ256,0,Strike2,AO256,CE256,0,BL256,IF(OptControl=3,1,0),3,2))/100,0)</f>
        <v>0</v>
      </c>
      <c r="CM256" s="472" t="n">
        <f aca="false">IF(BD256,xCrudeAPO(BU256,BV256,CC256,CD256,S257,S258,BI256-DaysForThetaCalculation/365.25,BL256-DaysForThetaCalculation/365.25,BP256,BQ256,0,Strike2,AO256,CE256,0,BL256,IF(OptControl=3,1,0),0,1)-xCrudeAPO(BU256,BV256,CC256,CD256,S257,S258,BI256,BL256,BP256,BQ256,0,Strike2,AO256,CE256,0,BL256,IF(OptControl=3,1,0),0,1),0)</f>
        <v>0</v>
      </c>
      <c r="CN256" s="3"/>
      <c r="CO256" s="543" t="str">
        <f aca="false">IF(BD256,CHOOSE(Underlying,AD256,AF256)-DateToday+1,"")</f>
        <v/>
      </c>
      <c r="CP256" s="582" t="str">
        <f aca="false">IF(BD256,CHOOSE(Underlying,L256,R256),"")</f>
        <v/>
      </c>
      <c r="CQ256" s="544" t="str">
        <f aca="false">IF(BD256,Strike1/CP256-1,"")</f>
        <v/>
      </c>
      <c r="CR256" s="544" t="str">
        <f aca="false">IF(BD256,Strike2/CP256-1,"")</f>
        <v/>
      </c>
      <c r="CS256" s="544" t="str">
        <f aca="false">IF(BD256,IF(CQ256&gt;0,IF(CQ256&gt;0.2,BC255-BB255,IF(CQ256&gt;0.1,BB255-BA255,BA255)),IF(CQ256&lt;-0.2,AX255-AY255,IF(CQ256&lt;-0.1,AY255-AZ255,AZ255))),"")</f>
        <v/>
      </c>
      <c r="CT256" s="544" t="str">
        <f aca="false">IF(BD256,IF(CR256&gt;0,IF(CR256&gt;0.2,BC255-BB255,IF(CR256&gt;0.1,BB255-BA255,BA255)),IF(CR256&lt;-0.2,AX255-AY255,IF(CR256&lt;-0.1,AY255-AZ255,AZ255))),"")</f>
        <v/>
      </c>
      <c r="CU256" s="545" t="str">
        <f aca="false">IF(BD256,CHOOSE(Underlying,O256,AT256),"")</f>
        <v/>
      </c>
      <c r="CV256" s="545" t="str">
        <f aca="false">IF(BD256,CU256+IF(VolSkewFlag=1,IF(CQ256&gt;0,BA255*MIN(CQ256/10%,1)+(BB255-BA255)*MAX(0,MIN(CQ256/10%-1,1))+(BC255-BB255)*MAX(0,CQ256/10%-2),AZ255*MIN(-CQ256/10%,1)+(AY255-AZ255)*MAX(0,MIN(-CQ256/10%-1,1))+(AX255-AY255)*MAX(0,-CQ256/10%-2)),0),"")</f>
        <v/>
      </c>
      <c r="CW256" s="545" t="str">
        <f aca="false">IF(BD256,CU256+IF(VolSkewFlag=1,IF(CR256&gt;0,BA255*MIN(CR256/10%,1)+(BB255-BA255)*MAX(0,MIN(CR256/10%-1,1))+(BC255-BB255)*MAX(0,CR256/10%-2),AZ255*MIN(-CR256/10%,1)+(AY255-AZ255)*MAX(0,MIN(-CR256/10%-1,1))+(AX255-AY255)*MAX(0,-CR256/10%-2)),0),"")</f>
        <v/>
      </c>
      <c r="CX256" s="470" t="n">
        <f aca="false">IF(BD256,EURO(CP256,Strike1,AO256,AO256,CV256,CO256,IF(OptControl=4,0,1),0),0)</f>
        <v>0</v>
      </c>
      <c r="CY256" s="470" t="n">
        <f aca="false">IF(BD256,EURO(CP256,Strike1,AO256,AO256,CV256,CO256,IF(OptControl=4,0,1),1)+IF(OR(VolSkewFlag=2,ABS(CQ256)&lt;0.0001),0,IF(CQ256&gt;0,-1,1)*CZ256*100*Strike1/CP256^2*CS256/10%),0)</f>
        <v>0</v>
      </c>
      <c r="CZ256" s="470" t="n">
        <f aca="false">IF(BD256,EURO(CP256,Strike1,AO256,AO256,CV256,CO256,IF(OptControl=4,0,1),3)/100,0)</f>
        <v>0</v>
      </c>
      <c r="DA256" s="470" t="n">
        <f aca="false">IF(BD256,EURO(CP256,Strike1,AO256,AO256,CV256,CO256,IF(OptControl=4,0,1),0)-EURO(CP256,Strike1,AO256,AO256,CV256,CO256-1,IF(OptControl=4,0,1),0),0)</f>
        <v>0</v>
      </c>
      <c r="DB256" s="470" t="n">
        <f aca="false">IF(BD256,EURO(CP256,Strike2,AO256,AO256,CW256,CO256,IF(OptControl=3,1,0),0),0)</f>
        <v>0</v>
      </c>
      <c r="DC256" s="470" t="n">
        <f aca="false">IF(BD256,EURO(CP256,Strike2,AO256,AO256,CW256,CO256,IF(OptControl=3,1,0),1)+IF(OR(VolSkewFlag=2,ABS(CR256)&lt;0.0001),0,IF(CR256&gt;0,-1,1)*DD256*100*Strike2/CP256^2*CT256/10%),0)</f>
        <v>0</v>
      </c>
      <c r="DD256" s="470" t="n">
        <f aca="false">IF(BD256,EURO(CP256,Strike2,AO256,AO256,CW256,CO256,IF(OptControl=3,1,0),3)/100,0)</f>
        <v>0</v>
      </c>
      <c r="DE256" s="472" t="n">
        <f aca="false">IF(BD256,EURO(CP256,Strike2,AO256,AO256,CW256,CO256,IF(OptControl=3,1,0),0)-EURO(CP256,Strike2,AO256,AO256,CW256,CO256-1,IF(OptControl=3,1,0),0),0)</f>
        <v>0</v>
      </c>
      <c r="DG256" s="481" t="n">
        <f aca="false">EOMONTH(DG255,0)+1</f>
        <v>52871</v>
      </c>
      <c r="DH256" s="478" t="n">
        <v>25.9600000000001</v>
      </c>
      <c r="DI256" s="479" t="n">
        <v>26.0295652173914</v>
      </c>
      <c r="DJ256" s="480" t="n">
        <f aca="false">DG256</f>
        <v>52871</v>
      </c>
      <c r="DK256" s="478" t="n">
        <v>24.6082502092856</v>
      </c>
      <c r="DL256" s="479" t="n">
        <v>24.8364652173914</v>
      </c>
      <c r="DM256" s="481" t="n">
        <f aca="false">DG256</f>
        <v>52871</v>
      </c>
      <c r="DN256" s="482" t="n">
        <f aca="false">DK256+BrentPhyBrentSpread</f>
        <v>24.6582502092856</v>
      </c>
      <c r="DO256" s="481" t="n">
        <f aca="false">DG256</f>
        <v>52871</v>
      </c>
      <c r="DP256" s="483" t="n">
        <f aca="false">DL256+DQ256</f>
        <v>24.8364652173914</v>
      </c>
      <c r="DQ256" s="546" t="n">
        <v>0</v>
      </c>
      <c r="DR256" s="480" t="n">
        <f aca="false">DG256</f>
        <v>52871</v>
      </c>
      <c r="DS256" s="485" t="n">
        <v>0.082999999999997</v>
      </c>
      <c r="DT256" s="486" t="n">
        <v>0.0821652173913014</v>
      </c>
      <c r="DU256" s="480" t="n">
        <f aca="false">DG256</f>
        <v>52871</v>
      </c>
      <c r="DV256" s="485" t="n">
        <v>0.082999999999997</v>
      </c>
      <c r="DW256" s="486" t="n">
        <v>0.0821652173913014</v>
      </c>
      <c r="DX256" s="481" t="n">
        <f aca="false">DG256</f>
        <v>52871</v>
      </c>
      <c r="DY256" s="486" t="n">
        <v>0.35</v>
      </c>
      <c r="DZ256" s="481" t="n">
        <f aca="false">DR256</f>
        <v>52871</v>
      </c>
      <c r="EA256" s="486" t="n">
        <f aca="false">DT256</f>
        <v>0.0821652173913014</v>
      </c>
      <c r="EB256" s="195"/>
      <c r="EC256" s="547" t="str">
        <f aca="false">IF(BD256,IF(Underlying=1,AS256,AU256),"")</f>
        <v/>
      </c>
      <c r="ED256" s="548" t="str">
        <f aca="false">IF($BD256,$EC256+IF(VolSkewFlag=1,IF(BS256&gt;0,$BA256*MIN(BS256/10%,1)+($BB256-$BA256)*MAX(0,MIN(BS256/10%-1,1))+($BC256-$BB256)*MAX(0,BS256/10%-2),$AZ256*MIN(-BS256/10%,1)+($AY256-$AZ256)*MAX(0,MIN(-BS256/10%-1,1))+($AX256-$AY256)*MAX(0,-BS256/10%-2)),0),"")</f>
        <v/>
      </c>
      <c r="EE256" s="549" t="str">
        <f aca="false">IF($BD256,$EC256+IF(VolSkewFlag=1,IF(BT256&gt;0,$BA256*MIN(BT256/10%,1)+($BB256-$BA256)*MAX(0,MIN(BT256/10%-1,1))+($BC256-$BB256)*MAX(0,BT256/10%-2),$AZ256*MIN(-BT256/10%,1)+($AY256-$AZ256)*MAX(0,MIN(-BT256/10%-1,1))+($AX256-$AY256)*MAX(0,-BT256/10%-2)),0),"")</f>
        <v/>
      </c>
      <c r="EF256" s="550" t="n">
        <f aca="false">IF(BD256,xASN(BR256,Strike1,AO256,ED256,0,BO256,0,BI256,BL256,IF(OptControl=4,0,1),0),0)</f>
        <v>0</v>
      </c>
      <c r="EG256" s="551" t="n">
        <f aca="false">IF(BD256,xASN(BR256,Strike2,AO256,EE256,0,BO256,0,BI256,BL256,IF(OptControl=3,1,0),0),0)</f>
        <v>0</v>
      </c>
      <c r="EL256" s="1"/>
      <c r="EM256" s="195"/>
      <c r="EN256" s="240"/>
      <c r="EO256" s="240"/>
      <c r="EP256" s="195"/>
      <c r="EQ256" s="407" t="s">
        <v>485</v>
      </c>
      <c r="ES256" s="1"/>
      <c r="EU256" s="240"/>
      <c r="FJ256" s="571" t="n">
        <v>12</v>
      </c>
      <c r="FK256" s="150" t="str">
        <f aca="false">IF($FJ256+FK$244&gt;73,"",PRODUCT(INDEX($T$19:$T$93,FK$244):INDEX($T$19:$T$93,FK$244+$FJ256-1)))</f>
        <v/>
      </c>
      <c r="FL256" s="150" t="str">
        <f aca="false">IF($FJ256+FL$244&gt;73,"",PRODUCT(INDEX($T$19:$T$93,FL$244):INDEX($T$19:$T$93,FL$244+$FJ256-1)))</f>
        <v/>
      </c>
      <c r="FM256" s="150" t="str">
        <f aca="false">IF($FJ256+FM$244&gt;73,"",PRODUCT(INDEX($T$19:$T$93,FM$244):INDEX($T$19:$T$93,FM$244+$FJ256-1)))</f>
        <v/>
      </c>
      <c r="FN256" s="150" t="str">
        <f aca="false">IF($FJ256+FN$244&gt;73,"",PRODUCT(INDEX($T$19:$T$93,FN$244):INDEX($T$19:$T$93,FN$244+$FJ256-1)))</f>
        <v/>
      </c>
      <c r="FO256" s="150" t="str">
        <f aca="false">IF($FJ256+FO$244&gt;73,"",PRODUCT(INDEX($T$19:$T$93,FO$244):INDEX($T$19:$T$93,FO$244+$FJ256-1)))</f>
        <v/>
      </c>
      <c r="FP256" s="150" t="str">
        <f aca="false">IF($FJ256+FP$244&gt;73,"",PRODUCT(INDEX($T$19:$T$93,FP$244):INDEX($T$19:$T$93,FP$244+$FJ256-1)))</f>
        <v/>
      </c>
      <c r="FQ256" s="150" t="str">
        <f aca="false">IF($FJ256+FQ$244&gt;73,"",PRODUCT(INDEX($T$19:$T$93,FQ$244):INDEX($T$19:$T$93,FQ$244+$FJ256-1)))</f>
        <v/>
      </c>
      <c r="FR256" s="150" t="str">
        <f aca="false">IF($FJ256+FR$244&gt;73,"",PRODUCT(INDEX($T$19:$T$93,FR$244):INDEX($T$19:$T$93,FR$244+$FJ256-1)))</f>
        <v/>
      </c>
      <c r="FS256" s="150" t="str">
        <f aca="false">IF($FJ256+FS$244&gt;73,"",PRODUCT(INDEX($T$19:$T$93,FS$244):INDEX($T$19:$T$93,FS$244+$FJ256-1)))</f>
        <v/>
      </c>
      <c r="FT256" s="150" t="str">
        <f aca="false">IF($FJ256+FT$244&gt;73,"",PRODUCT(INDEX($T$19:$T$93,FT$244):INDEX($T$19:$T$93,FT$244+$FJ256-1)))</f>
        <v/>
      </c>
      <c r="FU256" s="150" t="str">
        <f aca="false">IF($FJ256+FU$244&gt;73,"",PRODUCT(INDEX($T$19:$T$93,FU$244):INDEX($T$19:$T$93,FU$244+$FJ256-1)))</f>
        <v/>
      </c>
      <c r="FV256" s="150" t="n">
        <f aca="false">IF($FJ256+FV$244&gt;73,"",PRODUCT(INDEX($T$19:$T$93,FV$244):INDEX($T$19:$T$93,FV$244+$FJ256-1)))</f>
        <v>0.999936437776654</v>
      </c>
      <c r="FW256" s="150" t="n">
        <f aca="false">IF($FJ256+FW$244&gt;73,"",PRODUCT(INDEX($T$19:$T$93,FW$244):INDEX($T$19:$T$93,FW$244+$FJ256-1)))</f>
        <v>0.999925658331552</v>
      </c>
      <c r="FX256" s="150" t="n">
        <f aca="false">IF($FJ256+FX$244&gt;73,"",PRODUCT(INDEX($T$19:$T$93,FX$244):INDEX($T$19:$T$93,FX$244+$FJ256-1)))</f>
        <v>0.999913050842092</v>
      </c>
      <c r="FY256" s="150" t="n">
        <f aca="false">IF($FJ256+FY$244&gt;73,"",PRODUCT(INDEX($T$19:$T$93,FY$244):INDEX($T$19:$T$93,FY$244+$FJ256-1)))</f>
        <v>0.9998983053093</v>
      </c>
      <c r="FZ256" s="150" t="n">
        <f aca="false">IF($FJ256+FZ$244&gt;73,"",PRODUCT(INDEX($T$19:$T$93,FZ$244):INDEX($T$19:$T$93,FZ$244+$FJ256-1)))</f>
        <v>0.999881059169501</v>
      </c>
      <c r="GA256" s="150" t="n">
        <f aca="false">IF($FJ256+GA$244&gt;73,"",PRODUCT(INDEX($T$19:$T$93,GA$244):INDEX($T$19:$T$93,GA$244+$FJ256-1)))</f>
        <v>0.99986088838313</v>
      </c>
      <c r="GB256" s="150" t="n">
        <f aca="false">IF($FJ256+GB$244&gt;73,"",PRODUCT(INDEX($T$19:$T$93,GB$244):INDEX($T$19:$T$93,GB$244+$FJ256-1)))</f>
        <v>0.999837297013578</v>
      </c>
      <c r="GC256" s="150" t="n">
        <f aca="false">IF($FJ256+GC$244&gt;73,"",PRODUCT(INDEX($T$19:$T$93,GC$244):INDEX($T$19:$T$93,GC$244+$FJ256-1)))</f>
        <v>0.999809705040507</v>
      </c>
      <c r="GD256" s="150" t="n">
        <f aca="false">IF($FJ256+GD$244&gt;73,"",PRODUCT(INDEX($T$19:$T$93,GD$244):INDEX($T$19:$T$93,GD$244+$FJ256-1)))</f>
        <v>0.999777434108932</v>
      </c>
      <c r="GE256" s="150" t="n">
        <f aca="false">IF($FJ256+GE$244&gt;73,"",PRODUCT(INDEX($T$19:$T$93,GE$244):INDEX($T$19:$T$93,GE$244+$FJ256-1)))</f>
        <v>0.999739690864947</v>
      </c>
      <c r="GF256" s="150" t="n">
        <f aca="false">IF($FJ256+GF$244&gt;73,"",PRODUCT(INDEX($T$19:$T$93,GF$244):INDEX($T$19:$T$93,GF$244+$FJ256-1)))</f>
        <v>0.999695547470174</v>
      </c>
      <c r="GG256" s="150" t="n">
        <f aca="false">IF($FJ256+GG$244&gt;73,"",PRODUCT(INDEX($T$19:$T$93,GG$244):INDEX($T$19:$T$93,GG$244+$FJ256-1)))</f>
        <v>0.99964391881834</v>
      </c>
      <c r="GH256" s="150" t="n">
        <f aca="false">IF($FJ256+GH$244&gt;73,"",PRODUCT(INDEX($T$19:$T$93,GH$244):INDEX($T$19:$T$93,GH$244+$FJ256-1)))</f>
        <v>0.999583535897268</v>
      </c>
      <c r="GI256" s="150" t="n">
        <f aca="false">IF($FJ256+GI$244&gt;73,"",PRODUCT(INDEX($T$19:$T$93,GI$244):INDEX($T$19:$T$93,GI$244+$FJ256-1)))</f>
        <v>0.999512914646175</v>
      </c>
      <c r="GJ256" s="150" t="n">
        <f aca="false">IF($FJ256+GJ$244&gt;73,"",PRODUCT(INDEX($T$19:$T$93,GJ$244):INDEX($T$19:$T$93,GJ$244+$FJ256-1)))</f>
        <v>0.999430319549254</v>
      </c>
      <c r="GK256" s="150" t="n">
        <f aca="false">IF($FJ256+GK$244&gt;73,"",PRODUCT(INDEX($T$19:$T$93,GK$244):INDEX($T$19:$T$93,GK$244+$FJ256-1)))</f>
        <v>0.999333721079714</v>
      </c>
      <c r="GL256" s="150" t="n">
        <f aca="false">IF($FJ256+GL$244&gt;73,"",PRODUCT(INDEX($T$19:$T$93,GL$244):INDEX($T$19:$T$93,GL$244+$FJ256-1)))</f>
        <v>0.999220745960831</v>
      </c>
      <c r="GM256" s="150" t="n">
        <f aca="false">IF($FJ256+GM$244&gt;73,"",PRODUCT(INDEX($T$19:$T$93,GM$244):INDEX($T$19:$T$93,GM$244+$FJ256-1)))</f>
        <v>0.999088619038914</v>
      </c>
      <c r="GN256" s="150" t="n">
        <f aca="false">IF($FJ256+GN$244&gt;73,"",PRODUCT(INDEX($T$19:$T$93,GN$244):INDEX($T$19:$T$93,GN$244+$FJ256-1)))</f>
        <v>0.998934095363696</v>
      </c>
      <c r="GO256" s="150" t="n">
        <f aca="false">IF($FJ256+GO$244&gt;73,"",PRODUCT(INDEX($T$19:$T$93,GO$244):INDEX($T$19:$T$93,GO$244+$FJ256-1)))</f>
        <v>0.99875338084035</v>
      </c>
      <c r="GP256" s="150" t="n">
        <f aca="false">IF($FJ256+GP$244&gt;73,"",PRODUCT(INDEX($T$19:$T$93,GP$244):INDEX($T$19:$T$93,GP$244+$FJ256-1)))</f>
        <v>0.99854203954941</v>
      </c>
      <c r="GQ256" s="150" t="n">
        <f aca="false">IF($FJ256+GQ$244&gt;73,"",PRODUCT(INDEX($T$19:$T$93,GQ$244):INDEX($T$19:$T$93,GQ$244+$FJ256-1)))</f>
        <v>0.998294885521101</v>
      </c>
      <c r="GR256" s="150" t="n">
        <f aca="false">IF($FJ256+GR$244&gt;73,"",PRODUCT(INDEX($T$19:$T$93,GR$244):INDEX($T$19:$T$93,GR$244+$FJ256-1)))</f>
        <v>0.998005856393224</v>
      </c>
      <c r="GS256" s="150" t="n">
        <f aca="false">IF($FJ256+GS$244&gt;73,"",PRODUCT(INDEX($T$19:$T$93,GS$244):INDEX($T$19:$T$93,GS$244+$FJ256-1)))</f>
        <v>0.997667865970644</v>
      </c>
      <c r="GT256" s="150" t="n">
        <f aca="false">IF($FJ256+GT$244&gt;73,"",PRODUCT(INDEX($T$19:$T$93,GT$244):INDEX($T$19:$T$93,GT$244+$FJ256-1)))</f>
        <v>0.997272632232945</v>
      </c>
      <c r="GU256" s="150" t="n">
        <f aca="false">IF($FJ256+GU$244&gt;73,"",PRODUCT(INDEX($T$19:$T$93,GU$244):INDEX($T$19:$T$93,GU$244+$FJ256-1)))</f>
        <v>0.996810476798417</v>
      </c>
      <c r="GV256" s="150" t="n">
        <f aca="false">IF($FJ256+GV$244&gt;73,"",PRODUCT(INDEX($T$19:$T$93,GV$244):INDEX($T$19:$T$93,GV$244+$FJ256-1)))</f>
        <v>0.996270091240539</v>
      </c>
      <c r="GW256" s="150" t="n">
        <f aca="false">IF($FJ256+GW$244&gt;73,"",PRODUCT(INDEX($T$19:$T$93,GW$244):INDEX($T$19:$T$93,GW$244+$FJ256-1)))</f>
        <v>0.995638264961971</v>
      </c>
      <c r="GX256" s="150" t="n">
        <f aca="false">IF($FJ256+GX$244&gt;73,"",PRODUCT(INDEX($T$19:$T$93,GX$244):INDEX($T$19:$T$93,GX$244+$FJ256-1)))</f>
        <v>0.994899568556376</v>
      </c>
      <c r="GY256" s="150" t="n">
        <f aca="false">IF($FJ256+GY$244&gt;73,"",PRODUCT(INDEX($T$19:$T$93,GY$244):INDEX($T$19:$T$93,GY$244+$FJ256-1)))</f>
        <v>0.994035985728759</v>
      </c>
      <c r="GZ256" s="150" t="n">
        <f aca="false">IF($FJ256+GZ$244&gt;73,"",PRODUCT(INDEX($T$19:$T$93,GZ$244):INDEX($T$19:$T$93,GZ$244+$FJ256-1)))</f>
        <v>0.993026485903411</v>
      </c>
      <c r="HA256" s="150" t="n">
        <f aca="false">IF($FJ256+HA$244&gt;73,"",PRODUCT(INDEX($T$19:$T$93,HA$244):INDEX($T$19:$T$93,HA$244+$FJ256-1)))</f>
        <v>0.991846528634968</v>
      </c>
      <c r="HB256" s="150" t="n">
        <f aca="false">IF($FJ256+HB$244&gt;73,"",PRODUCT(INDEX($T$19:$T$93,HB$244):INDEX($T$19:$T$93,HB$244+$FJ256-1)))</f>
        <v>0.990467489873054</v>
      </c>
      <c r="HC256" s="150" t="n">
        <f aca="false">IF($FJ256+HC$244&gt;73,"",PRODUCT(INDEX($T$19:$T$93,HC$244):INDEX($T$19:$T$93,HC$244+$FJ256-1)))</f>
        <v>0.988855999050807</v>
      </c>
      <c r="HD256" s="150" t="n">
        <f aca="false">IF($FJ256+HD$244&gt;73,"",PRODUCT(INDEX($T$19:$T$93,HD$244):INDEX($T$19:$T$93,HD$244+$FJ256-1)))</f>
        <v>0.986973174931007</v>
      </c>
      <c r="HE256" s="150" t="n">
        <f aca="false">IF($FJ256+HE$244&gt;73,"",PRODUCT(INDEX($T$19:$T$93,HE$244):INDEX($T$19:$T$93,HE$244+$FJ256-1)))</f>
        <v>0.984773747242319</v>
      </c>
      <c r="HF256" s="150" t="n">
        <f aca="false">IF($FJ256+HF$244&gt;73,"",PRODUCT(INDEX($T$19:$T$93,HF$244):INDEX($T$19:$T$93,HF$244+$FJ256-1)))</f>
        <v>0.982205050509911</v>
      </c>
      <c r="HG256" s="150" t="n">
        <f aca="false">IF($FJ256+HG$244&gt;73,"",PRODUCT(INDEX($T$19:$T$93,HG$244):INDEX($T$19:$T$93,HG$244+$FJ256-1)))</f>
        <v>0.97920587633245</v>
      </c>
      <c r="HH256" s="150" t="n">
        <f aca="false">IF($FJ256+HH$244&gt;73,"",PRODUCT(INDEX($T$19:$T$93,HH$244):INDEX($T$19:$T$93,HH$244+$FJ256-1)))</f>
        <v>0.975705170974608</v>
      </c>
      <c r="HI256" s="150" t="n">
        <f aca="false">IF($FJ256+HI$244&gt;73,"",PRODUCT(INDEX($T$19:$T$93,HI$244):INDEX($T$19:$T$93,HI$244+$FJ256-1)))</f>
        <v>0.97162056694977</v>
      </c>
      <c r="HJ256" s="150" t="n">
        <f aca="false">IF($FJ256+HJ$244&gt;73,"",PRODUCT(INDEX($T$19:$T$93,HJ$244):INDEX($T$19:$T$93,HJ$244+$FJ256-1)))</f>
        <v>0.966856740852482</v>
      </c>
      <c r="HK256" s="150" t="n">
        <f aca="false">IF($FJ256+HK$244&gt;73,"",PRODUCT(INDEX($T$19:$T$93,HK$244):INDEX($T$19:$T$93,HK$244+$FJ256-1)))</f>
        <v>0.96130359588906</v>
      </c>
      <c r="HL256" s="150" t="n">
        <f aca="false">IF($FJ256+HL$244&gt;73,"",PRODUCT(INDEX($T$19:$T$93,HL$244):INDEX($T$19:$T$93,HL$244+$FJ256-1)))</f>
        <v>0.954834277487215</v>
      </c>
      <c r="HM256" s="150" t="n">
        <f aca="false">IF($FJ256+HM$244&gt;73,"",PRODUCT(INDEX($T$19:$T$93,HM$244):INDEX($T$19:$T$93,HM$244+$FJ256-1)))</f>
        <v>0.947303045599553</v>
      </c>
      <c r="HN256" s="150" t="n">
        <f aca="false">IF($FJ256+HN$244&gt;73,"",PRODUCT(INDEX($T$19:$T$93,HN$244):INDEX($T$19:$T$93,HN$244+$FJ256-1)))</f>
        <v>0.938543049957928</v>
      </c>
      <c r="HO256" s="150" t="n">
        <f aca="false">IF($FJ256+HO$244&gt;73,"",PRODUCT(INDEX($T$19:$T$93,HO$244):INDEX($T$19:$T$93,HO$244+$FJ256-1)))</f>
        <v>0.928364087396615</v>
      </c>
      <c r="HP256" s="150" t="n">
        <f aca="false">IF($FJ256+HP$244&gt;73,"",PRODUCT(INDEX($T$19:$T$93,HP$244):INDEX($T$19:$T$93,HP$244+$FJ256-1)))</f>
        <v>0.91655046713321</v>
      </c>
      <c r="HQ256" s="150" t="n">
        <f aca="false">IF($FJ256+HQ$244&gt;73,"",PRODUCT(INDEX($T$19:$T$93,HQ$244):INDEX($T$19:$T$93,HQ$244+$FJ256-1)))</f>
        <v>0.902859175323839</v>
      </c>
      <c r="HR256" s="150" t="n">
        <f aca="false">IF($FJ256+HR$244&gt;73,"",PRODUCT(INDEX($T$19:$T$93,HR$244):INDEX($T$19:$T$93,HR$244+$FJ256-1)))</f>
        <v>0.887018620227623</v>
      </c>
      <c r="HS256" s="150" t="n">
        <f aca="false">IF($FJ256+HS$244&gt;73,"",PRODUCT(INDEX($T$19:$T$93,HS$244):INDEX($T$19:$T$93,HS$244+$FJ256-1)))</f>
        <v>0.868728361039655</v>
      </c>
      <c r="HT256" s="150" t="n">
        <f aca="false">IF($FJ256+HT$244&gt;73,"",PRODUCT(INDEX($T$19:$T$93,HT$244):INDEX($T$19:$T$93,HT$244+$FJ256-1)))</f>
        <v>0.84766038486535</v>
      </c>
      <c r="HU256" s="150" t="n">
        <f aca="false">IF($FJ256+HU$244&gt;73,"",PRODUCT(INDEX($T$19:$T$93,HU$244):INDEX($T$19:$T$93,HU$244+$FJ256-1)))</f>
        <v>0.823462705333926</v>
      </c>
      <c r="HV256" s="150" t="n">
        <f aca="false">IF($FJ256+HV$244&gt;73,"",PRODUCT(INDEX($T$19:$T$93,HV$244):INDEX($T$19:$T$93,HV$244+$FJ256-1)))</f>
        <v>0.795766318769959</v>
      </c>
      <c r="HW256" s="150" t="n">
        <f aca="false">IF($FJ256+HW$244&gt;73,"",PRODUCT(INDEX($T$19:$T$93,HW$244):INDEX($T$19:$T$93,HW$244+$FJ256-1)))</f>
        <v>0.764196869213038</v>
      </c>
      <c r="HX256" s="150" t="n">
        <f aca="false">IF($FJ256+HX$244&gt;73,"",PRODUCT(INDEX($T$19:$T$93,HX$244):INDEX($T$19:$T$93,HX$244+$FJ256-1)))</f>
        <v>0.728392727726276</v>
      </c>
      <c r="HY256" s="150" t="n">
        <f aca="false">IF($FJ256+HY$244&gt;73,"",PRODUCT(INDEX($T$19:$T$93,HY$244):INDEX($T$19:$T$93,HY$244+$FJ256-1)))</f>
        <v>0.688031543538766</v>
      </c>
      <c r="HZ256" s="150" t="n">
        <f aca="false">IF($FJ256+HZ$244&gt;73,"",PRODUCT(INDEX($T$19:$T$93,HZ$244):INDEX($T$19:$T$93,HZ$244+$FJ256-1)))</f>
        <v>0.642867586013691</v>
      </c>
      <c r="IA256" s="150" t="n">
        <f aca="false">IF($FJ256+IA$244&gt;73,"",PRODUCT(INDEX($T$19:$T$93,IA$244):INDEX($T$19:$T$93,IA$244+$FJ256-1)))</f>
        <v>0.592782198391443</v>
      </c>
      <c r="IB256" s="150" t="n">
        <f aca="false">IF($FJ256+IB$244&gt;73,"",PRODUCT(INDEX($T$19:$T$93,IB$244):INDEX($T$19:$T$93,IB$244+$FJ256-1)))</f>
        <v>0.537849131947104</v>
      </c>
      <c r="IC256" s="150" t="n">
        <f aca="false">IF($FJ256+IC$244&gt;73,"",PRODUCT(INDEX($T$19:$T$93,IC$244):INDEX($T$19:$T$93,IC$244+$FJ256-1)))</f>
        <v>0.478414946000637</v>
      </c>
      <c r="ID256" s="572" t="n">
        <f aca="false">IF($FJ256+ID$244&gt;73,"",PRODUCT(INDEX($T$19:$T$93,ID$244):INDEX($T$19:$T$93,ID$244+$FJ256-1)))</f>
        <v>0.415191337950939</v>
      </c>
      <c r="IE256" s="129"/>
    </row>
    <row r="257" customFormat="false" ht="12.75" hidden="false" customHeight="false" outlineLevel="0" collapsed="false">
      <c r="H257" s="219" t="n">
        <f aca="false">VLOOKUP(I257,$EJ$20:$EL$54,3)</f>
        <v>0</v>
      </c>
      <c r="I257" s="511" t="n">
        <f aca="false">EOMONTH(I256,0)+1</f>
        <v>43983</v>
      </c>
      <c r="J257" s="512"/>
      <c r="K257" s="513" t="s">
        <v>280</v>
      </c>
      <c r="L257" s="514" t="n">
        <f aca="false">IF(ISNUMBER(K257),J257+K257/100,IF(K257="extra",L256+VLOOKUP(BF257,PriceSpreadTable,2)/12,IF(K257="inter",interpolateprices($K$19:$L$200,ROW(K257)-ROW(FirstPricingMonth)+1),interpolatechanges($J$19:$K$200,ROW(K257)-ROW(FirstPricingMonth)+1))))</f>
        <v>6.03749999999999</v>
      </c>
      <c r="M257" s="515"/>
      <c r="N257" s="516" t="n">
        <v>0</v>
      </c>
      <c r="O257" s="515" t="n">
        <f aca="false">M257+N257</f>
        <v>0</v>
      </c>
      <c r="P257" s="512"/>
      <c r="Q257" s="513" t="s">
        <v>280</v>
      </c>
      <c r="R257" s="512" t="e">
        <f aca="false">IF(ISNUMBER(Q257),P257+Q257/100,IF(Q257="extra",(Z255*AL255-R256*AM255)/AN255,IF(Q257="inter",interpolateprices($Q$19:$R$260,ROW(Q257)-ROW(FirstPricingMonth)+1),interpolatechanges($P$19:$Q$260,ROW(Q257)-ROW(FirstPricingMonth)+1))))</f>
        <v>#VALUE!</v>
      </c>
      <c r="S257" s="597" t="n">
        <f aca="false">S$19+(S256-S$19)*S$18</f>
        <v>0.36</v>
      </c>
      <c r="T257" s="575" t="n">
        <f aca="false">SQRT((1-(1-T256^2/U256)*T$18)*U257)</f>
        <v>1</v>
      </c>
      <c r="U257" s="576" t="n">
        <f aca="false">1-(1-U256)*U$18</f>
        <v>1</v>
      </c>
      <c r="V257" s="521" t="n">
        <v>0</v>
      </c>
      <c r="W257" s="577" t="n">
        <f aca="false">(J258*AJ257+J259*AK257)/AI257</f>
        <v>0</v>
      </c>
      <c r="X257" s="578" t="n">
        <f aca="false">(L258*AJ257+L259*AK257)/AI257</f>
        <v>6.08693181818181</v>
      </c>
      <c r="Y257" s="579" t="n">
        <f aca="false">IF(Q259="extra",W257-AA257,(P258*AM257+P259*AN257)/AL257)</f>
        <v>-1.2915</v>
      </c>
      <c r="Z257" s="579" t="n">
        <f aca="false">IF(Q259="extra",X257-AB257,(R258*AM257+R259*AN257)/AL257)</f>
        <v>4.79543181818181</v>
      </c>
      <c r="AA257" s="523" t="n">
        <f aca="false">IF(Q259="extra",INDEX(BrentSeasonalityTable,INT((BG257-1)/3)+1)*VLOOKUP(MAX(BF257,$AB$4),PriceSpreadTable,3),W257-Y257)</f>
        <v>1.2915</v>
      </c>
      <c r="AB257" s="524" t="n">
        <f aca="false">IF(Q259="extra",INDEX(BrentSeasonalityTable,INT((BG257-1)/3)+1)*VLOOKUP(MAX(BF257,$AB$4),PriceSpreadTable,3),X257-Z257)</f>
        <v>1.2915</v>
      </c>
      <c r="AC257" s="646" t="n">
        <v>43971</v>
      </c>
      <c r="AD257" s="646" t="n">
        <v>43967</v>
      </c>
      <c r="AE257" s="646" t="n">
        <v>43966</v>
      </c>
      <c r="AF257" s="646" t="n">
        <v>43962</v>
      </c>
      <c r="AG257" s="438" t="s">
        <v>278</v>
      </c>
      <c r="AH257" s="439" t="s">
        <v>278</v>
      </c>
      <c r="AI257" s="528" t="n">
        <v>22</v>
      </c>
      <c r="AJ257" s="529" t="n">
        <v>15</v>
      </c>
      <c r="AK257" s="529" t="n">
        <v>7</v>
      </c>
      <c r="AL257" s="530" t="n">
        <v>22</v>
      </c>
      <c r="AM257" s="529" t="n">
        <v>10</v>
      </c>
      <c r="AN257" s="531" t="n">
        <v>12</v>
      </c>
      <c r="AO257" s="532"/>
      <c r="AP257" s="465" t="n">
        <f aca="false">(1+AO257/2)^(-2*BL257)</f>
        <v>1</v>
      </c>
      <c r="AQ257" s="532"/>
      <c r="AR257" s="465" t="n">
        <f aca="false">(1+AQ257/2)^(-2*BH257/365.25)</f>
        <v>1</v>
      </c>
      <c r="AS257" s="580" t="n">
        <f aca="false">(O258*AJ257+O259*AK257)/AI257</f>
        <v>0</v>
      </c>
      <c r="AT257" s="468" t="n">
        <f aca="false">O257*VLOOKUP(BF257,BrentVolTable,2)+VLOOKUP(BF257,BrentVolTable,3)</f>
        <v>0</v>
      </c>
      <c r="AU257" s="468" t="n">
        <f aca="false">(AT258*AM257+AT259*AN257)/AL257</f>
        <v>0</v>
      </c>
      <c r="AV257" s="595" t="n">
        <f aca="false">SQRT(MAX(0.000000000001,(O257^2*BH257-S257^2*(BH257-BH256))/BH256))</f>
        <v>0.0442236860340546</v>
      </c>
      <c r="AW257" s="451" t="n">
        <f aca="false">IF($I257-DateToday+15&gt;=$T$8,"",IF($I257-DateToday+15&lt;$T$5,1,MATCH($I257-DateToday+15,$T$5:$T$8)))</f>
        <v>1</v>
      </c>
      <c r="AX257" s="468" t="n">
        <f aca="false">IF($AW257="",AX256^2/AX255,INDEX(U$5:U$8,$AW257)^((INDEX($T$5:$T$8,$AW257+1)-($I257-DateToday+15))/(INDEX($T$5:$T$8,$AW257+1)-INDEX($T$5:$T$8,$AW257)))/INDEX(U$5:U$8,$AW257+1)^((INDEX($T$5:$T$8,$AW257)-($I257-DateToday+15))/(INDEX($T$5:$T$8,$AW257+1)-INDEX($T$5:$T$8,$AW257))))</f>
        <v>0.0791257377762659</v>
      </c>
      <c r="AY257" s="468" t="n">
        <f aca="false">IF($AW257="",AY256^2/AY255,INDEX(V$5:V$8,$AW257)^((INDEX($T$5:$T$8,$AW257+1)-($I257-DateToday+15))/(INDEX($T$5:$T$8,$AW257+1)-INDEX($T$5:$T$8,$AW257)))/INDEX(V$5:V$8,$AW257+1)^((INDEX($T$5:$T$8,$AW257)-($I257-DateToday+15))/(INDEX($T$5:$T$8,$AW257+1)-INDEX($T$5:$T$8,$AW257))))</f>
        <v>0.240561208848677</v>
      </c>
      <c r="AZ257" s="468" t="n">
        <f aca="false">IF($AW257="",AZ256^2/AZ255,INDEX(W$5:W$8,$AW257)^((INDEX($T$5:$T$8,$AW257+1)-($I257-DateToday+15))/(INDEX($T$5:$T$8,$AW257+1)-INDEX($T$5:$T$8,$AW257)))/INDEX(W$5:W$8,$AW257+1)^((INDEX($T$5:$T$8,$AW257)-($I257-DateToday+15))/(INDEX($T$5:$T$8,$AW257+1)-INDEX($T$5:$T$8,$AW257))))</f>
        <v>2.38648741008576</v>
      </c>
      <c r="BA257" s="468" t="n">
        <f aca="false">IF($AW257="",BA256^2/BA255,INDEX(X$5:X$8,$AW257)^((INDEX($T$5:$T$8,$AW257+1)-($I257-DateToday+15))/(INDEX($T$5:$T$8,$AW257+1)-INDEX($T$5:$T$8,$AW257)))/INDEX(X$5:X$8,$AW257+1)^((INDEX($T$5:$T$8,$AW257)-($I257-DateToday+15))/(INDEX($T$5:$T$8,$AW257+1)-INDEX($T$5:$T$8,$AW257))))</f>
        <v>1.96700601059173</v>
      </c>
      <c r="BB257" s="468" t="n">
        <f aca="false">IF($AW257="",BB256^2/BB255,INDEX(Y$5:Y$8,$AW257)^((INDEX($T$5:$T$8,$AW257+1)-($I257-DateToday+15))/(INDEX($T$5:$T$8,$AW257+1)-INDEX($T$5:$T$8,$AW257)))/INDEX(Y$5:Y$8,$AW257+1)^((INDEX($T$5:$T$8,$AW257)-($I257-DateToday+15))/(INDEX($T$5:$T$8,$AW257+1)-INDEX($T$5:$T$8,$AW257))))</f>
        <v>5.20624625721398</v>
      </c>
      <c r="BC257" s="468" t="n">
        <f aca="false">IF($AW257="",BC256^2/BC255,INDEX(Z$5:Z$8,$AW257)^((INDEX($T$5:$T$8,$AW257+1)-($I257-DateToday+15))/(INDEX($T$5:$T$8,$AW257+1)-INDEX($T$5:$T$8,$AW257)))/INDEX(Z$5:Z$8,$AW257+1)^((INDEX($T$5:$T$8,$AW257)-($I257-DateToday+15))/(INDEX($T$5:$T$8,$AW257+1)-INDEX($T$5:$T$8,$AW257))))</f>
        <v>9.66873403024088</v>
      </c>
      <c r="BD257" s="535" t="n">
        <f aca="false">IF(OR(DateStart&gt;=I258,DateEnd&lt;I257),0,IF(VolumeOverrideFlag,V257,Volume))</f>
        <v>0</v>
      </c>
      <c r="BE257" s="536" t="n">
        <f aca="false">IF(OR(DateStart2&gt;=I258,DateEnd2&lt;I257),0,IF(VolumeOverrideFlag,V257,VolumeSwaption))</f>
        <v>0</v>
      </c>
      <c r="BF257" s="537" t="n">
        <f aca="false">YEAR(I257)</f>
        <v>2020</v>
      </c>
      <c r="BG257" s="538" t="n">
        <f aca="false">MONTH(I257)</f>
        <v>6</v>
      </c>
      <c r="BH257" s="539" t="n">
        <f aca="false">AD257-DateToday+1</f>
        <v>-1958</v>
      </c>
      <c r="BI257" s="540" t="n">
        <f aca="false">(I257-DateToday+1)/365.25</f>
        <v>-5.31690622861054</v>
      </c>
      <c r="BJ257" s="541" t="n">
        <f aca="false">BI257+(BL257-BI257)*CHOOSE(Underlying,AJ257/AI257,AM257/AL257)</f>
        <v>-5.26277145168316</v>
      </c>
      <c r="BK257" s="541" t="n">
        <f aca="false">BJ257+1/365.25</f>
        <v>-5.26003360089602</v>
      </c>
      <c r="BL257" s="541" t="n">
        <f aca="false">(I258-DateToday)/365.25</f>
        <v>-5.23750855578371</v>
      </c>
      <c r="BM257" s="542" t="e">
        <f aca="false">MAX(BI257-(BJ257-BI257)*(S258^2/O258^2-1),0)</f>
        <v>#DIV/0!</v>
      </c>
      <c r="BN257" s="541" t="e">
        <f aca="false">MAX(BL257+(BL257-BK257)*(S259^2/O259^2-1),0)</f>
        <v>#DIV/0!</v>
      </c>
      <c r="BO257" s="530" t="n">
        <f aca="false">CHOOSE(Underlying,AI257,AL257)</f>
        <v>22</v>
      </c>
      <c r="BP257" s="529" t="n">
        <f aca="false">CHOOSE(Underlying,AJ257,AM257)</f>
        <v>15</v>
      </c>
      <c r="BQ257" s="529" t="n">
        <f aca="false">CHOOSE(Underlying,AK257,AN257)</f>
        <v>7</v>
      </c>
      <c r="BR257" s="463" t="str">
        <f aca="false">IF(BD257,IF(Underlying=1,X257,Z257)+UnderlyingPriceAsian-SwapPriceCurve,"")</f>
        <v/>
      </c>
      <c r="BS257" s="463" t="str">
        <f aca="false">IF(BD257,Strike1/BR257-1,"")</f>
        <v/>
      </c>
      <c r="BT257" s="464" t="str">
        <f aca="false">IF(BD257,Strike2/BR257-1,"")</f>
        <v/>
      </c>
      <c r="BU257" s="465" t="str">
        <f aca="false">IF(BD257,IF(Underlying=1,L258,R258)+UnderlyingPriceAsian-SwapPriceCurve,"")</f>
        <v/>
      </c>
      <c r="BV257" s="465" t="str">
        <f aca="false">IF(BD257,IF(Underlying=1,L259,R259)+UnderlyingPriceAsian-SwapPriceCurve,"")</f>
        <v/>
      </c>
      <c r="BW257" s="466" t="str">
        <f aca="false">IF(BD257,IF(Underlying=1,O258,AT258),"")</f>
        <v/>
      </c>
      <c r="BX257" s="467" t="str">
        <f aca="false">IF(BD257,IF(Underlying=1,O259,AT259),"")</f>
        <v/>
      </c>
      <c r="BY257" s="466" t="str">
        <f aca="false">IF(BD257,IF(BS257&gt;0,IF(BS257&gt;0.2,BC257-BB257,IF(BS257&gt;0.1,BB257-BA257,BA257)),IF(BS257&lt;-0.2,AX257-AY257,IF(BS257&lt;-0.1,AY257-AZ257,AZ257))),"")</f>
        <v/>
      </c>
      <c r="BZ257" s="467" t="str">
        <f aca="false">IF(BD257,IF(BT257&gt;0,IF(BT257&gt;0.2,BC257-BB257,IF(BT257&gt;0.1,BB257-BA257,BA257)),IF(BT257&lt;-0.2,AX257-AY257,IF(BT257&lt;-0.1,AY257-AZ257,AZ257))),"")</f>
        <v/>
      </c>
      <c r="CA257" s="468" t="str">
        <f aca="false">IF($BD257,$BW257+IF(VolSkewFlag=1,IF(BS257&gt;0,$BA257*MIN(BS257/10%,1)+($BB257-$BA257)*MAX(0,MIN(BS257/10%-1,1))+($BC257-$BB257)*MAX(0,BS257/10%-2),$AZ257*MIN(-BS257/10%,1)+($AY257-$AZ257)*MAX(0,MIN(-BS257/10%-1,1))+($AX257-$AY257)*MAX(0,-BS257/10%-2)),0),"")</f>
        <v/>
      </c>
      <c r="CB257" s="468" t="str">
        <f aca="false">IF($BD257,$BX257+IF(VolSkewFlag=1,IF(BS257&gt;0,$BA257*MIN(BS257/10%,1)+($BB257-$BA257)*MAX(0,MIN(BS257/10%-1,1))+($BC257-$BB257)*MAX(0,BS257/10%-2),$AZ257*MIN(-BS257/10%,1)+($AY257-$AZ257)*MAX(0,MIN(-BS257/10%-1,1))+($AX257-$AY257)*MAX(0,-BS257/10%-2)),0),"")</f>
        <v/>
      </c>
      <c r="CC257" s="468" t="str">
        <f aca="false">IF($BD257,$BW257+IF(VolSkewFlag=1,IF(BT257&gt;0,$BA257*MIN(BT257/10%,1)+($BB257-$BA257)*MAX(0,MIN(BT257/10%-1,1))+($BC257-$BB257)*MAX(0,BT257/10%-2),$AZ257*MIN(-BT257/10%,1)+($AY257-$AZ257)*MAX(0,MIN(-BT257/10%-1,1))+($AX257-$AY257)*MAX(0,-BT257/10%-2)),0),"")</f>
        <v/>
      </c>
      <c r="CD257" s="468" t="str">
        <f aca="false">IF($BD257,$BX257+IF(VolSkewFlag=1,IF(BT257&gt;0,$BA257*MIN(BT257/10%,1)+($BB257-$BA257)*MAX(0,MIN(BT257/10%-1,1))+($BC257-$BB257)*MAX(0,BT257/10%-2),$AZ257*MIN(-BT257/10%,1)+($AY257-$AZ257)*MAX(0,MIN(-BT257/10%-1,1))+($AX257-$AY257)*MAX(0,-BT257/10%-2)),0),"")</f>
        <v/>
      </c>
      <c r="CE257" s="469" t="n">
        <v>1</v>
      </c>
      <c r="CF257" s="470" t="n">
        <f aca="false">IF(BD257,xCrudeAPO(BU257,BV257,CA257,CB257,S258,S259,BI257,BL257,BP257,BQ257,0,Strike1,AO257,CE257,0,BL257,IF(OptControl=4,0,1),0,1),0)</f>
        <v>0</v>
      </c>
      <c r="CG257" s="470" t="n">
        <f aca="false">IF(BD257,xCrudeAPO(BU257,BV257,CA257,CB257,S258,S259,BI257,BL257,BP257,BQ257,0,Strike1,AO257,CE257,0,BL257,IF(OptControl=4,0,1),1,1)+xCrudeAPO(BU257,BV257,CA257,CB257,S258,S259,BI257,BL257,BP257,BQ257,0,Strike1,AO257,CE257,0,BL257,IF(OptControl=4,0,1),1,2)+IF(OR(VolSkewFlag=2,ABS(BS257)&lt;0.0001),0,IF(BS257&gt;0,-1,1)*CH257*Strike1/BR257^2*BY257/10%),0)</f>
        <v>0</v>
      </c>
      <c r="CH257" s="470" t="n">
        <f aca="false">IF(BD257,(xCrudeAPO(BU257,BV257,CA257,CB257,S258,S259,BI257,BL257,BP257,BQ257,0,Strike1,AO257,CE257,0,BL257,IF(OptControl=4,0,1),3,1)+xCrudeAPO(BU257,BV257,CA257,CB257,S258,S259,BI257,BL257,BP257,BQ257,0,Strike1,AO257,CE257,0,BL257,IF(OptControl=4,0,1),3,2))/100,0)</f>
        <v>0</v>
      </c>
      <c r="CI257" s="470" t="n">
        <f aca="false">IF(BD257,xCrudeAPO(BU257,BV257,CA257,CB257,S258,S259,BI257-DaysForThetaCalculation/365.25,BL257-DaysForThetaCalculation/365.25,BP257,BQ257,0,Strike1,AO257,CE257,0,BL257,IF(OptControl=4,0,1),0,1)-xCrudeAPO(BU257,BV257,CA257,CB257,S258,S259,BI257,BL257,BP257,BQ257,0,Strike1,AO257,CE257,0,BL257,IF(OptControl=4,0,1),0,1),0)</f>
        <v>0</v>
      </c>
      <c r="CJ257" s="471" t="n">
        <f aca="false">IF(BD257,xCrudeAPO(BU257,BV257,CC257,CD257,S258,S259,BI257,BL257,BP257,BQ257,0,Strike2,AO257,CE257,0,BL257,IF(OptControl=3,1,0),0,1),0)</f>
        <v>0</v>
      </c>
      <c r="CK257" s="470" t="n">
        <f aca="false">IF(BD257,xCrudeAPO(BU257,BV257,CC257,CD257,S258,S259,BI257,BL257,BP257,BQ257,0,Strike2,AO257,CE257,0,BL257,IF(OptControl=3,1,0),1,1)+xCrudeAPO(BU257,BV257,CC257,CD257,S258,S259,BI257,BL257,BP257,BQ257,0,Strike2,AO257,CE257,0,BL257,IF(OptControl=3,1,0),1,2)+IF(OR(VolSkewFlag=2,ABS(BT257)&lt;0.0001),0,IF(BT257&gt;0,-1,1)*CL257*Strike2/BR257^2*BZ257/10%),0)</f>
        <v>0</v>
      </c>
      <c r="CL257" s="470" t="n">
        <f aca="false">IF(BD257,(xCrudeAPO(BU257,BV257,CC257,CD257,S258,S259,BI257,BL257,BP257,BQ257,0,Strike2,AO257,CE257,0,BL257,IF(OptControl=3,1,0),3,1)+xCrudeAPO(BU257,BV257,CC257,CD257,S258,S259,BI257,BL257,BP257,BQ257,0,Strike2,AO257,CE257,0,BL257,IF(OptControl=3,1,0),3,2))/100,0)</f>
        <v>0</v>
      </c>
      <c r="CM257" s="472" t="n">
        <f aca="false">IF(BD257,xCrudeAPO(BU257,BV257,CC257,CD257,S258,S259,BI257-DaysForThetaCalculation/365.25,BL257-DaysForThetaCalculation/365.25,BP257,BQ257,0,Strike2,AO257,CE257,0,BL257,IF(OptControl=3,1,0),0,1)-xCrudeAPO(BU257,BV257,CC257,CD257,S258,S259,BI257,BL257,BP257,BQ257,0,Strike2,AO257,CE257,0,BL257,IF(OptControl=3,1,0),0,1),0)</f>
        <v>0</v>
      </c>
      <c r="CN257" s="3"/>
      <c r="CO257" s="543" t="str">
        <f aca="false">IF(BD257,CHOOSE(Underlying,AD257,AF257)-DateToday+1,"")</f>
        <v/>
      </c>
      <c r="CP257" s="582" t="str">
        <f aca="false">IF(BD257,CHOOSE(Underlying,L257,R257),"")</f>
        <v/>
      </c>
      <c r="CQ257" s="544" t="str">
        <f aca="false">IF(BD257,Strike1/CP257-1,"")</f>
        <v/>
      </c>
      <c r="CR257" s="544" t="str">
        <f aca="false">IF(BD257,Strike2/CP257-1,"")</f>
        <v/>
      </c>
      <c r="CS257" s="544" t="str">
        <f aca="false">IF(BD257,IF(CQ257&gt;0,IF(CQ257&gt;0.2,BC256-BB256,IF(CQ257&gt;0.1,BB256-BA256,BA256)),IF(CQ257&lt;-0.2,AX256-AY256,IF(CQ257&lt;-0.1,AY256-AZ256,AZ256))),"")</f>
        <v/>
      </c>
      <c r="CT257" s="544" t="str">
        <f aca="false">IF(BD257,IF(CR257&gt;0,IF(CR257&gt;0.2,BC256-BB256,IF(CR257&gt;0.1,BB256-BA256,BA256)),IF(CR257&lt;-0.2,AX256-AY256,IF(CR257&lt;-0.1,AY256-AZ256,AZ256))),"")</f>
        <v/>
      </c>
      <c r="CU257" s="545" t="str">
        <f aca="false">IF(BD257,CHOOSE(Underlying,O257,AT257),"")</f>
        <v/>
      </c>
      <c r="CV257" s="545" t="str">
        <f aca="false">IF(BD257,CU257+IF(VolSkewFlag=1,IF(CQ257&gt;0,BA256*MIN(CQ257/10%,1)+(BB256-BA256)*MAX(0,MIN(CQ257/10%-1,1))+(BC256-BB256)*MAX(0,CQ257/10%-2),AZ256*MIN(-CQ257/10%,1)+(AY256-AZ256)*MAX(0,MIN(-CQ257/10%-1,1))+(AX256-AY256)*MAX(0,-CQ257/10%-2)),0),"")</f>
        <v/>
      </c>
      <c r="CW257" s="545" t="str">
        <f aca="false">IF(BD257,CU257+IF(VolSkewFlag=1,IF(CR257&gt;0,BA256*MIN(CR257/10%,1)+(BB256-BA256)*MAX(0,MIN(CR257/10%-1,1))+(BC256-BB256)*MAX(0,CR257/10%-2),AZ256*MIN(-CR257/10%,1)+(AY256-AZ256)*MAX(0,MIN(-CR257/10%-1,1))+(AX256-AY256)*MAX(0,-CR257/10%-2)),0),"")</f>
        <v/>
      </c>
      <c r="CX257" s="470" t="n">
        <f aca="false">IF(BD257,EURO(CP257,Strike1,AO257,AO257,CV257,CO257,IF(OptControl=4,0,1),0),0)</f>
        <v>0</v>
      </c>
      <c r="CY257" s="470" t="n">
        <f aca="false">IF(BD257,EURO(CP257,Strike1,AO257,AO257,CV257,CO257,IF(OptControl=4,0,1),1)+IF(OR(VolSkewFlag=2,ABS(CQ257)&lt;0.0001),0,IF(CQ257&gt;0,-1,1)*CZ257*100*Strike1/CP257^2*CS257/10%),0)</f>
        <v>0</v>
      </c>
      <c r="CZ257" s="470" t="n">
        <f aca="false">IF(BD257,EURO(CP257,Strike1,AO257,AO257,CV257,CO257,IF(OptControl=4,0,1),3)/100,0)</f>
        <v>0</v>
      </c>
      <c r="DA257" s="470" t="n">
        <f aca="false">IF(BD257,EURO(CP257,Strike1,AO257,AO257,CV257,CO257,IF(OptControl=4,0,1),0)-EURO(CP257,Strike1,AO257,AO257,CV257,CO257-1,IF(OptControl=4,0,1),0),0)</f>
        <v>0</v>
      </c>
      <c r="DB257" s="470" t="n">
        <f aca="false">IF(BD257,EURO(CP257,Strike2,AO257,AO257,CW257,CO257,IF(OptControl=3,1,0),0),0)</f>
        <v>0</v>
      </c>
      <c r="DC257" s="470" t="n">
        <f aca="false">IF(BD257,EURO(CP257,Strike2,AO257,AO257,CW257,CO257,IF(OptControl=3,1,0),1)+IF(OR(VolSkewFlag=2,ABS(CR257)&lt;0.0001),0,IF(CR257&gt;0,-1,1)*DD257*100*Strike2/CP257^2*CT257/10%),0)</f>
        <v>0</v>
      </c>
      <c r="DD257" s="470" t="n">
        <f aca="false">IF(BD257,EURO(CP257,Strike2,AO257,AO257,CW257,CO257,IF(OptControl=3,1,0),3)/100,0)</f>
        <v>0</v>
      </c>
      <c r="DE257" s="472" t="n">
        <f aca="false">IF(BD257,EURO(CP257,Strike2,AO257,AO257,CW257,CO257,IF(OptControl=3,1,0),0)-EURO(CP257,Strike2,AO257,AO257,CW257,CO257-1,IF(OptControl=3,1,0),0),0)</f>
        <v>0</v>
      </c>
      <c r="DG257" s="481" t="n">
        <f aca="false">EOMONTH(DG256,0)+1</f>
        <v>52902</v>
      </c>
      <c r="DH257" s="478" t="n">
        <v>26.0100000000001</v>
      </c>
      <c r="DI257" s="479" t="n">
        <v>26.0766666666668</v>
      </c>
      <c r="DJ257" s="480" t="n">
        <f aca="false">DG257</f>
        <v>52902</v>
      </c>
      <c r="DK257" s="478" t="n">
        <v>24.7975089006497</v>
      </c>
      <c r="DL257" s="479" t="n">
        <v>24.8835666666668</v>
      </c>
      <c r="DM257" s="481" t="n">
        <f aca="false">DG257</f>
        <v>52902</v>
      </c>
      <c r="DN257" s="482" t="n">
        <f aca="false">DK257+BrentPhyBrentSpread</f>
        <v>24.8475089006497</v>
      </c>
      <c r="DO257" s="481" t="n">
        <f aca="false">DG257</f>
        <v>52902</v>
      </c>
      <c r="DP257" s="483" t="n">
        <f aca="false">DL257+DQ257</f>
        <v>24.8835666666668</v>
      </c>
      <c r="DQ257" s="546" t="n">
        <v>0</v>
      </c>
      <c r="DR257" s="480" t="n">
        <f aca="false">DG257</f>
        <v>52902</v>
      </c>
      <c r="DS257" s="485" t="n">
        <v>0.082399999999997</v>
      </c>
      <c r="DT257" s="486" t="n">
        <v>0.081599999999997</v>
      </c>
      <c r="DU257" s="480" t="n">
        <f aca="false">DG257</f>
        <v>52902</v>
      </c>
      <c r="DV257" s="485" t="n">
        <v>0.082399999999997</v>
      </c>
      <c r="DW257" s="486" t="n">
        <v>0.081599999999997</v>
      </c>
      <c r="DX257" s="481" t="n">
        <f aca="false">DG257</f>
        <v>52902</v>
      </c>
      <c r="DY257" s="486" t="n">
        <v>0.35</v>
      </c>
      <c r="DZ257" s="481" t="n">
        <f aca="false">DR257</f>
        <v>52902</v>
      </c>
      <c r="EA257" s="486" t="n">
        <f aca="false">DT257</f>
        <v>0.081599999999997</v>
      </c>
      <c r="EB257" s="195"/>
      <c r="EC257" s="547" t="str">
        <f aca="false">IF(BD257,IF(Underlying=1,AS257,AU257),"")</f>
        <v/>
      </c>
      <c r="ED257" s="548" t="str">
        <f aca="false">IF($BD257,$EC257+IF(VolSkewFlag=1,IF(BS257&gt;0,$BA257*MIN(BS257/10%,1)+($BB257-$BA257)*MAX(0,MIN(BS257/10%-1,1))+($BC257-$BB257)*MAX(0,BS257/10%-2),$AZ257*MIN(-BS257/10%,1)+($AY257-$AZ257)*MAX(0,MIN(-BS257/10%-1,1))+($AX257-$AY257)*MAX(0,-BS257/10%-2)),0),"")</f>
        <v/>
      </c>
      <c r="EE257" s="549" t="str">
        <f aca="false">IF($BD257,$EC257+IF(VolSkewFlag=1,IF(BT257&gt;0,$BA257*MIN(BT257/10%,1)+($BB257-$BA257)*MAX(0,MIN(BT257/10%-1,1))+($BC257-$BB257)*MAX(0,BT257/10%-2),$AZ257*MIN(-BT257/10%,1)+($AY257-$AZ257)*MAX(0,MIN(-BT257/10%-1,1))+($AX257-$AY257)*MAX(0,-BT257/10%-2)),0),"")</f>
        <v/>
      </c>
      <c r="EF257" s="550" t="n">
        <f aca="false">IF(BD257,xASN(BR257,Strike1,AO257,ED257,0,BO257,0,BI257,BL257,IF(OptControl=4,0,1),0),0)</f>
        <v>0</v>
      </c>
      <c r="EG257" s="551" t="n">
        <f aca="false">IF(BD257,xASN(BR257,Strike2,AO257,EE257,0,BO257,0,BI257,BL257,IF(OptControl=3,1,0),0),0)</f>
        <v>0</v>
      </c>
      <c r="EL257" s="1"/>
      <c r="EM257" s="195"/>
      <c r="EN257" s="240"/>
      <c r="EO257" s="240"/>
      <c r="EP257" s="195"/>
      <c r="EQ257" s="407" t="s">
        <v>486</v>
      </c>
      <c r="ER257" s="195"/>
      <c r="ES257" s="195"/>
      <c r="ET257" s="195"/>
      <c r="EU257" s="240"/>
      <c r="FJ257" s="571" t="n">
        <v>13</v>
      </c>
      <c r="FK257" s="150" t="str">
        <f aca="false">IF($FJ257+FK$244&gt;73,"",PRODUCT(INDEX($T$19:$T$93,FK$244):INDEX($T$19:$T$93,FK$244+$FJ257-1)))</f>
        <v/>
      </c>
      <c r="FL257" s="150" t="str">
        <f aca="false">IF($FJ257+FL$244&gt;73,"",PRODUCT(INDEX($T$19:$T$93,FL$244):INDEX($T$19:$T$93,FL$244+$FJ257-1)))</f>
        <v/>
      </c>
      <c r="FM257" s="150" t="str">
        <f aca="false">IF($FJ257+FM$244&gt;73,"",PRODUCT(INDEX($T$19:$T$93,FM$244):INDEX($T$19:$T$93,FM$244+$FJ257-1)))</f>
        <v/>
      </c>
      <c r="FN257" s="150" t="str">
        <f aca="false">IF($FJ257+FN$244&gt;73,"",PRODUCT(INDEX($T$19:$T$93,FN$244):INDEX($T$19:$T$93,FN$244+$FJ257-1)))</f>
        <v/>
      </c>
      <c r="FO257" s="150" t="str">
        <f aca="false">IF($FJ257+FO$244&gt;73,"",PRODUCT(INDEX($T$19:$T$93,FO$244):INDEX($T$19:$T$93,FO$244+$FJ257-1)))</f>
        <v/>
      </c>
      <c r="FP257" s="150" t="str">
        <f aca="false">IF($FJ257+FP$244&gt;73,"",PRODUCT(INDEX($T$19:$T$93,FP$244):INDEX($T$19:$T$93,FP$244+$FJ257-1)))</f>
        <v/>
      </c>
      <c r="FQ257" s="150" t="str">
        <f aca="false">IF($FJ257+FQ$244&gt;73,"",PRODUCT(INDEX($T$19:$T$93,FQ$244):INDEX($T$19:$T$93,FQ$244+$FJ257-1)))</f>
        <v/>
      </c>
      <c r="FR257" s="150" t="str">
        <f aca="false">IF($FJ257+FR$244&gt;73,"",PRODUCT(INDEX($T$19:$T$93,FR$244):INDEX($T$19:$T$93,FR$244+$FJ257-1)))</f>
        <v/>
      </c>
      <c r="FS257" s="150" t="str">
        <f aca="false">IF($FJ257+FS$244&gt;73,"",PRODUCT(INDEX($T$19:$T$93,FS$244):INDEX($T$19:$T$93,FS$244+$FJ257-1)))</f>
        <v/>
      </c>
      <c r="FT257" s="150" t="str">
        <f aca="false">IF($FJ257+FT$244&gt;73,"",PRODUCT(INDEX($T$19:$T$93,FT$244):INDEX($T$19:$T$93,FT$244+$FJ257-1)))</f>
        <v/>
      </c>
      <c r="FU257" s="150" t="str">
        <f aca="false">IF($FJ257+FU$244&gt;73,"",PRODUCT(INDEX($T$19:$T$93,FU$244):INDEX($T$19:$T$93,FU$244+$FJ257-1)))</f>
        <v/>
      </c>
      <c r="FV257" s="150" t="str">
        <f aca="false">IF($FJ257+FV$244&gt;73,"",PRODUCT(INDEX($T$19:$T$93,FV$244):INDEX($T$19:$T$93,FV$244+$FJ257-1)))</f>
        <v/>
      </c>
      <c r="FW257" s="150" t="n">
        <f aca="false">IF($FJ257+FW$244&gt;73,"",PRODUCT(INDEX($T$19:$T$93,FW$244):INDEX($T$19:$T$93,FW$244+$FJ257-1)))</f>
        <v>0.999923717059264</v>
      </c>
      <c r="FX257" s="150" t="n">
        <f aca="false">IF($FJ257+FX$244&gt;73,"",PRODUCT(INDEX($T$19:$T$93,FX$244):INDEX($T$19:$T$93,FX$244+$FJ257-1)))</f>
        <v>0.999910780374236</v>
      </c>
      <c r="FY257" s="150" t="n">
        <f aca="false">IF($FJ257+FY$244&gt;73,"",PRODUCT(INDEX($T$19:$T$93,FY$244):INDEX($T$19:$T$93,FY$244+$FJ257-1)))</f>
        <v>0.999895649827048</v>
      </c>
      <c r="FZ257" s="150" t="n">
        <f aca="false">IF($FJ257+FZ$244&gt;73,"",PRODUCT(INDEX($T$19:$T$93,FZ$244):INDEX($T$19:$T$93,FZ$244+$FJ257-1)))</f>
        <v>0.999877953391255</v>
      </c>
      <c r="GA257" s="150" t="n">
        <f aca="false">IF($FJ257+GA$244&gt;73,"",PRODUCT(INDEX($T$19:$T$93,GA$244):INDEX($T$19:$T$93,GA$244+$FJ257-1)))</f>
        <v>0.999857255961049</v>
      </c>
      <c r="GB257" s="150" t="n">
        <f aca="false">IF($FJ257+GB$244&gt;73,"",PRODUCT(INDEX($T$19:$T$93,GB$244):INDEX($T$19:$T$93,GB$244+$FJ257-1)))</f>
        <v>0.999833048658661</v>
      </c>
      <c r="GC257" s="150" t="n">
        <f aca="false">IF($FJ257+GC$244&gt;73,"",PRODUCT(INDEX($T$19:$T$93,GC$244):INDEX($T$19:$T$93,GC$244+$FJ257-1)))</f>
        <v>0.999804736330388</v>
      </c>
      <c r="GD257" s="150" t="n">
        <f aca="false">IF($FJ257+GD$244&gt;73,"",PRODUCT(INDEX($T$19:$T$93,GD$244):INDEX($T$19:$T$93,GD$244+$FJ257-1)))</f>
        <v>0.999771622924803</v>
      </c>
      <c r="GE257" s="150" t="n">
        <f aca="false">IF($FJ257+GE$244&gt;73,"",PRODUCT(INDEX($T$19:$T$93,GE$244):INDEX($T$19:$T$93,GE$244+$FJ257-1)))</f>
        <v>0.999732894395082</v>
      </c>
      <c r="GF257" s="150" t="n">
        <f aca="false">IF($FJ257+GF$244&gt;73,"",PRODUCT(INDEX($T$19:$T$93,GF$244):INDEX($T$19:$T$93,GF$244+$FJ257-1)))</f>
        <v>0.999687598706999</v>
      </c>
      <c r="GG257" s="150" t="n">
        <f aca="false">IF($FJ257+GG$244&gt;73,"",PRODUCT(INDEX($T$19:$T$93,GG$244):INDEX($T$19:$T$93,GG$244+$FJ257-1)))</f>
        <v>0.999634622463801</v>
      </c>
      <c r="GH257" s="150" t="n">
        <f aca="false">IF($FJ257+GH$244&gt;73,"",PRODUCT(INDEX($T$19:$T$93,GH$244):INDEX($T$19:$T$93,GH$244+$FJ257-1)))</f>
        <v>0.999572663577035</v>
      </c>
      <c r="GI257" s="150" t="n">
        <f aca="false">IF($FJ257+GI$244&gt;73,"",PRODUCT(INDEX($T$19:$T$93,GI$244):INDEX($T$19:$T$93,GI$244+$FJ257-1)))</f>
        <v>0.999500199316645</v>
      </c>
      <c r="GJ257" s="150" t="n">
        <f aca="false">IF($FJ257+GJ$244&gt;73,"",PRODUCT(INDEX($T$19:$T$93,GJ$244):INDEX($T$19:$T$93,GJ$244+$FJ257-1)))</f>
        <v>0.999415448962115</v>
      </c>
      <c r="GK257" s="150" t="n">
        <f aca="false">IF($FJ257+GK$244&gt;73,"",PRODUCT(INDEX($T$19:$T$93,GK$244):INDEX($T$19:$T$93,GK$244+$FJ257-1)))</f>
        <v>0.999316330146472</v>
      </c>
      <c r="GL257" s="150" t="n">
        <f aca="false">IF($FJ257+GL$244&gt;73,"",PRODUCT(INDEX($T$19:$T$93,GL$244):INDEX($T$19:$T$93,GL$244+$FJ257-1)))</f>
        <v>0.999200407833821</v>
      </c>
      <c r="GM257" s="150" t="n">
        <f aca="false">IF($FJ257+GM$244&gt;73,"",PRODUCT(INDEX($T$19:$T$93,GM$244):INDEX($T$19:$T$93,GM$244+$FJ257-1)))</f>
        <v>0.999064834695324</v>
      </c>
      <c r="GN257" s="150" t="n">
        <f aca="false">IF($FJ257+GN$244&gt;73,"",PRODUCT(INDEX($T$19:$T$93,GN$244):INDEX($T$19:$T$93,GN$244+$FJ257-1)))</f>
        <v>0.998906281444479</v>
      </c>
      <c r="GO257" s="150" t="n">
        <f aca="false">IF($FJ257+GO$244&gt;73,"",PRODUCT(INDEX($T$19:$T$93,GO$244):INDEX($T$19:$T$93,GO$244+$FJ257-1)))</f>
        <v>0.998720855455954</v>
      </c>
      <c r="GP257" s="150" t="n">
        <f aca="false">IF($FJ257+GP$244&gt;73,"",PRODUCT(INDEX($T$19:$T$93,GP$244):INDEX($T$19:$T$93,GP$244+$FJ257-1)))</f>
        <v>0.998504005718278</v>
      </c>
      <c r="GQ257" s="150" t="n">
        <f aca="false">IF($FJ257+GQ$244&gt;73,"",PRODUCT(INDEX($T$19:$T$93,GQ$244):INDEX($T$19:$T$93,GQ$244+$FJ257-1)))</f>
        <v>0.998250411854241</v>
      </c>
      <c r="GR257" s="150" t="n">
        <f aca="false">IF($FJ257+GR$244&gt;73,"",PRODUCT(INDEX($T$19:$T$93,GR$244):INDEX($T$19:$T$93,GR$244+$FJ257-1)))</f>
        <v>0.997953854577972</v>
      </c>
      <c r="GS257" s="150" t="n">
        <f aca="false">IF($FJ257+GS$244&gt;73,"",PRODUCT(INDEX($T$19:$T$93,GS$244):INDEX($T$19:$T$93,GS$244+$FJ257-1)))</f>
        <v>0.997607064538401</v>
      </c>
      <c r="GT257" s="150" t="n">
        <f aca="false">IF($FJ257+GT$244&gt;73,"",PRODUCT(INDEX($T$19:$T$93,GT$244):INDEX($T$19:$T$93,GT$244+$FJ257-1)))</f>
        <v>0.997201546018425</v>
      </c>
      <c r="GU257" s="150" t="n">
        <f aca="false">IF($FJ257+GU$244&gt;73,"",PRODUCT(INDEX($T$19:$T$93,GU$244):INDEX($T$19:$T$93,GU$244+$FJ257-1)))</f>
        <v>0.996727371411342</v>
      </c>
      <c r="GV257" s="150" t="n">
        <f aca="false">IF($FJ257+GV$244&gt;73,"",PRODUCT(INDEX($T$19:$T$93,GV$244):INDEX($T$19:$T$93,GV$244+$FJ257-1)))</f>
        <v>0.996172941774506</v>
      </c>
      <c r="GW257" s="150" t="n">
        <f aca="false">IF($FJ257+GW$244&gt;73,"",PRODUCT(INDEX($T$19:$T$93,GW$244):INDEX($T$19:$T$93,GW$244+$FJ257-1)))</f>
        <v>0.995524708059613</v>
      </c>
      <c r="GX257" s="150" t="n">
        <f aca="false">IF($FJ257+GX$244&gt;73,"",PRODUCT(INDEX($T$19:$T$93,GX$244):INDEX($T$19:$T$93,GX$244+$FJ257-1)))</f>
        <v>0.994766846835869</v>
      </c>
      <c r="GY257" s="150" t="n">
        <f aca="false">IF($FJ257+GY$244&gt;73,"",PRODUCT(INDEX($T$19:$T$93,GY$244):INDEX($T$19:$T$93,GY$244+$FJ257-1)))</f>
        <v>0.993880883456191</v>
      </c>
      <c r="GZ257" s="150" t="n">
        <f aca="false">IF($FJ257+GZ$244&gt;73,"",PRODUCT(INDEX($T$19:$T$93,GZ$244):INDEX($T$19:$T$93,GZ$244+$FJ257-1)))</f>
        <v>0.992845254672068</v>
      </c>
      <c r="HA257" s="150" t="n">
        <f aca="false">IF($FJ257+HA$244&gt;73,"",PRODUCT(INDEX($T$19:$T$93,HA$244):INDEX($T$19:$T$93,HA$244+$FJ257-1)))</f>
        <v>0.991634801691977</v>
      </c>
      <c r="HB257" s="150" t="n">
        <f aca="false">IF($FJ257+HB$244&gt;73,"",PRODUCT(INDEX($T$19:$T$93,HB$244):INDEX($T$19:$T$93,HB$244+$FJ257-1)))</f>
        <v>0.990220183625152</v>
      </c>
      <c r="HC257" s="150" t="n">
        <f aca="false">IF($FJ257+HC$244&gt;73,"",PRODUCT(INDEX($T$19:$T$93,HC$244):INDEX($T$19:$T$93,HC$244+$FJ257-1)))</f>
        <v>0.988567200197644</v>
      </c>
      <c r="HD257" s="150" t="n">
        <f aca="false">IF($FJ257+HD$244&gt;73,"",PRODUCT(INDEX($T$19:$T$93,HD$244):INDEX($T$19:$T$93,HD$244+$FJ257-1)))</f>
        <v>0.986636011636302</v>
      </c>
      <c r="HE257" s="150" t="n">
        <f aca="false">IF($FJ257+HE$244&gt;73,"",PRODUCT(INDEX($T$19:$T$93,HE$244):INDEX($T$19:$T$93,HE$244+$FJ257-1)))</f>
        <v>0.984380242788684</v>
      </c>
      <c r="HF257" s="150" t="n">
        <f aca="false">IF($FJ257+HF$244&gt;73,"",PRODUCT(INDEX($T$19:$T$93,HF$244):INDEX($T$19:$T$93,HF$244+$FJ257-1)))</f>
        <v>0.981745958032499</v>
      </c>
      <c r="HG257" s="150" t="n">
        <f aca="false">IF($FJ257+HG$244&gt;73,"",PRODUCT(INDEX($T$19:$T$93,HG$244):INDEX($T$19:$T$93,HG$244+$FJ257-1)))</f>
        <v>0.978670493546048</v>
      </c>
      <c r="HH257" s="150" t="n">
        <f aca="false">IF($FJ257+HH$244&gt;73,"",PRODUCT(INDEX($T$19:$T$93,HH$244):INDEX($T$19:$T$93,HH$244+$FJ257-1)))</f>
        <v>0.97508113437589</v>
      </c>
      <c r="HI257" s="150" t="n">
        <f aca="false">IF($FJ257+HI$244&gt;73,"",PRODUCT(INDEX($T$19:$T$93,HI$244):INDEX($T$19:$T$93,HI$244+$FJ257-1)))</f>
        <v>0.970893625897125</v>
      </c>
      <c r="HJ257" s="150" t="n">
        <f aca="false">IF($FJ257+HJ$244&gt;73,"",PRODUCT(INDEX($T$19:$T$93,HJ$244):INDEX($T$19:$T$93,HJ$244+$FJ257-1)))</f>
        <v>0.966010513342981</v>
      </c>
      <c r="HK257" s="150" t="n">
        <f aca="false">IF($FJ257+HK$244&gt;73,"",PRODUCT(INDEX($T$19:$T$93,HK$244):INDEX($T$19:$T$93,HK$244+$FJ257-1)))</f>
        <v>0.960319309956253</v>
      </c>
      <c r="HL257" s="150" t="n">
        <f aca="false">IF($FJ257+HL$244&gt;73,"",PRODUCT(INDEX($T$19:$T$93,HL$244):INDEX($T$19:$T$93,HL$244+$FJ257-1)))</f>
        <v>0.953690505184683</v>
      </c>
      <c r="HM257" s="150" t="n">
        <f aca="false">IF($FJ257+HM$244&gt;73,"",PRODUCT(INDEX($T$19:$T$93,HM$244):INDEX($T$19:$T$93,HM$244+$FJ257-1)))</f>
        <v>0.945975440837023</v>
      </c>
      <c r="HN257" s="150" t="n">
        <f aca="false">IF($FJ257+HN$244&gt;73,"",PRODUCT(INDEX($T$19:$T$93,HN$244):INDEX($T$19:$T$93,HN$244+$FJ257-1)))</f>
        <v>0.937004107428284</v>
      </c>
      <c r="HO257" s="150" t="n">
        <f aca="false">IF($FJ257+HO$244&gt;73,"",PRODUCT(INDEX($T$19:$T$93,HO$244):INDEX($T$19:$T$93,HO$244+$FJ257-1)))</f>
        <v>0.926582947976755</v>
      </c>
      <c r="HP257" s="150" t="n">
        <f aca="false">IF($FJ257+HP$244&gt;73,"",PRODUCT(INDEX($T$19:$T$93,HP$244):INDEX($T$19:$T$93,HP$244+$FJ257-1)))</f>
        <v>0.9144928060544</v>
      </c>
      <c r="HQ257" s="150" t="n">
        <f aca="false">IF($FJ257+HQ$244&gt;73,"",PRODUCT(INDEX($T$19:$T$93,HQ$244):INDEX($T$19:$T$93,HQ$244+$FJ257-1)))</f>
        <v>0.900487223749924</v>
      </c>
      <c r="HR257" s="150" t="n">
        <f aca="false">IF($FJ257+HR$244&gt;73,"",PRODUCT(INDEX($T$19:$T$93,HR$244):INDEX($T$19:$T$93,HR$244+$FJ257-1)))</f>
        <v>0.884291389313156</v>
      </c>
      <c r="HS257" s="150" t="n">
        <f aca="false">IF($FJ257+HS$244&gt;73,"",PRODUCT(INDEX($T$19:$T$93,HS$244):INDEX($T$19:$T$93,HS$244+$FJ257-1)))</f>
        <v>0.8656021605822</v>
      </c>
      <c r="HT257" s="150" t="n">
        <f aca="false">IF($FJ257+HT$244&gt;73,"",PRODUCT(INDEX($T$19:$T$93,HT$244):INDEX($T$19:$T$93,HT$244+$FJ257-1)))</f>
        <v>0.844089756421551</v>
      </c>
      <c r="HU257" s="150" t="n">
        <f aca="false">IF($FJ257+HU$244&gt;73,"",PRODUCT(INDEX($T$19:$T$93,HU$244):INDEX($T$19:$T$93,HU$244+$FJ257-1)))</f>
        <v>0.819401921355111</v>
      </c>
      <c r="HV257" s="150" t="n">
        <f aca="false">IF($FJ257+HV$244&gt;73,"",PRODUCT(INDEX($T$19:$T$93,HV$244):INDEX($T$19:$T$93,HV$244+$FJ257-1)))</f>
        <v>0.791171632470974</v>
      </c>
      <c r="HW257" s="150" t="n">
        <f aca="false">IF($FJ257+HW$244&gt;73,"",PRODUCT(INDEX($T$19:$T$93,HW$244):INDEX($T$19:$T$93,HW$244+$FJ257-1)))</f>
        <v>0.759029729126504</v>
      </c>
      <c r="HX257" s="150" t="n">
        <f aca="false">IF($FJ257+HX$244&gt;73,"",PRODUCT(INDEX($T$19:$T$93,HX$244):INDEX($T$19:$T$93,HX$244+$FJ257-1)))</f>
        <v>0.722624185999912</v>
      </c>
      <c r="HY257" s="150" t="n">
        <f aca="false">IF($FJ257+HY$244&gt;73,"",PRODUCT(INDEX($T$19:$T$93,HY$244):INDEX($T$19:$T$93,HY$244+$FJ257-1)))</f>
        <v>0.681648070303568</v>
      </c>
      <c r="HZ257" s="150" t="n">
        <f aca="false">IF($FJ257+HZ$244&gt;73,"",PRODUCT(INDEX($T$19:$T$93,HZ$244):INDEX($T$19:$T$93,HZ$244+$FJ257-1)))</f>
        <v>0.635878424993441</v>
      </c>
      <c r="IA257" s="150" t="n">
        <f aca="false">IF($FJ257+IA$244&gt;73,"",PRODUCT(INDEX($T$19:$T$93,IA$244):INDEX($T$19:$T$93,IA$244+$FJ257-1)))</f>
        <v>0.585228218266927</v>
      </c>
      <c r="IB257" s="150" t="n">
        <f aca="false">IF($FJ257+IB$244&gt;73,"",PRODUCT(INDEX($T$19:$T$93,IB$244):INDEX($T$19:$T$93,IB$244+$FJ257-1)))</f>
        <v>0.529812784214367</v>
      </c>
      <c r="IC257" s="150" t="n">
        <f aca="false">IF($FJ257+IC$244&gt;73,"",PRODUCT(INDEX($T$19:$T$93,IC$244):INDEX($T$19:$T$93,IC$244+$FJ257-1)))</f>
        <v>0.470030360545298</v>
      </c>
      <c r="ID257" s="572" t="n">
        <f aca="false">IF($FJ257+ID$244&gt;73,"",PRODUCT(INDEX($T$19:$T$93,ID$244):INDEX($T$19:$T$93,ID$244+$FJ257-1)))</f>
        <v>0.406652704100542</v>
      </c>
      <c r="IE257" s="129"/>
    </row>
    <row r="258" customFormat="false" ht="12.75" hidden="false" customHeight="false" outlineLevel="0" collapsed="false">
      <c r="H258" s="219" t="n">
        <f aca="false">VLOOKUP(I258,$EJ$20:$EL$54,3)</f>
        <v>0</v>
      </c>
      <c r="I258" s="511" t="n">
        <f aca="false">EOMONTH(I257,0)+1</f>
        <v>44013</v>
      </c>
      <c r="J258" s="512"/>
      <c r="K258" s="513" t="s">
        <v>280</v>
      </c>
      <c r="L258" s="514" t="n">
        <f aca="false">IF(ISNUMBER(K258),J258+K258/100,IF(K258="extra",L257+VLOOKUP(BF258,PriceSpreadTable,2)/12,IF(K258="inter",interpolateprices($K$19:$L$200,ROW(K258)-ROW(FirstPricingMonth)+1),interpolatechanges($J$19:$K$200,ROW(K258)-ROW(FirstPricingMonth)+1))))</f>
        <v>6.07499999999999</v>
      </c>
      <c r="M258" s="515"/>
      <c r="N258" s="516" t="n">
        <v>0</v>
      </c>
      <c r="O258" s="515" t="n">
        <f aca="false">M258+N258</f>
        <v>0</v>
      </c>
      <c r="P258" s="512"/>
      <c r="Q258" s="513" t="s">
        <v>280</v>
      </c>
      <c r="R258" s="512" t="e">
        <f aca="false">IF(ISNUMBER(Q258),P258+Q258/100,IF(Q258="extra",(Z256*AL256-R257*AM256)/AN256,IF(Q258="inter",interpolateprices($Q$19:$R$260,ROW(Q258)-ROW(FirstPricingMonth)+1),interpolatechanges($P$19:$Q$260,ROW(Q258)-ROW(FirstPricingMonth)+1))))</f>
        <v>#VALUE!</v>
      </c>
      <c r="S258" s="597" t="n">
        <f aca="false">S$19+(S257-S$19)*S$18</f>
        <v>0.36</v>
      </c>
      <c r="T258" s="575" t="n">
        <f aca="false">SQRT((1-(1-T257^2/U257)*T$18)*U258)</f>
        <v>1</v>
      </c>
      <c r="U258" s="576" t="n">
        <f aca="false">1-(1-U257)*U$18</f>
        <v>1</v>
      </c>
      <c r="V258" s="521" t="n">
        <v>0</v>
      </c>
      <c r="W258" s="577" t="n">
        <f aca="false">(J259*AJ258+J260*AK258)/AI258</f>
        <v>0</v>
      </c>
      <c r="X258" s="578" t="n">
        <f aca="false">(L259*AJ258+L260*AK258)/AI258</f>
        <v>6.12717391304347</v>
      </c>
      <c r="Y258" s="579" t="n">
        <f aca="false">IF(Q260="extra",W258-AA258,(P259*AM258+P260*AN258)/AL258)</f>
        <v>-1.2669</v>
      </c>
      <c r="Z258" s="579" t="n">
        <f aca="false">IF(Q260="extra",X258-AB258,(R259*AM258+R260*AN258)/AL258)</f>
        <v>4.86027391304347</v>
      </c>
      <c r="AA258" s="523" t="n">
        <f aca="false">IF(Q260="extra",INDEX(BrentSeasonalityTable,INT((BG258-1)/3)+1)*VLOOKUP(MAX(BF258,$AB$4),PriceSpreadTable,3),W258-Y258)</f>
        <v>1.2669</v>
      </c>
      <c r="AB258" s="524" t="n">
        <f aca="false">IF(Q260="extra",INDEX(BrentSeasonalityTable,INT((BG258-1)/3)+1)*VLOOKUP(MAX(BF258,$AB$4),PriceSpreadTable,3),X258-Z258)</f>
        <v>1.2669</v>
      </c>
      <c r="AC258" s="646" t="n">
        <v>44002</v>
      </c>
      <c r="AD258" s="646" t="n">
        <v>43998</v>
      </c>
      <c r="AE258" s="646" t="n">
        <v>43997</v>
      </c>
      <c r="AF258" s="646" t="n">
        <v>43993</v>
      </c>
      <c r="AG258" s="438" t="s">
        <v>278</v>
      </c>
      <c r="AH258" s="439" t="s">
        <v>278</v>
      </c>
      <c r="AI258" s="528" t="n">
        <v>23</v>
      </c>
      <c r="AJ258" s="529" t="n">
        <v>14</v>
      </c>
      <c r="AK258" s="529" t="n">
        <v>9</v>
      </c>
      <c r="AL258" s="530" t="n">
        <v>23</v>
      </c>
      <c r="AM258" s="529" t="n">
        <v>10</v>
      </c>
      <c r="AN258" s="531" t="n">
        <v>13</v>
      </c>
      <c r="AO258" s="532"/>
      <c r="AP258" s="465" t="n">
        <f aca="false">(1+AO258/2)^(-2*BL258)</f>
        <v>1</v>
      </c>
      <c r="AQ258" s="532"/>
      <c r="AR258" s="465" t="n">
        <f aca="false">(1+AQ258/2)^(-2*BH258/365.25)</f>
        <v>1</v>
      </c>
      <c r="AS258" s="580" t="n">
        <f aca="false">(O259*AJ258+O260*AK258)/AI258</f>
        <v>0</v>
      </c>
      <c r="AT258" s="468" t="n">
        <f aca="false">O258*VLOOKUP(BF258,BrentVolTable,2)+VLOOKUP(BF258,BrentVolTable,3)</f>
        <v>0</v>
      </c>
      <c r="AU258" s="468" t="n">
        <f aca="false">(AT259*AM258+AT260*AN258)/AL258</f>
        <v>0</v>
      </c>
      <c r="AV258" s="595" t="n">
        <f aca="false">SQRT(MAX(0.000000000001,(O258^2*BH258-S258^2*(BH258-BH257))/BH257))</f>
        <v>0.0452977889454922</v>
      </c>
      <c r="AW258" s="451" t="n">
        <f aca="false">IF($I258-DateToday+15&gt;=$T$8,"",IF($I258-DateToday+15&lt;$T$5,1,MATCH($I258-DateToday+15,$T$5:$T$8)))</f>
        <v>1</v>
      </c>
      <c r="AX258" s="468" t="n">
        <f aca="false">IF($AW258="",AX257^2/AX256,INDEX(U$5:U$8,$AW258)^((INDEX($T$5:$T$8,$AW258+1)-($I258-DateToday+15))/(INDEX($T$5:$T$8,$AW258+1)-INDEX($T$5:$T$8,$AW258)))/INDEX(U$5:U$8,$AW258+1)^((INDEX($T$5:$T$8,$AW258)-($I258-DateToday+15))/(INDEX($T$5:$T$8,$AW258+1)-INDEX($T$5:$T$8,$AW258))))</f>
        <v>0.0774758365642348</v>
      </c>
      <c r="AY258" s="468" t="n">
        <f aca="false">IF($AW258="",AY257^2/AY256,INDEX(V$5:V$8,$AW258)^((INDEX($T$5:$T$8,$AW258+1)-($I258-DateToday+15))/(INDEX($T$5:$T$8,$AW258+1)-INDEX($T$5:$T$8,$AW258)))/INDEX(V$5:V$8,$AW258+1)^((INDEX($T$5:$T$8,$AW258)-($I258-DateToday+15))/(INDEX($T$5:$T$8,$AW258+1)-INDEX($T$5:$T$8,$AW258))))</f>
        <v>0.230775803324543</v>
      </c>
      <c r="AZ258" s="468" t="n">
        <f aca="false">IF($AW258="",AZ257^2/AZ256,INDEX(W$5:W$8,$AW258)^((INDEX($T$5:$T$8,$AW258+1)-($I258-DateToday+15))/(INDEX($T$5:$T$8,$AW258+1)-INDEX($T$5:$T$8,$AW258)))/INDEX(W$5:W$8,$AW258+1)^((INDEX($T$5:$T$8,$AW258)-($I258-DateToday+15))/(INDEX($T$5:$T$8,$AW258+1)-INDEX($T$5:$T$8,$AW258))))</f>
        <v>2.20059892149162</v>
      </c>
      <c r="BA258" s="468" t="n">
        <f aca="false">IF($AW258="",BA257^2/BA256,INDEX(X$5:X$8,$AW258)^((INDEX($T$5:$T$8,$AW258+1)-($I258-DateToday+15))/(INDEX($T$5:$T$8,$AW258+1)-INDEX($T$5:$T$8,$AW258)))/INDEX(X$5:X$8,$AW258+1)^((INDEX($T$5:$T$8,$AW258)-($I258-DateToday+15))/(INDEX($T$5:$T$8,$AW258+1)-INDEX($T$5:$T$8,$AW258))))</f>
        <v>1.77597127484287</v>
      </c>
      <c r="BB258" s="468" t="n">
        <f aca="false">IF($AW258="",BB257^2/BB256,INDEX(Y$5:Y$8,$AW258)^((INDEX($T$5:$T$8,$AW258+1)-($I258-DateToday+15))/(INDEX($T$5:$T$8,$AW258+1)-INDEX($T$5:$T$8,$AW258)))/INDEX(Y$5:Y$8,$AW258+1)^((INDEX($T$5:$T$8,$AW258)-($I258-DateToday+15))/(INDEX($T$5:$T$8,$AW258+1)-INDEX($T$5:$T$8,$AW258))))</f>
        <v>4.65497225495213</v>
      </c>
      <c r="BC258" s="468" t="n">
        <f aca="false">IF($AW258="",BC257^2/BC256,INDEX(Z$5:Z$8,$AW258)^((INDEX($T$5:$T$8,$AW258+1)-($I258-DateToday+15))/(INDEX($T$5:$T$8,$AW258+1)-INDEX($T$5:$T$8,$AW258)))/INDEX(Z$5:Z$8,$AW258+1)^((INDEX($T$5:$T$8,$AW258)-($I258-DateToday+15))/(INDEX($T$5:$T$8,$AW258+1)-INDEX($T$5:$T$8,$AW258))))</f>
        <v>8.59637025393248</v>
      </c>
      <c r="BD258" s="535" t="n">
        <f aca="false">IF(OR(DateStart&gt;=I259,DateEnd&lt;I258),0,IF(VolumeOverrideFlag,V258,Volume))</f>
        <v>0</v>
      </c>
      <c r="BE258" s="536" t="n">
        <f aca="false">IF(OR(DateStart2&gt;=I259,DateEnd2&lt;I258),0,IF(VolumeOverrideFlag,V258,VolumeSwaption))</f>
        <v>0</v>
      </c>
      <c r="BF258" s="537" t="n">
        <f aca="false">YEAR(I258)</f>
        <v>2020</v>
      </c>
      <c r="BG258" s="538" t="n">
        <f aca="false">MONTH(I258)</f>
        <v>7</v>
      </c>
      <c r="BH258" s="539" t="n">
        <f aca="false">AD258-DateToday+1</f>
        <v>-1927</v>
      </c>
      <c r="BI258" s="540" t="n">
        <f aca="false">(I258-DateToday+1)/365.25</f>
        <v>-5.23477070499658</v>
      </c>
      <c r="BJ258" s="541" t="n">
        <f aca="false">BI258+(BL258-BI258)*CHOOSE(Underlying,AJ258/AI258,AM258/AL258)</f>
        <v>-5.18477516888373</v>
      </c>
      <c r="BK258" s="541" t="n">
        <f aca="false">BJ258+1/365.25</f>
        <v>-5.1820373180966</v>
      </c>
      <c r="BL258" s="541" t="n">
        <f aca="false">(I259-DateToday)/365.25</f>
        <v>-5.15263518138262</v>
      </c>
      <c r="BM258" s="542" t="e">
        <f aca="false">MAX(BI258-(BJ258-BI258)*(S259^2/O259^2-1),0)</f>
        <v>#DIV/0!</v>
      </c>
      <c r="BN258" s="541" t="e">
        <f aca="false">MAX(BL258+(BL258-BK258)*(S260^2/O260^2-1),0)</f>
        <v>#DIV/0!</v>
      </c>
      <c r="BO258" s="530" t="n">
        <f aca="false">CHOOSE(Underlying,AI258,AL258)</f>
        <v>23</v>
      </c>
      <c r="BP258" s="529" t="n">
        <f aca="false">CHOOSE(Underlying,AJ258,AM258)</f>
        <v>14</v>
      </c>
      <c r="BQ258" s="529" t="n">
        <f aca="false">CHOOSE(Underlying,AK258,AN258)</f>
        <v>9</v>
      </c>
      <c r="BR258" s="463" t="str">
        <f aca="false">IF(BD258,IF(Underlying=1,X258,Z258)+UnderlyingPriceAsian-SwapPriceCurve,"")</f>
        <v/>
      </c>
      <c r="BS258" s="463" t="str">
        <f aca="false">IF(BD258,Strike1/BR258-1,"")</f>
        <v/>
      </c>
      <c r="BT258" s="464" t="str">
        <f aca="false">IF(BD258,Strike2/BR258-1,"")</f>
        <v/>
      </c>
      <c r="BU258" s="465" t="str">
        <f aca="false">IF(BD258,IF(Underlying=1,L259,R259)+UnderlyingPriceAsian-SwapPriceCurve,"")</f>
        <v/>
      </c>
      <c r="BV258" s="465" t="str">
        <f aca="false">IF(BD258,IF(Underlying=1,L260,R260)+UnderlyingPriceAsian-SwapPriceCurve,"")</f>
        <v/>
      </c>
      <c r="BW258" s="466" t="str">
        <f aca="false">IF(BD258,IF(Underlying=1,O259,AT259),"")</f>
        <v/>
      </c>
      <c r="BX258" s="467" t="str">
        <f aca="false">IF(BD258,IF(Underlying=1,O260,AT260),"")</f>
        <v/>
      </c>
      <c r="BY258" s="466" t="str">
        <f aca="false">IF(BD258,IF(BS258&gt;0,IF(BS258&gt;0.2,BC258-BB258,IF(BS258&gt;0.1,BB258-BA258,BA258)),IF(BS258&lt;-0.2,AX258-AY258,IF(BS258&lt;-0.1,AY258-AZ258,AZ258))),"")</f>
        <v/>
      </c>
      <c r="BZ258" s="467" t="str">
        <f aca="false">IF(BD258,IF(BT258&gt;0,IF(BT258&gt;0.2,BC258-BB258,IF(BT258&gt;0.1,BB258-BA258,BA258)),IF(BT258&lt;-0.2,AX258-AY258,IF(BT258&lt;-0.1,AY258-AZ258,AZ258))),"")</f>
        <v/>
      </c>
      <c r="CA258" s="468" t="str">
        <f aca="false">IF($BD258,$BW258+IF(VolSkewFlag=1,IF(BS258&gt;0,$BA258*MIN(BS258/10%,1)+($BB258-$BA258)*MAX(0,MIN(BS258/10%-1,1))+($BC258-$BB258)*MAX(0,BS258/10%-2),$AZ258*MIN(-BS258/10%,1)+($AY258-$AZ258)*MAX(0,MIN(-BS258/10%-1,1))+($AX258-$AY258)*MAX(0,-BS258/10%-2)),0),"")</f>
        <v/>
      </c>
      <c r="CB258" s="468" t="str">
        <f aca="false">IF($BD258,$BX258+IF(VolSkewFlag=1,IF(BS258&gt;0,$BA258*MIN(BS258/10%,1)+($BB258-$BA258)*MAX(0,MIN(BS258/10%-1,1))+($BC258-$BB258)*MAX(0,BS258/10%-2),$AZ258*MIN(-BS258/10%,1)+($AY258-$AZ258)*MAX(0,MIN(-BS258/10%-1,1))+($AX258-$AY258)*MAX(0,-BS258/10%-2)),0),"")</f>
        <v/>
      </c>
      <c r="CC258" s="468" t="str">
        <f aca="false">IF($BD258,$BW258+IF(VolSkewFlag=1,IF(BT258&gt;0,$BA258*MIN(BT258/10%,1)+($BB258-$BA258)*MAX(0,MIN(BT258/10%-1,1))+($BC258-$BB258)*MAX(0,BT258/10%-2),$AZ258*MIN(-BT258/10%,1)+($AY258-$AZ258)*MAX(0,MIN(-BT258/10%-1,1))+($AX258-$AY258)*MAX(0,-BT258/10%-2)),0),"")</f>
        <v/>
      </c>
      <c r="CD258" s="468" t="str">
        <f aca="false">IF($BD258,$BX258+IF(VolSkewFlag=1,IF(BT258&gt;0,$BA258*MIN(BT258/10%,1)+($BB258-$BA258)*MAX(0,MIN(BT258/10%-1,1))+($BC258-$BB258)*MAX(0,BT258/10%-2),$AZ258*MIN(-BT258/10%,1)+($AY258-$AZ258)*MAX(0,MIN(-BT258/10%-1,1))+($AX258-$AY258)*MAX(0,-BT258/10%-2)),0),"")</f>
        <v/>
      </c>
      <c r="CE258" s="469" t="n">
        <v>1</v>
      </c>
      <c r="CF258" s="470" t="n">
        <f aca="false">IF(BD258,xCrudeAPO(BU258,BV258,CA258,CB258,S259,S260,BI258,BL258,BP258,BQ258,0,Strike1,AO258,CE258,0,BL258,IF(OptControl=4,0,1),0,1),0)</f>
        <v>0</v>
      </c>
      <c r="CG258" s="470" t="n">
        <f aca="false">IF(BD258,xCrudeAPO(BU258,BV258,CA258,CB258,S259,S260,BI258,BL258,BP258,BQ258,0,Strike1,AO258,CE258,0,BL258,IF(OptControl=4,0,1),1,1)+xCrudeAPO(BU258,BV258,CA258,CB258,S259,S260,BI258,BL258,BP258,BQ258,0,Strike1,AO258,CE258,0,BL258,IF(OptControl=4,0,1),1,2)+IF(OR(VolSkewFlag=2,ABS(BS258)&lt;0.0001),0,IF(BS258&gt;0,-1,1)*CH258*Strike1/BR258^2*BY258/10%),0)</f>
        <v>0</v>
      </c>
      <c r="CH258" s="470" t="n">
        <f aca="false">IF(BD258,(xCrudeAPO(BU258,BV258,CA258,CB258,S259,S260,BI258,BL258,BP258,BQ258,0,Strike1,AO258,CE258,0,BL258,IF(OptControl=4,0,1),3,1)+xCrudeAPO(BU258,BV258,CA258,CB258,S259,S260,BI258,BL258,BP258,BQ258,0,Strike1,AO258,CE258,0,BL258,IF(OptControl=4,0,1),3,2))/100,0)</f>
        <v>0</v>
      </c>
      <c r="CI258" s="470" t="n">
        <f aca="false">IF(BD258,xCrudeAPO(BU258,BV258,CA258,CB258,S259,S260,BI258-DaysForThetaCalculation/365.25,BL258-DaysForThetaCalculation/365.25,BP258,BQ258,0,Strike1,AO258,CE258,0,BL258,IF(OptControl=4,0,1),0,1)-xCrudeAPO(BU258,BV258,CA258,CB258,S259,S260,BI258,BL258,BP258,BQ258,0,Strike1,AO258,CE258,0,BL258,IF(OptControl=4,0,1),0,1),0)</f>
        <v>0</v>
      </c>
      <c r="CJ258" s="471" t="n">
        <f aca="false">IF(BD258,xCrudeAPO(BU258,BV258,CC258,CD258,S259,S260,BI258,BL258,BP258,BQ258,0,Strike2,AO258,CE258,0,BL258,IF(OptControl=3,1,0),0,1),0)</f>
        <v>0</v>
      </c>
      <c r="CK258" s="470" t="n">
        <f aca="false">IF(BD258,xCrudeAPO(BU258,BV258,CC258,CD258,S259,S260,BI258,BL258,BP258,BQ258,0,Strike2,AO258,CE258,0,BL258,IF(OptControl=3,1,0),1,1)+xCrudeAPO(BU258,BV258,CC258,CD258,S259,S260,BI258,BL258,BP258,BQ258,0,Strike2,AO258,CE258,0,BL258,IF(OptControl=3,1,0),1,2)+IF(OR(VolSkewFlag=2,ABS(BT258)&lt;0.0001),0,IF(BT258&gt;0,-1,1)*CL258*Strike2/BR258^2*BZ258/10%),0)</f>
        <v>0</v>
      </c>
      <c r="CL258" s="470" t="n">
        <f aca="false">IF(BD258,(xCrudeAPO(BU258,BV258,CC258,CD258,S259,S260,BI258,BL258,BP258,BQ258,0,Strike2,AO258,CE258,0,BL258,IF(OptControl=3,1,0),3,1)+xCrudeAPO(BU258,BV258,CC258,CD258,S259,S260,BI258,BL258,BP258,BQ258,0,Strike2,AO258,CE258,0,BL258,IF(OptControl=3,1,0),3,2))/100,0)</f>
        <v>0</v>
      </c>
      <c r="CM258" s="472" t="n">
        <f aca="false">IF(BD258,xCrudeAPO(BU258,BV258,CC258,CD258,S259,S260,BI258-DaysForThetaCalculation/365.25,BL258-DaysForThetaCalculation/365.25,BP258,BQ258,0,Strike2,AO258,CE258,0,BL258,IF(OptControl=3,1,0),0,1)-xCrudeAPO(BU258,BV258,CC258,CD258,S259,S260,BI258,BL258,BP258,BQ258,0,Strike2,AO258,CE258,0,BL258,IF(OptControl=3,1,0),0,1),0)</f>
        <v>0</v>
      </c>
      <c r="CN258" s="3"/>
      <c r="CO258" s="543" t="str">
        <f aca="false">IF(BD258,CHOOSE(Underlying,AD258,AF258)-DateToday+1,"")</f>
        <v/>
      </c>
      <c r="CP258" s="582" t="str">
        <f aca="false">IF(BD258,CHOOSE(Underlying,L258,R258),"")</f>
        <v/>
      </c>
      <c r="CQ258" s="544" t="str">
        <f aca="false">IF(BD258,Strike1/CP258-1,"")</f>
        <v/>
      </c>
      <c r="CR258" s="544" t="str">
        <f aca="false">IF(BD258,Strike2/CP258-1,"")</f>
        <v/>
      </c>
      <c r="CS258" s="544" t="str">
        <f aca="false">IF(BD258,IF(CQ258&gt;0,IF(CQ258&gt;0.2,BC257-BB257,IF(CQ258&gt;0.1,BB257-BA257,BA257)),IF(CQ258&lt;-0.2,AX257-AY257,IF(CQ258&lt;-0.1,AY257-AZ257,AZ257))),"")</f>
        <v/>
      </c>
      <c r="CT258" s="544" t="str">
        <f aca="false">IF(BD258,IF(CR258&gt;0,IF(CR258&gt;0.2,BC257-BB257,IF(CR258&gt;0.1,BB257-BA257,BA257)),IF(CR258&lt;-0.2,AX257-AY257,IF(CR258&lt;-0.1,AY257-AZ257,AZ257))),"")</f>
        <v/>
      </c>
      <c r="CU258" s="545" t="str">
        <f aca="false">IF(BD258,CHOOSE(Underlying,O258,AT258),"")</f>
        <v/>
      </c>
      <c r="CV258" s="545" t="str">
        <f aca="false">IF(BD258,CU258+IF(VolSkewFlag=1,IF(CQ258&gt;0,BA257*MIN(CQ258/10%,1)+(BB257-BA257)*MAX(0,MIN(CQ258/10%-1,1))+(BC257-BB257)*MAX(0,CQ258/10%-2),AZ257*MIN(-CQ258/10%,1)+(AY257-AZ257)*MAX(0,MIN(-CQ258/10%-1,1))+(AX257-AY257)*MAX(0,-CQ258/10%-2)),0),"")</f>
        <v/>
      </c>
      <c r="CW258" s="545" t="str">
        <f aca="false">IF(BD258,CU258+IF(VolSkewFlag=1,IF(CR258&gt;0,BA257*MIN(CR258/10%,1)+(BB257-BA257)*MAX(0,MIN(CR258/10%-1,1))+(BC257-BB257)*MAX(0,CR258/10%-2),AZ257*MIN(-CR258/10%,1)+(AY257-AZ257)*MAX(0,MIN(-CR258/10%-1,1))+(AX257-AY257)*MAX(0,-CR258/10%-2)),0),"")</f>
        <v/>
      </c>
      <c r="CX258" s="470" t="n">
        <f aca="false">IF(BD258,EURO(CP258,Strike1,AO258,AO258,CV258,CO258,IF(OptControl=4,0,1),0),0)</f>
        <v>0</v>
      </c>
      <c r="CY258" s="470" t="n">
        <f aca="false">IF(BD258,EURO(CP258,Strike1,AO258,AO258,CV258,CO258,IF(OptControl=4,0,1),1)+IF(OR(VolSkewFlag=2,ABS(CQ258)&lt;0.0001),0,IF(CQ258&gt;0,-1,1)*CZ258*100*Strike1/CP258^2*CS258/10%),0)</f>
        <v>0</v>
      </c>
      <c r="CZ258" s="470" t="n">
        <f aca="false">IF(BD258,EURO(CP258,Strike1,AO258,AO258,CV258,CO258,IF(OptControl=4,0,1),3)/100,0)</f>
        <v>0</v>
      </c>
      <c r="DA258" s="470" t="n">
        <f aca="false">IF(BD258,EURO(CP258,Strike1,AO258,AO258,CV258,CO258,IF(OptControl=4,0,1),0)-EURO(CP258,Strike1,AO258,AO258,CV258,CO258-1,IF(OptControl=4,0,1),0),0)</f>
        <v>0</v>
      </c>
      <c r="DB258" s="470" t="n">
        <f aca="false">IF(BD258,EURO(CP258,Strike2,AO258,AO258,CW258,CO258,IF(OptControl=3,1,0),0),0)</f>
        <v>0</v>
      </c>
      <c r="DC258" s="470" t="n">
        <f aca="false">IF(BD258,EURO(CP258,Strike2,AO258,AO258,CW258,CO258,IF(OptControl=3,1,0),1)+IF(OR(VolSkewFlag=2,ABS(CR258)&lt;0.0001),0,IF(CR258&gt;0,-1,1)*DD258*100*Strike2/CP258^2*CT258/10%),0)</f>
        <v>0</v>
      </c>
      <c r="DD258" s="470" t="n">
        <f aca="false">IF(BD258,EURO(CP258,Strike2,AO258,AO258,CW258,CO258,IF(OptControl=3,1,0),3)/100,0)</f>
        <v>0</v>
      </c>
      <c r="DE258" s="472" t="n">
        <f aca="false">IF(BD258,EURO(CP258,Strike2,AO258,AO258,CW258,CO258,IF(OptControl=3,1,0),0)-EURO(CP258,Strike2,AO258,AO258,CW258,CO258-1,IF(OptControl=3,1,0),0),0)</f>
        <v>0</v>
      </c>
      <c r="DG258" s="481" t="n">
        <f aca="false">EOMONTH(DG257,0)+1</f>
        <v>52932</v>
      </c>
      <c r="DH258" s="478" t="n">
        <v>26.0600000000001</v>
      </c>
      <c r="DI258" s="479" t="n">
        <v>26.1242857142858</v>
      </c>
      <c r="DJ258" s="480" t="n">
        <f aca="false">DG258</f>
        <v>52932</v>
      </c>
      <c r="DK258" s="478" t="n">
        <v>24.866431614885</v>
      </c>
      <c r="DL258" s="479" t="n">
        <v>24.9311857142858</v>
      </c>
      <c r="DM258" s="481" t="n">
        <f aca="false">DG258</f>
        <v>52932</v>
      </c>
      <c r="DN258" s="482" t="n">
        <f aca="false">DK258+BrentPhyBrentSpread</f>
        <v>24.916431614885</v>
      </c>
      <c r="DO258" s="481" t="n">
        <f aca="false">DG258</f>
        <v>52932</v>
      </c>
      <c r="DP258" s="483" t="n">
        <f aca="false">DL258+DQ258</f>
        <v>24.9311857142858</v>
      </c>
      <c r="DQ258" s="546" t="n">
        <v>0</v>
      </c>
      <c r="DR258" s="480" t="n">
        <f aca="false">DG258</f>
        <v>52932</v>
      </c>
      <c r="DS258" s="485" t="n">
        <v>0.081799999999997</v>
      </c>
      <c r="DT258" s="486" t="n">
        <v>0.081199999999997</v>
      </c>
      <c r="DU258" s="480" t="n">
        <f aca="false">DG258</f>
        <v>52932</v>
      </c>
      <c r="DV258" s="485" t="n">
        <v>0.081799999999997</v>
      </c>
      <c r="DW258" s="486" t="n">
        <v>0.081199999999997</v>
      </c>
      <c r="DX258" s="481" t="n">
        <f aca="false">DG258</f>
        <v>52932</v>
      </c>
      <c r="DY258" s="486" t="n">
        <v>0.35</v>
      </c>
      <c r="DZ258" s="481" t="n">
        <f aca="false">DR258</f>
        <v>52932</v>
      </c>
      <c r="EA258" s="486" t="n">
        <f aca="false">DT258</f>
        <v>0.081199999999997</v>
      </c>
      <c r="EB258" s="195"/>
      <c r="EC258" s="547" t="str">
        <f aca="false">IF(BD258,IF(Underlying=1,AS258,AU258),"")</f>
        <v/>
      </c>
      <c r="ED258" s="548" t="str">
        <f aca="false">IF($BD258,$EC258+IF(VolSkewFlag=1,IF(BS258&gt;0,$BA258*MIN(BS258/10%,1)+($BB258-$BA258)*MAX(0,MIN(BS258/10%-1,1))+($BC258-$BB258)*MAX(0,BS258/10%-2),$AZ258*MIN(-BS258/10%,1)+($AY258-$AZ258)*MAX(0,MIN(-BS258/10%-1,1))+($AX258-$AY258)*MAX(0,-BS258/10%-2)),0),"")</f>
        <v/>
      </c>
      <c r="EE258" s="549" t="str">
        <f aca="false">IF($BD258,$EC258+IF(VolSkewFlag=1,IF(BT258&gt;0,$BA258*MIN(BT258/10%,1)+($BB258-$BA258)*MAX(0,MIN(BT258/10%-1,1))+($BC258-$BB258)*MAX(0,BT258/10%-2),$AZ258*MIN(-BT258/10%,1)+($AY258-$AZ258)*MAX(0,MIN(-BT258/10%-1,1))+($AX258-$AY258)*MAX(0,-BT258/10%-2)),0),"")</f>
        <v/>
      </c>
      <c r="EF258" s="550" t="n">
        <f aca="false">IF(BD258,xASN(BR258,Strike1,AO258,ED258,0,BO258,0,BI258,BL258,IF(OptControl=4,0,1),0),0)</f>
        <v>0</v>
      </c>
      <c r="EG258" s="551" t="n">
        <f aca="false">IF(BD258,xASN(BR258,Strike2,AO258,EE258,0,BO258,0,BI258,BL258,IF(OptControl=3,1,0),0),0)</f>
        <v>0</v>
      </c>
      <c r="EL258" s="1"/>
      <c r="EM258" s="195"/>
      <c r="EN258" s="240"/>
      <c r="EO258" s="240"/>
      <c r="EP258" s="195"/>
      <c r="EQ258" s="407" t="s">
        <v>487</v>
      </c>
      <c r="ER258" s="195"/>
      <c r="ES258" s="195"/>
      <c r="ET258" s="195"/>
      <c r="EU258" s="240"/>
      <c r="FJ258" s="571" t="n">
        <v>14</v>
      </c>
      <c r="FK258" s="150" t="str">
        <f aca="false">IF($FJ258+FK$244&gt;73,"",PRODUCT(INDEX($T$19:$T$93,FK$244):INDEX($T$19:$T$93,FK$244+$FJ258-1)))</f>
        <v/>
      </c>
      <c r="FL258" s="150" t="str">
        <f aca="false">IF($FJ258+FL$244&gt;73,"",PRODUCT(INDEX($T$19:$T$93,FL$244):INDEX($T$19:$T$93,FL$244+$FJ258-1)))</f>
        <v/>
      </c>
      <c r="FM258" s="150" t="str">
        <f aca="false">IF($FJ258+FM$244&gt;73,"",PRODUCT(INDEX($T$19:$T$93,FM$244):INDEX($T$19:$T$93,FM$244+$FJ258-1)))</f>
        <v/>
      </c>
      <c r="FN258" s="150" t="str">
        <f aca="false">IF($FJ258+FN$244&gt;73,"",PRODUCT(INDEX($T$19:$T$93,FN$244):INDEX($T$19:$T$93,FN$244+$FJ258-1)))</f>
        <v/>
      </c>
      <c r="FO258" s="150" t="str">
        <f aca="false">IF($FJ258+FO$244&gt;73,"",PRODUCT(INDEX($T$19:$T$93,FO$244):INDEX($T$19:$T$93,FO$244+$FJ258-1)))</f>
        <v/>
      </c>
      <c r="FP258" s="150" t="str">
        <f aca="false">IF($FJ258+FP$244&gt;73,"",PRODUCT(INDEX($T$19:$T$93,FP$244):INDEX($T$19:$T$93,FP$244+$FJ258-1)))</f>
        <v/>
      </c>
      <c r="FQ258" s="150" t="str">
        <f aca="false">IF($FJ258+FQ$244&gt;73,"",PRODUCT(INDEX($T$19:$T$93,FQ$244):INDEX($T$19:$T$93,FQ$244+$FJ258-1)))</f>
        <v/>
      </c>
      <c r="FR258" s="150" t="str">
        <f aca="false">IF($FJ258+FR$244&gt;73,"",PRODUCT(INDEX($T$19:$T$93,FR$244):INDEX($T$19:$T$93,FR$244+$FJ258-1)))</f>
        <v/>
      </c>
      <c r="FS258" s="150" t="str">
        <f aca="false">IF($FJ258+FS$244&gt;73,"",PRODUCT(INDEX($T$19:$T$93,FS$244):INDEX($T$19:$T$93,FS$244+$FJ258-1)))</f>
        <v/>
      </c>
      <c r="FT258" s="150" t="str">
        <f aca="false">IF($FJ258+FT$244&gt;73,"",PRODUCT(INDEX($T$19:$T$93,FT$244):INDEX($T$19:$T$93,FT$244+$FJ258-1)))</f>
        <v/>
      </c>
      <c r="FU258" s="150" t="str">
        <f aca="false">IF($FJ258+FU$244&gt;73,"",PRODUCT(INDEX($T$19:$T$93,FU$244):INDEX($T$19:$T$93,FU$244+$FJ258-1)))</f>
        <v/>
      </c>
      <c r="FV258" s="150" t="str">
        <f aca="false">IF($FJ258+FV$244&gt;73,"",PRODUCT(INDEX($T$19:$T$93,FV$244):INDEX($T$19:$T$93,FV$244+$FJ258-1)))</f>
        <v/>
      </c>
      <c r="FW258" s="150" t="str">
        <f aca="false">IF($FJ258+FW$244&gt;73,"",PRODUCT(INDEX($T$19:$T$93,FW$244):INDEX($T$19:$T$93,FW$244+$FJ258-1)))</f>
        <v/>
      </c>
      <c r="FX258" s="150" t="n">
        <f aca="false">IF($FJ258+FX$244&gt;73,"",PRODUCT(INDEX($T$19:$T$93,FX$244):INDEX($T$19:$T$93,FX$244+$FJ258-1)))</f>
        <v>0.999908839130832</v>
      </c>
      <c r="FY258" s="150" t="n">
        <f aca="false">IF($FJ258+FY$244&gt;73,"",PRODUCT(INDEX($T$19:$T$93,FY$244):INDEX($T$19:$T$93,FY$244+$FJ258-1)))</f>
        <v>0.999893379398704</v>
      </c>
      <c r="FZ258" s="150" t="n">
        <f aca="false">IF($FJ258+FZ$244&gt;73,"",PRODUCT(INDEX($T$19:$T$93,FZ$244):INDEX($T$19:$T$93,FZ$244+$FJ258-1)))</f>
        <v>0.999875297963053</v>
      </c>
      <c r="GA258" s="150" t="n">
        <f aca="false">IF($FJ258+GA$244&gt;73,"",PRODUCT(INDEX($T$19:$T$93,GA$244):INDEX($T$19:$T$93,GA$244+$FJ258-1)))</f>
        <v>0.999854150256739</v>
      </c>
      <c r="GB258" s="150" t="n">
        <f aca="false">IF($FJ258+GB$244&gt;73,"",PRODUCT(INDEX($T$19:$T$93,GB$244):INDEX($T$19:$T$93,GB$244+$FJ258-1)))</f>
        <v>0.99982941633772</v>
      </c>
      <c r="GC258" s="150" t="n">
        <f aca="false">IF($FJ258+GC$244&gt;73,"",PRODUCT(INDEX($T$19:$T$93,GC$244):INDEX($T$19:$T$93,GC$244+$FJ258-1)))</f>
        <v>0.999800488113823</v>
      </c>
      <c r="GD258" s="150" t="n">
        <f aca="false">IF($FJ258+GD$244&gt;73,"",PRODUCT(INDEX($T$19:$T$93,GD$244):INDEX($T$19:$T$93,GD$244+$FJ258-1)))</f>
        <v>0.999766654403939</v>
      </c>
      <c r="GE258" s="150" t="n">
        <f aca="false">IF($FJ258+GE$244&gt;73,"",PRODUCT(INDEX($T$19:$T$93,GE$244):INDEX($T$19:$T$93,GE$244+$FJ258-1)))</f>
        <v>0.999727083469839</v>
      </c>
      <c r="GF258" s="150" t="n">
        <f aca="false">IF($FJ258+GF$244&gt;73,"",PRODUCT(INDEX($T$19:$T$93,GF$244):INDEX($T$19:$T$93,GF$244+$FJ258-1)))</f>
        <v>0.999680802591269</v>
      </c>
      <c r="GG258" s="150" t="n">
        <f aca="false">IF($FJ258+GG$244&gt;73,"",PRODUCT(INDEX($T$19:$T$93,GG$244):INDEX($T$19:$T$93,GG$244+$FJ258-1)))</f>
        <v>0.999626674185051</v>
      </c>
      <c r="GH258" s="150" t="n">
        <f aca="false">IF($FJ258+GH$244&gt;73,"",PRODUCT(INDEX($T$19:$T$93,GH$244):INDEX($T$19:$T$93,GH$244+$FJ258-1)))</f>
        <v>0.999563367885146</v>
      </c>
      <c r="GI258" s="150" t="n">
        <f aca="false">IF($FJ258+GI$244&gt;73,"",PRODUCT(INDEX($T$19:$T$93,GI$244):INDEX($T$19:$T$93,GI$244+$FJ258-1)))</f>
        <v>0.999489327902852</v>
      </c>
      <c r="GJ258" s="150" t="n">
        <f aca="false">IF($FJ258+GJ$244&gt;73,"",PRODUCT(INDEX($T$19:$T$93,GJ$244):INDEX($T$19:$T$93,GJ$244+$FJ258-1)))</f>
        <v>0.999402734872498</v>
      </c>
      <c r="GK258" s="150" t="n">
        <f aca="false">IF($FJ258+GK$244&gt;73,"",PRODUCT(INDEX($T$19:$T$93,GK$244):INDEX($T$19:$T$93,GK$244+$FJ258-1)))</f>
        <v>0.999301461255389</v>
      </c>
      <c r="GL258" s="150" t="n">
        <f aca="false">IF($FJ258+GL$244&gt;73,"",PRODUCT(INDEX($T$19:$T$93,GL$244):INDEX($T$19:$T$93,GL$244+$FJ258-1)))</f>
        <v>0.999183019220566</v>
      </c>
      <c r="GM258" s="150" t="n">
        <f aca="false">IF($FJ258+GM$244&gt;73,"",PRODUCT(INDEX($T$19:$T$93,GM$244):INDEX($T$19:$T$93,GM$244+$FJ258-1)))</f>
        <v>0.99904449974173</v>
      </c>
      <c r="GN258" s="150" t="n">
        <f aca="false">IF($FJ258+GN$244&gt;73,"",PRODUCT(INDEX($T$19:$T$93,GN$244):INDEX($T$19:$T$93,GN$244+$FJ258-1)))</f>
        <v>0.998882501441625</v>
      </c>
      <c r="GO258" s="150" t="n">
        <f aca="false">IF($FJ258+GO$244&gt;73,"",PRODUCT(INDEX($T$19:$T$93,GO$244):INDEX($T$19:$T$93,GO$244+$FJ258-1)))</f>
        <v>0.998693047474104</v>
      </c>
      <c r="GP258" s="150" t="n">
        <f aca="false">IF($FJ258+GP$244&gt;73,"",PRODUCT(INDEX($T$19:$T$93,GP$244):INDEX($T$19:$T$93,GP$244+$FJ258-1)))</f>
        <v>0.998471488455028</v>
      </c>
      <c r="GQ258" s="150" t="n">
        <f aca="false">IF($FJ258+GQ$244&gt;73,"",PRODUCT(INDEX($T$19:$T$93,GQ$244):INDEX($T$19:$T$93,GQ$244+$FJ258-1)))</f>
        <v>0.998212389131022</v>
      </c>
      <c r="GR258" s="150" t="n">
        <f aca="false">IF($FJ258+GR$244&gt;73,"",PRODUCT(INDEX($T$19:$T$93,GR$244):INDEX($T$19:$T$93,GR$244+$FJ258-1)))</f>
        <v>0.997909396103914</v>
      </c>
      <c r="GS258" s="150" t="n">
        <f aca="false">IF($FJ258+GS$244&gt;73,"",PRODUCT(INDEX($T$19:$T$93,GS$244):INDEX($T$19:$T$93,GS$244+$FJ258-1)))</f>
        <v>0.997555083502486</v>
      </c>
      <c r="GT258" s="150" t="n">
        <f aca="false">IF($FJ258+GT$244&gt;73,"",PRODUCT(INDEX($T$19:$T$93,GT$244):INDEX($T$19:$T$93,GT$244+$FJ258-1)))</f>
        <v>0.997140773005381</v>
      </c>
      <c r="GU258" s="150" t="n">
        <f aca="false">IF($FJ258+GU$244&gt;73,"",PRODUCT(INDEX($T$19:$T$93,GU$244):INDEX($T$19:$T$93,GU$244+$FJ258-1)))</f>
        <v>0.996656324063353</v>
      </c>
      <c r="GV258" s="150" t="n">
        <f aca="false">IF($FJ258+GV$244&gt;73,"",PRODUCT(INDEX($T$19:$T$93,GV$244):INDEX($T$19:$T$93,GV$244+$FJ258-1)))</f>
        <v>0.996089889539556</v>
      </c>
      <c r="GW258" s="150" t="n">
        <f aca="false">IF($FJ258+GW$244&gt;73,"",PRODUCT(INDEX($T$19:$T$93,GW$244):INDEX($T$19:$T$93,GW$244+$FJ258-1)))</f>
        <v>0.995427631278266</v>
      </c>
      <c r="GX258" s="150" t="n">
        <f aca="false">IF($FJ258+GX$244&gt;73,"",PRODUCT(INDEX($T$19:$T$93,GX$244):INDEX($T$19:$T$93,GX$244+$FJ258-1)))</f>
        <v>0.994653389322563</v>
      </c>
      <c r="GY258" s="150" t="n">
        <f aca="false">IF($FJ258+GY$244&gt;73,"",PRODUCT(INDEX($T$19:$T$93,GY$244):INDEX($T$19:$T$93,GY$244+$FJ258-1)))</f>
        <v>0.993748297630446</v>
      </c>
      <c r="GZ258" s="150" t="n">
        <f aca="false">IF($FJ258+GZ$244&gt;73,"",PRODUCT(INDEX($T$19:$T$93,GZ$244):INDEX($T$19:$T$93,GZ$244+$FJ258-1)))</f>
        <v>0.992690338192667</v>
      </c>
      <c r="HA258" s="150" t="n">
        <f aca="false">IF($FJ258+HA$244&gt;73,"",PRODUCT(INDEX($T$19:$T$93,HA$244):INDEX($T$19:$T$93,HA$244+$FJ258-1)))</f>
        <v>0.991453824448465</v>
      </c>
      <c r="HB258" s="150" t="n">
        <f aca="false">IF($FJ258+HB$244&gt;73,"",PRODUCT(INDEX($T$19:$T$93,HB$244):INDEX($T$19:$T$93,HB$244+$FJ258-1)))</f>
        <v>0.990008803853874</v>
      </c>
      <c r="HC258" s="150" t="n">
        <f aca="false">IF($FJ258+HC$244&gt;73,"",PRODUCT(INDEX($T$19:$T$93,HC$244):INDEX($T$19:$T$93,HC$244+$FJ258-1)))</f>
        <v>0.988320368426203</v>
      </c>
      <c r="HD258" s="150" t="n">
        <f aca="false">IF($FJ258+HD$244&gt;73,"",PRODUCT(INDEX($T$19:$T$93,HD$244):INDEX($T$19:$T$93,HD$244+$FJ258-1)))</f>
        <v>0.986347861138228</v>
      </c>
      <c r="HE258" s="150" t="n">
        <f aca="false">IF($FJ258+HE$244&gt;73,"",PRODUCT(INDEX($T$19:$T$93,HE$244):INDEX($T$19:$T$93,HE$244+$FJ258-1)))</f>
        <v>0.98404396527443</v>
      </c>
      <c r="HF258" s="150" t="n">
        <f aca="false">IF($FJ258+HF$244&gt;73,"",PRODUCT(INDEX($T$19:$T$93,HF$244):INDEX($T$19:$T$93,HF$244+$FJ258-1)))</f>
        <v>0.981353663449195</v>
      </c>
      <c r="HG258" s="150" t="n">
        <f aca="false">IF($FJ258+HG$244&gt;73,"",PRODUCT(INDEX($T$19:$T$93,HG$244):INDEX($T$19:$T$93,HG$244+$FJ258-1)))</f>
        <v>0.97821305315596</v>
      </c>
      <c r="HH258" s="150" t="n">
        <f aca="false">IF($FJ258+HH$244&gt;73,"",PRODUCT(INDEX($T$19:$T$93,HH$244):INDEX($T$19:$T$93,HH$244+$FJ258-1)))</f>
        <v>0.974548006800466</v>
      </c>
      <c r="HI258" s="150" t="n">
        <f aca="false">IF($FJ258+HI$244&gt;73,"",PRODUCT(INDEX($T$19:$T$93,HI$244):INDEX($T$19:$T$93,HI$244+$FJ258-1)))</f>
        <v>0.970272666642172</v>
      </c>
      <c r="HJ258" s="150" t="n">
        <f aca="false">IF($FJ258+HJ$244&gt;73,"",PRODUCT(INDEX($T$19:$T$93,HJ$244):INDEX($T$19:$T$93,HJ$244+$FJ258-1)))</f>
        <v>0.965287769585466</v>
      </c>
      <c r="HK258" s="150" t="n">
        <f aca="false">IF($FJ258+HK$244&gt;73,"",PRODUCT(INDEX($T$19:$T$93,HK$244):INDEX($T$19:$T$93,HK$244+$FJ258-1)))</f>
        <v>0.959478804239477</v>
      </c>
      <c r="HL258" s="150" t="n">
        <f aca="false">IF($FJ258+HL$244&gt;73,"",PRODUCT(INDEX($T$19:$T$93,HL$244):INDEX($T$19:$T$93,HL$244+$FJ258-1)))</f>
        <v>0.952714014352318</v>
      </c>
      <c r="HM258" s="150" t="n">
        <f aca="false">IF($FJ258+HM$244&gt;73,"",PRODUCT(INDEX($T$19:$T$93,HM$244):INDEX($T$19:$T$93,HM$244+$FJ258-1)))</f>
        <v>0.944842280315228</v>
      </c>
      <c r="HN258" s="150" t="n">
        <f aca="false">IF($FJ258+HN$244&gt;73,"",PRODUCT(INDEX($T$19:$T$93,HN$244):INDEX($T$19:$T$93,HN$244+$FJ258-1)))</f>
        <v>0.93569093618777</v>
      </c>
      <c r="HO258" s="150" t="n">
        <f aca="false">IF($FJ258+HO$244&gt;73,"",PRODUCT(INDEX($T$19:$T$93,HO$244):INDEX($T$19:$T$93,HO$244+$FJ258-1)))</f>
        <v>0.925063616598245</v>
      </c>
      <c r="HP258" s="150" t="n">
        <f aca="false">IF($FJ258+HP$244&gt;73,"",PRODUCT(INDEX($T$19:$T$93,HP$244):INDEX($T$19:$T$93,HP$244+$FJ258-1)))</f>
        <v>0.912738279777313</v>
      </c>
      <c r="HQ258" s="150" t="n">
        <f aca="false">IF($FJ258+HQ$244&gt;73,"",PRODUCT(INDEX($T$19:$T$93,HQ$244):INDEX($T$19:$T$93,HQ$244+$FJ258-1)))</f>
        <v>0.898465624745048</v>
      </c>
      <c r="HR258" s="150" t="n">
        <f aca="false">IF($FJ258+HR$244&gt;73,"",PRODUCT(INDEX($T$19:$T$93,HR$244):INDEX($T$19:$T$93,HR$244+$FJ258-1)))</f>
        <v>0.881968218202969</v>
      </c>
      <c r="HS258" s="150" t="n">
        <f aca="false">IF($FJ258+HS$244&gt;73,"",PRODUCT(INDEX($T$19:$T$93,HS$244):INDEX($T$19:$T$93,HS$244+$FJ258-1)))</f>
        <v>0.862940776798213</v>
      </c>
      <c r="HT258" s="150" t="n">
        <f aca="false">IF($FJ258+HT$244&gt;73,"",PRODUCT(INDEX($T$19:$T$93,HT$244):INDEX($T$19:$T$93,HT$244+$FJ258-1)))</f>
        <v>0.841052220292882</v>
      </c>
      <c r="HU258" s="150" t="n">
        <f aca="false">IF($FJ258+HU$244&gt;73,"",PRODUCT(INDEX($T$19:$T$93,HU$244):INDEX($T$19:$T$93,HU$244+$FJ258-1)))</f>
        <v>0.815950326990749</v>
      </c>
      <c r="HV258" s="150" t="n">
        <f aca="false">IF($FJ258+HV$244&gt;73,"",PRODUCT(INDEX($T$19:$T$93,HV$244):INDEX($T$19:$T$93,HV$244+$FJ258-1)))</f>
        <v>0.787270087120079</v>
      </c>
      <c r="HW258" s="150" t="n">
        <f aca="false">IF($FJ258+HW$244&gt;73,"",PRODUCT(INDEX($T$19:$T$93,HW$244):INDEX($T$19:$T$93,HW$244+$FJ258-1)))</f>
        <v>0.754647156737249</v>
      </c>
      <c r="HX258" s="150" t="n">
        <f aca="false">IF($FJ258+HX$244&gt;73,"",PRODUCT(INDEX($T$19:$T$93,HX$244):INDEX($T$19:$T$93,HX$244+$FJ258-1)))</f>
        <v>0.717738140859706</v>
      </c>
      <c r="HY258" s="150" t="n">
        <f aca="false">IF($FJ258+HY$244&gt;73,"",PRODUCT(INDEX($T$19:$T$93,HY$244):INDEX($T$19:$T$93,HY$244+$FJ258-1)))</f>
        <v>0.676249725171107</v>
      </c>
      <c r="HZ258" s="150" t="n">
        <f aca="false">IF($FJ258+HZ$244&gt;73,"",PRODUCT(INDEX($T$19:$T$93,HZ$244):INDEX($T$19:$T$93,HZ$244+$FJ258-1)))</f>
        <v>0.629978822068395</v>
      </c>
      <c r="IA258" s="150" t="n">
        <f aca="false">IF($FJ258+IA$244&gt;73,"",PRODUCT(INDEX($T$19:$T$93,IA$244):INDEX($T$19:$T$93,IA$244+$FJ258-1)))</f>
        <v>0.578865703901528</v>
      </c>
      <c r="IB258" s="150" t="n">
        <f aca="false">IF($FJ258+IB$244&gt;73,"",PRODUCT(INDEX($T$19:$T$93,IB$244):INDEX($T$19:$T$93,IB$244+$FJ258-1)))</f>
        <v>0.523061239966699</v>
      </c>
      <c r="IC258" s="150" t="n">
        <f aca="false">IF($FJ258+IC$244&gt;73,"",PRODUCT(INDEX($T$19:$T$93,IC$244):INDEX($T$19:$T$93,IC$244+$FJ258-1)))</f>
        <v>0.463007336433293</v>
      </c>
      <c r="ID258" s="572" t="n">
        <f aca="false">IF($FJ258+ID$244&gt;73,"",PRODUCT(INDEX($T$19:$T$93,ID$244):INDEX($T$19:$T$93,ID$244+$FJ258-1)))</f>
        <v>0.399525806463503</v>
      </c>
      <c r="IE258" s="129"/>
    </row>
    <row r="259" customFormat="false" ht="12.75" hidden="false" customHeight="false" outlineLevel="0" collapsed="false">
      <c r="H259" s="219" t="n">
        <f aca="false">VLOOKUP(I259,$EJ$20:$EL$54,3)</f>
        <v>0</v>
      </c>
      <c r="I259" s="511" t="n">
        <f aca="false">EOMONTH(I258,0)+1</f>
        <v>44044</v>
      </c>
      <c r="J259" s="512"/>
      <c r="K259" s="513" t="s">
        <v>280</v>
      </c>
      <c r="L259" s="514" t="n">
        <f aca="false">IF(ISNUMBER(K259),J259+K259/100,IF(K259="extra",L258+VLOOKUP(BF259,PriceSpreadTable,2)/12,IF(K259="inter",interpolateprices($K$19:$L$200,ROW(K259)-ROW(FirstPricingMonth)+1),interpolatechanges($J$19:$K$200,ROW(K259)-ROW(FirstPricingMonth)+1))))</f>
        <v>6.11249999999999</v>
      </c>
      <c r="M259" s="515"/>
      <c r="N259" s="516" t="n">
        <v>0</v>
      </c>
      <c r="O259" s="515" t="n">
        <f aca="false">M259+N259</f>
        <v>0</v>
      </c>
      <c r="P259" s="512"/>
      <c r="Q259" s="513" t="s">
        <v>280</v>
      </c>
      <c r="R259" s="512" t="e">
        <f aca="false">IF(ISNUMBER(Q259),P259+Q259/100,IF(Q259="extra",(Z257*AL257-R258*AM257)/AN257,IF(Q259="inter",interpolateprices($Q$19:$R$260,ROW(Q259)-ROW(FirstPricingMonth)+1),interpolatechanges($P$19:$Q$260,ROW(Q259)-ROW(FirstPricingMonth)+1))))</f>
        <v>#VALUE!</v>
      </c>
      <c r="S259" s="597" t="n">
        <f aca="false">S$19+(S258-S$19)*S$18</f>
        <v>0.36</v>
      </c>
      <c r="T259" s="575" t="n">
        <f aca="false">SQRT((1-(1-T258^2/U258)*T$18)*U259)</f>
        <v>1</v>
      </c>
      <c r="U259" s="576" t="n">
        <f aca="false">1-(1-U258)*U$18</f>
        <v>1</v>
      </c>
      <c r="V259" s="521" t="n">
        <v>0</v>
      </c>
      <c r="W259" s="577"/>
      <c r="X259" s="578"/>
      <c r="Y259" s="579"/>
      <c r="Z259" s="579"/>
      <c r="AA259" s="523"/>
      <c r="AB259" s="524"/>
      <c r="AC259" s="646" t="n">
        <v>44032</v>
      </c>
      <c r="AD259" s="646" t="n">
        <v>44028</v>
      </c>
      <c r="AE259" s="646" t="n">
        <v>44027</v>
      </c>
      <c r="AF259" s="646" t="n">
        <v>44023</v>
      </c>
      <c r="AG259" s="438" t="s">
        <v>278</v>
      </c>
      <c r="AH259" s="439" t="s">
        <v>278</v>
      </c>
      <c r="AI259" s="528" t="n">
        <v>21</v>
      </c>
      <c r="AJ259" s="529" t="n">
        <v>14</v>
      </c>
      <c r="AK259" s="529" t="n">
        <v>7</v>
      </c>
      <c r="AL259" s="530" t="n">
        <v>21</v>
      </c>
      <c r="AM259" s="529" t="n">
        <v>10</v>
      </c>
      <c r="AN259" s="531" t="n">
        <v>11</v>
      </c>
      <c r="AO259" s="532"/>
      <c r="AP259" s="465" t="n">
        <f aca="false">(1+AO259/2)^(-2*BL259)</f>
        <v>1</v>
      </c>
      <c r="AQ259" s="532"/>
      <c r="AR259" s="465" t="n">
        <f aca="false">(1+AQ259/2)^(-2*BH259/365.25)</f>
        <v>1</v>
      </c>
      <c r="AS259" s="580" t="n">
        <f aca="false">(O260*AJ259+O261*AK259)/AI259</f>
        <v>0</v>
      </c>
      <c r="AT259" s="468" t="n">
        <f aca="false">O259*VLOOKUP(BF259,BrentVolTable,2)+VLOOKUP(BF259,BrentVolTable,3)</f>
        <v>0</v>
      </c>
      <c r="AU259" s="468" t="n">
        <f aca="false">(AT260*AM259+AT261*AN259)/AL259</f>
        <v>0</v>
      </c>
      <c r="AV259" s="595" t="n">
        <f aca="false">SQRT(MAX(0.000000000001,(O259^2*BH259-S259^2*(BH259-BH258))/BH258))</f>
        <v>0.0449181923748863</v>
      </c>
      <c r="AW259" s="451" t="n">
        <f aca="false">IF($I259-DateToday+15&gt;=$T$8,"",IF($I259-DateToday+15&lt;$T$5,1,MATCH($I259-DateToday+15,$T$5:$T$8)))</f>
        <v>1</v>
      </c>
      <c r="AX259" s="468" t="n">
        <f aca="false">IF($AW259="",AX258^2/AX257,INDEX(U$5:U$8,$AW259)^((INDEX($T$5:$T$8,$AW259+1)-($I259-DateToday+15))/(INDEX($T$5:$T$8,$AW259+1)-INDEX($T$5:$T$8,$AW259)))/INDEX(U$5:U$8,$AW259+1)^((INDEX($T$5:$T$8,$AW259)-($I259-DateToday+15))/(INDEX($T$5:$T$8,$AW259+1)-INDEX($T$5:$T$8,$AW259))))</f>
        <v>0.0758070726411214</v>
      </c>
      <c r="AY259" s="468" t="n">
        <f aca="false">IF($AW259="",AY258^2/AY257,INDEX(V$5:V$8,$AW259)^((INDEX($T$5:$T$8,$AW259+1)-($I259-DateToday+15))/(INDEX($T$5:$T$8,$AW259+1)-INDEX($T$5:$T$8,$AW259)))/INDEX(V$5:V$8,$AW259+1)^((INDEX($T$5:$T$8,$AW259)-($I259-DateToday+15))/(INDEX($T$5:$T$8,$AW259+1)-INDEX($T$5:$T$8,$AW259))))</f>
        <v>0.221082195004469</v>
      </c>
      <c r="AZ259" s="468" t="n">
        <f aca="false">IF($AW259="",AZ258^2/AZ257,INDEX(W$5:W$8,$AW259)^((INDEX($T$5:$T$8,$AW259+1)-($I259-DateToday+15))/(INDEX($T$5:$T$8,$AW259+1)-INDEX($T$5:$T$8,$AW259)))/INDEX(W$5:W$8,$AW259+1)^((INDEX($T$5:$T$8,$AW259)-($I259-DateToday+15))/(INDEX($T$5:$T$8,$AW259+1)-INDEX($T$5:$T$8,$AW259))))</f>
        <v>2.02371197815042</v>
      </c>
      <c r="BA259" s="468" t="n">
        <f aca="false">IF($AW259="",BA258^2/BA257,INDEX(X$5:X$8,$AW259)^((INDEX($T$5:$T$8,$AW259+1)-($I259-DateToday+15))/(INDEX($T$5:$T$8,$AW259+1)-INDEX($T$5:$T$8,$AW259)))/INDEX(X$5:X$8,$AW259+1)^((INDEX($T$5:$T$8,$AW259)-($I259-DateToday+15))/(INDEX($T$5:$T$8,$AW259+1)-INDEX($T$5:$T$8,$AW259))))</f>
        <v>1.59803834304538</v>
      </c>
      <c r="BB259" s="468" t="n">
        <f aca="false">IF($AW259="",BB258^2/BB257,INDEX(Y$5:Y$8,$AW259)^((INDEX($T$5:$T$8,$AW259+1)-($I259-DateToday+15))/(INDEX($T$5:$T$8,$AW259+1)-INDEX($T$5:$T$8,$AW259)))/INDEX(Y$5:Y$8,$AW259+1)^((INDEX($T$5:$T$8,$AW259)-($I259-DateToday+15))/(INDEX($T$5:$T$8,$AW259+1)-INDEX($T$5:$T$8,$AW259))))</f>
        <v>4.14657221618656</v>
      </c>
      <c r="BC259" s="468" t="n">
        <f aca="false">IF($AW259="",BC258^2/BC257,INDEX(Z$5:Z$8,$AW259)^((INDEX($T$5:$T$8,$AW259+1)-($I259-DateToday+15))/(INDEX($T$5:$T$8,$AW259+1)-INDEX($T$5:$T$8,$AW259)))/INDEX(Z$5:Z$8,$AW259+1)^((INDEX($T$5:$T$8,$AW259)-($I259-DateToday+15))/(INDEX($T$5:$T$8,$AW259+1)-INDEX($T$5:$T$8,$AW259))))</f>
        <v>7.61305197868755</v>
      </c>
      <c r="BD259" s="535" t="n">
        <f aca="false">IF(OR(DateStart&gt;=I260,DateEnd&lt;I259),0,IF(VolumeOverrideFlag,V259,Volume))</f>
        <v>0</v>
      </c>
      <c r="BE259" s="536" t="n">
        <f aca="false">IF(OR(DateStart2&gt;=I260,DateEnd2&lt;I259),0,IF(VolumeOverrideFlag,V259,VolumeSwaption))</f>
        <v>0</v>
      </c>
      <c r="BF259" s="537" t="n">
        <f aca="false">YEAR(I259)</f>
        <v>2020</v>
      </c>
      <c r="BG259" s="538" t="n">
        <f aca="false">MONTH(I259)</f>
        <v>8</v>
      </c>
      <c r="BH259" s="539" t="n">
        <f aca="false">AD259-DateToday+1</f>
        <v>-1897</v>
      </c>
      <c r="BI259" s="540" t="n">
        <f aca="false">(I259-DateToday+1)/365.25</f>
        <v>-5.14989733059548</v>
      </c>
      <c r="BJ259" s="541" t="n">
        <f aca="false">BI259+(BL259-BI259)*CHOOSE(Underlying,AJ259/AI259,AM259/AL259)</f>
        <v>-5.09514031485284</v>
      </c>
      <c r="BK259" s="541" t="n">
        <f aca="false">BJ259+1/365.25</f>
        <v>-5.09240246406571</v>
      </c>
      <c r="BL259" s="541" t="n">
        <f aca="false">(I260-DateToday)/365.25</f>
        <v>-5.06776180698152</v>
      </c>
      <c r="BM259" s="542" t="e">
        <f aca="false">MAX(BI259-(BJ259-BI259)*(S260^2/O260^2-1),0)</f>
        <v>#DIV/0!</v>
      </c>
      <c r="BN259" s="541" t="e">
        <f aca="false">MAX(BL259+(BL259-BK259)*(S261^2/O261^2-1),0)</f>
        <v>#DIV/0!</v>
      </c>
      <c r="BO259" s="530" t="n">
        <f aca="false">CHOOSE(Underlying,AI259,AL259)</f>
        <v>21</v>
      </c>
      <c r="BP259" s="529" t="n">
        <f aca="false">CHOOSE(Underlying,AJ259,AM259)</f>
        <v>14</v>
      </c>
      <c r="BQ259" s="529" t="n">
        <f aca="false">CHOOSE(Underlying,AK259,AN259)</f>
        <v>7</v>
      </c>
      <c r="BR259" s="463" t="str">
        <f aca="false">IF(BD259,IF(Underlying=1,X259,Z259)+UnderlyingPriceAsian-SwapPriceCurve,"")</f>
        <v/>
      </c>
      <c r="BS259" s="463" t="str">
        <f aca="false">IF(BD259,Strike1/BR259-1,"")</f>
        <v/>
      </c>
      <c r="BT259" s="464" t="str">
        <f aca="false">IF(BD259,Strike2/BR259-1,"")</f>
        <v/>
      </c>
      <c r="BU259" s="465" t="str">
        <f aca="false">IF(BD259,IF(Underlying=1,L260,R260)+UnderlyingPriceAsian-SwapPriceCurve,"")</f>
        <v/>
      </c>
      <c r="BV259" s="465" t="str">
        <f aca="false">IF(BD259,IF(Underlying=1,L261,R261)+UnderlyingPriceAsian-SwapPriceCurve,"")</f>
        <v/>
      </c>
      <c r="BW259" s="466" t="str">
        <f aca="false">IF(BD259,IF(Underlying=1,O260,AT260),"")</f>
        <v/>
      </c>
      <c r="BX259" s="467" t="str">
        <f aca="false">IF(BD259,IF(Underlying=1,O261,AT261),"")</f>
        <v/>
      </c>
      <c r="BY259" s="466" t="str">
        <f aca="false">IF(BD259,IF(BS259&gt;0,IF(BS259&gt;0.2,BC259-BB259,IF(BS259&gt;0.1,BB259-BA259,BA259)),IF(BS259&lt;-0.2,AX259-AY259,IF(BS259&lt;-0.1,AY259-AZ259,AZ259))),"")</f>
        <v/>
      </c>
      <c r="BZ259" s="467" t="str">
        <f aca="false">IF(BD259,IF(BT259&gt;0,IF(BT259&gt;0.2,BC259-BB259,IF(BT259&gt;0.1,BB259-BA259,BA259)),IF(BT259&lt;-0.2,AX259-AY259,IF(BT259&lt;-0.1,AY259-AZ259,AZ259))),"")</f>
        <v/>
      </c>
      <c r="CA259" s="468" t="str">
        <f aca="false">IF($BD259,$BW259+IF(VolSkewFlag=1,IF(BS259&gt;0,$BA259*MIN(BS259/10%,1)+($BB259-$BA259)*MAX(0,MIN(BS259/10%-1,1))+($BC259-$BB259)*MAX(0,BS259/10%-2),$AZ259*MIN(-BS259/10%,1)+($AY259-$AZ259)*MAX(0,MIN(-BS259/10%-1,1))+($AX259-$AY259)*MAX(0,-BS259/10%-2)),0),"")</f>
        <v/>
      </c>
      <c r="CB259" s="468" t="str">
        <f aca="false">IF($BD259,$BX259+IF(VolSkewFlag=1,IF(BS259&gt;0,$BA259*MIN(BS259/10%,1)+($BB259-$BA259)*MAX(0,MIN(BS259/10%-1,1))+($BC259-$BB259)*MAX(0,BS259/10%-2),$AZ259*MIN(-BS259/10%,1)+($AY259-$AZ259)*MAX(0,MIN(-BS259/10%-1,1))+($AX259-$AY259)*MAX(0,-BS259/10%-2)),0),"")</f>
        <v/>
      </c>
      <c r="CC259" s="468" t="str">
        <f aca="false">IF($BD259,$BW259+IF(VolSkewFlag=1,IF(BT259&gt;0,$BA259*MIN(BT259/10%,1)+($BB259-$BA259)*MAX(0,MIN(BT259/10%-1,1))+($BC259-$BB259)*MAX(0,BT259/10%-2),$AZ259*MIN(-BT259/10%,1)+($AY259-$AZ259)*MAX(0,MIN(-BT259/10%-1,1))+($AX259-$AY259)*MAX(0,-BT259/10%-2)),0),"")</f>
        <v/>
      </c>
      <c r="CD259" s="468" t="str">
        <f aca="false">IF($BD259,$BX259+IF(VolSkewFlag=1,IF(BT259&gt;0,$BA259*MIN(BT259/10%,1)+($BB259-$BA259)*MAX(0,MIN(BT259/10%-1,1))+($BC259-$BB259)*MAX(0,BT259/10%-2),$AZ259*MIN(-BT259/10%,1)+($AY259-$AZ259)*MAX(0,MIN(-BT259/10%-1,1))+($AX259-$AY259)*MAX(0,-BT259/10%-2)),0),"")</f>
        <v/>
      </c>
      <c r="CE259" s="469" t="n">
        <v>1</v>
      </c>
      <c r="CF259" s="470" t="n">
        <f aca="false">IF(BD259,xCrudeAPO(BU259,BV259,CA259,CB259,S260,S261,BI259,BL259,BP259,BQ259,0,Strike1,AO259,CE259,0,BL259,IF(OptControl=4,0,1),0,1),0)</f>
        <v>0</v>
      </c>
      <c r="CG259" s="470" t="n">
        <f aca="false">IF(BD259,xCrudeAPO(BU259,BV259,CA259,CB259,S260,S261,BI259,BL259,BP259,BQ259,0,Strike1,AO259,CE259,0,BL259,IF(OptControl=4,0,1),1,1)+xCrudeAPO(BU259,BV259,CA259,CB259,S260,S261,BI259,BL259,BP259,BQ259,0,Strike1,AO259,CE259,0,BL259,IF(OptControl=4,0,1),1,2)+IF(OR(VolSkewFlag=2,ABS(BS259)&lt;0.0001),0,IF(BS259&gt;0,-1,1)*CH259*Strike1/BR259^2*BY259/10%),0)</f>
        <v>0</v>
      </c>
      <c r="CH259" s="470" t="n">
        <f aca="false">IF(BD259,(xCrudeAPO(BU259,BV259,CA259,CB259,S260,S261,BI259,BL259,BP259,BQ259,0,Strike1,AO259,CE259,0,BL259,IF(OptControl=4,0,1),3,1)+xCrudeAPO(BU259,BV259,CA259,CB259,S260,S261,BI259,BL259,BP259,BQ259,0,Strike1,AO259,CE259,0,BL259,IF(OptControl=4,0,1),3,2))/100,0)</f>
        <v>0</v>
      </c>
      <c r="CI259" s="470" t="n">
        <f aca="false">IF(BD259,xCrudeAPO(BU259,BV259,CA259,CB259,S260,S261,BI259-DaysForThetaCalculation/365.25,BL259-DaysForThetaCalculation/365.25,BP259,BQ259,0,Strike1,AO259,CE259,0,BL259,IF(OptControl=4,0,1),0,1)-xCrudeAPO(BU259,BV259,CA259,CB259,S260,S261,BI259,BL259,BP259,BQ259,0,Strike1,AO259,CE259,0,BL259,IF(OptControl=4,0,1),0,1),0)</f>
        <v>0</v>
      </c>
      <c r="CJ259" s="471" t="n">
        <f aca="false">IF(BD259,xCrudeAPO(BU259,BV259,CC259,CD259,S260,S261,BI259,BL259,BP259,BQ259,0,Strike2,AO259,CE259,0,BL259,IF(OptControl=3,1,0),0,1),0)</f>
        <v>0</v>
      </c>
      <c r="CK259" s="470" t="n">
        <f aca="false">IF(BD259,xCrudeAPO(BU259,BV259,CC259,CD259,S260,S261,BI259,BL259,BP259,BQ259,0,Strike2,AO259,CE259,0,BL259,IF(OptControl=3,1,0),1,1)+xCrudeAPO(BU259,BV259,CC259,CD259,S260,S261,BI259,BL259,BP259,BQ259,0,Strike2,AO259,CE259,0,BL259,IF(OptControl=3,1,0),1,2)+IF(OR(VolSkewFlag=2,ABS(BT259)&lt;0.0001),0,IF(BT259&gt;0,-1,1)*CL259*Strike2/BR259^2*BZ259/10%),0)</f>
        <v>0</v>
      </c>
      <c r="CL259" s="470" t="n">
        <f aca="false">IF(BD259,(xCrudeAPO(BU259,BV259,CC259,CD259,S260,S261,BI259,BL259,BP259,BQ259,0,Strike2,AO259,CE259,0,BL259,IF(OptControl=3,1,0),3,1)+xCrudeAPO(BU259,BV259,CC259,CD259,S260,S261,BI259,BL259,BP259,BQ259,0,Strike2,AO259,CE259,0,BL259,IF(OptControl=3,1,0),3,2))/100,0)</f>
        <v>0</v>
      </c>
      <c r="CM259" s="472" t="n">
        <f aca="false">IF(BD259,xCrudeAPO(BU259,BV259,CC259,CD259,S260,S261,BI259-DaysForThetaCalculation/365.25,BL259-DaysForThetaCalculation/365.25,BP259,BQ259,0,Strike2,AO259,CE259,0,BL259,IF(OptControl=3,1,0),0,1)-xCrudeAPO(BU259,BV259,CC259,CD259,S260,S261,BI259,BL259,BP259,BQ259,0,Strike2,AO259,CE259,0,BL259,IF(OptControl=3,1,0),0,1),0)</f>
        <v>0</v>
      </c>
      <c r="CN259" s="3"/>
      <c r="CO259" s="543" t="str">
        <f aca="false">IF(BD259,CHOOSE(Underlying,AD259,AF259)-DateToday+1,"")</f>
        <v/>
      </c>
      <c r="CP259" s="582" t="str">
        <f aca="false">IF(BD259,CHOOSE(Underlying,L259,R259),"")</f>
        <v/>
      </c>
      <c r="CQ259" s="544" t="str">
        <f aca="false">IF(BD259,Strike1/CP259-1,"")</f>
        <v/>
      </c>
      <c r="CR259" s="544" t="str">
        <f aca="false">IF(BD259,Strike2/CP259-1,"")</f>
        <v/>
      </c>
      <c r="CS259" s="544" t="str">
        <f aca="false">IF(BD259,IF(CQ259&gt;0,IF(CQ259&gt;0.2,BC258-BB258,IF(CQ259&gt;0.1,BB258-BA258,BA258)),IF(CQ259&lt;-0.2,AX258-AY258,IF(CQ259&lt;-0.1,AY258-AZ258,AZ258))),"")</f>
        <v/>
      </c>
      <c r="CT259" s="544" t="str">
        <f aca="false">IF(BD259,IF(CR259&gt;0,IF(CR259&gt;0.2,BC258-BB258,IF(CR259&gt;0.1,BB258-BA258,BA258)),IF(CR259&lt;-0.2,AX258-AY258,IF(CR259&lt;-0.1,AY258-AZ258,AZ258))),"")</f>
        <v/>
      </c>
      <c r="CU259" s="545" t="str">
        <f aca="false">IF(BD259,CHOOSE(Underlying,O259,AT259),"")</f>
        <v/>
      </c>
      <c r="CV259" s="545" t="str">
        <f aca="false">IF(BD259,CU259+IF(VolSkewFlag=1,IF(CQ259&gt;0,BA258*MIN(CQ259/10%,1)+(BB258-BA258)*MAX(0,MIN(CQ259/10%-1,1))+(BC258-BB258)*MAX(0,CQ259/10%-2),AZ258*MIN(-CQ259/10%,1)+(AY258-AZ258)*MAX(0,MIN(-CQ259/10%-1,1))+(AX258-AY258)*MAX(0,-CQ259/10%-2)),0),"")</f>
        <v/>
      </c>
      <c r="CW259" s="545" t="str">
        <f aca="false">IF(BD259,CU259+IF(VolSkewFlag=1,IF(CR259&gt;0,BA258*MIN(CR259/10%,1)+(BB258-BA258)*MAX(0,MIN(CR259/10%-1,1))+(BC258-BB258)*MAX(0,CR259/10%-2),AZ258*MIN(-CR259/10%,1)+(AY258-AZ258)*MAX(0,MIN(-CR259/10%-1,1))+(AX258-AY258)*MAX(0,-CR259/10%-2)),0),"")</f>
        <v/>
      </c>
      <c r="CX259" s="470" t="n">
        <f aca="false">IF(BD259,EURO(CP259,Strike1,AO259,AO259,CV259,CO259,IF(OptControl=4,0,1),0),0)</f>
        <v>0</v>
      </c>
      <c r="CY259" s="470" t="n">
        <f aca="false">IF(BD259,EURO(CP259,Strike1,AO259,AO259,CV259,CO259,IF(OptControl=4,0,1),1)+IF(OR(VolSkewFlag=2,ABS(CQ259)&lt;0.0001),0,IF(CQ259&gt;0,-1,1)*CZ259*100*Strike1/CP259^2*CS259/10%),0)</f>
        <v>0</v>
      </c>
      <c r="CZ259" s="470" t="n">
        <f aca="false">IF(BD259,EURO(CP259,Strike1,AO259,AO259,CV259,CO259,IF(OptControl=4,0,1),3)/100,0)</f>
        <v>0</v>
      </c>
      <c r="DA259" s="470" t="n">
        <f aca="false">IF(BD259,EURO(CP259,Strike1,AO259,AO259,CV259,CO259,IF(OptControl=4,0,1),0)-EURO(CP259,Strike1,AO259,AO259,CV259,CO259-1,IF(OptControl=4,0,1),0),0)</f>
        <v>0</v>
      </c>
      <c r="DB259" s="470" t="n">
        <f aca="false">IF(BD259,EURO(CP259,Strike2,AO259,AO259,CW259,CO259,IF(OptControl=3,1,0),0),0)</f>
        <v>0</v>
      </c>
      <c r="DC259" s="470" t="n">
        <f aca="false">IF(BD259,EURO(CP259,Strike2,AO259,AO259,CW259,CO259,IF(OptControl=3,1,0),1)+IF(OR(VolSkewFlag=2,ABS(CR259)&lt;0.0001),0,IF(CR259&gt;0,-1,1)*DD259*100*Strike2/CP259^2*CT259/10%),0)</f>
        <v>0</v>
      </c>
      <c r="DD259" s="470" t="n">
        <f aca="false">IF(BD259,EURO(CP259,Strike2,AO259,AO259,CW259,CO259,IF(OptControl=3,1,0),3)/100,0)</f>
        <v>0</v>
      </c>
      <c r="DE259" s="472" t="n">
        <f aca="false">IF(BD259,EURO(CP259,Strike2,AO259,AO259,CW259,CO259,IF(OptControl=3,1,0),0)-EURO(CP259,Strike2,AO259,AO259,CW259,CO259-1,IF(OptControl=3,1,0),0),0)</f>
        <v>0</v>
      </c>
      <c r="DG259" s="481" t="n">
        <f aca="false">EOMONTH(DG258,0)+1</f>
        <v>52963</v>
      </c>
      <c r="DH259" s="478" t="n">
        <v>26.1100000000001</v>
      </c>
      <c r="DI259" s="479" t="n">
        <v>26.1804545454547</v>
      </c>
      <c r="DJ259" s="480" t="n">
        <f aca="false">DG259</f>
        <v>52963</v>
      </c>
      <c r="DK259" s="478" t="n">
        <v>24.8991439864684</v>
      </c>
      <c r="DL259" s="479" t="n">
        <v>25.0119545454547</v>
      </c>
      <c r="DM259" s="481" t="n">
        <f aca="false">DG259</f>
        <v>52963</v>
      </c>
      <c r="DN259" s="482" t="n">
        <f aca="false">DK259+BrentPhyBrentSpread</f>
        <v>24.9491439864684</v>
      </c>
      <c r="DO259" s="481" t="n">
        <f aca="false">DG259</f>
        <v>52963</v>
      </c>
      <c r="DP259" s="483" t="n">
        <f aca="false">DL259+DQ259</f>
        <v>25.0119545454547</v>
      </c>
      <c r="DQ259" s="546" t="n">
        <v>0</v>
      </c>
      <c r="DR259" s="480" t="n">
        <f aca="false">DG259</f>
        <v>52963</v>
      </c>
      <c r="DS259" s="485" t="n">
        <v>0.081199999999997</v>
      </c>
      <c r="DT259" s="486" t="n">
        <v>0.0479818181818164</v>
      </c>
      <c r="DU259" s="480" t="n">
        <f aca="false">DG259</f>
        <v>52963</v>
      </c>
      <c r="DV259" s="485" t="n">
        <v>0.081199999999997</v>
      </c>
      <c r="DW259" s="486" t="n">
        <v>0.0479818181818164</v>
      </c>
      <c r="DX259" s="481" t="n">
        <f aca="false">DG259</f>
        <v>52963</v>
      </c>
      <c r="DY259" s="486" t="n">
        <v>0.35</v>
      </c>
      <c r="DZ259" s="481" t="n">
        <f aca="false">DR259</f>
        <v>52963</v>
      </c>
      <c r="EA259" s="486" t="n">
        <f aca="false">DT259</f>
        <v>0.0479818181818164</v>
      </c>
      <c r="EB259" s="195"/>
      <c r="EC259" s="547" t="str">
        <f aca="false">IF(BD259,IF(Underlying=1,AS259,AU259),"")</f>
        <v/>
      </c>
      <c r="ED259" s="548" t="str">
        <f aca="false">IF($BD259,$EC259+IF(VolSkewFlag=1,IF(BS259&gt;0,$BA259*MIN(BS259/10%,1)+($BB259-$BA259)*MAX(0,MIN(BS259/10%-1,1))+($BC259-$BB259)*MAX(0,BS259/10%-2),$AZ259*MIN(-BS259/10%,1)+($AY259-$AZ259)*MAX(0,MIN(-BS259/10%-1,1))+($AX259-$AY259)*MAX(0,-BS259/10%-2)),0),"")</f>
        <v/>
      </c>
      <c r="EE259" s="549" t="str">
        <f aca="false">IF($BD259,$EC259+IF(VolSkewFlag=1,IF(BT259&gt;0,$BA259*MIN(BT259/10%,1)+($BB259-$BA259)*MAX(0,MIN(BT259/10%-1,1))+($BC259-$BB259)*MAX(0,BT259/10%-2),$AZ259*MIN(-BT259/10%,1)+($AY259-$AZ259)*MAX(0,MIN(-BT259/10%-1,1))+($AX259-$AY259)*MAX(0,-BT259/10%-2)),0),"")</f>
        <v/>
      </c>
      <c r="EF259" s="550" t="n">
        <f aca="false">IF(BD259,xASN(BR259,Strike1,AO259,ED259,0,BO259,0,BI259,BL259,IF(OptControl=4,0,1),0),0)</f>
        <v>0</v>
      </c>
      <c r="EG259" s="551" t="n">
        <f aca="false">IF(BD259,xASN(BR259,Strike2,AO259,EE259,0,BO259,0,BI259,BL259,IF(OptControl=3,1,0),0),0)</f>
        <v>0</v>
      </c>
      <c r="EL259" s="1"/>
      <c r="EM259" s="195"/>
      <c r="EN259" s="240"/>
      <c r="EO259" s="240"/>
      <c r="EP259" s="195"/>
      <c r="EQ259" s="407" t="s">
        <v>488</v>
      </c>
      <c r="ER259" s="195"/>
      <c r="ES259" s="195"/>
      <c r="ET259" s="195"/>
      <c r="EU259" s="240"/>
      <c r="FJ259" s="571" t="n">
        <v>15</v>
      </c>
      <c r="FK259" s="150" t="str">
        <f aca="false">IF($FJ259+FK$244&gt;73,"",PRODUCT(INDEX($T$19:$T$93,FK$244):INDEX($T$19:$T$93,FK$244+$FJ259-1)))</f>
        <v/>
      </c>
      <c r="FL259" s="150" t="str">
        <f aca="false">IF($FJ259+FL$244&gt;73,"",PRODUCT(INDEX($T$19:$T$93,FL$244):INDEX($T$19:$T$93,FL$244+$FJ259-1)))</f>
        <v/>
      </c>
      <c r="FM259" s="150" t="str">
        <f aca="false">IF($FJ259+FM$244&gt;73,"",PRODUCT(INDEX($T$19:$T$93,FM$244):INDEX($T$19:$T$93,FM$244+$FJ259-1)))</f>
        <v/>
      </c>
      <c r="FN259" s="150" t="str">
        <f aca="false">IF($FJ259+FN$244&gt;73,"",PRODUCT(INDEX($T$19:$T$93,FN$244):INDEX($T$19:$T$93,FN$244+$FJ259-1)))</f>
        <v/>
      </c>
      <c r="FO259" s="150" t="str">
        <f aca="false">IF($FJ259+FO$244&gt;73,"",PRODUCT(INDEX($T$19:$T$93,FO$244):INDEX($T$19:$T$93,FO$244+$FJ259-1)))</f>
        <v/>
      </c>
      <c r="FP259" s="150" t="str">
        <f aca="false">IF($FJ259+FP$244&gt;73,"",PRODUCT(INDEX($T$19:$T$93,FP$244):INDEX($T$19:$T$93,FP$244+$FJ259-1)))</f>
        <v/>
      </c>
      <c r="FQ259" s="150" t="str">
        <f aca="false">IF($FJ259+FQ$244&gt;73,"",PRODUCT(INDEX($T$19:$T$93,FQ$244):INDEX($T$19:$T$93,FQ$244+$FJ259-1)))</f>
        <v/>
      </c>
      <c r="FR259" s="150" t="str">
        <f aca="false">IF($FJ259+FR$244&gt;73,"",PRODUCT(INDEX($T$19:$T$93,FR$244):INDEX($T$19:$T$93,FR$244+$FJ259-1)))</f>
        <v/>
      </c>
      <c r="FS259" s="150" t="str">
        <f aca="false">IF($FJ259+FS$244&gt;73,"",PRODUCT(INDEX($T$19:$T$93,FS$244):INDEX($T$19:$T$93,FS$244+$FJ259-1)))</f>
        <v/>
      </c>
      <c r="FT259" s="150" t="str">
        <f aca="false">IF($FJ259+FT$244&gt;73,"",PRODUCT(INDEX($T$19:$T$93,FT$244):INDEX($T$19:$T$93,FT$244+$FJ259-1)))</f>
        <v/>
      </c>
      <c r="FU259" s="150" t="str">
        <f aca="false">IF($FJ259+FU$244&gt;73,"",PRODUCT(INDEX($T$19:$T$93,FU$244):INDEX($T$19:$T$93,FU$244+$FJ259-1)))</f>
        <v/>
      </c>
      <c r="FV259" s="150" t="str">
        <f aca="false">IF($FJ259+FV$244&gt;73,"",PRODUCT(INDEX($T$19:$T$93,FV$244):INDEX($T$19:$T$93,FV$244+$FJ259-1)))</f>
        <v/>
      </c>
      <c r="FW259" s="150" t="str">
        <f aca="false">IF($FJ259+FW$244&gt;73,"",PRODUCT(INDEX($T$19:$T$93,FW$244):INDEX($T$19:$T$93,FW$244+$FJ259-1)))</f>
        <v/>
      </c>
      <c r="FX259" s="150" t="str">
        <f aca="false">IF($FJ259+FX$244&gt;73,"",PRODUCT(INDEX($T$19:$T$93,FX$244):INDEX($T$19:$T$93,FX$244+$FJ259-1)))</f>
        <v/>
      </c>
      <c r="FY259" s="150" t="n">
        <f aca="false">IF($FJ259+FY$244&gt;73,"",PRODUCT(INDEX($T$19:$T$93,FY$244):INDEX($T$19:$T$93,FY$244+$FJ259-1)))</f>
        <v>0.999891438189082</v>
      </c>
      <c r="FZ259" s="150" t="n">
        <f aca="false">IF($FJ259+FZ$244&gt;73,"",PRODUCT(INDEX($T$19:$T$93,FZ$244):INDEX($T$19:$T$93,FZ$244+$FJ259-1)))</f>
        <v>0.999873027580921</v>
      </c>
      <c r="GA259" s="150" t="n">
        <f aca="false">IF($FJ259+GA$244&gt;73,"",PRODUCT(INDEX($T$19:$T$93,GA$244):INDEX($T$19:$T$93,GA$244+$FJ259-1)))</f>
        <v>0.999851494891753</v>
      </c>
      <c r="GB259" s="150" t="n">
        <f aca="false">IF($FJ259+GB$244&gt;73,"",PRODUCT(INDEX($T$19:$T$93,GB$244):INDEX($T$19:$T$93,GB$244+$FJ259-1)))</f>
        <v>0.999826310719884</v>
      </c>
      <c r="GC259" s="150" t="n">
        <f aca="false">IF($FJ259+GC$244&gt;73,"",PRODUCT(INDEX($T$19:$T$93,GC$244):INDEX($T$19:$T$93,GC$244+$FJ259-1)))</f>
        <v>0.999796855911172</v>
      </c>
      <c r="GD259" s="150" t="n">
        <f aca="false">IF($FJ259+GD$244&gt;73,"",PRODUCT(INDEX($T$19:$T$93,GD$244):INDEX($T$19:$T$93,GD$244+$FJ259-1)))</f>
        <v>0.999762406349186</v>
      </c>
      <c r="GE259" s="150" t="n">
        <f aca="false">IF($FJ259+GE$244&gt;73,"",PRODUCT(INDEX($T$19:$T$93,GE$244):INDEX($T$19:$T$93,GE$244+$FJ259-1)))</f>
        <v>0.999722115170321</v>
      </c>
      <c r="GF259" s="150" t="n">
        <f aca="false">IF($FJ259+GF$244&gt;73,"",PRODUCT(INDEX($T$19:$T$93,GF$244):INDEX($T$19:$T$93,GF$244+$FJ259-1)))</f>
        <v>0.999674991968808</v>
      </c>
      <c r="GG259" s="150" t="n">
        <f aca="false">IF($FJ259+GG$244&gt;73,"",PRODUCT(INDEX($T$19:$T$93,GG$244):INDEX($T$19:$T$93,GG$244+$FJ259-1)))</f>
        <v>0.999619878483501</v>
      </c>
      <c r="GH259" s="150" t="n">
        <f aca="false">IF($FJ259+GH$244&gt;73,"",PRODUCT(INDEX($T$19:$T$93,GH$244):INDEX($T$19:$T$93,GH$244+$FJ259-1)))</f>
        <v>0.999555420172955</v>
      </c>
      <c r="GI259" s="150" t="n">
        <f aca="false">IF($FJ259+GI$244&gt;73,"",PRODUCT(INDEX($T$19:$T$93,GI$244):INDEX($T$19:$T$93,GI$244+$FJ259-1)))</f>
        <v>0.999480032985957</v>
      </c>
      <c r="GJ259" s="150" t="n">
        <f aca="false">IF($FJ259+GJ$244&gt;73,"",PRODUCT(INDEX($T$19:$T$93,GJ$244):INDEX($T$19:$T$93,GJ$244+$FJ259-1)))</f>
        <v>0.999391864518811</v>
      </c>
      <c r="GK259" s="150" t="n">
        <f aca="false">IF($FJ259+GK$244&gt;73,"",PRODUCT(INDEX($T$19:$T$93,GK$244):INDEX($T$19:$T$93,GK$244+$FJ259-1)))</f>
        <v>0.999288748615869</v>
      </c>
      <c r="GL259" s="150" t="n">
        <f aca="false">IF($FJ259+GL$244&gt;73,"",PRODUCT(INDEX($T$19:$T$93,GL$244):INDEX($T$19:$T$93,GL$244+$FJ259-1)))</f>
        <v>0.999168152313025</v>
      </c>
      <c r="GM259" s="150" t="n">
        <f aca="false">IF($FJ259+GM$244&gt;73,"",PRODUCT(INDEX($T$19:$T$93,GM$244):INDEX($T$19:$T$93,GM$244+$FJ259-1)))</f>
        <v>0.99902711384167</v>
      </c>
      <c r="GN259" s="150" t="n">
        <f aca="false">IF($FJ259+GN$244&gt;73,"",PRODUCT(INDEX($T$19:$T$93,GN$244):INDEX($T$19:$T$93,GN$244+$FJ259-1)))</f>
        <v>0.99886217019924</v>
      </c>
      <c r="GO259" s="150" t="n">
        <f aca="false">IF($FJ259+GO$244&gt;73,"",PRODUCT(INDEX($T$19:$T$93,GO$244):INDEX($T$19:$T$93,GO$244+$FJ259-1)))</f>
        <v>0.998669272547506</v>
      </c>
      <c r="GP259" s="150" t="n">
        <f aca="false">IF($FJ259+GP$244&gt;73,"",PRODUCT(INDEX($T$19:$T$93,GP$244):INDEX($T$19:$T$93,GP$244+$FJ259-1)))</f>
        <v>0.998443687416453</v>
      </c>
      <c r="GQ259" s="150" t="n">
        <f aca="false">IF($FJ259+GQ$244&gt;73,"",PRODUCT(INDEX($T$19:$T$93,GQ$244):INDEX($T$19:$T$93,GQ$244+$FJ259-1)))</f>
        <v>0.998179881364553</v>
      </c>
      <c r="GR259" s="150" t="n">
        <f aca="false">IF($FJ259+GR$244&gt;73,"",PRODUCT(INDEX($T$19:$T$93,GR$244):INDEX($T$19:$T$93,GR$244+$FJ259-1)))</f>
        <v>0.997871386369769</v>
      </c>
      <c r="GS259" s="150" t="n">
        <f aca="false">IF($FJ259+GS$244&gt;73,"",PRODUCT(INDEX($T$19:$T$93,GS$244):INDEX($T$19:$T$93,GS$244+$FJ259-1)))</f>
        <v>0.997510642793532</v>
      </c>
      <c r="GT259" s="150" t="n">
        <f aca="false">IF($FJ259+GT$244&gt;73,"",PRODUCT(INDEX($T$19:$T$93,GT$244):INDEX($T$19:$T$93,GT$244+$FJ259-1)))</f>
        <v>0.997088816265923</v>
      </c>
      <c r="GU259" s="150" t="n">
        <f aca="false">IF($FJ259+GU$244&gt;73,"",PRODUCT(INDEX($T$19:$T$93,GU$244):INDEX($T$19:$T$93,GU$244+$FJ259-1)))</f>
        <v>0.996595584278076</v>
      </c>
      <c r="GV259" s="150" t="n">
        <f aca="false">IF($FJ259+GV$244&gt;73,"",PRODUCT(INDEX($T$19:$T$93,GV$244):INDEX($T$19:$T$93,GV$244+$FJ259-1)))</f>
        <v>0.996018887631672</v>
      </c>
      <c r="GW259" s="150" t="n">
        <f aca="false">IF($FJ259+GW$244&gt;73,"",PRODUCT(INDEX($T$19:$T$93,GW$244):INDEX($T$19:$T$93,GW$244+$FJ259-1)))</f>
        <v>0.995344641180822</v>
      </c>
      <c r="GX259" s="150" t="n">
        <f aca="false">IF($FJ259+GX$244&gt;73,"",PRODUCT(INDEX($T$19:$T$93,GX$244):INDEX($T$19:$T$93,GX$244+$FJ259-1)))</f>
        <v>0.994556397506278</v>
      </c>
      <c r="GY259" s="150" t="n">
        <f aca="false">IF($FJ259+GY$244&gt;73,"",PRODUCT(INDEX($T$19:$T$93,GY$244):INDEX($T$19:$T$93,GY$244+$FJ259-1)))</f>
        <v>0.993634956287135</v>
      </c>
      <c r="GZ259" s="150" t="n">
        <f aca="false">IF($FJ259+GZ$244&gt;73,"",PRODUCT(INDEX($T$19:$T$93,GZ$244):INDEX($T$19:$T$93,GZ$244+$FJ259-1)))</f>
        <v>0.992557911188194</v>
      </c>
      <c r="HA259" s="150" t="n">
        <f aca="false">IF($FJ259+HA$244&gt;73,"",PRODUCT(INDEX($T$19:$T$93,HA$244):INDEX($T$19:$T$93,HA$244+$FJ259-1)))</f>
        <v>0.991299125077894</v>
      </c>
      <c r="HB259" s="150" t="n">
        <f aca="false">IF($FJ259+HB$244&gt;73,"",PRODUCT(INDEX($T$19:$T$93,HB$244):INDEX($T$19:$T$93,HB$244+$FJ259-1)))</f>
        <v>0.989828123361349</v>
      </c>
      <c r="HC259" s="150" t="n">
        <f aca="false">IF($FJ259+HC$244&gt;73,"",PRODUCT(INDEX($T$19:$T$93,HC$244):INDEX($T$19:$T$93,HC$244+$FJ259-1)))</f>
        <v>0.988109394203618</v>
      </c>
      <c r="HD259" s="150" t="n">
        <f aca="false">IF($FJ259+HD$244&gt;73,"",PRODUCT(INDEX($T$19:$T$93,HD$244):INDEX($T$19:$T$93,HD$244+$FJ259-1)))</f>
        <v>0.986101583505536</v>
      </c>
      <c r="HE259" s="150" t="n">
        <f aca="false">IF($FJ259+HE$244&gt;73,"",PRODUCT(INDEX($T$19:$T$93,HE$244):INDEX($T$19:$T$93,HE$244+$FJ259-1)))</f>
        <v>0.983756571792562</v>
      </c>
      <c r="HF259" s="150" t="n">
        <f aca="false">IF($FJ259+HF$244&gt;73,"",PRODUCT(INDEX($T$19:$T$93,HF$244):INDEX($T$19:$T$93,HF$244+$FJ259-1)))</f>
        <v>0.981018419855099</v>
      </c>
      <c r="HG259" s="150" t="n">
        <f aca="false">IF($FJ259+HG$244&gt;73,"",PRODUCT(INDEX($T$19:$T$93,HG$244):INDEX($T$19:$T$93,HG$244+$FJ259-1)))</f>
        <v>0.977822170281494</v>
      </c>
      <c r="HH259" s="150" t="n">
        <f aca="false">IF($FJ259+HH$244&gt;73,"",PRODUCT(INDEX($T$19:$T$93,HH$244):INDEX($T$19:$T$93,HH$244+$FJ259-1)))</f>
        <v>0.97409249330197</v>
      </c>
      <c r="HI259" s="150" t="n">
        <f aca="false">IF($FJ259+HI$244&gt;73,"",PRODUCT(INDEX($T$19:$T$93,HI$244):INDEX($T$19:$T$93,HI$244+$FJ259-1)))</f>
        <v>0.969742168106172</v>
      </c>
      <c r="HJ259" s="150" t="n">
        <f aca="false">IF($FJ259+HJ$244&gt;73,"",PRODUCT(INDEX($T$19:$T$93,HJ$244):INDEX($T$19:$T$93,HJ$244+$FJ259-1)))</f>
        <v>0.964670395695857</v>
      </c>
      <c r="HK259" s="150" t="n">
        <f aca="false">IF($FJ259+HK$244&gt;73,"",PRODUCT(INDEX($T$19:$T$93,HK$244):INDEX($T$19:$T$93,HK$244+$FJ259-1)))</f>
        <v>0.958760947335589</v>
      </c>
      <c r="HL259" s="150" t="n">
        <f aca="false">IF($FJ259+HL$244&gt;73,"",PRODUCT(INDEX($T$19:$T$93,HL$244):INDEX($T$19:$T$93,HL$244+$FJ259-1)))</f>
        <v>0.951880165061552</v>
      </c>
      <c r="HM259" s="150" t="n">
        <f aca="false">IF($FJ259+HM$244&gt;73,"",PRODUCT(INDEX($T$19:$T$93,HM$244):INDEX($T$19:$T$93,HM$244+$FJ259-1)))</f>
        <v>0.943874849246404</v>
      </c>
      <c r="HN259" s="150" t="n">
        <f aca="false">IF($FJ259+HN$244&gt;73,"",PRODUCT(INDEX($T$19:$T$93,HN$244):INDEX($T$19:$T$93,HN$244+$FJ259-1)))</f>
        <v>0.934570095219054</v>
      </c>
      <c r="HO259" s="150" t="n">
        <f aca="false">IF($FJ259+HO$244&gt;73,"",PRODUCT(INDEX($T$19:$T$93,HO$244):INDEX($T$19:$T$93,HO$244+$FJ259-1)))</f>
        <v>0.923767179445694</v>
      </c>
      <c r="HP259" s="150" t="n">
        <f aca="false">IF($FJ259+HP$244&gt;73,"",PRODUCT(INDEX($T$19:$T$93,HP$244):INDEX($T$19:$T$93,HP$244+$FJ259-1)))</f>
        <v>0.911241649700253</v>
      </c>
      <c r="HQ259" s="150" t="n">
        <f aca="false">IF($FJ259+HQ$244&gt;73,"",PRODUCT(INDEX($T$19:$T$93,HQ$244):INDEX($T$19:$T$93,HQ$244+$FJ259-1)))</f>
        <v>0.896741847874155</v>
      </c>
      <c r="HR259" s="150" t="n">
        <f aca="false">IF($FJ259+HR$244&gt;73,"",PRODUCT(INDEX($T$19:$T$93,HR$244):INDEX($T$19:$T$93,HR$244+$FJ259-1)))</f>
        <v>0.87998819447223</v>
      </c>
      <c r="HS259" s="150" t="n">
        <f aca="false">IF($FJ259+HS$244&gt;73,"",PRODUCT(INDEX($T$19:$T$93,HS$244):INDEX($T$19:$T$93,HS$244+$FJ259-1)))</f>
        <v>0.860673697070096</v>
      </c>
      <c r="HT259" s="150" t="n">
        <f aca="false">IF($FJ259+HT$244&gt;73,"",PRODUCT(INDEX($T$19:$T$93,HT$244):INDEX($T$19:$T$93,HT$244+$FJ259-1)))</f>
        <v>0.838466317851201</v>
      </c>
      <c r="HU259" s="150" t="n">
        <f aca="false">IF($FJ259+HU$244&gt;73,"",PRODUCT(INDEX($T$19:$T$93,HU$244):INDEX($T$19:$T$93,HU$244+$FJ259-1)))</f>
        <v>0.813014053237184</v>
      </c>
      <c r="HV259" s="150" t="n">
        <f aca="false">IF($FJ259+HV$244&gt;73,"",PRODUCT(INDEX($T$19:$T$93,HV$244):INDEX($T$19:$T$93,HV$244+$FJ259-1)))</f>
        <v>0.783953842765367</v>
      </c>
      <c r="HW259" s="150" t="n">
        <f aca="false">IF($FJ259+HW$244&gt;73,"",PRODUCT(INDEX($T$19:$T$93,HW$244):INDEX($T$19:$T$93,HW$244+$FJ259-1)))</f>
        <v>0.750925726411519</v>
      </c>
      <c r="HX259" s="150" t="n">
        <f aca="false">IF($FJ259+HX$244&gt;73,"",PRODUCT(INDEX($T$19:$T$93,HX$244):INDEX($T$19:$T$93,HX$244+$FJ259-1)))</f>
        <v>0.713593982550562</v>
      </c>
      <c r="HY259" s="150" t="n">
        <f aca="false">IF($FJ259+HY$244&gt;73,"",PRODUCT(INDEX($T$19:$T$93,HY$244):INDEX($T$19:$T$93,HY$244+$FJ259-1)))</f>
        <v>0.671677242340815</v>
      </c>
      <c r="HZ259" s="150" t="n">
        <f aca="false">IF($FJ259+HZ$244&gt;73,"",PRODUCT(INDEX($T$19:$T$93,HZ$244):INDEX($T$19:$T$93,HZ$244+$FJ259-1)))</f>
        <v>0.624989674066917</v>
      </c>
      <c r="IA259" s="150" t="n">
        <f aca="false">IF($FJ259+IA$244&gt;73,"",PRODUCT(INDEX($T$19:$T$93,IA$244):INDEX($T$19:$T$93,IA$244+$FJ259-1)))</f>
        <v>0.57349505808982</v>
      </c>
      <c r="IB259" s="150" t="n">
        <f aca="false">IF($FJ259+IB$244&gt;73,"",PRODUCT(INDEX($T$19:$T$93,IB$244):INDEX($T$19:$T$93,IB$244+$FJ259-1)))</f>
        <v>0.517374595766379</v>
      </c>
      <c r="IC259" s="150" t="n">
        <f aca="false">IF($FJ259+IC$244&gt;73,"",PRODUCT(INDEX($T$19:$T$93,IC$244):INDEX($T$19:$T$93,IC$244+$FJ259-1)))</f>
        <v>0.457107111651892</v>
      </c>
      <c r="ID259" s="572" t="n">
        <f aca="false">IF($FJ259+ID$244&gt;73,"",PRODUCT(INDEX($T$19:$T$93,ID$244):INDEX($T$19:$T$93,ID$244+$FJ259-1)))</f>
        <v>0.393556235968299</v>
      </c>
      <c r="IE259" s="129"/>
    </row>
    <row r="260" customFormat="false" ht="13.5" hidden="false" customHeight="false" outlineLevel="0" collapsed="false">
      <c r="H260" s="219" t="n">
        <f aca="false">VLOOKUP(I260,$EJ$20:$EL$54,3)</f>
        <v>0</v>
      </c>
      <c r="I260" s="675" t="n">
        <f aca="false">EOMONTH(I259,0)+1</f>
        <v>44075</v>
      </c>
      <c r="J260" s="676"/>
      <c r="K260" s="677" t="s">
        <v>280</v>
      </c>
      <c r="L260" s="678" t="n">
        <f aca="false">IF(ISNUMBER(K260),J260+K260/100,IF(K260="extra",L259+VLOOKUP(BF260,PriceSpreadTable,2)/12,IF(K260="inter",interpolateprices($K$19:$L$200,ROW(K260)-ROW(FirstPricingMonth)+1),interpolatechanges($J$19:$K$200,ROW(K260)-ROW(FirstPricingMonth)+1))))</f>
        <v>6.14999999999999</v>
      </c>
      <c r="M260" s="679"/>
      <c r="N260" s="680" t="n">
        <v>0</v>
      </c>
      <c r="O260" s="679" t="n">
        <f aca="false">M260+N260</f>
        <v>0</v>
      </c>
      <c r="P260" s="676"/>
      <c r="Q260" s="677" t="s">
        <v>280</v>
      </c>
      <c r="R260" s="676" t="e">
        <f aca="false">IF(ISNUMBER(Q260),P260+Q260/100,IF(Q260="extra",(Z258*AL258-R259*AM258)/AN258,IF(Q260="inter",interpolateprices($Q$19:$R$260,ROW(Q260)-ROW(FirstPricingMonth)+1),interpolatechanges($P$19:$Q$260,ROW(Q260)-ROW(FirstPricingMonth)+1))))</f>
        <v>#VALUE!</v>
      </c>
      <c r="S260" s="681" t="n">
        <f aca="false">S$19+(S259-S$19)*S$18</f>
        <v>0.36</v>
      </c>
      <c r="T260" s="682" t="n">
        <f aca="false">SQRT((1-(1-T259^2/U259)*T$18)*U260)</f>
        <v>1</v>
      </c>
      <c r="U260" s="683" t="n">
        <f aca="false">1-(1-U259)*U$18</f>
        <v>1</v>
      </c>
      <c r="V260" s="684" t="n">
        <v>0</v>
      </c>
      <c r="W260" s="685"/>
      <c r="X260" s="686"/>
      <c r="Y260" s="687"/>
      <c r="Z260" s="687"/>
      <c r="AA260" s="688"/>
      <c r="AB260" s="689"/>
      <c r="AC260" s="690" t="n">
        <v>44063</v>
      </c>
      <c r="AD260" s="690" t="n">
        <v>44059</v>
      </c>
      <c r="AE260" s="690" t="n">
        <v>44058</v>
      </c>
      <c r="AF260" s="690" t="n">
        <v>44054</v>
      </c>
      <c r="AG260" s="691" t="s">
        <v>278</v>
      </c>
      <c r="AH260" s="692" t="s">
        <v>278</v>
      </c>
      <c r="AI260" s="693" t="n">
        <v>22</v>
      </c>
      <c r="AJ260" s="694" t="n">
        <v>14</v>
      </c>
      <c r="AK260" s="694" t="n">
        <v>8</v>
      </c>
      <c r="AL260" s="695" t="n">
        <v>22</v>
      </c>
      <c r="AM260" s="694" t="n">
        <v>10</v>
      </c>
      <c r="AN260" s="696" t="n">
        <v>12</v>
      </c>
      <c r="AO260" s="697"/>
      <c r="AP260" s="698" t="n">
        <f aca="false">(1+AO260/2)^(-2*BL260)</f>
        <v>1</v>
      </c>
      <c r="AQ260" s="699"/>
      <c r="AR260" s="700" t="n">
        <f aca="false">(1+AQ260/2)^(-2*BH260/365.25)</f>
        <v>1</v>
      </c>
      <c r="AS260" s="701" t="n">
        <f aca="false">(O261*AJ260+O262*AK260)/AI260</f>
        <v>0</v>
      </c>
      <c r="AT260" s="702" t="n">
        <f aca="false">O260*VLOOKUP(BF260,BrentVolTable,2)+VLOOKUP(BF260,BrentVolTable,3)</f>
        <v>0</v>
      </c>
      <c r="AU260" s="702" t="n">
        <f aca="false">(AT261*AM260+AT262*AN260)/AL260</f>
        <v>0</v>
      </c>
      <c r="AV260" s="703" t="n">
        <f aca="false">SQRT(MAX(0.000000000001,(O260^2*BH260-S260^2*(BH260-BH259))/BH259))</f>
        <v>0.0460203250918587</v>
      </c>
      <c r="AW260" s="704" t="n">
        <f aca="false">IF($I260-DateToday+15&gt;=$T$8,"",IF($I260-DateToday+15&lt;$T$5,1,MATCH($I260-DateToday+15,$T$5:$T$8)))</f>
        <v>1</v>
      </c>
      <c r="AX260" s="702" t="n">
        <f aca="false">IF($AW260="",AX259^2/AX258,INDEX(U$5:U$8,$AW260)^((INDEX($T$5:$T$8,$AW260+1)-($I260-DateToday+15))/(INDEX($T$5:$T$8,$AW260+1)-INDEX($T$5:$T$8,$AW260)))/INDEX(U$5:U$8,$AW260+1)^((INDEX($T$5:$T$8,$AW260)-($I260-DateToday+15))/(INDEX($T$5:$T$8,$AW260+1)-INDEX($T$5:$T$8,$AW260))))</f>
        <v>0.0741742524800192</v>
      </c>
      <c r="AY260" s="702" t="n">
        <f aca="false">IF($AW260="",AY259^2/AY258,INDEX(V$5:V$8,$AW260)^((INDEX($T$5:$T$8,$AW260+1)-($I260-DateToday+15))/(INDEX($T$5:$T$8,$AW260+1)-INDEX($T$5:$T$8,$AW260)))/INDEX(V$5:V$8,$AW260+1)^((INDEX($T$5:$T$8,$AW260)-($I260-DateToday+15))/(INDEX($T$5:$T$8,$AW260+1)-INDEX($T$5:$T$8,$AW260))))</f>
        <v>0.211795761270766</v>
      </c>
      <c r="AZ260" s="702" t="n">
        <f aca="false">IF($AW260="",AZ259^2/AZ258,INDEX(W$5:W$8,$AW260)^((INDEX($T$5:$T$8,$AW260+1)-($I260-DateToday+15))/(INDEX($T$5:$T$8,$AW260+1)-INDEX($T$5:$T$8,$AW260)))/INDEX(W$5:W$8,$AW260+1)^((INDEX($T$5:$T$8,$AW260)-($I260-DateToday+15))/(INDEX($T$5:$T$8,$AW260+1)-INDEX($T$5:$T$8,$AW260))))</f>
        <v>1.86104343254587</v>
      </c>
      <c r="BA260" s="702" t="n">
        <f aca="false">IF($AW260="",BA259^2/BA258,INDEX(X$5:X$8,$AW260)^((INDEX($T$5:$T$8,$AW260+1)-($I260-DateToday+15))/(INDEX($T$5:$T$8,$AW260+1)-INDEX($T$5:$T$8,$AW260)))/INDEX(X$5:X$8,$AW260+1)^((INDEX($T$5:$T$8,$AW260)-($I260-DateToday+15))/(INDEX($T$5:$T$8,$AW260+1)-INDEX($T$5:$T$8,$AW260))))</f>
        <v>1.43793234835353</v>
      </c>
      <c r="BB260" s="702" t="n">
        <f aca="false">IF($AW260="",BB259^2/BB258,INDEX(Y$5:Y$8,$AW260)^((INDEX($T$5:$T$8,$AW260+1)-($I260-DateToday+15))/(INDEX($T$5:$T$8,$AW260+1)-INDEX($T$5:$T$8,$AW260)))/INDEX(Y$5:Y$8,$AW260+1)^((INDEX($T$5:$T$8,$AW260)-($I260-DateToday+15))/(INDEX($T$5:$T$8,$AW260+1)-INDEX($T$5:$T$8,$AW260))))</f>
        <v>3.69369787881306</v>
      </c>
      <c r="BC260" s="702" t="n">
        <f aca="false">IF($AW260="",BC259^2/BC258,INDEX(Z$5:Z$8,$AW260)^((INDEX($T$5:$T$8,$AW260+1)-($I260-DateToday+15))/(INDEX($T$5:$T$8,$AW260+1)-INDEX($T$5:$T$8,$AW260)))/INDEX(Z$5:Z$8,$AW260+1)^((INDEX($T$5:$T$8,$AW260)-($I260-DateToday+15))/(INDEX($T$5:$T$8,$AW260+1)-INDEX($T$5:$T$8,$AW260))))</f>
        <v>6.74221313393113</v>
      </c>
      <c r="BD260" s="705" t="n">
        <f aca="false">IF(OR(DateStart&gt;=I261,DateEnd&lt;I260),0,IF(VolumeOverrideFlag,V260,Volume))</f>
        <v>0</v>
      </c>
      <c r="BE260" s="706" t="n">
        <f aca="false">IF(OR(DateStart2&gt;=I261,DateEnd2&lt;I260),0,IF(VolumeOverrideFlag,V260,VolumeSwaption))</f>
        <v>0</v>
      </c>
      <c r="BF260" s="707" t="n">
        <f aca="false">YEAR(I260)</f>
        <v>2020</v>
      </c>
      <c r="BG260" s="708" t="n">
        <f aca="false">MONTH(I260)</f>
        <v>9</v>
      </c>
      <c r="BH260" s="709" t="n">
        <f aca="false">AD260-DateToday+1</f>
        <v>-1866</v>
      </c>
      <c r="BI260" s="710" t="n">
        <f aca="false">(I260-DateToday+1)/365.25</f>
        <v>-5.06502395619439</v>
      </c>
      <c r="BJ260" s="711" t="n">
        <f aca="false">BI260+(BL260-BI260)*CHOOSE(Underlying,AJ260/AI260,AM260/AL260)</f>
        <v>-5.0144981643955</v>
      </c>
      <c r="BK260" s="711" t="n">
        <f aca="false">BJ260+1/365.25</f>
        <v>-5.01176031360836</v>
      </c>
      <c r="BL260" s="711" t="n">
        <f aca="false">(I261-DateToday)/365.25</f>
        <v>-4.98562628336756</v>
      </c>
      <c r="BM260" s="712" t="e">
        <f aca="false">MAX(BI260-(BJ260-BI260)*(S261^2/O261^2-1),0)</f>
        <v>#DIV/0!</v>
      </c>
      <c r="BN260" s="711" t="e">
        <f aca="false">MAX(BL260+(BL260-BK260)*(S262^2/O262^2-1),0)</f>
        <v>#DIV/0!</v>
      </c>
      <c r="BO260" s="695" t="n">
        <f aca="false">CHOOSE(Underlying,AI260,AL260)</f>
        <v>22</v>
      </c>
      <c r="BP260" s="694" t="n">
        <f aca="false">CHOOSE(Underlying,AJ260,AM260)</f>
        <v>14</v>
      </c>
      <c r="BQ260" s="694" t="n">
        <f aca="false">CHOOSE(Underlying,AK260,AN260)</f>
        <v>8</v>
      </c>
      <c r="BR260" s="713" t="str">
        <f aca="false">IF(BD260,IF(Underlying=1,X260,Z260)+UnderlyingPriceAsian-SwapPriceCurve,"")</f>
        <v/>
      </c>
      <c r="BS260" s="713" t="str">
        <f aca="false">IF(BD260,Strike1/BR260-1,"")</f>
        <v/>
      </c>
      <c r="BT260" s="714" t="str">
        <f aca="false">IF(BD260,Strike2/BR260-1,"")</f>
        <v/>
      </c>
      <c r="BU260" s="698" t="str">
        <f aca="false">IF(BD260,IF(Underlying=1,L261,R261)+UnderlyingPriceAsian-SwapPriceCurve,"")</f>
        <v/>
      </c>
      <c r="BV260" s="698" t="str">
        <f aca="false">IF(BD260,IF(Underlying=1,L262,R262)+UnderlyingPriceAsian-SwapPriceCurve,"")</f>
        <v/>
      </c>
      <c r="BW260" s="715" t="str">
        <f aca="false">IF(BD260,IF(Underlying=1,O261,AT261),"")</f>
        <v/>
      </c>
      <c r="BX260" s="716" t="str">
        <f aca="false">IF(BD260,IF(Underlying=1,O262,AT262),"")</f>
        <v/>
      </c>
      <c r="BY260" s="715" t="str">
        <f aca="false">IF(BD260,IF(BS260&gt;0,IF(BS260&gt;0.2,BC260-BB260,IF(BS260&gt;0.1,BB260-BA260,BA260)),IF(BS260&lt;-0.2,AX260-AY260,IF(BS260&lt;-0.1,AY260-AZ260,AZ260))),"")</f>
        <v/>
      </c>
      <c r="BZ260" s="716" t="str">
        <f aca="false">IF(BD260,IF(BT260&gt;0,IF(BT260&gt;0.2,BC260-BB260,IF(BT260&gt;0.1,BB260-BA260,BA260)),IF(BT260&lt;-0.2,AX260-AY260,IF(BT260&lt;-0.1,AY260-AZ260,AZ260))),"")</f>
        <v/>
      </c>
      <c r="CA260" s="702" t="str">
        <f aca="false">IF($BD260,$BW260+IF(VolSkewFlag=1,IF(BS260&gt;0,$BA260*MIN(BS260/10%,1)+($BB260-$BA260)*MAX(0,MIN(BS260/10%-1,1))+($BC260-$BB260)*MAX(0,BS260/10%-2),$AZ260*MIN(-BS260/10%,1)+($AY260-$AZ260)*MAX(0,MIN(-BS260/10%-1,1))+($AX260-$AY260)*MAX(0,-BS260/10%-2)),0),"")</f>
        <v/>
      </c>
      <c r="CB260" s="702" t="str">
        <f aca="false">IF($BD260,$BX260+IF(VolSkewFlag=1,IF(BS260&gt;0,$BA260*MIN(BS260/10%,1)+($BB260-$BA260)*MAX(0,MIN(BS260/10%-1,1))+($BC260-$BB260)*MAX(0,BS260/10%-2),$AZ260*MIN(-BS260/10%,1)+($AY260-$AZ260)*MAX(0,MIN(-BS260/10%-1,1))+($AX260-$AY260)*MAX(0,-BS260/10%-2)),0),"")</f>
        <v/>
      </c>
      <c r="CC260" s="702" t="str">
        <f aca="false">IF($BD260,$BW260+IF(VolSkewFlag=1,IF(BT260&gt;0,$BA260*MIN(BT260/10%,1)+($BB260-$BA260)*MAX(0,MIN(BT260/10%-1,1))+($BC260-$BB260)*MAX(0,BT260/10%-2),$AZ260*MIN(-BT260/10%,1)+($AY260-$AZ260)*MAX(0,MIN(-BT260/10%-1,1))+($AX260-$AY260)*MAX(0,-BT260/10%-2)),0),"")</f>
        <v/>
      </c>
      <c r="CD260" s="702" t="str">
        <f aca="false">IF($BD260,$BX260+IF(VolSkewFlag=1,IF(BT260&gt;0,$BA260*MIN(BT260/10%,1)+($BB260-$BA260)*MAX(0,MIN(BT260/10%-1,1))+($BC260-$BB260)*MAX(0,BT260/10%-2),$AZ260*MIN(-BT260/10%,1)+($AY260-$AZ260)*MAX(0,MIN(-BT260/10%-1,1))+($AX260-$AY260)*MAX(0,-BT260/10%-2)),0),"")</f>
        <v/>
      </c>
      <c r="CE260" s="717" t="n">
        <v>1</v>
      </c>
      <c r="CF260" s="718" t="n">
        <f aca="false">IF(BD260,xCrudeAPO(BU260,BV260,CA260,CB260,S261,S262,BI260,BL260,BP260,BQ260,0,Strike1,AO260,CE260,0,BL260,IF(OptControl=4,0,1),0,1),0)</f>
        <v>0</v>
      </c>
      <c r="CG260" s="718" t="n">
        <f aca="false">IF(BD260,xCrudeAPO(BU260,BV260,CA260,CB260,S261,S262,BI260,BL260,BP260,BQ260,0,Strike1,AO260,CE260,0,BL260,IF(OptControl=4,0,1),1,1)+xCrudeAPO(BU260,BV260,CA260,CB260,S261,S262,BI260,BL260,BP260,BQ260,0,Strike1,AO260,CE260,0,BL260,IF(OptControl=4,0,1),1,2)+IF(OR(VolSkewFlag=2,ABS(BS260)&lt;0.0001),0,IF(BS260&gt;0,-1,1)*CH260*Strike1/BR260^2*BY260/10%),0)</f>
        <v>0</v>
      </c>
      <c r="CH260" s="718" t="n">
        <f aca="false">IF(BD260,(xCrudeAPO(BU260,BV260,CA260,CB260,S261,S262,BI260,BL260,BP260,BQ260,0,Strike1,AO260,CE260,0,BL260,IF(OptControl=4,0,1),3,1)+xCrudeAPO(BU260,BV260,CA260,CB260,S261,S262,BI260,BL260,BP260,BQ260,0,Strike1,AO260,CE260,0,BL260,IF(OptControl=4,0,1),3,2))/100,0)</f>
        <v>0</v>
      </c>
      <c r="CI260" s="718" t="n">
        <f aca="false">IF(BD260,xCrudeAPO(BU260,BV260,CA260,CB260,S261,S262,BI260-DaysForThetaCalculation/365.25,BL260-DaysForThetaCalculation/365.25,BP260,BQ260,0,Strike1,AO260,CE260,0,BL260,IF(OptControl=4,0,1),0,1)-xCrudeAPO(BU260,BV260,CA260,CB260,S261,S262,BI260,BL260,BP260,BQ260,0,Strike1,AO260,CE260,0,BL260,IF(OptControl=4,0,1),0,1),0)</f>
        <v>0</v>
      </c>
      <c r="CJ260" s="719" t="n">
        <f aca="false">IF(BD260,xCrudeAPO(BU260,BV260,CC260,CD260,S261,S262,BI260,BL260,BP260,BQ260,0,Strike2,AO260,CE260,0,BL260,IF(OptControl=3,1,0),0,1),0)</f>
        <v>0</v>
      </c>
      <c r="CK260" s="718" t="n">
        <f aca="false">IF(BD260,xCrudeAPO(BU260,BV260,CC260,CD260,S261,S262,BI260,BL260,BP260,BQ260,0,Strike2,AO260,CE260,0,BL260,IF(OptControl=3,1,0),1,1)+xCrudeAPO(BU260,BV260,CC260,CD260,S261,S262,BI260,BL260,BP260,BQ260,0,Strike2,AO260,CE260,0,BL260,IF(OptControl=3,1,0),1,2)+IF(OR(VolSkewFlag=2,ABS(BT260)&lt;0.0001),0,IF(BT260&gt;0,-1,1)*CL260*Strike2/BR260^2*BZ260/10%),0)</f>
        <v>0</v>
      </c>
      <c r="CL260" s="718" t="n">
        <f aca="false">IF(BD260,(xCrudeAPO(BU260,BV260,CC260,CD260,S261,S262,BI260,BL260,BP260,BQ260,0,Strike2,AO260,CE260,0,BL260,IF(OptControl=3,1,0),3,1)+xCrudeAPO(BU260,BV260,CC260,CD260,S261,S262,BI260,BL260,BP260,BQ260,0,Strike2,AO260,CE260,0,BL260,IF(OptControl=3,1,0),3,2))/100,0)</f>
        <v>0</v>
      </c>
      <c r="CM260" s="720" t="n">
        <f aca="false">IF(BD260,xCrudeAPO(BU260,BV260,CC260,CD260,S261,S262,BI260-DaysForThetaCalculation/365.25,BL260-DaysForThetaCalculation/365.25,BP260,BQ260,0,Strike2,AO260,CE260,0,BL260,IF(OptControl=3,1,0),0,1)-xCrudeAPO(BU260,BV260,CC260,CD260,S261,S262,BI260,BL260,BP260,BQ260,0,Strike2,AO260,CE260,0,BL260,IF(OptControl=3,1,0),0,1),0)</f>
        <v>0</v>
      </c>
      <c r="CN260" s="3"/>
      <c r="CO260" s="721" t="str">
        <f aca="false">IF(BD260,CHOOSE(Underlying,AD260,AF260)-DateToday+1,"")</f>
        <v/>
      </c>
      <c r="CP260" s="722" t="str">
        <f aca="false">IF(BD260,CHOOSE(Underlying,L260,R260),"")</f>
        <v/>
      </c>
      <c r="CQ260" s="723" t="str">
        <f aca="false">IF(BD260,Strike1/CP260-1,"")</f>
        <v/>
      </c>
      <c r="CR260" s="723" t="str">
        <f aca="false">IF(BD260,Strike2/CP260-1,"")</f>
        <v/>
      </c>
      <c r="CS260" s="723" t="str">
        <f aca="false">IF(BD260,IF(CQ260&gt;0,IF(CQ260&gt;0.2,BC259-BB259,IF(CQ260&gt;0.1,BB259-BA259,BA259)),IF(CQ260&lt;-0.2,AX259-AY259,IF(CQ260&lt;-0.1,AY259-AZ259,AZ259))),"")</f>
        <v/>
      </c>
      <c r="CT260" s="723" t="str">
        <f aca="false">IF(BD260,IF(CR260&gt;0,IF(CR260&gt;0.2,BC259-BB259,IF(CR260&gt;0.1,BB259-BA259,BA259)),IF(CR260&lt;-0.2,AX259-AY259,IF(CR260&lt;-0.1,AY259-AZ259,AZ259))),"")</f>
        <v/>
      </c>
      <c r="CU260" s="724" t="str">
        <f aca="false">IF(BD260,CHOOSE(Underlying,O260,AT260),"")</f>
        <v/>
      </c>
      <c r="CV260" s="724" t="str">
        <f aca="false">IF(BD260,CU260+IF(VolSkewFlag=1,IF(CQ260&gt;0,BA259*MIN(CQ260/10%,1)+(BB259-BA259)*MAX(0,MIN(CQ260/10%-1,1))+(BC259-BB259)*MAX(0,CQ260/10%-2),AZ259*MIN(-CQ260/10%,1)+(AY259-AZ259)*MAX(0,MIN(-CQ260/10%-1,1))+(AX259-AY259)*MAX(0,-CQ260/10%-2)),0),"")</f>
        <v/>
      </c>
      <c r="CW260" s="724" t="str">
        <f aca="false">IF(BD260,CU260+IF(VolSkewFlag=1,IF(CR260&gt;0,BA259*MIN(CR260/10%,1)+(BB259-BA259)*MAX(0,MIN(CR260/10%-1,1))+(BC259-BB259)*MAX(0,CR260/10%-2),AZ259*MIN(-CR260/10%,1)+(AY259-AZ259)*MAX(0,MIN(-CR260/10%-1,1))+(AX259-AY259)*MAX(0,-CR260/10%-2)),0),"")</f>
        <v/>
      </c>
      <c r="CX260" s="718" t="n">
        <f aca="false">IF(BD260,EURO(CP260,Strike1,AO260,AO260,CV260,CO260,IF(OptControl=4,0,1),0),0)</f>
        <v>0</v>
      </c>
      <c r="CY260" s="718" t="n">
        <f aca="false">IF(BD260,EURO(CP260,Strike1,AO260,AO260,CV260,CO260,IF(OptControl=4,0,1),1)+IF(OR(VolSkewFlag=2,ABS(CQ260)&lt;0.0001),0,IF(CQ260&gt;0,-1,1)*CZ260*100*Strike1/CP260^2*CS260/10%),0)</f>
        <v>0</v>
      </c>
      <c r="CZ260" s="718" t="n">
        <f aca="false">IF(BD260,EURO(CP260,Strike1,AO260,AO260,CV260,CO260,IF(OptControl=4,0,1),3)/100,0)</f>
        <v>0</v>
      </c>
      <c r="DA260" s="718" t="n">
        <f aca="false">IF(BD260,EURO(CP260,Strike1,AO260,AO260,CV260,CO260,IF(OptControl=4,0,1),0)-EURO(CP260,Strike1,AO260,AO260,CV260,CO260-1,IF(OptControl=4,0,1),0),0)</f>
        <v>0</v>
      </c>
      <c r="DB260" s="718" t="n">
        <f aca="false">IF(BD260,EURO(CP260,Strike2,AO260,AO260,CW260,CO260,IF(OptControl=3,1,0),0),0)</f>
        <v>0</v>
      </c>
      <c r="DC260" s="718" t="n">
        <f aca="false">IF(BD260,EURO(CP260,Strike2,AO260,AO260,CW260,CO260,IF(OptControl=3,1,0),1)+IF(OR(VolSkewFlag=2,ABS(CR260)&lt;0.0001),0,IF(CR260&gt;0,-1,1)*DD260*100*Strike2/CP260^2*CT260/10%),0)</f>
        <v>0</v>
      </c>
      <c r="DD260" s="718" t="n">
        <f aca="false">IF(BD260,EURO(CP260,Strike2,AO260,AO260,CW260,CO260,IF(OptControl=3,1,0),3)/100,0)</f>
        <v>0</v>
      </c>
      <c r="DE260" s="720" t="n">
        <f aca="false">IF(BD260,EURO(CP260,Strike2,AO260,AO260,CW260,CO260,IF(OptControl=3,1,0),0)-EURO(CP260,Strike2,AO260,AO260,CW260,CO260-1,IF(OptControl=3,1,0),0),0)</f>
        <v>0</v>
      </c>
      <c r="DG260" s="481" t="n">
        <f aca="false">EOMONTH(DG259,0)+1</f>
        <v>52994</v>
      </c>
      <c r="DH260" s="478" t="n">
        <v>26.1600000000001</v>
      </c>
      <c r="DI260" s="479"/>
      <c r="DJ260" s="480" t="n">
        <f aca="false">DG260</f>
        <v>52994</v>
      </c>
      <c r="DK260" s="478" t="n">
        <v>24.9603145577563</v>
      </c>
      <c r="DL260" s="479"/>
      <c r="DM260" s="481" t="n">
        <f aca="false">DG260</f>
        <v>52994</v>
      </c>
      <c r="DN260" s="482" t="n">
        <f aca="false">DK260+BrentPhyBrentSpread</f>
        <v>25.0103145577563</v>
      </c>
      <c r="DO260" s="481" t="n">
        <f aca="false">DG260</f>
        <v>52994</v>
      </c>
      <c r="DP260" s="483" t="n">
        <f aca="false">DL260+DQ260</f>
        <v>0</v>
      </c>
      <c r="DQ260" s="725" t="n">
        <v>0</v>
      </c>
      <c r="DR260" s="480" t="n">
        <f aca="false">DG260</f>
        <v>52994</v>
      </c>
      <c r="DS260" s="485" t="n">
        <v>0.081199999999997</v>
      </c>
      <c r="DT260" s="486" t="n">
        <v>0</v>
      </c>
      <c r="DU260" s="480" t="n">
        <f aca="false">DG260</f>
        <v>52994</v>
      </c>
      <c r="DV260" s="485" t="n">
        <v>0.081199999999997</v>
      </c>
      <c r="DW260" s="486" t="n">
        <v>0</v>
      </c>
      <c r="DX260" s="481" t="n">
        <f aca="false">DG260</f>
        <v>52994</v>
      </c>
      <c r="DY260" s="486" t="n">
        <v>0.35</v>
      </c>
      <c r="DZ260" s="481" t="n">
        <f aca="false">DR260</f>
        <v>52994</v>
      </c>
      <c r="EA260" s="486" t="n">
        <f aca="false">DT260</f>
        <v>0</v>
      </c>
      <c r="EB260" s="195"/>
      <c r="EC260" s="547" t="str">
        <f aca="false">IF(BD260,IF(Underlying=1,AS260,AU260),"")</f>
        <v/>
      </c>
      <c r="ED260" s="548" t="str">
        <f aca="false">IF($BD260,$EC260+IF(VolSkewFlag=1,IF(BS260&gt;0,$BA260*MIN(BS260/10%,1)+($BB260-$BA260)*MAX(0,MIN(BS260/10%-1,1))+($BC260-$BB260)*MAX(0,BS260/10%-2),$AZ260*MIN(-BS260/10%,1)+($AY260-$AZ260)*MAX(0,MIN(-BS260/10%-1,1))+($AX260-$AY260)*MAX(0,-BS260/10%-2)),0),"")</f>
        <v/>
      </c>
      <c r="EE260" s="549" t="str">
        <f aca="false">IF($BD260,$EC260+IF(VolSkewFlag=1,IF(BT260&gt;0,$BA260*MIN(BT260/10%,1)+($BB260-$BA260)*MAX(0,MIN(BT260/10%-1,1))+($BC260-$BB260)*MAX(0,BT260/10%-2),$AZ260*MIN(-BT260/10%,1)+($AY260-$AZ260)*MAX(0,MIN(-BT260/10%-1,1))+($AX260-$AY260)*MAX(0,-BT260/10%-2)),0),"")</f>
        <v/>
      </c>
      <c r="EF260" s="550" t="n">
        <f aca="false">IF(BD260,xASN(BR260,Strike1,AO260,ED260,0,BO260,0,BI260,BL260,IF(OptControl=4,0,1),0),0)</f>
        <v>0</v>
      </c>
      <c r="EG260" s="551" t="n">
        <f aca="false">IF(BD260,xASN(BR260,Strike2,AO260,EE260,0,BO260,0,BI260,BL260,IF(OptControl=3,1,0),0),0)</f>
        <v>0</v>
      </c>
      <c r="EL260" s="1"/>
      <c r="EM260" s="195"/>
      <c r="EN260" s="240"/>
      <c r="EO260" s="240"/>
      <c r="EP260" s="195"/>
      <c r="EQ260" s="407" t="s">
        <v>489</v>
      </c>
      <c r="ER260" s="195"/>
      <c r="ES260" s="195"/>
      <c r="ET260" s="195"/>
      <c r="EU260" s="240"/>
      <c r="FJ260" s="571" t="n">
        <v>16</v>
      </c>
      <c r="FK260" s="150" t="str">
        <f aca="false">IF($FJ260+FK$244&gt;73,"",PRODUCT(INDEX($T$19:$T$93,FK$244):INDEX($T$19:$T$93,FK$244+$FJ260-1)))</f>
        <v/>
      </c>
      <c r="FL260" s="150" t="str">
        <f aca="false">IF($FJ260+FL$244&gt;73,"",PRODUCT(INDEX($T$19:$T$93,FL$244):INDEX($T$19:$T$93,FL$244+$FJ260-1)))</f>
        <v/>
      </c>
      <c r="FM260" s="150" t="str">
        <f aca="false">IF($FJ260+FM$244&gt;73,"",PRODUCT(INDEX($T$19:$T$93,FM$244):INDEX($T$19:$T$93,FM$244+$FJ260-1)))</f>
        <v/>
      </c>
      <c r="FN260" s="150" t="str">
        <f aca="false">IF($FJ260+FN$244&gt;73,"",PRODUCT(INDEX($T$19:$T$93,FN$244):INDEX($T$19:$T$93,FN$244+$FJ260-1)))</f>
        <v/>
      </c>
      <c r="FO260" s="150" t="str">
        <f aca="false">IF($FJ260+FO$244&gt;73,"",PRODUCT(INDEX($T$19:$T$93,FO$244):INDEX($T$19:$T$93,FO$244+$FJ260-1)))</f>
        <v/>
      </c>
      <c r="FP260" s="150" t="str">
        <f aca="false">IF($FJ260+FP$244&gt;73,"",PRODUCT(INDEX($T$19:$T$93,FP$244):INDEX($T$19:$T$93,FP$244+$FJ260-1)))</f>
        <v/>
      </c>
      <c r="FQ260" s="150" t="str">
        <f aca="false">IF($FJ260+FQ$244&gt;73,"",PRODUCT(INDEX($T$19:$T$93,FQ$244):INDEX($T$19:$T$93,FQ$244+$FJ260-1)))</f>
        <v/>
      </c>
      <c r="FR260" s="150" t="str">
        <f aca="false">IF($FJ260+FR$244&gt;73,"",PRODUCT(INDEX($T$19:$T$93,FR$244):INDEX($T$19:$T$93,FR$244+$FJ260-1)))</f>
        <v/>
      </c>
      <c r="FS260" s="150" t="str">
        <f aca="false">IF($FJ260+FS$244&gt;73,"",PRODUCT(INDEX($T$19:$T$93,FS$244):INDEX($T$19:$T$93,FS$244+$FJ260-1)))</f>
        <v/>
      </c>
      <c r="FT260" s="150" t="str">
        <f aca="false">IF($FJ260+FT$244&gt;73,"",PRODUCT(INDEX($T$19:$T$93,FT$244):INDEX($T$19:$T$93,FT$244+$FJ260-1)))</f>
        <v/>
      </c>
      <c r="FU260" s="150" t="str">
        <f aca="false">IF($FJ260+FU$244&gt;73,"",PRODUCT(INDEX($T$19:$T$93,FU$244):INDEX($T$19:$T$93,FU$244+$FJ260-1)))</f>
        <v/>
      </c>
      <c r="FV260" s="150" t="str">
        <f aca="false">IF($FJ260+FV$244&gt;73,"",PRODUCT(INDEX($T$19:$T$93,FV$244):INDEX($T$19:$T$93,FV$244+$FJ260-1)))</f>
        <v/>
      </c>
      <c r="FW260" s="150" t="str">
        <f aca="false">IF($FJ260+FW$244&gt;73,"",PRODUCT(INDEX($T$19:$T$93,FW$244):INDEX($T$19:$T$93,FW$244+$FJ260-1)))</f>
        <v/>
      </c>
      <c r="FX260" s="150" t="str">
        <f aca="false">IF($FJ260+FX$244&gt;73,"",PRODUCT(INDEX($T$19:$T$93,FX$244):INDEX($T$19:$T$93,FX$244+$FJ260-1)))</f>
        <v/>
      </c>
      <c r="FY260" s="150" t="str">
        <f aca="false">IF($FJ260+FY$244&gt;73,"",PRODUCT(INDEX($T$19:$T$93,FY$244):INDEX($T$19:$T$93,FY$244+$FJ260-1)))</f>
        <v/>
      </c>
      <c r="FZ260" s="150" t="n">
        <f aca="false">IF($FJ260+FZ$244&gt;73,"",PRODUCT(INDEX($T$19:$T$93,FZ$244):INDEX($T$19:$T$93,FZ$244+$FJ260-1)))</f>
        <v>0.999871086410811</v>
      </c>
      <c r="GA260" s="150" t="n">
        <f aca="false">IF($FJ260+GA$244&gt;73,"",PRODUCT(INDEX($T$19:$T$93,GA$244):INDEX($T$19:$T$93,GA$244+$FJ260-1)))</f>
        <v>0.999849224563669</v>
      </c>
      <c r="GB260" s="150" t="n">
        <f aca="false">IF($FJ260+GB$244&gt;73,"",PRODUCT(INDEX($T$19:$T$93,GB$244):INDEX($T$19:$T$93,GB$244+$FJ260-1)))</f>
        <v>0.999823655428832</v>
      </c>
      <c r="GC260" s="150" t="n">
        <f aca="false">IF($FJ260+GC$244&gt;73,"",PRODUCT(INDEX($T$19:$T$93,GC$244):INDEX($T$19:$T$93,GC$244+$FJ260-1)))</f>
        <v>0.999793750394474</v>
      </c>
      <c r="GD260" s="150" t="n">
        <f aca="false">IF($FJ260+GD$244&gt;73,"",PRODUCT(INDEX($T$19:$T$93,GD$244):INDEX($T$19:$T$93,GD$244+$FJ260-1)))</f>
        <v>0.999758774284883</v>
      </c>
      <c r="GE260" s="150" t="n">
        <f aca="false">IF($FJ260+GE$244&gt;73,"",PRODUCT(INDEX($T$19:$T$93,GE$244):INDEX($T$19:$T$93,GE$244+$FJ260-1)))</f>
        <v>0.999717867304817</v>
      </c>
      <c r="GF260" s="150" t="n">
        <f aca="false">IF($FJ260+GF$244&gt;73,"",PRODUCT(INDEX($T$19:$T$93,GF$244):INDEX($T$19:$T$93,GF$244+$FJ260-1)))</f>
        <v>0.999670023928167</v>
      </c>
      <c r="GG260" s="150" t="n">
        <f aca="false">IF($FJ260+GG$244&gt;73,"",PRODUCT(INDEX($T$19:$T$93,GG$244):INDEX($T$19:$T$93,GG$244+$FJ260-1)))</f>
        <v>0.99961406821516</v>
      </c>
      <c r="GH260" s="150" t="n">
        <f aca="false">IF($FJ260+GH$244&gt;73,"",PRODUCT(INDEX($T$19:$T$93,GH$244):INDEX($T$19:$T$93,GH$244+$FJ260-1)))</f>
        <v>0.999548624955806</v>
      </c>
      <c r="GI260" s="150" t="n">
        <f aca="false">IF($FJ260+GI$244&gt;73,"",PRODUCT(INDEX($T$19:$T$93,GI$244):INDEX($T$19:$T$93,GI$244+$FJ260-1)))</f>
        <v>0.999472085936377</v>
      </c>
      <c r="GJ260" s="150" t="n">
        <f aca="false">IF($FJ260+GJ$244&gt;73,"",PRODUCT(INDEX($T$19:$T$93,GJ$244):INDEX($T$19:$T$93,GJ$244+$FJ260-1)))</f>
        <v>0.999382570508293</v>
      </c>
      <c r="GK260" s="150" t="n">
        <f aca="false">IF($FJ260+GK$244&gt;73,"",PRODUCT(INDEX($T$19:$T$93,GK$244):INDEX($T$19:$T$93,GK$244+$FJ260-1)))</f>
        <v>0.999277879501993</v>
      </c>
      <c r="GL260" s="150" t="n">
        <f aca="false">IF($FJ260+GL$244&gt;73,"",PRODUCT(INDEX($T$19:$T$93,GL$244):INDEX($T$19:$T$93,GL$244+$FJ260-1)))</f>
        <v>0.999155441369398</v>
      </c>
      <c r="GM260" s="150" t="n">
        <f aca="false">IF($FJ260+GM$244&gt;73,"",PRODUCT(INDEX($T$19:$T$93,GM$244):INDEX($T$19:$T$93,GM$244+$FJ260-1)))</f>
        <v>0.999012249253855</v>
      </c>
      <c r="GN260" s="150" t="n">
        <f aca="false">IF($FJ260+GN$244&gt;73,"",PRODUCT(INDEX($T$19:$T$93,GN$244):INDEX($T$19:$T$93,GN$244+$FJ260-1)))</f>
        <v>0.998844787472175</v>
      </c>
      <c r="GO260" s="150" t="n">
        <f aca="false">IF($FJ260+GO$244&gt;73,"",PRODUCT(INDEX($T$19:$T$93,GO$244):INDEX($T$19:$T$93,GO$244+$FJ260-1)))</f>
        <v>0.998648945645179</v>
      </c>
      <c r="GP260" s="150" t="n">
        <f aca="false">IF($FJ260+GP$244&gt;73,"",PRODUCT(INDEX($T$19:$T$93,GP$244):INDEX($T$19:$T$93,GP$244+$FJ260-1)))</f>
        <v>0.99841991842613</v>
      </c>
      <c r="GQ260" s="150" t="n">
        <f aca="false">IF($FJ260+GQ$244&gt;73,"",PRODUCT(INDEX($T$19:$T$93,GQ$244):INDEX($T$19:$T$93,GQ$244+$FJ260-1)))</f>
        <v>0.998152088445368</v>
      </c>
      <c r="GR260" s="150" t="n">
        <f aca="false">IF($FJ260+GR$244&gt;73,"",PRODUCT(INDEX($T$19:$T$93,GR$244):INDEX($T$19:$T$93,GR$244+$FJ260-1)))</f>
        <v>0.997838889708389</v>
      </c>
      <c r="GS260" s="150" t="n">
        <f aca="false">IF($FJ260+GS$244&gt;73,"",PRODUCT(INDEX($T$19:$T$93,GS$244):INDEX($T$19:$T$93,GS$244+$FJ260-1)))</f>
        <v>0.997472648247646</v>
      </c>
      <c r="GT260" s="150" t="n">
        <f aca="false">IF($FJ260+GT$244&gt;73,"",PRODUCT(INDEX($T$19:$T$93,GT$244):INDEX($T$19:$T$93,GT$244+$FJ260-1)))</f>
        <v>0.997044396329</v>
      </c>
      <c r="GU260" s="150" t="n">
        <f aca="false">IF($FJ260+GU$244&gt;73,"",PRODUCT(INDEX($T$19:$T$93,GU$244):INDEX($T$19:$T$93,GU$244+$FJ260-1)))</f>
        <v>0.99654365594607</v>
      </c>
      <c r="GV260" s="150" t="n">
        <f aca="false">IF($FJ260+GV$244&gt;73,"",PRODUCT(INDEX($T$19:$T$93,GV$244):INDEX($T$19:$T$93,GV$244+$FJ260-1)))</f>
        <v>0.995958186694041</v>
      </c>
      <c r="GW260" s="150" t="n">
        <f aca="false">IF($FJ260+GW$244&gt;73,"",PRODUCT(INDEX($T$19:$T$93,GW$244):INDEX($T$19:$T$93,GW$244+$FJ260-1)))</f>
        <v>0.995273692394705</v>
      </c>
      <c r="GX260" s="150" t="n">
        <f aca="false">IF($FJ260+GX$244&gt;73,"",PRODUCT(INDEX($T$19:$T$93,GX$244):INDEX($T$19:$T$93,GX$244+$FJ260-1)))</f>
        <v>0.994473480044728</v>
      </c>
      <c r="GY260" s="150" t="n">
        <f aca="false">IF($FJ260+GY$244&gt;73,"",PRODUCT(INDEX($T$19:$T$93,GY$244):INDEX($T$19:$T$93,GY$244+$FJ260-1)))</f>
        <v>0.993538063781495</v>
      </c>
      <c r="GZ260" s="150" t="n">
        <f aca="false">IF($FJ260+GZ$244&gt;73,"",PRODUCT(INDEX($T$19:$T$93,GZ$244):INDEX($T$19:$T$93,GZ$244+$FJ260-1)))</f>
        <v>0.992444705613668</v>
      </c>
      <c r="HA260" s="150" t="n">
        <f aca="false">IF($FJ260+HA$244&gt;73,"",PRODUCT(INDEX($T$19:$T$93,HA$244):INDEX($T$19:$T$93,HA$244+$FJ260-1)))</f>
        <v>0.991166883664212</v>
      </c>
      <c r="HB260" s="150" t="n">
        <f aca="false">IF($FJ260+HB$244&gt;73,"",PRODUCT(INDEX($T$19:$T$93,HB$244):INDEX($T$19:$T$93,HB$244+$FJ260-1)))</f>
        <v>0.989673677653559</v>
      </c>
      <c r="HC260" s="150" t="n">
        <f aca="false">IF($FJ260+HC$244&gt;73,"",PRODUCT(INDEX($T$19:$T$93,HC$244):INDEX($T$19:$T$93,HC$244+$FJ260-1)))</f>
        <v>0.98792906036081</v>
      </c>
      <c r="HD260" s="150" t="n">
        <f aca="false">IF($FJ260+HD$244&gt;73,"",PRODUCT(INDEX($T$19:$T$93,HD$244):INDEX($T$19:$T$93,HD$244+$FJ260-1)))</f>
        <v>0.985891082921297</v>
      </c>
      <c r="HE260" s="150" t="n">
        <f aca="false">IF($FJ260+HE$244&gt;73,"",PRODUCT(INDEX($T$19:$T$93,HE$244):INDEX($T$19:$T$93,HE$244+$FJ260-1)))</f>
        <v>0.983510941169542</v>
      </c>
      <c r="HF260" s="150" t="n">
        <f aca="false">IF($FJ260+HF$244&gt;73,"",PRODUCT(INDEX($T$19:$T$93,HF$244):INDEX($T$19:$T$93,HF$244+$FJ260-1)))</f>
        <v>0.980731909994353</v>
      </c>
      <c r="HG260" s="150" t="n">
        <f aca="false">IF($FJ260+HG$244&gt;73,"",PRODUCT(INDEX($T$19:$T$93,HG$244):INDEX($T$19:$T$93,HG$244+$FJ260-1)))</f>
        <v>0.977488133092904</v>
      </c>
      <c r="HH260" s="150" t="n">
        <f aca="false">IF($FJ260+HH$244&gt;73,"",PRODUCT(INDEX($T$19:$T$93,HH$244):INDEX($T$19:$T$93,HH$244+$FJ260-1)))</f>
        <v>0.973703256956627</v>
      </c>
      <c r="HI260" s="150" t="n">
        <f aca="false">IF($FJ260+HI$244&gt;73,"",PRODUCT(INDEX($T$19:$T$93,HI$244):INDEX($T$19:$T$93,HI$244+$FJ260-1)))</f>
        <v>0.969288900904812</v>
      </c>
      <c r="HJ260" s="150" t="n">
        <f aca="false">IF($FJ260+HJ$244&gt;73,"",PRODUCT(INDEX($T$19:$T$93,HJ$244):INDEX($T$19:$T$93,HJ$244+$FJ260-1)))</f>
        <v>0.964142960212788</v>
      </c>
      <c r="HK260" s="150" t="n">
        <f aca="false">IF($FJ260+HK$244&gt;73,"",PRODUCT(INDEX($T$19:$T$93,HK$244):INDEX($T$19:$T$93,HK$244+$FJ260-1)))</f>
        <v>0.958147747838079</v>
      </c>
      <c r="HL260" s="150" t="n">
        <f aca="false">IF($FJ260+HL$244&gt;73,"",PRODUCT(INDEX($T$19:$T$93,HL$244):INDEX($T$19:$T$93,HL$244+$FJ260-1)))</f>
        <v>0.951167993260419</v>
      </c>
      <c r="HM260" s="150" t="n">
        <f aca="false">IF($FJ260+HM$244&gt;73,"",PRODUCT(INDEX($T$19:$T$93,HM$244):INDEX($T$19:$T$93,HM$244+$FJ260-1)))</f>
        <v>0.943048736308251</v>
      </c>
      <c r="HN260" s="150" t="n">
        <f aca="false">IF($FJ260+HN$244&gt;73,"",PRODUCT(INDEX($T$19:$T$93,HN$244):INDEX($T$19:$T$93,HN$244+$FJ260-1)))</f>
        <v>0.933613181917284</v>
      </c>
      <c r="HO260" s="150" t="n">
        <f aca="false">IF($FJ260+HO$244&gt;73,"",PRODUCT(INDEX($T$19:$T$93,HO$244):INDEX($T$19:$T$93,HO$244+$FJ260-1)))</f>
        <v>0.922660621649488</v>
      </c>
      <c r="HP260" s="150" t="n">
        <f aca="false">IF($FJ260+HP$244&gt;73,"",PRODUCT(INDEX($T$19:$T$93,HP$244):INDEX($T$19:$T$93,HP$244+$FJ260-1)))</f>
        <v>0.909964583444024</v>
      </c>
      <c r="HQ260" s="150" t="n">
        <f aca="false">IF($FJ260+HQ$244&gt;73,"",PRODUCT(INDEX($T$19:$T$93,HQ$244):INDEX($T$19:$T$93,HQ$244+$FJ260-1)))</f>
        <v>0.895271447376419</v>
      </c>
      <c r="HR260" s="150" t="n">
        <f aca="false">IF($FJ260+HR$244&gt;73,"",PRODUCT(INDEX($T$19:$T$93,HR$244):INDEX($T$19:$T$93,HR$244+$FJ260-1)))</f>
        <v>0.878299868002622</v>
      </c>
      <c r="HS260" s="150" t="n">
        <f aca="false">IF($FJ260+HS$244&gt;73,"",PRODUCT(INDEX($T$19:$T$93,HS$244):INDEX($T$19:$T$93,HS$244+$FJ260-1)))</f>
        <v>0.858741479661975</v>
      </c>
      <c r="HT260" s="150" t="n">
        <f aca="false">IF($FJ260+HT$244&gt;73,"",PRODUCT(INDEX($T$19:$T$93,HT$244):INDEX($T$19:$T$93,HT$244+$FJ260-1)))</f>
        <v>0.836263536335924</v>
      </c>
      <c r="HU260" s="150" t="n">
        <f aca="false">IF($FJ260+HU$244&gt;73,"",PRODUCT(INDEX($T$19:$T$93,HU$244):INDEX($T$19:$T$93,HU$244+$FJ260-1)))</f>
        <v>0.81051435705345</v>
      </c>
      <c r="HV260" s="150" t="n">
        <f aca="false">IF($FJ260+HV$244&gt;73,"",PRODUCT(INDEX($T$19:$T$93,HV$244):INDEX($T$19:$T$93,HV$244+$FJ260-1)))</f>
        <v>0.781132711360214</v>
      </c>
      <c r="HW260" s="150" t="n">
        <f aca="false">IF($FJ260+HW$244&gt;73,"",PRODUCT(INDEX($T$19:$T$93,HW$244):INDEX($T$19:$T$93,HW$244+$FJ260-1)))</f>
        <v>0.747762576633874</v>
      </c>
      <c r="HX260" s="150" t="n">
        <f aca="false">IF($FJ260+HX$244&gt;73,"",PRODUCT(INDEX($T$19:$T$93,HX$244):INDEX($T$19:$T$93,HX$244+$FJ260-1)))</f>
        <v>0.710074999853531</v>
      </c>
      <c r="HY260" s="150" t="n">
        <f aca="false">IF($FJ260+HY$244&gt;73,"",PRODUCT(INDEX($T$19:$T$93,HY$244):INDEX($T$19:$T$93,HY$244+$FJ260-1)))</f>
        <v>0.667799035699079</v>
      </c>
      <c r="HZ260" s="150" t="n">
        <f aca="false">IF($FJ260+HZ$244&gt;73,"",PRODUCT(INDEX($T$19:$T$93,HZ$244):INDEX($T$19:$T$93,HZ$244+$FJ260-1)))</f>
        <v>0.620763787611943</v>
      </c>
      <c r="IA260" s="150" t="n">
        <f aca="false">IF($FJ260+IA$244&gt;73,"",PRODUCT(INDEX($T$19:$T$93,IA$244):INDEX($T$19:$T$93,IA$244+$FJ260-1)))</f>
        <v>0.568953236011529</v>
      </c>
      <c r="IB260" s="150" t="n">
        <f aca="false">IF($FJ260+IB$244&gt;73,"",PRODUCT(INDEX($T$19:$T$93,IB$244):INDEX($T$19:$T$93,IB$244+$FJ260-1)))</f>
        <v>0.512574456999979</v>
      </c>
      <c r="IC260" s="150" t="n">
        <f aca="false">IF($FJ260+IC$244&gt;73,"",PRODUCT(INDEX($T$19:$T$93,IC$244):INDEX($T$19:$T$93,IC$244+$FJ260-1)))</f>
        <v>0.452137510949752</v>
      </c>
      <c r="ID260" s="572" t="n">
        <f aca="false">IF($FJ260+ID$244&gt;73,"",PRODUCT(INDEX($T$19:$T$93,ID$244):INDEX($T$19:$T$93,ID$244+$FJ260-1)))</f>
        <v>0.388541044904108</v>
      </c>
      <c r="IE260" s="129"/>
    </row>
    <row r="261" customFormat="false" ht="12.75" hidden="false" customHeight="false" outlineLevel="0" collapsed="false">
      <c r="I261" s="726" t="n">
        <f aca="false">EOMONTH(I260,0)+1</f>
        <v>44105</v>
      </c>
      <c r="J261" s="727"/>
      <c r="K261" s="728"/>
      <c r="L261" s="195"/>
      <c r="M261" s="729"/>
      <c r="P261" s="727"/>
      <c r="S261" s="1"/>
      <c r="T261" s="727"/>
      <c r="U261" s="195"/>
      <c r="V261" s="195"/>
      <c r="W261" s="195"/>
      <c r="X261" s="195"/>
      <c r="Y261" s="195"/>
      <c r="Z261" s="195"/>
      <c r="AA261" s="195"/>
      <c r="AB261" s="195"/>
      <c r="AC261" s="195"/>
      <c r="AD261" s="195"/>
      <c r="AE261" s="195"/>
      <c r="AF261" s="195"/>
      <c r="AG261" s="195"/>
      <c r="AH261" s="195"/>
      <c r="AI261" s="195"/>
      <c r="AJ261" s="195"/>
      <c r="AK261" s="195"/>
      <c r="AL261" s="240"/>
      <c r="AM261" s="240"/>
      <c r="AN261" s="240"/>
      <c r="AO261" s="532"/>
      <c r="AP261" s="730"/>
      <c r="AQ261" s="532"/>
      <c r="AR261" s="730"/>
      <c r="AS261" s="730"/>
      <c r="AT261" s="730"/>
      <c r="AU261" s="730"/>
      <c r="AV261" s="468"/>
      <c r="AW261" s="240"/>
      <c r="AX261" s="240"/>
      <c r="AY261" s="240"/>
      <c r="AZ261" s="240"/>
      <c r="BA261" s="240"/>
      <c r="BB261" s="240"/>
      <c r="BC261" s="672"/>
      <c r="BD261" s="672"/>
      <c r="BE261" s="672"/>
      <c r="BF261" s="731"/>
      <c r="BG261" s="672"/>
      <c r="BH261" s="672"/>
      <c r="BI261" s="732"/>
      <c r="BJ261" s="240"/>
      <c r="BK261" s="240"/>
      <c r="BL261" s="240"/>
      <c r="BM261" s="240"/>
      <c r="BN261" s="240"/>
      <c r="BO261" s="240"/>
      <c r="BP261" s="240"/>
      <c r="BQ261" s="240"/>
      <c r="BR261" s="240"/>
      <c r="BS261" s="240"/>
      <c r="BT261" s="240"/>
      <c r="BU261" s="240"/>
      <c r="BV261" s="672"/>
      <c r="BW261" s="672"/>
      <c r="BX261" s="672"/>
      <c r="BY261" s="672"/>
      <c r="BZ261" s="672"/>
      <c r="CA261" s="672"/>
      <c r="CB261" s="672"/>
      <c r="CC261" s="672"/>
      <c r="CD261" s="672"/>
      <c r="CE261" s="672"/>
      <c r="CF261" s="240"/>
      <c r="CG261" s="240"/>
      <c r="CH261" s="240"/>
      <c r="CI261" s="240"/>
      <c r="CJ261" s="240"/>
      <c r="CK261" s="240"/>
      <c r="CL261" s="733"/>
      <c r="CM261" s="195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H261" s="478"/>
      <c r="DK261" s="478"/>
      <c r="DM261" s="195"/>
      <c r="DN261" s="195"/>
      <c r="DO261" s="195"/>
      <c r="DP261" s="195"/>
      <c r="DQ261" s="195"/>
      <c r="DR261" s="195"/>
      <c r="DS261" s="195"/>
      <c r="DT261" s="195" t="n">
        <v>0</v>
      </c>
      <c r="DU261" s="195"/>
      <c r="DV261" s="195" t="n">
        <v>0</v>
      </c>
      <c r="DW261" s="195" t="n">
        <v>0</v>
      </c>
      <c r="DX261" s="195"/>
      <c r="DY261" s="195" t="n">
        <v>0.35</v>
      </c>
      <c r="DZ261" s="195"/>
      <c r="EA261" s="195"/>
      <c r="EB261" s="195"/>
      <c r="EC261" s="195"/>
      <c r="ED261" s="195"/>
      <c r="EE261" s="195"/>
      <c r="EF261" s="195"/>
      <c r="EG261" s="734"/>
      <c r="EL261" s="1"/>
      <c r="EM261" s="195"/>
      <c r="EN261" s="240"/>
      <c r="EO261" s="240"/>
      <c r="EP261" s="195"/>
      <c r="EQ261" s="240"/>
      <c r="ER261" s="195"/>
      <c r="ES261" s="195"/>
      <c r="ET261" s="195"/>
      <c r="EU261" s="240"/>
      <c r="FJ261" s="571" t="n">
        <v>17</v>
      </c>
      <c r="FK261" s="150" t="str">
        <f aca="false">IF($FJ261+FK$244&gt;73,"",PRODUCT(INDEX($T$19:$T$93,FK$244):INDEX($T$19:$T$93,FK$244+$FJ261-1)))</f>
        <v/>
      </c>
      <c r="FL261" s="150" t="str">
        <f aca="false">IF($FJ261+FL$244&gt;73,"",PRODUCT(INDEX($T$19:$T$93,FL$244):INDEX($T$19:$T$93,FL$244+$FJ261-1)))</f>
        <v/>
      </c>
      <c r="FM261" s="150" t="str">
        <f aca="false">IF($FJ261+FM$244&gt;73,"",PRODUCT(INDEX($T$19:$T$93,FM$244):INDEX($T$19:$T$93,FM$244+$FJ261-1)))</f>
        <v/>
      </c>
      <c r="FN261" s="150" t="str">
        <f aca="false">IF($FJ261+FN$244&gt;73,"",PRODUCT(INDEX($T$19:$T$93,FN$244):INDEX($T$19:$T$93,FN$244+$FJ261-1)))</f>
        <v/>
      </c>
      <c r="FO261" s="150" t="str">
        <f aca="false">IF($FJ261+FO$244&gt;73,"",PRODUCT(INDEX($T$19:$T$93,FO$244):INDEX($T$19:$T$93,FO$244+$FJ261-1)))</f>
        <v/>
      </c>
      <c r="FP261" s="150" t="str">
        <f aca="false">IF($FJ261+FP$244&gt;73,"",PRODUCT(INDEX($T$19:$T$93,FP$244):INDEX($T$19:$T$93,FP$244+$FJ261-1)))</f>
        <v/>
      </c>
      <c r="FQ261" s="150" t="str">
        <f aca="false">IF($FJ261+FQ$244&gt;73,"",PRODUCT(INDEX($T$19:$T$93,FQ$244):INDEX($T$19:$T$93,FQ$244+$FJ261-1)))</f>
        <v/>
      </c>
      <c r="FR261" s="150" t="str">
        <f aca="false">IF($FJ261+FR$244&gt;73,"",PRODUCT(INDEX($T$19:$T$93,FR$244):INDEX($T$19:$T$93,FR$244+$FJ261-1)))</f>
        <v/>
      </c>
      <c r="FS261" s="150" t="str">
        <f aca="false">IF($FJ261+FS$244&gt;73,"",PRODUCT(INDEX($T$19:$T$93,FS$244):INDEX($T$19:$T$93,FS$244+$FJ261-1)))</f>
        <v/>
      </c>
      <c r="FT261" s="150" t="str">
        <f aca="false">IF($FJ261+FT$244&gt;73,"",PRODUCT(INDEX($T$19:$T$93,FT$244):INDEX($T$19:$T$93,FT$244+$FJ261-1)))</f>
        <v/>
      </c>
      <c r="FU261" s="150" t="str">
        <f aca="false">IF($FJ261+FU$244&gt;73,"",PRODUCT(INDEX($T$19:$T$93,FU$244):INDEX($T$19:$T$93,FU$244+$FJ261-1)))</f>
        <v/>
      </c>
      <c r="FV261" s="150" t="str">
        <f aca="false">IF($FJ261+FV$244&gt;73,"",PRODUCT(INDEX($T$19:$T$93,FV$244):INDEX($T$19:$T$93,FV$244+$FJ261-1)))</f>
        <v/>
      </c>
      <c r="FW261" s="150" t="str">
        <f aca="false">IF($FJ261+FW$244&gt;73,"",PRODUCT(INDEX($T$19:$T$93,FW$244):INDEX($T$19:$T$93,FW$244+$FJ261-1)))</f>
        <v/>
      </c>
      <c r="FX261" s="150" t="str">
        <f aca="false">IF($FJ261+FX$244&gt;73,"",PRODUCT(INDEX($T$19:$T$93,FX$244):INDEX($T$19:$T$93,FX$244+$FJ261-1)))</f>
        <v/>
      </c>
      <c r="FY261" s="150" t="str">
        <f aca="false">IF($FJ261+FY$244&gt;73,"",PRODUCT(INDEX($T$19:$T$93,FY$244):INDEX($T$19:$T$93,FY$244+$FJ261-1)))</f>
        <v/>
      </c>
      <c r="FZ261" s="150" t="str">
        <f aca="false">IF($FJ261+FZ$244&gt;73,"",PRODUCT(INDEX($T$19:$T$93,FZ$244):INDEX($T$19:$T$93,FZ$244+$FJ261-1)))</f>
        <v/>
      </c>
      <c r="GA261" s="150" t="n">
        <f aca="false">IF($FJ261+GA$244&gt;73,"",PRODUCT(INDEX($T$19:$T$93,GA$244):INDEX($T$19:$T$93,GA$244+$FJ261-1)))</f>
        <v>0.999847283439771</v>
      </c>
      <c r="GB261" s="150" t="n">
        <f aca="false">IF($FJ261+GB$244&gt;73,"",PRODUCT(INDEX($T$19:$T$93,GB$244):INDEX($T$19:$T$93,GB$244+$FJ261-1)))</f>
        <v>0.999821385163963</v>
      </c>
      <c r="GC261" s="150" t="n">
        <f aca="false">IF($FJ261+GC$244&gt;73,"",PRODUCT(INDEX($T$19:$T$93,GC$244):INDEX($T$19:$T$93,GC$244+$FJ261-1)))</f>
        <v>0.999791095189894</v>
      </c>
      <c r="GD261" s="150" t="n">
        <f aca="false">IF($FJ261+GD$244&gt;73,"",PRODUCT(INDEX($T$19:$T$93,GD$244):INDEX($T$19:$T$93,GD$244+$FJ261-1)))</f>
        <v>0.999755668886472</v>
      </c>
      <c r="GE261" s="150" t="n">
        <f aca="false">IF($FJ261+GE$244&gt;73,"",PRODUCT(INDEX($T$19:$T$93,GE$244):INDEX($T$19:$T$93,GE$244+$FJ261-1)))</f>
        <v>0.999714235402321</v>
      </c>
      <c r="GF261" s="150" t="n">
        <f aca="false">IF($FJ261+GF$244&gt;73,"",PRODUCT(INDEX($T$19:$T$93,GF$244):INDEX($T$19:$T$93,GF$244+$FJ261-1)))</f>
        <v>0.999665776284001</v>
      </c>
      <c r="GG261" s="150" t="n">
        <f aca="false">IF($FJ261+GG$244&gt;73,"",PRODUCT(INDEX($T$19:$T$93,GG$244):INDEX($T$19:$T$93,GG$244+$FJ261-1)))</f>
        <v>0.999609100477289</v>
      </c>
      <c r="GH261" s="150" t="n">
        <f aca="false">IF($FJ261+GH$244&gt;73,"",PRODUCT(INDEX($T$19:$T$93,GH$244):INDEX($T$19:$T$93,GH$244+$FJ261-1)))</f>
        <v>0.999542815101625</v>
      </c>
      <c r="GI261" s="150" t="n">
        <f aca="false">IF($FJ261+GI$244&gt;73,"",PRODUCT(INDEX($T$19:$T$93,GI$244):INDEX($T$19:$T$93,GI$244+$FJ261-1)))</f>
        <v>0.999465291285755</v>
      </c>
      <c r="GJ261" s="150" t="n">
        <f aca="false">IF($FJ261+GJ$244&gt;73,"",PRODUCT(INDEX($T$19:$T$93,GJ$244):INDEX($T$19:$T$93,GJ$244+$FJ261-1)))</f>
        <v>0.999374624233655</v>
      </c>
      <c r="GK261" s="150" t="n">
        <f aca="false">IF($FJ261+GK$244&gt;73,"",PRODUCT(INDEX($T$19:$T$93,GK$244):INDEX($T$19:$T$93,GK$244+$FJ261-1)))</f>
        <v>0.999268586551498</v>
      </c>
      <c r="GL261" s="150" t="n">
        <f aca="false">IF($FJ261+GL$244&gt;73,"",PRODUCT(INDEX($T$19:$T$93,GL$244):INDEX($T$19:$T$93,GL$244+$FJ261-1)))</f>
        <v>0.999144573705485</v>
      </c>
      <c r="GM261" s="150" t="n">
        <f aca="false">IF($FJ261+GM$244&gt;73,"",PRODUCT(INDEX($T$19:$T$93,GM$244):INDEX($T$19:$T$93,GM$244+$FJ261-1)))</f>
        <v>0.998999540293553</v>
      </c>
      <c r="GN261" s="150" t="n">
        <f aca="false">IF($FJ261+GN$244&gt;73,"",PRODUCT(INDEX($T$19:$T$93,GN$244):INDEX($T$19:$T$93,GN$244+$FJ261-1)))</f>
        <v>0.998829925597205</v>
      </c>
      <c r="GO261" s="150" t="n">
        <f aca="false">IF($FJ261+GO$244&gt;73,"",PRODUCT(INDEX($T$19:$T$93,GO$244):INDEX($T$19:$T$93,GO$244+$FJ261-1)))</f>
        <v>0.99863156662876</v>
      </c>
      <c r="GP261" s="150" t="n">
        <f aca="false">IF($FJ261+GP$244&gt;73,"",PRODUCT(INDEX($T$19:$T$93,GP$244):INDEX($T$19:$T$93,GP$244+$FJ261-1)))</f>
        <v>0.998399596599154</v>
      </c>
      <c r="GQ261" s="150" t="n">
        <f aca="false">IF($FJ261+GQ$244&gt;73,"",PRODUCT(INDEX($T$19:$T$93,GQ$244):INDEX($T$19:$T$93,GQ$244+$FJ261-1)))</f>
        <v>0.998128326396862</v>
      </c>
      <c r="GR261" s="150" t="n">
        <f aca="false">IF($FJ261+GR$244&gt;73,"",PRODUCT(INDEX($T$19:$T$93,GR$244):INDEX($T$19:$T$93,GR$244+$FJ261-1)))</f>
        <v>0.997811106283638</v>
      </c>
      <c r="GS261" s="150" t="n">
        <f aca="false">IF($FJ261+GS$244&gt;73,"",PRODUCT(INDEX($T$19:$T$93,GS$244):INDEX($T$19:$T$93,GS$244+$FJ261-1)))</f>
        <v>0.997440164571565</v>
      </c>
      <c r="GT261" s="150" t="n">
        <f aca="false">IF($FJ261+GT$244&gt;73,"",PRODUCT(INDEX($T$19:$T$93,GT$244):INDEX($T$19:$T$93,GT$244+$FJ261-1)))</f>
        <v>0.997006419542147</v>
      </c>
      <c r="GU261" s="150" t="n">
        <f aca="false">IF($FJ261+GU$244&gt;73,"",PRODUCT(INDEX($T$19:$T$93,GU$244):INDEX($T$19:$T$93,GU$244+$FJ261-1)))</f>
        <v>0.996499260295838</v>
      </c>
      <c r="GV261" s="150" t="n">
        <f aca="false">IF($FJ261+GV$244&gt;73,"",PRODUCT(INDEX($T$19:$T$93,GV$244):INDEX($T$19:$T$93,GV$244+$FJ261-1)))</f>
        <v>0.995906291574096</v>
      </c>
      <c r="GW261" s="150" t="n">
        <f aca="false">IF($FJ261+GW$244&gt;73,"",PRODUCT(INDEX($T$19:$T$93,GW$244):INDEX($T$19:$T$93,GW$244+$FJ261-1)))</f>
        <v>0.995213036871925</v>
      </c>
      <c r="GX261" s="150" t="n">
        <f aca="false">IF($FJ261+GX$244&gt;73,"",PRODUCT(INDEX($T$19:$T$93,GX$244):INDEX($T$19:$T$93,GX$244+$FJ261-1)))</f>
        <v>0.99440259335552</v>
      </c>
      <c r="GY261" s="150" t="n">
        <f aca="false">IF($FJ261+GY$244&gt;73,"",PRODUCT(INDEX($T$19:$T$93,GY$244):INDEX($T$19:$T$93,GY$244+$FJ261-1)))</f>
        <v>0.993455231219753</v>
      </c>
      <c r="GZ261" s="150" t="n">
        <f aca="false">IF($FJ261+GZ$244&gt;73,"",PRODUCT(INDEX($T$19:$T$93,GZ$244):INDEX($T$19:$T$93,GZ$244+$FJ261-1)))</f>
        <v>0.992347929173157</v>
      </c>
      <c r="HA261" s="150" t="n">
        <f aca="false">IF($FJ261+HA$244&gt;73,"",PRODUCT(INDEX($T$19:$T$93,HA$244):INDEX($T$19:$T$93,HA$244+$FJ261-1)))</f>
        <v>0.991053836742464</v>
      </c>
      <c r="HB261" s="150" t="n">
        <f aca="false">IF($FJ261+HB$244&gt;73,"",PRODUCT(INDEX($T$19:$T$93,HB$244):INDEX($T$19:$T$93,HB$244+$FJ261-1)))</f>
        <v>0.989541653078025</v>
      </c>
      <c r="HC261" s="150" t="n">
        <f aca="false">IF($FJ261+HC$244&gt;73,"",PRODUCT(INDEX($T$19:$T$93,HC$244):INDEX($T$19:$T$93,HC$244+$FJ261-1)))</f>
        <v>0.987774910969242</v>
      </c>
      <c r="HD261" s="150" t="n">
        <f aca="false">IF($FJ261+HD$244&gt;73,"",PRODUCT(INDEX($T$19:$T$93,HD$244):INDEX($T$19:$T$93,HD$244+$FJ261-1)))</f>
        <v>0.985711153929004</v>
      </c>
      <c r="HE261" s="150" t="n">
        <f aca="false">IF($FJ261+HE$244&gt;73,"",PRODUCT(INDEX($T$19:$T$93,HE$244):INDEX($T$19:$T$93,HE$244+$FJ261-1)))</f>
        <v>0.983300993603099</v>
      </c>
      <c r="HF261" s="150" t="n">
        <f aca="false">IF($FJ261+HF$244&gt;73,"",PRODUCT(INDEX($T$19:$T$93,HF$244):INDEX($T$19:$T$93,HF$244+$FJ261-1)))</f>
        <v>0.980487034588206</v>
      </c>
      <c r="HG261" s="150" t="n">
        <f aca="false">IF($FJ261+HG$244&gt;73,"",PRODUCT(INDEX($T$19:$T$93,HG$244):INDEX($T$19:$T$93,HG$244+$FJ261-1)))</f>
        <v>0.977202654264754</v>
      </c>
      <c r="HH261" s="150" t="n">
        <f aca="false">IF($FJ261+HH$244&gt;73,"",PRODUCT(INDEX($T$19:$T$93,HH$244):INDEX($T$19:$T$93,HH$244+$FJ261-1)))</f>
        <v>0.973370626844158</v>
      </c>
      <c r="HI261" s="150" t="n">
        <f aca="false">IF($FJ261+HI$244&gt;73,"",PRODUCT(INDEX($T$19:$T$93,HI$244):INDEX($T$19:$T$93,HI$244+$FJ261-1)))</f>
        <v>0.968901584020673</v>
      </c>
      <c r="HJ261" s="150" t="n">
        <f aca="false">IF($FJ261+HJ$244&gt;73,"",PRODUCT(INDEX($T$19:$T$93,HJ$244):INDEX($T$19:$T$93,HJ$244+$FJ261-1)))</f>
        <v>0.963692310137274</v>
      </c>
      <c r="HK261" s="150" t="n">
        <f aca="false">IF($FJ261+HK$244&gt;73,"",PRODUCT(INDEX($T$19:$T$93,HK$244):INDEX($T$19:$T$93,HK$244+$FJ261-1)))</f>
        <v>0.957623878625873</v>
      </c>
      <c r="HL261" s="150" t="n">
        <f aca="false">IF($FJ261+HL$244&gt;73,"",PRODUCT(INDEX($T$19:$T$93,HL$244):INDEX($T$19:$T$93,HL$244+$FJ261-1)))</f>
        <v>0.950559650026232</v>
      </c>
      <c r="HM261" s="150" t="n">
        <f aca="false">IF($FJ261+HM$244&gt;73,"",PRODUCT(INDEX($T$19:$T$93,HM$244):INDEX($T$19:$T$93,HM$244+$FJ261-1)))</f>
        <v>0.942343171950736</v>
      </c>
      <c r="HN261" s="150" t="n">
        <f aca="false">IF($FJ261+HN$244&gt;73,"",PRODUCT(INDEX($T$19:$T$93,HN$244):INDEX($T$19:$T$93,HN$244+$FJ261-1)))</f>
        <v>0.932796050356434</v>
      </c>
      <c r="HO261" s="150" t="n">
        <f aca="false">IF($FJ261+HO$244&gt;73,"",PRODUCT(INDEX($T$19:$T$93,HO$244):INDEX($T$19:$T$93,HO$244+$FJ261-1)))</f>
        <v>0.92171590254667</v>
      </c>
      <c r="HP261" s="150" t="n">
        <f aca="false">IF($FJ261+HP$244&gt;73,"",PRODUCT(INDEX($T$19:$T$93,HP$244):INDEX($T$19:$T$93,HP$244+$FJ261-1)))</f>
        <v>0.908874559435285</v>
      </c>
      <c r="HQ261" s="150" t="n">
        <f aca="false">IF($FJ261+HQ$244&gt;73,"",PRODUCT(INDEX($T$19:$T$93,HQ$244):INDEX($T$19:$T$93,HQ$244+$FJ261-1)))</f>
        <v>0.894016762676718</v>
      </c>
      <c r="HR261" s="150" t="n">
        <f aca="false">IF($FJ261+HR$244&gt;73,"",PRODUCT(INDEX($T$19:$T$93,HR$244):INDEX($T$19:$T$93,HR$244+$FJ261-1)))</f>
        <v>0.876859707084367</v>
      </c>
      <c r="HS261" s="150" t="n">
        <f aca="false">IF($FJ261+HS$244&gt;73,"",PRODUCT(INDEX($T$19:$T$93,HS$244):INDEX($T$19:$T$93,HS$244+$FJ261-1)))</f>
        <v>0.857093916683549</v>
      </c>
      <c r="HT261" s="150" t="n">
        <f aca="false">IF($FJ261+HT$244&gt;73,"",PRODUCT(INDEX($T$19:$T$93,HT$244):INDEX($T$19:$T$93,HT$244+$FJ261-1)))</f>
        <v>0.834386119879274</v>
      </c>
      <c r="HU261" s="150" t="n">
        <f aca="false">IF($FJ261+HU$244&gt;73,"",PRODUCT(INDEX($T$19:$T$93,HU$244):INDEX($T$19:$T$93,HU$244+$FJ261-1)))</f>
        <v>0.808385009689612</v>
      </c>
      <c r="HV261" s="150" t="n">
        <f aca="false">IF($FJ261+HV$244&gt;73,"",PRODUCT(INDEX($T$19:$T$93,HV$244):INDEX($T$19:$T$93,HV$244+$FJ261-1)))</f>
        <v>0.778731037674744</v>
      </c>
      <c r="HW261" s="150" t="n">
        <f aca="false">IF($FJ261+HW$244&gt;73,"",PRODUCT(INDEX($T$19:$T$93,HW$244):INDEX($T$19:$T$93,HW$244+$FJ261-1)))</f>
        <v>0.745071682893117</v>
      </c>
      <c r="HX261" s="150" t="n">
        <f aca="false">IF($FJ261+HX$244&gt;73,"",PRODUCT(INDEX($T$19:$T$93,HX$244):INDEX($T$19:$T$93,HX$244+$FJ261-1)))</f>
        <v>0.70708392696989</v>
      </c>
      <c r="HY261" s="150" t="n">
        <f aca="false">IF($FJ261+HY$244&gt;73,"",PRODUCT(INDEX($T$19:$T$93,HY$244):INDEX($T$19:$T$93,HY$244+$FJ261-1)))</f>
        <v>0.664505883978097</v>
      </c>
      <c r="HZ261" s="150" t="n">
        <f aca="false">IF($FJ261+HZ$244&gt;73,"",PRODUCT(INDEX($T$19:$T$93,HZ$244):INDEX($T$19:$T$93,HZ$244+$FJ261-1)))</f>
        <v>0.617179550879913</v>
      </c>
      <c r="IA261" s="150" t="n">
        <f aca="false">IF($FJ261+IA$244&gt;73,"",PRODUCT(INDEX($T$19:$T$93,IA$244):INDEX($T$19:$T$93,IA$244+$FJ261-1)))</f>
        <v>0.565106241615718</v>
      </c>
      <c r="IB261" s="150" t="n">
        <f aca="false">IF($FJ261+IB$244&gt;73,"",PRODUCT(INDEX($T$19:$T$93,IB$244):INDEX($T$19:$T$93,IB$244+$FJ261-1)))</f>
        <v>0.508515098592733</v>
      </c>
      <c r="IC261" s="150" t="n">
        <f aca="false">IF($FJ261+IC$244&gt;73,"",PRODUCT(INDEX($T$19:$T$93,IC$244):INDEX($T$19:$T$93,IC$244+$FJ261-1)))</f>
        <v>0.447942633946102</v>
      </c>
      <c r="ID261" s="572" t="n">
        <f aca="false">IF($FJ261+ID$244&gt;73,"",PRODUCT(INDEX($T$19:$T$93,ID$244):INDEX($T$19:$T$93,ID$244+$FJ261-1)))</f>
        <v>0.38431688430729</v>
      </c>
      <c r="IE261" s="129"/>
    </row>
    <row r="262" customFormat="false" ht="12.75" hidden="false" customHeight="false" outlineLevel="0" collapsed="false">
      <c r="I262" s="735"/>
      <c r="J262" s="727"/>
      <c r="K262" s="728"/>
      <c r="L262" s="195"/>
      <c r="M262" s="729"/>
      <c r="P262" s="727"/>
      <c r="S262" s="1"/>
      <c r="T262" s="727"/>
      <c r="U262" s="195"/>
      <c r="V262" s="195"/>
      <c r="W262" s="195"/>
      <c r="X262" s="195"/>
      <c r="Y262" s="195"/>
      <c r="Z262" s="195"/>
      <c r="AA262" s="195"/>
      <c r="AB262" s="195"/>
      <c r="AC262" s="195"/>
      <c r="AD262" s="195"/>
      <c r="AE262" s="195"/>
      <c r="AF262" s="195"/>
      <c r="AG262" s="195"/>
      <c r="AH262" s="195"/>
      <c r="AI262" s="195"/>
      <c r="AJ262" s="195"/>
      <c r="AK262" s="195"/>
      <c r="AL262" s="240"/>
      <c r="AM262" s="240"/>
      <c r="AN262" s="240"/>
      <c r="AO262" s="532"/>
      <c r="AP262" s="730"/>
      <c r="AQ262" s="532"/>
      <c r="AR262" s="730"/>
      <c r="AS262" s="730"/>
      <c r="AT262" s="730"/>
      <c r="AU262" s="730"/>
      <c r="AV262" s="468"/>
      <c r="AW262" s="240"/>
      <c r="AX262" s="240"/>
      <c r="AY262" s="240"/>
      <c r="AZ262" s="240"/>
      <c r="BA262" s="240"/>
      <c r="BB262" s="240"/>
      <c r="BC262" s="672"/>
      <c r="BD262" s="672"/>
      <c r="BE262" s="672"/>
      <c r="BF262" s="731"/>
      <c r="BG262" s="672"/>
      <c r="BH262" s="672"/>
      <c r="BI262" s="732"/>
      <c r="BJ262" s="240"/>
      <c r="BK262" s="240"/>
      <c r="BL262" s="240"/>
      <c r="BM262" s="240"/>
      <c r="BN262" s="240"/>
      <c r="BO262" s="240"/>
      <c r="BP262" s="240"/>
      <c r="BQ262" s="240"/>
      <c r="BR262" s="240"/>
      <c r="BS262" s="240"/>
      <c r="BT262" s="240"/>
      <c r="BU262" s="240"/>
      <c r="BV262" s="672"/>
      <c r="BW262" s="672"/>
      <c r="BX262" s="672"/>
      <c r="BY262" s="672"/>
      <c r="BZ262" s="672"/>
      <c r="CA262" s="672"/>
      <c r="CB262" s="672"/>
      <c r="CC262" s="672"/>
      <c r="CD262" s="672"/>
      <c r="CE262" s="672"/>
      <c r="CF262" s="240"/>
      <c r="CG262" s="240"/>
      <c r="CH262" s="240"/>
      <c r="CI262" s="240"/>
      <c r="CJ262" s="240"/>
      <c r="CK262" s="240"/>
      <c r="CL262" s="733"/>
      <c r="CM262" s="195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H262" s="478"/>
      <c r="DK262" s="478"/>
      <c r="DM262" s="195"/>
      <c r="DN262" s="195"/>
      <c r="DO262" s="195"/>
      <c r="DP262" s="195"/>
      <c r="DQ262" s="195"/>
      <c r="DR262" s="195"/>
      <c r="DS262" s="195"/>
      <c r="DT262" s="195"/>
      <c r="DU262" s="195"/>
      <c r="DV262" s="195"/>
      <c r="DW262" s="195"/>
      <c r="DX262" s="195"/>
      <c r="DY262" s="195"/>
      <c r="DZ262" s="195"/>
      <c r="EA262" s="195"/>
      <c r="EB262" s="195"/>
      <c r="EC262" s="195"/>
      <c r="ED262" s="195"/>
      <c r="EE262" s="195"/>
      <c r="EF262" s="195"/>
      <c r="EG262" s="734"/>
      <c r="EL262" s="1"/>
      <c r="EM262" s="195"/>
      <c r="EN262" s="240"/>
      <c r="EO262" s="240"/>
      <c r="EP262" s="195"/>
      <c r="EQ262" s="240"/>
      <c r="ER262" s="195"/>
      <c r="ES262" s="195"/>
      <c r="ET262" s="195"/>
      <c r="EU262" s="240"/>
      <c r="FJ262" s="571" t="n">
        <v>18</v>
      </c>
      <c r="FK262" s="150" t="str">
        <f aca="false">IF($FJ262+FK$244&gt;73,"",PRODUCT(INDEX($T$19:$T$93,FK$244):INDEX($T$19:$T$93,FK$244+$FJ262-1)))</f>
        <v/>
      </c>
      <c r="FL262" s="150" t="str">
        <f aca="false">IF($FJ262+FL$244&gt;73,"",PRODUCT(INDEX($T$19:$T$93,FL$244):INDEX($T$19:$T$93,FL$244+$FJ262-1)))</f>
        <v/>
      </c>
      <c r="FM262" s="150" t="str">
        <f aca="false">IF($FJ262+FM$244&gt;73,"",PRODUCT(INDEX($T$19:$T$93,FM$244):INDEX($T$19:$T$93,FM$244+$FJ262-1)))</f>
        <v/>
      </c>
      <c r="FN262" s="150" t="str">
        <f aca="false">IF($FJ262+FN$244&gt;73,"",PRODUCT(INDEX($T$19:$T$93,FN$244):INDEX($T$19:$T$93,FN$244+$FJ262-1)))</f>
        <v/>
      </c>
      <c r="FO262" s="150" t="str">
        <f aca="false">IF($FJ262+FO$244&gt;73,"",PRODUCT(INDEX($T$19:$T$93,FO$244):INDEX($T$19:$T$93,FO$244+$FJ262-1)))</f>
        <v/>
      </c>
      <c r="FP262" s="150" t="str">
        <f aca="false">IF($FJ262+FP$244&gt;73,"",PRODUCT(INDEX($T$19:$T$93,FP$244):INDEX($T$19:$T$93,FP$244+$FJ262-1)))</f>
        <v/>
      </c>
      <c r="FQ262" s="150" t="str">
        <f aca="false">IF($FJ262+FQ$244&gt;73,"",PRODUCT(INDEX($T$19:$T$93,FQ$244):INDEX($T$19:$T$93,FQ$244+$FJ262-1)))</f>
        <v/>
      </c>
      <c r="FR262" s="150" t="str">
        <f aca="false">IF($FJ262+FR$244&gt;73,"",PRODUCT(INDEX($T$19:$T$93,FR$244):INDEX($T$19:$T$93,FR$244+$FJ262-1)))</f>
        <v/>
      </c>
      <c r="FS262" s="150" t="str">
        <f aca="false">IF($FJ262+FS$244&gt;73,"",PRODUCT(INDEX($T$19:$T$93,FS$244):INDEX($T$19:$T$93,FS$244+$FJ262-1)))</f>
        <v/>
      </c>
      <c r="FT262" s="150" t="str">
        <f aca="false">IF($FJ262+FT$244&gt;73,"",PRODUCT(INDEX($T$19:$T$93,FT$244):INDEX($T$19:$T$93,FT$244+$FJ262-1)))</f>
        <v/>
      </c>
      <c r="FU262" s="150" t="str">
        <f aca="false">IF($FJ262+FU$244&gt;73,"",PRODUCT(INDEX($T$19:$T$93,FU$244):INDEX($T$19:$T$93,FU$244+$FJ262-1)))</f>
        <v/>
      </c>
      <c r="FV262" s="150" t="str">
        <f aca="false">IF($FJ262+FV$244&gt;73,"",PRODUCT(INDEX($T$19:$T$93,FV$244):INDEX($T$19:$T$93,FV$244+$FJ262-1)))</f>
        <v/>
      </c>
      <c r="FW262" s="150" t="str">
        <f aca="false">IF($FJ262+FW$244&gt;73,"",PRODUCT(INDEX($T$19:$T$93,FW$244):INDEX($T$19:$T$93,FW$244+$FJ262-1)))</f>
        <v/>
      </c>
      <c r="FX262" s="150" t="str">
        <f aca="false">IF($FJ262+FX$244&gt;73,"",PRODUCT(INDEX($T$19:$T$93,FX$244):INDEX($T$19:$T$93,FX$244+$FJ262-1)))</f>
        <v/>
      </c>
      <c r="FY262" s="150" t="str">
        <f aca="false">IF($FJ262+FY$244&gt;73,"",PRODUCT(INDEX($T$19:$T$93,FY$244):INDEX($T$19:$T$93,FY$244+$FJ262-1)))</f>
        <v/>
      </c>
      <c r="FZ262" s="150" t="str">
        <f aca="false">IF($FJ262+FZ$244&gt;73,"",PRODUCT(INDEX($T$19:$T$93,FZ$244):INDEX($T$19:$T$93,FZ$244+$FJ262-1)))</f>
        <v/>
      </c>
      <c r="GA262" s="150" t="str">
        <f aca="false">IF($FJ262+GA$244&gt;73,"",PRODUCT(INDEX($T$19:$T$93,GA$244):INDEX($T$19:$T$93,GA$244+$FJ262-1)))</f>
        <v/>
      </c>
      <c r="GB262" s="150" t="n">
        <f aca="false">IF($FJ262+GB$244&gt;73,"",PRODUCT(INDEX($T$19:$T$93,GB$244):INDEX($T$19:$T$93,GB$244+$FJ262-1)))</f>
        <v>0.999819444094112</v>
      </c>
      <c r="GC262" s="150" t="n">
        <f aca="false">IF($FJ262+GC$244&gt;73,"",PRODUCT(INDEX($T$19:$T$93,GC$244):INDEX($T$19:$T$93,GC$244+$FJ262-1)))</f>
        <v>0.999788824998958</v>
      </c>
      <c r="GD262" s="150" t="n">
        <f aca="false">IF($FJ262+GD$244&gt;73,"",PRODUCT(INDEX($T$19:$T$93,GD$244):INDEX($T$19:$T$93,GD$244+$FJ262-1)))</f>
        <v>0.999753013783028</v>
      </c>
      <c r="GE262" s="150" t="n">
        <f aca="false">IF($FJ262+GE$244&gt;73,"",PRODUCT(INDEX($T$19:$T$93,GE$244):INDEX($T$19:$T$93,GE$244+$FJ262-1)))</f>
        <v>0.999711130142255</v>
      </c>
      <c r="GF262" s="150" t="n">
        <f aca="false">IF($FJ262+GF$244&gt;73,"",PRODUCT(INDEX($T$19:$T$93,GF$244):INDEX($T$19:$T$93,GF$244+$FJ262-1)))</f>
        <v>0.999662144570748</v>
      </c>
      <c r="GG262" s="150" t="n">
        <f aca="false">IF($FJ262+GG$244&gt;73,"",PRODUCT(INDEX($T$19:$T$93,GG$244):INDEX($T$19:$T$93,GG$244+$FJ262-1)))</f>
        <v>0.99960485309199</v>
      </c>
      <c r="GH262" s="150" t="n">
        <f aca="false">IF($FJ262+GH$244&gt;73,"",PRODUCT(INDEX($T$19:$T$93,GH$244):INDEX($T$19:$T$93,GH$244+$FJ262-1)))</f>
        <v>0.999537847717857</v>
      </c>
      <c r="GI262" s="150" t="n">
        <f aca="false">IF($FJ262+GI$244&gt;73,"",PRODUCT(INDEX($T$19:$T$93,GI$244):INDEX($T$19:$T$93,GI$244+$FJ262-1)))</f>
        <v>0.999459481915949</v>
      </c>
      <c r="GJ262" s="150" t="n">
        <f aca="false">IF($FJ262+GJ$244&gt;73,"",PRODUCT(INDEX($T$19:$T$93,GJ$244):INDEX($T$19:$T$93,GJ$244+$FJ262-1)))</f>
        <v>0.9993678302456</v>
      </c>
      <c r="GK262" s="150" t="n">
        <f aca="false">IF($FJ262+GK$244&gt;73,"",PRODUCT(INDEX($T$19:$T$93,GK$244):INDEX($T$19:$T$93,GK$244+$FJ262-1)))</f>
        <v>0.999260641183167</v>
      </c>
      <c r="GL262" s="150" t="n">
        <f aca="false">IF($FJ262+GL$244&gt;73,"",PRODUCT(INDEX($T$19:$T$93,GL$244):INDEX($T$19:$T$93,GL$244+$FJ262-1)))</f>
        <v>0.999135281994689</v>
      </c>
      <c r="GM262" s="150" t="n">
        <f aca="false">IF($FJ262+GM$244&gt;73,"",PRODUCT(INDEX($T$19:$T$93,GM$244):INDEX($T$19:$T$93,GM$244+$FJ262-1)))</f>
        <v>0.998988674325352</v>
      </c>
      <c r="GN262" s="150" t="n">
        <f aca="false">IF($FJ262+GN$244&gt;73,"",PRODUCT(INDEX($T$19:$T$93,GN$244):INDEX($T$19:$T$93,GN$244+$FJ262-1)))</f>
        <v>0.998817218956339</v>
      </c>
      <c r="GO262" s="150" t="n">
        <f aca="false">IF($FJ262+GO$244&gt;73,"",PRODUCT(INDEX($T$19:$T$93,GO$244):INDEX($T$19:$T$93,GO$244+$FJ262-1)))</f>
        <v>0.998616707926317</v>
      </c>
      <c r="GP262" s="150" t="n">
        <f aca="false">IF($FJ262+GP$244&gt;73,"",PRODUCT(INDEX($T$19:$T$93,GP$244):INDEX($T$19:$T$93,GP$244+$FJ262-1)))</f>
        <v>0.99838222192204</v>
      </c>
      <c r="GQ262" s="150" t="n">
        <f aca="false">IF($FJ262+GQ$244&gt;73,"",PRODUCT(INDEX($T$19:$T$93,GQ$244):INDEX($T$19:$T$93,GQ$244+$FJ262-1)))</f>
        <v>0.998108010504946</v>
      </c>
      <c r="GR262" s="150" t="n">
        <f aca="false">IF($FJ262+GR$244&gt;73,"",PRODUCT(INDEX($T$19:$T$93,GR$244):INDEX($T$19:$T$93,GR$244+$FJ262-1)))</f>
        <v>0.997787352352567</v>
      </c>
      <c r="GS262" s="150" t="n">
        <f aca="false">IF($FJ262+GS$244&gt;73,"",PRODUCT(INDEX($T$19:$T$93,GS$244):INDEX($T$19:$T$93,GS$244+$FJ262-1)))</f>
        <v>0.997412392248757</v>
      </c>
      <c r="GT262" s="150" t="n">
        <f aca="false">IF($FJ262+GT$244&gt;73,"",PRODUCT(INDEX($T$19:$T$93,GT$244):INDEX($T$19:$T$93,GT$244+$FJ262-1)))</f>
        <v>0.996973951049261</v>
      </c>
      <c r="GU262" s="150" t="n">
        <f aca="false">IF($FJ262+GU$244&gt;73,"",PRODUCT(INDEX($T$19:$T$93,GU$244):INDEX($T$19:$T$93,GU$244+$FJ262-1)))</f>
        <v>0.996461304272869</v>
      </c>
      <c r="GV262" s="150" t="n">
        <f aca="false">IF($FJ262+GV$244&gt;73,"",PRODUCT(INDEX($T$19:$T$93,GV$244):INDEX($T$19:$T$93,GV$244+$FJ262-1)))</f>
        <v>0.99586192431821</v>
      </c>
      <c r="GW262" s="150" t="n">
        <f aca="false">IF($FJ262+GW$244&gt;73,"",PRODUCT(INDEX($T$19:$T$93,GW$244):INDEX($T$19:$T$93,GW$244+$FJ262-1)))</f>
        <v>0.995161180578549</v>
      </c>
      <c r="GX262" s="150" t="n">
        <f aca="false">IF($FJ262+GX$244&gt;73,"",PRODUCT(INDEX($T$19:$T$93,GX$244):INDEX($T$19:$T$93,GX$244+$FJ262-1)))</f>
        <v>0.994341990920617</v>
      </c>
      <c r="GY262" s="150" t="n">
        <f aca="false">IF($FJ262+GY$244&gt;73,"",PRODUCT(INDEX($T$19:$T$93,GY$244):INDEX($T$19:$T$93,GY$244+$FJ262-1)))</f>
        <v>0.993384417111956</v>
      </c>
      <c r="GZ262" s="150" t="n">
        <f aca="false">IF($FJ262+GZ$244&gt;73,"",PRODUCT(INDEX($T$19:$T$93,GZ$244):INDEX($T$19:$T$93,GZ$244+$FJ262-1)))</f>
        <v>0.992265195834487</v>
      </c>
      <c r="HA262" s="150" t="n">
        <f aca="false">IF($FJ262+HA$244&gt;73,"",PRODUCT(INDEX($T$19:$T$93,HA$244):INDEX($T$19:$T$93,HA$244+$FJ262-1)))</f>
        <v>0.990957195930002</v>
      </c>
      <c r="HB262" s="150" t="n">
        <f aca="false">IF($FJ262+HB$244&gt;73,"",PRODUCT(INDEX($T$19:$T$93,HB$244):INDEX($T$19:$T$93,HB$244+$FJ262-1)))</f>
        <v>0.989428791520939</v>
      </c>
      <c r="HC262" s="150" t="n">
        <f aca="false">IF($FJ262+HC$244&gt;73,"",PRODUCT(INDEX($T$19:$T$93,HC$244):INDEX($T$19:$T$93,HC$244+$FJ262-1)))</f>
        <v>0.987643139693225</v>
      </c>
      <c r="HD262" s="150" t="n">
        <f aca="false">IF($FJ262+HD$244&gt;73,"",PRODUCT(INDEX($T$19:$T$93,HD$244):INDEX($T$19:$T$93,HD$244+$FJ262-1)))</f>
        <v>0.985557350603708</v>
      </c>
      <c r="HE262" s="150" t="n">
        <f aca="false">IF($FJ262+HE$244&gt;73,"",PRODUCT(INDEX($T$19:$T$93,HE$244):INDEX($T$19:$T$93,HE$244+$FJ262-1)))</f>
        <v>0.983121537312273</v>
      </c>
      <c r="HF262" s="150" t="n">
        <f aca="false">IF($FJ262+HF$244&gt;73,"",PRODUCT(INDEX($T$19:$T$93,HF$244):INDEX($T$19:$T$93,HF$244+$FJ262-1)))</f>
        <v>0.980277732527371</v>
      </c>
      <c r="HG262" s="150" t="n">
        <f aca="false">IF($FJ262+HG$244&gt;73,"",PRODUCT(INDEX($T$19:$T$93,HG$244):INDEX($T$19:$T$93,HG$244+$FJ262-1)))</f>
        <v>0.976958660065715</v>
      </c>
      <c r="HH262" s="150" t="n">
        <f aca="false">IF($FJ262+HH$244&gt;73,"",PRODUCT(INDEX($T$19:$T$93,HH$244):INDEX($T$19:$T$93,HH$244+$FJ262-1)))</f>
        <v>0.973086350548109</v>
      </c>
      <c r="HI262" s="150" t="n">
        <f aca="false">IF($FJ262+HI$244&gt;73,"",PRODUCT(INDEX($T$19:$T$93,HI$244):INDEX($T$19:$T$93,HI$244+$FJ262-1)))</f>
        <v>0.968570594224181</v>
      </c>
      <c r="HJ262" s="150" t="n">
        <f aca="false">IF($FJ262+HJ$244&gt;73,"",PRODUCT(INDEX($T$19:$T$93,HJ$244):INDEX($T$19:$T$93,HJ$244+$FJ262-1)))</f>
        <v>0.963307229587519</v>
      </c>
      <c r="HK262" s="150" t="n">
        <f aca="false">IF($FJ262+HK$244&gt;73,"",PRODUCT(INDEX($T$19:$T$93,HK$244):INDEX($T$19:$T$93,HK$244+$FJ262-1)))</f>
        <v>0.957176275634381</v>
      </c>
      <c r="HL262" s="150" t="n">
        <f aca="false">IF($FJ262+HL$244&gt;73,"",PRODUCT(INDEX($T$19:$T$93,HL$244):INDEX($T$19:$T$93,HL$244+$FJ262-1)))</f>
        <v>0.950039929621797</v>
      </c>
      <c r="HM262" s="150" t="n">
        <f aca="false">IF($FJ262+HM$244&gt;73,"",PRODUCT(INDEX($T$19:$T$93,HM$244):INDEX($T$19:$T$93,HM$244+$FJ262-1)))</f>
        <v>0.941740472851313</v>
      </c>
      <c r="HN262" s="150" t="n">
        <f aca="false">IF($FJ262+HN$244&gt;73,"",PRODUCT(INDEX($T$19:$T$93,HN$244):INDEX($T$19:$T$93,HN$244+$FJ262-1)))</f>
        <v>0.932098156789937</v>
      </c>
      <c r="HO262" s="150" t="n">
        <f aca="false">IF($FJ262+HO$244&gt;73,"",PRODUCT(INDEX($T$19:$T$93,HO$244):INDEX($T$19:$T$93,HO$244+$FJ262-1)))</f>
        <v>0.920909183909127</v>
      </c>
      <c r="HP262" s="150" t="n">
        <f aca="false">IF($FJ262+HP$244&gt;73,"",PRODUCT(INDEX($T$19:$T$93,HP$244):INDEX($T$19:$T$93,HP$244+$FJ262-1)))</f>
        <v>0.907943955984549</v>
      </c>
      <c r="HQ262" s="150" t="n">
        <f aca="false">IF($FJ262+HQ$244&gt;73,"",PRODUCT(INDEX($T$19:$T$93,HQ$244):INDEX($T$19:$T$93,HQ$244+$FJ262-1)))</f>
        <v>0.892945842166993</v>
      </c>
      <c r="HR262" s="150" t="n">
        <f aca="false">IF($FJ262+HR$244&gt;73,"",PRODUCT(INDEX($T$19:$T$93,HR$244):INDEX($T$19:$T$93,HR$244+$FJ262-1)))</f>
        <v>0.875630825652386</v>
      </c>
      <c r="HS262" s="150" t="n">
        <f aca="false">IF($FJ262+HS$244&gt;73,"",PRODUCT(INDEX($T$19:$T$93,HS$244):INDEX($T$19:$T$93,HS$244+$FJ262-1)))</f>
        <v>0.855688527468486</v>
      </c>
      <c r="HT262" s="150" t="n">
        <f aca="false">IF($FJ262+HT$244&gt;73,"",PRODUCT(INDEX($T$19:$T$93,HT$244):INDEX($T$19:$T$93,HT$244+$FJ262-1)))</f>
        <v>0.832785284571579</v>
      </c>
      <c r="HU262" s="150" t="n">
        <f aca="false">IF($FJ262+HU$244&gt;73,"",PRODUCT(INDEX($T$19:$T$93,HU$244):INDEX($T$19:$T$93,HU$244+$FJ262-1)))</f>
        <v>0.806570180685887</v>
      </c>
      <c r="HV262" s="150" t="n">
        <f aca="false">IF($FJ262+HV$244&gt;73,"",PRODUCT(INDEX($T$19:$T$93,HV$244):INDEX($T$19:$T$93,HV$244+$FJ262-1)))</f>
        <v>0.776685190037646</v>
      </c>
      <c r="HW262" s="150" t="n">
        <f aca="false">IF($FJ262+HW$244&gt;73,"",PRODUCT(INDEX($T$19:$T$93,HW$244):INDEX($T$19:$T$93,HW$244+$FJ262-1)))</f>
        <v>0.742780882586627</v>
      </c>
      <c r="HX262" s="150" t="n">
        <f aca="false">IF($FJ262+HX$244&gt;73,"",PRODUCT(INDEX($T$19:$T$93,HX$244):INDEX($T$19:$T$93,HX$244+$FJ262-1)))</f>
        <v>0.704539419163899</v>
      </c>
      <c r="HY262" s="150" t="n">
        <f aca="false">IF($FJ262+HY$244&gt;73,"",PRODUCT(INDEX($T$19:$T$93,HY$244):INDEX($T$19:$T$93,HY$244+$FJ262-1)))</f>
        <v>0.661706763419006</v>
      </c>
      <c r="HZ262" s="150" t="n">
        <f aca="false">IF($FJ262+HZ$244&gt;73,"",PRODUCT(INDEX($T$19:$T$93,HZ$244):INDEX($T$19:$T$93,HZ$244+$FJ262-1)))</f>
        <v>0.614136021627123</v>
      </c>
      <c r="IA262" s="150" t="n">
        <f aca="false">IF($FJ262+IA$244&gt;73,"",PRODUCT(INDEX($T$19:$T$93,IA$244):INDEX($T$19:$T$93,IA$244+$FJ262-1)))</f>
        <v>0.561843366768443</v>
      </c>
      <c r="IB262" s="150" t="n">
        <f aca="false">IF($FJ262+IB$244&gt;73,"",PRODUCT(INDEX($T$19:$T$93,IB$244):INDEX($T$19:$T$93,IB$244+$FJ262-1)))</f>
        <v>0.505076758478553</v>
      </c>
      <c r="IC262" s="150" t="n">
        <f aca="false">IF($FJ262+IC$244&gt;73,"",PRODUCT(INDEX($T$19:$T$93,IC$244):INDEX($T$19:$T$93,IC$244+$FJ262-1)))</f>
        <v>0.444395130413219</v>
      </c>
      <c r="ID262" s="572" t="n">
        <f aca="false">IF($FJ262+ID$244&gt;73,"",PRODUCT(INDEX($T$19:$T$93,ID$244):INDEX($T$19:$T$93,ID$244+$FJ262-1)))</f>
        <v>0.380751238854187</v>
      </c>
      <c r="IE262" s="129"/>
    </row>
    <row r="263" customFormat="false" ht="12.75" hidden="false" customHeight="false" outlineLevel="0" collapsed="false">
      <c r="I263" s="735"/>
      <c r="J263" s="727"/>
      <c r="K263" s="728"/>
      <c r="L263" s="195"/>
      <c r="M263" s="729"/>
      <c r="P263" s="727"/>
      <c r="S263" s="1"/>
      <c r="T263" s="727"/>
      <c r="U263" s="195"/>
      <c r="V263" s="195"/>
      <c r="W263" s="195"/>
      <c r="X263" s="195"/>
      <c r="Y263" s="195"/>
      <c r="Z263" s="195"/>
      <c r="AA263" s="195"/>
      <c r="AB263" s="195"/>
      <c r="AC263" s="195"/>
      <c r="AD263" s="195"/>
      <c r="AE263" s="195"/>
      <c r="AF263" s="195"/>
      <c r="AG263" s="195"/>
      <c r="AH263" s="195"/>
      <c r="AI263" s="195"/>
      <c r="AJ263" s="195"/>
      <c r="AK263" s="195"/>
      <c r="AL263" s="240"/>
      <c r="AM263" s="240"/>
      <c r="AN263" s="240"/>
      <c r="AO263" s="532"/>
      <c r="AP263" s="730"/>
      <c r="AQ263" s="532"/>
      <c r="AR263" s="730"/>
      <c r="AS263" s="730"/>
      <c r="AT263" s="730"/>
      <c r="AU263" s="730"/>
      <c r="AV263" s="468"/>
      <c r="AW263" s="240"/>
      <c r="AX263" s="240"/>
      <c r="AY263" s="240"/>
      <c r="AZ263" s="240"/>
      <c r="BA263" s="240"/>
      <c r="BB263" s="240"/>
      <c r="BC263" s="672"/>
      <c r="BD263" s="672"/>
      <c r="BE263" s="672"/>
      <c r="BF263" s="731"/>
      <c r="BG263" s="672"/>
      <c r="BH263" s="672"/>
      <c r="BI263" s="732"/>
      <c r="BJ263" s="240"/>
      <c r="BK263" s="240"/>
      <c r="BL263" s="240"/>
      <c r="BM263" s="240"/>
      <c r="BN263" s="240"/>
      <c r="BO263" s="240"/>
      <c r="BP263" s="240"/>
      <c r="BQ263" s="240"/>
      <c r="BR263" s="240"/>
      <c r="BS263" s="240"/>
      <c r="BT263" s="240"/>
      <c r="BU263" s="240"/>
      <c r="BV263" s="672"/>
      <c r="BW263" s="672"/>
      <c r="BX263" s="672"/>
      <c r="BY263" s="672"/>
      <c r="BZ263" s="672"/>
      <c r="CA263" s="672"/>
      <c r="CB263" s="672"/>
      <c r="CC263" s="672"/>
      <c r="CD263" s="672"/>
      <c r="CE263" s="672"/>
      <c r="CF263" s="240"/>
      <c r="CG263" s="240"/>
      <c r="CH263" s="240"/>
      <c r="CI263" s="240"/>
      <c r="CJ263" s="240"/>
      <c r="CK263" s="240"/>
      <c r="CL263" s="733"/>
      <c r="CM263" s="195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H263" s="478"/>
      <c r="DK263" s="478"/>
      <c r="DM263" s="195"/>
      <c r="DN263" s="195"/>
      <c r="DO263" s="195"/>
      <c r="DP263" s="195"/>
      <c r="DQ263" s="195"/>
      <c r="DR263" s="195"/>
      <c r="DS263" s="195"/>
      <c r="DT263" s="195"/>
      <c r="DU263" s="195"/>
      <c r="DV263" s="195"/>
      <c r="DW263" s="195"/>
      <c r="DX263" s="195"/>
      <c r="DY263" s="195"/>
      <c r="DZ263" s="195"/>
      <c r="EA263" s="195"/>
      <c r="EB263" s="195"/>
      <c r="EC263" s="195"/>
      <c r="ED263" s="195"/>
      <c r="EE263" s="195"/>
      <c r="EF263" s="195"/>
      <c r="EG263" s="734"/>
      <c r="EL263" s="1"/>
      <c r="EM263" s="195"/>
      <c r="EN263" s="240"/>
      <c r="EO263" s="240"/>
      <c r="EP263" s="195"/>
      <c r="EQ263" s="240"/>
      <c r="ER263" s="195"/>
      <c r="ES263" s="195"/>
      <c r="ET263" s="195"/>
      <c r="EU263" s="240"/>
      <c r="FJ263" s="571" t="n">
        <v>19</v>
      </c>
      <c r="FK263" s="150" t="str">
        <f aca="false">IF($FJ263+FK$244&gt;73,"",PRODUCT(INDEX($T$19:$T$93,FK$244):INDEX($T$19:$T$93,FK$244+$FJ263-1)))</f>
        <v/>
      </c>
      <c r="FL263" s="150" t="str">
        <f aca="false">IF($FJ263+FL$244&gt;73,"",PRODUCT(INDEX($T$19:$T$93,FL$244):INDEX($T$19:$T$93,FL$244+$FJ263-1)))</f>
        <v/>
      </c>
      <c r="FM263" s="150" t="str">
        <f aca="false">IF($FJ263+FM$244&gt;73,"",PRODUCT(INDEX($T$19:$T$93,FM$244):INDEX($T$19:$T$93,FM$244+$FJ263-1)))</f>
        <v/>
      </c>
      <c r="FN263" s="150" t="str">
        <f aca="false">IF($FJ263+FN$244&gt;73,"",PRODUCT(INDEX($T$19:$T$93,FN$244):INDEX($T$19:$T$93,FN$244+$FJ263-1)))</f>
        <v/>
      </c>
      <c r="FO263" s="150" t="str">
        <f aca="false">IF($FJ263+FO$244&gt;73,"",PRODUCT(INDEX($T$19:$T$93,FO$244):INDEX($T$19:$T$93,FO$244+$FJ263-1)))</f>
        <v/>
      </c>
      <c r="FP263" s="150" t="str">
        <f aca="false">IF($FJ263+FP$244&gt;73,"",PRODUCT(INDEX($T$19:$T$93,FP$244):INDEX($T$19:$T$93,FP$244+$FJ263-1)))</f>
        <v/>
      </c>
      <c r="FQ263" s="150" t="str">
        <f aca="false">IF($FJ263+FQ$244&gt;73,"",PRODUCT(INDEX($T$19:$T$93,FQ$244):INDEX($T$19:$T$93,FQ$244+$FJ263-1)))</f>
        <v/>
      </c>
      <c r="FR263" s="150" t="str">
        <f aca="false">IF($FJ263+FR$244&gt;73,"",PRODUCT(INDEX($T$19:$T$93,FR$244):INDEX($T$19:$T$93,FR$244+$FJ263-1)))</f>
        <v/>
      </c>
      <c r="FS263" s="150" t="str">
        <f aca="false">IF($FJ263+FS$244&gt;73,"",PRODUCT(INDEX($T$19:$T$93,FS$244):INDEX($T$19:$T$93,FS$244+$FJ263-1)))</f>
        <v/>
      </c>
      <c r="FT263" s="150" t="str">
        <f aca="false">IF($FJ263+FT$244&gt;73,"",PRODUCT(INDEX($T$19:$T$93,FT$244):INDEX($T$19:$T$93,FT$244+$FJ263-1)))</f>
        <v/>
      </c>
      <c r="FU263" s="150" t="str">
        <f aca="false">IF($FJ263+FU$244&gt;73,"",PRODUCT(INDEX($T$19:$T$93,FU$244):INDEX($T$19:$T$93,FU$244+$FJ263-1)))</f>
        <v/>
      </c>
      <c r="FV263" s="150" t="str">
        <f aca="false">IF($FJ263+FV$244&gt;73,"",PRODUCT(INDEX($T$19:$T$93,FV$244):INDEX($T$19:$T$93,FV$244+$FJ263-1)))</f>
        <v/>
      </c>
      <c r="FW263" s="150" t="str">
        <f aca="false">IF($FJ263+FW$244&gt;73,"",PRODUCT(INDEX($T$19:$T$93,FW$244):INDEX($T$19:$T$93,FW$244+$FJ263-1)))</f>
        <v/>
      </c>
      <c r="FX263" s="150" t="str">
        <f aca="false">IF($FJ263+FX$244&gt;73,"",PRODUCT(INDEX($T$19:$T$93,FX$244):INDEX($T$19:$T$93,FX$244+$FJ263-1)))</f>
        <v/>
      </c>
      <c r="FY263" s="150" t="str">
        <f aca="false">IF($FJ263+FY$244&gt;73,"",PRODUCT(INDEX($T$19:$T$93,FY$244):INDEX($T$19:$T$93,FY$244+$FJ263-1)))</f>
        <v/>
      </c>
      <c r="FZ263" s="150" t="str">
        <f aca="false">IF($FJ263+FZ$244&gt;73,"",PRODUCT(INDEX($T$19:$T$93,FZ$244):INDEX($T$19:$T$93,FZ$244+$FJ263-1)))</f>
        <v/>
      </c>
      <c r="GA263" s="150" t="str">
        <f aca="false">IF($FJ263+GA$244&gt;73,"",PRODUCT(INDEX($T$19:$T$93,GA$244):INDEX($T$19:$T$93,GA$244+$FJ263-1)))</f>
        <v/>
      </c>
      <c r="GB263" s="150" t="str">
        <f aca="false">IF($FJ263+GB$244&gt;73,"",PRODUCT(INDEX($T$19:$T$93,GB$244):INDEX($T$19:$T$93,GB$244+$FJ263-1)))</f>
        <v/>
      </c>
      <c r="GC263" s="150" t="n">
        <f aca="false">IF($FJ263+GC$244&gt;73,"",PRODUCT(INDEX($T$19:$T$93,GC$244):INDEX($T$19:$T$93,GC$244+$FJ263-1)))</f>
        <v>0.99978688399232</v>
      </c>
      <c r="GD263" s="150" t="n">
        <f aca="false">IF($FJ263+GD$244&gt;73,"",PRODUCT(INDEX($T$19:$T$93,GD$244):INDEX($T$19:$T$93,GD$244+$FJ263-1)))</f>
        <v>0.999750743678562</v>
      </c>
      <c r="GE263" s="150" t="n">
        <f aca="false">IF($FJ263+GE$244&gt;73,"",PRODUCT(INDEX($T$19:$T$93,GE$244):INDEX($T$19:$T$93,GE$244+$FJ263-1)))</f>
        <v>0.999708475157094</v>
      </c>
      <c r="GF263" s="150" t="n">
        <f aca="false">IF($FJ263+GF$244&gt;73,"",PRODUCT(INDEX($T$19:$T$93,GF$244):INDEX($T$19:$T$93,GF$244+$FJ263-1)))</f>
        <v>0.999659039472483</v>
      </c>
      <c r="GG263" s="150" t="n">
        <f aca="false">IF($FJ263+GG$244&gt;73,"",PRODUCT(INDEX($T$19:$T$93,GG$244):INDEX($T$19:$T$93,GG$244+$FJ263-1)))</f>
        <v>0.999601221600066</v>
      </c>
      <c r="GH263" s="150" t="n">
        <f aca="false">IF($FJ263+GH$244&gt;73,"",PRODUCT(INDEX($T$19:$T$93,GH$244):INDEX($T$19:$T$93,GH$244+$FJ263-1)))</f>
        <v>0.999533600635315</v>
      </c>
      <c r="GI263" s="150" t="n">
        <f aca="false">IF($FJ263+GI$244&gt;73,"",PRODUCT(INDEX($T$19:$T$93,GI$244):INDEX($T$19:$T$93,GI$244+$FJ263-1)))</f>
        <v>0.999454514946318</v>
      </c>
      <c r="GJ263" s="150" t="n">
        <f aca="false">IF($FJ263+GJ$244&gt;73,"",PRODUCT(INDEX($T$19:$T$93,GJ$244):INDEX($T$19:$T$93,GJ$244+$FJ263-1)))</f>
        <v>0.999362021442285</v>
      </c>
      <c r="GK263" s="150" t="n">
        <f aca="false">IF($FJ263+GK$244&gt;73,"",PRODUCT(INDEX($T$19:$T$93,GK$244):INDEX($T$19:$T$93,GK$244+$FJ263-1)))</f>
        <v>0.999253847969997</v>
      </c>
      <c r="GL263" s="150" t="n">
        <f aca="false">IF($FJ263+GL$244&gt;73,"",PRODUCT(INDEX($T$19:$T$93,GL$244):INDEX($T$19:$T$93,GL$244+$FJ263-1)))</f>
        <v>0.999127337686288</v>
      </c>
      <c r="GM263" s="150" t="n">
        <f aca="false">IF($FJ263+GM$244&gt;73,"",PRODUCT(INDEX($T$19:$T$93,GM$244):INDEX($T$19:$T$93,GM$244+$FJ263-1)))</f>
        <v>0.998979384064369</v>
      </c>
      <c r="GN263" s="150" t="n">
        <f aca="false">IF($FJ263+GN$244&gt;73,"",PRODUCT(INDEX($T$19:$T$93,GN$244):INDEX($T$19:$T$93,GN$244+$FJ263-1)))</f>
        <v>0.99880635497122</v>
      </c>
      <c r="GO263" s="150" t="n">
        <f aca="false">IF($FJ263+GO$244&gt;73,"",PRODUCT(INDEX($T$19:$T$93,GO$244):INDEX($T$19:$T$93,GO$244+$FJ263-1)))</f>
        <v>0.998604003997904</v>
      </c>
      <c r="GP263" s="150" t="n">
        <f aca="false">IF($FJ263+GP$244&gt;73,"",PRODUCT(INDEX($T$19:$T$93,GP$244):INDEX($T$19:$T$93,GP$244+$FJ263-1)))</f>
        <v>0.998367366929612</v>
      </c>
      <c r="GQ263" s="150" t="n">
        <f aca="false">IF($FJ263+GQ$244&gt;73,"",PRODUCT(INDEX($T$19:$T$93,GQ$244):INDEX($T$19:$T$93,GQ$244+$FJ263-1)))</f>
        <v>0.998090640902167</v>
      </c>
      <c r="GR263" s="150" t="n">
        <f aca="false">IF($FJ263+GR$244&gt;73,"",PRODUCT(INDEX($T$19:$T$93,GR$244):INDEX($T$19:$T$93,GR$244+$FJ263-1)))</f>
        <v>0.997767043400834</v>
      </c>
      <c r="GS263" s="150" t="n">
        <f aca="false">IF($FJ263+GS$244&gt;73,"",PRODUCT(INDEX($T$19:$T$93,GS$244):INDEX($T$19:$T$93,GS$244+$FJ263-1)))</f>
        <v>0.997388647809488</v>
      </c>
      <c r="GT263" s="150" t="n">
        <f aca="false">IF($FJ263+GT$244&gt;73,"",PRODUCT(INDEX($T$19:$T$93,GT$244):INDEX($T$19:$T$93,GT$244+$FJ263-1)))</f>
        <v>0.996946191707514</v>
      </c>
      <c r="GU263" s="150" t="n">
        <f aca="false">IF($FJ263+GU$244&gt;73,"",PRODUCT(INDEX($T$19:$T$93,GU$244):INDEX($T$19:$T$93,GU$244+$FJ263-1)))</f>
        <v>0.996428853532197</v>
      </c>
      <c r="GV263" s="150" t="n">
        <f aca="false">IF($FJ263+GV$244&gt;73,"",PRODUCT(INDEX($T$19:$T$93,GV$244):INDEX($T$19:$T$93,GV$244+$FJ263-1)))</f>
        <v>0.995823992570963</v>
      </c>
      <c r="GW263" s="150" t="n">
        <f aca="false">IF($FJ263+GW$244&gt;73,"",PRODUCT(INDEX($T$19:$T$93,GW$244):INDEX($T$19:$T$93,GW$244+$FJ263-1)))</f>
        <v>0.995116846517082</v>
      </c>
      <c r="GX263" s="150" t="n">
        <f aca="false">IF($FJ263+GX$244&gt;73,"",PRODUCT(INDEX($T$19:$T$93,GX$244):INDEX($T$19:$T$93,GX$244+$FJ263-1)))</f>
        <v>0.994290180013719</v>
      </c>
      <c r="GY263" s="150" t="n">
        <f aca="false">IF($FJ263+GY$244&gt;73,"",PRODUCT(INDEX($T$19:$T$93,GY$244):INDEX($T$19:$T$93,GY$244+$FJ263-1)))</f>
        <v>0.993323876728339</v>
      </c>
      <c r="GZ263" s="150" t="n">
        <f aca="false">IF($FJ263+GZ$244&gt;73,"",PRODUCT(INDEX($T$19:$T$93,GZ$244):INDEX($T$19:$T$93,GZ$244+$FJ263-1)))</f>
        <v>0.992194466553153</v>
      </c>
      <c r="HA263" s="150" t="n">
        <f aca="false">IF($FJ263+HA$244&gt;73,"",PRODUCT(INDEX($T$19:$T$93,HA$244):INDEX($T$19:$T$93,HA$244+$FJ263-1)))</f>
        <v>0.990874578538572</v>
      </c>
      <c r="HB263" s="150" t="n">
        <f aca="false">IF($FJ263+HB$244&gt;73,"",PRODUCT(INDEX($T$19:$T$93,HB$244):INDEX($T$19:$T$93,HB$244+$FJ263-1)))</f>
        <v>0.989332309171806</v>
      </c>
      <c r="HC263" s="150" t="n">
        <f aca="false">IF($FJ263+HC$244&gt;73,"",PRODUCT(INDEX($T$19:$T$93,HC$244):INDEX($T$19:$T$93,HC$244+$FJ263-1)))</f>
        <v>0.987530494669902</v>
      </c>
      <c r="HD263" s="150" t="n">
        <f aca="false">IF($FJ263+HD$244&gt;73,"",PRODUCT(INDEX($T$19:$T$93,HD$244):INDEX($T$19:$T$93,HD$244+$FJ263-1)))</f>
        <v>0.985425875154965</v>
      </c>
      <c r="HE263" s="150" t="n">
        <f aca="false">IF($FJ263+HE$244&gt;73,"",PRODUCT(INDEX($T$19:$T$93,HE$244):INDEX($T$19:$T$93,HE$244+$FJ263-1)))</f>
        <v>0.982968138052251</v>
      </c>
      <c r="HF263" s="150" t="n">
        <f aca="false">IF($FJ263+HF$244&gt;73,"",PRODUCT(INDEX($T$19:$T$93,HF$244):INDEX($T$19:$T$93,HF$244+$FJ263-1)))</f>
        <v>0.980098827993558</v>
      </c>
      <c r="HG263" s="150" t="n">
        <f aca="false">IF($FJ263+HG$244&gt;73,"",PRODUCT(INDEX($T$19:$T$93,HG$244):INDEX($T$19:$T$93,HG$244+$FJ263-1)))</f>
        <v>0.97675011119797</v>
      </c>
      <c r="HH263" s="150" t="n">
        <f aca="false">IF($FJ263+HH$244&gt;73,"",PRODUCT(INDEX($T$19:$T$93,HH$244):INDEX($T$19:$T$93,HH$244+$FJ263-1)))</f>
        <v>0.972843384134069</v>
      </c>
      <c r="HI263" s="150" t="n">
        <f aca="false">IF($FJ263+HI$244&gt;73,"",PRODUCT(INDEX($T$19:$T$93,HI$244):INDEX($T$19:$T$93,HI$244+$FJ263-1)))</f>
        <v>0.968287719794447</v>
      </c>
      <c r="HJ263" s="150" t="n">
        <f aca="false">IF($FJ263+HJ$244&gt;73,"",PRODUCT(INDEX($T$19:$T$93,HJ$244):INDEX($T$19:$T$93,HJ$244+$FJ263-1)))</f>
        <v>0.962978150897651</v>
      </c>
      <c r="HK263" s="150" t="n">
        <f aca="false">IF($FJ263+HK$244&gt;73,"",PRODUCT(INDEX($T$19:$T$93,HK$244):INDEX($T$19:$T$93,HK$244+$FJ263-1)))</f>
        <v>0.95679379881833</v>
      </c>
      <c r="HL263" s="150" t="n">
        <f aca="false">IF($FJ263+HL$244&gt;73,"",PRODUCT(INDEX($T$19:$T$93,HL$244):INDEX($T$19:$T$93,HL$244+$FJ263-1)))</f>
        <v>0.949595871444023</v>
      </c>
      <c r="HM263" s="150" t="n">
        <f aca="false">IF($FJ263+HM$244&gt;73,"",PRODUCT(INDEX($T$19:$T$93,HM$244):INDEX($T$19:$T$93,HM$244+$FJ263-1)))</f>
        <v>0.941225574349773</v>
      </c>
      <c r="HN263" s="150" t="n">
        <f aca="false">IF($FJ263+HN$244&gt;73,"",PRODUCT(INDEX($T$19:$T$93,HN$244):INDEX($T$19:$T$93,HN$244+$FJ263-1)))</f>
        <v>0.931502010145707</v>
      </c>
      <c r="HO263" s="150" t="n">
        <f aca="false">IF($FJ263+HO$244&gt;73,"",PRODUCT(INDEX($T$19:$T$93,HO$244):INDEX($T$19:$T$93,HO$244+$FJ263-1)))</f>
        <v>0.920220183784682</v>
      </c>
      <c r="HP263" s="150" t="n">
        <f aca="false">IF($FJ263+HP$244&gt;73,"",PRODUCT(INDEX($T$19:$T$93,HP$244):INDEX($T$19:$T$93,HP$244+$FJ263-1)))</f>
        <v>0.907149291045914</v>
      </c>
      <c r="HQ263" s="150" t="n">
        <f aca="false">IF($FJ263+HQ$244&gt;73,"",PRODUCT(INDEX($T$19:$T$93,HQ$244):INDEX($T$19:$T$93,HQ$244+$FJ263-1)))</f>
        <v>0.892031548248857</v>
      </c>
      <c r="HR263" s="150" t="n">
        <f aca="false">IF($FJ263+HR$244&gt;73,"",PRODUCT(INDEX($T$19:$T$93,HR$244):INDEX($T$19:$T$93,HR$244+$FJ263-1)))</f>
        <v>0.874581929200679</v>
      </c>
      <c r="HS263" s="150" t="n">
        <f aca="false">IF($FJ263+HS$244&gt;73,"",PRODUCT(INDEX($T$19:$T$93,HS$244):INDEX($T$19:$T$93,HS$244+$FJ263-1)))</f>
        <v>0.854489316540593</v>
      </c>
      <c r="HT263" s="150" t="n">
        <f aca="false">IF($FJ263+HT$244&gt;73,"",PRODUCT(INDEX($T$19:$T$93,HT$244):INDEX($T$19:$T$93,HT$244+$FJ263-1)))</f>
        <v>0.831419754570003</v>
      </c>
      <c r="HU263" s="150" t="n">
        <f aca="false">IF($FJ263+HU$244&gt;73,"",PRODUCT(INDEX($T$19:$T$93,HU$244):INDEX($T$19:$T$93,HU$244+$FJ263-1)))</f>
        <v>0.805022712442332</v>
      </c>
      <c r="HV263" s="150" t="n">
        <f aca="false">IF($FJ263+HV$244&gt;73,"",PRODUCT(INDEX($T$19:$T$93,HV$244):INDEX($T$19:$T$93,HV$244+$FJ263-1)))</f>
        <v>0.774941527311656</v>
      </c>
      <c r="HW263" s="150" t="n">
        <f aca="false">IF($FJ263+HW$244&gt;73,"",PRODUCT(INDEX($T$19:$T$93,HW$244):INDEX($T$19:$T$93,HW$244+$FJ263-1)))</f>
        <v>0.740829481602201</v>
      </c>
      <c r="HX263" s="150" t="n">
        <f aca="false">IF($FJ263+HX$244&gt;73,"",PRODUCT(INDEX($T$19:$T$93,HX$244):INDEX($T$19:$T$93,HX$244+$FJ263-1)))</f>
        <v>0.70237323951379</v>
      </c>
      <c r="HY263" s="150" t="n">
        <f aca="false">IF($FJ263+HY$244&gt;73,"",PRODUCT(INDEX($T$19:$T$93,HY$244):INDEX($T$19:$T$93,HY$244+$FJ263-1)))</f>
        <v>0.659325549590525</v>
      </c>
      <c r="HZ263" s="150" t="n">
        <f aca="false">IF($FJ263+HZ$244&gt;73,"",PRODUCT(INDEX($T$19:$T$93,HZ$244):INDEX($T$19:$T$93,HZ$244+$FJ263-1)))</f>
        <v>0.611549075738964</v>
      </c>
      <c r="IA263" s="150" t="n">
        <f aca="false">IF($FJ263+IA$244&gt;73,"",PRODUCT(INDEX($T$19:$T$93,IA$244):INDEX($T$19:$T$93,IA$244+$FJ263-1)))</f>
        <v>0.559072719685584</v>
      </c>
      <c r="IB263" s="150" t="n">
        <f aca="false">IF($FJ263+IB$244&gt;73,"",PRODUCT(INDEX($T$19:$T$93,IB$244):INDEX($T$19:$T$93,IB$244+$FJ263-1)))</f>
        <v>0.502160488705154</v>
      </c>
      <c r="IC263" s="150" t="n">
        <f aca="false">IF($FJ263+IC$244&gt;73,"",PRODUCT(INDEX($T$19:$T$93,IC$244):INDEX($T$19:$T$93,IC$244+$FJ263-1)))</f>
        <v>0.441390339389954</v>
      </c>
      <c r="ID263" s="572" t="n">
        <f aca="false">IF($FJ263+ID$244&gt;73,"",PRODUCT(INDEX($T$19:$T$93,ID$244):INDEX($T$19:$T$93,ID$244+$FJ263-1)))</f>
        <v>0.377735860851236</v>
      </c>
      <c r="IE263" s="129"/>
    </row>
    <row r="264" customFormat="false" ht="12.75" hidden="false" customHeight="false" outlineLevel="0" collapsed="false">
      <c r="I264" s="735"/>
      <c r="J264" s="727"/>
      <c r="K264" s="728"/>
      <c r="L264" s="195"/>
      <c r="M264" s="729"/>
      <c r="P264" s="727"/>
      <c r="S264" s="1"/>
      <c r="T264" s="727"/>
      <c r="U264" s="195"/>
      <c r="V264" s="195"/>
      <c r="W264" s="195"/>
      <c r="X264" s="195"/>
      <c r="Y264" s="195"/>
      <c r="Z264" s="195"/>
      <c r="AA264" s="195"/>
      <c r="AB264" s="195"/>
      <c r="AC264" s="195"/>
      <c r="AD264" s="195"/>
      <c r="AE264" s="195"/>
      <c r="AF264" s="195"/>
      <c r="AG264" s="195"/>
      <c r="AH264" s="195"/>
      <c r="AI264" s="195"/>
      <c r="AJ264" s="195"/>
      <c r="AK264" s="195"/>
      <c r="AL264" s="240"/>
      <c r="AM264" s="240"/>
      <c r="AN264" s="240"/>
      <c r="AO264" s="532"/>
      <c r="AP264" s="730"/>
      <c r="AQ264" s="532"/>
      <c r="AR264" s="730"/>
      <c r="AS264" s="730"/>
      <c r="AT264" s="730"/>
      <c r="AU264" s="730"/>
      <c r="AV264" s="468"/>
      <c r="AW264" s="240"/>
      <c r="AX264" s="240"/>
      <c r="AY264" s="240"/>
      <c r="AZ264" s="240"/>
      <c r="BA264" s="240"/>
      <c r="BB264" s="240"/>
      <c r="BC264" s="672"/>
      <c r="BD264" s="672"/>
      <c r="BE264" s="672"/>
      <c r="BF264" s="731"/>
      <c r="BG264" s="672"/>
      <c r="BH264" s="672"/>
      <c r="BI264" s="732"/>
      <c r="BJ264" s="240"/>
      <c r="BK264" s="240"/>
      <c r="BL264" s="240"/>
      <c r="BM264" s="240"/>
      <c r="BN264" s="240"/>
      <c r="BO264" s="240"/>
      <c r="BP264" s="240"/>
      <c r="BQ264" s="240"/>
      <c r="BR264" s="240"/>
      <c r="BS264" s="240"/>
      <c r="BT264" s="240"/>
      <c r="BU264" s="240"/>
      <c r="BV264" s="672"/>
      <c r="BW264" s="672"/>
      <c r="BX264" s="672"/>
      <c r="BY264" s="672"/>
      <c r="BZ264" s="672"/>
      <c r="CA264" s="672"/>
      <c r="CB264" s="672"/>
      <c r="CC264" s="672"/>
      <c r="CD264" s="672"/>
      <c r="CE264" s="672"/>
      <c r="CF264" s="240"/>
      <c r="CG264" s="240"/>
      <c r="CH264" s="240"/>
      <c r="CI264" s="240"/>
      <c r="CJ264" s="240"/>
      <c r="CK264" s="240"/>
      <c r="CL264" s="733"/>
      <c r="CM264" s="195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H264" s="478"/>
      <c r="DK264" s="478"/>
      <c r="DM264" s="195"/>
      <c r="DN264" s="195"/>
      <c r="DO264" s="195"/>
      <c r="DP264" s="195"/>
      <c r="DQ264" s="195"/>
      <c r="DR264" s="195"/>
      <c r="DS264" s="195"/>
      <c r="DT264" s="195"/>
      <c r="DU264" s="195"/>
      <c r="DV264" s="195"/>
      <c r="DW264" s="195"/>
      <c r="DX264" s="195"/>
      <c r="DY264" s="195"/>
      <c r="DZ264" s="195"/>
      <c r="EA264" s="195"/>
      <c r="EB264" s="195"/>
      <c r="EC264" s="195"/>
      <c r="ED264" s="195"/>
      <c r="EE264" s="195"/>
      <c r="EF264" s="195"/>
      <c r="EG264" s="734"/>
      <c r="EL264" s="1"/>
      <c r="EM264" s="195"/>
      <c r="EN264" s="240"/>
      <c r="EO264" s="240"/>
      <c r="EP264" s="195"/>
      <c r="EQ264" s="240"/>
      <c r="ER264" s="195"/>
      <c r="ES264" s="195"/>
      <c r="ET264" s="195"/>
      <c r="EU264" s="240"/>
      <c r="FJ264" s="571" t="n">
        <v>20</v>
      </c>
      <c r="FK264" s="150" t="str">
        <f aca="false">IF($FJ264+FK$244&gt;73,"",PRODUCT(INDEX($T$19:$T$93,FK$244):INDEX($T$19:$T$93,FK$244+$FJ264-1)))</f>
        <v/>
      </c>
      <c r="FL264" s="150" t="str">
        <f aca="false">IF($FJ264+FL$244&gt;73,"",PRODUCT(INDEX($T$19:$T$93,FL$244):INDEX($T$19:$T$93,FL$244+$FJ264-1)))</f>
        <v/>
      </c>
      <c r="FM264" s="150" t="str">
        <f aca="false">IF($FJ264+FM$244&gt;73,"",PRODUCT(INDEX($T$19:$T$93,FM$244):INDEX($T$19:$T$93,FM$244+$FJ264-1)))</f>
        <v/>
      </c>
      <c r="FN264" s="150" t="str">
        <f aca="false">IF($FJ264+FN$244&gt;73,"",PRODUCT(INDEX($T$19:$T$93,FN$244):INDEX($T$19:$T$93,FN$244+$FJ264-1)))</f>
        <v/>
      </c>
      <c r="FO264" s="150" t="str">
        <f aca="false">IF($FJ264+FO$244&gt;73,"",PRODUCT(INDEX($T$19:$T$93,FO$244):INDEX($T$19:$T$93,FO$244+$FJ264-1)))</f>
        <v/>
      </c>
      <c r="FP264" s="150" t="str">
        <f aca="false">IF($FJ264+FP$244&gt;73,"",PRODUCT(INDEX($T$19:$T$93,FP$244):INDEX($T$19:$T$93,FP$244+$FJ264-1)))</f>
        <v/>
      </c>
      <c r="FQ264" s="150" t="str">
        <f aca="false">IF($FJ264+FQ$244&gt;73,"",PRODUCT(INDEX($T$19:$T$93,FQ$244):INDEX($T$19:$T$93,FQ$244+$FJ264-1)))</f>
        <v/>
      </c>
      <c r="FR264" s="150" t="str">
        <f aca="false">IF($FJ264+FR$244&gt;73,"",PRODUCT(INDEX($T$19:$T$93,FR$244):INDEX($T$19:$T$93,FR$244+$FJ264-1)))</f>
        <v/>
      </c>
      <c r="FS264" s="150" t="str">
        <f aca="false">IF($FJ264+FS$244&gt;73,"",PRODUCT(INDEX($T$19:$T$93,FS$244):INDEX($T$19:$T$93,FS$244+$FJ264-1)))</f>
        <v/>
      </c>
      <c r="FT264" s="150" t="str">
        <f aca="false">IF($FJ264+FT$244&gt;73,"",PRODUCT(INDEX($T$19:$T$93,FT$244):INDEX($T$19:$T$93,FT$244+$FJ264-1)))</f>
        <v/>
      </c>
      <c r="FU264" s="150" t="str">
        <f aca="false">IF($FJ264+FU$244&gt;73,"",PRODUCT(INDEX($T$19:$T$93,FU$244):INDEX($T$19:$T$93,FU$244+$FJ264-1)))</f>
        <v/>
      </c>
      <c r="FV264" s="150" t="str">
        <f aca="false">IF($FJ264+FV$244&gt;73,"",PRODUCT(INDEX($T$19:$T$93,FV$244):INDEX($T$19:$T$93,FV$244+$FJ264-1)))</f>
        <v/>
      </c>
      <c r="FW264" s="150" t="str">
        <f aca="false">IF($FJ264+FW$244&gt;73,"",PRODUCT(INDEX($T$19:$T$93,FW$244):INDEX($T$19:$T$93,FW$244+$FJ264-1)))</f>
        <v/>
      </c>
      <c r="FX264" s="150" t="str">
        <f aca="false">IF($FJ264+FX$244&gt;73,"",PRODUCT(INDEX($T$19:$T$93,FX$244):INDEX($T$19:$T$93,FX$244+$FJ264-1)))</f>
        <v/>
      </c>
      <c r="FY264" s="150" t="str">
        <f aca="false">IF($FJ264+FY$244&gt;73,"",PRODUCT(INDEX($T$19:$T$93,FY$244):INDEX($T$19:$T$93,FY$244+$FJ264-1)))</f>
        <v/>
      </c>
      <c r="FZ264" s="150" t="str">
        <f aca="false">IF($FJ264+FZ$244&gt;73,"",PRODUCT(INDEX($T$19:$T$93,FZ$244):INDEX($T$19:$T$93,FZ$244+$FJ264-1)))</f>
        <v/>
      </c>
      <c r="GA264" s="150" t="str">
        <f aca="false">IF($FJ264+GA$244&gt;73,"",PRODUCT(INDEX($T$19:$T$93,GA$244):INDEX($T$19:$T$93,GA$244+$FJ264-1)))</f>
        <v/>
      </c>
      <c r="GB264" s="150" t="str">
        <f aca="false">IF($FJ264+GB$244&gt;73,"",PRODUCT(INDEX($T$19:$T$93,GB$244):INDEX($T$19:$T$93,GB$244+$FJ264-1)))</f>
        <v/>
      </c>
      <c r="GC264" s="150" t="str">
        <f aca="false">IF($FJ264+GC$244&gt;73,"",PRODUCT(INDEX($T$19:$T$93,GC$244):INDEX($T$19:$T$93,GC$244+$FJ264-1)))</f>
        <v/>
      </c>
      <c r="GD264" s="150" t="n">
        <f aca="false">IF($FJ264+GD$244&gt;73,"",PRODUCT(INDEX($T$19:$T$93,GD$244):INDEX($T$19:$T$93,GD$244+$FJ264-1)))</f>
        <v>0.999748802745856</v>
      </c>
      <c r="GE264" s="150" t="n">
        <f aca="false">IF($FJ264+GE$244&gt;73,"",PRODUCT(INDEX($T$19:$T$93,GE$244):INDEX($T$19:$T$93,GE$244+$FJ264-1)))</f>
        <v>0.999706205153761</v>
      </c>
      <c r="GF264" s="150" t="n">
        <f aca="false">IF($FJ264+GF$244&gt;73,"",PRODUCT(INDEX($T$19:$T$93,GF$244):INDEX($T$19:$T$93,GF$244+$FJ264-1)))</f>
        <v>0.999656384625662</v>
      </c>
      <c r="GG264" s="150" t="n">
        <f aca="false">IF($FJ264+GG$244&gt;73,"",PRODUCT(INDEX($T$19:$T$93,GG$244):INDEX($T$19:$T$93,GG$244+$FJ264-1)))</f>
        <v>0.999598116691037</v>
      </c>
      <c r="GH264" s="150" t="n">
        <f aca="false">IF($FJ264+GH$244&gt;73,"",PRODUCT(INDEX($T$19:$T$93,GH$244):INDEX($T$19:$T$93,GH$244+$FJ264-1)))</f>
        <v>0.999529969402246</v>
      </c>
      <c r="GI264" s="150" t="n">
        <f aca="false">IF($FJ264+GI$244&gt;73,"",PRODUCT(INDEX($T$19:$T$93,GI$244):INDEX($T$19:$T$93,GI$244+$FJ264-1)))</f>
        <v>0.99945026821786</v>
      </c>
      <c r="GJ264" s="150" t="n">
        <f aca="false">IF($FJ264+GJ$244&gt;73,"",PRODUCT(INDEX($T$19:$T$93,GJ$244):INDEX($T$19:$T$93,GJ$244+$FJ264-1)))</f>
        <v>0.999357054956999</v>
      </c>
      <c r="GK264" s="150" t="n">
        <f aca="false">IF($FJ264+GK$244&gt;73,"",PRODUCT(INDEX($T$19:$T$93,GK$244):INDEX($T$19:$T$93,GK$244+$FJ264-1)))</f>
        <v>0.999248039829201</v>
      </c>
      <c r="GL264" s="150" t="n">
        <f aca="false">IF($FJ264+GL$244&gt;73,"",PRODUCT(INDEX($T$19:$T$93,GL$244):INDEX($T$19:$T$93,GL$244+$FJ264-1)))</f>
        <v>0.999120545379347</v>
      </c>
      <c r="GM264" s="150" t="n">
        <f aca="false">IF($FJ264+GM$244&gt;73,"",PRODUCT(INDEX($T$19:$T$93,GM$244):INDEX($T$19:$T$93,GM$244+$FJ264-1)))</f>
        <v>0.99897144099554</v>
      </c>
      <c r="GN264" s="150" t="n">
        <f aca="false">IF($FJ264+GN$244&gt;73,"",PRODUCT(INDEX($T$19:$T$93,GN$244):INDEX($T$19:$T$93,GN$244+$FJ264-1)))</f>
        <v>0.998797066405746</v>
      </c>
      <c r="GO264" s="150" t="n">
        <f aca="false">IF($FJ264+GO$244&gt;73,"",PRODUCT(INDEX($T$19:$T$93,GO$244):INDEX($T$19:$T$93,GO$244+$FJ264-1)))</f>
        <v>0.998593142331893</v>
      </c>
      <c r="GP264" s="150" t="n">
        <f aca="false">IF($FJ264+GP$244&gt;73,"",PRODUCT(INDEX($T$19:$T$93,GP$244):INDEX($T$19:$T$93,GP$244+$FJ264-1)))</f>
        <v>0.998354666173197</v>
      </c>
      <c r="GQ264" s="150" t="n">
        <f aca="false">IF($FJ264+GQ$244&gt;73,"",PRODUCT(INDEX($T$19:$T$93,GQ$244):INDEX($T$19:$T$93,GQ$244+$FJ264-1)))</f>
        <v>0.998075790248192</v>
      </c>
      <c r="GR264" s="150" t="n">
        <f aca="false">IF($FJ264+GR$244&gt;73,"",PRODUCT(INDEX($T$19:$T$93,GR$244):INDEX($T$19:$T$93,GR$244+$FJ264-1)))</f>
        <v>0.997749679731744</v>
      </c>
      <c r="GS264" s="150" t="n">
        <f aca="false">IF($FJ264+GS$244&gt;73,"",PRODUCT(INDEX($T$19:$T$93,GS$244):INDEX($T$19:$T$93,GS$244+$FJ264-1)))</f>
        <v>0.997368346972982</v>
      </c>
      <c r="GT264" s="150" t="n">
        <f aca="false">IF($FJ264+GT$244&gt;73,"",PRODUCT(INDEX($T$19:$T$93,GT$244):INDEX($T$19:$T$93,GT$244+$FJ264-1)))</f>
        <v>0.996922458366634</v>
      </c>
      <c r="GU264" s="150" t="n">
        <f aca="false">IF($FJ264+GU$244&gt;73,"",PRODUCT(INDEX($T$19:$T$93,GU$244):INDEX($T$19:$T$93,GU$244+$FJ264-1)))</f>
        <v>0.996401109367926</v>
      </c>
      <c r="GV264" s="150" t="n">
        <f aca="false">IF($FJ264+GV$244&gt;73,"",PRODUCT(INDEX($T$19:$T$93,GV$244):INDEX($T$19:$T$93,GV$244+$FJ264-1)))</f>
        <v>0.995791562584972</v>
      </c>
      <c r="GW264" s="150" t="n">
        <f aca="false">IF($FJ264+GW$244&gt;73,"",PRODUCT(INDEX($T$19:$T$93,GW$244):INDEX($T$19:$T$93,GW$244+$FJ264-1)))</f>
        <v>0.995078943149375</v>
      </c>
      <c r="GX264" s="150" t="n">
        <f aca="false">IF($FJ264+GX$244&gt;73,"",PRODUCT(INDEX($T$19:$T$93,GX$244):INDEX($T$19:$T$93,GX$244+$FJ264-1)))</f>
        <v>0.994245884755004</v>
      </c>
      <c r="GY264" s="150" t="n">
        <f aca="false">IF($FJ264+GY$244&gt;73,"",PRODUCT(INDEX($T$19:$T$93,GY$244):INDEX($T$19:$T$93,GY$244+$FJ264-1)))</f>
        <v>0.993272118871016</v>
      </c>
      <c r="GZ264" s="150" t="n">
        <f aca="false">IF($FJ264+GZ$244&gt;73,"",PRODUCT(INDEX($T$19:$T$93,GZ$244):INDEX($T$19:$T$93,GZ$244+$FJ264-1)))</f>
        <v>0.992133998689361</v>
      </c>
      <c r="HA264" s="150" t="n">
        <f aca="false">IF($FJ264+HA$244&gt;73,"",PRODUCT(INDEX($T$19:$T$93,HA$244):INDEX($T$19:$T$93,HA$244+$FJ264-1)))</f>
        <v>0.990803948381306</v>
      </c>
      <c r="HB264" s="150" t="n">
        <f aca="false">IF($FJ264+HB$244&gt;73,"",PRODUCT(INDEX($T$19:$T$93,HB$244):INDEX($T$19:$T$93,HB$244+$FJ264-1)))</f>
        <v>0.989249827249301</v>
      </c>
      <c r="HC264" s="150" t="n">
        <f aca="false">IF($FJ264+HC$244&gt;73,"",PRODUCT(INDEX($T$19:$T$93,HC$244):INDEX($T$19:$T$93,HC$244+$FJ264-1)))</f>
        <v>0.987434197429734</v>
      </c>
      <c r="HD264" s="150" t="n">
        <f aca="false">IF($FJ264+HD$244&gt;73,"",PRODUCT(INDEX($T$19:$T$93,HD$244):INDEX($T$19:$T$93,HD$244+$FJ264-1)))</f>
        <v>0.985313483020368</v>
      </c>
      <c r="HE264" s="150" t="n">
        <f aca="false">IF($FJ264+HE$244&gt;73,"",PRODUCT(INDEX($T$19:$T$93,HE$244):INDEX($T$19:$T$93,HE$244+$FJ264-1)))</f>
        <v>0.982837008009974</v>
      </c>
      <c r="HF264" s="150" t="n">
        <f aca="false">IF($FJ264+HF$244&gt;73,"",PRODUCT(INDEX($T$19:$T$93,HF$244):INDEX($T$19:$T$93,HF$244+$FJ264-1)))</f>
        <v>0.979945900375499</v>
      </c>
      <c r="HG264" s="150" t="n">
        <f aca="false">IF($FJ264+HG$244&gt;73,"",PRODUCT(INDEX($T$19:$T$93,HG$244):INDEX($T$19:$T$93,HG$244+$FJ264-1)))</f>
        <v>0.976571850468896</v>
      </c>
      <c r="HH264" s="150" t="n">
        <f aca="false">IF($FJ264+HH$244&gt;73,"",PRODUCT(INDEX($T$19:$T$93,HH$244):INDEX($T$19:$T$93,HH$244+$FJ264-1)))</f>
        <v>0.972635713743757</v>
      </c>
      <c r="HI264" s="150" t="n">
        <f aca="false">IF($FJ264+HI$244&gt;73,"",PRODUCT(INDEX($T$19:$T$93,HI$244):INDEX($T$19:$T$93,HI$244+$FJ264-1)))</f>
        <v>0.968045951533177</v>
      </c>
      <c r="HJ264" s="150" t="n">
        <f aca="false">IF($FJ264+HJ$244&gt;73,"",PRODUCT(INDEX($T$19:$T$93,HJ$244):INDEX($T$19:$T$93,HJ$244+$FJ264-1)))</f>
        <v>0.962696909760551</v>
      </c>
      <c r="HK264" s="150" t="n">
        <f aca="false">IF($FJ264+HK$244&gt;73,"",PRODUCT(INDEX($T$19:$T$93,HK$244):INDEX($T$19:$T$93,HK$244+$FJ264-1)))</f>
        <v>0.956466945203909</v>
      </c>
      <c r="HL264" s="150" t="n">
        <f aca="false">IF($FJ264+HL$244&gt;73,"",PRODUCT(INDEX($T$19:$T$93,HL$244):INDEX($T$19:$T$93,HL$244+$FJ264-1)))</f>
        <v>0.949216423671768</v>
      </c>
      <c r="HM264" s="150" t="n">
        <f aca="false">IF($FJ264+HM$244&gt;73,"",PRODUCT(INDEX($T$19:$T$93,HM$244):INDEX($T$19:$T$93,HM$244+$FJ264-1)))</f>
        <v>0.940785636089929</v>
      </c>
      <c r="HN264" s="150" t="n">
        <f aca="false">IF($FJ264+HN$244&gt;73,"",PRODUCT(INDEX($T$19:$T$93,HN$244):INDEX($T$19:$T$93,HN$244+$FJ264-1)))</f>
        <v>0.930992709544286</v>
      </c>
      <c r="HO264" s="150" t="n">
        <f aca="false">IF($FJ264+HO$244&gt;73,"",PRODUCT(INDEX($T$19:$T$93,HO$244):INDEX($T$19:$T$93,HO$244+$FJ264-1)))</f>
        <v>0.919631633994598</v>
      </c>
      <c r="HP264" s="150" t="n">
        <f aca="false">IF($FJ264+HP$244&gt;73,"",PRODUCT(INDEX($T$19:$T$93,HP$244):INDEX($T$19:$T$93,HP$244+$FJ264-1)))</f>
        <v>0.906470585712812</v>
      </c>
      <c r="HQ264" s="150" t="n">
        <f aca="false">IF($FJ264+HQ$244&gt;73,"",PRODUCT(INDEX($T$19:$T$93,HQ$244):INDEX($T$19:$T$93,HQ$244+$FJ264-1)))</f>
        <v>0.891250810417102</v>
      </c>
      <c r="HR264" s="150" t="n">
        <f aca="false">IF($FJ264+HR$244&gt;73,"",PRODUCT(INDEX($T$19:$T$93,HR$244):INDEX($T$19:$T$93,HR$244+$FJ264-1)))</f>
        <v>0.873686438230208</v>
      </c>
      <c r="HS264" s="150" t="n">
        <f aca="false">IF($FJ264+HS$244&gt;73,"",PRODUCT(INDEX($T$19:$T$93,HS$244):INDEX($T$19:$T$93,HS$244+$FJ264-1)))</f>
        <v>0.853465744978373</v>
      </c>
      <c r="HT264" s="150" t="n">
        <f aca="false">IF($FJ264+HT$244&gt;73,"",PRODUCT(INDEX($T$19:$T$93,HT$244):INDEX($T$19:$T$93,HT$244+$FJ264-1)))</f>
        <v>0.830254555290895</v>
      </c>
      <c r="HU264" s="150" t="n">
        <f aca="false">IF($FJ264+HU$244&gt;73,"",PRODUCT(INDEX($T$19:$T$93,HU$244):INDEX($T$19:$T$93,HU$244+$FJ264-1)))</f>
        <v>0.803702705129336</v>
      </c>
      <c r="HV264" s="150" t="n">
        <f aca="false">IF($FJ264+HV$244&gt;73,"",PRODUCT(INDEX($T$19:$T$93,HV$244):INDEX($T$19:$T$93,HV$244+$FJ264-1)))</f>
        <v>0.773454741123867</v>
      </c>
      <c r="HW264" s="150" t="n">
        <f aca="false">IF($FJ264+HW$244&gt;73,"",PRODUCT(INDEX($T$19:$T$93,HW$244):INDEX($T$19:$T$93,HW$244+$FJ264-1)))</f>
        <v>0.739166315148208</v>
      </c>
      <c r="HX264" s="150" t="n">
        <f aca="false">IF($FJ264+HX$244&gt;73,"",PRODUCT(INDEX($T$19:$T$93,HX$244):INDEX($T$19:$T$93,HX$244+$FJ264-1)))</f>
        <v>0.700527995696733</v>
      </c>
      <c r="HY264" s="150" t="n">
        <f aca="false">IF($FJ264+HY$244&gt;73,"",PRODUCT(INDEX($T$19:$T$93,HY$244):INDEX($T$19:$T$93,HY$244+$FJ264-1)))</f>
        <v>0.657298384680414</v>
      </c>
      <c r="HZ264" s="150" t="n">
        <f aca="false">IF($FJ264+HZ$244&gt;73,"",PRODUCT(INDEX($T$19:$T$93,HZ$244):INDEX($T$19:$T$93,HZ$244+$FJ264-1)))</f>
        <v>0.609348359052285</v>
      </c>
      <c r="IA264" s="150" t="n">
        <f aca="false">IF($FJ264+IA$244&gt;73,"",PRODUCT(INDEX($T$19:$T$93,IA$244):INDEX($T$19:$T$93,IA$244+$FJ264-1)))</f>
        <v>0.556717718802325</v>
      </c>
      <c r="IB264" s="150" t="n">
        <f aca="false">IF($FJ264+IB$244&gt;73,"",PRODUCT(INDEX($T$19:$T$93,IB$244):INDEX($T$19:$T$93,IB$244+$FJ264-1)))</f>
        <v>0.499684158867604</v>
      </c>
      <c r="IC264" s="150" t="n">
        <f aca="false">IF($FJ264+IC$244&gt;73,"",PRODUCT(INDEX($T$19:$T$93,IC$244):INDEX($T$19:$T$93,IC$244+$FJ264-1)))</f>
        <v>0.438841789524166</v>
      </c>
      <c r="ID264" s="572" t="n">
        <f aca="false">IF($FJ264+ID$244&gt;73,"",PRODUCT(INDEX($T$19:$T$93,ID$244):INDEX($T$19:$T$93,ID$244+$FJ264-1)))</f>
        <v>0.375181788481461</v>
      </c>
      <c r="IE264" s="129"/>
    </row>
    <row r="265" customFormat="false" ht="12.75" hidden="false" customHeight="false" outlineLevel="0" collapsed="false">
      <c r="I265" s="735"/>
      <c r="J265" s="727"/>
      <c r="K265" s="728"/>
      <c r="L265" s="195"/>
      <c r="M265" s="729"/>
      <c r="P265" s="727"/>
      <c r="S265" s="1"/>
      <c r="T265" s="727"/>
      <c r="U265" s="195"/>
      <c r="V265" s="195"/>
      <c r="W265" s="195"/>
      <c r="X265" s="195"/>
      <c r="Y265" s="195"/>
      <c r="Z265" s="195"/>
      <c r="AA265" s="195"/>
      <c r="AB265" s="195"/>
      <c r="AC265" s="195"/>
      <c r="AD265" s="195"/>
      <c r="AE265" s="195"/>
      <c r="AF265" s="195"/>
      <c r="AG265" s="195"/>
      <c r="AH265" s="195"/>
      <c r="AI265" s="195"/>
      <c r="AJ265" s="195"/>
      <c r="AK265" s="195"/>
      <c r="AL265" s="240"/>
      <c r="AM265" s="240"/>
      <c r="AN265" s="240"/>
      <c r="AO265" s="532"/>
      <c r="AP265" s="730"/>
      <c r="AQ265" s="532"/>
      <c r="AR265" s="730"/>
      <c r="AS265" s="730"/>
      <c r="AT265" s="730"/>
      <c r="AU265" s="730"/>
      <c r="AV265" s="468"/>
      <c r="AW265" s="240"/>
      <c r="AX265" s="240"/>
      <c r="AY265" s="240"/>
      <c r="AZ265" s="240"/>
      <c r="BA265" s="240"/>
      <c r="BB265" s="240"/>
      <c r="BC265" s="672"/>
      <c r="BD265" s="672"/>
      <c r="BE265" s="672"/>
      <c r="BF265" s="731"/>
      <c r="BG265" s="672"/>
      <c r="BH265" s="672"/>
      <c r="BI265" s="732"/>
      <c r="BJ265" s="240"/>
      <c r="BK265" s="240"/>
      <c r="BL265" s="240"/>
      <c r="BM265" s="240"/>
      <c r="BN265" s="240"/>
      <c r="BO265" s="240"/>
      <c r="BP265" s="240"/>
      <c r="BQ265" s="240"/>
      <c r="BR265" s="240"/>
      <c r="BS265" s="240"/>
      <c r="BT265" s="240"/>
      <c r="BU265" s="240"/>
      <c r="BV265" s="672"/>
      <c r="BW265" s="672"/>
      <c r="BX265" s="672"/>
      <c r="BY265" s="672"/>
      <c r="BZ265" s="672"/>
      <c r="CA265" s="672"/>
      <c r="CB265" s="672"/>
      <c r="CC265" s="672"/>
      <c r="CD265" s="672"/>
      <c r="CE265" s="672"/>
      <c r="CF265" s="240"/>
      <c r="CG265" s="240"/>
      <c r="CH265" s="240"/>
      <c r="CI265" s="240"/>
      <c r="CJ265" s="240"/>
      <c r="CK265" s="240"/>
      <c r="CL265" s="733"/>
      <c r="CM265" s="195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H265" s="478"/>
      <c r="DK265" s="478"/>
      <c r="DM265" s="195"/>
      <c r="DN265" s="195"/>
      <c r="DO265" s="195"/>
      <c r="DP265" s="195"/>
      <c r="DQ265" s="195"/>
      <c r="DR265" s="195"/>
      <c r="DS265" s="195"/>
      <c r="DT265" s="195"/>
      <c r="DU265" s="195"/>
      <c r="DV265" s="195"/>
      <c r="DW265" s="195"/>
      <c r="DX265" s="195"/>
      <c r="DY265" s="195"/>
      <c r="DZ265" s="195"/>
      <c r="EA265" s="195"/>
      <c r="EB265" s="195"/>
      <c r="EC265" s="195"/>
      <c r="ED265" s="195"/>
      <c r="EE265" s="195"/>
      <c r="EF265" s="195"/>
      <c r="EG265" s="734"/>
      <c r="EL265" s="1"/>
      <c r="EM265" s="195"/>
      <c r="EN265" s="240"/>
      <c r="EO265" s="240"/>
      <c r="EP265" s="195"/>
      <c r="EQ265" s="240"/>
      <c r="ER265" s="195"/>
      <c r="ES265" s="195"/>
      <c r="ET265" s="195"/>
      <c r="EU265" s="240"/>
      <c r="FJ265" s="571" t="n">
        <v>21</v>
      </c>
      <c r="FK265" s="150" t="str">
        <f aca="false">IF($FJ265+FK$244&gt;73,"",PRODUCT(INDEX($T$19:$T$93,FK$244):INDEX($T$19:$T$93,FK$244+$FJ265-1)))</f>
        <v/>
      </c>
      <c r="FL265" s="150" t="str">
        <f aca="false">IF($FJ265+FL$244&gt;73,"",PRODUCT(INDEX($T$19:$T$93,FL$244):INDEX($T$19:$T$93,FL$244+$FJ265-1)))</f>
        <v/>
      </c>
      <c r="FM265" s="150" t="str">
        <f aca="false">IF($FJ265+FM$244&gt;73,"",PRODUCT(INDEX($T$19:$T$93,FM$244):INDEX($T$19:$T$93,FM$244+$FJ265-1)))</f>
        <v/>
      </c>
      <c r="FN265" s="150" t="str">
        <f aca="false">IF($FJ265+FN$244&gt;73,"",PRODUCT(INDEX($T$19:$T$93,FN$244):INDEX($T$19:$T$93,FN$244+$FJ265-1)))</f>
        <v/>
      </c>
      <c r="FO265" s="150" t="str">
        <f aca="false">IF($FJ265+FO$244&gt;73,"",PRODUCT(INDEX($T$19:$T$93,FO$244):INDEX($T$19:$T$93,FO$244+$FJ265-1)))</f>
        <v/>
      </c>
      <c r="FP265" s="150" t="str">
        <f aca="false">IF($FJ265+FP$244&gt;73,"",PRODUCT(INDEX($T$19:$T$93,FP$244):INDEX($T$19:$T$93,FP$244+$FJ265-1)))</f>
        <v/>
      </c>
      <c r="FQ265" s="150" t="str">
        <f aca="false">IF($FJ265+FQ$244&gt;73,"",PRODUCT(INDEX($T$19:$T$93,FQ$244):INDEX($T$19:$T$93,FQ$244+$FJ265-1)))</f>
        <v/>
      </c>
      <c r="FR265" s="150" t="str">
        <f aca="false">IF($FJ265+FR$244&gt;73,"",PRODUCT(INDEX($T$19:$T$93,FR$244):INDEX($T$19:$T$93,FR$244+$FJ265-1)))</f>
        <v/>
      </c>
      <c r="FS265" s="150" t="str">
        <f aca="false">IF($FJ265+FS$244&gt;73,"",PRODUCT(INDEX($T$19:$T$93,FS$244):INDEX($T$19:$T$93,FS$244+$FJ265-1)))</f>
        <v/>
      </c>
      <c r="FT265" s="150" t="str">
        <f aca="false">IF($FJ265+FT$244&gt;73,"",PRODUCT(INDEX($T$19:$T$93,FT$244):INDEX($T$19:$T$93,FT$244+$FJ265-1)))</f>
        <v/>
      </c>
      <c r="FU265" s="150" t="str">
        <f aca="false">IF($FJ265+FU$244&gt;73,"",PRODUCT(INDEX($T$19:$T$93,FU$244):INDEX($T$19:$T$93,FU$244+$FJ265-1)))</f>
        <v/>
      </c>
      <c r="FV265" s="150" t="str">
        <f aca="false">IF($FJ265+FV$244&gt;73,"",PRODUCT(INDEX($T$19:$T$93,FV$244):INDEX($T$19:$T$93,FV$244+$FJ265-1)))</f>
        <v/>
      </c>
      <c r="FW265" s="150" t="str">
        <f aca="false">IF($FJ265+FW$244&gt;73,"",PRODUCT(INDEX($T$19:$T$93,FW$244):INDEX($T$19:$T$93,FW$244+$FJ265-1)))</f>
        <v/>
      </c>
      <c r="FX265" s="150" t="str">
        <f aca="false">IF($FJ265+FX$244&gt;73,"",PRODUCT(INDEX($T$19:$T$93,FX$244):INDEX($T$19:$T$93,FX$244+$FJ265-1)))</f>
        <v/>
      </c>
      <c r="FY265" s="150" t="str">
        <f aca="false">IF($FJ265+FY$244&gt;73,"",PRODUCT(INDEX($T$19:$T$93,FY$244):INDEX($T$19:$T$93,FY$244+$FJ265-1)))</f>
        <v/>
      </c>
      <c r="FZ265" s="150" t="str">
        <f aca="false">IF($FJ265+FZ$244&gt;73,"",PRODUCT(INDEX($T$19:$T$93,FZ$244):INDEX($T$19:$T$93,FZ$244+$FJ265-1)))</f>
        <v/>
      </c>
      <c r="GA265" s="150" t="str">
        <f aca="false">IF($FJ265+GA$244&gt;73,"",PRODUCT(INDEX($T$19:$T$93,GA$244):INDEX($T$19:$T$93,GA$244+$FJ265-1)))</f>
        <v/>
      </c>
      <c r="GB265" s="150" t="str">
        <f aca="false">IF($FJ265+GB$244&gt;73,"",PRODUCT(INDEX($T$19:$T$93,GB$244):INDEX($T$19:$T$93,GB$244+$FJ265-1)))</f>
        <v/>
      </c>
      <c r="GC265" s="150" t="str">
        <f aca="false">IF($FJ265+GC$244&gt;73,"",PRODUCT(INDEX($T$19:$T$93,GC$244):INDEX($T$19:$T$93,GC$244+$FJ265-1)))</f>
        <v/>
      </c>
      <c r="GD265" s="150" t="str">
        <f aca="false">IF($FJ265+GD$244&gt;73,"",PRODUCT(INDEX($T$19:$T$93,GD$244):INDEX($T$19:$T$93,GD$244+$FJ265-1)))</f>
        <v/>
      </c>
      <c r="GE265" s="150" t="n">
        <f aca="false">IF($FJ265+GE$244&gt;73,"",PRODUCT(INDEX($T$19:$T$93,GE$244):INDEX($T$19:$T$93,GE$244+$FJ265-1)))</f>
        <v>0.999704264307522</v>
      </c>
      <c r="GF265" s="150" t="n">
        <f aca="false">IF($FJ265+GF$244&gt;73,"",PRODUCT(INDEX($T$19:$T$93,GF$244):INDEX($T$19:$T$93,GF$244+$FJ265-1)))</f>
        <v>0.999654114740609</v>
      </c>
      <c r="GG265" s="150" t="n">
        <f aca="false">IF($FJ265+GG$244&gt;73,"",PRODUCT(INDEX($T$19:$T$93,GG$244):INDEX($T$19:$T$93,GG$244+$FJ265-1)))</f>
        <v>0.999595462006012</v>
      </c>
      <c r="GH265" s="150" t="n">
        <f aca="false">IF($FJ265+GH$244&gt;73,"",PRODUCT(INDEX($T$19:$T$93,GH$244):INDEX($T$19:$T$93,GH$244+$FJ265-1)))</f>
        <v>0.999526864714537</v>
      </c>
      <c r="GI265" s="150" t="n">
        <f aca="false">IF($FJ265+GI$244&gt;73,"",PRODUCT(INDEX($T$19:$T$93,GI$244):INDEX($T$19:$T$93,GI$244+$FJ265-1)))</f>
        <v>0.999446637287532</v>
      </c>
      <c r="GJ265" s="150" t="n">
        <f aca="false">IF($FJ265+GJ$244&gt;73,"",PRODUCT(INDEX($T$19:$T$93,GJ$244):INDEX($T$19:$T$93,GJ$244+$FJ265-1)))</f>
        <v>0.999352808642653</v>
      </c>
      <c r="GK265" s="150" t="n">
        <f aca="false">IF($FJ265+GK$244&gt;73,"",PRODUCT(INDEX($T$19:$T$93,GK$244):INDEX($T$19:$T$93,GK$244+$FJ265-1)))</f>
        <v>0.999243073910364</v>
      </c>
      <c r="GL265" s="150" t="n">
        <f aca="false">IF($FJ265+GL$244&gt;73,"",PRODUCT(INDEX($T$19:$T$93,GL$244):INDEX($T$19:$T$93,GL$244+$FJ265-1)))</f>
        <v>0.999114738013369</v>
      </c>
      <c r="GM265" s="150" t="n">
        <f aca="false">IF($FJ265+GM$244&gt;73,"",PRODUCT(INDEX($T$19:$T$93,GM$244):INDEX($T$19:$T$93,GM$244+$FJ265-1)))</f>
        <v>0.998964649748422</v>
      </c>
      <c r="GN265" s="150" t="n">
        <f aca="false">IF($FJ265+GN$244&gt;73,"",PRODUCT(INDEX($T$19:$T$93,GN$244):INDEX($T$19:$T$93,GN$244+$FJ265-1)))</f>
        <v>0.998789124786558</v>
      </c>
      <c r="GO265" s="150" t="n">
        <f aca="false">IF($FJ265+GO$244&gt;73,"",PRODUCT(INDEX($T$19:$T$93,GO$244):INDEX($T$19:$T$93,GO$244+$FJ265-1)))</f>
        <v>0.998583855749225</v>
      </c>
      <c r="GP265" s="150" t="n">
        <f aca="false">IF($FJ265+GP$244&gt;73,"",PRODUCT(INDEX($T$19:$T$93,GP$244):INDEX($T$19:$T$93,GP$244+$FJ265-1)))</f>
        <v>0.998343807219196</v>
      </c>
      <c r="GQ265" s="150" t="n">
        <f aca="false">IF($FJ265+GQ$244&gt;73,"",PRODUCT(INDEX($T$19:$T$93,GQ$244):INDEX($T$19:$T$93,GQ$244+$FJ265-1)))</f>
        <v>0.998063093201078</v>
      </c>
      <c r="GR265" s="150" t="n">
        <f aca="false">IF($FJ265+GR$244&gt;73,"",PRODUCT(INDEX($T$19:$T$93,GR$244):INDEX($T$19:$T$93,GR$244+$FJ265-1)))</f>
        <v>0.997734834150952</v>
      </c>
      <c r="GS265" s="150" t="n">
        <f aca="false">IF($FJ265+GS$244&gt;73,"",PRODUCT(INDEX($T$19:$T$93,GS$244):INDEX($T$19:$T$93,GS$244+$FJ265-1)))</f>
        <v>0.997350990242218</v>
      </c>
      <c r="GT265" s="150" t="n">
        <f aca="false">IF($FJ265+GT$244&gt;73,"",PRODUCT(INDEX($T$19:$T$93,GT$244):INDEX($T$19:$T$93,GT$244+$FJ265-1)))</f>
        <v>0.996902167018942</v>
      </c>
      <c r="GU265" s="150" t="n">
        <f aca="false">IF($FJ265+GU$244&gt;73,"",PRODUCT(INDEX($T$19:$T$93,GU$244):INDEX($T$19:$T$93,GU$244+$FJ265-1)))</f>
        <v>0.996377389003298</v>
      </c>
      <c r="GV265" s="150" t="n">
        <f aca="false">IF($FJ265+GV$244&gt;73,"",PRODUCT(INDEX($T$19:$T$93,GV$244):INDEX($T$19:$T$93,GV$244+$FJ265-1)))</f>
        <v>0.995763836165175</v>
      </c>
      <c r="GW265" s="150" t="n">
        <f aca="false">IF($FJ265+GW$244&gt;73,"",PRODUCT(INDEX($T$19:$T$93,GW$244):INDEX($T$19:$T$93,GW$244+$FJ265-1)))</f>
        <v>0.99504653742665</v>
      </c>
      <c r="GX265" s="150" t="n">
        <f aca="false">IF($FJ265+GX$244&gt;73,"",PRODUCT(INDEX($T$19:$T$93,GX$244):INDEX($T$19:$T$93,GX$244+$FJ265-1)))</f>
        <v>0.994208014561676</v>
      </c>
      <c r="GY265" s="150" t="n">
        <f aca="false">IF($FJ265+GY$244&gt;73,"",PRODUCT(INDEX($T$19:$T$93,GY$244):INDEX($T$19:$T$93,GY$244+$FJ265-1)))</f>
        <v>0.993227868966547</v>
      </c>
      <c r="GZ265" s="150" t="n">
        <f aca="false">IF($FJ265+GZ$244&gt;73,"",PRODUCT(INDEX($T$19:$T$93,GZ$244):INDEX($T$19:$T$93,GZ$244+$FJ265-1)))</f>
        <v>0.992082302831491</v>
      </c>
      <c r="HA265" s="150" t="n">
        <f aca="false">IF($FJ265+HA$244&gt;73,"",PRODUCT(INDEX($T$19:$T$93,HA$244):INDEX($T$19:$T$93,HA$244+$FJ265-1)))</f>
        <v>0.990743565260642</v>
      </c>
      <c r="HB265" s="150" t="n">
        <f aca="false">IF($FJ265+HB$244&gt;73,"",PRODUCT(INDEX($T$19:$T$93,HB$244):INDEX($T$19:$T$93,HB$244+$FJ265-1)))</f>
        <v>0.989179312905319</v>
      </c>
      <c r="HC265" s="150" t="n">
        <f aca="false">IF($FJ265+HC$244&gt;73,"",PRODUCT(INDEX($T$19:$T$93,HC$244):INDEX($T$19:$T$93,HC$244+$FJ265-1)))</f>
        <v>0.987351873755275</v>
      </c>
      <c r="HD265" s="150" t="n">
        <f aca="false">IF($FJ265+HD$244&gt;73,"",PRODUCT(INDEX($T$19:$T$93,HD$244):INDEX($T$19:$T$93,HD$244+$FJ265-1)))</f>
        <v>0.985217401968059</v>
      </c>
      <c r="HE265" s="150" t="n">
        <f aca="false">IF($FJ265+HE$244&gt;73,"",PRODUCT(INDEX($T$19:$T$93,HE$244):INDEX($T$19:$T$93,HE$244+$FJ265-1)))</f>
        <v>0.982724911147007</v>
      </c>
      <c r="HF265" s="150" t="n">
        <f aca="false">IF($FJ265+HF$244&gt;73,"",PRODUCT(INDEX($T$19:$T$93,HF$244):INDEX($T$19:$T$93,HF$244+$FJ265-1)))</f>
        <v>0.979815173506163</v>
      </c>
      <c r="HG265" s="150" t="n">
        <f aca="false">IF($FJ265+HG$244&gt;73,"",PRODUCT(INDEX($T$19:$T$93,HG$244):INDEX($T$19:$T$93,HG$244+$FJ265-1)))</f>
        <v>0.976419473175209</v>
      </c>
      <c r="HH265" s="150" t="n">
        <f aca="false">IF($FJ265+HH$244&gt;73,"",PRODUCT(INDEX($T$19:$T$93,HH$244):INDEX($T$19:$T$93,HH$244+$FJ265-1)))</f>
        <v>0.972458203908367</v>
      </c>
      <c r="HI265" s="150" t="n">
        <f aca="false">IF($FJ265+HI$244&gt;73,"",PRODUCT(INDEX($T$19:$T$93,HI$244):INDEX($T$19:$T$93,HI$244+$FJ265-1)))</f>
        <v>0.967839305238538</v>
      </c>
      <c r="HJ265" s="150" t="n">
        <f aca="false">IF($FJ265+HJ$244&gt;73,"",PRODUCT(INDEX($T$19:$T$93,HJ$244):INDEX($T$19:$T$93,HJ$244+$FJ265-1)))</f>
        <v>0.962456537448433</v>
      </c>
      <c r="HK265" s="150" t="n">
        <f aca="false">IF($FJ265+HK$244&gt;73,"",PRODUCT(INDEX($T$19:$T$93,HK$244):INDEX($T$19:$T$93,HK$244+$FJ265-1)))</f>
        <v>0.956187605687206</v>
      </c>
      <c r="HL265" s="150" t="n">
        <f aca="false">IF($FJ265+HL$244&gt;73,"",PRODUCT(INDEX($T$19:$T$93,HL$244):INDEX($T$19:$T$93,HL$244+$FJ265-1)))</f>
        <v>0.948892158590485</v>
      </c>
      <c r="HM265" s="150" t="n">
        <f aca="false">IF($FJ265+HM$244&gt;73,"",PRODUCT(INDEX($T$19:$T$93,HM$244):INDEX($T$19:$T$93,HM$244+$FJ265-1)))</f>
        <v>0.940409708788096</v>
      </c>
      <c r="HN265" s="150" t="n">
        <f aca="false">IF($FJ265+HN$244&gt;73,"",PRODUCT(INDEX($T$19:$T$93,HN$244):INDEX($T$19:$T$93,HN$244+$FJ265-1)))</f>
        <v>0.930557554227935</v>
      </c>
      <c r="HO265" s="150" t="n">
        <f aca="false">IF($FJ265+HO$244&gt;73,"",PRODUCT(INDEX($T$19:$T$93,HO$244):INDEX($T$19:$T$93,HO$244+$FJ265-1)))</f>
        <v>0.919128823545262</v>
      </c>
      <c r="HP265" s="150" t="n">
        <f aca="false">IF($FJ265+HP$244&gt;73,"",PRODUCT(INDEX($T$19:$T$93,HP$244):INDEX($T$19:$T$93,HP$244+$FJ265-1)))</f>
        <v>0.905890829821408</v>
      </c>
      <c r="HQ265" s="150" t="n">
        <f aca="false">IF($FJ265+HQ$244&gt;73,"",PRODUCT(INDEX($T$19:$T$93,HQ$244):INDEX($T$19:$T$93,HQ$244+$FJ265-1)))</f>
        <v>0.890583999910682</v>
      </c>
      <c r="HR265" s="150" t="n">
        <f aca="false">IF($FJ265+HR$244&gt;73,"",PRODUCT(INDEX($T$19:$T$93,HR$244):INDEX($T$19:$T$93,HR$244+$FJ265-1)))</f>
        <v>0.872921756693152</v>
      </c>
      <c r="HS265" s="150" t="n">
        <f aca="false">IF($FJ265+HS$244&gt;73,"",PRODUCT(INDEX($T$19:$T$93,HS$244):INDEX($T$19:$T$93,HS$244+$FJ265-1)))</f>
        <v>0.852591875026666</v>
      </c>
      <c r="HT265" s="150" t="n">
        <f aca="false">IF($FJ265+HT$244&gt;73,"",PRODUCT(INDEX($T$19:$T$93,HT$244):INDEX($T$19:$T$93,HT$244+$FJ265-1)))</f>
        <v>0.82926001394819</v>
      </c>
      <c r="HU265" s="150" t="n">
        <f aca="false">IF($FJ265+HU$244&gt;73,"",PRODUCT(INDEX($T$19:$T$93,HU$244):INDEX($T$19:$T$93,HU$244+$FJ265-1)))</f>
        <v>0.802576350111325</v>
      </c>
      <c r="HV265" s="150" t="n">
        <f aca="false">IF($FJ265+HV$244&gt;73,"",PRODUCT(INDEX($T$19:$T$93,HV$244):INDEX($T$19:$T$93,HV$244+$FJ265-1)))</f>
        <v>0.7721864962672</v>
      </c>
      <c r="HW265" s="150" t="n">
        <f aca="false">IF($FJ265+HW$244&gt;73,"",PRODUCT(INDEX($T$19:$T$93,HW$244):INDEX($T$19:$T$93,HW$244+$FJ265-1)))</f>
        <v>0.737748166514912</v>
      </c>
      <c r="HX265" s="150" t="n">
        <f aca="false">IF($FJ265+HX$244&gt;73,"",PRODUCT(INDEX($T$19:$T$93,HX$244):INDEX($T$19:$T$93,HX$244+$FJ265-1)))</f>
        <v>0.698955306310768</v>
      </c>
      <c r="HY265" s="150" t="n">
        <f aca="false">IF($FJ265+HY$244&gt;73,"",PRODUCT(INDEX($T$19:$T$93,HY$244):INDEX($T$19:$T$93,HY$244+$FJ265-1)))</f>
        <v>0.655571559522421</v>
      </c>
      <c r="HZ265" s="150" t="n">
        <f aca="false">IF($FJ265+HZ$244&gt;73,"",PRODUCT(INDEX($T$19:$T$93,HZ$244):INDEX($T$19:$T$93,HZ$244+$FJ265-1)))</f>
        <v>0.607474854207415</v>
      </c>
      <c r="IA265" s="150" t="n">
        <f aca="false">IF($FJ265+IA$244&gt;73,"",PRODUCT(INDEX($T$19:$T$93,IA$244):INDEX($T$19:$T$93,IA$244+$FJ265-1)))</f>
        <v>0.554714317894463</v>
      </c>
      <c r="IB265" s="150" t="n">
        <f aca="false">IF($FJ265+IB$244&gt;73,"",PRODUCT(INDEX($T$19:$T$93,IB$244):INDEX($T$19:$T$93,IB$244+$FJ265-1)))</f>
        <v>0.497579322423169</v>
      </c>
      <c r="IC265" s="150" t="n">
        <f aca="false">IF($FJ265+IC$244&gt;73,"",PRODUCT(INDEX($T$19:$T$93,IC$244):INDEX($T$19:$T$93,IC$244+$FJ265-1)))</f>
        <v>0.436677706443547</v>
      </c>
      <c r="ID265" s="572" t="n">
        <f aca="false">IF($FJ265+ID$244&gt;73,"",PRODUCT(INDEX($T$19:$T$93,ID$244):INDEX($T$19:$T$93,ID$244+$FJ265-1)))</f>
        <v>0.373015521095541</v>
      </c>
      <c r="IE265" s="129"/>
    </row>
    <row r="266" customFormat="false" ht="12.75" hidden="false" customHeight="false" outlineLevel="0" collapsed="false">
      <c r="I266" s="735"/>
      <c r="J266" s="727"/>
      <c r="K266" s="728"/>
      <c r="L266" s="195"/>
      <c r="M266" s="729"/>
      <c r="P266" s="727"/>
      <c r="S266" s="1"/>
      <c r="T266" s="727"/>
      <c r="U266" s="195"/>
      <c r="V266" s="195"/>
      <c r="W266" s="195"/>
      <c r="X266" s="195"/>
      <c r="Y266" s="195"/>
      <c r="Z266" s="195"/>
      <c r="AA266" s="195"/>
      <c r="AB266" s="195"/>
      <c r="AC266" s="195"/>
      <c r="AD266" s="195"/>
      <c r="AE266" s="195"/>
      <c r="AF266" s="195"/>
      <c r="AG266" s="195"/>
      <c r="AH266" s="195"/>
      <c r="AI266" s="195"/>
      <c r="AJ266" s="195"/>
      <c r="AK266" s="195"/>
      <c r="AL266" s="240"/>
      <c r="AM266" s="240"/>
      <c r="AN266" s="240"/>
      <c r="AO266" s="532"/>
      <c r="AP266" s="730"/>
      <c r="AQ266" s="532"/>
      <c r="AR266" s="730"/>
      <c r="AS266" s="730"/>
      <c r="AT266" s="730"/>
      <c r="AU266" s="730"/>
      <c r="AV266" s="468"/>
      <c r="AW266" s="240"/>
      <c r="AX266" s="240"/>
      <c r="AY266" s="240"/>
      <c r="AZ266" s="240"/>
      <c r="BA266" s="240"/>
      <c r="BB266" s="240"/>
      <c r="BC266" s="672"/>
      <c r="BD266" s="672"/>
      <c r="BE266" s="672"/>
      <c r="BF266" s="731"/>
      <c r="BG266" s="672"/>
      <c r="BH266" s="672"/>
      <c r="BI266" s="732"/>
      <c r="BJ266" s="240"/>
      <c r="BK266" s="240"/>
      <c r="BL266" s="240"/>
      <c r="BM266" s="240"/>
      <c r="BN266" s="240"/>
      <c r="BO266" s="240"/>
      <c r="BP266" s="240"/>
      <c r="BQ266" s="240"/>
      <c r="BR266" s="240"/>
      <c r="BS266" s="240"/>
      <c r="BT266" s="240"/>
      <c r="BU266" s="240"/>
      <c r="BV266" s="672"/>
      <c r="BW266" s="672"/>
      <c r="BX266" s="672"/>
      <c r="BY266" s="672"/>
      <c r="BZ266" s="672"/>
      <c r="CA266" s="672"/>
      <c r="CB266" s="672"/>
      <c r="CC266" s="672"/>
      <c r="CD266" s="672"/>
      <c r="CE266" s="672"/>
      <c r="CF266" s="240"/>
      <c r="CG266" s="240"/>
      <c r="CH266" s="240"/>
      <c r="CI266" s="240"/>
      <c r="CJ266" s="240"/>
      <c r="CK266" s="240"/>
      <c r="CL266" s="733"/>
      <c r="CM266" s="195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H266" s="478"/>
      <c r="DK266" s="478"/>
      <c r="DM266" s="195"/>
      <c r="DN266" s="195"/>
      <c r="DO266" s="195"/>
      <c r="DP266" s="195"/>
      <c r="DQ266" s="195"/>
      <c r="DR266" s="195"/>
      <c r="DS266" s="195"/>
      <c r="DT266" s="195"/>
      <c r="DU266" s="195"/>
      <c r="DV266" s="195"/>
      <c r="DW266" s="195"/>
      <c r="DX266" s="195"/>
      <c r="DY266" s="195"/>
      <c r="DZ266" s="195"/>
      <c r="EA266" s="195"/>
      <c r="EB266" s="195"/>
      <c r="EC266" s="195"/>
      <c r="ED266" s="195"/>
      <c r="EE266" s="195"/>
      <c r="EF266" s="195"/>
      <c r="EG266" s="734"/>
      <c r="EL266" s="1"/>
      <c r="EM266" s="195"/>
      <c r="EN266" s="240"/>
      <c r="EO266" s="240"/>
      <c r="EP266" s="195"/>
      <c r="EQ266" s="240"/>
      <c r="ER266" s="195"/>
      <c r="ES266" s="195"/>
      <c r="ET266" s="195"/>
      <c r="EU266" s="240"/>
      <c r="FJ266" s="571" t="n">
        <v>22</v>
      </c>
      <c r="FK266" s="150" t="str">
        <f aca="false">IF($FJ266+FK$244&gt;73,"",PRODUCT(INDEX($T$19:$T$93,FK$244):INDEX($T$19:$T$93,FK$244+$FJ266-1)))</f>
        <v/>
      </c>
      <c r="FL266" s="150" t="str">
        <f aca="false">IF($FJ266+FL$244&gt;73,"",PRODUCT(INDEX($T$19:$T$93,FL$244):INDEX($T$19:$T$93,FL$244+$FJ266-1)))</f>
        <v/>
      </c>
      <c r="FM266" s="150" t="str">
        <f aca="false">IF($FJ266+FM$244&gt;73,"",PRODUCT(INDEX($T$19:$T$93,FM$244):INDEX($T$19:$T$93,FM$244+$FJ266-1)))</f>
        <v/>
      </c>
      <c r="FN266" s="150" t="str">
        <f aca="false">IF($FJ266+FN$244&gt;73,"",PRODUCT(INDEX($T$19:$T$93,FN$244):INDEX($T$19:$T$93,FN$244+$FJ266-1)))</f>
        <v/>
      </c>
      <c r="FO266" s="150" t="str">
        <f aca="false">IF($FJ266+FO$244&gt;73,"",PRODUCT(INDEX($T$19:$T$93,FO$244):INDEX($T$19:$T$93,FO$244+$FJ266-1)))</f>
        <v/>
      </c>
      <c r="FP266" s="150" t="str">
        <f aca="false">IF($FJ266+FP$244&gt;73,"",PRODUCT(INDEX($T$19:$T$93,FP$244):INDEX($T$19:$T$93,FP$244+$FJ266-1)))</f>
        <v/>
      </c>
      <c r="FQ266" s="150" t="str">
        <f aca="false">IF($FJ266+FQ$244&gt;73,"",PRODUCT(INDEX($T$19:$T$93,FQ$244):INDEX($T$19:$T$93,FQ$244+$FJ266-1)))</f>
        <v/>
      </c>
      <c r="FR266" s="150" t="str">
        <f aca="false">IF($FJ266+FR$244&gt;73,"",PRODUCT(INDEX($T$19:$T$93,FR$244):INDEX($T$19:$T$93,FR$244+$FJ266-1)))</f>
        <v/>
      </c>
      <c r="FS266" s="150" t="str">
        <f aca="false">IF($FJ266+FS$244&gt;73,"",PRODUCT(INDEX($T$19:$T$93,FS$244):INDEX($T$19:$T$93,FS$244+$FJ266-1)))</f>
        <v/>
      </c>
      <c r="FT266" s="150" t="str">
        <f aca="false">IF($FJ266+FT$244&gt;73,"",PRODUCT(INDEX($T$19:$T$93,FT$244):INDEX($T$19:$T$93,FT$244+$FJ266-1)))</f>
        <v/>
      </c>
      <c r="FU266" s="150" t="str">
        <f aca="false">IF($FJ266+FU$244&gt;73,"",PRODUCT(INDEX($T$19:$T$93,FU$244):INDEX($T$19:$T$93,FU$244+$FJ266-1)))</f>
        <v/>
      </c>
      <c r="FV266" s="150" t="str">
        <f aca="false">IF($FJ266+FV$244&gt;73,"",PRODUCT(INDEX($T$19:$T$93,FV$244):INDEX($T$19:$T$93,FV$244+$FJ266-1)))</f>
        <v/>
      </c>
      <c r="FW266" s="150" t="str">
        <f aca="false">IF($FJ266+FW$244&gt;73,"",PRODUCT(INDEX($T$19:$T$93,FW$244):INDEX($T$19:$T$93,FW$244+$FJ266-1)))</f>
        <v/>
      </c>
      <c r="FX266" s="150" t="str">
        <f aca="false">IF($FJ266+FX$244&gt;73,"",PRODUCT(INDEX($T$19:$T$93,FX$244):INDEX($T$19:$T$93,FX$244+$FJ266-1)))</f>
        <v/>
      </c>
      <c r="FY266" s="150" t="str">
        <f aca="false">IF($FJ266+FY$244&gt;73,"",PRODUCT(INDEX($T$19:$T$93,FY$244):INDEX($T$19:$T$93,FY$244+$FJ266-1)))</f>
        <v/>
      </c>
      <c r="FZ266" s="150" t="str">
        <f aca="false">IF($FJ266+FZ$244&gt;73,"",PRODUCT(INDEX($T$19:$T$93,FZ$244):INDEX($T$19:$T$93,FZ$244+$FJ266-1)))</f>
        <v/>
      </c>
      <c r="GA266" s="150" t="str">
        <f aca="false">IF($FJ266+GA$244&gt;73,"",PRODUCT(INDEX($T$19:$T$93,GA$244):INDEX($T$19:$T$93,GA$244+$FJ266-1)))</f>
        <v/>
      </c>
      <c r="GB266" s="150" t="str">
        <f aca="false">IF($FJ266+GB$244&gt;73,"",PRODUCT(INDEX($T$19:$T$93,GB$244):INDEX($T$19:$T$93,GB$244+$FJ266-1)))</f>
        <v/>
      </c>
      <c r="GC266" s="150" t="str">
        <f aca="false">IF($FJ266+GC$244&gt;73,"",PRODUCT(INDEX($T$19:$T$93,GC$244):INDEX($T$19:$T$93,GC$244+$FJ266-1)))</f>
        <v/>
      </c>
      <c r="GD266" s="150" t="str">
        <f aca="false">IF($FJ266+GD$244&gt;73,"",PRODUCT(INDEX($T$19:$T$93,GD$244):INDEX($T$19:$T$93,GD$244+$FJ266-1)))</f>
        <v/>
      </c>
      <c r="GE266" s="150" t="str">
        <f aca="false">IF($FJ266+GE$244&gt;73,"",PRODUCT(INDEX($T$19:$T$93,GE$244):INDEX($T$19:$T$93,GE$244+$FJ266-1)))</f>
        <v/>
      </c>
      <c r="GF266" s="150" t="n">
        <f aca="false">IF($FJ266+GF$244&gt;73,"",PRODUCT(INDEX($T$19:$T$93,GF$244):INDEX($T$19:$T$93,GF$244+$FJ266-1)))</f>
        <v>0.9996521739955</v>
      </c>
      <c r="GG266" s="150" t="n">
        <f aca="false">IF($FJ266+GG$244&gt;73,"",PRODUCT(INDEX($T$19:$T$93,GG$244):INDEX($T$19:$T$93,GG$244+$FJ266-1)))</f>
        <v>0.999593192259294</v>
      </c>
      <c r="GH266" s="150" t="n">
        <f aca="false">IF($FJ266+GH$244&gt;73,"",PRODUCT(INDEX($T$19:$T$93,GH$244):INDEX($T$19:$T$93,GH$244+$FJ266-1)))</f>
        <v>0.999524210218739</v>
      </c>
      <c r="GI266" s="150" t="n">
        <f aca="false">IF($FJ266+GI$244&gt;73,"",PRODUCT(INDEX($T$19:$T$93,GI$244):INDEX($T$19:$T$93,GI$244+$FJ266-1)))</f>
        <v>0.999443532858665</v>
      </c>
      <c r="GJ266" s="150" t="n">
        <f aca="false">IF($FJ266+GJ$244&gt;73,"",PRODUCT(INDEX($T$19:$T$93,GJ$244):INDEX($T$19:$T$93,GJ$244+$FJ266-1)))</f>
        <v>0.999349178066389</v>
      </c>
      <c r="GK266" s="150" t="n">
        <f aca="false">IF($FJ266+GK$244&gt;73,"",PRODUCT(INDEX($T$19:$T$93,GK$244):INDEX($T$19:$T$93,GK$244+$FJ266-1)))</f>
        <v>0.999238828080329</v>
      </c>
      <c r="GL266" s="150" t="n">
        <f aca="false">IF($FJ266+GL$244&gt;73,"",PRODUCT(INDEX($T$19:$T$93,GL$244):INDEX($T$19:$T$93,GL$244+$FJ266-1)))</f>
        <v>0.999109772756996</v>
      </c>
      <c r="GM266" s="150" t="n">
        <f aca="false">IF($FJ266+GM$244&gt;73,"",PRODUCT(INDEX($T$19:$T$93,GM$244):INDEX($T$19:$T$93,GM$244+$FJ266-1)))</f>
        <v>0.998958843288584</v>
      </c>
      <c r="GN266" s="150" t="n">
        <f aca="false">IF($FJ266+GN$244&gt;73,"",PRODUCT(INDEX($T$19:$T$93,GN$244):INDEX($T$19:$T$93,GN$244+$FJ266-1)))</f>
        <v>0.998782334778869</v>
      </c>
      <c r="GO266" s="150" t="n">
        <f aca="false">IF($FJ266+GO$244&gt;73,"",PRODUCT(INDEX($T$19:$T$93,GO$244):INDEX($T$19:$T$93,GO$244+$FJ266-1)))</f>
        <v>0.998575915825315</v>
      </c>
      <c r="GP266" s="150" t="n">
        <f aca="false">IF($FJ266+GP$244&gt;73,"",PRODUCT(INDEX($T$19:$T$93,GP$244):INDEX($T$19:$T$93,GP$244+$FJ266-1)))</f>
        <v>0.998334522955261</v>
      </c>
      <c r="GQ266" s="150" t="n">
        <f aca="false">IF($FJ266+GQ$244&gt;73,"",PRODUCT(INDEX($T$19:$T$93,GQ$244):INDEX($T$19:$T$93,GQ$244+$FJ266-1)))</f>
        <v>0.998052237418472</v>
      </c>
      <c r="GR266" s="150" t="n">
        <f aca="false">IF($FJ266+GR$244&gt;73,"",PRODUCT(INDEX($T$19:$T$93,GR$244):INDEX($T$19:$T$93,GR$244+$FJ266-1)))</f>
        <v>0.997722141441319</v>
      </c>
      <c r="GS266" s="150" t="n">
        <f aca="false">IF($FJ266+GS$244&gt;73,"",PRODUCT(INDEX($T$19:$T$93,GS$244):INDEX($T$19:$T$93,GS$244+$FJ266-1)))</f>
        <v>0.997336150593552</v>
      </c>
      <c r="GT266" s="150" t="n">
        <f aca="false">IF($FJ266+GT$244&gt;73,"",PRODUCT(INDEX($T$19:$T$93,GT$244):INDEX($T$19:$T$93,GT$244+$FJ266-1)))</f>
        <v>0.996884818400888</v>
      </c>
      <c r="GU266" s="150" t="n">
        <f aca="false">IF($FJ266+GU$244&gt;73,"",PRODUCT(INDEX($T$19:$T$93,GU$244):INDEX($T$19:$T$93,GU$244+$FJ266-1)))</f>
        <v>0.996357108749942</v>
      </c>
      <c r="GV266" s="150" t="n">
        <f aca="false">IF($FJ266+GV$244&gt;73,"",PRODUCT(INDEX($T$19:$T$93,GV$244):INDEX($T$19:$T$93,GV$244+$FJ266-1)))</f>
        <v>0.995740130971498</v>
      </c>
      <c r="GW266" s="150" t="n">
        <f aca="false">IF($FJ266+GW$244&gt;73,"",PRODUCT(INDEX($T$19:$T$93,GW$244):INDEX($T$19:$T$93,GW$244+$FJ266-1)))</f>
        <v>0.995018831751033</v>
      </c>
      <c r="GX266" s="150" t="n">
        <f aca="false">IF($FJ266+GX$244&gt;73,"",PRODUCT(INDEX($T$19:$T$93,GX$244):INDEX($T$19:$T$93,GX$244+$FJ266-1)))</f>
        <v>0.994175637201595</v>
      </c>
      <c r="GY266" s="150" t="n">
        <f aca="false">IF($FJ266+GY$244&gt;73,"",PRODUCT(INDEX($T$19:$T$93,GY$244):INDEX($T$19:$T$93,GY$244+$FJ266-1)))</f>
        <v>0.993190037548792</v>
      </c>
      <c r="GZ266" s="150" t="n">
        <f aca="false">IF($FJ266+GZ$244&gt;73,"",PRODUCT(INDEX($T$19:$T$93,GZ$244):INDEX($T$19:$T$93,GZ$244+$FJ266-1)))</f>
        <v>0.992038105932885</v>
      </c>
      <c r="HA266" s="150" t="n">
        <f aca="false">IF($FJ266+HA$244&gt;73,"",PRODUCT(INDEX($T$19:$T$93,HA$244):INDEX($T$19:$T$93,HA$244+$FJ266-1)))</f>
        <v>0.99069194185231</v>
      </c>
      <c r="HB266" s="150" t="n">
        <f aca="false">IF($FJ266+HB$244&gt;73,"",PRODUCT(INDEX($T$19:$T$93,HB$244):INDEX($T$19:$T$93,HB$244+$FJ266-1)))</f>
        <v>0.989119028795726</v>
      </c>
      <c r="HC266" s="150" t="n">
        <f aca="false">IF($FJ266+HC$244&gt;73,"",PRODUCT(INDEX($T$19:$T$93,HC$244):INDEX($T$19:$T$93,HC$244+$FJ266-1)))</f>
        <v>0.9872814946986</v>
      </c>
      <c r="HD266" s="150" t="n">
        <f aca="false">IF($FJ266+HD$244&gt;73,"",PRODUCT(INDEX($T$19:$T$93,HD$244):INDEX($T$19:$T$93,HD$244+$FJ266-1)))</f>
        <v>0.985135263110724</v>
      </c>
      <c r="HE266" s="150" t="n">
        <f aca="false">IF($FJ266+HE$244&gt;73,"",PRODUCT(INDEX($T$19:$T$93,HE$244):INDEX($T$19:$T$93,HE$244+$FJ266-1)))</f>
        <v>0.982629082514577</v>
      </c>
      <c r="HF266" s="150" t="n">
        <f aca="false">IF($FJ266+HF$244&gt;73,"",PRODUCT(INDEX($T$19:$T$93,HF$244):INDEX($T$19:$T$93,HF$244+$FJ266-1)))</f>
        <v>0.979703421296649</v>
      </c>
      <c r="HG266" s="150" t="n">
        <f aca="false">IF($FJ266+HG$244&gt;73,"",PRODUCT(INDEX($T$19:$T$93,HG$244):INDEX($T$19:$T$93,HG$244+$FJ266-1)))</f>
        <v>0.976289216738769</v>
      </c>
      <c r="HH266" s="150" t="n">
        <f aca="false">IF($FJ266+HH$244&gt;73,"",PRODUCT(INDEX($T$19:$T$93,HH$244):INDEX($T$19:$T$93,HH$244+$FJ266-1)))</f>
        <v>0.972306468478696</v>
      </c>
      <c r="HI266" s="150" t="n">
        <f aca="false">IF($FJ266+HI$244&gt;73,"",PRODUCT(INDEX($T$19:$T$93,HI$244):INDEX($T$19:$T$93,HI$244+$FJ266-1)))</f>
        <v>0.967662670766527</v>
      </c>
      <c r="HJ266" s="150" t="n">
        <f aca="false">IF($FJ266+HJ$244&gt;73,"",PRODUCT(INDEX($T$19:$T$93,HJ$244):INDEX($T$19:$T$93,HJ$244+$FJ266-1)))</f>
        <v>0.96225108431173</v>
      </c>
      <c r="HK266" s="150" t="n">
        <f aca="false">IF($FJ266+HK$244&gt;73,"",PRODUCT(INDEX($T$19:$T$93,HK$244):INDEX($T$19:$T$93,HK$244+$FJ266-1)))</f>
        <v>0.955948858659696</v>
      </c>
      <c r="HL266" s="150" t="n">
        <f aca="false">IF($FJ266+HL$244&gt;73,"",PRODUCT(INDEX($T$19:$T$93,HL$244):INDEX($T$19:$T$93,HL$244+$FJ266-1)))</f>
        <v>0.948615031316706</v>
      </c>
      <c r="HM266" s="150" t="n">
        <f aca="false">IF($FJ266+HM$244&gt;73,"",PRODUCT(INDEX($T$19:$T$93,HM$244):INDEX($T$19:$T$93,HM$244+$FJ266-1)))</f>
        <v>0.940088452198919</v>
      </c>
      <c r="HN266" s="150" t="n">
        <f aca="false">IF($FJ266+HN$244&gt;73,"",PRODUCT(INDEX($T$19:$T$93,HN$244):INDEX($T$19:$T$93,HN$244+$FJ266-1)))</f>
        <v>0.930185713951955</v>
      </c>
      <c r="HO266" s="150" t="n">
        <f aca="false">IF($FJ266+HO$244&gt;73,"",PRODUCT(INDEX($T$19:$T$93,HO$244):INDEX($T$19:$T$93,HO$244+$FJ266-1)))</f>
        <v>0.918699213528043</v>
      </c>
      <c r="HP266" s="150" t="n">
        <f aca="false">IF($FJ266+HP$244&gt;73,"",PRODUCT(INDEX($T$19:$T$93,HP$244):INDEX($T$19:$T$93,HP$244+$FJ266-1)))</f>
        <v>0.905395532184447</v>
      </c>
      <c r="HQ266" s="150" t="n">
        <f aca="false">IF($FJ266+HQ$244&gt;73,"",PRODUCT(INDEX($T$19:$T$93,HQ$244):INDEX($T$19:$T$93,HQ$244+$FJ266-1)))</f>
        <v>0.890014404681806</v>
      </c>
      <c r="HR266" s="150" t="n">
        <f aca="false">IF($FJ266+HR$244&gt;73,"",PRODUCT(INDEX($T$19:$T$93,HR$244):INDEX($T$19:$T$93,HR$244+$FJ266-1)))</f>
        <v>0.872268659504524</v>
      </c>
      <c r="HS266" s="150" t="n">
        <f aca="false">IF($FJ266+HS$244&gt;73,"",PRODUCT(INDEX($T$19:$T$93,HS$244):INDEX($T$19:$T$93,HS$244+$FJ266-1)))</f>
        <v>0.851845656203816</v>
      </c>
      <c r="HT266" s="150" t="n">
        <f aca="false">IF($FJ266+HT$244&gt;73,"",PRODUCT(INDEX($T$19:$T$93,HT$244):INDEX($T$19:$T$93,HT$244+$FJ266-1)))</f>
        <v>0.828410928425303</v>
      </c>
      <c r="HU266" s="150" t="n">
        <f aca="false">IF($FJ266+HU$244&gt;73,"",PRODUCT(INDEX($T$19:$T$93,HU$244):INDEX($T$19:$T$93,HU$244+$FJ266-1)))</f>
        <v>0.801614963804226</v>
      </c>
      <c r="HV266" s="150" t="n">
        <f aca="false">IF($FJ266+HV$244&gt;73,"",PRODUCT(INDEX($T$19:$T$93,HV$244):INDEX($T$19:$T$93,HV$244+$FJ266-1)))</f>
        <v>0.771104309869966</v>
      </c>
      <c r="HW266" s="150" t="n">
        <f aca="false">IF($FJ266+HW$244&gt;73,"",PRODUCT(INDEX($T$19:$T$93,HW$244):INDEX($T$19:$T$93,HW$244+$FJ266-1)))</f>
        <v>0.736538470241878</v>
      </c>
      <c r="HX266" s="150" t="n">
        <f aca="false">IF($FJ266+HX$244&gt;73,"",PRODUCT(INDEX($T$19:$T$93,HX$244):INDEX($T$19:$T$93,HX$244+$FJ266-1)))</f>
        <v>0.697614305656293</v>
      </c>
      <c r="HY266" s="150" t="n">
        <f aca="false">IF($FJ266+HY$244&gt;73,"",PRODUCT(INDEX($T$19:$T$93,HY$244):INDEX($T$19:$T$93,HY$244+$FJ266-1)))</f>
        <v>0.654099797594654</v>
      </c>
      <c r="HZ266" s="150" t="n">
        <f aca="false">IF($FJ266+HZ$244&gt;73,"",PRODUCT(INDEX($T$19:$T$93,HZ$244):INDEX($T$19:$T$93,HZ$244+$FJ266-1)))</f>
        <v>0.605878923218472</v>
      </c>
      <c r="IA266" s="150" t="n">
        <f aca="false">IF($FJ266+IA$244&gt;73,"",PRODUCT(INDEX($T$19:$T$93,IA$244):INDEX($T$19:$T$93,IA$244+$FJ266-1)))</f>
        <v>0.553008791085938</v>
      </c>
      <c r="IB266" s="150" t="n">
        <f aca="false">IF($FJ266+IB$244&gt;73,"",PRODUCT(INDEX($T$19:$T$93,IB$244):INDEX($T$19:$T$93,IB$244+$FJ266-1)))</f>
        <v>0.495788736579377</v>
      </c>
      <c r="IC266" s="150" t="n">
        <f aca="false">IF($FJ266+IC$244&gt;73,"",PRODUCT(INDEX($T$19:$T$93,IC$244):INDEX($T$19:$T$93,IC$244+$FJ266-1)))</f>
        <v>0.434838274204835</v>
      </c>
      <c r="ID266" s="572" t="n">
        <f aca="false">IF($FJ266+ID$244&gt;73,"",PRODUCT(INDEX($T$19:$T$93,ID$244):INDEX($T$19:$T$93,ID$244+$FJ266-1)))</f>
        <v>0.371176050477015</v>
      </c>
      <c r="IE266" s="129"/>
    </row>
    <row r="267" customFormat="false" ht="12.75" hidden="false" customHeight="false" outlineLevel="0" collapsed="false">
      <c r="I267" s="735"/>
      <c r="J267" s="727"/>
      <c r="K267" s="728"/>
      <c r="L267" s="195"/>
      <c r="M267" s="729"/>
      <c r="P267" s="727"/>
      <c r="S267" s="1"/>
      <c r="T267" s="727"/>
      <c r="U267" s="195"/>
      <c r="V267" s="195"/>
      <c r="W267" s="195"/>
      <c r="X267" s="195"/>
      <c r="Y267" s="195"/>
      <c r="Z267" s="195"/>
      <c r="AA267" s="195"/>
      <c r="AB267" s="195"/>
      <c r="AC267" s="195"/>
      <c r="AD267" s="195"/>
      <c r="AE267" s="195"/>
      <c r="AF267" s="195"/>
      <c r="AG267" s="195"/>
      <c r="AH267" s="195"/>
      <c r="AI267" s="195"/>
      <c r="AJ267" s="195"/>
      <c r="AK267" s="195"/>
      <c r="AL267" s="240"/>
      <c r="AM267" s="240"/>
      <c r="AN267" s="240"/>
      <c r="AO267" s="532"/>
      <c r="AP267" s="730"/>
      <c r="AQ267" s="532"/>
      <c r="AR267" s="730"/>
      <c r="AS267" s="730"/>
      <c r="AT267" s="730"/>
      <c r="AU267" s="730"/>
      <c r="AV267" s="468"/>
      <c r="AW267" s="240"/>
      <c r="AX267" s="240"/>
      <c r="AY267" s="240"/>
      <c r="AZ267" s="240"/>
      <c r="BA267" s="240"/>
      <c r="BB267" s="240"/>
      <c r="BC267" s="672"/>
      <c r="BD267" s="672"/>
      <c r="BE267" s="672"/>
      <c r="BF267" s="731"/>
      <c r="BG267" s="672"/>
      <c r="BH267" s="672"/>
      <c r="BI267" s="732"/>
      <c r="BJ267" s="240"/>
      <c r="BK267" s="240"/>
      <c r="BL267" s="240"/>
      <c r="BM267" s="240"/>
      <c r="BN267" s="240"/>
      <c r="BO267" s="240"/>
      <c r="BP267" s="240"/>
      <c r="BQ267" s="240"/>
      <c r="BR267" s="240"/>
      <c r="BS267" s="240"/>
      <c r="BT267" s="240"/>
      <c r="BU267" s="240"/>
      <c r="BV267" s="672"/>
      <c r="BW267" s="672"/>
      <c r="BX267" s="672"/>
      <c r="BY267" s="672"/>
      <c r="BZ267" s="672"/>
      <c r="CA267" s="672"/>
      <c r="CB267" s="672"/>
      <c r="CC267" s="672"/>
      <c r="CD267" s="672"/>
      <c r="CE267" s="672"/>
      <c r="CF267" s="240"/>
      <c r="CG267" s="240"/>
      <c r="CH267" s="240"/>
      <c r="CI267" s="240"/>
      <c r="CJ267" s="240"/>
      <c r="CK267" s="240"/>
      <c r="CL267" s="733"/>
      <c r="CM267" s="195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H267" s="478"/>
      <c r="DK267" s="478"/>
      <c r="DM267" s="195"/>
      <c r="DN267" s="195"/>
      <c r="DO267" s="195"/>
      <c r="DP267" s="195"/>
      <c r="DQ267" s="195"/>
      <c r="DR267" s="195"/>
      <c r="DS267" s="195"/>
      <c r="DT267" s="195"/>
      <c r="DU267" s="195"/>
      <c r="DV267" s="195"/>
      <c r="DW267" s="195"/>
      <c r="DX267" s="195"/>
      <c r="DY267" s="195"/>
      <c r="DZ267" s="195"/>
      <c r="EA267" s="195"/>
      <c r="EB267" s="195"/>
      <c r="EC267" s="195"/>
      <c r="ED267" s="195"/>
      <c r="EE267" s="195"/>
      <c r="EF267" s="195"/>
      <c r="EG267" s="734"/>
      <c r="EL267" s="1"/>
      <c r="EM267" s="195"/>
      <c r="EN267" s="240"/>
      <c r="EO267" s="240"/>
      <c r="EP267" s="195"/>
      <c r="EQ267" s="240"/>
      <c r="ER267" s="195"/>
      <c r="ES267" s="195"/>
      <c r="ET267" s="195"/>
      <c r="EU267" s="240"/>
      <c r="FJ267" s="571" t="n">
        <v>23</v>
      </c>
      <c r="FK267" s="150" t="str">
        <f aca="false">IF($FJ267+FK$244&gt;73,"",PRODUCT(INDEX($T$19:$T$93,FK$244):INDEX($T$19:$T$93,FK$244+$FJ267-1)))</f>
        <v/>
      </c>
      <c r="FL267" s="150" t="str">
        <f aca="false">IF($FJ267+FL$244&gt;73,"",PRODUCT(INDEX($T$19:$T$93,FL$244):INDEX($T$19:$T$93,FL$244+$FJ267-1)))</f>
        <v/>
      </c>
      <c r="FM267" s="150" t="str">
        <f aca="false">IF($FJ267+FM$244&gt;73,"",PRODUCT(INDEX($T$19:$T$93,FM$244):INDEX($T$19:$T$93,FM$244+$FJ267-1)))</f>
        <v/>
      </c>
      <c r="FN267" s="150" t="str">
        <f aca="false">IF($FJ267+FN$244&gt;73,"",PRODUCT(INDEX($T$19:$T$93,FN$244):INDEX($T$19:$T$93,FN$244+$FJ267-1)))</f>
        <v/>
      </c>
      <c r="FO267" s="150" t="str">
        <f aca="false">IF($FJ267+FO$244&gt;73,"",PRODUCT(INDEX($T$19:$T$93,FO$244):INDEX($T$19:$T$93,FO$244+$FJ267-1)))</f>
        <v/>
      </c>
      <c r="FP267" s="150" t="str">
        <f aca="false">IF($FJ267+FP$244&gt;73,"",PRODUCT(INDEX($T$19:$T$93,FP$244):INDEX($T$19:$T$93,FP$244+$FJ267-1)))</f>
        <v/>
      </c>
      <c r="FQ267" s="150" t="str">
        <f aca="false">IF($FJ267+FQ$244&gt;73,"",PRODUCT(INDEX($T$19:$T$93,FQ$244):INDEX($T$19:$T$93,FQ$244+$FJ267-1)))</f>
        <v/>
      </c>
      <c r="FR267" s="150" t="str">
        <f aca="false">IF($FJ267+FR$244&gt;73,"",PRODUCT(INDEX($T$19:$T$93,FR$244):INDEX($T$19:$T$93,FR$244+$FJ267-1)))</f>
        <v/>
      </c>
      <c r="FS267" s="150" t="str">
        <f aca="false">IF($FJ267+FS$244&gt;73,"",PRODUCT(INDEX($T$19:$T$93,FS$244):INDEX($T$19:$T$93,FS$244+$FJ267-1)))</f>
        <v/>
      </c>
      <c r="FT267" s="150" t="str">
        <f aca="false">IF($FJ267+FT$244&gt;73,"",PRODUCT(INDEX($T$19:$T$93,FT$244):INDEX($T$19:$T$93,FT$244+$FJ267-1)))</f>
        <v/>
      </c>
      <c r="FU267" s="150" t="str">
        <f aca="false">IF($FJ267+FU$244&gt;73,"",PRODUCT(INDEX($T$19:$T$93,FU$244):INDEX($T$19:$T$93,FU$244+$FJ267-1)))</f>
        <v/>
      </c>
      <c r="FV267" s="150" t="str">
        <f aca="false">IF($FJ267+FV$244&gt;73,"",PRODUCT(INDEX($T$19:$T$93,FV$244):INDEX($T$19:$T$93,FV$244+$FJ267-1)))</f>
        <v/>
      </c>
      <c r="FW267" s="150" t="str">
        <f aca="false">IF($FJ267+FW$244&gt;73,"",PRODUCT(INDEX($T$19:$T$93,FW$244):INDEX($T$19:$T$93,FW$244+$FJ267-1)))</f>
        <v/>
      </c>
      <c r="FX267" s="150" t="str">
        <f aca="false">IF($FJ267+FX$244&gt;73,"",PRODUCT(INDEX($T$19:$T$93,FX$244):INDEX($T$19:$T$93,FX$244+$FJ267-1)))</f>
        <v/>
      </c>
      <c r="FY267" s="150" t="str">
        <f aca="false">IF($FJ267+FY$244&gt;73,"",PRODUCT(INDEX($T$19:$T$93,FY$244):INDEX($T$19:$T$93,FY$244+$FJ267-1)))</f>
        <v/>
      </c>
      <c r="FZ267" s="150" t="str">
        <f aca="false">IF($FJ267+FZ$244&gt;73,"",PRODUCT(INDEX($T$19:$T$93,FZ$244):INDEX($T$19:$T$93,FZ$244+$FJ267-1)))</f>
        <v/>
      </c>
      <c r="GA267" s="150" t="str">
        <f aca="false">IF($FJ267+GA$244&gt;73,"",PRODUCT(INDEX($T$19:$T$93,GA$244):INDEX($T$19:$T$93,GA$244+$FJ267-1)))</f>
        <v/>
      </c>
      <c r="GB267" s="150" t="str">
        <f aca="false">IF($FJ267+GB$244&gt;73,"",PRODUCT(INDEX($T$19:$T$93,GB$244):INDEX($T$19:$T$93,GB$244+$FJ267-1)))</f>
        <v/>
      </c>
      <c r="GC267" s="150" t="str">
        <f aca="false">IF($FJ267+GC$244&gt;73,"",PRODUCT(INDEX($T$19:$T$93,GC$244):INDEX($T$19:$T$93,GC$244+$FJ267-1)))</f>
        <v/>
      </c>
      <c r="GD267" s="150" t="str">
        <f aca="false">IF($FJ267+GD$244&gt;73,"",PRODUCT(INDEX($T$19:$T$93,GD$244):INDEX($T$19:$T$93,GD$244+$FJ267-1)))</f>
        <v/>
      </c>
      <c r="GE267" s="150" t="str">
        <f aca="false">IF($FJ267+GE$244&gt;73,"",PRODUCT(INDEX($T$19:$T$93,GE$244):INDEX($T$19:$T$93,GE$244+$FJ267-1)))</f>
        <v/>
      </c>
      <c r="GF267" s="150" t="str">
        <f aca="false">IF($FJ267+GF$244&gt;73,"",PRODUCT(INDEX($T$19:$T$93,GF$244):INDEX($T$19:$T$93,GF$244+$FJ267-1)))</f>
        <v/>
      </c>
      <c r="GG267" s="150" t="n">
        <f aca="false">IF($FJ267+GG$244&gt;73,"",PRODUCT(INDEX($T$19:$T$93,GG$244):INDEX($T$19:$T$93,GG$244+$FJ267-1)))</f>
        <v>0.999591251632461</v>
      </c>
      <c r="GH267" s="150" t="n">
        <f aca="false">IF($FJ267+GH$244&gt;73,"",PRODUCT(INDEX($T$19:$T$93,GH$244):INDEX($T$19:$T$93,GH$244+$FJ267-1)))</f>
        <v>0.99952194063381</v>
      </c>
      <c r="GI267" s="150" t="n">
        <f aca="false">IF($FJ267+GI$244&gt;73,"",PRODUCT(INDEX($T$19:$T$93,GI$244):INDEX($T$19:$T$93,GI$244+$FJ267-1)))</f>
        <v>0.999440878584176</v>
      </c>
      <c r="GJ267" s="150" t="n">
        <f aca="false">IF($FJ267+GJ$244&gt;73,"",PRODUCT(INDEX($T$19:$T$93,GJ$244):INDEX($T$19:$T$93,GJ$244+$FJ267-1)))</f>
        <v>0.999346073940244</v>
      </c>
      <c r="GK267" s="150" t="n">
        <f aca="false">IF($FJ267+GK$244&gt;73,"",PRODUCT(INDEX($T$19:$T$93,GK$244):INDEX($T$19:$T$93,GK$244+$FJ267-1)))</f>
        <v>0.999235197918148</v>
      </c>
      <c r="GL267" s="150" t="n">
        <f aca="false">IF($FJ267+GL$244&gt;73,"",PRODUCT(INDEX($T$19:$T$93,GL$244):INDEX($T$19:$T$93,GL$244+$FJ267-1)))</f>
        <v>0.999105527493364</v>
      </c>
      <c r="GM267" s="150" t="n">
        <f aca="false">IF($FJ267+GM$244&gt;73,"",PRODUCT(INDEX($T$19:$T$93,GM$244):INDEX($T$19:$T$93,GM$244+$FJ267-1)))</f>
        <v>0.998953878806955</v>
      </c>
      <c r="GN267" s="150" t="n">
        <f aca="false">IF($FJ267+GN$244&gt;73,"",PRODUCT(INDEX($T$19:$T$93,GN$244):INDEX($T$19:$T$93,GN$244+$FJ267-1)))</f>
        <v>0.998776529378733</v>
      </c>
      <c r="GO267" s="150" t="n">
        <f aca="false">IF($FJ267+GO$244&gt;73,"",PRODUCT(INDEX($T$19:$T$93,GO$244):INDEX($T$19:$T$93,GO$244+$FJ267-1)))</f>
        <v>0.998569127267072</v>
      </c>
      <c r="GP267" s="150" t="n">
        <f aca="false">IF($FJ267+GP$244&gt;73,"",PRODUCT(INDEX($T$19:$T$93,GP$244):INDEX($T$19:$T$93,GP$244+$FJ267-1)))</f>
        <v>0.998326585013842</v>
      </c>
      <c r="GQ267" s="150" t="n">
        <f aca="false">IF($FJ267+GQ$244&gt;73,"",PRODUCT(INDEX($T$19:$T$93,GQ$244):INDEX($T$19:$T$93,GQ$244+$FJ267-1)))</f>
        <v>0.998042955866039</v>
      </c>
      <c r="GR267" s="150" t="n">
        <f aca="false">IF($FJ267+GR$244&gt;73,"",PRODUCT(INDEX($T$19:$T$93,GR$244):INDEX($T$19:$T$93,GR$244+$FJ267-1)))</f>
        <v>0.997711289367195</v>
      </c>
      <c r="GS267" s="150" t="n">
        <f aca="false">IF($FJ267+GS$244&gt;73,"",PRODUCT(INDEX($T$19:$T$93,GS$244):INDEX($T$19:$T$93,GS$244+$FJ267-1)))</f>
        <v>0.997323462955783</v>
      </c>
      <c r="GT267" s="150" t="n">
        <f aca="false">IF($FJ267+GT$244&gt;73,"",PRODUCT(INDEX($T$19:$T$93,GT$244):INDEX($T$19:$T$93,GT$244+$FJ267-1)))</f>
        <v>0.996869985688422</v>
      </c>
      <c r="GU267" s="150" t="n">
        <f aca="false">IF($FJ267+GU$244&gt;73,"",PRODUCT(INDEX($T$19:$T$93,GU$244):INDEX($T$19:$T$93,GU$244+$FJ267-1)))</f>
        <v>0.996339769617279</v>
      </c>
      <c r="GV267" s="150" t="n">
        <f aca="false">IF($FJ267+GV$244&gt;73,"",PRODUCT(INDEX($T$19:$T$93,GV$244):INDEX($T$19:$T$93,GV$244+$FJ267-1)))</f>
        <v>0.995719863688883</v>
      </c>
      <c r="GW267" s="150" t="n">
        <f aca="false">IF($FJ267+GW$244&gt;73,"",PRODUCT(INDEX($T$19:$T$93,GW$244):INDEX($T$19:$T$93,GW$244+$FJ267-1)))</f>
        <v>0.994995144292961</v>
      </c>
      <c r="GX267" s="150" t="n">
        <f aca="false">IF($FJ267+GX$244&gt;73,"",PRODUCT(INDEX($T$19:$T$93,GX$244):INDEX($T$19:$T$93,GX$244+$FJ267-1)))</f>
        <v>0.994147955774974</v>
      </c>
      <c r="GY267" s="150" t="n">
        <f aca="false">IF($FJ267+GY$244&gt;73,"",PRODUCT(INDEX($T$19:$T$93,GY$244):INDEX($T$19:$T$93,GY$244+$FJ267-1)))</f>
        <v>0.993157693340133</v>
      </c>
      <c r="GZ267" s="150" t="n">
        <f aca="false">IF($FJ267+GZ$244&gt;73,"",PRODUCT(INDEX($T$19:$T$93,GZ$244):INDEX($T$19:$T$93,GZ$244+$FJ267-1)))</f>
        <v>0.992000319832448</v>
      </c>
      <c r="HA267" s="150" t="n">
        <f aca="false">IF($FJ267+HA$244&gt;73,"",PRODUCT(INDEX($T$19:$T$93,HA$244):INDEX($T$19:$T$93,HA$244+$FJ267-1)))</f>
        <v>0.99064780689377</v>
      </c>
      <c r="HB267" s="150" t="n">
        <f aca="false">IF($FJ267+HB$244&gt;73,"",PRODUCT(INDEX($T$19:$T$93,HB$244):INDEX($T$19:$T$93,HB$244+$FJ267-1)))</f>
        <v>0.989067490035038</v>
      </c>
      <c r="HC267" s="150" t="n">
        <f aca="false">IF($FJ267+HC$244&gt;73,"",PRODUCT(INDEX($T$19:$T$93,HC$244):INDEX($T$19:$T$93,HC$244+$FJ267-1)))</f>
        <v>0.987221326248807</v>
      </c>
      <c r="HD267" s="150" t="n">
        <f aca="false">IF($FJ267+HD$244&gt;73,"",PRODUCT(INDEX($T$19:$T$93,HD$244):INDEX($T$19:$T$93,HD$244+$FJ267-1)))</f>
        <v>0.985065042055437</v>
      </c>
      <c r="HE267" s="150" t="n">
        <f aca="false">IF($FJ267+HE$244&gt;73,"",PRODUCT(INDEX($T$19:$T$93,HE$244):INDEX($T$19:$T$93,HE$244+$FJ267-1)))</f>
        <v>0.982547159448804</v>
      </c>
      <c r="HF267" s="150" t="n">
        <f aca="false">IF($FJ267+HF$244&gt;73,"",PRODUCT(INDEX($T$19:$T$93,HF$244):INDEX($T$19:$T$93,HF$244+$FJ267-1)))</f>
        <v>0.979607887299306</v>
      </c>
      <c r="HG267" s="150" t="n">
        <f aca="false">IF($FJ267+HG$244&gt;73,"",PRODUCT(INDEX($T$19:$T$93,HG$244):INDEX($T$19:$T$93,HG$244+$FJ267-1)))</f>
        <v>0.976177866680058</v>
      </c>
      <c r="HH267" s="150" t="n">
        <f aca="false">IF($FJ267+HH$244&gt;73,"",PRODUCT(INDEX($T$19:$T$93,HH$244):INDEX($T$19:$T$93,HH$244+$FJ267-1)))</f>
        <v>0.972176760725839</v>
      </c>
      <c r="HI267" s="150" t="n">
        <f aca="false">IF($FJ267+HI$244&gt;73,"",PRODUCT(INDEX($T$19:$T$93,HI$244):INDEX($T$19:$T$93,HI$244+$FJ267-1)))</f>
        <v>0.967511683597582</v>
      </c>
      <c r="HJ267" s="150" t="n">
        <f aca="false">IF($FJ267+HJ$244&gt;73,"",PRODUCT(INDEX($T$19:$T$93,HJ$244):INDEX($T$19:$T$93,HJ$244+$FJ267-1)))</f>
        <v>0.962075469711972</v>
      </c>
      <c r="HK267" s="150" t="n">
        <f aca="false">IF($FJ267+HK$244&gt;73,"",PRODUCT(INDEX($T$19:$T$93,HK$244):INDEX($T$19:$T$93,HK$244+$FJ267-1)))</f>
        <v>0.955744794700549</v>
      </c>
      <c r="HL267" s="150" t="n">
        <f aca="false">IF($FJ267+HL$244&gt;73,"",PRODUCT(INDEX($T$19:$T$93,HL$244):INDEX($T$19:$T$93,HL$244+$FJ267-1)))</f>
        <v>0.948378175057923</v>
      </c>
      <c r="HM267" s="150" t="n">
        <f aca="false">IF($FJ267+HM$244&gt;73,"",PRODUCT(INDEX($T$19:$T$93,HM$244):INDEX($T$19:$T$93,HM$244+$FJ267-1)))</f>
        <v>0.939813896078384</v>
      </c>
      <c r="HN267" s="150" t="n">
        <f aca="false">IF($FJ267+HN$244&gt;73,"",PRODUCT(INDEX($T$19:$T$93,HN$244):INDEX($T$19:$T$93,HN$244+$FJ267-1)))</f>
        <v>0.929867950016755</v>
      </c>
      <c r="HO267" s="150" t="n">
        <f aca="false">IF($FJ267+HO$244&gt;73,"",PRODUCT(INDEX($T$19:$T$93,HO$244):INDEX($T$19:$T$93,HO$244+$FJ267-1)))</f>
        <v>0.918332111710914</v>
      </c>
      <c r="HP267" s="150" t="n">
        <f aca="false">IF($FJ267+HP$244&gt;73,"",PRODUCT(INDEX($T$19:$T$93,HP$244):INDEX($T$19:$T$93,HP$244+$FJ267-1)))</f>
        <v>0.90497234124515</v>
      </c>
      <c r="HQ267" s="150" t="n">
        <f aca="false">IF($FJ267+HQ$244&gt;73,"",PRODUCT(INDEX($T$19:$T$93,HQ$244):INDEX($T$19:$T$93,HQ$244+$FJ267-1)))</f>
        <v>0.889527787512288</v>
      </c>
      <c r="HR267" s="150" t="n">
        <f aca="false">IF($FJ267+HR$244&gt;73,"",PRODUCT(INDEX($T$19:$T$93,HR$244):INDEX($T$19:$T$93,HR$244+$FJ267-1)))</f>
        <v>0.871710778308813</v>
      </c>
      <c r="HS267" s="150" t="n">
        <f aca="false">IF($FJ267+HS$244&gt;73,"",PRODUCT(INDEX($T$19:$T$93,HS$244):INDEX($T$19:$T$93,HS$244+$FJ267-1)))</f>
        <v>0.8512083276014</v>
      </c>
      <c r="HT267" s="150" t="n">
        <f aca="false">IF($FJ267+HT$244&gt;73,"",PRODUCT(INDEX($T$19:$T$93,HT$244):INDEX($T$19:$T$93,HT$244+$FJ267-1)))</f>
        <v>0.827685873629506</v>
      </c>
      <c r="HU267" s="150" t="n">
        <f aca="false">IF($FJ267+HU$244&gt;73,"",PRODUCT(INDEX($T$19:$T$93,HU$244):INDEX($T$19:$T$93,HU$244+$FJ267-1)))</f>
        <v>0.800794184254691</v>
      </c>
      <c r="HV267" s="150" t="n">
        <f aca="false">IF($FJ267+HV$244&gt;73,"",PRODUCT(INDEX($T$19:$T$93,HV$244):INDEX($T$19:$T$93,HV$244+$FJ267-1)))</f>
        <v>0.770180623139413</v>
      </c>
      <c r="HW267" s="150" t="n">
        <f aca="false">IF($FJ267+HW$244&gt;73,"",PRODUCT(INDEX($T$19:$T$93,HW$244):INDEX($T$19:$T$93,HW$244+$FJ267-1)))</f>
        <v>0.735506243030721</v>
      </c>
      <c r="HX267" s="150" t="n">
        <f aca="false">IF($FJ267+HX$244&gt;73,"",PRODUCT(INDEX($T$19:$T$93,HX$244):INDEX($T$19:$T$93,HX$244+$FJ267-1)))</f>
        <v>0.696470417451793</v>
      </c>
      <c r="HY267" s="150" t="n">
        <f aca="false">IF($FJ267+HY$244&gt;73,"",PRODUCT(INDEX($T$19:$T$93,HY$244):INDEX($T$19:$T$93,HY$244+$FJ267-1)))</f>
        <v>0.652844855756818</v>
      </c>
      <c r="HZ267" s="150" t="n">
        <f aca="false">IF($FJ267+HZ$244&gt;73,"",PRODUCT(INDEX($T$19:$T$93,HZ$244):INDEX($T$19:$T$93,HZ$244+$FJ267-1)))</f>
        <v>0.604518721545478</v>
      </c>
      <c r="IA267" s="150" t="n">
        <f aca="false">IF($FJ267+IA$244&gt;73,"",PRODUCT(INDEX($T$19:$T$93,IA$244):INDEX($T$19:$T$93,IA$244+$FJ267-1)))</f>
        <v>0.551555950921873</v>
      </c>
      <c r="IB267" s="150" t="n">
        <f aca="false">IF($FJ267+IB$244&gt;73,"",PRODUCT(INDEX($T$19:$T$93,IB$244):INDEX($T$19:$T$93,IB$244+$FJ267-1)))</f>
        <v>0.494264382593328</v>
      </c>
      <c r="IC267" s="150" t="n">
        <f aca="false">IF($FJ267+IC$244&gt;73,"",PRODUCT(INDEX($T$19:$T$93,IC$244):INDEX($T$19:$T$93,IC$244+$FJ267-1)))</f>
        <v>0.433273467905532</v>
      </c>
      <c r="ID267" s="572" t="n">
        <f aca="false">IF($FJ267+ID$244&gt;73,"",PRODUCT(INDEX($T$19:$T$93,ID$244):INDEX($T$19:$T$93,ID$244+$FJ267-1)))</f>
        <v>0.36961253307411</v>
      </c>
      <c r="IE267" s="129"/>
    </row>
    <row r="268" customFormat="false" ht="12.75" hidden="false" customHeight="false" outlineLevel="0" collapsed="false">
      <c r="I268" s="735"/>
      <c r="J268" s="727"/>
      <c r="K268" s="728"/>
      <c r="L268" s="195"/>
      <c r="M268" s="729"/>
      <c r="P268" s="727"/>
      <c r="S268" s="1"/>
      <c r="T268" s="727"/>
      <c r="U268" s="195"/>
      <c r="V268" s="195"/>
      <c r="W268" s="195"/>
      <c r="X268" s="195"/>
      <c r="Y268" s="195"/>
      <c r="Z268" s="195"/>
      <c r="AA268" s="195"/>
      <c r="AB268" s="195"/>
      <c r="AC268" s="195"/>
      <c r="AD268" s="195"/>
      <c r="AE268" s="195"/>
      <c r="AF268" s="195"/>
      <c r="AG268" s="195"/>
      <c r="AH268" s="195"/>
      <c r="AI268" s="195"/>
      <c r="AJ268" s="195"/>
      <c r="AK268" s="195"/>
      <c r="AL268" s="240"/>
      <c r="AM268" s="240"/>
      <c r="AN268" s="240"/>
      <c r="AO268" s="532"/>
      <c r="AP268" s="730"/>
      <c r="AQ268" s="532"/>
      <c r="AR268" s="730"/>
      <c r="AS268" s="730"/>
      <c r="AT268" s="730"/>
      <c r="AU268" s="730"/>
      <c r="AV268" s="468"/>
      <c r="AW268" s="240"/>
      <c r="AX268" s="240"/>
      <c r="AY268" s="240"/>
      <c r="AZ268" s="240"/>
      <c r="BA268" s="240"/>
      <c r="BB268" s="240"/>
      <c r="BC268" s="672"/>
      <c r="BD268" s="672"/>
      <c r="BE268" s="672"/>
      <c r="BF268" s="731"/>
      <c r="BG268" s="672"/>
      <c r="BH268" s="672"/>
      <c r="BI268" s="732"/>
      <c r="BJ268" s="240"/>
      <c r="BK268" s="240"/>
      <c r="BL268" s="240"/>
      <c r="BM268" s="240"/>
      <c r="BN268" s="240"/>
      <c r="BO268" s="240"/>
      <c r="BP268" s="240"/>
      <c r="BQ268" s="240"/>
      <c r="BR268" s="240"/>
      <c r="BS268" s="240"/>
      <c r="BT268" s="240"/>
      <c r="BU268" s="240"/>
      <c r="BV268" s="672"/>
      <c r="BW268" s="672"/>
      <c r="BX268" s="672"/>
      <c r="BY268" s="672"/>
      <c r="BZ268" s="672"/>
      <c r="CA268" s="672"/>
      <c r="CB268" s="672"/>
      <c r="CC268" s="672"/>
      <c r="CD268" s="672"/>
      <c r="CE268" s="672"/>
      <c r="CF268" s="240"/>
      <c r="CG268" s="240"/>
      <c r="CH268" s="240"/>
      <c r="CI268" s="240"/>
      <c r="CJ268" s="240"/>
      <c r="CK268" s="240"/>
      <c r="CL268" s="733"/>
      <c r="CM268" s="195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H268" s="478"/>
      <c r="DK268" s="478"/>
      <c r="DM268" s="195"/>
      <c r="DN268" s="195"/>
      <c r="DO268" s="195"/>
      <c r="DP268" s="195"/>
      <c r="DQ268" s="195"/>
      <c r="DR268" s="195"/>
      <c r="DS268" s="195"/>
      <c r="DT268" s="195"/>
      <c r="DU268" s="195"/>
      <c r="DV268" s="195"/>
      <c r="DW268" s="195"/>
      <c r="DX268" s="195"/>
      <c r="DY268" s="195"/>
      <c r="DZ268" s="195"/>
      <c r="EA268" s="195"/>
      <c r="EB268" s="195"/>
      <c r="EC268" s="195"/>
      <c r="ED268" s="195"/>
      <c r="EE268" s="195"/>
      <c r="EF268" s="195"/>
      <c r="EG268" s="734"/>
      <c r="EL268" s="1"/>
      <c r="EM268" s="195"/>
      <c r="EN268" s="240"/>
      <c r="EO268" s="240"/>
      <c r="EP268" s="195"/>
      <c r="EQ268" s="240"/>
      <c r="ER268" s="195"/>
      <c r="ES268" s="195"/>
      <c r="ET268" s="195"/>
      <c r="EU268" s="240"/>
      <c r="FJ268" s="571" t="n">
        <v>24</v>
      </c>
      <c r="FK268" s="150" t="str">
        <f aca="false">IF($FJ268+FK$244&gt;73,"",PRODUCT(INDEX($T$19:$T$93,FK$244):INDEX($T$19:$T$93,FK$244+$FJ268-1)))</f>
        <v/>
      </c>
      <c r="FL268" s="150" t="str">
        <f aca="false">IF($FJ268+FL$244&gt;73,"",PRODUCT(INDEX($T$19:$T$93,FL$244):INDEX($T$19:$T$93,FL$244+$FJ268-1)))</f>
        <v/>
      </c>
      <c r="FM268" s="150" t="str">
        <f aca="false">IF($FJ268+FM$244&gt;73,"",PRODUCT(INDEX($T$19:$T$93,FM$244):INDEX($T$19:$T$93,FM$244+$FJ268-1)))</f>
        <v/>
      </c>
      <c r="FN268" s="150" t="str">
        <f aca="false">IF($FJ268+FN$244&gt;73,"",PRODUCT(INDEX($T$19:$T$93,FN$244):INDEX($T$19:$T$93,FN$244+$FJ268-1)))</f>
        <v/>
      </c>
      <c r="FO268" s="150" t="str">
        <f aca="false">IF($FJ268+FO$244&gt;73,"",PRODUCT(INDEX($T$19:$T$93,FO$244):INDEX($T$19:$T$93,FO$244+$FJ268-1)))</f>
        <v/>
      </c>
      <c r="FP268" s="150" t="str">
        <f aca="false">IF($FJ268+FP$244&gt;73,"",PRODUCT(INDEX($T$19:$T$93,FP$244):INDEX($T$19:$T$93,FP$244+$FJ268-1)))</f>
        <v/>
      </c>
      <c r="FQ268" s="150" t="str">
        <f aca="false">IF($FJ268+FQ$244&gt;73,"",PRODUCT(INDEX($T$19:$T$93,FQ$244):INDEX($T$19:$T$93,FQ$244+$FJ268-1)))</f>
        <v/>
      </c>
      <c r="FR268" s="150" t="str">
        <f aca="false">IF($FJ268+FR$244&gt;73,"",PRODUCT(INDEX($T$19:$T$93,FR$244):INDEX($T$19:$T$93,FR$244+$FJ268-1)))</f>
        <v/>
      </c>
      <c r="FS268" s="150" t="str">
        <f aca="false">IF($FJ268+FS$244&gt;73,"",PRODUCT(INDEX($T$19:$T$93,FS$244):INDEX($T$19:$T$93,FS$244+$FJ268-1)))</f>
        <v/>
      </c>
      <c r="FT268" s="150" t="str">
        <f aca="false">IF($FJ268+FT$244&gt;73,"",PRODUCT(INDEX($T$19:$T$93,FT$244):INDEX($T$19:$T$93,FT$244+$FJ268-1)))</f>
        <v/>
      </c>
      <c r="FU268" s="150" t="str">
        <f aca="false">IF($FJ268+FU$244&gt;73,"",PRODUCT(INDEX($T$19:$T$93,FU$244):INDEX($T$19:$T$93,FU$244+$FJ268-1)))</f>
        <v/>
      </c>
      <c r="FV268" s="150" t="str">
        <f aca="false">IF($FJ268+FV$244&gt;73,"",PRODUCT(INDEX($T$19:$T$93,FV$244):INDEX($T$19:$T$93,FV$244+$FJ268-1)))</f>
        <v/>
      </c>
      <c r="FW268" s="150" t="str">
        <f aca="false">IF($FJ268+FW$244&gt;73,"",PRODUCT(INDEX($T$19:$T$93,FW$244):INDEX($T$19:$T$93,FW$244+$FJ268-1)))</f>
        <v/>
      </c>
      <c r="FX268" s="150" t="str">
        <f aca="false">IF($FJ268+FX$244&gt;73,"",PRODUCT(INDEX($T$19:$T$93,FX$244):INDEX($T$19:$T$93,FX$244+$FJ268-1)))</f>
        <v/>
      </c>
      <c r="FY268" s="150" t="str">
        <f aca="false">IF($FJ268+FY$244&gt;73,"",PRODUCT(INDEX($T$19:$T$93,FY$244):INDEX($T$19:$T$93,FY$244+$FJ268-1)))</f>
        <v/>
      </c>
      <c r="FZ268" s="150" t="str">
        <f aca="false">IF($FJ268+FZ$244&gt;73,"",PRODUCT(INDEX($T$19:$T$93,FZ$244):INDEX($T$19:$T$93,FZ$244+$FJ268-1)))</f>
        <v/>
      </c>
      <c r="GA268" s="150" t="str">
        <f aca="false">IF($FJ268+GA$244&gt;73,"",PRODUCT(INDEX($T$19:$T$93,GA$244):INDEX($T$19:$T$93,GA$244+$FJ268-1)))</f>
        <v/>
      </c>
      <c r="GB268" s="150" t="str">
        <f aca="false">IF($FJ268+GB$244&gt;73,"",PRODUCT(INDEX($T$19:$T$93,GB$244):INDEX($T$19:$T$93,GB$244+$FJ268-1)))</f>
        <v/>
      </c>
      <c r="GC268" s="150" t="str">
        <f aca="false">IF($FJ268+GC$244&gt;73,"",PRODUCT(INDEX($T$19:$T$93,GC$244):INDEX($T$19:$T$93,GC$244+$FJ268-1)))</f>
        <v/>
      </c>
      <c r="GD268" s="150" t="str">
        <f aca="false">IF($FJ268+GD$244&gt;73,"",PRODUCT(INDEX($T$19:$T$93,GD$244):INDEX($T$19:$T$93,GD$244+$FJ268-1)))</f>
        <v/>
      </c>
      <c r="GE268" s="150" t="str">
        <f aca="false">IF($FJ268+GE$244&gt;73,"",PRODUCT(INDEX($T$19:$T$93,GE$244):INDEX($T$19:$T$93,GE$244+$FJ268-1)))</f>
        <v/>
      </c>
      <c r="GF268" s="150" t="str">
        <f aca="false">IF($FJ268+GF$244&gt;73,"",PRODUCT(INDEX($T$19:$T$93,GF$244):INDEX($T$19:$T$93,GF$244+$FJ268-1)))</f>
        <v/>
      </c>
      <c r="GG268" s="150" t="str">
        <f aca="false">IF($FJ268+GG$244&gt;73,"",PRODUCT(INDEX($T$19:$T$93,GG$244):INDEX($T$19:$T$93,GG$244+$FJ268-1)))</f>
        <v/>
      </c>
      <c r="GH268" s="150" t="n">
        <f aca="false">IF($FJ268+GH$244&gt;73,"",PRODUCT(INDEX($T$19:$T$93,GH$244):INDEX($T$19:$T$93,GH$244+$FJ268-1)))</f>
        <v>0.999520000145306</v>
      </c>
      <c r="GI268" s="150" t="n">
        <f aca="false">IF($FJ268+GI$244&gt;73,"",PRODUCT(INDEX($T$19:$T$93,GI$244):INDEX($T$19:$T$93,GI$244+$FJ268-1)))</f>
        <v>0.999438609188465</v>
      </c>
      <c r="GJ268" s="150" t="n">
        <f aca="false">IF($FJ268+GJ$244&gt;73,"",PRODUCT(INDEX($T$19:$T$93,GJ$244):INDEX($T$19:$T$93,GJ$244+$FJ268-1)))</f>
        <v>0.999343419924582</v>
      </c>
      <c r="GK268" s="150" t="n">
        <f aca="false">IF($FJ268+GK$244&gt;73,"",PRODUCT(INDEX($T$19:$T$93,GK$244):INDEX($T$19:$T$93,GK$244+$FJ268-1)))</f>
        <v>0.999232094146042</v>
      </c>
      <c r="GL268" s="150" t="n">
        <f aca="false">IF($FJ268+GL$244&gt;73,"",PRODUCT(INDEX($T$19:$T$93,GL$244):INDEX($T$19:$T$93,GL$244+$FJ268-1)))</f>
        <v>0.999101897815454</v>
      </c>
      <c r="GM268" s="150" t="n">
        <f aca="false">IF($FJ268+GM$244&gt;73,"",PRODUCT(INDEX($T$19:$T$93,GM$244):INDEX($T$19:$T$93,GM$244+$FJ268-1)))</f>
        <v>0.998949634205723</v>
      </c>
      <c r="GN268" s="150" t="n">
        <f aca="false">IF($FJ268+GN$244&gt;73,"",PRODUCT(INDEX($T$19:$T$93,GN$244):INDEX($T$19:$T$93,GN$244+$FJ268-1)))</f>
        <v>0.998771565803141</v>
      </c>
      <c r="GO268" s="150" t="n">
        <f aca="false">IF($FJ268+GO$244&gt;73,"",PRODUCT(INDEX($T$19:$T$93,GO$244):INDEX($T$19:$T$93,GO$244+$FJ268-1)))</f>
        <v>0.998563323106199</v>
      </c>
      <c r="GP268" s="150" t="n">
        <f aca="false">IF($FJ268+GP$244&gt;73,"",PRODUCT(INDEX($T$19:$T$93,GP$244):INDEX($T$19:$T$93,GP$244+$FJ268-1)))</f>
        <v>0.998319798150609</v>
      </c>
      <c r="GQ268" s="150" t="n">
        <f aca="false">IF($FJ268+GQ$244&gt;73,"",PRODUCT(INDEX($T$19:$T$93,GQ$244):INDEX($T$19:$T$93,GQ$244+$FJ268-1)))</f>
        <v>0.998035020242923</v>
      </c>
      <c r="GR268" s="150" t="n">
        <f aca="false">IF($FJ268+GR$244&gt;73,"",PRODUCT(INDEX($T$19:$T$93,GR$244):INDEX($T$19:$T$93,GR$244+$FJ268-1)))</f>
        <v>0.997702010985465</v>
      </c>
      <c r="GS268" s="150" t="n">
        <f aca="false">IF($FJ268+GS$244&gt;73,"",PRODUCT(INDEX($T$19:$T$93,GS$244):INDEX($T$19:$T$93,GS$244+$FJ268-1)))</f>
        <v>0.997312615218024</v>
      </c>
      <c r="GT268" s="150" t="n">
        <f aca="false">IF($FJ268+GT$244&gt;73,"",PRODUCT(INDEX($T$19:$T$93,GT$244):INDEX($T$19:$T$93,GT$244+$FJ268-1)))</f>
        <v>0.996857303980982</v>
      </c>
      <c r="GU268" s="150" t="n">
        <f aca="false">IF($FJ268+GU$244&gt;73,"",PRODUCT(INDEX($T$19:$T$93,GU$244):INDEX($T$19:$T$93,GU$244+$FJ268-1)))</f>
        <v>0.996324945014629</v>
      </c>
      <c r="GV268" s="150" t="n">
        <f aca="false">IF($FJ268+GV$244&gt;73,"",PRODUCT(INDEX($T$19:$T$93,GV$244):INDEX($T$19:$T$93,GV$244+$FJ268-1)))</f>
        <v>0.995702535645897</v>
      </c>
      <c r="GW268" s="150" t="n">
        <f aca="false">IF($FJ268+GW$244&gt;73,"",PRODUCT(INDEX($T$19:$T$93,GW$244):INDEX($T$19:$T$93,GW$244+$FJ268-1)))</f>
        <v>0.994974892173796</v>
      </c>
      <c r="GX268" s="150" t="n">
        <f aca="false">IF($FJ268+GX$244&gt;73,"",PRODUCT(INDEX($T$19:$T$93,GX$244):INDEX($T$19:$T$93,GX$244+$FJ268-1)))</f>
        <v>0.994124289049011</v>
      </c>
      <c r="GY268" s="150" t="n">
        <f aca="false">IF($FJ268+GY$244&gt;73,"",PRODUCT(INDEX($T$19:$T$93,GY$244):INDEX($T$19:$T$93,GY$244+$FJ268-1)))</f>
        <v>0.993130040256731</v>
      </c>
      <c r="GZ268" s="150" t="n">
        <f aca="false">IF($FJ268+GZ$244&gt;73,"",PRODUCT(INDEX($T$19:$T$93,GZ$244):INDEX($T$19:$T$93,GZ$244+$FJ268-1)))</f>
        <v>0.991968014368114</v>
      </c>
      <c r="HA268" s="150" t="n">
        <f aca="false">IF($FJ268+HA$244&gt;73,"",PRODUCT(INDEX($T$19:$T$93,HA$244):INDEX($T$19:$T$93,HA$244+$FJ268-1)))</f>
        <v>0.990610073748939</v>
      </c>
      <c r="HB268" s="150" t="n">
        <f aca="false">IF($FJ268+HB$244&gt;73,"",PRODUCT(INDEX($T$19:$T$93,HB$244):INDEX($T$19:$T$93,HB$244+$FJ268-1)))</f>
        <v>0.989023427445224</v>
      </c>
      <c r="HC268" s="150" t="n">
        <f aca="false">IF($FJ268+HC$244&gt;73,"",PRODUCT(INDEX($T$19:$T$93,HC$244):INDEX($T$19:$T$93,HC$244+$FJ268-1)))</f>
        <v>0.987169886369279</v>
      </c>
      <c r="HD268" s="150" t="n">
        <f aca="false">IF($FJ268+HD$244&gt;73,"",PRODUCT(INDEX($T$19:$T$93,HD$244):INDEX($T$19:$T$93,HD$244+$FJ268-1)))</f>
        <v>0.98500500868416</v>
      </c>
      <c r="HE268" s="150" t="n">
        <f aca="false">IF($FJ268+HE$244&gt;73,"",PRODUCT(INDEX($T$19:$T$93,HE$244):INDEX($T$19:$T$93,HE$244+$FJ268-1)))</f>
        <v>0.982477122875158</v>
      </c>
      <c r="HF268" s="150" t="n">
        <f aca="false">IF($FJ268+HF$244&gt;73,"",PRODUCT(INDEX($T$19:$T$93,HF$244):INDEX($T$19:$T$93,HF$244+$FJ268-1)))</f>
        <v>0.979526216114511</v>
      </c>
      <c r="HG268" s="150" t="n">
        <f aca="false">IF($FJ268+HG$244&gt;73,"",PRODUCT(INDEX($T$19:$T$93,HG$244):INDEX($T$19:$T$93,HG$244+$FJ268-1)))</f>
        <v>0.976082676470761</v>
      </c>
      <c r="HH268" s="150" t="n">
        <f aca="false">IF($FJ268+HH$244&gt;73,"",PRODUCT(INDEX($T$19:$T$93,HH$244):INDEX($T$19:$T$93,HH$244+$FJ268-1)))</f>
        <v>0.972065879710738</v>
      </c>
      <c r="HI268" s="150" t="n">
        <f aca="false">IF($FJ268+HI$244&gt;73,"",PRODUCT(INDEX($T$19:$T$93,HI$244):INDEX($T$19:$T$93,HI$244+$FJ268-1)))</f>
        <v>0.967382615479236</v>
      </c>
      <c r="HJ268" s="150" t="n">
        <f aca="false">IF($FJ268+HJ$244&gt;73,"",PRODUCT(INDEX($T$19:$T$93,HJ$244):INDEX($T$19:$T$93,HJ$244+$FJ268-1)))</f>
        <v>0.961925354329958</v>
      </c>
      <c r="HK268" s="150" t="n">
        <f aca="false">IF($FJ268+HK$244&gt;73,"",PRODUCT(INDEX($T$19:$T$93,HK$244):INDEX($T$19:$T$93,HK$244+$FJ268-1)))</f>
        <v>0.955570367524182</v>
      </c>
      <c r="HL268" s="150" t="n">
        <f aca="false">IF($FJ268+HL$244&gt;73,"",PRODUCT(INDEX($T$19:$T$93,HL$244):INDEX($T$19:$T$93,HL$244+$FJ268-1)))</f>
        <v>0.948175727193251</v>
      </c>
      <c r="HM268" s="150" t="n">
        <f aca="false">IF($FJ268+HM$244&gt;73,"",PRODUCT(INDEX($T$19:$T$93,HM$244):INDEX($T$19:$T$93,HM$244+$FJ268-1)))</f>
        <v>0.939579237343249</v>
      </c>
      <c r="HN268" s="150" t="n">
        <f aca="false">IF($FJ268+HN$244&gt;73,"",PRODUCT(INDEX($T$19:$T$93,HN$244):INDEX($T$19:$T$93,HN$244+$FJ268-1)))</f>
        <v>0.929596378829629</v>
      </c>
      <c r="HO268" s="150" t="n">
        <f aca="false">IF($FJ268+HO$244&gt;73,"",PRODUCT(INDEX($T$19:$T$93,HO$244):INDEX($T$19:$T$93,HO$244+$FJ268-1)))</f>
        <v>0.91801839712547</v>
      </c>
      <c r="HP268" s="150" t="n">
        <f aca="false">IF($FJ268+HP$244&gt;73,"",PRODUCT(INDEX($T$19:$T$93,HP$244):INDEX($T$19:$T$93,HP$244+$FJ268-1)))</f>
        <v>0.904610724530962</v>
      </c>
      <c r="HQ268" s="150" t="n">
        <f aca="false">IF($FJ268+HQ$244&gt;73,"",PRODUCT(INDEX($T$19:$T$93,HQ$244):INDEX($T$19:$T$93,HQ$244+$FJ268-1)))</f>
        <v>0.889112013315766</v>
      </c>
      <c r="HR268" s="150" t="n">
        <f aca="false">IF($FJ268+HR$244&gt;73,"",PRODUCT(INDEX($T$19:$T$93,HR$244):INDEX($T$19:$T$93,HR$244+$FJ268-1)))</f>
        <v>0.871234168683903</v>
      </c>
      <c r="HS268" s="150" t="n">
        <f aca="false">IF($FJ268+HS$244&gt;73,"",PRODUCT(INDEX($T$19:$T$93,HS$244):INDEX($T$19:$T$93,HS$244+$FJ268-1)))</f>
        <v>0.850663916066688</v>
      </c>
      <c r="HT268" s="150" t="n">
        <f aca="false">IF($FJ268+HT$244&gt;73,"",PRODUCT(INDEX($T$19:$T$93,HT$244):INDEX($T$19:$T$93,HT$244+$FJ268-1)))</f>
        <v>0.827066620743448</v>
      </c>
      <c r="HU268" s="150" t="n">
        <f aca="false">IF($FJ268+HU$244&gt;73,"",PRODUCT(INDEX($T$19:$T$93,HU$244):INDEX($T$19:$T$93,HU$244+$FJ268-1)))</f>
        <v>0.800093300618541</v>
      </c>
      <c r="HV268" s="150" t="n">
        <f aca="false">IF($FJ268+HV$244&gt;73,"",PRODUCT(INDEX($T$19:$T$93,HV$244):INDEX($T$19:$T$93,HV$244+$FJ268-1)))</f>
        <v>0.7693920294461</v>
      </c>
      <c r="HW268" s="150" t="n">
        <f aca="false">IF($FJ268+HW$244&gt;73,"",PRODUCT(INDEX($T$19:$T$93,HW$244):INDEX($T$19:$T$93,HW$244+$FJ268-1)))</f>
        <v>0.734625198341655</v>
      </c>
      <c r="HX268" s="150" t="n">
        <f aca="false">IF($FJ268+HX$244&gt;73,"",PRODUCT(INDEX($T$19:$T$93,HX$244):INDEX($T$19:$T$93,HX$244+$FJ268-1)))</f>
        <v>0.69549434390546</v>
      </c>
      <c r="HY268" s="150" t="n">
        <f aca="false">IF($FJ268+HY$244&gt;73,"",PRODUCT(INDEX($T$19:$T$93,HY$244):INDEX($T$19:$T$93,HY$244+$FJ268-1)))</f>
        <v>0.651774376662835</v>
      </c>
      <c r="HZ268" s="150" t="n">
        <f aca="false">IF($FJ268+HZ$244&gt;73,"",PRODUCT(INDEX($T$19:$T$93,HZ$244):INDEX($T$19:$T$93,HZ$244+$FJ268-1)))</f>
        <v>0.60335890489638</v>
      </c>
      <c r="IA268" s="150" t="n">
        <f aca="false">IF($FJ268+IA$244&gt;73,"",PRODUCT(INDEX($T$19:$T$93,IA$244):INDEX($T$19:$T$93,IA$244+$FJ268-1)))</f>
        <v>0.550317704634631</v>
      </c>
      <c r="IB268" s="150" t="n">
        <f aca="false">IF($FJ268+IB$244&gt;73,"",PRODUCT(INDEX($T$19:$T$93,IB$244):INDEX($T$19:$T$93,IB$244+$FJ268-1)))</f>
        <v>0.49296587313331</v>
      </c>
      <c r="IC268" s="150" t="n">
        <f aca="false">IF($FJ268+IC$244&gt;73,"",PRODUCT(INDEX($T$19:$T$93,IC$244):INDEX($T$19:$T$93,IC$244+$FJ268-1)))</f>
        <v>0.431941323608734</v>
      </c>
      <c r="ID268" s="572" t="n">
        <f aca="false">IF($FJ268+ID$244&gt;73,"",PRODUCT(INDEX($T$19:$T$93,ID$244):INDEX($T$19:$T$93,ID$244+$FJ268-1)))</f>
        <v>0.368282447719703</v>
      </c>
      <c r="IE268" s="129"/>
    </row>
    <row r="269" customFormat="false" ht="12.75" hidden="false" customHeight="false" outlineLevel="0" collapsed="false">
      <c r="I269" s="735"/>
      <c r="J269" s="727"/>
      <c r="K269" s="728"/>
      <c r="L269" s="195"/>
      <c r="M269" s="729"/>
      <c r="P269" s="727"/>
      <c r="S269" s="1"/>
      <c r="T269" s="727"/>
      <c r="U269" s="195"/>
      <c r="V269" s="195"/>
      <c r="W269" s="195"/>
      <c r="X269" s="195"/>
      <c r="Y269" s="195"/>
      <c r="Z269" s="195"/>
      <c r="AA269" s="195"/>
      <c r="AB269" s="195"/>
      <c r="AC269" s="195"/>
      <c r="AD269" s="195"/>
      <c r="AE269" s="195"/>
      <c r="AF269" s="195"/>
      <c r="AG269" s="195"/>
      <c r="AH269" s="195"/>
      <c r="AI269" s="195"/>
      <c r="AJ269" s="195"/>
      <c r="AK269" s="195"/>
      <c r="AL269" s="240"/>
      <c r="AM269" s="240"/>
      <c r="AN269" s="240"/>
      <c r="AO269" s="532"/>
      <c r="AP269" s="730"/>
      <c r="AQ269" s="532"/>
      <c r="AR269" s="730"/>
      <c r="AS269" s="730"/>
      <c r="AT269" s="730"/>
      <c r="AU269" s="730"/>
      <c r="AV269" s="468"/>
      <c r="AW269" s="240"/>
      <c r="AX269" s="240"/>
      <c r="AY269" s="240"/>
      <c r="AZ269" s="240"/>
      <c r="BA269" s="240"/>
      <c r="BB269" s="240"/>
      <c r="BC269" s="672"/>
      <c r="BD269" s="672"/>
      <c r="BE269" s="672"/>
      <c r="BF269" s="731"/>
      <c r="BG269" s="672"/>
      <c r="BH269" s="672"/>
      <c r="BI269" s="732"/>
      <c r="BJ269" s="240"/>
      <c r="BK269" s="240"/>
      <c r="BL269" s="240"/>
      <c r="BM269" s="240"/>
      <c r="BN269" s="240"/>
      <c r="BO269" s="240"/>
      <c r="BP269" s="240"/>
      <c r="BQ269" s="240"/>
      <c r="BR269" s="240"/>
      <c r="BS269" s="240"/>
      <c r="BT269" s="240"/>
      <c r="BU269" s="240"/>
      <c r="BV269" s="672"/>
      <c r="BW269" s="672"/>
      <c r="BX269" s="672"/>
      <c r="BY269" s="672"/>
      <c r="BZ269" s="672"/>
      <c r="CA269" s="672"/>
      <c r="CB269" s="672"/>
      <c r="CC269" s="672"/>
      <c r="CD269" s="672"/>
      <c r="CE269" s="672"/>
      <c r="CF269" s="240"/>
      <c r="CG269" s="240"/>
      <c r="CH269" s="240"/>
      <c r="CI269" s="240"/>
      <c r="CJ269" s="240"/>
      <c r="CK269" s="240"/>
      <c r="CL269" s="733"/>
      <c r="CM269" s="195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H269" s="478"/>
      <c r="DK269" s="478"/>
      <c r="DM269" s="195"/>
      <c r="DN269" s="195"/>
      <c r="DO269" s="195"/>
      <c r="DP269" s="195"/>
      <c r="DQ269" s="195"/>
      <c r="DR269" s="195"/>
      <c r="DS269" s="195"/>
      <c r="DT269" s="195"/>
      <c r="DU269" s="195"/>
      <c r="DV269" s="195"/>
      <c r="DW269" s="195"/>
      <c r="DX269" s="195"/>
      <c r="DY269" s="195"/>
      <c r="DZ269" s="195"/>
      <c r="EA269" s="195"/>
      <c r="EB269" s="195"/>
      <c r="EC269" s="195"/>
      <c r="ED269" s="195"/>
      <c r="EE269" s="195"/>
      <c r="EF269" s="195"/>
      <c r="EG269" s="734"/>
      <c r="EL269" s="1"/>
      <c r="EM269" s="195"/>
      <c r="EN269" s="240"/>
      <c r="EO269" s="240"/>
      <c r="EP269" s="195"/>
      <c r="EQ269" s="240"/>
      <c r="ER269" s="195"/>
      <c r="ES269" s="195"/>
      <c r="ET269" s="195"/>
      <c r="EU269" s="240"/>
      <c r="FJ269" s="571" t="n">
        <v>25</v>
      </c>
      <c r="FK269" s="150" t="str">
        <f aca="false">IF($FJ269+FK$244&gt;73,"",PRODUCT(INDEX($T$19:$T$93,FK$244):INDEX($T$19:$T$93,FK$244+$FJ269-1)))</f>
        <v/>
      </c>
      <c r="FL269" s="150" t="str">
        <f aca="false">IF($FJ269+FL$244&gt;73,"",PRODUCT(INDEX($T$19:$T$93,FL$244):INDEX($T$19:$T$93,FL$244+$FJ269-1)))</f>
        <v/>
      </c>
      <c r="FM269" s="150" t="str">
        <f aca="false">IF($FJ269+FM$244&gt;73,"",PRODUCT(INDEX($T$19:$T$93,FM$244):INDEX($T$19:$T$93,FM$244+$FJ269-1)))</f>
        <v/>
      </c>
      <c r="FN269" s="150" t="str">
        <f aca="false">IF($FJ269+FN$244&gt;73,"",PRODUCT(INDEX($T$19:$T$93,FN$244):INDEX($T$19:$T$93,FN$244+$FJ269-1)))</f>
        <v/>
      </c>
      <c r="FO269" s="150" t="str">
        <f aca="false">IF($FJ269+FO$244&gt;73,"",PRODUCT(INDEX($T$19:$T$93,FO$244):INDEX($T$19:$T$93,FO$244+$FJ269-1)))</f>
        <v/>
      </c>
      <c r="FP269" s="150" t="str">
        <f aca="false">IF($FJ269+FP$244&gt;73,"",PRODUCT(INDEX($T$19:$T$93,FP$244):INDEX($T$19:$T$93,FP$244+$FJ269-1)))</f>
        <v/>
      </c>
      <c r="FQ269" s="150" t="str">
        <f aca="false">IF($FJ269+FQ$244&gt;73,"",PRODUCT(INDEX($T$19:$T$93,FQ$244):INDEX($T$19:$T$93,FQ$244+$FJ269-1)))</f>
        <v/>
      </c>
      <c r="FR269" s="150" t="str">
        <f aca="false">IF($FJ269+FR$244&gt;73,"",PRODUCT(INDEX($T$19:$T$93,FR$244):INDEX($T$19:$T$93,FR$244+$FJ269-1)))</f>
        <v/>
      </c>
      <c r="FS269" s="150" t="str">
        <f aca="false">IF($FJ269+FS$244&gt;73,"",PRODUCT(INDEX($T$19:$T$93,FS$244):INDEX($T$19:$T$93,FS$244+$FJ269-1)))</f>
        <v/>
      </c>
      <c r="FT269" s="150" t="str">
        <f aca="false">IF($FJ269+FT$244&gt;73,"",PRODUCT(INDEX($T$19:$T$93,FT$244):INDEX($T$19:$T$93,FT$244+$FJ269-1)))</f>
        <v/>
      </c>
      <c r="FU269" s="150" t="str">
        <f aca="false">IF($FJ269+FU$244&gt;73,"",PRODUCT(INDEX($T$19:$T$93,FU$244):INDEX($T$19:$T$93,FU$244+$FJ269-1)))</f>
        <v/>
      </c>
      <c r="FV269" s="150" t="str">
        <f aca="false">IF($FJ269+FV$244&gt;73,"",PRODUCT(INDEX($T$19:$T$93,FV$244):INDEX($T$19:$T$93,FV$244+$FJ269-1)))</f>
        <v/>
      </c>
      <c r="FW269" s="150" t="str">
        <f aca="false">IF($FJ269+FW$244&gt;73,"",PRODUCT(INDEX($T$19:$T$93,FW$244):INDEX($T$19:$T$93,FW$244+$FJ269-1)))</f>
        <v/>
      </c>
      <c r="FX269" s="150" t="str">
        <f aca="false">IF($FJ269+FX$244&gt;73,"",PRODUCT(INDEX($T$19:$T$93,FX$244):INDEX($T$19:$T$93,FX$244+$FJ269-1)))</f>
        <v/>
      </c>
      <c r="FY269" s="150" t="str">
        <f aca="false">IF($FJ269+FY$244&gt;73,"",PRODUCT(INDEX($T$19:$T$93,FY$244):INDEX($T$19:$T$93,FY$244+$FJ269-1)))</f>
        <v/>
      </c>
      <c r="FZ269" s="150" t="str">
        <f aca="false">IF($FJ269+FZ$244&gt;73,"",PRODUCT(INDEX($T$19:$T$93,FZ$244):INDEX($T$19:$T$93,FZ$244+$FJ269-1)))</f>
        <v/>
      </c>
      <c r="GA269" s="150" t="str">
        <f aca="false">IF($FJ269+GA$244&gt;73,"",PRODUCT(INDEX($T$19:$T$93,GA$244):INDEX($T$19:$T$93,GA$244+$FJ269-1)))</f>
        <v/>
      </c>
      <c r="GB269" s="150" t="str">
        <f aca="false">IF($FJ269+GB$244&gt;73,"",PRODUCT(INDEX($T$19:$T$93,GB$244):INDEX($T$19:$T$93,GB$244+$FJ269-1)))</f>
        <v/>
      </c>
      <c r="GC269" s="150" t="str">
        <f aca="false">IF($FJ269+GC$244&gt;73,"",PRODUCT(INDEX($T$19:$T$93,GC$244):INDEX($T$19:$T$93,GC$244+$FJ269-1)))</f>
        <v/>
      </c>
      <c r="GD269" s="150" t="str">
        <f aca="false">IF($FJ269+GD$244&gt;73,"",PRODUCT(INDEX($T$19:$T$93,GD$244):INDEX($T$19:$T$93,GD$244+$FJ269-1)))</f>
        <v/>
      </c>
      <c r="GE269" s="150" t="str">
        <f aca="false">IF($FJ269+GE$244&gt;73,"",PRODUCT(INDEX($T$19:$T$93,GE$244):INDEX($T$19:$T$93,GE$244+$FJ269-1)))</f>
        <v/>
      </c>
      <c r="GF269" s="150" t="str">
        <f aca="false">IF($FJ269+GF$244&gt;73,"",PRODUCT(INDEX($T$19:$T$93,GF$244):INDEX($T$19:$T$93,GF$244+$FJ269-1)))</f>
        <v/>
      </c>
      <c r="GG269" s="150" t="str">
        <f aca="false">IF($FJ269+GG$244&gt;73,"",PRODUCT(INDEX($T$19:$T$93,GG$244):INDEX($T$19:$T$93,GG$244+$FJ269-1)))</f>
        <v/>
      </c>
      <c r="GH269" s="150" t="str">
        <f aca="false">IF($FJ269+GH$244&gt;73,"",PRODUCT(INDEX($T$19:$T$93,GH$244):INDEX($T$19:$T$93,GH$244+$FJ269-1)))</f>
        <v/>
      </c>
      <c r="GI269" s="150" t="n">
        <f aca="false">IF($FJ269+GI$244&gt;73,"",PRODUCT(INDEX($T$19:$T$93,GI$244):INDEX($T$19:$T$93,GI$244+$FJ269-1)))</f>
        <v>0.999436668861742</v>
      </c>
      <c r="GJ269" s="150" t="n">
        <f aca="false">IF($FJ269+GJ$244&gt;73,"",PRODUCT(INDEX($T$19:$T$93,GJ$244):INDEX($T$19:$T$93,GJ$244+$FJ269-1)))</f>
        <v>0.999341150750167</v>
      </c>
      <c r="GK269" s="150" t="n">
        <f aca="false">IF($FJ269+GK$244&gt;73,"",PRODUCT(INDEX($T$19:$T$93,GK$244):INDEX($T$19:$T$93,GK$244+$FJ269-1)))</f>
        <v>0.999229440433083</v>
      </c>
      <c r="GL269" s="150" t="n">
        <f aca="false">IF($FJ269+GL$244&gt;73,"",PRODUCT(INDEX($T$19:$T$93,GL$244):INDEX($T$19:$T$93,GL$244+$FJ269-1)))</f>
        <v>0.999098794457399</v>
      </c>
      <c r="GM269" s="150" t="n">
        <f aca="false">IF($FJ269+GM$244&gt;73,"",PRODUCT(INDEX($T$19:$T$93,GM$244):INDEX($T$19:$T$93,GM$244+$FJ269-1)))</f>
        <v>0.998946005094162</v>
      </c>
      <c r="GN269" s="150" t="n">
        <f aca="false">IF($FJ269+GN$244&gt;73,"",PRODUCT(INDEX($T$19:$T$93,GN$244):INDEX($T$19:$T$93,GN$244+$FJ269-1)))</f>
        <v>0.998767321976566</v>
      </c>
      <c r="GO269" s="150" t="n">
        <f aca="false">IF($FJ269+GO$244&gt;73,"",PRODUCT(INDEX($T$19:$T$93,GO$244):INDEX($T$19:$T$93,GO$244+$FJ269-1)))</f>
        <v>0.998558360590169</v>
      </c>
      <c r="GP269" s="150" t="n">
        <f aca="false">IF($FJ269+GP$244&gt;73,"",PRODUCT(INDEX($T$19:$T$93,GP$244):INDEX($T$19:$T$93,GP$244+$FJ269-1)))</f>
        <v>0.998313995438957</v>
      </c>
      <c r="GQ269" s="150" t="n">
        <f aca="false">IF($FJ269+GQ$244&gt;73,"",PRODUCT(INDEX($T$19:$T$93,GQ$244):INDEX($T$19:$T$93,GQ$244+$FJ269-1)))</f>
        <v>0.998028235361818</v>
      </c>
      <c r="GR269" s="150" t="n">
        <f aca="false">IF($FJ269+GR$244&gt;73,"",PRODUCT(INDEX($T$19:$T$93,GR$244):INDEX($T$19:$T$93,GR$244+$FJ269-1)))</f>
        <v>0.997694078073264</v>
      </c>
      <c r="GS269" s="150" t="n">
        <f aca="false">IF($FJ269+GS$244&gt;73,"",PRODUCT(INDEX($T$19:$T$93,GS$244):INDEX($T$19:$T$93,GS$244+$FJ269-1)))</f>
        <v>0.99730334054383</v>
      </c>
      <c r="GT269" s="150" t="n">
        <f aca="false">IF($FJ269+GT$244&gt;73,"",PRODUCT(INDEX($T$19:$T$93,GT$244):INDEX($T$19:$T$93,GT$244+$FJ269-1)))</f>
        <v>0.996846461313565</v>
      </c>
      <c r="GU269" s="150" t="n">
        <f aca="false">IF($FJ269+GU$244&gt;73,"",PRODUCT(INDEX($T$19:$T$93,GU$244):INDEX($T$19:$T$93,GU$244+$FJ269-1)))</f>
        <v>0.996312270240938</v>
      </c>
      <c r="GV269" s="150" t="n">
        <f aca="false">IF($FJ269+GV$244&gt;73,"",PRODUCT(INDEX($T$19:$T$93,GV$244):INDEX($T$19:$T$93,GV$244+$FJ269-1)))</f>
        <v>0.995687720524691</v>
      </c>
      <c r="GW269" s="150" t="n">
        <f aca="false">IF($FJ269+GW$244&gt;73,"",PRODUCT(INDEX($T$19:$T$93,GW$244):INDEX($T$19:$T$93,GW$244+$FJ269-1)))</f>
        <v>0.994957577095197</v>
      </c>
      <c r="GX269" s="150" t="n">
        <f aca="false">IF($FJ269+GX$244&gt;73,"",PRODUCT(INDEX($T$19:$T$93,GX$244):INDEX($T$19:$T$93,GX$244+$FJ269-1)))</f>
        <v>0.994104054655223</v>
      </c>
      <c r="GY269" s="150" t="n">
        <f aca="false">IF($FJ269+GY$244&gt;73,"",PRODUCT(INDEX($T$19:$T$93,GY$244):INDEX($T$19:$T$93,GY$244+$FJ269-1)))</f>
        <v>0.993106397763305</v>
      </c>
      <c r="GZ269" s="150" t="n">
        <f aca="false">IF($FJ269+GZ$244&gt;73,"",PRODUCT(INDEX($T$19:$T$93,GZ$244):INDEX($T$19:$T$93,GZ$244+$FJ269-1)))</f>
        <v>0.991940394409655</v>
      </c>
      <c r="HA269" s="150" t="n">
        <f aca="false">IF($FJ269+HA$244&gt;73,"",PRODUCT(INDEX($T$19:$T$93,HA$244):INDEX($T$19:$T$93,HA$244+$FJ269-1)))</f>
        <v>0.990577813559333</v>
      </c>
      <c r="HB269" s="150" t="n">
        <f aca="false">IF($FJ269+HB$244&gt;73,"",PRODUCT(INDEX($T$19:$T$93,HB$244):INDEX($T$19:$T$93,HB$244+$FJ269-1)))</f>
        <v>0.988985756171973</v>
      </c>
      <c r="HC269" s="150" t="n">
        <f aca="false">IF($FJ269+HC$244&gt;73,"",PRODUCT(INDEX($T$19:$T$93,HC$244):INDEX($T$19:$T$93,HC$244+$FJ269-1)))</f>
        <v>0.987125908317005</v>
      </c>
      <c r="HD269" s="150" t="n">
        <f aca="false">IF($FJ269+HD$244&gt;73,"",PRODUCT(INDEX($T$19:$T$93,HD$244):INDEX($T$19:$T$93,HD$244+$FJ269-1)))</f>
        <v>0.984953684287458</v>
      </c>
      <c r="HE269" s="150" t="n">
        <f aca="false">IF($FJ269+HE$244&gt;73,"",PRODUCT(INDEX($T$19:$T$93,HE$244):INDEX($T$19:$T$93,HE$244+$FJ269-1)))</f>
        <v>0.982417247220891</v>
      </c>
      <c r="HF269" s="150" t="n">
        <f aca="false">IF($FJ269+HF$244&gt;73,"",PRODUCT(INDEX($T$19:$T$93,HF$244):INDEX($T$19:$T$93,HF$244+$FJ269-1)))</f>
        <v>0.979456394875588</v>
      </c>
      <c r="HG269" s="150" t="n">
        <f aca="false">IF($FJ269+HG$244&gt;73,"",PRODUCT(INDEX($T$19:$T$93,HG$244):INDEX($T$19:$T$93,HG$244+$FJ269-1)))</f>
        <v>0.976001299187383</v>
      </c>
      <c r="HH269" s="150" t="n">
        <f aca="false">IF($FJ269+HH$244&gt;73,"",PRODUCT(INDEX($T$19:$T$93,HH$244):INDEX($T$19:$T$93,HH$244+$FJ269-1)))</f>
        <v>0.971971090474373</v>
      </c>
      <c r="HI269" s="150" t="n">
        <f aca="false">IF($FJ269+HI$244&gt;73,"",PRODUCT(INDEX($T$19:$T$93,HI$244):INDEX($T$19:$T$93,HI$244+$FJ269-1)))</f>
        <v>0.967272281257386</v>
      </c>
      <c r="HJ269" s="150" t="n">
        <f aca="false">IF($FJ269+HJ$244&gt;73,"",PRODUCT(INDEX($T$19:$T$93,HJ$244):INDEX($T$19:$T$93,HJ$244+$FJ269-1)))</f>
        <v>0.961797031439829</v>
      </c>
      <c r="HK269" s="150" t="n">
        <f aca="false">IF($FJ269+HK$244&gt;73,"",PRODUCT(INDEX($T$19:$T$93,HK$244):INDEX($T$19:$T$93,HK$244+$FJ269-1)))</f>
        <v>0.955421267151833</v>
      </c>
      <c r="HL269" s="150" t="n">
        <f aca="false">IF($FJ269+HL$244&gt;73,"",PRODUCT(INDEX($T$19:$T$93,HL$244):INDEX($T$19:$T$93,HL$244+$FJ269-1)))</f>
        <v>0.948002681401414</v>
      </c>
      <c r="HM269" s="150" t="n">
        <f aca="false">IF($FJ269+HM$244&gt;73,"",PRODUCT(INDEX($T$19:$T$93,HM$244):INDEX($T$19:$T$93,HM$244+$FJ269-1)))</f>
        <v>0.939378667765319</v>
      </c>
      <c r="HN269" s="150" t="n">
        <f aca="false">IF($FJ269+HN$244&gt;73,"",PRODUCT(INDEX($T$19:$T$93,HN$244):INDEX($T$19:$T$93,HN$244+$FJ269-1)))</f>
        <v>0.92936427126945</v>
      </c>
      <c r="HO269" s="150" t="n">
        <f aca="false">IF($FJ269+HO$244&gt;73,"",PRODUCT(INDEX($T$19:$T$93,HO$244):INDEX($T$19:$T$93,HO$244+$FJ269-1)))</f>
        <v>0.917750286641712</v>
      </c>
      <c r="HP269" s="150" t="n">
        <f aca="false">IF($FJ269+HP$244&gt;73,"",PRODUCT(INDEX($T$19:$T$93,HP$244):INDEX($T$19:$T$93,HP$244+$FJ269-1)))</f>
        <v>0.9043016973557</v>
      </c>
      <c r="HQ269" s="150" t="n">
        <f aca="false">IF($FJ269+HQ$244&gt;73,"",PRODUCT(INDEX($T$19:$T$93,HQ$244):INDEX($T$19:$T$93,HQ$244+$FJ269-1)))</f>
        <v>0.888756734209271</v>
      </c>
      <c r="HR269" s="150" t="n">
        <f aca="false">IF($FJ269+HR$244&gt;73,"",PRODUCT(INDEX($T$19:$T$93,HR$244):INDEX($T$19:$T$93,HR$244+$FJ269-1)))</f>
        <v>0.870826945108033</v>
      </c>
      <c r="HS269" s="150" t="n">
        <f aca="false">IF($FJ269+HS$244&gt;73,"",PRODUCT(INDEX($T$19:$T$93,HS$244):INDEX($T$19:$T$93,HS$244+$FJ269-1)))</f>
        <v>0.850198813856128</v>
      </c>
      <c r="HT269" s="150" t="n">
        <f aca="false">IF($FJ269+HT$244&gt;73,"",PRODUCT(INDEX($T$19:$T$93,HT$244):INDEX($T$19:$T$93,HT$244+$FJ269-1)))</f>
        <v>0.826537649640009</v>
      </c>
      <c r="HU269" s="150" t="n">
        <f aca="false">IF($FJ269+HU$244&gt;73,"",PRODUCT(INDEX($T$19:$T$93,HU$244):INDEX($T$19:$T$93,HU$244+$FJ269-1)))</f>
        <v>0.799494691772711</v>
      </c>
      <c r="HV269" s="150" t="n">
        <f aca="false">IF($FJ269+HV$244&gt;73,"",PRODUCT(INDEX($T$19:$T$93,HV$244):INDEX($T$19:$T$93,HV$244+$FJ269-1)))</f>
        <v>0.768718630096023</v>
      </c>
      <c r="HW269" s="150" t="n">
        <f aca="false">IF($FJ269+HW$244&gt;73,"",PRODUCT(INDEX($T$19:$T$93,HW$244):INDEX($T$19:$T$93,HW$244+$FJ269-1)))</f>
        <v>0.733873010113393</v>
      </c>
      <c r="HX269" s="150" t="n">
        <f aca="false">IF($FJ269+HX$244&gt;73,"",PRODUCT(INDEX($T$19:$T$93,HX$244):INDEX($T$19:$T$93,HX$244+$FJ269-1)))</f>
        <v>0.694661228478121</v>
      </c>
      <c r="HY269" s="150" t="n">
        <f aca="false">IF($FJ269+HY$244&gt;73,"",PRODUCT(INDEX($T$19:$T$93,HY$244):INDEX($T$19:$T$93,HY$244+$FJ269-1)))</f>
        <v>0.650860942708862</v>
      </c>
      <c r="HZ269" s="150" t="n">
        <f aca="false">IF($FJ269+HZ$244&gt;73,"",PRODUCT(INDEX($T$19:$T$93,HZ$244):INDEX($T$19:$T$93,HZ$244+$FJ269-1)))</f>
        <v>0.602369568627334</v>
      </c>
      <c r="IA269" s="150" t="n">
        <f aca="false">IF($FJ269+IA$244&gt;73,"",PRODUCT(INDEX($T$19:$T$93,IA$244):INDEX($T$19:$T$93,IA$244+$FJ269-1)))</f>
        <v>0.549261876893685</v>
      </c>
      <c r="IB269" s="150" t="n">
        <f aca="false">IF($FJ269+IB$244&gt;73,"",PRODUCT(INDEX($T$19:$T$93,IB$244):INDEX($T$19:$T$93,IB$244+$FJ269-1)))</f>
        <v>0.491859161908231</v>
      </c>
      <c r="IC269" s="150" t="n">
        <f aca="false">IF($FJ269+IC$244&gt;73,"",PRODUCT(INDEX($T$19:$T$93,IC$244):INDEX($T$19:$T$93,IC$244+$FJ269-1)))</f>
        <v>0.430806546524584</v>
      </c>
      <c r="ID269" s="572" t="n">
        <f aca="false">IF($FJ269+ID$244&gt;73,"",PRODUCT(INDEX($T$19:$T$93,ID$244):INDEX($T$19:$T$93,ID$244+$FJ269-1)))</f>
        <v>0.367150125067424</v>
      </c>
      <c r="IE269" s="129"/>
    </row>
    <row r="270" customFormat="false" ht="12.75" hidden="false" customHeight="false" outlineLevel="0" collapsed="false">
      <c r="I270" s="735"/>
      <c r="J270" s="727"/>
      <c r="K270" s="728"/>
      <c r="L270" s="195"/>
      <c r="M270" s="729"/>
      <c r="P270" s="727"/>
      <c r="S270" s="1"/>
      <c r="T270" s="727"/>
      <c r="U270" s="195"/>
      <c r="V270" s="195"/>
      <c r="W270" s="195"/>
      <c r="X270" s="195"/>
      <c r="Y270" s="195"/>
      <c r="Z270" s="195"/>
      <c r="AA270" s="195"/>
      <c r="AB270" s="195"/>
      <c r="AC270" s="195"/>
      <c r="AD270" s="195"/>
      <c r="AE270" s="195"/>
      <c r="AF270" s="195"/>
      <c r="AG270" s="195"/>
      <c r="AH270" s="195"/>
      <c r="AI270" s="195"/>
      <c r="AJ270" s="195"/>
      <c r="AK270" s="195"/>
      <c r="AL270" s="240"/>
      <c r="AM270" s="240"/>
      <c r="AN270" s="240"/>
      <c r="AO270" s="532"/>
      <c r="AP270" s="730"/>
      <c r="AQ270" s="532"/>
      <c r="AR270" s="730"/>
      <c r="AS270" s="730"/>
      <c r="AT270" s="730"/>
      <c r="AU270" s="730"/>
      <c r="AV270" s="468"/>
      <c r="AW270" s="240"/>
      <c r="AX270" s="240"/>
      <c r="AY270" s="240"/>
      <c r="AZ270" s="240"/>
      <c r="BA270" s="240"/>
      <c r="BB270" s="240"/>
      <c r="BC270" s="672"/>
      <c r="BD270" s="672"/>
      <c r="BE270" s="672"/>
      <c r="BF270" s="731"/>
      <c r="BG270" s="672"/>
      <c r="BH270" s="672"/>
      <c r="BI270" s="732"/>
      <c r="BJ270" s="240"/>
      <c r="BK270" s="240"/>
      <c r="BL270" s="240"/>
      <c r="BM270" s="240"/>
      <c r="BN270" s="240"/>
      <c r="BO270" s="240"/>
      <c r="BP270" s="240"/>
      <c r="BQ270" s="240"/>
      <c r="BR270" s="240"/>
      <c r="BS270" s="240"/>
      <c r="BT270" s="240"/>
      <c r="BU270" s="240"/>
      <c r="BV270" s="672"/>
      <c r="BW270" s="672"/>
      <c r="BX270" s="672"/>
      <c r="BY270" s="672"/>
      <c r="BZ270" s="672"/>
      <c r="CA270" s="672"/>
      <c r="CB270" s="672"/>
      <c r="CC270" s="672"/>
      <c r="CD270" s="672"/>
      <c r="CE270" s="672"/>
      <c r="CF270" s="240"/>
      <c r="CG270" s="240"/>
      <c r="CH270" s="240"/>
      <c r="CI270" s="240"/>
      <c r="CJ270" s="240"/>
      <c r="CK270" s="240"/>
      <c r="CL270" s="733"/>
      <c r="CM270" s="195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H270" s="478"/>
      <c r="DK270" s="478"/>
      <c r="DM270" s="195"/>
      <c r="DN270" s="195"/>
      <c r="DO270" s="195"/>
      <c r="DP270" s="195"/>
      <c r="DQ270" s="195"/>
      <c r="DR270" s="195"/>
      <c r="DS270" s="195"/>
      <c r="DT270" s="195"/>
      <c r="DU270" s="195"/>
      <c r="DV270" s="195"/>
      <c r="DW270" s="195"/>
      <c r="DX270" s="195"/>
      <c r="DY270" s="195"/>
      <c r="DZ270" s="195"/>
      <c r="EA270" s="195"/>
      <c r="EB270" s="195"/>
      <c r="EC270" s="195"/>
      <c r="ED270" s="195"/>
      <c r="EE270" s="195"/>
      <c r="EF270" s="195"/>
      <c r="EG270" s="734"/>
      <c r="EL270" s="1"/>
      <c r="EM270" s="195"/>
      <c r="EN270" s="240"/>
      <c r="EO270" s="240"/>
      <c r="EP270" s="195"/>
      <c r="EQ270" s="240"/>
      <c r="ER270" s="195"/>
      <c r="ES270" s="195"/>
      <c r="ET270" s="195"/>
      <c r="EU270" s="240"/>
      <c r="FJ270" s="571" t="n">
        <v>26</v>
      </c>
      <c r="FK270" s="150" t="str">
        <f aca="false">IF($FJ270+FK$244&gt;73,"",PRODUCT(INDEX($T$19:$T$93,FK$244):INDEX($T$19:$T$93,FK$244+$FJ270-1)))</f>
        <v/>
      </c>
      <c r="FL270" s="150" t="str">
        <f aca="false">IF($FJ270+FL$244&gt;73,"",PRODUCT(INDEX($T$19:$T$93,FL$244):INDEX($T$19:$T$93,FL$244+$FJ270-1)))</f>
        <v/>
      </c>
      <c r="FM270" s="150" t="str">
        <f aca="false">IF($FJ270+FM$244&gt;73,"",PRODUCT(INDEX($T$19:$T$93,FM$244):INDEX($T$19:$T$93,FM$244+$FJ270-1)))</f>
        <v/>
      </c>
      <c r="FN270" s="150" t="str">
        <f aca="false">IF($FJ270+FN$244&gt;73,"",PRODUCT(INDEX($T$19:$T$93,FN$244):INDEX($T$19:$T$93,FN$244+$FJ270-1)))</f>
        <v/>
      </c>
      <c r="FO270" s="150" t="str">
        <f aca="false">IF($FJ270+FO$244&gt;73,"",PRODUCT(INDEX($T$19:$T$93,FO$244):INDEX($T$19:$T$93,FO$244+$FJ270-1)))</f>
        <v/>
      </c>
      <c r="FP270" s="150" t="str">
        <f aca="false">IF($FJ270+FP$244&gt;73,"",PRODUCT(INDEX($T$19:$T$93,FP$244):INDEX($T$19:$T$93,FP$244+$FJ270-1)))</f>
        <v/>
      </c>
      <c r="FQ270" s="150" t="str">
        <f aca="false">IF($FJ270+FQ$244&gt;73,"",PRODUCT(INDEX($T$19:$T$93,FQ$244):INDEX($T$19:$T$93,FQ$244+$FJ270-1)))</f>
        <v/>
      </c>
      <c r="FR270" s="150" t="str">
        <f aca="false">IF($FJ270+FR$244&gt;73,"",PRODUCT(INDEX($T$19:$T$93,FR$244):INDEX($T$19:$T$93,FR$244+$FJ270-1)))</f>
        <v/>
      </c>
      <c r="FS270" s="150" t="str">
        <f aca="false">IF($FJ270+FS$244&gt;73,"",PRODUCT(INDEX($T$19:$T$93,FS$244):INDEX($T$19:$T$93,FS$244+$FJ270-1)))</f>
        <v/>
      </c>
      <c r="FT270" s="150" t="str">
        <f aca="false">IF($FJ270+FT$244&gt;73,"",PRODUCT(INDEX($T$19:$T$93,FT$244):INDEX($T$19:$T$93,FT$244+$FJ270-1)))</f>
        <v/>
      </c>
      <c r="FU270" s="150" t="str">
        <f aca="false">IF($FJ270+FU$244&gt;73,"",PRODUCT(INDEX($T$19:$T$93,FU$244):INDEX($T$19:$T$93,FU$244+$FJ270-1)))</f>
        <v/>
      </c>
      <c r="FV270" s="150" t="str">
        <f aca="false">IF($FJ270+FV$244&gt;73,"",PRODUCT(INDEX($T$19:$T$93,FV$244):INDEX($T$19:$T$93,FV$244+$FJ270-1)))</f>
        <v/>
      </c>
      <c r="FW270" s="150" t="str">
        <f aca="false">IF($FJ270+FW$244&gt;73,"",PRODUCT(INDEX($T$19:$T$93,FW$244):INDEX($T$19:$T$93,FW$244+$FJ270-1)))</f>
        <v/>
      </c>
      <c r="FX270" s="150" t="str">
        <f aca="false">IF($FJ270+FX$244&gt;73,"",PRODUCT(INDEX($T$19:$T$93,FX$244):INDEX($T$19:$T$93,FX$244+$FJ270-1)))</f>
        <v/>
      </c>
      <c r="FY270" s="150" t="str">
        <f aca="false">IF($FJ270+FY$244&gt;73,"",PRODUCT(INDEX($T$19:$T$93,FY$244):INDEX($T$19:$T$93,FY$244+$FJ270-1)))</f>
        <v/>
      </c>
      <c r="FZ270" s="150" t="str">
        <f aca="false">IF($FJ270+FZ$244&gt;73,"",PRODUCT(INDEX($T$19:$T$93,FZ$244):INDEX($T$19:$T$93,FZ$244+$FJ270-1)))</f>
        <v/>
      </c>
      <c r="GA270" s="150" t="str">
        <f aca="false">IF($FJ270+GA$244&gt;73,"",PRODUCT(INDEX($T$19:$T$93,GA$244):INDEX($T$19:$T$93,GA$244+$FJ270-1)))</f>
        <v/>
      </c>
      <c r="GB270" s="150" t="str">
        <f aca="false">IF($FJ270+GB$244&gt;73,"",PRODUCT(INDEX($T$19:$T$93,GB$244):INDEX($T$19:$T$93,GB$244+$FJ270-1)))</f>
        <v/>
      </c>
      <c r="GC270" s="150" t="str">
        <f aca="false">IF($FJ270+GC$244&gt;73,"",PRODUCT(INDEX($T$19:$T$93,GC$244):INDEX($T$19:$T$93,GC$244+$FJ270-1)))</f>
        <v/>
      </c>
      <c r="GD270" s="150" t="str">
        <f aca="false">IF($FJ270+GD$244&gt;73,"",PRODUCT(INDEX($T$19:$T$93,GD$244):INDEX($T$19:$T$93,GD$244+$FJ270-1)))</f>
        <v/>
      </c>
      <c r="GE270" s="150" t="str">
        <f aca="false">IF($FJ270+GE$244&gt;73,"",PRODUCT(INDEX($T$19:$T$93,GE$244):INDEX($T$19:$T$93,GE$244+$FJ270-1)))</f>
        <v/>
      </c>
      <c r="GF270" s="150" t="str">
        <f aca="false">IF($FJ270+GF$244&gt;73,"",PRODUCT(INDEX($T$19:$T$93,GF$244):INDEX($T$19:$T$93,GF$244+$FJ270-1)))</f>
        <v/>
      </c>
      <c r="GG270" s="150" t="str">
        <f aca="false">IF($FJ270+GG$244&gt;73,"",PRODUCT(INDEX($T$19:$T$93,GG$244):INDEX($T$19:$T$93,GG$244+$FJ270-1)))</f>
        <v/>
      </c>
      <c r="GH270" s="150" t="str">
        <f aca="false">IF($FJ270+GH$244&gt;73,"",PRODUCT(INDEX($T$19:$T$93,GH$244):INDEX($T$19:$T$93,GH$244+$FJ270-1)))</f>
        <v/>
      </c>
      <c r="GI270" s="150" t="str">
        <f aca="false">IF($FJ270+GI$244&gt;73,"",PRODUCT(INDEX($T$19:$T$93,GI$244):INDEX($T$19:$T$93,GI$244+$FJ270-1)))</f>
        <v/>
      </c>
      <c r="GJ270" s="150" t="n">
        <f aca="false">IF($FJ270+GJ$244&gt;73,"",PRODUCT(INDEX($T$19:$T$93,GJ$244):INDEX($T$19:$T$93,GJ$244+$FJ270-1)))</f>
        <v>0.999339210612651</v>
      </c>
      <c r="GK270" s="150" t="n">
        <f aca="false">IF($FJ270+GK$244&gt;73,"",PRODUCT(INDEX($T$19:$T$93,GK$244):INDEX($T$19:$T$93,GK$244+$FJ270-1)))</f>
        <v>0.999227171517477</v>
      </c>
      <c r="GL270" s="150" t="n">
        <f aca="false">IF($FJ270+GL$244&gt;73,"",PRODUCT(INDEX($T$19:$T$93,GL$244):INDEX($T$19:$T$93,GL$244+$FJ270-1)))</f>
        <v>0.99909614109845</v>
      </c>
      <c r="GM270" s="150" t="n">
        <f aca="false">IF($FJ270+GM$244&gt;73,"",PRODUCT(INDEX($T$19:$T$93,GM$244):INDEX($T$19:$T$93,GM$244+$FJ270-1)))</f>
        <v>0.998942902220332</v>
      </c>
      <c r="GN270" s="150" t="n">
        <f aca="false">IF($FJ270+GN$244&gt;73,"",PRODUCT(INDEX($T$19:$T$93,GN$244):INDEX($T$19:$T$93,GN$244+$FJ270-1)))</f>
        <v>0.998763693527332</v>
      </c>
      <c r="GO270" s="150" t="n">
        <f aca="false">IF($FJ270+GO$244&gt;73,"",PRODUCT(INDEX($T$19:$T$93,GO$244):INDEX($T$19:$T$93,GO$244+$FJ270-1)))</f>
        <v>0.998554117669513</v>
      </c>
      <c r="GP270" s="150" t="n">
        <f aca="false">IF($FJ270+GP$244&gt;73,"",PRODUCT(INDEX($T$19:$T$93,GP$244):INDEX($T$19:$T$93,GP$244+$FJ270-1)))</f>
        <v>0.998309034161999</v>
      </c>
      <c r="GQ270" s="150" t="n">
        <f aca="false">IF($FJ270+GQ$244&gt;73,"",PRODUCT(INDEX($T$19:$T$93,GQ$244):INDEX($T$19:$T$93,GQ$244+$FJ270-1)))</f>
        <v>0.998022434344867</v>
      </c>
      <c r="GR270" s="150" t="n">
        <f aca="false">IF($FJ270+GR$244&gt;73,"",PRODUCT(INDEX($T$19:$T$93,GR$244):INDEX($T$19:$T$93,GR$244+$FJ270-1)))</f>
        <v>0.997687295509965</v>
      </c>
      <c r="GS270" s="150" t="n">
        <f aca="false">IF($FJ270+GS$244&gt;73,"",PRODUCT(INDEX($T$19:$T$93,GS$244):INDEX($T$19:$T$93,GS$244+$FJ270-1)))</f>
        <v>0.997295410801532</v>
      </c>
      <c r="GT270" s="150" t="n">
        <f aca="false">IF($FJ270+GT$244&gt;73,"",PRODUCT(INDEX($T$19:$T$93,GT$244):INDEX($T$19:$T$93,GT$244+$FJ270-1)))</f>
        <v>0.996837190974447</v>
      </c>
      <c r="GU270" s="150" t="n">
        <f aca="false">IF($FJ270+GU$244&gt;73,"",PRODUCT(INDEX($T$19:$T$93,GU$244):INDEX($T$19:$T$93,GU$244+$FJ270-1)))</f>
        <v>0.996301433501771</v>
      </c>
      <c r="GV270" s="150" t="n">
        <f aca="false">IF($FJ270+GV$244&gt;73,"",PRODUCT(INDEX($T$19:$T$93,GV$244):INDEX($T$19:$T$93,GV$244+$FJ270-1)))</f>
        <v>0.995675053857468</v>
      </c>
      <c r="GW270" s="150" t="n">
        <f aca="false">IF($FJ270+GW$244&gt;73,"",PRODUCT(INDEX($T$19:$T$93,GW$244):INDEX($T$19:$T$93,GW$244+$FJ270-1)))</f>
        <v>0.994942773058277</v>
      </c>
      <c r="GX270" s="150" t="n">
        <f aca="false">IF($FJ270+GX$244&gt;73,"",PRODUCT(INDEX($T$19:$T$93,GX$244):INDEX($T$19:$T$93,GX$244+$FJ270-1)))</f>
        <v>0.994086754731398</v>
      </c>
      <c r="GY270" s="150" t="n">
        <f aca="false">IF($FJ270+GY$244&gt;73,"",PRODUCT(INDEX($T$19:$T$93,GY$244):INDEX($T$19:$T$93,GY$244+$FJ270-1)))</f>
        <v>0.993086184087665</v>
      </c>
      <c r="GZ270" s="150" t="n">
        <f aca="false">IF($FJ270+GZ$244&gt;73,"",PRODUCT(INDEX($T$19:$T$93,GZ$244):INDEX($T$19:$T$93,GZ$244+$FJ270-1)))</f>
        <v>0.991916780236986</v>
      </c>
      <c r="HA270" s="150" t="n">
        <f aca="false">IF($FJ270+HA$244&gt;73,"",PRODUCT(INDEX($T$19:$T$93,HA$244):INDEX($T$19:$T$93,HA$244+$FJ270-1)))</f>
        <v>0.990550232309067</v>
      </c>
      <c r="HB270" s="150" t="n">
        <f aca="false">IF($FJ270+HB$244&gt;73,"",PRODUCT(INDEX($T$19:$T$93,HB$244):INDEX($T$19:$T$93,HB$244+$FJ270-1)))</f>
        <v>0.988953548879864</v>
      </c>
      <c r="HC270" s="150" t="n">
        <f aca="false">IF($FJ270+HC$244&gt;73,"",PRODUCT(INDEX($T$19:$T$93,HC$244):INDEX($T$19:$T$93,HC$244+$FJ270-1)))</f>
        <v>0.98708830931905</v>
      </c>
      <c r="HD270" s="150" t="n">
        <f aca="false">IF($FJ270+HD$244&gt;73,"",PRODUCT(INDEX($T$19:$T$93,HD$244):INDEX($T$19:$T$93,HD$244+$FJ270-1)))</f>
        <v>0.984909804966164</v>
      </c>
      <c r="HE270" s="150" t="n">
        <f aca="false">IF($FJ270+HE$244&gt;73,"",PRODUCT(INDEX($T$19:$T$93,HE$244):INDEX($T$19:$T$93,HE$244+$FJ270-1)))</f>
        <v>0.982366057661367</v>
      </c>
      <c r="HF270" s="150" t="n">
        <f aca="false">IF($FJ270+HF$244&gt;73,"",PRODUCT(INDEX($T$19:$T$93,HF$244):INDEX($T$19:$T$93,HF$244+$FJ270-1)))</f>
        <v>0.979396703315241</v>
      </c>
      <c r="HG270" s="150" t="n">
        <f aca="false">IF($FJ270+HG$244&gt;73,"",PRODUCT(INDEX($T$19:$T$93,HG$244):INDEX($T$19:$T$93,HG$244+$FJ270-1)))</f>
        <v>0.975931729206734</v>
      </c>
      <c r="HH270" s="150" t="n">
        <f aca="false">IF($FJ270+HH$244&gt;73,"",PRODUCT(INDEX($T$19:$T$93,HH$244):INDEX($T$19:$T$93,HH$244+$FJ270-1)))</f>
        <v>0.971890055979271</v>
      </c>
      <c r="HI270" s="150" t="n">
        <f aca="false">IF($FJ270+HI$244&gt;73,"",PRODUCT(INDEX($T$19:$T$93,HI$244):INDEX($T$19:$T$93,HI$244+$FJ270-1)))</f>
        <v>0.967177959460055</v>
      </c>
      <c r="HJ270" s="150" t="n">
        <f aca="false">IF($FJ270+HJ$244&gt;73,"",PRODUCT(INDEX($T$19:$T$93,HJ$244):INDEX($T$19:$T$93,HJ$244+$FJ270-1)))</f>
        <v>0.961687334278289</v>
      </c>
      <c r="HK270" s="150" t="n">
        <f aca="false">IF($FJ270+HK$244&gt;73,"",PRODUCT(INDEX($T$19:$T$93,HK$244):INDEX($T$19:$T$93,HK$244+$FJ270-1)))</f>
        <v>0.955293811920779</v>
      </c>
      <c r="HL270" s="150" t="n">
        <f aca="false">IF($FJ270+HL$244&gt;73,"",PRODUCT(INDEX($T$19:$T$93,HL$244):INDEX($T$19:$T$93,HL$244+$FJ270-1)))</f>
        <v>0.947854761836734</v>
      </c>
      <c r="HM270" s="150" t="n">
        <f aca="false">IF($FJ270+HM$244&gt;73,"",PRODUCT(INDEX($T$19:$T$93,HM$244):INDEX($T$19:$T$93,HM$244+$FJ270-1)))</f>
        <v>0.939207227471356</v>
      </c>
      <c r="HN270" s="150" t="n">
        <f aca="false">IF($FJ270+HN$244&gt;73,"",PRODUCT(INDEX($T$19:$T$93,HN$244):INDEX($T$19:$T$93,HN$244+$FJ270-1)))</f>
        <v>0.929165882254215</v>
      </c>
      <c r="HO270" s="150" t="n">
        <f aca="false">IF($FJ270+HO$244&gt;73,"",PRODUCT(INDEX($T$19:$T$93,HO$244):INDEX($T$19:$T$93,HO$244+$FJ270-1)))</f>
        <v>0.917521136889478</v>
      </c>
      <c r="HP270" s="150" t="n">
        <f aca="false">IF($FJ270+HP$244&gt;73,"",PRODUCT(INDEX($T$19:$T$93,HP$244):INDEX($T$19:$T$93,HP$244+$FJ270-1)))</f>
        <v>0.904037592882085</v>
      </c>
      <c r="HQ270" s="150" t="n">
        <f aca="false">IF($FJ270+HQ$244&gt;73,"",PRODUCT(INDEX($T$19:$T$93,HQ$244):INDEX($T$19:$T$93,HQ$244+$FJ270-1)))</f>
        <v>0.888453122970072</v>
      </c>
      <c r="HR270" s="150" t="n">
        <f aca="false">IF($FJ270+HR$244&gt;73,"",PRODUCT(INDEX($T$19:$T$93,HR$244):INDEX($T$19:$T$93,HR$244+$FJ270-1)))</f>
        <v>0.870478972508027</v>
      </c>
      <c r="HS270" s="150" t="n">
        <f aca="false">IF($FJ270+HS$244&gt;73,"",PRODUCT(INDEX($T$19:$T$93,HS$244):INDEX($T$19:$T$93,HS$244+$FJ270-1)))</f>
        <v>0.849801422415773</v>
      </c>
      <c r="HT270" s="150" t="n">
        <f aca="false">IF($FJ270+HT$244&gt;73,"",PRODUCT(INDEX($T$19:$T$93,HT$244):INDEX($T$19:$T$93,HT$244+$FJ270-1)))</f>
        <v>0.826085738514243</v>
      </c>
      <c r="HU270" s="150" t="n">
        <f aca="false">IF($FJ270+HU$244&gt;73,"",PRODUCT(INDEX($T$19:$T$93,HU$244):INDEX($T$19:$T$93,HU$244+$FJ270-1)))</f>
        <v>0.798983354984726</v>
      </c>
      <c r="HV270" s="150" t="n">
        <f aca="false">IF($FJ270+HV$244&gt;73,"",PRODUCT(INDEX($T$19:$T$93,HV$244):INDEX($T$19:$T$93,HV$244+$FJ270-1)))</f>
        <v>0.768143494956691</v>
      </c>
      <c r="HW270" s="150" t="n">
        <f aca="false">IF($FJ270+HW$244&gt;73,"",PRODUCT(INDEX($T$19:$T$93,HW$244):INDEX($T$19:$T$93,HW$244+$FJ270-1)))</f>
        <v>0.733230698276078</v>
      </c>
      <c r="HX270" s="150" t="n">
        <f aca="false">IF($FJ270+HX$244&gt;73,"",PRODUCT(INDEX($T$19:$T$93,HX$244):INDEX($T$19:$T$93,HX$244+$FJ270-1)))</f>
        <v>0.693949959657135</v>
      </c>
      <c r="HY270" s="150" t="n">
        <f aca="false">IF($FJ270+HY$244&gt;73,"",PRODUCT(INDEX($T$19:$T$93,HY$244):INDEX($T$19:$T$93,HY$244+$FJ270-1)))</f>
        <v>0.650081292525974</v>
      </c>
      <c r="HZ270" s="150" t="n">
        <f aca="false">IF($FJ270+HZ$244&gt;73,"",PRODUCT(INDEX($T$19:$T$93,HZ$244):INDEX($T$19:$T$93,HZ$244+$FJ270-1)))</f>
        <v>0.601525373401923</v>
      </c>
      <c r="IA270" s="150" t="n">
        <f aca="false">IF($FJ270+IA$244&gt;73,"",PRODUCT(INDEX($T$19:$T$93,IA$244):INDEX($T$19:$T$93,IA$244+$FJ270-1)))</f>
        <v>0.548361244299047</v>
      </c>
      <c r="IB270" s="150" t="n">
        <f aca="false">IF($FJ270+IB$244&gt;73,"",PRODUCT(INDEX($T$19:$T$93,IB$244):INDEX($T$19:$T$93,IB$244+$FJ270-1)))</f>
        <v>0.490915491473121</v>
      </c>
      <c r="IC270" s="150" t="n">
        <f aca="false">IF($FJ270+IC$244&gt;73,"",PRODUCT(INDEX($T$19:$T$93,IC$244):INDEX($T$19:$T$93,IC$244+$FJ270-1)))</f>
        <v>0.429839383345831</v>
      </c>
      <c r="ID270" s="572" t="n">
        <f aca="false">IF($FJ270+ID$244&gt;73,"",PRODUCT(INDEX($T$19:$T$93,ID$244):INDEX($T$19:$T$93,ID$244+$FJ270-1)))</f>
        <v>0.366185564545896</v>
      </c>
      <c r="IE270" s="129"/>
    </row>
    <row r="271" customFormat="false" ht="12.75" hidden="false" customHeight="false" outlineLevel="0" collapsed="false">
      <c r="I271" s="735"/>
      <c r="J271" s="727"/>
      <c r="K271" s="728"/>
      <c r="L271" s="195"/>
      <c r="M271" s="729"/>
      <c r="P271" s="727"/>
      <c r="S271" s="1"/>
      <c r="T271" s="727"/>
      <c r="U271" s="195"/>
      <c r="V271" s="195"/>
      <c r="W271" s="195"/>
      <c r="X271" s="195"/>
      <c r="Y271" s="195"/>
      <c r="Z271" s="195"/>
      <c r="AA271" s="195"/>
      <c r="AB271" s="195"/>
      <c r="AC271" s="195"/>
      <c r="AD271" s="195"/>
      <c r="AE271" s="195"/>
      <c r="AF271" s="195"/>
      <c r="AG271" s="195"/>
      <c r="AH271" s="195"/>
      <c r="AI271" s="195"/>
      <c r="AJ271" s="195"/>
      <c r="AK271" s="195"/>
      <c r="AL271" s="240"/>
      <c r="AM271" s="240"/>
      <c r="AN271" s="240"/>
      <c r="AO271" s="532"/>
      <c r="AP271" s="730"/>
      <c r="AQ271" s="532"/>
      <c r="AR271" s="730"/>
      <c r="AS271" s="730"/>
      <c r="AT271" s="730"/>
      <c r="AU271" s="730"/>
      <c r="AV271" s="468"/>
      <c r="AW271" s="240"/>
      <c r="AX271" s="240"/>
      <c r="AY271" s="240"/>
      <c r="AZ271" s="240"/>
      <c r="BA271" s="240"/>
      <c r="BB271" s="240"/>
      <c r="BC271" s="672"/>
      <c r="BD271" s="672"/>
      <c r="BE271" s="672"/>
      <c r="BF271" s="731"/>
      <c r="BG271" s="672"/>
      <c r="BH271" s="672"/>
      <c r="BI271" s="732"/>
      <c r="BJ271" s="240"/>
      <c r="BK271" s="240"/>
      <c r="BL271" s="240"/>
      <c r="BM271" s="240"/>
      <c r="BN271" s="240"/>
      <c r="BO271" s="240"/>
      <c r="BP271" s="240"/>
      <c r="BQ271" s="240"/>
      <c r="BR271" s="240"/>
      <c r="BS271" s="240"/>
      <c r="BT271" s="240"/>
      <c r="BU271" s="240"/>
      <c r="BV271" s="672"/>
      <c r="BW271" s="672"/>
      <c r="BX271" s="672"/>
      <c r="BY271" s="672"/>
      <c r="BZ271" s="672"/>
      <c r="CA271" s="672"/>
      <c r="CB271" s="672"/>
      <c r="CC271" s="672"/>
      <c r="CD271" s="672"/>
      <c r="CE271" s="672"/>
      <c r="CF271" s="240"/>
      <c r="CG271" s="240"/>
      <c r="CH271" s="240"/>
      <c r="CI271" s="240"/>
      <c r="CJ271" s="240"/>
      <c r="CK271" s="240"/>
      <c r="CL271" s="733"/>
      <c r="CM271" s="195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H271" s="478"/>
      <c r="DK271" s="478"/>
      <c r="DM271" s="195"/>
      <c r="DN271" s="195"/>
      <c r="DO271" s="195"/>
      <c r="DP271" s="195"/>
      <c r="DQ271" s="195"/>
      <c r="DR271" s="195"/>
      <c r="DS271" s="195"/>
      <c r="DT271" s="195"/>
      <c r="DU271" s="195"/>
      <c r="DV271" s="195"/>
      <c r="DW271" s="195"/>
      <c r="DX271" s="195"/>
      <c r="DY271" s="195"/>
      <c r="DZ271" s="195"/>
      <c r="EA271" s="195"/>
      <c r="EB271" s="195"/>
      <c r="EC271" s="195"/>
      <c r="ED271" s="195"/>
      <c r="EE271" s="195"/>
      <c r="EF271" s="195"/>
      <c r="EG271" s="734"/>
      <c r="EL271" s="1"/>
      <c r="EM271" s="195"/>
      <c r="EN271" s="240"/>
      <c r="EO271" s="240"/>
      <c r="EP271" s="195"/>
      <c r="EQ271" s="240"/>
      <c r="ER271" s="195"/>
      <c r="ES271" s="195"/>
      <c r="ET271" s="195"/>
      <c r="EU271" s="240"/>
      <c r="FJ271" s="571" t="n">
        <v>27</v>
      </c>
      <c r="FK271" s="150" t="str">
        <f aca="false">IF($FJ271+FK$244&gt;73,"",PRODUCT(INDEX($T$19:$T$93,FK$244):INDEX($T$19:$T$93,FK$244+$FJ271-1)))</f>
        <v/>
      </c>
      <c r="FL271" s="150" t="str">
        <f aca="false">IF($FJ271+FL$244&gt;73,"",PRODUCT(INDEX($T$19:$T$93,FL$244):INDEX($T$19:$T$93,FL$244+$FJ271-1)))</f>
        <v/>
      </c>
      <c r="FM271" s="150" t="str">
        <f aca="false">IF($FJ271+FM$244&gt;73,"",PRODUCT(INDEX($T$19:$T$93,FM$244):INDEX($T$19:$T$93,FM$244+$FJ271-1)))</f>
        <v/>
      </c>
      <c r="FN271" s="150" t="str">
        <f aca="false">IF($FJ271+FN$244&gt;73,"",PRODUCT(INDEX($T$19:$T$93,FN$244):INDEX($T$19:$T$93,FN$244+$FJ271-1)))</f>
        <v/>
      </c>
      <c r="FO271" s="150" t="str">
        <f aca="false">IF($FJ271+FO$244&gt;73,"",PRODUCT(INDEX($T$19:$T$93,FO$244):INDEX($T$19:$T$93,FO$244+$FJ271-1)))</f>
        <v/>
      </c>
      <c r="FP271" s="150" t="str">
        <f aca="false">IF($FJ271+FP$244&gt;73,"",PRODUCT(INDEX($T$19:$T$93,FP$244):INDEX($T$19:$T$93,FP$244+$FJ271-1)))</f>
        <v/>
      </c>
      <c r="FQ271" s="150" t="str">
        <f aca="false">IF($FJ271+FQ$244&gt;73,"",PRODUCT(INDEX($T$19:$T$93,FQ$244):INDEX($T$19:$T$93,FQ$244+$FJ271-1)))</f>
        <v/>
      </c>
      <c r="FR271" s="150" t="str">
        <f aca="false">IF($FJ271+FR$244&gt;73,"",PRODUCT(INDEX($T$19:$T$93,FR$244):INDEX($T$19:$T$93,FR$244+$FJ271-1)))</f>
        <v/>
      </c>
      <c r="FS271" s="150" t="str">
        <f aca="false">IF($FJ271+FS$244&gt;73,"",PRODUCT(INDEX($T$19:$T$93,FS$244):INDEX($T$19:$T$93,FS$244+$FJ271-1)))</f>
        <v/>
      </c>
      <c r="FT271" s="150" t="str">
        <f aca="false">IF($FJ271+FT$244&gt;73,"",PRODUCT(INDEX($T$19:$T$93,FT$244):INDEX($T$19:$T$93,FT$244+$FJ271-1)))</f>
        <v/>
      </c>
      <c r="FU271" s="150" t="str">
        <f aca="false">IF($FJ271+FU$244&gt;73,"",PRODUCT(INDEX($T$19:$T$93,FU$244):INDEX($T$19:$T$93,FU$244+$FJ271-1)))</f>
        <v/>
      </c>
      <c r="FV271" s="150" t="str">
        <f aca="false">IF($FJ271+FV$244&gt;73,"",PRODUCT(INDEX($T$19:$T$93,FV$244):INDEX($T$19:$T$93,FV$244+$FJ271-1)))</f>
        <v/>
      </c>
      <c r="FW271" s="150" t="str">
        <f aca="false">IF($FJ271+FW$244&gt;73,"",PRODUCT(INDEX($T$19:$T$93,FW$244):INDEX($T$19:$T$93,FW$244+$FJ271-1)))</f>
        <v/>
      </c>
      <c r="FX271" s="150" t="str">
        <f aca="false">IF($FJ271+FX$244&gt;73,"",PRODUCT(INDEX($T$19:$T$93,FX$244):INDEX($T$19:$T$93,FX$244+$FJ271-1)))</f>
        <v/>
      </c>
      <c r="FY271" s="150" t="str">
        <f aca="false">IF($FJ271+FY$244&gt;73,"",PRODUCT(INDEX($T$19:$T$93,FY$244):INDEX($T$19:$T$93,FY$244+$FJ271-1)))</f>
        <v/>
      </c>
      <c r="FZ271" s="150" t="str">
        <f aca="false">IF($FJ271+FZ$244&gt;73,"",PRODUCT(INDEX($T$19:$T$93,FZ$244):INDEX($T$19:$T$93,FZ$244+$FJ271-1)))</f>
        <v/>
      </c>
      <c r="GA271" s="150" t="str">
        <f aca="false">IF($FJ271+GA$244&gt;73,"",PRODUCT(INDEX($T$19:$T$93,GA$244):INDEX($T$19:$T$93,GA$244+$FJ271-1)))</f>
        <v/>
      </c>
      <c r="GB271" s="150" t="str">
        <f aca="false">IF($FJ271+GB$244&gt;73,"",PRODUCT(INDEX($T$19:$T$93,GB$244):INDEX($T$19:$T$93,GB$244+$FJ271-1)))</f>
        <v/>
      </c>
      <c r="GC271" s="150" t="str">
        <f aca="false">IF($FJ271+GC$244&gt;73,"",PRODUCT(INDEX($T$19:$T$93,GC$244):INDEX($T$19:$T$93,GC$244+$FJ271-1)))</f>
        <v/>
      </c>
      <c r="GD271" s="150" t="str">
        <f aca="false">IF($FJ271+GD$244&gt;73,"",PRODUCT(INDEX($T$19:$T$93,GD$244):INDEX($T$19:$T$93,GD$244+$FJ271-1)))</f>
        <v/>
      </c>
      <c r="GE271" s="150" t="str">
        <f aca="false">IF($FJ271+GE$244&gt;73,"",PRODUCT(INDEX($T$19:$T$93,GE$244):INDEX($T$19:$T$93,GE$244+$FJ271-1)))</f>
        <v/>
      </c>
      <c r="GF271" s="150" t="str">
        <f aca="false">IF($FJ271+GF$244&gt;73,"",PRODUCT(INDEX($T$19:$T$93,GF$244):INDEX($T$19:$T$93,GF$244+$FJ271-1)))</f>
        <v/>
      </c>
      <c r="GG271" s="150" t="str">
        <f aca="false">IF($FJ271+GG$244&gt;73,"",PRODUCT(INDEX($T$19:$T$93,GG$244):INDEX($T$19:$T$93,GG$244+$FJ271-1)))</f>
        <v/>
      </c>
      <c r="GH271" s="150" t="str">
        <f aca="false">IF($FJ271+GH$244&gt;73,"",PRODUCT(INDEX($T$19:$T$93,GH$244):INDEX($T$19:$T$93,GH$244+$FJ271-1)))</f>
        <v/>
      </c>
      <c r="GI271" s="150" t="str">
        <f aca="false">IF($FJ271+GI$244&gt;73,"",PRODUCT(INDEX($T$19:$T$93,GI$244):INDEX($T$19:$T$93,GI$244+$FJ271-1)))</f>
        <v/>
      </c>
      <c r="GJ271" s="150" t="str">
        <f aca="false">IF($FJ271+GJ$244&gt;73,"",PRODUCT(INDEX($T$19:$T$93,GJ$244):INDEX($T$19:$T$93,GJ$244+$FJ271-1)))</f>
        <v/>
      </c>
      <c r="GK271" s="150" t="n">
        <f aca="false">IF($FJ271+GK$244&gt;73,"",PRODUCT(INDEX($T$19:$T$93,GK$244):INDEX($T$19:$T$93,GK$244+$FJ271-1)))</f>
        <v>0.999225231601242</v>
      </c>
      <c r="GL271" s="150" t="n">
        <f aca="false">IF($FJ271+GL$244&gt;73,"",PRODUCT(INDEX($T$19:$T$93,GL$244):INDEX($T$19:$T$93,GL$244+$FJ271-1)))</f>
        <v>0.999093872485522</v>
      </c>
      <c r="GM271" s="150" t="n">
        <f aca="false">IF($FJ271+GM$244&gt;73,"",PRODUCT(INDEX($T$19:$T$93,GM$244):INDEX($T$19:$T$93,GM$244+$FJ271-1)))</f>
        <v>0.998940249275395</v>
      </c>
      <c r="GN271" s="150" t="n">
        <f aca="false">IF($FJ271+GN$244&gt;73,"",PRODUCT(INDEX($T$19:$T$93,GN$244):INDEX($T$19:$T$93,GN$244+$FJ271-1)))</f>
        <v>0.998760591219789</v>
      </c>
      <c r="GO271" s="150" t="n">
        <f aca="false">IF($FJ271+GO$244&gt;73,"",PRODUCT(INDEX($T$19:$T$93,GO$244):INDEX($T$19:$T$93,GO$244+$FJ271-1)))</f>
        <v>0.998550489994834</v>
      </c>
      <c r="GP271" s="150" t="n">
        <f aca="false">IF($FJ271+GP$244&gt;73,"",PRODUCT(INDEX($T$19:$T$93,GP$244):INDEX($T$19:$T$93,GP$244+$FJ271-1)))</f>
        <v>0.998304792300742</v>
      </c>
      <c r="GQ271" s="150" t="n">
        <f aca="false">IF($FJ271+GQ$244&gt;73,"",PRODUCT(INDEX($T$19:$T$93,GQ$244):INDEX($T$19:$T$93,GQ$244+$FJ271-1)))</f>
        <v>0.998017474516868</v>
      </c>
      <c r="GR271" s="150" t="n">
        <f aca="false">IF($FJ271+GR$244&gt;73,"",PRODUCT(INDEX($T$19:$T$93,GR$244):INDEX($T$19:$T$93,GR$244+$FJ271-1)))</f>
        <v>0.99768149647472</v>
      </c>
      <c r="GS271" s="150" t="n">
        <f aca="false">IF($FJ271+GS$244&gt;73,"",PRODUCT(INDEX($T$19:$T$93,GS$244):INDEX($T$19:$T$93,GS$244+$FJ271-1)))</f>
        <v>0.997288630948469</v>
      </c>
      <c r="GT271" s="150" t="n">
        <f aca="false">IF($FJ271+GT$244&gt;73,"",PRODUCT(INDEX($T$19:$T$93,GT$244):INDEX($T$19:$T$93,GT$244+$FJ271-1)))</f>
        <v>0.99682926493859</v>
      </c>
      <c r="GU271" s="150" t="n">
        <f aca="false">IF($FJ271+GU$244&gt;73,"",PRODUCT(INDEX($T$19:$T$93,GU$244):INDEX($T$19:$T$93,GU$244+$FJ271-1)))</f>
        <v>0.99629216823123</v>
      </c>
      <c r="GV271" s="150" t="n">
        <f aca="false">IF($FJ271+GV$244&gt;73,"",PRODUCT(INDEX($T$19:$T$93,GV$244):INDEX($T$19:$T$93,GV$244+$FJ271-1)))</f>
        <v>0.995664224049208</v>
      </c>
      <c r="GW271" s="150" t="n">
        <f aca="false">IF($FJ271+GW$244&gt;73,"",PRODUCT(INDEX($T$19:$T$93,GW$244):INDEX($T$19:$T$93,GW$244+$FJ271-1)))</f>
        <v>0.994930115867923</v>
      </c>
      <c r="GX271" s="150" t="n">
        <f aca="false">IF($FJ271+GX$244&gt;73,"",PRODUCT(INDEX($T$19:$T$93,GX$244):INDEX($T$19:$T$93,GX$244+$FJ271-1)))</f>
        <v>0.9940719636515</v>
      </c>
      <c r="GY271" s="150" t="n">
        <f aca="false">IF($FJ271+GY$244&gt;73,"",PRODUCT(INDEX($T$19:$T$93,GY$244):INDEX($T$19:$T$93,GY$244+$FJ271-1)))</f>
        <v>0.993068901877361</v>
      </c>
      <c r="GZ271" s="150" t="n">
        <f aca="false">IF($FJ271+GZ$244&gt;73,"",PRODUCT(INDEX($T$19:$T$93,GZ$244):INDEX($T$19:$T$93,GZ$244+$FJ271-1)))</f>
        <v>0.991896590774806</v>
      </c>
      <c r="HA271" s="150" t="n">
        <f aca="false">IF($FJ271+HA$244&gt;73,"",PRODUCT(INDEX($T$19:$T$93,HA$244):INDEX($T$19:$T$93,HA$244+$FJ271-1)))</f>
        <v>0.990526651230652</v>
      </c>
      <c r="HB271" s="150" t="n">
        <f aca="false">IF($FJ271+HB$244&gt;73,"",PRODUCT(INDEX($T$19:$T$93,HB$244):INDEX($T$19:$T$93,HB$244+$FJ271-1)))</f>
        <v>0.98892601285497</v>
      </c>
      <c r="HC271" s="150" t="n">
        <f aca="false">IF($FJ271+HC$244&gt;73,"",PRODUCT(INDEX($T$19:$T$93,HC$244):INDEX($T$19:$T$93,HC$244+$FJ271-1)))</f>
        <v>0.987056163819161</v>
      </c>
      <c r="HD271" s="150" t="n">
        <f aca="false">IF($FJ271+HD$244&gt;73,"",PRODUCT(INDEX($T$19:$T$93,HD$244):INDEX($T$19:$T$93,HD$244+$FJ271-1)))</f>
        <v>0.984872290378177</v>
      </c>
      <c r="HE271" s="150" t="n">
        <f aca="false">IF($FJ271+HE$244&gt;73,"",PRODUCT(INDEX($T$19:$T$93,HE$244):INDEX($T$19:$T$93,HE$244+$FJ271-1)))</f>
        <v>0.98232229361788</v>
      </c>
      <c r="HF271" s="150" t="n">
        <f aca="false">IF($FJ271+HF$244&gt;73,"",PRODUCT(INDEX($T$19:$T$93,HF$244):INDEX($T$19:$T$93,HF$244+$FJ271-1)))</f>
        <v>0.979345671143338</v>
      </c>
      <c r="HG271" s="150" t="n">
        <f aca="false">IF($FJ271+HG$244&gt;73,"",PRODUCT(INDEX($T$19:$T$93,HG$244):INDEX($T$19:$T$93,HG$244+$FJ271-1)))</f>
        <v>0.975872252452064</v>
      </c>
      <c r="HH271" s="150" t="n">
        <f aca="false">IF($FJ271+HH$244&gt;73,"",PRODUCT(INDEX($T$19:$T$93,HH$244):INDEX($T$19:$T$93,HH$244+$FJ271-1)))</f>
        <v>0.971820779050599</v>
      </c>
      <c r="HI271" s="150" t="n">
        <f aca="false">IF($FJ271+HI$244&gt;73,"",PRODUCT(INDEX($T$19:$T$93,HI$244):INDEX($T$19:$T$93,HI$244+$FJ271-1)))</f>
        <v>0.967097324574526</v>
      </c>
      <c r="HJ271" s="150" t="n">
        <f aca="false">IF($FJ271+HJ$244&gt;73,"",PRODUCT(INDEX($T$19:$T$93,HJ$244):INDEX($T$19:$T$93,HJ$244+$FJ271-1)))</f>
        <v>0.961593557086905</v>
      </c>
      <c r="HK271" s="150" t="n">
        <f aca="false">IF($FJ271+HK$244&gt;73,"",PRODUCT(INDEX($T$19:$T$93,HK$244):INDEX($T$19:$T$93,HK$244+$FJ271-1)))</f>
        <v>0.955184856479892</v>
      </c>
      <c r="HL271" s="150" t="n">
        <f aca="false">IF($FJ271+HL$244&gt;73,"",PRODUCT(INDEX($T$19:$T$93,HL$244):INDEX($T$19:$T$93,HL$244+$FJ271-1)))</f>
        <v>0.947728315993598</v>
      </c>
      <c r="HM271" s="150" t="n">
        <f aca="false">IF($FJ271+HM$244&gt;73,"",PRODUCT(INDEX($T$19:$T$93,HM$244):INDEX($T$19:$T$93,HM$244+$FJ271-1)))</f>
        <v>0.939060680286461</v>
      </c>
      <c r="HN271" s="150" t="n">
        <f aca="false">IF($FJ271+HN$244&gt;73,"",PRODUCT(INDEX($T$19:$T$93,HN$244):INDEX($T$19:$T$93,HN$244+$FJ271-1)))</f>
        <v>0.928996305833692</v>
      </c>
      <c r="HO271" s="150" t="n">
        <f aca="false">IF($FJ271+HO$244&gt;73,"",PRODUCT(INDEX($T$19:$T$93,HO$244):INDEX($T$19:$T$93,HO$244+$FJ271-1)))</f>
        <v>0.917325275997864</v>
      </c>
      <c r="HP271" s="150" t="n">
        <f aca="false">IF($FJ271+HP$244&gt;73,"",PRODUCT(INDEX($T$19:$T$93,HP$244):INDEX($T$19:$T$93,HP$244+$FJ271-1)))</f>
        <v>0.903811867002797</v>
      </c>
      <c r="HQ271" s="150" t="n">
        <f aca="false">IF($FJ271+HQ$244&gt;73,"",PRODUCT(INDEX($T$19:$T$93,HQ$244):INDEX($T$19:$T$93,HQ$244+$FJ271-1)))</f>
        <v>0.888193647128039</v>
      </c>
      <c r="HR271" s="150" t="n">
        <f aca="false">IF($FJ271+HR$244&gt;73,"",PRODUCT(INDEX($T$19:$T$93,HR$244):INDEX($T$19:$T$93,HR$244+$FJ271-1)))</f>
        <v>0.870181605197753</v>
      </c>
      <c r="HS271" s="150" t="n">
        <f aca="false">IF($FJ271+HS$244&gt;73,"",PRODUCT(INDEX($T$19:$T$93,HS$244):INDEX($T$19:$T$93,HS$244+$FJ271-1)))</f>
        <v>0.84946185137688</v>
      </c>
      <c r="HT271" s="150" t="n">
        <f aca="false">IF($FJ271+HT$244&gt;73,"",PRODUCT(INDEX($T$19:$T$93,HT$244):INDEX($T$19:$T$93,HT$244+$FJ271-1)))</f>
        <v>0.825699617766796</v>
      </c>
      <c r="HU271" s="150" t="n">
        <f aca="false">IF($FJ271+HU$244&gt;73,"",PRODUCT(INDEX($T$19:$T$93,HU$244):INDEX($T$19:$T$93,HU$244+$FJ271-1)))</f>
        <v>0.798546509225096</v>
      </c>
      <c r="HV271" s="150" t="n">
        <f aca="false">IF($FJ271+HV$244&gt;73,"",PRODUCT(INDEX($T$19:$T$93,HV$244):INDEX($T$19:$T$93,HV$244+$FJ271-1)))</f>
        <v>0.767652209609253</v>
      </c>
      <c r="HW271" s="150" t="n">
        <f aca="false">IF($FJ271+HW$244&gt;73,"",PRODUCT(INDEX($T$19:$T$93,HW$244):INDEX($T$19:$T$93,HW$244+$FJ271-1)))</f>
        <v>0.732682114277583</v>
      </c>
      <c r="HX271" s="150" t="n">
        <f aca="false">IF($FJ271+HX$244&gt;73,"",PRODUCT(INDEX($T$19:$T$93,HX$244):INDEX($T$19:$T$93,HX$244+$FJ271-1)))</f>
        <v>0.693342589897721</v>
      </c>
      <c r="HY271" s="150" t="n">
        <f aca="false">IF($FJ271+HY$244&gt;73,"",PRODUCT(INDEX($T$19:$T$93,HY$244):INDEX($T$19:$T$93,HY$244+$FJ271-1)))</f>
        <v>0.649415669434424</v>
      </c>
      <c r="HZ271" s="150" t="n">
        <f aca="false">IF($FJ271+HZ$244&gt;73,"",PRODUCT(INDEX($T$19:$T$93,HZ$244):INDEX($T$19:$T$93,HZ$244+$FJ271-1)))</f>
        <v>0.600804821074059</v>
      </c>
      <c r="IA271" s="150" t="n">
        <f aca="false">IF($FJ271+IA$244&gt;73,"",PRODUCT(INDEX($T$19:$T$93,IA$244):INDEX($T$19:$T$93,IA$244+$FJ271-1)))</f>
        <v>0.547592739433681</v>
      </c>
      <c r="IB271" s="150" t="n">
        <f aca="false">IF($FJ271+IB$244&gt;73,"",PRODUCT(INDEX($T$19:$T$93,IB$244):INDEX($T$19:$T$93,IB$244+$FJ271-1)))</f>
        <v>0.490110530285328</v>
      </c>
      <c r="IC271" s="150" t="n">
        <f aca="false">IF($FJ271+IC$244&gt;73,"",PRODUCT(INDEX($T$19:$T$93,IC$244):INDEX($T$19:$T$93,IC$244+$FJ271-1)))</f>
        <v>0.429014702727225</v>
      </c>
      <c r="ID271" s="572" t="n">
        <f aca="false">IF($FJ271+ID$244&gt;73,"",PRODUCT(INDEX($T$19:$T$93,ID$244):INDEX($T$19:$T$93,ID$244+$FJ271-1)))</f>
        <v>0.365363475843956</v>
      </c>
      <c r="IE271" s="129"/>
    </row>
    <row r="272" customFormat="false" ht="12.75" hidden="false" customHeight="false" outlineLevel="0" collapsed="false">
      <c r="I272" s="735"/>
      <c r="J272" s="727"/>
      <c r="K272" s="728"/>
      <c r="L272" s="195"/>
      <c r="M272" s="729"/>
      <c r="P272" s="727"/>
      <c r="S272" s="1"/>
      <c r="T272" s="727"/>
      <c r="U272" s="195"/>
      <c r="V272" s="195"/>
      <c r="W272" s="195"/>
      <c r="X272" s="195"/>
      <c r="Y272" s="195"/>
      <c r="Z272" s="195"/>
      <c r="AA272" s="195"/>
      <c r="AB272" s="195"/>
      <c r="AC272" s="195"/>
      <c r="AD272" s="195"/>
      <c r="AE272" s="195"/>
      <c r="AF272" s="195"/>
      <c r="AG272" s="195"/>
      <c r="AH272" s="195"/>
      <c r="AI272" s="195"/>
      <c r="AJ272" s="195"/>
      <c r="AK272" s="195"/>
      <c r="AL272" s="240"/>
      <c r="AM272" s="240"/>
      <c r="AN272" s="240"/>
      <c r="AO272" s="532"/>
      <c r="AP272" s="730"/>
      <c r="AQ272" s="532"/>
      <c r="AR272" s="730"/>
      <c r="AS272" s="730"/>
      <c r="AT272" s="730"/>
      <c r="AU272" s="730"/>
      <c r="AV272" s="468"/>
      <c r="AW272" s="240"/>
      <c r="AX272" s="240"/>
      <c r="AY272" s="240"/>
      <c r="AZ272" s="240"/>
      <c r="BA272" s="240"/>
      <c r="BB272" s="240"/>
      <c r="BC272" s="672"/>
      <c r="BD272" s="672"/>
      <c r="BE272" s="672"/>
      <c r="BF272" s="731"/>
      <c r="BG272" s="672"/>
      <c r="BH272" s="672"/>
      <c r="BI272" s="732"/>
      <c r="BJ272" s="240"/>
      <c r="BK272" s="240"/>
      <c r="BL272" s="240"/>
      <c r="BM272" s="240"/>
      <c r="BN272" s="240"/>
      <c r="BO272" s="240"/>
      <c r="BP272" s="240"/>
      <c r="BQ272" s="240"/>
      <c r="BR272" s="240"/>
      <c r="BS272" s="240"/>
      <c r="BT272" s="240"/>
      <c r="BU272" s="240"/>
      <c r="BV272" s="672"/>
      <c r="BW272" s="672"/>
      <c r="BX272" s="672"/>
      <c r="BY272" s="672"/>
      <c r="BZ272" s="672"/>
      <c r="CA272" s="672"/>
      <c r="CB272" s="672"/>
      <c r="CC272" s="672"/>
      <c r="CD272" s="672"/>
      <c r="CE272" s="672"/>
      <c r="CF272" s="240"/>
      <c r="CG272" s="240"/>
      <c r="CH272" s="240"/>
      <c r="CI272" s="240"/>
      <c r="CJ272" s="240"/>
      <c r="CK272" s="240"/>
      <c r="CL272" s="733"/>
      <c r="CM272" s="195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H272" s="478"/>
      <c r="DK272" s="478"/>
      <c r="DM272" s="195"/>
      <c r="DN272" s="195"/>
      <c r="DO272" s="195"/>
      <c r="DP272" s="195"/>
      <c r="DQ272" s="195"/>
      <c r="DR272" s="195"/>
      <c r="DS272" s="195"/>
      <c r="DT272" s="195"/>
      <c r="DU272" s="195"/>
      <c r="DV272" s="195"/>
      <c r="DW272" s="195"/>
      <c r="DX272" s="195"/>
      <c r="DY272" s="195"/>
      <c r="DZ272" s="195"/>
      <c r="EA272" s="195"/>
      <c r="EB272" s="195"/>
      <c r="EC272" s="195"/>
      <c r="ED272" s="195"/>
      <c r="EE272" s="195"/>
      <c r="EF272" s="195"/>
      <c r="EG272" s="734"/>
      <c r="EL272" s="1"/>
      <c r="EM272" s="195"/>
      <c r="EN272" s="240"/>
      <c r="EO272" s="240"/>
      <c r="EP272" s="195"/>
      <c r="EQ272" s="240"/>
      <c r="ER272" s="195"/>
      <c r="ES272" s="195"/>
      <c r="ET272" s="195"/>
      <c r="EU272" s="240"/>
      <c r="FJ272" s="571" t="n">
        <v>28</v>
      </c>
      <c r="FK272" s="150" t="str">
        <f aca="false">IF($FJ272+FK$244&gt;73,"",PRODUCT(INDEX($T$19:$T$93,FK$244):INDEX($T$19:$T$93,FK$244+$FJ272-1)))</f>
        <v/>
      </c>
      <c r="FL272" s="150" t="str">
        <f aca="false">IF($FJ272+FL$244&gt;73,"",PRODUCT(INDEX($T$19:$T$93,FL$244):INDEX($T$19:$T$93,FL$244+$FJ272-1)))</f>
        <v/>
      </c>
      <c r="FM272" s="150" t="str">
        <f aca="false">IF($FJ272+FM$244&gt;73,"",PRODUCT(INDEX($T$19:$T$93,FM$244):INDEX($T$19:$T$93,FM$244+$FJ272-1)))</f>
        <v/>
      </c>
      <c r="FN272" s="150" t="str">
        <f aca="false">IF($FJ272+FN$244&gt;73,"",PRODUCT(INDEX($T$19:$T$93,FN$244):INDEX($T$19:$T$93,FN$244+$FJ272-1)))</f>
        <v/>
      </c>
      <c r="FO272" s="150" t="str">
        <f aca="false">IF($FJ272+FO$244&gt;73,"",PRODUCT(INDEX($T$19:$T$93,FO$244):INDEX($T$19:$T$93,FO$244+$FJ272-1)))</f>
        <v/>
      </c>
      <c r="FP272" s="150" t="str">
        <f aca="false">IF($FJ272+FP$244&gt;73,"",PRODUCT(INDEX($T$19:$T$93,FP$244):INDEX($T$19:$T$93,FP$244+$FJ272-1)))</f>
        <v/>
      </c>
      <c r="FQ272" s="150" t="str">
        <f aca="false">IF($FJ272+FQ$244&gt;73,"",PRODUCT(INDEX($T$19:$T$93,FQ$244):INDEX($T$19:$T$93,FQ$244+$FJ272-1)))</f>
        <v/>
      </c>
      <c r="FR272" s="150" t="str">
        <f aca="false">IF($FJ272+FR$244&gt;73,"",PRODUCT(INDEX($T$19:$T$93,FR$244):INDEX($T$19:$T$93,FR$244+$FJ272-1)))</f>
        <v/>
      </c>
      <c r="FS272" s="150" t="str">
        <f aca="false">IF($FJ272+FS$244&gt;73,"",PRODUCT(INDEX($T$19:$T$93,FS$244):INDEX($T$19:$T$93,FS$244+$FJ272-1)))</f>
        <v/>
      </c>
      <c r="FT272" s="150" t="str">
        <f aca="false">IF($FJ272+FT$244&gt;73,"",PRODUCT(INDEX($T$19:$T$93,FT$244):INDEX($T$19:$T$93,FT$244+$FJ272-1)))</f>
        <v/>
      </c>
      <c r="FU272" s="150" t="str">
        <f aca="false">IF($FJ272+FU$244&gt;73,"",PRODUCT(INDEX($T$19:$T$93,FU$244):INDEX($T$19:$T$93,FU$244+$FJ272-1)))</f>
        <v/>
      </c>
      <c r="FV272" s="150" t="str">
        <f aca="false">IF($FJ272+FV$244&gt;73,"",PRODUCT(INDEX($T$19:$T$93,FV$244):INDEX($T$19:$T$93,FV$244+$FJ272-1)))</f>
        <v/>
      </c>
      <c r="FW272" s="150" t="str">
        <f aca="false">IF($FJ272+FW$244&gt;73,"",PRODUCT(INDEX($T$19:$T$93,FW$244):INDEX($T$19:$T$93,FW$244+$FJ272-1)))</f>
        <v/>
      </c>
      <c r="FX272" s="150" t="str">
        <f aca="false">IF($FJ272+FX$244&gt;73,"",PRODUCT(INDEX($T$19:$T$93,FX$244):INDEX($T$19:$T$93,FX$244+$FJ272-1)))</f>
        <v/>
      </c>
      <c r="FY272" s="150" t="str">
        <f aca="false">IF($FJ272+FY$244&gt;73,"",PRODUCT(INDEX($T$19:$T$93,FY$244):INDEX($T$19:$T$93,FY$244+$FJ272-1)))</f>
        <v/>
      </c>
      <c r="FZ272" s="150" t="str">
        <f aca="false">IF($FJ272+FZ$244&gt;73,"",PRODUCT(INDEX($T$19:$T$93,FZ$244):INDEX($T$19:$T$93,FZ$244+$FJ272-1)))</f>
        <v/>
      </c>
      <c r="GA272" s="150" t="str">
        <f aca="false">IF($FJ272+GA$244&gt;73,"",PRODUCT(INDEX($T$19:$T$93,GA$244):INDEX($T$19:$T$93,GA$244+$FJ272-1)))</f>
        <v/>
      </c>
      <c r="GB272" s="150" t="str">
        <f aca="false">IF($FJ272+GB$244&gt;73,"",PRODUCT(INDEX($T$19:$T$93,GB$244):INDEX($T$19:$T$93,GB$244+$FJ272-1)))</f>
        <v/>
      </c>
      <c r="GC272" s="150" t="str">
        <f aca="false">IF($FJ272+GC$244&gt;73,"",PRODUCT(INDEX($T$19:$T$93,GC$244):INDEX($T$19:$T$93,GC$244+$FJ272-1)))</f>
        <v/>
      </c>
      <c r="GD272" s="150" t="str">
        <f aca="false">IF($FJ272+GD$244&gt;73,"",PRODUCT(INDEX($T$19:$T$93,GD$244):INDEX($T$19:$T$93,GD$244+$FJ272-1)))</f>
        <v/>
      </c>
      <c r="GE272" s="150" t="str">
        <f aca="false">IF($FJ272+GE$244&gt;73,"",PRODUCT(INDEX($T$19:$T$93,GE$244):INDEX($T$19:$T$93,GE$244+$FJ272-1)))</f>
        <v/>
      </c>
      <c r="GF272" s="150" t="str">
        <f aca="false">IF($FJ272+GF$244&gt;73,"",PRODUCT(INDEX($T$19:$T$93,GF$244):INDEX($T$19:$T$93,GF$244+$FJ272-1)))</f>
        <v/>
      </c>
      <c r="GG272" s="150" t="str">
        <f aca="false">IF($FJ272+GG$244&gt;73,"",PRODUCT(INDEX($T$19:$T$93,GG$244):INDEX($T$19:$T$93,GG$244+$FJ272-1)))</f>
        <v/>
      </c>
      <c r="GH272" s="150" t="str">
        <f aca="false">IF($FJ272+GH$244&gt;73,"",PRODUCT(INDEX($T$19:$T$93,GH$244):INDEX($T$19:$T$93,GH$244+$FJ272-1)))</f>
        <v/>
      </c>
      <c r="GI272" s="150" t="str">
        <f aca="false">IF($FJ272+GI$244&gt;73,"",PRODUCT(INDEX($T$19:$T$93,GI$244):INDEX($T$19:$T$93,GI$244+$FJ272-1)))</f>
        <v/>
      </c>
      <c r="GJ272" s="150" t="str">
        <f aca="false">IF($FJ272+GJ$244&gt;73,"",PRODUCT(INDEX($T$19:$T$93,GJ$244):INDEX($T$19:$T$93,GJ$244+$FJ272-1)))</f>
        <v/>
      </c>
      <c r="GK272" s="150" t="str">
        <f aca="false">IF($FJ272+GK$244&gt;73,"",PRODUCT(INDEX($T$19:$T$93,GK$244):INDEX($T$19:$T$93,GK$244+$FJ272-1)))</f>
        <v/>
      </c>
      <c r="GL272" s="150" t="n">
        <f aca="false">IF($FJ272+GL$244&gt;73,"",PRODUCT(INDEX($T$19:$T$93,GL$244):INDEX($T$19:$T$93,GL$244+$FJ272-1)))</f>
        <v>0.999091932828076</v>
      </c>
      <c r="GM272" s="150" t="n">
        <f aca="false">IF($FJ272+GM$244&gt;73,"",PRODUCT(INDEX($T$19:$T$93,GM$244):INDEX($T$19:$T$93,GM$244+$FJ272-1)))</f>
        <v>0.998937981016445</v>
      </c>
      <c r="GN272" s="150" t="n">
        <f aca="false">IF($FJ272+GN$244&gt;73,"",PRODUCT(INDEX($T$19:$T$93,GN$244):INDEX($T$19:$T$93,GN$244+$FJ272-1)))</f>
        <v>0.998757938759024</v>
      </c>
      <c r="GO272" s="150" t="n">
        <f aca="false">IF($FJ272+GO$244&gt;73,"",PRODUCT(INDEX($T$19:$T$93,GO$244):INDEX($T$19:$T$93,GO$244+$FJ272-1)))</f>
        <v>0.998547388349533</v>
      </c>
      <c r="GP272" s="150" t="n">
        <f aca="false">IF($FJ272+GP$244&gt;73,"",PRODUCT(INDEX($T$19:$T$93,GP$244):INDEX($T$19:$T$93,GP$244+$FJ272-1)))</f>
        <v>0.998301165531845</v>
      </c>
      <c r="GQ272" s="150" t="n">
        <f aca="false">IF($FJ272+GQ$244&gt;73,"",PRODUCT(INDEX($T$19:$T$93,GQ$244):INDEX($T$19:$T$93,GQ$244+$FJ272-1)))</f>
        <v>0.998013233894462</v>
      </c>
      <c r="GR272" s="150" t="n">
        <f aca="false">IF($FJ272+GR$244&gt;73,"",PRODUCT(INDEX($T$19:$T$93,GR$244):INDEX($T$19:$T$93,GR$244+$FJ272-1)))</f>
        <v>0.997676538341065</v>
      </c>
      <c r="GS272" s="150" t="n">
        <f aca="false">IF($FJ272+GS$244&gt;73,"",PRODUCT(INDEX($T$19:$T$93,GS$244):INDEX($T$19:$T$93,GS$244+$FJ272-1)))</f>
        <v>0.997282834230453</v>
      </c>
      <c r="GT272" s="150" t="n">
        <f aca="false">IF($FJ272+GT$244&gt;73,"",PRODUCT(INDEX($T$19:$T$93,GT$244):INDEX($T$19:$T$93,GT$244+$FJ272-1)))</f>
        <v>0.996822488254497</v>
      </c>
      <c r="GU272" s="150" t="n">
        <f aca="false">IF($FJ272+GU$244&gt;73,"",PRODUCT(INDEX($T$19:$T$93,GU$244):INDEX($T$19:$T$93,GU$244+$FJ272-1)))</f>
        <v>0.996284246528948</v>
      </c>
      <c r="GV272" s="150" t="n">
        <f aca="false">IF($FJ272+GV$244&gt;73,"",PRODUCT(INDEX($T$19:$T$93,GV$244):INDEX($T$19:$T$93,GV$244+$FJ272-1)))</f>
        <v>0.995654964704501</v>
      </c>
      <c r="GW272" s="150" t="n">
        <f aca="false">IF($FJ272+GW$244&gt;73,"",PRODUCT(INDEX($T$19:$T$93,GW$244):INDEX($T$19:$T$93,GW$244+$FJ272-1)))</f>
        <v>0.994919294162242</v>
      </c>
      <c r="GX272" s="150" t="n">
        <f aca="false">IF($FJ272+GX$244&gt;73,"",PRODUCT(INDEX($T$19:$T$93,GX$244):INDEX($T$19:$T$93,GX$244+$FJ272-1)))</f>
        <v>0.994059317539169</v>
      </c>
      <c r="GY272" s="150" t="n">
        <f aca="false">IF($FJ272+GY$244&gt;73,"",PRODUCT(INDEX($T$19:$T$93,GY$244):INDEX($T$19:$T$93,GY$244+$FJ272-1)))</f>
        <v>0.99305412594216</v>
      </c>
      <c r="GZ272" s="150" t="n">
        <f aca="false">IF($FJ272+GZ$244&gt;73,"",PRODUCT(INDEX($T$19:$T$93,GZ$244):INDEX($T$19:$T$93,GZ$244+$FJ272-1)))</f>
        <v>0.991879329266434</v>
      </c>
      <c r="HA272" s="150" t="n">
        <f aca="false">IF($FJ272+HA$244&gt;73,"",PRODUCT(INDEX($T$19:$T$93,HA$244):INDEX($T$19:$T$93,HA$244+$FJ272-1)))</f>
        <v>0.990506490063141</v>
      </c>
      <c r="HB272" s="150" t="n">
        <f aca="false">IF($FJ272+HB$244&gt;73,"",PRODUCT(INDEX($T$19:$T$93,HB$244):INDEX($T$19:$T$93,HB$244+$FJ272-1)))</f>
        <v>0.988902470442788</v>
      </c>
      <c r="HC272" s="150" t="n">
        <f aca="false">IF($FJ272+HC$244&gt;73,"",PRODUCT(INDEX($T$19:$T$93,HC$244):INDEX($T$19:$T$93,HC$244+$FJ272-1)))</f>
        <v>0.987028680624294</v>
      </c>
      <c r="HD272" s="150" t="n">
        <f aca="false">IF($FJ272+HD$244&gt;73,"",PRODUCT(INDEX($T$19:$T$93,HD$244):INDEX($T$19:$T$93,HD$244+$FJ272-1)))</f>
        <v>0.98484021704512</v>
      </c>
      <c r="HE272" s="150" t="n">
        <f aca="false">IF($FJ272+HE$244&gt;73,"",PRODUCT(INDEX($T$19:$T$93,HE$244):INDEX($T$19:$T$93,HE$244+$FJ272-1)))</f>
        <v>0.982284877586554</v>
      </c>
      <c r="HF272" s="150" t="n">
        <f aca="false">IF($FJ272+HF$244&gt;73,"",PRODUCT(INDEX($T$19:$T$93,HF$244):INDEX($T$19:$T$93,HF$244+$FJ272-1)))</f>
        <v>0.979302041656949</v>
      </c>
      <c r="HG272" s="150" t="n">
        <f aca="false">IF($FJ272+HG$244&gt;73,"",PRODUCT(INDEX($T$19:$T$93,HG$244):INDEX($T$19:$T$93,HG$244+$FJ272-1)))</f>
        <v>0.975821403924216</v>
      </c>
      <c r="HH272" s="150" t="n">
        <f aca="false">IF($FJ272+HH$244&gt;73,"",PRODUCT(INDEX($T$19:$T$93,HH$244):INDEX($T$19:$T$93,HH$244+$FJ272-1)))</f>
        <v>0.97176155283187</v>
      </c>
      <c r="HI272" s="150" t="n">
        <f aca="false">IF($FJ272+HI$244&gt;73,"",PRODUCT(INDEX($T$19:$T$93,HI$244):INDEX($T$19:$T$93,HI$244+$FJ272-1)))</f>
        <v>0.967028389274735</v>
      </c>
      <c r="HJ272" s="150" t="n">
        <f aca="false">IF($FJ272+HJ$244&gt;73,"",PRODUCT(INDEX($T$19:$T$93,HJ$244):INDEX($T$19:$T$93,HJ$244+$FJ272-1)))</f>
        <v>0.961513387780271</v>
      </c>
      <c r="HK272" s="150" t="n">
        <f aca="false">IF($FJ272+HK$244&gt;73,"",PRODUCT(INDEX($T$19:$T$93,HK$244):INDEX($T$19:$T$93,HK$244+$FJ272-1)))</f>
        <v>0.955091713365805</v>
      </c>
      <c r="HL272" s="150" t="n">
        <f aca="false">IF($FJ272+HL$244&gt;73,"",PRODUCT(INDEX($T$19:$T$93,HL$244):INDEX($T$19:$T$93,HL$244+$FJ272-1)))</f>
        <v>0.947620223430638</v>
      </c>
      <c r="HM272" s="150" t="n">
        <f aca="false">IF($FJ272+HM$244&gt;73,"",PRODUCT(INDEX($T$19:$T$93,HM$244):INDEX($T$19:$T$93,HM$244+$FJ272-1)))</f>
        <v>0.938935407592526</v>
      </c>
      <c r="HN272" s="150" t="n">
        <f aca="false">IF($FJ272+HN$244&gt;73,"",PRODUCT(INDEX($T$19:$T$93,HN$244):INDEX($T$19:$T$93,HN$244+$FJ272-1)))</f>
        <v>0.928851351888051</v>
      </c>
      <c r="HO272" s="150" t="n">
        <f aca="false">IF($FJ272+HO$244&gt;73,"",PRODUCT(INDEX($T$19:$T$93,HO$244):INDEX($T$19:$T$93,HO$244+$FJ272-1)))</f>
        <v>0.917157860534458</v>
      </c>
      <c r="HP272" s="150" t="n">
        <f aca="false">IF($FJ272+HP$244&gt;73,"",PRODUCT(INDEX($T$19:$T$93,HP$244):INDEX($T$19:$T$93,HP$244+$FJ272-1)))</f>
        <v>0.90361893259398</v>
      </c>
      <c r="HQ272" s="150" t="n">
        <f aca="false">IF($FJ272+HQ$244&gt;73,"",PRODUCT(INDEX($T$19:$T$93,HQ$244):INDEX($T$19:$T$93,HQ$244+$FJ272-1)))</f>
        <v>0.887971877266305</v>
      </c>
      <c r="HR272" s="150" t="n">
        <f aca="false">IF($FJ272+HR$244&gt;73,"",PRODUCT(INDEX($T$19:$T$93,HR$244):INDEX($T$19:$T$93,HR$244+$FJ272-1)))</f>
        <v>0.869927465616392</v>
      </c>
      <c r="HS272" s="150" t="n">
        <f aca="false">IF($FJ272+HS$244&gt;73,"",PRODUCT(INDEX($T$19:$T$93,HS$244):INDEX($T$19:$T$93,HS$244+$FJ272-1)))</f>
        <v>0.84917166379751</v>
      </c>
      <c r="HT272" s="150" t="n">
        <f aca="false">IF($FJ272+HT$244&gt;73,"",PRODUCT(INDEX($T$19:$T$93,HT$244):INDEX($T$19:$T$93,HT$244+$FJ272-1)))</f>
        <v>0.825369677536499</v>
      </c>
      <c r="HU272" s="150" t="n">
        <f aca="false">IF($FJ272+HU$244&gt;73,"",PRODUCT(INDEX($T$19:$T$93,HU$244):INDEX($T$19:$T$93,HU$244+$FJ272-1)))</f>
        <v>0.798173260589225</v>
      </c>
      <c r="HV272" s="150" t="n">
        <f aca="false">IF($FJ272+HV$244&gt;73,"",PRODUCT(INDEX($T$19:$T$93,HV$244):INDEX($T$19:$T$93,HV$244+$FJ272-1)))</f>
        <v>0.767232494216502</v>
      </c>
      <c r="HW272" s="150" t="n">
        <f aca="false">IF($FJ272+HW$244&gt;73,"",PRODUCT(INDEX($T$19:$T$93,HW$244):INDEX($T$19:$T$93,HW$244+$FJ272-1)))</f>
        <v>0.732213509141383</v>
      </c>
      <c r="HX272" s="150" t="n">
        <f aca="false">IF($FJ272+HX$244&gt;73,"",PRODUCT(INDEX($T$19:$T$93,HX$244):INDEX($T$19:$T$93,HX$244+$FJ272-1)))</f>
        <v>0.692823849136884</v>
      </c>
      <c r="HY272" s="150" t="n">
        <f aca="false">IF($FJ272+HY$244&gt;73,"",PRODUCT(INDEX($T$19:$T$93,HY$244):INDEX($T$19:$T$93,HY$244+$FJ272-1)))</f>
        <v>0.648847277674449</v>
      </c>
      <c r="HZ272" s="150" t="n">
        <f aca="false">IF($FJ272+HZ$244&gt;73,"",PRODUCT(INDEX($T$19:$T$93,HZ$244):INDEX($T$19:$T$93,HZ$244+$FJ272-1)))</f>
        <v>0.600189652529725</v>
      </c>
      <c r="IA272" s="150" t="n">
        <f aca="false">IF($FJ272+IA$244&gt;73,"",PRODUCT(INDEX($T$19:$T$93,IA$244):INDEX($T$19:$T$93,IA$244+$FJ272-1)))</f>
        <v>0.546936791670599</v>
      </c>
      <c r="IB272" s="150" t="n">
        <f aca="false">IF($FJ272+IB$244&gt;73,"",PRODUCT(INDEX($T$19:$T$93,IB$244):INDEX($T$19:$T$93,IB$244+$FJ272-1)))</f>
        <v>0.489423661307976</v>
      </c>
      <c r="IC272" s="150" t="n">
        <f aca="false">IF($FJ272+IC$244&gt;73,"",PRODUCT(INDEX($T$19:$T$93,IC$244):INDEX($T$19:$T$93,IC$244+$FJ272-1)))</f>
        <v>0.428311241152502</v>
      </c>
      <c r="ID272" s="572" t="n">
        <f aca="false">IF($FJ272+ID$244&gt;73,"",PRODUCT(INDEX($T$19:$T$93,ID$244):INDEX($T$19:$T$93,ID$244+$FJ272-1)))</f>
        <v>0.364662497318142</v>
      </c>
      <c r="IE272" s="129"/>
    </row>
    <row r="273" customFormat="false" ht="12.75" hidden="false" customHeight="false" outlineLevel="0" collapsed="false">
      <c r="I273" s="735"/>
      <c r="J273" s="727"/>
      <c r="K273" s="728"/>
      <c r="L273" s="195"/>
      <c r="M273" s="729"/>
      <c r="P273" s="727"/>
      <c r="S273" s="1"/>
      <c r="T273" s="727"/>
      <c r="U273" s="195"/>
      <c r="V273" s="195"/>
      <c r="W273" s="195"/>
      <c r="X273" s="195"/>
      <c r="Y273" s="195"/>
      <c r="Z273" s="195"/>
      <c r="AA273" s="195"/>
      <c r="AB273" s="195"/>
      <c r="AC273" s="195"/>
      <c r="AD273" s="195"/>
      <c r="AE273" s="195"/>
      <c r="AF273" s="195"/>
      <c r="AG273" s="195"/>
      <c r="AH273" s="195"/>
      <c r="AI273" s="195"/>
      <c r="AJ273" s="195"/>
      <c r="AK273" s="195"/>
      <c r="AL273" s="240"/>
      <c r="AM273" s="240"/>
      <c r="AN273" s="240"/>
      <c r="AO273" s="532"/>
      <c r="AP273" s="730"/>
      <c r="AQ273" s="532"/>
      <c r="AR273" s="730"/>
      <c r="AS273" s="730"/>
      <c r="AT273" s="730"/>
      <c r="AU273" s="730"/>
      <c r="AV273" s="468"/>
      <c r="AW273" s="240"/>
      <c r="AX273" s="240"/>
      <c r="AY273" s="240"/>
      <c r="AZ273" s="240"/>
      <c r="BA273" s="240"/>
      <c r="BB273" s="240"/>
      <c r="BC273" s="672"/>
      <c r="BD273" s="672"/>
      <c r="BE273" s="672"/>
      <c r="BF273" s="731"/>
      <c r="BG273" s="672"/>
      <c r="BH273" s="672"/>
      <c r="BI273" s="732"/>
      <c r="BJ273" s="240"/>
      <c r="BK273" s="240"/>
      <c r="BL273" s="240"/>
      <c r="BM273" s="240"/>
      <c r="BN273" s="240"/>
      <c r="BO273" s="240"/>
      <c r="BP273" s="240"/>
      <c r="BQ273" s="240"/>
      <c r="BR273" s="240"/>
      <c r="BS273" s="240"/>
      <c r="BT273" s="240"/>
      <c r="BU273" s="240"/>
      <c r="BV273" s="672"/>
      <c r="BW273" s="672"/>
      <c r="BX273" s="672"/>
      <c r="BY273" s="672"/>
      <c r="BZ273" s="672"/>
      <c r="CA273" s="672"/>
      <c r="CB273" s="672"/>
      <c r="CC273" s="672"/>
      <c r="CD273" s="672"/>
      <c r="CE273" s="672"/>
      <c r="CF273" s="240"/>
      <c r="CG273" s="240"/>
      <c r="CH273" s="240"/>
      <c r="CI273" s="240"/>
      <c r="CJ273" s="240"/>
      <c r="CK273" s="240"/>
      <c r="CL273" s="733"/>
      <c r="CM273" s="195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H273" s="478"/>
      <c r="DK273" s="478"/>
      <c r="DM273" s="195"/>
      <c r="DN273" s="195"/>
      <c r="DO273" s="195"/>
      <c r="DP273" s="195"/>
      <c r="DQ273" s="195"/>
      <c r="DR273" s="195"/>
      <c r="DS273" s="195"/>
      <c r="DT273" s="195"/>
      <c r="DU273" s="195"/>
      <c r="DV273" s="195"/>
      <c r="DW273" s="195"/>
      <c r="DX273" s="195"/>
      <c r="DY273" s="195"/>
      <c r="DZ273" s="195"/>
      <c r="EA273" s="195"/>
      <c r="EB273" s="195"/>
      <c r="EC273" s="195"/>
      <c r="ED273" s="195"/>
      <c r="EE273" s="195"/>
      <c r="EF273" s="195"/>
      <c r="EG273" s="734"/>
      <c r="EL273" s="1"/>
      <c r="EM273" s="195"/>
      <c r="EN273" s="240"/>
      <c r="EO273" s="240"/>
      <c r="EP273" s="195"/>
      <c r="EQ273" s="240"/>
      <c r="ER273" s="195"/>
      <c r="ES273" s="195"/>
      <c r="ET273" s="195"/>
      <c r="EU273" s="240"/>
      <c r="FJ273" s="571" t="n">
        <v>29</v>
      </c>
      <c r="FK273" s="150" t="str">
        <f aca="false">IF($FJ273+FK$244&gt;73,"",PRODUCT(INDEX($T$19:$T$93,FK$244):INDEX($T$19:$T$93,FK$244+$FJ273-1)))</f>
        <v/>
      </c>
      <c r="FL273" s="150" t="str">
        <f aca="false">IF($FJ273+FL$244&gt;73,"",PRODUCT(INDEX($T$19:$T$93,FL$244):INDEX($T$19:$T$93,FL$244+$FJ273-1)))</f>
        <v/>
      </c>
      <c r="FM273" s="150" t="str">
        <f aca="false">IF($FJ273+FM$244&gt;73,"",PRODUCT(INDEX($T$19:$T$93,FM$244):INDEX($T$19:$T$93,FM$244+$FJ273-1)))</f>
        <v/>
      </c>
      <c r="FN273" s="150" t="str">
        <f aca="false">IF($FJ273+FN$244&gt;73,"",PRODUCT(INDEX($T$19:$T$93,FN$244):INDEX($T$19:$T$93,FN$244+$FJ273-1)))</f>
        <v/>
      </c>
      <c r="FO273" s="150" t="str">
        <f aca="false">IF($FJ273+FO$244&gt;73,"",PRODUCT(INDEX($T$19:$T$93,FO$244):INDEX($T$19:$T$93,FO$244+$FJ273-1)))</f>
        <v/>
      </c>
      <c r="FP273" s="150" t="str">
        <f aca="false">IF($FJ273+FP$244&gt;73,"",PRODUCT(INDEX($T$19:$T$93,FP$244):INDEX($T$19:$T$93,FP$244+$FJ273-1)))</f>
        <v/>
      </c>
      <c r="FQ273" s="150" t="str">
        <f aca="false">IF($FJ273+FQ$244&gt;73,"",PRODUCT(INDEX($T$19:$T$93,FQ$244):INDEX($T$19:$T$93,FQ$244+$FJ273-1)))</f>
        <v/>
      </c>
      <c r="FR273" s="150" t="str">
        <f aca="false">IF($FJ273+FR$244&gt;73,"",PRODUCT(INDEX($T$19:$T$93,FR$244):INDEX($T$19:$T$93,FR$244+$FJ273-1)))</f>
        <v/>
      </c>
      <c r="FS273" s="150" t="str">
        <f aca="false">IF($FJ273+FS$244&gt;73,"",PRODUCT(INDEX($T$19:$T$93,FS$244):INDEX($T$19:$T$93,FS$244+$FJ273-1)))</f>
        <v/>
      </c>
      <c r="FT273" s="150" t="str">
        <f aca="false">IF($FJ273+FT$244&gt;73,"",PRODUCT(INDEX($T$19:$T$93,FT$244):INDEX($T$19:$T$93,FT$244+$FJ273-1)))</f>
        <v/>
      </c>
      <c r="FU273" s="150" t="str">
        <f aca="false">IF($FJ273+FU$244&gt;73,"",PRODUCT(INDEX($T$19:$T$93,FU$244):INDEX($T$19:$T$93,FU$244+$FJ273-1)))</f>
        <v/>
      </c>
      <c r="FV273" s="150" t="str">
        <f aca="false">IF($FJ273+FV$244&gt;73,"",PRODUCT(INDEX($T$19:$T$93,FV$244):INDEX($T$19:$T$93,FV$244+$FJ273-1)))</f>
        <v/>
      </c>
      <c r="FW273" s="150" t="str">
        <f aca="false">IF($FJ273+FW$244&gt;73,"",PRODUCT(INDEX($T$19:$T$93,FW$244):INDEX($T$19:$T$93,FW$244+$FJ273-1)))</f>
        <v/>
      </c>
      <c r="FX273" s="150" t="str">
        <f aca="false">IF($FJ273+FX$244&gt;73,"",PRODUCT(INDEX($T$19:$T$93,FX$244):INDEX($T$19:$T$93,FX$244+$FJ273-1)))</f>
        <v/>
      </c>
      <c r="FY273" s="150" t="str">
        <f aca="false">IF($FJ273+FY$244&gt;73,"",PRODUCT(INDEX($T$19:$T$93,FY$244):INDEX($T$19:$T$93,FY$244+$FJ273-1)))</f>
        <v/>
      </c>
      <c r="FZ273" s="150" t="str">
        <f aca="false">IF($FJ273+FZ$244&gt;73,"",PRODUCT(INDEX($T$19:$T$93,FZ$244):INDEX($T$19:$T$93,FZ$244+$FJ273-1)))</f>
        <v/>
      </c>
      <c r="GA273" s="150" t="str">
        <f aca="false">IF($FJ273+GA$244&gt;73,"",PRODUCT(INDEX($T$19:$T$93,GA$244):INDEX($T$19:$T$93,GA$244+$FJ273-1)))</f>
        <v/>
      </c>
      <c r="GB273" s="150" t="str">
        <f aca="false">IF($FJ273+GB$244&gt;73,"",PRODUCT(INDEX($T$19:$T$93,GB$244):INDEX($T$19:$T$93,GB$244+$FJ273-1)))</f>
        <v/>
      </c>
      <c r="GC273" s="150" t="str">
        <f aca="false">IF($FJ273+GC$244&gt;73,"",PRODUCT(INDEX($T$19:$T$93,GC$244):INDEX($T$19:$T$93,GC$244+$FJ273-1)))</f>
        <v/>
      </c>
      <c r="GD273" s="150" t="str">
        <f aca="false">IF($FJ273+GD$244&gt;73,"",PRODUCT(INDEX($T$19:$T$93,GD$244):INDEX($T$19:$T$93,GD$244+$FJ273-1)))</f>
        <v/>
      </c>
      <c r="GE273" s="150" t="str">
        <f aca="false">IF($FJ273+GE$244&gt;73,"",PRODUCT(INDEX($T$19:$T$93,GE$244):INDEX($T$19:$T$93,GE$244+$FJ273-1)))</f>
        <v/>
      </c>
      <c r="GF273" s="150" t="str">
        <f aca="false">IF($FJ273+GF$244&gt;73,"",PRODUCT(INDEX($T$19:$T$93,GF$244):INDEX($T$19:$T$93,GF$244+$FJ273-1)))</f>
        <v/>
      </c>
      <c r="GG273" s="150" t="str">
        <f aca="false">IF($FJ273+GG$244&gt;73,"",PRODUCT(INDEX($T$19:$T$93,GG$244):INDEX($T$19:$T$93,GG$244+$FJ273-1)))</f>
        <v/>
      </c>
      <c r="GH273" s="150" t="str">
        <f aca="false">IF($FJ273+GH$244&gt;73,"",PRODUCT(INDEX($T$19:$T$93,GH$244):INDEX($T$19:$T$93,GH$244+$FJ273-1)))</f>
        <v/>
      </c>
      <c r="GI273" s="150" t="str">
        <f aca="false">IF($FJ273+GI$244&gt;73,"",PRODUCT(INDEX($T$19:$T$93,GI$244):INDEX($T$19:$T$93,GI$244+$FJ273-1)))</f>
        <v/>
      </c>
      <c r="GJ273" s="150" t="str">
        <f aca="false">IF($FJ273+GJ$244&gt;73,"",PRODUCT(INDEX($T$19:$T$93,GJ$244):INDEX($T$19:$T$93,GJ$244+$FJ273-1)))</f>
        <v/>
      </c>
      <c r="GK273" s="150" t="str">
        <f aca="false">IF($FJ273+GK$244&gt;73,"",PRODUCT(INDEX($T$19:$T$93,GK$244):INDEX($T$19:$T$93,GK$244+$FJ273-1)))</f>
        <v/>
      </c>
      <c r="GL273" s="150" t="str">
        <f aca="false">IF($FJ273+GL$244&gt;73,"",PRODUCT(INDEX($T$19:$T$93,GL$244):INDEX($T$19:$T$93,GL$244+$FJ273-1)))</f>
        <v/>
      </c>
      <c r="GM273" s="150" t="n">
        <f aca="false">IF($FJ273+GM$244&gt;73,"",PRODUCT(INDEX($T$19:$T$93,GM$244):INDEX($T$19:$T$93,GM$244+$FJ273-1)))</f>
        <v>0.99893604166165</v>
      </c>
      <c r="GN273" s="150" t="n">
        <f aca="false">IF($FJ273+GN$244&gt;73,"",PRODUCT(INDEX($T$19:$T$93,GN$244):INDEX($T$19:$T$93,GN$244+$FJ273-1)))</f>
        <v>0.998755670914041</v>
      </c>
      <c r="GO273" s="150" t="n">
        <f aca="false">IF($FJ273+GO$244&gt;73,"",PRODUCT(INDEX($T$19:$T$93,GO$244):INDEX($T$19:$T$93,GO$244+$FJ273-1)))</f>
        <v>0.998544736454982</v>
      </c>
      <c r="GP273" s="150" t="n">
        <f aca="false">IF($FJ273+GP$244&gt;73,"",PRODUCT(INDEX($T$19:$T$93,GP$244):INDEX($T$19:$T$93,GP$244+$FJ273-1)))</f>
        <v>0.998298064660982</v>
      </c>
      <c r="GQ273" s="150" t="n">
        <f aca="false">IF($FJ273+GQ$244&gt;73,"",PRODUCT(INDEX($T$19:$T$93,GQ$244):INDEX($T$19:$T$93,GQ$244+$FJ273-1)))</f>
        <v>0.998009608184775</v>
      </c>
      <c r="GR273" s="150" t="n">
        <f aca="false">IF($FJ273+GR$244&gt;73,"",PRODUCT(INDEX($T$19:$T$93,GR$244):INDEX($T$19:$T$93,GR$244+$FJ273-1)))</f>
        <v>0.997672299167312</v>
      </c>
      <c r="GS273" s="150" t="n">
        <f aca="false">IF($FJ273+GS$244&gt;73,"",PRODUCT(INDEX($T$19:$T$93,GS$244):INDEX($T$19:$T$93,GS$244+$FJ273-1)))</f>
        <v>0.997277878078012</v>
      </c>
      <c r="GT273" s="150" t="n">
        <f aca="false">IF($FJ273+GT$244&gt;73,"",PRODUCT(INDEX($T$19:$T$93,GT$244):INDEX($T$19:$T$93,GT$244+$FJ273-1)))</f>
        <v>0.996816694245925</v>
      </c>
      <c r="GU273" s="150" t="n">
        <f aca="false">IF($FJ273+GU$244&gt;73,"",PRODUCT(INDEX($T$19:$T$93,GU$244):INDEX($T$19:$T$93,GU$244+$FJ273-1)))</f>
        <v>0.996277473550022</v>
      </c>
      <c r="GV273" s="150" t="n">
        <f aca="false">IF($FJ273+GV$244&gt;73,"",PRODUCT(INDEX($T$19:$T$93,GV$244):INDEX($T$19:$T$93,GV$244+$FJ273-1)))</f>
        <v>0.995647048068743</v>
      </c>
      <c r="GW273" s="150" t="n">
        <f aca="false">IF($FJ273+GW$244&gt;73,"",PRODUCT(INDEX($T$19:$T$93,GW$244):INDEX($T$19:$T$93,GW$244+$FJ273-1)))</f>
        <v>0.994910041745134</v>
      </c>
      <c r="GX273" s="150" t="n">
        <f aca="false">IF($FJ273+GX$244&gt;73,"",PRODUCT(INDEX($T$19:$T$93,GX$244):INDEX($T$19:$T$93,GX$244+$FJ273-1)))</f>
        <v>0.994048505305031</v>
      </c>
      <c r="GY273" s="150" t="n">
        <f aca="false">IF($FJ273+GY$244&gt;73,"",PRODUCT(INDEX($T$19:$T$93,GY$244):INDEX($T$19:$T$93,GY$244+$FJ273-1)))</f>
        <v>0.993041492778278</v>
      </c>
      <c r="GZ273" s="150" t="n">
        <f aca="false">IF($FJ273+GZ$244&gt;73,"",PRODUCT(INDEX($T$19:$T$93,GZ$244):INDEX($T$19:$T$93,GZ$244+$FJ273-1)))</f>
        <v>0.991864571030959</v>
      </c>
      <c r="HA273" s="150" t="n">
        <f aca="false">IF($FJ273+HA$244&gt;73,"",PRODUCT(INDEX($T$19:$T$93,HA$244):INDEX($T$19:$T$93,HA$244+$FJ273-1)))</f>
        <v>0.990489252746036</v>
      </c>
      <c r="HB273" s="150" t="n">
        <f aca="false">IF($FJ273+HB$244&gt;73,"",PRODUCT(INDEX($T$19:$T$93,HB$244):INDEX($T$19:$T$93,HB$244+$FJ273-1)))</f>
        <v>0.988882342333834</v>
      </c>
      <c r="HC273" s="150" t="n">
        <f aca="false">IF($FJ273+HC$244&gt;73,"",PRODUCT(INDEX($T$19:$T$93,HC$244):INDEX($T$19:$T$93,HC$244+$FJ273-1)))</f>
        <v>0.987005183380079</v>
      </c>
      <c r="HD273" s="150" t="n">
        <f aca="false">IF($FJ273+HD$244&gt;73,"",PRODUCT(INDEX($T$19:$T$93,HD$244):INDEX($T$19:$T$93,HD$244+$FJ273-1)))</f>
        <v>0.984812795550183</v>
      </c>
      <c r="HE273" s="150" t="n">
        <f aca="false">IF($FJ273+HE$244&gt;73,"",PRODUCT(INDEX($T$19:$T$93,HE$244):INDEX($T$19:$T$93,HE$244+$FJ273-1)))</f>
        <v>0.982252888515135</v>
      </c>
      <c r="HF273" s="150" t="n">
        <f aca="false">IF($FJ273+HF$244&gt;73,"",PRODUCT(INDEX($T$19:$T$93,HF$244):INDEX($T$19:$T$93,HF$244+$FJ273-1)))</f>
        <v>0.979264740665099</v>
      </c>
      <c r="HG273" s="150" t="n">
        <f aca="false">IF($FJ273+HG$244&gt;73,"",PRODUCT(INDEX($T$19:$T$93,HG$244):INDEX($T$19:$T$93,HG$244+$FJ273-1)))</f>
        <v>0.975777931442625</v>
      </c>
      <c r="HH273" s="150" t="n">
        <f aca="false">IF($FJ273+HH$244&gt;73,"",PRODUCT(INDEX($T$19:$T$93,HH$244):INDEX($T$19:$T$93,HH$244+$FJ273-1)))</f>
        <v>0.971710918494991</v>
      </c>
      <c r="HI273" s="150" t="n">
        <f aca="false">IF($FJ273+HI$244&gt;73,"",PRODUCT(INDEX($T$19:$T$93,HI$244):INDEX($T$19:$T$93,HI$244+$FJ273-1)))</f>
        <v>0.966969455121303</v>
      </c>
      <c r="HJ273" s="150" t="n">
        <f aca="false">IF($FJ273+HJ$244&gt;73,"",PRODUCT(INDEX($T$19:$T$93,HJ$244):INDEX($T$19:$T$93,HJ$244+$FJ273-1)))</f>
        <v>0.961444850506974</v>
      </c>
      <c r="HK273" s="150" t="n">
        <f aca="false">IF($FJ273+HK$244&gt;73,"",PRODUCT(INDEX($T$19:$T$93,HK$244):INDEX($T$19:$T$93,HK$244+$FJ273-1)))</f>
        <v>0.955012086126346</v>
      </c>
      <c r="HL273" s="150" t="n">
        <f aca="false">IF($FJ273+HL$244&gt;73,"",PRODUCT(INDEX($T$19:$T$93,HL$244):INDEX($T$19:$T$93,HL$244+$FJ273-1)))</f>
        <v>0.947527817967985</v>
      </c>
      <c r="HM273" s="150" t="n">
        <f aca="false">IF($FJ273+HM$244&gt;73,"",PRODUCT(INDEX($T$19:$T$93,HM$244):INDEX($T$19:$T$93,HM$244+$FJ273-1)))</f>
        <v>0.938828317899259</v>
      </c>
      <c r="HN273" s="150" t="n">
        <f aca="false">IF($FJ273+HN$244&gt;73,"",PRODUCT(INDEX($T$19:$T$93,HN$244):INDEX($T$19:$T$93,HN$244+$FJ273-1)))</f>
        <v>0.928727441140259</v>
      </c>
      <c r="HO273" s="150" t="n">
        <f aca="false">IF($FJ273+HO$244&gt;73,"",PRODUCT(INDEX($T$19:$T$93,HO$244):INDEX($T$19:$T$93,HO$244+$FJ273-1)))</f>
        <v>0.917014753775232</v>
      </c>
      <c r="HP273" s="150" t="n">
        <f aca="false">IF($FJ273+HP$244&gt;73,"",PRODUCT(INDEX($T$19:$T$93,HP$244):INDEX($T$19:$T$93,HP$244+$FJ273-1)))</f>
        <v>0.903454018592044</v>
      </c>
      <c r="HQ273" s="150" t="n">
        <f aca="false">IF($FJ273+HQ$244&gt;73,"",PRODUCT(INDEX($T$19:$T$93,HQ$244):INDEX($T$19:$T$93,HQ$244+$FJ273-1)))</f>
        <v>0.887782324179605</v>
      </c>
      <c r="HR273" s="150" t="n">
        <f aca="false">IF($FJ273+HR$244&gt;73,"",PRODUCT(INDEX($T$19:$T$93,HR$244):INDEX($T$19:$T$93,HR$244+$FJ273-1)))</f>
        <v>0.869710256571504</v>
      </c>
      <c r="HS273" s="150" t="n">
        <f aca="false">IF($FJ273+HS$244&gt;73,"",PRODUCT(INDEX($T$19:$T$93,HS$244):INDEX($T$19:$T$93,HS$244+$FJ273-1)))</f>
        <v>0.84892366024302</v>
      </c>
      <c r="HT273" s="150" t="n">
        <f aca="false">IF($FJ273+HT$244&gt;73,"",PRODUCT(INDEX($T$19:$T$93,HT$244):INDEX($T$19:$T$93,HT$244+$FJ273-1)))</f>
        <v>0.825087720167346</v>
      </c>
      <c r="HU273" s="150" t="n">
        <f aca="false">IF($FJ273+HU$244&gt;73,"",PRODUCT(INDEX($T$19:$T$93,HU$244):INDEX($T$19:$T$93,HU$244+$FJ273-1)))</f>
        <v>0.79785431957999</v>
      </c>
      <c r="HV273" s="150" t="n">
        <f aca="false">IF($FJ273+HV$244&gt;73,"",PRODUCT(INDEX($T$19:$T$93,HV$244):INDEX($T$19:$T$93,HV$244+$FJ273-1)))</f>
        <v>0.766873882064857</v>
      </c>
      <c r="HW273" s="150" t="n">
        <f aca="false">IF($FJ273+HW$244&gt;73,"",PRODUCT(INDEX($T$19:$T$93,HW$244):INDEX($T$19:$T$93,HW$244+$FJ273-1)))</f>
        <v>0.731813169929538</v>
      </c>
      <c r="HX273" s="150" t="n">
        <f aca="false">IF($FJ273+HX$244&gt;73,"",PRODUCT(INDEX($T$19:$T$93,HX$244):INDEX($T$19:$T$93,HX$244+$FJ273-1)))</f>
        <v>0.692380736349141</v>
      </c>
      <c r="HY273" s="150" t="n">
        <f aca="false">IF($FJ273+HY$244&gt;73,"",PRODUCT(INDEX($T$19:$T$93,HY$244):INDEX($T$19:$T$93,HY$244+$FJ273-1)))</f>
        <v>0.648361827140482</v>
      </c>
      <c r="HZ273" s="150" t="n">
        <f aca="false">IF($FJ273+HZ$244&gt;73,"",PRODUCT(INDEX($T$19:$T$93,HZ$244):INDEX($T$19:$T$93,HZ$244+$FJ273-1)))</f>
        <v>0.599664345135746</v>
      </c>
      <c r="IA273" s="150" t="n">
        <f aca="false">IF($FJ273+IA$244&gt;73,"",PRODUCT(INDEX($T$19:$T$93,IA$244):INDEX($T$19:$T$93,IA$244+$FJ273-1)))</f>
        <v>0.546376779003968</v>
      </c>
      <c r="IB273" s="150" t="n">
        <f aca="false">IF($FJ273+IB$244&gt;73,"",PRODUCT(INDEX($T$19:$T$93,IB$244):INDEX($T$19:$T$93,IB$244+$FJ273-1)))</f>
        <v>0.488837392841074</v>
      </c>
      <c r="IC273" s="150" t="n">
        <f aca="false">IF($FJ273+IC$244&gt;73,"",PRODUCT(INDEX($T$19:$T$93,IC$244):INDEX($T$19:$T$93,IC$244+$FJ273-1)))</f>
        <v>0.427710981239646</v>
      </c>
      <c r="ID273" s="572" t="n">
        <f aca="false">IF($FJ273+ID$244&gt;73,"",PRODUCT(INDEX($T$19:$T$93,ID$244):INDEX($T$19:$T$93,ID$244+$FJ273-1)))</f>
        <v>0.364064554979627</v>
      </c>
      <c r="IE273" s="129"/>
    </row>
    <row r="274" customFormat="false" ht="12.75" hidden="false" customHeight="false" outlineLevel="0" collapsed="false">
      <c r="I274" s="735"/>
      <c r="J274" s="727"/>
      <c r="K274" s="728"/>
      <c r="L274" s="195"/>
      <c r="M274" s="729"/>
      <c r="P274" s="727"/>
      <c r="S274" s="1"/>
      <c r="T274" s="727"/>
      <c r="U274" s="195"/>
      <c r="V274" s="195"/>
      <c r="W274" s="195"/>
      <c r="X274" s="195"/>
      <c r="Y274" s="195"/>
      <c r="Z274" s="195"/>
      <c r="AA274" s="195"/>
      <c r="AB274" s="195"/>
      <c r="AC274" s="195"/>
      <c r="AD274" s="195"/>
      <c r="AE274" s="195"/>
      <c r="AF274" s="195"/>
      <c r="AG274" s="195"/>
      <c r="AH274" s="195"/>
      <c r="AI274" s="195"/>
      <c r="AJ274" s="195"/>
      <c r="AK274" s="195"/>
      <c r="AL274" s="240"/>
      <c r="AM274" s="240"/>
      <c r="AN274" s="240"/>
      <c r="AO274" s="532"/>
      <c r="AP274" s="730"/>
      <c r="AQ274" s="532"/>
      <c r="AR274" s="730"/>
      <c r="AS274" s="730"/>
      <c r="AT274" s="730"/>
      <c r="AU274" s="730"/>
      <c r="AV274" s="468"/>
      <c r="AW274" s="240"/>
      <c r="AX274" s="240"/>
      <c r="AY274" s="240"/>
      <c r="AZ274" s="240"/>
      <c r="BA274" s="240"/>
      <c r="BB274" s="240"/>
      <c r="BC274" s="672"/>
      <c r="BD274" s="672"/>
      <c r="BE274" s="672"/>
      <c r="BF274" s="731"/>
      <c r="BG274" s="672"/>
      <c r="BH274" s="672"/>
      <c r="BI274" s="732"/>
      <c r="BJ274" s="240"/>
      <c r="BK274" s="240"/>
      <c r="BL274" s="240"/>
      <c r="BM274" s="240"/>
      <c r="BN274" s="240"/>
      <c r="BO274" s="240"/>
      <c r="BP274" s="240"/>
      <c r="BQ274" s="240"/>
      <c r="BR274" s="240"/>
      <c r="BS274" s="240"/>
      <c r="BT274" s="240"/>
      <c r="BU274" s="240"/>
      <c r="BV274" s="672"/>
      <c r="BW274" s="672"/>
      <c r="BX274" s="672"/>
      <c r="BY274" s="672"/>
      <c r="BZ274" s="672"/>
      <c r="CA274" s="672"/>
      <c r="CB274" s="672"/>
      <c r="CC274" s="672"/>
      <c r="CD274" s="672"/>
      <c r="CE274" s="672"/>
      <c r="CF274" s="240"/>
      <c r="CG274" s="240"/>
      <c r="CH274" s="240"/>
      <c r="CI274" s="240"/>
      <c r="CJ274" s="240"/>
      <c r="CK274" s="240"/>
      <c r="CL274" s="733"/>
      <c r="CM274" s="195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H274" s="478"/>
      <c r="DK274" s="478"/>
      <c r="DM274" s="195"/>
      <c r="DN274" s="195"/>
      <c r="DO274" s="195"/>
      <c r="DP274" s="195"/>
      <c r="DQ274" s="195"/>
      <c r="DR274" s="195"/>
      <c r="DS274" s="195"/>
      <c r="DT274" s="195"/>
      <c r="DU274" s="195"/>
      <c r="DV274" s="195"/>
      <c r="DW274" s="195"/>
      <c r="DX274" s="195"/>
      <c r="DY274" s="195"/>
      <c r="DZ274" s="195"/>
      <c r="EA274" s="195"/>
      <c r="EB274" s="195"/>
      <c r="EC274" s="195"/>
      <c r="ED274" s="195"/>
      <c r="EE274" s="195"/>
      <c r="EF274" s="195"/>
      <c r="EG274" s="734"/>
      <c r="EL274" s="1"/>
      <c r="EM274" s="195"/>
      <c r="EN274" s="240"/>
      <c r="EO274" s="240"/>
      <c r="EP274" s="195"/>
      <c r="EQ274" s="240"/>
      <c r="ER274" s="195"/>
      <c r="ES274" s="195"/>
      <c r="ET274" s="195"/>
      <c r="EU274" s="240"/>
      <c r="FJ274" s="571" t="n">
        <v>30</v>
      </c>
      <c r="FK274" s="150" t="str">
        <f aca="false">IF($FJ274+FK$244&gt;73,"",PRODUCT(INDEX($T$19:$T$93,FK$244):INDEX($T$19:$T$93,FK$244+$FJ274-1)))</f>
        <v/>
      </c>
      <c r="FL274" s="150" t="str">
        <f aca="false">IF($FJ274+FL$244&gt;73,"",PRODUCT(INDEX($T$19:$T$93,FL$244):INDEX($T$19:$T$93,FL$244+$FJ274-1)))</f>
        <v/>
      </c>
      <c r="FM274" s="150" t="str">
        <f aca="false">IF($FJ274+FM$244&gt;73,"",PRODUCT(INDEX($T$19:$T$93,FM$244):INDEX($T$19:$T$93,FM$244+$FJ274-1)))</f>
        <v/>
      </c>
      <c r="FN274" s="150" t="str">
        <f aca="false">IF($FJ274+FN$244&gt;73,"",PRODUCT(INDEX($T$19:$T$93,FN$244):INDEX($T$19:$T$93,FN$244+$FJ274-1)))</f>
        <v/>
      </c>
      <c r="FO274" s="150" t="str">
        <f aca="false">IF($FJ274+FO$244&gt;73,"",PRODUCT(INDEX($T$19:$T$93,FO$244):INDEX($T$19:$T$93,FO$244+$FJ274-1)))</f>
        <v/>
      </c>
      <c r="FP274" s="150" t="str">
        <f aca="false">IF($FJ274+FP$244&gt;73,"",PRODUCT(INDEX($T$19:$T$93,FP$244):INDEX($T$19:$T$93,FP$244+$FJ274-1)))</f>
        <v/>
      </c>
      <c r="FQ274" s="150" t="str">
        <f aca="false">IF($FJ274+FQ$244&gt;73,"",PRODUCT(INDEX($T$19:$T$93,FQ$244):INDEX($T$19:$T$93,FQ$244+$FJ274-1)))</f>
        <v/>
      </c>
      <c r="FR274" s="150" t="str">
        <f aca="false">IF($FJ274+FR$244&gt;73,"",PRODUCT(INDEX($T$19:$T$93,FR$244):INDEX($T$19:$T$93,FR$244+$FJ274-1)))</f>
        <v/>
      </c>
      <c r="FS274" s="150" t="str">
        <f aca="false">IF($FJ274+FS$244&gt;73,"",PRODUCT(INDEX($T$19:$T$93,FS$244):INDEX($T$19:$T$93,FS$244+$FJ274-1)))</f>
        <v/>
      </c>
      <c r="FT274" s="150" t="str">
        <f aca="false">IF($FJ274+FT$244&gt;73,"",PRODUCT(INDEX($T$19:$T$93,FT$244):INDEX($T$19:$T$93,FT$244+$FJ274-1)))</f>
        <v/>
      </c>
      <c r="FU274" s="150" t="str">
        <f aca="false">IF($FJ274+FU$244&gt;73,"",PRODUCT(INDEX($T$19:$T$93,FU$244):INDEX($T$19:$T$93,FU$244+$FJ274-1)))</f>
        <v/>
      </c>
      <c r="FV274" s="150" t="str">
        <f aca="false">IF($FJ274+FV$244&gt;73,"",PRODUCT(INDEX($T$19:$T$93,FV$244):INDEX($T$19:$T$93,FV$244+$FJ274-1)))</f>
        <v/>
      </c>
      <c r="FW274" s="150" t="str">
        <f aca="false">IF($FJ274+FW$244&gt;73,"",PRODUCT(INDEX($T$19:$T$93,FW$244):INDEX($T$19:$T$93,FW$244+$FJ274-1)))</f>
        <v/>
      </c>
      <c r="FX274" s="150" t="str">
        <f aca="false">IF($FJ274+FX$244&gt;73,"",PRODUCT(INDEX($T$19:$T$93,FX$244):INDEX($T$19:$T$93,FX$244+$FJ274-1)))</f>
        <v/>
      </c>
      <c r="FY274" s="150" t="str">
        <f aca="false">IF($FJ274+FY$244&gt;73,"",PRODUCT(INDEX($T$19:$T$93,FY$244):INDEX($T$19:$T$93,FY$244+$FJ274-1)))</f>
        <v/>
      </c>
      <c r="FZ274" s="150" t="str">
        <f aca="false">IF($FJ274+FZ$244&gt;73,"",PRODUCT(INDEX($T$19:$T$93,FZ$244):INDEX($T$19:$T$93,FZ$244+$FJ274-1)))</f>
        <v/>
      </c>
      <c r="GA274" s="150" t="str">
        <f aca="false">IF($FJ274+GA$244&gt;73,"",PRODUCT(INDEX($T$19:$T$93,GA$244):INDEX($T$19:$T$93,GA$244+$FJ274-1)))</f>
        <v/>
      </c>
      <c r="GB274" s="150" t="str">
        <f aca="false">IF($FJ274+GB$244&gt;73,"",PRODUCT(INDEX($T$19:$T$93,GB$244):INDEX($T$19:$T$93,GB$244+$FJ274-1)))</f>
        <v/>
      </c>
      <c r="GC274" s="150" t="str">
        <f aca="false">IF($FJ274+GC$244&gt;73,"",PRODUCT(INDEX($T$19:$T$93,GC$244):INDEX($T$19:$T$93,GC$244+$FJ274-1)))</f>
        <v/>
      </c>
      <c r="GD274" s="150" t="str">
        <f aca="false">IF($FJ274+GD$244&gt;73,"",PRODUCT(INDEX($T$19:$T$93,GD$244):INDEX($T$19:$T$93,GD$244+$FJ274-1)))</f>
        <v/>
      </c>
      <c r="GE274" s="150" t="str">
        <f aca="false">IF($FJ274+GE$244&gt;73,"",PRODUCT(INDEX($T$19:$T$93,GE$244):INDEX($T$19:$T$93,GE$244+$FJ274-1)))</f>
        <v/>
      </c>
      <c r="GF274" s="150" t="str">
        <f aca="false">IF($FJ274+GF$244&gt;73,"",PRODUCT(INDEX($T$19:$T$93,GF$244):INDEX($T$19:$T$93,GF$244+$FJ274-1)))</f>
        <v/>
      </c>
      <c r="GG274" s="150" t="str">
        <f aca="false">IF($FJ274+GG$244&gt;73,"",PRODUCT(INDEX($T$19:$T$93,GG$244):INDEX($T$19:$T$93,GG$244+$FJ274-1)))</f>
        <v/>
      </c>
      <c r="GH274" s="150" t="str">
        <f aca="false">IF($FJ274+GH$244&gt;73,"",PRODUCT(INDEX($T$19:$T$93,GH$244):INDEX($T$19:$T$93,GH$244+$FJ274-1)))</f>
        <v/>
      </c>
      <c r="GI274" s="150" t="str">
        <f aca="false">IF($FJ274+GI$244&gt;73,"",PRODUCT(INDEX($T$19:$T$93,GI$244):INDEX($T$19:$T$93,GI$244+$FJ274-1)))</f>
        <v/>
      </c>
      <c r="GJ274" s="150" t="str">
        <f aca="false">IF($FJ274+GJ$244&gt;73,"",PRODUCT(INDEX($T$19:$T$93,GJ$244):INDEX($T$19:$T$93,GJ$244+$FJ274-1)))</f>
        <v/>
      </c>
      <c r="GK274" s="150" t="str">
        <f aca="false">IF($FJ274+GK$244&gt;73,"",PRODUCT(INDEX($T$19:$T$93,GK$244):INDEX($T$19:$T$93,GK$244+$FJ274-1)))</f>
        <v/>
      </c>
      <c r="GL274" s="150" t="str">
        <f aca="false">IF($FJ274+GL$244&gt;73,"",PRODUCT(INDEX($T$19:$T$93,GL$244):INDEX($T$19:$T$93,GL$244+$FJ274-1)))</f>
        <v/>
      </c>
      <c r="GM274" s="150" t="str">
        <f aca="false">IF($FJ274+GM$244&gt;73,"",PRODUCT(INDEX($T$19:$T$93,GM$244):INDEX($T$19:$T$93,GM$244+$FJ274-1)))</f>
        <v/>
      </c>
      <c r="GN274" s="150" t="n">
        <f aca="false">IF($FJ274+GN$244&gt;73,"",PRODUCT(INDEX($T$19:$T$93,GN$244):INDEX($T$19:$T$93,GN$244+$FJ274-1)))</f>
        <v>0.998753731913185</v>
      </c>
      <c r="GO274" s="150" t="n">
        <f aca="false">IF($FJ274+GO$244&gt;73,"",PRODUCT(INDEX($T$19:$T$93,GO$244):INDEX($T$19:$T$93,GO$244+$FJ274-1)))</f>
        <v>0.99854246909411</v>
      </c>
      <c r="GP274" s="150" t="n">
        <f aca="false">IF($FJ274+GP$244&gt;73,"",PRODUCT(INDEX($T$19:$T$93,GP$244):INDEX($T$19:$T$93,GP$244+$FJ274-1)))</f>
        <v>0.998295413428574</v>
      </c>
      <c r="GQ274" s="150" t="n">
        <f aca="false">IF($FJ274+GQ$244&gt;73,"",PRODUCT(INDEX($T$19:$T$93,GQ$244):INDEX($T$19:$T$93,GQ$244+$FJ274-1)))</f>
        <v>0.998006508219533</v>
      </c>
      <c r="GR274" s="150" t="n">
        <f aca="false">IF($FJ274+GR$244&gt;73,"",PRODUCT(INDEX($T$19:$T$93,GR$244):INDEX($T$19:$T$93,GR$244+$FJ274-1)))</f>
        <v>0.997668674696217</v>
      </c>
      <c r="GS274" s="150" t="n">
        <f aca="false">IF($FJ274+GS$244&gt;73,"",PRODUCT(INDEX($T$19:$T$93,GS$244):INDEX($T$19:$T$93,GS$244+$FJ274-1)))</f>
        <v>0.997273640598185</v>
      </c>
      <c r="GT274" s="150" t="n">
        <f aca="false">IF($FJ274+GT$244&gt;73,"",PRODUCT(INDEX($T$19:$T$93,GT$244):INDEX($T$19:$T$93,GT$244+$FJ274-1)))</f>
        <v>0.996811740410039</v>
      </c>
      <c r="GU274" s="150" t="n">
        <f aca="false">IF($FJ274+GU$244&gt;73,"",PRODUCT(INDEX($T$19:$T$93,GU$244):INDEX($T$19:$T$93,GU$244+$FJ274-1)))</f>
        <v>0.996271682709336</v>
      </c>
      <c r="GV274" s="150" t="n">
        <f aca="false">IF($FJ274+GV$244&gt;73,"",PRODUCT(INDEX($T$19:$T$93,GV$244):INDEX($T$19:$T$93,GV$244+$FJ274-1)))</f>
        <v>0.995640279421644</v>
      </c>
      <c r="GW274" s="150" t="n">
        <f aca="false">IF($FJ274+GW$244&gt;73,"",PRODUCT(INDEX($T$19:$T$93,GW$244):INDEX($T$19:$T$93,GW$244+$FJ274-1)))</f>
        <v>0.994902131032395</v>
      </c>
      <c r="GX274" s="150" t="n">
        <f aca="false">IF($FJ274+GX$244&gt;73,"",PRODUCT(INDEX($T$19:$T$93,GX$244):INDEX($T$19:$T$93,GX$244+$FJ274-1)))</f>
        <v>0.994039260985969</v>
      </c>
      <c r="GY274" s="150" t="n">
        <f aca="false">IF($FJ274+GY$244&gt;73,"",PRODUCT(INDEX($T$19:$T$93,GY$244):INDEX($T$19:$T$93,GY$244+$FJ274-1)))</f>
        <v>0.993030691614867</v>
      </c>
      <c r="GZ274" s="150" t="n">
        <f aca="false">IF($FJ274+GZ$244&gt;73,"",PRODUCT(INDEX($T$19:$T$93,GZ$244):INDEX($T$19:$T$93,GZ$244+$FJ274-1)))</f>
        <v>0.991851953000031</v>
      </c>
      <c r="HA274" s="150" t="n">
        <f aca="false">IF($FJ274+HA$244&gt;73,"",PRODUCT(INDEX($T$19:$T$93,HA$244):INDEX($T$19:$T$93,HA$244+$FJ274-1)))</f>
        <v>0.990474515193597</v>
      </c>
      <c r="HB274" s="150" t="n">
        <f aca="false">IF($FJ274+HB$244&gt;73,"",PRODUCT(INDEX($T$19:$T$93,HB$244):INDEX($T$19:$T$93,HB$244+$FJ274-1)))</f>
        <v>0.988865133281005</v>
      </c>
      <c r="HC274" s="150" t="n">
        <f aca="false">IF($FJ274+HC$244&gt;73,"",PRODUCT(INDEX($T$19:$T$93,HC$244):INDEX($T$19:$T$93,HC$244+$FJ274-1)))</f>
        <v>0.986985093888482</v>
      </c>
      <c r="HD274" s="150" t="n">
        <f aca="false">IF($FJ274+HD$244&gt;73,"",PRODUCT(INDEX($T$19:$T$93,HD$244):INDEX($T$19:$T$93,HD$244+$FJ274-1)))</f>
        <v>0.984789351057417</v>
      </c>
      <c r="HE274" s="150" t="n">
        <f aca="false">IF($FJ274+HE$244&gt;73,"",PRODUCT(INDEX($T$19:$T$93,HE$244):INDEX($T$19:$T$93,HE$244+$FJ274-1)))</f>
        <v>0.982225539060733</v>
      </c>
      <c r="HF274" s="150" t="n">
        <f aca="false">IF($FJ274+HF$244&gt;73,"",PRODUCT(INDEX($T$19:$T$93,HF$244):INDEX($T$19:$T$93,HF$244+$FJ274-1)))</f>
        <v>0.979232849947404</v>
      </c>
      <c r="HG274" s="150" t="n">
        <f aca="false">IF($FJ274+HG$244&gt;73,"",PRODUCT(INDEX($T$19:$T$93,HG$244):INDEX($T$19:$T$93,HG$244+$FJ274-1)))</f>
        <v>0.975740764681891</v>
      </c>
      <c r="HH274" s="150" t="n">
        <f aca="false">IF($FJ274+HH$244&gt;73,"",PRODUCT(INDEX($T$19:$T$93,HH$244):INDEX($T$19:$T$93,HH$244+$FJ274-1)))</f>
        <v>0.971667629134001</v>
      </c>
      <c r="HI274" s="150" t="n">
        <f aca="false">IF($FJ274+HI$244&gt;73,"",PRODUCT(INDEX($T$19:$T$93,HI$244):INDEX($T$19:$T$93,HI$244+$FJ274-1)))</f>
        <v>0.966919070480133</v>
      </c>
      <c r="HJ274" s="150" t="n">
        <f aca="false">IF($FJ274+HJ$244&gt;73,"",PRODUCT(INDEX($T$19:$T$93,HJ$244):INDEX($T$19:$T$93,HJ$244+$FJ274-1)))</f>
        <v>0.961386256634276</v>
      </c>
      <c r="HK274" s="150" t="n">
        <f aca="false">IF($FJ274+HK$244&gt;73,"",PRODUCT(INDEX($T$19:$T$93,HK$244):INDEX($T$19:$T$93,HK$244+$FJ274-1)))</f>
        <v>0.954944012269881</v>
      </c>
      <c r="HL274" s="150" t="n">
        <f aca="false">IF($FJ274+HL$244&gt;73,"",PRODUCT(INDEX($T$19:$T$93,HL$244):INDEX($T$19:$T$93,HL$244+$FJ274-1)))</f>
        <v>0.947448821340332</v>
      </c>
      <c r="HM274" s="150" t="n">
        <f aca="false">IF($FJ274+HM$244&gt;73,"",PRODUCT(INDEX($T$19:$T$93,HM$244):INDEX($T$19:$T$93,HM$244+$FJ274-1)))</f>
        <v>0.938736769763284</v>
      </c>
      <c r="HN274" s="150" t="n">
        <f aca="false">IF($FJ274+HN$244&gt;73,"",PRODUCT(INDEX($T$19:$T$93,HN$244):INDEX($T$19:$T$93,HN$244+$FJ274-1)))</f>
        <v>0.928621515710249</v>
      </c>
      <c r="HO274" s="150" t="n">
        <f aca="false">IF($FJ274+HO$244&gt;73,"",PRODUCT(INDEX($T$19:$T$93,HO$244):INDEX($T$19:$T$93,HO$244+$FJ274-1)))</f>
        <v>0.916892422054828</v>
      </c>
      <c r="HP274" s="150" t="n">
        <f aca="false">IF($FJ274+HP$244&gt;73,"",PRODUCT(INDEX($T$19:$T$93,HP$244):INDEX($T$19:$T$93,HP$244+$FJ274-1)))</f>
        <v>0.903313050082397</v>
      </c>
      <c r="HQ274" s="150" t="n">
        <f aca="false">IF($FJ274+HQ$244&gt;73,"",PRODUCT(INDEX($T$19:$T$93,HQ$244):INDEX($T$19:$T$93,HQ$244+$FJ274-1)))</f>
        <v>0.887620300420863</v>
      </c>
      <c r="HR274" s="150" t="n">
        <f aca="false">IF($FJ274+HR$244&gt;73,"",PRODUCT(INDEX($T$19:$T$93,HR$244):INDEX($T$19:$T$93,HR$244+$FJ274-1)))</f>
        <v>0.869524601746291</v>
      </c>
      <c r="HS274" s="150" t="n">
        <f aca="false">IF($FJ274+HS$244&gt;73,"",PRODUCT(INDEX($T$19:$T$93,HS$244):INDEX($T$19:$T$93,HS$244+$FJ274-1)))</f>
        <v>0.848711695562386</v>
      </c>
      <c r="HT274" s="150" t="n">
        <f aca="false">IF($FJ274+HT$244&gt;73,"",PRODUCT(INDEX($T$19:$T$93,HT$244):INDEX($T$19:$T$93,HT$244+$FJ274-1)))</f>
        <v>0.824846750412829</v>
      </c>
      <c r="HU274" s="150" t="n">
        <f aca="false">IF($FJ274+HU$244&gt;73,"",PRODUCT(INDEX($T$19:$T$93,HU$244):INDEX($T$19:$T$93,HU$244+$FJ274-1)))</f>
        <v>0.797581761826733</v>
      </c>
      <c r="HV274" s="150" t="n">
        <f aca="false">IF($FJ274+HV$244&gt;73,"",PRODUCT(INDEX($T$19:$T$93,HV$244):INDEX($T$19:$T$93,HV$244+$FJ274-1)))</f>
        <v>0.766567447933348</v>
      </c>
      <c r="HW274" s="150" t="n">
        <f aca="false">IF($FJ274+HW$244&gt;73,"",PRODUCT(INDEX($T$19:$T$93,HW$244):INDEX($T$19:$T$93,HW$244+$FJ274-1)))</f>
        <v>0.731471113124789</v>
      </c>
      <c r="HX274" s="150" t="n">
        <f aca="false">IF($FJ274+HX$244&gt;73,"",PRODUCT(INDEX($T$19:$T$93,HX$244):INDEX($T$19:$T$93,HX$244+$FJ274-1)))</f>
        <v>0.6920021757861</v>
      </c>
      <c r="HY274" s="150" t="n">
        <f aca="false">IF($FJ274+HY$244&gt;73,"",PRODUCT(INDEX($T$19:$T$93,HY$244):INDEX($T$19:$T$93,HY$244+$FJ274-1)))</f>
        <v>0.647947151148817</v>
      </c>
      <c r="HZ274" s="150" t="n">
        <f aca="false">IF($FJ274+HZ$244&gt;73,"",PRODUCT(INDEX($T$19:$T$93,HZ$244):INDEX($T$19:$T$93,HZ$244+$FJ274-1)))</f>
        <v>0.599215691983358</v>
      </c>
      <c r="IA274" s="150" t="n">
        <f aca="false">IF($FJ274+IA$244&gt;73,"",PRODUCT(INDEX($T$19:$T$93,IA$244):INDEX($T$19:$T$93,IA$244+$FJ274-1)))</f>
        <v>0.545898570556522</v>
      </c>
      <c r="IB274" s="150" t="n">
        <f aca="false">IF($FJ274+IB$244&gt;73,"",PRODUCT(INDEX($T$19:$T$93,IB$244):INDEX($T$19:$T$93,IB$244+$FJ274-1)))</f>
        <v>0.48833686858291</v>
      </c>
      <c r="IC274" s="150" t="n">
        <f aca="false">IF($FJ274+IC$244&gt;73,"",PRODUCT(INDEX($T$19:$T$93,IC$244):INDEX($T$19:$T$93,IC$244+$FJ274-1)))</f>
        <v>0.427198636861815</v>
      </c>
      <c r="ID274" s="572" t="n">
        <f aca="false">IF($FJ274+ID$244&gt;73,"",PRODUCT(INDEX($T$19:$T$93,ID$244):INDEX($T$19:$T$93,ID$244+$FJ274-1)))</f>
        <v>0.363554334053699</v>
      </c>
      <c r="IE274" s="129"/>
    </row>
    <row r="275" customFormat="false" ht="12.75" hidden="false" customHeight="false" outlineLevel="0" collapsed="false">
      <c r="I275" s="735"/>
      <c r="J275" s="727"/>
      <c r="K275" s="728"/>
      <c r="L275" s="195"/>
      <c r="M275" s="729"/>
      <c r="P275" s="727"/>
      <c r="S275" s="1"/>
      <c r="T275" s="727"/>
      <c r="U275" s="195"/>
      <c r="V275" s="195"/>
      <c r="W275" s="195"/>
      <c r="X275" s="195"/>
      <c r="Y275" s="195"/>
      <c r="Z275" s="195"/>
      <c r="AA275" s="195"/>
      <c r="AB275" s="195"/>
      <c r="AC275" s="195"/>
      <c r="AD275" s="195"/>
      <c r="AE275" s="195"/>
      <c r="AF275" s="195"/>
      <c r="AG275" s="195"/>
      <c r="AH275" s="195"/>
      <c r="AI275" s="195"/>
      <c r="AJ275" s="195"/>
      <c r="AK275" s="195"/>
      <c r="AL275" s="240"/>
      <c r="AM275" s="240"/>
      <c r="AN275" s="240"/>
      <c r="AO275" s="532"/>
      <c r="AP275" s="730"/>
      <c r="AQ275" s="532"/>
      <c r="AR275" s="730"/>
      <c r="AS275" s="730"/>
      <c r="AT275" s="730"/>
      <c r="AU275" s="730"/>
      <c r="AV275" s="468"/>
      <c r="AW275" s="240"/>
      <c r="AX275" s="240"/>
      <c r="AY275" s="240"/>
      <c r="AZ275" s="240"/>
      <c r="BA275" s="240"/>
      <c r="BB275" s="240"/>
      <c r="BC275" s="672"/>
      <c r="BD275" s="672"/>
      <c r="BE275" s="672"/>
      <c r="BF275" s="731"/>
      <c r="BG275" s="672"/>
      <c r="BH275" s="672"/>
      <c r="BI275" s="732"/>
      <c r="BJ275" s="240"/>
      <c r="BK275" s="240"/>
      <c r="BL275" s="240"/>
      <c r="BM275" s="240"/>
      <c r="BN275" s="240"/>
      <c r="BO275" s="240"/>
      <c r="BP275" s="240"/>
      <c r="BQ275" s="240"/>
      <c r="BR275" s="240"/>
      <c r="BS275" s="240"/>
      <c r="BT275" s="240"/>
      <c r="BU275" s="240"/>
      <c r="BV275" s="672"/>
      <c r="BW275" s="672"/>
      <c r="BX275" s="672"/>
      <c r="BY275" s="672"/>
      <c r="BZ275" s="672"/>
      <c r="CA275" s="672"/>
      <c r="CB275" s="672"/>
      <c r="CC275" s="672"/>
      <c r="CD275" s="672"/>
      <c r="CE275" s="672"/>
      <c r="CF275" s="240"/>
      <c r="CG275" s="240"/>
      <c r="CH275" s="240"/>
      <c r="CI275" s="240"/>
      <c r="CJ275" s="240"/>
      <c r="CK275" s="240"/>
      <c r="CL275" s="733"/>
      <c r="CM275" s="195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H275" s="478"/>
      <c r="DK275" s="478"/>
      <c r="DM275" s="195"/>
      <c r="DN275" s="195"/>
      <c r="DO275" s="195"/>
      <c r="DP275" s="195"/>
      <c r="DQ275" s="195"/>
      <c r="DR275" s="195"/>
      <c r="DS275" s="195"/>
      <c r="DT275" s="195"/>
      <c r="DU275" s="195"/>
      <c r="DV275" s="195"/>
      <c r="DW275" s="195"/>
      <c r="DX275" s="195"/>
      <c r="DY275" s="195"/>
      <c r="DZ275" s="195"/>
      <c r="EA275" s="195"/>
      <c r="EB275" s="195"/>
      <c r="EC275" s="195"/>
      <c r="ED275" s="195"/>
      <c r="EE275" s="195"/>
      <c r="EF275" s="195"/>
      <c r="EG275" s="734"/>
      <c r="EL275" s="1"/>
      <c r="EM275" s="195"/>
      <c r="EN275" s="240"/>
      <c r="EO275" s="240"/>
      <c r="EP275" s="195"/>
      <c r="EQ275" s="240"/>
      <c r="ER275" s="195"/>
      <c r="ES275" s="195"/>
      <c r="ET275" s="195"/>
      <c r="EU275" s="240"/>
      <c r="FJ275" s="571" t="n">
        <v>31</v>
      </c>
      <c r="FK275" s="150" t="str">
        <f aca="false">IF($FJ275+FK$244&gt;73,"",PRODUCT(INDEX($T$19:$T$93,FK$244):INDEX($T$19:$T$93,FK$244+$FJ275-1)))</f>
        <v/>
      </c>
      <c r="FL275" s="150" t="str">
        <f aca="false">IF($FJ275+FL$244&gt;73,"",PRODUCT(INDEX($T$19:$T$93,FL$244):INDEX($T$19:$T$93,FL$244+$FJ275-1)))</f>
        <v/>
      </c>
      <c r="FM275" s="150" t="str">
        <f aca="false">IF($FJ275+FM$244&gt;73,"",PRODUCT(INDEX($T$19:$T$93,FM$244):INDEX($T$19:$T$93,FM$244+$FJ275-1)))</f>
        <v/>
      </c>
      <c r="FN275" s="150" t="str">
        <f aca="false">IF($FJ275+FN$244&gt;73,"",PRODUCT(INDEX($T$19:$T$93,FN$244):INDEX($T$19:$T$93,FN$244+$FJ275-1)))</f>
        <v/>
      </c>
      <c r="FO275" s="150" t="str">
        <f aca="false">IF($FJ275+FO$244&gt;73,"",PRODUCT(INDEX($T$19:$T$93,FO$244):INDEX($T$19:$T$93,FO$244+$FJ275-1)))</f>
        <v/>
      </c>
      <c r="FP275" s="150" t="str">
        <f aca="false">IF($FJ275+FP$244&gt;73,"",PRODUCT(INDEX($T$19:$T$93,FP$244):INDEX($T$19:$T$93,FP$244+$FJ275-1)))</f>
        <v/>
      </c>
      <c r="FQ275" s="150" t="str">
        <f aca="false">IF($FJ275+FQ$244&gt;73,"",PRODUCT(INDEX($T$19:$T$93,FQ$244):INDEX($T$19:$T$93,FQ$244+$FJ275-1)))</f>
        <v/>
      </c>
      <c r="FR275" s="150" t="str">
        <f aca="false">IF($FJ275+FR$244&gt;73,"",PRODUCT(INDEX($T$19:$T$93,FR$244):INDEX($T$19:$T$93,FR$244+$FJ275-1)))</f>
        <v/>
      </c>
      <c r="FS275" s="150" t="str">
        <f aca="false">IF($FJ275+FS$244&gt;73,"",PRODUCT(INDEX($T$19:$T$93,FS$244):INDEX($T$19:$T$93,FS$244+$FJ275-1)))</f>
        <v/>
      </c>
      <c r="FT275" s="150" t="str">
        <f aca="false">IF($FJ275+FT$244&gt;73,"",PRODUCT(INDEX($T$19:$T$93,FT$244):INDEX($T$19:$T$93,FT$244+$FJ275-1)))</f>
        <v/>
      </c>
      <c r="FU275" s="150" t="str">
        <f aca="false">IF($FJ275+FU$244&gt;73,"",PRODUCT(INDEX($T$19:$T$93,FU$244):INDEX($T$19:$T$93,FU$244+$FJ275-1)))</f>
        <v/>
      </c>
      <c r="FV275" s="150" t="str">
        <f aca="false">IF($FJ275+FV$244&gt;73,"",PRODUCT(INDEX($T$19:$T$93,FV$244):INDEX($T$19:$T$93,FV$244+$FJ275-1)))</f>
        <v/>
      </c>
      <c r="FW275" s="150" t="str">
        <f aca="false">IF($FJ275+FW$244&gt;73,"",PRODUCT(INDEX($T$19:$T$93,FW$244):INDEX($T$19:$T$93,FW$244+$FJ275-1)))</f>
        <v/>
      </c>
      <c r="FX275" s="150" t="str">
        <f aca="false">IF($FJ275+FX$244&gt;73,"",PRODUCT(INDEX($T$19:$T$93,FX$244):INDEX($T$19:$T$93,FX$244+$FJ275-1)))</f>
        <v/>
      </c>
      <c r="FY275" s="150" t="str">
        <f aca="false">IF($FJ275+FY$244&gt;73,"",PRODUCT(INDEX($T$19:$T$93,FY$244):INDEX($T$19:$T$93,FY$244+$FJ275-1)))</f>
        <v/>
      </c>
      <c r="FZ275" s="150" t="str">
        <f aca="false">IF($FJ275+FZ$244&gt;73,"",PRODUCT(INDEX($T$19:$T$93,FZ$244):INDEX($T$19:$T$93,FZ$244+$FJ275-1)))</f>
        <v/>
      </c>
      <c r="GA275" s="150" t="str">
        <f aca="false">IF($FJ275+GA$244&gt;73,"",PRODUCT(INDEX($T$19:$T$93,GA$244):INDEX($T$19:$T$93,GA$244+$FJ275-1)))</f>
        <v/>
      </c>
      <c r="GB275" s="150" t="str">
        <f aca="false">IF($FJ275+GB$244&gt;73,"",PRODUCT(INDEX($T$19:$T$93,GB$244):INDEX($T$19:$T$93,GB$244+$FJ275-1)))</f>
        <v/>
      </c>
      <c r="GC275" s="150" t="str">
        <f aca="false">IF($FJ275+GC$244&gt;73,"",PRODUCT(INDEX($T$19:$T$93,GC$244):INDEX($T$19:$T$93,GC$244+$FJ275-1)))</f>
        <v/>
      </c>
      <c r="GD275" s="150" t="str">
        <f aca="false">IF($FJ275+GD$244&gt;73,"",PRODUCT(INDEX($T$19:$T$93,GD$244):INDEX($T$19:$T$93,GD$244+$FJ275-1)))</f>
        <v/>
      </c>
      <c r="GE275" s="150" t="str">
        <f aca="false">IF($FJ275+GE$244&gt;73,"",PRODUCT(INDEX($T$19:$T$93,GE$244):INDEX($T$19:$T$93,GE$244+$FJ275-1)))</f>
        <v/>
      </c>
      <c r="GF275" s="150" t="str">
        <f aca="false">IF($FJ275+GF$244&gt;73,"",PRODUCT(INDEX($T$19:$T$93,GF$244):INDEX($T$19:$T$93,GF$244+$FJ275-1)))</f>
        <v/>
      </c>
      <c r="GG275" s="150" t="str">
        <f aca="false">IF($FJ275+GG$244&gt;73,"",PRODUCT(INDEX($T$19:$T$93,GG$244):INDEX($T$19:$T$93,GG$244+$FJ275-1)))</f>
        <v/>
      </c>
      <c r="GH275" s="150" t="str">
        <f aca="false">IF($FJ275+GH$244&gt;73,"",PRODUCT(INDEX($T$19:$T$93,GH$244):INDEX($T$19:$T$93,GH$244+$FJ275-1)))</f>
        <v/>
      </c>
      <c r="GI275" s="150" t="str">
        <f aca="false">IF($FJ275+GI$244&gt;73,"",PRODUCT(INDEX($T$19:$T$93,GI$244):INDEX($T$19:$T$93,GI$244+$FJ275-1)))</f>
        <v/>
      </c>
      <c r="GJ275" s="150" t="str">
        <f aca="false">IF($FJ275+GJ$244&gt;73,"",PRODUCT(INDEX($T$19:$T$93,GJ$244):INDEX($T$19:$T$93,GJ$244+$FJ275-1)))</f>
        <v/>
      </c>
      <c r="GK275" s="150" t="str">
        <f aca="false">IF($FJ275+GK$244&gt;73,"",PRODUCT(INDEX($T$19:$T$93,GK$244):INDEX($T$19:$T$93,GK$244+$FJ275-1)))</f>
        <v/>
      </c>
      <c r="GL275" s="150" t="str">
        <f aca="false">IF($FJ275+GL$244&gt;73,"",PRODUCT(INDEX($T$19:$T$93,GL$244):INDEX($T$19:$T$93,GL$244+$FJ275-1)))</f>
        <v/>
      </c>
      <c r="GM275" s="150" t="str">
        <f aca="false">IF($FJ275+GM$244&gt;73,"",PRODUCT(INDEX($T$19:$T$93,GM$244):INDEX($T$19:$T$93,GM$244+$FJ275-1)))</f>
        <v/>
      </c>
      <c r="GN275" s="150" t="str">
        <f aca="false">IF($FJ275+GN$244&gt;73,"",PRODUCT(INDEX($T$19:$T$93,GN$244):INDEX($T$19:$T$93,GN$244+$FJ275-1)))</f>
        <v/>
      </c>
      <c r="GO275" s="150" t="n">
        <f aca="false">IF($FJ275+GO$244&gt;73,"",PRODUCT(INDEX($T$19:$T$93,GO$244):INDEX($T$19:$T$93,GO$244+$FJ275-1)))</f>
        <v>0.998540530507168</v>
      </c>
      <c r="GP275" s="150" t="n">
        <f aca="false">IF($FJ275+GP$244&gt;73,"",PRODUCT(INDEX($T$19:$T$93,GP$244):INDEX($T$19:$T$93,GP$244+$FJ275-1)))</f>
        <v>0.99829314663383</v>
      </c>
      <c r="GQ275" s="150" t="n">
        <f aca="false">IF($FJ275+GQ$244&gt;73,"",PRODUCT(INDEX($T$19:$T$93,GQ$244):INDEX($T$19:$T$93,GQ$244+$FJ275-1)))</f>
        <v>0.998003857761425</v>
      </c>
      <c r="GR275" s="150" t="n">
        <f aca="false">IF($FJ275+GR$244&gt;73,"",PRODUCT(INDEX($T$19:$T$93,GR$244):INDEX($T$19:$T$93,GR$244+$FJ275-1)))</f>
        <v>0.997665575789964</v>
      </c>
      <c r="GS275" s="150" t="n">
        <f aca="false">IF($FJ275+GS$244&gt;73,"",PRODUCT(INDEX($T$19:$T$93,GS$244):INDEX($T$19:$T$93,GS$244+$FJ275-1)))</f>
        <v>0.997270017575387</v>
      </c>
      <c r="GT275" s="150" t="n">
        <f aca="false">IF($FJ275+GT$244&gt;73,"",PRODUCT(INDEX($T$19:$T$93,GT$244):INDEX($T$19:$T$93,GT$244+$FJ275-1)))</f>
        <v>0.996807504910853</v>
      </c>
      <c r="GU275" s="150" t="n">
        <f aca="false">IF($FJ275+GU$244&gt;73,"",PRODUCT(INDEX($T$19:$T$93,GU$244):INDEX($T$19:$T$93,GU$244+$FJ275-1)))</f>
        <v>0.99626673158197</v>
      </c>
      <c r="GV275" s="150" t="n">
        <f aca="false">IF($FJ275+GV$244&gt;73,"",PRODUCT(INDEX($T$19:$T$93,GV$244):INDEX($T$19:$T$93,GV$244+$FJ275-1)))</f>
        <v>0.995634492284634</v>
      </c>
      <c r="GW275" s="150" t="n">
        <f aca="false">IF($FJ275+GW$244&gt;73,"",PRODUCT(INDEX($T$19:$T$93,GW$244):INDEX($T$19:$T$93,GW$244+$FJ275-1)))</f>
        <v>0.99489536744942</v>
      </c>
      <c r="GX275" s="150" t="n">
        <f aca="false">IF($FJ275+GX$244&gt;73,"",PRODUCT(INDEX($T$19:$T$93,GX$244):INDEX($T$19:$T$93,GX$244+$FJ275-1)))</f>
        <v>0.994031357196968</v>
      </c>
      <c r="GY275" s="150" t="n">
        <f aca="false">IF($FJ275+GY$244&gt;73,"",PRODUCT(INDEX($T$19:$T$93,GY$244):INDEX($T$19:$T$93,GY$244+$FJ275-1)))</f>
        <v>0.993021456761133</v>
      </c>
      <c r="GZ275" s="150" t="n">
        <f aca="false">IF($FJ275+GZ$244&gt;73,"",PRODUCT(INDEX($T$19:$T$93,GZ$244):INDEX($T$19:$T$93,GZ$244+$FJ275-1)))</f>
        <v>0.991841164775066</v>
      </c>
      <c r="HA275" s="150" t="n">
        <f aca="false">IF($FJ275+HA$244&gt;73,"",PRODUCT(INDEX($T$19:$T$93,HA$244):INDEX($T$19:$T$93,HA$244+$FJ275-1)))</f>
        <v>0.990461914846301</v>
      </c>
      <c r="HB275" s="150" t="n">
        <f aca="false">IF($FJ275+HB$244&gt;73,"",PRODUCT(INDEX($T$19:$T$93,HB$244):INDEX($T$19:$T$93,HB$244+$FJ275-1)))</f>
        <v>0.988850419893943</v>
      </c>
      <c r="HC275" s="150" t="n">
        <f aca="false">IF($FJ275+HC$244&gt;73,"",PRODUCT(INDEX($T$19:$T$93,HC$244):INDEX($T$19:$T$93,HC$244+$FJ275-1)))</f>
        <v>0.986967917852573</v>
      </c>
      <c r="HD275" s="150" t="n">
        <f aca="false">IF($FJ275+HD$244&gt;73,"",PRODUCT(INDEX($T$19:$T$93,HD$244):INDEX($T$19:$T$93,HD$244+$FJ275-1)))</f>
        <v>0.984769306666845</v>
      </c>
      <c r="HE275" s="150" t="n">
        <f aca="false">IF($FJ275+HE$244&gt;73,"",PRODUCT(INDEX($T$19:$T$93,HE$244):INDEX($T$19:$T$93,HE$244+$FJ275-1)))</f>
        <v>0.982202156160298</v>
      </c>
      <c r="HF275" s="150" t="n">
        <f aca="false">IF($FJ275+HF$244&gt;73,"",PRODUCT(INDEX($T$19:$T$93,HF$244):INDEX($T$19:$T$93,HF$244+$FJ275-1)))</f>
        <v>0.979205584581742</v>
      </c>
      <c r="HG275" s="150" t="n">
        <f aca="false">IF($FJ275+HG$244&gt;73,"",PRODUCT(INDEX($T$19:$T$93,HG$244):INDEX($T$19:$T$93,HG$244+$FJ275-1)))</f>
        <v>0.975708988725934</v>
      </c>
      <c r="HH275" s="150" t="n">
        <f aca="false">IF($FJ275+HH$244&gt;73,"",PRODUCT(INDEX($T$19:$T$93,HH$244):INDEX($T$19:$T$93,HH$244+$FJ275-1)))</f>
        <v>0.971630618932068</v>
      </c>
      <c r="HI275" s="150" t="n">
        <f aca="false">IF($FJ275+HI$244&gt;73,"",PRODUCT(INDEX($T$19:$T$93,HI$244):INDEX($T$19:$T$93,HI$244+$FJ275-1)))</f>
        <v>0.966875994594195</v>
      </c>
      <c r="HJ275" s="150" t="n">
        <f aca="false">IF($FJ275+HJ$244&gt;73,"",PRODUCT(INDEX($T$19:$T$93,HJ$244):INDEX($T$19:$T$93,HJ$244+$FJ275-1)))</f>
        <v>0.961336162909692</v>
      </c>
      <c r="HK275" s="150" t="n">
        <f aca="false">IF($FJ275+HK$244&gt;73,"",PRODUCT(INDEX($T$19:$T$93,HK$244):INDEX($T$19:$T$93,HK$244+$FJ275-1)))</f>
        <v>0.954885814581414</v>
      </c>
      <c r="HL275" s="150" t="n">
        <f aca="false">IF($FJ275+HL$244&gt;73,"",PRODUCT(INDEX($T$19:$T$93,HL$244):INDEX($T$19:$T$93,HL$244+$FJ275-1)))</f>
        <v>0.947381286598092</v>
      </c>
      <c r="HM275" s="150" t="n">
        <f aca="false">IF($FJ275+HM$244&gt;73,"",PRODUCT(INDEX($T$19:$T$93,HM$244):INDEX($T$19:$T$93,HM$244+$FJ275-1)))</f>
        <v>0.938658506056764</v>
      </c>
      <c r="HN275" s="150" t="n">
        <f aca="false">IF($FJ275+HN$244&gt;73,"",PRODUCT(INDEX($T$19:$T$93,HN$244):INDEX($T$19:$T$93,HN$244+$FJ275-1)))</f>
        <v>0.928530962872027</v>
      </c>
      <c r="HO275" s="150" t="n">
        <f aca="false">IF($FJ275+HO$244&gt;73,"",PRODUCT(INDEX($T$19:$T$93,HO$244):INDEX($T$19:$T$93,HO$244+$FJ275-1)))</f>
        <v>0.916787846460551</v>
      </c>
      <c r="HP275" s="150" t="n">
        <f aca="false">IF($FJ275+HP$244&gt;73,"",PRODUCT(INDEX($T$19:$T$93,HP$244):INDEX($T$19:$T$93,HP$244+$FJ275-1)))</f>
        <v>0.903192546198435</v>
      </c>
      <c r="HQ275" s="150" t="n">
        <f aca="false">IF($FJ275+HQ$244&gt;73,"",PRODUCT(INDEX($T$19:$T$93,HQ$244):INDEX($T$19:$T$93,HQ$244+$FJ275-1)))</f>
        <v>0.887481802491464</v>
      </c>
      <c r="HR275" s="150" t="n">
        <f aca="false">IF($FJ275+HR$244&gt;73,"",PRODUCT(INDEX($T$19:$T$93,HR$244):INDEX($T$19:$T$93,HR$244+$FJ275-1)))</f>
        <v>0.869365910093556</v>
      </c>
      <c r="HS275" s="150" t="n">
        <f aca="false">IF($FJ275+HS$244&gt;73,"",PRODUCT(INDEX($T$19:$T$93,HS$244):INDEX($T$19:$T$93,HS$244+$FJ275-1)))</f>
        <v>0.848530523246313</v>
      </c>
      <c r="HT275" s="150" t="n">
        <f aca="false">IF($FJ275+HT$244&gt;73,"",PRODUCT(INDEX($T$19:$T$93,HT$244):INDEX($T$19:$T$93,HT$244+$FJ275-1)))</f>
        <v>0.824640797408794</v>
      </c>
      <c r="HU275" s="150" t="n">
        <f aca="false">IF($FJ275+HU$244&gt;73,"",PRODUCT(INDEX($T$19:$T$93,HU$244):INDEX($T$19:$T$93,HU$244+$FJ275-1)))</f>
        <v>0.797348825283554</v>
      </c>
      <c r="HV275" s="150" t="n">
        <f aca="false">IF($FJ275+HV$244&gt;73,"",PRODUCT(INDEX($T$19:$T$93,HV$244):INDEX($T$19:$T$93,HV$244+$FJ275-1)))</f>
        <v>0.766305578195726</v>
      </c>
      <c r="HW275" s="150" t="n">
        <f aca="false">IF($FJ275+HW$244&gt;73,"",PRODUCT(INDEX($T$19:$T$93,HW$244):INDEX($T$19:$T$93,HW$244+$FJ275-1)))</f>
        <v>0.731178825539417</v>
      </c>
      <c r="HX275" s="150" t="n">
        <f aca="false">IF($FJ275+HX$244&gt;73,"",PRODUCT(INDEX($T$19:$T$93,HX$244):INDEX($T$19:$T$93,HX$244+$FJ275-1)))</f>
        <v>0.691678727038722</v>
      </c>
      <c r="HY275" s="150" t="n">
        <f aca="false">IF($FJ275+HY$244&gt;73,"",PRODUCT(INDEX($T$19:$T$93,HY$244):INDEX($T$19:$T$93,HY$244+$FJ275-1)))</f>
        <v>0.647592884738036</v>
      </c>
      <c r="HZ275" s="150" t="n">
        <f aca="false">IF($FJ275+HZ$244&gt;73,"",PRODUCT(INDEX($T$19:$T$93,HZ$244):INDEX($T$19:$T$93,HZ$244+$FJ275-1)))</f>
        <v>0.598832448629272</v>
      </c>
      <c r="IA275" s="150" t="n">
        <f aca="false">IF($FJ275+IA$244&gt;73,"",PRODUCT(INDEX($T$19:$T$93,IA$244):INDEX($T$19:$T$93,IA$244+$FJ275-1)))</f>
        <v>0.545490143548062</v>
      </c>
      <c r="IB275" s="150" t="n">
        <f aca="false">IF($FJ275+IB$244&gt;73,"",PRODUCT(INDEX($T$19:$T$93,IB$244):INDEX($T$19:$T$93,IB$244+$FJ275-1)))</f>
        <v>0.487909458735476</v>
      </c>
      <c r="IC275" s="150" t="n">
        <f aca="false">IF($FJ275+IC$244&gt;73,"",PRODUCT(INDEX($T$19:$T$93,IC$244):INDEX($T$19:$T$93,IC$244+$FJ275-1)))</f>
        <v>0.426761224986342</v>
      </c>
      <c r="ID275" s="572" t="n">
        <f aca="false">IF($FJ275+ID$244&gt;73,"",PRODUCT(INDEX($T$19:$T$93,ID$244):INDEX($T$19:$T$93,ID$244+$FJ275-1)))</f>
        <v>0.363118841332543</v>
      </c>
      <c r="IE275" s="129"/>
    </row>
    <row r="276" customFormat="false" ht="12.75" hidden="false" customHeight="false" outlineLevel="0" collapsed="false">
      <c r="I276" s="735"/>
      <c r="J276" s="727"/>
      <c r="K276" s="728"/>
      <c r="L276" s="195"/>
      <c r="M276" s="729"/>
      <c r="P276" s="727"/>
      <c r="S276" s="1"/>
      <c r="T276" s="727"/>
      <c r="U276" s="195"/>
      <c r="V276" s="195"/>
      <c r="W276" s="195"/>
      <c r="X276" s="195"/>
      <c r="Y276" s="195"/>
      <c r="Z276" s="195"/>
      <c r="AA276" s="195"/>
      <c r="AB276" s="195"/>
      <c r="AC276" s="195"/>
      <c r="AD276" s="195"/>
      <c r="AE276" s="195"/>
      <c r="AF276" s="195"/>
      <c r="AG276" s="195"/>
      <c r="AH276" s="195"/>
      <c r="AI276" s="195"/>
      <c r="AJ276" s="195"/>
      <c r="AK276" s="195"/>
      <c r="AL276" s="240"/>
      <c r="AM276" s="240"/>
      <c r="AN276" s="240"/>
      <c r="AO276" s="532"/>
      <c r="AP276" s="730"/>
      <c r="AQ276" s="532"/>
      <c r="AR276" s="730"/>
      <c r="AS276" s="730"/>
      <c r="AT276" s="730"/>
      <c r="AU276" s="730"/>
      <c r="AV276" s="468"/>
      <c r="AW276" s="240"/>
      <c r="AX276" s="240"/>
      <c r="AY276" s="240"/>
      <c r="AZ276" s="240"/>
      <c r="BA276" s="240"/>
      <c r="BB276" s="240"/>
      <c r="BC276" s="672"/>
      <c r="BD276" s="672"/>
      <c r="BE276" s="672"/>
      <c r="BF276" s="731"/>
      <c r="BG276" s="672"/>
      <c r="BH276" s="672"/>
      <c r="BI276" s="732"/>
      <c r="BJ276" s="240"/>
      <c r="BK276" s="240"/>
      <c r="BL276" s="240"/>
      <c r="BM276" s="240"/>
      <c r="BN276" s="240"/>
      <c r="BO276" s="240"/>
      <c r="BP276" s="240"/>
      <c r="BQ276" s="240"/>
      <c r="BR276" s="240"/>
      <c r="BS276" s="240"/>
      <c r="BT276" s="240"/>
      <c r="BU276" s="240"/>
      <c r="BV276" s="672"/>
      <c r="BW276" s="672"/>
      <c r="BX276" s="672"/>
      <c r="BY276" s="672"/>
      <c r="BZ276" s="672"/>
      <c r="CA276" s="672"/>
      <c r="CB276" s="672"/>
      <c r="CC276" s="672"/>
      <c r="CD276" s="672"/>
      <c r="CE276" s="672"/>
      <c r="CF276" s="240"/>
      <c r="CG276" s="240"/>
      <c r="CH276" s="240"/>
      <c r="CI276" s="240"/>
      <c r="CJ276" s="240"/>
      <c r="CK276" s="240"/>
      <c r="CL276" s="733"/>
      <c r="CM276" s="195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H276" s="478"/>
      <c r="DK276" s="478"/>
      <c r="DM276" s="195"/>
      <c r="DN276" s="195"/>
      <c r="DO276" s="195"/>
      <c r="DP276" s="195"/>
      <c r="DQ276" s="195"/>
      <c r="DR276" s="195"/>
      <c r="DS276" s="195"/>
      <c r="DT276" s="195"/>
      <c r="DU276" s="195"/>
      <c r="DV276" s="195"/>
      <c r="DW276" s="195"/>
      <c r="DX276" s="195"/>
      <c r="DY276" s="195"/>
      <c r="DZ276" s="195"/>
      <c r="EA276" s="195"/>
      <c r="EB276" s="195"/>
      <c r="EC276" s="195"/>
      <c r="ED276" s="195"/>
      <c r="EE276" s="195"/>
      <c r="EF276" s="195"/>
      <c r="EG276" s="734"/>
      <c r="EL276" s="1"/>
      <c r="EM276" s="195"/>
      <c r="EN276" s="240"/>
      <c r="EO276" s="240"/>
      <c r="EP276" s="195"/>
      <c r="EQ276" s="240"/>
      <c r="ER276" s="195"/>
      <c r="ES276" s="195"/>
      <c r="ET276" s="195"/>
      <c r="EU276" s="240"/>
      <c r="FJ276" s="571" t="n">
        <v>32</v>
      </c>
      <c r="FK276" s="150" t="str">
        <f aca="false">IF($FJ276+FK$244&gt;73,"",PRODUCT(INDEX($T$19:$T$93,FK$244):INDEX($T$19:$T$93,FK$244+$FJ276-1)))</f>
        <v/>
      </c>
      <c r="FL276" s="150" t="str">
        <f aca="false">IF($FJ276+FL$244&gt;73,"",PRODUCT(INDEX($T$19:$T$93,FL$244):INDEX($T$19:$T$93,FL$244+$FJ276-1)))</f>
        <v/>
      </c>
      <c r="FM276" s="150" t="str">
        <f aca="false">IF($FJ276+FM$244&gt;73,"",PRODUCT(INDEX($T$19:$T$93,FM$244):INDEX($T$19:$T$93,FM$244+$FJ276-1)))</f>
        <v/>
      </c>
      <c r="FN276" s="150" t="str">
        <f aca="false">IF($FJ276+FN$244&gt;73,"",PRODUCT(INDEX($T$19:$T$93,FN$244):INDEX($T$19:$T$93,FN$244+$FJ276-1)))</f>
        <v/>
      </c>
      <c r="FO276" s="150" t="str">
        <f aca="false">IF($FJ276+FO$244&gt;73,"",PRODUCT(INDEX($T$19:$T$93,FO$244):INDEX($T$19:$T$93,FO$244+$FJ276-1)))</f>
        <v/>
      </c>
      <c r="FP276" s="150" t="str">
        <f aca="false">IF($FJ276+FP$244&gt;73,"",PRODUCT(INDEX($T$19:$T$93,FP$244):INDEX($T$19:$T$93,FP$244+$FJ276-1)))</f>
        <v/>
      </c>
      <c r="FQ276" s="150" t="str">
        <f aca="false">IF($FJ276+FQ$244&gt;73,"",PRODUCT(INDEX($T$19:$T$93,FQ$244):INDEX($T$19:$T$93,FQ$244+$FJ276-1)))</f>
        <v/>
      </c>
      <c r="FR276" s="150" t="str">
        <f aca="false">IF($FJ276+FR$244&gt;73,"",PRODUCT(INDEX($T$19:$T$93,FR$244):INDEX($T$19:$T$93,FR$244+$FJ276-1)))</f>
        <v/>
      </c>
      <c r="FS276" s="150" t="str">
        <f aca="false">IF($FJ276+FS$244&gt;73,"",PRODUCT(INDEX($T$19:$T$93,FS$244):INDEX($T$19:$T$93,FS$244+$FJ276-1)))</f>
        <v/>
      </c>
      <c r="FT276" s="150" t="str">
        <f aca="false">IF($FJ276+FT$244&gt;73,"",PRODUCT(INDEX($T$19:$T$93,FT$244):INDEX($T$19:$T$93,FT$244+$FJ276-1)))</f>
        <v/>
      </c>
      <c r="FU276" s="150" t="str">
        <f aca="false">IF($FJ276+FU$244&gt;73,"",PRODUCT(INDEX($T$19:$T$93,FU$244):INDEX($T$19:$T$93,FU$244+$FJ276-1)))</f>
        <v/>
      </c>
      <c r="FV276" s="150" t="str">
        <f aca="false">IF($FJ276+FV$244&gt;73,"",PRODUCT(INDEX($T$19:$T$93,FV$244):INDEX($T$19:$T$93,FV$244+$FJ276-1)))</f>
        <v/>
      </c>
      <c r="FW276" s="150" t="str">
        <f aca="false">IF($FJ276+FW$244&gt;73,"",PRODUCT(INDEX($T$19:$T$93,FW$244):INDEX($T$19:$T$93,FW$244+$FJ276-1)))</f>
        <v/>
      </c>
      <c r="FX276" s="150" t="str">
        <f aca="false">IF($FJ276+FX$244&gt;73,"",PRODUCT(INDEX($T$19:$T$93,FX$244):INDEX($T$19:$T$93,FX$244+$FJ276-1)))</f>
        <v/>
      </c>
      <c r="FY276" s="150" t="str">
        <f aca="false">IF($FJ276+FY$244&gt;73,"",PRODUCT(INDEX($T$19:$T$93,FY$244):INDEX($T$19:$T$93,FY$244+$FJ276-1)))</f>
        <v/>
      </c>
      <c r="FZ276" s="150" t="str">
        <f aca="false">IF($FJ276+FZ$244&gt;73,"",PRODUCT(INDEX($T$19:$T$93,FZ$244):INDEX($T$19:$T$93,FZ$244+$FJ276-1)))</f>
        <v/>
      </c>
      <c r="GA276" s="150" t="str">
        <f aca="false">IF($FJ276+GA$244&gt;73,"",PRODUCT(INDEX($T$19:$T$93,GA$244):INDEX($T$19:$T$93,GA$244+$FJ276-1)))</f>
        <v/>
      </c>
      <c r="GB276" s="150" t="str">
        <f aca="false">IF($FJ276+GB$244&gt;73,"",PRODUCT(INDEX($T$19:$T$93,GB$244):INDEX($T$19:$T$93,GB$244+$FJ276-1)))</f>
        <v/>
      </c>
      <c r="GC276" s="150" t="str">
        <f aca="false">IF($FJ276+GC$244&gt;73,"",PRODUCT(INDEX($T$19:$T$93,GC$244):INDEX($T$19:$T$93,GC$244+$FJ276-1)))</f>
        <v/>
      </c>
      <c r="GD276" s="150" t="str">
        <f aca="false">IF($FJ276+GD$244&gt;73,"",PRODUCT(INDEX($T$19:$T$93,GD$244):INDEX($T$19:$T$93,GD$244+$FJ276-1)))</f>
        <v/>
      </c>
      <c r="GE276" s="150" t="str">
        <f aca="false">IF($FJ276+GE$244&gt;73,"",PRODUCT(INDEX($T$19:$T$93,GE$244):INDEX($T$19:$T$93,GE$244+$FJ276-1)))</f>
        <v/>
      </c>
      <c r="GF276" s="150" t="str">
        <f aca="false">IF($FJ276+GF$244&gt;73,"",PRODUCT(INDEX($T$19:$T$93,GF$244):INDEX($T$19:$T$93,GF$244+$FJ276-1)))</f>
        <v/>
      </c>
      <c r="GG276" s="150" t="str">
        <f aca="false">IF($FJ276+GG$244&gt;73,"",PRODUCT(INDEX($T$19:$T$93,GG$244):INDEX($T$19:$T$93,GG$244+$FJ276-1)))</f>
        <v/>
      </c>
      <c r="GH276" s="150" t="str">
        <f aca="false">IF($FJ276+GH$244&gt;73,"",PRODUCT(INDEX($T$19:$T$93,GH$244):INDEX($T$19:$T$93,GH$244+$FJ276-1)))</f>
        <v/>
      </c>
      <c r="GI276" s="150" t="str">
        <f aca="false">IF($FJ276+GI$244&gt;73,"",PRODUCT(INDEX($T$19:$T$93,GI$244):INDEX($T$19:$T$93,GI$244+$FJ276-1)))</f>
        <v/>
      </c>
      <c r="GJ276" s="150" t="str">
        <f aca="false">IF($FJ276+GJ$244&gt;73,"",PRODUCT(INDEX($T$19:$T$93,GJ$244):INDEX($T$19:$T$93,GJ$244+$FJ276-1)))</f>
        <v/>
      </c>
      <c r="GK276" s="150" t="str">
        <f aca="false">IF($FJ276+GK$244&gt;73,"",PRODUCT(INDEX($T$19:$T$93,GK$244):INDEX($T$19:$T$93,GK$244+$FJ276-1)))</f>
        <v/>
      </c>
      <c r="GL276" s="150" t="str">
        <f aca="false">IF($FJ276+GL$244&gt;73,"",PRODUCT(INDEX($T$19:$T$93,GL$244):INDEX($T$19:$T$93,GL$244+$FJ276-1)))</f>
        <v/>
      </c>
      <c r="GM276" s="150" t="str">
        <f aca="false">IF($FJ276+GM$244&gt;73,"",PRODUCT(INDEX($T$19:$T$93,GM$244):INDEX($T$19:$T$93,GM$244+$FJ276-1)))</f>
        <v/>
      </c>
      <c r="GN276" s="150" t="str">
        <f aca="false">IF($FJ276+GN$244&gt;73,"",PRODUCT(INDEX($T$19:$T$93,GN$244):INDEX($T$19:$T$93,GN$244+$FJ276-1)))</f>
        <v/>
      </c>
      <c r="GO276" s="150" t="str">
        <f aca="false">IF($FJ276+GO$244&gt;73,"",PRODUCT(INDEX($T$19:$T$93,GO$244):INDEX($T$19:$T$93,GO$244+$FJ276-1)))</f>
        <v/>
      </c>
      <c r="GP276" s="150" t="n">
        <f aca="false">IF($FJ276+GP$244&gt;73,"",PRODUCT(INDEX($T$19:$T$93,GP$244):INDEX($T$19:$T$93,GP$244+$FJ276-1)))</f>
        <v>0.998291208530927</v>
      </c>
      <c r="GQ276" s="150" t="n">
        <f aca="false">IF($FJ276+GQ$244&gt;73,"",PRODUCT(INDEX($T$19:$T$93,GQ$244):INDEX($T$19:$T$93,GQ$244+$FJ276-1)))</f>
        <v>0.998001591628708</v>
      </c>
      <c r="GR276" s="150" t="n">
        <f aca="false">IF($FJ276+GR$244&gt;73,"",PRODUCT(INDEX($T$19:$T$93,GR$244):INDEX($T$19:$T$93,GR$244+$FJ276-1)))</f>
        <v>0.997662926237289</v>
      </c>
      <c r="GS276" s="150" t="n">
        <f aca="false">IF($FJ276+GS$244&gt;73,"",PRODUCT(INDEX($T$19:$T$93,GS$244):INDEX($T$19:$T$93,GS$244+$FJ276-1)))</f>
        <v>0.997266919907422</v>
      </c>
      <c r="GT276" s="150" t="n">
        <f aca="false">IF($FJ276+GT$244&gt;73,"",PRODUCT(INDEX($T$19:$T$93,GT$244):INDEX($T$19:$T$93,GT$244+$FJ276-1)))</f>
        <v>0.996803883581492</v>
      </c>
      <c r="GU276" s="150" t="n">
        <f aca="false">IF($FJ276+GU$244&gt;73,"",PRODUCT(INDEX($T$19:$T$93,GU$244):INDEX($T$19:$T$93,GU$244+$FJ276-1)))</f>
        <v>0.996262498398551</v>
      </c>
      <c r="GV276" s="150" t="n">
        <f aca="false">IF($FJ276+GV$244&gt;73,"",PRODUCT(INDEX($T$19:$T$93,GV$244):INDEX($T$19:$T$93,GV$244+$FJ276-1)))</f>
        <v>0.995629544323885</v>
      </c>
      <c r="GW276" s="150" t="n">
        <f aca="false">IF($FJ276+GW$244&gt;73,"",PRODUCT(INDEX($T$19:$T$93,GW$244):INDEX($T$19:$T$93,GW$244+$FJ276-1)))</f>
        <v>0.994889584642195</v>
      </c>
      <c r="GX276" s="150" t="n">
        <f aca="false">IF($FJ276+GX$244&gt;73,"",PRODUCT(INDEX($T$19:$T$93,GX$244):INDEX($T$19:$T$93,GX$244+$FJ276-1)))</f>
        <v>0.994024599533723</v>
      </c>
      <c r="GY276" s="150" t="n">
        <f aca="false">IF($FJ276+GY$244&gt;73,"",PRODUCT(INDEX($T$19:$T$93,GY$244):INDEX($T$19:$T$93,GY$244+$FJ276-1)))</f>
        <v>0.99301356106488</v>
      </c>
      <c r="GZ276" s="150" t="n">
        <f aca="false">IF($FJ276+GZ$244&gt;73,"",PRODUCT(INDEX($T$19:$T$93,GZ$244):INDEX($T$19:$T$93,GZ$244+$FJ276-1)))</f>
        <v>0.991831940983534</v>
      </c>
      <c r="HA276" s="150" t="n">
        <f aca="false">IF($FJ276+HA$244&gt;73,"",PRODUCT(INDEX($T$19:$T$93,HA$244):INDEX($T$19:$T$93,HA$244+$FJ276-1)))</f>
        <v>0.990451141740572</v>
      </c>
      <c r="HB276" s="150" t="n">
        <f aca="false">IF($FJ276+HB$244&gt;73,"",PRODUCT(INDEX($T$19:$T$93,HB$244):INDEX($T$19:$T$93,HB$244+$FJ276-1)))</f>
        <v>0.988837840207617</v>
      </c>
      <c r="HC276" s="150" t="n">
        <f aca="false">IF($FJ276+HC$244&gt;73,"",PRODUCT(INDEX($T$19:$T$93,HC$244):INDEX($T$19:$T$93,HC$244+$FJ276-1)))</f>
        <v>0.9869532326943</v>
      </c>
      <c r="HD276" s="150" t="n">
        <f aca="false">IF($FJ276+HD$244&gt;73,"",PRODUCT(INDEX($T$19:$T$93,HD$244):INDEX($T$19:$T$93,HD$244+$FJ276-1)))</f>
        <v>0.984752169191235</v>
      </c>
      <c r="HE276" s="150" t="n">
        <f aca="false">IF($FJ276+HE$244&gt;73,"",PRODUCT(INDEX($T$19:$T$93,HE$244):INDEX($T$19:$T$93,HE$244+$FJ276-1)))</f>
        <v>0.98218216442946</v>
      </c>
      <c r="HF276" s="150" t="n">
        <f aca="false">IF($FJ276+HF$244&gt;73,"",PRODUCT(INDEX($T$19:$T$93,HF$244):INDEX($T$19:$T$93,HF$244+$FJ276-1)))</f>
        <v>0.979182273574464</v>
      </c>
      <c r="HG276" s="150" t="n">
        <f aca="false">IF($FJ276+HG$244&gt;73,"",PRODUCT(INDEX($T$19:$T$93,HG$244):INDEX($T$19:$T$93,HG$244+$FJ276-1)))</f>
        <v>0.975681821477246</v>
      </c>
      <c r="HH276" s="150" t="n">
        <f aca="false">IF($FJ276+HH$244&gt;73,"",PRODUCT(INDEX($T$19:$T$93,HH$244):INDEX($T$19:$T$93,HH$244+$FJ276-1)))</f>
        <v>0.971598976827042</v>
      </c>
      <c r="HI276" s="150" t="n">
        <f aca="false">IF($FJ276+HI$244&gt;73,"",PRODUCT(INDEX($T$19:$T$93,HI$244):INDEX($T$19:$T$93,HI$244+$FJ276-1)))</f>
        <v>0.966839166902574</v>
      </c>
      <c r="HJ276" s="150" t="n">
        <f aca="false">IF($FJ276+HJ$244&gt;73,"",PRODUCT(INDEX($T$19:$T$93,HJ$244):INDEX($T$19:$T$93,HJ$244+$FJ276-1)))</f>
        <v>0.961293335740215</v>
      </c>
      <c r="HK276" s="150" t="n">
        <f aca="false">IF($FJ276+HK$244&gt;73,"",PRODUCT(INDEX($T$19:$T$93,HK$244):INDEX($T$19:$T$93,HK$244+$FJ276-1)))</f>
        <v>0.954836059567053</v>
      </c>
      <c r="HL276" s="150" t="n">
        <f aca="false">IF($FJ276+HL$244&gt;73,"",PRODUCT(INDEX($T$19:$T$93,HL$244):INDEX($T$19:$T$93,HL$244+$FJ276-1)))</f>
        <v>0.947323549809057</v>
      </c>
      <c r="HM276" s="150" t="n">
        <f aca="false">IF($FJ276+HM$244&gt;73,"",PRODUCT(INDEX($T$19:$T$93,HM$244):INDEX($T$19:$T$93,HM$244+$FJ276-1)))</f>
        <v>0.938591597893674</v>
      </c>
      <c r="HN276" s="150" t="n">
        <f aca="false">IF($FJ276+HN$244&gt;73,"",PRODUCT(INDEX($T$19:$T$93,HN$244):INDEX($T$19:$T$93,HN$244+$FJ276-1)))</f>
        <v>0.928453550036912</v>
      </c>
      <c r="HO276" s="150" t="n">
        <f aca="false">IF($FJ276+HO$244&gt;73,"",PRODUCT(INDEX($T$19:$T$93,HO$244):INDEX($T$19:$T$93,HO$244+$FJ276-1)))</f>
        <v>0.916698447561063</v>
      </c>
      <c r="HP276" s="150" t="n">
        <f aca="false">IF($FJ276+HP$244&gt;73,"",PRODUCT(INDEX($T$19:$T$93,HP$244):INDEX($T$19:$T$93,HP$244+$FJ276-1)))</f>
        <v>0.903089533134968</v>
      </c>
      <c r="HQ276" s="150" t="n">
        <f aca="false">IF($FJ276+HQ$244&gt;73,"",PRODUCT(INDEX($T$19:$T$93,HQ$244):INDEX($T$19:$T$93,HQ$244+$FJ276-1)))</f>
        <v>0.887363410529634</v>
      </c>
      <c r="HR276" s="150" t="n">
        <f aca="false">IF($FJ276+HR$244&gt;73,"",PRODUCT(INDEX($T$19:$T$93,HR$244):INDEX($T$19:$T$93,HR$244+$FJ276-1)))</f>
        <v>0.869230260448791</v>
      </c>
      <c r="HS276" s="150" t="n">
        <f aca="false">IF($FJ276+HS$244&gt;73,"",PRODUCT(INDEX($T$19:$T$93,HS$244):INDEX($T$19:$T$93,HS$244+$FJ276-1)))</f>
        <v>0.848375663095306</v>
      </c>
      <c r="HT276" s="150" t="n">
        <f aca="false">IF($FJ276+HT$244&gt;73,"",PRODUCT(INDEX($T$19:$T$93,HT$244):INDEX($T$19:$T$93,HT$244+$FJ276-1)))</f>
        <v>0.824464763445817</v>
      </c>
      <c r="HU276" s="150" t="n">
        <f aca="false">IF($FJ276+HU$244&gt;73,"",PRODUCT(INDEX($T$19:$T$93,HU$244):INDEX($T$19:$T$93,HU$244+$FJ276-1)))</f>
        <v>0.797149738137065</v>
      </c>
      <c r="HV276" s="150" t="n">
        <f aca="false">IF($FJ276+HV$244&gt;73,"",PRODUCT(INDEX($T$19:$T$93,HV$244):INDEX($T$19:$T$93,HV$244+$FJ276-1)))</f>
        <v>0.76608177597137</v>
      </c>
      <c r="HW276" s="150" t="n">
        <f aca="false">IF($FJ276+HW$244&gt;73,"",PRODUCT(INDEX($T$19:$T$93,HW$244):INDEX($T$19:$T$93,HW$244+$FJ276-1)))</f>
        <v>0.730929045030585</v>
      </c>
      <c r="HX276" s="150" t="n">
        <f aca="false">IF($FJ276+HX$244&gt;73,"",PRODUCT(INDEX($T$19:$T$93,HX$244):INDEX($T$19:$T$93,HX$244+$FJ276-1)))</f>
        <v>0.691402340040859</v>
      </c>
      <c r="HY276" s="150" t="n">
        <f aca="false">IF($FJ276+HY$244&gt;73,"",PRODUCT(INDEX($T$19:$T$93,HY$244):INDEX($T$19:$T$93,HY$244+$FJ276-1)))</f>
        <v>0.647290193338054</v>
      </c>
      <c r="HZ276" s="150" t="n">
        <f aca="false">IF($FJ276+HZ$244&gt;73,"",PRODUCT(INDEX($T$19:$T$93,HZ$244):INDEX($T$19:$T$93,HZ$244+$FJ276-1)))</f>
        <v>0.598505035781081</v>
      </c>
      <c r="IA276" s="150" t="n">
        <f aca="false">IF($FJ276+IA$244&gt;73,"",PRODUCT(INDEX($T$19:$T$93,IA$244):INDEX($T$19:$T$93,IA$244+$FJ276-1)))</f>
        <v>0.545141261709633</v>
      </c>
      <c r="IB276" s="150" t="n">
        <f aca="false">IF($FJ276+IB$244&gt;73,"",PRODUCT(INDEX($T$19:$T$93,IB$244):INDEX($T$19:$T$93,IB$244+$FJ276-1)))</f>
        <v>0.487544417661219</v>
      </c>
      <c r="IC276" s="150" t="n">
        <f aca="false">IF($FJ276+IC$244&gt;73,"",PRODUCT(INDEX($T$19:$T$93,IC$244):INDEX($T$19:$T$93,IC$244+$FJ276-1)))</f>
        <v>0.426387708338722</v>
      </c>
      <c r="ID276" s="572" t="n">
        <f aca="false">IF($FJ276+ID$244&gt;73,"",PRODUCT(INDEX($T$19:$T$93,ID$244):INDEX($T$19:$T$93,ID$244+$FJ276-1)))</f>
        <v>0.362747041238391</v>
      </c>
      <c r="IE276" s="129"/>
    </row>
    <row r="277" customFormat="false" ht="12.75" hidden="false" customHeight="false" outlineLevel="0" collapsed="false">
      <c r="I277" s="735"/>
      <c r="J277" s="727"/>
      <c r="K277" s="728"/>
      <c r="L277" s="195"/>
      <c r="M277" s="729"/>
      <c r="P277" s="727"/>
      <c r="S277" s="1"/>
      <c r="T277" s="727"/>
      <c r="U277" s="195"/>
      <c r="V277" s="195"/>
      <c r="W277" s="195"/>
      <c r="X277" s="195"/>
      <c r="Y277" s="195"/>
      <c r="Z277" s="195"/>
      <c r="AA277" s="195"/>
      <c r="AB277" s="195"/>
      <c r="AC277" s="195"/>
      <c r="AD277" s="195"/>
      <c r="AE277" s="195"/>
      <c r="AF277" s="195"/>
      <c r="AG277" s="195"/>
      <c r="AH277" s="195"/>
      <c r="AI277" s="195"/>
      <c r="AJ277" s="195"/>
      <c r="AK277" s="195"/>
      <c r="AL277" s="240"/>
      <c r="AM277" s="240"/>
      <c r="AN277" s="240"/>
      <c r="AO277" s="532"/>
      <c r="AP277" s="730"/>
      <c r="AQ277" s="532"/>
      <c r="AR277" s="730"/>
      <c r="AS277" s="730"/>
      <c r="AT277" s="730"/>
      <c r="AU277" s="730"/>
      <c r="AV277" s="468"/>
      <c r="AW277" s="240"/>
      <c r="AX277" s="240"/>
      <c r="AY277" s="240"/>
      <c r="AZ277" s="240"/>
      <c r="BA277" s="240"/>
      <c r="BB277" s="240"/>
      <c r="BC277" s="672"/>
      <c r="BD277" s="672"/>
      <c r="BE277" s="672"/>
      <c r="BF277" s="731"/>
      <c r="BG277" s="672"/>
      <c r="BH277" s="672"/>
      <c r="BI277" s="732"/>
      <c r="BJ277" s="240"/>
      <c r="BK277" s="240"/>
      <c r="BL277" s="240"/>
      <c r="BM277" s="240"/>
      <c r="BN277" s="240"/>
      <c r="BO277" s="240"/>
      <c r="BP277" s="240"/>
      <c r="BQ277" s="240"/>
      <c r="BR277" s="240"/>
      <c r="BS277" s="240"/>
      <c r="BT277" s="240"/>
      <c r="BU277" s="240"/>
      <c r="BV277" s="672"/>
      <c r="BW277" s="672"/>
      <c r="BX277" s="672"/>
      <c r="BY277" s="672"/>
      <c r="BZ277" s="672"/>
      <c r="CA277" s="672"/>
      <c r="CB277" s="672"/>
      <c r="CC277" s="672"/>
      <c r="CD277" s="672"/>
      <c r="CE277" s="672"/>
      <c r="CF277" s="240"/>
      <c r="CG277" s="240"/>
      <c r="CH277" s="240"/>
      <c r="CI277" s="240"/>
      <c r="CJ277" s="240"/>
      <c r="CK277" s="240"/>
      <c r="CL277" s="733"/>
      <c r="CM277" s="195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H277" s="478"/>
      <c r="DK277" s="478"/>
      <c r="DM277" s="195"/>
      <c r="DN277" s="195"/>
      <c r="DO277" s="195"/>
      <c r="DP277" s="195"/>
      <c r="DQ277" s="195"/>
      <c r="DR277" s="195"/>
      <c r="DS277" s="195"/>
      <c r="DT277" s="195"/>
      <c r="DU277" s="195"/>
      <c r="DV277" s="195"/>
      <c r="DW277" s="195"/>
      <c r="DX277" s="195"/>
      <c r="DY277" s="195"/>
      <c r="DZ277" s="195"/>
      <c r="EA277" s="195"/>
      <c r="EB277" s="195"/>
      <c r="EC277" s="195"/>
      <c r="ED277" s="195"/>
      <c r="EE277" s="195"/>
      <c r="EF277" s="195"/>
      <c r="EG277" s="734"/>
      <c r="EL277" s="1"/>
      <c r="EM277" s="195"/>
      <c r="EN277" s="240"/>
      <c r="EO277" s="240"/>
      <c r="EP277" s="195"/>
      <c r="EQ277" s="240"/>
      <c r="ER277" s="195"/>
      <c r="ES277" s="195"/>
      <c r="ET277" s="195"/>
      <c r="EU277" s="240"/>
      <c r="FJ277" s="571" t="n">
        <v>33</v>
      </c>
      <c r="FK277" s="150" t="str">
        <f aca="false">IF($FJ277+FK$244&gt;73,"",PRODUCT(INDEX($T$19:$T$93,FK$244):INDEX($T$19:$T$93,FK$244+$FJ277-1)))</f>
        <v/>
      </c>
      <c r="FL277" s="150" t="str">
        <f aca="false">IF($FJ277+FL$244&gt;73,"",PRODUCT(INDEX($T$19:$T$93,FL$244):INDEX($T$19:$T$93,FL$244+$FJ277-1)))</f>
        <v/>
      </c>
      <c r="FM277" s="150" t="str">
        <f aca="false">IF($FJ277+FM$244&gt;73,"",PRODUCT(INDEX($T$19:$T$93,FM$244):INDEX($T$19:$T$93,FM$244+$FJ277-1)))</f>
        <v/>
      </c>
      <c r="FN277" s="150" t="str">
        <f aca="false">IF($FJ277+FN$244&gt;73,"",PRODUCT(INDEX($T$19:$T$93,FN$244):INDEX($T$19:$T$93,FN$244+$FJ277-1)))</f>
        <v/>
      </c>
      <c r="FO277" s="150" t="str">
        <f aca="false">IF($FJ277+FO$244&gt;73,"",PRODUCT(INDEX($T$19:$T$93,FO$244):INDEX($T$19:$T$93,FO$244+$FJ277-1)))</f>
        <v/>
      </c>
      <c r="FP277" s="150" t="str">
        <f aca="false">IF($FJ277+FP$244&gt;73,"",PRODUCT(INDEX($T$19:$T$93,FP$244):INDEX($T$19:$T$93,FP$244+$FJ277-1)))</f>
        <v/>
      </c>
      <c r="FQ277" s="150" t="str">
        <f aca="false">IF($FJ277+FQ$244&gt;73,"",PRODUCT(INDEX($T$19:$T$93,FQ$244):INDEX($T$19:$T$93,FQ$244+$FJ277-1)))</f>
        <v/>
      </c>
      <c r="FR277" s="150" t="str">
        <f aca="false">IF($FJ277+FR$244&gt;73,"",PRODUCT(INDEX($T$19:$T$93,FR$244):INDEX($T$19:$T$93,FR$244+$FJ277-1)))</f>
        <v/>
      </c>
      <c r="FS277" s="150" t="str">
        <f aca="false">IF($FJ277+FS$244&gt;73,"",PRODUCT(INDEX($T$19:$T$93,FS$244):INDEX($T$19:$T$93,FS$244+$FJ277-1)))</f>
        <v/>
      </c>
      <c r="FT277" s="150" t="str">
        <f aca="false">IF($FJ277+FT$244&gt;73,"",PRODUCT(INDEX($T$19:$T$93,FT$244):INDEX($T$19:$T$93,FT$244+$FJ277-1)))</f>
        <v/>
      </c>
      <c r="FU277" s="150" t="str">
        <f aca="false">IF($FJ277+FU$244&gt;73,"",PRODUCT(INDEX($T$19:$T$93,FU$244):INDEX($T$19:$T$93,FU$244+$FJ277-1)))</f>
        <v/>
      </c>
      <c r="FV277" s="150" t="str">
        <f aca="false">IF($FJ277+FV$244&gt;73,"",PRODUCT(INDEX($T$19:$T$93,FV$244):INDEX($T$19:$T$93,FV$244+$FJ277-1)))</f>
        <v/>
      </c>
      <c r="FW277" s="150" t="str">
        <f aca="false">IF($FJ277+FW$244&gt;73,"",PRODUCT(INDEX($T$19:$T$93,FW$244):INDEX($T$19:$T$93,FW$244+$FJ277-1)))</f>
        <v/>
      </c>
      <c r="FX277" s="150" t="str">
        <f aca="false">IF($FJ277+FX$244&gt;73,"",PRODUCT(INDEX($T$19:$T$93,FX$244):INDEX($T$19:$T$93,FX$244+$FJ277-1)))</f>
        <v/>
      </c>
      <c r="FY277" s="150" t="str">
        <f aca="false">IF($FJ277+FY$244&gt;73,"",PRODUCT(INDEX($T$19:$T$93,FY$244):INDEX($T$19:$T$93,FY$244+$FJ277-1)))</f>
        <v/>
      </c>
      <c r="FZ277" s="150" t="str">
        <f aca="false">IF($FJ277+FZ$244&gt;73,"",PRODUCT(INDEX($T$19:$T$93,FZ$244):INDEX($T$19:$T$93,FZ$244+$FJ277-1)))</f>
        <v/>
      </c>
      <c r="GA277" s="150" t="str">
        <f aca="false">IF($FJ277+GA$244&gt;73,"",PRODUCT(INDEX($T$19:$T$93,GA$244):INDEX($T$19:$T$93,GA$244+$FJ277-1)))</f>
        <v/>
      </c>
      <c r="GB277" s="150" t="str">
        <f aca="false">IF($FJ277+GB$244&gt;73,"",PRODUCT(INDEX($T$19:$T$93,GB$244):INDEX($T$19:$T$93,GB$244+$FJ277-1)))</f>
        <v/>
      </c>
      <c r="GC277" s="150" t="str">
        <f aca="false">IF($FJ277+GC$244&gt;73,"",PRODUCT(INDEX($T$19:$T$93,GC$244):INDEX($T$19:$T$93,GC$244+$FJ277-1)))</f>
        <v/>
      </c>
      <c r="GD277" s="150" t="str">
        <f aca="false">IF($FJ277+GD$244&gt;73,"",PRODUCT(INDEX($T$19:$T$93,GD$244):INDEX($T$19:$T$93,GD$244+$FJ277-1)))</f>
        <v/>
      </c>
      <c r="GE277" s="150" t="str">
        <f aca="false">IF($FJ277+GE$244&gt;73,"",PRODUCT(INDEX($T$19:$T$93,GE$244):INDEX($T$19:$T$93,GE$244+$FJ277-1)))</f>
        <v/>
      </c>
      <c r="GF277" s="150" t="str">
        <f aca="false">IF($FJ277+GF$244&gt;73,"",PRODUCT(INDEX($T$19:$T$93,GF$244):INDEX($T$19:$T$93,GF$244+$FJ277-1)))</f>
        <v/>
      </c>
      <c r="GG277" s="150" t="str">
        <f aca="false">IF($FJ277+GG$244&gt;73,"",PRODUCT(INDEX($T$19:$T$93,GG$244):INDEX($T$19:$T$93,GG$244+$FJ277-1)))</f>
        <v/>
      </c>
      <c r="GH277" s="150" t="str">
        <f aca="false">IF($FJ277+GH$244&gt;73,"",PRODUCT(INDEX($T$19:$T$93,GH$244):INDEX($T$19:$T$93,GH$244+$FJ277-1)))</f>
        <v/>
      </c>
      <c r="GI277" s="150" t="str">
        <f aca="false">IF($FJ277+GI$244&gt;73,"",PRODUCT(INDEX($T$19:$T$93,GI$244):INDEX($T$19:$T$93,GI$244+$FJ277-1)))</f>
        <v/>
      </c>
      <c r="GJ277" s="150" t="str">
        <f aca="false">IF($FJ277+GJ$244&gt;73,"",PRODUCT(INDEX($T$19:$T$93,GJ$244):INDEX($T$19:$T$93,GJ$244+$FJ277-1)))</f>
        <v/>
      </c>
      <c r="GK277" s="150" t="str">
        <f aca="false">IF($FJ277+GK$244&gt;73,"",PRODUCT(INDEX($T$19:$T$93,GK$244):INDEX($T$19:$T$93,GK$244+$FJ277-1)))</f>
        <v/>
      </c>
      <c r="GL277" s="150" t="str">
        <f aca="false">IF($FJ277+GL$244&gt;73,"",PRODUCT(INDEX($T$19:$T$93,GL$244):INDEX($T$19:$T$93,GL$244+$FJ277-1)))</f>
        <v/>
      </c>
      <c r="GM277" s="150" t="str">
        <f aca="false">IF($FJ277+GM$244&gt;73,"",PRODUCT(INDEX($T$19:$T$93,GM$244):INDEX($T$19:$T$93,GM$244+$FJ277-1)))</f>
        <v/>
      </c>
      <c r="GN277" s="150" t="str">
        <f aca="false">IF($FJ277+GN$244&gt;73,"",PRODUCT(INDEX($T$19:$T$93,GN$244):INDEX($T$19:$T$93,GN$244+$FJ277-1)))</f>
        <v/>
      </c>
      <c r="GO277" s="150" t="str">
        <f aca="false">IF($FJ277+GO$244&gt;73,"",PRODUCT(INDEX($T$19:$T$93,GO$244):INDEX($T$19:$T$93,GO$244+$FJ277-1)))</f>
        <v/>
      </c>
      <c r="GP277" s="150" t="str">
        <f aca="false">IF($FJ277+GP$244&gt;73,"",PRODUCT(INDEX($T$19:$T$93,GP$244):INDEX($T$19:$T$93,GP$244+$FJ277-1)))</f>
        <v/>
      </c>
      <c r="GQ277" s="150" t="n">
        <f aca="false">IF($FJ277+GQ$244&gt;73,"",PRODUCT(INDEX($T$19:$T$93,GQ$244):INDEX($T$19:$T$93,GQ$244+$FJ277-1)))</f>
        <v>0.997999654091834</v>
      </c>
      <c r="GR277" s="150" t="n">
        <f aca="false">IF($FJ277+GR$244&gt;73,"",PRODUCT(INDEX($T$19:$T$93,GR$244):INDEX($T$19:$T$93,GR$244+$FJ277-1)))</f>
        <v>0.997660660878713</v>
      </c>
      <c r="GS277" s="150" t="n">
        <f aca="false">IF($FJ277+GS$244&gt;73,"",PRODUCT(INDEX($T$19:$T$93,GS$244):INDEX($T$19:$T$93,GS$244+$FJ277-1)))</f>
        <v>0.997264271413478</v>
      </c>
      <c r="GT277" s="150" t="n">
        <f aca="false">IF($FJ277+GT$244&gt;73,"",PRODUCT(INDEX($T$19:$T$93,GT$244):INDEX($T$19:$T$93,GT$244+$FJ277-1)))</f>
        <v>0.996800787361408</v>
      </c>
      <c r="GU277" s="150" t="n">
        <f aca="false">IF($FJ277+GU$244&gt;73,"",PRODUCT(INDEX($T$19:$T$93,GU$244):INDEX($T$19:$T$93,GU$244+$FJ277-1)))</f>
        <v>0.99625887904916</v>
      </c>
      <c r="GV277" s="150" t="n">
        <f aca="false">IF($FJ277+GV$244&gt;73,"",PRODUCT(INDEX($T$19:$T$93,GV$244):INDEX($T$19:$T$93,GV$244+$FJ277-1)))</f>
        <v>0.995625313847905</v>
      </c>
      <c r="GW277" s="150" t="n">
        <f aca="false">IF($FJ277+GW$244&gt;73,"",PRODUCT(INDEX($T$19:$T$93,GW$244):INDEX($T$19:$T$93,GW$244+$FJ277-1)))</f>
        <v>0.994884640383381</v>
      </c>
      <c r="GX277" s="150" t="n">
        <f aca="false">IF($FJ277+GX$244&gt;73,"",PRODUCT(INDEX($T$19:$T$93,GX$244):INDEX($T$19:$T$93,GX$244+$FJ277-1)))</f>
        <v>0.994018821787817</v>
      </c>
      <c r="GY277" s="150" t="n">
        <f aca="false">IF($FJ277+GY$244&gt;73,"",PRODUCT(INDEX($T$19:$T$93,GY$244):INDEX($T$19:$T$93,GY$244+$FJ277-1)))</f>
        <v>0.993006810320857</v>
      </c>
      <c r="GZ277" s="150" t="n">
        <f aca="false">IF($FJ277+GZ$244&gt;73,"",PRODUCT(INDEX($T$19:$T$93,GZ$244):INDEX($T$19:$T$93,GZ$244+$FJ277-1)))</f>
        <v>0.99182405474534</v>
      </c>
      <c r="HA277" s="150" t="n">
        <f aca="false">IF($FJ277+HA$244&gt;73,"",PRODUCT(INDEX($T$19:$T$93,HA$244):INDEX($T$19:$T$93,HA$244+$FJ277-1)))</f>
        <v>0.99044193087579</v>
      </c>
      <c r="HB277" s="150" t="n">
        <f aca="false">IF($FJ277+HB$244&gt;73,"",PRODUCT(INDEX($T$19:$T$93,HB$244):INDEX($T$19:$T$93,HB$244+$FJ277-1)))</f>
        <v>0.988827084766705</v>
      </c>
      <c r="HC277" s="150" t="n">
        <f aca="false">IF($FJ277+HC$244&gt;73,"",PRODUCT(INDEX($T$19:$T$93,HC$244):INDEX($T$19:$T$93,HC$244+$FJ277-1)))</f>
        <v>0.98694067714309</v>
      </c>
      <c r="HD277" s="150" t="n">
        <f aca="false">IF($FJ277+HD$244&gt;73,"",PRODUCT(INDEX($T$19:$T$93,HD$244):INDEX($T$19:$T$93,HD$244+$FJ277-1)))</f>
        <v>0.984737517001227</v>
      </c>
      <c r="HE277" s="150" t="n">
        <f aca="false">IF($FJ277+HE$244&gt;73,"",PRODUCT(INDEX($T$19:$T$93,HE$244):INDEX($T$19:$T$93,HE$244+$FJ277-1)))</f>
        <v>0.982165071976666</v>
      </c>
      <c r="HF277" s="150" t="n">
        <f aca="false">IF($FJ277+HF$244&gt;73,"",PRODUCT(INDEX($T$19:$T$93,HF$244):INDEX($T$19:$T$93,HF$244+$FJ277-1)))</f>
        <v>0.979162343310279</v>
      </c>
      <c r="HG277" s="150" t="n">
        <f aca="false">IF($FJ277+HG$244&gt;73,"",PRODUCT(INDEX($T$19:$T$93,HG$244):INDEX($T$19:$T$93,HG$244+$FJ277-1)))</f>
        <v>0.975658594356814</v>
      </c>
      <c r="HH277" s="150" t="n">
        <f aca="false">IF($FJ277+HH$244&gt;73,"",PRODUCT(INDEX($T$19:$T$93,HH$244):INDEX($T$19:$T$93,HH$244+$FJ277-1)))</f>
        <v>0.971571924015873</v>
      </c>
      <c r="HI277" s="150" t="n">
        <f aca="false">IF($FJ277+HI$244&gt;73,"",PRODUCT(INDEX($T$19:$T$93,HI$244):INDEX($T$19:$T$93,HI$244+$FJ277-1)))</f>
        <v>0.966807680835887</v>
      </c>
      <c r="HJ277" s="150" t="n">
        <f aca="false">IF($FJ277+HJ$244&gt;73,"",PRODUCT(INDEX($T$19:$T$93,HJ$244):INDEX($T$19:$T$93,HJ$244+$FJ277-1)))</f>
        <v>0.961256720688519</v>
      </c>
      <c r="HK277" s="150" t="n">
        <f aca="false">IF($FJ277+HK$244&gt;73,"",PRODUCT(INDEX($T$19:$T$93,HK$244):INDEX($T$19:$T$93,HK$244+$FJ277-1)))</f>
        <v>0.954793521974769</v>
      </c>
      <c r="HL277" s="150" t="n">
        <f aca="false">IF($FJ277+HL$244&gt;73,"",PRODUCT(INDEX($T$19:$T$93,HL$244):INDEX($T$19:$T$93,HL$244+$FJ277-1)))</f>
        <v>0.947274188831959</v>
      </c>
      <c r="HM277" s="150" t="n">
        <f aca="false">IF($FJ277+HM$244&gt;73,"",PRODUCT(INDEX($T$19:$T$93,HM$244):INDEX($T$19:$T$93,HM$244+$FJ277-1)))</f>
        <v>0.938534396779566</v>
      </c>
      <c r="HN277" s="150" t="n">
        <f aca="false">IF($FJ277+HN$244&gt;73,"",PRODUCT(INDEX($T$19:$T$93,HN$244):INDEX($T$19:$T$93,HN$244+$FJ277-1)))</f>
        <v>0.928387369289445</v>
      </c>
      <c r="HO277" s="150" t="n">
        <f aca="false">IF($FJ277+HO$244&gt;73,"",PRODUCT(INDEX($T$19:$T$93,HO$244):INDEX($T$19:$T$93,HO$244+$FJ277-1)))</f>
        <v>0.916622021218154</v>
      </c>
      <c r="HP277" s="150" t="n">
        <f aca="false">IF($FJ277+HP$244&gt;73,"",PRODUCT(INDEX($T$19:$T$93,HP$244):INDEX($T$19:$T$93,HP$244+$FJ277-1)))</f>
        <v>0.903001470001592</v>
      </c>
      <c r="HQ277" s="150" t="n">
        <f aca="false">IF($FJ277+HQ$244&gt;73,"",PRODUCT(INDEX($T$19:$T$93,HQ$244):INDEX($T$19:$T$93,HQ$244+$FJ277-1)))</f>
        <v>0.887262202848379</v>
      </c>
      <c r="HR277" s="150" t="n">
        <f aca="false">IF($FJ277+HR$244&gt;73,"",PRODUCT(INDEX($T$19:$T$93,HR$244):INDEX($T$19:$T$93,HR$244+$FJ277-1)))</f>
        <v>0.869114303281526</v>
      </c>
      <c r="HS277" s="150" t="n">
        <f aca="false">IF($FJ277+HS$244&gt;73,"",PRODUCT(INDEX($T$19:$T$93,HS$244):INDEX($T$19:$T$93,HS$244+$FJ277-1)))</f>
        <v>0.848243288618702</v>
      </c>
      <c r="HT277" s="150" t="n">
        <f aca="false">IF($FJ277+HT$244&gt;73,"",PRODUCT(INDEX($T$19:$T$93,HT$244):INDEX($T$19:$T$93,HT$244+$FJ277-1)))</f>
        <v>0.824314295390433</v>
      </c>
      <c r="HU277" s="150" t="n">
        <f aca="false">IF($FJ277+HU$244&gt;73,"",PRODUCT(INDEX($T$19:$T$93,HU$244):INDEX($T$19:$T$93,HU$244+$FJ277-1)))</f>
        <v>0.796979572620234</v>
      </c>
      <c r="HV277" s="150" t="n">
        <f aca="false">IF($FJ277+HV$244&gt;73,"",PRODUCT(INDEX($T$19:$T$93,HV$244):INDEX($T$19:$T$93,HV$244+$FJ277-1)))</f>
        <v>0.765890495781421</v>
      </c>
      <c r="HW277" s="150" t="n">
        <f aca="false">IF($FJ277+HW$244&gt;73,"",PRODUCT(INDEX($T$19:$T$93,HW$244):INDEX($T$19:$T$93,HW$244+$FJ277-1)))</f>
        <v>0.730715574646473</v>
      </c>
      <c r="HX277" s="150" t="n">
        <f aca="false">IF($FJ277+HX$244&gt;73,"",PRODUCT(INDEX($T$19:$T$93,HX$244):INDEX($T$19:$T$93,HX$244+$FJ277-1)))</f>
        <v>0.691166147713797</v>
      </c>
      <c r="HY277" s="150" t="n">
        <f aca="false">IF($FJ277+HY$244&gt;73,"",PRODUCT(INDEX($T$19:$T$93,HY$244):INDEX($T$19:$T$93,HY$244+$FJ277-1)))</f>
        <v>0.647031543496315</v>
      </c>
      <c r="HZ277" s="150" t="n">
        <f aca="false">IF($FJ277+HZ$244&gt;73,"",PRODUCT(INDEX($T$19:$T$93,HZ$244):INDEX($T$19:$T$93,HZ$244+$FJ277-1)))</f>
        <v>0.598225288533317</v>
      </c>
      <c r="IA277" s="150" t="n">
        <f aca="false">IF($FJ277+IA$244&gt;73,"",PRODUCT(INDEX($T$19:$T$93,IA$244):INDEX($T$19:$T$93,IA$244+$FJ277-1)))</f>
        <v>0.544843204626101</v>
      </c>
      <c r="IB277" s="150" t="n">
        <f aca="false">IF($FJ277+IB$244&gt;73,"",PRODUCT(INDEX($T$19:$T$93,IB$244):INDEX($T$19:$T$93,IB$244+$FJ277-1)))</f>
        <v>0.487232596458286</v>
      </c>
      <c r="IC277" s="150" t="n">
        <f aca="false">IF($FJ277+IC$244&gt;73,"",PRODUCT(INDEX($T$19:$T$93,IC$244):INDEX($T$19:$T$93,IC$244+$FJ277-1)))</f>
        <v>0.4260686962263</v>
      </c>
      <c r="ID277" s="572" t="n">
        <f aca="false">IF($FJ277+ID$244&gt;73,"",PRODUCT(INDEX($T$19:$T$93,ID$244):INDEX($T$19:$T$93,ID$244+$FJ277-1)))</f>
        <v>0.362429552087914</v>
      </c>
      <c r="IE277" s="129"/>
    </row>
    <row r="278" customFormat="false" ht="12.75" hidden="false" customHeight="false" outlineLevel="0" collapsed="false">
      <c r="I278" s="735"/>
      <c r="J278" s="727"/>
      <c r="K278" s="728"/>
      <c r="L278" s="195"/>
      <c r="M278" s="729"/>
      <c r="P278" s="727"/>
      <c r="S278" s="1"/>
      <c r="T278" s="727"/>
      <c r="U278" s="195"/>
      <c r="V278" s="195"/>
      <c r="W278" s="195"/>
      <c r="X278" s="195"/>
      <c r="Y278" s="195"/>
      <c r="Z278" s="195"/>
      <c r="AA278" s="195"/>
      <c r="AB278" s="195"/>
      <c r="AC278" s="195"/>
      <c r="AD278" s="195"/>
      <c r="AE278" s="195"/>
      <c r="AF278" s="195"/>
      <c r="AG278" s="195"/>
      <c r="AH278" s="195"/>
      <c r="AI278" s="195"/>
      <c r="AJ278" s="195"/>
      <c r="AK278" s="195"/>
      <c r="AL278" s="195"/>
      <c r="AM278" s="195"/>
      <c r="AN278" s="195"/>
      <c r="AO278" s="532"/>
      <c r="AP278" s="195"/>
      <c r="AQ278" s="532"/>
      <c r="AR278" s="195"/>
      <c r="AS278" s="195"/>
      <c r="AT278" s="240"/>
      <c r="AU278" s="240"/>
      <c r="AV278" s="240"/>
      <c r="AW278" s="730"/>
      <c r="AX278" s="730"/>
      <c r="AY278" s="730"/>
      <c r="AZ278" s="730"/>
      <c r="BA278" s="468"/>
      <c r="BB278" s="468"/>
      <c r="BC278" s="240"/>
      <c r="BD278" s="240"/>
      <c r="BE278" s="240"/>
      <c r="BF278" s="672"/>
      <c r="BG278" s="672"/>
      <c r="BH278" s="672"/>
      <c r="BI278" s="731"/>
      <c r="BJ278" s="672"/>
      <c r="BK278" s="672"/>
      <c r="BL278" s="240"/>
      <c r="BM278" s="736"/>
      <c r="BN278" s="240"/>
      <c r="BO278" s="240"/>
      <c r="BP278" s="240"/>
      <c r="BQ278" s="240"/>
      <c r="BR278" s="240"/>
      <c r="BS278" s="240"/>
      <c r="BT278" s="240"/>
      <c r="BU278" s="240"/>
      <c r="BV278" s="240"/>
      <c r="BW278" s="240"/>
      <c r="BX278" s="240"/>
      <c r="BY278" s="240"/>
      <c r="BZ278" s="240"/>
      <c r="CA278" s="240"/>
      <c r="CB278" s="240"/>
      <c r="CC278" s="240"/>
      <c r="CD278" s="672"/>
      <c r="CE278" s="672"/>
      <c r="CF278" s="672"/>
      <c r="CG278" s="672"/>
      <c r="CH278" s="672"/>
      <c r="CI278" s="672"/>
      <c r="CJ278" s="240"/>
      <c r="CK278" s="240"/>
      <c r="CL278" s="240"/>
      <c r="CM278" s="240"/>
      <c r="CN278" s="240"/>
      <c r="CO278" s="240"/>
      <c r="CP278" s="240"/>
      <c r="CQ278" s="240"/>
      <c r="CR278" s="240"/>
      <c r="CS278" s="240"/>
      <c r="CT278" s="240"/>
      <c r="CU278" s="240"/>
      <c r="CV278" s="240"/>
      <c r="CW278" s="240"/>
      <c r="CX278" s="240"/>
      <c r="CY278" s="240"/>
      <c r="CZ278" s="240"/>
      <c r="DA278" s="240"/>
      <c r="DB278" s="240"/>
      <c r="DC278" s="240"/>
      <c r="DD278" s="240"/>
      <c r="DE278" s="240"/>
      <c r="DF278" s="240"/>
      <c r="DG278" s="240"/>
      <c r="DH278" s="478"/>
      <c r="DI278" s="733"/>
      <c r="DJ278" s="733"/>
      <c r="DK278" s="478"/>
      <c r="DL278" s="3"/>
      <c r="DM278" s="4"/>
      <c r="DN278" s="4"/>
      <c r="DO278" s="4"/>
      <c r="DP278" s="4"/>
      <c r="DQ278" s="4"/>
      <c r="DR278" s="4"/>
      <c r="DS278" s="4"/>
      <c r="DU278" s="195"/>
      <c r="DV278" s="195"/>
      <c r="DW278" s="195"/>
      <c r="DX278" s="195"/>
      <c r="DY278" s="195"/>
      <c r="DZ278" s="195"/>
      <c r="EA278" s="195"/>
      <c r="EB278" s="195"/>
      <c r="EC278" s="195"/>
      <c r="ED278" s="195"/>
      <c r="EE278" s="195"/>
      <c r="EF278" s="195"/>
      <c r="EG278" s="195"/>
      <c r="EL278" s="1"/>
      <c r="EM278" s="195"/>
      <c r="EN278" s="240"/>
      <c r="EO278" s="731"/>
      <c r="EP278" s="195"/>
      <c r="EQ278" s="240"/>
      <c r="ER278" s="195"/>
      <c r="ES278" s="195"/>
      <c r="ET278" s="195"/>
      <c r="EU278" s="672"/>
      <c r="FJ278" s="571" t="n">
        <v>34</v>
      </c>
      <c r="FK278" s="150" t="str">
        <f aca="false">IF($FJ278+FK$244&gt;73,"",PRODUCT(INDEX($T$19:$T$93,FK$244):INDEX($T$19:$T$93,FK$244+$FJ278-1)))</f>
        <v/>
      </c>
      <c r="FL278" s="150" t="str">
        <f aca="false">IF($FJ278+FL$244&gt;73,"",PRODUCT(INDEX($T$19:$T$93,FL$244):INDEX($T$19:$T$93,FL$244+$FJ278-1)))</f>
        <v/>
      </c>
      <c r="FM278" s="150" t="str">
        <f aca="false">IF($FJ278+FM$244&gt;73,"",PRODUCT(INDEX($T$19:$T$93,FM$244):INDEX($T$19:$T$93,FM$244+$FJ278-1)))</f>
        <v/>
      </c>
      <c r="FN278" s="150" t="str">
        <f aca="false">IF($FJ278+FN$244&gt;73,"",PRODUCT(INDEX($T$19:$T$93,FN$244):INDEX($T$19:$T$93,FN$244+$FJ278-1)))</f>
        <v/>
      </c>
      <c r="FO278" s="150" t="str">
        <f aca="false">IF($FJ278+FO$244&gt;73,"",PRODUCT(INDEX($T$19:$T$93,FO$244):INDEX($T$19:$T$93,FO$244+$FJ278-1)))</f>
        <v/>
      </c>
      <c r="FP278" s="150" t="str">
        <f aca="false">IF($FJ278+FP$244&gt;73,"",PRODUCT(INDEX($T$19:$T$93,FP$244):INDEX($T$19:$T$93,FP$244+$FJ278-1)))</f>
        <v/>
      </c>
      <c r="FQ278" s="150" t="str">
        <f aca="false">IF($FJ278+FQ$244&gt;73,"",PRODUCT(INDEX($T$19:$T$93,FQ$244):INDEX($T$19:$T$93,FQ$244+$FJ278-1)))</f>
        <v/>
      </c>
      <c r="FR278" s="150" t="str">
        <f aca="false">IF($FJ278+FR$244&gt;73,"",PRODUCT(INDEX($T$19:$T$93,FR$244):INDEX($T$19:$T$93,FR$244+$FJ278-1)))</f>
        <v/>
      </c>
      <c r="FS278" s="150" t="str">
        <f aca="false">IF($FJ278+FS$244&gt;73,"",PRODUCT(INDEX($T$19:$T$93,FS$244):INDEX($T$19:$T$93,FS$244+$FJ278-1)))</f>
        <v/>
      </c>
      <c r="FT278" s="150" t="str">
        <f aca="false">IF($FJ278+FT$244&gt;73,"",PRODUCT(INDEX($T$19:$T$93,FT$244):INDEX($T$19:$T$93,FT$244+$FJ278-1)))</f>
        <v/>
      </c>
      <c r="FU278" s="150" t="str">
        <f aca="false">IF($FJ278+FU$244&gt;73,"",PRODUCT(INDEX($T$19:$T$93,FU$244):INDEX($T$19:$T$93,FU$244+$FJ278-1)))</f>
        <v/>
      </c>
      <c r="FV278" s="150" t="str">
        <f aca="false">IF($FJ278+FV$244&gt;73,"",PRODUCT(INDEX($T$19:$T$93,FV$244):INDEX($T$19:$T$93,FV$244+$FJ278-1)))</f>
        <v/>
      </c>
      <c r="FW278" s="150" t="str">
        <f aca="false">IF($FJ278+FW$244&gt;73,"",PRODUCT(INDEX($T$19:$T$93,FW$244):INDEX($T$19:$T$93,FW$244+$FJ278-1)))</f>
        <v/>
      </c>
      <c r="FX278" s="150" t="str">
        <f aca="false">IF($FJ278+FX$244&gt;73,"",PRODUCT(INDEX($T$19:$T$93,FX$244):INDEX($T$19:$T$93,FX$244+$FJ278-1)))</f>
        <v/>
      </c>
      <c r="FY278" s="150" t="str">
        <f aca="false">IF($FJ278+FY$244&gt;73,"",PRODUCT(INDEX($T$19:$T$93,FY$244):INDEX($T$19:$T$93,FY$244+$FJ278-1)))</f>
        <v/>
      </c>
      <c r="FZ278" s="150" t="str">
        <f aca="false">IF($FJ278+FZ$244&gt;73,"",PRODUCT(INDEX($T$19:$T$93,FZ$244):INDEX($T$19:$T$93,FZ$244+$FJ278-1)))</f>
        <v/>
      </c>
      <c r="GA278" s="150" t="str">
        <f aca="false">IF($FJ278+GA$244&gt;73,"",PRODUCT(INDEX($T$19:$T$93,GA$244):INDEX($T$19:$T$93,GA$244+$FJ278-1)))</f>
        <v/>
      </c>
      <c r="GB278" s="150" t="str">
        <f aca="false">IF($FJ278+GB$244&gt;73,"",PRODUCT(INDEX($T$19:$T$93,GB$244):INDEX($T$19:$T$93,GB$244+$FJ278-1)))</f>
        <v/>
      </c>
      <c r="GC278" s="150" t="str">
        <f aca="false">IF($FJ278+GC$244&gt;73,"",PRODUCT(INDEX($T$19:$T$93,GC$244):INDEX($T$19:$T$93,GC$244+$FJ278-1)))</f>
        <v/>
      </c>
      <c r="GD278" s="150" t="str">
        <f aca="false">IF($FJ278+GD$244&gt;73,"",PRODUCT(INDEX($T$19:$T$93,GD$244):INDEX($T$19:$T$93,GD$244+$FJ278-1)))</f>
        <v/>
      </c>
      <c r="GE278" s="150" t="str">
        <f aca="false">IF($FJ278+GE$244&gt;73,"",PRODUCT(INDEX($T$19:$T$93,GE$244):INDEX($T$19:$T$93,GE$244+$FJ278-1)))</f>
        <v/>
      </c>
      <c r="GF278" s="150" t="str">
        <f aca="false">IF($FJ278+GF$244&gt;73,"",PRODUCT(INDEX($T$19:$T$93,GF$244):INDEX($T$19:$T$93,GF$244+$FJ278-1)))</f>
        <v/>
      </c>
      <c r="GG278" s="150" t="str">
        <f aca="false">IF($FJ278+GG$244&gt;73,"",PRODUCT(INDEX($T$19:$T$93,GG$244):INDEX($T$19:$T$93,GG$244+$FJ278-1)))</f>
        <v/>
      </c>
      <c r="GH278" s="150" t="str">
        <f aca="false">IF($FJ278+GH$244&gt;73,"",PRODUCT(INDEX($T$19:$T$93,GH$244):INDEX($T$19:$T$93,GH$244+$FJ278-1)))</f>
        <v/>
      </c>
      <c r="GI278" s="150" t="str">
        <f aca="false">IF($FJ278+GI$244&gt;73,"",PRODUCT(INDEX($T$19:$T$93,GI$244):INDEX($T$19:$T$93,GI$244+$FJ278-1)))</f>
        <v/>
      </c>
      <c r="GJ278" s="150" t="str">
        <f aca="false">IF($FJ278+GJ$244&gt;73,"",PRODUCT(INDEX($T$19:$T$93,GJ$244):INDEX($T$19:$T$93,GJ$244+$FJ278-1)))</f>
        <v/>
      </c>
      <c r="GK278" s="150" t="str">
        <f aca="false">IF($FJ278+GK$244&gt;73,"",PRODUCT(INDEX($T$19:$T$93,GK$244):INDEX($T$19:$T$93,GK$244+$FJ278-1)))</f>
        <v/>
      </c>
      <c r="GL278" s="150" t="str">
        <f aca="false">IF($FJ278+GL$244&gt;73,"",PRODUCT(INDEX($T$19:$T$93,GL$244):INDEX($T$19:$T$93,GL$244+$FJ278-1)))</f>
        <v/>
      </c>
      <c r="GM278" s="150" t="str">
        <f aca="false">IF($FJ278+GM$244&gt;73,"",PRODUCT(INDEX($T$19:$T$93,GM$244):INDEX($T$19:$T$93,GM$244+$FJ278-1)))</f>
        <v/>
      </c>
      <c r="GN278" s="150" t="str">
        <f aca="false">IF($FJ278+GN$244&gt;73,"",PRODUCT(INDEX($T$19:$T$93,GN$244):INDEX($T$19:$T$93,GN$244+$FJ278-1)))</f>
        <v/>
      </c>
      <c r="GO278" s="150" t="str">
        <f aca="false">IF($FJ278+GO$244&gt;73,"",PRODUCT(INDEX($T$19:$T$93,GO$244):INDEX($T$19:$T$93,GO$244+$FJ278-1)))</f>
        <v/>
      </c>
      <c r="GP278" s="150" t="str">
        <f aca="false">IF($FJ278+GP$244&gt;73,"",PRODUCT(INDEX($T$19:$T$93,GP$244):INDEX($T$19:$T$93,GP$244+$FJ278-1)))</f>
        <v/>
      </c>
      <c r="GQ278" s="150" t="str">
        <f aca="false">IF($FJ278+GQ$244&gt;73,"",PRODUCT(INDEX($T$19:$T$93,GQ$244):INDEX($T$19:$T$93,GQ$244+$FJ278-1)))</f>
        <v/>
      </c>
      <c r="GR278" s="150" t="n">
        <f aca="false">IF($FJ278+GR$244&gt;73,"",PRODUCT(INDEX($T$19:$T$93,GR$244):INDEX($T$19:$T$93,GR$244+$FJ278-1)))</f>
        <v>0.997658724003728</v>
      </c>
      <c r="GS278" s="150" t="n">
        <f aca="false">IF($FJ278+GS$244&gt;73,"",PRODUCT(INDEX($T$19:$T$93,GS$244):INDEX($T$19:$T$93,GS$244+$FJ278-1)))</f>
        <v>0.997262006960113</v>
      </c>
      <c r="GT278" s="150" t="n">
        <f aca="false">IF($FJ278+GT$244&gt;73,"",PRODUCT(INDEX($T$19:$T$93,GT$244):INDEX($T$19:$T$93,GT$244+$FJ278-1)))</f>
        <v>0.996798140105397</v>
      </c>
      <c r="GU278" s="150" t="n">
        <f aca="false">IF($FJ278+GU$244&gt;73,"",PRODUCT(INDEX($T$19:$T$93,GU$244):INDEX($T$19:$T$93,GU$244+$FJ278-1)))</f>
        <v>0.99625578452194</v>
      </c>
      <c r="GV278" s="150" t="n">
        <f aca="false">IF($FJ278+GV$244&gt;73,"",PRODUCT(INDEX($T$19:$T$93,GV$244):INDEX($T$19:$T$93,GV$244+$FJ278-1)))</f>
        <v>0.995621696813359</v>
      </c>
      <c r="GW278" s="150" t="n">
        <f aca="false">IF($FJ278+GW$244&gt;73,"",PRODUCT(INDEX($T$19:$T$93,GW$244):INDEX($T$19:$T$93,GW$244+$FJ278-1)))</f>
        <v>0.994880413072532</v>
      </c>
      <c r="GX278" s="150" t="n">
        <f aca="false">IF($FJ278+GX$244&gt;73,"",PRODUCT(INDEX($T$19:$T$93,GX$244):INDEX($T$19:$T$93,GX$244+$FJ278-1)))</f>
        <v>0.994013881856394</v>
      </c>
      <c r="GY278" s="150" t="n">
        <f aca="false">IF($FJ278+GY$244&gt;73,"",PRODUCT(INDEX($T$19:$T$93,GY$244):INDEX($T$19:$T$93,GY$244+$FJ278-1)))</f>
        <v>0.993001038490828</v>
      </c>
      <c r="GZ278" s="150" t="n">
        <f aca="false">IF($FJ278+GZ$244&gt;73,"",PRODUCT(INDEX($T$19:$T$93,GZ$244):INDEX($T$19:$T$93,GZ$244+$FJ278-1)))</f>
        <v>0.991817312087865</v>
      </c>
      <c r="HA278" s="150" t="n">
        <f aca="false">IF($FJ278+HA$244&gt;73,"",PRODUCT(INDEX($T$19:$T$93,HA$244):INDEX($T$19:$T$93,HA$244+$FJ278-1)))</f>
        <v>0.990434055689822</v>
      </c>
      <c r="HB278" s="150" t="n">
        <f aca="false">IF($FJ278+HB$244&gt;73,"",PRODUCT(INDEX($T$19:$T$93,HB$244):INDEX($T$19:$T$93,HB$244+$FJ278-1)))</f>
        <v>0.98881788900511</v>
      </c>
      <c r="HC278" s="150" t="n">
        <f aca="false">IF($FJ278+HC$244&gt;73,"",PRODUCT(INDEX($T$19:$T$93,HC$244):INDEX($T$19:$T$93,HC$244+$FJ278-1)))</f>
        <v>0.986929942337336</v>
      </c>
      <c r="HD278" s="150" t="n">
        <f aca="false">IF($FJ278+HD$244&gt;73,"",PRODUCT(INDEX($T$19:$T$93,HD$244):INDEX($T$19:$T$93,HD$244+$FJ278-1)))</f>
        <v>0.984724989637302</v>
      </c>
      <c r="HE278" s="150" t="n">
        <f aca="false">IF($FJ278+HE$244&gt;73,"",PRODUCT(INDEX($T$19:$T$93,HE$244):INDEX($T$19:$T$93,HE$244+$FJ278-1)))</f>
        <v>0.982150458280241</v>
      </c>
      <c r="HF278" s="150" t="n">
        <f aca="false">IF($FJ278+HF$244&gt;73,"",PRODUCT(INDEX($T$19:$T$93,HF$244):INDEX($T$19:$T$93,HF$244+$FJ278-1)))</f>
        <v>0.979145303410007</v>
      </c>
      <c r="HG278" s="150" t="n">
        <f aca="false">IF($FJ278+HG$244&gt;73,"",PRODUCT(INDEX($T$19:$T$93,HG$244):INDEX($T$19:$T$93,HG$244+$FJ278-1)))</f>
        <v>0.975638735813553</v>
      </c>
      <c r="HH278" s="150" t="n">
        <f aca="false">IF($FJ278+HH$244&gt;73,"",PRODUCT(INDEX($T$19:$T$93,HH$244):INDEX($T$19:$T$93,HH$244+$FJ278-1)))</f>
        <v>0.971548794735824</v>
      </c>
      <c r="HI278" s="150" t="n">
        <f aca="false">IF($FJ278+HI$244&gt;73,"",PRODUCT(INDEX($T$19:$T$93,HI$244):INDEX($T$19:$T$93,HI$244+$FJ278-1)))</f>
        <v>0.966780761431637</v>
      </c>
      <c r="HJ278" s="150" t="n">
        <f aca="false">IF($FJ278+HJ$244&gt;73,"",PRODUCT(INDEX($T$19:$T$93,HJ$244):INDEX($T$19:$T$93,HJ$244+$FJ278-1)))</f>
        <v>0.961225416419674</v>
      </c>
      <c r="HK278" s="150" t="n">
        <f aca="false">IF($FJ278+HK$244&gt;73,"",PRODUCT(INDEX($T$19:$T$93,HK$244):INDEX($T$19:$T$93,HK$244+$FJ278-1)))</f>
        <v>0.954757154496845</v>
      </c>
      <c r="HL278" s="150" t="n">
        <f aca="false">IF($FJ278+HL$244&gt;73,"",PRODUCT(INDEX($T$19:$T$93,HL$244):INDEX($T$19:$T$93,HL$244+$FJ278-1)))</f>
        <v>0.947231988118211</v>
      </c>
      <c r="HM278" s="150" t="n">
        <f aca="false">IF($FJ278+HM$244&gt;73,"",PRODUCT(INDEX($T$19:$T$93,HM$244):INDEX($T$19:$T$93,HM$244+$FJ278-1)))</f>
        <v>0.938485493767629</v>
      </c>
      <c r="HN278" s="150" t="n">
        <f aca="false">IF($FJ278+HN$244&gt;73,"",PRODUCT(INDEX($T$19:$T$93,HN$244):INDEX($T$19:$T$93,HN$244+$FJ278-1)))</f>
        <v>0.928330790057364</v>
      </c>
      <c r="HO278" s="150" t="n">
        <f aca="false">IF($FJ278+HO$244&gt;73,"",PRODUCT(INDEX($T$19:$T$93,HO$244):INDEX($T$19:$T$93,HO$244+$FJ278-1)))</f>
        <v>0.916556683829432</v>
      </c>
      <c r="HP278" s="150" t="n">
        <f aca="false">IF($FJ278+HP$244&gt;73,"",PRODUCT(INDEX($T$19:$T$93,HP$244):INDEX($T$19:$T$93,HP$244+$FJ278-1)))</f>
        <v>0.902926185593532</v>
      </c>
      <c r="HQ278" s="150" t="n">
        <f aca="false">IF($FJ278+HQ$244&gt;73,"",PRODUCT(INDEX($T$19:$T$93,HQ$244):INDEX($T$19:$T$93,HQ$244+$FJ278-1)))</f>
        <v>0.887175683088331</v>
      </c>
      <c r="HR278" s="150" t="n">
        <f aca="false">IF($FJ278+HR$244&gt;73,"",PRODUCT(INDEX($T$19:$T$93,HR$244):INDEX($T$19:$T$93,HR$244+$FJ278-1)))</f>
        <v>0.869015176990835</v>
      </c>
      <c r="HS278" s="150" t="n">
        <f aca="false">IF($FJ278+HS$244&gt;73,"",PRODUCT(INDEX($T$19:$T$93,HS$244):INDEX($T$19:$T$93,HS$244+$FJ278-1)))</f>
        <v>0.848130131158158</v>
      </c>
      <c r="HT278" s="150" t="n">
        <f aca="false">IF($FJ278+HT$244&gt;73,"",PRODUCT(INDEX($T$19:$T$93,HT$244):INDEX($T$19:$T$93,HT$244+$FJ278-1)))</f>
        <v>0.824185675277721</v>
      </c>
      <c r="HU278" s="150" t="n">
        <f aca="false">IF($FJ278+HU$244&gt;73,"",PRODUCT(INDEX($T$19:$T$93,HU$244):INDEX($T$19:$T$93,HU$244+$FJ278-1)))</f>
        <v>0.796834120720057</v>
      </c>
      <c r="HV278" s="150" t="n">
        <f aca="false">IF($FJ278+HV$244&gt;73,"",PRODUCT(INDEX($T$19:$T$93,HV$244):INDEX($T$19:$T$93,HV$244+$FJ278-1)))</f>
        <v>0.765727003095148</v>
      </c>
      <c r="HW278" s="150" t="n">
        <f aca="false">IF($FJ278+HW$244&gt;73,"",PRODUCT(INDEX($T$19:$T$93,HW$244):INDEX($T$19:$T$93,HW$244+$FJ278-1)))</f>
        <v>0.730533124915516</v>
      </c>
      <c r="HX278" s="150" t="n">
        <f aca="false">IF($FJ278+HX$244&gt;73,"",PRODUCT(INDEX($T$19:$T$93,HX$244):INDEX($T$19:$T$93,HX$244+$FJ278-1)))</f>
        <v>0.690964290222922</v>
      </c>
      <c r="HY278" s="150" t="n">
        <f aca="false">IF($FJ278+HY$244&gt;73,"",PRODUCT(INDEX($T$19:$T$93,HY$244):INDEX($T$19:$T$93,HY$244+$FJ278-1)))</f>
        <v>0.646810508829392</v>
      </c>
      <c r="HZ278" s="150" t="n">
        <f aca="false">IF($FJ278+HZ$244&gt;73,"",PRODUCT(INDEX($T$19:$T$93,HZ$244):INDEX($T$19:$T$93,HZ$244+$FJ278-1)))</f>
        <v>0.597986244472715</v>
      </c>
      <c r="IA278" s="150" t="n">
        <f aca="false">IF($FJ278+IA$244&gt;73,"",PRODUCT(INDEX($T$19:$T$93,IA$244):INDEX($T$19:$T$93,IA$244+$FJ278-1)))</f>
        <v>0.544588539455643</v>
      </c>
      <c r="IB278" s="150" t="n">
        <f aca="false">IF($FJ278+IB$244&gt;73,"",PRODUCT(INDEX($T$19:$T$93,IB$244):INDEX($T$19:$T$93,IB$244+$FJ278-1)))</f>
        <v>0.486966201054191</v>
      </c>
      <c r="IC278" s="150" t="n">
        <f aca="false">IF($FJ278+IC$244&gt;73,"",PRODUCT(INDEX($T$19:$T$93,IC$244):INDEX($T$19:$T$93,IC$244+$FJ278-1)))</f>
        <v>0.425796193355636</v>
      </c>
      <c r="ID278" s="572" t="n">
        <f aca="false">IF($FJ278+ID$244&gt;73,"",PRODUCT(INDEX($T$19:$T$93,ID$244):INDEX($T$19:$T$93,ID$244+$FJ278-1)))</f>
        <v>0.362158391792356</v>
      </c>
      <c r="IE278" s="129"/>
    </row>
    <row r="279" customFormat="false" ht="12.75" hidden="false" customHeight="false" outlineLevel="0" collapsed="false">
      <c r="I279" s="735"/>
      <c r="J279" s="727"/>
      <c r="K279" s="728"/>
      <c r="L279" s="195"/>
      <c r="M279" s="729"/>
      <c r="P279" s="727"/>
      <c r="S279" s="1"/>
      <c r="T279" s="727"/>
      <c r="U279" s="195"/>
      <c r="V279" s="195"/>
      <c r="W279" s="195"/>
      <c r="X279" s="195"/>
      <c r="Y279" s="195"/>
      <c r="Z279" s="195"/>
      <c r="AA279" s="195"/>
      <c r="AB279" s="195"/>
      <c r="AC279" s="195"/>
      <c r="AD279" s="195"/>
      <c r="AE279" s="195"/>
      <c r="AF279" s="195"/>
      <c r="AG279" s="195"/>
      <c r="AH279" s="195"/>
      <c r="AI279" s="195"/>
      <c r="AJ279" s="195"/>
      <c r="AK279" s="195"/>
      <c r="AL279" s="195"/>
      <c r="AM279" s="195"/>
      <c r="AN279" s="195"/>
      <c r="AO279" s="532"/>
      <c r="AP279" s="195"/>
      <c r="AQ279" s="532"/>
      <c r="AR279" s="195"/>
      <c r="AS279" s="195"/>
      <c r="AT279" s="240"/>
      <c r="AU279" s="240"/>
      <c r="AV279" s="240"/>
      <c r="AW279" s="730"/>
      <c r="AX279" s="730"/>
      <c r="AY279" s="730"/>
      <c r="AZ279" s="730"/>
      <c r="BA279" s="468"/>
      <c r="BB279" s="468"/>
      <c r="BC279" s="240"/>
      <c r="BD279" s="240"/>
      <c r="BE279" s="240"/>
      <c r="BF279" s="672"/>
      <c r="BG279" s="672"/>
      <c r="BH279" s="672"/>
      <c r="BI279" s="731"/>
      <c r="BJ279" s="672"/>
      <c r="BK279" s="672"/>
      <c r="BL279" s="240"/>
      <c r="BM279" s="736"/>
      <c r="BN279" s="240"/>
      <c r="BO279" s="240"/>
      <c r="BP279" s="240"/>
      <c r="BQ279" s="240"/>
      <c r="BR279" s="240"/>
      <c r="BS279" s="240"/>
      <c r="BT279" s="240"/>
      <c r="BU279" s="240"/>
      <c r="BV279" s="240"/>
      <c r="BW279" s="240"/>
      <c r="BX279" s="240"/>
      <c r="BY279" s="240"/>
      <c r="BZ279" s="240"/>
      <c r="CA279" s="240"/>
      <c r="CB279" s="240"/>
      <c r="CC279" s="240"/>
      <c r="CD279" s="672"/>
      <c r="CE279" s="672"/>
      <c r="CF279" s="672"/>
      <c r="CG279" s="672"/>
      <c r="CH279" s="672"/>
      <c r="CI279" s="672"/>
      <c r="CJ279" s="240"/>
      <c r="CK279" s="240"/>
      <c r="CL279" s="240"/>
      <c r="CM279" s="240"/>
      <c r="CN279" s="240"/>
      <c r="CO279" s="240"/>
      <c r="CP279" s="240"/>
      <c r="CQ279" s="240"/>
      <c r="CR279" s="240"/>
      <c r="CS279" s="240"/>
      <c r="CT279" s="240"/>
      <c r="CU279" s="240"/>
      <c r="CV279" s="240"/>
      <c r="CW279" s="240"/>
      <c r="CX279" s="240"/>
      <c r="CY279" s="240"/>
      <c r="CZ279" s="240"/>
      <c r="DA279" s="240"/>
      <c r="DB279" s="240"/>
      <c r="DC279" s="240"/>
      <c r="DD279" s="240"/>
      <c r="DE279" s="240"/>
      <c r="DF279" s="240"/>
      <c r="DG279" s="240"/>
      <c r="DH279" s="478"/>
      <c r="DI279" s="733"/>
      <c r="DJ279" s="733"/>
      <c r="DK279" s="478"/>
      <c r="DL279" s="3"/>
      <c r="DM279" s="4"/>
      <c r="DN279" s="4"/>
      <c r="DO279" s="4"/>
      <c r="DP279" s="4"/>
      <c r="DQ279" s="4"/>
      <c r="DR279" s="4"/>
      <c r="DS279" s="4"/>
      <c r="DU279" s="195"/>
      <c r="DV279" s="195"/>
      <c r="DW279" s="195"/>
      <c r="DX279" s="195"/>
      <c r="DY279" s="195"/>
      <c r="DZ279" s="195"/>
      <c r="EA279" s="195"/>
      <c r="EB279" s="195"/>
      <c r="EC279" s="195"/>
      <c r="ED279" s="195"/>
      <c r="EE279" s="195"/>
      <c r="EF279" s="195"/>
      <c r="EG279" s="195"/>
      <c r="EL279" s="1"/>
      <c r="EM279" s="195"/>
      <c r="EN279" s="240"/>
      <c r="EO279" s="731"/>
      <c r="EP279" s="195"/>
      <c r="EQ279" s="240"/>
      <c r="ER279" s="195"/>
      <c r="ES279" s="195"/>
      <c r="ET279" s="195"/>
      <c r="EU279" s="672"/>
      <c r="FJ279" s="571" t="n">
        <v>35</v>
      </c>
      <c r="FK279" s="150" t="str">
        <f aca="false">IF($FJ279+FK$244&gt;73,"",PRODUCT(INDEX($T$19:$T$93,FK$244):INDEX($T$19:$T$93,FK$244+$FJ279-1)))</f>
        <v/>
      </c>
      <c r="FL279" s="150" t="str">
        <f aca="false">IF($FJ279+FL$244&gt;73,"",PRODUCT(INDEX($T$19:$T$93,FL$244):INDEX($T$19:$T$93,FL$244+$FJ279-1)))</f>
        <v/>
      </c>
      <c r="FM279" s="150" t="str">
        <f aca="false">IF($FJ279+FM$244&gt;73,"",PRODUCT(INDEX($T$19:$T$93,FM$244):INDEX($T$19:$T$93,FM$244+$FJ279-1)))</f>
        <v/>
      </c>
      <c r="FN279" s="150" t="str">
        <f aca="false">IF($FJ279+FN$244&gt;73,"",PRODUCT(INDEX($T$19:$T$93,FN$244):INDEX($T$19:$T$93,FN$244+$FJ279-1)))</f>
        <v/>
      </c>
      <c r="FO279" s="150" t="str">
        <f aca="false">IF($FJ279+FO$244&gt;73,"",PRODUCT(INDEX($T$19:$T$93,FO$244):INDEX($T$19:$T$93,FO$244+$FJ279-1)))</f>
        <v/>
      </c>
      <c r="FP279" s="150" t="str">
        <f aca="false">IF($FJ279+FP$244&gt;73,"",PRODUCT(INDEX($T$19:$T$93,FP$244):INDEX($T$19:$T$93,FP$244+$FJ279-1)))</f>
        <v/>
      </c>
      <c r="FQ279" s="150" t="str">
        <f aca="false">IF($FJ279+FQ$244&gt;73,"",PRODUCT(INDEX($T$19:$T$93,FQ$244):INDEX($T$19:$T$93,FQ$244+$FJ279-1)))</f>
        <v/>
      </c>
      <c r="FR279" s="150" t="str">
        <f aca="false">IF($FJ279+FR$244&gt;73,"",PRODUCT(INDEX($T$19:$T$93,FR$244):INDEX($T$19:$T$93,FR$244+$FJ279-1)))</f>
        <v/>
      </c>
      <c r="FS279" s="150" t="str">
        <f aca="false">IF($FJ279+FS$244&gt;73,"",PRODUCT(INDEX($T$19:$T$93,FS$244):INDEX($T$19:$T$93,FS$244+$FJ279-1)))</f>
        <v/>
      </c>
      <c r="FT279" s="150" t="str">
        <f aca="false">IF($FJ279+FT$244&gt;73,"",PRODUCT(INDEX($T$19:$T$93,FT$244):INDEX($T$19:$T$93,FT$244+$FJ279-1)))</f>
        <v/>
      </c>
      <c r="FU279" s="150" t="str">
        <f aca="false">IF($FJ279+FU$244&gt;73,"",PRODUCT(INDEX($T$19:$T$93,FU$244):INDEX($T$19:$T$93,FU$244+$FJ279-1)))</f>
        <v/>
      </c>
      <c r="FV279" s="150" t="str">
        <f aca="false">IF($FJ279+FV$244&gt;73,"",PRODUCT(INDEX($T$19:$T$93,FV$244):INDEX($T$19:$T$93,FV$244+$FJ279-1)))</f>
        <v/>
      </c>
      <c r="FW279" s="150" t="str">
        <f aca="false">IF($FJ279+FW$244&gt;73,"",PRODUCT(INDEX($T$19:$T$93,FW$244):INDEX($T$19:$T$93,FW$244+$FJ279-1)))</f>
        <v/>
      </c>
      <c r="FX279" s="150" t="str">
        <f aca="false">IF($FJ279+FX$244&gt;73,"",PRODUCT(INDEX($T$19:$T$93,FX$244):INDEX($T$19:$T$93,FX$244+$FJ279-1)))</f>
        <v/>
      </c>
      <c r="FY279" s="150" t="str">
        <f aca="false">IF($FJ279+FY$244&gt;73,"",PRODUCT(INDEX($T$19:$T$93,FY$244):INDEX($T$19:$T$93,FY$244+$FJ279-1)))</f>
        <v/>
      </c>
      <c r="FZ279" s="150" t="str">
        <f aca="false">IF($FJ279+FZ$244&gt;73,"",PRODUCT(INDEX($T$19:$T$93,FZ$244):INDEX($T$19:$T$93,FZ$244+$FJ279-1)))</f>
        <v/>
      </c>
      <c r="GA279" s="150" t="str">
        <f aca="false">IF($FJ279+GA$244&gt;73,"",PRODUCT(INDEX($T$19:$T$93,GA$244):INDEX($T$19:$T$93,GA$244+$FJ279-1)))</f>
        <v/>
      </c>
      <c r="GB279" s="150" t="str">
        <f aca="false">IF($FJ279+GB$244&gt;73,"",PRODUCT(INDEX($T$19:$T$93,GB$244):INDEX($T$19:$T$93,GB$244+$FJ279-1)))</f>
        <v/>
      </c>
      <c r="GC279" s="150" t="str">
        <f aca="false">IF($FJ279+GC$244&gt;73,"",PRODUCT(INDEX($T$19:$T$93,GC$244):INDEX($T$19:$T$93,GC$244+$FJ279-1)))</f>
        <v/>
      </c>
      <c r="GD279" s="150" t="str">
        <f aca="false">IF($FJ279+GD$244&gt;73,"",PRODUCT(INDEX($T$19:$T$93,GD$244):INDEX($T$19:$T$93,GD$244+$FJ279-1)))</f>
        <v/>
      </c>
      <c r="GE279" s="150" t="str">
        <f aca="false">IF($FJ279+GE$244&gt;73,"",PRODUCT(INDEX($T$19:$T$93,GE$244):INDEX($T$19:$T$93,GE$244+$FJ279-1)))</f>
        <v/>
      </c>
      <c r="GF279" s="150" t="str">
        <f aca="false">IF($FJ279+GF$244&gt;73,"",PRODUCT(INDEX($T$19:$T$93,GF$244):INDEX($T$19:$T$93,GF$244+$FJ279-1)))</f>
        <v/>
      </c>
      <c r="GG279" s="150" t="str">
        <f aca="false">IF($FJ279+GG$244&gt;73,"",PRODUCT(INDEX($T$19:$T$93,GG$244):INDEX($T$19:$T$93,GG$244+$FJ279-1)))</f>
        <v/>
      </c>
      <c r="GH279" s="150" t="str">
        <f aca="false">IF($FJ279+GH$244&gt;73,"",PRODUCT(INDEX($T$19:$T$93,GH$244):INDEX($T$19:$T$93,GH$244+$FJ279-1)))</f>
        <v/>
      </c>
      <c r="GI279" s="150" t="str">
        <f aca="false">IF($FJ279+GI$244&gt;73,"",PRODUCT(INDEX($T$19:$T$93,GI$244):INDEX($T$19:$T$93,GI$244+$FJ279-1)))</f>
        <v/>
      </c>
      <c r="GJ279" s="150" t="str">
        <f aca="false">IF($FJ279+GJ$244&gt;73,"",PRODUCT(INDEX($T$19:$T$93,GJ$244):INDEX($T$19:$T$93,GJ$244+$FJ279-1)))</f>
        <v/>
      </c>
      <c r="GK279" s="150" t="str">
        <f aca="false">IF($FJ279+GK$244&gt;73,"",PRODUCT(INDEX($T$19:$T$93,GK$244):INDEX($T$19:$T$93,GK$244+$FJ279-1)))</f>
        <v/>
      </c>
      <c r="GL279" s="150" t="str">
        <f aca="false">IF($FJ279+GL$244&gt;73,"",PRODUCT(INDEX($T$19:$T$93,GL$244):INDEX($T$19:$T$93,GL$244+$FJ279-1)))</f>
        <v/>
      </c>
      <c r="GM279" s="150" t="str">
        <f aca="false">IF($FJ279+GM$244&gt;73,"",PRODUCT(INDEX($T$19:$T$93,GM$244):INDEX($T$19:$T$93,GM$244+$FJ279-1)))</f>
        <v/>
      </c>
      <c r="GN279" s="150" t="str">
        <f aca="false">IF($FJ279+GN$244&gt;73,"",PRODUCT(INDEX($T$19:$T$93,GN$244):INDEX($T$19:$T$93,GN$244+$FJ279-1)))</f>
        <v/>
      </c>
      <c r="GO279" s="150" t="str">
        <f aca="false">IF($FJ279+GO$244&gt;73,"",PRODUCT(INDEX($T$19:$T$93,GO$244):INDEX($T$19:$T$93,GO$244+$FJ279-1)))</f>
        <v/>
      </c>
      <c r="GP279" s="150" t="str">
        <f aca="false">IF($FJ279+GP$244&gt;73,"",PRODUCT(INDEX($T$19:$T$93,GP$244):INDEX($T$19:$T$93,GP$244+$FJ279-1)))</f>
        <v/>
      </c>
      <c r="GQ279" s="150" t="str">
        <f aca="false">IF($FJ279+GQ$244&gt;73,"",PRODUCT(INDEX($T$19:$T$93,GQ$244):INDEX($T$19:$T$93,GQ$244+$FJ279-1)))</f>
        <v/>
      </c>
      <c r="GR279" s="150" t="str">
        <f aca="false">IF($FJ279+GR$244&gt;73,"",PRODUCT(INDEX($T$19:$T$93,GR$244):INDEX($T$19:$T$93,GR$244+$FJ279-1)))</f>
        <v/>
      </c>
      <c r="GS279" s="150" t="n">
        <f aca="false">IF($FJ279+GS$244&gt;73,"",PRODUCT(INDEX($T$19:$T$93,GS$244):INDEX($T$19:$T$93,GS$244+$FJ279-1)))</f>
        <v>0.997260070859082</v>
      </c>
      <c r="GT279" s="150" t="n">
        <f aca="false">IF($FJ279+GT$244&gt;73,"",PRODUCT(INDEX($T$19:$T$93,GT$244):INDEX($T$19:$T$93,GT$244+$FJ279-1)))</f>
        <v>0.996795876710461</v>
      </c>
      <c r="GU279" s="150" t="n">
        <f aca="false">IF($FJ279+GU$244&gt;73,"",PRODUCT(INDEX($T$19:$T$93,GU$244):INDEX($T$19:$T$93,GU$244+$FJ279-1)))</f>
        <v>0.996253138713322</v>
      </c>
      <c r="GV279" s="150" t="n">
        <f aca="false">IF($FJ279+GV$244&gt;73,"",PRODUCT(INDEX($T$19:$T$93,GV$244):INDEX($T$19:$T$93,GV$244+$FJ279-1)))</f>
        <v>0.995618604265321</v>
      </c>
      <c r="GW279" s="150" t="n">
        <f aca="false">IF($FJ279+GW$244&gt;73,"",PRODUCT(INDEX($T$19:$T$93,GW$244):INDEX($T$19:$T$93,GW$244+$FJ279-1)))</f>
        <v>0.994876798744156</v>
      </c>
      <c r="GX279" s="150" t="n">
        <f aca="false">IF($FJ279+GX$244&gt;73,"",PRODUCT(INDEX($T$19:$T$93,GX$244):INDEX($T$19:$T$93,GX$244+$FJ279-1)))</f>
        <v>0.994009658245438</v>
      </c>
      <c r="GY279" s="150" t="n">
        <f aca="false">IF($FJ279+GY$244&gt;73,"",PRODUCT(INDEX($T$19:$T$93,GY$244):INDEX($T$19:$T$93,GY$244+$FJ279-1)))</f>
        <v>0.992996103617438</v>
      </c>
      <c r="GZ279" s="150" t="n">
        <f aca="false">IF($FJ279+GZ$244&gt;73,"",PRODUCT(INDEX($T$19:$T$93,GZ$244):INDEX($T$19:$T$93,GZ$244+$FJ279-1)))</f>
        <v>0.991811547171768</v>
      </c>
      <c r="HA279" s="150" t="n">
        <f aca="false">IF($FJ279+HA$244&gt;73,"",PRODUCT(INDEX($T$19:$T$93,HA$244):INDEX($T$19:$T$93,HA$244+$FJ279-1)))</f>
        <v>0.990427322481894</v>
      </c>
      <c r="HB279" s="150" t="n">
        <f aca="false">IF($FJ279+HB$244&gt;73,"",PRODUCT(INDEX($T$19:$T$93,HB$244):INDEX($T$19:$T$93,HB$244+$FJ279-1)))</f>
        <v>0.988810026732198</v>
      </c>
      <c r="HC279" s="150" t="n">
        <f aca="false">IF($FJ279+HC$244&gt;73,"",PRODUCT(INDEX($T$19:$T$93,HC$244):INDEX($T$19:$T$93,HC$244+$FJ279-1)))</f>
        <v>0.986920764218532</v>
      </c>
      <c r="HD279" s="150" t="n">
        <f aca="false">IF($FJ279+HD$244&gt;73,"",PRODUCT(INDEX($T$19:$T$93,HD$244):INDEX($T$19:$T$93,HD$244+$FJ279-1)))</f>
        <v>0.984714278931249</v>
      </c>
      <c r="HE279" s="150" t="n">
        <f aca="false">IF($FJ279+HE$244&gt;73,"",PRODUCT(INDEX($T$19:$T$93,HE$244):INDEX($T$19:$T$93,HE$244+$FJ279-1)))</f>
        <v>0.982137963827652</v>
      </c>
      <c r="HF279" s="150" t="n">
        <f aca="false">IF($FJ279+HF$244&gt;73,"",PRODUCT(INDEX($T$19:$T$93,HF$244):INDEX($T$19:$T$93,HF$244+$FJ279-1)))</f>
        <v>0.979130734644911</v>
      </c>
      <c r="HG279" s="150" t="n">
        <f aca="false">IF($FJ279+HG$244&gt;73,"",PRODUCT(INDEX($T$19:$T$93,HG$244):INDEX($T$19:$T$93,HG$244+$FJ279-1)))</f>
        <v>0.97562175723296</v>
      </c>
      <c r="HH279" s="150" t="n">
        <f aca="false">IF($FJ279+HH$244&gt;73,"",PRODUCT(INDEX($T$19:$T$93,HH$244):INDEX($T$19:$T$93,HH$244+$FJ279-1)))</f>
        <v>0.971529019843375</v>
      </c>
      <c r="HI279" s="150" t="n">
        <f aca="false">IF($FJ279+HI$244&gt;73,"",PRODUCT(INDEX($T$19:$T$93,HI$244):INDEX($T$19:$T$93,HI$244+$FJ279-1)))</f>
        <v>0.966757746210196</v>
      </c>
      <c r="HJ279" s="150" t="n">
        <f aca="false">IF($FJ279+HJ$244&gt;73,"",PRODUCT(INDEX($T$19:$T$93,HJ$244):INDEX($T$19:$T$93,HJ$244+$FJ279-1)))</f>
        <v>0.961198652445749</v>
      </c>
      <c r="HK279" s="150" t="n">
        <f aca="false">IF($FJ279+HK$244&gt;73,"",PRODUCT(INDEX($T$19:$T$93,HK$244):INDEX($T$19:$T$93,HK$244+$FJ279-1)))</f>
        <v>0.954726061892754</v>
      </c>
      <c r="HL279" s="150" t="n">
        <f aca="false">IF($FJ279+HL$244&gt;73,"",PRODUCT(INDEX($T$19:$T$93,HL$244):INDEX($T$19:$T$93,HL$244+$FJ279-1)))</f>
        <v>0.947195908654301</v>
      </c>
      <c r="HM279" s="150" t="n">
        <f aca="false">IF($FJ279+HM$244&gt;73,"",PRODUCT(INDEX($T$19:$T$93,HM$244):INDEX($T$19:$T$93,HM$244+$FJ279-1)))</f>
        <v>0.938443684586986</v>
      </c>
      <c r="HN279" s="150" t="n">
        <f aca="false">IF($FJ279+HN$244&gt;73,"",PRODUCT(INDEX($T$19:$T$93,HN$244):INDEX($T$19:$T$93,HN$244+$FJ279-1)))</f>
        <v>0.928282418711717</v>
      </c>
      <c r="HO279" s="150" t="n">
        <f aca="false">IF($FJ279+HO$244&gt;73,"",PRODUCT(INDEX($T$19:$T$93,HO$244):INDEX($T$19:$T$93,HO$244+$FJ279-1)))</f>
        <v>0.916500825601449</v>
      </c>
      <c r="HP279" s="150" t="n">
        <f aca="false">IF($FJ279+HP$244&gt;73,"",PRODUCT(INDEX($T$19:$T$93,HP$244):INDEX($T$19:$T$93,HP$244+$FJ279-1)))</f>
        <v>0.902861824452505</v>
      </c>
      <c r="HQ279" s="150" t="n">
        <f aca="false">IF($FJ279+HQ$244&gt;73,"",PRODUCT(INDEX($T$19:$T$93,HQ$244):INDEX($T$19:$T$93,HQ$244+$FJ279-1)))</f>
        <v>0.887101718096727</v>
      </c>
      <c r="HR279" s="150" t="n">
        <f aca="false">IF($FJ279+HR$244&gt;73,"",PRODUCT(INDEX($T$19:$T$93,HR$244):INDEX($T$19:$T$93,HR$244+$FJ279-1)))</f>
        <v>0.868930436556327</v>
      </c>
      <c r="HS279" s="150" t="n">
        <f aca="false">IF($FJ279+HS$244&gt;73,"",PRODUCT(INDEX($T$19:$T$93,HS$244):INDEX($T$19:$T$93,HS$244+$FJ279-1)))</f>
        <v>0.848033398204153</v>
      </c>
      <c r="HT279" s="150" t="n">
        <f aca="false">IF($FJ279+HT$244&gt;73,"",PRODUCT(INDEX($T$19:$T$93,HT$244):INDEX($T$19:$T$93,HT$244+$FJ279-1)))</f>
        <v>0.824075727154014</v>
      </c>
      <c r="HU279" s="150" t="n">
        <f aca="false">IF($FJ279+HU$244&gt;73,"",PRODUCT(INDEX($T$19:$T$93,HU$244):INDEX($T$19:$T$93,HU$244+$FJ279-1)))</f>
        <v>0.796709788417447</v>
      </c>
      <c r="HV279" s="150" t="n">
        <f aca="false">IF($FJ279+HV$244&gt;73,"",PRODUCT(INDEX($T$19:$T$93,HV$244):INDEX($T$19:$T$93,HV$244+$FJ279-1)))</f>
        <v>0.765587254911576</v>
      </c>
      <c r="HW279" s="150" t="n">
        <f aca="false">IF($FJ279+HW$244&gt;73,"",PRODUCT(INDEX($T$19:$T$93,HW$244):INDEX($T$19:$T$93,HW$244+$FJ279-1)))</f>
        <v>0.730377179876817</v>
      </c>
      <c r="HX279" s="150" t="n">
        <f aca="false">IF($FJ279+HX$244&gt;73,"",PRODUCT(INDEX($T$19:$T$93,HX$244):INDEX($T$19:$T$93,HX$244+$FJ279-1)))</f>
        <v>0.690791765846508</v>
      </c>
      <c r="HY279" s="150" t="n">
        <f aca="false">IF($FJ279+HY$244&gt;73,"",PRODUCT(INDEX($T$19:$T$93,HY$244):INDEX($T$19:$T$93,HY$244+$FJ279-1)))</f>
        <v>0.646621605557992</v>
      </c>
      <c r="HZ279" s="150" t="n">
        <f aca="false">IF($FJ279+HZ$244&gt;73,"",PRODUCT(INDEX($T$19:$T$93,HZ$244):INDEX($T$19:$T$93,HZ$244+$FJ279-1)))</f>
        <v>0.597781964338771</v>
      </c>
      <c r="IA279" s="150" t="n">
        <f aca="false">IF($FJ279+IA$244&gt;73,"",PRODUCT(INDEX($T$19:$T$93,IA$244):INDEX($T$19:$T$93,IA$244+$FJ279-1)))</f>
        <v>0.544370928033452</v>
      </c>
      <c r="IB279" s="150" t="n">
        <f aca="false">IF($FJ279+IB$244&gt;73,"",PRODUCT(INDEX($T$19:$T$93,IB$244):INDEX($T$19:$T$93,IB$244+$FJ279-1)))</f>
        <v>0.486738588174842</v>
      </c>
      <c r="IC279" s="150" t="n">
        <f aca="false">IF($FJ279+IC$244&gt;73,"",PRODUCT(INDEX($T$19:$T$93,IC$244):INDEX($T$19:$T$93,IC$244+$FJ279-1)))</f>
        <v>0.425563388428757</v>
      </c>
      <c r="ID279" s="572" t="n">
        <f aca="false">IF($FJ279+ID$244&gt;73,"",PRODUCT(INDEX($T$19:$T$93,ID$244):INDEX($T$19:$T$93,ID$244+$FJ279-1)))</f>
        <v>0.36192676435229</v>
      </c>
      <c r="IE279" s="129"/>
    </row>
    <row r="280" customFormat="false" ht="12.75" hidden="false" customHeight="false" outlineLevel="0" collapsed="false">
      <c r="I280" s="735"/>
      <c r="J280" s="727"/>
      <c r="K280" s="728"/>
      <c r="L280" s="195"/>
      <c r="M280" s="729"/>
      <c r="P280" s="727"/>
      <c r="S280" s="1"/>
      <c r="T280" s="727"/>
      <c r="U280" s="195"/>
      <c r="V280" s="195"/>
      <c r="W280" s="195"/>
      <c r="X280" s="195"/>
      <c r="Y280" s="195"/>
      <c r="Z280" s="195"/>
      <c r="AA280" s="195"/>
      <c r="AB280" s="195"/>
      <c r="AC280" s="195"/>
      <c r="AD280" s="195"/>
      <c r="AE280" s="195"/>
      <c r="AF280" s="195"/>
      <c r="AG280" s="195"/>
      <c r="AH280" s="195"/>
      <c r="AI280" s="195"/>
      <c r="AJ280" s="195"/>
      <c r="AK280" s="195"/>
      <c r="AL280" s="195"/>
      <c r="AM280" s="195"/>
      <c r="AN280" s="195"/>
      <c r="AO280" s="532"/>
      <c r="AP280" s="195"/>
      <c r="AQ280" s="532"/>
      <c r="AR280" s="195"/>
      <c r="AS280" s="195"/>
      <c r="AT280" s="240"/>
      <c r="AU280" s="240"/>
      <c r="AV280" s="240"/>
      <c r="AW280" s="730"/>
      <c r="AX280" s="730"/>
      <c r="AY280" s="730"/>
      <c r="AZ280" s="730"/>
      <c r="BA280" s="468"/>
      <c r="BB280" s="468"/>
      <c r="BC280" s="240"/>
      <c r="BD280" s="240"/>
      <c r="BE280" s="240"/>
      <c r="BF280" s="672"/>
      <c r="BG280" s="672"/>
      <c r="BH280" s="672"/>
      <c r="BI280" s="731"/>
      <c r="BJ280" s="672"/>
      <c r="BK280" s="672"/>
      <c r="BL280" s="240"/>
      <c r="BM280" s="736"/>
      <c r="BN280" s="240"/>
      <c r="BO280" s="240"/>
      <c r="BP280" s="240"/>
      <c r="BQ280" s="240"/>
      <c r="BR280" s="240"/>
      <c r="BS280" s="240"/>
      <c r="BT280" s="240"/>
      <c r="BU280" s="240"/>
      <c r="BV280" s="240"/>
      <c r="BW280" s="240"/>
      <c r="BX280" s="240"/>
      <c r="BY280" s="240"/>
      <c r="BZ280" s="240"/>
      <c r="CA280" s="240"/>
      <c r="CB280" s="240"/>
      <c r="CC280" s="240"/>
      <c r="CD280" s="672"/>
      <c r="CE280" s="672"/>
      <c r="CF280" s="672"/>
      <c r="CG280" s="672"/>
      <c r="CH280" s="672"/>
      <c r="CI280" s="672"/>
      <c r="CJ280" s="240"/>
      <c r="CK280" s="240"/>
      <c r="CL280" s="240"/>
      <c r="CM280" s="240"/>
      <c r="CN280" s="240"/>
      <c r="CO280" s="240"/>
      <c r="CP280" s="240"/>
      <c r="CQ280" s="240"/>
      <c r="CR280" s="240"/>
      <c r="CS280" s="240"/>
      <c r="CT280" s="240"/>
      <c r="CU280" s="240"/>
      <c r="CV280" s="240"/>
      <c r="CW280" s="240"/>
      <c r="CX280" s="240"/>
      <c r="CY280" s="240"/>
      <c r="CZ280" s="240"/>
      <c r="DA280" s="240"/>
      <c r="DB280" s="240"/>
      <c r="DC280" s="240"/>
      <c r="DD280" s="240"/>
      <c r="DE280" s="240"/>
      <c r="DF280" s="240"/>
      <c r="DG280" s="240"/>
      <c r="DH280" s="478"/>
      <c r="DI280" s="733"/>
      <c r="DJ280" s="733"/>
      <c r="DK280" s="478"/>
      <c r="DL280" s="3"/>
      <c r="DM280" s="4"/>
      <c r="DN280" s="4"/>
      <c r="DO280" s="4"/>
      <c r="DP280" s="4"/>
      <c r="DQ280" s="4"/>
      <c r="DR280" s="4"/>
      <c r="DS280" s="4"/>
      <c r="DU280" s="195"/>
      <c r="DV280" s="195"/>
      <c r="DW280" s="195"/>
      <c r="DX280" s="195"/>
      <c r="DY280" s="195"/>
      <c r="DZ280" s="195"/>
      <c r="EA280" s="195"/>
      <c r="EB280" s="195"/>
      <c r="EC280" s="195"/>
      <c r="ED280" s="195"/>
      <c r="EE280" s="195"/>
      <c r="EF280" s="195"/>
      <c r="EG280" s="195"/>
      <c r="EL280" s="1"/>
      <c r="EM280" s="195"/>
      <c r="EN280" s="240"/>
      <c r="EO280" s="731"/>
      <c r="EP280" s="195"/>
      <c r="EQ280" s="240"/>
      <c r="ER280" s="195"/>
      <c r="ES280" s="195"/>
      <c r="ET280" s="195"/>
      <c r="EU280" s="672"/>
      <c r="FJ280" s="571" t="n">
        <v>36</v>
      </c>
      <c r="FK280" s="150" t="str">
        <f aca="false">IF($FJ280+FK$244&gt;73,"",PRODUCT(INDEX($T$19:$T$93,FK$244):INDEX($T$19:$T$93,FK$244+$FJ280-1)))</f>
        <v/>
      </c>
      <c r="FL280" s="150" t="str">
        <f aca="false">IF($FJ280+FL$244&gt;73,"",PRODUCT(INDEX($T$19:$T$93,FL$244):INDEX($T$19:$T$93,FL$244+$FJ280-1)))</f>
        <v/>
      </c>
      <c r="FM280" s="150" t="str">
        <f aca="false">IF($FJ280+FM$244&gt;73,"",PRODUCT(INDEX($T$19:$T$93,FM$244):INDEX($T$19:$T$93,FM$244+$FJ280-1)))</f>
        <v/>
      </c>
      <c r="FN280" s="150" t="str">
        <f aca="false">IF($FJ280+FN$244&gt;73,"",PRODUCT(INDEX($T$19:$T$93,FN$244):INDEX($T$19:$T$93,FN$244+$FJ280-1)))</f>
        <v/>
      </c>
      <c r="FO280" s="150" t="str">
        <f aca="false">IF($FJ280+FO$244&gt;73,"",PRODUCT(INDEX($T$19:$T$93,FO$244):INDEX($T$19:$T$93,FO$244+$FJ280-1)))</f>
        <v/>
      </c>
      <c r="FP280" s="150" t="str">
        <f aca="false">IF($FJ280+FP$244&gt;73,"",PRODUCT(INDEX($T$19:$T$93,FP$244):INDEX($T$19:$T$93,FP$244+$FJ280-1)))</f>
        <v/>
      </c>
      <c r="FQ280" s="150" t="str">
        <f aca="false">IF($FJ280+FQ$244&gt;73,"",PRODUCT(INDEX($T$19:$T$93,FQ$244):INDEX($T$19:$T$93,FQ$244+$FJ280-1)))</f>
        <v/>
      </c>
      <c r="FR280" s="150" t="str">
        <f aca="false">IF($FJ280+FR$244&gt;73,"",PRODUCT(INDEX($T$19:$T$93,FR$244):INDEX($T$19:$T$93,FR$244+$FJ280-1)))</f>
        <v/>
      </c>
      <c r="FS280" s="150" t="str">
        <f aca="false">IF($FJ280+FS$244&gt;73,"",PRODUCT(INDEX($T$19:$T$93,FS$244):INDEX($T$19:$T$93,FS$244+$FJ280-1)))</f>
        <v/>
      </c>
      <c r="FT280" s="150" t="str">
        <f aca="false">IF($FJ280+FT$244&gt;73,"",PRODUCT(INDEX($T$19:$T$93,FT$244):INDEX($T$19:$T$93,FT$244+$FJ280-1)))</f>
        <v/>
      </c>
      <c r="FU280" s="150" t="str">
        <f aca="false">IF($FJ280+FU$244&gt;73,"",PRODUCT(INDEX($T$19:$T$93,FU$244):INDEX($T$19:$T$93,FU$244+$FJ280-1)))</f>
        <v/>
      </c>
      <c r="FV280" s="150" t="str">
        <f aca="false">IF($FJ280+FV$244&gt;73,"",PRODUCT(INDEX($T$19:$T$93,FV$244):INDEX($T$19:$T$93,FV$244+$FJ280-1)))</f>
        <v/>
      </c>
      <c r="FW280" s="150" t="str">
        <f aca="false">IF($FJ280+FW$244&gt;73,"",PRODUCT(INDEX($T$19:$T$93,FW$244):INDEX($T$19:$T$93,FW$244+$FJ280-1)))</f>
        <v/>
      </c>
      <c r="FX280" s="150" t="str">
        <f aca="false">IF($FJ280+FX$244&gt;73,"",PRODUCT(INDEX($T$19:$T$93,FX$244):INDEX($T$19:$T$93,FX$244+$FJ280-1)))</f>
        <v/>
      </c>
      <c r="FY280" s="150" t="str">
        <f aca="false">IF($FJ280+FY$244&gt;73,"",PRODUCT(INDEX($T$19:$T$93,FY$244):INDEX($T$19:$T$93,FY$244+$FJ280-1)))</f>
        <v/>
      </c>
      <c r="FZ280" s="150" t="str">
        <f aca="false">IF($FJ280+FZ$244&gt;73,"",PRODUCT(INDEX($T$19:$T$93,FZ$244):INDEX($T$19:$T$93,FZ$244+$FJ280-1)))</f>
        <v/>
      </c>
      <c r="GA280" s="150" t="str">
        <f aca="false">IF($FJ280+GA$244&gt;73,"",PRODUCT(INDEX($T$19:$T$93,GA$244):INDEX($T$19:$T$93,GA$244+$FJ280-1)))</f>
        <v/>
      </c>
      <c r="GB280" s="150" t="str">
        <f aca="false">IF($FJ280+GB$244&gt;73,"",PRODUCT(INDEX($T$19:$T$93,GB$244):INDEX($T$19:$T$93,GB$244+$FJ280-1)))</f>
        <v/>
      </c>
      <c r="GC280" s="150" t="str">
        <f aca="false">IF($FJ280+GC$244&gt;73,"",PRODUCT(INDEX($T$19:$T$93,GC$244):INDEX($T$19:$T$93,GC$244+$FJ280-1)))</f>
        <v/>
      </c>
      <c r="GD280" s="150" t="str">
        <f aca="false">IF($FJ280+GD$244&gt;73,"",PRODUCT(INDEX($T$19:$T$93,GD$244):INDEX($T$19:$T$93,GD$244+$FJ280-1)))</f>
        <v/>
      </c>
      <c r="GE280" s="150" t="str">
        <f aca="false">IF($FJ280+GE$244&gt;73,"",PRODUCT(INDEX($T$19:$T$93,GE$244):INDEX($T$19:$T$93,GE$244+$FJ280-1)))</f>
        <v/>
      </c>
      <c r="GF280" s="150" t="str">
        <f aca="false">IF($FJ280+GF$244&gt;73,"",PRODUCT(INDEX($T$19:$T$93,GF$244):INDEX($T$19:$T$93,GF$244+$FJ280-1)))</f>
        <v/>
      </c>
      <c r="GG280" s="150" t="str">
        <f aca="false">IF($FJ280+GG$244&gt;73,"",PRODUCT(INDEX($T$19:$T$93,GG$244):INDEX($T$19:$T$93,GG$244+$FJ280-1)))</f>
        <v/>
      </c>
      <c r="GH280" s="150" t="str">
        <f aca="false">IF($FJ280+GH$244&gt;73,"",PRODUCT(INDEX($T$19:$T$93,GH$244):INDEX($T$19:$T$93,GH$244+$FJ280-1)))</f>
        <v/>
      </c>
      <c r="GI280" s="150" t="str">
        <f aca="false">IF($FJ280+GI$244&gt;73,"",PRODUCT(INDEX($T$19:$T$93,GI$244):INDEX($T$19:$T$93,GI$244+$FJ280-1)))</f>
        <v/>
      </c>
      <c r="GJ280" s="150" t="str">
        <f aca="false">IF($FJ280+GJ$244&gt;73,"",PRODUCT(INDEX($T$19:$T$93,GJ$244):INDEX($T$19:$T$93,GJ$244+$FJ280-1)))</f>
        <v/>
      </c>
      <c r="GK280" s="150" t="str">
        <f aca="false">IF($FJ280+GK$244&gt;73,"",PRODUCT(INDEX($T$19:$T$93,GK$244):INDEX($T$19:$T$93,GK$244+$FJ280-1)))</f>
        <v/>
      </c>
      <c r="GL280" s="150" t="str">
        <f aca="false">IF($FJ280+GL$244&gt;73,"",PRODUCT(INDEX($T$19:$T$93,GL$244):INDEX($T$19:$T$93,GL$244+$FJ280-1)))</f>
        <v/>
      </c>
      <c r="GM280" s="150" t="str">
        <f aca="false">IF($FJ280+GM$244&gt;73,"",PRODUCT(INDEX($T$19:$T$93,GM$244):INDEX($T$19:$T$93,GM$244+$FJ280-1)))</f>
        <v/>
      </c>
      <c r="GN280" s="150" t="str">
        <f aca="false">IF($FJ280+GN$244&gt;73,"",PRODUCT(INDEX($T$19:$T$93,GN$244):INDEX($T$19:$T$93,GN$244+$FJ280-1)))</f>
        <v/>
      </c>
      <c r="GO280" s="150" t="str">
        <f aca="false">IF($FJ280+GO$244&gt;73,"",PRODUCT(INDEX($T$19:$T$93,GO$244):INDEX($T$19:$T$93,GO$244+$FJ280-1)))</f>
        <v/>
      </c>
      <c r="GP280" s="150" t="str">
        <f aca="false">IF($FJ280+GP$244&gt;73,"",PRODUCT(INDEX($T$19:$T$93,GP$244):INDEX($T$19:$T$93,GP$244+$FJ280-1)))</f>
        <v/>
      </c>
      <c r="GQ280" s="150" t="str">
        <f aca="false">IF($FJ280+GQ$244&gt;73,"",PRODUCT(INDEX($T$19:$T$93,GQ$244):INDEX($T$19:$T$93,GQ$244+$FJ280-1)))</f>
        <v/>
      </c>
      <c r="GR280" s="150" t="str">
        <f aca="false">IF($FJ280+GR$244&gt;73,"",PRODUCT(INDEX($T$19:$T$93,GR$244):INDEX($T$19:$T$93,GR$244+$FJ280-1)))</f>
        <v/>
      </c>
      <c r="GS280" s="150" t="str">
        <f aca="false">IF($FJ280+GS$244&gt;73,"",PRODUCT(INDEX($T$19:$T$93,GS$244):INDEX($T$19:$T$93,GS$244+$FJ280-1)))</f>
        <v/>
      </c>
      <c r="GT280" s="150" t="n">
        <f aca="false">IF($FJ280+GT$244&gt;73,"",PRODUCT(INDEX($T$19:$T$93,GT$244):INDEX($T$19:$T$93,GT$244+$FJ280-1)))</f>
        <v>0.996793941514382</v>
      </c>
      <c r="GU280" s="150" t="n">
        <f aca="false">IF($FJ280+GU$244&gt;73,"",PRODUCT(INDEX($T$19:$T$93,GU$244):INDEX($T$19:$T$93,GU$244+$FJ280-1)))</f>
        <v>0.996250876555901</v>
      </c>
      <c r="GV280" s="150" t="n">
        <f aca="false">IF($FJ280+GV$244&gt;73,"",PRODUCT(INDEX($T$19:$T$93,GV$244):INDEX($T$19:$T$93,GV$244+$FJ280-1)))</f>
        <v>0.995615960148896</v>
      </c>
      <c r="GW280" s="150" t="n">
        <f aca="false">IF($FJ280+GW$244&gt;73,"",PRODUCT(INDEX($T$19:$T$93,GW$244):INDEX($T$19:$T$93,GW$244+$FJ280-1)))</f>
        <v>0.994873708509882</v>
      </c>
      <c r="GX280" s="150" t="n">
        <f aca="false">IF($FJ280+GX$244&gt;73,"",PRODUCT(INDEX($T$19:$T$93,GX$244):INDEX($T$19:$T$93,GX$244+$FJ280-1)))</f>
        <v>0.994006047080452</v>
      </c>
      <c r="GY280" s="150" t="n">
        <f aca="false">IF($FJ280+GY$244&gt;73,"",PRODUCT(INDEX($T$19:$T$93,GY$244):INDEX($T$19:$T$93,GY$244+$FJ280-1)))</f>
        <v>0.992991884331069</v>
      </c>
      <c r="GZ280" s="150" t="n">
        <f aca="false">IF($FJ280+GZ$244&gt;73,"",PRODUCT(INDEX($T$19:$T$93,GZ$244):INDEX($T$19:$T$93,GZ$244+$FJ280-1)))</f>
        <v>0.991806618209741</v>
      </c>
      <c r="HA280" s="150" t="n">
        <f aca="false">IF($FJ280+HA$244&gt;73,"",PRODUCT(INDEX($T$19:$T$93,HA$244):INDEX($T$19:$T$93,HA$244+$FJ280-1)))</f>
        <v>0.990421565645081</v>
      </c>
      <c r="HB280" s="150" t="n">
        <f aca="false">IF($FJ280+HB$244&gt;73,"",PRODUCT(INDEX($T$19:$T$93,HB$244):INDEX($T$19:$T$93,HB$244+$FJ280-1)))</f>
        <v>0.988803304564808</v>
      </c>
      <c r="HC280" s="150" t="n">
        <f aca="false">IF($FJ280+HC$244&gt;73,"",PRODUCT(INDEX($T$19:$T$93,HC$244):INDEX($T$19:$T$93,HC$244+$FJ280-1)))</f>
        <v>0.986912917030008</v>
      </c>
      <c r="HD280" s="150" t="n">
        <f aca="false">IF($FJ280+HD$244&gt;73,"",PRODUCT(INDEX($T$19:$T$93,HD$244):INDEX($T$19:$T$93,HD$244+$FJ280-1)))</f>
        <v>0.984705121417375</v>
      </c>
      <c r="HE280" s="150" t="n">
        <f aca="false">IF($FJ280+HE$244&gt;73,"",PRODUCT(INDEX($T$19:$T$93,HE$244):INDEX($T$19:$T$93,HE$244+$FJ280-1)))</f>
        <v>0.98212728126029</v>
      </c>
      <c r="HF280" s="150" t="n">
        <f aca="false">IF($FJ280+HF$244&gt;73,"",PRODUCT(INDEX($T$19:$T$93,HF$244):INDEX($T$19:$T$93,HF$244+$FJ280-1)))</f>
        <v>0.979118278607814</v>
      </c>
      <c r="HG280" s="150" t="n">
        <f aca="false">IF($FJ280+HG$244&gt;73,"",PRODUCT(INDEX($T$19:$T$93,HG$244):INDEX($T$19:$T$93,HG$244+$FJ280-1)))</f>
        <v>0.97560724089493</v>
      </c>
      <c r="HH280" s="150" t="n">
        <f aca="false">IF($FJ280+HH$244&gt;73,"",PRODUCT(INDEX($T$19:$T$93,HH$244):INDEX($T$19:$T$93,HH$244+$FJ280-1)))</f>
        <v>0.97151211278223</v>
      </c>
      <c r="HI280" s="150" t="n">
        <f aca="false">IF($FJ280+HI$244&gt;73,"",PRODUCT(INDEX($T$19:$T$93,HI$244):INDEX($T$19:$T$93,HI$244+$FJ280-1)))</f>
        <v>0.966738068834691</v>
      </c>
      <c r="HJ280" s="150" t="n">
        <f aca="false">IF($FJ280+HJ$244&gt;73,"",PRODUCT(INDEX($T$19:$T$93,HJ$244):INDEX($T$19:$T$93,HJ$244+$FJ280-1)))</f>
        <v>0.961175770112217</v>
      </c>
      <c r="HK280" s="150" t="n">
        <f aca="false">IF($FJ280+HK$244&gt;73,"",PRODUCT(INDEX($T$19:$T$93,HK$244):INDEX($T$19:$T$93,HK$244+$FJ280-1)))</f>
        <v>0.954699478884242</v>
      </c>
      <c r="HL280" s="150" t="n">
        <f aca="false">IF($FJ280+HL$244&gt;73,"",PRODUCT(INDEX($T$19:$T$93,HL$244):INDEX($T$19:$T$93,HL$244+$FJ280-1)))</f>
        <v>0.947165062289605</v>
      </c>
      <c r="HM280" s="150" t="n">
        <f aca="false">IF($FJ280+HM$244&gt;73,"",PRODUCT(INDEX($T$19:$T$93,HM$244):INDEX($T$19:$T$93,HM$244+$FJ280-1)))</f>
        <v>0.938407939863968</v>
      </c>
      <c r="HN280" s="150" t="n">
        <f aca="false">IF($FJ280+HN$244&gt;73,"",PRODUCT(INDEX($T$19:$T$93,HN$244):INDEX($T$19:$T$93,HN$244+$FJ280-1)))</f>
        <v>0.928241064074284</v>
      </c>
      <c r="HO280" s="150" t="n">
        <f aca="false">IF($FJ280+HO$244&gt;73,"",PRODUCT(INDEX($T$19:$T$93,HO$244):INDEX($T$19:$T$93,HO$244+$FJ280-1)))</f>
        <v>0.916453070664636</v>
      </c>
      <c r="HP280" s="150" t="n">
        <f aca="false">IF($FJ280+HP$244&gt;73,"",PRODUCT(INDEX($T$19:$T$93,HP$244):INDEX($T$19:$T$93,HP$244+$FJ280-1)))</f>
        <v>0.902806800838018</v>
      </c>
      <c r="HQ280" s="150" t="n">
        <f aca="false">IF($FJ280+HQ$244&gt;73,"",PRODUCT(INDEX($T$19:$T$93,HQ$244):INDEX($T$19:$T$93,HQ$244+$FJ280-1)))</f>
        <v>0.887038484933603</v>
      </c>
      <c r="HR280" s="150" t="n">
        <f aca="false">IF($FJ280+HR$244&gt;73,"",PRODUCT(INDEX($T$19:$T$93,HR$244):INDEX($T$19:$T$93,HR$244+$FJ280-1)))</f>
        <v>0.868857992694678</v>
      </c>
      <c r="HS280" s="150" t="n">
        <f aca="false">IF($FJ280+HS$244&gt;73,"",PRODUCT(INDEX($T$19:$T$93,HS$244):INDEX($T$19:$T$93,HS$244+$FJ280-1)))</f>
        <v>0.847950703769644</v>
      </c>
      <c r="HT280" s="150" t="n">
        <f aca="false">IF($FJ280+HT$244&gt;73,"",PRODUCT(INDEX($T$19:$T$93,HT$244):INDEX($T$19:$T$93,HT$244+$FJ280-1)))</f>
        <v>0.823981737710079</v>
      </c>
      <c r="HU280" s="150" t="n">
        <f aca="false">IF($FJ280+HU$244&gt;73,"",PRODUCT(INDEX($T$19:$T$93,HU$244):INDEX($T$19:$T$93,HU$244+$FJ280-1)))</f>
        <v>0.796603505635541</v>
      </c>
      <c r="HV280" s="150" t="n">
        <f aca="false">IF($FJ280+HV$244&gt;73,"",PRODUCT(INDEX($T$19:$T$93,HV$244):INDEX($T$19:$T$93,HV$244+$FJ280-1)))</f>
        <v>0.76546779814664</v>
      </c>
      <c r="HW280" s="150" t="n">
        <f aca="false">IF($FJ280+HW$244&gt;73,"",PRODUCT(INDEX($T$19:$T$93,HW$244):INDEX($T$19:$T$93,HW$244+$FJ280-1)))</f>
        <v>0.730243883174732</v>
      </c>
      <c r="HX280" s="150" t="n">
        <f aca="false">IF($FJ280+HX$244&gt;73,"",PRODUCT(INDEX($T$19:$T$93,HX$244):INDEX($T$19:$T$93,HX$244+$FJ280-1)))</f>
        <v>0.690644304294137</v>
      </c>
      <c r="HY280" s="150" t="n">
        <f aca="false">IF($FJ280+HY$244&gt;73,"",PRODUCT(INDEX($T$19:$T$93,HY$244):INDEX($T$19:$T$93,HY$244+$FJ280-1)))</f>
        <v>0.646460152946253</v>
      </c>
      <c r="HZ280" s="150" t="n">
        <f aca="false">IF($FJ280+HZ$244&gt;73,"",PRODUCT(INDEX($T$19:$T$93,HZ$244):INDEX($T$19:$T$93,HZ$244+$FJ280-1)))</f>
        <v>0.597607380025272</v>
      </c>
      <c r="IA280" s="150" t="n">
        <f aca="false">IF($FJ280+IA$244&gt;73,"",PRODUCT(INDEX($T$19:$T$93,IA$244):INDEX($T$19:$T$93,IA$244+$FJ280-1)))</f>
        <v>0.544184963611825</v>
      </c>
      <c r="IB280" s="150" t="n">
        <f aca="false">IF($FJ280+IB$244&gt;73,"",PRODUCT(INDEX($T$19:$T$93,IB$244):INDEX($T$19:$T$93,IB$244+$FJ280-1)))</f>
        <v>0.486544092939019</v>
      </c>
      <c r="IC280" s="150" t="n">
        <f aca="false">IF($FJ280+IC$244&gt;73,"",PRODUCT(INDEX($T$19:$T$93,IC$244):INDEX($T$19:$T$93,IC$244+$FJ280-1)))</f>
        <v>0.42536447583898</v>
      </c>
      <c r="ID280" s="572" t="n">
        <f aca="false">IF($FJ280+ID$244&gt;73,"",PRODUCT(INDEX($T$19:$T$93,ID$244):INDEX($T$19:$T$93,ID$244+$FJ280-1)))</f>
        <v>0.361728880164444</v>
      </c>
      <c r="IE280" s="129"/>
    </row>
    <row r="281" customFormat="false" ht="12.75" hidden="false" customHeight="false" outlineLevel="0" collapsed="false">
      <c r="I281" s="735"/>
      <c r="J281" s="727"/>
      <c r="K281" s="728"/>
      <c r="L281" s="195"/>
      <c r="M281" s="729"/>
      <c r="P281" s="727"/>
      <c r="S281" s="1"/>
      <c r="T281" s="727"/>
      <c r="U281" s="195"/>
      <c r="V281" s="195"/>
      <c r="W281" s="195"/>
      <c r="X281" s="195"/>
      <c r="Y281" s="195"/>
      <c r="Z281" s="195"/>
      <c r="AA281" s="195"/>
      <c r="AB281" s="195"/>
      <c r="AC281" s="195"/>
      <c r="AD281" s="195"/>
      <c r="AE281" s="195"/>
      <c r="AF281" s="195"/>
      <c r="AG281" s="195"/>
      <c r="AH281" s="195"/>
      <c r="AI281" s="195"/>
      <c r="AJ281" s="195"/>
      <c r="AK281" s="195"/>
      <c r="AL281" s="195"/>
      <c r="AM281" s="195"/>
      <c r="AN281" s="195"/>
      <c r="AO281" s="532"/>
      <c r="AP281" s="195"/>
      <c r="AQ281" s="532"/>
      <c r="AR281" s="195"/>
      <c r="AS281" s="195"/>
      <c r="AT281" s="240"/>
      <c r="AU281" s="240"/>
      <c r="AV281" s="240"/>
      <c r="AW281" s="730"/>
      <c r="AX281" s="730"/>
      <c r="AY281" s="730"/>
      <c r="AZ281" s="730"/>
      <c r="BA281" s="468"/>
      <c r="BB281" s="468"/>
      <c r="BC281" s="240"/>
      <c r="BD281" s="240"/>
      <c r="BE281" s="240"/>
      <c r="BF281" s="672"/>
      <c r="BG281" s="672"/>
      <c r="BH281" s="672"/>
      <c r="BI281" s="731"/>
      <c r="BJ281" s="672"/>
      <c r="BK281" s="672"/>
      <c r="BL281" s="240"/>
      <c r="BM281" s="736"/>
      <c r="BN281" s="240"/>
      <c r="BO281" s="240"/>
      <c r="BP281" s="240"/>
      <c r="BQ281" s="240"/>
      <c r="BR281" s="240"/>
      <c r="BS281" s="240"/>
      <c r="BT281" s="240"/>
      <c r="BU281" s="240"/>
      <c r="BV281" s="240"/>
      <c r="BW281" s="240"/>
      <c r="BX281" s="240"/>
      <c r="BY281" s="240"/>
      <c r="BZ281" s="240"/>
      <c r="CA281" s="240"/>
      <c r="CB281" s="240"/>
      <c r="CC281" s="240"/>
      <c r="CD281" s="672"/>
      <c r="CE281" s="672"/>
      <c r="CF281" s="672"/>
      <c r="CG281" s="672"/>
      <c r="CH281" s="672"/>
      <c r="CI281" s="672"/>
      <c r="CJ281" s="240"/>
      <c r="CK281" s="240"/>
      <c r="CL281" s="240"/>
      <c r="CM281" s="240"/>
      <c r="CN281" s="240"/>
      <c r="CO281" s="240"/>
      <c r="CP281" s="240"/>
      <c r="CQ281" s="240"/>
      <c r="CR281" s="240"/>
      <c r="CS281" s="240"/>
      <c r="CT281" s="240"/>
      <c r="CU281" s="240"/>
      <c r="CV281" s="240"/>
      <c r="CW281" s="240"/>
      <c r="CX281" s="240"/>
      <c r="CY281" s="240"/>
      <c r="CZ281" s="240"/>
      <c r="DA281" s="240"/>
      <c r="DB281" s="240"/>
      <c r="DC281" s="240"/>
      <c r="DD281" s="240"/>
      <c r="DE281" s="240"/>
      <c r="DF281" s="240"/>
      <c r="DG281" s="240"/>
      <c r="DH281" s="478"/>
      <c r="DI281" s="733"/>
      <c r="DJ281" s="733"/>
      <c r="DK281" s="478"/>
      <c r="DL281" s="3"/>
      <c r="DM281" s="4"/>
      <c r="DN281" s="4"/>
      <c r="DO281" s="4"/>
      <c r="DP281" s="4"/>
      <c r="DQ281" s="4"/>
      <c r="DR281" s="4"/>
      <c r="DS281" s="4"/>
      <c r="DU281" s="195"/>
      <c r="DV281" s="195"/>
      <c r="DW281" s="195"/>
      <c r="DX281" s="195"/>
      <c r="DY281" s="195"/>
      <c r="DZ281" s="195"/>
      <c r="EA281" s="195"/>
      <c r="EB281" s="195"/>
      <c r="EC281" s="195"/>
      <c r="ED281" s="195"/>
      <c r="EE281" s="195"/>
      <c r="EF281" s="195"/>
      <c r="EG281" s="195"/>
      <c r="EL281" s="1"/>
      <c r="EM281" s="195"/>
      <c r="EN281" s="240"/>
      <c r="EO281" s="731"/>
      <c r="EP281" s="195"/>
      <c r="EQ281" s="240"/>
      <c r="ER281" s="195"/>
      <c r="ES281" s="195"/>
      <c r="ET281" s="195"/>
      <c r="EU281" s="672"/>
      <c r="FJ281" s="571" t="n">
        <v>37</v>
      </c>
      <c r="FK281" s="150" t="str">
        <f aca="false">IF($FJ281+FK$244&gt;73,"",PRODUCT(INDEX($T$19:$T$93,FK$244):INDEX($T$19:$T$93,FK$244+$FJ281-1)))</f>
        <v/>
      </c>
      <c r="FL281" s="150" t="str">
        <f aca="false">IF($FJ281+FL$244&gt;73,"",PRODUCT(INDEX($T$19:$T$93,FL$244):INDEX($T$19:$T$93,FL$244+$FJ281-1)))</f>
        <v/>
      </c>
      <c r="FM281" s="150" t="str">
        <f aca="false">IF($FJ281+FM$244&gt;73,"",PRODUCT(INDEX($T$19:$T$93,FM$244):INDEX($T$19:$T$93,FM$244+$FJ281-1)))</f>
        <v/>
      </c>
      <c r="FN281" s="150" t="str">
        <f aca="false">IF($FJ281+FN$244&gt;73,"",PRODUCT(INDEX($T$19:$T$93,FN$244):INDEX($T$19:$T$93,FN$244+$FJ281-1)))</f>
        <v/>
      </c>
      <c r="FO281" s="150" t="str">
        <f aca="false">IF($FJ281+FO$244&gt;73,"",PRODUCT(INDEX($T$19:$T$93,FO$244):INDEX($T$19:$T$93,FO$244+$FJ281-1)))</f>
        <v/>
      </c>
      <c r="FP281" s="150" t="str">
        <f aca="false">IF($FJ281+FP$244&gt;73,"",PRODUCT(INDEX($T$19:$T$93,FP$244):INDEX($T$19:$T$93,FP$244+$FJ281-1)))</f>
        <v/>
      </c>
      <c r="FQ281" s="150" t="str">
        <f aca="false">IF($FJ281+FQ$244&gt;73,"",PRODUCT(INDEX($T$19:$T$93,FQ$244):INDEX($T$19:$T$93,FQ$244+$FJ281-1)))</f>
        <v/>
      </c>
      <c r="FR281" s="150" t="str">
        <f aca="false">IF($FJ281+FR$244&gt;73,"",PRODUCT(INDEX($T$19:$T$93,FR$244):INDEX($T$19:$T$93,FR$244+$FJ281-1)))</f>
        <v/>
      </c>
      <c r="FS281" s="150" t="str">
        <f aca="false">IF($FJ281+FS$244&gt;73,"",PRODUCT(INDEX($T$19:$T$93,FS$244):INDEX($T$19:$T$93,FS$244+$FJ281-1)))</f>
        <v/>
      </c>
      <c r="FT281" s="150" t="str">
        <f aca="false">IF($FJ281+FT$244&gt;73,"",PRODUCT(INDEX($T$19:$T$93,FT$244):INDEX($T$19:$T$93,FT$244+$FJ281-1)))</f>
        <v/>
      </c>
      <c r="FU281" s="150" t="str">
        <f aca="false">IF($FJ281+FU$244&gt;73,"",PRODUCT(INDEX($T$19:$T$93,FU$244):INDEX($T$19:$T$93,FU$244+$FJ281-1)))</f>
        <v/>
      </c>
      <c r="FV281" s="150" t="str">
        <f aca="false">IF($FJ281+FV$244&gt;73,"",PRODUCT(INDEX($T$19:$T$93,FV$244):INDEX($T$19:$T$93,FV$244+$FJ281-1)))</f>
        <v/>
      </c>
      <c r="FW281" s="150" t="str">
        <f aca="false">IF($FJ281+FW$244&gt;73,"",PRODUCT(INDEX($T$19:$T$93,FW$244):INDEX($T$19:$T$93,FW$244+$FJ281-1)))</f>
        <v/>
      </c>
      <c r="FX281" s="150" t="str">
        <f aca="false">IF($FJ281+FX$244&gt;73,"",PRODUCT(INDEX($T$19:$T$93,FX$244):INDEX($T$19:$T$93,FX$244+$FJ281-1)))</f>
        <v/>
      </c>
      <c r="FY281" s="150" t="str">
        <f aca="false">IF($FJ281+FY$244&gt;73,"",PRODUCT(INDEX($T$19:$T$93,FY$244):INDEX($T$19:$T$93,FY$244+$FJ281-1)))</f>
        <v/>
      </c>
      <c r="FZ281" s="150" t="str">
        <f aca="false">IF($FJ281+FZ$244&gt;73,"",PRODUCT(INDEX($T$19:$T$93,FZ$244):INDEX($T$19:$T$93,FZ$244+$FJ281-1)))</f>
        <v/>
      </c>
      <c r="GA281" s="150" t="str">
        <f aca="false">IF($FJ281+GA$244&gt;73,"",PRODUCT(INDEX($T$19:$T$93,GA$244):INDEX($T$19:$T$93,GA$244+$FJ281-1)))</f>
        <v/>
      </c>
      <c r="GB281" s="150" t="str">
        <f aca="false">IF($FJ281+GB$244&gt;73,"",PRODUCT(INDEX($T$19:$T$93,GB$244):INDEX($T$19:$T$93,GB$244+$FJ281-1)))</f>
        <v/>
      </c>
      <c r="GC281" s="150" t="str">
        <f aca="false">IF($FJ281+GC$244&gt;73,"",PRODUCT(INDEX($T$19:$T$93,GC$244):INDEX($T$19:$T$93,GC$244+$FJ281-1)))</f>
        <v/>
      </c>
      <c r="GD281" s="150" t="str">
        <f aca="false">IF($FJ281+GD$244&gt;73,"",PRODUCT(INDEX($T$19:$T$93,GD$244):INDEX($T$19:$T$93,GD$244+$FJ281-1)))</f>
        <v/>
      </c>
      <c r="GE281" s="150" t="str">
        <f aca="false">IF($FJ281+GE$244&gt;73,"",PRODUCT(INDEX($T$19:$T$93,GE$244):INDEX($T$19:$T$93,GE$244+$FJ281-1)))</f>
        <v/>
      </c>
      <c r="GF281" s="150" t="str">
        <f aca="false">IF($FJ281+GF$244&gt;73,"",PRODUCT(INDEX($T$19:$T$93,GF$244):INDEX($T$19:$T$93,GF$244+$FJ281-1)))</f>
        <v/>
      </c>
      <c r="GG281" s="150" t="str">
        <f aca="false">IF($FJ281+GG$244&gt;73,"",PRODUCT(INDEX($T$19:$T$93,GG$244):INDEX($T$19:$T$93,GG$244+$FJ281-1)))</f>
        <v/>
      </c>
      <c r="GH281" s="150" t="str">
        <f aca="false">IF($FJ281+GH$244&gt;73,"",PRODUCT(INDEX($T$19:$T$93,GH$244):INDEX($T$19:$T$93,GH$244+$FJ281-1)))</f>
        <v/>
      </c>
      <c r="GI281" s="150" t="str">
        <f aca="false">IF($FJ281+GI$244&gt;73,"",PRODUCT(INDEX($T$19:$T$93,GI$244):INDEX($T$19:$T$93,GI$244+$FJ281-1)))</f>
        <v/>
      </c>
      <c r="GJ281" s="150" t="str">
        <f aca="false">IF($FJ281+GJ$244&gt;73,"",PRODUCT(INDEX($T$19:$T$93,GJ$244):INDEX($T$19:$T$93,GJ$244+$FJ281-1)))</f>
        <v/>
      </c>
      <c r="GK281" s="150" t="str">
        <f aca="false">IF($FJ281+GK$244&gt;73,"",PRODUCT(INDEX($T$19:$T$93,GK$244):INDEX($T$19:$T$93,GK$244+$FJ281-1)))</f>
        <v/>
      </c>
      <c r="GL281" s="150" t="str">
        <f aca="false">IF($FJ281+GL$244&gt;73,"",PRODUCT(INDEX($T$19:$T$93,GL$244):INDEX($T$19:$T$93,GL$244+$FJ281-1)))</f>
        <v/>
      </c>
      <c r="GM281" s="150" t="str">
        <f aca="false">IF($FJ281+GM$244&gt;73,"",PRODUCT(INDEX($T$19:$T$93,GM$244):INDEX($T$19:$T$93,GM$244+$FJ281-1)))</f>
        <v/>
      </c>
      <c r="GN281" s="150" t="str">
        <f aca="false">IF($FJ281+GN$244&gt;73,"",PRODUCT(INDEX($T$19:$T$93,GN$244):INDEX($T$19:$T$93,GN$244+$FJ281-1)))</f>
        <v/>
      </c>
      <c r="GO281" s="150" t="str">
        <f aca="false">IF($FJ281+GO$244&gt;73,"",PRODUCT(INDEX($T$19:$T$93,GO$244):INDEX($T$19:$T$93,GO$244+$FJ281-1)))</f>
        <v/>
      </c>
      <c r="GP281" s="150" t="str">
        <f aca="false">IF($FJ281+GP$244&gt;73,"",PRODUCT(INDEX($T$19:$T$93,GP$244):INDEX($T$19:$T$93,GP$244+$FJ281-1)))</f>
        <v/>
      </c>
      <c r="GQ281" s="150" t="str">
        <f aca="false">IF($FJ281+GQ$244&gt;73,"",PRODUCT(INDEX($T$19:$T$93,GQ$244):INDEX($T$19:$T$93,GQ$244+$FJ281-1)))</f>
        <v/>
      </c>
      <c r="GR281" s="150" t="str">
        <f aca="false">IF($FJ281+GR$244&gt;73,"",PRODUCT(INDEX($T$19:$T$93,GR$244):INDEX($T$19:$T$93,GR$244+$FJ281-1)))</f>
        <v/>
      </c>
      <c r="GS281" s="150" t="str">
        <f aca="false">IF($FJ281+GS$244&gt;73,"",PRODUCT(INDEX($T$19:$T$93,GS$244):INDEX($T$19:$T$93,GS$244+$FJ281-1)))</f>
        <v/>
      </c>
      <c r="GT281" s="150" t="str">
        <f aca="false">IF($FJ281+GT$244&gt;73,"",PRODUCT(INDEX($T$19:$T$93,GT$244):INDEX($T$19:$T$93,GT$244+$FJ281-1)))</f>
        <v/>
      </c>
      <c r="GU281" s="150" t="n">
        <f aca="false">IF($FJ281+GU$244&gt;73,"",PRODUCT(INDEX($T$19:$T$93,GU$244):INDEX($T$19:$T$93,GU$244+$FJ281-1)))</f>
        <v>0.996248942417895</v>
      </c>
      <c r="GV281" s="150" t="n">
        <f aca="false">IF($FJ281+GV$244&gt;73,"",PRODUCT(INDEX($T$19:$T$93,GV$244):INDEX($T$19:$T$93,GV$244+$FJ281-1)))</f>
        <v>0.995613699438294</v>
      </c>
      <c r="GW281" s="150" t="n">
        <f aca="false">IF($FJ281+GW$244&gt;73,"",PRODUCT(INDEX($T$19:$T$93,GW$244):INDEX($T$19:$T$93,GW$244+$FJ281-1)))</f>
        <v>0.994871066371715</v>
      </c>
      <c r="GX281" s="150" t="n">
        <f aca="false">IF($FJ281+GX$244&gt;73,"",PRODUCT(INDEX($T$19:$T$93,GX$244):INDEX($T$19:$T$93,GX$244+$FJ281-1)))</f>
        <v>0.994002959550861</v>
      </c>
      <c r="GY281" s="150" t="n">
        <f aca="false">IF($FJ281+GY$244&gt;73,"",PRODUCT(INDEX($T$19:$T$93,GY$244):INDEX($T$19:$T$93,GY$244+$FJ281-1)))</f>
        <v>0.992988276863581</v>
      </c>
      <c r="GZ281" s="150" t="n">
        <f aca="false">IF($FJ281+GZ$244&gt;73,"",PRODUCT(INDEX($T$19:$T$93,GZ$244):INDEX($T$19:$T$93,GZ$244+$FJ281-1)))</f>
        <v>0.99180240397755</v>
      </c>
      <c r="HA281" s="150" t="n">
        <f aca="false">IF($FJ281+HA$244&gt;73,"",PRODUCT(INDEX($T$19:$T$93,HA$244):INDEX($T$19:$T$93,HA$244+$FJ281-1)))</f>
        <v>0.990416643590783</v>
      </c>
      <c r="HB281" s="150" t="n">
        <f aca="false">IF($FJ281+HB$244&gt;73,"",PRODUCT(INDEX($T$19:$T$93,HB$244):INDEX($T$19:$T$93,HB$244+$FJ281-1)))</f>
        <v>0.988797557167563</v>
      </c>
      <c r="HC281" s="150" t="n">
        <f aca="false">IF($FJ281+HC$244&gt;73,"",PRODUCT(INDEX($T$19:$T$93,HC$244):INDEX($T$19:$T$93,HC$244+$FJ281-1)))</f>
        <v>0.986906207759624</v>
      </c>
      <c r="HD281" s="150" t="n">
        <f aca="false">IF($FJ281+HD$244&gt;73,"",PRODUCT(INDEX($T$19:$T$93,HD$244):INDEX($T$19:$T$93,HD$244+$FJ281-1)))</f>
        <v>0.984697291845834</v>
      </c>
      <c r="HE281" s="150" t="n">
        <f aca="false">IF($FJ281+HE$244&gt;73,"",PRODUCT(INDEX($T$19:$T$93,HE$244):INDEX($T$19:$T$93,HE$244+$FJ281-1)))</f>
        <v>0.98211814780463</v>
      </c>
      <c r="HF281" s="150" t="n">
        <f aca="false">IF($FJ281+HF$244&gt;73,"",PRODUCT(INDEX($T$19:$T$93,HF$244):INDEX($T$19:$T$93,HF$244+$FJ281-1)))</f>
        <v>0.979107628885116</v>
      </c>
      <c r="HG281" s="150" t="n">
        <f aca="false">IF($FJ281+HG$244&gt;73,"",PRODUCT(INDEX($T$19:$T$93,HG$244):INDEX($T$19:$T$93,HG$244+$FJ281-1)))</f>
        <v>0.975594829682051</v>
      </c>
      <c r="HH281" s="150" t="n">
        <f aca="false">IF($FJ281+HH$244&gt;73,"",PRODUCT(INDEX($T$19:$T$93,HH$244):INDEX($T$19:$T$93,HH$244+$FJ281-1)))</f>
        <v>0.971497657591861</v>
      </c>
      <c r="HI281" s="150" t="n">
        <f aca="false">IF($FJ281+HI$244&gt;73,"",PRODUCT(INDEX($T$19:$T$93,HI$244):INDEX($T$19:$T$93,HI$244+$FJ281-1)))</f>
        <v>0.966721245148206</v>
      </c>
      <c r="HJ281" s="150" t="n">
        <f aca="false">IF($FJ281+HJ$244&gt;73,"",PRODUCT(INDEX($T$19:$T$93,HJ$244):INDEX($T$19:$T$93,HJ$244+$FJ281-1)))</f>
        <v>0.961156206352187</v>
      </c>
      <c r="HK281" s="150" t="n">
        <f aca="false">IF($FJ281+HK$244&gt;73,"",PRODUCT(INDEX($T$19:$T$93,HK$244):INDEX($T$19:$T$93,HK$244+$FJ281-1)))</f>
        <v>0.954676751270296</v>
      </c>
      <c r="HL281" s="150" t="n">
        <f aca="false">IF($FJ281+HL$244&gt;73,"",PRODUCT(INDEX($T$19:$T$93,HL$244):INDEX($T$19:$T$93,HL$244+$FJ281-1)))</f>
        <v>0.947138689806526</v>
      </c>
      <c r="HM281" s="150" t="n">
        <f aca="false">IF($FJ281+HM$244&gt;73,"",PRODUCT(INDEX($T$19:$T$93,HM$244):INDEX($T$19:$T$93,HM$244+$FJ281-1)))</f>
        <v>0.938377379688103</v>
      </c>
      <c r="HN281" s="150" t="n">
        <f aca="false">IF($FJ281+HN$244&gt;73,"",PRODUCT(INDEX($T$19:$T$93,HN$244):INDEX($T$19:$T$93,HN$244+$FJ281-1)))</f>
        <v>0.928205707962591</v>
      </c>
      <c r="HO281" s="150" t="n">
        <f aca="false">IF($FJ281+HO$244&gt;73,"",PRODUCT(INDEX($T$19:$T$93,HO$244):INDEX($T$19:$T$93,HO$244+$FJ281-1)))</f>
        <v>0.91641224302027</v>
      </c>
      <c r="HP281" s="150" t="n">
        <f aca="false">IF($FJ281+HP$244&gt;73,"",PRODUCT(INDEX($T$19:$T$93,HP$244):INDEX($T$19:$T$93,HP$244+$FJ281-1)))</f>
        <v>0.902759759438246</v>
      </c>
      <c r="HQ281" s="150" t="n">
        <f aca="false">IF($FJ281+HQ$244&gt;73,"",PRODUCT(INDEX($T$19:$T$93,HQ$244):INDEX($T$19:$T$93,HQ$244+$FJ281-1)))</f>
        <v>0.886984425649769</v>
      </c>
      <c r="HR281" s="150" t="n">
        <f aca="false">IF($FJ281+HR$244&gt;73,"",PRODUCT(INDEX($T$19:$T$93,HR$244):INDEX($T$19:$T$93,HR$244+$FJ281-1)))</f>
        <v>0.868796059955666</v>
      </c>
      <c r="HS281" s="150" t="n">
        <f aca="false">IF($FJ281+HS$244&gt;73,"",PRODUCT(INDEX($T$19:$T$93,HS$244):INDEX($T$19:$T$93,HS$244+$FJ281-1)))</f>
        <v>0.847880009015628</v>
      </c>
      <c r="HT281" s="150" t="n">
        <f aca="false">IF($FJ281+HT$244&gt;73,"",PRODUCT(INDEX($T$19:$T$93,HT$244):INDEX($T$19:$T$93,HT$244+$FJ281-1)))</f>
        <v>0.8239013886295</v>
      </c>
      <c r="HU281" s="150" t="n">
        <f aca="false">IF($FJ281+HU$244&gt;73,"",PRODUCT(INDEX($T$19:$T$93,HU$244):INDEX($T$19:$T$93,HU$244+$FJ281-1)))</f>
        <v>0.796512649518726</v>
      </c>
      <c r="HV281" s="150" t="n">
        <f aca="false">IF($FJ281+HV$244&gt;73,"",PRODUCT(INDEX($T$19:$T$93,HV$244):INDEX($T$19:$T$93,HV$244+$FJ281-1)))</f>
        <v>0.765365683112747</v>
      </c>
      <c r="HW281" s="150" t="n">
        <f aca="false">IF($FJ281+HW$244&gt;73,"",PRODUCT(INDEX($T$19:$T$93,HW$244):INDEX($T$19:$T$93,HW$244+$FJ281-1)))</f>
        <v>0.730129941136984</v>
      </c>
      <c r="HX281" s="150" t="n">
        <f aca="false">IF($FJ281+HX$244&gt;73,"",PRODUCT(INDEX($T$19:$T$93,HX$244):INDEX($T$19:$T$93,HX$244+$FJ281-1)))</f>
        <v>0.690518258997799</v>
      </c>
      <c r="HY281" s="150" t="n">
        <f aca="false">IF($FJ281+HY$244&gt;73,"",PRODUCT(INDEX($T$19:$T$93,HY$244):INDEX($T$19:$T$93,HY$244+$FJ281-1)))</f>
        <v>0.646322154749963</v>
      </c>
      <c r="HZ281" s="150" t="n">
        <f aca="false">IF($FJ281+HZ$244&gt;73,"",PRODUCT(INDEX($T$19:$T$93,HZ$244):INDEX($T$19:$T$93,HZ$244+$FJ281-1)))</f>
        <v>0.597458165598364</v>
      </c>
      <c r="IA281" s="150" t="n">
        <f aca="false">IF($FJ281+IA$244&gt;73,"",PRODUCT(INDEX($T$19:$T$93,IA$244):INDEX($T$19:$T$93,IA$244+$FJ281-1)))</f>
        <v>0.544026032489851</v>
      </c>
      <c r="IB281" s="150" t="n">
        <f aca="false">IF($FJ281+IB$244&gt;73,"",PRODUCT(INDEX($T$19:$T$93,IB$244):INDEX($T$19:$T$93,IB$244+$FJ281-1)))</f>
        <v>0.486377882941056</v>
      </c>
      <c r="IC281" s="150" t="n">
        <f aca="false">IF($FJ281+IC$244&gt;73,"",PRODUCT(INDEX($T$19:$T$93,IC$244):INDEX($T$19:$T$93,IC$244+$FJ281-1)))</f>
        <v>0.425194505004431</v>
      </c>
      <c r="ID281" s="572" t="n">
        <f aca="false">IF($FJ281+ID$244&gt;73,"",PRODUCT(INDEX($T$19:$T$93,ID$244):INDEX($T$19:$T$93,ID$244+$FJ281-1)))</f>
        <v>0.361559804463133</v>
      </c>
      <c r="IE281" s="129"/>
    </row>
    <row r="282" customFormat="false" ht="12.75" hidden="false" customHeight="false" outlineLevel="0" collapsed="false">
      <c r="I282" s="735"/>
      <c r="J282" s="727"/>
      <c r="K282" s="728"/>
      <c r="L282" s="195"/>
      <c r="M282" s="729"/>
      <c r="P282" s="727"/>
      <c r="S282" s="1"/>
      <c r="T282" s="727"/>
      <c r="U282" s="195"/>
      <c r="V282" s="195"/>
      <c r="W282" s="195"/>
      <c r="X282" s="195"/>
      <c r="Y282" s="195"/>
      <c r="Z282" s="195"/>
      <c r="AA282" s="195"/>
      <c r="AB282" s="195"/>
      <c r="AC282" s="195"/>
      <c r="AD282" s="195"/>
      <c r="AE282" s="195"/>
      <c r="AF282" s="195"/>
      <c r="AG282" s="195"/>
      <c r="AH282" s="195"/>
      <c r="AI282" s="195"/>
      <c r="AJ282" s="195"/>
      <c r="AK282" s="195"/>
      <c r="AL282" s="195"/>
      <c r="AM282" s="195"/>
      <c r="AN282" s="195"/>
      <c r="AO282" s="532"/>
      <c r="AP282" s="195"/>
      <c r="AQ282" s="532"/>
      <c r="AR282" s="195"/>
      <c r="AS282" s="195"/>
      <c r="AT282" s="240"/>
      <c r="AU282" s="240"/>
      <c r="AV282" s="240"/>
      <c r="AW282" s="730"/>
      <c r="AX282" s="730"/>
      <c r="AY282" s="730"/>
      <c r="AZ282" s="730"/>
      <c r="BA282" s="468"/>
      <c r="BB282" s="468"/>
      <c r="BC282" s="240"/>
      <c r="BD282" s="240"/>
      <c r="BE282" s="240"/>
      <c r="BF282" s="672"/>
      <c r="BG282" s="672"/>
      <c r="BH282" s="672"/>
      <c r="BI282" s="731"/>
      <c r="BJ282" s="672"/>
      <c r="BK282" s="672"/>
      <c r="BL282" s="240"/>
      <c r="BM282" s="736"/>
      <c r="BN282" s="240"/>
      <c r="BO282" s="240"/>
      <c r="BP282" s="240"/>
      <c r="BQ282" s="240"/>
      <c r="BR282" s="240"/>
      <c r="BS282" s="240"/>
      <c r="BT282" s="240"/>
      <c r="BU282" s="240"/>
      <c r="BV282" s="240"/>
      <c r="BW282" s="240"/>
      <c r="BX282" s="240"/>
      <c r="BY282" s="240"/>
      <c r="BZ282" s="240"/>
      <c r="CA282" s="240"/>
      <c r="CB282" s="240"/>
      <c r="CC282" s="240"/>
      <c r="CD282" s="672"/>
      <c r="CE282" s="672"/>
      <c r="CF282" s="672"/>
      <c r="CG282" s="672"/>
      <c r="CH282" s="672"/>
      <c r="CI282" s="672"/>
      <c r="CJ282" s="240"/>
      <c r="CK282" s="240"/>
      <c r="CL282" s="240"/>
      <c r="CM282" s="240"/>
      <c r="CN282" s="240"/>
      <c r="CO282" s="240"/>
      <c r="CP282" s="240"/>
      <c r="CQ282" s="240"/>
      <c r="CR282" s="240"/>
      <c r="CS282" s="240"/>
      <c r="CT282" s="240"/>
      <c r="CU282" s="240"/>
      <c r="CV282" s="240"/>
      <c r="CW282" s="240"/>
      <c r="CX282" s="240"/>
      <c r="CY282" s="240"/>
      <c r="CZ282" s="240"/>
      <c r="DA282" s="240"/>
      <c r="DB282" s="240"/>
      <c r="DC282" s="240"/>
      <c r="DD282" s="240"/>
      <c r="DE282" s="240"/>
      <c r="DF282" s="240"/>
      <c r="DG282" s="240"/>
      <c r="DH282" s="478"/>
      <c r="DI282" s="733"/>
      <c r="DJ282" s="733"/>
      <c r="DK282" s="478"/>
      <c r="DL282" s="3"/>
      <c r="DM282" s="4"/>
      <c r="DN282" s="4"/>
      <c r="DO282" s="4"/>
      <c r="DP282" s="4"/>
      <c r="DQ282" s="4"/>
      <c r="DR282" s="4"/>
      <c r="DS282" s="4"/>
      <c r="DU282" s="195"/>
      <c r="DV282" s="195"/>
      <c r="DW282" s="195"/>
      <c r="DX282" s="195"/>
      <c r="DY282" s="195"/>
      <c r="DZ282" s="195"/>
      <c r="EA282" s="195"/>
      <c r="EB282" s="195"/>
      <c r="EC282" s="195"/>
      <c r="ED282" s="195"/>
      <c r="EE282" s="195"/>
      <c r="EF282" s="195"/>
      <c r="EG282" s="195"/>
      <c r="EL282" s="1"/>
      <c r="EM282" s="195"/>
      <c r="EN282" s="240"/>
      <c r="EO282" s="731"/>
      <c r="EP282" s="195"/>
      <c r="EQ282" s="240"/>
      <c r="ER282" s="195"/>
      <c r="ES282" s="195"/>
      <c r="ET282" s="195"/>
      <c r="EU282" s="672"/>
      <c r="FJ282" s="571" t="n">
        <v>38</v>
      </c>
      <c r="FK282" s="150" t="str">
        <f aca="false">IF($FJ282+FK$244&gt;73,"",PRODUCT(INDEX($T$19:$T$93,FK$244):INDEX($T$19:$T$93,FK$244+$FJ282-1)))</f>
        <v/>
      </c>
      <c r="FL282" s="150" t="str">
        <f aca="false">IF($FJ282+FL$244&gt;73,"",PRODUCT(INDEX($T$19:$T$93,FL$244):INDEX($T$19:$T$93,FL$244+$FJ282-1)))</f>
        <v/>
      </c>
      <c r="FM282" s="150" t="str">
        <f aca="false">IF($FJ282+FM$244&gt;73,"",PRODUCT(INDEX($T$19:$T$93,FM$244):INDEX($T$19:$T$93,FM$244+$FJ282-1)))</f>
        <v/>
      </c>
      <c r="FN282" s="150" t="str">
        <f aca="false">IF($FJ282+FN$244&gt;73,"",PRODUCT(INDEX($T$19:$T$93,FN$244):INDEX($T$19:$T$93,FN$244+$FJ282-1)))</f>
        <v/>
      </c>
      <c r="FO282" s="150" t="str">
        <f aca="false">IF($FJ282+FO$244&gt;73,"",PRODUCT(INDEX($T$19:$T$93,FO$244):INDEX($T$19:$T$93,FO$244+$FJ282-1)))</f>
        <v/>
      </c>
      <c r="FP282" s="150" t="str">
        <f aca="false">IF($FJ282+FP$244&gt;73,"",PRODUCT(INDEX($T$19:$T$93,FP$244):INDEX($T$19:$T$93,FP$244+$FJ282-1)))</f>
        <v/>
      </c>
      <c r="FQ282" s="150" t="str">
        <f aca="false">IF($FJ282+FQ$244&gt;73,"",PRODUCT(INDEX($T$19:$T$93,FQ$244):INDEX($T$19:$T$93,FQ$244+$FJ282-1)))</f>
        <v/>
      </c>
      <c r="FR282" s="150" t="str">
        <f aca="false">IF($FJ282+FR$244&gt;73,"",PRODUCT(INDEX($T$19:$T$93,FR$244):INDEX($T$19:$T$93,FR$244+$FJ282-1)))</f>
        <v/>
      </c>
      <c r="FS282" s="150" t="str">
        <f aca="false">IF($FJ282+FS$244&gt;73,"",PRODUCT(INDEX($T$19:$T$93,FS$244):INDEX($T$19:$T$93,FS$244+$FJ282-1)))</f>
        <v/>
      </c>
      <c r="FT282" s="150" t="str">
        <f aca="false">IF($FJ282+FT$244&gt;73,"",PRODUCT(INDEX($T$19:$T$93,FT$244):INDEX($T$19:$T$93,FT$244+$FJ282-1)))</f>
        <v/>
      </c>
      <c r="FU282" s="150" t="str">
        <f aca="false">IF($FJ282+FU$244&gt;73,"",PRODUCT(INDEX($T$19:$T$93,FU$244):INDEX($T$19:$T$93,FU$244+$FJ282-1)))</f>
        <v/>
      </c>
      <c r="FV282" s="150" t="str">
        <f aca="false">IF($FJ282+FV$244&gt;73,"",PRODUCT(INDEX($T$19:$T$93,FV$244):INDEX($T$19:$T$93,FV$244+$FJ282-1)))</f>
        <v/>
      </c>
      <c r="FW282" s="150" t="str">
        <f aca="false">IF($FJ282+FW$244&gt;73,"",PRODUCT(INDEX($T$19:$T$93,FW$244):INDEX($T$19:$T$93,FW$244+$FJ282-1)))</f>
        <v/>
      </c>
      <c r="FX282" s="150" t="str">
        <f aca="false">IF($FJ282+FX$244&gt;73,"",PRODUCT(INDEX($T$19:$T$93,FX$244):INDEX($T$19:$T$93,FX$244+$FJ282-1)))</f>
        <v/>
      </c>
      <c r="FY282" s="150" t="str">
        <f aca="false">IF($FJ282+FY$244&gt;73,"",PRODUCT(INDEX($T$19:$T$93,FY$244):INDEX($T$19:$T$93,FY$244+$FJ282-1)))</f>
        <v/>
      </c>
      <c r="FZ282" s="150" t="str">
        <f aca="false">IF($FJ282+FZ$244&gt;73,"",PRODUCT(INDEX($T$19:$T$93,FZ$244):INDEX($T$19:$T$93,FZ$244+$FJ282-1)))</f>
        <v/>
      </c>
      <c r="GA282" s="150" t="str">
        <f aca="false">IF($FJ282+GA$244&gt;73,"",PRODUCT(INDEX($T$19:$T$93,GA$244):INDEX($T$19:$T$93,GA$244+$FJ282-1)))</f>
        <v/>
      </c>
      <c r="GB282" s="150" t="str">
        <f aca="false">IF($FJ282+GB$244&gt;73,"",PRODUCT(INDEX($T$19:$T$93,GB$244):INDEX($T$19:$T$93,GB$244+$FJ282-1)))</f>
        <v/>
      </c>
      <c r="GC282" s="150" t="str">
        <f aca="false">IF($FJ282+GC$244&gt;73,"",PRODUCT(INDEX($T$19:$T$93,GC$244):INDEX($T$19:$T$93,GC$244+$FJ282-1)))</f>
        <v/>
      </c>
      <c r="GD282" s="150" t="str">
        <f aca="false">IF($FJ282+GD$244&gt;73,"",PRODUCT(INDEX($T$19:$T$93,GD$244):INDEX($T$19:$T$93,GD$244+$FJ282-1)))</f>
        <v/>
      </c>
      <c r="GE282" s="150" t="str">
        <f aca="false">IF($FJ282+GE$244&gt;73,"",PRODUCT(INDEX($T$19:$T$93,GE$244):INDEX($T$19:$T$93,GE$244+$FJ282-1)))</f>
        <v/>
      </c>
      <c r="GF282" s="150" t="str">
        <f aca="false">IF($FJ282+GF$244&gt;73,"",PRODUCT(INDEX($T$19:$T$93,GF$244):INDEX($T$19:$T$93,GF$244+$FJ282-1)))</f>
        <v/>
      </c>
      <c r="GG282" s="150" t="str">
        <f aca="false">IF($FJ282+GG$244&gt;73,"",PRODUCT(INDEX($T$19:$T$93,GG$244):INDEX($T$19:$T$93,GG$244+$FJ282-1)))</f>
        <v/>
      </c>
      <c r="GH282" s="150" t="str">
        <f aca="false">IF($FJ282+GH$244&gt;73,"",PRODUCT(INDEX($T$19:$T$93,GH$244):INDEX($T$19:$T$93,GH$244+$FJ282-1)))</f>
        <v/>
      </c>
      <c r="GI282" s="150" t="str">
        <f aca="false">IF($FJ282+GI$244&gt;73,"",PRODUCT(INDEX($T$19:$T$93,GI$244):INDEX($T$19:$T$93,GI$244+$FJ282-1)))</f>
        <v/>
      </c>
      <c r="GJ282" s="150" t="str">
        <f aca="false">IF($FJ282+GJ$244&gt;73,"",PRODUCT(INDEX($T$19:$T$93,GJ$244):INDEX($T$19:$T$93,GJ$244+$FJ282-1)))</f>
        <v/>
      </c>
      <c r="GK282" s="150" t="str">
        <f aca="false">IF($FJ282+GK$244&gt;73,"",PRODUCT(INDEX($T$19:$T$93,GK$244):INDEX($T$19:$T$93,GK$244+$FJ282-1)))</f>
        <v/>
      </c>
      <c r="GL282" s="150" t="str">
        <f aca="false">IF($FJ282+GL$244&gt;73,"",PRODUCT(INDEX($T$19:$T$93,GL$244):INDEX($T$19:$T$93,GL$244+$FJ282-1)))</f>
        <v/>
      </c>
      <c r="GM282" s="150" t="str">
        <f aca="false">IF($FJ282+GM$244&gt;73,"",PRODUCT(INDEX($T$19:$T$93,GM$244):INDEX($T$19:$T$93,GM$244+$FJ282-1)))</f>
        <v/>
      </c>
      <c r="GN282" s="150" t="str">
        <f aca="false">IF($FJ282+GN$244&gt;73,"",PRODUCT(INDEX($T$19:$T$93,GN$244):INDEX($T$19:$T$93,GN$244+$FJ282-1)))</f>
        <v/>
      </c>
      <c r="GO282" s="150" t="str">
        <f aca="false">IF($FJ282+GO$244&gt;73,"",PRODUCT(INDEX($T$19:$T$93,GO$244):INDEX($T$19:$T$93,GO$244+$FJ282-1)))</f>
        <v/>
      </c>
      <c r="GP282" s="150" t="str">
        <f aca="false">IF($FJ282+GP$244&gt;73,"",PRODUCT(INDEX($T$19:$T$93,GP$244):INDEX($T$19:$T$93,GP$244+$FJ282-1)))</f>
        <v/>
      </c>
      <c r="GQ282" s="150" t="str">
        <f aca="false">IF($FJ282+GQ$244&gt;73,"",PRODUCT(INDEX($T$19:$T$93,GQ$244):INDEX($T$19:$T$93,GQ$244+$FJ282-1)))</f>
        <v/>
      </c>
      <c r="GR282" s="150" t="str">
        <f aca="false">IF($FJ282+GR$244&gt;73,"",PRODUCT(INDEX($T$19:$T$93,GR$244):INDEX($T$19:$T$93,GR$244+$FJ282-1)))</f>
        <v/>
      </c>
      <c r="GS282" s="150" t="str">
        <f aca="false">IF($FJ282+GS$244&gt;73,"",PRODUCT(INDEX($T$19:$T$93,GS$244):INDEX($T$19:$T$93,GS$244+$FJ282-1)))</f>
        <v/>
      </c>
      <c r="GT282" s="150" t="str">
        <f aca="false">IF($FJ282+GT$244&gt;73,"",PRODUCT(INDEX($T$19:$T$93,GT$244):INDEX($T$19:$T$93,GT$244+$FJ282-1)))</f>
        <v/>
      </c>
      <c r="GU282" s="150" t="str">
        <f aca="false">IF($FJ282+GU$244&gt;73,"",PRODUCT(INDEX($T$19:$T$93,GU$244):INDEX($T$19:$T$93,GU$244+$FJ282-1)))</f>
        <v/>
      </c>
      <c r="GV282" s="150" t="n">
        <f aca="false">IF($FJ282+GV$244&gt;73,"",PRODUCT(INDEX($T$19:$T$93,GV$244):INDEX($T$19:$T$93,GV$244+$FJ282-1)))</f>
        <v>0.995611766537314</v>
      </c>
      <c r="GW282" s="150" t="n">
        <f aca="false">IF($FJ282+GW$244&gt;73,"",PRODUCT(INDEX($T$19:$T$93,GW$244):INDEX($T$19:$T$93,GW$244+$FJ282-1)))</f>
        <v>0.994868807352518</v>
      </c>
      <c r="GX282" s="150" t="n">
        <f aca="false">IF($FJ282+GX$244&gt;73,"",PRODUCT(INDEX($T$19:$T$93,GX$244):INDEX($T$19:$T$93,GX$244+$FJ282-1)))</f>
        <v>0.994000319725188</v>
      </c>
      <c r="GY282" s="150" t="n">
        <f aca="false">IF($FJ282+GY$244&gt;73,"",PRODUCT(INDEX($T$19:$T$93,GY$244):INDEX($T$19:$T$93,GY$244+$FJ282-1)))</f>
        <v>0.992985192495335</v>
      </c>
      <c r="GZ282" s="150" t="n">
        <f aca="false">IF($FJ282+GZ$244&gt;73,"",PRODUCT(INDEX($T$19:$T$93,GZ$244):INDEX($T$19:$T$93,GZ$244+$FJ282-1)))</f>
        <v>0.991798800831358</v>
      </c>
      <c r="HA282" s="150" t="n">
        <f aca="false">IF($FJ282+HA$244&gt;73,"",PRODUCT(INDEX($T$19:$T$93,HA$244):INDEX($T$19:$T$93,HA$244+$FJ282-1)))</f>
        <v>0.990412435264659</v>
      </c>
      <c r="HB282" s="150" t="n">
        <f aca="false">IF($FJ282+HB$244&gt;73,"",PRODUCT(INDEX($T$19:$T$93,HB$244):INDEX($T$19:$T$93,HB$244+$FJ282-1)))</f>
        <v>0.988792643184028</v>
      </c>
      <c r="HC282" s="150" t="n">
        <f aca="false">IF($FJ282+HC$244&gt;73,"",PRODUCT(INDEX($T$19:$T$93,HC$244):INDEX($T$19:$T$93,HC$244+$FJ282-1)))</f>
        <v>0.986900471389212</v>
      </c>
      <c r="HD282" s="150" t="n">
        <f aca="false">IF($FJ282+HD$244&gt;73,"",PRODUCT(INDEX($T$19:$T$93,HD$244):INDEX($T$19:$T$93,HD$244+$FJ282-1)))</f>
        <v>0.9846905976378</v>
      </c>
      <c r="HE282" s="150" t="n">
        <f aca="false">IF($FJ282+HE$244&gt;73,"",PRODUCT(INDEX($T$19:$T$93,HE$244):INDEX($T$19:$T$93,HE$244+$FJ282-1)))</f>
        <v>0.982110338802592</v>
      </c>
      <c r="HF282" s="150" t="n">
        <f aca="false">IF($FJ282+HF$244&gt;73,"",PRODUCT(INDEX($T$19:$T$93,HF$244):INDEX($T$19:$T$93,HF$244+$FJ282-1)))</f>
        <v>0.979098523511214</v>
      </c>
      <c r="HG282" s="150" t="n">
        <f aca="false">IF($FJ282+HG$244&gt;73,"",PRODUCT(INDEX($T$19:$T$93,HG$244):INDEX($T$19:$T$93,HG$244+$FJ282-1)))</f>
        <v>0.975584218283378</v>
      </c>
      <c r="HH282" s="150" t="n">
        <f aca="false">IF($FJ282+HH$244&gt;73,"",PRODUCT(INDEX($T$19:$T$93,HH$244):INDEX($T$19:$T$93,HH$244+$FJ282-1)))</f>
        <v>0.971485298659153</v>
      </c>
      <c r="HI282" s="150" t="n">
        <f aca="false">IF($FJ282+HI$244&gt;73,"",PRODUCT(INDEX($T$19:$T$93,HI$244):INDEX($T$19:$T$93,HI$244+$FJ282-1)))</f>
        <v>0.96670686124146</v>
      </c>
      <c r="HJ282" s="150" t="n">
        <f aca="false">IF($FJ282+HJ$244&gt;73,"",PRODUCT(INDEX($T$19:$T$93,HJ$244):INDEX($T$19:$T$93,HJ$244+$FJ282-1)))</f>
        <v>0.961139479804221</v>
      </c>
      <c r="HK282" s="150" t="n">
        <f aca="false">IF($FJ282+HK$244&gt;73,"",PRODUCT(INDEX($T$19:$T$93,HK$244):INDEX($T$19:$T$93,HK$244+$FJ282-1)))</f>
        <v>0.954657319791217</v>
      </c>
      <c r="HL282" s="150" t="n">
        <f aca="false">IF($FJ282+HL$244&gt;73,"",PRODUCT(INDEX($T$19:$T$93,HL$244):INDEX($T$19:$T$93,HL$244+$FJ282-1)))</f>
        <v>0.947116142185027</v>
      </c>
      <c r="HM282" s="150" t="n">
        <f aca="false">IF($FJ282+HM$244&gt;73,"",PRODUCT(INDEX($T$19:$T$93,HM$244):INDEX($T$19:$T$93,HM$244+$FJ282-1)))</f>
        <v>0.938351251885724</v>
      </c>
      <c r="HN282" s="150" t="n">
        <f aca="false">IF($FJ282+HN$244&gt;73,"",PRODUCT(INDEX($T$19:$T$93,HN$244):INDEX($T$19:$T$93,HN$244+$FJ282-1)))</f>
        <v>0.928175480032424</v>
      </c>
      <c r="HO282" s="150" t="n">
        <f aca="false">IF($FJ282+HO$244&gt;73,"",PRODUCT(INDEX($T$19:$T$93,HO$244):INDEX($T$19:$T$93,HO$244+$FJ282-1)))</f>
        <v>0.916377337460847</v>
      </c>
      <c r="HP282" s="150" t="n">
        <f aca="false">IF($FJ282+HP$244&gt;73,"",PRODUCT(INDEX($T$19:$T$93,HP$244):INDEX($T$19:$T$93,HP$244+$FJ282-1)))</f>
        <v>0.902719541825816</v>
      </c>
      <c r="HQ282" s="150" t="n">
        <f aca="false">IF($FJ282+HQ$244&gt;73,"",PRODUCT(INDEX($T$19:$T$93,HQ$244):INDEX($T$19:$T$93,HQ$244+$FJ282-1)))</f>
        <v>0.886938208686273</v>
      </c>
      <c r="HR282" s="150" t="n">
        <f aca="false">IF($FJ282+HR$244&gt;73,"",PRODUCT(INDEX($T$19:$T$93,HR$244):INDEX($T$19:$T$93,HR$244+$FJ282-1)))</f>
        <v>0.868743112430168</v>
      </c>
      <c r="HS282" s="150" t="n">
        <f aca="false">IF($FJ282+HS$244&gt;73,"",PRODUCT(INDEX($T$19:$T$93,HS$244):INDEX($T$19:$T$93,HS$244+$FJ282-1)))</f>
        <v>0.847819571600362</v>
      </c>
      <c r="HT282" s="150" t="n">
        <f aca="false">IF($FJ282+HT$244&gt;73,"",PRODUCT(INDEX($T$19:$T$93,HT$244):INDEX($T$19:$T$93,HT$244+$FJ282-1)))</f>
        <v>0.823832698898195</v>
      </c>
      <c r="HU282" s="150" t="n">
        <f aca="false">IF($FJ282+HU$244&gt;73,"",PRODUCT(INDEX($T$19:$T$93,HU$244):INDEX($T$19:$T$93,HU$244+$FJ282-1)))</f>
        <v>0.796434979036324</v>
      </c>
      <c r="HV282" s="150" t="n">
        <f aca="false">IF($FJ282+HV$244&gt;73,"",PRODUCT(INDEX($T$19:$T$93,HV$244):INDEX($T$19:$T$93,HV$244+$FJ282-1)))</f>
        <v>0.765278389806329</v>
      </c>
      <c r="HW282" s="150" t="n">
        <f aca="false">IF($FJ282+HW$244&gt;73,"",PRODUCT(INDEX($T$19:$T$93,HW$244):INDEX($T$19:$T$93,HW$244+$FJ282-1)))</f>
        <v>0.730032540248448</v>
      </c>
      <c r="HX282" s="150" t="n">
        <f aca="false">IF($FJ282+HX$244&gt;73,"",PRODUCT(INDEX($T$19:$T$93,HX$244):INDEX($T$19:$T$93,HX$244+$FJ282-1)))</f>
        <v>0.690410515462598</v>
      </c>
      <c r="HY282" s="150" t="n">
        <f aca="false">IF($FJ282+HY$244&gt;73,"",PRODUCT(INDEX($T$19:$T$93,HY$244):INDEX($T$19:$T$93,HY$244+$FJ282-1)))</f>
        <v>0.646204198419882</v>
      </c>
      <c r="HZ282" s="150" t="n">
        <f aca="false">IF($FJ282+HZ$244&gt;73,"",PRODUCT(INDEX($T$19:$T$93,HZ$244):INDEX($T$19:$T$93,HZ$244+$FJ282-1)))</f>
        <v>0.597330627731048</v>
      </c>
      <c r="IA282" s="150" t="n">
        <f aca="false">IF($FJ282+IA$244&gt;73,"",PRODUCT(INDEX($T$19:$T$93,IA$244):INDEX($T$19:$T$93,IA$244+$FJ282-1)))</f>
        <v>0.543890196595961</v>
      </c>
      <c r="IB282" s="150" t="n">
        <f aca="false">IF($FJ282+IB$244&gt;73,"",PRODUCT(INDEX($T$19:$T$93,IB$244):INDEX($T$19:$T$93,IB$244+$FJ282-1)))</f>
        <v>0.486235834579179</v>
      </c>
      <c r="IC282" s="150" t="n">
        <f aca="false">IF($FJ282+IC$244&gt;73,"",PRODUCT(INDEX($T$19:$T$93,IC$244):INDEX($T$19:$T$93,IC$244+$FJ282-1)))</f>
        <v>0.425049252849824</v>
      </c>
      <c r="ID282" s="572" t="n">
        <f aca="false">IF($FJ282+ID$244&gt;73,"",PRODUCT(INDEX($T$19:$T$93,ID$244):INDEX($T$19:$T$93,ID$244+$FJ282-1)))</f>
        <v>0.361415329253767</v>
      </c>
      <c r="IE282" s="129"/>
    </row>
    <row r="283" customFormat="false" ht="12.75" hidden="false" customHeight="false" outlineLevel="0" collapsed="false">
      <c r="I283" s="735"/>
      <c r="J283" s="727"/>
      <c r="K283" s="728"/>
      <c r="L283" s="195"/>
      <c r="M283" s="729"/>
      <c r="P283" s="727"/>
      <c r="S283" s="1"/>
      <c r="T283" s="727"/>
      <c r="U283" s="195"/>
      <c r="V283" s="195"/>
      <c r="W283" s="195"/>
      <c r="X283" s="195"/>
      <c r="Y283" s="195"/>
      <c r="Z283" s="195"/>
      <c r="AA283" s="195"/>
      <c r="AB283" s="195"/>
      <c r="AC283" s="195"/>
      <c r="AD283" s="195"/>
      <c r="AE283" s="195"/>
      <c r="AF283" s="195"/>
      <c r="AG283" s="195"/>
      <c r="AH283" s="195"/>
      <c r="AI283" s="195"/>
      <c r="AJ283" s="195"/>
      <c r="AK283" s="195"/>
      <c r="AL283" s="195"/>
      <c r="AM283" s="195"/>
      <c r="AN283" s="195"/>
      <c r="AO283" s="532"/>
      <c r="AP283" s="195"/>
      <c r="AQ283" s="532"/>
      <c r="AR283" s="195"/>
      <c r="AS283" s="195"/>
      <c r="AT283" s="240"/>
      <c r="AU283" s="240"/>
      <c r="AV283" s="240"/>
      <c r="AW283" s="730"/>
      <c r="AX283" s="730"/>
      <c r="AY283" s="730"/>
      <c r="AZ283" s="730"/>
      <c r="BA283" s="468"/>
      <c r="BB283" s="468"/>
      <c r="BC283" s="240"/>
      <c r="BD283" s="240"/>
      <c r="BE283" s="240"/>
      <c r="BF283" s="672"/>
      <c r="BG283" s="672"/>
      <c r="BH283" s="672"/>
      <c r="BI283" s="731"/>
      <c r="BJ283" s="672"/>
      <c r="BK283" s="672"/>
      <c r="BL283" s="240"/>
      <c r="BM283" s="736"/>
      <c r="BN283" s="240"/>
      <c r="BO283" s="240"/>
      <c r="BP283" s="240"/>
      <c r="BQ283" s="240"/>
      <c r="BR283" s="240"/>
      <c r="BS283" s="240"/>
      <c r="BT283" s="240"/>
      <c r="BU283" s="240"/>
      <c r="BV283" s="240"/>
      <c r="BW283" s="240"/>
      <c r="BX283" s="240"/>
      <c r="BY283" s="240"/>
      <c r="BZ283" s="240"/>
      <c r="CA283" s="240"/>
      <c r="CB283" s="240"/>
      <c r="CC283" s="240"/>
      <c r="CD283" s="672"/>
      <c r="CE283" s="672"/>
      <c r="CF283" s="672"/>
      <c r="CG283" s="672"/>
      <c r="CH283" s="672"/>
      <c r="CI283" s="672"/>
      <c r="CJ283" s="240"/>
      <c r="CK283" s="240"/>
      <c r="CL283" s="240"/>
      <c r="CM283" s="240"/>
      <c r="CN283" s="240"/>
      <c r="CO283" s="240"/>
      <c r="CP283" s="240"/>
      <c r="CQ283" s="240"/>
      <c r="CR283" s="240"/>
      <c r="CS283" s="240"/>
      <c r="CT283" s="240"/>
      <c r="CU283" s="240"/>
      <c r="CV283" s="240"/>
      <c r="CW283" s="240"/>
      <c r="CX283" s="240"/>
      <c r="CY283" s="240"/>
      <c r="CZ283" s="240"/>
      <c r="DA283" s="240"/>
      <c r="DB283" s="240"/>
      <c r="DC283" s="240"/>
      <c r="DD283" s="240"/>
      <c r="DE283" s="240"/>
      <c r="DF283" s="240"/>
      <c r="DG283" s="240"/>
      <c r="DH283" s="478"/>
      <c r="DI283" s="733"/>
      <c r="DJ283" s="733"/>
      <c r="DK283" s="478"/>
      <c r="DL283" s="3"/>
      <c r="DM283" s="4"/>
      <c r="DN283" s="4"/>
      <c r="DO283" s="4"/>
      <c r="DP283" s="4"/>
      <c r="DQ283" s="4"/>
      <c r="DR283" s="4"/>
      <c r="DS283" s="4"/>
      <c r="DU283" s="195"/>
      <c r="DV283" s="195"/>
      <c r="DW283" s="195"/>
      <c r="DX283" s="195"/>
      <c r="DY283" s="195"/>
      <c r="DZ283" s="195"/>
      <c r="EA283" s="195"/>
      <c r="EB283" s="195"/>
      <c r="EC283" s="195"/>
      <c r="ED283" s="195"/>
      <c r="EE283" s="195"/>
      <c r="EF283" s="195"/>
      <c r="EG283" s="195"/>
      <c r="EL283" s="1"/>
      <c r="EM283" s="195"/>
      <c r="EN283" s="240"/>
      <c r="EO283" s="731"/>
      <c r="EP283" s="195"/>
      <c r="EQ283" s="240"/>
      <c r="ER283" s="195"/>
      <c r="ES283" s="195"/>
      <c r="ET283" s="195"/>
      <c r="EU283" s="672"/>
      <c r="FJ283" s="571" t="n">
        <v>39</v>
      </c>
      <c r="FK283" s="150" t="str">
        <f aca="false">IF($FJ283+FK$244&gt;73,"",PRODUCT(INDEX($T$19:$T$93,FK$244):INDEX($T$19:$T$93,FK$244+$FJ283-1)))</f>
        <v/>
      </c>
      <c r="FL283" s="150" t="str">
        <f aca="false">IF($FJ283+FL$244&gt;73,"",PRODUCT(INDEX($T$19:$T$93,FL$244):INDEX($T$19:$T$93,FL$244+$FJ283-1)))</f>
        <v/>
      </c>
      <c r="FM283" s="150" t="str">
        <f aca="false">IF($FJ283+FM$244&gt;73,"",PRODUCT(INDEX($T$19:$T$93,FM$244):INDEX($T$19:$T$93,FM$244+$FJ283-1)))</f>
        <v/>
      </c>
      <c r="FN283" s="150" t="str">
        <f aca="false">IF($FJ283+FN$244&gt;73,"",PRODUCT(INDEX($T$19:$T$93,FN$244):INDEX($T$19:$T$93,FN$244+$FJ283-1)))</f>
        <v/>
      </c>
      <c r="FO283" s="150" t="str">
        <f aca="false">IF($FJ283+FO$244&gt;73,"",PRODUCT(INDEX($T$19:$T$93,FO$244):INDEX($T$19:$T$93,FO$244+$FJ283-1)))</f>
        <v/>
      </c>
      <c r="FP283" s="150" t="str">
        <f aca="false">IF($FJ283+FP$244&gt;73,"",PRODUCT(INDEX($T$19:$T$93,FP$244):INDEX($T$19:$T$93,FP$244+$FJ283-1)))</f>
        <v/>
      </c>
      <c r="FQ283" s="150" t="str">
        <f aca="false">IF($FJ283+FQ$244&gt;73,"",PRODUCT(INDEX($T$19:$T$93,FQ$244):INDEX($T$19:$T$93,FQ$244+$FJ283-1)))</f>
        <v/>
      </c>
      <c r="FR283" s="150" t="str">
        <f aca="false">IF($FJ283+FR$244&gt;73,"",PRODUCT(INDEX($T$19:$T$93,FR$244):INDEX($T$19:$T$93,FR$244+$FJ283-1)))</f>
        <v/>
      </c>
      <c r="FS283" s="150" t="str">
        <f aca="false">IF($FJ283+FS$244&gt;73,"",PRODUCT(INDEX($T$19:$T$93,FS$244):INDEX($T$19:$T$93,FS$244+$FJ283-1)))</f>
        <v/>
      </c>
      <c r="FT283" s="150" t="str">
        <f aca="false">IF($FJ283+FT$244&gt;73,"",PRODUCT(INDEX($T$19:$T$93,FT$244):INDEX($T$19:$T$93,FT$244+$FJ283-1)))</f>
        <v/>
      </c>
      <c r="FU283" s="150" t="str">
        <f aca="false">IF($FJ283+FU$244&gt;73,"",PRODUCT(INDEX($T$19:$T$93,FU$244):INDEX($T$19:$T$93,FU$244+$FJ283-1)))</f>
        <v/>
      </c>
      <c r="FV283" s="150" t="str">
        <f aca="false">IF($FJ283+FV$244&gt;73,"",PRODUCT(INDEX($T$19:$T$93,FV$244):INDEX($T$19:$T$93,FV$244+$FJ283-1)))</f>
        <v/>
      </c>
      <c r="FW283" s="150" t="str">
        <f aca="false">IF($FJ283+FW$244&gt;73,"",PRODUCT(INDEX($T$19:$T$93,FW$244):INDEX($T$19:$T$93,FW$244+$FJ283-1)))</f>
        <v/>
      </c>
      <c r="FX283" s="150" t="str">
        <f aca="false">IF($FJ283+FX$244&gt;73,"",PRODUCT(INDEX($T$19:$T$93,FX$244):INDEX($T$19:$T$93,FX$244+$FJ283-1)))</f>
        <v/>
      </c>
      <c r="FY283" s="150" t="str">
        <f aca="false">IF($FJ283+FY$244&gt;73,"",PRODUCT(INDEX($T$19:$T$93,FY$244):INDEX($T$19:$T$93,FY$244+$FJ283-1)))</f>
        <v/>
      </c>
      <c r="FZ283" s="150" t="str">
        <f aca="false">IF($FJ283+FZ$244&gt;73,"",PRODUCT(INDEX($T$19:$T$93,FZ$244):INDEX($T$19:$T$93,FZ$244+$FJ283-1)))</f>
        <v/>
      </c>
      <c r="GA283" s="150" t="str">
        <f aca="false">IF($FJ283+GA$244&gt;73,"",PRODUCT(INDEX($T$19:$T$93,GA$244):INDEX($T$19:$T$93,GA$244+$FJ283-1)))</f>
        <v/>
      </c>
      <c r="GB283" s="150" t="str">
        <f aca="false">IF($FJ283+GB$244&gt;73,"",PRODUCT(INDEX($T$19:$T$93,GB$244):INDEX($T$19:$T$93,GB$244+$FJ283-1)))</f>
        <v/>
      </c>
      <c r="GC283" s="150" t="str">
        <f aca="false">IF($FJ283+GC$244&gt;73,"",PRODUCT(INDEX($T$19:$T$93,GC$244):INDEX($T$19:$T$93,GC$244+$FJ283-1)))</f>
        <v/>
      </c>
      <c r="GD283" s="150" t="str">
        <f aca="false">IF($FJ283+GD$244&gt;73,"",PRODUCT(INDEX($T$19:$T$93,GD$244):INDEX($T$19:$T$93,GD$244+$FJ283-1)))</f>
        <v/>
      </c>
      <c r="GE283" s="150" t="str">
        <f aca="false">IF($FJ283+GE$244&gt;73,"",PRODUCT(INDEX($T$19:$T$93,GE$244):INDEX($T$19:$T$93,GE$244+$FJ283-1)))</f>
        <v/>
      </c>
      <c r="GF283" s="150" t="str">
        <f aca="false">IF($FJ283+GF$244&gt;73,"",PRODUCT(INDEX($T$19:$T$93,GF$244):INDEX($T$19:$T$93,GF$244+$FJ283-1)))</f>
        <v/>
      </c>
      <c r="GG283" s="150" t="str">
        <f aca="false">IF($FJ283+GG$244&gt;73,"",PRODUCT(INDEX($T$19:$T$93,GG$244):INDEX($T$19:$T$93,GG$244+$FJ283-1)))</f>
        <v/>
      </c>
      <c r="GH283" s="150" t="str">
        <f aca="false">IF($FJ283+GH$244&gt;73,"",PRODUCT(INDEX($T$19:$T$93,GH$244):INDEX($T$19:$T$93,GH$244+$FJ283-1)))</f>
        <v/>
      </c>
      <c r="GI283" s="150" t="str">
        <f aca="false">IF($FJ283+GI$244&gt;73,"",PRODUCT(INDEX($T$19:$T$93,GI$244):INDEX($T$19:$T$93,GI$244+$FJ283-1)))</f>
        <v/>
      </c>
      <c r="GJ283" s="150" t="str">
        <f aca="false">IF($FJ283+GJ$244&gt;73,"",PRODUCT(INDEX($T$19:$T$93,GJ$244):INDEX($T$19:$T$93,GJ$244+$FJ283-1)))</f>
        <v/>
      </c>
      <c r="GK283" s="150" t="str">
        <f aca="false">IF($FJ283+GK$244&gt;73,"",PRODUCT(INDEX($T$19:$T$93,GK$244):INDEX($T$19:$T$93,GK$244+$FJ283-1)))</f>
        <v/>
      </c>
      <c r="GL283" s="150" t="str">
        <f aca="false">IF($FJ283+GL$244&gt;73,"",PRODUCT(INDEX($T$19:$T$93,GL$244):INDEX($T$19:$T$93,GL$244+$FJ283-1)))</f>
        <v/>
      </c>
      <c r="GM283" s="150" t="str">
        <f aca="false">IF($FJ283+GM$244&gt;73,"",PRODUCT(INDEX($T$19:$T$93,GM$244):INDEX($T$19:$T$93,GM$244+$FJ283-1)))</f>
        <v/>
      </c>
      <c r="GN283" s="150" t="str">
        <f aca="false">IF($FJ283+GN$244&gt;73,"",PRODUCT(INDEX($T$19:$T$93,GN$244):INDEX($T$19:$T$93,GN$244+$FJ283-1)))</f>
        <v/>
      </c>
      <c r="GO283" s="150" t="str">
        <f aca="false">IF($FJ283+GO$244&gt;73,"",PRODUCT(INDEX($T$19:$T$93,GO$244):INDEX($T$19:$T$93,GO$244+$FJ283-1)))</f>
        <v/>
      </c>
      <c r="GP283" s="150" t="str">
        <f aca="false">IF($FJ283+GP$244&gt;73,"",PRODUCT(INDEX($T$19:$T$93,GP$244):INDEX($T$19:$T$93,GP$244+$FJ283-1)))</f>
        <v/>
      </c>
      <c r="GQ283" s="150" t="str">
        <f aca="false">IF($FJ283+GQ$244&gt;73,"",PRODUCT(INDEX($T$19:$T$93,GQ$244):INDEX($T$19:$T$93,GQ$244+$FJ283-1)))</f>
        <v/>
      </c>
      <c r="GR283" s="150" t="str">
        <f aca="false">IF($FJ283+GR$244&gt;73,"",PRODUCT(INDEX($T$19:$T$93,GR$244):INDEX($T$19:$T$93,GR$244+$FJ283-1)))</f>
        <v/>
      </c>
      <c r="GS283" s="150" t="str">
        <f aca="false">IF($FJ283+GS$244&gt;73,"",PRODUCT(INDEX($T$19:$T$93,GS$244):INDEX($T$19:$T$93,GS$244+$FJ283-1)))</f>
        <v/>
      </c>
      <c r="GT283" s="150" t="str">
        <f aca="false">IF($FJ283+GT$244&gt;73,"",PRODUCT(INDEX($T$19:$T$93,GT$244):INDEX($T$19:$T$93,GT$244+$FJ283-1)))</f>
        <v/>
      </c>
      <c r="GU283" s="150" t="str">
        <f aca="false">IF($FJ283+GU$244&gt;73,"",PRODUCT(INDEX($T$19:$T$93,GU$244):INDEX($T$19:$T$93,GU$244+$FJ283-1)))</f>
        <v/>
      </c>
      <c r="GV283" s="150" t="str">
        <f aca="false">IF($FJ283+GV$244&gt;73,"",PRODUCT(INDEX($T$19:$T$93,GV$244):INDEX($T$19:$T$93,GV$244+$FJ283-1)))</f>
        <v/>
      </c>
      <c r="GW283" s="150" t="n">
        <f aca="false">IF($FJ283+GW$244&gt;73,"",PRODUCT(INDEX($T$19:$T$93,GW$244):INDEX($T$19:$T$93,GW$244+$FJ283-1)))</f>
        <v>0.994866875897684</v>
      </c>
      <c r="GX283" s="150" t="n">
        <f aca="false">IF($FJ283+GX$244&gt;73,"",PRODUCT(INDEX($T$19:$T$93,GX$244):INDEX($T$19:$T$93,GX$244+$FJ283-1)))</f>
        <v>0.993998062683165</v>
      </c>
      <c r="GY283" s="150" t="n">
        <f aca="false">IF($FJ283+GY$244&gt;73,"",PRODUCT(INDEX($T$19:$T$93,GY$244):INDEX($T$19:$T$93,GY$244+$FJ283-1)))</f>
        <v>0.992982555372599</v>
      </c>
      <c r="GZ283" s="150" t="n">
        <f aca="false">IF($FJ283+GZ$244&gt;73,"",PRODUCT(INDEX($T$19:$T$93,GZ$244):INDEX($T$19:$T$93,GZ$244+$FJ283-1)))</f>
        <v>0.991795720157801</v>
      </c>
      <c r="HA283" s="150" t="n">
        <f aca="false">IF($FJ283+HA$244&gt;73,"",PRODUCT(INDEX($T$19:$T$93,HA$244):INDEX($T$19:$T$93,HA$244+$FJ283-1)))</f>
        <v>0.990408837168123</v>
      </c>
      <c r="HB283" s="150" t="n">
        <f aca="false">IF($FJ283+HB$244&gt;73,"",PRODUCT(INDEX($T$19:$T$93,HB$244):INDEX($T$19:$T$93,HB$244+$FJ283-1)))</f>
        <v>0.988788441758357</v>
      </c>
      <c r="HC283" s="150" t="n">
        <f aca="false">IF($FJ283+HC$244&gt;73,"",PRODUCT(INDEX($T$19:$T$93,HC$244):INDEX($T$19:$T$93,HC$244+$FJ283-1)))</f>
        <v>0.986895566833541</v>
      </c>
      <c r="HD283" s="150" t="n">
        <f aca="false">IF($FJ283+HD$244&gt;73,"",PRODUCT(INDEX($T$19:$T$93,HD$244):INDEX($T$19:$T$93,HD$244+$FJ283-1)))</f>
        <v>0.984684874145573</v>
      </c>
      <c r="HE283" s="150" t="n">
        <f aca="false">IF($FJ283+HE$244&gt;73,"",PRODUCT(INDEX($T$19:$T$93,HE$244):INDEX($T$19:$T$93,HE$244+$FJ283-1)))</f>
        <v>0.982103662181285</v>
      </c>
      <c r="HF283" s="150" t="n">
        <f aca="false">IF($FJ283+HF$244&gt;73,"",PRODUCT(INDEX($T$19:$T$93,HF$244):INDEX($T$19:$T$93,HF$244+$FJ283-1)))</f>
        <v>0.979090738518764</v>
      </c>
      <c r="HG283" s="150" t="n">
        <f aca="false">IF($FJ283+HG$244&gt;73,"",PRODUCT(INDEX($T$19:$T$93,HG$244):INDEX($T$19:$T$93,HG$244+$FJ283-1)))</f>
        <v>0.975575145676018</v>
      </c>
      <c r="HH283" s="150" t="n">
        <f aca="false">IF($FJ283+HH$244&gt;73,"",PRODUCT(INDEX($T$19:$T$93,HH$244):INDEX($T$19:$T$93,HH$244+$FJ283-1)))</f>
        <v>0.971474731959233</v>
      </c>
      <c r="HI283" s="150" t="n">
        <f aca="false">IF($FJ283+HI$244&gt;73,"",PRODUCT(INDEX($T$19:$T$93,HI$244):INDEX($T$19:$T$93,HI$244+$FJ283-1)))</f>
        <v>0.966694563254992</v>
      </c>
      <c r="HJ283" s="150" t="n">
        <f aca="false">IF($FJ283+HJ$244&gt;73,"",PRODUCT(INDEX($T$19:$T$93,HJ$244):INDEX($T$19:$T$93,HJ$244+$FJ283-1)))</f>
        <v>0.961125178948916</v>
      </c>
      <c r="HK283" s="150" t="n">
        <f aca="false">IF($FJ283+HK$244&gt;73,"",PRODUCT(INDEX($T$19:$T$93,HK$244):INDEX($T$19:$T$93,HK$244+$FJ283-1)))</f>
        <v>0.954640706340307</v>
      </c>
      <c r="HL283" s="150" t="n">
        <f aca="false">IF($FJ283+HL$244&gt;73,"",PRODUCT(INDEX($T$19:$T$93,HL$244):INDEX($T$19:$T$93,HL$244+$FJ283-1)))</f>
        <v>0.947096864594493</v>
      </c>
      <c r="HM283" s="150" t="n">
        <f aca="false">IF($FJ283+HM$244&gt;73,"",PRODUCT(INDEX($T$19:$T$93,HM$244):INDEX($T$19:$T$93,HM$244+$FJ283-1)))</f>
        <v>0.938328913458323</v>
      </c>
      <c r="HN283" s="150" t="n">
        <f aca="false">IF($FJ283+HN$244&gt;73,"",PRODUCT(INDEX($T$19:$T$93,HN$244):INDEX($T$19:$T$93,HN$244+$FJ283-1)))</f>
        <v>0.928149636287636</v>
      </c>
      <c r="HO283" s="150" t="n">
        <f aca="false">IF($FJ283+HO$244&gt;73,"",PRODUCT(INDEX($T$19:$T$93,HO$244):INDEX($T$19:$T$93,HO$244+$FJ283-1)))</f>
        <v>0.916347494733179</v>
      </c>
      <c r="HP283" s="150" t="n">
        <f aca="false">IF($FJ283+HP$244&gt;73,"",PRODUCT(INDEX($T$19:$T$93,HP$244):INDEX($T$19:$T$93,HP$244+$FJ283-1)))</f>
        <v>0.902685157812672</v>
      </c>
      <c r="HQ283" s="150" t="n">
        <f aca="false">IF($FJ283+HQ$244&gt;73,"",PRODUCT(INDEX($T$19:$T$93,HQ$244):INDEX($T$19:$T$93,HQ$244+$FJ283-1)))</f>
        <v>0.886898695918061</v>
      </c>
      <c r="HR283" s="150" t="n">
        <f aca="false">IF($FJ283+HR$244&gt;73,"",PRODUCT(INDEX($T$19:$T$93,HR$244):INDEX($T$19:$T$93,HR$244+$FJ283-1)))</f>
        <v>0.868697845943458</v>
      </c>
      <c r="HS283" s="150" t="n">
        <f aca="false">IF($FJ283+HS$244&gt;73,"",PRODUCT(INDEX($T$19:$T$93,HS$244):INDEX($T$19:$T$93,HS$244+$FJ283-1)))</f>
        <v>0.847767902456757</v>
      </c>
      <c r="HT283" s="150" t="n">
        <f aca="false">IF($FJ283+HT$244&gt;73,"",PRODUCT(INDEX($T$19:$T$93,HT$244):INDEX($T$19:$T$93,HT$244+$FJ283-1)))</f>
        <v>0.823773975590175</v>
      </c>
      <c r="HU283" s="150" t="n">
        <f aca="false">IF($FJ283+HU$244&gt;73,"",PRODUCT(INDEX($T$19:$T$93,HU$244):INDEX($T$19:$T$93,HU$244+$FJ283-1)))</f>
        <v>0.796368579215341</v>
      </c>
      <c r="HV283" s="150" t="n">
        <f aca="false">IF($FJ283+HV$244&gt;73,"",PRODUCT(INDEX($T$19:$T$93,HV$244):INDEX($T$19:$T$93,HV$244+$FJ283-1)))</f>
        <v>0.765203765075957</v>
      </c>
      <c r="HW283" s="150" t="n">
        <f aca="false">IF($FJ283+HW$244&gt;73,"",PRODUCT(INDEX($T$19:$T$93,HW$244):INDEX($T$19:$T$93,HW$244+$FJ283-1)))</f>
        <v>0.729949276841639</v>
      </c>
      <c r="HX283" s="150" t="n">
        <f aca="false">IF($FJ283+HX$244&gt;73,"",PRODUCT(INDEX($T$19:$T$93,HX$244):INDEX($T$19:$T$93,HX$244+$FJ283-1)))</f>
        <v>0.690318413230007</v>
      </c>
      <c r="HY283" s="150" t="n">
        <f aca="false">IF($FJ283+HY$244&gt;73,"",PRODUCT(INDEX($T$19:$T$93,HY$244):INDEX($T$19:$T$93,HY$244+$FJ283-1)))</f>
        <v>0.646103369334058</v>
      </c>
      <c r="HZ283" s="150" t="n">
        <f aca="false">IF($FJ283+HZ$244&gt;73,"",PRODUCT(INDEX($T$19:$T$93,HZ$244):INDEX($T$19:$T$93,HZ$244+$FJ283-1)))</f>
        <v>0.597221612546942</v>
      </c>
      <c r="IA283" s="150" t="n">
        <f aca="false">IF($FJ283+IA$244&gt;73,"",PRODUCT(INDEX($T$19:$T$93,IA$244):INDEX($T$19:$T$93,IA$244+$FJ283-1)))</f>
        <v>0.543774093746051</v>
      </c>
      <c r="IB283" s="150" t="n">
        <f aca="false">IF($FJ283+IB$244&gt;73,"",PRODUCT(INDEX($T$19:$T$93,IB$244):INDEX($T$19:$T$93,IB$244+$FJ283-1)))</f>
        <v>0.486114428110946</v>
      </c>
      <c r="IC283" s="150" t="n">
        <f aca="false">IF($FJ283+IC$244&gt;73,"",PRODUCT(INDEX($T$19:$T$93,IC$244):INDEX($T$19:$T$93,IC$244+$FJ283-1)))</f>
        <v>0.42492511572887</v>
      </c>
      <c r="ID283" s="572" t="n">
        <f aca="false">IF($FJ283+ID$244&gt;73,"",PRODUCT(INDEX($T$19:$T$93,ID$244):INDEX($T$19:$T$93,ID$244+$FJ283-1)))</f>
        <v>0.361291864922351</v>
      </c>
      <c r="IE283" s="129"/>
    </row>
    <row r="284" customFormat="false" ht="12.75" hidden="false" customHeight="false" outlineLevel="0" collapsed="false">
      <c r="I284" s="735"/>
      <c r="J284" s="727"/>
      <c r="K284" s="728"/>
      <c r="L284" s="195"/>
      <c r="M284" s="729"/>
      <c r="P284" s="727"/>
      <c r="S284" s="1"/>
      <c r="T284" s="727"/>
      <c r="U284" s="195"/>
      <c r="V284" s="195"/>
      <c r="W284" s="195"/>
      <c r="X284" s="195"/>
      <c r="Y284" s="195"/>
      <c r="Z284" s="195"/>
      <c r="AA284" s="195"/>
      <c r="AB284" s="195"/>
      <c r="AC284" s="195"/>
      <c r="AD284" s="195"/>
      <c r="AE284" s="195"/>
      <c r="AF284" s="195"/>
      <c r="AG284" s="195"/>
      <c r="AH284" s="195"/>
      <c r="AI284" s="195"/>
      <c r="AJ284" s="195"/>
      <c r="AK284" s="195"/>
      <c r="AL284" s="195"/>
      <c r="AM284" s="195"/>
      <c r="AN284" s="195"/>
      <c r="AO284" s="532"/>
      <c r="AP284" s="195"/>
      <c r="AQ284" s="532"/>
      <c r="AR284" s="195"/>
      <c r="AS284" s="195"/>
      <c r="AT284" s="240"/>
      <c r="AU284" s="240"/>
      <c r="AV284" s="240"/>
      <c r="AW284" s="730"/>
      <c r="AX284" s="730"/>
      <c r="AY284" s="730"/>
      <c r="AZ284" s="730"/>
      <c r="BA284" s="468"/>
      <c r="BB284" s="468"/>
      <c r="BC284" s="240"/>
      <c r="BD284" s="240"/>
      <c r="BE284" s="240"/>
      <c r="BF284" s="672"/>
      <c r="BG284" s="672"/>
      <c r="BH284" s="672"/>
      <c r="BI284" s="731"/>
      <c r="BJ284" s="672"/>
      <c r="BK284" s="672"/>
      <c r="BL284" s="240"/>
      <c r="BM284" s="736"/>
      <c r="BN284" s="240"/>
      <c r="BO284" s="240"/>
      <c r="BP284" s="240"/>
      <c r="BQ284" s="240"/>
      <c r="BR284" s="240"/>
      <c r="BS284" s="240"/>
      <c r="BT284" s="240"/>
      <c r="BU284" s="240"/>
      <c r="BV284" s="240"/>
      <c r="BW284" s="240"/>
      <c r="BX284" s="240"/>
      <c r="BY284" s="240"/>
      <c r="BZ284" s="240"/>
      <c r="CA284" s="240"/>
      <c r="CB284" s="240"/>
      <c r="CC284" s="240"/>
      <c r="CD284" s="672"/>
      <c r="CE284" s="672"/>
      <c r="CF284" s="672"/>
      <c r="CG284" s="672"/>
      <c r="CH284" s="672"/>
      <c r="CI284" s="672"/>
      <c r="CJ284" s="240"/>
      <c r="CK284" s="240"/>
      <c r="CL284" s="240"/>
      <c r="CM284" s="240"/>
      <c r="CN284" s="240"/>
      <c r="CO284" s="240"/>
      <c r="CP284" s="240"/>
      <c r="CQ284" s="240"/>
      <c r="CR284" s="240"/>
      <c r="CS284" s="240"/>
      <c r="CT284" s="240"/>
      <c r="CU284" s="240"/>
      <c r="CV284" s="240"/>
      <c r="CW284" s="240"/>
      <c r="CX284" s="240"/>
      <c r="CY284" s="240"/>
      <c r="CZ284" s="240"/>
      <c r="DA284" s="240"/>
      <c r="DB284" s="240"/>
      <c r="DC284" s="240"/>
      <c r="DD284" s="240"/>
      <c r="DE284" s="240"/>
      <c r="DF284" s="240"/>
      <c r="DG284" s="240"/>
      <c r="DH284" s="478"/>
      <c r="DI284" s="733"/>
      <c r="DJ284" s="733"/>
      <c r="DK284" s="478"/>
      <c r="DL284" s="3"/>
      <c r="DM284" s="4"/>
      <c r="DN284" s="4"/>
      <c r="DO284" s="4"/>
      <c r="DP284" s="4"/>
      <c r="DQ284" s="4"/>
      <c r="DR284" s="4"/>
      <c r="DS284" s="4"/>
      <c r="DU284" s="195"/>
      <c r="DV284" s="195"/>
      <c r="DW284" s="195"/>
      <c r="DX284" s="195"/>
      <c r="DY284" s="195"/>
      <c r="DZ284" s="195"/>
      <c r="EA284" s="195"/>
      <c r="EB284" s="195"/>
      <c r="EC284" s="195"/>
      <c r="ED284" s="195"/>
      <c r="EE284" s="195"/>
      <c r="EF284" s="195"/>
      <c r="EG284" s="195"/>
      <c r="EL284" s="1"/>
      <c r="EM284" s="195"/>
      <c r="EN284" s="240"/>
      <c r="EO284" s="731"/>
      <c r="EP284" s="195"/>
      <c r="EQ284" s="240"/>
      <c r="ER284" s="195"/>
      <c r="ES284" s="195"/>
      <c r="ET284" s="195"/>
      <c r="EU284" s="672"/>
      <c r="FJ284" s="571" t="n">
        <v>40</v>
      </c>
      <c r="FK284" s="150" t="str">
        <f aca="false">IF($FJ284+FK$244&gt;73,"",PRODUCT(INDEX($T$19:$T$93,FK$244):INDEX($T$19:$T$93,FK$244+$FJ284-1)))</f>
        <v/>
      </c>
      <c r="FL284" s="150" t="str">
        <f aca="false">IF($FJ284+FL$244&gt;73,"",PRODUCT(INDEX($T$19:$T$93,FL$244):INDEX($T$19:$T$93,FL$244+$FJ284-1)))</f>
        <v/>
      </c>
      <c r="FM284" s="150" t="str">
        <f aca="false">IF($FJ284+FM$244&gt;73,"",PRODUCT(INDEX($T$19:$T$93,FM$244):INDEX($T$19:$T$93,FM$244+$FJ284-1)))</f>
        <v/>
      </c>
      <c r="FN284" s="150" t="str">
        <f aca="false">IF($FJ284+FN$244&gt;73,"",PRODUCT(INDEX($T$19:$T$93,FN$244):INDEX($T$19:$T$93,FN$244+$FJ284-1)))</f>
        <v/>
      </c>
      <c r="FO284" s="150" t="str">
        <f aca="false">IF($FJ284+FO$244&gt;73,"",PRODUCT(INDEX($T$19:$T$93,FO$244):INDEX($T$19:$T$93,FO$244+$FJ284-1)))</f>
        <v/>
      </c>
      <c r="FP284" s="150" t="str">
        <f aca="false">IF($FJ284+FP$244&gt;73,"",PRODUCT(INDEX($T$19:$T$93,FP$244):INDEX($T$19:$T$93,FP$244+$FJ284-1)))</f>
        <v/>
      </c>
      <c r="FQ284" s="150" t="str">
        <f aca="false">IF($FJ284+FQ$244&gt;73,"",PRODUCT(INDEX($T$19:$T$93,FQ$244):INDEX($T$19:$T$93,FQ$244+$FJ284-1)))</f>
        <v/>
      </c>
      <c r="FR284" s="150" t="str">
        <f aca="false">IF($FJ284+FR$244&gt;73,"",PRODUCT(INDEX($T$19:$T$93,FR$244):INDEX($T$19:$T$93,FR$244+$FJ284-1)))</f>
        <v/>
      </c>
      <c r="FS284" s="150" t="str">
        <f aca="false">IF($FJ284+FS$244&gt;73,"",PRODUCT(INDEX($T$19:$T$93,FS$244):INDEX($T$19:$T$93,FS$244+$FJ284-1)))</f>
        <v/>
      </c>
      <c r="FT284" s="150" t="str">
        <f aca="false">IF($FJ284+FT$244&gt;73,"",PRODUCT(INDEX($T$19:$T$93,FT$244):INDEX($T$19:$T$93,FT$244+$FJ284-1)))</f>
        <v/>
      </c>
      <c r="FU284" s="150" t="str">
        <f aca="false">IF($FJ284+FU$244&gt;73,"",PRODUCT(INDEX($T$19:$T$93,FU$244):INDEX($T$19:$T$93,FU$244+$FJ284-1)))</f>
        <v/>
      </c>
      <c r="FV284" s="150" t="str">
        <f aca="false">IF($FJ284+FV$244&gt;73,"",PRODUCT(INDEX($T$19:$T$93,FV$244):INDEX($T$19:$T$93,FV$244+$FJ284-1)))</f>
        <v/>
      </c>
      <c r="FW284" s="150" t="str">
        <f aca="false">IF($FJ284+FW$244&gt;73,"",PRODUCT(INDEX($T$19:$T$93,FW$244):INDEX($T$19:$T$93,FW$244+$FJ284-1)))</f>
        <v/>
      </c>
      <c r="FX284" s="150" t="str">
        <f aca="false">IF($FJ284+FX$244&gt;73,"",PRODUCT(INDEX($T$19:$T$93,FX$244):INDEX($T$19:$T$93,FX$244+$FJ284-1)))</f>
        <v/>
      </c>
      <c r="FY284" s="150" t="str">
        <f aca="false">IF($FJ284+FY$244&gt;73,"",PRODUCT(INDEX($T$19:$T$93,FY$244):INDEX($T$19:$T$93,FY$244+$FJ284-1)))</f>
        <v/>
      </c>
      <c r="FZ284" s="150" t="str">
        <f aca="false">IF($FJ284+FZ$244&gt;73,"",PRODUCT(INDEX($T$19:$T$93,FZ$244):INDEX($T$19:$T$93,FZ$244+$FJ284-1)))</f>
        <v/>
      </c>
      <c r="GA284" s="150" t="str">
        <f aca="false">IF($FJ284+GA$244&gt;73,"",PRODUCT(INDEX($T$19:$T$93,GA$244):INDEX($T$19:$T$93,GA$244+$FJ284-1)))</f>
        <v/>
      </c>
      <c r="GB284" s="150" t="str">
        <f aca="false">IF($FJ284+GB$244&gt;73,"",PRODUCT(INDEX($T$19:$T$93,GB$244):INDEX($T$19:$T$93,GB$244+$FJ284-1)))</f>
        <v/>
      </c>
      <c r="GC284" s="150" t="str">
        <f aca="false">IF($FJ284+GC$244&gt;73,"",PRODUCT(INDEX($T$19:$T$93,GC$244):INDEX($T$19:$T$93,GC$244+$FJ284-1)))</f>
        <v/>
      </c>
      <c r="GD284" s="150" t="str">
        <f aca="false">IF($FJ284+GD$244&gt;73,"",PRODUCT(INDEX($T$19:$T$93,GD$244):INDEX($T$19:$T$93,GD$244+$FJ284-1)))</f>
        <v/>
      </c>
      <c r="GE284" s="150" t="str">
        <f aca="false">IF($FJ284+GE$244&gt;73,"",PRODUCT(INDEX($T$19:$T$93,GE$244):INDEX($T$19:$T$93,GE$244+$FJ284-1)))</f>
        <v/>
      </c>
      <c r="GF284" s="150" t="str">
        <f aca="false">IF($FJ284+GF$244&gt;73,"",PRODUCT(INDEX($T$19:$T$93,GF$244):INDEX($T$19:$T$93,GF$244+$FJ284-1)))</f>
        <v/>
      </c>
      <c r="GG284" s="150" t="str">
        <f aca="false">IF($FJ284+GG$244&gt;73,"",PRODUCT(INDEX($T$19:$T$93,GG$244):INDEX($T$19:$T$93,GG$244+$FJ284-1)))</f>
        <v/>
      </c>
      <c r="GH284" s="150" t="str">
        <f aca="false">IF($FJ284+GH$244&gt;73,"",PRODUCT(INDEX($T$19:$T$93,GH$244):INDEX($T$19:$T$93,GH$244+$FJ284-1)))</f>
        <v/>
      </c>
      <c r="GI284" s="150" t="str">
        <f aca="false">IF($FJ284+GI$244&gt;73,"",PRODUCT(INDEX($T$19:$T$93,GI$244):INDEX($T$19:$T$93,GI$244+$FJ284-1)))</f>
        <v/>
      </c>
      <c r="GJ284" s="150" t="str">
        <f aca="false">IF($FJ284+GJ$244&gt;73,"",PRODUCT(INDEX($T$19:$T$93,GJ$244):INDEX($T$19:$T$93,GJ$244+$FJ284-1)))</f>
        <v/>
      </c>
      <c r="GK284" s="150" t="str">
        <f aca="false">IF($FJ284+GK$244&gt;73,"",PRODUCT(INDEX($T$19:$T$93,GK$244):INDEX($T$19:$T$93,GK$244+$FJ284-1)))</f>
        <v/>
      </c>
      <c r="GL284" s="150" t="str">
        <f aca="false">IF($FJ284+GL$244&gt;73,"",PRODUCT(INDEX($T$19:$T$93,GL$244):INDEX($T$19:$T$93,GL$244+$FJ284-1)))</f>
        <v/>
      </c>
      <c r="GM284" s="150" t="str">
        <f aca="false">IF($FJ284+GM$244&gt;73,"",PRODUCT(INDEX($T$19:$T$93,GM$244):INDEX($T$19:$T$93,GM$244+$FJ284-1)))</f>
        <v/>
      </c>
      <c r="GN284" s="150" t="str">
        <f aca="false">IF($FJ284+GN$244&gt;73,"",PRODUCT(INDEX($T$19:$T$93,GN$244):INDEX($T$19:$T$93,GN$244+$FJ284-1)))</f>
        <v/>
      </c>
      <c r="GO284" s="150" t="str">
        <f aca="false">IF($FJ284+GO$244&gt;73,"",PRODUCT(INDEX($T$19:$T$93,GO$244):INDEX($T$19:$T$93,GO$244+$FJ284-1)))</f>
        <v/>
      </c>
      <c r="GP284" s="150" t="str">
        <f aca="false">IF($FJ284+GP$244&gt;73,"",PRODUCT(INDEX($T$19:$T$93,GP$244):INDEX($T$19:$T$93,GP$244+$FJ284-1)))</f>
        <v/>
      </c>
      <c r="GQ284" s="150" t="str">
        <f aca="false">IF($FJ284+GQ$244&gt;73,"",PRODUCT(INDEX($T$19:$T$93,GQ$244):INDEX($T$19:$T$93,GQ$244+$FJ284-1)))</f>
        <v/>
      </c>
      <c r="GR284" s="150" t="str">
        <f aca="false">IF($FJ284+GR$244&gt;73,"",PRODUCT(INDEX($T$19:$T$93,GR$244):INDEX($T$19:$T$93,GR$244+$FJ284-1)))</f>
        <v/>
      </c>
      <c r="GS284" s="150" t="str">
        <f aca="false">IF($FJ284+GS$244&gt;73,"",PRODUCT(INDEX($T$19:$T$93,GS$244):INDEX($T$19:$T$93,GS$244+$FJ284-1)))</f>
        <v/>
      </c>
      <c r="GT284" s="150" t="str">
        <f aca="false">IF($FJ284+GT$244&gt;73,"",PRODUCT(INDEX($T$19:$T$93,GT$244):INDEX($T$19:$T$93,GT$244+$FJ284-1)))</f>
        <v/>
      </c>
      <c r="GU284" s="150" t="str">
        <f aca="false">IF($FJ284+GU$244&gt;73,"",PRODUCT(INDEX($T$19:$T$93,GU$244):INDEX($T$19:$T$93,GU$244+$FJ284-1)))</f>
        <v/>
      </c>
      <c r="GV284" s="150" t="str">
        <f aca="false">IF($FJ284+GV$244&gt;73,"",PRODUCT(INDEX($T$19:$T$93,GV$244):INDEX($T$19:$T$93,GV$244+$FJ284-1)))</f>
        <v/>
      </c>
      <c r="GW284" s="150" t="str">
        <f aca="false">IF($FJ284+GW$244&gt;73,"",PRODUCT(INDEX($T$19:$T$93,GW$244):INDEX($T$19:$T$93,GW$244+$FJ284-1)))</f>
        <v/>
      </c>
      <c r="GX284" s="150" t="n">
        <f aca="false">IF($FJ284+GX$244&gt;73,"",PRODUCT(INDEX($T$19:$T$93,GX$244):INDEX($T$19:$T$93,GX$244+$FJ284-1)))</f>
        <v>0.993996132918809</v>
      </c>
      <c r="GY284" s="150" t="n">
        <f aca="false">IF($FJ284+GY$244&gt;73,"",PRODUCT(INDEX($T$19:$T$93,GY$244):INDEX($T$19:$T$93,GY$244+$FJ284-1)))</f>
        <v>0.992980300641578</v>
      </c>
      <c r="GZ284" s="150" t="n">
        <f aca="false">IF($FJ284+GZ$244&gt;73,"",PRODUCT(INDEX($T$19:$T$93,GZ$244):INDEX($T$19:$T$93,GZ$244+$FJ284-1)))</f>
        <v>0.991793086194008</v>
      </c>
      <c r="HA284" s="150" t="n">
        <f aca="false">IF($FJ284+HA$244&gt;73,"",PRODUCT(INDEX($T$19:$T$93,HA$244):INDEX($T$19:$T$93,HA$244+$FJ284-1)))</f>
        <v>0.990405760811998</v>
      </c>
      <c r="HB284" s="150" t="n">
        <f aca="false">IF($FJ284+HB$244&gt;73,"",PRODUCT(INDEX($T$19:$T$93,HB$244):INDEX($T$19:$T$93,HB$244+$FJ284-1)))</f>
        <v>0.988784849561671</v>
      </c>
      <c r="HC284" s="150" t="n">
        <f aca="false">IF($FJ284+HC$244&gt;73,"",PRODUCT(INDEX($T$19:$T$93,HC$244):INDEX($T$19:$T$93,HC$244+$FJ284-1)))</f>
        <v>0.986891373468635</v>
      </c>
      <c r="HD284" s="150" t="n">
        <f aca="false">IF($FJ284+HD$244&gt;73,"",PRODUCT(INDEX($T$19:$T$93,HD$244):INDEX($T$19:$T$93,HD$244+$FJ284-1)))</f>
        <v>0.984679980600658</v>
      </c>
      <c r="HE284" s="150" t="n">
        <f aca="false">IF($FJ284+HE$244&gt;73,"",PRODUCT(INDEX($T$19:$T$93,HE$244):INDEX($T$19:$T$93,HE$244+$FJ284-1)))</f>
        <v>0.982097953725563</v>
      </c>
      <c r="HF284" s="150" t="n">
        <f aca="false">IF($FJ284+HF$244&gt;73,"",PRODUCT(INDEX($T$19:$T$93,HF$244):INDEX($T$19:$T$93,HF$244+$FJ284-1)))</f>
        <v>0.979084082425423</v>
      </c>
      <c r="HG284" s="150" t="n">
        <f aca="false">IF($FJ284+HG$244&gt;73,"",PRODUCT(INDEX($T$19:$T$93,HG$244):INDEX($T$19:$T$93,HG$244+$FJ284-1)))</f>
        <v>0.975567388698594</v>
      </c>
      <c r="HH284" s="150" t="n">
        <f aca="false">IF($FJ284+HH$244&gt;73,"",PRODUCT(INDEX($T$19:$T$93,HH$244):INDEX($T$19:$T$93,HH$244+$FJ284-1)))</f>
        <v>0.971465697568723</v>
      </c>
      <c r="HI284" s="150" t="n">
        <f aca="false">IF($FJ284+HI$244&gt;73,"",PRODUCT(INDEX($T$19:$T$93,HI$244):INDEX($T$19:$T$93,HI$244+$FJ284-1)))</f>
        <v>0.966684048663183</v>
      </c>
      <c r="HJ284" s="150" t="n">
        <f aca="false">IF($FJ284+HJ$244&gt;73,"",PRODUCT(INDEX($T$19:$T$93,HJ$244):INDEX($T$19:$T$93,HJ$244+$FJ284-1)))</f>
        <v>0.961112951969964</v>
      </c>
      <c r="HK284" s="150" t="n">
        <f aca="false">IF($FJ284+HK$244&gt;73,"",PRODUCT(INDEX($T$19:$T$93,HK$244):INDEX($T$19:$T$93,HK$244+$FJ284-1)))</f>
        <v>0.954626502180665</v>
      </c>
      <c r="HL284" s="150" t="n">
        <f aca="false">IF($FJ284+HL$244&gt;73,"",PRODUCT(INDEX($T$19:$T$93,HL$244):INDEX($T$19:$T$93,HL$244+$FJ284-1)))</f>
        <v>0.947080382714618</v>
      </c>
      <c r="HM284" s="150" t="n">
        <f aca="false">IF($FJ284+HM$244&gt;73,"",PRODUCT(INDEX($T$19:$T$93,HM$244):INDEX($T$19:$T$93,HM$244+$FJ284-1)))</f>
        <v>0.938309814722937</v>
      </c>
      <c r="HN284" s="150" t="n">
        <f aca="false">IF($FJ284+HN$244&gt;73,"",PRODUCT(INDEX($T$19:$T$93,HN$244):INDEX($T$19:$T$93,HN$244+$FJ284-1)))</f>
        <v>0.928127540720304</v>
      </c>
      <c r="HO284" s="150" t="n">
        <f aca="false">IF($FJ284+HO$244&gt;73,"",PRODUCT(INDEX($T$19:$T$93,HO$244):INDEX($T$19:$T$93,HO$244+$FJ284-1)))</f>
        <v>0.916321980322057</v>
      </c>
      <c r="HP284" s="150" t="n">
        <f aca="false">IF($FJ284+HP$244&gt;73,"",PRODUCT(INDEX($T$19:$T$93,HP$244):INDEX($T$19:$T$93,HP$244+$FJ284-1)))</f>
        <v>0.902655760984276</v>
      </c>
      <c r="HQ284" s="150" t="n">
        <f aca="false">IF($FJ284+HQ$244&gt;73,"",PRODUCT(INDEX($T$19:$T$93,HQ$244):INDEX($T$19:$T$93,HQ$244+$FJ284-1)))</f>
        <v>0.886864914510874</v>
      </c>
      <c r="HR284" s="150" t="n">
        <f aca="false">IF($FJ284+HR$244&gt;73,"",PRODUCT(INDEX($T$19:$T$93,HR$244):INDEX($T$19:$T$93,HR$244+$FJ284-1)))</f>
        <v>0.868659145776641</v>
      </c>
      <c r="HS284" s="150" t="n">
        <f aca="false">IF($FJ284+HS$244&gt;73,"",PRODUCT(INDEX($T$19:$T$93,HS$244):INDEX($T$19:$T$93,HS$244+$FJ284-1)))</f>
        <v>0.847723728898498</v>
      </c>
      <c r="HT284" s="150" t="n">
        <f aca="false">IF($FJ284+HT$244&gt;73,"",PRODUCT(INDEX($T$19:$T$93,HT$244):INDEX($T$19:$T$93,HT$244+$FJ284-1)))</f>
        <v>0.823723771870813</v>
      </c>
      <c r="HU284" s="150" t="n">
        <f aca="false">IF($FJ284+HU$244&gt;73,"",PRODUCT(INDEX($T$19:$T$93,HU$244):INDEX($T$19:$T$93,HU$244+$FJ284-1)))</f>
        <v>0.796311813566882</v>
      </c>
      <c r="HV284" s="150" t="n">
        <f aca="false">IF($FJ284+HV$244&gt;73,"",PRODUCT(INDEX($T$19:$T$93,HV$244):INDEX($T$19:$T$93,HV$244+$FJ284-1)))</f>
        <v>0.765139969041939</v>
      </c>
      <c r="HW284" s="150" t="n">
        <f aca="false">IF($FJ284+HW$244&gt;73,"",PRODUCT(INDEX($T$19:$T$93,HW$244):INDEX($T$19:$T$93,HW$244+$FJ284-1)))</f>
        <v>0.729878097165465</v>
      </c>
      <c r="HX284" s="150" t="n">
        <f aca="false">IF($FJ284+HX$244&gt;73,"",PRODUCT(INDEX($T$19:$T$93,HX$244):INDEX($T$19:$T$93,HX$244+$FJ284-1)))</f>
        <v>0.690239679393225</v>
      </c>
      <c r="HY284" s="150" t="n">
        <f aca="false">IF($FJ284+HY$244&gt;73,"",PRODUCT(INDEX($T$19:$T$93,HY$244):INDEX($T$19:$T$93,HY$244+$FJ284-1)))</f>
        <v>0.646017177769087</v>
      </c>
      <c r="HZ284" s="150" t="n">
        <f aca="false">IF($FJ284+HZ$244&gt;73,"",PRODUCT(INDEX($T$19:$T$93,HZ$244):INDEX($T$19:$T$93,HZ$244+$FJ284-1)))</f>
        <v>0.597128426353825</v>
      </c>
      <c r="IA284" s="150" t="n">
        <f aca="false">IF($FJ284+IA$244&gt;73,"",PRODUCT(INDEX($T$19:$T$93,IA$244):INDEX($T$19:$T$93,IA$244+$FJ284-1)))</f>
        <v>0.543674852839609</v>
      </c>
      <c r="IB284" s="150" t="n">
        <f aca="false">IF($FJ284+IB$244&gt;73,"",PRODUCT(INDEX($T$19:$T$93,IB$244):INDEX($T$19:$T$93,IB$244+$FJ284-1)))</f>
        <v>0.486010658506641</v>
      </c>
      <c r="IC284" s="150" t="n">
        <f aca="false">IF($FJ284+IC$244&gt;73,"",PRODUCT(INDEX($T$19:$T$93,IC$244):INDEX($T$19:$T$93,IC$244+$FJ284-1)))</f>
        <v>0.424819017712443</v>
      </c>
      <c r="ID284" s="572" t="n">
        <f aca="false">IF($FJ284+ID$244&gt;73,"",PRODUCT(INDEX($T$19:$T$93,ID$244):INDEX($T$19:$T$93,ID$244+$FJ284-1)))</f>
        <v>0.361186348369539</v>
      </c>
      <c r="IE284" s="129"/>
    </row>
    <row r="285" customFormat="false" ht="12.75" hidden="false" customHeight="false" outlineLevel="0" collapsed="false">
      <c r="I285" s="735"/>
      <c r="J285" s="727"/>
      <c r="K285" s="728"/>
      <c r="L285" s="195"/>
      <c r="M285" s="729"/>
      <c r="P285" s="727"/>
      <c r="S285" s="1"/>
      <c r="T285" s="727"/>
      <c r="U285" s="195"/>
      <c r="V285" s="195"/>
      <c r="W285" s="195"/>
      <c r="X285" s="195"/>
      <c r="Y285" s="195"/>
      <c r="Z285" s="195"/>
      <c r="AA285" s="195"/>
      <c r="AB285" s="195"/>
      <c r="AC285" s="195"/>
      <c r="AD285" s="195"/>
      <c r="AE285" s="195"/>
      <c r="AF285" s="195"/>
      <c r="AG285" s="195"/>
      <c r="AH285" s="195"/>
      <c r="AI285" s="195"/>
      <c r="AJ285" s="195"/>
      <c r="AK285" s="195"/>
      <c r="AL285" s="195"/>
      <c r="AM285" s="195"/>
      <c r="AN285" s="195"/>
      <c r="AO285" s="532"/>
      <c r="AP285" s="195"/>
      <c r="AQ285" s="532"/>
      <c r="AR285" s="195"/>
      <c r="AS285" s="195"/>
      <c r="AT285" s="240"/>
      <c r="AU285" s="240"/>
      <c r="AV285" s="240"/>
      <c r="AW285" s="730"/>
      <c r="AX285" s="730"/>
      <c r="AY285" s="730"/>
      <c r="AZ285" s="730"/>
      <c r="BA285" s="468"/>
      <c r="BB285" s="468"/>
      <c r="BC285" s="240"/>
      <c r="BD285" s="240"/>
      <c r="BE285" s="240"/>
      <c r="BF285" s="672"/>
      <c r="BG285" s="672"/>
      <c r="BH285" s="672"/>
      <c r="BI285" s="731"/>
      <c r="BJ285" s="672"/>
      <c r="BK285" s="672"/>
      <c r="BL285" s="240"/>
      <c r="BM285" s="736"/>
      <c r="BN285" s="240"/>
      <c r="BO285" s="240"/>
      <c r="BP285" s="240"/>
      <c r="BQ285" s="240"/>
      <c r="BR285" s="240"/>
      <c r="BS285" s="240"/>
      <c r="BT285" s="240"/>
      <c r="BU285" s="240"/>
      <c r="BV285" s="240"/>
      <c r="BW285" s="240"/>
      <c r="BX285" s="240"/>
      <c r="BY285" s="240"/>
      <c r="BZ285" s="240"/>
      <c r="CA285" s="240"/>
      <c r="CB285" s="240"/>
      <c r="CC285" s="240"/>
      <c r="CD285" s="672"/>
      <c r="CE285" s="672"/>
      <c r="CF285" s="672"/>
      <c r="CG285" s="672"/>
      <c r="CH285" s="672"/>
      <c r="CI285" s="672"/>
      <c r="CJ285" s="240"/>
      <c r="CK285" s="240"/>
      <c r="CL285" s="240"/>
      <c r="CM285" s="240"/>
      <c r="CN285" s="240"/>
      <c r="CO285" s="240"/>
      <c r="CP285" s="240"/>
      <c r="CQ285" s="240"/>
      <c r="CR285" s="240"/>
      <c r="CS285" s="240"/>
      <c r="CT285" s="240"/>
      <c r="CU285" s="240"/>
      <c r="CV285" s="240"/>
      <c r="CW285" s="240"/>
      <c r="CX285" s="240"/>
      <c r="CY285" s="240"/>
      <c r="CZ285" s="240"/>
      <c r="DA285" s="240"/>
      <c r="DB285" s="240"/>
      <c r="DC285" s="240"/>
      <c r="DD285" s="240"/>
      <c r="DE285" s="240"/>
      <c r="DF285" s="240"/>
      <c r="DG285" s="240"/>
      <c r="DH285" s="478"/>
      <c r="DI285" s="733"/>
      <c r="DJ285" s="733"/>
      <c r="DK285" s="478"/>
      <c r="DL285" s="3"/>
      <c r="DM285" s="4"/>
      <c r="DN285" s="4"/>
      <c r="DO285" s="4"/>
      <c r="DP285" s="4"/>
      <c r="DQ285" s="4"/>
      <c r="DR285" s="4"/>
      <c r="DS285" s="4"/>
      <c r="DU285" s="195"/>
      <c r="DV285" s="195"/>
      <c r="DW285" s="195"/>
      <c r="DX285" s="195"/>
      <c r="DY285" s="195"/>
      <c r="DZ285" s="195"/>
      <c r="EA285" s="195"/>
      <c r="EB285" s="195"/>
      <c r="EC285" s="195"/>
      <c r="ED285" s="195"/>
      <c r="EE285" s="195"/>
      <c r="EF285" s="195"/>
      <c r="EG285" s="195"/>
      <c r="EL285" s="1"/>
      <c r="EM285" s="195"/>
      <c r="EN285" s="240"/>
      <c r="EO285" s="731"/>
      <c r="EP285" s="195"/>
      <c r="EQ285" s="240"/>
      <c r="ER285" s="195"/>
      <c r="ES285" s="195"/>
      <c r="ET285" s="195"/>
      <c r="EU285" s="672"/>
      <c r="FJ285" s="571" t="n">
        <v>41</v>
      </c>
      <c r="FK285" s="150" t="str">
        <f aca="false">IF($FJ285+FK$244&gt;73,"",PRODUCT(INDEX($T$19:$T$93,FK$244):INDEX($T$19:$T$93,FK$244+$FJ285-1)))</f>
        <v/>
      </c>
      <c r="FL285" s="150" t="str">
        <f aca="false">IF($FJ285+FL$244&gt;73,"",PRODUCT(INDEX($T$19:$T$93,FL$244):INDEX($T$19:$T$93,FL$244+$FJ285-1)))</f>
        <v/>
      </c>
      <c r="FM285" s="150" t="str">
        <f aca="false">IF($FJ285+FM$244&gt;73,"",PRODUCT(INDEX($T$19:$T$93,FM$244):INDEX($T$19:$T$93,FM$244+$FJ285-1)))</f>
        <v/>
      </c>
      <c r="FN285" s="150" t="str">
        <f aca="false">IF($FJ285+FN$244&gt;73,"",PRODUCT(INDEX($T$19:$T$93,FN$244):INDEX($T$19:$T$93,FN$244+$FJ285-1)))</f>
        <v/>
      </c>
      <c r="FO285" s="150" t="str">
        <f aca="false">IF($FJ285+FO$244&gt;73,"",PRODUCT(INDEX($T$19:$T$93,FO$244):INDEX($T$19:$T$93,FO$244+$FJ285-1)))</f>
        <v/>
      </c>
      <c r="FP285" s="150" t="str">
        <f aca="false">IF($FJ285+FP$244&gt;73,"",PRODUCT(INDEX($T$19:$T$93,FP$244):INDEX($T$19:$T$93,FP$244+$FJ285-1)))</f>
        <v/>
      </c>
      <c r="FQ285" s="150" t="str">
        <f aca="false">IF($FJ285+FQ$244&gt;73,"",PRODUCT(INDEX($T$19:$T$93,FQ$244):INDEX($T$19:$T$93,FQ$244+$FJ285-1)))</f>
        <v/>
      </c>
      <c r="FR285" s="150" t="str">
        <f aca="false">IF($FJ285+FR$244&gt;73,"",PRODUCT(INDEX($T$19:$T$93,FR$244):INDEX($T$19:$T$93,FR$244+$FJ285-1)))</f>
        <v/>
      </c>
      <c r="FS285" s="150" t="str">
        <f aca="false">IF($FJ285+FS$244&gt;73,"",PRODUCT(INDEX($T$19:$T$93,FS$244):INDEX($T$19:$T$93,FS$244+$FJ285-1)))</f>
        <v/>
      </c>
      <c r="FT285" s="150" t="str">
        <f aca="false">IF($FJ285+FT$244&gt;73,"",PRODUCT(INDEX($T$19:$T$93,FT$244):INDEX($T$19:$T$93,FT$244+$FJ285-1)))</f>
        <v/>
      </c>
      <c r="FU285" s="150" t="str">
        <f aca="false">IF($FJ285+FU$244&gt;73,"",PRODUCT(INDEX($T$19:$T$93,FU$244):INDEX($T$19:$T$93,FU$244+$FJ285-1)))</f>
        <v/>
      </c>
      <c r="FV285" s="150" t="str">
        <f aca="false">IF($FJ285+FV$244&gt;73,"",PRODUCT(INDEX($T$19:$T$93,FV$244):INDEX($T$19:$T$93,FV$244+$FJ285-1)))</f>
        <v/>
      </c>
      <c r="FW285" s="150" t="str">
        <f aca="false">IF($FJ285+FW$244&gt;73,"",PRODUCT(INDEX($T$19:$T$93,FW$244):INDEX($T$19:$T$93,FW$244+$FJ285-1)))</f>
        <v/>
      </c>
      <c r="FX285" s="150" t="str">
        <f aca="false">IF($FJ285+FX$244&gt;73,"",PRODUCT(INDEX($T$19:$T$93,FX$244):INDEX($T$19:$T$93,FX$244+$FJ285-1)))</f>
        <v/>
      </c>
      <c r="FY285" s="150" t="str">
        <f aca="false">IF($FJ285+FY$244&gt;73,"",PRODUCT(INDEX($T$19:$T$93,FY$244):INDEX($T$19:$T$93,FY$244+$FJ285-1)))</f>
        <v/>
      </c>
      <c r="FZ285" s="150" t="str">
        <f aca="false">IF($FJ285+FZ$244&gt;73,"",PRODUCT(INDEX($T$19:$T$93,FZ$244):INDEX($T$19:$T$93,FZ$244+$FJ285-1)))</f>
        <v/>
      </c>
      <c r="GA285" s="150" t="str">
        <f aca="false">IF($FJ285+GA$244&gt;73,"",PRODUCT(INDEX($T$19:$T$93,GA$244):INDEX($T$19:$T$93,GA$244+$FJ285-1)))</f>
        <v/>
      </c>
      <c r="GB285" s="150" t="str">
        <f aca="false">IF($FJ285+GB$244&gt;73,"",PRODUCT(INDEX($T$19:$T$93,GB$244):INDEX($T$19:$T$93,GB$244+$FJ285-1)))</f>
        <v/>
      </c>
      <c r="GC285" s="150" t="str">
        <f aca="false">IF($FJ285+GC$244&gt;73,"",PRODUCT(INDEX($T$19:$T$93,GC$244):INDEX($T$19:$T$93,GC$244+$FJ285-1)))</f>
        <v/>
      </c>
      <c r="GD285" s="150" t="str">
        <f aca="false">IF($FJ285+GD$244&gt;73,"",PRODUCT(INDEX($T$19:$T$93,GD$244):INDEX($T$19:$T$93,GD$244+$FJ285-1)))</f>
        <v/>
      </c>
      <c r="GE285" s="150" t="str">
        <f aca="false">IF($FJ285+GE$244&gt;73,"",PRODUCT(INDEX($T$19:$T$93,GE$244):INDEX($T$19:$T$93,GE$244+$FJ285-1)))</f>
        <v/>
      </c>
      <c r="GF285" s="150" t="str">
        <f aca="false">IF($FJ285+GF$244&gt;73,"",PRODUCT(INDEX($T$19:$T$93,GF$244):INDEX($T$19:$T$93,GF$244+$FJ285-1)))</f>
        <v/>
      </c>
      <c r="GG285" s="150" t="str">
        <f aca="false">IF($FJ285+GG$244&gt;73,"",PRODUCT(INDEX($T$19:$T$93,GG$244):INDEX($T$19:$T$93,GG$244+$FJ285-1)))</f>
        <v/>
      </c>
      <c r="GH285" s="150" t="str">
        <f aca="false">IF($FJ285+GH$244&gt;73,"",PRODUCT(INDEX($T$19:$T$93,GH$244):INDEX($T$19:$T$93,GH$244+$FJ285-1)))</f>
        <v/>
      </c>
      <c r="GI285" s="150" t="str">
        <f aca="false">IF($FJ285+GI$244&gt;73,"",PRODUCT(INDEX($T$19:$T$93,GI$244):INDEX($T$19:$T$93,GI$244+$FJ285-1)))</f>
        <v/>
      </c>
      <c r="GJ285" s="150" t="str">
        <f aca="false">IF($FJ285+GJ$244&gt;73,"",PRODUCT(INDEX($T$19:$T$93,GJ$244):INDEX($T$19:$T$93,GJ$244+$FJ285-1)))</f>
        <v/>
      </c>
      <c r="GK285" s="150" t="str">
        <f aca="false">IF($FJ285+GK$244&gt;73,"",PRODUCT(INDEX($T$19:$T$93,GK$244):INDEX($T$19:$T$93,GK$244+$FJ285-1)))</f>
        <v/>
      </c>
      <c r="GL285" s="150" t="str">
        <f aca="false">IF($FJ285+GL$244&gt;73,"",PRODUCT(INDEX($T$19:$T$93,GL$244):INDEX($T$19:$T$93,GL$244+$FJ285-1)))</f>
        <v/>
      </c>
      <c r="GM285" s="150" t="str">
        <f aca="false">IF($FJ285+GM$244&gt;73,"",PRODUCT(INDEX($T$19:$T$93,GM$244):INDEX($T$19:$T$93,GM$244+$FJ285-1)))</f>
        <v/>
      </c>
      <c r="GN285" s="150" t="str">
        <f aca="false">IF($FJ285+GN$244&gt;73,"",PRODUCT(INDEX($T$19:$T$93,GN$244):INDEX($T$19:$T$93,GN$244+$FJ285-1)))</f>
        <v/>
      </c>
      <c r="GO285" s="150" t="str">
        <f aca="false">IF($FJ285+GO$244&gt;73,"",PRODUCT(INDEX($T$19:$T$93,GO$244):INDEX($T$19:$T$93,GO$244+$FJ285-1)))</f>
        <v/>
      </c>
      <c r="GP285" s="150" t="str">
        <f aca="false">IF($FJ285+GP$244&gt;73,"",PRODUCT(INDEX($T$19:$T$93,GP$244):INDEX($T$19:$T$93,GP$244+$FJ285-1)))</f>
        <v/>
      </c>
      <c r="GQ285" s="150" t="str">
        <f aca="false">IF($FJ285+GQ$244&gt;73,"",PRODUCT(INDEX($T$19:$T$93,GQ$244):INDEX($T$19:$T$93,GQ$244+$FJ285-1)))</f>
        <v/>
      </c>
      <c r="GR285" s="150" t="str">
        <f aca="false">IF($FJ285+GR$244&gt;73,"",PRODUCT(INDEX($T$19:$T$93,GR$244):INDEX($T$19:$T$93,GR$244+$FJ285-1)))</f>
        <v/>
      </c>
      <c r="GS285" s="150" t="str">
        <f aca="false">IF($FJ285+GS$244&gt;73,"",PRODUCT(INDEX($T$19:$T$93,GS$244):INDEX($T$19:$T$93,GS$244+$FJ285-1)))</f>
        <v/>
      </c>
      <c r="GT285" s="150" t="str">
        <f aca="false">IF($FJ285+GT$244&gt;73,"",PRODUCT(INDEX($T$19:$T$93,GT$244):INDEX($T$19:$T$93,GT$244+$FJ285-1)))</f>
        <v/>
      </c>
      <c r="GU285" s="150" t="str">
        <f aca="false">IF($FJ285+GU$244&gt;73,"",PRODUCT(INDEX($T$19:$T$93,GU$244):INDEX($T$19:$T$93,GU$244+$FJ285-1)))</f>
        <v/>
      </c>
      <c r="GV285" s="150" t="str">
        <f aca="false">IF($FJ285+GV$244&gt;73,"",PRODUCT(INDEX($T$19:$T$93,GV$244):INDEX($T$19:$T$93,GV$244+$FJ285-1)))</f>
        <v/>
      </c>
      <c r="GW285" s="150" t="str">
        <f aca="false">IF($FJ285+GW$244&gt;73,"",PRODUCT(INDEX($T$19:$T$93,GW$244):INDEX($T$19:$T$93,GW$244+$FJ285-1)))</f>
        <v/>
      </c>
      <c r="GX285" s="150" t="str">
        <f aca="false">IF($FJ285+GX$244&gt;73,"",PRODUCT(INDEX($T$19:$T$93,GX$244):INDEX($T$19:$T$93,GX$244+$FJ285-1)))</f>
        <v/>
      </c>
      <c r="GY285" s="150" t="n">
        <f aca="false">IF($FJ285+GY$244&gt;73,"",PRODUCT(INDEX($T$19:$T$93,GY$244):INDEX($T$19:$T$93,GY$244+$FJ285-1)))</f>
        <v>0.992978372853122</v>
      </c>
      <c r="GZ285" s="150" t="n">
        <f aca="false">IF($FJ285+GZ$244&gt;73,"",PRODUCT(INDEX($T$19:$T$93,GZ$244):INDEX($T$19:$T$93,GZ$244+$FJ285-1)))</f>
        <v>0.991790834163874</v>
      </c>
      <c r="HA285" s="150" t="n">
        <f aca="false">IF($FJ285+HA$244&gt;73,"",PRODUCT(INDEX($T$19:$T$93,HA$244):INDEX($T$19:$T$93,HA$244+$FJ285-1)))</f>
        <v>0.990403130539593</v>
      </c>
      <c r="HB285" s="150" t="n">
        <f aca="false">IF($FJ285+HB$244&gt;73,"",PRODUCT(INDEX($T$19:$T$93,HB$244):INDEX($T$19:$T$93,HB$244+$FJ285-1)))</f>
        <v>0.988781778249891</v>
      </c>
      <c r="HC285" s="150" t="n">
        <f aca="false">IF($FJ285+HC$244&gt;73,"",PRODUCT(INDEX($T$19:$T$93,HC$244):INDEX($T$19:$T$93,HC$244+$FJ285-1)))</f>
        <v>0.98688778816386</v>
      </c>
      <c r="HD285" s="150" t="n">
        <f aca="false">IF($FJ285+HD$244&gt;73,"",PRODUCT(INDEX($T$19:$T$93,HD$244):INDEX($T$19:$T$93,HD$244+$FJ285-1)))</f>
        <v>0.98467579664988</v>
      </c>
      <c r="HE285" s="150" t="n">
        <f aca="false">IF($FJ285+HE$244&gt;73,"",PRODUCT(INDEX($T$19:$T$93,HE$244):INDEX($T$19:$T$93,HE$244+$FJ285-1)))</f>
        <v>0.982093073036751</v>
      </c>
      <c r="HF285" s="150" t="n">
        <f aca="false">IF($FJ285+HF$244&gt;73,"",PRODUCT(INDEX($T$19:$T$93,HF$244):INDEX($T$19:$T$93,HF$244+$FJ285-1)))</f>
        <v>0.979078391520941</v>
      </c>
      <c r="HG285" s="150" t="n">
        <f aca="false">IF($FJ285+HG$244&gt;73,"",PRODUCT(INDEX($T$19:$T$93,HG$244):INDEX($T$19:$T$93,HG$244+$FJ285-1)))</f>
        <v>0.975560756557829</v>
      </c>
      <c r="HH285" s="150" t="n">
        <f aca="false">IF($FJ285+HH$244&gt;73,"",PRODUCT(INDEX($T$19:$T$93,HH$244):INDEX($T$19:$T$93,HH$244+$FJ285-1)))</f>
        <v>0.971457973266276</v>
      </c>
      <c r="HI285" s="150" t="n">
        <f aca="false">IF($FJ285+HI$244&gt;73,"",PRODUCT(INDEX($T$19:$T$93,HI$244):INDEX($T$19:$T$93,HI$244+$FJ285-1)))</f>
        <v>0.966675058824427</v>
      </c>
      <c r="HJ285" s="150" t="n">
        <f aca="false">IF($FJ285+HJ$244&gt;73,"",PRODUCT(INDEX($T$19:$T$93,HJ$244):INDEX($T$19:$T$93,HJ$244+$FJ285-1)))</f>
        <v>0.961102498088504</v>
      </c>
      <c r="HK285" s="150" t="n">
        <f aca="false">IF($FJ285+HK$244&gt;73,"",PRODUCT(INDEX($T$19:$T$93,HK$244):INDEX($T$19:$T$93,HK$244+$FJ285-1)))</f>
        <v>0.954614357874799</v>
      </c>
      <c r="HL285" s="150" t="n">
        <f aca="false">IF($FJ285+HL$244&gt;73,"",PRODUCT(INDEX($T$19:$T$93,HL$244):INDEX($T$19:$T$93,HL$244+$FJ285-1)))</f>
        <v>0.947066291045511</v>
      </c>
      <c r="HM285" s="150" t="n">
        <f aca="false">IF($FJ285+HM$244&gt;73,"",PRODUCT(INDEX($T$19:$T$93,HM$244):INDEX($T$19:$T$93,HM$244+$FJ285-1)))</f>
        <v>0.938293485759945</v>
      </c>
      <c r="HN285" s="150" t="n">
        <f aca="false">IF($FJ285+HN$244&gt;73,"",PRODUCT(INDEX($T$19:$T$93,HN$244):INDEX($T$19:$T$93,HN$244+$FJ285-1)))</f>
        <v>0.928108649623536</v>
      </c>
      <c r="HO285" s="150" t="n">
        <f aca="false">IF($FJ285+HO$244&gt;73,"",PRODUCT(INDEX($T$19:$T$93,HO$244):INDEX($T$19:$T$93,HO$244+$FJ285-1)))</f>
        <v>0.916300166324375</v>
      </c>
      <c r="HP285" s="150" t="n">
        <f aca="false">IF($FJ285+HP$244&gt;73,"",PRODUCT(INDEX($T$19:$T$93,HP$244):INDEX($T$19:$T$93,HP$244+$FJ285-1)))</f>
        <v>0.902630627800283</v>
      </c>
      <c r="HQ285" s="150" t="n">
        <f aca="false">IF($FJ285+HQ$244&gt;73,"",PRODUCT(INDEX($T$19:$T$93,HQ$244):INDEX($T$19:$T$93,HQ$244+$FJ285-1)))</f>
        <v>0.886836032884233</v>
      </c>
      <c r="HR285" s="150" t="n">
        <f aca="false">IF($FJ285+HR$244&gt;73,"",PRODUCT(INDEX($T$19:$T$93,HR$244):INDEX($T$19:$T$93,HR$244+$FJ285-1)))</f>
        <v>0.868626059102317</v>
      </c>
      <c r="HS285" s="150" t="n">
        <f aca="false">IF($FJ285+HS$244&gt;73,"",PRODUCT(INDEX($T$19:$T$93,HS$244):INDEX($T$19:$T$93,HS$244+$FJ285-1)))</f>
        <v>0.847685963120816</v>
      </c>
      <c r="HT285" s="150" t="n">
        <f aca="false">IF($FJ285+HT$244&gt;73,"",PRODUCT(INDEX($T$19:$T$93,HT$244):INDEX($T$19:$T$93,HT$244+$FJ285-1)))</f>
        <v>0.823680851149327</v>
      </c>
      <c r="HU285" s="150" t="n">
        <f aca="false">IF($FJ285+HU$244&gt;73,"",PRODUCT(INDEX($T$19:$T$93,HU$244):INDEX($T$19:$T$93,HU$244+$FJ285-1)))</f>
        <v>0.796263283489461</v>
      </c>
      <c r="HV285" s="150" t="n">
        <f aca="false">IF($FJ285+HV$244&gt;73,"",PRODUCT(INDEX($T$19:$T$93,HV$244):INDEX($T$19:$T$93,HV$244+$FJ285-1)))</f>
        <v>0.765085429388268</v>
      </c>
      <c r="HW285" s="150" t="n">
        <f aca="false">IF($FJ285+HW$244&gt;73,"",PRODUCT(INDEX($T$19:$T$93,HW$244):INDEX($T$19:$T$93,HW$244+$FJ285-1)))</f>
        <v>0.729817246278366</v>
      </c>
      <c r="HX285" s="150" t="n">
        <f aca="false">IF($FJ285+HX$244&gt;73,"",PRODUCT(INDEX($T$19:$T$93,HX$244):INDEX($T$19:$T$93,HX$244+$FJ285-1)))</f>
        <v>0.690172371926227</v>
      </c>
      <c r="HY285" s="150" t="n">
        <f aca="false">IF($FJ285+HY$244&gt;73,"",PRODUCT(INDEX($T$19:$T$93,HY$244):INDEX($T$19:$T$93,HY$244+$FJ285-1)))</f>
        <v>0.645943496682131</v>
      </c>
      <c r="HZ285" s="150" t="n">
        <f aca="false">IF($FJ285+HZ$244&gt;73,"",PRODUCT(INDEX($T$19:$T$93,HZ$244):INDEX($T$19:$T$93,HZ$244+$FJ285-1)))</f>
        <v>0.597048768150511</v>
      </c>
      <c r="IA285" s="150" t="n">
        <f aca="false">IF($FJ285+IA$244&gt;73,"",PRODUCT(INDEX($T$19:$T$93,IA$244):INDEX($T$19:$T$93,IA$244+$FJ285-1)))</f>
        <v>0.54359002170027</v>
      </c>
      <c r="IB285" s="150" t="n">
        <f aca="false">IF($FJ285+IB$244&gt;73,"",PRODUCT(INDEX($T$19:$T$93,IB$244):INDEX($T$19:$T$93,IB$244+$FJ285-1)))</f>
        <v>0.485921959653854</v>
      </c>
      <c r="IC285" s="150" t="n">
        <f aca="false">IF($FJ285+IC$244&gt;73,"",PRODUCT(INDEX($T$19:$T$93,IC$244):INDEX($T$19:$T$93,IC$244+$FJ285-1)))</f>
        <v>0.424728332682706</v>
      </c>
      <c r="ID285" s="572" t="n">
        <f aca="false">IF($FJ285+ID$244&gt;73,"",PRODUCT(INDEX($T$19:$T$93,ID$244):INDEX($T$19:$T$93,ID$244+$FJ285-1)))</f>
        <v>0.361096165055577</v>
      </c>
      <c r="IE285" s="129"/>
    </row>
    <row r="286" customFormat="false" ht="12.75" hidden="false" customHeight="false" outlineLevel="0" collapsed="false">
      <c r="I286" s="735"/>
      <c r="J286" s="727"/>
      <c r="K286" s="728"/>
      <c r="L286" s="195"/>
      <c r="M286" s="729"/>
      <c r="P286" s="727"/>
      <c r="S286" s="1"/>
      <c r="T286" s="727"/>
      <c r="U286" s="195"/>
      <c r="V286" s="195"/>
      <c r="W286" s="195"/>
      <c r="X286" s="195"/>
      <c r="Y286" s="195"/>
      <c r="Z286" s="195"/>
      <c r="AA286" s="195"/>
      <c r="AB286" s="195"/>
      <c r="AC286" s="195"/>
      <c r="AD286" s="195"/>
      <c r="AE286" s="195"/>
      <c r="AF286" s="195"/>
      <c r="AG286" s="195"/>
      <c r="AH286" s="195"/>
      <c r="AI286" s="195"/>
      <c r="AJ286" s="195"/>
      <c r="AK286" s="195"/>
      <c r="AL286" s="195"/>
      <c r="AM286" s="195"/>
      <c r="AN286" s="195"/>
      <c r="AO286" s="532"/>
      <c r="AP286" s="195"/>
      <c r="AQ286" s="532"/>
      <c r="AR286" s="195"/>
      <c r="AS286" s="195"/>
      <c r="AT286" s="240"/>
      <c r="AU286" s="240"/>
      <c r="AV286" s="240"/>
      <c r="AW286" s="730"/>
      <c r="AX286" s="730"/>
      <c r="AY286" s="730"/>
      <c r="AZ286" s="730"/>
      <c r="BA286" s="468"/>
      <c r="BB286" s="468"/>
      <c r="BC286" s="240"/>
      <c r="BD286" s="240"/>
      <c r="BE286" s="240"/>
      <c r="BF286" s="672"/>
      <c r="BG286" s="672"/>
      <c r="BH286" s="672"/>
      <c r="BI286" s="731"/>
      <c r="BJ286" s="672"/>
      <c r="BK286" s="672"/>
      <c r="BL286" s="240"/>
      <c r="BM286" s="736"/>
      <c r="BN286" s="240"/>
      <c r="BO286" s="240"/>
      <c r="BP286" s="240"/>
      <c r="BQ286" s="240"/>
      <c r="BR286" s="240"/>
      <c r="BS286" s="240"/>
      <c r="BT286" s="240"/>
      <c r="BU286" s="240"/>
      <c r="BV286" s="240"/>
      <c r="BW286" s="240"/>
      <c r="BX286" s="240"/>
      <c r="BY286" s="240"/>
      <c r="BZ286" s="240"/>
      <c r="CA286" s="240"/>
      <c r="CB286" s="240"/>
      <c r="CC286" s="240"/>
      <c r="CD286" s="672"/>
      <c r="CE286" s="672"/>
      <c r="CF286" s="672"/>
      <c r="CG286" s="672"/>
      <c r="CH286" s="672"/>
      <c r="CI286" s="672"/>
      <c r="CJ286" s="240"/>
      <c r="CK286" s="240"/>
      <c r="CL286" s="240"/>
      <c r="CM286" s="240"/>
      <c r="CN286" s="240"/>
      <c r="CO286" s="240"/>
      <c r="CP286" s="240"/>
      <c r="CQ286" s="240"/>
      <c r="CR286" s="240"/>
      <c r="CS286" s="240"/>
      <c r="CT286" s="240"/>
      <c r="CU286" s="240"/>
      <c r="CV286" s="240"/>
      <c r="CW286" s="240"/>
      <c r="CX286" s="240"/>
      <c r="CY286" s="240"/>
      <c r="CZ286" s="240"/>
      <c r="DA286" s="240"/>
      <c r="DB286" s="240"/>
      <c r="DC286" s="240"/>
      <c r="DD286" s="240"/>
      <c r="DE286" s="240"/>
      <c r="DF286" s="240"/>
      <c r="DG286" s="240"/>
      <c r="DH286" s="478"/>
      <c r="DI286" s="733"/>
      <c r="DJ286" s="733"/>
      <c r="DK286" s="478"/>
      <c r="DL286" s="3"/>
      <c r="DM286" s="4"/>
      <c r="DN286" s="4"/>
      <c r="DO286" s="4"/>
      <c r="DP286" s="4"/>
      <c r="DQ286" s="4"/>
      <c r="DR286" s="4"/>
      <c r="DS286" s="4"/>
      <c r="DU286" s="195"/>
      <c r="DV286" s="195"/>
      <c r="DW286" s="195"/>
      <c r="DX286" s="195"/>
      <c r="DY286" s="195"/>
      <c r="DZ286" s="195"/>
      <c r="EA286" s="195"/>
      <c r="EB286" s="195"/>
      <c r="EC286" s="195"/>
      <c r="ED286" s="195"/>
      <c r="EE286" s="195"/>
      <c r="EF286" s="195"/>
      <c r="EG286" s="195"/>
      <c r="EL286" s="1"/>
      <c r="EM286" s="195"/>
      <c r="EN286" s="240"/>
      <c r="EO286" s="731"/>
      <c r="EP286" s="195"/>
      <c r="EQ286" s="240"/>
      <c r="ER286" s="195"/>
      <c r="ES286" s="195"/>
      <c r="ET286" s="195"/>
      <c r="EU286" s="672"/>
      <c r="FJ286" s="571" t="n">
        <v>42</v>
      </c>
      <c r="FK286" s="150" t="str">
        <f aca="false">IF($FJ286+FK$244&gt;73,"",PRODUCT(INDEX($T$19:$T$93,FK$244):INDEX($T$19:$T$93,FK$244+$FJ286-1)))</f>
        <v/>
      </c>
      <c r="FL286" s="150" t="str">
        <f aca="false">IF($FJ286+FL$244&gt;73,"",PRODUCT(INDEX($T$19:$T$93,FL$244):INDEX($T$19:$T$93,FL$244+$FJ286-1)))</f>
        <v/>
      </c>
      <c r="FM286" s="150" t="str">
        <f aca="false">IF($FJ286+FM$244&gt;73,"",PRODUCT(INDEX($T$19:$T$93,FM$244):INDEX($T$19:$T$93,FM$244+$FJ286-1)))</f>
        <v/>
      </c>
      <c r="FN286" s="150" t="str">
        <f aca="false">IF($FJ286+FN$244&gt;73,"",PRODUCT(INDEX($T$19:$T$93,FN$244):INDEX($T$19:$T$93,FN$244+$FJ286-1)))</f>
        <v/>
      </c>
      <c r="FO286" s="150" t="str">
        <f aca="false">IF($FJ286+FO$244&gt;73,"",PRODUCT(INDEX($T$19:$T$93,FO$244):INDEX($T$19:$T$93,FO$244+$FJ286-1)))</f>
        <v/>
      </c>
      <c r="FP286" s="150" t="str">
        <f aca="false">IF($FJ286+FP$244&gt;73,"",PRODUCT(INDEX($T$19:$T$93,FP$244):INDEX($T$19:$T$93,FP$244+$FJ286-1)))</f>
        <v/>
      </c>
      <c r="FQ286" s="150" t="str">
        <f aca="false">IF($FJ286+FQ$244&gt;73,"",PRODUCT(INDEX($T$19:$T$93,FQ$244):INDEX($T$19:$T$93,FQ$244+$FJ286-1)))</f>
        <v/>
      </c>
      <c r="FR286" s="150" t="str">
        <f aca="false">IF($FJ286+FR$244&gt;73,"",PRODUCT(INDEX($T$19:$T$93,FR$244):INDEX($T$19:$T$93,FR$244+$FJ286-1)))</f>
        <v/>
      </c>
      <c r="FS286" s="150" t="str">
        <f aca="false">IF($FJ286+FS$244&gt;73,"",PRODUCT(INDEX($T$19:$T$93,FS$244):INDEX($T$19:$T$93,FS$244+$FJ286-1)))</f>
        <v/>
      </c>
      <c r="FT286" s="150" t="str">
        <f aca="false">IF($FJ286+FT$244&gt;73,"",PRODUCT(INDEX($T$19:$T$93,FT$244):INDEX($T$19:$T$93,FT$244+$FJ286-1)))</f>
        <v/>
      </c>
      <c r="FU286" s="150" t="str">
        <f aca="false">IF($FJ286+FU$244&gt;73,"",PRODUCT(INDEX($T$19:$T$93,FU$244):INDEX($T$19:$T$93,FU$244+$FJ286-1)))</f>
        <v/>
      </c>
      <c r="FV286" s="150" t="str">
        <f aca="false">IF($FJ286+FV$244&gt;73,"",PRODUCT(INDEX($T$19:$T$93,FV$244):INDEX($T$19:$T$93,FV$244+$FJ286-1)))</f>
        <v/>
      </c>
      <c r="FW286" s="150" t="str">
        <f aca="false">IF($FJ286+FW$244&gt;73,"",PRODUCT(INDEX($T$19:$T$93,FW$244):INDEX($T$19:$T$93,FW$244+$FJ286-1)))</f>
        <v/>
      </c>
      <c r="FX286" s="150" t="str">
        <f aca="false">IF($FJ286+FX$244&gt;73,"",PRODUCT(INDEX($T$19:$T$93,FX$244):INDEX($T$19:$T$93,FX$244+$FJ286-1)))</f>
        <v/>
      </c>
      <c r="FY286" s="150" t="str">
        <f aca="false">IF($FJ286+FY$244&gt;73,"",PRODUCT(INDEX($T$19:$T$93,FY$244):INDEX($T$19:$T$93,FY$244+$FJ286-1)))</f>
        <v/>
      </c>
      <c r="FZ286" s="150" t="str">
        <f aca="false">IF($FJ286+FZ$244&gt;73,"",PRODUCT(INDEX($T$19:$T$93,FZ$244):INDEX($T$19:$T$93,FZ$244+$FJ286-1)))</f>
        <v/>
      </c>
      <c r="GA286" s="150" t="str">
        <f aca="false">IF($FJ286+GA$244&gt;73,"",PRODUCT(INDEX($T$19:$T$93,GA$244):INDEX($T$19:$T$93,GA$244+$FJ286-1)))</f>
        <v/>
      </c>
      <c r="GB286" s="150" t="str">
        <f aca="false">IF($FJ286+GB$244&gt;73,"",PRODUCT(INDEX($T$19:$T$93,GB$244):INDEX($T$19:$T$93,GB$244+$FJ286-1)))</f>
        <v/>
      </c>
      <c r="GC286" s="150" t="str">
        <f aca="false">IF($FJ286+GC$244&gt;73,"",PRODUCT(INDEX($T$19:$T$93,GC$244):INDEX($T$19:$T$93,GC$244+$FJ286-1)))</f>
        <v/>
      </c>
      <c r="GD286" s="150" t="str">
        <f aca="false">IF($FJ286+GD$244&gt;73,"",PRODUCT(INDEX($T$19:$T$93,GD$244):INDEX($T$19:$T$93,GD$244+$FJ286-1)))</f>
        <v/>
      </c>
      <c r="GE286" s="150" t="str">
        <f aca="false">IF($FJ286+GE$244&gt;73,"",PRODUCT(INDEX($T$19:$T$93,GE$244):INDEX($T$19:$T$93,GE$244+$FJ286-1)))</f>
        <v/>
      </c>
      <c r="GF286" s="150" t="str">
        <f aca="false">IF($FJ286+GF$244&gt;73,"",PRODUCT(INDEX($T$19:$T$93,GF$244):INDEX($T$19:$T$93,GF$244+$FJ286-1)))</f>
        <v/>
      </c>
      <c r="GG286" s="150" t="str">
        <f aca="false">IF($FJ286+GG$244&gt;73,"",PRODUCT(INDEX($T$19:$T$93,GG$244):INDEX($T$19:$T$93,GG$244+$FJ286-1)))</f>
        <v/>
      </c>
      <c r="GH286" s="150" t="str">
        <f aca="false">IF($FJ286+GH$244&gt;73,"",PRODUCT(INDEX($T$19:$T$93,GH$244):INDEX($T$19:$T$93,GH$244+$FJ286-1)))</f>
        <v/>
      </c>
      <c r="GI286" s="150" t="str">
        <f aca="false">IF($FJ286+GI$244&gt;73,"",PRODUCT(INDEX($T$19:$T$93,GI$244):INDEX($T$19:$T$93,GI$244+$FJ286-1)))</f>
        <v/>
      </c>
      <c r="GJ286" s="150" t="str">
        <f aca="false">IF($FJ286+GJ$244&gt;73,"",PRODUCT(INDEX($T$19:$T$93,GJ$244):INDEX($T$19:$T$93,GJ$244+$FJ286-1)))</f>
        <v/>
      </c>
      <c r="GK286" s="150" t="str">
        <f aca="false">IF($FJ286+GK$244&gt;73,"",PRODUCT(INDEX($T$19:$T$93,GK$244):INDEX($T$19:$T$93,GK$244+$FJ286-1)))</f>
        <v/>
      </c>
      <c r="GL286" s="150" t="str">
        <f aca="false">IF($FJ286+GL$244&gt;73,"",PRODUCT(INDEX($T$19:$T$93,GL$244):INDEX($T$19:$T$93,GL$244+$FJ286-1)))</f>
        <v/>
      </c>
      <c r="GM286" s="150" t="str">
        <f aca="false">IF($FJ286+GM$244&gt;73,"",PRODUCT(INDEX($T$19:$T$93,GM$244):INDEX($T$19:$T$93,GM$244+$FJ286-1)))</f>
        <v/>
      </c>
      <c r="GN286" s="150" t="str">
        <f aca="false">IF($FJ286+GN$244&gt;73,"",PRODUCT(INDEX($T$19:$T$93,GN$244):INDEX($T$19:$T$93,GN$244+$FJ286-1)))</f>
        <v/>
      </c>
      <c r="GO286" s="150" t="str">
        <f aca="false">IF($FJ286+GO$244&gt;73,"",PRODUCT(INDEX($T$19:$T$93,GO$244):INDEX($T$19:$T$93,GO$244+$FJ286-1)))</f>
        <v/>
      </c>
      <c r="GP286" s="150" t="str">
        <f aca="false">IF($FJ286+GP$244&gt;73,"",PRODUCT(INDEX($T$19:$T$93,GP$244):INDEX($T$19:$T$93,GP$244+$FJ286-1)))</f>
        <v/>
      </c>
      <c r="GQ286" s="150" t="str">
        <f aca="false">IF($FJ286+GQ$244&gt;73,"",PRODUCT(INDEX($T$19:$T$93,GQ$244):INDEX($T$19:$T$93,GQ$244+$FJ286-1)))</f>
        <v/>
      </c>
      <c r="GR286" s="150" t="str">
        <f aca="false">IF($FJ286+GR$244&gt;73,"",PRODUCT(INDEX($T$19:$T$93,GR$244):INDEX($T$19:$T$93,GR$244+$FJ286-1)))</f>
        <v/>
      </c>
      <c r="GS286" s="150" t="str">
        <f aca="false">IF($FJ286+GS$244&gt;73,"",PRODUCT(INDEX($T$19:$T$93,GS$244):INDEX($T$19:$T$93,GS$244+$FJ286-1)))</f>
        <v/>
      </c>
      <c r="GT286" s="150" t="str">
        <f aca="false">IF($FJ286+GT$244&gt;73,"",PRODUCT(INDEX($T$19:$T$93,GT$244):INDEX($T$19:$T$93,GT$244+$FJ286-1)))</f>
        <v/>
      </c>
      <c r="GU286" s="150" t="str">
        <f aca="false">IF($FJ286+GU$244&gt;73,"",PRODUCT(INDEX($T$19:$T$93,GU$244):INDEX($T$19:$T$93,GU$244+$FJ286-1)))</f>
        <v/>
      </c>
      <c r="GV286" s="150" t="str">
        <f aca="false">IF($FJ286+GV$244&gt;73,"",PRODUCT(INDEX($T$19:$T$93,GV$244):INDEX($T$19:$T$93,GV$244+$FJ286-1)))</f>
        <v/>
      </c>
      <c r="GW286" s="150" t="str">
        <f aca="false">IF($FJ286+GW$244&gt;73,"",PRODUCT(INDEX($T$19:$T$93,GW$244):INDEX($T$19:$T$93,GW$244+$FJ286-1)))</f>
        <v/>
      </c>
      <c r="GX286" s="150" t="str">
        <f aca="false">IF($FJ286+GX$244&gt;73,"",PRODUCT(INDEX($T$19:$T$93,GX$244):INDEX($T$19:$T$93,GX$244+$FJ286-1)))</f>
        <v/>
      </c>
      <c r="GY286" s="150" t="str">
        <f aca="false">IF($FJ286+GY$244&gt;73,"",PRODUCT(INDEX($T$19:$T$93,GY$244):INDEX($T$19:$T$93,GY$244+$FJ286-1)))</f>
        <v/>
      </c>
      <c r="GZ286" s="150" t="n">
        <f aca="false">IF($FJ286+GZ$244&gt;73,"",PRODUCT(INDEX($T$19:$T$93,GZ$244):INDEX($T$19:$T$93,GZ$244+$FJ286-1)))</f>
        <v>0.991788908684668</v>
      </c>
      <c r="HA286" s="150" t="n">
        <f aca="false">IF($FJ286+HA$244&gt;73,"",PRODUCT(INDEX($T$19:$T$93,HA$244):INDEX($T$19:$T$93,HA$244+$FJ286-1)))</f>
        <v>0.990400881665583</v>
      </c>
      <c r="HB286" s="150" t="n">
        <f aca="false">IF($FJ286+HB$244&gt;73,"",PRODUCT(INDEX($T$19:$T$93,HB$244):INDEX($T$19:$T$93,HB$244+$FJ286-1)))</f>
        <v>0.988779152290382</v>
      </c>
      <c r="HC286" s="150" t="n">
        <f aca="false">IF($FJ286+HC$244&gt;73,"",PRODUCT(INDEX($T$19:$T$93,HC$244):INDEX($T$19:$T$93,HC$244+$FJ286-1)))</f>
        <v>0.986884722744633</v>
      </c>
      <c r="HD286" s="150" t="n">
        <f aca="false">IF($FJ286+HD$244&gt;73,"",PRODUCT(INDEX($T$19:$T$93,HD$244):INDEX($T$19:$T$93,HD$244+$FJ286-1)))</f>
        <v>0.984672219394135</v>
      </c>
      <c r="HE286" s="150" t="n">
        <f aca="false">IF($FJ286+HE$244&gt;73,"",PRODUCT(INDEX($T$19:$T$93,HE$244):INDEX($T$19:$T$93,HE$244+$FJ286-1)))</f>
        <v>0.982088900077863</v>
      </c>
      <c r="HF286" s="150" t="n">
        <f aca="false">IF($FJ286+HF$244&gt;73,"",PRODUCT(INDEX($T$19:$T$93,HF$244):INDEX($T$19:$T$93,HF$244+$FJ286-1)))</f>
        <v>0.979073525838315</v>
      </c>
      <c r="HG286" s="150" t="n">
        <f aca="false">IF($FJ286+HG$244&gt;73,"",PRODUCT(INDEX($T$19:$T$93,HG$244):INDEX($T$19:$T$93,HG$244+$FJ286-1)))</f>
        <v>0.9755550861326</v>
      </c>
      <c r="HH286" s="150" t="n">
        <f aca="false">IF($FJ286+HH$244&gt;73,"",PRODUCT(INDEX($T$19:$T$93,HH$244):INDEX($T$19:$T$93,HH$244+$FJ286-1)))</f>
        <v>0.971451369062301</v>
      </c>
      <c r="HI286" s="150" t="n">
        <f aca="false">IF($FJ286+HI$244&gt;73,"",PRODUCT(INDEX($T$19:$T$93,HI$244):INDEX($T$19:$T$93,HI$244+$FJ286-1)))</f>
        <v>0.96666737261323</v>
      </c>
      <c r="HJ286" s="150" t="n">
        <f aca="false">IF($FJ286+HJ$244&gt;73,"",PRODUCT(INDEX($T$19:$T$93,HJ$244):INDEX($T$19:$T$93,HJ$244+$FJ286-1)))</f>
        <v>0.961093560156304</v>
      </c>
      <c r="HK286" s="150" t="n">
        <f aca="false">IF($FJ286+HK$244&gt;73,"",PRODUCT(INDEX($T$19:$T$93,HK$244):INDEX($T$19:$T$93,HK$244+$FJ286-1)))</f>
        <v>0.954603974677572</v>
      </c>
      <c r="HL286" s="150" t="n">
        <f aca="false">IF($FJ286+HL$244&gt;73,"",PRODUCT(INDEX($T$19:$T$93,HL$244):INDEX($T$19:$T$93,HL$244+$FJ286-1)))</f>
        <v>0.947054242917067</v>
      </c>
      <c r="HM286" s="150" t="n">
        <f aca="false">IF($FJ286+HM$244&gt;73,"",PRODUCT(INDEX($T$19:$T$93,HM$244):INDEX($T$19:$T$93,HM$244+$FJ286-1)))</f>
        <v>0.938279524831636</v>
      </c>
      <c r="HN286" s="150" t="n">
        <f aca="false">IF($FJ286+HN$244&gt;73,"",PRODUCT(INDEX($T$19:$T$93,HN$244):INDEX($T$19:$T$93,HN$244+$FJ286-1)))</f>
        <v>0.928092498186607</v>
      </c>
      <c r="HO286" s="150" t="n">
        <f aca="false">IF($FJ286+HO$244&gt;73,"",PRODUCT(INDEX($T$19:$T$93,HO$244):INDEX($T$19:$T$93,HO$244+$FJ286-1)))</f>
        <v>0.916281515961843</v>
      </c>
      <c r="HP286" s="150" t="n">
        <f aca="false">IF($FJ286+HP$244&gt;73,"",PRODUCT(INDEX($T$19:$T$93,HP$244):INDEX($T$19:$T$93,HP$244+$FJ286-1)))</f>
        <v>0.902609139739486</v>
      </c>
      <c r="HQ286" s="150" t="n">
        <f aca="false">IF($FJ286+HQ$244&gt;73,"",PRODUCT(INDEX($T$19:$T$93,HQ$244):INDEX($T$19:$T$93,HQ$244+$FJ286-1)))</f>
        <v>0.886811340178386</v>
      </c>
      <c r="HR286" s="150" t="n">
        <f aca="false">IF($FJ286+HR$244&gt;73,"",PRODUCT(INDEX($T$19:$T$93,HR$244):INDEX($T$19:$T$93,HR$244+$FJ286-1)))</f>
        <v>0.868597771441909</v>
      </c>
      <c r="HS286" s="150" t="n">
        <f aca="false">IF($FJ286+HS$244&gt;73,"",PRODUCT(INDEX($T$19:$T$93,HS$244):INDEX($T$19:$T$93,HS$244+$FJ286-1)))</f>
        <v>0.847653675301678</v>
      </c>
      <c r="HT286" s="150" t="n">
        <f aca="false">IF($FJ286+HT$244&gt;73,"",PRODUCT(INDEX($T$19:$T$93,HT$244):INDEX($T$19:$T$93,HT$244+$FJ286-1)))</f>
        <v>0.82364415647293</v>
      </c>
      <c r="HU286" s="150" t="n">
        <f aca="false">IF($FJ286+HU$244&gt;73,"",PRODUCT(INDEX($T$19:$T$93,HU$244):INDEX($T$19:$T$93,HU$244+$FJ286-1)))</f>
        <v>0.796221793616536</v>
      </c>
      <c r="HV286" s="150" t="n">
        <f aca="false">IF($FJ286+HV$244&gt;73,"",PRODUCT(INDEX($T$19:$T$93,HV$244):INDEX($T$19:$T$93,HV$244+$FJ286-1)))</f>
        <v>0.765038802357889</v>
      </c>
      <c r="HW286" s="150" t="n">
        <f aca="false">IF($FJ286+HW$244&gt;73,"",PRODUCT(INDEX($T$19:$T$93,HW$244):INDEX($T$19:$T$93,HW$244+$FJ286-1)))</f>
        <v>0.72976522445038</v>
      </c>
      <c r="HX286" s="150" t="n">
        <f aca="false">IF($FJ286+HX$244&gt;73,"",PRODUCT(INDEX($T$19:$T$93,HX$244):INDEX($T$19:$T$93,HX$244+$FJ286-1)))</f>
        <v>0.690114831357129</v>
      </c>
      <c r="HY286" s="150" t="n">
        <f aca="false">IF($FJ286+HY$244&gt;73,"",PRODUCT(INDEX($T$19:$T$93,HY$244):INDEX($T$19:$T$93,HY$244+$FJ286-1)))</f>
        <v>0.645880508676828</v>
      </c>
      <c r="HZ286" s="150" t="n">
        <f aca="false">IF($FJ286+HZ$244&gt;73,"",PRODUCT(INDEX($T$19:$T$93,HZ$244):INDEX($T$19:$T$93,HZ$244+$FJ286-1)))</f>
        <v>0.596980672125023</v>
      </c>
      <c r="IA286" s="150" t="n">
        <f aca="false">IF($FJ286+IA$244&gt;73,"",PRODUCT(INDEX($T$19:$T$93,IA$244):INDEX($T$19:$T$93,IA$244+$FJ286-1)))</f>
        <v>0.543517505634116</v>
      </c>
      <c r="IB286" s="150" t="n">
        <f aca="false">IF($FJ286+IB$244&gt;73,"",PRODUCT(INDEX($T$19:$T$93,IB$244):INDEX($T$19:$T$93,IB$244+$FJ286-1)))</f>
        <v>0.485846139863308</v>
      </c>
      <c r="IC286" s="150" t="n">
        <f aca="false">IF($FJ286+IC$244&gt;73,"",PRODUCT(INDEX($T$19:$T$93,IC$244):INDEX($T$19:$T$93,IC$244+$FJ286-1)))</f>
        <v>0.424650818094917</v>
      </c>
      <c r="ID286" s="572" t="n">
        <f aca="false">IF($FJ286+ID$244&gt;73,"",PRODUCT(INDEX($T$19:$T$93,ID$244):INDEX($T$19:$T$93,ID$244+$FJ286-1)))</f>
        <v>0.3610190827803</v>
      </c>
      <c r="IE286" s="129"/>
    </row>
    <row r="287" customFormat="false" ht="12.75" hidden="false" customHeight="false" outlineLevel="0" collapsed="false">
      <c r="I287" s="735"/>
      <c r="J287" s="727"/>
      <c r="K287" s="728"/>
      <c r="L287" s="195"/>
      <c r="M287" s="729"/>
      <c r="P287" s="727"/>
      <c r="S287" s="1"/>
      <c r="T287" s="727"/>
      <c r="U287" s="195"/>
      <c r="V287" s="195"/>
      <c r="W287" s="195"/>
      <c r="X287" s="195"/>
      <c r="Y287" s="195"/>
      <c r="Z287" s="195"/>
      <c r="AA287" s="195"/>
      <c r="AB287" s="195"/>
      <c r="AC287" s="195"/>
      <c r="AD287" s="195"/>
      <c r="AE287" s="195"/>
      <c r="AF287" s="195"/>
      <c r="AG287" s="195"/>
      <c r="AH287" s="195"/>
      <c r="AI287" s="195"/>
      <c r="AJ287" s="195"/>
      <c r="AK287" s="195"/>
      <c r="AL287" s="195"/>
      <c r="AM287" s="195"/>
      <c r="AN287" s="195"/>
      <c r="AO287" s="532"/>
      <c r="AP287" s="195"/>
      <c r="AQ287" s="532"/>
      <c r="AR287" s="195"/>
      <c r="AS287" s="195"/>
      <c r="AT287" s="240"/>
      <c r="AU287" s="240"/>
      <c r="AV287" s="240"/>
      <c r="AW287" s="730"/>
      <c r="AX287" s="730"/>
      <c r="AY287" s="730"/>
      <c r="AZ287" s="730"/>
      <c r="BA287" s="468"/>
      <c r="BB287" s="468"/>
      <c r="BC287" s="240"/>
      <c r="BD287" s="240"/>
      <c r="BE287" s="240"/>
      <c r="BF287" s="672"/>
      <c r="BG287" s="672"/>
      <c r="BH287" s="672"/>
      <c r="BI287" s="731"/>
      <c r="BJ287" s="672"/>
      <c r="BK287" s="672"/>
      <c r="BL287" s="240"/>
      <c r="BM287" s="736"/>
      <c r="BN287" s="240"/>
      <c r="BO287" s="240"/>
      <c r="BP287" s="240"/>
      <c r="BQ287" s="240"/>
      <c r="BR287" s="240"/>
      <c r="BS287" s="240"/>
      <c r="BT287" s="240"/>
      <c r="BU287" s="240"/>
      <c r="BV287" s="240"/>
      <c r="BW287" s="240"/>
      <c r="BX287" s="240"/>
      <c r="BY287" s="240"/>
      <c r="BZ287" s="240"/>
      <c r="CA287" s="240"/>
      <c r="CB287" s="240"/>
      <c r="CC287" s="240"/>
      <c r="CD287" s="672"/>
      <c r="CE287" s="672"/>
      <c r="CF287" s="672"/>
      <c r="CG287" s="672"/>
      <c r="CH287" s="672"/>
      <c r="CI287" s="672"/>
      <c r="CJ287" s="240"/>
      <c r="CK287" s="240"/>
      <c r="CL287" s="240"/>
      <c r="CM287" s="240"/>
      <c r="CN287" s="240"/>
      <c r="CO287" s="240"/>
      <c r="CP287" s="240"/>
      <c r="CQ287" s="240"/>
      <c r="CR287" s="240"/>
      <c r="CS287" s="240"/>
      <c r="CT287" s="240"/>
      <c r="CU287" s="240"/>
      <c r="CV287" s="240"/>
      <c r="CW287" s="240"/>
      <c r="CX287" s="240"/>
      <c r="CY287" s="240"/>
      <c r="CZ287" s="240"/>
      <c r="DA287" s="240"/>
      <c r="DB287" s="240"/>
      <c r="DC287" s="240"/>
      <c r="DD287" s="240"/>
      <c r="DE287" s="240"/>
      <c r="DF287" s="240"/>
      <c r="DG287" s="240"/>
      <c r="DH287" s="478"/>
      <c r="DI287" s="733"/>
      <c r="DJ287" s="733"/>
      <c r="DK287" s="478"/>
      <c r="DL287" s="3"/>
      <c r="DM287" s="4"/>
      <c r="DN287" s="4"/>
      <c r="DO287" s="4"/>
      <c r="DP287" s="4"/>
      <c r="DQ287" s="4"/>
      <c r="DR287" s="4"/>
      <c r="DS287" s="4"/>
      <c r="DU287" s="195"/>
      <c r="DV287" s="195"/>
      <c r="DW287" s="195"/>
      <c r="DX287" s="195"/>
      <c r="DY287" s="195"/>
      <c r="DZ287" s="195"/>
      <c r="EA287" s="195"/>
      <c r="EB287" s="195"/>
      <c r="EC287" s="195"/>
      <c r="ED287" s="195"/>
      <c r="EE287" s="195"/>
      <c r="EF287" s="195"/>
      <c r="EG287" s="195"/>
      <c r="EL287" s="1"/>
      <c r="EM287" s="195"/>
      <c r="EN287" s="240"/>
      <c r="EO287" s="731"/>
      <c r="EP287" s="195"/>
      <c r="EQ287" s="240"/>
      <c r="ER287" s="195"/>
      <c r="ES287" s="195"/>
      <c r="ET287" s="195"/>
      <c r="EU287" s="672"/>
      <c r="FJ287" s="571" t="n">
        <v>43</v>
      </c>
      <c r="FK287" s="150" t="str">
        <f aca="false">IF($FJ287+FK$244&gt;73,"",PRODUCT(INDEX($T$19:$T$93,FK$244):INDEX($T$19:$T$93,FK$244+$FJ287-1)))</f>
        <v/>
      </c>
      <c r="FL287" s="150" t="str">
        <f aca="false">IF($FJ287+FL$244&gt;73,"",PRODUCT(INDEX($T$19:$T$93,FL$244):INDEX($T$19:$T$93,FL$244+$FJ287-1)))</f>
        <v/>
      </c>
      <c r="FM287" s="150" t="str">
        <f aca="false">IF($FJ287+FM$244&gt;73,"",PRODUCT(INDEX($T$19:$T$93,FM$244):INDEX($T$19:$T$93,FM$244+$FJ287-1)))</f>
        <v/>
      </c>
      <c r="FN287" s="150" t="str">
        <f aca="false">IF($FJ287+FN$244&gt;73,"",PRODUCT(INDEX($T$19:$T$93,FN$244):INDEX($T$19:$T$93,FN$244+$FJ287-1)))</f>
        <v/>
      </c>
      <c r="FO287" s="150" t="str">
        <f aca="false">IF($FJ287+FO$244&gt;73,"",PRODUCT(INDEX($T$19:$T$93,FO$244):INDEX($T$19:$T$93,FO$244+$FJ287-1)))</f>
        <v/>
      </c>
      <c r="FP287" s="150" t="str">
        <f aca="false">IF($FJ287+FP$244&gt;73,"",PRODUCT(INDEX($T$19:$T$93,FP$244):INDEX($T$19:$T$93,FP$244+$FJ287-1)))</f>
        <v/>
      </c>
      <c r="FQ287" s="150" t="str">
        <f aca="false">IF($FJ287+FQ$244&gt;73,"",PRODUCT(INDEX($T$19:$T$93,FQ$244):INDEX($T$19:$T$93,FQ$244+$FJ287-1)))</f>
        <v/>
      </c>
      <c r="FR287" s="150" t="str">
        <f aca="false">IF($FJ287+FR$244&gt;73,"",PRODUCT(INDEX($T$19:$T$93,FR$244):INDEX($T$19:$T$93,FR$244+$FJ287-1)))</f>
        <v/>
      </c>
      <c r="FS287" s="150" t="str">
        <f aca="false">IF($FJ287+FS$244&gt;73,"",PRODUCT(INDEX($T$19:$T$93,FS$244):INDEX($T$19:$T$93,FS$244+$FJ287-1)))</f>
        <v/>
      </c>
      <c r="FT287" s="150" t="str">
        <f aca="false">IF($FJ287+FT$244&gt;73,"",PRODUCT(INDEX($T$19:$T$93,FT$244):INDEX($T$19:$T$93,FT$244+$FJ287-1)))</f>
        <v/>
      </c>
      <c r="FU287" s="150" t="str">
        <f aca="false">IF($FJ287+FU$244&gt;73,"",PRODUCT(INDEX($T$19:$T$93,FU$244):INDEX($T$19:$T$93,FU$244+$FJ287-1)))</f>
        <v/>
      </c>
      <c r="FV287" s="150" t="str">
        <f aca="false">IF($FJ287+FV$244&gt;73,"",PRODUCT(INDEX($T$19:$T$93,FV$244):INDEX($T$19:$T$93,FV$244+$FJ287-1)))</f>
        <v/>
      </c>
      <c r="FW287" s="150" t="str">
        <f aca="false">IF($FJ287+FW$244&gt;73,"",PRODUCT(INDEX($T$19:$T$93,FW$244):INDEX($T$19:$T$93,FW$244+$FJ287-1)))</f>
        <v/>
      </c>
      <c r="FX287" s="150" t="str">
        <f aca="false">IF($FJ287+FX$244&gt;73,"",PRODUCT(INDEX($T$19:$T$93,FX$244):INDEX($T$19:$T$93,FX$244+$FJ287-1)))</f>
        <v/>
      </c>
      <c r="FY287" s="150" t="str">
        <f aca="false">IF($FJ287+FY$244&gt;73,"",PRODUCT(INDEX($T$19:$T$93,FY$244):INDEX($T$19:$T$93,FY$244+$FJ287-1)))</f>
        <v/>
      </c>
      <c r="FZ287" s="150" t="str">
        <f aca="false">IF($FJ287+FZ$244&gt;73,"",PRODUCT(INDEX($T$19:$T$93,FZ$244):INDEX($T$19:$T$93,FZ$244+$FJ287-1)))</f>
        <v/>
      </c>
      <c r="GA287" s="150" t="str">
        <f aca="false">IF($FJ287+GA$244&gt;73,"",PRODUCT(INDEX($T$19:$T$93,GA$244):INDEX($T$19:$T$93,GA$244+$FJ287-1)))</f>
        <v/>
      </c>
      <c r="GB287" s="150" t="str">
        <f aca="false">IF($FJ287+GB$244&gt;73,"",PRODUCT(INDEX($T$19:$T$93,GB$244):INDEX($T$19:$T$93,GB$244+$FJ287-1)))</f>
        <v/>
      </c>
      <c r="GC287" s="150" t="str">
        <f aca="false">IF($FJ287+GC$244&gt;73,"",PRODUCT(INDEX($T$19:$T$93,GC$244):INDEX($T$19:$T$93,GC$244+$FJ287-1)))</f>
        <v/>
      </c>
      <c r="GD287" s="150" t="str">
        <f aca="false">IF($FJ287+GD$244&gt;73,"",PRODUCT(INDEX($T$19:$T$93,GD$244):INDEX($T$19:$T$93,GD$244+$FJ287-1)))</f>
        <v/>
      </c>
      <c r="GE287" s="150" t="str">
        <f aca="false">IF($FJ287+GE$244&gt;73,"",PRODUCT(INDEX($T$19:$T$93,GE$244):INDEX($T$19:$T$93,GE$244+$FJ287-1)))</f>
        <v/>
      </c>
      <c r="GF287" s="150" t="str">
        <f aca="false">IF($FJ287+GF$244&gt;73,"",PRODUCT(INDEX($T$19:$T$93,GF$244):INDEX($T$19:$T$93,GF$244+$FJ287-1)))</f>
        <v/>
      </c>
      <c r="GG287" s="150" t="str">
        <f aca="false">IF($FJ287+GG$244&gt;73,"",PRODUCT(INDEX($T$19:$T$93,GG$244):INDEX($T$19:$T$93,GG$244+$FJ287-1)))</f>
        <v/>
      </c>
      <c r="GH287" s="150" t="str">
        <f aca="false">IF($FJ287+GH$244&gt;73,"",PRODUCT(INDEX($T$19:$T$93,GH$244):INDEX($T$19:$T$93,GH$244+$FJ287-1)))</f>
        <v/>
      </c>
      <c r="GI287" s="150" t="str">
        <f aca="false">IF($FJ287+GI$244&gt;73,"",PRODUCT(INDEX($T$19:$T$93,GI$244):INDEX($T$19:$T$93,GI$244+$FJ287-1)))</f>
        <v/>
      </c>
      <c r="GJ287" s="150" t="str">
        <f aca="false">IF($FJ287+GJ$244&gt;73,"",PRODUCT(INDEX($T$19:$T$93,GJ$244):INDEX($T$19:$T$93,GJ$244+$FJ287-1)))</f>
        <v/>
      </c>
      <c r="GK287" s="150" t="str">
        <f aca="false">IF($FJ287+GK$244&gt;73,"",PRODUCT(INDEX($T$19:$T$93,GK$244):INDEX($T$19:$T$93,GK$244+$FJ287-1)))</f>
        <v/>
      </c>
      <c r="GL287" s="150" t="str">
        <f aca="false">IF($FJ287+GL$244&gt;73,"",PRODUCT(INDEX($T$19:$T$93,GL$244):INDEX($T$19:$T$93,GL$244+$FJ287-1)))</f>
        <v/>
      </c>
      <c r="GM287" s="150" t="str">
        <f aca="false">IF($FJ287+GM$244&gt;73,"",PRODUCT(INDEX($T$19:$T$93,GM$244):INDEX($T$19:$T$93,GM$244+$FJ287-1)))</f>
        <v/>
      </c>
      <c r="GN287" s="150" t="str">
        <f aca="false">IF($FJ287+GN$244&gt;73,"",PRODUCT(INDEX($T$19:$T$93,GN$244):INDEX($T$19:$T$93,GN$244+$FJ287-1)))</f>
        <v/>
      </c>
      <c r="GO287" s="150" t="str">
        <f aca="false">IF($FJ287+GO$244&gt;73,"",PRODUCT(INDEX($T$19:$T$93,GO$244):INDEX($T$19:$T$93,GO$244+$FJ287-1)))</f>
        <v/>
      </c>
      <c r="GP287" s="150" t="str">
        <f aca="false">IF($FJ287+GP$244&gt;73,"",PRODUCT(INDEX($T$19:$T$93,GP$244):INDEX($T$19:$T$93,GP$244+$FJ287-1)))</f>
        <v/>
      </c>
      <c r="GQ287" s="150" t="str">
        <f aca="false">IF($FJ287+GQ$244&gt;73,"",PRODUCT(INDEX($T$19:$T$93,GQ$244):INDEX($T$19:$T$93,GQ$244+$FJ287-1)))</f>
        <v/>
      </c>
      <c r="GR287" s="150" t="str">
        <f aca="false">IF($FJ287+GR$244&gt;73,"",PRODUCT(INDEX($T$19:$T$93,GR$244):INDEX($T$19:$T$93,GR$244+$FJ287-1)))</f>
        <v/>
      </c>
      <c r="GS287" s="150" t="str">
        <f aca="false">IF($FJ287+GS$244&gt;73,"",PRODUCT(INDEX($T$19:$T$93,GS$244):INDEX($T$19:$T$93,GS$244+$FJ287-1)))</f>
        <v/>
      </c>
      <c r="GT287" s="150" t="str">
        <f aca="false">IF($FJ287+GT$244&gt;73,"",PRODUCT(INDEX($T$19:$T$93,GT$244):INDEX($T$19:$T$93,GT$244+$FJ287-1)))</f>
        <v/>
      </c>
      <c r="GU287" s="150" t="str">
        <f aca="false">IF($FJ287+GU$244&gt;73,"",PRODUCT(INDEX($T$19:$T$93,GU$244):INDEX($T$19:$T$93,GU$244+$FJ287-1)))</f>
        <v/>
      </c>
      <c r="GV287" s="150" t="str">
        <f aca="false">IF($FJ287+GV$244&gt;73,"",PRODUCT(INDEX($T$19:$T$93,GV$244):INDEX($T$19:$T$93,GV$244+$FJ287-1)))</f>
        <v/>
      </c>
      <c r="GW287" s="150" t="str">
        <f aca="false">IF($FJ287+GW$244&gt;73,"",PRODUCT(INDEX($T$19:$T$93,GW$244):INDEX($T$19:$T$93,GW$244+$FJ287-1)))</f>
        <v/>
      </c>
      <c r="GX287" s="150" t="str">
        <f aca="false">IF($FJ287+GX$244&gt;73,"",PRODUCT(INDEX($T$19:$T$93,GX$244):INDEX($T$19:$T$93,GX$244+$FJ287-1)))</f>
        <v/>
      </c>
      <c r="GY287" s="150" t="str">
        <f aca="false">IF($FJ287+GY$244&gt;73,"",PRODUCT(INDEX($T$19:$T$93,GY$244):INDEX($T$19:$T$93,GY$244+$FJ287-1)))</f>
        <v/>
      </c>
      <c r="GZ287" s="150" t="str">
        <f aca="false">IF($FJ287+GZ$244&gt;73,"",PRODUCT(INDEX($T$19:$T$93,GZ$244):INDEX($T$19:$T$93,GZ$244+$FJ287-1)))</f>
        <v/>
      </c>
      <c r="HA287" s="150" t="n">
        <f aca="false">IF($FJ287+HA$244&gt;73,"",PRODUCT(INDEX($T$19:$T$93,HA$244):INDEX($T$19:$T$93,HA$244+$FJ287-1)))</f>
        <v>0.990398958884854</v>
      </c>
      <c r="HB287" s="150" t="n">
        <f aca="false">IF($FJ287+HB$244&gt;73,"",PRODUCT(INDEX($T$19:$T$93,HB$244):INDEX($T$19:$T$93,HB$244+$FJ287-1)))</f>
        <v>0.988776907103883</v>
      </c>
      <c r="HC287" s="150" t="n">
        <f aca="false">IF($FJ287+HC$244&gt;73,"",PRODUCT(INDEX($T$19:$T$93,HC$244):INDEX($T$19:$T$93,HC$244+$FJ287-1)))</f>
        <v>0.986882101823234</v>
      </c>
      <c r="HD287" s="150" t="n">
        <f aca="false">IF($FJ287+HD$244&gt;73,"",PRODUCT(INDEX($T$19:$T$93,HD$244):INDEX($T$19:$T$93,HD$244+$FJ287-1)))</f>
        <v>0.984669160856792</v>
      </c>
      <c r="HE287" s="150" t="n">
        <f aca="false">IF($FJ287+HE$244&gt;73,"",PRODUCT(INDEX($T$19:$T$93,HE$244):INDEX($T$19:$T$93,HE$244+$FJ287-1)))</f>
        <v>0.982085332220126</v>
      </c>
      <c r="HF287" s="150" t="n">
        <f aca="false">IF($FJ287+HF$244&gt;73,"",PRODUCT(INDEX($T$19:$T$93,HF$244):INDEX($T$19:$T$93,HF$244+$FJ287-1)))</f>
        <v>0.979069365709622</v>
      </c>
      <c r="HG287" s="150" t="n">
        <f aca="false">IF($FJ287+HG$244&gt;73,"",PRODUCT(INDEX($T$19:$T$93,HG$244):INDEX($T$19:$T$93,HG$244+$FJ287-1)))</f>
        <v>0.975550237959589</v>
      </c>
      <c r="HH287" s="150" t="n">
        <f aca="false">IF($FJ287+HH$244&gt;73,"",PRODUCT(INDEX($T$19:$T$93,HH$244):INDEX($T$19:$T$93,HH$244+$FJ287-1)))</f>
        <v>0.971445722522796</v>
      </c>
      <c r="HI287" s="150" t="n">
        <f aca="false">IF($FJ287+HI$244&gt;73,"",PRODUCT(INDEX($T$19:$T$93,HI$244):INDEX($T$19:$T$93,HI$244+$FJ287-1)))</f>
        <v>0.966660800976906</v>
      </c>
      <c r="HJ287" s="150" t="n">
        <f aca="false">IF($FJ287+HJ$244&gt;73,"",PRODUCT(INDEX($T$19:$T$93,HJ$244):INDEX($T$19:$T$93,HJ$244+$FJ287-1)))</f>
        <v>0.96108591832463</v>
      </c>
      <c r="HK287" s="150" t="n">
        <f aca="false">IF($FJ287+HK$244&gt;73,"",PRODUCT(INDEX($T$19:$T$93,HK$244):INDEX($T$19:$T$93,HK$244+$FJ287-1)))</f>
        <v>0.95459509717947</v>
      </c>
      <c r="HL287" s="150" t="n">
        <f aca="false">IF($FJ287+HL$244&gt;73,"",PRODUCT(INDEX($T$19:$T$93,HL$244):INDEX($T$19:$T$93,HL$244+$FJ287-1)))</f>
        <v>0.947043941950077</v>
      </c>
      <c r="HM287" s="150" t="n">
        <f aca="false">IF($FJ287+HM$244&gt;73,"",PRODUCT(INDEX($T$19:$T$93,HM$244):INDEX($T$19:$T$93,HM$244+$FJ287-1)))</f>
        <v>0.938267588484266</v>
      </c>
      <c r="HN287" s="150" t="n">
        <f aca="false">IF($FJ287+HN$244&gt;73,"",PRODUCT(INDEX($T$19:$T$93,HN$244):INDEX($T$19:$T$93,HN$244+$FJ287-1)))</f>
        <v>0.928078689039439</v>
      </c>
      <c r="HO287" s="150" t="n">
        <f aca="false">IF($FJ287+HO$244&gt;73,"",PRODUCT(INDEX($T$19:$T$93,HO$244):INDEX($T$19:$T$93,HO$244+$FJ287-1)))</f>
        <v>0.916265570346941</v>
      </c>
      <c r="HP287" s="150" t="n">
        <f aca="false">IF($FJ287+HP$244&gt;73,"",PRODUCT(INDEX($T$19:$T$93,HP$244):INDEX($T$19:$T$93,HP$244+$FJ287-1)))</f>
        <v>0.902590768043944</v>
      </c>
      <c r="HQ287" s="150" t="n">
        <f aca="false">IF($FJ287+HQ$244&gt;73,"",PRODUCT(INDEX($T$19:$T$93,HQ$244):INDEX($T$19:$T$93,HQ$244+$FJ287-1)))</f>
        <v>0.886790228712183</v>
      </c>
      <c r="HR287" s="150" t="n">
        <f aca="false">IF($FJ287+HR$244&gt;73,"",PRODUCT(INDEX($T$19:$T$93,HR$244):INDEX($T$19:$T$93,HR$244+$FJ287-1)))</f>
        <v>0.868573586554879</v>
      </c>
      <c r="HS287" s="150" t="n">
        <f aca="false">IF($FJ287+HS$244&gt;73,"",PRODUCT(INDEX($T$19:$T$93,HS$244):INDEX($T$19:$T$93,HS$244+$FJ287-1)))</f>
        <v>0.847626070627539</v>
      </c>
      <c r="HT287" s="150" t="n">
        <f aca="false">IF($FJ287+HT$244&gt;73,"",PRODUCT(INDEX($T$19:$T$93,HT$244):INDEX($T$19:$T$93,HT$244+$FJ287-1)))</f>
        <v>0.823612784390915</v>
      </c>
      <c r="HU287" s="150" t="n">
        <f aca="false">IF($FJ287+HU$244&gt;73,"",PRODUCT(INDEX($T$19:$T$93,HU$244):INDEX($T$19:$T$93,HU$244+$FJ287-1)))</f>
        <v>0.796186322230966</v>
      </c>
      <c r="HV287" s="150" t="n">
        <f aca="false">IF($FJ287+HV$244&gt;73,"",PRODUCT(INDEX($T$19:$T$93,HV$244):INDEX($T$19:$T$93,HV$244+$FJ287-1)))</f>
        <v>0.764998939459084</v>
      </c>
      <c r="HW287" s="150" t="n">
        <f aca="false">IF($FJ287+HW$244&gt;73,"",PRODUCT(INDEX($T$19:$T$93,HW$244):INDEX($T$19:$T$93,HW$244+$FJ287-1)))</f>
        <v>0.729720749959058</v>
      </c>
      <c r="HX287" s="150" t="n">
        <f aca="false">IF($FJ287+HX$244&gt;73,"",PRODUCT(INDEX($T$19:$T$93,HX$244):INDEX($T$19:$T$93,HX$244+$FJ287-1)))</f>
        <v>0.690065639542013</v>
      </c>
      <c r="HY287" s="150" t="n">
        <f aca="false">IF($FJ287+HY$244&gt;73,"",PRODUCT(INDEX($T$19:$T$93,HY$244):INDEX($T$19:$T$93,HY$244+$FJ287-1)))</f>
        <v>0.645826660778027</v>
      </c>
      <c r="HZ287" s="150" t="n">
        <f aca="false">IF($FJ287+HZ$244&gt;73,"",PRODUCT(INDEX($T$19:$T$93,HZ$244):INDEX($T$19:$T$93,HZ$244+$FJ287-1)))</f>
        <v>0.596922458640508</v>
      </c>
      <c r="IA287" s="150" t="n">
        <f aca="false">IF($FJ287+IA$244&gt;73,"",PRODUCT(INDEX($T$19:$T$93,IA$244):INDEX($T$19:$T$93,IA$244+$FJ287-1)))</f>
        <v>0.543455515083442</v>
      </c>
      <c r="IB287" s="150" t="n">
        <f aca="false">IF($FJ287+IB$244&gt;73,"",PRODUCT(INDEX($T$19:$T$93,IB$244):INDEX($T$19:$T$93,IB$244+$FJ287-1)))</f>
        <v>0.485781326953923</v>
      </c>
      <c r="IC287" s="150" t="n">
        <f aca="false">IF($FJ287+IC$244&gt;73,"",PRODUCT(INDEX($T$19:$T$93,IC$244):INDEX($T$19:$T$93,IC$244+$FJ287-1)))</f>
        <v>0.424584558615502</v>
      </c>
      <c r="ID287" s="572" t="n">
        <f aca="false">IF($FJ287+ID$244&gt;73,"",PRODUCT(INDEX($T$19:$T$93,ID$244):INDEX($T$19:$T$93,ID$244+$FJ287-1)))</f>
        <v>0.360953195380679</v>
      </c>
      <c r="IE287" s="129"/>
    </row>
    <row r="288" customFormat="false" ht="12.75" hidden="false" customHeight="false" outlineLevel="0" collapsed="false">
      <c r="I288" s="735"/>
      <c r="J288" s="727"/>
      <c r="K288" s="728"/>
      <c r="L288" s="195"/>
      <c r="M288" s="729"/>
      <c r="P288" s="727"/>
      <c r="S288" s="1"/>
      <c r="T288" s="727"/>
      <c r="U288" s="195"/>
      <c r="V288" s="195"/>
      <c r="W288" s="195"/>
      <c r="X288" s="195"/>
      <c r="Y288" s="195"/>
      <c r="Z288" s="195"/>
      <c r="AA288" s="195"/>
      <c r="AB288" s="195"/>
      <c r="AC288" s="195"/>
      <c r="AD288" s="195"/>
      <c r="AE288" s="195"/>
      <c r="AF288" s="195"/>
      <c r="AG288" s="195"/>
      <c r="AH288" s="195"/>
      <c r="AI288" s="195"/>
      <c r="AJ288" s="195"/>
      <c r="AK288" s="195"/>
      <c r="AL288" s="195"/>
      <c r="AM288" s="195"/>
      <c r="AN288" s="195"/>
      <c r="AO288" s="532"/>
      <c r="AP288" s="195"/>
      <c r="AQ288" s="532"/>
      <c r="AR288" s="195"/>
      <c r="AS288" s="195"/>
      <c r="AT288" s="240"/>
      <c r="AU288" s="240"/>
      <c r="AV288" s="240"/>
      <c r="AW288" s="730"/>
      <c r="AX288" s="730"/>
      <c r="AY288" s="730"/>
      <c r="AZ288" s="730"/>
      <c r="BA288" s="468"/>
      <c r="BB288" s="468"/>
      <c r="BC288" s="240"/>
      <c r="BD288" s="240"/>
      <c r="BE288" s="240"/>
      <c r="BF288" s="672"/>
      <c r="BG288" s="672"/>
      <c r="BH288" s="672"/>
      <c r="BI288" s="731"/>
      <c r="BJ288" s="672"/>
      <c r="BK288" s="672"/>
      <c r="BL288" s="240"/>
      <c r="BM288" s="736"/>
      <c r="BN288" s="240"/>
      <c r="BO288" s="240"/>
      <c r="BP288" s="240"/>
      <c r="BQ288" s="240"/>
      <c r="BR288" s="240"/>
      <c r="BS288" s="240"/>
      <c r="BT288" s="240"/>
      <c r="BU288" s="240"/>
      <c r="BV288" s="240"/>
      <c r="BW288" s="240"/>
      <c r="BX288" s="240"/>
      <c r="BY288" s="240"/>
      <c r="BZ288" s="240"/>
      <c r="CA288" s="240"/>
      <c r="CB288" s="240"/>
      <c r="CC288" s="240"/>
      <c r="CD288" s="672"/>
      <c r="CE288" s="672"/>
      <c r="CF288" s="672"/>
      <c r="CG288" s="672"/>
      <c r="CH288" s="672"/>
      <c r="CI288" s="672"/>
      <c r="CJ288" s="240"/>
      <c r="CK288" s="240"/>
      <c r="CL288" s="240"/>
      <c r="CM288" s="240"/>
      <c r="CN288" s="240"/>
      <c r="CO288" s="240"/>
      <c r="CP288" s="240"/>
      <c r="CQ288" s="240"/>
      <c r="CR288" s="240"/>
      <c r="CS288" s="240"/>
      <c r="CT288" s="240"/>
      <c r="CU288" s="240"/>
      <c r="CV288" s="240"/>
      <c r="CW288" s="240"/>
      <c r="CX288" s="240"/>
      <c r="CY288" s="240"/>
      <c r="CZ288" s="240"/>
      <c r="DA288" s="240"/>
      <c r="DB288" s="240"/>
      <c r="DC288" s="240"/>
      <c r="DD288" s="240"/>
      <c r="DE288" s="240"/>
      <c r="DF288" s="240"/>
      <c r="DG288" s="240"/>
      <c r="DH288" s="478"/>
      <c r="DI288" s="733"/>
      <c r="DJ288" s="733"/>
      <c r="DK288" s="478"/>
      <c r="DL288" s="3"/>
      <c r="DM288" s="4"/>
      <c r="DN288" s="4"/>
      <c r="DO288" s="4"/>
      <c r="DP288" s="4"/>
      <c r="DQ288" s="4"/>
      <c r="DR288" s="4"/>
      <c r="DS288" s="4"/>
      <c r="DU288" s="195"/>
      <c r="DV288" s="195"/>
      <c r="DW288" s="195"/>
      <c r="DX288" s="195"/>
      <c r="DY288" s="195"/>
      <c r="DZ288" s="195"/>
      <c r="EA288" s="195"/>
      <c r="EB288" s="195"/>
      <c r="EC288" s="195"/>
      <c r="ED288" s="195"/>
      <c r="EE288" s="195"/>
      <c r="EF288" s="195"/>
      <c r="EG288" s="195"/>
      <c r="EL288" s="1"/>
      <c r="EM288" s="195"/>
      <c r="EN288" s="240"/>
      <c r="EO288" s="731"/>
      <c r="EP288" s="195"/>
      <c r="EQ288" s="240"/>
      <c r="ER288" s="195"/>
      <c r="ES288" s="195"/>
      <c r="ET288" s="195"/>
      <c r="EU288" s="672"/>
      <c r="FJ288" s="571" t="n">
        <v>44</v>
      </c>
      <c r="FK288" s="150" t="str">
        <f aca="false">IF($FJ288+FK$244&gt;73,"",PRODUCT(INDEX($T$19:$T$93,FK$244):INDEX($T$19:$T$93,FK$244+$FJ288-1)))</f>
        <v/>
      </c>
      <c r="FL288" s="150" t="str">
        <f aca="false">IF($FJ288+FL$244&gt;73,"",PRODUCT(INDEX($T$19:$T$93,FL$244):INDEX($T$19:$T$93,FL$244+$FJ288-1)))</f>
        <v/>
      </c>
      <c r="FM288" s="150" t="str">
        <f aca="false">IF($FJ288+FM$244&gt;73,"",PRODUCT(INDEX($T$19:$T$93,FM$244):INDEX($T$19:$T$93,FM$244+$FJ288-1)))</f>
        <v/>
      </c>
      <c r="FN288" s="150" t="str">
        <f aca="false">IF($FJ288+FN$244&gt;73,"",PRODUCT(INDEX($T$19:$T$93,FN$244):INDEX($T$19:$T$93,FN$244+$FJ288-1)))</f>
        <v/>
      </c>
      <c r="FO288" s="150" t="str">
        <f aca="false">IF($FJ288+FO$244&gt;73,"",PRODUCT(INDEX($T$19:$T$93,FO$244):INDEX($T$19:$T$93,FO$244+$FJ288-1)))</f>
        <v/>
      </c>
      <c r="FP288" s="150" t="str">
        <f aca="false">IF($FJ288+FP$244&gt;73,"",PRODUCT(INDEX($T$19:$T$93,FP$244):INDEX($T$19:$T$93,FP$244+$FJ288-1)))</f>
        <v/>
      </c>
      <c r="FQ288" s="150" t="str">
        <f aca="false">IF($FJ288+FQ$244&gt;73,"",PRODUCT(INDEX($T$19:$T$93,FQ$244):INDEX($T$19:$T$93,FQ$244+$FJ288-1)))</f>
        <v/>
      </c>
      <c r="FR288" s="150" t="str">
        <f aca="false">IF($FJ288+FR$244&gt;73,"",PRODUCT(INDEX($T$19:$T$93,FR$244):INDEX($T$19:$T$93,FR$244+$FJ288-1)))</f>
        <v/>
      </c>
      <c r="FS288" s="150" t="str">
        <f aca="false">IF($FJ288+FS$244&gt;73,"",PRODUCT(INDEX($T$19:$T$93,FS$244):INDEX($T$19:$T$93,FS$244+$FJ288-1)))</f>
        <v/>
      </c>
      <c r="FT288" s="150" t="str">
        <f aca="false">IF($FJ288+FT$244&gt;73,"",PRODUCT(INDEX($T$19:$T$93,FT$244):INDEX($T$19:$T$93,FT$244+$FJ288-1)))</f>
        <v/>
      </c>
      <c r="FU288" s="150" t="str">
        <f aca="false">IF($FJ288+FU$244&gt;73,"",PRODUCT(INDEX($T$19:$T$93,FU$244):INDEX($T$19:$T$93,FU$244+$FJ288-1)))</f>
        <v/>
      </c>
      <c r="FV288" s="150" t="str">
        <f aca="false">IF($FJ288+FV$244&gt;73,"",PRODUCT(INDEX($T$19:$T$93,FV$244):INDEX($T$19:$T$93,FV$244+$FJ288-1)))</f>
        <v/>
      </c>
      <c r="FW288" s="150" t="str">
        <f aca="false">IF($FJ288+FW$244&gt;73,"",PRODUCT(INDEX($T$19:$T$93,FW$244):INDEX($T$19:$T$93,FW$244+$FJ288-1)))</f>
        <v/>
      </c>
      <c r="FX288" s="150" t="str">
        <f aca="false">IF($FJ288+FX$244&gt;73,"",PRODUCT(INDEX($T$19:$T$93,FX$244):INDEX($T$19:$T$93,FX$244+$FJ288-1)))</f>
        <v/>
      </c>
      <c r="FY288" s="150" t="str">
        <f aca="false">IF($FJ288+FY$244&gt;73,"",PRODUCT(INDEX($T$19:$T$93,FY$244):INDEX($T$19:$T$93,FY$244+$FJ288-1)))</f>
        <v/>
      </c>
      <c r="FZ288" s="150" t="str">
        <f aca="false">IF($FJ288+FZ$244&gt;73,"",PRODUCT(INDEX($T$19:$T$93,FZ$244):INDEX($T$19:$T$93,FZ$244+$FJ288-1)))</f>
        <v/>
      </c>
      <c r="GA288" s="150" t="str">
        <f aca="false">IF($FJ288+GA$244&gt;73,"",PRODUCT(INDEX($T$19:$T$93,GA$244):INDEX($T$19:$T$93,GA$244+$FJ288-1)))</f>
        <v/>
      </c>
      <c r="GB288" s="150" t="str">
        <f aca="false">IF($FJ288+GB$244&gt;73,"",PRODUCT(INDEX($T$19:$T$93,GB$244):INDEX($T$19:$T$93,GB$244+$FJ288-1)))</f>
        <v/>
      </c>
      <c r="GC288" s="150" t="str">
        <f aca="false">IF($FJ288+GC$244&gt;73,"",PRODUCT(INDEX($T$19:$T$93,GC$244):INDEX($T$19:$T$93,GC$244+$FJ288-1)))</f>
        <v/>
      </c>
      <c r="GD288" s="150" t="str">
        <f aca="false">IF($FJ288+GD$244&gt;73,"",PRODUCT(INDEX($T$19:$T$93,GD$244):INDEX($T$19:$T$93,GD$244+$FJ288-1)))</f>
        <v/>
      </c>
      <c r="GE288" s="150" t="str">
        <f aca="false">IF($FJ288+GE$244&gt;73,"",PRODUCT(INDEX($T$19:$T$93,GE$244):INDEX($T$19:$T$93,GE$244+$FJ288-1)))</f>
        <v/>
      </c>
      <c r="GF288" s="150" t="str">
        <f aca="false">IF($FJ288+GF$244&gt;73,"",PRODUCT(INDEX($T$19:$T$93,GF$244):INDEX($T$19:$T$93,GF$244+$FJ288-1)))</f>
        <v/>
      </c>
      <c r="GG288" s="150" t="str">
        <f aca="false">IF($FJ288+GG$244&gt;73,"",PRODUCT(INDEX($T$19:$T$93,GG$244):INDEX($T$19:$T$93,GG$244+$FJ288-1)))</f>
        <v/>
      </c>
      <c r="GH288" s="150" t="str">
        <f aca="false">IF($FJ288+GH$244&gt;73,"",PRODUCT(INDEX($T$19:$T$93,GH$244):INDEX($T$19:$T$93,GH$244+$FJ288-1)))</f>
        <v/>
      </c>
      <c r="GI288" s="150" t="str">
        <f aca="false">IF($FJ288+GI$244&gt;73,"",PRODUCT(INDEX($T$19:$T$93,GI$244):INDEX($T$19:$T$93,GI$244+$FJ288-1)))</f>
        <v/>
      </c>
      <c r="GJ288" s="150" t="str">
        <f aca="false">IF($FJ288+GJ$244&gt;73,"",PRODUCT(INDEX($T$19:$T$93,GJ$244):INDEX($T$19:$T$93,GJ$244+$FJ288-1)))</f>
        <v/>
      </c>
      <c r="GK288" s="150" t="str">
        <f aca="false">IF($FJ288+GK$244&gt;73,"",PRODUCT(INDEX($T$19:$T$93,GK$244):INDEX($T$19:$T$93,GK$244+$FJ288-1)))</f>
        <v/>
      </c>
      <c r="GL288" s="150" t="str">
        <f aca="false">IF($FJ288+GL$244&gt;73,"",PRODUCT(INDEX($T$19:$T$93,GL$244):INDEX($T$19:$T$93,GL$244+$FJ288-1)))</f>
        <v/>
      </c>
      <c r="GM288" s="150" t="str">
        <f aca="false">IF($FJ288+GM$244&gt;73,"",PRODUCT(INDEX($T$19:$T$93,GM$244):INDEX($T$19:$T$93,GM$244+$FJ288-1)))</f>
        <v/>
      </c>
      <c r="GN288" s="150" t="str">
        <f aca="false">IF($FJ288+GN$244&gt;73,"",PRODUCT(INDEX($T$19:$T$93,GN$244):INDEX($T$19:$T$93,GN$244+$FJ288-1)))</f>
        <v/>
      </c>
      <c r="GO288" s="150" t="str">
        <f aca="false">IF($FJ288+GO$244&gt;73,"",PRODUCT(INDEX($T$19:$T$93,GO$244):INDEX($T$19:$T$93,GO$244+$FJ288-1)))</f>
        <v/>
      </c>
      <c r="GP288" s="150" t="str">
        <f aca="false">IF($FJ288+GP$244&gt;73,"",PRODUCT(INDEX($T$19:$T$93,GP$244):INDEX($T$19:$T$93,GP$244+$FJ288-1)))</f>
        <v/>
      </c>
      <c r="GQ288" s="150" t="str">
        <f aca="false">IF($FJ288+GQ$244&gt;73,"",PRODUCT(INDEX($T$19:$T$93,GQ$244):INDEX($T$19:$T$93,GQ$244+$FJ288-1)))</f>
        <v/>
      </c>
      <c r="GR288" s="150" t="str">
        <f aca="false">IF($FJ288+GR$244&gt;73,"",PRODUCT(INDEX($T$19:$T$93,GR$244):INDEX($T$19:$T$93,GR$244+$FJ288-1)))</f>
        <v/>
      </c>
      <c r="GS288" s="150" t="str">
        <f aca="false">IF($FJ288+GS$244&gt;73,"",PRODUCT(INDEX($T$19:$T$93,GS$244):INDEX($T$19:$T$93,GS$244+$FJ288-1)))</f>
        <v/>
      </c>
      <c r="GT288" s="150" t="str">
        <f aca="false">IF($FJ288+GT$244&gt;73,"",PRODUCT(INDEX($T$19:$T$93,GT$244):INDEX($T$19:$T$93,GT$244+$FJ288-1)))</f>
        <v/>
      </c>
      <c r="GU288" s="150" t="str">
        <f aca="false">IF($FJ288+GU$244&gt;73,"",PRODUCT(INDEX($T$19:$T$93,GU$244):INDEX($T$19:$T$93,GU$244+$FJ288-1)))</f>
        <v/>
      </c>
      <c r="GV288" s="150" t="str">
        <f aca="false">IF($FJ288+GV$244&gt;73,"",PRODUCT(INDEX($T$19:$T$93,GV$244):INDEX($T$19:$T$93,GV$244+$FJ288-1)))</f>
        <v/>
      </c>
      <c r="GW288" s="150" t="str">
        <f aca="false">IF($FJ288+GW$244&gt;73,"",PRODUCT(INDEX($T$19:$T$93,GW$244):INDEX($T$19:$T$93,GW$244+$FJ288-1)))</f>
        <v/>
      </c>
      <c r="GX288" s="150" t="str">
        <f aca="false">IF($FJ288+GX$244&gt;73,"",PRODUCT(INDEX($T$19:$T$93,GX$244):INDEX($T$19:$T$93,GX$244+$FJ288-1)))</f>
        <v/>
      </c>
      <c r="GY288" s="150" t="str">
        <f aca="false">IF($FJ288+GY$244&gt;73,"",PRODUCT(INDEX($T$19:$T$93,GY$244):INDEX($T$19:$T$93,GY$244+$FJ288-1)))</f>
        <v/>
      </c>
      <c r="GZ288" s="150" t="str">
        <f aca="false">IF($FJ288+GZ$244&gt;73,"",PRODUCT(INDEX($T$19:$T$93,GZ$244):INDEX($T$19:$T$93,GZ$244+$FJ288-1)))</f>
        <v/>
      </c>
      <c r="HA288" s="150" t="str">
        <f aca="false">IF($FJ288+HA$244&gt;73,"",PRODUCT(INDEX($T$19:$T$93,HA$244):INDEX($T$19:$T$93,HA$244+$FJ288-1)))</f>
        <v/>
      </c>
      <c r="HB288" s="150" t="n">
        <f aca="false">IF($FJ288+HB$244&gt;73,"",PRODUCT(INDEX($T$19:$T$93,HB$244):INDEX($T$19:$T$93,HB$244+$FJ288-1)))</f>
        <v>0.988774987475965</v>
      </c>
      <c r="HC288" s="150" t="n">
        <f aca="false">IF($FJ288+HC$244&gt;73,"",PRODUCT(INDEX($T$19:$T$93,HC$244):INDEX($T$19:$T$93,HC$244+$FJ288-1)))</f>
        <v>0.986879860944301</v>
      </c>
      <c r="HD288" s="150" t="n">
        <f aca="false">IF($FJ288+HD$244&gt;73,"",PRODUCT(INDEX($T$19:$T$93,HD$244):INDEX($T$19:$T$93,HD$244+$FJ288-1)))</f>
        <v>0.984666545819376</v>
      </c>
      <c r="HE288" s="150" t="n">
        <f aca="false">IF($FJ288+HE$244&gt;73,"",PRODUCT(INDEX($T$19:$T$93,HE$244):INDEX($T$19:$T$93,HE$244+$FJ288-1)))</f>
        <v>0.982082281718037</v>
      </c>
      <c r="HF288" s="150" t="n">
        <f aca="false">IF($FJ288+HF$244&gt;73,"",PRODUCT(INDEX($T$19:$T$93,HF$244):INDEX($T$19:$T$93,HF$244+$FJ288-1)))</f>
        <v>0.979065808821635</v>
      </c>
      <c r="HG288" s="150" t="n">
        <f aca="false">IF($FJ288+HG$244&gt;73,"",PRODUCT(INDEX($T$19:$T$93,HG$244):INDEX($T$19:$T$93,HG$244+$FJ288-1)))</f>
        <v>0.97554609280151</v>
      </c>
      <c r="HH288" s="150" t="n">
        <f aca="false">IF($FJ288+HH$244&gt;73,"",PRODUCT(INDEX($T$19:$T$93,HH$244):INDEX($T$19:$T$93,HH$244+$FJ288-1)))</f>
        <v>0.971440894771908</v>
      </c>
      <c r="HI288" s="150" t="n">
        <f aca="false">IF($FJ288+HI$244&gt;73,"",PRODUCT(INDEX($T$19:$T$93,HI$244):INDEX($T$19:$T$93,HI$244+$FJ288-1)))</f>
        <v>0.966655182282472</v>
      </c>
      <c r="HJ288" s="150" t="n">
        <f aca="false">IF($FJ288+HJ$244&gt;73,"",PRODUCT(INDEX($T$19:$T$93,HJ$244):INDEX($T$19:$T$93,HJ$244+$FJ288-1)))</f>
        <v>0.961079384632369</v>
      </c>
      <c r="HK288" s="150" t="n">
        <f aca="false">IF($FJ288+HK$244&gt;73,"",PRODUCT(INDEX($T$19:$T$93,HK$244):INDEX($T$19:$T$93,HK$244+$FJ288-1)))</f>
        <v>0.95458750701827</v>
      </c>
      <c r="HL288" s="150" t="n">
        <f aca="false">IF($FJ288+HL$244&gt;73,"",PRODUCT(INDEX($T$19:$T$93,HL$244):INDEX($T$19:$T$93,HL$244+$FJ288-1)))</f>
        <v>0.947035134757754</v>
      </c>
      <c r="HM288" s="150" t="n">
        <f aca="false">IF($FJ288+HM$244&gt;73,"",PRODUCT(INDEX($T$19:$T$93,HM$244):INDEX($T$19:$T$93,HM$244+$FJ288-1)))</f>
        <v>0.938257383088399</v>
      </c>
      <c r="HN288" s="150" t="n">
        <f aca="false">IF($FJ288+HN$244&gt;73,"",PRODUCT(INDEX($T$19:$T$93,HN$244):INDEX($T$19:$T$93,HN$244+$FJ288-1)))</f>
        <v>0.928066882462267</v>
      </c>
      <c r="HO288" s="150" t="n">
        <f aca="false">IF($FJ288+HO$244&gt;73,"",PRODUCT(INDEX($T$19:$T$93,HO$244):INDEX($T$19:$T$93,HO$244+$FJ288-1)))</f>
        <v>0.916251937173382</v>
      </c>
      <c r="HP288" s="150" t="n">
        <f aca="false">IF($FJ288+HP$244&gt;73,"",PRODUCT(INDEX($T$19:$T$93,HP$244):INDEX($T$19:$T$93,HP$244+$FJ288-1)))</f>
        <v>0.902575060682668</v>
      </c>
      <c r="HQ288" s="150" t="n">
        <f aca="false">IF($FJ288+HQ$244&gt;73,"",PRODUCT(INDEX($T$19:$T$93,HQ$244):INDEX($T$19:$T$93,HQ$244+$FJ288-1)))</f>
        <v>0.886772178994565</v>
      </c>
      <c r="HR288" s="150" t="n">
        <f aca="false">IF($FJ288+HR$244&gt;73,"",PRODUCT(INDEX($T$19:$T$93,HR$244):INDEX($T$19:$T$93,HR$244+$FJ288-1)))</f>
        <v>0.868552909257368</v>
      </c>
      <c r="HS288" s="150" t="n">
        <f aca="false">IF($FJ288+HS$244&gt;73,"",PRODUCT(INDEX($T$19:$T$93,HS$244):INDEX($T$19:$T$93,HS$244+$FJ288-1)))</f>
        <v>0.847602469668113</v>
      </c>
      <c r="HT288" s="150" t="n">
        <f aca="false">IF($FJ288+HT$244&gt;73,"",PRODUCT(INDEX($T$19:$T$93,HT$244):INDEX($T$19:$T$93,HT$244+$FJ288-1)))</f>
        <v>0.823585962631991</v>
      </c>
      <c r="HU288" s="150" t="n">
        <f aca="false">IF($FJ288+HU$244&gt;73,"",PRODUCT(INDEX($T$19:$T$93,HU$244):INDEX($T$19:$T$93,HU$244+$FJ288-1)))</f>
        <v>0.796155996000393</v>
      </c>
      <c r="HV288" s="150" t="n">
        <f aca="false">IF($FJ288+HV$244&gt;73,"",PRODUCT(INDEX($T$19:$T$93,HV$244):INDEX($T$19:$T$93,HV$244+$FJ288-1)))</f>
        <v>0.764964859040086</v>
      </c>
      <c r="HW288" s="150" t="n">
        <f aca="false">IF($FJ288+HW$244&gt;73,"",PRODUCT(INDEX($T$19:$T$93,HW$244):INDEX($T$19:$T$93,HW$244+$FJ288-1)))</f>
        <v>0.729682727332856</v>
      </c>
      <c r="HX288" s="150" t="n">
        <f aca="false">IF($FJ288+HX$244&gt;73,"",PRODUCT(INDEX($T$19:$T$93,HX$244):INDEX($T$19:$T$93,HX$244+$FJ288-1)))</f>
        <v>0.690023584484757</v>
      </c>
      <c r="HY288" s="150" t="n">
        <f aca="false">IF($FJ288+HY$244&gt;73,"",PRODUCT(INDEX($T$19:$T$93,HY$244):INDEX($T$19:$T$93,HY$244+$FJ288-1)))</f>
        <v>0.645780625851302</v>
      </c>
      <c r="HZ288" s="150" t="n">
        <f aca="false">IF($FJ288+HZ$244&gt;73,"",PRODUCT(INDEX($T$19:$T$93,HZ$244):INDEX($T$19:$T$93,HZ$244+$FJ288-1)))</f>
        <v>0.596872692438071</v>
      </c>
      <c r="IA288" s="150" t="n">
        <f aca="false">IF($FJ288+IA$244&gt;73,"",PRODUCT(INDEX($T$19:$T$93,IA$244):INDEX($T$19:$T$93,IA$244+$FJ288-1)))</f>
        <v>0.54340252100727</v>
      </c>
      <c r="IB288" s="150" t="n">
        <f aca="false">IF($FJ288+IB$244&gt;73,"",PRODUCT(INDEX($T$19:$T$93,IB$244):INDEX($T$19:$T$93,IB$244+$FJ288-1)))</f>
        <v>0.485725921467158</v>
      </c>
      <c r="IC288" s="150" t="n">
        <f aca="false">IF($FJ288+IC$244&gt;73,"",PRODUCT(INDEX($T$19:$T$93,IC$244):INDEX($T$19:$T$93,IC$244+$FJ288-1)))</f>
        <v>0.424527918131476</v>
      </c>
      <c r="ID288" s="572" t="n">
        <f aca="false">IF($FJ288+ID$244&gt;73,"",PRODUCT(INDEX($T$19:$T$93,ID$244):INDEX($T$19:$T$93,ID$244+$FJ288-1)))</f>
        <v>0.360896874823177</v>
      </c>
      <c r="IE288" s="129"/>
    </row>
    <row r="289" customFormat="false" ht="12.75" hidden="false" customHeight="false" outlineLevel="0" collapsed="false">
      <c r="I289" s="735"/>
      <c r="J289" s="727"/>
      <c r="K289" s="728"/>
      <c r="L289" s="195"/>
      <c r="M289" s="729"/>
      <c r="P289" s="727"/>
      <c r="S289" s="1"/>
      <c r="T289" s="727"/>
      <c r="U289" s="195"/>
      <c r="V289" s="195"/>
      <c r="W289" s="195"/>
      <c r="X289" s="195"/>
      <c r="Y289" s="195"/>
      <c r="Z289" s="195"/>
      <c r="AA289" s="195"/>
      <c r="AB289" s="195"/>
      <c r="AC289" s="195"/>
      <c r="AD289" s="195"/>
      <c r="AE289" s="195"/>
      <c r="AF289" s="195"/>
      <c r="AG289" s="195"/>
      <c r="AH289" s="195"/>
      <c r="AI289" s="195"/>
      <c r="AJ289" s="195"/>
      <c r="AK289" s="195"/>
      <c r="AL289" s="195"/>
      <c r="AM289" s="195"/>
      <c r="AN289" s="195"/>
      <c r="AO289" s="532"/>
      <c r="AP289" s="195"/>
      <c r="AQ289" s="532"/>
      <c r="AR289" s="195"/>
      <c r="AS289" s="195"/>
      <c r="AT289" s="240"/>
      <c r="AU289" s="240"/>
      <c r="AV289" s="240"/>
      <c r="AW289" s="730"/>
      <c r="AX289" s="730"/>
      <c r="AY289" s="730"/>
      <c r="AZ289" s="730"/>
      <c r="BA289" s="468"/>
      <c r="BB289" s="468"/>
      <c r="BC289" s="240"/>
      <c r="BD289" s="240"/>
      <c r="BE289" s="240"/>
      <c r="BF289" s="672"/>
      <c r="BG289" s="672"/>
      <c r="BH289" s="672"/>
      <c r="BI289" s="731"/>
      <c r="BJ289" s="672"/>
      <c r="BK289" s="672"/>
      <c r="BL289" s="240"/>
      <c r="BM289" s="736"/>
      <c r="BN289" s="240"/>
      <c r="BO289" s="240"/>
      <c r="BP289" s="240"/>
      <c r="BQ289" s="240"/>
      <c r="BR289" s="240"/>
      <c r="BS289" s="240"/>
      <c r="BT289" s="240"/>
      <c r="BU289" s="240"/>
      <c r="BV289" s="240"/>
      <c r="BW289" s="240"/>
      <c r="BX289" s="240"/>
      <c r="BY289" s="240"/>
      <c r="BZ289" s="240"/>
      <c r="CA289" s="240"/>
      <c r="CB289" s="240"/>
      <c r="CC289" s="240"/>
      <c r="CD289" s="672"/>
      <c r="CE289" s="672"/>
      <c r="CF289" s="672"/>
      <c r="CG289" s="672"/>
      <c r="CH289" s="672"/>
      <c r="CI289" s="672"/>
      <c r="CJ289" s="240"/>
      <c r="CK289" s="240"/>
      <c r="CL289" s="240"/>
      <c r="CM289" s="240"/>
      <c r="CN289" s="240"/>
      <c r="CO289" s="240"/>
      <c r="CP289" s="240"/>
      <c r="CQ289" s="240"/>
      <c r="CR289" s="240"/>
      <c r="CS289" s="240"/>
      <c r="CT289" s="240"/>
      <c r="CU289" s="240"/>
      <c r="CV289" s="240"/>
      <c r="CW289" s="240"/>
      <c r="CX289" s="240"/>
      <c r="CY289" s="240"/>
      <c r="CZ289" s="240"/>
      <c r="DA289" s="240"/>
      <c r="DB289" s="240"/>
      <c r="DC289" s="240"/>
      <c r="DD289" s="240"/>
      <c r="DE289" s="240"/>
      <c r="DF289" s="240"/>
      <c r="DG289" s="240"/>
      <c r="DH289" s="478"/>
      <c r="DI289" s="733"/>
      <c r="DJ289" s="733"/>
      <c r="DK289" s="478"/>
      <c r="DL289" s="3"/>
      <c r="DM289" s="4"/>
      <c r="DN289" s="4"/>
      <c r="DO289" s="4"/>
      <c r="DP289" s="4"/>
      <c r="DQ289" s="4"/>
      <c r="DR289" s="4"/>
      <c r="DS289" s="4"/>
      <c r="DU289" s="195"/>
      <c r="DV289" s="195"/>
      <c r="DW289" s="195"/>
      <c r="DX289" s="195"/>
      <c r="DY289" s="195"/>
      <c r="DZ289" s="195"/>
      <c r="EA289" s="195"/>
      <c r="EB289" s="195"/>
      <c r="EC289" s="195"/>
      <c r="ED289" s="195"/>
      <c r="EE289" s="195"/>
      <c r="EF289" s="195"/>
      <c r="EG289" s="195"/>
      <c r="EL289" s="1"/>
      <c r="EM289" s="195"/>
      <c r="EN289" s="240"/>
      <c r="EO289" s="731"/>
      <c r="EP289" s="195"/>
      <c r="EQ289" s="240"/>
      <c r="ER289" s="195"/>
      <c r="ES289" s="195"/>
      <c r="ET289" s="195"/>
      <c r="EU289" s="672"/>
      <c r="FJ289" s="571" t="n">
        <v>45</v>
      </c>
      <c r="FK289" s="150" t="str">
        <f aca="false">IF($FJ289+FK$244&gt;73,"",PRODUCT(INDEX($T$19:$T$93,FK$244):INDEX($T$19:$T$93,FK$244+$FJ289-1)))</f>
        <v/>
      </c>
      <c r="FL289" s="150" t="str">
        <f aca="false">IF($FJ289+FL$244&gt;73,"",PRODUCT(INDEX($T$19:$T$93,FL$244):INDEX($T$19:$T$93,FL$244+$FJ289-1)))</f>
        <v/>
      </c>
      <c r="FM289" s="150" t="str">
        <f aca="false">IF($FJ289+FM$244&gt;73,"",PRODUCT(INDEX($T$19:$T$93,FM$244):INDEX($T$19:$T$93,FM$244+$FJ289-1)))</f>
        <v/>
      </c>
      <c r="FN289" s="150" t="str">
        <f aca="false">IF($FJ289+FN$244&gt;73,"",PRODUCT(INDEX($T$19:$T$93,FN$244):INDEX($T$19:$T$93,FN$244+$FJ289-1)))</f>
        <v/>
      </c>
      <c r="FO289" s="150" t="str">
        <f aca="false">IF($FJ289+FO$244&gt;73,"",PRODUCT(INDEX($T$19:$T$93,FO$244):INDEX($T$19:$T$93,FO$244+$FJ289-1)))</f>
        <v/>
      </c>
      <c r="FP289" s="150" t="str">
        <f aca="false">IF($FJ289+FP$244&gt;73,"",PRODUCT(INDEX($T$19:$T$93,FP$244):INDEX($T$19:$T$93,FP$244+$FJ289-1)))</f>
        <v/>
      </c>
      <c r="FQ289" s="150" t="str">
        <f aca="false">IF($FJ289+FQ$244&gt;73,"",PRODUCT(INDEX($T$19:$T$93,FQ$244):INDEX($T$19:$T$93,FQ$244+$FJ289-1)))</f>
        <v/>
      </c>
      <c r="FR289" s="150" t="str">
        <f aca="false">IF($FJ289+FR$244&gt;73,"",PRODUCT(INDEX($T$19:$T$93,FR$244):INDEX($T$19:$T$93,FR$244+$FJ289-1)))</f>
        <v/>
      </c>
      <c r="FS289" s="150" t="str">
        <f aca="false">IF($FJ289+FS$244&gt;73,"",PRODUCT(INDEX($T$19:$T$93,FS$244):INDEX($T$19:$T$93,FS$244+$FJ289-1)))</f>
        <v/>
      </c>
      <c r="FT289" s="150" t="str">
        <f aca="false">IF($FJ289+FT$244&gt;73,"",PRODUCT(INDEX($T$19:$T$93,FT$244):INDEX($T$19:$T$93,FT$244+$FJ289-1)))</f>
        <v/>
      </c>
      <c r="FU289" s="150" t="str">
        <f aca="false">IF($FJ289+FU$244&gt;73,"",PRODUCT(INDEX($T$19:$T$93,FU$244):INDEX($T$19:$T$93,FU$244+$FJ289-1)))</f>
        <v/>
      </c>
      <c r="FV289" s="150" t="str">
        <f aca="false">IF($FJ289+FV$244&gt;73,"",PRODUCT(INDEX($T$19:$T$93,FV$244):INDEX($T$19:$T$93,FV$244+$FJ289-1)))</f>
        <v/>
      </c>
      <c r="FW289" s="150" t="str">
        <f aca="false">IF($FJ289+FW$244&gt;73,"",PRODUCT(INDEX($T$19:$T$93,FW$244):INDEX($T$19:$T$93,FW$244+$FJ289-1)))</f>
        <v/>
      </c>
      <c r="FX289" s="150" t="str">
        <f aca="false">IF($FJ289+FX$244&gt;73,"",PRODUCT(INDEX($T$19:$T$93,FX$244):INDEX($T$19:$T$93,FX$244+$FJ289-1)))</f>
        <v/>
      </c>
      <c r="FY289" s="150" t="str">
        <f aca="false">IF($FJ289+FY$244&gt;73,"",PRODUCT(INDEX($T$19:$T$93,FY$244):INDEX($T$19:$T$93,FY$244+$FJ289-1)))</f>
        <v/>
      </c>
      <c r="FZ289" s="150" t="str">
        <f aca="false">IF($FJ289+FZ$244&gt;73,"",PRODUCT(INDEX($T$19:$T$93,FZ$244):INDEX($T$19:$T$93,FZ$244+$FJ289-1)))</f>
        <v/>
      </c>
      <c r="GA289" s="150" t="str">
        <f aca="false">IF($FJ289+GA$244&gt;73,"",PRODUCT(INDEX($T$19:$T$93,GA$244):INDEX($T$19:$T$93,GA$244+$FJ289-1)))</f>
        <v/>
      </c>
      <c r="GB289" s="150" t="str">
        <f aca="false">IF($FJ289+GB$244&gt;73,"",PRODUCT(INDEX($T$19:$T$93,GB$244):INDEX($T$19:$T$93,GB$244+$FJ289-1)))</f>
        <v/>
      </c>
      <c r="GC289" s="150" t="str">
        <f aca="false">IF($FJ289+GC$244&gt;73,"",PRODUCT(INDEX($T$19:$T$93,GC$244):INDEX($T$19:$T$93,GC$244+$FJ289-1)))</f>
        <v/>
      </c>
      <c r="GD289" s="150" t="str">
        <f aca="false">IF($FJ289+GD$244&gt;73,"",PRODUCT(INDEX($T$19:$T$93,GD$244):INDEX($T$19:$T$93,GD$244+$FJ289-1)))</f>
        <v/>
      </c>
      <c r="GE289" s="150" t="str">
        <f aca="false">IF($FJ289+GE$244&gt;73,"",PRODUCT(INDEX($T$19:$T$93,GE$244):INDEX($T$19:$T$93,GE$244+$FJ289-1)))</f>
        <v/>
      </c>
      <c r="GF289" s="150" t="str">
        <f aca="false">IF($FJ289+GF$244&gt;73,"",PRODUCT(INDEX($T$19:$T$93,GF$244):INDEX($T$19:$T$93,GF$244+$FJ289-1)))</f>
        <v/>
      </c>
      <c r="GG289" s="150" t="str">
        <f aca="false">IF($FJ289+GG$244&gt;73,"",PRODUCT(INDEX($T$19:$T$93,GG$244):INDEX($T$19:$T$93,GG$244+$FJ289-1)))</f>
        <v/>
      </c>
      <c r="GH289" s="150" t="str">
        <f aca="false">IF($FJ289+GH$244&gt;73,"",PRODUCT(INDEX($T$19:$T$93,GH$244):INDEX($T$19:$T$93,GH$244+$FJ289-1)))</f>
        <v/>
      </c>
      <c r="GI289" s="150" t="str">
        <f aca="false">IF($FJ289+GI$244&gt;73,"",PRODUCT(INDEX($T$19:$T$93,GI$244):INDEX($T$19:$T$93,GI$244+$FJ289-1)))</f>
        <v/>
      </c>
      <c r="GJ289" s="150" t="str">
        <f aca="false">IF($FJ289+GJ$244&gt;73,"",PRODUCT(INDEX($T$19:$T$93,GJ$244):INDEX($T$19:$T$93,GJ$244+$FJ289-1)))</f>
        <v/>
      </c>
      <c r="GK289" s="150" t="str">
        <f aca="false">IF($FJ289+GK$244&gt;73,"",PRODUCT(INDEX($T$19:$T$93,GK$244):INDEX($T$19:$T$93,GK$244+$FJ289-1)))</f>
        <v/>
      </c>
      <c r="GL289" s="150" t="str">
        <f aca="false">IF($FJ289+GL$244&gt;73,"",PRODUCT(INDEX($T$19:$T$93,GL$244):INDEX($T$19:$T$93,GL$244+$FJ289-1)))</f>
        <v/>
      </c>
      <c r="GM289" s="150" t="str">
        <f aca="false">IF($FJ289+GM$244&gt;73,"",PRODUCT(INDEX($T$19:$T$93,GM$244):INDEX($T$19:$T$93,GM$244+$FJ289-1)))</f>
        <v/>
      </c>
      <c r="GN289" s="150" t="str">
        <f aca="false">IF($FJ289+GN$244&gt;73,"",PRODUCT(INDEX($T$19:$T$93,GN$244):INDEX($T$19:$T$93,GN$244+$FJ289-1)))</f>
        <v/>
      </c>
      <c r="GO289" s="150" t="str">
        <f aca="false">IF($FJ289+GO$244&gt;73,"",PRODUCT(INDEX($T$19:$T$93,GO$244):INDEX($T$19:$T$93,GO$244+$FJ289-1)))</f>
        <v/>
      </c>
      <c r="GP289" s="150" t="str">
        <f aca="false">IF($FJ289+GP$244&gt;73,"",PRODUCT(INDEX($T$19:$T$93,GP$244):INDEX($T$19:$T$93,GP$244+$FJ289-1)))</f>
        <v/>
      </c>
      <c r="GQ289" s="150" t="str">
        <f aca="false">IF($FJ289+GQ$244&gt;73,"",PRODUCT(INDEX($T$19:$T$93,GQ$244):INDEX($T$19:$T$93,GQ$244+$FJ289-1)))</f>
        <v/>
      </c>
      <c r="GR289" s="150" t="str">
        <f aca="false">IF($FJ289+GR$244&gt;73,"",PRODUCT(INDEX($T$19:$T$93,GR$244):INDEX($T$19:$T$93,GR$244+$FJ289-1)))</f>
        <v/>
      </c>
      <c r="GS289" s="150" t="str">
        <f aca="false">IF($FJ289+GS$244&gt;73,"",PRODUCT(INDEX($T$19:$T$93,GS$244):INDEX($T$19:$T$93,GS$244+$FJ289-1)))</f>
        <v/>
      </c>
      <c r="GT289" s="150" t="str">
        <f aca="false">IF($FJ289+GT$244&gt;73,"",PRODUCT(INDEX($T$19:$T$93,GT$244):INDEX($T$19:$T$93,GT$244+$FJ289-1)))</f>
        <v/>
      </c>
      <c r="GU289" s="150" t="str">
        <f aca="false">IF($FJ289+GU$244&gt;73,"",PRODUCT(INDEX($T$19:$T$93,GU$244):INDEX($T$19:$T$93,GU$244+$FJ289-1)))</f>
        <v/>
      </c>
      <c r="GV289" s="150" t="str">
        <f aca="false">IF($FJ289+GV$244&gt;73,"",PRODUCT(INDEX($T$19:$T$93,GV$244):INDEX($T$19:$T$93,GV$244+$FJ289-1)))</f>
        <v/>
      </c>
      <c r="GW289" s="150" t="str">
        <f aca="false">IF($FJ289+GW$244&gt;73,"",PRODUCT(INDEX($T$19:$T$93,GW$244):INDEX($T$19:$T$93,GW$244+$FJ289-1)))</f>
        <v/>
      </c>
      <c r="GX289" s="150" t="str">
        <f aca="false">IF($FJ289+GX$244&gt;73,"",PRODUCT(INDEX($T$19:$T$93,GX$244):INDEX($T$19:$T$93,GX$244+$FJ289-1)))</f>
        <v/>
      </c>
      <c r="GY289" s="150" t="str">
        <f aca="false">IF($FJ289+GY$244&gt;73,"",PRODUCT(INDEX($T$19:$T$93,GY$244):INDEX($T$19:$T$93,GY$244+$FJ289-1)))</f>
        <v/>
      </c>
      <c r="GZ289" s="150" t="str">
        <f aca="false">IF($FJ289+GZ$244&gt;73,"",PRODUCT(INDEX($T$19:$T$93,GZ$244):INDEX($T$19:$T$93,GZ$244+$FJ289-1)))</f>
        <v/>
      </c>
      <c r="HA289" s="150" t="str">
        <f aca="false">IF($FJ289+HA$244&gt;73,"",PRODUCT(INDEX($T$19:$T$93,HA$244):INDEX($T$19:$T$93,HA$244+$FJ289-1)))</f>
        <v/>
      </c>
      <c r="HB289" s="150" t="str">
        <f aca="false">IF($FJ289+HB$244&gt;73,"",PRODUCT(INDEX($T$19:$T$93,HB$244):INDEX($T$19:$T$93,HB$244+$FJ289-1)))</f>
        <v/>
      </c>
      <c r="HC289" s="150" t="n">
        <f aca="false">IF($FJ289+HC$244&gt;73,"",PRODUCT(INDEX($T$19:$T$93,HC$244):INDEX($T$19:$T$93,HC$244+$FJ289-1)))</f>
        <v>0.986877944999341</v>
      </c>
      <c r="HD289" s="150" t="n">
        <f aca="false">IF($FJ289+HD$244&gt;73,"",PRODUCT(INDEX($T$19:$T$93,HD$244):INDEX($T$19:$T$93,HD$244+$FJ289-1)))</f>
        <v>0.98466430997123</v>
      </c>
      <c r="HE289" s="150" t="n">
        <f aca="false">IF($FJ289+HE$244&gt;73,"",PRODUCT(INDEX($T$19:$T$93,HE$244):INDEX($T$19:$T$93,HE$244+$FJ289-1)))</f>
        <v>0.982079673550731</v>
      </c>
      <c r="HF289" s="150" t="n">
        <f aca="false">IF($FJ289+HF$244&gt;73,"",PRODUCT(INDEX($T$19:$T$93,HF$244):INDEX($T$19:$T$93,HF$244+$FJ289-1)))</f>
        <v>0.979062767698631</v>
      </c>
      <c r="HG289" s="150" t="n">
        <f aca="false">IF($FJ289+HG$244&gt;73,"",PRODUCT(INDEX($T$19:$T$93,HG$244):INDEX($T$19:$T$93,HG$244+$FJ289-1)))</f>
        <v>0.975542548713317</v>
      </c>
      <c r="HH289" s="150" t="n">
        <f aca="false">IF($FJ289+HH$244&gt;73,"",PRODUCT(INDEX($T$19:$T$93,HH$244):INDEX($T$19:$T$93,HH$244+$FJ289-1)))</f>
        <v>0.971436767074618</v>
      </c>
      <c r="HI289" s="150" t="n">
        <f aca="false">IF($FJ289+HI$244&gt;73,"",PRODUCT(INDEX($T$19:$T$93,HI$244):INDEX($T$19:$T$93,HI$244+$FJ289-1)))</f>
        <v>0.966650378338919</v>
      </c>
      <c r="HJ289" s="150" t="n">
        <f aca="false">IF($FJ289+HJ$244&gt;73,"",PRODUCT(INDEX($T$19:$T$93,HJ$244):INDEX($T$19:$T$93,HJ$244+$FJ289-1)))</f>
        <v>0.961073798379793</v>
      </c>
      <c r="HK289" s="150" t="n">
        <f aca="false">IF($FJ289+HK$244&gt;73,"",PRODUCT(INDEX($T$19:$T$93,HK$244):INDEX($T$19:$T$93,HK$244+$FJ289-1)))</f>
        <v>0.954581017503765</v>
      </c>
      <c r="HL289" s="150" t="n">
        <f aca="false">IF($FJ289+HL$244&gt;73,"",PRODUCT(INDEX($T$19:$T$93,HL$244):INDEX($T$19:$T$93,HL$244+$FJ289-1)))</f>
        <v>0.947027604707206</v>
      </c>
      <c r="HM289" s="150" t="n">
        <f aca="false">IF($FJ289+HM$244&gt;73,"",PRODUCT(INDEX($T$19:$T$93,HM$244):INDEX($T$19:$T$93,HM$244+$FJ289-1)))</f>
        <v>0.938248657608138</v>
      </c>
      <c r="HN289" s="150" t="n">
        <f aca="false">IF($FJ289+HN$244&gt;73,"",PRODUCT(INDEX($T$19:$T$93,HN$244):INDEX($T$19:$T$93,HN$244+$FJ289-1)))</f>
        <v>0.92805678801795</v>
      </c>
      <c r="HO289" s="150" t="n">
        <f aca="false">IF($FJ289+HO$244&gt;73,"",PRODUCT(INDEX($T$19:$T$93,HO$244):INDEX($T$19:$T$93,HO$244+$FJ289-1)))</f>
        <v>0.916240281050542</v>
      </c>
      <c r="HP289" s="150" t="n">
        <f aca="false">IF($FJ289+HP$244&gt;73,"",PRODUCT(INDEX($T$19:$T$93,HP$244):INDEX($T$19:$T$93,HP$244+$FJ289-1)))</f>
        <v>0.902561631211072</v>
      </c>
      <c r="HQ289" s="150" t="n">
        <f aca="false">IF($FJ289+HQ$244&gt;73,"",PRODUCT(INDEX($T$19:$T$93,HQ$244):INDEX($T$19:$T$93,HQ$244+$FJ289-1)))</f>
        <v>0.886756746916731</v>
      </c>
      <c r="HR289" s="150" t="n">
        <f aca="false">IF($FJ289+HR$244&gt;73,"",PRODUCT(INDEX($T$19:$T$93,HR$244):INDEX($T$19:$T$93,HR$244+$FJ289-1)))</f>
        <v>0.86853523074193</v>
      </c>
      <c r="HS289" s="150" t="n">
        <f aca="false">IF($FJ289+HS$244&gt;73,"",PRODUCT(INDEX($T$19:$T$93,HS$244):INDEX($T$19:$T$93,HS$244+$FJ289-1)))</f>
        <v>0.847582291609848</v>
      </c>
      <c r="HT289" s="150" t="n">
        <f aca="false">IF($FJ289+HT$244&gt;73,"",PRODUCT(INDEX($T$19:$T$93,HT$244):INDEX($T$19:$T$93,HT$244+$FJ289-1)))</f>
        <v>0.823563031035663</v>
      </c>
      <c r="HU289" s="150" t="n">
        <f aca="false">IF($FJ289+HU$244&gt;73,"",PRODUCT(INDEX($T$19:$T$93,HU$244):INDEX($T$19:$T$93,HU$244+$FJ289-1)))</f>
        <v>0.796130068398739</v>
      </c>
      <c r="HV289" s="150" t="n">
        <f aca="false">IF($FJ289+HV$244&gt;73,"",PRODUCT(INDEX($T$19:$T$93,HV$244):INDEX($T$19:$T$93,HV$244+$FJ289-1)))</f>
        <v>0.764935722015186</v>
      </c>
      <c r="HW289" s="150" t="n">
        <f aca="false">IF($FJ289+HW$244&gt;73,"",PRODUCT(INDEX($T$19:$T$93,HW$244):INDEX($T$19:$T$93,HW$244+$FJ289-1)))</f>
        <v>0.729650220238008</v>
      </c>
      <c r="HX289" s="150" t="n">
        <f aca="false">IF($FJ289+HX$244&gt;73,"",PRODUCT(INDEX($T$19:$T$93,HX$244):INDEX($T$19:$T$93,HX$244+$FJ289-1)))</f>
        <v>0.689987630308006</v>
      </c>
      <c r="HY289" s="150" t="n">
        <f aca="false">IF($FJ289+HY$244&gt;73,"",PRODUCT(INDEX($T$19:$T$93,HY$244):INDEX($T$19:$T$93,HY$244+$FJ289-1)))</f>
        <v>0.64574126968047</v>
      </c>
      <c r="HZ289" s="150" t="n">
        <f aca="false">IF($FJ289+HZ$244&gt;73,"",PRODUCT(INDEX($T$19:$T$93,HZ$244):INDEX($T$19:$T$93,HZ$244+$FJ289-1)))</f>
        <v>0.596830146980707</v>
      </c>
      <c r="IA289" s="150" t="n">
        <f aca="false">IF($FJ289+IA$244&gt;73,"",PRODUCT(INDEX($T$19:$T$93,IA$244):INDEX($T$19:$T$93,IA$244+$FJ289-1)))</f>
        <v>0.543357216831705</v>
      </c>
      <c r="IB289" s="150" t="n">
        <f aca="false">IF($FJ289+IB$244&gt;73,"",PRODUCT(INDEX($T$19:$T$93,IB$244):INDEX($T$19:$T$93,IB$244+$FJ289-1)))</f>
        <v>0.485678556787315</v>
      </c>
      <c r="IC289" s="150" t="n">
        <f aca="false">IF($FJ289+IC$244&gt;73,"",PRODUCT(INDEX($T$19:$T$93,IC$244):INDEX($T$19:$T$93,IC$244+$FJ289-1)))</f>
        <v>0.424479498864114</v>
      </c>
      <c r="ID289" s="572" t="n">
        <f aca="false">IF($FJ289+ID$244&gt;73,"",PRODUCT(INDEX($T$19:$T$93,ID$244):INDEX($T$19:$T$93,ID$244+$FJ289-1)))</f>
        <v>0.360848730411755</v>
      </c>
      <c r="IE289" s="129"/>
    </row>
    <row r="290" customFormat="false" ht="12.75" hidden="false" customHeight="false" outlineLevel="0" collapsed="false">
      <c r="I290" s="735"/>
      <c r="J290" s="727"/>
      <c r="K290" s="728"/>
      <c r="L290" s="195"/>
      <c r="M290" s="729"/>
      <c r="P290" s="727"/>
      <c r="S290" s="1"/>
      <c r="T290" s="727"/>
      <c r="U290" s="195"/>
      <c r="V290" s="195"/>
      <c r="W290" s="195"/>
      <c r="X290" s="195"/>
      <c r="Y290" s="195"/>
      <c r="Z290" s="195"/>
      <c r="AA290" s="195"/>
      <c r="AB290" s="195"/>
      <c r="AC290" s="195"/>
      <c r="AD290" s="195"/>
      <c r="AE290" s="195"/>
      <c r="AF290" s="195"/>
      <c r="AG290" s="195"/>
      <c r="AH290" s="195"/>
      <c r="AI290" s="195"/>
      <c r="AJ290" s="195"/>
      <c r="AK290" s="195"/>
      <c r="AL290" s="195"/>
      <c r="AM290" s="195"/>
      <c r="AN290" s="195"/>
      <c r="AO290" s="532"/>
      <c r="AP290" s="195"/>
      <c r="AQ290" s="532"/>
      <c r="AR290" s="195"/>
      <c r="AS290" s="195"/>
      <c r="AT290" s="240"/>
      <c r="AU290" s="240"/>
      <c r="AV290" s="240"/>
      <c r="AW290" s="730"/>
      <c r="AX290" s="730"/>
      <c r="AY290" s="730"/>
      <c r="AZ290" s="730"/>
      <c r="BA290" s="468"/>
      <c r="BB290" s="468"/>
      <c r="BC290" s="240"/>
      <c r="BD290" s="240"/>
      <c r="BE290" s="240"/>
      <c r="BF290" s="672"/>
      <c r="BG290" s="672"/>
      <c r="BH290" s="672"/>
      <c r="BI290" s="731"/>
      <c r="BJ290" s="672"/>
      <c r="BK290" s="672"/>
      <c r="BL290" s="240"/>
      <c r="BM290" s="736"/>
      <c r="BN290" s="240"/>
      <c r="BO290" s="240"/>
      <c r="BP290" s="240"/>
      <c r="BQ290" s="240"/>
      <c r="BR290" s="240"/>
      <c r="BS290" s="240"/>
      <c r="BT290" s="240"/>
      <c r="BU290" s="240"/>
      <c r="BV290" s="240"/>
      <c r="BW290" s="240"/>
      <c r="BX290" s="240"/>
      <c r="BY290" s="240"/>
      <c r="BZ290" s="240"/>
      <c r="CA290" s="240"/>
      <c r="CB290" s="240"/>
      <c r="CC290" s="240"/>
      <c r="CD290" s="672"/>
      <c r="CE290" s="672"/>
      <c r="CF290" s="672"/>
      <c r="CG290" s="672"/>
      <c r="CH290" s="672"/>
      <c r="CI290" s="672"/>
      <c r="CJ290" s="240"/>
      <c r="CK290" s="240"/>
      <c r="CL290" s="240"/>
      <c r="CM290" s="240"/>
      <c r="CN290" s="240"/>
      <c r="CO290" s="240"/>
      <c r="CP290" s="240"/>
      <c r="CQ290" s="240"/>
      <c r="CR290" s="240"/>
      <c r="CS290" s="240"/>
      <c r="CT290" s="240"/>
      <c r="CU290" s="240"/>
      <c r="CV290" s="240"/>
      <c r="CW290" s="240"/>
      <c r="CX290" s="240"/>
      <c r="CY290" s="240"/>
      <c r="CZ290" s="240"/>
      <c r="DA290" s="240"/>
      <c r="DB290" s="240"/>
      <c r="DC290" s="240"/>
      <c r="DD290" s="240"/>
      <c r="DE290" s="240"/>
      <c r="DF290" s="240"/>
      <c r="DG290" s="240"/>
      <c r="DH290" s="478"/>
      <c r="DI290" s="733"/>
      <c r="DJ290" s="733"/>
      <c r="DK290" s="478"/>
      <c r="DL290" s="3"/>
      <c r="DM290" s="4"/>
      <c r="DN290" s="4"/>
      <c r="DO290" s="4"/>
      <c r="DP290" s="4"/>
      <c r="DQ290" s="4"/>
      <c r="DR290" s="4"/>
      <c r="DS290" s="4"/>
      <c r="DU290" s="195"/>
      <c r="DV290" s="195"/>
      <c r="DW290" s="195"/>
      <c r="DX290" s="195"/>
      <c r="DY290" s="195"/>
      <c r="DZ290" s="195"/>
      <c r="EA290" s="195"/>
      <c r="EB290" s="195"/>
      <c r="EC290" s="195"/>
      <c r="ED290" s="195"/>
      <c r="EE290" s="195"/>
      <c r="EF290" s="195"/>
      <c r="EG290" s="195"/>
      <c r="EL290" s="1"/>
      <c r="EM290" s="195"/>
      <c r="EN290" s="240"/>
      <c r="EO290" s="731"/>
      <c r="EP290" s="195"/>
      <c r="EQ290" s="240"/>
      <c r="ER290" s="195"/>
      <c r="ES290" s="195"/>
      <c r="ET290" s="195"/>
      <c r="EU290" s="672"/>
      <c r="FJ290" s="571" t="n">
        <v>46</v>
      </c>
      <c r="FK290" s="150" t="str">
        <f aca="false">IF($FJ290+FK$244&gt;73,"",PRODUCT(INDEX($T$19:$T$93,FK$244):INDEX($T$19:$T$93,FK$244+$FJ290-1)))</f>
        <v/>
      </c>
      <c r="FL290" s="150" t="str">
        <f aca="false">IF($FJ290+FL$244&gt;73,"",PRODUCT(INDEX($T$19:$T$93,FL$244):INDEX($T$19:$T$93,FL$244+$FJ290-1)))</f>
        <v/>
      </c>
      <c r="FM290" s="150" t="str">
        <f aca="false">IF($FJ290+FM$244&gt;73,"",PRODUCT(INDEX($T$19:$T$93,FM$244):INDEX($T$19:$T$93,FM$244+$FJ290-1)))</f>
        <v/>
      </c>
      <c r="FN290" s="150" t="str">
        <f aca="false">IF($FJ290+FN$244&gt;73,"",PRODUCT(INDEX($T$19:$T$93,FN$244):INDEX($T$19:$T$93,FN$244+$FJ290-1)))</f>
        <v/>
      </c>
      <c r="FO290" s="150" t="str">
        <f aca="false">IF($FJ290+FO$244&gt;73,"",PRODUCT(INDEX($T$19:$T$93,FO$244):INDEX($T$19:$T$93,FO$244+$FJ290-1)))</f>
        <v/>
      </c>
      <c r="FP290" s="150" t="str">
        <f aca="false">IF($FJ290+FP$244&gt;73,"",PRODUCT(INDEX($T$19:$T$93,FP$244):INDEX($T$19:$T$93,FP$244+$FJ290-1)))</f>
        <v/>
      </c>
      <c r="FQ290" s="150" t="str">
        <f aca="false">IF($FJ290+FQ$244&gt;73,"",PRODUCT(INDEX($T$19:$T$93,FQ$244):INDEX($T$19:$T$93,FQ$244+$FJ290-1)))</f>
        <v/>
      </c>
      <c r="FR290" s="150" t="str">
        <f aca="false">IF($FJ290+FR$244&gt;73,"",PRODUCT(INDEX($T$19:$T$93,FR$244):INDEX($T$19:$T$93,FR$244+$FJ290-1)))</f>
        <v/>
      </c>
      <c r="FS290" s="150" t="str">
        <f aca="false">IF($FJ290+FS$244&gt;73,"",PRODUCT(INDEX($T$19:$T$93,FS$244):INDEX($T$19:$T$93,FS$244+$FJ290-1)))</f>
        <v/>
      </c>
      <c r="FT290" s="150" t="str">
        <f aca="false">IF($FJ290+FT$244&gt;73,"",PRODUCT(INDEX($T$19:$T$93,FT$244):INDEX($T$19:$T$93,FT$244+$FJ290-1)))</f>
        <v/>
      </c>
      <c r="FU290" s="150" t="str">
        <f aca="false">IF($FJ290+FU$244&gt;73,"",PRODUCT(INDEX($T$19:$T$93,FU$244):INDEX($T$19:$T$93,FU$244+$FJ290-1)))</f>
        <v/>
      </c>
      <c r="FV290" s="150" t="str">
        <f aca="false">IF($FJ290+FV$244&gt;73,"",PRODUCT(INDEX($T$19:$T$93,FV$244):INDEX($T$19:$T$93,FV$244+$FJ290-1)))</f>
        <v/>
      </c>
      <c r="FW290" s="150" t="str">
        <f aca="false">IF($FJ290+FW$244&gt;73,"",PRODUCT(INDEX($T$19:$T$93,FW$244):INDEX($T$19:$T$93,FW$244+$FJ290-1)))</f>
        <v/>
      </c>
      <c r="FX290" s="150" t="str">
        <f aca="false">IF($FJ290+FX$244&gt;73,"",PRODUCT(INDEX($T$19:$T$93,FX$244):INDEX($T$19:$T$93,FX$244+$FJ290-1)))</f>
        <v/>
      </c>
      <c r="FY290" s="150" t="str">
        <f aca="false">IF($FJ290+FY$244&gt;73,"",PRODUCT(INDEX($T$19:$T$93,FY$244):INDEX($T$19:$T$93,FY$244+$FJ290-1)))</f>
        <v/>
      </c>
      <c r="FZ290" s="150" t="str">
        <f aca="false">IF($FJ290+FZ$244&gt;73,"",PRODUCT(INDEX($T$19:$T$93,FZ$244):INDEX($T$19:$T$93,FZ$244+$FJ290-1)))</f>
        <v/>
      </c>
      <c r="GA290" s="150" t="str">
        <f aca="false">IF($FJ290+GA$244&gt;73,"",PRODUCT(INDEX($T$19:$T$93,GA$244):INDEX($T$19:$T$93,GA$244+$FJ290-1)))</f>
        <v/>
      </c>
      <c r="GB290" s="150" t="str">
        <f aca="false">IF($FJ290+GB$244&gt;73,"",PRODUCT(INDEX($T$19:$T$93,GB$244):INDEX($T$19:$T$93,GB$244+$FJ290-1)))</f>
        <v/>
      </c>
      <c r="GC290" s="150" t="str">
        <f aca="false">IF($FJ290+GC$244&gt;73,"",PRODUCT(INDEX($T$19:$T$93,GC$244):INDEX($T$19:$T$93,GC$244+$FJ290-1)))</f>
        <v/>
      </c>
      <c r="GD290" s="150" t="str">
        <f aca="false">IF($FJ290+GD$244&gt;73,"",PRODUCT(INDEX($T$19:$T$93,GD$244):INDEX($T$19:$T$93,GD$244+$FJ290-1)))</f>
        <v/>
      </c>
      <c r="GE290" s="150" t="str">
        <f aca="false">IF($FJ290+GE$244&gt;73,"",PRODUCT(INDEX($T$19:$T$93,GE$244):INDEX($T$19:$T$93,GE$244+$FJ290-1)))</f>
        <v/>
      </c>
      <c r="GF290" s="150" t="str">
        <f aca="false">IF($FJ290+GF$244&gt;73,"",PRODUCT(INDEX($T$19:$T$93,GF$244):INDEX($T$19:$T$93,GF$244+$FJ290-1)))</f>
        <v/>
      </c>
      <c r="GG290" s="150" t="str">
        <f aca="false">IF($FJ290+GG$244&gt;73,"",PRODUCT(INDEX($T$19:$T$93,GG$244):INDEX($T$19:$T$93,GG$244+$FJ290-1)))</f>
        <v/>
      </c>
      <c r="GH290" s="150" t="str">
        <f aca="false">IF($FJ290+GH$244&gt;73,"",PRODUCT(INDEX($T$19:$T$93,GH$244):INDEX($T$19:$T$93,GH$244+$FJ290-1)))</f>
        <v/>
      </c>
      <c r="GI290" s="150" t="str">
        <f aca="false">IF($FJ290+GI$244&gt;73,"",PRODUCT(INDEX($T$19:$T$93,GI$244):INDEX($T$19:$T$93,GI$244+$FJ290-1)))</f>
        <v/>
      </c>
      <c r="GJ290" s="150" t="str">
        <f aca="false">IF($FJ290+GJ$244&gt;73,"",PRODUCT(INDEX($T$19:$T$93,GJ$244):INDEX($T$19:$T$93,GJ$244+$FJ290-1)))</f>
        <v/>
      </c>
      <c r="GK290" s="150" t="str">
        <f aca="false">IF($FJ290+GK$244&gt;73,"",PRODUCT(INDEX($T$19:$T$93,GK$244):INDEX($T$19:$T$93,GK$244+$FJ290-1)))</f>
        <v/>
      </c>
      <c r="GL290" s="150" t="str">
        <f aca="false">IF($FJ290+GL$244&gt;73,"",PRODUCT(INDEX($T$19:$T$93,GL$244):INDEX($T$19:$T$93,GL$244+$FJ290-1)))</f>
        <v/>
      </c>
      <c r="GM290" s="150" t="str">
        <f aca="false">IF($FJ290+GM$244&gt;73,"",PRODUCT(INDEX($T$19:$T$93,GM$244):INDEX($T$19:$T$93,GM$244+$FJ290-1)))</f>
        <v/>
      </c>
      <c r="GN290" s="150" t="str">
        <f aca="false">IF($FJ290+GN$244&gt;73,"",PRODUCT(INDEX($T$19:$T$93,GN$244):INDEX($T$19:$T$93,GN$244+$FJ290-1)))</f>
        <v/>
      </c>
      <c r="GO290" s="150" t="str">
        <f aca="false">IF($FJ290+GO$244&gt;73,"",PRODUCT(INDEX($T$19:$T$93,GO$244):INDEX($T$19:$T$93,GO$244+$FJ290-1)))</f>
        <v/>
      </c>
      <c r="GP290" s="150" t="str">
        <f aca="false">IF($FJ290+GP$244&gt;73,"",PRODUCT(INDEX($T$19:$T$93,GP$244):INDEX($T$19:$T$93,GP$244+$FJ290-1)))</f>
        <v/>
      </c>
      <c r="GQ290" s="150" t="str">
        <f aca="false">IF($FJ290+GQ$244&gt;73,"",PRODUCT(INDEX($T$19:$T$93,GQ$244):INDEX($T$19:$T$93,GQ$244+$FJ290-1)))</f>
        <v/>
      </c>
      <c r="GR290" s="150" t="str">
        <f aca="false">IF($FJ290+GR$244&gt;73,"",PRODUCT(INDEX($T$19:$T$93,GR$244):INDEX($T$19:$T$93,GR$244+$FJ290-1)))</f>
        <v/>
      </c>
      <c r="GS290" s="150" t="str">
        <f aca="false">IF($FJ290+GS$244&gt;73,"",PRODUCT(INDEX($T$19:$T$93,GS$244):INDEX($T$19:$T$93,GS$244+$FJ290-1)))</f>
        <v/>
      </c>
      <c r="GT290" s="150" t="str">
        <f aca="false">IF($FJ290+GT$244&gt;73,"",PRODUCT(INDEX($T$19:$T$93,GT$244):INDEX($T$19:$T$93,GT$244+$FJ290-1)))</f>
        <v/>
      </c>
      <c r="GU290" s="150" t="str">
        <f aca="false">IF($FJ290+GU$244&gt;73,"",PRODUCT(INDEX($T$19:$T$93,GU$244):INDEX($T$19:$T$93,GU$244+$FJ290-1)))</f>
        <v/>
      </c>
      <c r="GV290" s="150" t="str">
        <f aca="false">IF($FJ290+GV$244&gt;73,"",PRODUCT(INDEX($T$19:$T$93,GV$244):INDEX($T$19:$T$93,GV$244+$FJ290-1)))</f>
        <v/>
      </c>
      <c r="GW290" s="150" t="str">
        <f aca="false">IF($FJ290+GW$244&gt;73,"",PRODUCT(INDEX($T$19:$T$93,GW$244):INDEX($T$19:$T$93,GW$244+$FJ290-1)))</f>
        <v/>
      </c>
      <c r="GX290" s="150" t="str">
        <f aca="false">IF($FJ290+GX$244&gt;73,"",PRODUCT(INDEX($T$19:$T$93,GX$244):INDEX($T$19:$T$93,GX$244+$FJ290-1)))</f>
        <v/>
      </c>
      <c r="GY290" s="150" t="str">
        <f aca="false">IF($FJ290+GY$244&gt;73,"",PRODUCT(INDEX($T$19:$T$93,GY$244):INDEX($T$19:$T$93,GY$244+$FJ290-1)))</f>
        <v/>
      </c>
      <c r="GZ290" s="150" t="str">
        <f aca="false">IF($FJ290+GZ$244&gt;73,"",PRODUCT(INDEX($T$19:$T$93,GZ$244):INDEX($T$19:$T$93,GZ$244+$FJ290-1)))</f>
        <v/>
      </c>
      <c r="HA290" s="150" t="str">
        <f aca="false">IF($FJ290+HA$244&gt;73,"",PRODUCT(INDEX($T$19:$T$93,HA$244):INDEX($T$19:$T$93,HA$244+$FJ290-1)))</f>
        <v/>
      </c>
      <c r="HB290" s="150" t="str">
        <f aca="false">IF($FJ290+HB$244&gt;73,"",PRODUCT(INDEX($T$19:$T$93,HB$244):INDEX($T$19:$T$93,HB$244+$FJ290-1)))</f>
        <v/>
      </c>
      <c r="HC290" s="150" t="str">
        <f aca="false">IF($FJ290+HC$244&gt;73,"",PRODUCT(INDEX($T$19:$T$93,HC$244):INDEX($T$19:$T$93,HC$244+$FJ290-1)))</f>
        <v/>
      </c>
      <c r="HD290" s="150" t="n">
        <f aca="false">IF($FJ290+HD$244&gt;73,"",PRODUCT(INDEX($T$19:$T$93,HD$244):INDEX($T$19:$T$93,HD$244+$FJ290-1)))</f>
        <v>0.984662398327577</v>
      </c>
      <c r="HE290" s="150" t="n">
        <f aca="false">IF($FJ290+HE$244&gt;73,"",PRODUCT(INDEX($T$19:$T$93,HE$244):INDEX($T$19:$T$93,HE$244+$FJ290-1)))</f>
        <v>0.982077443576506</v>
      </c>
      <c r="HF290" s="150" t="n">
        <f aca="false">IF($FJ290+HF$244&gt;73,"",PRODUCT(INDEX($T$19:$T$93,HF$244):INDEX($T$19:$T$93,HF$244+$FJ290-1)))</f>
        <v>0.979060167550407</v>
      </c>
      <c r="HG290" s="150" t="n">
        <f aca="false">IF($FJ290+HG$244&gt;73,"",PRODUCT(INDEX($T$19:$T$93,HG$244):INDEX($T$19:$T$93,HG$244+$FJ290-1)))</f>
        <v>0.975539518534079</v>
      </c>
      <c r="HH290" s="150" t="n">
        <f aca="false">IF($FJ290+HH$244&gt;73,"",PRODUCT(INDEX($T$19:$T$93,HH$244):INDEX($T$19:$T$93,HH$244+$FJ290-1)))</f>
        <v>0.971433237915307</v>
      </c>
      <c r="HI290" s="150" t="n">
        <f aca="false">IF($FJ290+HI$244&gt;73,"",PRODUCT(INDEX($T$19:$T$93,HI$244):INDEX($T$19:$T$93,HI$244+$FJ290-1)))</f>
        <v>0.966646270996755</v>
      </c>
      <c r="HJ290" s="150" t="n">
        <f aca="false">IF($FJ290+HJ$244&gt;73,"",PRODUCT(INDEX($T$19:$T$93,HJ$244):INDEX($T$19:$T$93,HJ$244+$FJ290-1)))</f>
        <v>0.961069022173797</v>
      </c>
      <c r="HK290" s="150" t="n">
        <f aca="false">IF($FJ290+HK$244&gt;73,"",PRODUCT(INDEX($T$19:$T$93,HK$244):INDEX($T$19:$T$93,HK$244+$FJ290-1)))</f>
        <v>0.954575469022804</v>
      </c>
      <c r="HL290" s="150" t="n">
        <f aca="false">IF($FJ290+HL$244&gt;73,"",PRODUCT(INDEX($T$19:$T$93,HL$244):INDEX($T$19:$T$93,HL$244+$FJ290-1)))</f>
        <v>0.947021166586728</v>
      </c>
      <c r="HM290" s="150" t="n">
        <f aca="false">IF($FJ290+HM$244&gt;73,"",PRODUCT(INDEX($T$19:$T$93,HM$244):INDEX($T$19:$T$93,HM$244+$FJ290-1)))</f>
        <v>0.938241197420486</v>
      </c>
      <c r="HN290" s="150" t="n">
        <f aca="false">IF($FJ290+HN$244&gt;73,"",PRODUCT(INDEX($T$19:$T$93,HN$244):INDEX($T$19:$T$93,HN$244+$FJ290-1)))</f>
        <v>0.928048157399816</v>
      </c>
      <c r="HO290" s="150" t="n">
        <f aca="false">IF($FJ290+HO$244&gt;73,"",PRODUCT(INDEX($T$19:$T$93,HO$244):INDEX($T$19:$T$93,HO$244+$FJ290-1)))</f>
        <v>0.916230315242395</v>
      </c>
      <c r="HP290" s="150" t="n">
        <f aca="false">IF($FJ290+HP$244&gt;73,"",PRODUCT(INDEX($T$19:$T$93,HP$244):INDEX($T$19:$T$93,HP$244+$FJ290-1)))</f>
        <v>0.902550149249815</v>
      </c>
      <c r="HQ290" s="150" t="n">
        <f aca="false">IF($FJ290+HQ$244&gt;73,"",PRODUCT(INDEX($T$19:$T$93,HQ$244):INDEX($T$19:$T$93,HQ$244+$FJ290-1)))</f>
        <v>0.886743552806829</v>
      </c>
      <c r="HR290" s="150" t="n">
        <f aca="false">IF($FJ290+HR$244&gt;73,"",PRODUCT(INDEX($T$19:$T$93,HR$244):INDEX($T$19:$T$93,HR$244+$FJ290-1)))</f>
        <v>0.868520116033102</v>
      </c>
      <c r="HS290" s="150" t="n">
        <f aca="false">IF($FJ290+HS$244&gt;73,"",PRODUCT(INDEX($T$19:$T$93,HS$244):INDEX($T$19:$T$93,HS$244+$FJ290-1)))</f>
        <v>0.847565039930108</v>
      </c>
      <c r="HT290" s="150" t="n">
        <f aca="false">IF($FJ290+HT$244&gt;73,"",PRODUCT(INDEX($T$19:$T$93,HT$244):INDEX($T$19:$T$93,HT$244+$FJ290-1)))</f>
        <v>0.823543425261235</v>
      </c>
      <c r="HU290" s="150" t="n">
        <f aca="false">IF($FJ290+HU$244&gt;73,"",PRODUCT(INDEX($T$19:$T$93,HU$244):INDEX($T$19:$T$93,HU$244+$FJ290-1)))</f>
        <v>0.796107901273289</v>
      </c>
      <c r="HV290" s="150" t="n">
        <f aca="false">IF($FJ290+HV$244&gt;73,"",PRODUCT(INDEX($T$19:$T$93,HV$244):INDEX($T$19:$T$93,HV$244+$FJ290-1)))</f>
        <v>0.764910811132405</v>
      </c>
      <c r="HW290" s="150" t="n">
        <f aca="false">IF($FJ290+HW$244&gt;73,"",PRODUCT(INDEX($T$19:$T$93,HW$244):INDEX($T$19:$T$93,HW$244+$FJ290-1)))</f>
        <v>0.729622428325237</v>
      </c>
      <c r="HX290" s="150" t="n">
        <f aca="false">IF($FJ290+HX$244&gt;73,"",PRODUCT(INDEX($T$19:$T$93,HX$244):INDEX($T$19:$T$93,HX$244+$FJ290-1)))</f>
        <v>0.689956891615007</v>
      </c>
      <c r="HY290" s="150" t="n">
        <f aca="false">IF($FJ290+HY$244&gt;73,"",PRODUCT(INDEX($T$19:$T$93,HY$244):INDEX($T$19:$T$93,HY$244+$FJ290-1)))</f>
        <v>0.645707622865683</v>
      </c>
      <c r="HZ290" s="150" t="n">
        <f aca="false">IF($FJ290+HZ$244&gt;73,"",PRODUCT(INDEX($T$19:$T$93,HZ$244):INDEX($T$19:$T$93,HZ$244+$FJ290-1)))</f>
        <v>0.59679377402636</v>
      </c>
      <c r="IA290" s="150" t="n">
        <f aca="false">IF($FJ290+IA$244&gt;73,"",PRODUCT(INDEX($T$19:$T$93,IA$244):INDEX($T$19:$T$93,IA$244+$FJ290-1)))</f>
        <v>0.543318485990781</v>
      </c>
      <c r="IB290" s="150" t="n">
        <f aca="false">IF($FJ290+IB$244&gt;73,"",PRODUCT(INDEX($T$19:$T$93,IB$244):INDEX($T$19:$T$93,IB$244+$FJ290-1)))</f>
        <v>0.485638065133791</v>
      </c>
      <c r="IC290" s="150" t="n">
        <f aca="false">IF($FJ290+IC$244&gt;73,"",PRODUCT(INDEX($T$19:$T$93,IC$244):INDEX($T$19:$T$93,IC$244+$FJ290-1)))</f>
        <v>0.424438106517782</v>
      </c>
      <c r="ID290" s="572" t="n">
        <f aca="false">IF($FJ290+ID$244&gt;73,"",PRODUCT(INDEX($T$19:$T$93,ID$244):INDEX($T$19:$T$93,ID$244+$FJ290-1)))</f>
        <v>0.360807574034497</v>
      </c>
      <c r="IE290" s="129"/>
    </row>
    <row r="291" customFormat="false" ht="12.75" hidden="false" customHeight="false" outlineLevel="0" collapsed="false">
      <c r="I291" s="735"/>
      <c r="J291" s="727"/>
      <c r="K291" s="728"/>
      <c r="L291" s="195"/>
      <c r="M291" s="729"/>
      <c r="P291" s="727"/>
      <c r="S291" s="1"/>
      <c r="T291" s="727"/>
      <c r="U291" s="195"/>
      <c r="V291" s="195"/>
      <c r="W291" s="195"/>
      <c r="X291" s="195"/>
      <c r="Y291" s="195"/>
      <c r="Z291" s="195"/>
      <c r="AA291" s="195"/>
      <c r="AB291" s="195"/>
      <c r="AC291" s="195"/>
      <c r="AD291" s="195"/>
      <c r="AE291" s="195"/>
      <c r="AF291" s="195"/>
      <c r="AG291" s="195"/>
      <c r="AH291" s="195"/>
      <c r="AI291" s="195"/>
      <c r="AJ291" s="195"/>
      <c r="AK291" s="195"/>
      <c r="AL291" s="195"/>
      <c r="AM291" s="195"/>
      <c r="AN291" s="195"/>
      <c r="AO291" s="532"/>
      <c r="AP291" s="195"/>
      <c r="AQ291" s="532"/>
      <c r="AR291" s="195"/>
      <c r="AS291" s="195"/>
      <c r="AT291" s="240"/>
      <c r="AU291" s="240"/>
      <c r="AV291" s="240"/>
      <c r="AW291" s="730"/>
      <c r="AX291" s="730"/>
      <c r="AY291" s="730"/>
      <c r="AZ291" s="730"/>
      <c r="BA291" s="468"/>
      <c r="BB291" s="468"/>
      <c r="BC291" s="240"/>
      <c r="BD291" s="240"/>
      <c r="BE291" s="240"/>
      <c r="BF291" s="672"/>
      <c r="BG291" s="672"/>
      <c r="BH291" s="672"/>
      <c r="BI291" s="731"/>
      <c r="BJ291" s="672"/>
      <c r="BK291" s="672"/>
      <c r="BL291" s="240"/>
      <c r="BM291" s="736"/>
      <c r="BN291" s="240"/>
      <c r="BO291" s="240"/>
      <c r="BP291" s="240"/>
      <c r="BQ291" s="240"/>
      <c r="BR291" s="240"/>
      <c r="BS291" s="240"/>
      <c r="BT291" s="240"/>
      <c r="BU291" s="240"/>
      <c r="BV291" s="240"/>
      <c r="BW291" s="240"/>
      <c r="BX291" s="240"/>
      <c r="BY291" s="240"/>
      <c r="BZ291" s="240"/>
      <c r="CA291" s="240"/>
      <c r="CB291" s="240"/>
      <c r="CC291" s="240"/>
      <c r="CD291" s="672"/>
      <c r="CE291" s="672"/>
      <c r="CF291" s="672"/>
      <c r="CG291" s="672"/>
      <c r="CH291" s="672"/>
      <c r="CI291" s="672"/>
      <c r="CJ291" s="240"/>
      <c r="CK291" s="240"/>
      <c r="CL291" s="240"/>
      <c r="CM291" s="240"/>
      <c r="CN291" s="240"/>
      <c r="CO291" s="240"/>
      <c r="CP291" s="240"/>
      <c r="CQ291" s="240"/>
      <c r="CR291" s="240"/>
      <c r="CS291" s="240"/>
      <c r="CT291" s="240"/>
      <c r="CU291" s="240"/>
      <c r="CV291" s="240"/>
      <c r="CW291" s="240"/>
      <c r="CX291" s="240"/>
      <c r="CY291" s="240"/>
      <c r="CZ291" s="240"/>
      <c r="DA291" s="240"/>
      <c r="DB291" s="240"/>
      <c r="DC291" s="240"/>
      <c r="DD291" s="240"/>
      <c r="DE291" s="240"/>
      <c r="DF291" s="240"/>
      <c r="DG291" s="240"/>
      <c r="DH291" s="478"/>
      <c r="DI291" s="733"/>
      <c r="DJ291" s="733"/>
      <c r="DK291" s="478"/>
      <c r="DL291" s="3"/>
      <c r="DM291" s="4"/>
      <c r="DN291" s="4"/>
      <c r="DO291" s="4"/>
      <c r="DP291" s="4"/>
      <c r="DQ291" s="4"/>
      <c r="DR291" s="4"/>
      <c r="DS291" s="4"/>
      <c r="DU291" s="195"/>
      <c r="DV291" s="195"/>
      <c r="DW291" s="195"/>
      <c r="DX291" s="195"/>
      <c r="DY291" s="195"/>
      <c r="DZ291" s="195"/>
      <c r="EA291" s="195"/>
      <c r="EB291" s="195"/>
      <c r="EC291" s="195"/>
      <c r="ED291" s="195"/>
      <c r="EE291" s="195"/>
      <c r="EF291" s="195"/>
      <c r="EG291" s="195"/>
      <c r="EL291" s="1"/>
      <c r="EM291" s="195"/>
      <c r="EN291" s="240"/>
      <c r="EO291" s="731"/>
      <c r="EP291" s="195"/>
      <c r="EQ291" s="240"/>
      <c r="ER291" s="195"/>
      <c r="ES291" s="195"/>
      <c r="ET291" s="195"/>
      <c r="EU291" s="672"/>
      <c r="FJ291" s="571" t="n">
        <v>47</v>
      </c>
      <c r="FK291" s="150" t="str">
        <f aca="false">IF($FJ291+FK$244&gt;73,"",PRODUCT(INDEX($T$19:$T$93,FK$244):INDEX($T$19:$T$93,FK$244+$FJ291-1)))</f>
        <v/>
      </c>
      <c r="FL291" s="150" t="str">
        <f aca="false">IF($FJ291+FL$244&gt;73,"",PRODUCT(INDEX($T$19:$T$93,FL$244):INDEX($T$19:$T$93,FL$244+$FJ291-1)))</f>
        <v/>
      </c>
      <c r="FM291" s="150" t="str">
        <f aca="false">IF($FJ291+FM$244&gt;73,"",PRODUCT(INDEX($T$19:$T$93,FM$244):INDEX($T$19:$T$93,FM$244+$FJ291-1)))</f>
        <v/>
      </c>
      <c r="FN291" s="150" t="str">
        <f aca="false">IF($FJ291+FN$244&gt;73,"",PRODUCT(INDEX($T$19:$T$93,FN$244):INDEX($T$19:$T$93,FN$244+$FJ291-1)))</f>
        <v/>
      </c>
      <c r="FO291" s="150" t="str">
        <f aca="false">IF($FJ291+FO$244&gt;73,"",PRODUCT(INDEX($T$19:$T$93,FO$244):INDEX($T$19:$T$93,FO$244+$FJ291-1)))</f>
        <v/>
      </c>
      <c r="FP291" s="150" t="str">
        <f aca="false">IF($FJ291+FP$244&gt;73,"",PRODUCT(INDEX($T$19:$T$93,FP$244):INDEX($T$19:$T$93,FP$244+$FJ291-1)))</f>
        <v/>
      </c>
      <c r="FQ291" s="150" t="str">
        <f aca="false">IF($FJ291+FQ$244&gt;73,"",PRODUCT(INDEX($T$19:$T$93,FQ$244):INDEX($T$19:$T$93,FQ$244+$FJ291-1)))</f>
        <v/>
      </c>
      <c r="FR291" s="150" t="str">
        <f aca="false">IF($FJ291+FR$244&gt;73,"",PRODUCT(INDEX($T$19:$T$93,FR$244):INDEX($T$19:$T$93,FR$244+$FJ291-1)))</f>
        <v/>
      </c>
      <c r="FS291" s="150" t="str">
        <f aca="false">IF($FJ291+FS$244&gt;73,"",PRODUCT(INDEX($T$19:$T$93,FS$244):INDEX($T$19:$T$93,FS$244+$FJ291-1)))</f>
        <v/>
      </c>
      <c r="FT291" s="150" t="str">
        <f aca="false">IF($FJ291+FT$244&gt;73,"",PRODUCT(INDEX($T$19:$T$93,FT$244):INDEX($T$19:$T$93,FT$244+$FJ291-1)))</f>
        <v/>
      </c>
      <c r="FU291" s="150" t="str">
        <f aca="false">IF($FJ291+FU$244&gt;73,"",PRODUCT(INDEX($T$19:$T$93,FU$244):INDEX($T$19:$T$93,FU$244+$FJ291-1)))</f>
        <v/>
      </c>
      <c r="FV291" s="150" t="str">
        <f aca="false">IF($FJ291+FV$244&gt;73,"",PRODUCT(INDEX($T$19:$T$93,FV$244):INDEX($T$19:$T$93,FV$244+$FJ291-1)))</f>
        <v/>
      </c>
      <c r="FW291" s="150" t="str">
        <f aca="false">IF($FJ291+FW$244&gt;73,"",PRODUCT(INDEX($T$19:$T$93,FW$244):INDEX($T$19:$T$93,FW$244+$FJ291-1)))</f>
        <v/>
      </c>
      <c r="FX291" s="150" t="str">
        <f aca="false">IF($FJ291+FX$244&gt;73,"",PRODUCT(INDEX($T$19:$T$93,FX$244):INDEX($T$19:$T$93,FX$244+$FJ291-1)))</f>
        <v/>
      </c>
      <c r="FY291" s="150" t="str">
        <f aca="false">IF($FJ291+FY$244&gt;73,"",PRODUCT(INDEX($T$19:$T$93,FY$244):INDEX($T$19:$T$93,FY$244+$FJ291-1)))</f>
        <v/>
      </c>
      <c r="FZ291" s="150" t="str">
        <f aca="false">IF($FJ291+FZ$244&gt;73,"",PRODUCT(INDEX($T$19:$T$93,FZ$244):INDEX($T$19:$T$93,FZ$244+$FJ291-1)))</f>
        <v/>
      </c>
      <c r="GA291" s="150" t="str">
        <f aca="false">IF($FJ291+GA$244&gt;73,"",PRODUCT(INDEX($T$19:$T$93,GA$244):INDEX($T$19:$T$93,GA$244+$FJ291-1)))</f>
        <v/>
      </c>
      <c r="GB291" s="150" t="str">
        <f aca="false">IF($FJ291+GB$244&gt;73,"",PRODUCT(INDEX($T$19:$T$93,GB$244):INDEX($T$19:$T$93,GB$244+$FJ291-1)))</f>
        <v/>
      </c>
      <c r="GC291" s="150" t="str">
        <f aca="false">IF($FJ291+GC$244&gt;73,"",PRODUCT(INDEX($T$19:$T$93,GC$244):INDEX($T$19:$T$93,GC$244+$FJ291-1)))</f>
        <v/>
      </c>
      <c r="GD291" s="150" t="str">
        <f aca="false">IF($FJ291+GD$244&gt;73,"",PRODUCT(INDEX($T$19:$T$93,GD$244):INDEX($T$19:$T$93,GD$244+$FJ291-1)))</f>
        <v/>
      </c>
      <c r="GE291" s="150" t="str">
        <f aca="false">IF($FJ291+GE$244&gt;73,"",PRODUCT(INDEX($T$19:$T$93,GE$244):INDEX($T$19:$T$93,GE$244+$FJ291-1)))</f>
        <v/>
      </c>
      <c r="GF291" s="150" t="str">
        <f aca="false">IF($FJ291+GF$244&gt;73,"",PRODUCT(INDEX($T$19:$T$93,GF$244):INDEX($T$19:$T$93,GF$244+$FJ291-1)))</f>
        <v/>
      </c>
      <c r="GG291" s="150" t="str">
        <f aca="false">IF($FJ291+GG$244&gt;73,"",PRODUCT(INDEX($T$19:$T$93,GG$244):INDEX($T$19:$T$93,GG$244+$FJ291-1)))</f>
        <v/>
      </c>
      <c r="GH291" s="150" t="str">
        <f aca="false">IF($FJ291+GH$244&gt;73,"",PRODUCT(INDEX($T$19:$T$93,GH$244):INDEX($T$19:$T$93,GH$244+$FJ291-1)))</f>
        <v/>
      </c>
      <c r="GI291" s="150" t="str">
        <f aca="false">IF($FJ291+GI$244&gt;73,"",PRODUCT(INDEX($T$19:$T$93,GI$244):INDEX($T$19:$T$93,GI$244+$FJ291-1)))</f>
        <v/>
      </c>
      <c r="GJ291" s="150" t="str">
        <f aca="false">IF($FJ291+GJ$244&gt;73,"",PRODUCT(INDEX($T$19:$T$93,GJ$244):INDEX($T$19:$T$93,GJ$244+$FJ291-1)))</f>
        <v/>
      </c>
      <c r="GK291" s="150" t="str">
        <f aca="false">IF($FJ291+GK$244&gt;73,"",PRODUCT(INDEX($T$19:$T$93,GK$244):INDEX($T$19:$T$93,GK$244+$FJ291-1)))</f>
        <v/>
      </c>
      <c r="GL291" s="150" t="str">
        <f aca="false">IF($FJ291+GL$244&gt;73,"",PRODUCT(INDEX($T$19:$T$93,GL$244):INDEX($T$19:$T$93,GL$244+$FJ291-1)))</f>
        <v/>
      </c>
      <c r="GM291" s="150" t="str">
        <f aca="false">IF($FJ291+GM$244&gt;73,"",PRODUCT(INDEX($T$19:$T$93,GM$244):INDEX($T$19:$T$93,GM$244+$FJ291-1)))</f>
        <v/>
      </c>
      <c r="GN291" s="150" t="str">
        <f aca="false">IF($FJ291+GN$244&gt;73,"",PRODUCT(INDEX($T$19:$T$93,GN$244):INDEX($T$19:$T$93,GN$244+$FJ291-1)))</f>
        <v/>
      </c>
      <c r="GO291" s="150" t="str">
        <f aca="false">IF($FJ291+GO$244&gt;73,"",PRODUCT(INDEX($T$19:$T$93,GO$244):INDEX($T$19:$T$93,GO$244+$FJ291-1)))</f>
        <v/>
      </c>
      <c r="GP291" s="150" t="str">
        <f aca="false">IF($FJ291+GP$244&gt;73,"",PRODUCT(INDEX($T$19:$T$93,GP$244):INDEX($T$19:$T$93,GP$244+$FJ291-1)))</f>
        <v/>
      </c>
      <c r="GQ291" s="150" t="str">
        <f aca="false">IF($FJ291+GQ$244&gt;73,"",PRODUCT(INDEX($T$19:$T$93,GQ$244):INDEX($T$19:$T$93,GQ$244+$FJ291-1)))</f>
        <v/>
      </c>
      <c r="GR291" s="150" t="str">
        <f aca="false">IF($FJ291+GR$244&gt;73,"",PRODUCT(INDEX($T$19:$T$93,GR$244):INDEX($T$19:$T$93,GR$244+$FJ291-1)))</f>
        <v/>
      </c>
      <c r="GS291" s="150" t="str">
        <f aca="false">IF($FJ291+GS$244&gt;73,"",PRODUCT(INDEX($T$19:$T$93,GS$244):INDEX($T$19:$T$93,GS$244+$FJ291-1)))</f>
        <v/>
      </c>
      <c r="GT291" s="150" t="str">
        <f aca="false">IF($FJ291+GT$244&gt;73,"",PRODUCT(INDEX($T$19:$T$93,GT$244):INDEX($T$19:$T$93,GT$244+$FJ291-1)))</f>
        <v/>
      </c>
      <c r="GU291" s="150" t="str">
        <f aca="false">IF($FJ291+GU$244&gt;73,"",PRODUCT(INDEX($T$19:$T$93,GU$244):INDEX($T$19:$T$93,GU$244+$FJ291-1)))</f>
        <v/>
      </c>
      <c r="GV291" s="150" t="str">
        <f aca="false">IF($FJ291+GV$244&gt;73,"",PRODUCT(INDEX($T$19:$T$93,GV$244):INDEX($T$19:$T$93,GV$244+$FJ291-1)))</f>
        <v/>
      </c>
      <c r="GW291" s="150" t="str">
        <f aca="false">IF($FJ291+GW$244&gt;73,"",PRODUCT(INDEX($T$19:$T$93,GW$244):INDEX($T$19:$T$93,GW$244+$FJ291-1)))</f>
        <v/>
      </c>
      <c r="GX291" s="150" t="str">
        <f aca="false">IF($FJ291+GX$244&gt;73,"",PRODUCT(INDEX($T$19:$T$93,GX$244):INDEX($T$19:$T$93,GX$244+$FJ291-1)))</f>
        <v/>
      </c>
      <c r="GY291" s="150" t="str">
        <f aca="false">IF($FJ291+GY$244&gt;73,"",PRODUCT(INDEX($T$19:$T$93,GY$244):INDEX($T$19:$T$93,GY$244+$FJ291-1)))</f>
        <v/>
      </c>
      <c r="GZ291" s="150" t="str">
        <f aca="false">IF($FJ291+GZ$244&gt;73,"",PRODUCT(INDEX($T$19:$T$93,GZ$244):INDEX($T$19:$T$93,GZ$244+$FJ291-1)))</f>
        <v/>
      </c>
      <c r="HA291" s="150" t="str">
        <f aca="false">IF($FJ291+HA$244&gt;73,"",PRODUCT(INDEX($T$19:$T$93,HA$244):INDEX($T$19:$T$93,HA$244+$FJ291-1)))</f>
        <v/>
      </c>
      <c r="HB291" s="150" t="str">
        <f aca="false">IF($FJ291+HB$244&gt;73,"",PRODUCT(INDEX($T$19:$T$93,HB$244):INDEX($T$19:$T$93,HB$244+$FJ291-1)))</f>
        <v/>
      </c>
      <c r="HC291" s="150" t="str">
        <f aca="false">IF($FJ291+HC$244&gt;73,"",PRODUCT(INDEX($T$19:$T$93,HC$244):INDEX($T$19:$T$93,HC$244+$FJ291-1)))</f>
        <v/>
      </c>
      <c r="HD291" s="150" t="str">
        <f aca="false">IF($FJ291+HD$244&gt;73,"",PRODUCT(INDEX($T$19:$T$93,HD$244):INDEX($T$19:$T$93,HD$244+$FJ291-1)))</f>
        <v/>
      </c>
      <c r="HE291" s="150" t="n">
        <f aca="false">IF($FJ291+HE$244&gt;73,"",PRODUCT(INDEX($T$19:$T$93,HE$244):INDEX($T$19:$T$93,HE$244+$FJ291-1)))</f>
        <v>0.982075536955038</v>
      </c>
      <c r="HF291" s="150" t="n">
        <f aca="false">IF($FJ291+HF$244&gt;73,"",PRODUCT(INDEX($T$19:$T$93,HF$244):INDEX($T$19:$T$93,HF$244+$FJ291-1)))</f>
        <v>0.979057944432469</v>
      </c>
      <c r="HG291" s="150" t="n">
        <f aca="false">IF($FJ291+HG$244&gt;73,"",PRODUCT(INDEX($T$19:$T$93,HG$244):INDEX($T$19:$T$93,HG$244+$FJ291-1)))</f>
        <v>0.975536927742732</v>
      </c>
      <c r="HH291" s="150" t="n">
        <f aca="false">IF($FJ291+HH$244&gt;73,"",PRODUCT(INDEX($T$19:$T$93,HH$244):INDEX($T$19:$T$93,HH$244+$FJ291-1)))</f>
        <v>0.971430220500196</v>
      </c>
      <c r="HI291" s="150" t="n">
        <f aca="false">IF($FJ291+HI$244&gt;73,"",PRODUCT(INDEX($T$19:$T$93,HI$244):INDEX($T$19:$T$93,HI$244+$FJ291-1)))</f>
        <v>0.96664275924097</v>
      </c>
      <c r="HJ291" s="150" t="n">
        <f aca="false">IF($FJ291+HJ$244&gt;73,"",PRODUCT(INDEX($T$19:$T$93,HJ$244):INDEX($T$19:$T$93,HJ$244+$FJ291-1)))</f>
        <v>0.961064938547074</v>
      </c>
      <c r="HK291" s="150" t="n">
        <f aca="false">IF($FJ291+HK$244&gt;73,"",PRODUCT(INDEX($T$19:$T$93,HK$244):INDEX($T$19:$T$93,HK$244+$FJ291-1)))</f>
        <v>0.954570725111269</v>
      </c>
      <c r="HL291" s="150" t="n">
        <f aca="false">IF($FJ291+HL$244&gt;73,"",PRODUCT(INDEX($T$19:$T$93,HL$244):INDEX($T$19:$T$93,HL$244+$FJ291-1)))</f>
        <v>0.947015662047232</v>
      </c>
      <c r="HM291" s="150" t="n">
        <f aca="false">IF($FJ291+HM$244&gt;73,"",PRODUCT(INDEX($T$19:$T$93,HM$244):INDEX($T$19:$T$93,HM$244+$FJ291-1)))</f>
        <v>0.938234819032109</v>
      </c>
      <c r="HN291" s="150" t="n">
        <f aca="false">IF($FJ291+HN$244&gt;73,"",PRODUCT(INDEX($T$19:$T$93,HN$244):INDEX($T$19:$T$93,HN$244+$FJ291-1)))</f>
        <v>0.928040778318217</v>
      </c>
      <c r="HO291" s="150" t="n">
        <f aca="false">IF($FJ291+HO$244&gt;73,"",PRODUCT(INDEX($T$19:$T$93,HO$244):INDEX($T$19:$T$93,HO$244+$FJ291-1)))</f>
        <v>0.916221794606507</v>
      </c>
      <c r="HP291" s="150" t="n">
        <f aca="false">IF($FJ291+HP$244&gt;73,"",PRODUCT(INDEX($T$19:$T$93,HP$244):INDEX($T$19:$T$93,HP$244+$FJ291-1)))</f>
        <v>0.902540332347178</v>
      </c>
      <c r="HQ291" s="150" t="n">
        <f aca="false">IF($FJ291+HQ$244&gt;73,"",PRODUCT(INDEX($T$19:$T$93,HQ$244):INDEX($T$19:$T$93,HQ$244+$FJ291-1)))</f>
        <v>0.886732272075668</v>
      </c>
      <c r="HR291" s="150" t="n">
        <f aca="false">IF($FJ291+HR$244&gt;73,"",PRODUCT(INDEX($T$19:$T$93,HR$244):INDEX($T$19:$T$93,HR$244+$FJ291-1)))</f>
        <v>0.868507193267187</v>
      </c>
      <c r="HS291" s="150" t="n">
        <f aca="false">IF($FJ291+HS$244&gt;73,"",PRODUCT(INDEX($T$19:$T$93,HS$244):INDEX($T$19:$T$93,HS$244+$FJ291-1)))</f>
        <v>0.847550290155617</v>
      </c>
      <c r="HT291" s="150" t="n">
        <f aca="false">IF($FJ291+HT$244&gt;73,"",PRODUCT(INDEX($T$19:$T$93,HT$244):INDEX($T$19:$T$93,HT$244+$FJ291-1)))</f>
        <v>0.823526662868292</v>
      </c>
      <c r="HU291" s="150" t="n">
        <f aca="false">IF($FJ291+HU$244&gt;73,"",PRODUCT(INDEX($T$19:$T$93,HU$244):INDEX($T$19:$T$93,HU$244+$FJ291-1)))</f>
        <v>0.796088949096777</v>
      </c>
      <c r="HV291" s="150" t="n">
        <f aca="false">IF($FJ291+HV$244&gt;73,"",PRODUCT(INDEX($T$19:$T$93,HV$244):INDEX($T$19:$T$93,HV$244+$FJ291-1)))</f>
        <v>0.764889513263399</v>
      </c>
      <c r="HW291" s="150" t="n">
        <f aca="false">IF($FJ291+HW$244&gt;73,"",PRODUCT(INDEX($T$19:$T$93,HW$244):INDEX($T$19:$T$93,HW$244+$FJ291-1)))</f>
        <v>0.729598667454536</v>
      </c>
      <c r="HX291" s="150" t="n">
        <f aca="false">IF($FJ291+HX$244&gt;73,"",PRODUCT(INDEX($T$19:$T$93,HX$244):INDEX($T$19:$T$93,HX$244+$FJ291-1)))</f>
        <v>0.689930611595875</v>
      </c>
      <c r="HY291" s="150" t="n">
        <f aca="false">IF($FJ291+HY$244&gt;73,"",PRODUCT(INDEX($T$19:$T$93,HY$244):INDEX($T$19:$T$93,HY$244+$FJ291-1)))</f>
        <v>0.645678856830591</v>
      </c>
      <c r="HZ291" s="150" t="n">
        <f aca="false">IF($FJ291+HZ$244&gt;73,"",PRODUCT(INDEX($T$19:$T$93,HZ$244):INDEX($T$19:$T$93,HZ$244+$FJ291-1)))</f>
        <v>0.596762677656152</v>
      </c>
      <c r="IA291" s="150" t="n">
        <f aca="false">IF($FJ291+IA$244&gt;73,"",PRODUCT(INDEX($T$19:$T$93,IA$244):INDEX($T$19:$T$93,IA$244+$FJ291-1)))</f>
        <v>0.5432853742276</v>
      </c>
      <c r="IB291" s="150" t="n">
        <f aca="false">IF($FJ291+IB$244&gt;73,"",PRODUCT(INDEX($T$19:$T$93,IB$244):INDEX($T$19:$T$93,IB$244+$FJ291-1)))</f>
        <v>0.485603448549959</v>
      </c>
      <c r="IC291" s="150" t="n">
        <f aca="false">IF($FJ291+IC$244&gt;73,"",PRODUCT(INDEX($T$19:$T$93,IC$244):INDEX($T$19:$T$93,IC$244+$FJ291-1)))</f>
        <v>0.424402720560318</v>
      </c>
      <c r="ID291" s="572" t="n">
        <f aca="false">IF($FJ291+ID$244&gt;73,"",PRODUCT(INDEX($T$19:$T$93,ID$244):INDEX($T$19:$T$93,ID$244+$FJ291-1)))</f>
        <v>0.360772390540115</v>
      </c>
      <c r="IE291" s="129"/>
    </row>
    <row r="292" customFormat="false" ht="12.75" hidden="false" customHeight="false" outlineLevel="0" collapsed="false">
      <c r="I292" s="735"/>
      <c r="J292" s="727"/>
      <c r="K292" s="728"/>
      <c r="L292" s="195"/>
      <c r="M292" s="729"/>
      <c r="P292" s="727"/>
      <c r="S292" s="1"/>
      <c r="T292" s="727"/>
      <c r="U292" s="195"/>
      <c r="V292" s="195"/>
      <c r="W292" s="195"/>
      <c r="X292" s="195"/>
      <c r="Y292" s="195"/>
      <c r="Z292" s="195"/>
      <c r="AA292" s="195"/>
      <c r="AB292" s="195"/>
      <c r="AC292" s="195"/>
      <c r="AD292" s="195"/>
      <c r="AE292" s="195"/>
      <c r="AF292" s="195"/>
      <c r="AG292" s="195"/>
      <c r="AH292" s="195"/>
      <c r="AI292" s="195"/>
      <c r="AJ292" s="195"/>
      <c r="AK292" s="195"/>
      <c r="AL292" s="195"/>
      <c r="AM292" s="195"/>
      <c r="AN292" s="195"/>
      <c r="AO292" s="532"/>
      <c r="AP292" s="195"/>
      <c r="AQ292" s="532"/>
      <c r="AR292" s="195"/>
      <c r="AS292" s="195"/>
      <c r="AT292" s="240"/>
      <c r="AU292" s="240"/>
      <c r="AV292" s="240"/>
      <c r="AW292" s="730"/>
      <c r="AX292" s="730"/>
      <c r="AY292" s="730"/>
      <c r="AZ292" s="730"/>
      <c r="BA292" s="468"/>
      <c r="BB292" s="468"/>
      <c r="BC292" s="240"/>
      <c r="BD292" s="240"/>
      <c r="BE292" s="240"/>
      <c r="BF292" s="672"/>
      <c r="BG292" s="672"/>
      <c r="BH292" s="672"/>
      <c r="BI292" s="731"/>
      <c r="BJ292" s="672"/>
      <c r="BK292" s="672"/>
      <c r="BL292" s="240"/>
      <c r="BM292" s="736"/>
      <c r="BN292" s="240"/>
      <c r="BO292" s="240"/>
      <c r="BP292" s="240"/>
      <c r="BQ292" s="240"/>
      <c r="BR292" s="240"/>
      <c r="BS292" s="240"/>
      <c r="BT292" s="240"/>
      <c r="BU292" s="240"/>
      <c r="BV292" s="240"/>
      <c r="BW292" s="240"/>
      <c r="BX292" s="240"/>
      <c r="BY292" s="240"/>
      <c r="BZ292" s="240"/>
      <c r="CA292" s="240"/>
      <c r="CB292" s="240"/>
      <c r="CC292" s="240"/>
      <c r="CD292" s="672"/>
      <c r="CE292" s="672"/>
      <c r="CF292" s="672"/>
      <c r="CG292" s="672"/>
      <c r="CH292" s="672"/>
      <c r="CI292" s="672"/>
      <c r="CJ292" s="240"/>
      <c r="CK292" s="240"/>
      <c r="CL292" s="240"/>
      <c r="CM292" s="240"/>
      <c r="CN292" s="240"/>
      <c r="CO292" s="240"/>
      <c r="CP292" s="240"/>
      <c r="CQ292" s="240"/>
      <c r="CR292" s="240"/>
      <c r="CS292" s="240"/>
      <c r="CT292" s="240"/>
      <c r="CU292" s="240"/>
      <c r="CV292" s="240"/>
      <c r="CW292" s="240"/>
      <c r="CX292" s="240"/>
      <c r="CY292" s="240"/>
      <c r="CZ292" s="240"/>
      <c r="DA292" s="240"/>
      <c r="DB292" s="240"/>
      <c r="DC292" s="240"/>
      <c r="DD292" s="240"/>
      <c r="DE292" s="240"/>
      <c r="DF292" s="240"/>
      <c r="DG292" s="240"/>
      <c r="DH292" s="478"/>
      <c r="DI292" s="733"/>
      <c r="DJ292" s="733"/>
      <c r="DK292" s="478"/>
      <c r="DL292" s="3"/>
      <c r="DM292" s="4"/>
      <c r="DN292" s="4"/>
      <c r="DO292" s="4"/>
      <c r="DP292" s="4"/>
      <c r="DQ292" s="4"/>
      <c r="DR292" s="4"/>
      <c r="DS292" s="4"/>
      <c r="DU292" s="195"/>
      <c r="DV292" s="195"/>
      <c r="DW292" s="195"/>
      <c r="DX292" s="195"/>
      <c r="DY292" s="195"/>
      <c r="DZ292" s="195"/>
      <c r="EA292" s="195"/>
      <c r="EB292" s="195"/>
      <c r="EC292" s="195"/>
      <c r="ED292" s="195"/>
      <c r="EE292" s="195"/>
      <c r="EF292" s="195"/>
      <c r="EG292" s="195"/>
      <c r="EL292" s="1"/>
      <c r="EM292" s="195"/>
      <c r="EN292" s="240"/>
      <c r="EO292" s="731"/>
      <c r="EP292" s="195"/>
      <c r="EQ292" s="240"/>
      <c r="ER292" s="195"/>
      <c r="ES292" s="195"/>
      <c r="ET292" s="195"/>
      <c r="EU292" s="672"/>
      <c r="FJ292" s="571" t="n">
        <v>48</v>
      </c>
      <c r="FK292" s="150" t="str">
        <f aca="false">IF($FJ292+FK$244&gt;73,"",PRODUCT(INDEX($T$19:$T$93,FK$244):INDEX($T$19:$T$93,FK$244+$FJ292-1)))</f>
        <v/>
      </c>
      <c r="FL292" s="150" t="str">
        <f aca="false">IF($FJ292+FL$244&gt;73,"",PRODUCT(INDEX($T$19:$T$93,FL$244):INDEX($T$19:$T$93,FL$244+$FJ292-1)))</f>
        <v/>
      </c>
      <c r="FM292" s="150" t="str">
        <f aca="false">IF($FJ292+FM$244&gt;73,"",PRODUCT(INDEX($T$19:$T$93,FM$244):INDEX($T$19:$T$93,FM$244+$FJ292-1)))</f>
        <v/>
      </c>
      <c r="FN292" s="150" t="str">
        <f aca="false">IF($FJ292+FN$244&gt;73,"",PRODUCT(INDEX($T$19:$T$93,FN$244):INDEX($T$19:$T$93,FN$244+$FJ292-1)))</f>
        <v/>
      </c>
      <c r="FO292" s="150" t="str">
        <f aca="false">IF($FJ292+FO$244&gt;73,"",PRODUCT(INDEX($T$19:$T$93,FO$244):INDEX($T$19:$T$93,FO$244+$FJ292-1)))</f>
        <v/>
      </c>
      <c r="FP292" s="150" t="str">
        <f aca="false">IF($FJ292+FP$244&gt;73,"",PRODUCT(INDEX($T$19:$T$93,FP$244):INDEX($T$19:$T$93,FP$244+$FJ292-1)))</f>
        <v/>
      </c>
      <c r="FQ292" s="150" t="str">
        <f aca="false">IF($FJ292+FQ$244&gt;73,"",PRODUCT(INDEX($T$19:$T$93,FQ$244):INDEX($T$19:$T$93,FQ$244+$FJ292-1)))</f>
        <v/>
      </c>
      <c r="FR292" s="150" t="str">
        <f aca="false">IF($FJ292+FR$244&gt;73,"",PRODUCT(INDEX($T$19:$T$93,FR$244):INDEX($T$19:$T$93,FR$244+$FJ292-1)))</f>
        <v/>
      </c>
      <c r="FS292" s="150" t="str">
        <f aca="false">IF($FJ292+FS$244&gt;73,"",PRODUCT(INDEX($T$19:$T$93,FS$244):INDEX($T$19:$T$93,FS$244+$FJ292-1)))</f>
        <v/>
      </c>
      <c r="FT292" s="150" t="str">
        <f aca="false">IF($FJ292+FT$244&gt;73,"",PRODUCT(INDEX($T$19:$T$93,FT$244):INDEX($T$19:$T$93,FT$244+$FJ292-1)))</f>
        <v/>
      </c>
      <c r="FU292" s="150" t="str">
        <f aca="false">IF($FJ292+FU$244&gt;73,"",PRODUCT(INDEX($T$19:$T$93,FU$244):INDEX($T$19:$T$93,FU$244+$FJ292-1)))</f>
        <v/>
      </c>
      <c r="FV292" s="150" t="str">
        <f aca="false">IF($FJ292+FV$244&gt;73,"",PRODUCT(INDEX($T$19:$T$93,FV$244):INDEX($T$19:$T$93,FV$244+$FJ292-1)))</f>
        <v/>
      </c>
      <c r="FW292" s="150" t="str">
        <f aca="false">IF($FJ292+FW$244&gt;73,"",PRODUCT(INDEX($T$19:$T$93,FW$244):INDEX($T$19:$T$93,FW$244+$FJ292-1)))</f>
        <v/>
      </c>
      <c r="FX292" s="150" t="str">
        <f aca="false">IF($FJ292+FX$244&gt;73,"",PRODUCT(INDEX($T$19:$T$93,FX$244):INDEX($T$19:$T$93,FX$244+$FJ292-1)))</f>
        <v/>
      </c>
      <c r="FY292" s="150" t="str">
        <f aca="false">IF($FJ292+FY$244&gt;73,"",PRODUCT(INDEX($T$19:$T$93,FY$244):INDEX($T$19:$T$93,FY$244+$FJ292-1)))</f>
        <v/>
      </c>
      <c r="FZ292" s="150" t="str">
        <f aca="false">IF($FJ292+FZ$244&gt;73,"",PRODUCT(INDEX($T$19:$T$93,FZ$244):INDEX($T$19:$T$93,FZ$244+$FJ292-1)))</f>
        <v/>
      </c>
      <c r="GA292" s="150" t="str">
        <f aca="false">IF($FJ292+GA$244&gt;73,"",PRODUCT(INDEX($T$19:$T$93,GA$244):INDEX($T$19:$T$93,GA$244+$FJ292-1)))</f>
        <v/>
      </c>
      <c r="GB292" s="150" t="str">
        <f aca="false">IF($FJ292+GB$244&gt;73,"",PRODUCT(INDEX($T$19:$T$93,GB$244):INDEX($T$19:$T$93,GB$244+$FJ292-1)))</f>
        <v/>
      </c>
      <c r="GC292" s="150" t="str">
        <f aca="false">IF($FJ292+GC$244&gt;73,"",PRODUCT(INDEX($T$19:$T$93,GC$244):INDEX($T$19:$T$93,GC$244+$FJ292-1)))</f>
        <v/>
      </c>
      <c r="GD292" s="150" t="str">
        <f aca="false">IF($FJ292+GD$244&gt;73,"",PRODUCT(INDEX($T$19:$T$93,GD$244):INDEX($T$19:$T$93,GD$244+$FJ292-1)))</f>
        <v/>
      </c>
      <c r="GE292" s="150" t="str">
        <f aca="false">IF($FJ292+GE$244&gt;73,"",PRODUCT(INDEX($T$19:$T$93,GE$244):INDEX($T$19:$T$93,GE$244+$FJ292-1)))</f>
        <v/>
      </c>
      <c r="GF292" s="150" t="str">
        <f aca="false">IF($FJ292+GF$244&gt;73,"",PRODUCT(INDEX($T$19:$T$93,GF$244):INDEX($T$19:$T$93,GF$244+$FJ292-1)))</f>
        <v/>
      </c>
      <c r="GG292" s="150" t="str">
        <f aca="false">IF($FJ292+GG$244&gt;73,"",PRODUCT(INDEX($T$19:$T$93,GG$244):INDEX($T$19:$T$93,GG$244+$FJ292-1)))</f>
        <v/>
      </c>
      <c r="GH292" s="150" t="str">
        <f aca="false">IF($FJ292+GH$244&gt;73,"",PRODUCT(INDEX($T$19:$T$93,GH$244):INDEX($T$19:$T$93,GH$244+$FJ292-1)))</f>
        <v/>
      </c>
      <c r="GI292" s="150" t="str">
        <f aca="false">IF($FJ292+GI$244&gt;73,"",PRODUCT(INDEX($T$19:$T$93,GI$244):INDEX($T$19:$T$93,GI$244+$FJ292-1)))</f>
        <v/>
      </c>
      <c r="GJ292" s="150" t="str">
        <f aca="false">IF($FJ292+GJ$244&gt;73,"",PRODUCT(INDEX($T$19:$T$93,GJ$244):INDEX($T$19:$T$93,GJ$244+$FJ292-1)))</f>
        <v/>
      </c>
      <c r="GK292" s="150" t="str">
        <f aca="false">IF($FJ292+GK$244&gt;73,"",PRODUCT(INDEX($T$19:$T$93,GK$244):INDEX($T$19:$T$93,GK$244+$FJ292-1)))</f>
        <v/>
      </c>
      <c r="GL292" s="150" t="str">
        <f aca="false">IF($FJ292+GL$244&gt;73,"",PRODUCT(INDEX($T$19:$T$93,GL$244):INDEX($T$19:$T$93,GL$244+$FJ292-1)))</f>
        <v/>
      </c>
      <c r="GM292" s="150" t="str">
        <f aca="false">IF($FJ292+GM$244&gt;73,"",PRODUCT(INDEX($T$19:$T$93,GM$244):INDEX($T$19:$T$93,GM$244+$FJ292-1)))</f>
        <v/>
      </c>
      <c r="GN292" s="150" t="str">
        <f aca="false">IF($FJ292+GN$244&gt;73,"",PRODUCT(INDEX($T$19:$T$93,GN$244):INDEX($T$19:$T$93,GN$244+$FJ292-1)))</f>
        <v/>
      </c>
      <c r="GO292" s="150" t="str">
        <f aca="false">IF($FJ292+GO$244&gt;73,"",PRODUCT(INDEX($T$19:$T$93,GO$244):INDEX($T$19:$T$93,GO$244+$FJ292-1)))</f>
        <v/>
      </c>
      <c r="GP292" s="150" t="str">
        <f aca="false">IF($FJ292+GP$244&gt;73,"",PRODUCT(INDEX($T$19:$T$93,GP$244):INDEX($T$19:$T$93,GP$244+$FJ292-1)))</f>
        <v/>
      </c>
      <c r="GQ292" s="150" t="str">
        <f aca="false">IF($FJ292+GQ$244&gt;73,"",PRODUCT(INDEX($T$19:$T$93,GQ$244):INDEX($T$19:$T$93,GQ$244+$FJ292-1)))</f>
        <v/>
      </c>
      <c r="GR292" s="150" t="str">
        <f aca="false">IF($FJ292+GR$244&gt;73,"",PRODUCT(INDEX($T$19:$T$93,GR$244):INDEX($T$19:$T$93,GR$244+$FJ292-1)))</f>
        <v/>
      </c>
      <c r="GS292" s="150" t="str">
        <f aca="false">IF($FJ292+GS$244&gt;73,"",PRODUCT(INDEX($T$19:$T$93,GS$244):INDEX($T$19:$T$93,GS$244+$FJ292-1)))</f>
        <v/>
      </c>
      <c r="GT292" s="150" t="str">
        <f aca="false">IF($FJ292+GT$244&gt;73,"",PRODUCT(INDEX($T$19:$T$93,GT$244):INDEX($T$19:$T$93,GT$244+$FJ292-1)))</f>
        <v/>
      </c>
      <c r="GU292" s="150" t="str">
        <f aca="false">IF($FJ292+GU$244&gt;73,"",PRODUCT(INDEX($T$19:$T$93,GU$244):INDEX($T$19:$T$93,GU$244+$FJ292-1)))</f>
        <v/>
      </c>
      <c r="GV292" s="150" t="str">
        <f aca="false">IF($FJ292+GV$244&gt;73,"",PRODUCT(INDEX($T$19:$T$93,GV$244):INDEX($T$19:$T$93,GV$244+$FJ292-1)))</f>
        <v/>
      </c>
      <c r="GW292" s="150" t="str">
        <f aca="false">IF($FJ292+GW$244&gt;73,"",PRODUCT(INDEX($T$19:$T$93,GW$244):INDEX($T$19:$T$93,GW$244+$FJ292-1)))</f>
        <v/>
      </c>
      <c r="GX292" s="150" t="str">
        <f aca="false">IF($FJ292+GX$244&gt;73,"",PRODUCT(INDEX($T$19:$T$93,GX$244):INDEX($T$19:$T$93,GX$244+$FJ292-1)))</f>
        <v/>
      </c>
      <c r="GY292" s="150" t="str">
        <f aca="false">IF($FJ292+GY$244&gt;73,"",PRODUCT(INDEX($T$19:$T$93,GY$244):INDEX($T$19:$T$93,GY$244+$FJ292-1)))</f>
        <v/>
      </c>
      <c r="GZ292" s="150" t="str">
        <f aca="false">IF($FJ292+GZ$244&gt;73,"",PRODUCT(INDEX($T$19:$T$93,GZ$244):INDEX($T$19:$T$93,GZ$244+$FJ292-1)))</f>
        <v/>
      </c>
      <c r="HA292" s="150" t="str">
        <f aca="false">IF($FJ292+HA$244&gt;73,"",PRODUCT(INDEX($T$19:$T$93,HA$244):INDEX($T$19:$T$93,HA$244+$FJ292-1)))</f>
        <v/>
      </c>
      <c r="HB292" s="150" t="str">
        <f aca="false">IF($FJ292+HB$244&gt;73,"",PRODUCT(INDEX($T$19:$T$93,HB$244):INDEX($T$19:$T$93,HB$244+$FJ292-1)))</f>
        <v/>
      </c>
      <c r="HC292" s="150" t="str">
        <f aca="false">IF($FJ292+HC$244&gt;73,"",PRODUCT(INDEX($T$19:$T$93,HC$244):INDEX($T$19:$T$93,HC$244+$FJ292-1)))</f>
        <v/>
      </c>
      <c r="HD292" s="150" t="str">
        <f aca="false">IF($FJ292+HD$244&gt;73,"",PRODUCT(INDEX($T$19:$T$93,HD$244):INDEX($T$19:$T$93,HD$244+$FJ292-1)))</f>
        <v/>
      </c>
      <c r="HE292" s="150" t="str">
        <f aca="false">IF($FJ292+HE$244&gt;73,"",PRODUCT(INDEX($T$19:$T$93,HE$244):INDEX($T$19:$T$93,HE$244+$FJ292-1)))</f>
        <v/>
      </c>
      <c r="HF292" s="150" t="n">
        <f aca="false">IF($FJ292+HF$244&gt;73,"",PRODUCT(INDEX($T$19:$T$93,HF$244):INDEX($T$19:$T$93,HF$244+$FJ292-1)))</f>
        <v>0.979056043673107</v>
      </c>
      <c r="HG292" s="150" t="n">
        <f aca="false">IF($FJ292+HG$244&gt;73,"",PRODUCT(INDEX($T$19:$T$93,HG$244):INDEX($T$19:$T$93,HG$244+$FJ292-1)))</f>
        <v>0.975534712624892</v>
      </c>
      <c r="HH292" s="150" t="n">
        <f aca="false">IF($FJ292+HH$244&gt;73,"",PRODUCT(INDEX($T$19:$T$93,HH$244):INDEX($T$19:$T$93,HH$244+$FJ292-1)))</f>
        <v>0.971427640622127</v>
      </c>
      <c r="HI292" s="150" t="n">
        <f aca="false">IF($FJ292+HI$244&gt;73,"",PRODUCT(INDEX($T$19:$T$93,HI$244):INDEX($T$19:$T$93,HI$244+$FJ292-1)))</f>
        <v>0.966639756705793</v>
      </c>
      <c r="HJ292" s="150" t="n">
        <f aca="false">IF($FJ292+HJ$244&gt;73,"",PRODUCT(INDEX($T$19:$T$93,HJ$244):INDEX($T$19:$T$93,HJ$244+$FJ292-1)))</f>
        <v>0.961061447067864</v>
      </c>
      <c r="HK292" s="150" t="n">
        <f aca="false">IF($FJ292+HK$244&gt;73,"",PRODUCT(INDEX($T$19:$T$93,HK$244):INDEX($T$19:$T$93,HK$244+$FJ292-1)))</f>
        <v>0.95456666909611</v>
      </c>
      <c r="HL292" s="150" t="n">
        <f aca="false">IF($FJ292+HL$244&gt;73,"",PRODUCT(INDEX($T$19:$T$93,HL$244):INDEX($T$19:$T$93,HL$244+$FJ292-1)))</f>
        <v>0.947010955705336</v>
      </c>
      <c r="HM292" s="150" t="n">
        <f aca="false">IF($FJ292+HM$244&gt;73,"",PRODUCT(INDEX($T$19:$T$93,HM$244):INDEX($T$19:$T$93,HM$244+$FJ292-1)))</f>
        <v>0.938229365563064</v>
      </c>
      <c r="HN292" s="150" t="n">
        <f aca="false">IF($FJ292+HN$244&gt;73,"",PRODUCT(INDEX($T$19:$T$93,HN$244):INDEX($T$19:$T$93,HN$244+$FJ292-1)))</f>
        <v>0.928034469274732</v>
      </c>
      <c r="HO292" s="150" t="n">
        <f aca="false">IF($FJ292+HO$244&gt;73,"",PRODUCT(INDEX($T$19:$T$93,HO$244):INDEX($T$19:$T$93,HO$244+$FJ292-1)))</f>
        <v>0.916214509558494</v>
      </c>
      <c r="HP292" s="150" t="n">
        <f aca="false">IF($FJ292+HP$244&gt;73,"",PRODUCT(INDEX($T$19:$T$93,HP$244):INDEX($T$19:$T$93,HP$244+$FJ292-1)))</f>
        <v>0.902531939023559</v>
      </c>
      <c r="HQ292" s="150" t="n">
        <f aca="false">IF($FJ292+HQ$244&gt;73,"",PRODUCT(INDEX($T$19:$T$93,HQ$244):INDEX($T$19:$T$93,HQ$244+$FJ292-1)))</f>
        <v>0.886722627221709</v>
      </c>
      <c r="HR292" s="150" t="n">
        <f aca="false">IF($FJ292+HR$244&gt;73,"",PRODUCT(INDEX($T$19:$T$93,HR$244):INDEX($T$19:$T$93,HR$244+$FJ292-1)))</f>
        <v>0.868496144530348</v>
      </c>
      <c r="HS292" s="150" t="n">
        <f aca="false">IF($FJ292+HS$244&gt;73,"",PRODUCT(INDEX($T$19:$T$93,HS$244):INDEX($T$19:$T$93,HS$244+$FJ292-1)))</f>
        <v>0.847537679401072</v>
      </c>
      <c r="HT292" s="150" t="n">
        <f aca="false">IF($FJ292+HT$244&gt;73,"",PRODUCT(INDEX($T$19:$T$93,HT$244):INDEX($T$19:$T$93,HT$244+$FJ292-1)))</f>
        <v>0.823512331422334</v>
      </c>
      <c r="HU292" s="150" t="n">
        <f aca="false">IF($FJ292+HU$244&gt;73,"",PRODUCT(INDEX($T$19:$T$93,HU$244):INDEX($T$19:$T$93,HU$244+$FJ292-1)))</f>
        <v>0.79607274551191</v>
      </c>
      <c r="HV292" s="150" t="n">
        <f aca="false">IF($FJ292+HV$244&gt;73,"",PRODUCT(INDEX($T$19:$T$93,HV$244):INDEX($T$19:$T$93,HV$244+$FJ292-1)))</f>
        <v>0.76487130427308</v>
      </c>
      <c r="HW292" s="150" t="n">
        <f aca="false">IF($FJ292+HW$244&gt;73,"",PRODUCT(INDEX($T$19:$T$93,HW$244):INDEX($T$19:$T$93,HW$244+$FJ292-1)))</f>
        <v>0.729578352802657</v>
      </c>
      <c r="HX292" s="150" t="n">
        <f aca="false">IF($FJ292+HX$244&gt;73,"",PRODUCT(INDEX($T$19:$T$93,HX$244):INDEX($T$19:$T$93,HX$244+$FJ292-1)))</f>
        <v>0.689908143328153</v>
      </c>
      <c r="HY292" s="150" t="n">
        <f aca="false">IF($FJ292+HY$244&gt;73,"",PRODUCT(INDEX($T$19:$T$93,HY$244):INDEX($T$19:$T$93,HY$244+$FJ292-1)))</f>
        <v>0.645654263333639</v>
      </c>
      <c r="HZ292" s="150" t="n">
        <f aca="false">IF($FJ292+HZ$244&gt;73,"",PRODUCT(INDEX($T$19:$T$93,HZ$244):INDEX($T$19:$T$93,HZ$244+$FJ292-1)))</f>
        <v>0.596736092100215</v>
      </c>
      <c r="IA292" s="150" t="n">
        <f aca="false">IF($FJ292+IA$244&gt;73,"",PRODUCT(INDEX($T$19:$T$93,IA$244):INDEX($T$19:$T$93,IA$244+$FJ292-1)))</f>
        <v>0.543257065951171</v>
      </c>
      <c r="IB292" s="150" t="n">
        <f aca="false">IF($FJ292+IB$244&gt;73,"",PRODUCT(INDEX($T$19:$T$93,IB$244):INDEX($T$19:$T$93,IB$244+$FJ292-1)))</f>
        <v>0.48557385414667</v>
      </c>
      <c r="IC292" s="150" t="n">
        <f aca="false">IF($FJ292+IC$244&gt;73,"",PRODUCT(INDEX($T$19:$T$93,IC$244):INDEX($T$19:$T$93,IC$244+$FJ292-1)))</f>
        <v>0.424372468869996</v>
      </c>
      <c r="ID292" s="572" t="n">
        <f aca="false">IF($FJ292+ID$244&gt;73,"",PRODUCT(INDEX($T$19:$T$93,ID$244):INDEX($T$19:$T$93,ID$244+$FJ292-1)))</f>
        <v>0.36074231247627</v>
      </c>
      <c r="IE292" s="129"/>
    </row>
    <row r="293" customFormat="false" ht="12.75" hidden="false" customHeight="false" outlineLevel="0" collapsed="false">
      <c r="I293" s="735"/>
      <c r="J293" s="727"/>
      <c r="K293" s="728"/>
      <c r="L293" s="195"/>
      <c r="M293" s="729"/>
      <c r="P293" s="727"/>
      <c r="S293" s="1"/>
      <c r="T293" s="727"/>
      <c r="U293" s="195"/>
      <c r="V293" s="195"/>
      <c r="W293" s="195"/>
      <c r="X293" s="195"/>
      <c r="Y293" s="195"/>
      <c r="Z293" s="195"/>
      <c r="AA293" s="195"/>
      <c r="AB293" s="195"/>
      <c r="AC293" s="195"/>
      <c r="AD293" s="195"/>
      <c r="AE293" s="195"/>
      <c r="AF293" s="195"/>
      <c r="AG293" s="195"/>
      <c r="AH293" s="195"/>
      <c r="AI293" s="195"/>
      <c r="AJ293" s="195"/>
      <c r="AK293" s="195"/>
      <c r="AL293" s="195"/>
      <c r="AM293" s="195"/>
      <c r="AN293" s="195"/>
      <c r="AO293" s="532"/>
      <c r="AP293" s="195"/>
      <c r="AQ293" s="532"/>
      <c r="AR293" s="195"/>
      <c r="AS293" s="195"/>
      <c r="AT293" s="240"/>
      <c r="AU293" s="240"/>
      <c r="AV293" s="240"/>
      <c r="AW293" s="730"/>
      <c r="AX293" s="730"/>
      <c r="AY293" s="730"/>
      <c r="AZ293" s="730"/>
      <c r="BA293" s="468"/>
      <c r="BB293" s="468"/>
      <c r="BC293" s="240"/>
      <c r="BD293" s="240"/>
      <c r="BE293" s="240"/>
      <c r="BF293" s="672"/>
      <c r="BG293" s="672"/>
      <c r="BH293" s="672"/>
      <c r="BI293" s="731"/>
      <c r="BJ293" s="672"/>
      <c r="BK293" s="672"/>
      <c r="BL293" s="240"/>
      <c r="BM293" s="736"/>
      <c r="BN293" s="240"/>
      <c r="BO293" s="240"/>
      <c r="BP293" s="240"/>
      <c r="BQ293" s="240"/>
      <c r="BR293" s="240"/>
      <c r="BS293" s="240"/>
      <c r="BT293" s="240"/>
      <c r="BU293" s="240"/>
      <c r="BV293" s="240"/>
      <c r="BW293" s="240"/>
      <c r="BX293" s="240"/>
      <c r="BY293" s="240"/>
      <c r="BZ293" s="240"/>
      <c r="CA293" s="240"/>
      <c r="CB293" s="240"/>
      <c r="CC293" s="240"/>
      <c r="CD293" s="672"/>
      <c r="CE293" s="672"/>
      <c r="CF293" s="672"/>
      <c r="CG293" s="672"/>
      <c r="CH293" s="672"/>
      <c r="CI293" s="672"/>
      <c r="CJ293" s="240"/>
      <c r="CK293" s="240"/>
      <c r="CL293" s="240"/>
      <c r="CM293" s="240"/>
      <c r="CN293" s="240"/>
      <c r="CO293" s="240"/>
      <c r="CP293" s="240"/>
      <c r="CQ293" s="240"/>
      <c r="CR293" s="240"/>
      <c r="CS293" s="240"/>
      <c r="CT293" s="240"/>
      <c r="CU293" s="240"/>
      <c r="CV293" s="240"/>
      <c r="CW293" s="240"/>
      <c r="CX293" s="240"/>
      <c r="CY293" s="240"/>
      <c r="CZ293" s="240"/>
      <c r="DA293" s="240"/>
      <c r="DB293" s="240"/>
      <c r="DC293" s="240"/>
      <c r="DD293" s="240"/>
      <c r="DE293" s="240"/>
      <c r="DF293" s="240"/>
      <c r="DG293" s="240"/>
      <c r="DH293" s="478"/>
      <c r="DI293" s="733"/>
      <c r="DJ293" s="733"/>
      <c r="DK293" s="478"/>
      <c r="DL293" s="3"/>
      <c r="DM293" s="4"/>
      <c r="DN293" s="4"/>
      <c r="DO293" s="4"/>
      <c r="DP293" s="4"/>
      <c r="DQ293" s="4"/>
      <c r="DR293" s="4"/>
      <c r="DS293" s="4"/>
      <c r="DU293" s="195"/>
      <c r="DV293" s="195"/>
      <c r="DW293" s="195"/>
      <c r="DX293" s="195"/>
      <c r="DY293" s="195"/>
      <c r="DZ293" s="195"/>
      <c r="EA293" s="195"/>
      <c r="EB293" s="195"/>
      <c r="EC293" s="195"/>
      <c r="ED293" s="195"/>
      <c r="EE293" s="195"/>
      <c r="EF293" s="195"/>
      <c r="EG293" s="195"/>
      <c r="EL293" s="1"/>
      <c r="EM293" s="195"/>
      <c r="EN293" s="240"/>
      <c r="EO293" s="731"/>
      <c r="EP293" s="195"/>
      <c r="EQ293" s="240"/>
      <c r="ER293" s="195"/>
      <c r="ES293" s="195"/>
      <c r="ET293" s="195"/>
      <c r="EU293" s="672"/>
      <c r="FJ293" s="571" t="n">
        <v>49</v>
      </c>
      <c r="FK293" s="150" t="str">
        <f aca="false">IF($FJ293+FK$244&gt;73,"",PRODUCT(INDEX($T$19:$T$93,FK$244):INDEX($T$19:$T$93,FK$244+$FJ293-1)))</f>
        <v/>
      </c>
      <c r="FL293" s="150" t="str">
        <f aca="false">IF($FJ293+FL$244&gt;73,"",PRODUCT(INDEX($T$19:$T$93,FL$244):INDEX($T$19:$T$93,FL$244+$FJ293-1)))</f>
        <v/>
      </c>
      <c r="FM293" s="150" t="str">
        <f aca="false">IF($FJ293+FM$244&gt;73,"",PRODUCT(INDEX($T$19:$T$93,FM$244):INDEX($T$19:$T$93,FM$244+$FJ293-1)))</f>
        <v/>
      </c>
      <c r="FN293" s="150" t="str">
        <f aca="false">IF($FJ293+FN$244&gt;73,"",PRODUCT(INDEX($T$19:$T$93,FN$244):INDEX($T$19:$T$93,FN$244+$FJ293-1)))</f>
        <v/>
      </c>
      <c r="FO293" s="150" t="str">
        <f aca="false">IF($FJ293+FO$244&gt;73,"",PRODUCT(INDEX($T$19:$T$93,FO$244):INDEX($T$19:$T$93,FO$244+$FJ293-1)))</f>
        <v/>
      </c>
      <c r="FP293" s="150" t="str">
        <f aca="false">IF($FJ293+FP$244&gt;73,"",PRODUCT(INDEX($T$19:$T$93,FP$244):INDEX($T$19:$T$93,FP$244+$FJ293-1)))</f>
        <v/>
      </c>
      <c r="FQ293" s="150" t="str">
        <f aca="false">IF($FJ293+FQ$244&gt;73,"",PRODUCT(INDEX($T$19:$T$93,FQ$244):INDEX($T$19:$T$93,FQ$244+$FJ293-1)))</f>
        <v/>
      </c>
      <c r="FR293" s="150" t="str">
        <f aca="false">IF($FJ293+FR$244&gt;73,"",PRODUCT(INDEX($T$19:$T$93,FR$244):INDEX($T$19:$T$93,FR$244+$FJ293-1)))</f>
        <v/>
      </c>
      <c r="FS293" s="150" t="str">
        <f aca="false">IF($FJ293+FS$244&gt;73,"",PRODUCT(INDEX($T$19:$T$93,FS$244):INDEX($T$19:$T$93,FS$244+$FJ293-1)))</f>
        <v/>
      </c>
      <c r="FT293" s="150" t="str">
        <f aca="false">IF($FJ293+FT$244&gt;73,"",PRODUCT(INDEX($T$19:$T$93,FT$244):INDEX($T$19:$T$93,FT$244+$FJ293-1)))</f>
        <v/>
      </c>
      <c r="FU293" s="150" t="str">
        <f aca="false">IF($FJ293+FU$244&gt;73,"",PRODUCT(INDEX($T$19:$T$93,FU$244):INDEX($T$19:$T$93,FU$244+$FJ293-1)))</f>
        <v/>
      </c>
      <c r="FV293" s="150" t="str">
        <f aca="false">IF($FJ293+FV$244&gt;73,"",PRODUCT(INDEX($T$19:$T$93,FV$244):INDEX($T$19:$T$93,FV$244+$FJ293-1)))</f>
        <v/>
      </c>
      <c r="FW293" s="150" t="str">
        <f aca="false">IF($FJ293+FW$244&gt;73,"",PRODUCT(INDEX($T$19:$T$93,FW$244):INDEX($T$19:$T$93,FW$244+$FJ293-1)))</f>
        <v/>
      </c>
      <c r="FX293" s="150" t="str">
        <f aca="false">IF($FJ293+FX$244&gt;73,"",PRODUCT(INDEX($T$19:$T$93,FX$244):INDEX($T$19:$T$93,FX$244+$FJ293-1)))</f>
        <v/>
      </c>
      <c r="FY293" s="150" t="str">
        <f aca="false">IF($FJ293+FY$244&gt;73,"",PRODUCT(INDEX($T$19:$T$93,FY$244):INDEX($T$19:$T$93,FY$244+$FJ293-1)))</f>
        <v/>
      </c>
      <c r="FZ293" s="150" t="str">
        <f aca="false">IF($FJ293+FZ$244&gt;73,"",PRODUCT(INDEX($T$19:$T$93,FZ$244):INDEX($T$19:$T$93,FZ$244+$FJ293-1)))</f>
        <v/>
      </c>
      <c r="GA293" s="150" t="str">
        <f aca="false">IF($FJ293+GA$244&gt;73,"",PRODUCT(INDEX($T$19:$T$93,GA$244):INDEX($T$19:$T$93,GA$244+$FJ293-1)))</f>
        <v/>
      </c>
      <c r="GB293" s="150" t="str">
        <f aca="false">IF($FJ293+GB$244&gt;73,"",PRODUCT(INDEX($T$19:$T$93,GB$244):INDEX($T$19:$T$93,GB$244+$FJ293-1)))</f>
        <v/>
      </c>
      <c r="GC293" s="150" t="str">
        <f aca="false">IF($FJ293+GC$244&gt;73,"",PRODUCT(INDEX($T$19:$T$93,GC$244):INDEX($T$19:$T$93,GC$244+$FJ293-1)))</f>
        <v/>
      </c>
      <c r="GD293" s="150" t="str">
        <f aca="false">IF($FJ293+GD$244&gt;73,"",PRODUCT(INDEX($T$19:$T$93,GD$244):INDEX($T$19:$T$93,GD$244+$FJ293-1)))</f>
        <v/>
      </c>
      <c r="GE293" s="150" t="str">
        <f aca="false">IF($FJ293+GE$244&gt;73,"",PRODUCT(INDEX($T$19:$T$93,GE$244):INDEX($T$19:$T$93,GE$244+$FJ293-1)))</f>
        <v/>
      </c>
      <c r="GF293" s="150" t="str">
        <f aca="false">IF($FJ293+GF$244&gt;73,"",PRODUCT(INDEX($T$19:$T$93,GF$244):INDEX($T$19:$T$93,GF$244+$FJ293-1)))</f>
        <v/>
      </c>
      <c r="GG293" s="150" t="str">
        <f aca="false">IF($FJ293+GG$244&gt;73,"",PRODUCT(INDEX($T$19:$T$93,GG$244):INDEX($T$19:$T$93,GG$244+$FJ293-1)))</f>
        <v/>
      </c>
      <c r="GH293" s="150" t="str">
        <f aca="false">IF($FJ293+GH$244&gt;73,"",PRODUCT(INDEX($T$19:$T$93,GH$244):INDEX($T$19:$T$93,GH$244+$FJ293-1)))</f>
        <v/>
      </c>
      <c r="GI293" s="150" t="str">
        <f aca="false">IF($FJ293+GI$244&gt;73,"",PRODUCT(INDEX($T$19:$T$93,GI$244):INDEX($T$19:$T$93,GI$244+$FJ293-1)))</f>
        <v/>
      </c>
      <c r="GJ293" s="150" t="str">
        <f aca="false">IF($FJ293+GJ$244&gt;73,"",PRODUCT(INDEX($T$19:$T$93,GJ$244):INDEX($T$19:$T$93,GJ$244+$FJ293-1)))</f>
        <v/>
      </c>
      <c r="GK293" s="150" t="str">
        <f aca="false">IF($FJ293+GK$244&gt;73,"",PRODUCT(INDEX($T$19:$T$93,GK$244):INDEX($T$19:$T$93,GK$244+$FJ293-1)))</f>
        <v/>
      </c>
      <c r="GL293" s="150" t="str">
        <f aca="false">IF($FJ293+GL$244&gt;73,"",PRODUCT(INDEX($T$19:$T$93,GL$244):INDEX($T$19:$T$93,GL$244+$FJ293-1)))</f>
        <v/>
      </c>
      <c r="GM293" s="150" t="str">
        <f aca="false">IF($FJ293+GM$244&gt;73,"",PRODUCT(INDEX($T$19:$T$93,GM$244):INDEX($T$19:$T$93,GM$244+$FJ293-1)))</f>
        <v/>
      </c>
      <c r="GN293" s="150" t="str">
        <f aca="false">IF($FJ293+GN$244&gt;73,"",PRODUCT(INDEX($T$19:$T$93,GN$244):INDEX($T$19:$T$93,GN$244+$FJ293-1)))</f>
        <v/>
      </c>
      <c r="GO293" s="150" t="str">
        <f aca="false">IF($FJ293+GO$244&gt;73,"",PRODUCT(INDEX($T$19:$T$93,GO$244):INDEX($T$19:$T$93,GO$244+$FJ293-1)))</f>
        <v/>
      </c>
      <c r="GP293" s="150" t="str">
        <f aca="false">IF($FJ293+GP$244&gt;73,"",PRODUCT(INDEX($T$19:$T$93,GP$244):INDEX($T$19:$T$93,GP$244+$FJ293-1)))</f>
        <v/>
      </c>
      <c r="GQ293" s="150" t="str">
        <f aca="false">IF($FJ293+GQ$244&gt;73,"",PRODUCT(INDEX($T$19:$T$93,GQ$244):INDEX($T$19:$T$93,GQ$244+$FJ293-1)))</f>
        <v/>
      </c>
      <c r="GR293" s="150" t="str">
        <f aca="false">IF($FJ293+GR$244&gt;73,"",PRODUCT(INDEX($T$19:$T$93,GR$244):INDEX($T$19:$T$93,GR$244+$FJ293-1)))</f>
        <v/>
      </c>
      <c r="GS293" s="150" t="str">
        <f aca="false">IF($FJ293+GS$244&gt;73,"",PRODUCT(INDEX($T$19:$T$93,GS$244):INDEX($T$19:$T$93,GS$244+$FJ293-1)))</f>
        <v/>
      </c>
      <c r="GT293" s="150" t="str">
        <f aca="false">IF($FJ293+GT$244&gt;73,"",PRODUCT(INDEX($T$19:$T$93,GT$244):INDEX($T$19:$T$93,GT$244+$FJ293-1)))</f>
        <v/>
      </c>
      <c r="GU293" s="150" t="str">
        <f aca="false">IF($FJ293+GU$244&gt;73,"",PRODUCT(INDEX($T$19:$T$93,GU$244):INDEX($T$19:$T$93,GU$244+$FJ293-1)))</f>
        <v/>
      </c>
      <c r="GV293" s="150" t="str">
        <f aca="false">IF($FJ293+GV$244&gt;73,"",PRODUCT(INDEX($T$19:$T$93,GV$244):INDEX($T$19:$T$93,GV$244+$FJ293-1)))</f>
        <v/>
      </c>
      <c r="GW293" s="150" t="str">
        <f aca="false">IF($FJ293+GW$244&gt;73,"",PRODUCT(INDEX($T$19:$T$93,GW$244):INDEX($T$19:$T$93,GW$244+$FJ293-1)))</f>
        <v/>
      </c>
      <c r="GX293" s="150" t="str">
        <f aca="false">IF($FJ293+GX$244&gt;73,"",PRODUCT(INDEX($T$19:$T$93,GX$244):INDEX($T$19:$T$93,GX$244+$FJ293-1)))</f>
        <v/>
      </c>
      <c r="GY293" s="150" t="str">
        <f aca="false">IF($FJ293+GY$244&gt;73,"",PRODUCT(INDEX($T$19:$T$93,GY$244):INDEX($T$19:$T$93,GY$244+$FJ293-1)))</f>
        <v/>
      </c>
      <c r="GZ293" s="150" t="str">
        <f aca="false">IF($FJ293+GZ$244&gt;73,"",PRODUCT(INDEX($T$19:$T$93,GZ$244):INDEX($T$19:$T$93,GZ$244+$FJ293-1)))</f>
        <v/>
      </c>
      <c r="HA293" s="150" t="str">
        <f aca="false">IF($FJ293+HA$244&gt;73,"",PRODUCT(INDEX($T$19:$T$93,HA$244):INDEX($T$19:$T$93,HA$244+$FJ293-1)))</f>
        <v/>
      </c>
      <c r="HB293" s="150" t="str">
        <f aca="false">IF($FJ293+HB$244&gt;73,"",PRODUCT(INDEX($T$19:$T$93,HB$244):INDEX($T$19:$T$93,HB$244+$FJ293-1)))</f>
        <v/>
      </c>
      <c r="HC293" s="150" t="str">
        <f aca="false">IF($FJ293+HC$244&gt;73,"",PRODUCT(INDEX($T$19:$T$93,HC$244):INDEX($T$19:$T$93,HC$244+$FJ293-1)))</f>
        <v/>
      </c>
      <c r="HD293" s="150" t="str">
        <f aca="false">IF($FJ293+HD$244&gt;73,"",PRODUCT(INDEX($T$19:$T$93,HD$244):INDEX($T$19:$T$93,HD$244+$FJ293-1)))</f>
        <v/>
      </c>
      <c r="HE293" s="150" t="str">
        <f aca="false">IF($FJ293+HE$244&gt;73,"",PRODUCT(INDEX($T$19:$T$93,HE$244):INDEX($T$19:$T$93,HE$244+$FJ293-1)))</f>
        <v/>
      </c>
      <c r="HF293" s="150" t="str">
        <f aca="false">IF($FJ293+HF$244&gt;73,"",PRODUCT(INDEX($T$19:$T$93,HF$244):INDEX($T$19:$T$93,HF$244+$FJ293-1)))</f>
        <v/>
      </c>
      <c r="HG293" s="150" t="n">
        <f aca="false">IF($FJ293+HG$244&gt;73,"",PRODUCT(INDEX($T$19:$T$93,HG$244):INDEX($T$19:$T$93,HG$244+$FJ293-1)))</f>
        <v>0.975532818705591</v>
      </c>
      <c r="HH293" s="150" t="n">
        <f aca="false">IF($FJ293+HH$244&gt;73,"",PRODUCT(INDEX($T$19:$T$93,HH$244):INDEX($T$19:$T$93,HH$244+$FJ293-1)))</f>
        <v>0.971425434835103</v>
      </c>
      <c r="HI293" s="150" t="n">
        <f aca="false">IF($FJ293+HI$244&gt;73,"",PRODUCT(INDEX($T$19:$T$93,HI$244):INDEX($T$19:$T$93,HI$244+$FJ293-1)))</f>
        <v>0.966637189550009</v>
      </c>
      <c r="HJ293" s="150" t="n">
        <f aca="false">IF($FJ293+HJ$244&gt;73,"",PRODUCT(INDEX($T$19:$T$93,HJ$244):INDEX($T$19:$T$93,HJ$244+$FJ293-1)))</f>
        <v>0.961058461869067</v>
      </c>
      <c r="HK293" s="150" t="n">
        <f aca="false">IF($FJ293+HK$244&gt;73,"",PRODUCT(INDEX($T$19:$T$93,HK$244):INDEX($T$19:$T$93,HK$244+$FJ293-1)))</f>
        <v>0.954563201224642</v>
      </c>
      <c r="HL293" s="150" t="n">
        <f aca="false">IF($FJ293+HL$244&gt;73,"",PRODUCT(INDEX($T$19:$T$93,HL$244):INDEX($T$19:$T$93,HL$244+$FJ293-1)))</f>
        <v>0.947006931811987</v>
      </c>
      <c r="HM293" s="150" t="n">
        <f aca="false">IF($FJ293+HM$244&gt;73,"",PRODUCT(INDEX($T$19:$T$93,HM$244):INDEX($T$19:$T$93,HM$244+$FJ293-1)))</f>
        <v>0.938224702886037</v>
      </c>
      <c r="HN293" s="150" t="n">
        <f aca="false">IF($FJ293+HN$244&gt;73,"",PRODUCT(INDEX($T$19:$T$93,HN$244):INDEX($T$19:$T$93,HN$244+$FJ293-1)))</f>
        <v>0.928029075094993</v>
      </c>
      <c r="HO293" s="150" t="n">
        <f aca="false">IF($FJ293+HO$244&gt;73,"",PRODUCT(INDEX($T$19:$T$93,HO$244):INDEX($T$19:$T$93,HO$244+$FJ293-1)))</f>
        <v>0.916208280912817</v>
      </c>
      <c r="HP293" s="150" t="n">
        <f aca="false">IF($FJ293+HP$244&gt;73,"",PRODUCT(INDEX($T$19:$T$93,HP$244):INDEX($T$19:$T$93,HP$244+$FJ293-1)))</f>
        <v>0.902524762826106</v>
      </c>
      <c r="HQ293" s="150" t="n">
        <f aca="false">IF($FJ293+HQ$244&gt;73,"",PRODUCT(INDEX($T$19:$T$93,HQ$244):INDEX($T$19:$T$93,HQ$244+$FJ293-1)))</f>
        <v>0.886714380997464</v>
      </c>
      <c r="HR293" s="150" t="n">
        <f aca="false">IF($FJ293+HR$244&gt;73,"",PRODUCT(INDEX($T$19:$T$93,HR$244):INDEX($T$19:$T$93,HR$244+$FJ293-1)))</f>
        <v>0.868486698028015</v>
      </c>
      <c r="HS293" s="150" t="n">
        <f aca="false">IF($FJ293+HS$244&gt;73,"",PRODUCT(INDEX($T$19:$T$93,HS$244):INDEX($T$19:$T$93,HS$244+$FJ293-1)))</f>
        <v>0.847526897428449</v>
      </c>
      <c r="HT293" s="150" t="n">
        <f aca="false">IF($FJ293+HT$244&gt;73,"",PRODUCT(INDEX($T$19:$T$93,HT$244):INDEX($T$19:$T$93,HT$244+$FJ293-1)))</f>
        <v>0.823500078330103</v>
      </c>
      <c r="HU293" s="150" t="n">
        <f aca="false">IF($FJ293+HU$244&gt;73,"",PRODUCT(INDEX($T$19:$T$93,HU$244):INDEX($T$19:$T$93,HU$244+$FJ293-1)))</f>
        <v>0.796058891833523</v>
      </c>
      <c r="HV293" s="150" t="n">
        <f aca="false">IF($FJ293+HV$244&gt;73,"",PRODUCT(INDEX($T$19:$T$93,HV$244):INDEX($T$19:$T$93,HV$244+$FJ293-1)))</f>
        <v>0.764855736091779</v>
      </c>
      <c r="HW293" s="150" t="n">
        <f aca="false">IF($FJ293+HW$244&gt;73,"",PRODUCT(INDEX($T$19:$T$93,HW$244):INDEX($T$19:$T$93,HW$244+$FJ293-1)))</f>
        <v>0.729560984431234</v>
      </c>
      <c r="HX293" s="150" t="n">
        <f aca="false">IF($FJ293+HX$244&gt;73,"",PRODUCT(INDEX($T$19:$T$93,HX$244):INDEX($T$19:$T$93,HX$244+$FJ293-1)))</f>
        <v>0.689888933803266</v>
      </c>
      <c r="HY293" s="150" t="n">
        <f aca="false">IF($FJ293+HY$244&gt;73,"",PRODUCT(INDEX($T$19:$T$93,HY$244):INDEX($T$19:$T$93,HY$244+$FJ293-1)))</f>
        <v>0.645633236968668</v>
      </c>
      <c r="HZ293" s="150" t="n">
        <f aca="false">IF($FJ293+HZ$244&gt;73,"",PRODUCT(INDEX($T$19:$T$93,HZ$244):INDEX($T$19:$T$93,HZ$244+$FJ293-1)))</f>
        <v>0.59671336280204</v>
      </c>
      <c r="IA293" s="150" t="n">
        <f aca="false">IF($FJ293+IA$244&gt;73,"",PRODUCT(INDEX($T$19:$T$93,IA$244):INDEX($T$19:$T$93,IA$244+$FJ293-1)))</f>
        <v>0.543232864050389</v>
      </c>
      <c r="IB293" s="150" t="n">
        <f aca="false">IF($FJ293+IB$244&gt;73,"",PRODUCT(INDEX($T$19:$T$93,IB$244):INDEX($T$19:$T$93,IB$244+$FJ293-1)))</f>
        <v>0.485548552970637</v>
      </c>
      <c r="IC293" s="150" t="n">
        <f aca="false">IF($FJ293+IC$244&gt;73,"",PRODUCT(INDEX($T$19:$T$93,IC$244):INDEX($T$19:$T$93,IC$244+$FJ293-1)))</f>
        <v>0.42434660610064</v>
      </c>
      <c r="ID293" s="572" t="n">
        <f aca="false">IF($FJ293+ID$244&gt;73,"",PRODUCT(INDEX($T$19:$T$93,ID$244):INDEX($T$19:$T$93,ID$244+$FJ293-1)))</f>
        <v>0.360716598539497</v>
      </c>
      <c r="IE293" s="129"/>
    </row>
    <row r="294" customFormat="false" ht="12.75" hidden="false" customHeight="false" outlineLevel="0" collapsed="false">
      <c r="I294" s="735"/>
      <c r="J294" s="727"/>
      <c r="K294" s="728"/>
      <c r="L294" s="195"/>
      <c r="M294" s="729"/>
      <c r="P294" s="727"/>
      <c r="S294" s="1"/>
      <c r="T294" s="727"/>
      <c r="U294" s="195"/>
      <c r="V294" s="195"/>
      <c r="W294" s="195"/>
      <c r="X294" s="195"/>
      <c r="Y294" s="195"/>
      <c r="Z294" s="195"/>
      <c r="AA294" s="195"/>
      <c r="AB294" s="195"/>
      <c r="AC294" s="195"/>
      <c r="AD294" s="195"/>
      <c r="AE294" s="195"/>
      <c r="AF294" s="195"/>
      <c r="AG294" s="195"/>
      <c r="AH294" s="195"/>
      <c r="AI294" s="195"/>
      <c r="AJ294" s="195"/>
      <c r="AK294" s="195"/>
      <c r="AL294" s="195"/>
      <c r="AM294" s="195"/>
      <c r="AN294" s="195"/>
      <c r="AO294" s="532"/>
      <c r="AP294" s="195"/>
      <c r="AQ294" s="532"/>
      <c r="AR294" s="195"/>
      <c r="AS294" s="195"/>
      <c r="AT294" s="240"/>
      <c r="AU294" s="240"/>
      <c r="AV294" s="240"/>
      <c r="AW294" s="730"/>
      <c r="AX294" s="730"/>
      <c r="AY294" s="730"/>
      <c r="AZ294" s="730"/>
      <c r="BA294" s="468"/>
      <c r="BB294" s="468"/>
      <c r="BC294" s="240"/>
      <c r="BD294" s="240"/>
      <c r="BE294" s="240"/>
      <c r="BF294" s="672"/>
      <c r="BG294" s="672"/>
      <c r="BH294" s="672"/>
      <c r="BI294" s="731"/>
      <c r="BJ294" s="672"/>
      <c r="BK294" s="672"/>
      <c r="BL294" s="240"/>
      <c r="BM294" s="736"/>
      <c r="BN294" s="240"/>
      <c r="BO294" s="240"/>
      <c r="BP294" s="240"/>
      <c r="BQ294" s="240"/>
      <c r="BR294" s="240"/>
      <c r="BS294" s="240"/>
      <c r="BT294" s="240"/>
      <c r="BU294" s="240"/>
      <c r="BV294" s="240"/>
      <c r="BW294" s="240"/>
      <c r="BX294" s="240"/>
      <c r="BY294" s="240"/>
      <c r="BZ294" s="240"/>
      <c r="CA294" s="240"/>
      <c r="CB294" s="240"/>
      <c r="CC294" s="240"/>
      <c r="CD294" s="672"/>
      <c r="CE294" s="672"/>
      <c r="CF294" s="672"/>
      <c r="CG294" s="672"/>
      <c r="CH294" s="672"/>
      <c r="CI294" s="672"/>
      <c r="CJ294" s="240"/>
      <c r="CK294" s="240"/>
      <c r="CL294" s="240"/>
      <c r="CM294" s="240"/>
      <c r="CN294" s="240"/>
      <c r="CO294" s="240"/>
      <c r="CP294" s="240"/>
      <c r="CQ294" s="240"/>
      <c r="CR294" s="240"/>
      <c r="CS294" s="240"/>
      <c r="CT294" s="240"/>
      <c r="CU294" s="240"/>
      <c r="CV294" s="240"/>
      <c r="CW294" s="240"/>
      <c r="CX294" s="240"/>
      <c r="CY294" s="240"/>
      <c r="CZ294" s="240"/>
      <c r="DA294" s="240"/>
      <c r="DB294" s="240"/>
      <c r="DC294" s="240"/>
      <c r="DD294" s="240"/>
      <c r="DE294" s="240"/>
      <c r="DF294" s="240"/>
      <c r="DG294" s="240"/>
      <c r="DH294" s="478"/>
      <c r="DI294" s="733"/>
      <c r="DJ294" s="733"/>
      <c r="DK294" s="478"/>
      <c r="DL294" s="3"/>
      <c r="DM294" s="4"/>
      <c r="DN294" s="4"/>
      <c r="DO294" s="4"/>
      <c r="DP294" s="4"/>
      <c r="DQ294" s="4"/>
      <c r="DR294" s="4"/>
      <c r="DS294" s="4"/>
      <c r="DU294" s="195"/>
      <c r="DV294" s="195"/>
      <c r="DW294" s="195"/>
      <c r="DX294" s="195"/>
      <c r="DY294" s="195"/>
      <c r="DZ294" s="195"/>
      <c r="EA294" s="195"/>
      <c r="EB294" s="195"/>
      <c r="EC294" s="195"/>
      <c r="ED294" s="195"/>
      <c r="EE294" s="195"/>
      <c r="EF294" s="195"/>
      <c r="EG294" s="195"/>
      <c r="EL294" s="1"/>
      <c r="EM294" s="195"/>
      <c r="EN294" s="240"/>
      <c r="EO294" s="731"/>
      <c r="EP294" s="195"/>
      <c r="EQ294" s="240"/>
      <c r="ER294" s="195"/>
      <c r="ES294" s="195"/>
      <c r="ET294" s="195"/>
      <c r="EU294" s="672"/>
      <c r="FJ294" s="571" t="n">
        <v>50</v>
      </c>
      <c r="FK294" s="150" t="str">
        <f aca="false">IF($FJ294+FK$244&gt;73,"",PRODUCT(INDEX($T$19:$T$93,FK$244):INDEX($T$19:$T$93,FK$244+$FJ294-1)))</f>
        <v/>
      </c>
      <c r="FL294" s="150" t="str">
        <f aca="false">IF($FJ294+FL$244&gt;73,"",PRODUCT(INDEX($T$19:$T$93,FL$244):INDEX($T$19:$T$93,FL$244+$FJ294-1)))</f>
        <v/>
      </c>
      <c r="FM294" s="150" t="str">
        <f aca="false">IF($FJ294+FM$244&gt;73,"",PRODUCT(INDEX($T$19:$T$93,FM$244):INDEX($T$19:$T$93,FM$244+$FJ294-1)))</f>
        <v/>
      </c>
      <c r="FN294" s="150" t="str">
        <f aca="false">IF($FJ294+FN$244&gt;73,"",PRODUCT(INDEX($T$19:$T$93,FN$244):INDEX($T$19:$T$93,FN$244+$FJ294-1)))</f>
        <v/>
      </c>
      <c r="FO294" s="150" t="str">
        <f aca="false">IF($FJ294+FO$244&gt;73,"",PRODUCT(INDEX($T$19:$T$93,FO$244):INDEX($T$19:$T$93,FO$244+$FJ294-1)))</f>
        <v/>
      </c>
      <c r="FP294" s="150" t="str">
        <f aca="false">IF($FJ294+FP$244&gt;73,"",PRODUCT(INDEX($T$19:$T$93,FP$244):INDEX($T$19:$T$93,FP$244+$FJ294-1)))</f>
        <v/>
      </c>
      <c r="FQ294" s="150" t="str">
        <f aca="false">IF($FJ294+FQ$244&gt;73,"",PRODUCT(INDEX($T$19:$T$93,FQ$244):INDEX($T$19:$T$93,FQ$244+$FJ294-1)))</f>
        <v/>
      </c>
      <c r="FR294" s="150" t="str">
        <f aca="false">IF($FJ294+FR$244&gt;73,"",PRODUCT(INDEX($T$19:$T$93,FR$244):INDEX($T$19:$T$93,FR$244+$FJ294-1)))</f>
        <v/>
      </c>
      <c r="FS294" s="150" t="str">
        <f aca="false">IF($FJ294+FS$244&gt;73,"",PRODUCT(INDEX($T$19:$T$93,FS$244):INDEX($T$19:$T$93,FS$244+$FJ294-1)))</f>
        <v/>
      </c>
      <c r="FT294" s="150" t="str">
        <f aca="false">IF($FJ294+FT$244&gt;73,"",PRODUCT(INDEX($T$19:$T$93,FT$244):INDEX($T$19:$T$93,FT$244+$FJ294-1)))</f>
        <v/>
      </c>
      <c r="FU294" s="150" t="str">
        <f aca="false">IF($FJ294+FU$244&gt;73,"",PRODUCT(INDEX($T$19:$T$93,FU$244):INDEX($T$19:$T$93,FU$244+$FJ294-1)))</f>
        <v/>
      </c>
      <c r="FV294" s="150" t="str">
        <f aca="false">IF($FJ294+FV$244&gt;73,"",PRODUCT(INDEX($T$19:$T$93,FV$244):INDEX($T$19:$T$93,FV$244+$FJ294-1)))</f>
        <v/>
      </c>
      <c r="FW294" s="150" t="str">
        <f aca="false">IF($FJ294+FW$244&gt;73,"",PRODUCT(INDEX($T$19:$T$93,FW$244):INDEX($T$19:$T$93,FW$244+$FJ294-1)))</f>
        <v/>
      </c>
      <c r="FX294" s="150" t="str">
        <f aca="false">IF($FJ294+FX$244&gt;73,"",PRODUCT(INDEX($T$19:$T$93,FX$244):INDEX($T$19:$T$93,FX$244+$FJ294-1)))</f>
        <v/>
      </c>
      <c r="FY294" s="150" t="str">
        <f aca="false">IF($FJ294+FY$244&gt;73,"",PRODUCT(INDEX($T$19:$T$93,FY$244):INDEX($T$19:$T$93,FY$244+$FJ294-1)))</f>
        <v/>
      </c>
      <c r="FZ294" s="150" t="str">
        <f aca="false">IF($FJ294+FZ$244&gt;73,"",PRODUCT(INDEX($T$19:$T$93,FZ$244):INDEX($T$19:$T$93,FZ$244+$FJ294-1)))</f>
        <v/>
      </c>
      <c r="GA294" s="150" t="str">
        <f aca="false">IF($FJ294+GA$244&gt;73,"",PRODUCT(INDEX($T$19:$T$93,GA$244):INDEX($T$19:$T$93,GA$244+$FJ294-1)))</f>
        <v/>
      </c>
      <c r="GB294" s="150" t="str">
        <f aca="false">IF($FJ294+GB$244&gt;73,"",PRODUCT(INDEX($T$19:$T$93,GB$244):INDEX($T$19:$T$93,GB$244+$FJ294-1)))</f>
        <v/>
      </c>
      <c r="GC294" s="150" t="str">
        <f aca="false">IF($FJ294+GC$244&gt;73,"",PRODUCT(INDEX($T$19:$T$93,GC$244):INDEX($T$19:$T$93,GC$244+$FJ294-1)))</f>
        <v/>
      </c>
      <c r="GD294" s="150" t="str">
        <f aca="false">IF($FJ294+GD$244&gt;73,"",PRODUCT(INDEX($T$19:$T$93,GD$244):INDEX($T$19:$T$93,GD$244+$FJ294-1)))</f>
        <v/>
      </c>
      <c r="GE294" s="150" t="str">
        <f aca="false">IF($FJ294+GE$244&gt;73,"",PRODUCT(INDEX($T$19:$T$93,GE$244):INDEX($T$19:$T$93,GE$244+$FJ294-1)))</f>
        <v/>
      </c>
      <c r="GF294" s="150" t="str">
        <f aca="false">IF($FJ294+GF$244&gt;73,"",PRODUCT(INDEX($T$19:$T$93,GF$244):INDEX($T$19:$T$93,GF$244+$FJ294-1)))</f>
        <v/>
      </c>
      <c r="GG294" s="150" t="str">
        <f aca="false">IF($FJ294+GG$244&gt;73,"",PRODUCT(INDEX($T$19:$T$93,GG$244):INDEX($T$19:$T$93,GG$244+$FJ294-1)))</f>
        <v/>
      </c>
      <c r="GH294" s="150" t="str">
        <f aca="false">IF($FJ294+GH$244&gt;73,"",PRODUCT(INDEX($T$19:$T$93,GH$244):INDEX($T$19:$T$93,GH$244+$FJ294-1)))</f>
        <v/>
      </c>
      <c r="GI294" s="150" t="str">
        <f aca="false">IF($FJ294+GI$244&gt;73,"",PRODUCT(INDEX($T$19:$T$93,GI$244):INDEX($T$19:$T$93,GI$244+$FJ294-1)))</f>
        <v/>
      </c>
      <c r="GJ294" s="150" t="str">
        <f aca="false">IF($FJ294+GJ$244&gt;73,"",PRODUCT(INDEX($T$19:$T$93,GJ$244):INDEX($T$19:$T$93,GJ$244+$FJ294-1)))</f>
        <v/>
      </c>
      <c r="GK294" s="150" t="str">
        <f aca="false">IF($FJ294+GK$244&gt;73,"",PRODUCT(INDEX($T$19:$T$93,GK$244):INDEX($T$19:$T$93,GK$244+$FJ294-1)))</f>
        <v/>
      </c>
      <c r="GL294" s="150" t="str">
        <f aca="false">IF($FJ294+GL$244&gt;73,"",PRODUCT(INDEX($T$19:$T$93,GL$244):INDEX($T$19:$T$93,GL$244+$FJ294-1)))</f>
        <v/>
      </c>
      <c r="GM294" s="150" t="str">
        <f aca="false">IF($FJ294+GM$244&gt;73,"",PRODUCT(INDEX($T$19:$T$93,GM$244):INDEX($T$19:$T$93,GM$244+$FJ294-1)))</f>
        <v/>
      </c>
      <c r="GN294" s="150" t="str">
        <f aca="false">IF($FJ294+GN$244&gt;73,"",PRODUCT(INDEX($T$19:$T$93,GN$244):INDEX($T$19:$T$93,GN$244+$FJ294-1)))</f>
        <v/>
      </c>
      <c r="GO294" s="150" t="str">
        <f aca="false">IF($FJ294+GO$244&gt;73,"",PRODUCT(INDEX($T$19:$T$93,GO$244):INDEX($T$19:$T$93,GO$244+$FJ294-1)))</f>
        <v/>
      </c>
      <c r="GP294" s="150" t="str">
        <f aca="false">IF($FJ294+GP$244&gt;73,"",PRODUCT(INDEX($T$19:$T$93,GP$244):INDEX($T$19:$T$93,GP$244+$FJ294-1)))</f>
        <v/>
      </c>
      <c r="GQ294" s="150" t="str">
        <f aca="false">IF($FJ294+GQ$244&gt;73,"",PRODUCT(INDEX($T$19:$T$93,GQ$244):INDEX($T$19:$T$93,GQ$244+$FJ294-1)))</f>
        <v/>
      </c>
      <c r="GR294" s="150" t="str">
        <f aca="false">IF($FJ294+GR$244&gt;73,"",PRODUCT(INDEX($T$19:$T$93,GR$244):INDEX($T$19:$T$93,GR$244+$FJ294-1)))</f>
        <v/>
      </c>
      <c r="GS294" s="150" t="str">
        <f aca="false">IF($FJ294+GS$244&gt;73,"",PRODUCT(INDEX($T$19:$T$93,GS$244):INDEX($T$19:$T$93,GS$244+$FJ294-1)))</f>
        <v/>
      </c>
      <c r="GT294" s="150" t="str">
        <f aca="false">IF($FJ294+GT$244&gt;73,"",PRODUCT(INDEX($T$19:$T$93,GT$244):INDEX($T$19:$T$93,GT$244+$FJ294-1)))</f>
        <v/>
      </c>
      <c r="GU294" s="150" t="str">
        <f aca="false">IF($FJ294+GU$244&gt;73,"",PRODUCT(INDEX($T$19:$T$93,GU$244):INDEX($T$19:$T$93,GU$244+$FJ294-1)))</f>
        <v/>
      </c>
      <c r="GV294" s="150" t="str">
        <f aca="false">IF($FJ294+GV$244&gt;73,"",PRODUCT(INDEX($T$19:$T$93,GV$244):INDEX($T$19:$T$93,GV$244+$FJ294-1)))</f>
        <v/>
      </c>
      <c r="GW294" s="150" t="str">
        <f aca="false">IF($FJ294+GW$244&gt;73,"",PRODUCT(INDEX($T$19:$T$93,GW$244):INDEX($T$19:$T$93,GW$244+$FJ294-1)))</f>
        <v/>
      </c>
      <c r="GX294" s="150" t="str">
        <f aca="false">IF($FJ294+GX$244&gt;73,"",PRODUCT(INDEX($T$19:$T$93,GX$244):INDEX($T$19:$T$93,GX$244+$FJ294-1)))</f>
        <v/>
      </c>
      <c r="GY294" s="150" t="str">
        <f aca="false">IF($FJ294+GY$244&gt;73,"",PRODUCT(INDEX($T$19:$T$93,GY$244):INDEX($T$19:$T$93,GY$244+$FJ294-1)))</f>
        <v/>
      </c>
      <c r="GZ294" s="150" t="str">
        <f aca="false">IF($FJ294+GZ$244&gt;73,"",PRODUCT(INDEX($T$19:$T$93,GZ$244):INDEX($T$19:$T$93,GZ$244+$FJ294-1)))</f>
        <v/>
      </c>
      <c r="HA294" s="150" t="str">
        <f aca="false">IF($FJ294+HA$244&gt;73,"",PRODUCT(INDEX($T$19:$T$93,HA$244):INDEX($T$19:$T$93,HA$244+$FJ294-1)))</f>
        <v/>
      </c>
      <c r="HB294" s="150" t="str">
        <f aca="false">IF($FJ294+HB$244&gt;73,"",PRODUCT(INDEX($T$19:$T$93,HB$244):INDEX($T$19:$T$93,HB$244+$FJ294-1)))</f>
        <v/>
      </c>
      <c r="HC294" s="150" t="str">
        <f aca="false">IF($FJ294+HC$244&gt;73,"",PRODUCT(INDEX($T$19:$T$93,HC$244):INDEX($T$19:$T$93,HC$244+$FJ294-1)))</f>
        <v/>
      </c>
      <c r="HD294" s="150" t="str">
        <f aca="false">IF($FJ294+HD$244&gt;73,"",PRODUCT(INDEX($T$19:$T$93,HD$244):INDEX($T$19:$T$93,HD$244+$FJ294-1)))</f>
        <v/>
      </c>
      <c r="HE294" s="150" t="str">
        <f aca="false">IF($FJ294+HE$244&gt;73,"",PRODUCT(INDEX($T$19:$T$93,HE$244):INDEX($T$19:$T$93,HE$244+$FJ294-1)))</f>
        <v/>
      </c>
      <c r="HF294" s="150" t="str">
        <f aca="false">IF($FJ294+HF$244&gt;73,"",PRODUCT(INDEX($T$19:$T$93,HF$244):INDEX($T$19:$T$93,HF$244+$FJ294-1)))</f>
        <v/>
      </c>
      <c r="HG294" s="150" t="str">
        <f aca="false">IF($FJ294+HG$244&gt;73,"",PRODUCT(INDEX($T$19:$T$93,HG$244):INDEX($T$19:$T$93,HG$244+$FJ294-1)))</f>
        <v/>
      </c>
      <c r="HH294" s="150" t="n">
        <f aca="false">IF($FJ294+HH$244&gt;73,"",PRODUCT(INDEX($T$19:$T$93,HH$244):INDEX($T$19:$T$93,HH$244+$FJ294-1)))</f>
        <v>0.971423548893622</v>
      </c>
      <c r="HI294" s="150" t="n">
        <f aca="false">IF($FJ294+HI$244&gt;73,"",PRODUCT(INDEX($T$19:$T$93,HI$244):INDEX($T$19:$T$93,HI$244+$FJ294-1)))</f>
        <v>0.966634994640496</v>
      </c>
      <c r="HJ294" s="150" t="n">
        <f aca="false">IF($FJ294+HJ$244&gt;73,"",PRODUCT(INDEX($T$19:$T$93,HJ$244):INDEX($T$19:$T$93,HJ$244+$FJ294-1)))</f>
        <v>0.96105590953582</v>
      </c>
      <c r="HK294" s="150" t="n">
        <f aca="false">IF($FJ294+HK$244&gt;73,"",PRODUCT(INDEX($T$19:$T$93,HK$244):INDEX($T$19:$T$93,HK$244+$FJ294-1)))</f>
        <v>0.954560236210356</v>
      </c>
      <c r="HL294" s="150" t="n">
        <f aca="false">IF($FJ294+HL$244&gt;73,"",PRODUCT(INDEX($T$19:$T$93,HL$244):INDEX($T$19:$T$93,HL$244+$FJ294-1)))</f>
        <v>0.947003491404496</v>
      </c>
      <c r="HM294" s="150" t="n">
        <f aca="false">IF($FJ294+HM$244&gt;73,"",PRODUCT(INDEX($T$19:$T$93,HM$244):INDEX($T$19:$T$93,HM$244+$FJ294-1)))</f>
        <v>0.938220716325882</v>
      </c>
      <c r="HN294" s="150" t="n">
        <f aca="false">IF($FJ294+HN$244&gt;73,"",PRODUCT(INDEX($T$19:$T$93,HN$244):INDEX($T$19:$T$93,HN$244+$FJ294-1)))</f>
        <v>0.928024463109899</v>
      </c>
      <c r="HO294" s="150" t="n">
        <f aca="false">IF($FJ294+HO$244&gt;73,"",PRODUCT(INDEX($T$19:$T$93,HO$244):INDEX($T$19:$T$93,HO$244+$FJ294-1)))</f>
        <v>0.916202955472535</v>
      </c>
      <c r="HP294" s="150" t="n">
        <f aca="false">IF($FJ294+HP$244&gt;73,"",PRODUCT(INDEX($T$19:$T$93,HP$244):INDEX($T$19:$T$93,HP$244+$FJ294-1)))</f>
        <v>0.902518627246606</v>
      </c>
      <c r="HQ294" s="150" t="n">
        <f aca="false">IF($FJ294+HQ$244&gt;73,"",PRODUCT(INDEX($T$19:$T$93,HQ$244):INDEX($T$19:$T$93,HQ$244+$FJ294-1)))</f>
        <v>0.886707330568324</v>
      </c>
      <c r="HR294" s="150" t="n">
        <f aca="false">IF($FJ294+HR$244&gt;73,"",PRODUCT(INDEX($T$19:$T$93,HR$244):INDEX($T$19:$T$93,HR$244+$FJ294-1)))</f>
        <v>0.86847862139182</v>
      </c>
      <c r="HS294" s="150" t="n">
        <f aca="false">IF($FJ294+HS$244&gt;73,"",PRODUCT(INDEX($T$19:$T$93,HS$244):INDEX($T$19:$T$93,HS$244+$FJ294-1)))</f>
        <v>0.847517679005472</v>
      </c>
      <c r="HT294" s="150" t="n">
        <f aca="false">IF($FJ294+HT$244&gt;73,"",PRODUCT(INDEX($T$19:$T$93,HT$244):INDEX($T$19:$T$93,HT$244+$FJ294-1)))</f>
        <v>0.823489602152447</v>
      </c>
      <c r="HU294" s="150" t="n">
        <f aca="false">IF($FJ294+HU$244&gt;73,"",PRODUCT(INDEX($T$19:$T$93,HU$244):INDEX($T$19:$T$93,HU$244+$FJ294-1)))</f>
        <v>0.796047047222761</v>
      </c>
      <c r="HV294" s="150" t="n">
        <f aca="false">IF($FJ294+HV$244&gt;73,"",PRODUCT(INDEX($T$19:$T$93,HV$244):INDEX($T$19:$T$93,HV$244+$FJ294-1)))</f>
        <v>0.764842425668278</v>
      </c>
      <c r="HW294" s="150" t="n">
        <f aca="false">IF($FJ294+HW$244&gt;73,"",PRODUCT(INDEX($T$19:$T$93,HW$244):INDEX($T$19:$T$93,HW$244+$FJ294-1)))</f>
        <v>0.729546134955758</v>
      </c>
      <c r="HX294" s="150" t="n">
        <f aca="false">IF($FJ294+HX$244&gt;73,"",PRODUCT(INDEX($T$19:$T$93,HX$244):INDEX($T$19:$T$93,HX$244+$FJ294-1)))</f>
        <v>0.689872510279739</v>
      </c>
      <c r="HY294" s="150" t="n">
        <f aca="false">IF($FJ294+HY$244&gt;73,"",PRODUCT(INDEX($T$19:$T$93,HY$244):INDEX($T$19:$T$93,HY$244+$FJ294-1)))</f>
        <v>0.645615260216468</v>
      </c>
      <c r="HZ294" s="150" t="n">
        <f aca="false">IF($FJ294+HZ$244&gt;73,"",PRODUCT(INDEX($T$19:$T$93,HZ$244):INDEX($T$19:$T$93,HZ$244+$FJ294-1)))</f>
        <v>0.596693930245543</v>
      </c>
      <c r="IA294" s="150" t="n">
        <f aca="false">IF($FJ294+IA$244&gt;73,"",PRODUCT(INDEX($T$19:$T$93,IA$244):INDEX($T$19:$T$93,IA$244+$FJ294-1)))</f>
        <v>0.543212172656138</v>
      </c>
      <c r="IB294" s="150" t="n">
        <f aca="false">IF($FJ294+IB$244&gt;73,"",PRODUCT(INDEX($T$19:$T$93,IB$244):INDEX($T$19:$T$93,IB$244+$FJ294-1)))</f>
        <v>0.485526921962703</v>
      </c>
      <c r="IC294" s="150" t="n">
        <f aca="false">IF($FJ294+IC$244&gt;73,"",PRODUCT(INDEX($T$19:$T$93,IC$244):INDEX($T$19:$T$93,IC$244+$FJ294-1)))</f>
        <v>0.424324495214545</v>
      </c>
      <c r="ID294" s="572" t="n">
        <f aca="false">IF($FJ294+ID$244&gt;73,"",PRODUCT(INDEX($T$19:$T$93,ID$244):INDEX($T$19:$T$93,ID$244+$FJ294-1)))</f>
        <v>0.360694615185544</v>
      </c>
      <c r="IE294" s="129"/>
    </row>
    <row r="295" customFormat="false" ht="12.75" hidden="false" customHeight="false" outlineLevel="0" collapsed="false">
      <c r="I295" s="735"/>
      <c r="J295" s="727"/>
      <c r="K295" s="728"/>
      <c r="L295" s="195"/>
      <c r="M295" s="729"/>
      <c r="P295" s="727"/>
      <c r="S295" s="1"/>
      <c r="T295" s="727"/>
      <c r="U295" s="195"/>
      <c r="V295" s="195"/>
      <c r="W295" s="195"/>
      <c r="X295" s="195"/>
      <c r="Y295" s="195"/>
      <c r="Z295" s="195"/>
      <c r="AA295" s="195"/>
      <c r="AB295" s="195"/>
      <c r="AC295" s="195"/>
      <c r="AD295" s="195"/>
      <c r="AE295" s="195"/>
      <c r="AF295" s="195"/>
      <c r="AG295" s="195"/>
      <c r="AH295" s="195"/>
      <c r="AI295" s="195"/>
      <c r="AJ295" s="195"/>
      <c r="AK295" s="195"/>
      <c r="AL295" s="195"/>
      <c r="AM295" s="195"/>
      <c r="AN295" s="195"/>
      <c r="AO295" s="532"/>
      <c r="AP295" s="195"/>
      <c r="AQ295" s="532"/>
      <c r="AR295" s="195"/>
      <c r="AS295" s="195"/>
      <c r="AT295" s="240"/>
      <c r="AU295" s="240"/>
      <c r="AV295" s="240"/>
      <c r="AW295" s="730"/>
      <c r="AX295" s="730"/>
      <c r="AY295" s="730"/>
      <c r="AZ295" s="730"/>
      <c r="BA295" s="468"/>
      <c r="BB295" s="468"/>
      <c r="BC295" s="240"/>
      <c r="BD295" s="240"/>
      <c r="BE295" s="240"/>
      <c r="BF295" s="672"/>
      <c r="BG295" s="672"/>
      <c r="BH295" s="672"/>
      <c r="BI295" s="731"/>
      <c r="BJ295" s="672"/>
      <c r="BK295" s="672"/>
      <c r="BL295" s="240"/>
      <c r="BM295" s="736"/>
      <c r="BN295" s="240"/>
      <c r="BO295" s="240"/>
      <c r="BP295" s="240"/>
      <c r="BQ295" s="240"/>
      <c r="BR295" s="240"/>
      <c r="BS295" s="240"/>
      <c r="BT295" s="240"/>
      <c r="BU295" s="240"/>
      <c r="BV295" s="240"/>
      <c r="BW295" s="240"/>
      <c r="BX295" s="240"/>
      <c r="BY295" s="240"/>
      <c r="BZ295" s="240"/>
      <c r="CA295" s="240"/>
      <c r="CB295" s="240"/>
      <c r="CC295" s="240"/>
      <c r="CD295" s="672"/>
      <c r="CE295" s="672"/>
      <c r="CF295" s="672"/>
      <c r="CG295" s="672"/>
      <c r="CH295" s="672"/>
      <c r="CI295" s="672"/>
      <c r="CJ295" s="240"/>
      <c r="CK295" s="240"/>
      <c r="CL295" s="240"/>
      <c r="CM295" s="240"/>
      <c r="CN295" s="240"/>
      <c r="CO295" s="240"/>
      <c r="CP295" s="240"/>
      <c r="CQ295" s="240"/>
      <c r="CR295" s="240"/>
      <c r="CS295" s="240"/>
      <c r="CT295" s="240"/>
      <c r="CU295" s="240"/>
      <c r="CV295" s="240"/>
      <c r="CW295" s="240"/>
      <c r="CX295" s="240"/>
      <c r="CY295" s="240"/>
      <c r="CZ295" s="240"/>
      <c r="DA295" s="240"/>
      <c r="DB295" s="240"/>
      <c r="DC295" s="240"/>
      <c r="DD295" s="240"/>
      <c r="DE295" s="240"/>
      <c r="DF295" s="240"/>
      <c r="DG295" s="240"/>
      <c r="DH295" s="478"/>
      <c r="DI295" s="733"/>
      <c r="DJ295" s="733"/>
      <c r="DK295" s="478"/>
      <c r="DL295" s="3"/>
      <c r="DM295" s="4"/>
      <c r="DN295" s="4"/>
      <c r="DO295" s="4"/>
      <c r="DP295" s="4"/>
      <c r="DQ295" s="4"/>
      <c r="DR295" s="4"/>
      <c r="DS295" s="4"/>
      <c r="DU295" s="195"/>
      <c r="DV295" s="195"/>
      <c r="DW295" s="195"/>
      <c r="DX295" s="195"/>
      <c r="DY295" s="195"/>
      <c r="DZ295" s="195"/>
      <c r="EA295" s="195"/>
      <c r="EB295" s="195"/>
      <c r="EC295" s="195"/>
      <c r="ED295" s="195"/>
      <c r="EE295" s="195"/>
      <c r="EF295" s="195"/>
      <c r="EG295" s="195"/>
      <c r="EL295" s="1"/>
      <c r="EM295" s="195"/>
      <c r="EN295" s="240"/>
      <c r="EO295" s="731"/>
      <c r="EP295" s="195"/>
      <c r="EQ295" s="240"/>
      <c r="ER295" s="195"/>
      <c r="ES295" s="195"/>
      <c r="ET295" s="195"/>
      <c r="EU295" s="672"/>
      <c r="FJ295" s="571" t="n">
        <v>51</v>
      </c>
      <c r="FK295" s="150" t="str">
        <f aca="false">IF($FJ295+FK$244&gt;73,"",PRODUCT(INDEX($T$19:$T$93,FK$244):INDEX($T$19:$T$93,FK$244+$FJ295-1)))</f>
        <v/>
      </c>
      <c r="FL295" s="150" t="str">
        <f aca="false">IF($FJ295+FL$244&gt;73,"",PRODUCT(INDEX($T$19:$T$93,FL$244):INDEX($T$19:$T$93,FL$244+$FJ295-1)))</f>
        <v/>
      </c>
      <c r="FM295" s="150" t="str">
        <f aca="false">IF($FJ295+FM$244&gt;73,"",PRODUCT(INDEX($T$19:$T$93,FM$244):INDEX($T$19:$T$93,FM$244+$FJ295-1)))</f>
        <v/>
      </c>
      <c r="FN295" s="150" t="str">
        <f aca="false">IF($FJ295+FN$244&gt;73,"",PRODUCT(INDEX($T$19:$T$93,FN$244):INDEX($T$19:$T$93,FN$244+$FJ295-1)))</f>
        <v/>
      </c>
      <c r="FO295" s="150" t="str">
        <f aca="false">IF($FJ295+FO$244&gt;73,"",PRODUCT(INDEX($T$19:$T$93,FO$244):INDEX($T$19:$T$93,FO$244+$FJ295-1)))</f>
        <v/>
      </c>
      <c r="FP295" s="150" t="str">
        <f aca="false">IF($FJ295+FP$244&gt;73,"",PRODUCT(INDEX($T$19:$T$93,FP$244):INDEX($T$19:$T$93,FP$244+$FJ295-1)))</f>
        <v/>
      </c>
      <c r="FQ295" s="150" t="str">
        <f aca="false">IF($FJ295+FQ$244&gt;73,"",PRODUCT(INDEX($T$19:$T$93,FQ$244):INDEX($T$19:$T$93,FQ$244+$FJ295-1)))</f>
        <v/>
      </c>
      <c r="FR295" s="150" t="str">
        <f aca="false">IF($FJ295+FR$244&gt;73,"",PRODUCT(INDEX($T$19:$T$93,FR$244):INDEX($T$19:$T$93,FR$244+$FJ295-1)))</f>
        <v/>
      </c>
      <c r="FS295" s="150" t="str">
        <f aca="false">IF($FJ295+FS$244&gt;73,"",PRODUCT(INDEX($T$19:$T$93,FS$244):INDEX($T$19:$T$93,FS$244+$FJ295-1)))</f>
        <v/>
      </c>
      <c r="FT295" s="150" t="str">
        <f aca="false">IF($FJ295+FT$244&gt;73,"",PRODUCT(INDEX($T$19:$T$93,FT$244):INDEX($T$19:$T$93,FT$244+$FJ295-1)))</f>
        <v/>
      </c>
      <c r="FU295" s="150" t="str">
        <f aca="false">IF($FJ295+FU$244&gt;73,"",PRODUCT(INDEX($T$19:$T$93,FU$244):INDEX($T$19:$T$93,FU$244+$FJ295-1)))</f>
        <v/>
      </c>
      <c r="FV295" s="150" t="str">
        <f aca="false">IF($FJ295+FV$244&gt;73,"",PRODUCT(INDEX($T$19:$T$93,FV$244):INDEX($T$19:$T$93,FV$244+$FJ295-1)))</f>
        <v/>
      </c>
      <c r="FW295" s="150" t="str">
        <f aca="false">IF($FJ295+FW$244&gt;73,"",PRODUCT(INDEX($T$19:$T$93,FW$244):INDEX($T$19:$T$93,FW$244+$FJ295-1)))</f>
        <v/>
      </c>
      <c r="FX295" s="150" t="str">
        <f aca="false">IF($FJ295+FX$244&gt;73,"",PRODUCT(INDEX($T$19:$T$93,FX$244):INDEX($T$19:$T$93,FX$244+$FJ295-1)))</f>
        <v/>
      </c>
      <c r="FY295" s="150" t="str">
        <f aca="false">IF($FJ295+FY$244&gt;73,"",PRODUCT(INDEX($T$19:$T$93,FY$244):INDEX($T$19:$T$93,FY$244+$FJ295-1)))</f>
        <v/>
      </c>
      <c r="FZ295" s="150" t="str">
        <f aca="false">IF($FJ295+FZ$244&gt;73,"",PRODUCT(INDEX($T$19:$T$93,FZ$244):INDEX($T$19:$T$93,FZ$244+$FJ295-1)))</f>
        <v/>
      </c>
      <c r="GA295" s="150" t="str">
        <f aca="false">IF($FJ295+GA$244&gt;73,"",PRODUCT(INDEX($T$19:$T$93,GA$244):INDEX($T$19:$T$93,GA$244+$FJ295-1)))</f>
        <v/>
      </c>
      <c r="GB295" s="150" t="str">
        <f aca="false">IF($FJ295+GB$244&gt;73,"",PRODUCT(INDEX($T$19:$T$93,GB$244):INDEX($T$19:$T$93,GB$244+$FJ295-1)))</f>
        <v/>
      </c>
      <c r="GC295" s="150" t="str">
        <f aca="false">IF($FJ295+GC$244&gt;73,"",PRODUCT(INDEX($T$19:$T$93,GC$244):INDEX($T$19:$T$93,GC$244+$FJ295-1)))</f>
        <v/>
      </c>
      <c r="GD295" s="150" t="str">
        <f aca="false">IF($FJ295+GD$244&gt;73,"",PRODUCT(INDEX($T$19:$T$93,GD$244):INDEX($T$19:$T$93,GD$244+$FJ295-1)))</f>
        <v/>
      </c>
      <c r="GE295" s="150" t="str">
        <f aca="false">IF($FJ295+GE$244&gt;73,"",PRODUCT(INDEX($T$19:$T$93,GE$244):INDEX($T$19:$T$93,GE$244+$FJ295-1)))</f>
        <v/>
      </c>
      <c r="GF295" s="150" t="str">
        <f aca="false">IF($FJ295+GF$244&gt;73,"",PRODUCT(INDEX($T$19:$T$93,GF$244):INDEX($T$19:$T$93,GF$244+$FJ295-1)))</f>
        <v/>
      </c>
      <c r="GG295" s="150" t="str">
        <f aca="false">IF($FJ295+GG$244&gt;73,"",PRODUCT(INDEX($T$19:$T$93,GG$244):INDEX($T$19:$T$93,GG$244+$FJ295-1)))</f>
        <v/>
      </c>
      <c r="GH295" s="150" t="str">
        <f aca="false">IF($FJ295+GH$244&gt;73,"",PRODUCT(INDEX($T$19:$T$93,GH$244):INDEX($T$19:$T$93,GH$244+$FJ295-1)))</f>
        <v/>
      </c>
      <c r="GI295" s="150" t="str">
        <f aca="false">IF($FJ295+GI$244&gt;73,"",PRODUCT(INDEX($T$19:$T$93,GI$244):INDEX($T$19:$T$93,GI$244+$FJ295-1)))</f>
        <v/>
      </c>
      <c r="GJ295" s="150" t="str">
        <f aca="false">IF($FJ295+GJ$244&gt;73,"",PRODUCT(INDEX($T$19:$T$93,GJ$244):INDEX($T$19:$T$93,GJ$244+$FJ295-1)))</f>
        <v/>
      </c>
      <c r="GK295" s="150" t="str">
        <f aca="false">IF($FJ295+GK$244&gt;73,"",PRODUCT(INDEX($T$19:$T$93,GK$244):INDEX($T$19:$T$93,GK$244+$FJ295-1)))</f>
        <v/>
      </c>
      <c r="GL295" s="150" t="str">
        <f aca="false">IF($FJ295+GL$244&gt;73,"",PRODUCT(INDEX($T$19:$T$93,GL$244):INDEX($T$19:$T$93,GL$244+$FJ295-1)))</f>
        <v/>
      </c>
      <c r="GM295" s="150" t="str">
        <f aca="false">IF($FJ295+GM$244&gt;73,"",PRODUCT(INDEX($T$19:$T$93,GM$244):INDEX($T$19:$T$93,GM$244+$FJ295-1)))</f>
        <v/>
      </c>
      <c r="GN295" s="150" t="str">
        <f aca="false">IF($FJ295+GN$244&gt;73,"",PRODUCT(INDEX($T$19:$T$93,GN$244):INDEX($T$19:$T$93,GN$244+$FJ295-1)))</f>
        <v/>
      </c>
      <c r="GO295" s="150" t="str">
        <f aca="false">IF($FJ295+GO$244&gt;73,"",PRODUCT(INDEX($T$19:$T$93,GO$244):INDEX($T$19:$T$93,GO$244+$FJ295-1)))</f>
        <v/>
      </c>
      <c r="GP295" s="150" t="str">
        <f aca="false">IF($FJ295+GP$244&gt;73,"",PRODUCT(INDEX($T$19:$T$93,GP$244):INDEX($T$19:$T$93,GP$244+$FJ295-1)))</f>
        <v/>
      </c>
      <c r="GQ295" s="150" t="str">
        <f aca="false">IF($FJ295+GQ$244&gt;73,"",PRODUCT(INDEX($T$19:$T$93,GQ$244):INDEX($T$19:$T$93,GQ$244+$FJ295-1)))</f>
        <v/>
      </c>
      <c r="GR295" s="150" t="str">
        <f aca="false">IF($FJ295+GR$244&gt;73,"",PRODUCT(INDEX($T$19:$T$93,GR$244):INDEX($T$19:$T$93,GR$244+$FJ295-1)))</f>
        <v/>
      </c>
      <c r="GS295" s="150" t="str">
        <f aca="false">IF($FJ295+GS$244&gt;73,"",PRODUCT(INDEX($T$19:$T$93,GS$244):INDEX($T$19:$T$93,GS$244+$FJ295-1)))</f>
        <v/>
      </c>
      <c r="GT295" s="150" t="str">
        <f aca="false">IF($FJ295+GT$244&gt;73,"",PRODUCT(INDEX($T$19:$T$93,GT$244):INDEX($T$19:$T$93,GT$244+$FJ295-1)))</f>
        <v/>
      </c>
      <c r="GU295" s="150" t="str">
        <f aca="false">IF($FJ295+GU$244&gt;73,"",PRODUCT(INDEX($T$19:$T$93,GU$244):INDEX($T$19:$T$93,GU$244+$FJ295-1)))</f>
        <v/>
      </c>
      <c r="GV295" s="150" t="str">
        <f aca="false">IF($FJ295+GV$244&gt;73,"",PRODUCT(INDEX($T$19:$T$93,GV$244):INDEX($T$19:$T$93,GV$244+$FJ295-1)))</f>
        <v/>
      </c>
      <c r="GW295" s="150" t="str">
        <f aca="false">IF($FJ295+GW$244&gt;73,"",PRODUCT(INDEX($T$19:$T$93,GW$244):INDEX($T$19:$T$93,GW$244+$FJ295-1)))</f>
        <v/>
      </c>
      <c r="GX295" s="150" t="str">
        <f aca="false">IF($FJ295+GX$244&gt;73,"",PRODUCT(INDEX($T$19:$T$93,GX$244):INDEX($T$19:$T$93,GX$244+$FJ295-1)))</f>
        <v/>
      </c>
      <c r="GY295" s="150" t="str">
        <f aca="false">IF($FJ295+GY$244&gt;73,"",PRODUCT(INDEX($T$19:$T$93,GY$244):INDEX($T$19:$T$93,GY$244+$FJ295-1)))</f>
        <v/>
      </c>
      <c r="GZ295" s="150" t="str">
        <f aca="false">IF($FJ295+GZ$244&gt;73,"",PRODUCT(INDEX($T$19:$T$93,GZ$244):INDEX($T$19:$T$93,GZ$244+$FJ295-1)))</f>
        <v/>
      </c>
      <c r="HA295" s="150" t="str">
        <f aca="false">IF($FJ295+HA$244&gt;73,"",PRODUCT(INDEX($T$19:$T$93,HA$244):INDEX($T$19:$T$93,HA$244+$FJ295-1)))</f>
        <v/>
      </c>
      <c r="HB295" s="150" t="str">
        <f aca="false">IF($FJ295+HB$244&gt;73,"",PRODUCT(INDEX($T$19:$T$93,HB$244):INDEX($T$19:$T$93,HB$244+$FJ295-1)))</f>
        <v/>
      </c>
      <c r="HC295" s="150" t="str">
        <f aca="false">IF($FJ295+HC$244&gt;73,"",PRODUCT(INDEX($T$19:$T$93,HC$244):INDEX($T$19:$T$93,HC$244+$FJ295-1)))</f>
        <v/>
      </c>
      <c r="HD295" s="150" t="str">
        <f aca="false">IF($FJ295+HD$244&gt;73,"",PRODUCT(INDEX($T$19:$T$93,HD$244):INDEX($T$19:$T$93,HD$244+$FJ295-1)))</f>
        <v/>
      </c>
      <c r="HE295" s="150" t="str">
        <f aca="false">IF($FJ295+HE$244&gt;73,"",PRODUCT(INDEX($T$19:$T$93,HE$244):INDEX($T$19:$T$93,HE$244+$FJ295-1)))</f>
        <v/>
      </c>
      <c r="HF295" s="150" t="str">
        <f aca="false">IF($FJ295+HF$244&gt;73,"",PRODUCT(INDEX($T$19:$T$93,HF$244):INDEX($T$19:$T$93,HF$244+$FJ295-1)))</f>
        <v/>
      </c>
      <c r="HG295" s="150" t="str">
        <f aca="false">IF($FJ295+HG$244&gt;73,"",PRODUCT(INDEX($T$19:$T$93,HG$244):INDEX($T$19:$T$93,HG$244+$FJ295-1)))</f>
        <v/>
      </c>
      <c r="HH295" s="150" t="str">
        <f aca="false">IF($FJ295+HH$244&gt;73,"",PRODUCT(INDEX($T$19:$T$93,HH$244):INDEX($T$19:$T$93,HH$244+$FJ295-1)))</f>
        <v/>
      </c>
      <c r="HI295" s="150" t="n">
        <f aca="false">IF($FJ295+HI$244&gt;73,"",PRODUCT(INDEX($T$19:$T$93,HI$244):INDEX($T$19:$T$93,HI$244+$FJ295-1)))</f>
        <v>0.966633117999255</v>
      </c>
      <c r="HJ295" s="150" t="n">
        <f aca="false">IF($FJ295+HJ$244&gt;73,"",PRODUCT(INDEX($T$19:$T$93,HJ$244):INDEX($T$19:$T$93,HJ$244+$FJ295-1)))</f>
        <v>0.961053727299526</v>
      </c>
      <c r="HK295" s="150" t="n">
        <f aca="false">IF($FJ295+HK$244&gt;73,"",PRODUCT(INDEX($T$19:$T$93,HK$244):INDEX($T$19:$T$93,HK$244+$FJ295-1)))</f>
        <v>0.954557701134787</v>
      </c>
      <c r="HL295" s="150" t="n">
        <f aca="false">IF($FJ295+HL$244&gt;73,"",PRODUCT(INDEX($T$19:$T$93,HL$244):INDEX($T$19:$T$93,HL$244+$FJ295-1)))</f>
        <v>0.947000549871785</v>
      </c>
      <c r="HM295" s="150" t="n">
        <f aca="false">IF($FJ295+HM$244&gt;73,"",PRODUCT(INDEX($T$19:$T$93,HM$244):INDEX($T$19:$T$93,HM$244+$FJ295-1)))</f>
        <v>0.938217307838075</v>
      </c>
      <c r="HN295" s="150" t="n">
        <f aca="false">IF($FJ295+HN$244&gt;73,"",PRODUCT(INDEX($T$19:$T$93,HN$244):INDEX($T$19:$T$93,HN$244+$FJ295-1)))</f>
        <v>0.928020519891035</v>
      </c>
      <c r="HO295" s="150" t="n">
        <f aca="false">IF($FJ295+HO$244&gt;73,"",PRODUCT(INDEX($T$19:$T$93,HO$244):INDEX($T$19:$T$93,HO$244+$FJ295-1)))</f>
        <v>0.916198402259185</v>
      </c>
      <c r="HP295" s="150" t="n">
        <f aca="false">IF($FJ295+HP$244&gt;73,"",PRODUCT(INDEX($T$19:$T$93,HP$244):INDEX($T$19:$T$93,HP$244+$FJ295-1)))</f>
        <v>0.902513381377131</v>
      </c>
      <c r="HQ295" s="150" t="n">
        <f aca="false">IF($FJ295+HQ$244&gt;73,"",PRODUCT(INDEX($T$19:$T$93,HQ$244):INDEX($T$19:$T$93,HQ$244+$FJ295-1)))</f>
        <v>0.886701302519517</v>
      </c>
      <c r="HR295" s="150" t="n">
        <f aca="false">IF($FJ295+HR$244&gt;73,"",PRODUCT(INDEX($T$19:$T$93,HR$244):INDEX($T$19:$T$93,HR$244+$FJ295-1)))</f>
        <v>0.868471715958559</v>
      </c>
      <c r="HS295" s="150" t="n">
        <f aca="false">IF($FJ295+HS$244&gt;73,"",PRODUCT(INDEX($T$19:$T$93,HS$244):INDEX($T$19:$T$93,HS$244+$FJ295-1)))</f>
        <v>0.847509797374149</v>
      </c>
      <c r="HT295" s="150" t="n">
        <f aca="false">IF($FJ295+HT$244&gt;73,"",PRODUCT(INDEX($T$19:$T$93,HT$244):INDEX($T$19:$T$93,HT$244+$FJ295-1)))</f>
        <v>0.823480645179526</v>
      </c>
      <c r="HU295" s="150" t="n">
        <f aca="false">IF($FJ295+HU$244&gt;73,"",PRODUCT(INDEX($T$19:$T$93,HU$244):INDEX($T$19:$T$93,HU$244+$FJ295-1)))</f>
        <v>0.796036920289554</v>
      </c>
      <c r="HV295" s="150" t="n">
        <f aca="false">IF($FJ295+HV$244&gt;73,"",PRODUCT(INDEX($T$19:$T$93,HV$244):INDEX($T$19:$T$93,HV$244+$FJ295-1)))</f>
        <v>0.764831045529297</v>
      </c>
      <c r="HW295" s="150" t="n">
        <f aca="false">IF($FJ295+HW$244&gt;73,"",PRODUCT(INDEX($T$19:$T$93,HW$244):INDEX($T$19:$T$93,HW$244+$FJ295-1)))</f>
        <v>0.729533439008586</v>
      </c>
      <c r="HX295" s="150" t="n">
        <f aca="false">IF($FJ295+HX$244&gt;73,"",PRODUCT(INDEX($T$19:$T$93,HX$244):INDEX($T$19:$T$93,HX$244+$FJ295-1)))</f>
        <v>0.689858468622986</v>
      </c>
      <c r="HY295" s="150" t="n">
        <f aca="false">IF($FJ295+HY$244&gt;73,"",PRODUCT(INDEX($T$19:$T$93,HY$244):INDEX($T$19:$T$93,HY$244+$FJ295-1)))</f>
        <v>0.645599890673783</v>
      </c>
      <c r="HZ295" s="150" t="n">
        <f aca="false">IF($FJ295+HZ$244&gt;73,"",PRODUCT(INDEX($T$19:$T$93,HZ$244):INDEX($T$19:$T$93,HZ$244+$FJ295-1)))</f>
        <v>0.596677316139718</v>
      </c>
      <c r="IA295" s="150" t="n">
        <f aca="false">IF($FJ295+IA$244&gt;73,"",PRODUCT(INDEX($T$19:$T$93,IA$244):INDEX($T$19:$T$93,IA$244+$FJ295-1)))</f>
        <v>0.543194482418425</v>
      </c>
      <c r="IB295" s="150" t="n">
        <f aca="false">IF($FJ295+IB$244&gt;73,"",PRODUCT(INDEX($T$19:$T$93,IB$244):INDEX($T$19:$T$93,IB$244+$FJ295-1)))</f>
        <v>0.48550842855108</v>
      </c>
      <c r="IC295" s="150" t="n">
        <f aca="false">IF($FJ295+IC$244&gt;73,"",PRODUCT(INDEX($T$19:$T$93,IC$244):INDEX($T$19:$T$93,IC$244+$FJ295-1)))</f>
        <v>0.424305591715674</v>
      </c>
      <c r="ID295" s="572" t="n">
        <f aca="false">IF($FJ295+ID$244&gt;73,"",PRODUCT(INDEX($T$19:$T$93,ID$244):INDEX($T$19:$T$93,ID$244+$FJ295-1)))</f>
        <v>0.360675820932363</v>
      </c>
      <c r="IE295" s="129"/>
    </row>
    <row r="296" customFormat="false" ht="12.75" hidden="false" customHeight="false" outlineLevel="0" collapsed="false">
      <c r="I296" s="735"/>
      <c r="J296" s="727"/>
      <c r="K296" s="728"/>
      <c r="L296" s="195"/>
      <c r="M296" s="729"/>
      <c r="P296" s="727"/>
      <c r="S296" s="1"/>
      <c r="T296" s="727"/>
      <c r="U296" s="195"/>
      <c r="V296" s="195"/>
      <c r="W296" s="195"/>
      <c r="X296" s="195"/>
      <c r="Y296" s="195"/>
      <c r="Z296" s="195"/>
      <c r="AA296" s="195"/>
      <c r="AB296" s="195"/>
      <c r="AC296" s="195"/>
      <c r="AD296" s="195"/>
      <c r="AE296" s="195"/>
      <c r="AF296" s="195"/>
      <c r="AG296" s="195"/>
      <c r="AH296" s="195"/>
      <c r="AI296" s="195"/>
      <c r="AJ296" s="195"/>
      <c r="AK296" s="195"/>
      <c r="AL296" s="195"/>
      <c r="AM296" s="195"/>
      <c r="AN296" s="195"/>
      <c r="AO296" s="532"/>
      <c r="AP296" s="195"/>
      <c r="AQ296" s="532"/>
      <c r="AR296" s="195"/>
      <c r="AS296" s="195"/>
      <c r="AT296" s="240"/>
      <c r="AU296" s="240"/>
      <c r="AV296" s="240"/>
      <c r="AW296" s="730"/>
      <c r="AX296" s="730"/>
      <c r="AY296" s="730"/>
      <c r="AZ296" s="730"/>
      <c r="BA296" s="468"/>
      <c r="BB296" s="468"/>
      <c r="BC296" s="240"/>
      <c r="BD296" s="240"/>
      <c r="BE296" s="240"/>
      <c r="BF296" s="672"/>
      <c r="BG296" s="672"/>
      <c r="BH296" s="672"/>
      <c r="BI296" s="731"/>
      <c r="BJ296" s="672"/>
      <c r="BK296" s="672"/>
      <c r="BL296" s="240"/>
      <c r="BM296" s="736"/>
      <c r="BN296" s="240"/>
      <c r="BO296" s="240"/>
      <c r="BP296" s="240"/>
      <c r="BQ296" s="240"/>
      <c r="BR296" s="240"/>
      <c r="BS296" s="240"/>
      <c r="BT296" s="240"/>
      <c r="BU296" s="240"/>
      <c r="BV296" s="240"/>
      <c r="BW296" s="240"/>
      <c r="BX296" s="240"/>
      <c r="BY296" s="240"/>
      <c r="BZ296" s="240"/>
      <c r="CA296" s="240"/>
      <c r="CB296" s="240"/>
      <c r="CC296" s="240"/>
      <c r="CD296" s="672"/>
      <c r="CE296" s="672"/>
      <c r="CF296" s="672"/>
      <c r="CG296" s="672"/>
      <c r="CH296" s="672"/>
      <c r="CI296" s="672"/>
      <c r="CJ296" s="240"/>
      <c r="CK296" s="240"/>
      <c r="CL296" s="240"/>
      <c r="CM296" s="240"/>
      <c r="CN296" s="240"/>
      <c r="CO296" s="240"/>
      <c r="CP296" s="240"/>
      <c r="CQ296" s="240"/>
      <c r="CR296" s="240"/>
      <c r="CS296" s="240"/>
      <c r="CT296" s="240"/>
      <c r="CU296" s="240"/>
      <c r="CV296" s="240"/>
      <c r="CW296" s="240"/>
      <c r="CX296" s="240"/>
      <c r="CY296" s="240"/>
      <c r="CZ296" s="240"/>
      <c r="DA296" s="240"/>
      <c r="DB296" s="240"/>
      <c r="DC296" s="240"/>
      <c r="DD296" s="240"/>
      <c r="DE296" s="240"/>
      <c r="DF296" s="240"/>
      <c r="DG296" s="240"/>
      <c r="DH296" s="478"/>
      <c r="DI296" s="733"/>
      <c r="DJ296" s="733"/>
      <c r="DK296" s="478"/>
      <c r="DL296" s="3"/>
      <c r="DM296" s="4"/>
      <c r="DN296" s="4"/>
      <c r="DO296" s="4"/>
      <c r="DP296" s="4"/>
      <c r="DQ296" s="4"/>
      <c r="DR296" s="4"/>
      <c r="DS296" s="4"/>
      <c r="DU296" s="195"/>
      <c r="DV296" s="195"/>
      <c r="DW296" s="195"/>
      <c r="DX296" s="195"/>
      <c r="DY296" s="195"/>
      <c r="DZ296" s="195"/>
      <c r="EA296" s="195"/>
      <c r="EB296" s="195"/>
      <c r="EC296" s="195"/>
      <c r="ED296" s="195"/>
      <c r="EE296" s="195"/>
      <c r="EF296" s="195"/>
      <c r="EG296" s="195"/>
      <c r="EL296" s="1"/>
      <c r="EM296" s="195"/>
      <c r="EN296" s="240"/>
      <c r="EO296" s="731"/>
      <c r="EP296" s="195"/>
      <c r="EQ296" s="240"/>
      <c r="ER296" s="195"/>
      <c r="ES296" s="195"/>
      <c r="ET296" s="195"/>
      <c r="EU296" s="672"/>
      <c r="FJ296" s="571" t="n">
        <v>52</v>
      </c>
      <c r="FK296" s="150" t="str">
        <f aca="false">IF($FJ296+FK$244&gt;73,"",PRODUCT(INDEX($T$19:$T$93,FK$244):INDEX($T$19:$T$93,FK$244+$FJ296-1)))</f>
        <v/>
      </c>
      <c r="FL296" s="150" t="str">
        <f aca="false">IF($FJ296+FL$244&gt;73,"",PRODUCT(INDEX($T$19:$T$93,FL$244):INDEX($T$19:$T$93,FL$244+$FJ296-1)))</f>
        <v/>
      </c>
      <c r="FM296" s="150" t="str">
        <f aca="false">IF($FJ296+FM$244&gt;73,"",PRODUCT(INDEX($T$19:$T$93,FM$244):INDEX($T$19:$T$93,FM$244+$FJ296-1)))</f>
        <v/>
      </c>
      <c r="FN296" s="150" t="str">
        <f aca="false">IF($FJ296+FN$244&gt;73,"",PRODUCT(INDEX($T$19:$T$93,FN$244):INDEX($T$19:$T$93,FN$244+$FJ296-1)))</f>
        <v/>
      </c>
      <c r="FO296" s="150" t="str">
        <f aca="false">IF($FJ296+FO$244&gt;73,"",PRODUCT(INDEX($T$19:$T$93,FO$244):INDEX($T$19:$T$93,FO$244+$FJ296-1)))</f>
        <v/>
      </c>
      <c r="FP296" s="150" t="str">
        <f aca="false">IF($FJ296+FP$244&gt;73,"",PRODUCT(INDEX($T$19:$T$93,FP$244):INDEX($T$19:$T$93,FP$244+$FJ296-1)))</f>
        <v/>
      </c>
      <c r="FQ296" s="150" t="str">
        <f aca="false">IF($FJ296+FQ$244&gt;73,"",PRODUCT(INDEX($T$19:$T$93,FQ$244):INDEX($T$19:$T$93,FQ$244+$FJ296-1)))</f>
        <v/>
      </c>
      <c r="FR296" s="150" t="str">
        <f aca="false">IF($FJ296+FR$244&gt;73,"",PRODUCT(INDEX($T$19:$T$93,FR$244):INDEX($T$19:$T$93,FR$244+$FJ296-1)))</f>
        <v/>
      </c>
      <c r="FS296" s="150" t="str">
        <f aca="false">IF($FJ296+FS$244&gt;73,"",PRODUCT(INDEX($T$19:$T$93,FS$244):INDEX($T$19:$T$93,FS$244+$FJ296-1)))</f>
        <v/>
      </c>
      <c r="FT296" s="150" t="str">
        <f aca="false">IF($FJ296+FT$244&gt;73,"",PRODUCT(INDEX($T$19:$T$93,FT$244):INDEX($T$19:$T$93,FT$244+$FJ296-1)))</f>
        <v/>
      </c>
      <c r="FU296" s="150" t="str">
        <f aca="false">IF($FJ296+FU$244&gt;73,"",PRODUCT(INDEX($T$19:$T$93,FU$244):INDEX($T$19:$T$93,FU$244+$FJ296-1)))</f>
        <v/>
      </c>
      <c r="FV296" s="150" t="str">
        <f aca="false">IF($FJ296+FV$244&gt;73,"",PRODUCT(INDEX($T$19:$T$93,FV$244):INDEX($T$19:$T$93,FV$244+$FJ296-1)))</f>
        <v/>
      </c>
      <c r="FW296" s="150" t="str">
        <f aca="false">IF($FJ296+FW$244&gt;73,"",PRODUCT(INDEX($T$19:$T$93,FW$244):INDEX($T$19:$T$93,FW$244+$FJ296-1)))</f>
        <v/>
      </c>
      <c r="FX296" s="150" t="str">
        <f aca="false">IF($FJ296+FX$244&gt;73,"",PRODUCT(INDEX($T$19:$T$93,FX$244):INDEX($T$19:$T$93,FX$244+$FJ296-1)))</f>
        <v/>
      </c>
      <c r="FY296" s="150" t="str">
        <f aca="false">IF($FJ296+FY$244&gt;73,"",PRODUCT(INDEX($T$19:$T$93,FY$244):INDEX($T$19:$T$93,FY$244+$FJ296-1)))</f>
        <v/>
      </c>
      <c r="FZ296" s="150" t="str">
        <f aca="false">IF($FJ296+FZ$244&gt;73,"",PRODUCT(INDEX($T$19:$T$93,FZ$244):INDEX($T$19:$T$93,FZ$244+$FJ296-1)))</f>
        <v/>
      </c>
      <c r="GA296" s="150" t="str">
        <f aca="false">IF($FJ296+GA$244&gt;73,"",PRODUCT(INDEX($T$19:$T$93,GA$244):INDEX($T$19:$T$93,GA$244+$FJ296-1)))</f>
        <v/>
      </c>
      <c r="GB296" s="150" t="str">
        <f aca="false">IF($FJ296+GB$244&gt;73,"",PRODUCT(INDEX($T$19:$T$93,GB$244):INDEX($T$19:$T$93,GB$244+$FJ296-1)))</f>
        <v/>
      </c>
      <c r="GC296" s="150" t="str">
        <f aca="false">IF($FJ296+GC$244&gt;73,"",PRODUCT(INDEX($T$19:$T$93,GC$244):INDEX($T$19:$T$93,GC$244+$FJ296-1)))</f>
        <v/>
      </c>
      <c r="GD296" s="150" t="str">
        <f aca="false">IF($FJ296+GD$244&gt;73,"",PRODUCT(INDEX($T$19:$T$93,GD$244):INDEX($T$19:$T$93,GD$244+$FJ296-1)))</f>
        <v/>
      </c>
      <c r="GE296" s="150" t="str">
        <f aca="false">IF($FJ296+GE$244&gt;73,"",PRODUCT(INDEX($T$19:$T$93,GE$244):INDEX($T$19:$T$93,GE$244+$FJ296-1)))</f>
        <v/>
      </c>
      <c r="GF296" s="150" t="str">
        <f aca="false">IF($FJ296+GF$244&gt;73,"",PRODUCT(INDEX($T$19:$T$93,GF$244):INDEX($T$19:$T$93,GF$244+$FJ296-1)))</f>
        <v/>
      </c>
      <c r="GG296" s="150" t="str">
        <f aca="false">IF($FJ296+GG$244&gt;73,"",PRODUCT(INDEX($T$19:$T$93,GG$244):INDEX($T$19:$T$93,GG$244+$FJ296-1)))</f>
        <v/>
      </c>
      <c r="GH296" s="150" t="str">
        <f aca="false">IF($FJ296+GH$244&gt;73,"",PRODUCT(INDEX($T$19:$T$93,GH$244):INDEX($T$19:$T$93,GH$244+$FJ296-1)))</f>
        <v/>
      </c>
      <c r="GI296" s="150" t="str">
        <f aca="false">IF($FJ296+GI$244&gt;73,"",PRODUCT(INDEX($T$19:$T$93,GI$244):INDEX($T$19:$T$93,GI$244+$FJ296-1)))</f>
        <v/>
      </c>
      <c r="GJ296" s="150" t="str">
        <f aca="false">IF($FJ296+GJ$244&gt;73,"",PRODUCT(INDEX($T$19:$T$93,GJ$244):INDEX($T$19:$T$93,GJ$244+$FJ296-1)))</f>
        <v/>
      </c>
      <c r="GK296" s="150" t="str">
        <f aca="false">IF($FJ296+GK$244&gt;73,"",PRODUCT(INDEX($T$19:$T$93,GK$244):INDEX($T$19:$T$93,GK$244+$FJ296-1)))</f>
        <v/>
      </c>
      <c r="GL296" s="150" t="str">
        <f aca="false">IF($FJ296+GL$244&gt;73,"",PRODUCT(INDEX($T$19:$T$93,GL$244):INDEX($T$19:$T$93,GL$244+$FJ296-1)))</f>
        <v/>
      </c>
      <c r="GM296" s="150" t="str">
        <f aca="false">IF($FJ296+GM$244&gt;73,"",PRODUCT(INDEX($T$19:$T$93,GM$244):INDEX($T$19:$T$93,GM$244+$FJ296-1)))</f>
        <v/>
      </c>
      <c r="GN296" s="150" t="str">
        <f aca="false">IF($FJ296+GN$244&gt;73,"",PRODUCT(INDEX($T$19:$T$93,GN$244):INDEX($T$19:$T$93,GN$244+$FJ296-1)))</f>
        <v/>
      </c>
      <c r="GO296" s="150" t="str">
        <f aca="false">IF($FJ296+GO$244&gt;73,"",PRODUCT(INDEX($T$19:$T$93,GO$244):INDEX($T$19:$T$93,GO$244+$FJ296-1)))</f>
        <v/>
      </c>
      <c r="GP296" s="150" t="str">
        <f aca="false">IF($FJ296+GP$244&gt;73,"",PRODUCT(INDEX($T$19:$T$93,GP$244):INDEX($T$19:$T$93,GP$244+$FJ296-1)))</f>
        <v/>
      </c>
      <c r="GQ296" s="150" t="str">
        <f aca="false">IF($FJ296+GQ$244&gt;73,"",PRODUCT(INDEX($T$19:$T$93,GQ$244):INDEX($T$19:$T$93,GQ$244+$FJ296-1)))</f>
        <v/>
      </c>
      <c r="GR296" s="150" t="str">
        <f aca="false">IF($FJ296+GR$244&gt;73,"",PRODUCT(INDEX($T$19:$T$93,GR$244):INDEX($T$19:$T$93,GR$244+$FJ296-1)))</f>
        <v/>
      </c>
      <c r="GS296" s="150" t="str">
        <f aca="false">IF($FJ296+GS$244&gt;73,"",PRODUCT(INDEX($T$19:$T$93,GS$244):INDEX($T$19:$T$93,GS$244+$FJ296-1)))</f>
        <v/>
      </c>
      <c r="GT296" s="150" t="str">
        <f aca="false">IF($FJ296+GT$244&gt;73,"",PRODUCT(INDEX($T$19:$T$93,GT$244):INDEX($T$19:$T$93,GT$244+$FJ296-1)))</f>
        <v/>
      </c>
      <c r="GU296" s="150" t="str">
        <f aca="false">IF($FJ296+GU$244&gt;73,"",PRODUCT(INDEX($T$19:$T$93,GU$244):INDEX($T$19:$T$93,GU$244+$FJ296-1)))</f>
        <v/>
      </c>
      <c r="GV296" s="150" t="str">
        <f aca="false">IF($FJ296+GV$244&gt;73,"",PRODUCT(INDEX($T$19:$T$93,GV$244):INDEX($T$19:$T$93,GV$244+$FJ296-1)))</f>
        <v/>
      </c>
      <c r="GW296" s="150" t="str">
        <f aca="false">IF($FJ296+GW$244&gt;73,"",PRODUCT(INDEX($T$19:$T$93,GW$244):INDEX($T$19:$T$93,GW$244+$FJ296-1)))</f>
        <v/>
      </c>
      <c r="GX296" s="150" t="str">
        <f aca="false">IF($FJ296+GX$244&gt;73,"",PRODUCT(INDEX($T$19:$T$93,GX$244):INDEX($T$19:$T$93,GX$244+$FJ296-1)))</f>
        <v/>
      </c>
      <c r="GY296" s="150" t="str">
        <f aca="false">IF($FJ296+GY$244&gt;73,"",PRODUCT(INDEX($T$19:$T$93,GY$244):INDEX($T$19:$T$93,GY$244+$FJ296-1)))</f>
        <v/>
      </c>
      <c r="GZ296" s="150" t="str">
        <f aca="false">IF($FJ296+GZ$244&gt;73,"",PRODUCT(INDEX($T$19:$T$93,GZ$244):INDEX($T$19:$T$93,GZ$244+$FJ296-1)))</f>
        <v/>
      </c>
      <c r="HA296" s="150" t="str">
        <f aca="false">IF($FJ296+HA$244&gt;73,"",PRODUCT(INDEX($T$19:$T$93,HA$244):INDEX($T$19:$T$93,HA$244+$FJ296-1)))</f>
        <v/>
      </c>
      <c r="HB296" s="150" t="str">
        <f aca="false">IF($FJ296+HB$244&gt;73,"",PRODUCT(INDEX($T$19:$T$93,HB$244):INDEX($T$19:$T$93,HB$244+$FJ296-1)))</f>
        <v/>
      </c>
      <c r="HC296" s="150" t="str">
        <f aca="false">IF($FJ296+HC$244&gt;73,"",PRODUCT(INDEX($T$19:$T$93,HC$244):INDEX($T$19:$T$93,HC$244+$FJ296-1)))</f>
        <v/>
      </c>
      <c r="HD296" s="150" t="str">
        <f aca="false">IF($FJ296+HD$244&gt;73,"",PRODUCT(INDEX($T$19:$T$93,HD$244):INDEX($T$19:$T$93,HD$244+$FJ296-1)))</f>
        <v/>
      </c>
      <c r="HE296" s="150" t="str">
        <f aca="false">IF($FJ296+HE$244&gt;73,"",PRODUCT(INDEX($T$19:$T$93,HE$244):INDEX($T$19:$T$93,HE$244+$FJ296-1)))</f>
        <v/>
      </c>
      <c r="HF296" s="150" t="str">
        <f aca="false">IF($FJ296+HF$244&gt;73,"",PRODUCT(INDEX($T$19:$T$93,HF$244):INDEX($T$19:$T$93,HF$244+$FJ296-1)))</f>
        <v/>
      </c>
      <c r="HG296" s="150" t="str">
        <f aca="false">IF($FJ296+HG$244&gt;73,"",PRODUCT(INDEX($T$19:$T$93,HG$244):INDEX($T$19:$T$93,HG$244+$FJ296-1)))</f>
        <v/>
      </c>
      <c r="HH296" s="150" t="str">
        <f aca="false">IF($FJ296+HH$244&gt;73,"",PRODUCT(INDEX($T$19:$T$93,HH$244):INDEX($T$19:$T$93,HH$244+$FJ296-1)))</f>
        <v/>
      </c>
      <c r="HI296" s="150" t="str">
        <f aca="false">IF($FJ296+HI$244&gt;73,"",PRODUCT(INDEX($T$19:$T$93,HI$244):INDEX($T$19:$T$93,HI$244+$FJ296-1)))</f>
        <v/>
      </c>
      <c r="HJ296" s="150" t="n">
        <f aca="false">IF($FJ296+HJ$244&gt;73,"",PRODUCT(INDEX($T$19:$T$93,HJ$244):INDEX($T$19:$T$93,HJ$244+$FJ296-1)))</f>
        <v>0.96105186149385</v>
      </c>
      <c r="HK296" s="150" t="n">
        <f aca="false">IF($FJ296+HK$244&gt;73,"",PRODUCT(INDEX($T$19:$T$93,HK$244):INDEX($T$19:$T$93,HK$244+$FJ296-1)))</f>
        <v>0.954555533653749</v>
      </c>
      <c r="HL296" s="150" t="n">
        <f aca="false">IF($FJ296+HL$244&gt;73,"",PRODUCT(INDEX($T$19:$T$93,HL$244):INDEX($T$19:$T$93,HL$244+$FJ296-1)))</f>
        <v>0.946998034872871</v>
      </c>
      <c r="HM296" s="150" t="n">
        <f aca="false">IF($FJ296+HM$244&gt;73,"",PRODUCT(INDEX($T$19:$T$93,HM$244):INDEX($T$19:$T$93,HM$244+$FJ296-1)))</f>
        <v>0.938214393596548</v>
      </c>
      <c r="HN296" s="150" t="n">
        <f aca="false">IF($FJ296+HN$244&gt;73,"",PRODUCT(INDEX($T$19:$T$93,HN$244):INDEX($T$19:$T$93,HN$244+$FJ296-1)))</f>
        <v>0.928017148459801</v>
      </c>
      <c r="HO296" s="150" t="n">
        <f aca="false">IF($FJ296+HO$244&gt;73,"",PRODUCT(INDEX($T$19:$T$93,HO$244):INDEX($T$19:$T$93,HO$244+$FJ296-1)))</f>
        <v>0.916194509289801</v>
      </c>
      <c r="HP296" s="150" t="n">
        <f aca="false">IF($FJ296+HP$244&gt;73,"",PRODUCT(INDEX($T$19:$T$93,HP$244):INDEX($T$19:$T$93,HP$244+$FJ296-1)))</f>
        <v>0.902508896196253</v>
      </c>
      <c r="HQ296" s="150" t="n">
        <f aca="false">IF($FJ296+HQ$244&gt;73,"",PRODUCT(INDEX($T$19:$T$93,HQ$244):INDEX($T$19:$T$93,HQ$244+$FJ296-1)))</f>
        <v>0.886696148587891</v>
      </c>
      <c r="HR296" s="150" t="n">
        <f aca="false">IF($FJ296+HR$244&gt;73,"",PRODUCT(INDEX($T$19:$T$93,HR$244):INDEX($T$19:$T$93,HR$244+$FJ296-1)))</f>
        <v>0.868465811879827</v>
      </c>
      <c r="HS296" s="150" t="n">
        <f aca="false">IF($FJ296+HS$244&gt;73,"",PRODUCT(INDEX($T$19:$T$93,HS$244):INDEX($T$19:$T$93,HS$244+$FJ296-1)))</f>
        <v>0.847503058667865</v>
      </c>
      <c r="HT296" s="150" t="n">
        <f aca="false">IF($FJ296+HT$244&gt;73,"",PRODUCT(INDEX($T$19:$T$93,HT$244):INDEX($T$19:$T$93,HT$244+$FJ296-1)))</f>
        <v>0.823472987084589</v>
      </c>
      <c r="HU296" s="150" t="n">
        <f aca="false">IF($FJ296+HU$244&gt;73,"",PRODUCT(INDEX($T$19:$T$93,HU$244):INDEX($T$19:$T$93,HU$244+$FJ296-1)))</f>
        <v>0.796028261915337</v>
      </c>
      <c r="HV296" s="150" t="n">
        <f aca="false">IF($FJ296+HV$244&gt;73,"",PRODUCT(INDEX($T$19:$T$93,HV$244):INDEX($T$19:$T$93,HV$244+$FJ296-1)))</f>
        <v>0.764821315711267</v>
      </c>
      <c r="HW296" s="150" t="n">
        <f aca="false">IF($FJ296+HW$244&gt;73,"",PRODUCT(INDEX($T$19:$T$93,HW$244):INDEX($T$19:$T$93,HW$244+$FJ296-1)))</f>
        <v>0.729522584234257</v>
      </c>
      <c r="HX296" s="150" t="n">
        <f aca="false">IF($FJ296+HX$244&gt;73,"",PRODUCT(INDEX($T$19:$T$93,HX$244):INDEX($T$19:$T$93,HX$244+$FJ296-1)))</f>
        <v>0.689846463341546</v>
      </c>
      <c r="HY296" s="150" t="n">
        <f aca="false">IF($FJ296+HY$244&gt;73,"",PRODUCT(INDEX($T$19:$T$93,HY$244):INDEX($T$19:$T$93,HY$244+$FJ296-1)))</f>
        <v>0.645586750141396</v>
      </c>
      <c r="HZ296" s="150" t="n">
        <f aca="false">IF($FJ296+HZ$244&gt;73,"",PRODUCT(INDEX($T$19:$T$93,HZ$244):INDEX($T$19:$T$93,HZ$244+$FJ296-1)))</f>
        <v>0.596663111615686</v>
      </c>
      <c r="IA296" s="150" t="n">
        <f aca="false">IF($FJ296+IA$244&gt;73,"",PRODUCT(INDEX($T$19:$T$93,IA$244):INDEX($T$19:$T$93,IA$244+$FJ296-1)))</f>
        <v>0.543179357929709</v>
      </c>
      <c r="IB296" s="150" t="n">
        <f aca="false">IF($FJ296+IB$244&gt;73,"",PRODUCT(INDEX($T$19:$T$93,IB$244):INDEX($T$19:$T$93,IB$244+$FJ296-1)))</f>
        <v>0.485492617492446</v>
      </c>
      <c r="IC296" s="150" t="n">
        <f aca="false">IF($FJ296+IC$244&gt;73,"",PRODUCT(INDEX($T$19:$T$93,IC$244):INDEX($T$19:$T$93,IC$244+$FJ296-1)))</f>
        <v>0.424289430185579</v>
      </c>
      <c r="ID296" s="572" t="n">
        <f aca="false">IF($FJ296+ID$244&gt;73,"",PRODUCT(INDEX($T$19:$T$93,ID$244):INDEX($T$19:$T$93,ID$244+$FJ296-1)))</f>
        <v>0.360659752958323</v>
      </c>
      <c r="IE296" s="129"/>
    </row>
    <row r="297" customFormat="false" ht="12.75" hidden="false" customHeight="false" outlineLevel="0" collapsed="false">
      <c r="I297" s="735"/>
      <c r="J297" s="727"/>
      <c r="K297" s="728"/>
      <c r="L297" s="195"/>
      <c r="M297" s="729"/>
      <c r="P297" s="727"/>
      <c r="S297" s="1"/>
      <c r="T297" s="727"/>
      <c r="U297" s="195"/>
      <c r="V297" s="195"/>
      <c r="W297" s="195"/>
      <c r="X297" s="195"/>
      <c r="Y297" s="195"/>
      <c r="Z297" s="195"/>
      <c r="AA297" s="195"/>
      <c r="AB297" s="195"/>
      <c r="AC297" s="195"/>
      <c r="AD297" s="195"/>
      <c r="AE297" s="195"/>
      <c r="AF297" s="195"/>
      <c r="AG297" s="195"/>
      <c r="AH297" s="195"/>
      <c r="AI297" s="195"/>
      <c r="AJ297" s="195"/>
      <c r="AK297" s="195"/>
      <c r="AL297" s="195"/>
      <c r="AM297" s="195"/>
      <c r="AN297" s="195"/>
      <c r="AO297" s="532"/>
      <c r="AP297" s="195"/>
      <c r="AQ297" s="532"/>
      <c r="AR297" s="195"/>
      <c r="AS297" s="195"/>
      <c r="AT297" s="240"/>
      <c r="AU297" s="240"/>
      <c r="AV297" s="240"/>
      <c r="AW297" s="730"/>
      <c r="AX297" s="730"/>
      <c r="AY297" s="730"/>
      <c r="AZ297" s="730"/>
      <c r="BA297" s="468"/>
      <c r="BB297" s="468"/>
      <c r="BC297" s="240"/>
      <c r="BD297" s="240"/>
      <c r="BE297" s="240"/>
      <c r="BF297" s="672"/>
      <c r="BG297" s="672"/>
      <c r="BH297" s="672"/>
      <c r="BI297" s="731"/>
      <c r="BJ297" s="672"/>
      <c r="BK297" s="672"/>
      <c r="BL297" s="240"/>
      <c r="BM297" s="736"/>
      <c r="BN297" s="240"/>
      <c r="BO297" s="240"/>
      <c r="BP297" s="240"/>
      <c r="BQ297" s="240"/>
      <c r="BR297" s="240"/>
      <c r="BS297" s="240"/>
      <c r="BT297" s="240"/>
      <c r="BU297" s="240"/>
      <c r="BV297" s="240"/>
      <c r="BW297" s="240"/>
      <c r="BX297" s="240"/>
      <c r="BY297" s="240"/>
      <c r="BZ297" s="240"/>
      <c r="CA297" s="240"/>
      <c r="CB297" s="240"/>
      <c r="CC297" s="240"/>
      <c r="CD297" s="672"/>
      <c r="CE297" s="672"/>
      <c r="CF297" s="672"/>
      <c r="CG297" s="672"/>
      <c r="CH297" s="672"/>
      <c r="CI297" s="672"/>
      <c r="CJ297" s="240"/>
      <c r="CK297" s="240"/>
      <c r="CL297" s="240"/>
      <c r="CM297" s="240"/>
      <c r="CN297" s="240"/>
      <c r="CO297" s="240"/>
      <c r="CP297" s="240"/>
      <c r="CQ297" s="240"/>
      <c r="CR297" s="240"/>
      <c r="CS297" s="240"/>
      <c r="CT297" s="240"/>
      <c r="CU297" s="240"/>
      <c r="CV297" s="240"/>
      <c r="CW297" s="240"/>
      <c r="CX297" s="240"/>
      <c r="CY297" s="240"/>
      <c r="CZ297" s="240"/>
      <c r="DA297" s="240"/>
      <c r="DB297" s="240"/>
      <c r="DC297" s="240"/>
      <c r="DD297" s="240"/>
      <c r="DE297" s="240"/>
      <c r="DF297" s="240"/>
      <c r="DG297" s="240"/>
      <c r="DH297" s="478"/>
      <c r="DI297" s="733"/>
      <c r="DJ297" s="733"/>
      <c r="DK297" s="478"/>
      <c r="DL297" s="3"/>
      <c r="DM297" s="4"/>
      <c r="DN297" s="4"/>
      <c r="DO297" s="4"/>
      <c r="DP297" s="4"/>
      <c r="DQ297" s="4"/>
      <c r="DR297" s="4"/>
      <c r="DS297" s="4"/>
      <c r="DU297" s="195"/>
      <c r="DV297" s="195"/>
      <c r="DW297" s="195"/>
      <c r="DX297" s="195"/>
      <c r="DY297" s="195"/>
      <c r="DZ297" s="195"/>
      <c r="EA297" s="195"/>
      <c r="EB297" s="195"/>
      <c r="EC297" s="195"/>
      <c r="ED297" s="195"/>
      <c r="EE297" s="195"/>
      <c r="EF297" s="195"/>
      <c r="EG297" s="195"/>
      <c r="EL297" s="1"/>
      <c r="EM297" s="195"/>
      <c r="EN297" s="240"/>
      <c r="EO297" s="731"/>
      <c r="EP297" s="195"/>
      <c r="EQ297" s="240"/>
      <c r="ER297" s="195"/>
      <c r="ES297" s="195"/>
      <c r="ET297" s="195"/>
      <c r="EU297" s="672"/>
      <c r="FJ297" s="571" t="n">
        <v>53</v>
      </c>
      <c r="FK297" s="150" t="str">
        <f aca="false">IF($FJ297+FK$244&gt;73,"",PRODUCT(INDEX($T$19:$T$93,FK$244):INDEX($T$19:$T$93,FK$244+$FJ297-1)))</f>
        <v/>
      </c>
      <c r="FL297" s="150" t="str">
        <f aca="false">IF($FJ297+FL$244&gt;73,"",PRODUCT(INDEX($T$19:$T$93,FL$244):INDEX($T$19:$T$93,FL$244+$FJ297-1)))</f>
        <v/>
      </c>
      <c r="FM297" s="150" t="str">
        <f aca="false">IF($FJ297+FM$244&gt;73,"",PRODUCT(INDEX($T$19:$T$93,FM$244):INDEX($T$19:$T$93,FM$244+$FJ297-1)))</f>
        <v/>
      </c>
      <c r="FN297" s="150" t="str">
        <f aca="false">IF($FJ297+FN$244&gt;73,"",PRODUCT(INDEX($T$19:$T$93,FN$244):INDEX($T$19:$T$93,FN$244+$FJ297-1)))</f>
        <v/>
      </c>
      <c r="FO297" s="150" t="str">
        <f aca="false">IF($FJ297+FO$244&gt;73,"",PRODUCT(INDEX($T$19:$T$93,FO$244):INDEX($T$19:$T$93,FO$244+$FJ297-1)))</f>
        <v/>
      </c>
      <c r="FP297" s="150" t="str">
        <f aca="false">IF($FJ297+FP$244&gt;73,"",PRODUCT(INDEX($T$19:$T$93,FP$244):INDEX($T$19:$T$93,FP$244+$FJ297-1)))</f>
        <v/>
      </c>
      <c r="FQ297" s="150" t="str">
        <f aca="false">IF($FJ297+FQ$244&gt;73,"",PRODUCT(INDEX($T$19:$T$93,FQ$244):INDEX($T$19:$T$93,FQ$244+$FJ297-1)))</f>
        <v/>
      </c>
      <c r="FR297" s="150" t="str">
        <f aca="false">IF($FJ297+FR$244&gt;73,"",PRODUCT(INDEX($T$19:$T$93,FR$244):INDEX($T$19:$T$93,FR$244+$FJ297-1)))</f>
        <v/>
      </c>
      <c r="FS297" s="150" t="str">
        <f aca="false">IF($FJ297+FS$244&gt;73,"",PRODUCT(INDEX($T$19:$T$93,FS$244):INDEX($T$19:$T$93,FS$244+$FJ297-1)))</f>
        <v/>
      </c>
      <c r="FT297" s="150" t="str">
        <f aca="false">IF($FJ297+FT$244&gt;73,"",PRODUCT(INDEX($T$19:$T$93,FT$244):INDEX($T$19:$T$93,FT$244+$FJ297-1)))</f>
        <v/>
      </c>
      <c r="FU297" s="150" t="str">
        <f aca="false">IF($FJ297+FU$244&gt;73,"",PRODUCT(INDEX($T$19:$T$93,FU$244):INDEX($T$19:$T$93,FU$244+$FJ297-1)))</f>
        <v/>
      </c>
      <c r="FV297" s="150" t="str">
        <f aca="false">IF($FJ297+FV$244&gt;73,"",PRODUCT(INDEX($T$19:$T$93,FV$244):INDEX($T$19:$T$93,FV$244+$FJ297-1)))</f>
        <v/>
      </c>
      <c r="FW297" s="150" t="str">
        <f aca="false">IF($FJ297+FW$244&gt;73,"",PRODUCT(INDEX($T$19:$T$93,FW$244):INDEX($T$19:$T$93,FW$244+$FJ297-1)))</f>
        <v/>
      </c>
      <c r="FX297" s="150" t="str">
        <f aca="false">IF($FJ297+FX$244&gt;73,"",PRODUCT(INDEX($T$19:$T$93,FX$244):INDEX($T$19:$T$93,FX$244+$FJ297-1)))</f>
        <v/>
      </c>
      <c r="FY297" s="150" t="str">
        <f aca="false">IF($FJ297+FY$244&gt;73,"",PRODUCT(INDEX($T$19:$T$93,FY$244):INDEX($T$19:$T$93,FY$244+$FJ297-1)))</f>
        <v/>
      </c>
      <c r="FZ297" s="150" t="str">
        <f aca="false">IF($FJ297+FZ$244&gt;73,"",PRODUCT(INDEX($T$19:$T$93,FZ$244):INDEX($T$19:$T$93,FZ$244+$FJ297-1)))</f>
        <v/>
      </c>
      <c r="GA297" s="150" t="str">
        <f aca="false">IF($FJ297+GA$244&gt;73,"",PRODUCT(INDEX($T$19:$T$93,GA$244):INDEX($T$19:$T$93,GA$244+$FJ297-1)))</f>
        <v/>
      </c>
      <c r="GB297" s="150" t="str">
        <f aca="false">IF($FJ297+GB$244&gt;73,"",PRODUCT(INDEX($T$19:$T$93,GB$244):INDEX($T$19:$T$93,GB$244+$FJ297-1)))</f>
        <v/>
      </c>
      <c r="GC297" s="150" t="str">
        <f aca="false">IF($FJ297+GC$244&gt;73,"",PRODUCT(INDEX($T$19:$T$93,GC$244):INDEX($T$19:$T$93,GC$244+$FJ297-1)))</f>
        <v/>
      </c>
      <c r="GD297" s="150" t="str">
        <f aca="false">IF($FJ297+GD$244&gt;73,"",PRODUCT(INDEX($T$19:$T$93,GD$244):INDEX($T$19:$T$93,GD$244+$FJ297-1)))</f>
        <v/>
      </c>
      <c r="GE297" s="150" t="str">
        <f aca="false">IF($FJ297+GE$244&gt;73,"",PRODUCT(INDEX($T$19:$T$93,GE$244):INDEX($T$19:$T$93,GE$244+$FJ297-1)))</f>
        <v/>
      </c>
      <c r="GF297" s="150" t="str">
        <f aca="false">IF($FJ297+GF$244&gt;73,"",PRODUCT(INDEX($T$19:$T$93,GF$244):INDEX($T$19:$T$93,GF$244+$FJ297-1)))</f>
        <v/>
      </c>
      <c r="GG297" s="150" t="str">
        <f aca="false">IF($FJ297+GG$244&gt;73,"",PRODUCT(INDEX($T$19:$T$93,GG$244):INDEX($T$19:$T$93,GG$244+$FJ297-1)))</f>
        <v/>
      </c>
      <c r="GH297" s="150" t="str">
        <f aca="false">IF($FJ297+GH$244&gt;73,"",PRODUCT(INDEX($T$19:$T$93,GH$244):INDEX($T$19:$T$93,GH$244+$FJ297-1)))</f>
        <v/>
      </c>
      <c r="GI297" s="150" t="str">
        <f aca="false">IF($FJ297+GI$244&gt;73,"",PRODUCT(INDEX($T$19:$T$93,GI$244):INDEX($T$19:$T$93,GI$244+$FJ297-1)))</f>
        <v/>
      </c>
      <c r="GJ297" s="150" t="str">
        <f aca="false">IF($FJ297+GJ$244&gt;73,"",PRODUCT(INDEX($T$19:$T$93,GJ$244):INDEX($T$19:$T$93,GJ$244+$FJ297-1)))</f>
        <v/>
      </c>
      <c r="GK297" s="150" t="str">
        <f aca="false">IF($FJ297+GK$244&gt;73,"",PRODUCT(INDEX($T$19:$T$93,GK$244):INDEX($T$19:$T$93,GK$244+$FJ297-1)))</f>
        <v/>
      </c>
      <c r="GL297" s="150" t="str">
        <f aca="false">IF($FJ297+GL$244&gt;73,"",PRODUCT(INDEX($T$19:$T$93,GL$244):INDEX($T$19:$T$93,GL$244+$FJ297-1)))</f>
        <v/>
      </c>
      <c r="GM297" s="150" t="str">
        <f aca="false">IF($FJ297+GM$244&gt;73,"",PRODUCT(INDEX($T$19:$T$93,GM$244):INDEX($T$19:$T$93,GM$244+$FJ297-1)))</f>
        <v/>
      </c>
      <c r="GN297" s="150" t="str">
        <f aca="false">IF($FJ297+GN$244&gt;73,"",PRODUCT(INDEX($T$19:$T$93,GN$244):INDEX($T$19:$T$93,GN$244+$FJ297-1)))</f>
        <v/>
      </c>
      <c r="GO297" s="150" t="str">
        <f aca="false">IF($FJ297+GO$244&gt;73,"",PRODUCT(INDEX($T$19:$T$93,GO$244):INDEX($T$19:$T$93,GO$244+$FJ297-1)))</f>
        <v/>
      </c>
      <c r="GP297" s="150" t="str">
        <f aca="false">IF($FJ297+GP$244&gt;73,"",PRODUCT(INDEX($T$19:$T$93,GP$244):INDEX($T$19:$T$93,GP$244+$FJ297-1)))</f>
        <v/>
      </c>
      <c r="GQ297" s="150" t="str">
        <f aca="false">IF($FJ297+GQ$244&gt;73,"",PRODUCT(INDEX($T$19:$T$93,GQ$244):INDEX($T$19:$T$93,GQ$244+$FJ297-1)))</f>
        <v/>
      </c>
      <c r="GR297" s="150" t="str">
        <f aca="false">IF($FJ297+GR$244&gt;73,"",PRODUCT(INDEX($T$19:$T$93,GR$244):INDEX($T$19:$T$93,GR$244+$FJ297-1)))</f>
        <v/>
      </c>
      <c r="GS297" s="150" t="str">
        <f aca="false">IF($FJ297+GS$244&gt;73,"",PRODUCT(INDEX($T$19:$T$93,GS$244):INDEX($T$19:$T$93,GS$244+$FJ297-1)))</f>
        <v/>
      </c>
      <c r="GT297" s="150" t="str">
        <f aca="false">IF($FJ297+GT$244&gt;73,"",PRODUCT(INDEX($T$19:$T$93,GT$244):INDEX($T$19:$T$93,GT$244+$FJ297-1)))</f>
        <v/>
      </c>
      <c r="GU297" s="150" t="str">
        <f aca="false">IF($FJ297+GU$244&gt;73,"",PRODUCT(INDEX($T$19:$T$93,GU$244):INDEX($T$19:$T$93,GU$244+$FJ297-1)))</f>
        <v/>
      </c>
      <c r="GV297" s="150" t="str">
        <f aca="false">IF($FJ297+GV$244&gt;73,"",PRODUCT(INDEX($T$19:$T$93,GV$244):INDEX($T$19:$T$93,GV$244+$FJ297-1)))</f>
        <v/>
      </c>
      <c r="GW297" s="150" t="str">
        <f aca="false">IF($FJ297+GW$244&gt;73,"",PRODUCT(INDEX($T$19:$T$93,GW$244):INDEX($T$19:$T$93,GW$244+$FJ297-1)))</f>
        <v/>
      </c>
      <c r="GX297" s="150" t="str">
        <f aca="false">IF($FJ297+GX$244&gt;73,"",PRODUCT(INDEX($T$19:$T$93,GX$244):INDEX($T$19:$T$93,GX$244+$FJ297-1)))</f>
        <v/>
      </c>
      <c r="GY297" s="150" t="str">
        <f aca="false">IF($FJ297+GY$244&gt;73,"",PRODUCT(INDEX($T$19:$T$93,GY$244):INDEX($T$19:$T$93,GY$244+$FJ297-1)))</f>
        <v/>
      </c>
      <c r="GZ297" s="150" t="str">
        <f aca="false">IF($FJ297+GZ$244&gt;73,"",PRODUCT(INDEX($T$19:$T$93,GZ$244):INDEX($T$19:$T$93,GZ$244+$FJ297-1)))</f>
        <v/>
      </c>
      <c r="HA297" s="150" t="str">
        <f aca="false">IF($FJ297+HA$244&gt;73,"",PRODUCT(INDEX($T$19:$T$93,HA$244):INDEX($T$19:$T$93,HA$244+$FJ297-1)))</f>
        <v/>
      </c>
      <c r="HB297" s="150" t="str">
        <f aca="false">IF($FJ297+HB$244&gt;73,"",PRODUCT(INDEX($T$19:$T$93,HB$244):INDEX($T$19:$T$93,HB$244+$FJ297-1)))</f>
        <v/>
      </c>
      <c r="HC297" s="150" t="str">
        <f aca="false">IF($FJ297+HC$244&gt;73,"",PRODUCT(INDEX($T$19:$T$93,HC$244):INDEX($T$19:$T$93,HC$244+$FJ297-1)))</f>
        <v/>
      </c>
      <c r="HD297" s="150" t="str">
        <f aca="false">IF($FJ297+HD$244&gt;73,"",PRODUCT(INDEX($T$19:$T$93,HD$244):INDEX($T$19:$T$93,HD$244+$FJ297-1)))</f>
        <v/>
      </c>
      <c r="HE297" s="150" t="str">
        <f aca="false">IF($FJ297+HE$244&gt;73,"",PRODUCT(INDEX($T$19:$T$93,HE$244):INDEX($T$19:$T$93,HE$244+$FJ297-1)))</f>
        <v/>
      </c>
      <c r="HF297" s="150" t="str">
        <f aca="false">IF($FJ297+HF$244&gt;73,"",PRODUCT(INDEX($T$19:$T$93,HF$244):INDEX($T$19:$T$93,HF$244+$FJ297-1)))</f>
        <v/>
      </c>
      <c r="HG297" s="150" t="str">
        <f aca="false">IF($FJ297+HG$244&gt;73,"",PRODUCT(INDEX($T$19:$T$93,HG$244):INDEX($T$19:$T$93,HG$244+$FJ297-1)))</f>
        <v/>
      </c>
      <c r="HH297" s="150" t="str">
        <f aca="false">IF($FJ297+HH$244&gt;73,"",PRODUCT(INDEX($T$19:$T$93,HH$244):INDEX($T$19:$T$93,HH$244+$FJ297-1)))</f>
        <v/>
      </c>
      <c r="HI297" s="150" t="str">
        <f aca="false">IF($FJ297+HI$244&gt;73,"",PRODUCT(INDEX($T$19:$T$93,HI$244):INDEX($T$19:$T$93,HI$244+$FJ297-1)))</f>
        <v/>
      </c>
      <c r="HJ297" s="150" t="str">
        <f aca="false">IF($FJ297+HJ$244&gt;73,"",PRODUCT(INDEX($T$19:$T$93,HJ$244):INDEX($T$19:$T$93,HJ$244+$FJ297-1)))</f>
        <v/>
      </c>
      <c r="HK297" s="150" t="n">
        <f aca="false">IF($FJ297+HK$244&gt;73,"",PRODUCT(INDEX($T$19:$T$93,HK$244):INDEX($T$19:$T$93,HK$244+$FJ297-1)))</f>
        <v>0.954553680463774</v>
      </c>
      <c r="HL297" s="150" t="n">
        <f aca="false">IF($FJ297+HL$244&gt;73,"",PRODUCT(INDEX($T$19:$T$93,HL$244):INDEX($T$19:$T$93,HL$244+$FJ297-1)))</f>
        <v>0.946995884557304</v>
      </c>
      <c r="HM297" s="150" t="n">
        <f aca="false">IF($FJ297+HM$244&gt;73,"",PRODUCT(INDEX($T$19:$T$93,HM$244):INDEX($T$19:$T$93,HM$244+$FJ297-1)))</f>
        <v>0.938211901931488</v>
      </c>
      <c r="HN297" s="150" t="n">
        <f aca="false">IF($FJ297+HN$244&gt;73,"",PRODUCT(INDEX($T$19:$T$93,HN$244):INDEX($T$19:$T$93,HN$244+$FJ297-1)))</f>
        <v>0.928014265901476</v>
      </c>
      <c r="HO297" s="150" t="n">
        <f aca="false">IF($FJ297+HO$244&gt;73,"",PRODUCT(INDEX($T$19:$T$93,HO$244):INDEX($T$19:$T$93,HO$244+$FJ297-1)))</f>
        <v>0.916191180821606</v>
      </c>
      <c r="HP297" s="150" t="n">
        <f aca="false">IF($FJ297+HP$244&gt;73,"",PRODUCT(INDEX($T$19:$T$93,HP$244):INDEX($T$19:$T$93,HP$244+$FJ297-1)))</f>
        <v>0.902505061394213</v>
      </c>
      <c r="HQ297" s="150" t="n">
        <f aca="false">IF($FJ297+HQ$244&gt;73,"",PRODUCT(INDEX($T$19:$T$93,HQ$244):INDEX($T$19:$T$93,HQ$244+$FJ297-1)))</f>
        <v>0.886691742013216</v>
      </c>
      <c r="HR297" s="150" t="n">
        <f aca="false">IF($FJ297+HR$244&gt;73,"",PRODUCT(INDEX($T$19:$T$93,HR$244):INDEX($T$19:$T$93,HR$244+$FJ297-1)))</f>
        <v>0.868460763941586</v>
      </c>
      <c r="HS297" s="150" t="n">
        <f aca="false">IF($FJ297+HS$244&gt;73,"",PRODUCT(INDEX($T$19:$T$93,HS$244):INDEX($T$19:$T$93,HS$244+$FJ297-1)))</f>
        <v>0.847497297139088</v>
      </c>
      <c r="HT297" s="150" t="n">
        <f aca="false">IF($FJ297+HT$244&gt;73,"",PRODUCT(INDEX($T$19:$T$93,HT$244):INDEX($T$19:$T$93,HT$244+$FJ297-1)))</f>
        <v>0.823466439499405</v>
      </c>
      <c r="HU297" s="150" t="n">
        <f aca="false">IF($FJ297+HU$244&gt;73,"",PRODUCT(INDEX($T$19:$T$93,HU$244):INDEX($T$19:$T$93,HU$244+$FJ297-1)))</f>
        <v>0.796020859118395</v>
      </c>
      <c r="HV297" s="150" t="n">
        <f aca="false">IF($FJ297+HV$244&gt;73,"",PRODUCT(INDEX($T$19:$T$93,HV$244):INDEX($T$19:$T$93,HV$244+$FJ297-1)))</f>
        <v>0.764812996864501</v>
      </c>
      <c r="HW297" s="150" t="n">
        <f aca="false">IF($FJ297+HW$244&gt;73,"",PRODUCT(INDEX($T$19:$T$93,HW$244):INDEX($T$19:$T$93,HW$244+$FJ297-1)))</f>
        <v>0.729513303593736</v>
      </c>
      <c r="HX297" s="150" t="n">
        <f aca="false">IF($FJ297+HX$244&gt;73,"",PRODUCT(INDEX($T$19:$T$93,HX$244):INDEX($T$19:$T$93,HX$244+$FJ297-1)))</f>
        <v>0.689836199072247</v>
      </c>
      <c r="HY297" s="150" t="n">
        <f aca="false">IF($FJ297+HY$244&gt;73,"",PRODUCT(INDEX($T$19:$T$93,HY$244):INDEX($T$19:$T$93,HY$244+$FJ297-1)))</f>
        <v>0.645575515299784</v>
      </c>
      <c r="HZ297" s="150" t="n">
        <f aca="false">IF($FJ297+HZ$244&gt;73,"",PRODUCT(INDEX($T$19:$T$93,HZ$244):INDEX($T$19:$T$93,HZ$244+$FJ297-1)))</f>
        <v>0.596650967141909</v>
      </c>
      <c r="IA297" s="150" t="n">
        <f aca="false">IF($FJ297+IA$244&gt;73,"",PRODUCT(INDEX($T$19:$T$93,IA$244):INDEX($T$19:$T$93,IA$244+$FJ297-1)))</f>
        <v>0.543166426980208</v>
      </c>
      <c r="IB297" s="150" t="n">
        <f aca="false">IF($FJ297+IB$244&gt;73,"",PRODUCT(INDEX($T$19:$T$93,IB$244):INDEX($T$19:$T$93,IB$244+$FJ297-1)))</f>
        <v>0.485479099631252</v>
      </c>
      <c r="IC297" s="150" t="n">
        <f aca="false">IF($FJ297+IC$244&gt;73,"",PRODUCT(INDEX($T$19:$T$93,IC$244):INDEX($T$19:$T$93,IC$244+$FJ297-1)))</f>
        <v>0.42427561278373</v>
      </c>
      <c r="ID297" s="572" t="n">
        <f aca="false">IF($FJ297+ID$244&gt;73,"",PRODUCT(INDEX($T$19:$T$93,ID$244):INDEX($T$19:$T$93,ID$244+$FJ297-1)))</f>
        <v>0.360646015657742</v>
      </c>
      <c r="IE297" s="129"/>
    </row>
    <row r="298" customFormat="false" ht="12.75" hidden="false" customHeight="false" outlineLevel="0" collapsed="false">
      <c r="I298" s="735"/>
      <c r="J298" s="727"/>
      <c r="K298" s="728"/>
      <c r="L298" s="195"/>
      <c r="M298" s="729"/>
      <c r="P298" s="727"/>
      <c r="S298" s="1"/>
      <c r="T298" s="727"/>
      <c r="U298" s="195"/>
      <c r="V298" s="195"/>
      <c r="W298" s="195"/>
      <c r="X298" s="195"/>
      <c r="Y298" s="195"/>
      <c r="Z298" s="195"/>
      <c r="AA298" s="195"/>
      <c r="AB298" s="195"/>
      <c r="AC298" s="195"/>
      <c r="AD298" s="195"/>
      <c r="AE298" s="195"/>
      <c r="AF298" s="195"/>
      <c r="AG298" s="195"/>
      <c r="AH298" s="195"/>
      <c r="AI298" s="195"/>
      <c r="AJ298" s="195"/>
      <c r="AK298" s="195"/>
      <c r="AL298" s="195"/>
      <c r="AM298" s="195"/>
      <c r="AN298" s="195"/>
      <c r="AO298" s="532"/>
      <c r="AP298" s="195"/>
      <c r="AQ298" s="532"/>
      <c r="AR298" s="195"/>
      <c r="AS298" s="195"/>
      <c r="AT298" s="240"/>
      <c r="AU298" s="240"/>
      <c r="AV298" s="240"/>
      <c r="AW298" s="730"/>
      <c r="AX298" s="730"/>
      <c r="AY298" s="730"/>
      <c r="AZ298" s="730"/>
      <c r="BA298" s="468"/>
      <c r="BB298" s="468"/>
      <c r="BC298" s="240"/>
      <c r="BD298" s="240"/>
      <c r="BE298" s="240"/>
      <c r="BF298" s="672"/>
      <c r="BG298" s="672"/>
      <c r="BH298" s="672"/>
      <c r="BI298" s="731"/>
      <c r="BJ298" s="672"/>
      <c r="BK298" s="672"/>
      <c r="BL298" s="240"/>
      <c r="BM298" s="736"/>
      <c r="BN298" s="240"/>
      <c r="BO298" s="240"/>
      <c r="BP298" s="240"/>
      <c r="BQ298" s="240"/>
      <c r="BR298" s="240"/>
      <c r="BS298" s="240"/>
      <c r="BT298" s="240"/>
      <c r="BU298" s="240"/>
      <c r="BV298" s="240"/>
      <c r="BW298" s="240"/>
      <c r="BX298" s="240"/>
      <c r="BY298" s="240"/>
      <c r="BZ298" s="240"/>
      <c r="CA298" s="240"/>
      <c r="CB298" s="240"/>
      <c r="CC298" s="240"/>
      <c r="CD298" s="672"/>
      <c r="CE298" s="672"/>
      <c r="CF298" s="672"/>
      <c r="CG298" s="672"/>
      <c r="CH298" s="672"/>
      <c r="CI298" s="672"/>
      <c r="CJ298" s="240"/>
      <c r="CK298" s="240"/>
      <c r="CL298" s="240"/>
      <c r="CM298" s="240"/>
      <c r="CN298" s="240"/>
      <c r="CO298" s="240"/>
      <c r="CP298" s="240"/>
      <c r="CQ298" s="240"/>
      <c r="CR298" s="240"/>
      <c r="CS298" s="240"/>
      <c r="CT298" s="240"/>
      <c r="CU298" s="240"/>
      <c r="CV298" s="240"/>
      <c r="CW298" s="240"/>
      <c r="CX298" s="240"/>
      <c r="CY298" s="240"/>
      <c r="CZ298" s="240"/>
      <c r="DA298" s="240"/>
      <c r="DB298" s="240"/>
      <c r="DC298" s="240"/>
      <c r="DD298" s="240"/>
      <c r="DE298" s="240"/>
      <c r="DF298" s="240"/>
      <c r="DG298" s="240"/>
      <c r="DH298" s="478"/>
      <c r="DI298" s="733"/>
      <c r="DJ298" s="733"/>
      <c r="DK298" s="478"/>
      <c r="DL298" s="3"/>
      <c r="DM298" s="4"/>
      <c r="DN298" s="4"/>
      <c r="DO298" s="4"/>
      <c r="DP298" s="4"/>
      <c r="DQ298" s="4"/>
      <c r="DR298" s="4"/>
      <c r="DS298" s="4"/>
      <c r="DU298" s="195"/>
      <c r="DV298" s="195"/>
      <c r="DW298" s="195"/>
      <c r="DX298" s="195"/>
      <c r="DY298" s="195"/>
      <c r="DZ298" s="195"/>
      <c r="EA298" s="195"/>
      <c r="EB298" s="195"/>
      <c r="EC298" s="195"/>
      <c r="ED298" s="195"/>
      <c r="EE298" s="195"/>
      <c r="EF298" s="195"/>
      <c r="EG298" s="195"/>
      <c r="EL298" s="1"/>
      <c r="EM298" s="195"/>
      <c r="EN298" s="240"/>
      <c r="EO298" s="731"/>
      <c r="EP298" s="195"/>
      <c r="EQ298" s="240"/>
      <c r="ER298" s="195"/>
      <c r="ES298" s="195"/>
      <c r="ET298" s="195"/>
      <c r="EU298" s="672"/>
      <c r="FJ298" s="571" t="n">
        <v>54</v>
      </c>
      <c r="FK298" s="150" t="str">
        <f aca="false">IF($FJ298+FK$244&gt;73,"",PRODUCT(INDEX($T$19:$T$93,FK$244):INDEX($T$19:$T$93,FK$244+$FJ298-1)))</f>
        <v/>
      </c>
      <c r="FL298" s="150" t="str">
        <f aca="false">IF($FJ298+FL$244&gt;73,"",PRODUCT(INDEX($T$19:$T$93,FL$244):INDEX($T$19:$T$93,FL$244+$FJ298-1)))</f>
        <v/>
      </c>
      <c r="FM298" s="150" t="str">
        <f aca="false">IF($FJ298+FM$244&gt;73,"",PRODUCT(INDEX($T$19:$T$93,FM$244):INDEX($T$19:$T$93,FM$244+$FJ298-1)))</f>
        <v/>
      </c>
      <c r="FN298" s="150" t="str">
        <f aca="false">IF($FJ298+FN$244&gt;73,"",PRODUCT(INDEX($T$19:$T$93,FN$244):INDEX($T$19:$T$93,FN$244+$FJ298-1)))</f>
        <v/>
      </c>
      <c r="FO298" s="150" t="str">
        <f aca="false">IF($FJ298+FO$244&gt;73,"",PRODUCT(INDEX($T$19:$T$93,FO$244):INDEX($T$19:$T$93,FO$244+$FJ298-1)))</f>
        <v/>
      </c>
      <c r="FP298" s="150" t="str">
        <f aca="false">IF($FJ298+FP$244&gt;73,"",PRODUCT(INDEX($T$19:$T$93,FP$244):INDEX($T$19:$T$93,FP$244+$FJ298-1)))</f>
        <v/>
      </c>
      <c r="FQ298" s="150" t="str">
        <f aca="false">IF($FJ298+FQ$244&gt;73,"",PRODUCT(INDEX($T$19:$T$93,FQ$244):INDEX($T$19:$T$93,FQ$244+$FJ298-1)))</f>
        <v/>
      </c>
      <c r="FR298" s="150" t="str">
        <f aca="false">IF($FJ298+FR$244&gt;73,"",PRODUCT(INDEX($T$19:$T$93,FR$244):INDEX($T$19:$T$93,FR$244+$FJ298-1)))</f>
        <v/>
      </c>
      <c r="FS298" s="150" t="str">
        <f aca="false">IF($FJ298+FS$244&gt;73,"",PRODUCT(INDEX($T$19:$T$93,FS$244):INDEX($T$19:$T$93,FS$244+$FJ298-1)))</f>
        <v/>
      </c>
      <c r="FT298" s="150" t="str">
        <f aca="false">IF($FJ298+FT$244&gt;73,"",PRODUCT(INDEX($T$19:$T$93,FT$244):INDEX($T$19:$T$93,FT$244+$FJ298-1)))</f>
        <v/>
      </c>
      <c r="FU298" s="150" t="str">
        <f aca="false">IF($FJ298+FU$244&gt;73,"",PRODUCT(INDEX($T$19:$T$93,FU$244):INDEX($T$19:$T$93,FU$244+$FJ298-1)))</f>
        <v/>
      </c>
      <c r="FV298" s="150" t="str">
        <f aca="false">IF($FJ298+FV$244&gt;73,"",PRODUCT(INDEX($T$19:$T$93,FV$244):INDEX($T$19:$T$93,FV$244+$FJ298-1)))</f>
        <v/>
      </c>
      <c r="FW298" s="150" t="str">
        <f aca="false">IF($FJ298+FW$244&gt;73,"",PRODUCT(INDEX($T$19:$T$93,FW$244):INDEX($T$19:$T$93,FW$244+$FJ298-1)))</f>
        <v/>
      </c>
      <c r="FX298" s="150" t="str">
        <f aca="false">IF($FJ298+FX$244&gt;73,"",PRODUCT(INDEX($T$19:$T$93,FX$244):INDEX($T$19:$T$93,FX$244+$FJ298-1)))</f>
        <v/>
      </c>
      <c r="FY298" s="150" t="str">
        <f aca="false">IF($FJ298+FY$244&gt;73,"",PRODUCT(INDEX($T$19:$T$93,FY$244):INDEX($T$19:$T$93,FY$244+$FJ298-1)))</f>
        <v/>
      </c>
      <c r="FZ298" s="150" t="str">
        <f aca="false">IF($FJ298+FZ$244&gt;73,"",PRODUCT(INDEX($T$19:$T$93,FZ$244):INDEX($T$19:$T$93,FZ$244+$FJ298-1)))</f>
        <v/>
      </c>
      <c r="GA298" s="150" t="str">
        <f aca="false">IF($FJ298+GA$244&gt;73,"",PRODUCT(INDEX($T$19:$T$93,GA$244):INDEX($T$19:$T$93,GA$244+$FJ298-1)))</f>
        <v/>
      </c>
      <c r="GB298" s="150" t="str">
        <f aca="false">IF($FJ298+GB$244&gt;73,"",PRODUCT(INDEX($T$19:$T$93,GB$244):INDEX($T$19:$T$93,GB$244+$FJ298-1)))</f>
        <v/>
      </c>
      <c r="GC298" s="150" t="str">
        <f aca="false">IF($FJ298+GC$244&gt;73,"",PRODUCT(INDEX($T$19:$T$93,GC$244):INDEX($T$19:$T$93,GC$244+$FJ298-1)))</f>
        <v/>
      </c>
      <c r="GD298" s="150" t="str">
        <f aca="false">IF($FJ298+GD$244&gt;73,"",PRODUCT(INDEX($T$19:$T$93,GD$244):INDEX($T$19:$T$93,GD$244+$FJ298-1)))</f>
        <v/>
      </c>
      <c r="GE298" s="150" t="str">
        <f aca="false">IF($FJ298+GE$244&gt;73,"",PRODUCT(INDEX($T$19:$T$93,GE$244):INDEX($T$19:$T$93,GE$244+$FJ298-1)))</f>
        <v/>
      </c>
      <c r="GF298" s="150" t="str">
        <f aca="false">IF($FJ298+GF$244&gt;73,"",PRODUCT(INDEX($T$19:$T$93,GF$244):INDEX($T$19:$T$93,GF$244+$FJ298-1)))</f>
        <v/>
      </c>
      <c r="GG298" s="150" t="str">
        <f aca="false">IF($FJ298+GG$244&gt;73,"",PRODUCT(INDEX($T$19:$T$93,GG$244):INDEX($T$19:$T$93,GG$244+$FJ298-1)))</f>
        <v/>
      </c>
      <c r="GH298" s="150" t="str">
        <f aca="false">IF($FJ298+GH$244&gt;73,"",PRODUCT(INDEX($T$19:$T$93,GH$244):INDEX($T$19:$T$93,GH$244+$FJ298-1)))</f>
        <v/>
      </c>
      <c r="GI298" s="150" t="str">
        <f aca="false">IF($FJ298+GI$244&gt;73,"",PRODUCT(INDEX($T$19:$T$93,GI$244):INDEX($T$19:$T$93,GI$244+$FJ298-1)))</f>
        <v/>
      </c>
      <c r="GJ298" s="150" t="str">
        <f aca="false">IF($FJ298+GJ$244&gt;73,"",PRODUCT(INDEX($T$19:$T$93,GJ$244):INDEX($T$19:$T$93,GJ$244+$FJ298-1)))</f>
        <v/>
      </c>
      <c r="GK298" s="150" t="str">
        <f aca="false">IF($FJ298+GK$244&gt;73,"",PRODUCT(INDEX($T$19:$T$93,GK$244):INDEX($T$19:$T$93,GK$244+$FJ298-1)))</f>
        <v/>
      </c>
      <c r="GL298" s="150" t="str">
        <f aca="false">IF($FJ298+GL$244&gt;73,"",PRODUCT(INDEX($T$19:$T$93,GL$244):INDEX($T$19:$T$93,GL$244+$FJ298-1)))</f>
        <v/>
      </c>
      <c r="GM298" s="150" t="str">
        <f aca="false">IF($FJ298+GM$244&gt;73,"",PRODUCT(INDEX($T$19:$T$93,GM$244):INDEX($T$19:$T$93,GM$244+$FJ298-1)))</f>
        <v/>
      </c>
      <c r="GN298" s="150" t="str">
        <f aca="false">IF($FJ298+GN$244&gt;73,"",PRODUCT(INDEX($T$19:$T$93,GN$244):INDEX($T$19:$T$93,GN$244+$FJ298-1)))</f>
        <v/>
      </c>
      <c r="GO298" s="150" t="str">
        <f aca="false">IF($FJ298+GO$244&gt;73,"",PRODUCT(INDEX($T$19:$T$93,GO$244):INDEX($T$19:$T$93,GO$244+$FJ298-1)))</f>
        <v/>
      </c>
      <c r="GP298" s="150" t="str">
        <f aca="false">IF($FJ298+GP$244&gt;73,"",PRODUCT(INDEX($T$19:$T$93,GP$244):INDEX($T$19:$T$93,GP$244+$FJ298-1)))</f>
        <v/>
      </c>
      <c r="GQ298" s="150" t="str">
        <f aca="false">IF($FJ298+GQ$244&gt;73,"",PRODUCT(INDEX($T$19:$T$93,GQ$244):INDEX($T$19:$T$93,GQ$244+$FJ298-1)))</f>
        <v/>
      </c>
      <c r="GR298" s="150" t="str">
        <f aca="false">IF($FJ298+GR$244&gt;73,"",PRODUCT(INDEX($T$19:$T$93,GR$244):INDEX($T$19:$T$93,GR$244+$FJ298-1)))</f>
        <v/>
      </c>
      <c r="GS298" s="150" t="str">
        <f aca="false">IF($FJ298+GS$244&gt;73,"",PRODUCT(INDEX($T$19:$T$93,GS$244):INDEX($T$19:$T$93,GS$244+$FJ298-1)))</f>
        <v/>
      </c>
      <c r="GT298" s="150" t="str">
        <f aca="false">IF($FJ298+GT$244&gt;73,"",PRODUCT(INDEX($T$19:$T$93,GT$244):INDEX($T$19:$T$93,GT$244+$FJ298-1)))</f>
        <v/>
      </c>
      <c r="GU298" s="150" t="str">
        <f aca="false">IF($FJ298+GU$244&gt;73,"",PRODUCT(INDEX($T$19:$T$93,GU$244):INDEX($T$19:$T$93,GU$244+$FJ298-1)))</f>
        <v/>
      </c>
      <c r="GV298" s="150" t="str">
        <f aca="false">IF($FJ298+GV$244&gt;73,"",PRODUCT(INDEX($T$19:$T$93,GV$244):INDEX($T$19:$T$93,GV$244+$FJ298-1)))</f>
        <v/>
      </c>
      <c r="GW298" s="150" t="str">
        <f aca="false">IF($FJ298+GW$244&gt;73,"",PRODUCT(INDEX($T$19:$T$93,GW$244):INDEX($T$19:$T$93,GW$244+$FJ298-1)))</f>
        <v/>
      </c>
      <c r="GX298" s="150" t="str">
        <f aca="false">IF($FJ298+GX$244&gt;73,"",PRODUCT(INDEX($T$19:$T$93,GX$244):INDEX($T$19:$T$93,GX$244+$FJ298-1)))</f>
        <v/>
      </c>
      <c r="GY298" s="150" t="str">
        <f aca="false">IF($FJ298+GY$244&gt;73,"",PRODUCT(INDEX($T$19:$T$93,GY$244):INDEX($T$19:$T$93,GY$244+$FJ298-1)))</f>
        <v/>
      </c>
      <c r="GZ298" s="150" t="str">
        <f aca="false">IF($FJ298+GZ$244&gt;73,"",PRODUCT(INDEX($T$19:$T$93,GZ$244):INDEX($T$19:$T$93,GZ$244+$FJ298-1)))</f>
        <v/>
      </c>
      <c r="HA298" s="150" t="str">
        <f aca="false">IF($FJ298+HA$244&gt;73,"",PRODUCT(INDEX($T$19:$T$93,HA$244):INDEX($T$19:$T$93,HA$244+$FJ298-1)))</f>
        <v/>
      </c>
      <c r="HB298" s="150" t="str">
        <f aca="false">IF($FJ298+HB$244&gt;73,"",PRODUCT(INDEX($T$19:$T$93,HB$244):INDEX($T$19:$T$93,HB$244+$FJ298-1)))</f>
        <v/>
      </c>
      <c r="HC298" s="150" t="str">
        <f aca="false">IF($FJ298+HC$244&gt;73,"",PRODUCT(INDEX($T$19:$T$93,HC$244):INDEX($T$19:$T$93,HC$244+$FJ298-1)))</f>
        <v/>
      </c>
      <c r="HD298" s="150" t="str">
        <f aca="false">IF($FJ298+HD$244&gt;73,"",PRODUCT(INDEX($T$19:$T$93,HD$244):INDEX($T$19:$T$93,HD$244+$FJ298-1)))</f>
        <v/>
      </c>
      <c r="HE298" s="150" t="str">
        <f aca="false">IF($FJ298+HE$244&gt;73,"",PRODUCT(INDEX($T$19:$T$93,HE$244):INDEX($T$19:$T$93,HE$244+$FJ298-1)))</f>
        <v/>
      </c>
      <c r="HF298" s="150" t="str">
        <f aca="false">IF($FJ298+HF$244&gt;73,"",PRODUCT(INDEX($T$19:$T$93,HF$244):INDEX($T$19:$T$93,HF$244+$FJ298-1)))</f>
        <v/>
      </c>
      <c r="HG298" s="150" t="str">
        <f aca="false">IF($FJ298+HG$244&gt;73,"",PRODUCT(INDEX($T$19:$T$93,HG$244):INDEX($T$19:$T$93,HG$244+$FJ298-1)))</f>
        <v/>
      </c>
      <c r="HH298" s="150" t="str">
        <f aca="false">IF($FJ298+HH$244&gt;73,"",PRODUCT(INDEX($T$19:$T$93,HH$244):INDEX($T$19:$T$93,HH$244+$FJ298-1)))</f>
        <v/>
      </c>
      <c r="HI298" s="150" t="str">
        <f aca="false">IF($FJ298+HI$244&gt;73,"",PRODUCT(INDEX($T$19:$T$93,HI$244):INDEX($T$19:$T$93,HI$244+$FJ298-1)))</f>
        <v/>
      </c>
      <c r="HJ298" s="150" t="str">
        <f aca="false">IF($FJ298+HJ$244&gt;73,"",PRODUCT(INDEX($T$19:$T$93,HJ$244):INDEX($T$19:$T$93,HJ$244+$FJ298-1)))</f>
        <v/>
      </c>
      <c r="HK298" s="150" t="str">
        <f aca="false">IF($FJ298+HK$244&gt;73,"",PRODUCT(INDEX($T$19:$T$93,HK$244):INDEX($T$19:$T$93,HK$244+$FJ298-1)))</f>
        <v/>
      </c>
      <c r="HL298" s="150" t="n">
        <f aca="false">IF($FJ298+HL$244&gt;73,"",PRODUCT(INDEX($T$19:$T$93,HL$244):INDEX($T$19:$T$93,HL$244+$FJ298-1)))</f>
        <v>0.946994046043758</v>
      </c>
      <c r="HM298" s="150" t="n">
        <f aca="false">IF($FJ298+HM$244&gt;73,"",PRODUCT(INDEX($T$19:$T$93,HM$244):INDEX($T$19:$T$93,HM$244+$FJ298-1)))</f>
        <v>0.938209771566289</v>
      </c>
      <c r="HN298" s="150" t="n">
        <f aca="false">IF($FJ298+HN$244&gt;73,"",PRODUCT(INDEX($T$19:$T$93,HN$244):INDEX($T$19:$T$93,HN$244+$FJ298-1)))</f>
        <v>0.928011801325429</v>
      </c>
      <c r="HO298" s="150" t="n">
        <f aca="false">IF($FJ298+HO$244&gt;73,"",PRODUCT(INDEX($T$19:$T$93,HO$244):INDEX($T$19:$T$93,HO$244+$FJ298-1)))</f>
        <v>0.916188334996482</v>
      </c>
      <c r="HP298" s="150" t="n">
        <f aca="false">IF($FJ298+HP$244&gt;73,"",PRODUCT(INDEX($T$19:$T$93,HP$244):INDEX($T$19:$T$93,HP$244+$FJ298-1)))</f>
        <v>0.902501782658789</v>
      </c>
      <c r="HQ298" s="150" t="n">
        <f aca="false">IF($FJ298+HQ$244&gt;73,"",PRODUCT(INDEX($T$19:$T$93,HQ$244):INDEX($T$19:$T$93,HQ$244+$FJ298-1)))</f>
        <v>0.886687974418996</v>
      </c>
      <c r="HR298" s="150" t="n">
        <f aca="false">IF($FJ298+HR$244&gt;73,"",PRODUCT(INDEX($T$19:$T$93,HR$244):INDEX($T$19:$T$93,HR$244+$FJ298-1)))</f>
        <v>0.868456447990496</v>
      </c>
      <c r="HS298" s="150" t="n">
        <f aca="false">IF($FJ298+HS$244&gt;73,"",PRODUCT(INDEX($T$19:$T$93,HS$244):INDEX($T$19:$T$93,HS$244+$FJ298-1)))</f>
        <v>0.847492371079873</v>
      </c>
      <c r="HT298" s="150" t="n">
        <f aca="false">IF($FJ298+HT$244&gt;73,"",PRODUCT(INDEX($T$19:$T$93,HT$244):INDEX($T$19:$T$93,HT$244+$FJ298-1)))</f>
        <v>0.823460841377321</v>
      </c>
      <c r="HU298" s="150" t="n">
        <f aca="false">IF($FJ298+HU$244&gt;73,"",PRODUCT(INDEX($T$19:$T$93,HU$244):INDEX($T$19:$T$93,HU$244+$FJ298-1)))</f>
        <v>0.796014529810129</v>
      </c>
      <c r="HV298" s="150" t="n">
        <f aca="false">IF($FJ298+HV$244&gt;73,"",PRODUCT(INDEX($T$19:$T$93,HV$244):INDEX($T$19:$T$93,HV$244+$FJ298-1)))</f>
        <v>0.764805884359097</v>
      </c>
      <c r="HW298" s="150" t="n">
        <f aca="false">IF($FJ298+HW$244&gt;73,"",PRODUCT(INDEX($T$19:$T$93,HW$244):INDEX($T$19:$T$93,HW$244+$FJ298-1)))</f>
        <v>0.729505368786922</v>
      </c>
      <c r="HX298" s="150" t="n">
        <f aca="false">IF($FJ298+HX$244&gt;73,"",PRODUCT(INDEX($T$19:$T$93,HX$244):INDEX($T$19:$T$93,HX$244+$FJ298-1)))</f>
        <v>0.689827423303106</v>
      </c>
      <c r="HY298" s="150" t="n">
        <f aca="false">IF($FJ298+HY$244&gt;73,"",PRODUCT(INDEX($T$19:$T$93,HY$244):INDEX($T$19:$T$93,HY$244+$FJ298-1)))</f>
        <v>0.64556590974073</v>
      </c>
      <c r="HZ298" s="150" t="n">
        <f aca="false">IF($FJ298+HZ$244&gt;73,"",PRODUCT(INDEX($T$19:$T$93,HZ$244):INDEX($T$19:$T$93,HZ$244+$FJ298-1)))</f>
        <v>0.59664058390664</v>
      </c>
      <c r="IA298" s="150" t="n">
        <f aca="false">IF($FJ298+IA$244&gt;73,"",PRODUCT(INDEX($T$19:$T$93,IA$244):INDEX($T$19:$T$93,IA$244+$FJ298-1)))</f>
        <v>0.543155371377305</v>
      </c>
      <c r="IB298" s="150" t="n">
        <f aca="false">IF($FJ298+IB$244&gt;73,"",PRODUCT(INDEX($T$19:$T$93,IB$244):INDEX($T$19:$T$93,IB$244+$FJ298-1)))</f>
        <v>0.485467542296405</v>
      </c>
      <c r="IC298" s="150" t="n">
        <f aca="false">IF($FJ298+IC$244&gt;73,"",PRODUCT(INDEX($T$19:$T$93,IC$244):INDEX($T$19:$T$93,IC$244+$FJ298-1)))</f>
        <v>0.424263799424195</v>
      </c>
      <c r="ID298" s="572" t="n">
        <f aca="false">IF($FJ298+ID$244&gt;73,"",PRODUCT(INDEX($T$19:$T$93,ID$244):INDEX($T$19:$T$93,ID$244+$FJ298-1)))</f>
        <v>0.36063427086617</v>
      </c>
      <c r="IE298" s="129"/>
    </row>
    <row r="299" customFormat="false" ht="12.75" hidden="false" customHeight="false" outlineLevel="0" collapsed="false">
      <c r="I299" s="735"/>
      <c r="J299" s="727"/>
      <c r="K299" s="728"/>
      <c r="L299" s="195"/>
      <c r="M299" s="729"/>
      <c r="P299" s="727"/>
      <c r="S299" s="1"/>
      <c r="T299" s="727"/>
      <c r="U299" s="195"/>
      <c r="V299" s="195"/>
      <c r="W299" s="195"/>
      <c r="X299" s="195"/>
      <c r="Y299" s="195"/>
      <c r="Z299" s="195"/>
      <c r="AA299" s="195"/>
      <c r="AB299" s="195"/>
      <c r="AC299" s="195"/>
      <c r="AD299" s="195"/>
      <c r="AE299" s="195"/>
      <c r="AF299" s="195"/>
      <c r="AG299" s="195"/>
      <c r="AH299" s="195"/>
      <c r="AI299" s="195"/>
      <c r="AJ299" s="195"/>
      <c r="AK299" s="195"/>
      <c r="AL299" s="195"/>
      <c r="AM299" s="195"/>
      <c r="AN299" s="195"/>
      <c r="AO299" s="532"/>
      <c r="AP299" s="195"/>
      <c r="AQ299" s="532"/>
      <c r="AR299" s="195"/>
      <c r="AS299" s="195"/>
      <c r="AT299" s="240"/>
      <c r="AU299" s="240"/>
      <c r="AV299" s="240"/>
      <c r="AW299" s="730"/>
      <c r="AX299" s="730"/>
      <c r="AY299" s="730"/>
      <c r="AZ299" s="730"/>
      <c r="BA299" s="468"/>
      <c r="BB299" s="468"/>
      <c r="BC299" s="240"/>
      <c r="BD299" s="240"/>
      <c r="BE299" s="240"/>
      <c r="BF299" s="672"/>
      <c r="BG299" s="672"/>
      <c r="BH299" s="672"/>
      <c r="BI299" s="731"/>
      <c r="BJ299" s="672"/>
      <c r="BK299" s="672"/>
      <c r="BL299" s="240"/>
      <c r="BM299" s="736"/>
      <c r="BN299" s="240"/>
      <c r="BO299" s="240"/>
      <c r="BP299" s="240"/>
      <c r="BQ299" s="240"/>
      <c r="BR299" s="240"/>
      <c r="BS299" s="240"/>
      <c r="BT299" s="240"/>
      <c r="BU299" s="240"/>
      <c r="BV299" s="240"/>
      <c r="BW299" s="240"/>
      <c r="BX299" s="240"/>
      <c r="BY299" s="240"/>
      <c r="BZ299" s="240"/>
      <c r="CA299" s="240"/>
      <c r="CB299" s="240"/>
      <c r="CC299" s="240"/>
      <c r="CD299" s="672"/>
      <c r="CE299" s="672"/>
      <c r="CF299" s="672"/>
      <c r="CG299" s="672"/>
      <c r="CH299" s="672"/>
      <c r="CI299" s="672"/>
      <c r="CJ299" s="240"/>
      <c r="CK299" s="240"/>
      <c r="CL299" s="240"/>
      <c r="CM299" s="240"/>
      <c r="CN299" s="240"/>
      <c r="CO299" s="240"/>
      <c r="CP299" s="240"/>
      <c r="CQ299" s="240"/>
      <c r="CR299" s="240"/>
      <c r="CS299" s="240"/>
      <c r="CT299" s="240"/>
      <c r="CU299" s="240"/>
      <c r="CV299" s="240"/>
      <c r="CW299" s="240"/>
      <c r="CX299" s="240"/>
      <c r="CY299" s="240"/>
      <c r="CZ299" s="240"/>
      <c r="DA299" s="240"/>
      <c r="DB299" s="240"/>
      <c r="DC299" s="240"/>
      <c r="DD299" s="240"/>
      <c r="DE299" s="240"/>
      <c r="DF299" s="240"/>
      <c r="DG299" s="240"/>
      <c r="DH299" s="478"/>
      <c r="DI299" s="733"/>
      <c r="DJ299" s="733"/>
      <c r="DK299" s="478"/>
      <c r="DL299" s="3"/>
      <c r="DM299" s="4"/>
      <c r="DN299" s="4"/>
      <c r="DO299" s="4"/>
      <c r="DP299" s="4"/>
      <c r="DQ299" s="4"/>
      <c r="DR299" s="4"/>
      <c r="DS299" s="4"/>
      <c r="DU299" s="195"/>
      <c r="DV299" s="195"/>
      <c r="DW299" s="195"/>
      <c r="DX299" s="195"/>
      <c r="DY299" s="195"/>
      <c r="DZ299" s="195"/>
      <c r="EA299" s="195"/>
      <c r="EB299" s="195"/>
      <c r="EC299" s="195"/>
      <c r="ED299" s="195"/>
      <c r="EE299" s="195"/>
      <c r="EF299" s="195"/>
      <c r="EG299" s="195"/>
      <c r="EL299" s="1"/>
      <c r="EM299" s="195"/>
      <c r="EN299" s="240"/>
      <c r="EO299" s="731"/>
      <c r="EP299" s="195"/>
      <c r="EQ299" s="240"/>
      <c r="ER299" s="195"/>
      <c r="ES299" s="195"/>
      <c r="ET299" s="195"/>
      <c r="EU299" s="672"/>
      <c r="FJ299" s="571" t="n">
        <v>55</v>
      </c>
      <c r="FK299" s="150" t="str">
        <f aca="false">IF($FJ299+FK$244&gt;73,"",PRODUCT(INDEX($T$19:$T$93,FK$244):INDEX($T$19:$T$93,FK$244+$FJ299-1)))</f>
        <v/>
      </c>
      <c r="FL299" s="150" t="str">
        <f aca="false">IF($FJ299+FL$244&gt;73,"",PRODUCT(INDEX($T$19:$T$93,FL$244):INDEX($T$19:$T$93,FL$244+$FJ299-1)))</f>
        <v/>
      </c>
      <c r="FM299" s="150" t="str">
        <f aca="false">IF($FJ299+FM$244&gt;73,"",PRODUCT(INDEX($T$19:$T$93,FM$244):INDEX($T$19:$T$93,FM$244+$FJ299-1)))</f>
        <v/>
      </c>
      <c r="FN299" s="150" t="str">
        <f aca="false">IF($FJ299+FN$244&gt;73,"",PRODUCT(INDEX($T$19:$T$93,FN$244):INDEX($T$19:$T$93,FN$244+$FJ299-1)))</f>
        <v/>
      </c>
      <c r="FO299" s="150" t="str">
        <f aca="false">IF($FJ299+FO$244&gt;73,"",PRODUCT(INDEX($T$19:$T$93,FO$244):INDEX($T$19:$T$93,FO$244+$FJ299-1)))</f>
        <v/>
      </c>
      <c r="FP299" s="150" t="str">
        <f aca="false">IF($FJ299+FP$244&gt;73,"",PRODUCT(INDEX($T$19:$T$93,FP$244):INDEX($T$19:$T$93,FP$244+$FJ299-1)))</f>
        <v/>
      </c>
      <c r="FQ299" s="150" t="str">
        <f aca="false">IF($FJ299+FQ$244&gt;73,"",PRODUCT(INDEX($T$19:$T$93,FQ$244):INDEX($T$19:$T$93,FQ$244+$FJ299-1)))</f>
        <v/>
      </c>
      <c r="FR299" s="150" t="str">
        <f aca="false">IF($FJ299+FR$244&gt;73,"",PRODUCT(INDEX($T$19:$T$93,FR$244):INDEX($T$19:$T$93,FR$244+$FJ299-1)))</f>
        <v/>
      </c>
      <c r="FS299" s="150" t="str">
        <f aca="false">IF($FJ299+FS$244&gt;73,"",PRODUCT(INDEX($T$19:$T$93,FS$244):INDEX($T$19:$T$93,FS$244+$FJ299-1)))</f>
        <v/>
      </c>
      <c r="FT299" s="150" t="str">
        <f aca="false">IF($FJ299+FT$244&gt;73,"",PRODUCT(INDEX($T$19:$T$93,FT$244):INDEX($T$19:$T$93,FT$244+$FJ299-1)))</f>
        <v/>
      </c>
      <c r="FU299" s="150" t="str">
        <f aca="false">IF($FJ299+FU$244&gt;73,"",PRODUCT(INDEX($T$19:$T$93,FU$244):INDEX($T$19:$T$93,FU$244+$FJ299-1)))</f>
        <v/>
      </c>
      <c r="FV299" s="150" t="str">
        <f aca="false">IF($FJ299+FV$244&gt;73,"",PRODUCT(INDEX($T$19:$T$93,FV$244):INDEX($T$19:$T$93,FV$244+$FJ299-1)))</f>
        <v/>
      </c>
      <c r="FW299" s="150" t="str">
        <f aca="false">IF($FJ299+FW$244&gt;73,"",PRODUCT(INDEX($T$19:$T$93,FW$244):INDEX($T$19:$T$93,FW$244+$FJ299-1)))</f>
        <v/>
      </c>
      <c r="FX299" s="150" t="str">
        <f aca="false">IF($FJ299+FX$244&gt;73,"",PRODUCT(INDEX($T$19:$T$93,FX$244):INDEX($T$19:$T$93,FX$244+$FJ299-1)))</f>
        <v/>
      </c>
      <c r="FY299" s="150" t="str">
        <f aca="false">IF($FJ299+FY$244&gt;73,"",PRODUCT(INDEX($T$19:$T$93,FY$244):INDEX($T$19:$T$93,FY$244+$FJ299-1)))</f>
        <v/>
      </c>
      <c r="FZ299" s="150" t="str">
        <f aca="false">IF($FJ299+FZ$244&gt;73,"",PRODUCT(INDEX($T$19:$T$93,FZ$244):INDEX($T$19:$T$93,FZ$244+$FJ299-1)))</f>
        <v/>
      </c>
      <c r="GA299" s="150" t="str">
        <f aca="false">IF($FJ299+GA$244&gt;73,"",PRODUCT(INDEX($T$19:$T$93,GA$244):INDEX($T$19:$T$93,GA$244+$FJ299-1)))</f>
        <v/>
      </c>
      <c r="GB299" s="150" t="str">
        <f aca="false">IF($FJ299+GB$244&gt;73,"",PRODUCT(INDEX($T$19:$T$93,GB$244):INDEX($T$19:$T$93,GB$244+$FJ299-1)))</f>
        <v/>
      </c>
      <c r="GC299" s="150" t="str">
        <f aca="false">IF($FJ299+GC$244&gt;73,"",PRODUCT(INDEX($T$19:$T$93,GC$244):INDEX($T$19:$T$93,GC$244+$FJ299-1)))</f>
        <v/>
      </c>
      <c r="GD299" s="150" t="str">
        <f aca="false">IF($FJ299+GD$244&gt;73,"",PRODUCT(INDEX($T$19:$T$93,GD$244):INDEX($T$19:$T$93,GD$244+$FJ299-1)))</f>
        <v/>
      </c>
      <c r="GE299" s="150" t="str">
        <f aca="false">IF($FJ299+GE$244&gt;73,"",PRODUCT(INDEX($T$19:$T$93,GE$244):INDEX($T$19:$T$93,GE$244+$FJ299-1)))</f>
        <v/>
      </c>
      <c r="GF299" s="150" t="str">
        <f aca="false">IF($FJ299+GF$244&gt;73,"",PRODUCT(INDEX($T$19:$T$93,GF$244):INDEX($T$19:$T$93,GF$244+$FJ299-1)))</f>
        <v/>
      </c>
      <c r="GG299" s="150" t="str">
        <f aca="false">IF($FJ299+GG$244&gt;73,"",PRODUCT(INDEX($T$19:$T$93,GG$244):INDEX($T$19:$T$93,GG$244+$FJ299-1)))</f>
        <v/>
      </c>
      <c r="GH299" s="150" t="str">
        <f aca="false">IF($FJ299+GH$244&gt;73,"",PRODUCT(INDEX($T$19:$T$93,GH$244):INDEX($T$19:$T$93,GH$244+$FJ299-1)))</f>
        <v/>
      </c>
      <c r="GI299" s="150" t="str">
        <f aca="false">IF($FJ299+GI$244&gt;73,"",PRODUCT(INDEX($T$19:$T$93,GI$244):INDEX($T$19:$T$93,GI$244+$FJ299-1)))</f>
        <v/>
      </c>
      <c r="GJ299" s="150" t="str">
        <f aca="false">IF($FJ299+GJ$244&gt;73,"",PRODUCT(INDEX($T$19:$T$93,GJ$244):INDEX($T$19:$T$93,GJ$244+$FJ299-1)))</f>
        <v/>
      </c>
      <c r="GK299" s="150" t="str">
        <f aca="false">IF($FJ299+GK$244&gt;73,"",PRODUCT(INDEX($T$19:$T$93,GK$244):INDEX($T$19:$T$93,GK$244+$FJ299-1)))</f>
        <v/>
      </c>
      <c r="GL299" s="150" t="str">
        <f aca="false">IF($FJ299+GL$244&gt;73,"",PRODUCT(INDEX($T$19:$T$93,GL$244):INDEX($T$19:$T$93,GL$244+$FJ299-1)))</f>
        <v/>
      </c>
      <c r="GM299" s="150" t="str">
        <f aca="false">IF($FJ299+GM$244&gt;73,"",PRODUCT(INDEX($T$19:$T$93,GM$244):INDEX($T$19:$T$93,GM$244+$FJ299-1)))</f>
        <v/>
      </c>
      <c r="GN299" s="150" t="str">
        <f aca="false">IF($FJ299+GN$244&gt;73,"",PRODUCT(INDEX($T$19:$T$93,GN$244):INDEX($T$19:$T$93,GN$244+$FJ299-1)))</f>
        <v/>
      </c>
      <c r="GO299" s="150" t="str">
        <f aca="false">IF($FJ299+GO$244&gt;73,"",PRODUCT(INDEX($T$19:$T$93,GO$244):INDEX($T$19:$T$93,GO$244+$FJ299-1)))</f>
        <v/>
      </c>
      <c r="GP299" s="150" t="str">
        <f aca="false">IF($FJ299+GP$244&gt;73,"",PRODUCT(INDEX($T$19:$T$93,GP$244):INDEX($T$19:$T$93,GP$244+$FJ299-1)))</f>
        <v/>
      </c>
      <c r="GQ299" s="150" t="str">
        <f aca="false">IF($FJ299+GQ$244&gt;73,"",PRODUCT(INDEX($T$19:$T$93,GQ$244):INDEX($T$19:$T$93,GQ$244+$FJ299-1)))</f>
        <v/>
      </c>
      <c r="GR299" s="150" t="str">
        <f aca="false">IF($FJ299+GR$244&gt;73,"",PRODUCT(INDEX($T$19:$T$93,GR$244):INDEX($T$19:$T$93,GR$244+$FJ299-1)))</f>
        <v/>
      </c>
      <c r="GS299" s="150" t="str">
        <f aca="false">IF($FJ299+GS$244&gt;73,"",PRODUCT(INDEX($T$19:$T$93,GS$244):INDEX($T$19:$T$93,GS$244+$FJ299-1)))</f>
        <v/>
      </c>
      <c r="GT299" s="150" t="str">
        <f aca="false">IF($FJ299+GT$244&gt;73,"",PRODUCT(INDEX($T$19:$T$93,GT$244):INDEX($T$19:$T$93,GT$244+$FJ299-1)))</f>
        <v/>
      </c>
      <c r="GU299" s="150" t="str">
        <f aca="false">IF($FJ299+GU$244&gt;73,"",PRODUCT(INDEX($T$19:$T$93,GU$244):INDEX($T$19:$T$93,GU$244+$FJ299-1)))</f>
        <v/>
      </c>
      <c r="GV299" s="150" t="str">
        <f aca="false">IF($FJ299+GV$244&gt;73,"",PRODUCT(INDEX($T$19:$T$93,GV$244):INDEX($T$19:$T$93,GV$244+$FJ299-1)))</f>
        <v/>
      </c>
      <c r="GW299" s="150" t="str">
        <f aca="false">IF($FJ299+GW$244&gt;73,"",PRODUCT(INDEX($T$19:$T$93,GW$244):INDEX($T$19:$T$93,GW$244+$FJ299-1)))</f>
        <v/>
      </c>
      <c r="GX299" s="150" t="str">
        <f aca="false">IF($FJ299+GX$244&gt;73,"",PRODUCT(INDEX($T$19:$T$93,GX$244):INDEX($T$19:$T$93,GX$244+$FJ299-1)))</f>
        <v/>
      </c>
      <c r="GY299" s="150" t="str">
        <f aca="false">IF($FJ299+GY$244&gt;73,"",PRODUCT(INDEX($T$19:$T$93,GY$244):INDEX($T$19:$T$93,GY$244+$FJ299-1)))</f>
        <v/>
      </c>
      <c r="GZ299" s="150" t="str">
        <f aca="false">IF($FJ299+GZ$244&gt;73,"",PRODUCT(INDEX($T$19:$T$93,GZ$244):INDEX($T$19:$T$93,GZ$244+$FJ299-1)))</f>
        <v/>
      </c>
      <c r="HA299" s="150" t="str">
        <f aca="false">IF($FJ299+HA$244&gt;73,"",PRODUCT(INDEX($T$19:$T$93,HA$244):INDEX($T$19:$T$93,HA$244+$FJ299-1)))</f>
        <v/>
      </c>
      <c r="HB299" s="150" t="str">
        <f aca="false">IF($FJ299+HB$244&gt;73,"",PRODUCT(INDEX($T$19:$T$93,HB$244):INDEX($T$19:$T$93,HB$244+$FJ299-1)))</f>
        <v/>
      </c>
      <c r="HC299" s="150" t="str">
        <f aca="false">IF($FJ299+HC$244&gt;73,"",PRODUCT(INDEX($T$19:$T$93,HC$244):INDEX($T$19:$T$93,HC$244+$FJ299-1)))</f>
        <v/>
      </c>
      <c r="HD299" s="150" t="str">
        <f aca="false">IF($FJ299+HD$244&gt;73,"",PRODUCT(INDEX($T$19:$T$93,HD$244):INDEX($T$19:$T$93,HD$244+$FJ299-1)))</f>
        <v/>
      </c>
      <c r="HE299" s="150" t="str">
        <f aca="false">IF($FJ299+HE$244&gt;73,"",PRODUCT(INDEX($T$19:$T$93,HE$244):INDEX($T$19:$T$93,HE$244+$FJ299-1)))</f>
        <v/>
      </c>
      <c r="HF299" s="150" t="str">
        <f aca="false">IF($FJ299+HF$244&gt;73,"",PRODUCT(INDEX($T$19:$T$93,HF$244):INDEX($T$19:$T$93,HF$244+$FJ299-1)))</f>
        <v/>
      </c>
      <c r="HG299" s="150" t="str">
        <f aca="false">IF($FJ299+HG$244&gt;73,"",PRODUCT(INDEX($T$19:$T$93,HG$244):INDEX($T$19:$T$93,HG$244+$FJ299-1)))</f>
        <v/>
      </c>
      <c r="HH299" s="150" t="str">
        <f aca="false">IF($FJ299+HH$244&gt;73,"",PRODUCT(INDEX($T$19:$T$93,HH$244):INDEX($T$19:$T$93,HH$244+$FJ299-1)))</f>
        <v/>
      </c>
      <c r="HI299" s="150" t="str">
        <f aca="false">IF($FJ299+HI$244&gt;73,"",PRODUCT(INDEX($T$19:$T$93,HI$244):INDEX($T$19:$T$93,HI$244+$FJ299-1)))</f>
        <v/>
      </c>
      <c r="HJ299" s="150" t="str">
        <f aca="false">IF($FJ299+HJ$244&gt;73,"",PRODUCT(INDEX($T$19:$T$93,HJ$244):INDEX($T$19:$T$93,HJ$244+$FJ299-1)))</f>
        <v/>
      </c>
      <c r="HK299" s="150" t="str">
        <f aca="false">IF($FJ299+HK$244&gt;73,"",PRODUCT(INDEX($T$19:$T$93,HK$244):INDEX($T$19:$T$93,HK$244+$FJ299-1)))</f>
        <v/>
      </c>
      <c r="HL299" s="150" t="str">
        <f aca="false">IF($FJ299+HL$244&gt;73,"",PRODUCT(INDEX($T$19:$T$93,HL$244):INDEX($T$19:$T$93,HL$244+$FJ299-1)))</f>
        <v/>
      </c>
      <c r="HM299" s="150" t="n">
        <f aca="false">IF($FJ299+HM$244&gt;73,"",PRODUCT(INDEX($T$19:$T$93,HM$244):INDEX($T$19:$T$93,HM$244+$FJ299-1)))</f>
        <v>0.938207950110249</v>
      </c>
      <c r="HN299" s="150" t="n">
        <f aca="false">IF($FJ299+HN$244&gt;73,"",PRODUCT(INDEX($T$19:$T$93,HN$244):INDEX($T$19:$T$93,HN$244+$FJ299-1)))</f>
        <v>0.928009694121245</v>
      </c>
      <c r="HO299" s="150" t="n">
        <f aca="false">IF($FJ299+HO$244&gt;73,"",PRODUCT(INDEX($T$19:$T$93,HO$244):INDEX($T$19:$T$93,HO$244+$FJ299-1)))</f>
        <v>0.916185901827179</v>
      </c>
      <c r="HP299" s="150" t="n">
        <f aca="false">IF($FJ299+HP$244&gt;73,"",PRODUCT(INDEX($T$19:$T$93,HP$244):INDEX($T$19:$T$93,HP$244+$FJ299-1)))</f>
        <v>0.902498979354959</v>
      </c>
      <c r="HQ299" s="150" t="n">
        <f aca="false">IF($FJ299+HQ$244&gt;73,"",PRODUCT(INDEX($T$19:$T$93,HQ$244):INDEX($T$19:$T$93,HQ$244+$FJ299-1)))</f>
        <v>0.886684753145901</v>
      </c>
      <c r="HR299" s="150" t="n">
        <f aca="false">IF($FJ299+HR$244&gt;73,"",PRODUCT(INDEX($T$19:$T$93,HR$244):INDEX($T$19:$T$93,HR$244+$FJ299-1)))</f>
        <v>0.868452757878883</v>
      </c>
      <c r="HS299" s="150" t="n">
        <f aca="false">IF($FJ299+HS$244&gt;73,"",PRODUCT(INDEX($T$19:$T$93,HS$244):INDEX($T$19:$T$93,HS$244+$FJ299-1)))</f>
        <v>0.847488159334478</v>
      </c>
      <c r="HT299" s="150" t="n">
        <f aca="false">IF($FJ299+HT$244&gt;73,"",PRODUCT(INDEX($T$19:$T$93,HT$244):INDEX($T$19:$T$93,HT$244+$FJ299-1)))</f>
        <v>0.823456055029471</v>
      </c>
      <c r="HU299" s="150" t="n">
        <f aca="false">IF($FJ299+HU$244&gt;73,"",PRODUCT(INDEX($T$19:$T$93,HU$244):INDEX($T$19:$T$93,HU$244+$FJ299-1)))</f>
        <v>0.796009118312703</v>
      </c>
      <c r="HV299" s="150" t="n">
        <f aca="false">IF($FJ299+HV$244&gt;73,"",PRODUCT(INDEX($T$19:$T$93,HV$244):INDEX($T$19:$T$93,HV$244+$FJ299-1)))</f>
        <v>0.764799803246837</v>
      </c>
      <c r="HW299" s="150" t="n">
        <f aca="false">IF($FJ299+HW$244&gt;73,"",PRODUCT(INDEX($T$19:$T$93,HW$244):INDEX($T$19:$T$93,HW$244+$FJ299-1)))</f>
        <v>0.729498584630666</v>
      </c>
      <c r="HX299" s="150" t="n">
        <f aca="false">IF($FJ299+HX$244&gt;73,"",PRODUCT(INDEX($T$19:$T$93,HX$244):INDEX($T$19:$T$93,HX$244+$FJ299-1)))</f>
        <v>0.689819920153662</v>
      </c>
      <c r="HY299" s="150" t="n">
        <f aca="false">IF($FJ299+HY$244&gt;73,"",PRODUCT(INDEX($T$19:$T$93,HY$244):INDEX($T$19:$T$93,HY$244+$FJ299-1)))</f>
        <v>0.645557697157226</v>
      </c>
      <c r="HZ299" s="150" t="n">
        <f aca="false">IF($FJ299+HZ$244&gt;73,"",PRODUCT(INDEX($T$19:$T$93,HZ$244):INDEX($T$19:$T$93,HZ$244+$FJ299-1)))</f>
        <v>0.596631706453535</v>
      </c>
      <c r="IA299" s="150" t="n">
        <f aca="false">IF($FJ299+IA$244&gt;73,"",PRODUCT(INDEX($T$19:$T$93,IA$244):INDEX($T$19:$T$93,IA$244+$FJ299-1)))</f>
        <v>0.543145919100649</v>
      </c>
      <c r="IB299" s="150" t="n">
        <f aca="false">IF($FJ299+IB$244&gt;73,"",PRODUCT(INDEX($T$19:$T$93,IB$244):INDEX($T$19:$T$93,IB$244+$FJ299-1)))</f>
        <v>0.485457661095905</v>
      </c>
      <c r="IC299" s="150" t="n">
        <f aca="false">IF($FJ299+IC$244&gt;73,"",PRODUCT(INDEX($T$19:$T$93,IC$244):INDEX($T$19:$T$93,IC$244+$FJ299-1)))</f>
        <v>0.424253699383232</v>
      </c>
      <c r="ID299" s="572" t="n">
        <f aca="false">IF($FJ299+ID$244&gt;73,"",PRODUCT(INDEX($T$19:$T$93,ID$244):INDEX($T$19:$T$93,ID$244+$FJ299-1)))</f>
        <v>0.360624229510566</v>
      </c>
      <c r="IE299" s="129"/>
    </row>
    <row r="300" customFormat="false" ht="12.75" hidden="false" customHeight="false" outlineLevel="0" collapsed="false">
      <c r="I300" s="735"/>
      <c r="J300" s="727"/>
      <c r="K300" s="728"/>
      <c r="L300" s="195"/>
      <c r="M300" s="729"/>
      <c r="P300" s="727"/>
      <c r="S300" s="1"/>
      <c r="T300" s="727"/>
      <c r="U300" s="195"/>
      <c r="V300" s="195"/>
      <c r="W300" s="195"/>
      <c r="X300" s="195"/>
      <c r="Y300" s="195"/>
      <c r="Z300" s="195"/>
      <c r="AA300" s="195"/>
      <c r="AB300" s="195"/>
      <c r="AC300" s="195"/>
      <c r="AD300" s="195"/>
      <c r="AE300" s="195"/>
      <c r="AF300" s="195"/>
      <c r="AG300" s="195"/>
      <c r="AH300" s="195"/>
      <c r="AI300" s="195"/>
      <c r="AJ300" s="195"/>
      <c r="AK300" s="195"/>
      <c r="AL300" s="195"/>
      <c r="AM300" s="195"/>
      <c r="AN300" s="195"/>
      <c r="AO300" s="532"/>
      <c r="AP300" s="195"/>
      <c r="AQ300" s="532"/>
      <c r="AR300" s="195"/>
      <c r="AS300" s="195"/>
      <c r="AT300" s="240"/>
      <c r="AU300" s="240"/>
      <c r="AV300" s="240"/>
      <c r="AW300" s="730"/>
      <c r="AX300" s="730"/>
      <c r="AY300" s="730"/>
      <c r="AZ300" s="730"/>
      <c r="BA300" s="468"/>
      <c r="BB300" s="468"/>
      <c r="BC300" s="240"/>
      <c r="BD300" s="240"/>
      <c r="BE300" s="240"/>
      <c r="BF300" s="672"/>
      <c r="BG300" s="672"/>
      <c r="BH300" s="672"/>
      <c r="BI300" s="731"/>
      <c r="BJ300" s="672"/>
      <c r="BK300" s="672"/>
      <c r="BL300" s="240"/>
      <c r="BM300" s="736"/>
      <c r="BN300" s="240"/>
      <c r="BO300" s="240"/>
      <c r="BP300" s="240"/>
      <c r="BQ300" s="240"/>
      <c r="BR300" s="240"/>
      <c r="BS300" s="240"/>
      <c r="BT300" s="240"/>
      <c r="BU300" s="240"/>
      <c r="BV300" s="240"/>
      <c r="BW300" s="240"/>
      <c r="BX300" s="240"/>
      <c r="BY300" s="240"/>
      <c r="BZ300" s="240"/>
      <c r="CA300" s="240"/>
      <c r="CB300" s="240"/>
      <c r="CC300" s="240"/>
      <c r="CD300" s="672"/>
      <c r="CE300" s="672"/>
      <c r="CF300" s="672"/>
      <c r="CG300" s="672"/>
      <c r="CH300" s="672"/>
      <c r="CI300" s="672"/>
      <c r="CJ300" s="240"/>
      <c r="CK300" s="240"/>
      <c r="CL300" s="240"/>
      <c r="CM300" s="240"/>
      <c r="CN300" s="240"/>
      <c r="CO300" s="240"/>
      <c r="CP300" s="240"/>
      <c r="CQ300" s="240"/>
      <c r="CR300" s="240"/>
      <c r="CS300" s="240"/>
      <c r="CT300" s="240"/>
      <c r="CU300" s="240"/>
      <c r="CV300" s="240"/>
      <c r="CW300" s="240"/>
      <c r="CX300" s="240"/>
      <c r="CY300" s="240"/>
      <c r="CZ300" s="240"/>
      <c r="DA300" s="240"/>
      <c r="DB300" s="240"/>
      <c r="DC300" s="240"/>
      <c r="DD300" s="240"/>
      <c r="DE300" s="240"/>
      <c r="DF300" s="240"/>
      <c r="DG300" s="240"/>
      <c r="DH300" s="478"/>
      <c r="DI300" s="733"/>
      <c r="DJ300" s="733"/>
      <c r="DK300" s="478"/>
      <c r="DL300" s="3"/>
      <c r="DM300" s="4"/>
      <c r="DN300" s="4"/>
      <c r="DO300" s="4"/>
      <c r="DP300" s="4"/>
      <c r="DQ300" s="4"/>
      <c r="DR300" s="4"/>
      <c r="DS300" s="4"/>
      <c r="DU300" s="195"/>
      <c r="DV300" s="195"/>
      <c r="DW300" s="195"/>
      <c r="DX300" s="195"/>
      <c r="DY300" s="195"/>
      <c r="DZ300" s="195"/>
      <c r="EA300" s="195"/>
      <c r="EB300" s="195"/>
      <c r="EC300" s="195"/>
      <c r="ED300" s="195"/>
      <c r="EE300" s="195"/>
      <c r="EF300" s="195"/>
      <c r="EG300" s="195"/>
      <c r="EL300" s="1"/>
      <c r="EM300" s="195"/>
      <c r="EN300" s="240"/>
      <c r="EO300" s="731"/>
      <c r="EP300" s="195"/>
      <c r="EQ300" s="240"/>
      <c r="ER300" s="195"/>
      <c r="ES300" s="195"/>
      <c r="ET300" s="195"/>
      <c r="EU300" s="672"/>
      <c r="FJ300" s="571" t="n">
        <v>56</v>
      </c>
      <c r="FK300" s="150" t="str">
        <f aca="false">IF($FJ300+FK$244&gt;73,"",PRODUCT(INDEX($T$19:$T$93,FK$244):INDEX($T$19:$T$93,FK$244+$FJ300-1)))</f>
        <v/>
      </c>
      <c r="FL300" s="150" t="str">
        <f aca="false">IF($FJ300+FL$244&gt;73,"",PRODUCT(INDEX($T$19:$T$93,FL$244):INDEX($T$19:$T$93,FL$244+$FJ300-1)))</f>
        <v/>
      </c>
      <c r="FM300" s="150" t="str">
        <f aca="false">IF($FJ300+FM$244&gt;73,"",PRODUCT(INDEX($T$19:$T$93,FM$244):INDEX($T$19:$T$93,FM$244+$FJ300-1)))</f>
        <v/>
      </c>
      <c r="FN300" s="150" t="str">
        <f aca="false">IF($FJ300+FN$244&gt;73,"",PRODUCT(INDEX($T$19:$T$93,FN$244):INDEX($T$19:$T$93,FN$244+$FJ300-1)))</f>
        <v/>
      </c>
      <c r="FO300" s="150" t="str">
        <f aca="false">IF($FJ300+FO$244&gt;73,"",PRODUCT(INDEX($T$19:$T$93,FO$244):INDEX($T$19:$T$93,FO$244+$FJ300-1)))</f>
        <v/>
      </c>
      <c r="FP300" s="150" t="str">
        <f aca="false">IF($FJ300+FP$244&gt;73,"",PRODUCT(INDEX($T$19:$T$93,FP$244):INDEX($T$19:$T$93,FP$244+$FJ300-1)))</f>
        <v/>
      </c>
      <c r="FQ300" s="150" t="str">
        <f aca="false">IF($FJ300+FQ$244&gt;73,"",PRODUCT(INDEX($T$19:$T$93,FQ$244):INDEX($T$19:$T$93,FQ$244+$FJ300-1)))</f>
        <v/>
      </c>
      <c r="FR300" s="150" t="str">
        <f aca="false">IF($FJ300+FR$244&gt;73,"",PRODUCT(INDEX($T$19:$T$93,FR$244):INDEX($T$19:$T$93,FR$244+$FJ300-1)))</f>
        <v/>
      </c>
      <c r="FS300" s="150" t="str">
        <f aca="false">IF($FJ300+FS$244&gt;73,"",PRODUCT(INDEX($T$19:$T$93,FS$244):INDEX($T$19:$T$93,FS$244+$FJ300-1)))</f>
        <v/>
      </c>
      <c r="FT300" s="150" t="str">
        <f aca="false">IF($FJ300+FT$244&gt;73,"",PRODUCT(INDEX($T$19:$T$93,FT$244):INDEX($T$19:$T$93,FT$244+$FJ300-1)))</f>
        <v/>
      </c>
      <c r="FU300" s="150" t="str">
        <f aca="false">IF($FJ300+FU$244&gt;73,"",PRODUCT(INDEX($T$19:$T$93,FU$244):INDEX($T$19:$T$93,FU$244+$FJ300-1)))</f>
        <v/>
      </c>
      <c r="FV300" s="150" t="str">
        <f aca="false">IF($FJ300+FV$244&gt;73,"",PRODUCT(INDEX($T$19:$T$93,FV$244):INDEX($T$19:$T$93,FV$244+$FJ300-1)))</f>
        <v/>
      </c>
      <c r="FW300" s="150" t="str">
        <f aca="false">IF($FJ300+FW$244&gt;73,"",PRODUCT(INDEX($T$19:$T$93,FW$244):INDEX($T$19:$T$93,FW$244+$FJ300-1)))</f>
        <v/>
      </c>
      <c r="FX300" s="150" t="str">
        <f aca="false">IF($FJ300+FX$244&gt;73,"",PRODUCT(INDEX($T$19:$T$93,FX$244):INDEX($T$19:$T$93,FX$244+$FJ300-1)))</f>
        <v/>
      </c>
      <c r="FY300" s="150" t="str">
        <f aca="false">IF($FJ300+FY$244&gt;73,"",PRODUCT(INDEX($T$19:$T$93,FY$244):INDEX($T$19:$T$93,FY$244+$FJ300-1)))</f>
        <v/>
      </c>
      <c r="FZ300" s="150" t="str">
        <f aca="false">IF($FJ300+FZ$244&gt;73,"",PRODUCT(INDEX($T$19:$T$93,FZ$244):INDEX($T$19:$T$93,FZ$244+$FJ300-1)))</f>
        <v/>
      </c>
      <c r="GA300" s="150" t="str">
        <f aca="false">IF($FJ300+GA$244&gt;73,"",PRODUCT(INDEX($T$19:$T$93,GA$244):INDEX($T$19:$T$93,GA$244+$FJ300-1)))</f>
        <v/>
      </c>
      <c r="GB300" s="150" t="str">
        <f aca="false">IF($FJ300+GB$244&gt;73,"",PRODUCT(INDEX($T$19:$T$93,GB$244):INDEX($T$19:$T$93,GB$244+$FJ300-1)))</f>
        <v/>
      </c>
      <c r="GC300" s="150" t="str">
        <f aca="false">IF($FJ300+GC$244&gt;73,"",PRODUCT(INDEX($T$19:$T$93,GC$244):INDEX($T$19:$T$93,GC$244+$FJ300-1)))</f>
        <v/>
      </c>
      <c r="GD300" s="150" t="str">
        <f aca="false">IF($FJ300+GD$244&gt;73,"",PRODUCT(INDEX($T$19:$T$93,GD$244):INDEX($T$19:$T$93,GD$244+$FJ300-1)))</f>
        <v/>
      </c>
      <c r="GE300" s="150" t="str">
        <f aca="false">IF($FJ300+GE$244&gt;73,"",PRODUCT(INDEX($T$19:$T$93,GE$244):INDEX($T$19:$T$93,GE$244+$FJ300-1)))</f>
        <v/>
      </c>
      <c r="GF300" s="150" t="str">
        <f aca="false">IF($FJ300+GF$244&gt;73,"",PRODUCT(INDEX($T$19:$T$93,GF$244):INDEX($T$19:$T$93,GF$244+$FJ300-1)))</f>
        <v/>
      </c>
      <c r="GG300" s="150" t="str">
        <f aca="false">IF($FJ300+GG$244&gt;73,"",PRODUCT(INDEX($T$19:$T$93,GG$244):INDEX($T$19:$T$93,GG$244+$FJ300-1)))</f>
        <v/>
      </c>
      <c r="GH300" s="150" t="str">
        <f aca="false">IF($FJ300+GH$244&gt;73,"",PRODUCT(INDEX($T$19:$T$93,GH$244):INDEX($T$19:$T$93,GH$244+$FJ300-1)))</f>
        <v/>
      </c>
      <c r="GI300" s="150" t="str">
        <f aca="false">IF($FJ300+GI$244&gt;73,"",PRODUCT(INDEX($T$19:$T$93,GI$244):INDEX($T$19:$T$93,GI$244+$FJ300-1)))</f>
        <v/>
      </c>
      <c r="GJ300" s="150" t="str">
        <f aca="false">IF($FJ300+GJ$244&gt;73,"",PRODUCT(INDEX($T$19:$T$93,GJ$244):INDEX($T$19:$T$93,GJ$244+$FJ300-1)))</f>
        <v/>
      </c>
      <c r="GK300" s="150" t="str">
        <f aca="false">IF($FJ300+GK$244&gt;73,"",PRODUCT(INDEX($T$19:$T$93,GK$244):INDEX($T$19:$T$93,GK$244+$FJ300-1)))</f>
        <v/>
      </c>
      <c r="GL300" s="150" t="str">
        <f aca="false">IF($FJ300+GL$244&gt;73,"",PRODUCT(INDEX($T$19:$T$93,GL$244):INDEX($T$19:$T$93,GL$244+$FJ300-1)))</f>
        <v/>
      </c>
      <c r="GM300" s="150" t="str">
        <f aca="false">IF($FJ300+GM$244&gt;73,"",PRODUCT(INDEX($T$19:$T$93,GM$244):INDEX($T$19:$T$93,GM$244+$FJ300-1)))</f>
        <v/>
      </c>
      <c r="GN300" s="150" t="str">
        <f aca="false">IF($FJ300+GN$244&gt;73,"",PRODUCT(INDEX($T$19:$T$93,GN$244):INDEX($T$19:$T$93,GN$244+$FJ300-1)))</f>
        <v/>
      </c>
      <c r="GO300" s="150" t="str">
        <f aca="false">IF($FJ300+GO$244&gt;73,"",PRODUCT(INDEX($T$19:$T$93,GO$244):INDEX($T$19:$T$93,GO$244+$FJ300-1)))</f>
        <v/>
      </c>
      <c r="GP300" s="150" t="str">
        <f aca="false">IF($FJ300+GP$244&gt;73,"",PRODUCT(INDEX($T$19:$T$93,GP$244):INDEX($T$19:$T$93,GP$244+$FJ300-1)))</f>
        <v/>
      </c>
      <c r="GQ300" s="150" t="str">
        <f aca="false">IF($FJ300+GQ$244&gt;73,"",PRODUCT(INDEX($T$19:$T$93,GQ$244):INDEX($T$19:$T$93,GQ$244+$FJ300-1)))</f>
        <v/>
      </c>
      <c r="GR300" s="150" t="str">
        <f aca="false">IF($FJ300+GR$244&gt;73,"",PRODUCT(INDEX($T$19:$T$93,GR$244):INDEX($T$19:$T$93,GR$244+$FJ300-1)))</f>
        <v/>
      </c>
      <c r="GS300" s="150" t="str">
        <f aca="false">IF($FJ300+GS$244&gt;73,"",PRODUCT(INDEX($T$19:$T$93,GS$244):INDEX($T$19:$T$93,GS$244+$FJ300-1)))</f>
        <v/>
      </c>
      <c r="GT300" s="150" t="str">
        <f aca="false">IF($FJ300+GT$244&gt;73,"",PRODUCT(INDEX($T$19:$T$93,GT$244):INDEX($T$19:$T$93,GT$244+$FJ300-1)))</f>
        <v/>
      </c>
      <c r="GU300" s="150" t="str">
        <f aca="false">IF($FJ300+GU$244&gt;73,"",PRODUCT(INDEX($T$19:$T$93,GU$244):INDEX($T$19:$T$93,GU$244+$FJ300-1)))</f>
        <v/>
      </c>
      <c r="GV300" s="150" t="str">
        <f aca="false">IF($FJ300+GV$244&gt;73,"",PRODUCT(INDEX($T$19:$T$93,GV$244):INDEX($T$19:$T$93,GV$244+$FJ300-1)))</f>
        <v/>
      </c>
      <c r="GW300" s="150" t="str">
        <f aca="false">IF($FJ300+GW$244&gt;73,"",PRODUCT(INDEX($T$19:$T$93,GW$244):INDEX($T$19:$T$93,GW$244+$FJ300-1)))</f>
        <v/>
      </c>
      <c r="GX300" s="150" t="str">
        <f aca="false">IF($FJ300+GX$244&gt;73,"",PRODUCT(INDEX($T$19:$T$93,GX$244):INDEX($T$19:$T$93,GX$244+$FJ300-1)))</f>
        <v/>
      </c>
      <c r="GY300" s="150" t="str">
        <f aca="false">IF($FJ300+GY$244&gt;73,"",PRODUCT(INDEX($T$19:$T$93,GY$244):INDEX($T$19:$T$93,GY$244+$FJ300-1)))</f>
        <v/>
      </c>
      <c r="GZ300" s="150" t="str">
        <f aca="false">IF($FJ300+GZ$244&gt;73,"",PRODUCT(INDEX($T$19:$T$93,GZ$244):INDEX($T$19:$T$93,GZ$244+$FJ300-1)))</f>
        <v/>
      </c>
      <c r="HA300" s="150" t="str">
        <f aca="false">IF($FJ300+HA$244&gt;73,"",PRODUCT(INDEX($T$19:$T$93,HA$244):INDEX($T$19:$T$93,HA$244+$FJ300-1)))</f>
        <v/>
      </c>
      <c r="HB300" s="150" t="str">
        <f aca="false">IF($FJ300+HB$244&gt;73,"",PRODUCT(INDEX($T$19:$T$93,HB$244):INDEX($T$19:$T$93,HB$244+$FJ300-1)))</f>
        <v/>
      </c>
      <c r="HC300" s="150" t="str">
        <f aca="false">IF($FJ300+HC$244&gt;73,"",PRODUCT(INDEX($T$19:$T$93,HC$244):INDEX($T$19:$T$93,HC$244+$FJ300-1)))</f>
        <v/>
      </c>
      <c r="HD300" s="150" t="str">
        <f aca="false">IF($FJ300+HD$244&gt;73,"",PRODUCT(INDEX($T$19:$T$93,HD$244):INDEX($T$19:$T$93,HD$244+$FJ300-1)))</f>
        <v/>
      </c>
      <c r="HE300" s="150" t="str">
        <f aca="false">IF($FJ300+HE$244&gt;73,"",PRODUCT(INDEX($T$19:$T$93,HE$244):INDEX($T$19:$T$93,HE$244+$FJ300-1)))</f>
        <v/>
      </c>
      <c r="HF300" s="150" t="str">
        <f aca="false">IF($FJ300+HF$244&gt;73,"",PRODUCT(INDEX($T$19:$T$93,HF$244):INDEX($T$19:$T$93,HF$244+$FJ300-1)))</f>
        <v/>
      </c>
      <c r="HG300" s="150" t="str">
        <f aca="false">IF($FJ300+HG$244&gt;73,"",PRODUCT(INDEX($T$19:$T$93,HG$244):INDEX($T$19:$T$93,HG$244+$FJ300-1)))</f>
        <v/>
      </c>
      <c r="HH300" s="150" t="str">
        <f aca="false">IF($FJ300+HH$244&gt;73,"",PRODUCT(INDEX($T$19:$T$93,HH$244):INDEX($T$19:$T$93,HH$244+$FJ300-1)))</f>
        <v/>
      </c>
      <c r="HI300" s="150" t="str">
        <f aca="false">IF($FJ300+HI$244&gt;73,"",PRODUCT(INDEX($T$19:$T$93,HI$244):INDEX($T$19:$T$93,HI$244+$FJ300-1)))</f>
        <v/>
      </c>
      <c r="HJ300" s="150" t="str">
        <f aca="false">IF($FJ300+HJ$244&gt;73,"",PRODUCT(INDEX($T$19:$T$93,HJ$244):INDEX($T$19:$T$93,HJ$244+$FJ300-1)))</f>
        <v/>
      </c>
      <c r="HK300" s="150" t="str">
        <f aca="false">IF($FJ300+HK$244&gt;73,"",PRODUCT(INDEX($T$19:$T$93,HK$244):INDEX($T$19:$T$93,HK$244+$FJ300-1)))</f>
        <v/>
      </c>
      <c r="HL300" s="150" t="str">
        <f aca="false">IF($FJ300+HL$244&gt;73,"",PRODUCT(INDEX($T$19:$T$93,HL$244):INDEX($T$19:$T$93,HL$244+$FJ300-1)))</f>
        <v/>
      </c>
      <c r="HM300" s="150" t="str">
        <f aca="false">IF($FJ300+HM$244&gt;73,"",PRODUCT(INDEX($T$19:$T$93,HM$244):INDEX($T$19:$T$93,HM$244+$FJ300-1)))</f>
        <v/>
      </c>
      <c r="HN300" s="150" t="n">
        <f aca="false">IF($FJ300+HN$244&gt;73,"",PRODUCT(INDEX($T$19:$T$93,HN$244):INDEX($T$19:$T$93,HN$244+$FJ300-1)))</f>
        <v>0.928007892467804</v>
      </c>
      <c r="HO300" s="150" t="n">
        <f aca="false">IF($FJ300+HO$244&gt;73,"",PRODUCT(INDEX($T$19:$T$93,HO$244):INDEX($T$19:$T$93,HO$244+$FJ300-1)))</f>
        <v>0.916183821475654</v>
      </c>
      <c r="HP300" s="150" t="n">
        <f aca="false">IF($FJ300+HP$244&gt;73,"",PRODUCT(INDEX($T$19:$T$93,HP$244):INDEX($T$19:$T$93,HP$244+$FJ300-1)))</f>
        <v>0.902496582541193</v>
      </c>
      <c r="HQ300" s="150" t="n">
        <f aca="false">IF($FJ300+HQ$244&gt;73,"",PRODUCT(INDEX($T$19:$T$93,HQ$244):INDEX($T$19:$T$93,HQ$244+$FJ300-1)))</f>
        <v>0.886681998972101</v>
      </c>
      <c r="HR300" s="150" t="n">
        <f aca="false">IF($FJ300+HR$244&gt;73,"",PRODUCT(INDEX($T$19:$T$93,HR$244):INDEX($T$19:$T$93,HR$244+$FJ300-1)))</f>
        <v>0.868449602853008</v>
      </c>
      <c r="HS300" s="150" t="n">
        <f aca="false">IF($FJ300+HS$244&gt;73,"",PRODUCT(INDEX($T$19:$T$93,HS$244):INDEX($T$19:$T$93,HS$244+$FJ300-1)))</f>
        <v>0.847484558318094</v>
      </c>
      <c r="HT300" s="150" t="n">
        <f aca="false">IF($FJ300+HT$244&gt;73,"",PRODUCT(INDEX($T$19:$T$93,HT$244):INDEX($T$19:$T$93,HT$244+$FJ300-1)))</f>
        <v>0.823451962736295</v>
      </c>
      <c r="HU300" s="150" t="n">
        <f aca="false">IF($FJ300+HU$244&gt;73,"",PRODUCT(INDEX($T$19:$T$93,HU$244):INDEX($T$19:$T$93,HU$244+$FJ300-1)))</f>
        <v>0.796004491527383</v>
      </c>
      <c r="HV300" s="150" t="n">
        <f aca="false">IF($FJ300+HV$244&gt;73,"",PRODUCT(INDEX($T$19:$T$93,HV$244):INDEX($T$19:$T$93,HV$244+$FJ300-1)))</f>
        <v>0.764794603954598</v>
      </c>
      <c r="HW300" s="150" t="n">
        <f aca="false">IF($FJ300+HW$244&gt;73,"",PRODUCT(INDEX($T$19:$T$93,HW$244):INDEX($T$19:$T$93,HW$244+$FJ300-1)))</f>
        <v>0.72949278425324</v>
      </c>
      <c r="HX300" s="150" t="n">
        <f aca="false">IF($FJ300+HX$244&gt;73,"",PRODUCT(INDEX($T$19:$T$93,HX$244):INDEX($T$19:$T$93,HX$244+$FJ300-1)))</f>
        <v>0.689813505058822</v>
      </c>
      <c r="HY300" s="150" t="n">
        <f aca="false">IF($FJ300+HY$244&gt;73,"",PRODUCT(INDEX($T$19:$T$93,HY$244):INDEX($T$19:$T$93,HY$244+$FJ300-1)))</f>
        <v>0.645550675522955</v>
      </c>
      <c r="HZ300" s="150" t="n">
        <f aca="false">IF($FJ300+HZ$244&gt;73,"",PRODUCT(INDEX($T$19:$T$93,HZ$244):INDEX($T$19:$T$93,HZ$244+$FJ300-1)))</f>
        <v>0.59662411638777</v>
      </c>
      <c r="IA300" s="150" t="n">
        <f aca="false">IF($FJ300+IA$244&gt;73,"",PRODUCT(INDEX($T$19:$T$93,IA$244):INDEX($T$19:$T$93,IA$244+$FJ300-1)))</f>
        <v>0.543137837598056</v>
      </c>
      <c r="IB300" s="150" t="n">
        <f aca="false">IF($FJ300+IB$244&gt;73,"",PRODUCT(INDEX($T$19:$T$93,IB$244):INDEX($T$19:$T$93,IB$244+$FJ300-1)))</f>
        <v>0.485449212905278</v>
      </c>
      <c r="IC300" s="150" t="n">
        <f aca="false">IF($FJ300+IC$244&gt;73,"",PRODUCT(INDEX($T$19:$T$93,IC$244):INDEX($T$19:$T$93,IC$244+$FJ300-1)))</f>
        <v>0.424245064128552</v>
      </c>
      <c r="ID300" s="572" t="n">
        <f aca="false">IF($FJ300+ID$244&gt;73,"",PRODUCT(INDEX($T$19:$T$93,ID$244):INDEX($T$19:$T$93,ID$244+$FJ300-1)))</f>
        <v>0.360615644475747</v>
      </c>
      <c r="IE300" s="129"/>
    </row>
    <row r="301" customFormat="false" ht="12.75" hidden="false" customHeight="false" outlineLevel="0" collapsed="false">
      <c r="I301" s="735"/>
      <c r="J301" s="727"/>
      <c r="K301" s="728"/>
      <c r="L301" s="195"/>
      <c r="M301" s="729"/>
      <c r="P301" s="727"/>
      <c r="S301" s="1"/>
      <c r="T301" s="727"/>
      <c r="U301" s="195"/>
      <c r="V301" s="195"/>
      <c r="W301" s="195"/>
      <c r="X301" s="195"/>
      <c r="Y301" s="195"/>
      <c r="Z301" s="195"/>
      <c r="AA301" s="195"/>
      <c r="AB301" s="195"/>
      <c r="AC301" s="195"/>
      <c r="AD301" s="195"/>
      <c r="AE301" s="195"/>
      <c r="AF301" s="195"/>
      <c r="AG301" s="195"/>
      <c r="AH301" s="195"/>
      <c r="AI301" s="195"/>
      <c r="AJ301" s="195"/>
      <c r="AK301" s="195"/>
      <c r="AL301" s="195"/>
      <c r="AM301" s="195"/>
      <c r="AN301" s="195"/>
      <c r="AO301" s="532"/>
      <c r="AP301" s="195"/>
      <c r="AQ301" s="532"/>
      <c r="AR301" s="195"/>
      <c r="AS301" s="195"/>
      <c r="AT301" s="240"/>
      <c r="AU301" s="240"/>
      <c r="AV301" s="240"/>
      <c r="AW301" s="730"/>
      <c r="AX301" s="730"/>
      <c r="AY301" s="730"/>
      <c r="AZ301" s="730"/>
      <c r="BA301" s="468"/>
      <c r="BB301" s="468"/>
      <c r="BC301" s="240"/>
      <c r="BD301" s="240"/>
      <c r="BE301" s="240"/>
      <c r="BF301" s="672"/>
      <c r="BG301" s="672"/>
      <c r="BH301" s="672"/>
      <c r="BI301" s="731"/>
      <c r="BJ301" s="672"/>
      <c r="BK301" s="672"/>
      <c r="BL301" s="240"/>
      <c r="BM301" s="736"/>
      <c r="BN301" s="240"/>
      <c r="BO301" s="240"/>
      <c r="BP301" s="240"/>
      <c r="BQ301" s="240"/>
      <c r="BR301" s="240"/>
      <c r="BS301" s="240"/>
      <c r="BT301" s="240"/>
      <c r="BU301" s="240"/>
      <c r="BV301" s="240"/>
      <c r="BW301" s="240"/>
      <c r="BX301" s="240"/>
      <c r="BY301" s="240"/>
      <c r="BZ301" s="240"/>
      <c r="CA301" s="240"/>
      <c r="CB301" s="240"/>
      <c r="CC301" s="240"/>
      <c r="CD301" s="672"/>
      <c r="CE301" s="672"/>
      <c r="CF301" s="672"/>
      <c r="CG301" s="672"/>
      <c r="CH301" s="672"/>
      <c r="CI301" s="672"/>
      <c r="CJ301" s="240"/>
      <c r="CK301" s="240"/>
      <c r="CL301" s="240"/>
      <c r="CM301" s="240"/>
      <c r="CN301" s="240"/>
      <c r="CO301" s="240"/>
      <c r="CP301" s="240"/>
      <c r="CQ301" s="240"/>
      <c r="CR301" s="240"/>
      <c r="CS301" s="240"/>
      <c r="CT301" s="240"/>
      <c r="CU301" s="240"/>
      <c r="CV301" s="240"/>
      <c r="CW301" s="240"/>
      <c r="CX301" s="240"/>
      <c r="CY301" s="240"/>
      <c r="CZ301" s="240"/>
      <c r="DA301" s="240"/>
      <c r="DB301" s="240"/>
      <c r="DC301" s="240"/>
      <c r="DD301" s="240"/>
      <c r="DE301" s="240"/>
      <c r="DF301" s="240"/>
      <c r="DG301" s="240"/>
      <c r="DH301" s="478"/>
      <c r="DI301" s="733"/>
      <c r="DJ301" s="733"/>
      <c r="DK301" s="478"/>
      <c r="DL301" s="3"/>
      <c r="DM301" s="4"/>
      <c r="DN301" s="4"/>
      <c r="DO301" s="4"/>
      <c r="DP301" s="4"/>
      <c r="DQ301" s="4"/>
      <c r="DR301" s="4"/>
      <c r="DS301" s="4"/>
      <c r="DU301" s="195"/>
      <c r="DV301" s="195"/>
      <c r="DW301" s="195"/>
      <c r="DX301" s="195"/>
      <c r="DY301" s="195"/>
      <c r="DZ301" s="195"/>
      <c r="EA301" s="195"/>
      <c r="EB301" s="195"/>
      <c r="EC301" s="195"/>
      <c r="ED301" s="195"/>
      <c r="EE301" s="195"/>
      <c r="EF301" s="195"/>
      <c r="EG301" s="195"/>
      <c r="EL301" s="1"/>
      <c r="EM301" s="195"/>
      <c r="EN301" s="240"/>
      <c r="EO301" s="731"/>
      <c r="EP301" s="195"/>
      <c r="EQ301" s="240"/>
      <c r="ER301" s="195"/>
      <c r="ES301" s="195"/>
      <c r="ET301" s="195"/>
      <c r="EU301" s="672"/>
      <c r="FJ301" s="571" t="n">
        <v>57</v>
      </c>
      <c r="FK301" s="150" t="str">
        <f aca="false">IF($FJ301+FK$244&gt;73,"",PRODUCT(INDEX($T$19:$T$93,FK$244):INDEX($T$19:$T$93,FK$244+$FJ301-1)))</f>
        <v/>
      </c>
      <c r="FL301" s="150" t="str">
        <f aca="false">IF($FJ301+FL$244&gt;73,"",PRODUCT(INDEX($T$19:$T$93,FL$244):INDEX($T$19:$T$93,FL$244+$FJ301-1)))</f>
        <v/>
      </c>
      <c r="FM301" s="150" t="str">
        <f aca="false">IF($FJ301+FM$244&gt;73,"",PRODUCT(INDEX($T$19:$T$93,FM$244):INDEX($T$19:$T$93,FM$244+$FJ301-1)))</f>
        <v/>
      </c>
      <c r="FN301" s="150" t="str">
        <f aca="false">IF($FJ301+FN$244&gt;73,"",PRODUCT(INDEX($T$19:$T$93,FN$244):INDEX($T$19:$T$93,FN$244+$FJ301-1)))</f>
        <v/>
      </c>
      <c r="FO301" s="150" t="str">
        <f aca="false">IF($FJ301+FO$244&gt;73,"",PRODUCT(INDEX($T$19:$T$93,FO$244):INDEX($T$19:$T$93,FO$244+$FJ301-1)))</f>
        <v/>
      </c>
      <c r="FP301" s="150" t="str">
        <f aca="false">IF($FJ301+FP$244&gt;73,"",PRODUCT(INDEX($T$19:$T$93,FP$244):INDEX($T$19:$T$93,FP$244+$FJ301-1)))</f>
        <v/>
      </c>
      <c r="FQ301" s="150" t="str">
        <f aca="false">IF($FJ301+FQ$244&gt;73,"",PRODUCT(INDEX($T$19:$T$93,FQ$244):INDEX($T$19:$T$93,FQ$244+$FJ301-1)))</f>
        <v/>
      </c>
      <c r="FR301" s="150" t="str">
        <f aca="false">IF($FJ301+FR$244&gt;73,"",PRODUCT(INDEX($T$19:$T$93,FR$244):INDEX($T$19:$T$93,FR$244+$FJ301-1)))</f>
        <v/>
      </c>
      <c r="FS301" s="150" t="str">
        <f aca="false">IF($FJ301+FS$244&gt;73,"",PRODUCT(INDEX($T$19:$T$93,FS$244):INDEX($T$19:$T$93,FS$244+$FJ301-1)))</f>
        <v/>
      </c>
      <c r="FT301" s="150" t="str">
        <f aca="false">IF($FJ301+FT$244&gt;73,"",PRODUCT(INDEX($T$19:$T$93,FT$244):INDEX($T$19:$T$93,FT$244+$FJ301-1)))</f>
        <v/>
      </c>
      <c r="FU301" s="150" t="str">
        <f aca="false">IF($FJ301+FU$244&gt;73,"",PRODUCT(INDEX($T$19:$T$93,FU$244):INDEX($T$19:$T$93,FU$244+$FJ301-1)))</f>
        <v/>
      </c>
      <c r="FV301" s="150" t="str">
        <f aca="false">IF($FJ301+FV$244&gt;73,"",PRODUCT(INDEX($T$19:$T$93,FV$244):INDEX($T$19:$T$93,FV$244+$FJ301-1)))</f>
        <v/>
      </c>
      <c r="FW301" s="150" t="str">
        <f aca="false">IF($FJ301+FW$244&gt;73,"",PRODUCT(INDEX($T$19:$T$93,FW$244):INDEX($T$19:$T$93,FW$244+$FJ301-1)))</f>
        <v/>
      </c>
      <c r="FX301" s="150" t="str">
        <f aca="false">IF($FJ301+FX$244&gt;73,"",PRODUCT(INDEX($T$19:$T$93,FX$244):INDEX($T$19:$T$93,FX$244+$FJ301-1)))</f>
        <v/>
      </c>
      <c r="FY301" s="150" t="str">
        <f aca="false">IF($FJ301+FY$244&gt;73,"",PRODUCT(INDEX($T$19:$T$93,FY$244):INDEX($T$19:$T$93,FY$244+$FJ301-1)))</f>
        <v/>
      </c>
      <c r="FZ301" s="150" t="str">
        <f aca="false">IF($FJ301+FZ$244&gt;73,"",PRODUCT(INDEX($T$19:$T$93,FZ$244):INDEX($T$19:$T$93,FZ$244+$FJ301-1)))</f>
        <v/>
      </c>
      <c r="GA301" s="150" t="str">
        <f aca="false">IF($FJ301+GA$244&gt;73,"",PRODUCT(INDEX($T$19:$T$93,GA$244):INDEX($T$19:$T$93,GA$244+$FJ301-1)))</f>
        <v/>
      </c>
      <c r="GB301" s="150" t="str">
        <f aca="false">IF($FJ301+GB$244&gt;73,"",PRODUCT(INDEX($T$19:$T$93,GB$244):INDEX($T$19:$T$93,GB$244+$FJ301-1)))</f>
        <v/>
      </c>
      <c r="GC301" s="150" t="str">
        <f aca="false">IF($FJ301+GC$244&gt;73,"",PRODUCT(INDEX($T$19:$T$93,GC$244):INDEX($T$19:$T$93,GC$244+$FJ301-1)))</f>
        <v/>
      </c>
      <c r="GD301" s="150" t="str">
        <f aca="false">IF($FJ301+GD$244&gt;73,"",PRODUCT(INDEX($T$19:$T$93,GD$244):INDEX($T$19:$T$93,GD$244+$FJ301-1)))</f>
        <v/>
      </c>
      <c r="GE301" s="150" t="str">
        <f aca="false">IF($FJ301+GE$244&gt;73,"",PRODUCT(INDEX($T$19:$T$93,GE$244):INDEX($T$19:$T$93,GE$244+$FJ301-1)))</f>
        <v/>
      </c>
      <c r="GF301" s="150" t="str">
        <f aca="false">IF($FJ301+GF$244&gt;73,"",PRODUCT(INDEX($T$19:$T$93,GF$244):INDEX($T$19:$T$93,GF$244+$FJ301-1)))</f>
        <v/>
      </c>
      <c r="GG301" s="150" t="str">
        <f aca="false">IF($FJ301+GG$244&gt;73,"",PRODUCT(INDEX($T$19:$T$93,GG$244):INDEX($T$19:$T$93,GG$244+$FJ301-1)))</f>
        <v/>
      </c>
      <c r="GH301" s="150" t="str">
        <f aca="false">IF($FJ301+GH$244&gt;73,"",PRODUCT(INDEX($T$19:$T$93,GH$244):INDEX($T$19:$T$93,GH$244+$FJ301-1)))</f>
        <v/>
      </c>
      <c r="GI301" s="150" t="str">
        <f aca="false">IF($FJ301+GI$244&gt;73,"",PRODUCT(INDEX($T$19:$T$93,GI$244):INDEX($T$19:$T$93,GI$244+$FJ301-1)))</f>
        <v/>
      </c>
      <c r="GJ301" s="150" t="str">
        <f aca="false">IF($FJ301+GJ$244&gt;73,"",PRODUCT(INDEX($T$19:$T$93,GJ$244):INDEX($T$19:$T$93,GJ$244+$FJ301-1)))</f>
        <v/>
      </c>
      <c r="GK301" s="150" t="str">
        <f aca="false">IF($FJ301+GK$244&gt;73,"",PRODUCT(INDEX($T$19:$T$93,GK$244):INDEX($T$19:$T$93,GK$244+$FJ301-1)))</f>
        <v/>
      </c>
      <c r="GL301" s="150" t="str">
        <f aca="false">IF($FJ301+GL$244&gt;73,"",PRODUCT(INDEX($T$19:$T$93,GL$244):INDEX($T$19:$T$93,GL$244+$FJ301-1)))</f>
        <v/>
      </c>
      <c r="GM301" s="150" t="str">
        <f aca="false">IF($FJ301+GM$244&gt;73,"",PRODUCT(INDEX($T$19:$T$93,GM$244):INDEX($T$19:$T$93,GM$244+$FJ301-1)))</f>
        <v/>
      </c>
      <c r="GN301" s="150" t="str">
        <f aca="false">IF($FJ301+GN$244&gt;73,"",PRODUCT(INDEX($T$19:$T$93,GN$244):INDEX($T$19:$T$93,GN$244+$FJ301-1)))</f>
        <v/>
      </c>
      <c r="GO301" s="150" t="str">
        <f aca="false">IF($FJ301+GO$244&gt;73,"",PRODUCT(INDEX($T$19:$T$93,GO$244):INDEX($T$19:$T$93,GO$244+$FJ301-1)))</f>
        <v/>
      </c>
      <c r="GP301" s="150" t="str">
        <f aca="false">IF($FJ301+GP$244&gt;73,"",PRODUCT(INDEX($T$19:$T$93,GP$244):INDEX($T$19:$T$93,GP$244+$FJ301-1)))</f>
        <v/>
      </c>
      <c r="GQ301" s="150" t="str">
        <f aca="false">IF($FJ301+GQ$244&gt;73,"",PRODUCT(INDEX($T$19:$T$93,GQ$244):INDEX($T$19:$T$93,GQ$244+$FJ301-1)))</f>
        <v/>
      </c>
      <c r="GR301" s="150" t="str">
        <f aca="false">IF($FJ301+GR$244&gt;73,"",PRODUCT(INDEX($T$19:$T$93,GR$244):INDEX($T$19:$T$93,GR$244+$FJ301-1)))</f>
        <v/>
      </c>
      <c r="GS301" s="150" t="str">
        <f aca="false">IF($FJ301+GS$244&gt;73,"",PRODUCT(INDEX($T$19:$T$93,GS$244):INDEX($T$19:$T$93,GS$244+$FJ301-1)))</f>
        <v/>
      </c>
      <c r="GT301" s="150" t="str">
        <f aca="false">IF($FJ301+GT$244&gt;73,"",PRODUCT(INDEX($T$19:$T$93,GT$244):INDEX($T$19:$T$93,GT$244+$FJ301-1)))</f>
        <v/>
      </c>
      <c r="GU301" s="150" t="str">
        <f aca="false">IF($FJ301+GU$244&gt;73,"",PRODUCT(INDEX($T$19:$T$93,GU$244):INDEX($T$19:$T$93,GU$244+$FJ301-1)))</f>
        <v/>
      </c>
      <c r="GV301" s="150" t="str">
        <f aca="false">IF($FJ301+GV$244&gt;73,"",PRODUCT(INDEX($T$19:$T$93,GV$244):INDEX($T$19:$T$93,GV$244+$FJ301-1)))</f>
        <v/>
      </c>
      <c r="GW301" s="150" t="str">
        <f aca="false">IF($FJ301+GW$244&gt;73,"",PRODUCT(INDEX($T$19:$T$93,GW$244):INDEX($T$19:$T$93,GW$244+$FJ301-1)))</f>
        <v/>
      </c>
      <c r="GX301" s="150" t="str">
        <f aca="false">IF($FJ301+GX$244&gt;73,"",PRODUCT(INDEX($T$19:$T$93,GX$244):INDEX($T$19:$T$93,GX$244+$FJ301-1)))</f>
        <v/>
      </c>
      <c r="GY301" s="150" t="str">
        <f aca="false">IF($FJ301+GY$244&gt;73,"",PRODUCT(INDEX($T$19:$T$93,GY$244):INDEX($T$19:$T$93,GY$244+$FJ301-1)))</f>
        <v/>
      </c>
      <c r="GZ301" s="150" t="str">
        <f aca="false">IF($FJ301+GZ$244&gt;73,"",PRODUCT(INDEX($T$19:$T$93,GZ$244):INDEX($T$19:$T$93,GZ$244+$FJ301-1)))</f>
        <v/>
      </c>
      <c r="HA301" s="150" t="str">
        <f aca="false">IF($FJ301+HA$244&gt;73,"",PRODUCT(INDEX($T$19:$T$93,HA$244):INDEX($T$19:$T$93,HA$244+$FJ301-1)))</f>
        <v/>
      </c>
      <c r="HB301" s="150" t="str">
        <f aca="false">IF($FJ301+HB$244&gt;73,"",PRODUCT(INDEX($T$19:$T$93,HB$244):INDEX($T$19:$T$93,HB$244+$FJ301-1)))</f>
        <v/>
      </c>
      <c r="HC301" s="150" t="str">
        <f aca="false">IF($FJ301+HC$244&gt;73,"",PRODUCT(INDEX($T$19:$T$93,HC$244):INDEX($T$19:$T$93,HC$244+$FJ301-1)))</f>
        <v/>
      </c>
      <c r="HD301" s="150" t="str">
        <f aca="false">IF($FJ301+HD$244&gt;73,"",PRODUCT(INDEX($T$19:$T$93,HD$244):INDEX($T$19:$T$93,HD$244+$FJ301-1)))</f>
        <v/>
      </c>
      <c r="HE301" s="150" t="str">
        <f aca="false">IF($FJ301+HE$244&gt;73,"",PRODUCT(INDEX($T$19:$T$93,HE$244):INDEX($T$19:$T$93,HE$244+$FJ301-1)))</f>
        <v/>
      </c>
      <c r="HF301" s="150" t="str">
        <f aca="false">IF($FJ301+HF$244&gt;73,"",PRODUCT(INDEX($T$19:$T$93,HF$244):INDEX($T$19:$T$93,HF$244+$FJ301-1)))</f>
        <v/>
      </c>
      <c r="HG301" s="150" t="str">
        <f aca="false">IF($FJ301+HG$244&gt;73,"",PRODUCT(INDEX($T$19:$T$93,HG$244):INDEX($T$19:$T$93,HG$244+$FJ301-1)))</f>
        <v/>
      </c>
      <c r="HH301" s="150" t="str">
        <f aca="false">IF($FJ301+HH$244&gt;73,"",PRODUCT(INDEX($T$19:$T$93,HH$244):INDEX($T$19:$T$93,HH$244+$FJ301-1)))</f>
        <v/>
      </c>
      <c r="HI301" s="150" t="str">
        <f aca="false">IF($FJ301+HI$244&gt;73,"",PRODUCT(INDEX($T$19:$T$93,HI$244):INDEX($T$19:$T$93,HI$244+$FJ301-1)))</f>
        <v/>
      </c>
      <c r="HJ301" s="150" t="str">
        <f aca="false">IF($FJ301+HJ$244&gt;73,"",PRODUCT(INDEX($T$19:$T$93,HJ$244):INDEX($T$19:$T$93,HJ$244+$FJ301-1)))</f>
        <v/>
      </c>
      <c r="HK301" s="150" t="str">
        <f aca="false">IF($FJ301+HK$244&gt;73,"",PRODUCT(INDEX($T$19:$T$93,HK$244):INDEX($T$19:$T$93,HK$244+$FJ301-1)))</f>
        <v/>
      </c>
      <c r="HL301" s="150" t="str">
        <f aca="false">IF($FJ301+HL$244&gt;73,"",PRODUCT(INDEX($T$19:$T$93,HL$244):INDEX($T$19:$T$93,HL$244+$FJ301-1)))</f>
        <v/>
      </c>
      <c r="HM301" s="150" t="str">
        <f aca="false">IF($FJ301+HM$244&gt;73,"",PRODUCT(INDEX($T$19:$T$93,HM$244):INDEX($T$19:$T$93,HM$244+$FJ301-1)))</f>
        <v/>
      </c>
      <c r="HN301" s="150" t="str">
        <f aca="false">IF($FJ301+HN$244&gt;73,"",PRODUCT(INDEX($T$19:$T$93,HN$244):INDEX($T$19:$T$93,HN$244+$FJ301-1)))</f>
        <v/>
      </c>
      <c r="HO301" s="150" t="n">
        <f aca="false">IF($FJ301+HO$244&gt;73,"",PRODUCT(INDEX($T$19:$T$93,HO$244):INDEX($T$19:$T$93,HO$244+$FJ301-1)))</f>
        <v>0.916182042781159</v>
      </c>
      <c r="HP301" s="150" t="n">
        <f aca="false">IF($FJ301+HP$244&gt;73,"",PRODUCT(INDEX($T$19:$T$93,HP$244):INDEX($T$19:$T$93,HP$244+$FJ301-1)))</f>
        <v>0.90249453327353</v>
      </c>
      <c r="HQ301" s="150" t="n">
        <f aca="false">IF($FJ301+HQ$244&gt;73,"",PRODUCT(INDEX($T$19:$T$93,HQ$244):INDEX($T$19:$T$93,HQ$244+$FJ301-1)))</f>
        <v>0.886679644164318</v>
      </c>
      <c r="HR301" s="150" t="n">
        <f aca="false">IF($FJ301+HR$244&gt;73,"",PRODUCT(INDEX($T$19:$T$93,HR$244):INDEX($T$19:$T$93,HR$244+$FJ301-1)))</f>
        <v>0.868446905320277</v>
      </c>
      <c r="HS301" s="150" t="n">
        <f aca="false">IF($FJ301+HS$244&gt;73,"",PRODUCT(INDEX($T$19:$T$93,HS$244):INDEX($T$19:$T$93,HS$244+$FJ301-1)))</f>
        <v>0.847481479468167</v>
      </c>
      <c r="HT301" s="150" t="n">
        <f aca="false">IF($FJ301+HT$244&gt;73,"",PRODUCT(INDEX($T$19:$T$93,HT$244):INDEX($T$19:$T$93,HT$244+$FJ301-1)))</f>
        <v>0.823448463850822</v>
      </c>
      <c r="HU301" s="150" t="n">
        <f aca="false">IF($FJ301+HU$244&gt;73,"",PRODUCT(INDEX($T$19:$T$93,HU$244):INDEX($T$19:$T$93,HU$244+$FJ301-1)))</f>
        <v>0.796000535659029</v>
      </c>
      <c r="HV301" s="150" t="n">
        <f aca="false">IF($FJ301+HV$244&gt;73,"",PRODUCT(INDEX($T$19:$T$93,HV$244):INDEX($T$19:$T$93,HV$244+$FJ301-1)))</f>
        <v>0.76479015860295</v>
      </c>
      <c r="HW301" s="150" t="n">
        <f aca="false">IF($FJ301+HW$244&gt;73,"",PRODUCT(INDEX($T$19:$T$93,HW$244):INDEX($T$19:$T$93,HW$244+$FJ301-1)))</f>
        <v>0.729487824986573</v>
      </c>
      <c r="HX301" s="150" t="n">
        <f aca="false">IF($FJ301+HX$244&gt;73,"",PRODUCT(INDEX($T$19:$T$93,HX$244):INDEX($T$19:$T$93,HX$244+$FJ301-1)))</f>
        <v>0.689808020224763</v>
      </c>
      <c r="HY301" s="150" t="n">
        <f aca="false">IF($FJ301+HY$244&gt;73,"",PRODUCT(INDEX($T$19:$T$93,HY$244):INDEX($T$19:$T$93,HY$244+$FJ301-1)))</f>
        <v>0.645544672117303</v>
      </c>
      <c r="HZ301" s="150" t="n">
        <f aca="false">IF($FJ301+HZ$244&gt;73,"",PRODUCT(INDEX($T$19:$T$93,HZ$244):INDEX($T$19:$T$93,HZ$244+$FJ301-1)))</f>
        <v>0.596617626996719</v>
      </c>
      <c r="IA301" s="150" t="n">
        <f aca="false">IF($FJ301+IA$244&gt;73,"",PRODUCT(INDEX($T$19:$T$93,IA$244):INDEX($T$19:$T$93,IA$244+$FJ301-1)))</f>
        <v>0.543130928055934</v>
      </c>
      <c r="IB301" s="150" t="n">
        <f aca="false">IF($FJ301+IB$244&gt;73,"",PRODUCT(INDEX($T$19:$T$93,IB$244):INDEX($T$19:$T$93,IB$244+$FJ301-1)))</f>
        <v>0.485441989875637</v>
      </c>
      <c r="IC301" s="150" t="n">
        <f aca="false">IF($FJ301+IC$244&gt;73,"",PRODUCT(INDEX($T$19:$T$93,IC$244):INDEX($T$19:$T$93,IC$244+$FJ301-1)))</f>
        <v>0.424237681191868</v>
      </c>
      <c r="ID301" s="572" t="n">
        <f aca="false">IF($FJ301+ID$244&gt;73,"",PRODUCT(INDEX($T$19:$T$93,ID$244):INDEX($T$19:$T$93,ID$244+$FJ301-1)))</f>
        <v>0.360608304509269</v>
      </c>
      <c r="IE301" s="129"/>
    </row>
    <row r="302" customFormat="false" ht="12.75" hidden="false" customHeight="false" outlineLevel="0" collapsed="false">
      <c r="I302" s="735"/>
      <c r="J302" s="727"/>
      <c r="K302" s="728"/>
      <c r="L302" s="195"/>
      <c r="M302" s="729"/>
      <c r="P302" s="727"/>
      <c r="S302" s="1"/>
      <c r="T302" s="727"/>
      <c r="U302" s="195"/>
      <c r="V302" s="195"/>
      <c r="W302" s="195"/>
      <c r="X302" s="195"/>
      <c r="Y302" s="195"/>
      <c r="Z302" s="195"/>
      <c r="AA302" s="195"/>
      <c r="AB302" s="195"/>
      <c r="AC302" s="195"/>
      <c r="AD302" s="195"/>
      <c r="AE302" s="195"/>
      <c r="AF302" s="195"/>
      <c r="AG302" s="195"/>
      <c r="AH302" s="195"/>
      <c r="AI302" s="195"/>
      <c r="AJ302" s="195"/>
      <c r="AK302" s="195"/>
      <c r="AL302" s="195"/>
      <c r="AM302" s="195"/>
      <c r="AN302" s="195"/>
      <c r="AO302" s="532"/>
      <c r="AP302" s="195"/>
      <c r="AQ302" s="532"/>
      <c r="AR302" s="195"/>
      <c r="AS302" s="195"/>
      <c r="AT302" s="240"/>
      <c r="AU302" s="240"/>
      <c r="AV302" s="240"/>
      <c r="AW302" s="730"/>
      <c r="AX302" s="730"/>
      <c r="AY302" s="730"/>
      <c r="AZ302" s="730"/>
      <c r="BA302" s="468"/>
      <c r="BB302" s="468"/>
      <c r="BC302" s="240"/>
      <c r="BD302" s="240"/>
      <c r="BE302" s="240"/>
      <c r="BF302" s="672"/>
      <c r="BG302" s="672"/>
      <c r="BH302" s="672"/>
      <c r="BI302" s="731"/>
      <c r="BJ302" s="672"/>
      <c r="BK302" s="672"/>
      <c r="BL302" s="240"/>
      <c r="BM302" s="736"/>
      <c r="BN302" s="240"/>
      <c r="BO302" s="240"/>
      <c r="BP302" s="240"/>
      <c r="BQ302" s="240"/>
      <c r="BR302" s="240"/>
      <c r="BS302" s="240"/>
      <c r="BT302" s="240"/>
      <c r="BU302" s="240"/>
      <c r="BV302" s="240"/>
      <c r="BW302" s="240"/>
      <c r="BX302" s="240"/>
      <c r="BY302" s="240"/>
      <c r="BZ302" s="240"/>
      <c r="CA302" s="240"/>
      <c r="CB302" s="240"/>
      <c r="CC302" s="240"/>
      <c r="CD302" s="672"/>
      <c r="CE302" s="672"/>
      <c r="CF302" s="672"/>
      <c r="CG302" s="672"/>
      <c r="CH302" s="672"/>
      <c r="CI302" s="672"/>
      <c r="CJ302" s="240"/>
      <c r="CK302" s="240"/>
      <c r="CL302" s="240"/>
      <c r="CM302" s="240"/>
      <c r="CN302" s="240"/>
      <c r="CO302" s="240"/>
      <c r="CP302" s="240"/>
      <c r="CQ302" s="240"/>
      <c r="CR302" s="240"/>
      <c r="CS302" s="240"/>
      <c r="CT302" s="240"/>
      <c r="CU302" s="240"/>
      <c r="CV302" s="240"/>
      <c r="CW302" s="240"/>
      <c r="CX302" s="240"/>
      <c r="CY302" s="240"/>
      <c r="CZ302" s="240"/>
      <c r="DA302" s="240"/>
      <c r="DB302" s="240"/>
      <c r="DC302" s="240"/>
      <c r="DD302" s="240"/>
      <c r="DE302" s="240"/>
      <c r="DF302" s="240"/>
      <c r="DG302" s="240"/>
      <c r="DH302" s="478"/>
      <c r="DI302" s="733"/>
      <c r="DJ302" s="733"/>
      <c r="DK302" s="478"/>
      <c r="DL302" s="3"/>
      <c r="DM302" s="4"/>
      <c r="DN302" s="4"/>
      <c r="DO302" s="4"/>
      <c r="DP302" s="4"/>
      <c r="DQ302" s="4"/>
      <c r="DR302" s="4"/>
      <c r="DS302" s="4"/>
      <c r="DU302" s="195"/>
      <c r="DV302" s="195"/>
      <c r="DW302" s="195"/>
      <c r="DX302" s="195"/>
      <c r="DY302" s="195"/>
      <c r="DZ302" s="195"/>
      <c r="EA302" s="195"/>
      <c r="EB302" s="195"/>
      <c r="EC302" s="195"/>
      <c r="ED302" s="195"/>
      <c r="EE302" s="195"/>
      <c r="EF302" s="195"/>
      <c r="EG302" s="195"/>
      <c r="EL302" s="1"/>
      <c r="EM302" s="195"/>
      <c r="EN302" s="240"/>
      <c r="EO302" s="731"/>
      <c r="EP302" s="195"/>
      <c r="EQ302" s="240"/>
      <c r="ER302" s="195"/>
      <c r="ES302" s="195"/>
      <c r="ET302" s="195"/>
      <c r="EU302" s="672"/>
      <c r="FJ302" s="571" t="n">
        <v>58</v>
      </c>
      <c r="FK302" s="150" t="str">
        <f aca="false">IF($FJ302+FK$244&gt;73,"",PRODUCT(INDEX($T$19:$T$93,FK$244):INDEX($T$19:$T$93,FK$244+$FJ302-1)))</f>
        <v/>
      </c>
      <c r="FL302" s="150" t="str">
        <f aca="false">IF($FJ302+FL$244&gt;73,"",PRODUCT(INDEX($T$19:$T$93,FL$244):INDEX($T$19:$T$93,FL$244+$FJ302-1)))</f>
        <v/>
      </c>
      <c r="FM302" s="150" t="str">
        <f aca="false">IF($FJ302+FM$244&gt;73,"",PRODUCT(INDEX($T$19:$T$93,FM$244):INDEX($T$19:$T$93,FM$244+$FJ302-1)))</f>
        <v/>
      </c>
      <c r="FN302" s="150" t="str">
        <f aca="false">IF($FJ302+FN$244&gt;73,"",PRODUCT(INDEX($T$19:$T$93,FN$244):INDEX($T$19:$T$93,FN$244+$FJ302-1)))</f>
        <v/>
      </c>
      <c r="FO302" s="150" t="str">
        <f aca="false">IF($FJ302+FO$244&gt;73,"",PRODUCT(INDEX($T$19:$T$93,FO$244):INDEX($T$19:$T$93,FO$244+$FJ302-1)))</f>
        <v/>
      </c>
      <c r="FP302" s="150" t="str">
        <f aca="false">IF($FJ302+FP$244&gt;73,"",PRODUCT(INDEX($T$19:$T$93,FP$244):INDEX($T$19:$T$93,FP$244+$FJ302-1)))</f>
        <v/>
      </c>
      <c r="FQ302" s="150" t="str">
        <f aca="false">IF($FJ302+FQ$244&gt;73,"",PRODUCT(INDEX($T$19:$T$93,FQ$244):INDEX($T$19:$T$93,FQ$244+$FJ302-1)))</f>
        <v/>
      </c>
      <c r="FR302" s="150" t="str">
        <f aca="false">IF($FJ302+FR$244&gt;73,"",PRODUCT(INDEX($T$19:$T$93,FR$244):INDEX($T$19:$T$93,FR$244+$FJ302-1)))</f>
        <v/>
      </c>
      <c r="FS302" s="150" t="str">
        <f aca="false">IF($FJ302+FS$244&gt;73,"",PRODUCT(INDEX($T$19:$T$93,FS$244):INDEX($T$19:$T$93,FS$244+$FJ302-1)))</f>
        <v/>
      </c>
      <c r="FT302" s="150" t="str">
        <f aca="false">IF($FJ302+FT$244&gt;73,"",PRODUCT(INDEX($T$19:$T$93,FT$244):INDEX($T$19:$T$93,FT$244+$FJ302-1)))</f>
        <v/>
      </c>
      <c r="FU302" s="150" t="str">
        <f aca="false">IF($FJ302+FU$244&gt;73,"",PRODUCT(INDEX($T$19:$T$93,FU$244):INDEX($T$19:$T$93,FU$244+$FJ302-1)))</f>
        <v/>
      </c>
      <c r="FV302" s="150" t="str">
        <f aca="false">IF($FJ302+FV$244&gt;73,"",PRODUCT(INDEX($T$19:$T$93,FV$244):INDEX($T$19:$T$93,FV$244+$FJ302-1)))</f>
        <v/>
      </c>
      <c r="FW302" s="150" t="str">
        <f aca="false">IF($FJ302+FW$244&gt;73,"",PRODUCT(INDEX($T$19:$T$93,FW$244):INDEX($T$19:$T$93,FW$244+$FJ302-1)))</f>
        <v/>
      </c>
      <c r="FX302" s="150" t="str">
        <f aca="false">IF($FJ302+FX$244&gt;73,"",PRODUCT(INDEX($T$19:$T$93,FX$244):INDEX($T$19:$T$93,FX$244+$FJ302-1)))</f>
        <v/>
      </c>
      <c r="FY302" s="150" t="str">
        <f aca="false">IF($FJ302+FY$244&gt;73,"",PRODUCT(INDEX($T$19:$T$93,FY$244):INDEX($T$19:$T$93,FY$244+$FJ302-1)))</f>
        <v/>
      </c>
      <c r="FZ302" s="150" t="str">
        <f aca="false">IF($FJ302+FZ$244&gt;73,"",PRODUCT(INDEX($T$19:$T$93,FZ$244):INDEX($T$19:$T$93,FZ$244+$FJ302-1)))</f>
        <v/>
      </c>
      <c r="GA302" s="150" t="str">
        <f aca="false">IF($FJ302+GA$244&gt;73,"",PRODUCT(INDEX($T$19:$T$93,GA$244):INDEX($T$19:$T$93,GA$244+$FJ302-1)))</f>
        <v/>
      </c>
      <c r="GB302" s="150" t="str">
        <f aca="false">IF($FJ302+GB$244&gt;73,"",PRODUCT(INDEX($T$19:$T$93,GB$244):INDEX($T$19:$T$93,GB$244+$FJ302-1)))</f>
        <v/>
      </c>
      <c r="GC302" s="150" t="str">
        <f aca="false">IF($FJ302+GC$244&gt;73,"",PRODUCT(INDEX($T$19:$T$93,GC$244):INDEX($T$19:$T$93,GC$244+$FJ302-1)))</f>
        <v/>
      </c>
      <c r="GD302" s="150" t="str">
        <f aca="false">IF($FJ302+GD$244&gt;73,"",PRODUCT(INDEX($T$19:$T$93,GD$244):INDEX($T$19:$T$93,GD$244+$FJ302-1)))</f>
        <v/>
      </c>
      <c r="GE302" s="150" t="str">
        <f aca="false">IF($FJ302+GE$244&gt;73,"",PRODUCT(INDEX($T$19:$T$93,GE$244):INDEX($T$19:$T$93,GE$244+$FJ302-1)))</f>
        <v/>
      </c>
      <c r="GF302" s="150" t="str">
        <f aca="false">IF($FJ302+GF$244&gt;73,"",PRODUCT(INDEX($T$19:$T$93,GF$244):INDEX($T$19:$T$93,GF$244+$FJ302-1)))</f>
        <v/>
      </c>
      <c r="GG302" s="150" t="str">
        <f aca="false">IF($FJ302+GG$244&gt;73,"",PRODUCT(INDEX($T$19:$T$93,GG$244):INDEX($T$19:$T$93,GG$244+$FJ302-1)))</f>
        <v/>
      </c>
      <c r="GH302" s="150" t="str">
        <f aca="false">IF($FJ302+GH$244&gt;73,"",PRODUCT(INDEX($T$19:$T$93,GH$244):INDEX($T$19:$T$93,GH$244+$FJ302-1)))</f>
        <v/>
      </c>
      <c r="GI302" s="150" t="str">
        <f aca="false">IF($FJ302+GI$244&gt;73,"",PRODUCT(INDEX($T$19:$T$93,GI$244):INDEX($T$19:$T$93,GI$244+$FJ302-1)))</f>
        <v/>
      </c>
      <c r="GJ302" s="150" t="str">
        <f aca="false">IF($FJ302+GJ$244&gt;73,"",PRODUCT(INDEX($T$19:$T$93,GJ$244):INDEX($T$19:$T$93,GJ$244+$FJ302-1)))</f>
        <v/>
      </c>
      <c r="GK302" s="150" t="str">
        <f aca="false">IF($FJ302+GK$244&gt;73,"",PRODUCT(INDEX($T$19:$T$93,GK$244):INDEX($T$19:$T$93,GK$244+$FJ302-1)))</f>
        <v/>
      </c>
      <c r="GL302" s="150" t="str">
        <f aca="false">IF($FJ302+GL$244&gt;73,"",PRODUCT(INDEX($T$19:$T$93,GL$244):INDEX($T$19:$T$93,GL$244+$FJ302-1)))</f>
        <v/>
      </c>
      <c r="GM302" s="150" t="str">
        <f aca="false">IF($FJ302+GM$244&gt;73,"",PRODUCT(INDEX($T$19:$T$93,GM$244):INDEX($T$19:$T$93,GM$244+$FJ302-1)))</f>
        <v/>
      </c>
      <c r="GN302" s="150" t="str">
        <f aca="false">IF($FJ302+GN$244&gt;73,"",PRODUCT(INDEX($T$19:$T$93,GN$244):INDEX($T$19:$T$93,GN$244+$FJ302-1)))</f>
        <v/>
      </c>
      <c r="GO302" s="150" t="str">
        <f aca="false">IF($FJ302+GO$244&gt;73,"",PRODUCT(INDEX($T$19:$T$93,GO$244):INDEX($T$19:$T$93,GO$244+$FJ302-1)))</f>
        <v/>
      </c>
      <c r="GP302" s="150" t="str">
        <f aca="false">IF($FJ302+GP$244&gt;73,"",PRODUCT(INDEX($T$19:$T$93,GP$244):INDEX($T$19:$T$93,GP$244+$FJ302-1)))</f>
        <v/>
      </c>
      <c r="GQ302" s="150" t="str">
        <f aca="false">IF($FJ302+GQ$244&gt;73,"",PRODUCT(INDEX($T$19:$T$93,GQ$244):INDEX($T$19:$T$93,GQ$244+$FJ302-1)))</f>
        <v/>
      </c>
      <c r="GR302" s="150" t="str">
        <f aca="false">IF($FJ302+GR$244&gt;73,"",PRODUCT(INDEX($T$19:$T$93,GR$244):INDEX($T$19:$T$93,GR$244+$FJ302-1)))</f>
        <v/>
      </c>
      <c r="GS302" s="150" t="str">
        <f aca="false">IF($FJ302+GS$244&gt;73,"",PRODUCT(INDEX($T$19:$T$93,GS$244):INDEX($T$19:$T$93,GS$244+$FJ302-1)))</f>
        <v/>
      </c>
      <c r="GT302" s="150" t="str">
        <f aca="false">IF($FJ302+GT$244&gt;73,"",PRODUCT(INDEX($T$19:$T$93,GT$244):INDEX($T$19:$T$93,GT$244+$FJ302-1)))</f>
        <v/>
      </c>
      <c r="GU302" s="150" t="str">
        <f aca="false">IF($FJ302+GU$244&gt;73,"",PRODUCT(INDEX($T$19:$T$93,GU$244):INDEX($T$19:$T$93,GU$244+$FJ302-1)))</f>
        <v/>
      </c>
      <c r="GV302" s="150" t="str">
        <f aca="false">IF($FJ302+GV$244&gt;73,"",PRODUCT(INDEX($T$19:$T$93,GV$244):INDEX($T$19:$T$93,GV$244+$FJ302-1)))</f>
        <v/>
      </c>
      <c r="GW302" s="150" t="str">
        <f aca="false">IF($FJ302+GW$244&gt;73,"",PRODUCT(INDEX($T$19:$T$93,GW$244):INDEX($T$19:$T$93,GW$244+$FJ302-1)))</f>
        <v/>
      </c>
      <c r="GX302" s="150" t="str">
        <f aca="false">IF($FJ302+GX$244&gt;73,"",PRODUCT(INDEX($T$19:$T$93,GX$244):INDEX($T$19:$T$93,GX$244+$FJ302-1)))</f>
        <v/>
      </c>
      <c r="GY302" s="150" t="str">
        <f aca="false">IF($FJ302+GY$244&gt;73,"",PRODUCT(INDEX($T$19:$T$93,GY$244):INDEX($T$19:$T$93,GY$244+$FJ302-1)))</f>
        <v/>
      </c>
      <c r="GZ302" s="150" t="str">
        <f aca="false">IF($FJ302+GZ$244&gt;73,"",PRODUCT(INDEX($T$19:$T$93,GZ$244):INDEX($T$19:$T$93,GZ$244+$FJ302-1)))</f>
        <v/>
      </c>
      <c r="HA302" s="150" t="str">
        <f aca="false">IF($FJ302+HA$244&gt;73,"",PRODUCT(INDEX($T$19:$T$93,HA$244):INDEX($T$19:$T$93,HA$244+$FJ302-1)))</f>
        <v/>
      </c>
      <c r="HB302" s="150" t="str">
        <f aca="false">IF($FJ302+HB$244&gt;73,"",PRODUCT(INDEX($T$19:$T$93,HB$244):INDEX($T$19:$T$93,HB$244+$FJ302-1)))</f>
        <v/>
      </c>
      <c r="HC302" s="150" t="str">
        <f aca="false">IF($FJ302+HC$244&gt;73,"",PRODUCT(INDEX($T$19:$T$93,HC$244):INDEX($T$19:$T$93,HC$244+$FJ302-1)))</f>
        <v/>
      </c>
      <c r="HD302" s="150" t="str">
        <f aca="false">IF($FJ302+HD$244&gt;73,"",PRODUCT(INDEX($T$19:$T$93,HD$244):INDEX($T$19:$T$93,HD$244+$FJ302-1)))</f>
        <v/>
      </c>
      <c r="HE302" s="150" t="str">
        <f aca="false">IF($FJ302+HE$244&gt;73,"",PRODUCT(INDEX($T$19:$T$93,HE$244):INDEX($T$19:$T$93,HE$244+$FJ302-1)))</f>
        <v/>
      </c>
      <c r="HF302" s="150" t="str">
        <f aca="false">IF($FJ302+HF$244&gt;73,"",PRODUCT(INDEX($T$19:$T$93,HF$244):INDEX($T$19:$T$93,HF$244+$FJ302-1)))</f>
        <v/>
      </c>
      <c r="HG302" s="150" t="str">
        <f aca="false">IF($FJ302+HG$244&gt;73,"",PRODUCT(INDEX($T$19:$T$93,HG$244):INDEX($T$19:$T$93,HG$244+$FJ302-1)))</f>
        <v/>
      </c>
      <c r="HH302" s="150" t="str">
        <f aca="false">IF($FJ302+HH$244&gt;73,"",PRODUCT(INDEX($T$19:$T$93,HH$244):INDEX($T$19:$T$93,HH$244+$FJ302-1)))</f>
        <v/>
      </c>
      <c r="HI302" s="150" t="str">
        <f aca="false">IF($FJ302+HI$244&gt;73,"",PRODUCT(INDEX($T$19:$T$93,HI$244):INDEX($T$19:$T$93,HI$244+$FJ302-1)))</f>
        <v/>
      </c>
      <c r="HJ302" s="150" t="str">
        <f aca="false">IF($FJ302+HJ$244&gt;73,"",PRODUCT(INDEX($T$19:$T$93,HJ$244):INDEX($T$19:$T$93,HJ$244+$FJ302-1)))</f>
        <v/>
      </c>
      <c r="HK302" s="150" t="str">
        <f aca="false">IF($FJ302+HK$244&gt;73,"",PRODUCT(INDEX($T$19:$T$93,HK$244):INDEX($T$19:$T$93,HK$244+$FJ302-1)))</f>
        <v/>
      </c>
      <c r="HL302" s="150" t="str">
        <f aca="false">IF($FJ302+HL$244&gt;73,"",PRODUCT(INDEX($T$19:$T$93,HL$244):INDEX($T$19:$T$93,HL$244+$FJ302-1)))</f>
        <v/>
      </c>
      <c r="HM302" s="150" t="str">
        <f aca="false">IF($FJ302+HM$244&gt;73,"",PRODUCT(INDEX($T$19:$T$93,HM$244):INDEX($T$19:$T$93,HM$244+$FJ302-1)))</f>
        <v/>
      </c>
      <c r="HN302" s="150" t="str">
        <f aca="false">IF($FJ302+HN$244&gt;73,"",PRODUCT(INDEX($T$19:$T$93,HN$244):INDEX($T$19:$T$93,HN$244+$FJ302-1)))</f>
        <v/>
      </c>
      <c r="HO302" s="150" t="str">
        <f aca="false">IF($FJ302+HO$244&gt;73,"",PRODUCT(INDEX($T$19:$T$93,HO$244):INDEX($T$19:$T$93,HO$244+$FJ302-1)))</f>
        <v/>
      </c>
      <c r="HP302" s="150" t="n">
        <f aca="false">IF($FJ302+HP$244&gt;73,"",PRODUCT(INDEX($T$19:$T$93,HP$244):INDEX($T$19:$T$93,HP$244+$FJ302-1)))</f>
        <v>0.902492781155647</v>
      </c>
      <c r="HQ302" s="150" t="n">
        <f aca="false">IF($FJ302+HQ$244&gt;73,"",PRODUCT(INDEX($T$19:$T$93,HQ$244):INDEX($T$19:$T$93,HQ$244+$FJ302-1)))</f>
        <v>0.886677630811628</v>
      </c>
      <c r="HR302" s="150" t="n">
        <f aca="false">IF($FJ302+HR$244&gt;73,"",PRODUCT(INDEX($T$19:$T$93,HR$244):INDEX($T$19:$T$93,HR$244+$FJ302-1)))</f>
        <v>0.868444598940387</v>
      </c>
      <c r="HS302" s="150" t="n">
        <f aca="false">IF($FJ302+HS$244&gt;73,"",PRODUCT(INDEX($T$19:$T$93,HS$244):INDEX($T$19:$T$93,HS$244+$FJ302-1)))</f>
        <v>0.847478847065524</v>
      </c>
      <c r="HT302" s="150" t="n">
        <f aca="false">IF($FJ302+HT$244&gt;73,"",PRODUCT(INDEX($T$19:$T$93,HT$244):INDEX($T$19:$T$93,HT$244+$FJ302-1)))</f>
        <v>0.823445472322282</v>
      </c>
      <c r="HU302" s="150" t="n">
        <f aca="false">IF($FJ302+HU$244&gt;73,"",PRODUCT(INDEX($T$19:$T$93,HU$244):INDEX($T$19:$T$93,HU$244+$FJ302-1)))</f>
        <v>0.795997153415939</v>
      </c>
      <c r="HV302" s="150" t="n">
        <f aca="false">IF($FJ302+HV$244&gt;73,"",PRODUCT(INDEX($T$19:$T$93,HV$244):INDEX($T$19:$T$93,HV$244+$FJ302-1)))</f>
        <v>0.764786357859087</v>
      </c>
      <c r="HW302" s="150" t="n">
        <f aca="false">IF($FJ302+HW$244&gt;73,"",PRODUCT(INDEX($T$19:$T$93,HW$244):INDEX($T$19:$T$93,HW$244+$FJ302-1)))</f>
        <v>0.729483584854794</v>
      </c>
      <c r="HX302" s="150" t="n">
        <f aca="false">IF($FJ302+HX$244&gt;73,"",PRODUCT(INDEX($T$19:$T$93,HX$244):INDEX($T$19:$T$93,HX$244+$FJ302-1)))</f>
        <v>0.689803330744627</v>
      </c>
      <c r="HY302" s="150" t="n">
        <f aca="false">IF($FJ302+HY$244&gt;73,"",PRODUCT(INDEX($T$19:$T$93,HY$244):INDEX($T$19:$T$93,HY$244+$FJ302-1)))</f>
        <v>0.645539539272877</v>
      </c>
      <c r="HZ302" s="150" t="n">
        <f aca="false">IF($FJ302+HZ$244&gt;73,"",PRODUCT(INDEX($T$19:$T$93,HZ$244):INDEX($T$19:$T$93,HZ$244+$FJ302-1)))</f>
        <v>0.596612078652073</v>
      </c>
      <c r="IA302" s="150" t="n">
        <f aca="false">IF($FJ302+IA$244&gt;73,"",PRODUCT(INDEX($T$19:$T$93,IA$244):INDEX($T$19:$T$93,IA$244+$FJ302-1)))</f>
        <v>0.543125020502272</v>
      </c>
      <c r="IB302" s="150" t="n">
        <f aca="false">IF($FJ302+IB$244&gt;73,"",PRODUCT(INDEX($T$19:$T$93,IB$244):INDEX($T$19:$T$93,IB$244+$FJ302-1)))</f>
        <v>0.485435814312742</v>
      </c>
      <c r="IC302" s="150" t="n">
        <f aca="false">IF($FJ302+IC$244&gt;73,"",PRODUCT(INDEX($T$19:$T$93,IC$244):INDEX($T$19:$T$93,IC$244+$FJ302-1)))</f>
        <v>0.424231368932492</v>
      </c>
      <c r="ID302" s="572" t="n">
        <f aca="false">IF($FJ302+ID$244&gt;73,"",PRODUCT(INDEX($T$19:$T$93,ID$244):INDEX($T$19:$T$93,ID$244+$FJ302-1)))</f>
        <v>0.360602029013088</v>
      </c>
      <c r="IE302" s="129"/>
    </row>
    <row r="303" customFormat="false" ht="12.75" hidden="false" customHeight="false" outlineLevel="0" collapsed="false">
      <c r="I303" s="735"/>
      <c r="J303" s="727"/>
      <c r="K303" s="728"/>
      <c r="L303" s="195"/>
      <c r="M303" s="729"/>
      <c r="P303" s="727"/>
      <c r="S303" s="1"/>
      <c r="T303" s="727"/>
      <c r="U303" s="195"/>
      <c r="V303" s="195"/>
      <c r="W303" s="195"/>
      <c r="X303" s="195"/>
      <c r="Y303" s="195"/>
      <c r="Z303" s="195"/>
      <c r="AA303" s="195"/>
      <c r="AB303" s="195"/>
      <c r="AC303" s="195"/>
      <c r="AD303" s="195"/>
      <c r="AE303" s="195"/>
      <c r="AF303" s="195"/>
      <c r="AG303" s="195"/>
      <c r="AH303" s="195"/>
      <c r="AI303" s="195"/>
      <c r="AJ303" s="195"/>
      <c r="AK303" s="195"/>
      <c r="AL303" s="195"/>
      <c r="AM303" s="195"/>
      <c r="AN303" s="195"/>
      <c r="AO303" s="532"/>
      <c r="AP303" s="195"/>
      <c r="AQ303" s="532"/>
      <c r="AR303" s="195"/>
      <c r="AS303" s="195"/>
      <c r="AT303" s="240"/>
      <c r="AU303" s="240"/>
      <c r="AV303" s="240"/>
      <c r="AW303" s="730"/>
      <c r="AX303" s="730"/>
      <c r="AY303" s="730"/>
      <c r="AZ303" s="730"/>
      <c r="BA303" s="468"/>
      <c r="BB303" s="468"/>
      <c r="BC303" s="240"/>
      <c r="BD303" s="240"/>
      <c r="BE303" s="240"/>
      <c r="BF303" s="672"/>
      <c r="BG303" s="672"/>
      <c r="BH303" s="672"/>
      <c r="BI303" s="731"/>
      <c r="BJ303" s="672"/>
      <c r="BK303" s="672"/>
      <c r="BL303" s="240"/>
      <c r="BM303" s="736"/>
      <c r="BN303" s="240"/>
      <c r="BO303" s="240"/>
      <c r="BP303" s="240"/>
      <c r="BQ303" s="240"/>
      <c r="BR303" s="240"/>
      <c r="BS303" s="240"/>
      <c r="BT303" s="240"/>
      <c r="BU303" s="240"/>
      <c r="BV303" s="240"/>
      <c r="BW303" s="240"/>
      <c r="BX303" s="240"/>
      <c r="BY303" s="240"/>
      <c r="BZ303" s="240"/>
      <c r="CA303" s="240"/>
      <c r="CB303" s="240"/>
      <c r="CC303" s="240"/>
      <c r="CD303" s="672"/>
      <c r="CE303" s="672"/>
      <c r="CF303" s="672"/>
      <c r="CG303" s="672"/>
      <c r="CH303" s="672"/>
      <c r="CI303" s="672"/>
      <c r="CJ303" s="240"/>
      <c r="CK303" s="240"/>
      <c r="CL303" s="240"/>
      <c r="CM303" s="240"/>
      <c r="CN303" s="240"/>
      <c r="CO303" s="240"/>
      <c r="CP303" s="240"/>
      <c r="CQ303" s="240"/>
      <c r="CR303" s="240"/>
      <c r="CS303" s="240"/>
      <c r="CT303" s="240"/>
      <c r="CU303" s="240"/>
      <c r="CV303" s="240"/>
      <c r="CW303" s="240"/>
      <c r="CX303" s="240"/>
      <c r="CY303" s="240"/>
      <c r="CZ303" s="240"/>
      <c r="DA303" s="240"/>
      <c r="DB303" s="240"/>
      <c r="DC303" s="240"/>
      <c r="DD303" s="240"/>
      <c r="DE303" s="240"/>
      <c r="DF303" s="240"/>
      <c r="DG303" s="240"/>
      <c r="DH303" s="478"/>
      <c r="DI303" s="733"/>
      <c r="DJ303" s="733"/>
      <c r="DK303" s="478"/>
      <c r="DL303" s="3"/>
      <c r="DM303" s="4"/>
      <c r="DN303" s="4"/>
      <c r="DO303" s="4"/>
      <c r="DP303" s="4"/>
      <c r="DQ303" s="4"/>
      <c r="DR303" s="4"/>
      <c r="DS303" s="4"/>
      <c r="DU303" s="195"/>
      <c r="DV303" s="195"/>
      <c r="DW303" s="195"/>
      <c r="DX303" s="195"/>
      <c r="DY303" s="195"/>
      <c r="DZ303" s="195"/>
      <c r="EA303" s="195"/>
      <c r="EB303" s="195"/>
      <c r="EC303" s="195"/>
      <c r="ED303" s="195"/>
      <c r="EE303" s="195"/>
      <c r="EF303" s="195"/>
      <c r="EG303" s="195"/>
      <c r="EL303" s="1"/>
      <c r="EM303" s="195"/>
      <c r="EN303" s="240"/>
      <c r="EO303" s="731"/>
      <c r="EP303" s="195"/>
      <c r="EQ303" s="240"/>
      <c r="ER303" s="195"/>
      <c r="ES303" s="195"/>
      <c r="ET303" s="195"/>
      <c r="EU303" s="672"/>
      <c r="FJ303" s="571" t="n">
        <v>59</v>
      </c>
      <c r="FK303" s="150" t="str">
        <f aca="false">IF($FJ303+FK$244&gt;73,"",PRODUCT(INDEX($T$19:$T$93,FK$244):INDEX($T$19:$T$93,FK$244+$FJ303-1)))</f>
        <v/>
      </c>
      <c r="FL303" s="150" t="str">
        <f aca="false">IF($FJ303+FL$244&gt;73,"",PRODUCT(INDEX($T$19:$T$93,FL$244):INDEX($T$19:$T$93,FL$244+$FJ303-1)))</f>
        <v/>
      </c>
      <c r="FM303" s="150" t="str">
        <f aca="false">IF($FJ303+FM$244&gt;73,"",PRODUCT(INDEX($T$19:$T$93,FM$244):INDEX($T$19:$T$93,FM$244+$FJ303-1)))</f>
        <v/>
      </c>
      <c r="FN303" s="150" t="str">
        <f aca="false">IF($FJ303+FN$244&gt;73,"",PRODUCT(INDEX($T$19:$T$93,FN$244):INDEX($T$19:$T$93,FN$244+$FJ303-1)))</f>
        <v/>
      </c>
      <c r="FO303" s="150" t="str">
        <f aca="false">IF($FJ303+FO$244&gt;73,"",PRODUCT(INDEX($T$19:$T$93,FO$244):INDEX($T$19:$T$93,FO$244+$FJ303-1)))</f>
        <v/>
      </c>
      <c r="FP303" s="150" t="str">
        <f aca="false">IF($FJ303+FP$244&gt;73,"",PRODUCT(INDEX($T$19:$T$93,FP$244):INDEX($T$19:$T$93,FP$244+$FJ303-1)))</f>
        <v/>
      </c>
      <c r="FQ303" s="150" t="str">
        <f aca="false">IF($FJ303+FQ$244&gt;73,"",PRODUCT(INDEX($T$19:$T$93,FQ$244):INDEX($T$19:$T$93,FQ$244+$FJ303-1)))</f>
        <v/>
      </c>
      <c r="FR303" s="150" t="str">
        <f aca="false">IF($FJ303+FR$244&gt;73,"",PRODUCT(INDEX($T$19:$T$93,FR$244):INDEX($T$19:$T$93,FR$244+$FJ303-1)))</f>
        <v/>
      </c>
      <c r="FS303" s="150" t="str">
        <f aca="false">IF($FJ303+FS$244&gt;73,"",PRODUCT(INDEX($T$19:$T$93,FS$244):INDEX($T$19:$T$93,FS$244+$FJ303-1)))</f>
        <v/>
      </c>
      <c r="FT303" s="150" t="str">
        <f aca="false">IF($FJ303+FT$244&gt;73,"",PRODUCT(INDEX($T$19:$T$93,FT$244):INDEX($T$19:$T$93,FT$244+$FJ303-1)))</f>
        <v/>
      </c>
      <c r="FU303" s="150" t="str">
        <f aca="false">IF($FJ303+FU$244&gt;73,"",PRODUCT(INDEX($T$19:$T$93,FU$244):INDEX($T$19:$T$93,FU$244+$FJ303-1)))</f>
        <v/>
      </c>
      <c r="FV303" s="150" t="str">
        <f aca="false">IF($FJ303+FV$244&gt;73,"",PRODUCT(INDEX($T$19:$T$93,FV$244):INDEX($T$19:$T$93,FV$244+$FJ303-1)))</f>
        <v/>
      </c>
      <c r="FW303" s="150" t="str">
        <f aca="false">IF($FJ303+FW$244&gt;73,"",PRODUCT(INDEX($T$19:$T$93,FW$244):INDEX($T$19:$T$93,FW$244+$FJ303-1)))</f>
        <v/>
      </c>
      <c r="FX303" s="150" t="str">
        <f aca="false">IF($FJ303+FX$244&gt;73,"",PRODUCT(INDEX($T$19:$T$93,FX$244):INDEX($T$19:$T$93,FX$244+$FJ303-1)))</f>
        <v/>
      </c>
      <c r="FY303" s="150" t="str">
        <f aca="false">IF($FJ303+FY$244&gt;73,"",PRODUCT(INDEX($T$19:$T$93,FY$244):INDEX($T$19:$T$93,FY$244+$FJ303-1)))</f>
        <v/>
      </c>
      <c r="FZ303" s="150" t="str">
        <f aca="false">IF($FJ303+FZ$244&gt;73,"",PRODUCT(INDEX($T$19:$T$93,FZ$244):INDEX($T$19:$T$93,FZ$244+$FJ303-1)))</f>
        <v/>
      </c>
      <c r="GA303" s="150" t="str">
        <f aca="false">IF($FJ303+GA$244&gt;73,"",PRODUCT(INDEX($T$19:$T$93,GA$244):INDEX($T$19:$T$93,GA$244+$FJ303-1)))</f>
        <v/>
      </c>
      <c r="GB303" s="150" t="str">
        <f aca="false">IF($FJ303+GB$244&gt;73,"",PRODUCT(INDEX($T$19:$T$93,GB$244):INDEX($T$19:$T$93,GB$244+$FJ303-1)))</f>
        <v/>
      </c>
      <c r="GC303" s="150" t="str">
        <f aca="false">IF($FJ303+GC$244&gt;73,"",PRODUCT(INDEX($T$19:$T$93,GC$244):INDEX($T$19:$T$93,GC$244+$FJ303-1)))</f>
        <v/>
      </c>
      <c r="GD303" s="150" t="str">
        <f aca="false">IF($FJ303+GD$244&gt;73,"",PRODUCT(INDEX($T$19:$T$93,GD$244):INDEX($T$19:$T$93,GD$244+$FJ303-1)))</f>
        <v/>
      </c>
      <c r="GE303" s="150" t="str">
        <f aca="false">IF($FJ303+GE$244&gt;73,"",PRODUCT(INDEX($T$19:$T$93,GE$244):INDEX($T$19:$T$93,GE$244+$FJ303-1)))</f>
        <v/>
      </c>
      <c r="GF303" s="150" t="str">
        <f aca="false">IF($FJ303+GF$244&gt;73,"",PRODUCT(INDEX($T$19:$T$93,GF$244):INDEX($T$19:$T$93,GF$244+$FJ303-1)))</f>
        <v/>
      </c>
      <c r="GG303" s="150" t="str">
        <f aca="false">IF($FJ303+GG$244&gt;73,"",PRODUCT(INDEX($T$19:$T$93,GG$244):INDEX($T$19:$T$93,GG$244+$FJ303-1)))</f>
        <v/>
      </c>
      <c r="GH303" s="150" t="str">
        <f aca="false">IF($FJ303+GH$244&gt;73,"",PRODUCT(INDEX($T$19:$T$93,GH$244):INDEX($T$19:$T$93,GH$244+$FJ303-1)))</f>
        <v/>
      </c>
      <c r="GI303" s="150" t="str">
        <f aca="false">IF($FJ303+GI$244&gt;73,"",PRODUCT(INDEX($T$19:$T$93,GI$244):INDEX($T$19:$T$93,GI$244+$FJ303-1)))</f>
        <v/>
      </c>
      <c r="GJ303" s="150" t="str">
        <f aca="false">IF($FJ303+GJ$244&gt;73,"",PRODUCT(INDEX($T$19:$T$93,GJ$244):INDEX($T$19:$T$93,GJ$244+$FJ303-1)))</f>
        <v/>
      </c>
      <c r="GK303" s="150" t="str">
        <f aca="false">IF($FJ303+GK$244&gt;73,"",PRODUCT(INDEX($T$19:$T$93,GK$244):INDEX($T$19:$T$93,GK$244+$FJ303-1)))</f>
        <v/>
      </c>
      <c r="GL303" s="150" t="str">
        <f aca="false">IF($FJ303+GL$244&gt;73,"",PRODUCT(INDEX($T$19:$T$93,GL$244):INDEX($T$19:$T$93,GL$244+$FJ303-1)))</f>
        <v/>
      </c>
      <c r="GM303" s="150" t="str">
        <f aca="false">IF($FJ303+GM$244&gt;73,"",PRODUCT(INDEX($T$19:$T$93,GM$244):INDEX($T$19:$T$93,GM$244+$FJ303-1)))</f>
        <v/>
      </c>
      <c r="GN303" s="150" t="str">
        <f aca="false">IF($FJ303+GN$244&gt;73,"",PRODUCT(INDEX($T$19:$T$93,GN$244):INDEX($T$19:$T$93,GN$244+$FJ303-1)))</f>
        <v/>
      </c>
      <c r="GO303" s="150" t="str">
        <f aca="false">IF($FJ303+GO$244&gt;73,"",PRODUCT(INDEX($T$19:$T$93,GO$244):INDEX($T$19:$T$93,GO$244+$FJ303-1)))</f>
        <v/>
      </c>
      <c r="GP303" s="150" t="str">
        <f aca="false">IF($FJ303+GP$244&gt;73,"",PRODUCT(INDEX($T$19:$T$93,GP$244):INDEX($T$19:$T$93,GP$244+$FJ303-1)))</f>
        <v/>
      </c>
      <c r="GQ303" s="150" t="str">
        <f aca="false">IF($FJ303+GQ$244&gt;73,"",PRODUCT(INDEX($T$19:$T$93,GQ$244):INDEX($T$19:$T$93,GQ$244+$FJ303-1)))</f>
        <v/>
      </c>
      <c r="GR303" s="150" t="str">
        <f aca="false">IF($FJ303+GR$244&gt;73,"",PRODUCT(INDEX($T$19:$T$93,GR$244):INDEX($T$19:$T$93,GR$244+$FJ303-1)))</f>
        <v/>
      </c>
      <c r="GS303" s="150" t="str">
        <f aca="false">IF($FJ303+GS$244&gt;73,"",PRODUCT(INDEX($T$19:$T$93,GS$244):INDEX($T$19:$T$93,GS$244+$FJ303-1)))</f>
        <v/>
      </c>
      <c r="GT303" s="150" t="str">
        <f aca="false">IF($FJ303+GT$244&gt;73,"",PRODUCT(INDEX($T$19:$T$93,GT$244):INDEX($T$19:$T$93,GT$244+$FJ303-1)))</f>
        <v/>
      </c>
      <c r="GU303" s="150" t="str">
        <f aca="false">IF($FJ303+GU$244&gt;73,"",PRODUCT(INDEX($T$19:$T$93,GU$244):INDEX($T$19:$T$93,GU$244+$FJ303-1)))</f>
        <v/>
      </c>
      <c r="GV303" s="150" t="str">
        <f aca="false">IF($FJ303+GV$244&gt;73,"",PRODUCT(INDEX($T$19:$T$93,GV$244):INDEX($T$19:$T$93,GV$244+$FJ303-1)))</f>
        <v/>
      </c>
      <c r="GW303" s="150" t="str">
        <f aca="false">IF($FJ303+GW$244&gt;73,"",PRODUCT(INDEX($T$19:$T$93,GW$244):INDEX($T$19:$T$93,GW$244+$FJ303-1)))</f>
        <v/>
      </c>
      <c r="GX303" s="150" t="str">
        <f aca="false">IF($FJ303+GX$244&gt;73,"",PRODUCT(INDEX($T$19:$T$93,GX$244):INDEX($T$19:$T$93,GX$244+$FJ303-1)))</f>
        <v/>
      </c>
      <c r="GY303" s="150" t="str">
        <f aca="false">IF($FJ303+GY$244&gt;73,"",PRODUCT(INDEX($T$19:$T$93,GY$244):INDEX($T$19:$T$93,GY$244+$FJ303-1)))</f>
        <v/>
      </c>
      <c r="GZ303" s="150" t="str">
        <f aca="false">IF($FJ303+GZ$244&gt;73,"",PRODUCT(INDEX($T$19:$T$93,GZ$244):INDEX($T$19:$T$93,GZ$244+$FJ303-1)))</f>
        <v/>
      </c>
      <c r="HA303" s="150" t="str">
        <f aca="false">IF($FJ303+HA$244&gt;73,"",PRODUCT(INDEX($T$19:$T$93,HA$244):INDEX($T$19:$T$93,HA$244+$FJ303-1)))</f>
        <v/>
      </c>
      <c r="HB303" s="150" t="str">
        <f aca="false">IF($FJ303+HB$244&gt;73,"",PRODUCT(INDEX($T$19:$T$93,HB$244):INDEX($T$19:$T$93,HB$244+$FJ303-1)))</f>
        <v/>
      </c>
      <c r="HC303" s="150" t="str">
        <f aca="false">IF($FJ303+HC$244&gt;73,"",PRODUCT(INDEX($T$19:$T$93,HC$244):INDEX($T$19:$T$93,HC$244+$FJ303-1)))</f>
        <v/>
      </c>
      <c r="HD303" s="150" t="str">
        <f aca="false">IF($FJ303+HD$244&gt;73,"",PRODUCT(INDEX($T$19:$T$93,HD$244):INDEX($T$19:$T$93,HD$244+$FJ303-1)))</f>
        <v/>
      </c>
      <c r="HE303" s="150" t="str">
        <f aca="false">IF($FJ303+HE$244&gt;73,"",PRODUCT(INDEX($T$19:$T$93,HE$244):INDEX($T$19:$T$93,HE$244+$FJ303-1)))</f>
        <v/>
      </c>
      <c r="HF303" s="150" t="str">
        <f aca="false">IF($FJ303+HF$244&gt;73,"",PRODUCT(INDEX($T$19:$T$93,HF$244):INDEX($T$19:$T$93,HF$244+$FJ303-1)))</f>
        <v/>
      </c>
      <c r="HG303" s="150" t="str">
        <f aca="false">IF($FJ303+HG$244&gt;73,"",PRODUCT(INDEX($T$19:$T$93,HG$244):INDEX($T$19:$T$93,HG$244+$FJ303-1)))</f>
        <v/>
      </c>
      <c r="HH303" s="150" t="str">
        <f aca="false">IF($FJ303+HH$244&gt;73,"",PRODUCT(INDEX($T$19:$T$93,HH$244):INDEX($T$19:$T$93,HH$244+$FJ303-1)))</f>
        <v/>
      </c>
      <c r="HI303" s="150" t="str">
        <f aca="false">IF($FJ303+HI$244&gt;73,"",PRODUCT(INDEX($T$19:$T$93,HI$244):INDEX($T$19:$T$93,HI$244+$FJ303-1)))</f>
        <v/>
      </c>
      <c r="HJ303" s="150" t="str">
        <f aca="false">IF($FJ303+HJ$244&gt;73,"",PRODUCT(INDEX($T$19:$T$93,HJ$244):INDEX($T$19:$T$93,HJ$244+$FJ303-1)))</f>
        <v/>
      </c>
      <c r="HK303" s="150" t="str">
        <f aca="false">IF($FJ303+HK$244&gt;73,"",PRODUCT(INDEX($T$19:$T$93,HK$244):INDEX($T$19:$T$93,HK$244+$FJ303-1)))</f>
        <v/>
      </c>
      <c r="HL303" s="150" t="str">
        <f aca="false">IF($FJ303+HL$244&gt;73,"",PRODUCT(INDEX($T$19:$T$93,HL$244):INDEX($T$19:$T$93,HL$244+$FJ303-1)))</f>
        <v/>
      </c>
      <c r="HM303" s="150" t="str">
        <f aca="false">IF($FJ303+HM$244&gt;73,"",PRODUCT(INDEX($T$19:$T$93,HM$244):INDEX($T$19:$T$93,HM$244+$FJ303-1)))</f>
        <v/>
      </c>
      <c r="HN303" s="150" t="str">
        <f aca="false">IF($FJ303+HN$244&gt;73,"",PRODUCT(INDEX($T$19:$T$93,HN$244):INDEX($T$19:$T$93,HN$244+$FJ303-1)))</f>
        <v/>
      </c>
      <c r="HO303" s="150" t="str">
        <f aca="false">IF($FJ303+HO$244&gt;73,"",PRODUCT(INDEX($T$19:$T$93,HO$244):INDEX($T$19:$T$93,HO$244+$FJ303-1)))</f>
        <v/>
      </c>
      <c r="HP303" s="150" t="str">
        <f aca="false">IF($FJ303+HP$244&gt;73,"",PRODUCT(INDEX($T$19:$T$93,HP$244):INDEX($T$19:$T$93,HP$244+$FJ303-1)))</f>
        <v/>
      </c>
      <c r="HQ303" s="150" t="n">
        <f aca="false">IF($FJ303+HQ$244&gt;73,"",PRODUCT(INDEX($T$19:$T$93,HQ$244):INDEX($T$19:$T$93,HQ$244+$FJ303-1)))</f>
        <v>0.886675909400942</v>
      </c>
      <c r="HR303" s="150" t="n">
        <f aca="false">IF($FJ303+HR$244&gt;73,"",PRODUCT(INDEX($T$19:$T$93,HR$244):INDEX($T$19:$T$93,HR$244+$FJ303-1)))</f>
        <v>0.868442626993381</v>
      </c>
      <c r="HS303" s="150" t="n">
        <f aca="false">IF($FJ303+HS$244&gt;73,"",PRODUCT(INDEX($T$19:$T$93,HS$244):INDEX($T$19:$T$93,HS$244+$FJ303-1)))</f>
        <v>0.847476596371604</v>
      </c>
      <c r="HT303" s="150" t="n">
        <f aca="false">IF($FJ303+HT$244&gt;73,"",PRODUCT(INDEX($T$19:$T$93,HT$244):INDEX($T$19:$T$93,HT$244+$FJ303-1)))</f>
        <v>0.823442914579028</v>
      </c>
      <c r="HU303" s="150" t="n">
        <f aca="false">IF($FJ303+HU$244&gt;73,"",PRODUCT(INDEX($T$19:$T$93,HU$244):INDEX($T$19:$T$93,HU$244+$FJ303-1)))</f>
        <v>0.79599426161602</v>
      </c>
      <c r="HV303" s="150" t="n">
        <f aca="false">IF($FJ303+HV$244&gt;73,"",PRODUCT(INDEX($T$19:$T$93,HV$244):INDEX($T$19:$T$93,HV$244+$FJ303-1)))</f>
        <v>0.764783108246482</v>
      </c>
      <c r="HW303" s="150" t="n">
        <f aca="false">IF($FJ303+HW$244&gt;73,"",PRODUCT(INDEX($T$19:$T$93,HW$244):INDEX($T$19:$T$93,HW$244+$FJ303-1)))</f>
        <v>0.729479959572451</v>
      </c>
      <c r="HX303" s="150" t="n">
        <f aca="false">IF($FJ303+HX$244&gt;73,"",PRODUCT(INDEX($T$19:$T$93,HX$244):INDEX($T$19:$T$93,HX$244+$FJ303-1)))</f>
        <v>0.689799321278088</v>
      </c>
      <c r="HY303" s="150" t="n">
        <f aca="false">IF($FJ303+HY$244&gt;73,"",PRODUCT(INDEX($T$19:$T$93,HY$244):INDEX($T$19:$T$93,HY$244+$FJ303-1)))</f>
        <v>0.645535150740477</v>
      </c>
      <c r="HZ303" s="150" t="n">
        <f aca="false">IF($FJ303+HZ$244&gt;73,"",PRODUCT(INDEX($T$19:$T$93,HZ$244):INDEX($T$19:$T$93,HZ$244+$FJ303-1)))</f>
        <v>0.596607334879699</v>
      </c>
      <c r="IA303" s="150" t="n">
        <f aca="false">IF($FJ303+IA$244&gt;73,"",PRODUCT(INDEX($T$19:$T$93,IA$244):INDEX($T$19:$T$93,IA$244+$FJ303-1)))</f>
        <v>0.543119969620999</v>
      </c>
      <c r="IB303" s="150" t="n">
        <f aca="false">IF($FJ303+IB$244&gt;73,"",PRODUCT(INDEX($T$19:$T$93,IB$244):INDEX($T$19:$T$93,IB$244+$FJ303-1)))</f>
        <v>0.485430534300181</v>
      </c>
      <c r="IC303" s="150" t="n">
        <f aca="false">IF($FJ303+IC$244&gt;73,"",PRODUCT(INDEX($T$19:$T$93,IC$244):INDEX($T$19:$T$93,IC$244+$FJ303-1)))</f>
        <v>0.424225972062103</v>
      </c>
      <c r="ID303" s="572" t="n">
        <f aca="false">IF($FJ303+ID$244&gt;73,"",PRODUCT(INDEX($T$19:$T$93,ID$244):INDEX($T$19:$T$93,ID$244+$FJ303-1)))</f>
        <v>0.360596663592618</v>
      </c>
      <c r="IE303" s="129"/>
    </row>
    <row r="304" customFormat="false" ht="12.75" hidden="false" customHeight="false" outlineLevel="0" collapsed="false">
      <c r="I304" s="735"/>
      <c r="J304" s="727"/>
      <c r="K304" s="728"/>
      <c r="L304" s="195"/>
      <c r="M304" s="729"/>
      <c r="P304" s="727"/>
      <c r="S304" s="1"/>
      <c r="T304" s="727"/>
      <c r="U304" s="195"/>
      <c r="V304" s="195"/>
      <c r="W304" s="195"/>
      <c r="X304" s="195"/>
      <c r="Y304" s="195"/>
      <c r="Z304" s="195"/>
      <c r="AA304" s="195"/>
      <c r="AB304" s="195"/>
      <c r="AC304" s="195"/>
      <c r="AD304" s="195"/>
      <c r="AE304" s="195"/>
      <c r="AF304" s="195"/>
      <c r="AG304" s="195"/>
      <c r="AH304" s="195"/>
      <c r="AI304" s="195"/>
      <c r="AJ304" s="195"/>
      <c r="AK304" s="195"/>
      <c r="AL304" s="195"/>
      <c r="AM304" s="195"/>
      <c r="AN304" s="195"/>
      <c r="AO304" s="532"/>
      <c r="AP304" s="195"/>
      <c r="AQ304" s="532"/>
      <c r="AR304" s="195"/>
      <c r="AS304" s="195"/>
      <c r="AT304" s="240"/>
      <c r="AU304" s="240"/>
      <c r="AV304" s="240"/>
      <c r="AW304" s="730"/>
      <c r="AX304" s="730"/>
      <c r="AY304" s="730"/>
      <c r="AZ304" s="730"/>
      <c r="BA304" s="468"/>
      <c r="BB304" s="468"/>
      <c r="BC304" s="240"/>
      <c r="BD304" s="240"/>
      <c r="BE304" s="240"/>
      <c r="BF304" s="672"/>
      <c r="BG304" s="672"/>
      <c r="BH304" s="672"/>
      <c r="BI304" s="731"/>
      <c r="BJ304" s="672"/>
      <c r="BK304" s="672"/>
      <c r="BL304" s="240"/>
      <c r="BM304" s="736"/>
      <c r="BN304" s="240"/>
      <c r="BO304" s="240"/>
      <c r="BP304" s="240"/>
      <c r="BQ304" s="240"/>
      <c r="BR304" s="240"/>
      <c r="BS304" s="240"/>
      <c r="BT304" s="240"/>
      <c r="BU304" s="240"/>
      <c r="BV304" s="240"/>
      <c r="BW304" s="240"/>
      <c r="BX304" s="240"/>
      <c r="BY304" s="240"/>
      <c r="BZ304" s="240"/>
      <c r="CA304" s="240"/>
      <c r="CB304" s="240"/>
      <c r="CC304" s="240"/>
      <c r="CD304" s="672"/>
      <c r="CE304" s="672"/>
      <c r="CF304" s="672"/>
      <c r="CG304" s="672"/>
      <c r="CH304" s="672"/>
      <c r="CI304" s="672"/>
      <c r="CJ304" s="240"/>
      <c r="CK304" s="240"/>
      <c r="CL304" s="240"/>
      <c r="CM304" s="240"/>
      <c r="CN304" s="240"/>
      <c r="CO304" s="240"/>
      <c r="CP304" s="240"/>
      <c r="CQ304" s="240"/>
      <c r="CR304" s="240"/>
      <c r="CS304" s="240"/>
      <c r="CT304" s="240"/>
      <c r="CU304" s="240"/>
      <c r="CV304" s="240"/>
      <c r="CW304" s="240"/>
      <c r="CX304" s="240"/>
      <c r="CY304" s="240"/>
      <c r="CZ304" s="240"/>
      <c r="DA304" s="240"/>
      <c r="DB304" s="240"/>
      <c r="DC304" s="240"/>
      <c r="DD304" s="240"/>
      <c r="DE304" s="240"/>
      <c r="DF304" s="240"/>
      <c r="DG304" s="240"/>
      <c r="DH304" s="478"/>
      <c r="DI304" s="733"/>
      <c r="DJ304" s="733"/>
      <c r="DK304" s="478"/>
      <c r="DL304" s="3"/>
      <c r="DM304" s="4"/>
      <c r="DN304" s="4"/>
      <c r="DO304" s="4"/>
      <c r="DP304" s="4"/>
      <c r="DQ304" s="4"/>
      <c r="DR304" s="4"/>
      <c r="DS304" s="4"/>
      <c r="DU304" s="195"/>
      <c r="DV304" s="195"/>
      <c r="DW304" s="195"/>
      <c r="DX304" s="195"/>
      <c r="DY304" s="195"/>
      <c r="DZ304" s="195"/>
      <c r="EA304" s="195"/>
      <c r="EB304" s="195"/>
      <c r="EC304" s="195"/>
      <c r="ED304" s="195"/>
      <c r="EE304" s="195"/>
      <c r="EF304" s="195"/>
      <c r="EG304" s="195"/>
      <c r="EL304" s="1"/>
      <c r="EM304" s="195"/>
      <c r="EN304" s="240"/>
      <c r="EO304" s="731"/>
      <c r="EP304" s="195"/>
      <c r="EQ304" s="240"/>
      <c r="ER304" s="195"/>
      <c r="ES304" s="195"/>
      <c r="ET304" s="195"/>
      <c r="EU304" s="672"/>
      <c r="FJ304" s="571" t="n">
        <v>60</v>
      </c>
      <c r="FK304" s="150" t="str">
        <f aca="false">IF($FJ304+FK$244&gt;73,"",PRODUCT(INDEX($T$19:$T$93,FK$244):INDEX($T$19:$T$93,FK$244+$FJ304-1)))</f>
        <v/>
      </c>
      <c r="FL304" s="150" t="str">
        <f aca="false">IF($FJ304+FL$244&gt;73,"",PRODUCT(INDEX($T$19:$T$93,FL$244):INDEX($T$19:$T$93,FL$244+$FJ304-1)))</f>
        <v/>
      </c>
      <c r="FM304" s="150" t="str">
        <f aca="false">IF($FJ304+FM$244&gt;73,"",PRODUCT(INDEX($T$19:$T$93,FM$244):INDEX($T$19:$T$93,FM$244+$FJ304-1)))</f>
        <v/>
      </c>
      <c r="FN304" s="150" t="str">
        <f aca="false">IF($FJ304+FN$244&gt;73,"",PRODUCT(INDEX($T$19:$T$93,FN$244):INDEX($T$19:$T$93,FN$244+$FJ304-1)))</f>
        <v/>
      </c>
      <c r="FO304" s="150" t="str">
        <f aca="false">IF($FJ304+FO$244&gt;73,"",PRODUCT(INDEX($T$19:$T$93,FO$244):INDEX($T$19:$T$93,FO$244+$FJ304-1)))</f>
        <v/>
      </c>
      <c r="FP304" s="150" t="str">
        <f aca="false">IF($FJ304+FP$244&gt;73,"",PRODUCT(INDEX($T$19:$T$93,FP$244):INDEX($T$19:$T$93,FP$244+$FJ304-1)))</f>
        <v/>
      </c>
      <c r="FQ304" s="150" t="str">
        <f aca="false">IF($FJ304+FQ$244&gt;73,"",PRODUCT(INDEX($T$19:$T$93,FQ$244):INDEX($T$19:$T$93,FQ$244+$FJ304-1)))</f>
        <v/>
      </c>
      <c r="FR304" s="150" t="str">
        <f aca="false">IF($FJ304+FR$244&gt;73,"",PRODUCT(INDEX($T$19:$T$93,FR$244):INDEX($T$19:$T$93,FR$244+$FJ304-1)))</f>
        <v/>
      </c>
      <c r="FS304" s="150" t="str">
        <f aca="false">IF($FJ304+FS$244&gt;73,"",PRODUCT(INDEX($T$19:$T$93,FS$244):INDEX($T$19:$T$93,FS$244+$FJ304-1)))</f>
        <v/>
      </c>
      <c r="FT304" s="150" t="str">
        <f aca="false">IF($FJ304+FT$244&gt;73,"",PRODUCT(INDEX($T$19:$T$93,FT$244):INDEX($T$19:$T$93,FT$244+$FJ304-1)))</f>
        <v/>
      </c>
      <c r="FU304" s="150" t="str">
        <f aca="false">IF($FJ304+FU$244&gt;73,"",PRODUCT(INDEX($T$19:$T$93,FU$244):INDEX($T$19:$T$93,FU$244+$FJ304-1)))</f>
        <v/>
      </c>
      <c r="FV304" s="150" t="str">
        <f aca="false">IF($FJ304+FV$244&gt;73,"",PRODUCT(INDEX($T$19:$T$93,FV$244):INDEX($T$19:$T$93,FV$244+$FJ304-1)))</f>
        <v/>
      </c>
      <c r="FW304" s="150" t="str">
        <f aca="false">IF($FJ304+FW$244&gt;73,"",PRODUCT(INDEX($T$19:$T$93,FW$244):INDEX($T$19:$T$93,FW$244+$FJ304-1)))</f>
        <v/>
      </c>
      <c r="FX304" s="150" t="str">
        <f aca="false">IF($FJ304+FX$244&gt;73,"",PRODUCT(INDEX($T$19:$T$93,FX$244):INDEX($T$19:$T$93,FX$244+$FJ304-1)))</f>
        <v/>
      </c>
      <c r="FY304" s="150" t="str">
        <f aca="false">IF($FJ304+FY$244&gt;73,"",PRODUCT(INDEX($T$19:$T$93,FY$244):INDEX($T$19:$T$93,FY$244+$FJ304-1)))</f>
        <v/>
      </c>
      <c r="FZ304" s="150" t="str">
        <f aca="false">IF($FJ304+FZ$244&gt;73,"",PRODUCT(INDEX($T$19:$T$93,FZ$244):INDEX($T$19:$T$93,FZ$244+$FJ304-1)))</f>
        <v/>
      </c>
      <c r="GA304" s="150" t="str">
        <f aca="false">IF($FJ304+GA$244&gt;73,"",PRODUCT(INDEX($T$19:$T$93,GA$244):INDEX($T$19:$T$93,GA$244+$FJ304-1)))</f>
        <v/>
      </c>
      <c r="GB304" s="150" t="str">
        <f aca="false">IF($FJ304+GB$244&gt;73,"",PRODUCT(INDEX($T$19:$T$93,GB$244):INDEX($T$19:$T$93,GB$244+$FJ304-1)))</f>
        <v/>
      </c>
      <c r="GC304" s="150" t="str">
        <f aca="false">IF($FJ304+GC$244&gt;73,"",PRODUCT(INDEX($T$19:$T$93,GC$244):INDEX($T$19:$T$93,GC$244+$FJ304-1)))</f>
        <v/>
      </c>
      <c r="GD304" s="150" t="str">
        <f aca="false">IF($FJ304+GD$244&gt;73,"",PRODUCT(INDEX($T$19:$T$93,GD$244):INDEX($T$19:$T$93,GD$244+$FJ304-1)))</f>
        <v/>
      </c>
      <c r="GE304" s="150" t="str">
        <f aca="false">IF($FJ304+GE$244&gt;73,"",PRODUCT(INDEX($T$19:$T$93,GE$244):INDEX($T$19:$T$93,GE$244+$FJ304-1)))</f>
        <v/>
      </c>
      <c r="GF304" s="150" t="str">
        <f aca="false">IF($FJ304+GF$244&gt;73,"",PRODUCT(INDEX($T$19:$T$93,GF$244):INDEX($T$19:$T$93,GF$244+$FJ304-1)))</f>
        <v/>
      </c>
      <c r="GG304" s="150" t="str">
        <f aca="false">IF($FJ304+GG$244&gt;73,"",PRODUCT(INDEX($T$19:$T$93,GG$244):INDEX($T$19:$T$93,GG$244+$FJ304-1)))</f>
        <v/>
      </c>
      <c r="GH304" s="150" t="str">
        <f aca="false">IF($FJ304+GH$244&gt;73,"",PRODUCT(INDEX($T$19:$T$93,GH$244):INDEX($T$19:$T$93,GH$244+$FJ304-1)))</f>
        <v/>
      </c>
      <c r="GI304" s="150" t="str">
        <f aca="false">IF($FJ304+GI$244&gt;73,"",PRODUCT(INDEX($T$19:$T$93,GI$244):INDEX($T$19:$T$93,GI$244+$FJ304-1)))</f>
        <v/>
      </c>
      <c r="GJ304" s="150" t="str">
        <f aca="false">IF($FJ304+GJ$244&gt;73,"",PRODUCT(INDEX($T$19:$T$93,GJ$244):INDEX($T$19:$T$93,GJ$244+$FJ304-1)))</f>
        <v/>
      </c>
      <c r="GK304" s="150" t="str">
        <f aca="false">IF($FJ304+GK$244&gt;73,"",PRODUCT(INDEX($T$19:$T$93,GK$244):INDEX($T$19:$T$93,GK$244+$FJ304-1)))</f>
        <v/>
      </c>
      <c r="GL304" s="150" t="str">
        <f aca="false">IF($FJ304+GL$244&gt;73,"",PRODUCT(INDEX($T$19:$T$93,GL$244):INDEX($T$19:$T$93,GL$244+$FJ304-1)))</f>
        <v/>
      </c>
      <c r="GM304" s="150" t="str">
        <f aca="false">IF($FJ304+GM$244&gt;73,"",PRODUCT(INDEX($T$19:$T$93,GM$244):INDEX($T$19:$T$93,GM$244+$FJ304-1)))</f>
        <v/>
      </c>
      <c r="GN304" s="150" t="str">
        <f aca="false">IF($FJ304+GN$244&gt;73,"",PRODUCT(INDEX($T$19:$T$93,GN$244):INDEX($T$19:$T$93,GN$244+$FJ304-1)))</f>
        <v/>
      </c>
      <c r="GO304" s="150" t="str">
        <f aca="false">IF($FJ304+GO$244&gt;73,"",PRODUCT(INDEX($T$19:$T$93,GO$244):INDEX($T$19:$T$93,GO$244+$FJ304-1)))</f>
        <v/>
      </c>
      <c r="GP304" s="150" t="str">
        <f aca="false">IF($FJ304+GP$244&gt;73,"",PRODUCT(INDEX($T$19:$T$93,GP$244):INDEX($T$19:$T$93,GP$244+$FJ304-1)))</f>
        <v/>
      </c>
      <c r="GQ304" s="150" t="str">
        <f aca="false">IF($FJ304+GQ$244&gt;73,"",PRODUCT(INDEX($T$19:$T$93,GQ$244):INDEX($T$19:$T$93,GQ$244+$FJ304-1)))</f>
        <v/>
      </c>
      <c r="GR304" s="150" t="str">
        <f aca="false">IF($FJ304+GR$244&gt;73,"",PRODUCT(INDEX($T$19:$T$93,GR$244):INDEX($T$19:$T$93,GR$244+$FJ304-1)))</f>
        <v/>
      </c>
      <c r="GS304" s="150" t="str">
        <f aca="false">IF($FJ304+GS$244&gt;73,"",PRODUCT(INDEX($T$19:$T$93,GS$244):INDEX($T$19:$T$93,GS$244+$FJ304-1)))</f>
        <v/>
      </c>
      <c r="GT304" s="150" t="str">
        <f aca="false">IF($FJ304+GT$244&gt;73,"",PRODUCT(INDEX($T$19:$T$93,GT$244):INDEX($T$19:$T$93,GT$244+$FJ304-1)))</f>
        <v/>
      </c>
      <c r="GU304" s="150" t="str">
        <f aca="false">IF($FJ304+GU$244&gt;73,"",PRODUCT(INDEX($T$19:$T$93,GU$244):INDEX($T$19:$T$93,GU$244+$FJ304-1)))</f>
        <v/>
      </c>
      <c r="GV304" s="150" t="str">
        <f aca="false">IF($FJ304+GV$244&gt;73,"",PRODUCT(INDEX($T$19:$T$93,GV$244):INDEX($T$19:$T$93,GV$244+$FJ304-1)))</f>
        <v/>
      </c>
      <c r="GW304" s="150" t="str">
        <f aca="false">IF($FJ304+GW$244&gt;73,"",PRODUCT(INDEX($T$19:$T$93,GW$244):INDEX($T$19:$T$93,GW$244+$FJ304-1)))</f>
        <v/>
      </c>
      <c r="GX304" s="150" t="str">
        <f aca="false">IF($FJ304+GX$244&gt;73,"",PRODUCT(INDEX($T$19:$T$93,GX$244):INDEX($T$19:$T$93,GX$244+$FJ304-1)))</f>
        <v/>
      </c>
      <c r="GY304" s="150" t="str">
        <f aca="false">IF($FJ304+GY$244&gt;73,"",PRODUCT(INDEX($T$19:$T$93,GY$244):INDEX($T$19:$T$93,GY$244+$FJ304-1)))</f>
        <v/>
      </c>
      <c r="GZ304" s="150" t="str">
        <f aca="false">IF($FJ304+GZ$244&gt;73,"",PRODUCT(INDEX($T$19:$T$93,GZ$244):INDEX($T$19:$T$93,GZ$244+$FJ304-1)))</f>
        <v/>
      </c>
      <c r="HA304" s="150" t="str">
        <f aca="false">IF($FJ304+HA$244&gt;73,"",PRODUCT(INDEX($T$19:$T$93,HA$244):INDEX($T$19:$T$93,HA$244+$FJ304-1)))</f>
        <v/>
      </c>
      <c r="HB304" s="150" t="str">
        <f aca="false">IF($FJ304+HB$244&gt;73,"",PRODUCT(INDEX($T$19:$T$93,HB$244):INDEX($T$19:$T$93,HB$244+$FJ304-1)))</f>
        <v/>
      </c>
      <c r="HC304" s="150" t="str">
        <f aca="false">IF($FJ304+HC$244&gt;73,"",PRODUCT(INDEX($T$19:$T$93,HC$244):INDEX($T$19:$T$93,HC$244+$FJ304-1)))</f>
        <v/>
      </c>
      <c r="HD304" s="150" t="str">
        <f aca="false">IF($FJ304+HD$244&gt;73,"",PRODUCT(INDEX($T$19:$T$93,HD$244):INDEX($T$19:$T$93,HD$244+$FJ304-1)))</f>
        <v/>
      </c>
      <c r="HE304" s="150" t="str">
        <f aca="false">IF($FJ304+HE$244&gt;73,"",PRODUCT(INDEX($T$19:$T$93,HE$244):INDEX($T$19:$T$93,HE$244+$FJ304-1)))</f>
        <v/>
      </c>
      <c r="HF304" s="150" t="str">
        <f aca="false">IF($FJ304+HF$244&gt;73,"",PRODUCT(INDEX($T$19:$T$93,HF$244):INDEX($T$19:$T$93,HF$244+$FJ304-1)))</f>
        <v/>
      </c>
      <c r="HG304" s="150" t="str">
        <f aca="false">IF($FJ304+HG$244&gt;73,"",PRODUCT(INDEX($T$19:$T$93,HG$244):INDEX($T$19:$T$93,HG$244+$FJ304-1)))</f>
        <v/>
      </c>
      <c r="HH304" s="150" t="str">
        <f aca="false">IF($FJ304+HH$244&gt;73,"",PRODUCT(INDEX($T$19:$T$93,HH$244):INDEX($T$19:$T$93,HH$244+$FJ304-1)))</f>
        <v/>
      </c>
      <c r="HI304" s="150" t="str">
        <f aca="false">IF($FJ304+HI$244&gt;73,"",PRODUCT(INDEX($T$19:$T$93,HI$244):INDEX($T$19:$T$93,HI$244+$FJ304-1)))</f>
        <v/>
      </c>
      <c r="HJ304" s="150" t="str">
        <f aca="false">IF($FJ304+HJ$244&gt;73,"",PRODUCT(INDEX($T$19:$T$93,HJ$244):INDEX($T$19:$T$93,HJ$244+$FJ304-1)))</f>
        <v/>
      </c>
      <c r="HK304" s="150" t="str">
        <f aca="false">IF($FJ304+HK$244&gt;73,"",PRODUCT(INDEX($T$19:$T$93,HK$244):INDEX($T$19:$T$93,HK$244+$FJ304-1)))</f>
        <v/>
      </c>
      <c r="HL304" s="150" t="str">
        <f aca="false">IF($FJ304+HL$244&gt;73,"",PRODUCT(INDEX($T$19:$T$93,HL$244):INDEX($T$19:$T$93,HL$244+$FJ304-1)))</f>
        <v/>
      </c>
      <c r="HM304" s="150" t="str">
        <f aca="false">IF($FJ304+HM$244&gt;73,"",PRODUCT(INDEX($T$19:$T$93,HM$244):INDEX($T$19:$T$93,HM$244+$FJ304-1)))</f>
        <v/>
      </c>
      <c r="HN304" s="150" t="str">
        <f aca="false">IF($FJ304+HN$244&gt;73,"",PRODUCT(INDEX($T$19:$T$93,HN$244):INDEX($T$19:$T$93,HN$244+$FJ304-1)))</f>
        <v/>
      </c>
      <c r="HO304" s="150" t="str">
        <f aca="false">IF($FJ304+HO$244&gt;73,"",PRODUCT(INDEX($T$19:$T$93,HO$244):INDEX($T$19:$T$93,HO$244+$FJ304-1)))</f>
        <v/>
      </c>
      <c r="HP304" s="150" t="str">
        <f aca="false">IF($FJ304+HP$244&gt;73,"",PRODUCT(INDEX($T$19:$T$93,HP$244):INDEX($T$19:$T$93,HP$244+$FJ304-1)))</f>
        <v/>
      </c>
      <c r="HQ304" s="150" t="str">
        <f aca="false">IF($FJ304+HQ$244&gt;73,"",PRODUCT(INDEX($T$19:$T$93,HQ$244):INDEX($T$19:$T$93,HQ$244+$FJ304-1)))</f>
        <v/>
      </c>
      <c r="HR304" s="150" t="n">
        <f aca="false">IF($FJ304+HR$244&gt;73,"",PRODUCT(INDEX($T$19:$T$93,HR$244):INDEX($T$19:$T$93,HR$244+$FJ304-1)))</f>
        <v>0.868440940984435</v>
      </c>
      <c r="HS304" s="150" t="n">
        <f aca="false">IF($FJ304+HS$244&gt;73,"",PRODUCT(INDEX($T$19:$T$93,HS$244):INDEX($T$19:$T$93,HS$244+$FJ304-1)))</f>
        <v>0.847474672035913</v>
      </c>
      <c r="HT304" s="150" t="n">
        <f aca="false">IF($FJ304+HT$244&gt;73,"",PRODUCT(INDEX($T$19:$T$93,HT$244):INDEX($T$19:$T$93,HT$244+$FJ304-1)))</f>
        <v>0.823440727718591</v>
      </c>
      <c r="HU304" s="150" t="n">
        <f aca="false">IF($FJ304+HU$244&gt;73,"",PRODUCT(INDEX($T$19:$T$93,HU$244):INDEX($T$19:$T$93,HU$244+$FJ304-1)))</f>
        <v>0.79599178914028</v>
      </c>
      <c r="HV304" s="150" t="n">
        <f aca="false">IF($FJ304+HV$244&gt;73,"",PRODUCT(INDEX($T$19:$T$93,HV$244):INDEX($T$19:$T$93,HV$244+$FJ304-1)))</f>
        <v>0.764780329844925</v>
      </c>
      <c r="HW304" s="150" t="n">
        <f aca="false">IF($FJ304+HW$244&gt;73,"",PRODUCT(INDEX($T$19:$T$93,HW$244):INDEX($T$19:$T$93,HW$244+$FJ304-1)))</f>
        <v>0.729476859978365</v>
      </c>
      <c r="HX304" s="150" t="n">
        <f aca="false">IF($FJ304+HX$244&gt;73,"",PRODUCT(INDEX($T$19:$T$93,HX$244):INDEX($T$19:$T$93,HX$244+$FJ304-1)))</f>
        <v>0.689795893212877</v>
      </c>
      <c r="HY304" s="150" t="n">
        <f aca="false">IF($FJ304+HY$244&gt;73,"",PRODUCT(INDEX($T$19:$T$93,HY$244):INDEX($T$19:$T$93,HY$244+$FJ304-1)))</f>
        <v>0.645531398581752</v>
      </c>
      <c r="HZ304" s="150" t="n">
        <f aca="false">IF($FJ304+HZ$244&gt;73,"",PRODUCT(INDEX($T$19:$T$93,HZ$244):INDEX($T$19:$T$93,HZ$244+$FJ304-1)))</f>
        <v>0.596603279000144</v>
      </c>
      <c r="IA304" s="150" t="n">
        <f aca="false">IF($FJ304+IA$244&gt;73,"",PRODUCT(INDEX($T$19:$T$93,IA$244):INDEX($T$19:$T$93,IA$244+$FJ304-1)))</f>
        <v>0.543115651174222</v>
      </c>
      <c r="IB304" s="150" t="n">
        <f aca="false">IF($FJ304+IB$244&gt;73,"",PRODUCT(INDEX($T$19:$T$93,IB$244):INDEX($T$19:$T$93,IB$244+$FJ304-1)))</f>
        <v>0.485426019958358</v>
      </c>
      <c r="IC304" s="150" t="n">
        <f aca="false">IF($FJ304+IC$244&gt;73,"",PRODUCT(INDEX($T$19:$T$93,IC$244):INDEX($T$19:$T$93,IC$244+$FJ304-1)))</f>
        <v>0.424221357819817</v>
      </c>
      <c r="ID304" s="572" t="n">
        <f aca="false">IF($FJ304+ID$244&gt;73,"",PRODUCT(INDEX($T$19:$T$93,ID$244):INDEX($T$19:$T$93,ID$244+$FJ304-1)))</f>
        <v>0.360592076252787</v>
      </c>
      <c r="IE304" s="129"/>
    </row>
    <row r="305" customFormat="false" ht="12.75" hidden="false" customHeight="false" outlineLevel="0" collapsed="false">
      <c r="I305" s="735"/>
      <c r="J305" s="727"/>
      <c r="K305" s="728"/>
      <c r="L305" s="195"/>
      <c r="M305" s="729"/>
      <c r="P305" s="727"/>
      <c r="S305" s="1"/>
      <c r="T305" s="727"/>
      <c r="U305" s="195"/>
      <c r="V305" s="195"/>
      <c r="W305" s="195"/>
      <c r="X305" s="195"/>
      <c r="Y305" s="195"/>
      <c r="Z305" s="195"/>
      <c r="AA305" s="195"/>
      <c r="AB305" s="195"/>
      <c r="AC305" s="195"/>
      <c r="AD305" s="195"/>
      <c r="AE305" s="195"/>
      <c r="AF305" s="195"/>
      <c r="AG305" s="195"/>
      <c r="AH305" s="195"/>
      <c r="AI305" s="195"/>
      <c r="AJ305" s="195"/>
      <c r="AK305" s="195"/>
      <c r="AL305" s="195"/>
      <c r="AM305" s="195"/>
      <c r="AN305" s="195"/>
      <c r="AO305" s="532"/>
      <c r="AP305" s="195"/>
      <c r="AQ305" s="532"/>
      <c r="AR305" s="195"/>
      <c r="AS305" s="195"/>
      <c r="AT305" s="240"/>
      <c r="AU305" s="240"/>
      <c r="AV305" s="240"/>
      <c r="AW305" s="730"/>
      <c r="AX305" s="730"/>
      <c r="AY305" s="730"/>
      <c r="AZ305" s="730"/>
      <c r="BA305" s="468"/>
      <c r="BB305" s="468"/>
      <c r="BC305" s="240"/>
      <c r="BD305" s="240"/>
      <c r="BE305" s="240"/>
      <c r="BF305" s="672"/>
      <c r="BG305" s="672"/>
      <c r="BH305" s="672"/>
      <c r="BI305" s="731"/>
      <c r="BJ305" s="672"/>
      <c r="BK305" s="672"/>
      <c r="BL305" s="240"/>
      <c r="BM305" s="736"/>
      <c r="BN305" s="240"/>
      <c r="BO305" s="240"/>
      <c r="BP305" s="240"/>
      <c r="BQ305" s="240"/>
      <c r="BR305" s="240"/>
      <c r="BS305" s="240"/>
      <c r="BT305" s="240"/>
      <c r="BU305" s="240"/>
      <c r="BV305" s="240"/>
      <c r="BW305" s="240"/>
      <c r="BX305" s="240"/>
      <c r="BY305" s="240"/>
      <c r="BZ305" s="240"/>
      <c r="CA305" s="240"/>
      <c r="CB305" s="240"/>
      <c r="CC305" s="240"/>
      <c r="CD305" s="672"/>
      <c r="CE305" s="672"/>
      <c r="CF305" s="672"/>
      <c r="CG305" s="672"/>
      <c r="CH305" s="672"/>
      <c r="CI305" s="672"/>
      <c r="CJ305" s="240"/>
      <c r="CK305" s="240"/>
      <c r="CL305" s="240"/>
      <c r="CM305" s="240"/>
      <c r="CN305" s="240"/>
      <c r="CO305" s="240"/>
      <c r="CP305" s="240"/>
      <c r="CQ305" s="240"/>
      <c r="CR305" s="240"/>
      <c r="CS305" s="240"/>
      <c r="CT305" s="240"/>
      <c r="CU305" s="240"/>
      <c r="CV305" s="240"/>
      <c r="CW305" s="240"/>
      <c r="CX305" s="240"/>
      <c r="CY305" s="240"/>
      <c r="CZ305" s="240"/>
      <c r="DA305" s="240"/>
      <c r="DB305" s="240"/>
      <c r="DC305" s="240"/>
      <c r="DD305" s="240"/>
      <c r="DE305" s="240"/>
      <c r="DF305" s="240"/>
      <c r="DG305" s="240"/>
      <c r="DH305" s="478"/>
      <c r="DI305" s="733"/>
      <c r="DJ305" s="733"/>
      <c r="DK305" s="478"/>
      <c r="DL305" s="3"/>
      <c r="DM305" s="4"/>
      <c r="DN305" s="4"/>
      <c r="DO305" s="4"/>
      <c r="DP305" s="4"/>
      <c r="DQ305" s="4"/>
      <c r="DR305" s="4"/>
      <c r="DS305" s="4"/>
      <c r="DU305" s="195"/>
      <c r="DV305" s="195"/>
      <c r="DW305" s="195"/>
      <c r="DX305" s="195"/>
      <c r="DY305" s="195"/>
      <c r="DZ305" s="195"/>
      <c r="EA305" s="195"/>
      <c r="EB305" s="195"/>
      <c r="EC305" s="195"/>
      <c r="ED305" s="195"/>
      <c r="EE305" s="195"/>
      <c r="EF305" s="195"/>
      <c r="EG305" s="195"/>
      <c r="EL305" s="1"/>
      <c r="EM305" s="195"/>
      <c r="EN305" s="240"/>
      <c r="EO305" s="731"/>
      <c r="EP305" s="195"/>
      <c r="EQ305" s="240"/>
      <c r="ER305" s="195"/>
      <c r="ES305" s="195"/>
      <c r="ET305" s="195"/>
      <c r="EU305" s="672"/>
      <c r="FJ305" s="571" t="n">
        <v>61</v>
      </c>
      <c r="FK305" s="150" t="str">
        <f aca="false">IF($FJ305+FK$244&gt;73,"",PRODUCT(INDEX($T$19:$T$93,FK$244):INDEX($T$19:$T$93,FK$244+$FJ305-1)))</f>
        <v/>
      </c>
      <c r="FL305" s="150" t="str">
        <f aca="false">IF($FJ305+FL$244&gt;73,"",PRODUCT(INDEX($T$19:$T$93,FL$244):INDEX($T$19:$T$93,FL$244+$FJ305-1)))</f>
        <v/>
      </c>
      <c r="FM305" s="150" t="str">
        <f aca="false">IF($FJ305+FM$244&gt;73,"",PRODUCT(INDEX($T$19:$T$93,FM$244):INDEX($T$19:$T$93,FM$244+$FJ305-1)))</f>
        <v/>
      </c>
      <c r="FN305" s="150" t="str">
        <f aca="false">IF($FJ305+FN$244&gt;73,"",PRODUCT(INDEX($T$19:$T$93,FN$244):INDEX($T$19:$T$93,FN$244+$FJ305-1)))</f>
        <v/>
      </c>
      <c r="FO305" s="150" t="str">
        <f aca="false">IF($FJ305+FO$244&gt;73,"",PRODUCT(INDEX($T$19:$T$93,FO$244):INDEX($T$19:$T$93,FO$244+$FJ305-1)))</f>
        <v/>
      </c>
      <c r="FP305" s="150" t="str">
        <f aca="false">IF($FJ305+FP$244&gt;73,"",PRODUCT(INDEX($T$19:$T$93,FP$244):INDEX($T$19:$T$93,FP$244+$FJ305-1)))</f>
        <v/>
      </c>
      <c r="FQ305" s="150" t="str">
        <f aca="false">IF($FJ305+FQ$244&gt;73,"",PRODUCT(INDEX($T$19:$T$93,FQ$244):INDEX($T$19:$T$93,FQ$244+$FJ305-1)))</f>
        <v/>
      </c>
      <c r="FR305" s="150" t="str">
        <f aca="false">IF($FJ305+FR$244&gt;73,"",PRODUCT(INDEX($T$19:$T$93,FR$244):INDEX($T$19:$T$93,FR$244+$FJ305-1)))</f>
        <v/>
      </c>
      <c r="FS305" s="150" t="str">
        <f aca="false">IF($FJ305+FS$244&gt;73,"",PRODUCT(INDEX($T$19:$T$93,FS$244):INDEX($T$19:$T$93,FS$244+$FJ305-1)))</f>
        <v/>
      </c>
      <c r="FT305" s="150" t="str">
        <f aca="false">IF($FJ305+FT$244&gt;73,"",PRODUCT(INDEX($T$19:$T$93,FT$244):INDEX($T$19:$T$93,FT$244+$FJ305-1)))</f>
        <v/>
      </c>
      <c r="FU305" s="150" t="str">
        <f aca="false">IF($FJ305+FU$244&gt;73,"",PRODUCT(INDEX($T$19:$T$93,FU$244):INDEX($T$19:$T$93,FU$244+$FJ305-1)))</f>
        <v/>
      </c>
      <c r="FV305" s="150" t="str">
        <f aca="false">IF($FJ305+FV$244&gt;73,"",PRODUCT(INDEX($T$19:$T$93,FV$244):INDEX($T$19:$T$93,FV$244+$FJ305-1)))</f>
        <v/>
      </c>
      <c r="FW305" s="150" t="str">
        <f aca="false">IF($FJ305+FW$244&gt;73,"",PRODUCT(INDEX($T$19:$T$93,FW$244):INDEX($T$19:$T$93,FW$244+$FJ305-1)))</f>
        <v/>
      </c>
      <c r="FX305" s="150" t="str">
        <f aca="false">IF($FJ305+FX$244&gt;73,"",PRODUCT(INDEX($T$19:$T$93,FX$244):INDEX($T$19:$T$93,FX$244+$FJ305-1)))</f>
        <v/>
      </c>
      <c r="FY305" s="150" t="str">
        <f aca="false">IF($FJ305+FY$244&gt;73,"",PRODUCT(INDEX($T$19:$T$93,FY$244):INDEX($T$19:$T$93,FY$244+$FJ305-1)))</f>
        <v/>
      </c>
      <c r="FZ305" s="150" t="str">
        <f aca="false">IF($FJ305+FZ$244&gt;73,"",PRODUCT(INDEX($T$19:$T$93,FZ$244):INDEX($T$19:$T$93,FZ$244+$FJ305-1)))</f>
        <v/>
      </c>
      <c r="GA305" s="150" t="str">
        <f aca="false">IF($FJ305+GA$244&gt;73,"",PRODUCT(INDEX($T$19:$T$93,GA$244):INDEX($T$19:$T$93,GA$244+$FJ305-1)))</f>
        <v/>
      </c>
      <c r="GB305" s="150" t="str">
        <f aca="false">IF($FJ305+GB$244&gt;73,"",PRODUCT(INDEX($T$19:$T$93,GB$244):INDEX($T$19:$T$93,GB$244+$FJ305-1)))</f>
        <v/>
      </c>
      <c r="GC305" s="150" t="str">
        <f aca="false">IF($FJ305+GC$244&gt;73,"",PRODUCT(INDEX($T$19:$T$93,GC$244):INDEX($T$19:$T$93,GC$244+$FJ305-1)))</f>
        <v/>
      </c>
      <c r="GD305" s="150" t="str">
        <f aca="false">IF($FJ305+GD$244&gt;73,"",PRODUCT(INDEX($T$19:$T$93,GD$244):INDEX($T$19:$T$93,GD$244+$FJ305-1)))</f>
        <v/>
      </c>
      <c r="GE305" s="150" t="str">
        <f aca="false">IF($FJ305+GE$244&gt;73,"",PRODUCT(INDEX($T$19:$T$93,GE$244):INDEX($T$19:$T$93,GE$244+$FJ305-1)))</f>
        <v/>
      </c>
      <c r="GF305" s="150" t="str">
        <f aca="false">IF($FJ305+GF$244&gt;73,"",PRODUCT(INDEX($T$19:$T$93,GF$244):INDEX($T$19:$T$93,GF$244+$FJ305-1)))</f>
        <v/>
      </c>
      <c r="GG305" s="150" t="str">
        <f aca="false">IF($FJ305+GG$244&gt;73,"",PRODUCT(INDEX($T$19:$T$93,GG$244):INDEX($T$19:$T$93,GG$244+$FJ305-1)))</f>
        <v/>
      </c>
      <c r="GH305" s="150" t="str">
        <f aca="false">IF($FJ305+GH$244&gt;73,"",PRODUCT(INDEX($T$19:$T$93,GH$244):INDEX($T$19:$T$93,GH$244+$FJ305-1)))</f>
        <v/>
      </c>
      <c r="GI305" s="150" t="str">
        <f aca="false">IF($FJ305+GI$244&gt;73,"",PRODUCT(INDEX($T$19:$T$93,GI$244):INDEX($T$19:$T$93,GI$244+$FJ305-1)))</f>
        <v/>
      </c>
      <c r="GJ305" s="150" t="str">
        <f aca="false">IF($FJ305+GJ$244&gt;73,"",PRODUCT(INDEX($T$19:$T$93,GJ$244):INDEX($T$19:$T$93,GJ$244+$FJ305-1)))</f>
        <v/>
      </c>
      <c r="GK305" s="150" t="str">
        <f aca="false">IF($FJ305+GK$244&gt;73,"",PRODUCT(INDEX($T$19:$T$93,GK$244):INDEX($T$19:$T$93,GK$244+$FJ305-1)))</f>
        <v/>
      </c>
      <c r="GL305" s="150" t="str">
        <f aca="false">IF($FJ305+GL$244&gt;73,"",PRODUCT(INDEX($T$19:$T$93,GL$244):INDEX($T$19:$T$93,GL$244+$FJ305-1)))</f>
        <v/>
      </c>
      <c r="GM305" s="150" t="str">
        <f aca="false">IF($FJ305+GM$244&gt;73,"",PRODUCT(INDEX($T$19:$T$93,GM$244):INDEX($T$19:$T$93,GM$244+$FJ305-1)))</f>
        <v/>
      </c>
      <c r="GN305" s="150" t="str">
        <f aca="false">IF($FJ305+GN$244&gt;73,"",PRODUCT(INDEX($T$19:$T$93,GN$244):INDEX($T$19:$T$93,GN$244+$FJ305-1)))</f>
        <v/>
      </c>
      <c r="GO305" s="150" t="str">
        <f aca="false">IF($FJ305+GO$244&gt;73,"",PRODUCT(INDEX($T$19:$T$93,GO$244):INDEX($T$19:$T$93,GO$244+$FJ305-1)))</f>
        <v/>
      </c>
      <c r="GP305" s="150" t="str">
        <f aca="false">IF($FJ305+GP$244&gt;73,"",PRODUCT(INDEX($T$19:$T$93,GP$244):INDEX($T$19:$T$93,GP$244+$FJ305-1)))</f>
        <v/>
      </c>
      <c r="GQ305" s="150" t="str">
        <f aca="false">IF($FJ305+GQ$244&gt;73,"",PRODUCT(INDEX($T$19:$T$93,GQ$244):INDEX($T$19:$T$93,GQ$244+$FJ305-1)))</f>
        <v/>
      </c>
      <c r="GR305" s="150" t="str">
        <f aca="false">IF($FJ305+GR$244&gt;73,"",PRODUCT(INDEX($T$19:$T$93,GR$244):INDEX($T$19:$T$93,GR$244+$FJ305-1)))</f>
        <v/>
      </c>
      <c r="GS305" s="150" t="str">
        <f aca="false">IF($FJ305+GS$244&gt;73,"",PRODUCT(INDEX($T$19:$T$93,GS$244):INDEX($T$19:$T$93,GS$244+$FJ305-1)))</f>
        <v/>
      </c>
      <c r="GT305" s="150" t="str">
        <f aca="false">IF($FJ305+GT$244&gt;73,"",PRODUCT(INDEX($T$19:$T$93,GT$244):INDEX($T$19:$T$93,GT$244+$FJ305-1)))</f>
        <v/>
      </c>
      <c r="GU305" s="150" t="str">
        <f aca="false">IF($FJ305+GU$244&gt;73,"",PRODUCT(INDEX($T$19:$T$93,GU$244):INDEX($T$19:$T$93,GU$244+$FJ305-1)))</f>
        <v/>
      </c>
      <c r="GV305" s="150" t="str">
        <f aca="false">IF($FJ305+GV$244&gt;73,"",PRODUCT(INDEX($T$19:$T$93,GV$244):INDEX($T$19:$T$93,GV$244+$FJ305-1)))</f>
        <v/>
      </c>
      <c r="GW305" s="150" t="str">
        <f aca="false">IF($FJ305+GW$244&gt;73,"",PRODUCT(INDEX($T$19:$T$93,GW$244):INDEX($T$19:$T$93,GW$244+$FJ305-1)))</f>
        <v/>
      </c>
      <c r="GX305" s="150" t="str">
        <f aca="false">IF($FJ305+GX$244&gt;73,"",PRODUCT(INDEX($T$19:$T$93,GX$244):INDEX($T$19:$T$93,GX$244+$FJ305-1)))</f>
        <v/>
      </c>
      <c r="GY305" s="150" t="str">
        <f aca="false">IF($FJ305+GY$244&gt;73,"",PRODUCT(INDEX($T$19:$T$93,GY$244):INDEX($T$19:$T$93,GY$244+$FJ305-1)))</f>
        <v/>
      </c>
      <c r="GZ305" s="150" t="str">
        <f aca="false">IF($FJ305+GZ$244&gt;73,"",PRODUCT(INDEX($T$19:$T$93,GZ$244):INDEX($T$19:$T$93,GZ$244+$FJ305-1)))</f>
        <v/>
      </c>
      <c r="HA305" s="150" t="str">
        <f aca="false">IF($FJ305+HA$244&gt;73,"",PRODUCT(INDEX($T$19:$T$93,HA$244):INDEX($T$19:$T$93,HA$244+$FJ305-1)))</f>
        <v/>
      </c>
      <c r="HB305" s="150" t="str">
        <f aca="false">IF($FJ305+HB$244&gt;73,"",PRODUCT(INDEX($T$19:$T$93,HB$244):INDEX($T$19:$T$93,HB$244+$FJ305-1)))</f>
        <v/>
      </c>
      <c r="HC305" s="150" t="str">
        <f aca="false">IF($FJ305+HC$244&gt;73,"",PRODUCT(INDEX($T$19:$T$93,HC$244):INDEX($T$19:$T$93,HC$244+$FJ305-1)))</f>
        <v/>
      </c>
      <c r="HD305" s="150" t="str">
        <f aca="false">IF($FJ305+HD$244&gt;73,"",PRODUCT(INDEX($T$19:$T$93,HD$244):INDEX($T$19:$T$93,HD$244+$FJ305-1)))</f>
        <v/>
      </c>
      <c r="HE305" s="150" t="str">
        <f aca="false">IF($FJ305+HE$244&gt;73,"",PRODUCT(INDEX($T$19:$T$93,HE$244):INDEX($T$19:$T$93,HE$244+$FJ305-1)))</f>
        <v/>
      </c>
      <c r="HF305" s="150" t="str">
        <f aca="false">IF($FJ305+HF$244&gt;73,"",PRODUCT(INDEX($T$19:$T$93,HF$244):INDEX($T$19:$T$93,HF$244+$FJ305-1)))</f>
        <v/>
      </c>
      <c r="HG305" s="150" t="str">
        <f aca="false">IF($FJ305+HG$244&gt;73,"",PRODUCT(INDEX($T$19:$T$93,HG$244):INDEX($T$19:$T$93,HG$244+$FJ305-1)))</f>
        <v/>
      </c>
      <c r="HH305" s="150" t="str">
        <f aca="false">IF($FJ305+HH$244&gt;73,"",PRODUCT(INDEX($T$19:$T$93,HH$244):INDEX($T$19:$T$93,HH$244+$FJ305-1)))</f>
        <v/>
      </c>
      <c r="HI305" s="150" t="str">
        <f aca="false">IF($FJ305+HI$244&gt;73,"",PRODUCT(INDEX($T$19:$T$93,HI$244):INDEX($T$19:$T$93,HI$244+$FJ305-1)))</f>
        <v/>
      </c>
      <c r="HJ305" s="150" t="str">
        <f aca="false">IF($FJ305+HJ$244&gt;73,"",PRODUCT(INDEX($T$19:$T$93,HJ$244):INDEX($T$19:$T$93,HJ$244+$FJ305-1)))</f>
        <v/>
      </c>
      <c r="HK305" s="150" t="str">
        <f aca="false">IF($FJ305+HK$244&gt;73,"",PRODUCT(INDEX($T$19:$T$93,HK$244):INDEX($T$19:$T$93,HK$244+$FJ305-1)))</f>
        <v/>
      </c>
      <c r="HL305" s="150" t="str">
        <f aca="false">IF($FJ305+HL$244&gt;73,"",PRODUCT(INDEX($T$19:$T$93,HL$244):INDEX($T$19:$T$93,HL$244+$FJ305-1)))</f>
        <v/>
      </c>
      <c r="HM305" s="150" t="str">
        <f aca="false">IF($FJ305+HM$244&gt;73,"",PRODUCT(INDEX($T$19:$T$93,HM$244):INDEX($T$19:$T$93,HM$244+$FJ305-1)))</f>
        <v/>
      </c>
      <c r="HN305" s="150" t="str">
        <f aca="false">IF($FJ305+HN$244&gt;73,"",PRODUCT(INDEX($T$19:$T$93,HN$244):INDEX($T$19:$T$93,HN$244+$FJ305-1)))</f>
        <v/>
      </c>
      <c r="HO305" s="150" t="str">
        <f aca="false">IF($FJ305+HO$244&gt;73,"",PRODUCT(INDEX($T$19:$T$93,HO$244):INDEX($T$19:$T$93,HO$244+$FJ305-1)))</f>
        <v/>
      </c>
      <c r="HP305" s="150" t="str">
        <f aca="false">IF($FJ305+HP$244&gt;73,"",PRODUCT(INDEX($T$19:$T$93,HP$244):INDEX($T$19:$T$93,HP$244+$FJ305-1)))</f>
        <v/>
      </c>
      <c r="HQ305" s="150" t="str">
        <f aca="false">IF($FJ305+HQ$244&gt;73,"",PRODUCT(INDEX($T$19:$T$93,HQ$244):INDEX($T$19:$T$93,HQ$244+$FJ305-1)))</f>
        <v/>
      </c>
      <c r="HR305" s="150" t="str">
        <f aca="false">IF($FJ305+HR$244&gt;73,"",PRODUCT(INDEX($T$19:$T$93,HR$244):INDEX($T$19:$T$93,HR$244+$FJ305-1)))</f>
        <v/>
      </c>
      <c r="HS305" s="150" t="n">
        <f aca="false">IF($FJ305+HS$244&gt;73,"",PRODUCT(INDEX($T$19:$T$93,HS$244):INDEX($T$19:$T$93,HS$244+$FJ305-1)))</f>
        <v>0.847473026734503</v>
      </c>
      <c r="HT305" s="150" t="n">
        <f aca="false">IF($FJ305+HT$244&gt;73,"",PRODUCT(INDEX($T$19:$T$93,HT$244):INDEX($T$19:$T$93,HT$244+$FJ305-1)))</f>
        <v>0.823438857960313</v>
      </c>
      <c r="HU305" s="150" t="n">
        <f aca="false">IF($FJ305+HU$244&gt;73,"",PRODUCT(INDEX($T$19:$T$93,HU$244):INDEX($T$19:$T$93,HU$244+$FJ305-1)))</f>
        <v>0.795989675183233</v>
      </c>
      <c r="HV305" s="150" t="n">
        <f aca="false">IF($FJ305+HV$244&gt;73,"",PRODUCT(INDEX($T$19:$T$93,HV$244):INDEX($T$19:$T$93,HV$244+$FJ305-1)))</f>
        <v>0.764777954324267</v>
      </c>
      <c r="HW305" s="150" t="n">
        <f aca="false">IF($FJ305+HW$244&gt;73,"",PRODUCT(INDEX($T$19:$T$93,HW$244):INDEX($T$19:$T$93,HW$244+$FJ305-1)))</f>
        <v>0.729474209841846</v>
      </c>
      <c r="HX305" s="150" t="n">
        <f aca="false">IF($FJ305+HX$244&gt;73,"",PRODUCT(INDEX($T$19:$T$93,HX$244):INDEX($T$19:$T$93,HX$244+$FJ305-1)))</f>
        <v>0.689792962238224</v>
      </c>
      <c r="HY305" s="150" t="n">
        <f aca="false">IF($FJ305+HY$244&gt;73,"",PRODUCT(INDEX($T$19:$T$93,HY$244):INDEX($T$19:$T$93,HY$244+$FJ305-1)))</f>
        <v>0.64552819051288</v>
      </c>
      <c r="HZ305" s="150" t="n">
        <f aca="false">IF($FJ305+HZ$244&gt;73,"",PRODUCT(INDEX($T$19:$T$93,HZ$244):INDEX($T$19:$T$93,HZ$244+$FJ305-1)))</f>
        <v>0.596599811256836</v>
      </c>
      <c r="IA305" s="150" t="n">
        <f aca="false">IF($FJ305+IA$244&gt;73,"",PRODUCT(INDEX($T$19:$T$93,IA$244):INDEX($T$19:$T$93,IA$244+$FJ305-1)))</f>
        <v>0.543111958943945</v>
      </c>
      <c r="IB305" s="150" t="n">
        <f aca="false">IF($FJ305+IB$244&gt;73,"",PRODUCT(INDEX($T$19:$T$93,IB$244):INDEX($T$19:$T$93,IB$244+$FJ305-1)))</f>
        <v>0.485422160246787</v>
      </c>
      <c r="IC305" s="150" t="n">
        <f aca="false">IF($FJ305+IC$244&gt;73,"",PRODUCT(INDEX($T$19:$T$93,IC$244):INDEX($T$19:$T$93,IC$244+$FJ305-1)))</f>
        <v>0.42421741270289</v>
      </c>
      <c r="ID305" s="572" t="n">
        <f aca="false">IF($FJ305+ID$244&gt;73,"",PRODUCT(INDEX($T$19:$T$93,ID$244):INDEX($T$19:$T$93,ID$244+$FJ305-1)))</f>
        <v>0.360588154146845</v>
      </c>
      <c r="IE305" s="129"/>
    </row>
    <row r="306" customFormat="false" ht="12.75" hidden="false" customHeight="false" outlineLevel="0" collapsed="false">
      <c r="I306" s="735"/>
      <c r="J306" s="727"/>
      <c r="K306" s="728"/>
      <c r="L306" s="195"/>
      <c r="M306" s="729"/>
      <c r="P306" s="727"/>
      <c r="S306" s="1"/>
      <c r="T306" s="727"/>
      <c r="U306" s="195"/>
      <c r="V306" s="195"/>
      <c r="W306" s="195"/>
      <c r="X306" s="195"/>
      <c r="Y306" s="195"/>
      <c r="Z306" s="195"/>
      <c r="AA306" s="195"/>
      <c r="AB306" s="195"/>
      <c r="AC306" s="195"/>
      <c r="AD306" s="195"/>
      <c r="AE306" s="195"/>
      <c r="AF306" s="195"/>
      <c r="AG306" s="195"/>
      <c r="AH306" s="195"/>
      <c r="AI306" s="195"/>
      <c r="AJ306" s="195"/>
      <c r="AK306" s="195"/>
      <c r="AL306" s="195"/>
      <c r="AM306" s="195"/>
      <c r="AN306" s="195"/>
      <c r="AO306" s="532"/>
      <c r="AP306" s="195"/>
      <c r="AQ306" s="532"/>
      <c r="AR306" s="195"/>
      <c r="AS306" s="240"/>
      <c r="AT306" s="240"/>
      <c r="AU306" s="240"/>
      <c r="AV306" s="730"/>
      <c r="AW306" s="730"/>
      <c r="AX306" s="730"/>
      <c r="AY306" s="730"/>
      <c r="AZ306" s="468"/>
      <c r="BA306" s="468"/>
      <c r="BB306" s="240"/>
      <c r="BC306" s="240"/>
      <c r="BD306" s="240"/>
      <c r="BE306" s="240"/>
      <c r="BF306" s="672"/>
      <c r="BG306" s="672"/>
      <c r="BH306" s="672"/>
      <c r="BI306" s="672"/>
      <c r="BJ306" s="672"/>
      <c r="BK306" s="240"/>
      <c r="BL306" s="736"/>
      <c r="BM306" s="737"/>
      <c r="BN306" s="240"/>
      <c r="BO306" s="240"/>
      <c r="BP306" s="240"/>
      <c r="BQ306" s="240"/>
      <c r="BR306" s="240"/>
      <c r="BS306" s="240"/>
      <c r="BT306" s="240"/>
      <c r="BU306" s="240"/>
      <c r="BV306" s="240"/>
      <c r="BW306" s="240"/>
      <c r="BX306" s="240"/>
      <c r="BY306" s="240"/>
      <c r="BZ306" s="240"/>
      <c r="CA306" s="240"/>
      <c r="CB306" s="240"/>
      <c r="CC306" s="672"/>
      <c r="CD306" s="672"/>
      <c r="CE306" s="672"/>
      <c r="CF306" s="672"/>
      <c r="CG306" s="672"/>
      <c r="CH306" s="672"/>
      <c r="CI306" s="240"/>
      <c r="CJ306" s="240"/>
      <c r="CK306" s="240"/>
      <c r="CL306" s="240"/>
      <c r="CM306" s="240"/>
      <c r="CN306" s="240"/>
      <c r="CO306" s="240"/>
      <c r="CP306" s="240"/>
      <c r="CQ306" s="240"/>
      <c r="CR306" s="240"/>
      <c r="CS306" s="240"/>
      <c r="CT306" s="240"/>
      <c r="CU306" s="240"/>
      <c r="CV306" s="240"/>
      <c r="CW306" s="240"/>
      <c r="CX306" s="240"/>
      <c r="CY306" s="240"/>
      <c r="CZ306" s="240"/>
      <c r="DA306" s="240"/>
      <c r="DB306" s="240"/>
      <c r="DC306" s="240"/>
      <c r="DD306" s="240"/>
      <c r="DE306" s="240"/>
      <c r="DF306" s="240"/>
      <c r="DG306" s="240"/>
      <c r="DH306" s="478"/>
      <c r="DI306" s="733"/>
      <c r="DJ306" s="195"/>
      <c r="DK306" s="478"/>
      <c r="DL306" s="4"/>
      <c r="DM306" s="4"/>
      <c r="DN306" s="4"/>
      <c r="DO306" s="4"/>
      <c r="DP306" s="4"/>
      <c r="DQ306" s="4"/>
      <c r="DR306" s="4"/>
      <c r="DT306" s="195"/>
      <c r="DU306" s="195"/>
      <c r="DV306" s="195"/>
      <c r="DW306" s="195"/>
      <c r="DX306" s="195"/>
      <c r="DY306" s="195"/>
      <c r="DZ306" s="195"/>
      <c r="EA306" s="195"/>
      <c r="EB306" s="195"/>
      <c r="EC306" s="195"/>
      <c r="ED306" s="195"/>
      <c r="EE306" s="195"/>
      <c r="EF306" s="195"/>
      <c r="EG306" s="195"/>
      <c r="EL306" s="1"/>
      <c r="EM306" s="195"/>
      <c r="EN306" s="731"/>
      <c r="EO306" s="240"/>
      <c r="EP306" s="195"/>
      <c r="EQ306" s="240"/>
      <c r="ER306" s="195"/>
      <c r="ES306" s="195"/>
      <c r="ET306" s="195"/>
      <c r="EU306" s="731"/>
      <c r="FJ306" s="571" t="n">
        <v>62</v>
      </c>
      <c r="FK306" s="150" t="str">
        <f aca="false">IF($FJ306+FK$244&gt;73,"",PRODUCT(INDEX($T$19:$T$93,FK$244):INDEX($T$19:$T$93,FK$244+$FJ306-1)))</f>
        <v/>
      </c>
      <c r="FL306" s="150" t="str">
        <f aca="false">IF($FJ306+FL$244&gt;73,"",PRODUCT(INDEX($T$19:$T$93,FL$244):INDEX($T$19:$T$93,FL$244+$FJ306-1)))</f>
        <v/>
      </c>
      <c r="FM306" s="150" t="str">
        <f aca="false">IF($FJ306+FM$244&gt;73,"",PRODUCT(INDEX($T$19:$T$93,FM$244):INDEX($T$19:$T$93,FM$244+$FJ306-1)))</f>
        <v/>
      </c>
      <c r="FN306" s="150" t="str">
        <f aca="false">IF($FJ306+FN$244&gt;73,"",PRODUCT(INDEX($T$19:$T$93,FN$244):INDEX($T$19:$T$93,FN$244+$FJ306-1)))</f>
        <v/>
      </c>
      <c r="FO306" s="150" t="str">
        <f aca="false">IF($FJ306+FO$244&gt;73,"",PRODUCT(INDEX($T$19:$T$93,FO$244):INDEX($T$19:$T$93,FO$244+$FJ306-1)))</f>
        <v/>
      </c>
      <c r="FP306" s="150" t="str">
        <f aca="false">IF($FJ306+FP$244&gt;73,"",PRODUCT(INDEX($T$19:$T$93,FP$244):INDEX($T$19:$T$93,FP$244+$FJ306-1)))</f>
        <v/>
      </c>
      <c r="FQ306" s="150" t="str">
        <f aca="false">IF($FJ306+FQ$244&gt;73,"",PRODUCT(INDEX($T$19:$T$93,FQ$244):INDEX($T$19:$T$93,FQ$244+$FJ306-1)))</f>
        <v/>
      </c>
      <c r="FR306" s="150" t="str">
        <f aca="false">IF($FJ306+FR$244&gt;73,"",PRODUCT(INDEX($T$19:$T$93,FR$244):INDEX($T$19:$T$93,FR$244+$FJ306-1)))</f>
        <v/>
      </c>
      <c r="FS306" s="150" t="str">
        <f aca="false">IF($FJ306+FS$244&gt;73,"",PRODUCT(INDEX($T$19:$T$93,FS$244):INDEX($T$19:$T$93,FS$244+$FJ306-1)))</f>
        <v/>
      </c>
      <c r="FT306" s="150" t="str">
        <f aca="false">IF($FJ306+FT$244&gt;73,"",PRODUCT(INDEX($T$19:$T$93,FT$244):INDEX($T$19:$T$93,FT$244+$FJ306-1)))</f>
        <v/>
      </c>
      <c r="FU306" s="150" t="str">
        <f aca="false">IF($FJ306+FU$244&gt;73,"",PRODUCT(INDEX($T$19:$T$93,FU$244):INDEX($T$19:$T$93,FU$244+$FJ306-1)))</f>
        <v/>
      </c>
      <c r="FV306" s="150" t="str">
        <f aca="false">IF($FJ306+FV$244&gt;73,"",PRODUCT(INDEX($T$19:$T$93,FV$244):INDEX($T$19:$T$93,FV$244+$FJ306-1)))</f>
        <v/>
      </c>
      <c r="FW306" s="150" t="str">
        <f aca="false">IF($FJ306+FW$244&gt;73,"",PRODUCT(INDEX($T$19:$T$93,FW$244):INDEX($T$19:$T$93,FW$244+$FJ306-1)))</f>
        <v/>
      </c>
      <c r="FX306" s="150" t="str">
        <f aca="false">IF($FJ306+FX$244&gt;73,"",PRODUCT(INDEX($T$19:$T$93,FX$244):INDEX($T$19:$T$93,FX$244+$FJ306-1)))</f>
        <v/>
      </c>
      <c r="FY306" s="150" t="str">
        <f aca="false">IF($FJ306+FY$244&gt;73,"",PRODUCT(INDEX($T$19:$T$93,FY$244):INDEX($T$19:$T$93,FY$244+$FJ306-1)))</f>
        <v/>
      </c>
      <c r="FZ306" s="150" t="str">
        <f aca="false">IF($FJ306+FZ$244&gt;73,"",PRODUCT(INDEX($T$19:$T$93,FZ$244):INDEX($T$19:$T$93,FZ$244+$FJ306-1)))</f>
        <v/>
      </c>
      <c r="GA306" s="150" t="str">
        <f aca="false">IF($FJ306+GA$244&gt;73,"",PRODUCT(INDEX($T$19:$T$93,GA$244):INDEX($T$19:$T$93,GA$244+$FJ306-1)))</f>
        <v/>
      </c>
      <c r="GB306" s="150" t="str">
        <f aca="false">IF($FJ306+GB$244&gt;73,"",PRODUCT(INDEX($T$19:$T$93,GB$244):INDEX($T$19:$T$93,GB$244+$FJ306-1)))</f>
        <v/>
      </c>
      <c r="GC306" s="150" t="str">
        <f aca="false">IF($FJ306+GC$244&gt;73,"",PRODUCT(INDEX($T$19:$T$93,GC$244):INDEX($T$19:$T$93,GC$244+$FJ306-1)))</f>
        <v/>
      </c>
      <c r="GD306" s="150" t="str">
        <f aca="false">IF($FJ306+GD$244&gt;73,"",PRODUCT(INDEX($T$19:$T$93,GD$244):INDEX($T$19:$T$93,GD$244+$FJ306-1)))</f>
        <v/>
      </c>
      <c r="GE306" s="150" t="str">
        <f aca="false">IF($FJ306+GE$244&gt;73,"",PRODUCT(INDEX($T$19:$T$93,GE$244):INDEX($T$19:$T$93,GE$244+$FJ306-1)))</f>
        <v/>
      </c>
      <c r="GF306" s="150" t="str">
        <f aca="false">IF($FJ306+GF$244&gt;73,"",PRODUCT(INDEX($T$19:$T$93,GF$244):INDEX($T$19:$T$93,GF$244+$FJ306-1)))</f>
        <v/>
      </c>
      <c r="GG306" s="150" t="str">
        <f aca="false">IF($FJ306+GG$244&gt;73,"",PRODUCT(INDEX($T$19:$T$93,GG$244):INDEX($T$19:$T$93,GG$244+$FJ306-1)))</f>
        <v/>
      </c>
      <c r="GH306" s="150" t="str">
        <f aca="false">IF($FJ306+GH$244&gt;73,"",PRODUCT(INDEX($T$19:$T$93,GH$244):INDEX($T$19:$T$93,GH$244+$FJ306-1)))</f>
        <v/>
      </c>
      <c r="GI306" s="150" t="str">
        <f aca="false">IF($FJ306+GI$244&gt;73,"",PRODUCT(INDEX($T$19:$T$93,GI$244):INDEX($T$19:$T$93,GI$244+$FJ306-1)))</f>
        <v/>
      </c>
      <c r="GJ306" s="150" t="str">
        <f aca="false">IF($FJ306+GJ$244&gt;73,"",PRODUCT(INDEX($T$19:$T$93,GJ$244):INDEX($T$19:$T$93,GJ$244+$FJ306-1)))</f>
        <v/>
      </c>
      <c r="GK306" s="150" t="str">
        <f aca="false">IF($FJ306+GK$244&gt;73,"",PRODUCT(INDEX($T$19:$T$93,GK$244):INDEX($T$19:$T$93,GK$244+$FJ306-1)))</f>
        <v/>
      </c>
      <c r="GL306" s="150" t="str">
        <f aca="false">IF($FJ306+GL$244&gt;73,"",PRODUCT(INDEX($T$19:$T$93,GL$244):INDEX($T$19:$T$93,GL$244+$FJ306-1)))</f>
        <v/>
      </c>
      <c r="GM306" s="150" t="str">
        <f aca="false">IF($FJ306+GM$244&gt;73,"",PRODUCT(INDEX($T$19:$T$93,GM$244):INDEX($T$19:$T$93,GM$244+$FJ306-1)))</f>
        <v/>
      </c>
      <c r="GN306" s="150" t="str">
        <f aca="false">IF($FJ306+GN$244&gt;73,"",PRODUCT(INDEX($T$19:$T$93,GN$244):INDEX($T$19:$T$93,GN$244+$FJ306-1)))</f>
        <v/>
      </c>
      <c r="GO306" s="150" t="str">
        <f aca="false">IF($FJ306+GO$244&gt;73,"",PRODUCT(INDEX($T$19:$T$93,GO$244):INDEX($T$19:$T$93,GO$244+$FJ306-1)))</f>
        <v/>
      </c>
      <c r="GP306" s="150" t="str">
        <f aca="false">IF($FJ306+GP$244&gt;73,"",PRODUCT(INDEX($T$19:$T$93,GP$244):INDEX($T$19:$T$93,GP$244+$FJ306-1)))</f>
        <v/>
      </c>
      <c r="GQ306" s="150" t="str">
        <f aca="false">IF($FJ306+GQ$244&gt;73,"",PRODUCT(INDEX($T$19:$T$93,GQ$244):INDEX($T$19:$T$93,GQ$244+$FJ306-1)))</f>
        <v/>
      </c>
      <c r="GR306" s="150" t="str">
        <f aca="false">IF($FJ306+GR$244&gt;73,"",PRODUCT(INDEX($T$19:$T$93,GR$244):INDEX($T$19:$T$93,GR$244+$FJ306-1)))</f>
        <v/>
      </c>
      <c r="GS306" s="150" t="str">
        <f aca="false">IF($FJ306+GS$244&gt;73,"",PRODUCT(INDEX($T$19:$T$93,GS$244):INDEX($T$19:$T$93,GS$244+$FJ306-1)))</f>
        <v/>
      </c>
      <c r="GT306" s="150" t="str">
        <f aca="false">IF($FJ306+GT$244&gt;73,"",PRODUCT(INDEX($T$19:$T$93,GT$244):INDEX($T$19:$T$93,GT$244+$FJ306-1)))</f>
        <v/>
      </c>
      <c r="GU306" s="150" t="str">
        <f aca="false">IF($FJ306+GU$244&gt;73,"",PRODUCT(INDEX($T$19:$T$93,GU$244):INDEX($T$19:$T$93,GU$244+$FJ306-1)))</f>
        <v/>
      </c>
      <c r="GV306" s="150" t="str">
        <f aca="false">IF($FJ306+GV$244&gt;73,"",PRODUCT(INDEX($T$19:$T$93,GV$244):INDEX($T$19:$T$93,GV$244+$FJ306-1)))</f>
        <v/>
      </c>
      <c r="GW306" s="150" t="str">
        <f aca="false">IF($FJ306+GW$244&gt;73,"",PRODUCT(INDEX($T$19:$T$93,GW$244):INDEX($T$19:$T$93,GW$244+$FJ306-1)))</f>
        <v/>
      </c>
      <c r="GX306" s="150" t="str">
        <f aca="false">IF($FJ306+GX$244&gt;73,"",PRODUCT(INDEX($T$19:$T$93,GX$244):INDEX($T$19:$T$93,GX$244+$FJ306-1)))</f>
        <v/>
      </c>
      <c r="GY306" s="150" t="str">
        <f aca="false">IF($FJ306+GY$244&gt;73,"",PRODUCT(INDEX($T$19:$T$93,GY$244):INDEX($T$19:$T$93,GY$244+$FJ306-1)))</f>
        <v/>
      </c>
      <c r="GZ306" s="150" t="str">
        <f aca="false">IF($FJ306+GZ$244&gt;73,"",PRODUCT(INDEX($T$19:$T$93,GZ$244):INDEX($T$19:$T$93,GZ$244+$FJ306-1)))</f>
        <v/>
      </c>
      <c r="HA306" s="150" t="str">
        <f aca="false">IF($FJ306+HA$244&gt;73,"",PRODUCT(INDEX($T$19:$T$93,HA$244):INDEX($T$19:$T$93,HA$244+$FJ306-1)))</f>
        <v/>
      </c>
      <c r="HB306" s="150" t="str">
        <f aca="false">IF($FJ306+HB$244&gt;73,"",PRODUCT(INDEX($T$19:$T$93,HB$244):INDEX($T$19:$T$93,HB$244+$FJ306-1)))</f>
        <v/>
      </c>
      <c r="HC306" s="150" t="str">
        <f aca="false">IF($FJ306+HC$244&gt;73,"",PRODUCT(INDEX($T$19:$T$93,HC$244):INDEX($T$19:$T$93,HC$244+$FJ306-1)))</f>
        <v/>
      </c>
      <c r="HD306" s="150" t="str">
        <f aca="false">IF($FJ306+HD$244&gt;73,"",PRODUCT(INDEX($T$19:$T$93,HD$244):INDEX($T$19:$T$93,HD$244+$FJ306-1)))</f>
        <v/>
      </c>
      <c r="HE306" s="150" t="str">
        <f aca="false">IF($FJ306+HE$244&gt;73,"",PRODUCT(INDEX($T$19:$T$93,HE$244):INDEX($T$19:$T$93,HE$244+$FJ306-1)))</f>
        <v/>
      </c>
      <c r="HF306" s="150" t="str">
        <f aca="false">IF($FJ306+HF$244&gt;73,"",PRODUCT(INDEX($T$19:$T$93,HF$244):INDEX($T$19:$T$93,HF$244+$FJ306-1)))</f>
        <v/>
      </c>
      <c r="HG306" s="150" t="str">
        <f aca="false">IF($FJ306+HG$244&gt;73,"",PRODUCT(INDEX($T$19:$T$93,HG$244):INDEX($T$19:$T$93,HG$244+$FJ306-1)))</f>
        <v/>
      </c>
      <c r="HH306" s="150" t="str">
        <f aca="false">IF($FJ306+HH$244&gt;73,"",PRODUCT(INDEX($T$19:$T$93,HH$244):INDEX($T$19:$T$93,HH$244+$FJ306-1)))</f>
        <v/>
      </c>
      <c r="HI306" s="150" t="str">
        <f aca="false">IF($FJ306+HI$244&gt;73,"",PRODUCT(INDEX($T$19:$T$93,HI$244):INDEX($T$19:$T$93,HI$244+$FJ306-1)))</f>
        <v/>
      </c>
      <c r="HJ306" s="150" t="str">
        <f aca="false">IF($FJ306+HJ$244&gt;73,"",PRODUCT(INDEX($T$19:$T$93,HJ$244):INDEX($T$19:$T$93,HJ$244+$FJ306-1)))</f>
        <v/>
      </c>
      <c r="HK306" s="150" t="str">
        <f aca="false">IF($FJ306+HK$244&gt;73,"",PRODUCT(INDEX($T$19:$T$93,HK$244):INDEX($T$19:$T$93,HK$244+$FJ306-1)))</f>
        <v/>
      </c>
      <c r="HL306" s="150" t="str">
        <f aca="false">IF($FJ306+HL$244&gt;73,"",PRODUCT(INDEX($T$19:$T$93,HL$244):INDEX($T$19:$T$93,HL$244+$FJ306-1)))</f>
        <v/>
      </c>
      <c r="HM306" s="150" t="str">
        <f aca="false">IF($FJ306+HM$244&gt;73,"",PRODUCT(INDEX($T$19:$T$93,HM$244):INDEX($T$19:$T$93,HM$244+$FJ306-1)))</f>
        <v/>
      </c>
      <c r="HN306" s="150" t="str">
        <f aca="false">IF($FJ306+HN$244&gt;73,"",PRODUCT(INDEX($T$19:$T$93,HN$244):INDEX($T$19:$T$93,HN$244+$FJ306-1)))</f>
        <v/>
      </c>
      <c r="HO306" s="150" t="str">
        <f aca="false">IF($FJ306+HO$244&gt;73,"",PRODUCT(INDEX($T$19:$T$93,HO$244):INDEX($T$19:$T$93,HO$244+$FJ306-1)))</f>
        <v/>
      </c>
      <c r="HP306" s="150" t="str">
        <f aca="false">IF($FJ306+HP$244&gt;73,"",PRODUCT(INDEX($T$19:$T$93,HP$244):INDEX($T$19:$T$93,HP$244+$FJ306-1)))</f>
        <v/>
      </c>
      <c r="HQ306" s="150" t="str">
        <f aca="false">IF($FJ306+HQ$244&gt;73,"",PRODUCT(INDEX($T$19:$T$93,HQ$244):INDEX($T$19:$T$93,HQ$244+$FJ306-1)))</f>
        <v/>
      </c>
      <c r="HR306" s="150" t="str">
        <f aca="false">IF($FJ306+HR$244&gt;73,"",PRODUCT(INDEX($T$19:$T$93,HR$244):INDEX($T$19:$T$93,HR$244+$FJ306-1)))</f>
        <v/>
      </c>
      <c r="HS306" s="150" t="str">
        <f aca="false">IF($FJ306+HS$244&gt;73,"",PRODUCT(INDEX($T$19:$T$93,HS$244):INDEX($T$19:$T$93,HS$244+$FJ306-1)))</f>
        <v/>
      </c>
      <c r="HT306" s="150" t="n">
        <f aca="false">IF($FJ306+HT$244&gt;73,"",PRODUCT(INDEX($T$19:$T$93,HT$244):INDEX($T$19:$T$93,HT$244+$FJ306-1)))</f>
        <v>0.823437259322431</v>
      </c>
      <c r="HU306" s="150" t="n">
        <f aca="false">IF($FJ306+HU$244&gt;73,"",PRODUCT(INDEX($T$19:$T$93,HU$244):INDEX($T$19:$T$93,HU$244+$FJ306-1)))</f>
        <v>0.795987867757108</v>
      </c>
      <c r="HV306" s="150" t="n">
        <f aca="false">IF($FJ306+HV$244&gt;73,"",PRODUCT(INDEX($T$19:$T$93,HV$244):INDEX($T$19:$T$93,HV$244+$FJ306-1)))</f>
        <v>0.764775923263435</v>
      </c>
      <c r="HW306" s="150" t="n">
        <f aca="false">IF($FJ306+HW$244&gt;73,"",PRODUCT(INDEX($T$19:$T$93,HW$244):INDEX($T$19:$T$93,HW$244+$FJ306-1)))</f>
        <v>0.729471943987212</v>
      </c>
      <c r="HX306" s="150" t="n">
        <f aca="false">IF($FJ306+HX$244&gt;73,"",PRODUCT(INDEX($T$19:$T$93,HX$244):INDEX($T$19:$T$93,HX$244+$FJ306-1)))</f>
        <v>0.689790456270428</v>
      </c>
      <c r="HY306" s="150" t="n">
        <f aca="false">IF($FJ306+HY$244&gt;73,"",PRODUCT(INDEX($T$19:$T$93,HY$244):INDEX($T$19:$T$93,HY$244+$FJ306-1)))</f>
        <v>0.645525447633744</v>
      </c>
      <c r="HZ306" s="150" t="n">
        <f aca="false">IF($FJ306+HZ$244&gt;73,"",PRODUCT(INDEX($T$19:$T$93,HZ$244):INDEX($T$19:$T$93,HZ$244+$FJ306-1)))</f>
        <v>0.596596846361112</v>
      </c>
      <c r="IA306" s="150" t="n">
        <f aca="false">IF($FJ306+IA$244&gt;73,"",PRODUCT(INDEX($T$19:$T$93,IA$244):INDEX($T$19:$T$93,IA$244+$FJ306-1)))</f>
        <v>0.543108802117747</v>
      </c>
      <c r="IB306" s="150" t="n">
        <f aca="false">IF($FJ306+IB$244&gt;73,"",PRODUCT(INDEX($T$19:$T$93,IB$244):INDEX($T$19:$T$93,IB$244+$FJ306-1)))</f>
        <v>0.485418860230679</v>
      </c>
      <c r="IC306" s="150" t="n">
        <f aca="false">IF($FJ306+IC$244&gt;73,"",PRODUCT(INDEX($T$19:$T$93,IC$244):INDEX($T$19:$T$93,IC$244+$FJ306-1)))</f>
        <v>0.424214039672214</v>
      </c>
      <c r="ID306" s="572" t="n">
        <f aca="false">IF($FJ306+ID$244&gt;73,"",PRODUCT(INDEX($T$19:$T$93,ID$244):INDEX($T$19:$T$93,ID$244+$FJ306-1)))</f>
        <v>0.360584800797457</v>
      </c>
      <c r="IE306" s="129"/>
    </row>
    <row r="307" customFormat="false" ht="12.75" hidden="false" customHeight="false" outlineLevel="0" collapsed="false">
      <c r="I307" s="735"/>
      <c r="J307" s="727"/>
      <c r="K307" s="728"/>
      <c r="L307" s="195"/>
      <c r="M307" s="729"/>
      <c r="P307" s="727"/>
      <c r="S307" s="1"/>
      <c r="T307" s="727"/>
      <c r="U307" s="195"/>
      <c r="V307" s="195"/>
      <c r="W307" s="195"/>
      <c r="X307" s="195"/>
      <c r="Y307" s="195"/>
      <c r="Z307" s="195"/>
      <c r="AA307" s="195"/>
      <c r="AB307" s="195"/>
      <c r="AC307" s="195"/>
      <c r="AD307" s="195"/>
      <c r="AE307" s="195"/>
      <c r="AF307" s="195"/>
      <c r="AG307" s="195"/>
      <c r="AH307" s="195"/>
      <c r="AI307" s="195"/>
      <c r="AJ307" s="195"/>
      <c r="AK307" s="195"/>
      <c r="AL307" s="195"/>
      <c r="AM307" s="195"/>
      <c r="AN307" s="195"/>
      <c r="AO307" s="532"/>
      <c r="AP307" s="195"/>
      <c r="AQ307" s="532"/>
      <c r="AR307" s="195"/>
      <c r="AS307" s="240"/>
      <c r="AT307" s="240"/>
      <c r="AU307" s="240"/>
      <c r="AV307" s="730"/>
      <c r="AW307" s="730"/>
      <c r="AX307" s="730"/>
      <c r="AY307" s="730"/>
      <c r="AZ307" s="468"/>
      <c r="BA307" s="468"/>
      <c r="BB307" s="240"/>
      <c r="BC307" s="240"/>
      <c r="BD307" s="240"/>
      <c r="BE307" s="240"/>
      <c r="BF307" s="672"/>
      <c r="BG307" s="672"/>
      <c r="BH307" s="672"/>
      <c r="BI307" s="672"/>
      <c r="BJ307" s="672"/>
      <c r="BK307" s="240"/>
      <c r="BL307" s="736"/>
      <c r="BM307" s="737"/>
      <c r="BN307" s="240"/>
      <c r="BO307" s="240"/>
      <c r="BP307" s="240"/>
      <c r="BQ307" s="240"/>
      <c r="BR307" s="240"/>
      <c r="BS307" s="240"/>
      <c r="BT307" s="240"/>
      <c r="BU307" s="240"/>
      <c r="BV307" s="240"/>
      <c r="BW307" s="240"/>
      <c r="BX307" s="240"/>
      <c r="BY307" s="240"/>
      <c r="BZ307" s="240"/>
      <c r="CA307" s="240"/>
      <c r="CB307" s="240"/>
      <c r="CC307" s="672"/>
      <c r="CD307" s="672"/>
      <c r="CE307" s="672"/>
      <c r="CF307" s="672"/>
      <c r="CG307" s="672"/>
      <c r="CH307" s="672"/>
      <c r="CI307" s="240"/>
      <c r="CJ307" s="240"/>
      <c r="CK307" s="240"/>
      <c r="CL307" s="240"/>
      <c r="CM307" s="240"/>
      <c r="CN307" s="240"/>
      <c r="CO307" s="240"/>
      <c r="CP307" s="240"/>
      <c r="CQ307" s="240"/>
      <c r="CR307" s="240"/>
      <c r="CS307" s="240"/>
      <c r="CT307" s="240"/>
      <c r="CU307" s="240"/>
      <c r="CV307" s="240"/>
      <c r="CW307" s="240"/>
      <c r="CX307" s="240"/>
      <c r="CY307" s="240"/>
      <c r="CZ307" s="240"/>
      <c r="DA307" s="240"/>
      <c r="DB307" s="240"/>
      <c r="DC307" s="240"/>
      <c r="DD307" s="240"/>
      <c r="DE307" s="240"/>
      <c r="DF307" s="240"/>
      <c r="DG307" s="240"/>
      <c r="DH307" s="478"/>
      <c r="DI307" s="733"/>
      <c r="DJ307" s="195"/>
      <c r="DK307" s="478"/>
      <c r="DL307" s="4"/>
      <c r="DM307" s="4"/>
      <c r="DN307" s="4"/>
      <c r="DO307" s="4"/>
      <c r="DP307" s="4"/>
      <c r="DQ307" s="4"/>
      <c r="DR307" s="4"/>
      <c r="DT307" s="195"/>
      <c r="DU307" s="195"/>
      <c r="DV307" s="195"/>
      <c r="DW307" s="195"/>
      <c r="DX307" s="195"/>
      <c r="DY307" s="195"/>
      <c r="DZ307" s="195"/>
      <c r="EA307" s="195"/>
      <c r="EB307" s="195"/>
      <c r="EC307" s="195"/>
      <c r="ED307" s="195"/>
      <c r="EE307" s="195"/>
      <c r="EF307" s="195"/>
      <c r="EG307" s="195"/>
      <c r="EL307" s="1"/>
      <c r="EM307" s="195"/>
      <c r="EN307" s="731"/>
      <c r="EO307" s="240"/>
      <c r="EP307" s="195"/>
      <c r="EQ307" s="240"/>
      <c r="ER307" s="195"/>
      <c r="ES307" s="195"/>
      <c r="ET307" s="195"/>
      <c r="EU307" s="731"/>
      <c r="FJ307" s="571" t="n">
        <v>63</v>
      </c>
      <c r="FK307" s="150" t="str">
        <f aca="false">IF($FJ307+FK$244&gt;73,"",PRODUCT(INDEX($T$19:$T$93,FK$244):INDEX($T$19:$T$93,FK$244+$FJ307-1)))</f>
        <v/>
      </c>
      <c r="FL307" s="150" t="str">
        <f aca="false">IF($FJ307+FL$244&gt;73,"",PRODUCT(INDEX($T$19:$T$93,FL$244):INDEX($T$19:$T$93,FL$244+$FJ307-1)))</f>
        <v/>
      </c>
      <c r="FM307" s="150" t="str">
        <f aca="false">IF($FJ307+FM$244&gt;73,"",PRODUCT(INDEX($T$19:$T$93,FM$244):INDEX($T$19:$T$93,FM$244+$FJ307-1)))</f>
        <v/>
      </c>
      <c r="FN307" s="150" t="str">
        <f aca="false">IF($FJ307+FN$244&gt;73,"",PRODUCT(INDEX($T$19:$T$93,FN$244):INDEX($T$19:$T$93,FN$244+$FJ307-1)))</f>
        <v/>
      </c>
      <c r="FO307" s="150" t="str">
        <f aca="false">IF($FJ307+FO$244&gt;73,"",PRODUCT(INDEX($T$19:$T$93,FO$244):INDEX($T$19:$T$93,FO$244+$FJ307-1)))</f>
        <v/>
      </c>
      <c r="FP307" s="150" t="str">
        <f aca="false">IF($FJ307+FP$244&gt;73,"",PRODUCT(INDEX($T$19:$T$93,FP$244):INDEX($T$19:$T$93,FP$244+$FJ307-1)))</f>
        <v/>
      </c>
      <c r="FQ307" s="150" t="str">
        <f aca="false">IF($FJ307+FQ$244&gt;73,"",PRODUCT(INDEX($T$19:$T$93,FQ$244):INDEX($T$19:$T$93,FQ$244+$FJ307-1)))</f>
        <v/>
      </c>
      <c r="FR307" s="150" t="str">
        <f aca="false">IF($FJ307+FR$244&gt;73,"",PRODUCT(INDEX($T$19:$T$93,FR$244):INDEX($T$19:$T$93,FR$244+$FJ307-1)))</f>
        <v/>
      </c>
      <c r="FS307" s="150" t="str">
        <f aca="false">IF($FJ307+FS$244&gt;73,"",PRODUCT(INDEX($T$19:$T$93,FS$244):INDEX($T$19:$T$93,FS$244+$FJ307-1)))</f>
        <v/>
      </c>
      <c r="FT307" s="150" t="str">
        <f aca="false">IF($FJ307+FT$244&gt;73,"",PRODUCT(INDEX($T$19:$T$93,FT$244):INDEX($T$19:$T$93,FT$244+$FJ307-1)))</f>
        <v/>
      </c>
      <c r="FU307" s="150" t="str">
        <f aca="false">IF($FJ307+FU$244&gt;73,"",PRODUCT(INDEX($T$19:$T$93,FU$244):INDEX($T$19:$T$93,FU$244+$FJ307-1)))</f>
        <v/>
      </c>
      <c r="FV307" s="150" t="str">
        <f aca="false">IF($FJ307+FV$244&gt;73,"",PRODUCT(INDEX($T$19:$T$93,FV$244):INDEX($T$19:$T$93,FV$244+$FJ307-1)))</f>
        <v/>
      </c>
      <c r="FW307" s="150" t="str">
        <f aca="false">IF($FJ307+FW$244&gt;73,"",PRODUCT(INDEX($T$19:$T$93,FW$244):INDEX($T$19:$T$93,FW$244+$FJ307-1)))</f>
        <v/>
      </c>
      <c r="FX307" s="150" t="str">
        <f aca="false">IF($FJ307+FX$244&gt;73,"",PRODUCT(INDEX($T$19:$T$93,FX$244):INDEX($T$19:$T$93,FX$244+$FJ307-1)))</f>
        <v/>
      </c>
      <c r="FY307" s="150" t="str">
        <f aca="false">IF($FJ307+FY$244&gt;73,"",PRODUCT(INDEX($T$19:$T$93,FY$244):INDEX($T$19:$T$93,FY$244+$FJ307-1)))</f>
        <v/>
      </c>
      <c r="FZ307" s="150" t="str">
        <f aca="false">IF($FJ307+FZ$244&gt;73,"",PRODUCT(INDEX($T$19:$T$93,FZ$244):INDEX($T$19:$T$93,FZ$244+$FJ307-1)))</f>
        <v/>
      </c>
      <c r="GA307" s="150" t="str">
        <f aca="false">IF($FJ307+GA$244&gt;73,"",PRODUCT(INDEX($T$19:$T$93,GA$244):INDEX($T$19:$T$93,GA$244+$FJ307-1)))</f>
        <v/>
      </c>
      <c r="GB307" s="150" t="str">
        <f aca="false">IF($FJ307+GB$244&gt;73,"",PRODUCT(INDEX($T$19:$T$93,GB$244):INDEX($T$19:$T$93,GB$244+$FJ307-1)))</f>
        <v/>
      </c>
      <c r="GC307" s="150" t="str">
        <f aca="false">IF($FJ307+GC$244&gt;73,"",PRODUCT(INDEX($T$19:$T$93,GC$244):INDEX($T$19:$T$93,GC$244+$FJ307-1)))</f>
        <v/>
      </c>
      <c r="GD307" s="150" t="str">
        <f aca="false">IF($FJ307+GD$244&gt;73,"",PRODUCT(INDEX($T$19:$T$93,GD$244):INDEX($T$19:$T$93,GD$244+$FJ307-1)))</f>
        <v/>
      </c>
      <c r="GE307" s="150" t="str">
        <f aca="false">IF($FJ307+GE$244&gt;73,"",PRODUCT(INDEX($T$19:$T$93,GE$244):INDEX($T$19:$T$93,GE$244+$FJ307-1)))</f>
        <v/>
      </c>
      <c r="GF307" s="150" t="str">
        <f aca="false">IF($FJ307+GF$244&gt;73,"",PRODUCT(INDEX($T$19:$T$93,GF$244):INDEX($T$19:$T$93,GF$244+$FJ307-1)))</f>
        <v/>
      </c>
      <c r="GG307" s="150" t="str">
        <f aca="false">IF($FJ307+GG$244&gt;73,"",PRODUCT(INDEX($T$19:$T$93,GG$244):INDEX($T$19:$T$93,GG$244+$FJ307-1)))</f>
        <v/>
      </c>
      <c r="GH307" s="150" t="str">
        <f aca="false">IF($FJ307+GH$244&gt;73,"",PRODUCT(INDEX($T$19:$T$93,GH$244):INDEX($T$19:$T$93,GH$244+$FJ307-1)))</f>
        <v/>
      </c>
      <c r="GI307" s="150" t="str">
        <f aca="false">IF($FJ307+GI$244&gt;73,"",PRODUCT(INDEX($T$19:$T$93,GI$244):INDEX($T$19:$T$93,GI$244+$FJ307-1)))</f>
        <v/>
      </c>
      <c r="GJ307" s="150" t="str">
        <f aca="false">IF($FJ307+GJ$244&gt;73,"",PRODUCT(INDEX($T$19:$T$93,GJ$244):INDEX($T$19:$T$93,GJ$244+$FJ307-1)))</f>
        <v/>
      </c>
      <c r="GK307" s="150" t="str">
        <f aca="false">IF($FJ307+GK$244&gt;73,"",PRODUCT(INDEX($T$19:$T$93,GK$244):INDEX($T$19:$T$93,GK$244+$FJ307-1)))</f>
        <v/>
      </c>
      <c r="GL307" s="150" t="str">
        <f aca="false">IF($FJ307+GL$244&gt;73,"",PRODUCT(INDEX($T$19:$T$93,GL$244):INDEX($T$19:$T$93,GL$244+$FJ307-1)))</f>
        <v/>
      </c>
      <c r="GM307" s="150" t="str">
        <f aca="false">IF($FJ307+GM$244&gt;73,"",PRODUCT(INDEX($T$19:$T$93,GM$244):INDEX($T$19:$T$93,GM$244+$FJ307-1)))</f>
        <v/>
      </c>
      <c r="GN307" s="150" t="str">
        <f aca="false">IF($FJ307+GN$244&gt;73,"",PRODUCT(INDEX($T$19:$T$93,GN$244):INDEX($T$19:$T$93,GN$244+$FJ307-1)))</f>
        <v/>
      </c>
      <c r="GO307" s="150" t="str">
        <f aca="false">IF($FJ307+GO$244&gt;73,"",PRODUCT(INDEX($T$19:$T$93,GO$244):INDEX($T$19:$T$93,GO$244+$FJ307-1)))</f>
        <v/>
      </c>
      <c r="GP307" s="150" t="str">
        <f aca="false">IF($FJ307+GP$244&gt;73,"",PRODUCT(INDEX($T$19:$T$93,GP$244):INDEX($T$19:$T$93,GP$244+$FJ307-1)))</f>
        <v/>
      </c>
      <c r="GQ307" s="150" t="str">
        <f aca="false">IF($FJ307+GQ$244&gt;73,"",PRODUCT(INDEX($T$19:$T$93,GQ$244):INDEX($T$19:$T$93,GQ$244+$FJ307-1)))</f>
        <v/>
      </c>
      <c r="GR307" s="150" t="str">
        <f aca="false">IF($FJ307+GR$244&gt;73,"",PRODUCT(INDEX($T$19:$T$93,GR$244):INDEX($T$19:$T$93,GR$244+$FJ307-1)))</f>
        <v/>
      </c>
      <c r="GS307" s="150" t="str">
        <f aca="false">IF($FJ307+GS$244&gt;73,"",PRODUCT(INDEX($T$19:$T$93,GS$244):INDEX($T$19:$T$93,GS$244+$FJ307-1)))</f>
        <v/>
      </c>
      <c r="GT307" s="150" t="str">
        <f aca="false">IF($FJ307+GT$244&gt;73,"",PRODUCT(INDEX($T$19:$T$93,GT$244):INDEX($T$19:$T$93,GT$244+$FJ307-1)))</f>
        <v/>
      </c>
      <c r="GU307" s="150" t="str">
        <f aca="false">IF($FJ307+GU$244&gt;73,"",PRODUCT(INDEX($T$19:$T$93,GU$244):INDEX($T$19:$T$93,GU$244+$FJ307-1)))</f>
        <v/>
      </c>
      <c r="GV307" s="150" t="str">
        <f aca="false">IF($FJ307+GV$244&gt;73,"",PRODUCT(INDEX($T$19:$T$93,GV$244):INDEX($T$19:$T$93,GV$244+$FJ307-1)))</f>
        <v/>
      </c>
      <c r="GW307" s="150" t="str">
        <f aca="false">IF($FJ307+GW$244&gt;73,"",PRODUCT(INDEX($T$19:$T$93,GW$244):INDEX($T$19:$T$93,GW$244+$FJ307-1)))</f>
        <v/>
      </c>
      <c r="GX307" s="150" t="str">
        <f aca="false">IF($FJ307+GX$244&gt;73,"",PRODUCT(INDEX($T$19:$T$93,GX$244):INDEX($T$19:$T$93,GX$244+$FJ307-1)))</f>
        <v/>
      </c>
      <c r="GY307" s="150" t="str">
        <f aca="false">IF($FJ307+GY$244&gt;73,"",PRODUCT(INDEX($T$19:$T$93,GY$244):INDEX($T$19:$T$93,GY$244+$FJ307-1)))</f>
        <v/>
      </c>
      <c r="GZ307" s="150" t="str">
        <f aca="false">IF($FJ307+GZ$244&gt;73,"",PRODUCT(INDEX($T$19:$T$93,GZ$244):INDEX($T$19:$T$93,GZ$244+$FJ307-1)))</f>
        <v/>
      </c>
      <c r="HA307" s="150" t="str">
        <f aca="false">IF($FJ307+HA$244&gt;73,"",PRODUCT(INDEX($T$19:$T$93,HA$244):INDEX($T$19:$T$93,HA$244+$FJ307-1)))</f>
        <v/>
      </c>
      <c r="HB307" s="150" t="str">
        <f aca="false">IF($FJ307+HB$244&gt;73,"",PRODUCT(INDEX($T$19:$T$93,HB$244):INDEX($T$19:$T$93,HB$244+$FJ307-1)))</f>
        <v/>
      </c>
      <c r="HC307" s="150" t="str">
        <f aca="false">IF($FJ307+HC$244&gt;73,"",PRODUCT(INDEX($T$19:$T$93,HC$244):INDEX($T$19:$T$93,HC$244+$FJ307-1)))</f>
        <v/>
      </c>
      <c r="HD307" s="150" t="str">
        <f aca="false">IF($FJ307+HD$244&gt;73,"",PRODUCT(INDEX($T$19:$T$93,HD$244):INDEX($T$19:$T$93,HD$244+$FJ307-1)))</f>
        <v/>
      </c>
      <c r="HE307" s="150" t="str">
        <f aca="false">IF($FJ307+HE$244&gt;73,"",PRODUCT(INDEX($T$19:$T$93,HE$244):INDEX($T$19:$T$93,HE$244+$FJ307-1)))</f>
        <v/>
      </c>
      <c r="HF307" s="150" t="str">
        <f aca="false">IF($FJ307+HF$244&gt;73,"",PRODUCT(INDEX($T$19:$T$93,HF$244):INDEX($T$19:$T$93,HF$244+$FJ307-1)))</f>
        <v/>
      </c>
      <c r="HG307" s="150" t="str">
        <f aca="false">IF($FJ307+HG$244&gt;73,"",PRODUCT(INDEX($T$19:$T$93,HG$244):INDEX($T$19:$T$93,HG$244+$FJ307-1)))</f>
        <v/>
      </c>
      <c r="HH307" s="150" t="str">
        <f aca="false">IF($FJ307+HH$244&gt;73,"",PRODUCT(INDEX($T$19:$T$93,HH$244):INDEX($T$19:$T$93,HH$244+$FJ307-1)))</f>
        <v/>
      </c>
      <c r="HI307" s="150" t="str">
        <f aca="false">IF($FJ307+HI$244&gt;73,"",PRODUCT(INDEX($T$19:$T$93,HI$244):INDEX($T$19:$T$93,HI$244+$FJ307-1)))</f>
        <v/>
      </c>
      <c r="HJ307" s="150" t="str">
        <f aca="false">IF($FJ307+HJ$244&gt;73,"",PRODUCT(INDEX($T$19:$T$93,HJ$244):INDEX($T$19:$T$93,HJ$244+$FJ307-1)))</f>
        <v/>
      </c>
      <c r="HK307" s="150" t="str">
        <f aca="false">IF($FJ307+HK$244&gt;73,"",PRODUCT(INDEX($T$19:$T$93,HK$244):INDEX($T$19:$T$93,HK$244+$FJ307-1)))</f>
        <v/>
      </c>
      <c r="HL307" s="150" t="str">
        <f aca="false">IF($FJ307+HL$244&gt;73,"",PRODUCT(INDEX($T$19:$T$93,HL$244):INDEX($T$19:$T$93,HL$244+$FJ307-1)))</f>
        <v/>
      </c>
      <c r="HM307" s="150" t="str">
        <f aca="false">IF($FJ307+HM$244&gt;73,"",PRODUCT(INDEX($T$19:$T$93,HM$244):INDEX($T$19:$T$93,HM$244+$FJ307-1)))</f>
        <v/>
      </c>
      <c r="HN307" s="150" t="str">
        <f aca="false">IF($FJ307+HN$244&gt;73,"",PRODUCT(INDEX($T$19:$T$93,HN$244):INDEX($T$19:$T$93,HN$244+$FJ307-1)))</f>
        <v/>
      </c>
      <c r="HO307" s="150" t="str">
        <f aca="false">IF($FJ307+HO$244&gt;73,"",PRODUCT(INDEX($T$19:$T$93,HO$244):INDEX($T$19:$T$93,HO$244+$FJ307-1)))</f>
        <v/>
      </c>
      <c r="HP307" s="150" t="str">
        <f aca="false">IF($FJ307+HP$244&gt;73,"",PRODUCT(INDEX($T$19:$T$93,HP$244):INDEX($T$19:$T$93,HP$244+$FJ307-1)))</f>
        <v/>
      </c>
      <c r="HQ307" s="150" t="str">
        <f aca="false">IF($FJ307+HQ$244&gt;73,"",PRODUCT(INDEX($T$19:$T$93,HQ$244):INDEX($T$19:$T$93,HQ$244+$FJ307-1)))</f>
        <v/>
      </c>
      <c r="HR307" s="150" t="str">
        <f aca="false">IF($FJ307+HR$244&gt;73,"",PRODUCT(INDEX($T$19:$T$93,HR$244):INDEX($T$19:$T$93,HR$244+$FJ307-1)))</f>
        <v/>
      </c>
      <c r="HS307" s="150" t="str">
        <f aca="false">IF($FJ307+HS$244&gt;73,"",PRODUCT(INDEX($T$19:$T$93,HS$244):INDEX($T$19:$T$93,HS$244+$FJ307-1)))</f>
        <v/>
      </c>
      <c r="HT307" s="150" t="str">
        <f aca="false">IF($FJ307+HT$244&gt;73,"",PRODUCT(INDEX($T$19:$T$93,HT$244):INDEX($T$19:$T$93,HT$244+$FJ307-1)))</f>
        <v/>
      </c>
      <c r="HU307" s="150" t="n">
        <f aca="false">IF($FJ307+HU$244&gt;73,"",PRODUCT(INDEX($T$19:$T$93,HU$244):INDEX($T$19:$T$93,HU$244+$FJ307-1)))</f>
        <v>0.795986322413035</v>
      </c>
      <c r="HV307" s="150" t="n">
        <f aca="false">IF($FJ307+HV$244&gt;73,"",PRODUCT(INDEX($T$19:$T$93,HV$244):INDEX($T$19:$T$93,HV$244+$FJ307-1)))</f>
        <v>0.764774186713292</v>
      </c>
      <c r="HW307" s="150" t="n">
        <f aca="false">IF($FJ307+HW$244&gt;73,"",PRODUCT(INDEX($T$19:$T$93,HW$244):INDEX($T$19:$T$93,HW$244+$FJ307-1)))</f>
        <v>0.729470006690398</v>
      </c>
      <c r="HX307" s="150" t="n">
        <f aca="false">IF($FJ307+HX$244&gt;73,"",PRODUCT(INDEX($T$19:$T$93,HX$244):INDEX($T$19:$T$93,HX$244+$FJ307-1)))</f>
        <v>0.689788313679393</v>
      </c>
      <c r="HY307" s="150" t="n">
        <f aca="false">IF($FJ307+HY$244&gt;73,"",PRODUCT(INDEX($T$19:$T$93,HY$244):INDEX($T$19:$T$93,HY$244+$FJ307-1)))</f>
        <v>0.645523102486616</v>
      </c>
      <c r="HZ307" s="150" t="n">
        <f aca="false">IF($FJ307+HZ$244&gt;73,"",PRODUCT(INDEX($T$19:$T$93,HZ$244):INDEX($T$19:$T$93,HZ$244+$FJ307-1)))</f>
        <v>0.59659431139352</v>
      </c>
      <c r="IA307" s="150" t="n">
        <f aca="false">IF($FJ307+IA$244&gt;73,"",PRODUCT(INDEX($T$19:$T$93,IA$244):INDEX($T$19:$T$93,IA$244+$FJ307-1)))</f>
        <v>0.543106103053927</v>
      </c>
      <c r="IB307" s="150" t="n">
        <f aca="false">IF($FJ307+IB$244&gt;73,"",PRODUCT(INDEX($T$19:$T$93,IB$244):INDEX($T$19:$T$93,IB$244+$FJ307-1)))</f>
        <v>0.485416038744336</v>
      </c>
      <c r="IC307" s="150" t="n">
        <f aca="false">IF($FJ307+IC$244&gt;73,"",PRODUCT(INDEX($T$19:$T$93,IC$244):INDEX($T$19:$T$93,IC$244+$FJ307-1)))</f>
        <v>0.424211155763569</v>
      </c>
      <c r="ID307" s="572" t="n">
        <f aca="false">IF($FJ307+ID$244&gt;73,"",PRODUCT(INDEX($T$19:$T$93,ID$244):INDEX($T$19:$T$93,ID$244+$FJ307-1)))</f>
        <v>0.360581933721382</v>
      </c>
      <c r="IE307" s="129"/>
    </row>
    <row r="308" customFormat="false" ht="12.75" hidden="false" customHeight="false" outlineLevel="0" collapsed="false">
      <c r="I308" s="735"/>
      <c r="J308" s="727"/>
      <c r="K308" s="728"/>
      <c r="L308" s="195"/>
      <c r="M308" s="729"/>
      <c r="P308" s="727"/>
      <c r="S308" s="1"/>
      <c r="T308" s="727"/>
      <c r="U308" s="195"/>
      <c r="V308" s="195"/>
      <c r="W308" s="195"/>
      <c r="X308" s="195"/>
      <c r="Y308" s="195"/>
      <c r="Z308" s="195"/>
      <c r="AA308" s="195"/>
      <c r="AB308" s="195"/>
      <c r="AC308" s="195"/>
      <c r="AD308" s="195"/>
      <c r="AE308" s="195"/>
      <c r="AF308" s="195"/>
      <c r="AG308" s="195"/>
      <c r="AH308" s="195"/>
      <c r="AI308" s="195"/>
      <c r="AJ308" s="195"/>
      <c r="AK308" s="195"/>
      <c r="AL308" s="195"/>
      <c r="AM308" s="195"/>
      <c r="AN308" s="195"/>
      <c r="AO308" s="532"/>
      <c r="AP308" s="195"/>
      <c r="AQ308" s="532"/>
      <c r="AR308" s="195"/>
      <c r="AS308" s="240"/>
      <c r="AT308" s="240"/>
      <c r="AU308" s="240"/>
      <c r="AV308" s="730"/>
      <c r="AW308" s="730"/>
      <c r="AX308" s="730"/>
      <c r="AY308" s="730"/>
      <c r="AZ308" s="468"/>
      <c r="BA308" s="468"/>
      <c r="BB308" s="240"/>
      <c r="BC308" s="240"/>
      <c r="BD308" s="240"/>
      <c r="BE308" s="240"/>
      <c r="BF308" s="672"/>
      <c r="BG308" s="672"/>
      <c r="BH308" s="672"/>
      <c r="BI308" s="672"/>
      <c r="BJ308" s="672"/>
      <c r="BK308" s="240"/>
      <c r="BL308" s="736"/>
      <c r="BM308" s="737"/>
      <c r="BN308" s="240"/>
      <c r="BO308" s="240"/>
      <c r="BP308" s="240"/>
      <c r="BQ308" s="240"/>
      <c r="BR308" s="240"/>
      <c r="BS308" s="240"/>
      <c r="BT308" s="240"/>
      <c r="BU308" s="240"/>
      <c r="BV308" s="240"/>
      <c r="BW308" s="240"/>
      <c r="BX308" s="240"/>
      <c r="BY308" s="240"/>
      <c r="BZ308" s="240"/>
      <c r="CA308" s="240"/>
      <c r="CB308" s="240"/>
      <c r="CC308" s="672"/>
      <c r="CD308" s="672"/>
      <c r="CE308" s="672"/>
      <c r="CF308" s="672"/>
      <c r="CG308" s="672"/>
      <c r="CH308" s="672"/>
      <c r="CI308" s="240"/>
      <c r="CJ308" s="240"/>
      <c r="CK308" s="240"/>
      <c r="CL308" s="240"/>
      <c r="CM308" s="240"/>
      <c r="CN308" s="240"/>
      <c r="CO308" s="240"/>
      <c r="CP308" s="240"/>
      <c r="CQ308" s="240"/>
      <c r="CR308" s="240"/>
      <c r="CS308" s="240"/>
      <c r="CT308" s="240"/>
      <c r="CU308" s="240"/>
      <c r="CV308" s="240"/>
      <c r="CW308" s="240"/>
      <c r="CX308" s="240"/>
      <c r="CY308" s="240"/>
      <c r="CZ308" s="240"/>
      <c r="DA308" s="240"/>
      <c r="DB308" s="240"/>
      <c r="DC308" s="240"/>
      <c r="DD308" s="240"/>
      <c r="DE308" s="240"/>
      <c r="DF308" s="240"/>
      <c r="DG308" s="240"/>
      <c r="DH308" s="478"/>
      <c r="DI308" s="733"/>
      <c r="DJ308" s="195"/>
      <c r="DK308" s="478"/>
      <c r="DL308" s="4"/>
      <c r="DM308" s="4"/>
      <c r="DN308" s="4"/>
      <c r="DO308" s="4"/>
      <c r="DP308" s="4"/>
      <c r="DQ308" s="4"/>
      <c r="DR308" s="4"/>
      <c r="DT308" s="195"/>
      <c r="DU308" s="195"/>
      <c r="DV308" s="195"/>
      <c r="DW308" s="195"/>
      <c r="DX308" s="195"/>
      <c r="DY308" s="195"/>
      <c r="DZ308" s="195"/>
      <c r="EA308" s="195"/>
      <c r="EB308" s="195"/>
      <c r="EC308" s="195"/>
      <c r="ED308" s="195"/>
      <c r="EE308" s="195"/>
      <c r="EF308" s="195"/>
      <c r="EG308" s="195"/>
      <c r="EL308" s="1"/>
      <c r="EM308" s="195"/>
      <c r="EN308" s="731"/>
      <c r="EO308" s="240"/>
      <c r="EP308" s="195"/>
      <c r="EQ308" s="240"/>
      <c r="ER308" s="195"/>
      <c r="ES308" s="195"/>
      <c r="ET308" s="195"/>
      <c r="EU308" s="731"/>
      <c r="FJ308" s="571" t="n">
        <v>64</v>
      </c>
      <c r="FK308" s="150" t="str">
        <f aca="false">IF($FJ308+FK$244&gt;73,"",PRODUCT(INDEX($T$19:$T$93,FK$244):INDEX($T$19:$T$93,FK$244+$FJ308-1)))</f>
        <v/>
      </c>
      <c r="FL308" s="150" t="str">
        <f aca="false">IF($FJ308+FL$244&gt;73,"",PRODUCT(INDEX($T$19:$T$93,FL$244):INDEX($T$19:$T$93,FL$244+$FJ308-1)))</f>
        <v/>
      </c>
      <c r="FM308" s="150" t="str">
        <f aca="false">IF($FJ308+FM$244&gt;73,"",PRODUCT(INDEX($T$19:$T$93,FM$244):INDEX($T$19:$T$93,FM$244+$FJ308-1)))</f>
        <v/>
      </c>
      <c r="FN308" s="150" t="str">
        <f aca="false">IF($FJ308+FN$244&gt;73,"",PRODUCT(INDEX($T$19:$T$93,FN$244):INDEX($T$19:$T$93,FN$244+$FJ308-1)))</f>
        <v/>
      </c>
      <c r="FO308" s="150" t="str">
        <f aca="false">IF($FJ308+FO$244&gt;73,"",PRODUCT(INDEX($T$19:$T$93,FO$244):INDEX($T$19:$T$93,FO$244+$FJ308-1)))</f>
        <v/>
      </c>
      <c r="FP308" s="150" t="str">
        <f aca="false">IF($FJ308+FP$244&gt;73,"",PRODUCT(INDEX($T$19:$T$93,FP$244):INDEX($T$19:$T$93,FP$244+$FJ308-1)))</f>
        <v/>
      </c>
      <c r="FQ308" s="150" t="str">
        <f aca="false">IF($FJ308+FQ$244&gt;73,"",PRODUCT(INDEX($T$19:$T$93,FQ$244):INDEX($T$19:$T$93,FQ$244+$FJ308-1)))</f>
        <v/>
      </c>
      <c r="FR308" s="150" t="str">
        <f aca="false">IF($FJ308+FR$244&gt;73,"",PRODUCT(INDEX($T$19:$T$93,FR$244):INDEX($T$19:$T$93,FR$244+$FJ308-1)))</f>
        <v/>
      </c>
      <c r="FS308" s="150" t="str">
        <f aca="false">IF($FJ308+FS$244&gt;73,"",PRODUCT(INDEX($T$19:$T$93,FS$244):INDEX($T$19:$T$93,FS$244+$FJ308-1)))</f>
        <v/>
      </c>
      <c r="FT308" s="150" t="str">
        <f aca="false">IF($FJ308+FT$244&gt;73,"",PRODUCT(INDEX($T$19:$T$93,FT$244):INDEX($T$19:$T$93,FT$244+$FJ308-1)))</f>
        <v/>
      </c>
      <c r="FU308" s="150" t="str">
        <f aca="false">IF($FJ308+FU$244&gt;73,"",PRODUCT(INDEX($T$19:$T$93,FU$244):INDEX($T$19:$T$93,FU$244+$FJ308-1)))</f>
        <v/>
      </c>
      <c r="FV308" s="150" t="str">
        <f aca="false">IF($FJ308+FV$244&gt;73,"",PRODUCT(INDEX($T$19:$T$93,FV$244):INDEX($T$19:$T$93,FV$244+$FJ308-1)))</f>
        <v/>
      </c>
      <c r="FW308" s="150" t="str">
        <f aca="false">IF($FJ308+FW$244&gt;73,"",PRODUCT(INDEX($T$19:$T$93,FW$244):INDEX($T$19:$T$93,FW$244+$FJ308-1)))</f>
        <v/>
      </c>
      <c r="FX308" s="150" t="str">
        <f aca="false">IF($FJ308+FX$244&gt;73,"",PRODUCT(INDEX($T$19:$T$93,FX$244):INDEX($T$19:$T$93,FX$244+$FJ308-1)))</f>
        <v/>
      </c>
      <c r="FY308" s="150" t="str">
        <f aca="false">IF($FJ308+FY$244&gt;73,"",PRODUCT(INDEX($T$19:$T$93,FY$244):INDEX($T$19:$T$93,FY$244+$FJ308-1)))</f>
        <v/>
      </c>
      <c r="FZ308" s="150" t="str">
        <f aca="false">IF($FJ308+FZ$244&gt;73,"",PRODUCT(INDEX($T$19:$T$93,FZ$244):INDEX($T$19:$T$93,FZ$244+$FJ308-1)))</f>
        <v/>
      </c>
      <c r="GA308" s="150" t="str">
        <f aca="false">IF($FJ308+GA$244&gt;73,"",PRODUCT(INDEX($T$19:$T$93,GA$244):INDEX($T$19:$T$93,GA$244+$FJ308-1)))</f>
        <v/>
      </c>
      <c r="GB308" s="150" t="str">
        <f aca="false">IF($FJ308+GB$244&gt;73,"",PRODUCT(INDEX($T$19:$T$93,GB$244):INDEX($T$19:$T$93,GB$244+$FJ308-1)))</f>
        <v/>
      </c>
      <c r="GC308" s="150" t="str">
        <f aca="false">IF($FJ308+GC$244&gt;73,"",PRODUCT(INDEX($T$19:$T$93,GC$244):INDEX($T$19:$T$93,GC$244+$FJ308-1)))</f>
        <v/>
      </c>
      <c r="GD308" s="150" t="str">
        <f aca="false">IF($FJ308+GD$244&gt;73,"",PRODUCT(INDEX($T$19:$T$93,GD$244):INDEX($T$19:$T$93,GD$244+$FJ308-1)))</f>
        <v/>
      </c>
      <c r="GE308" s="150" t="str">
        <f aca="false">IF($FJ308+GE$244&gt;73,"",PRODUCT(INDEX($T$19:$T$93,GE$244):INDEX($T$19:$T$93,GE$244+$FJ308-1)))</f>
        <v/>
      </c>
      <c r="GF308" s="150" t="str">
        <f aca="false">IF($FJ308+GF$244&gt;73,"",PRODUCT(INDEX($T$19:$T$93,GF$244):INDEX($T$19:$T$93,GF$244+$FJ308-1)))</f>
        <v/>
      </c>
      <c r="GG308" s="150" t="str">
        <f aca="false">IF($FJ308+GG$244&gt;73,"",PRODUCT(INDEX($T$19:$T$93,GG$244):INDEX($T$19:$T$93,GG$244+$FJ308-1)))</f>
        <v/>
      </c>
      <c r="GH308" s="150" t="str">
        <f aca="false">IF($FJ308+GH$244&gt;73,"",PRODUCT(INDEX($T$19:$T$93,GH$244):INDEX($T$19:$T$93,GH$244+$FJ308-1)))</f>
        <v/>
      </c>
      <c r="GI308" s="150" t="str">
        <f aca="false">IF($FJ308+GI$244&gt;73,"",PRODUCT(INDEX($T$19:$T$93,GI$244):INDEX($T$19:$T$93,GI$244+$FJ308-1)))</f>
        <v/>
      </c>
      <c r="GJ308" s="150" t="str">
        <f aca="false">IF($FJ308+GJ$244&gt;73,"",PRODUCT(INDEX($T$19:$T$93,GJ$244):INDEX($T$19:$T$93,GJ$244+$FJ308-1)))</f>
        <v/>
      </c>
      <c r="GK308" s="150" t="str">
        <f aca="false">IF($FJ308+GK$244&gt;73,"",PRODUCT(INDEX($T$19:$T$93,GK$244):INDEX($T$19:$T$93,GK$244+$FJ308-1)))</f>
        <v/>
      </c>
      <c r="GL308" s="150" t="str">
        <f aca="false">IF($FJ308+GL$244&gt;73,"",PRODUCT(INDEX($T$19:$T$93,GL$244):INDEX($T$19:$T$93,GL$244+$FJ308-1)))</f>
        <v/>
      </c>
      <c r="GM308" s="150" t="str">
        <f aca="false">IF($FJ308+GM$244&gt;73,"",PRODUCT(INDEX($T$19:$T$93,GM$244):INDEX($T$19:$T$93,GM$244+$FJ308-1)))</f>
        <v/>
      </c>
      <c r="GN308" s="150" t="str">
        <f aca="false">IF($FJ308+GN$244&gt;73,"",PRODUCT(INDEX($T$19:$T$93,GN$244):INDEX($T$19:$T$93,GN$244+$FJ308-1)))</f>
        <v/>
      </c>
      <c r="GO308" s="150" t="str">
        <f aca="false">IF($FJ308+GO$244&gt;73,"",PRODUCT(INDEX($T$19:$T$93,GO$244):INDEX($T$19:$T$93,GO$244+$FJ308-1)))</f>
        <v/>
      </c>
      <c r="GP308" s="150" t="str">
        <f aca="false">IF($FJ308+GP$244&gt;73,"",PRODUCT(INDEX($T$19:$T$93,GP$244):INDEX($T$19:$T$93,GP$244+$FJ308-1)))</f>
        <v/>
      </c>
      <c r="GQ308" s="150" t="str">
        <f aca="false">IF($FJ308+GQ$244&gt;73,"",PRODUCT(INDEX($T$19:$T$93,GQ$244):INDEX($T$19:$T$93,GQ$244+$FJ308-1)))</f>
        <v/>
      </c>
      <c r="GR308" s="150" t="str">
        <f aca="false">IF($FJ308+GR$244&gt;73,"",PRODUCT(INDEX($T$19:$T$93,GR$244):INDEX($T$19:$T$93,GR$244+$FJ308-1)))</f>
        <v/>
      </c>
      <c r="GS308" s="150" t="str">
        <f aca="false">IF($FJ308+GS$244&gt;73,"",PRODUCT(INDEX($T$19:$T$93,GS$244):INDEX($T$19:$T$93,GS$244+$FJ308-1)))</f>
        <v/>
      </c>
      <c r="GT308" s="150" t="str">
        <f aca="false">IF($FJ308+GT$244&gt;73,"",PRODUCT(INDEX($T$19:$T$93,GT$244):INDEX($T$19:$T$93,GT$244+$FJ308-1)))</f>
        <v/>
      </c>
      <c r="GU308" s="150" t="str">
        <f aca="false">IF($FJ308+GU$244&gt;73,"",PRODUCT(INDEX($T$19:$T$93,GU$244):INDEX($T$19:$T$93,GU$244+$FJ308-1)))</f>
        <v/>
      </c>
      <c r="GV308" s="150" t="str">
        <f aca="false">IF($FJ308+GV$244&gt;73,"",PRODUCT(INDEX($T$19:$T$93,GV$244):INDEX($T$19:$T$93,GV$244+$FJ308-1)))</f>
        <v/>
      </c>
      <c r="GW308" s="150" t="str">
        <f aca="false">IF($FJ308+GW$244&gt;73,"",PRODUCT(INDEX($T$19:$T$93,GW$244):INDEX($T$19:$T$93,GW$244+$FJ308-1)))</f>
        <v/>
      </c>
      <c r="GX308" s="150" t="str">
        <f aca="false">IF($FJ308+GX$244&gt;73,"",PRODUCT(INDEX($T$19:$T$93,GX$244):INDEX($T$19:$T$93,GX$244+$FJ308-1)))</f>
        <v/>
      </c>
      <c r="GY308" s="150" t="str">
        <f aca="false">IF($FJ308+GY$244&gt;73,"",PRODUCT(INDEX($T$19:$T$93,GY$244):INDEX($T$19:$T$93,GY$244+$FJ308-1)))</f>
        <v/>
      </c>
      <c r="GZ308" s="150" t="str">
        <f aca="false">IF($FJ308+GZ$244&gt;73,"",PRODUCT(INDEX($T$19:$T$93,GZ$244):INDEX($T$19:$T$93,GZ$244+$FJ308-1)))</f>
        <v/>
      </c>
      <c r="HA308" s="150" t="str">
        <f aca="false">IF($FJ308+HA$244&gt;73,"",PRODUCT(INDEX($T$19:$T$93,HA$244):INDEX($T$19:$T$93,HA$244+$FJ308-1)))</f>
        <v/>
      </c>
      <c r="HB308" s="150" t="str">
        <f aca="false">IF($FJ308+HB$244&gt;73,"",PRODUCT(INDEX($T$19:$T$93,HB$244):INDEX($T$19:$T$93,HB$244+$FJ308-1)))</f>
        <v/>
      </c>
      <c r="HC308" s="150" t="str">
        <f aca="false">IF($FJ308+HC$244&gt;73,"",PRODUCT(INDEX($T$19:$T$93,HC$244):INDEX($T$19:$T$93,HC$244+$FJ308-1)))</f>
        <v/>
      </c>
      <c r="HD308" s="150" t="str">
        <f aca="false">IF($FJ308+HD$244&gt;73,"",PRODUCT(INDEX($T$19:$T$93,HD$244):INDEX($T$19:$T$93,HD$244+$FJ308-1)))</f>
        <v/>
      </c>
      <c r="HE308" s="150" t="str">
        <f aca="false">IF($FJ308+HE$244&gt;73,"",PRODUCT(INDEX($T$19:$T$93,HE$244):INDEX($T$19:$T$93,HE$244+$FJ308-1)))</f>
        <v/>
      </c>
      <c r="HF308" s="150" t="str">
        <f aca="false">IF($FJ308+HF$244&gt;73,"",PRODUCT(INDEX($T$19:$T$93,HF$244):INDEX($T$19:$T$93,HF$244+$FJ308-1)))</f>
        <v/>
      </c>
      <c r="HG308" s="150" t="str">
        <f aca="false">IF($FJ308+HG$244&gt;73,"",PRODUCT(INDEX($T$19:$T$93,HG$244):INDEX($T$19:$T$93,HG$244+$FJ308-1)))</f>
        <v/>
      </c>
      <c r="HH308" s="150" t="str">
        <f aca="false">IF($FJ308+HH$244&gt;73,"",PRODUCT(INDEX($T$19:$T$93,HH$244):INDEX($T$19:$T$93,HH$244+$FJ308-1)))</f>
        <v/>
      </c>
      <c r="HI308" s="150" t="str">
        <f aca="false">IF($FJ308+HI$244&gt;73,"",PRODUCT(INDEX($T$19:$T$93,HI$244):INDEX($T$19:$T$93,HI$244+$FJ308-1)))</f>
        <v/>
      </c>
      <c r="HJ308" s="150" t="str">
        <f aca="false">IF($FJ308+HJ$244&gt;73,"",PRODUCT(INDEX($T$19:$T$93,HJ$244):INDEX($T$19:$T$93,HJ$244+$FJ308-1)))</f>
        <v/>
      </c>
      <c r="HK308" s="150" t="str">
        <f aca="false">IF($FJ308+HK$244&gt;73,"",PRODUCT(INDEX($T$19:$T$93,HK$244):INDEX($T$19:$T$93,HK$244+$FJ308-1)))</f>
        <v/>
      </c>
      <c r="HL308" s="150" t="str">
        <f aca="false">IF($FJ308+HL$244&gt;73,"",PRODUCT(INDEX($T$19:$T$93,HL$244):INDEX($T$19:$T$93,HL$244+$FJ308-1)))</f>
        <v/>
      </c>
      <c r="HM308" s="150" t="str">
        <f aca="false">IF($FJ308+HM$244&gt;73,"",PRODUCT(INDEX($T$19:$T$93,HM$244):INDEX($T$19:$T$93,HM$244+$FJ308-1)))</f>
        <v/>
      </c>
      <c r="HN308" s="150" t="str">
        <f aca="false">IF($FJ308+HN$244&gt;73,"",PRODUCT(INDEX($T$19:$T$93,HN$244):INDEX($T$19:$T$93,HN$244+$FJ308-1)))</f>
        <v/>
      </c>
      <c r="HO308" s="150" t="str">
        <f aca="false">IF($FJ308+HO$244&gt;73,"",PRODUCT(INDEX($T$19:$T$93,HO$244):INDEX($T$19:$T$93,HO$244+$FJ308-1)))</f>
        <v/>
      </c>
      <c r="HP308" s="150" t="str">
        <f aca="false">IF($FJ308+HP$244&gt;73,"",PRODUCT(INDEX($T$19:$T$93,HP$244):INDEX($T$19:$T$93,HP$244+$FJ308-1)))</f>
        <v/>
      </c>
      <c r="HQ308" s="150" t="str">
        <f aca="false">IF($FJ308+HQ$244&gt;73,"",PRODUCT(INDEX($T$19:$T$93,HQ$244):INDEX($T$19:$T$93,HQ$244+$FJ308-1)))</f>
        <v/>
      </c>
      <c r="HR308" s="150" t="str">
        <f aca="false">IF($FJ308+HR$244&gt;73,"",PRODUCT(INDEX($T$19:$T$93,HR$244):INDEX($T$19:$T$93,HR$244+$FJ308-1)))</f>
        <v/>
      </c>
      <c r="HS308" s="150" t="str">
        <f aca="false">IF($FJ308+HS$244&gt;73,"",PRODUCT(INDEX($T$19:$T$93,HS$244):INDEX($T$19:$T$93,HS$244+$FJ308-1)))</f>
        <v/>
      </c>
      <c r="HT308" s="150" t="str">
        <f aca="false">IF($FJ308+HT$244&gt;73,"",PRODUCT(INDEX($T$19:$T$93,HT$244):INDEX($T$19:$T$93,HT$244+$FJ308-1)))</f>
        <v/>
      </c>
      <c r="HU308" s="150" t="str">
        <f aca="false">IF($FJ308+HU$244&gt;73,"",PRODUCT(INDEX($T$19:$T$93,HU$244):INDEX($T$19:$T$93,HU$244+$FJ308-1)))</f>
        <v/>
      </c>
      <c r="HV308" s="150" t="n">
        <f aca="false">IF($FJ308+HV$244&gt;73,"",PRODUCT(INDEX($T$19:$T$93,HV$244):INDEX($T$19:$T$93,HV$244+$FJ308-1)))</f>
        <v>0.764772701967978</v>
      </c>
      <c r="HW308" s="150" t="n">
        <f aca="false">IF($FJ308+HW$244&gt;73,"",PRODUCT(INDEX($T$19:$T$93,HW$244):INDEX($T$19:$T$93,HW$244+$FJ308-1)))</f>
        <v>0.729468350308175</v>
      </c>
      <c r="HX308" s="150" t="n">
        <f aca="false">IF($FJ308+HX$244&gt;73,"",PRODUCT(INDEX($T$19:$T$93,HX$244):INDEX($T$19:$T$93,HX$244+$FJ308-1)))</f>
        <v>0.689786481772473</v>
      </c>
      <c r="HY308" s="150" t="n">
        <f aca="false">IF($FJ308+HY$244&gt;73,"",PRODUCT(INDEX($T$19:$T$93,HY$244):INDEX($T$19:$T$93,HY$244+$FJ308-1)))</f>
        <v>0.64552109739652</v>
      </c>
      <c r="HZ308" s="150" t="n">
        <f aca="false">IF($FJ308+HZ$244&gt;73,"",PRODUCT(INDEX($T$19:$T$93,HZ$244):INDEX($T$19:$T$93,HZ$244+$FJ308-1)))</f>
        <v>0.596592144009662</v>
      </c>
      <c r="IA308" s="150" t="n">
        <f aca="false">IF($FJ308+IA$244&gt;73,"",PRODUCT(INDEX($T$19:$T$93,IA$244):INDEX($T$19:$T$93,IA$244+$FJ308-1)))</f>
        <v>0.543103795370977</v>
      </c>
      <c r="IB308" s="150" t="n">
        <f aca="false">IF($FJ308+IB$244&gt;73,"",PRODUCT(INDEX($T$19:$T$93,IB$244):INDEX($T$19:$T$93,IB$244+$FJ308-1)))</f>
        <v>0.485413626393694</v>
      </c>
      <c r="IC308" s="150" t="n">
        <f aca="false">IF($FJ308+IC$244&gt;73,"",PRODUCT(INDEX($T$19:$T$93,IC$244):INDEX($T$19:$T$93,IC$244+$FJ308-1)))</f>
        <v>0.424208690045649</v>
      </c>
      <c r="ID308" s="572" t="n">
        <f aca="false">IF($FJ308+ID$244&gt;73,"",PRODUCT(INDEX($T$19:$T$93,ID$244):INDEX($T$19:$T$93,ID$244+$FJ308-1)))</f>
        <v>0.360579482399034</v>
      </c>
      <c r="IE308" s="129"/>
    </row>
    <row r="309" customFormat="false" ht="12.75" hidden="false" customHeight="false" outlineLevel="0" collapsed="false">
      <c r="I309" s="735"/>
      <c r="J309" s="727"/>
      <c r="K309" s="728"/>
      <c r="L309" s="195"/>
      <c r="M309" s="729"/>
      <c r="P309" s="727"/>
      <c r="S309" s="1"/>
      <c r="T309" s="727"/>
      <c r="U309" s="195"/>
      <c r="V309" s="195"/>
      <c r="W309" s="195"/>
      <c r="X309" s="195"/>
      <c r="Y309" s="195"/>
      <c r="Z309" s="195"/>
      <c r="AA309" s="195"/>
      <c r="AB309" s="195"/>
      <c r="AC309" s="195"/>
      <c r="AD309" s="195"/>
      <c r="AE309" s="195"/>
      <c r="AF309" s="195"/>
      <c r="AG309" s="195"/>
      <c r="AH309" s="195"/>
      <c r="AI309" s="195"/>
      <c r="AJ309" s="195"/>
      <c r="AK309" s="195"/>
      <c r="AL309" s="195"/>
      <c r="AM309" s="195"/>
      <c r="AN309" s="195"/>
      <c r="AO309" s="532"/>
      <c r="AP309" s="195"/>
      <c r="AQ309" s="532"/>
      <c r="AR309" s="195"/>
      <c r="AS309" s="240"/>
      <c r="AT309" s="240"/>
      <c r="AU309" s="240"/>
      <c r="AV309" s="730"/>
      <c r="AW309" s="730"/>
      <c r="AX309" s="730"/>
      <c r="AY309" s="730"/>
      <c r="AZ309" s="468"/>
      <c r="BA309" s="468"/>
      <c r="BB309" s="240"/>
      <c r="BC309" s="240"/>
      <c r="BD309" s="240"/>
      <c r="BE309" s="240"/>
      <c r="BF309" s="672"/>
      <c r="BG309" s="672"/>
      <c r="BH309" s="672"/>
      <c r="BI309" s="672"/>
      <c r="BJ309" s="672"/>
      <c r="BK309" s="240"/>
      <c r="BL309" s="736"/>
      <c r="BM309" s="737"/>
      <c r="BN309" s="240"/>
      <c r="BO309" s="240"/>
      <c r="BP309" s="240"/>
      <c r="BQ309" s="240"/>
      <c r="BR309" s="240"/>
      <c r="BS309" s="240"/>
      <c r="BT309" s="240"/>
      <c r="BU309" s="240"/>
      <c r="BV309" s="240"/>
      <c r="BW309" s="240"/>
      <c r="BX309" s="240"/>
      <c r="BY309" s="240"/>
      <c r="BZ309" s="240"/>
      <c r="CA309" s="240"/>
      <c r="CB309" s="240"/>
      <c r="CC309" s="672"/>
      <c r="CD309" s="672"/>
      <c r="CE309" s="672"/>
      <c r="CF309" s="672"/>
      <c r="CG309" s="672"/>
      <c r="CH309" s="672"/>
      <c r="CI309" s="240"/>
      <c r="CJ309" s="240"/>
      <c r="CK309" s="240"/>
      <c r="CL309" s="240"/>
      <c r="CM309" s="240"/>
      <c r="CN309" s="240"/>
      <c r="CO309" s="240"/>
      <c r="CP309" s="240"/>
      <c r="CQ309" s="240"/>
      <c r="CR309" s="240"/>
      <c r="CS309" s="240"/>
      <c r="CT309" s="240"/>
      <c r="CU309" s="240"/>
      <c r="CV309" s="240"/>
      <c r="CW309" s="240"/>
      <c r="CX309" s="240"/>
      <c r="CY309" s="240"/>
      <c r="CZ309" s="240"/>
      <c r="DA309" s="240"/>
      <c r="DB309" s="240"/>
      <c r="DC309" s="240"/>
      <c r="DD309" s="240"/>
      <c r="DE309" s="240"/>
      <c r="DF309" s="240"/>
      <c r="DG309" s="240"/>
      <c r="DH309" s="478"/>
      <c r="DI309" s="733"/>
      <c r="DJ309" s="195"/>
      <c r="DK309" s="478"/>
      <c r="DL309" s="4"/>
      <c r="DM309" s="4"/>
      <c r="DN309" s="4"/>
      <c r="DO309" s="4"/>
      <c r="DP309" s="4"/>
      <c r="DQ309" s="4"/>
      <c r="DR309" s="4"/>
      <c r="DT309" s="195"/>
      <c r="DU309" s="195"/>
      <c r="DV309" s="195"/>
      <c r="DW309" s="195"/>
      <c r="DX309" s="195"/>
      <c r="DY309" s="195"/>
      <c r="DZ309" s="195"/>
      <c r="EA309" s="195"/>
      <c r="EB309" s="195"/>
      <c r="EC309" s="195"/>
      <c r="ED309" s="195"/>
      <c r="EE309" s="195"/>
      <c r="EF309" s="195"/>
      <c r="EG309" s="195"/>
      <c r="EL309" s="1"/>
      <c r="EM309" s="195"/>
      <c r="EN309" s="731"/>
      <c r="EO309" s="240"/>
      <c r="EP309" s="195"/>
      <c r="EQ309" s="240"/>
      <c r="ER309" s="195"/>
      <c r="ES309" s="195"/>
      <c r="ET309" s="195"/>
      <c r="EU309" s="731"/>
      <c r="FJ309" s="571" t="n">
        <v>65</v>
      </c>
      <c r="FK309" s="150" t="str">
        <f aca="false">IF($FJ309+FK$244&gt;73,"",PRODUCT(INDEX($T$19:$T$93,FK$244):INDEX($T$19:$T$93,FK$244+$FJ309-1)))</f>
        <v/>
      </c>
      <c r="FL309" s="150" t="str">
        <f aca="false">IF($FJ309+FL$244&gt;73,"",PRODUCT(INDEX($T$19:$T$93,FL$244):INDEX($T$19:$T$93,FL$244+$FJ309-1)))</f>
        <v/>
      </c>
      <c r="FM309" s="150" t="str">
        <f aca="false">IF($FJ309+FM$244&gt;73,"",PRODUCT(INDEX($T$19:$T$93,FM$244):INDEX($T$19:$T$93,FM$244+$FJ309-1)))</f>
        <v/>
      </c>
      <c r="FN309" s="150" t="str">
        <f aca="false">IF($FJ309+FN$244&gt;73,"",PRODUCT(INDEX($T$19:$T$93,FN$244):INDEX($T$19:$T$93,FN$244+$FJ309-1)))</f>
        <v/>
      </c>
      <c r="FO309" s="150" t="str">
        <f aca="false">IF($FJ309+FO$244&gt;73,"",PRODUCT(INDEX($T$19:$T$93,FO$244):INDEX($T$19:$T$93,FO$244+$FJ309-1)))</f>
        <v/>
      </c>
      <c r="FP309" s="150" t="str">
        <f aca="false">IF($FJ309+FP$244&gt;73,"",PRODUCT(INDEX($T$19:$T$93,FP$244):INDEX($T$19:$T$93,FP$244+$FJ309-1)))</f>
        <v/>
      </c>
      <c r="FQ309" s="150" t="str">
        <f aca="false">IF($FJ309+FQ$244&gt;73,"",PRODUCT(INDEX($T$19:$T$93,FQ$244):INDEX($T$19:$T$93,FQ$244+$FJ309-1)))</f>
        <v/>
      </c>
      <c r="FR309" s="150" t="str">
        <f aca="false">IF($FJ309+FR$244&gt;73,"",PRODUCT(INDEX($T$19:$T$93,FR$244):INDEX($T$19:$T$93,FR$244+$FJ309-1)))</f>
        <v/>
      </c>
      <c r="FS309" s="150" t="str">
        <f aca="false">IF($FJ309+FS$244&gt;73,"",PRODUCT(INDEX($T$19:$T$93,FS$244):INDEX($T$19:$T$93,FS$244+$FJ309-1)))</f>
        <v/>
      </c>
      <c r="FT309" s="150" t="str">
        <f aca="false">IF($FJ309+FT$244&gt;73,"",PRODUCT(INDEX($T$19:$T$93,FT$244):INDEX($T$19:$T$93,FT$244+$FJ309-1)))</f>
        <v/>
      </c>
      <c r="FU309" s="150" t="str">
        <f aca="false">IF($FJ309+FU$244&gt;73,"",PRODUCT(INDEX($T$19:$T$93,FU$244):INDEX($T$19:$T$93,FU$244+$FJ309-1)))</f>
        <v/>
      </c>
      <c r="FV309" s="150" t="str">
        <f aca="false">IF($FJ309+FV$244&gt;73,"",PRODUCT(INDEX($T$19:$T$93,FV$244):INDEX($T$19:$T$93,FV$244+$FJ309-1)))</f>
        <v/>
      </c>
      <c r="FW309" s="150" t="str">
        <f aca="false">IF($FJ309+FW$244&gt;73,"",PRODUCT(INDEX($T$19:$T$93,FW$244):INDEX($T$19:$T$93,FW$244+$FJ309-1)))</f>
        <v/>
      </c>
      <c r="FX309" s="150" t="str">
        <f aca="false">IF($FJ309+FX$244&gt;73,"",PRODUCT(INDEX($T$19:$T$93,FX$244):INDEX($T$19:$T$93,FX$244+$FJ309-1)))</f>
        <v/>
      </c>
      <c r="FY309" s="150" t="str">
        <f aca="false">IF($FJ309+FY$244&gt;73,"",PRODUCT(INDEX($T$19:$T$93,FY$244):INDEX($T$19:$T$93,FY$244+$FJ309-1)))</f>
        <v/>
      </c>
      <c r="FZ309" s="150" t="str">
        <f aca="false">IF($FJ309+FZ$244&gt;73,"",PRODUCT(INDEX($T$19:$T$93,FZ$244):INDEX($T$19:$T$93,FZ$244+$FJ309-1)))</f>
        <v/>
      </c>
      <c r="GA309" s="150" t="str">
        <f aca="false">IF($FJ309+GA$244&gt;73,"",PRODUCT(INDEX($T$19:$T$93,GA$244):INDEX($T$19:$T$93,GA$244+$FJ309-1)))</f>
        <v/>
      </c>
      <c r="GB309" s="150" t="str">
        <f aca="false">IF($FJ309+GB$244&gt;73,"",PRODUCT(INDEX($T$19:$T$93,GB$244):INDEX($T$19:$T$93,GB$244+$FJ309-1)))</f>
        <v/>
      </c>
      <c r="GC309" s="150" t="str">
        <f aca="false">IF($FJ309+GC$244&gt;73,"",PRODUCT(INDEX($T$19:$T$93,GC$244):INDEX($T$19:$T$93,GC$244+$FJ309-1)))</f>
        <v/>
      </c>
      <c r="GD309" s="150" t="str">
        <f aca="false">IF($FJ309+GD$244&gt;73,"",PRODUCT(INDEX($T$19:$T$93,GD$244):INDEX($T$19:$T$93,GD$244+$FJ309-1)))</f>
        <v/>
      </c>
      <c r="GE309" s="150" t="str">
        <f aca="false">IF($FJ309+GE$244&gt;73,"",PRODUCT(INDEX($T$19:$T$93,GE$244):INDEX($T$19:$T$93,GE$244+$FJ309-1)))</f>
        <v/>
      </c>
      <c r="GF309" s="150" t="str">
        <f aca="false">IF($FJ309+GF$244&gt;73,"",PRODUCT(INDEX($T$19:$T$93,GF$244):INDEX($T$19:$T$93,GF$244+$FJ309-1)))</f>
        <v/>
      </c>
      <c r="GG309" s="150" t="str">
        <f aca="false">IF($FJ309+GG$244&gt;73,"",PRODUCT(INDEX($T$19:$T$93,GG$244):INDEX($T$19:$T$93,GG$244+$FJ309-1)))</f>
        <v/>
      </c>
      <c r="GH309" s="150" t="str">
        <f aca="false">IF($FJ309+GH$244&gt;73,"",PRODUCT(INDEX($T$19:$T$93,GH$244):INDEX($T$19:$T$93,GH$244+$FJ309-1)))</f>
        <v/>
      </c>
      <c r="GI309" s="150" t="str">
        <f aca="false">IF($FJ309+GI$244&gt;73,"",PRODUCT(INDEX($T$19:$T$93,GI$244):INDEX($T$19:$T$93,GI$244+$FJ309-1)))</f>
        <v/>
      </c>
      <c r="GJ309" s="150" t="str">
        <f aca="false">IF($FJ309+GJ$244&gt;73,"",PRODUCT(INDEX($T$19:$T$93,GJ$244):INDEX($T$19:$T$93,GJ$244+$FJ309-1)))</f>
        <v/>
      </c>
      <c r="GK309" s="150" t="str">
        <f aca="false">IF($FJ309+GK$244&gt;73,"",PRODUCT(INDEX($T$19:$T$93,GK$244):INDEX($T$19:$T$93,GK$244+$FJ309-1)))</f>
        <v/>
      </c>
      <c r="GL309" s="150" t="str">
        <f aca="false">IF($FJ309+GL$244&gt;73,"",PRODUCT(INDEX($T$19:$T$93,GL$244):INDEX($T$19:$T$93,GL$244+$FJ309-1)))</f>
        <v/>
      </c>
      <c r="GM309" s="150" t="str">
        <f aca="false">IF($FJ309+GM$244&gt;73,"",PRODUCT(INDEX($T$19:$T$93,GM$244):INDEX($T$19:$T$93,GM$244+$FJ309-1)))</f>
        <v/>
      </c>
      <c r="GN309" s="150" t="str">
        <f aca="false">IF($FJ309+GN$244&gt;73,"",PRODUCT(INDEX($T$19:$T$93,GN$244):INDEX($T$19:$T$93,GN$244+$FJ309-1)))</f>
        <v/>
      </c>
      <c r="GO309" s="150" t="str">
        <f aca="false">IF($FJ309+GO$244&gt;73,"",PRODUCT(INDEX($T$19:$T$93,GO$244):INDEX($T$19:$T$93,GO$244+$FJ309-1)))</f>
        <v/>
      </c>
      <c r="GP309" s="150" t="str">
        <f aca="false">IF($FJ309+GP$244&gt;73,"",PRODUCT(INDEX($T$19:$T$93,GP$244):INDEX($T$19:$T$93,GP$244+$FJ309-1)))</f>
        <v/>
      </c>
      <c r="GQ309" s="150" t="str">
        <f aca="false">IF($FJ309+GQ$244&gt;73,"",PRODUCT(INDEX($T$19:$T$93,GQ$244):INDEX($T$19:$T$93,GQ$244+$FJ309-1)))</f>
        <v/>
      </c>
      <c r="GR309" s="150" t="str">
        <f aca="false">IF($FJ309+GR$244&gt;73,"",PRODUCT(INDEX($T$19:$T$93,GR$244):INDEX($T$19:$T$93,GR$244+$FJ309-1)))</f>
        <v/>
      </c>
      <c r="GS309" s="150" t="str">
        <f aca="false">IF($FJ309+GS$244&gt;73,"",PRODUCT(INDEX($T$19:$T$93,GS$244):INDEX($T$19:$T$93,GS$244+$FJ309-1)))</f>
        <v/>
      </c>
      <c r="GT309" s="150" t="str">
        <f aca="false">IF($FJ309+GT$244&gt;73,"",PRODUCT(INDEX($T$19:$T$93,GT$244):INDEX($T$19:$T$93,GT$244+$FJ309-1)))</f>
        <v/>
      </c>
      <c r="GU309" s="150" t="str">
        <f aca="false">IF($FJ309+GU$244&gt;73,"",PRODUCT(INDEX($T$19:$T$93,GU$244):INDEX($T$19:$T$93,GU$244+$FJ309-1)))</f>
        <v/>
      </c>
      <c r="GV309" s="150" t="str">
        <f aca="false">IF($FJ309+GV$244&gt;73,"",PRODUCT(INDEX($T$19:$T$93,GV$244):INDEX($T$19:$T$93,GV$244+$FJ309-1)))</f>
        <v/>
      </c>
      <c r="GW309" s="150" t="str">
        <f aca="false">IF($FJ309+GW$244&gt;73,"",PRODUCT(INDEX($T$19:$T$93,GW$244):INDEX($T$19:$T$93,GW$244+$FJ309-1)))</f>
        <v/>
      </c>
      <c r="GX309" s="150" t="str">
        <f aca="false">IF($FJ309+GX$244&gt;73,"",PRODUCT(INDEX($T$19:$T$93,GX$244):INDEX($T$19:$T$93,GX$244+$FJ309-1)))</f>
        <v/>
      </c>
      <c r="GY309" s="150" t="str">
        <f aca="false">IF($FJ309+GY$244&gt;73,"",PRODUCT(INDEX($T$19:$T$93,GY$244):INDEX($T$19:$T$93,GY$244+$FJ309-1)))</f>
        <v/>
      </c>
      <c r="GZ309" s="150" t="str">
        <f aca="false">IF($FJ309+GZ$244&gt;73,"",PRODUCT(INDEX($T$19:$T$93,GZ$244):INDEX($T$19:$T$93,GZ$244+$FJ309-1)))</f>
        <v/>
      </c>
      <c r="HA309" s="150" t="str">
        <f aca="false">IF($FJ309+HA$244&gt;73,"",PRODUCT(INDEX($T$19:$T$93,HA$244):INDEX($T$19:$T$93,HA$244+$FJ309-1)))</f>
        <v/>
      </c>
      <c r="HB309" s="150" t="str">
        <f aca="false">IF($FJ309+HB$244&gt;73,"",PRODUCT(INDEX($T$19:$T$93,HB$244):INDEX($T$19:$T$93,HB$244+$FJ309-1)))</f>
        <v/>
      </c>
      <c r="HC309" s="150" t="str">
        <f aca="false">IF($FJ309+HC$244&gt;73,"",PRODUCT(INDEX($T$19:$T$93,HC$244):INDEX($T$19:$T$93,HC$244+$FJ309-1)))</f>
        <v/>
      </c>
      <c r="HD309" s="150" t="str">
        <f aca="false">IF($FJ309+HD$244&gt;73,"",PRODUCT(INDEX($T$19:$T$93,HD$244):INDEX($T$19:$T$93,HD$244+$FJ309-1)))</f>
        <v/>
      </c>
      <c r="HE309" s="150" t="str">
        <f aca="false">IF($FJ309+HE$244&gt;73,"",PRODUCT(INDEX($T$19:$T$93,HE$244):INDEX($T$19:$T$93,HE$244+$FJ309-1)))</f>
        <v/>
      </c>
      <c r="HF309" s="150" t="str">
        <f aca="false">IF($FJ309+HF$244&gt;73,"",PRODUCT(INDEX($T$19:$T$93,HF$244):INDEX($T$19:$T$93,HF$244+$FJ309-1)))</f>
        <v/>
      </c>
      <c r="HG309" s="150" t="str">
        <f aca="false">IF($FJ309+HG$244&gt;73,"",PRODUCT(INDEX($T$19:$T$93,HG$244):INDEX($T$19:$T$93,HG$244+$FJ309-1)))</f>
        <v/>
      </c>
      <c r="HH309" s="150" t="str">
        <f aca="false">IF($FJ309+HH$244&gt;73,"",PRODUCT(INDEX($T$19:$T$93,HH$244):INDEX($T$19:$T$93,HH$244+$FJ309-1)))</f>
        <v/>
      </c>
      <c r="HI309" s="150" t="str">
        <f aca="false">IF($FJ309+HI$244&gt;73,"",PRODUCT(INDEX($T$19:$T$93,HI$244):INDEX($T$19:$T$93,HI$244+$FJ309-1)))</f>
        <v/>
      </c>
      <c r="HJ309" s="150" t="str">
        <f aca="false">IF($FJ309+HJ$244&gt;73,"",PRODUCT(INDEX($T$19:$T$93,HJ$244):INDEX($T$19:$T$93,HJ$244+$FJ309-1)))</f>
        <v/>
      </c>
      <c r="HK309" s="150" t="str">
        <f aca="false">IF($FJ309+HK$244&gt;73,"",PRODUCT(INDEX($T$19:$T$93,HK$244):INDEX($T$19:$T$93,HK$244+$FJ309-1)))</f>
        <v/>
      </c>
      <c r="HL309" s="150" t="str">
        <f aca="false">IF($FJ309+HL$244&gt;73,"",PRODUCT(INDEX($T$19:$T$93,HL$244):INDEX($T$19:$T$93,HL$244+$FJ309-1)))</f>
        <v/>
      </c>
      <c r="HM309" s="150" t="str">
        <f aca="false">IF($FJ309+HM$244&gt;73,"",PRODUCT(INDEX($T$19:$T$93,HM$244):INDEX($T$19:$T$93,HM$244+$FJ309-1)))</f>
        <v/>
      </c>
      <c r="HN309" s="150" t="str">
        <f aca="false">IF($FJ309+HN$244&gt;73,"",PRODUCT(INDEX($T$19:$T$93,HN$244):INDEX($T$19:$T$93,HN$244+$FJ309-1)))</f>
        <v/>
      </c>
      <c r="HO309" s="150" t="str">
        <f aca="false">IF($FJ309+HO$244&gt;73,"",PRODUCT(INDEX($T$19:$T$93,HO$244):INDEX($T$19:$T$93,HO$244+$FJ309-1)))</f>
        <v/>
      </c>
      <c r="HP309" s="150" t="str">
        <f aca="false">IF($FJ309+HP$244&gt;73,"",PRODUCT(INDEX($T$19:$T$93,HP$244):INDEX($T$19:$T$93,HP$244+$FJ309-1)))</f>
        <v/>
      </c>
      <c r="HQ309" s="150" t="str">
        <f aca="false">IF($FJ309+HQ$244&gt;73,"",PRODUCT(INDEX($T$19:$T$93,HQ$244):INDEX($T$19:$T$93,HQ$244+$FJ309-1)))</f>
        <v/>
      </c>
      <c r="HR309" s="150" t="str">
        <f aca="false">IF($FJ309+HR$244&gt;73,"",PRODUCT(INDEX($T$19:$T$93,HR$244):INDEX($T$19:$T$93,HR$244+$FJ309-1)))</f>
        <v/>
      </c>
      <c r="HS309" s="150" t="str">
        <f aca="false">IF($FJ309+HS$244&gt;73,"",PRODUCT(INDEX($T$19:$T$93,HS$244):INDEX($T$19:$T$93,HS$244+$FJ309-1)))</f>
        <v/>
      </c>
      <c r="HT309" s="150" t="str">
        <f aca="false">IF($FJ309+HT$244&gt;73,"",PRODUCT(INDEX($T$19:$T$93,HT$244):INDEX($T$19:$T$93,HT$244+$FJ309-1)))</f>
        <v/>
      </c>
      <c r="HU309" s="150" t="str">
        <f aca="false">IF($FJ309+HU$244&gt;73,"",PRODUCT(INDEX($T$19:$T$93,HU$244):INDEX($T$19:$T$93,HU$244+$FJ309-1)))</f>
        <v/>
      </c>
      <c r="HV309" s="150" t="str">
        <f aca="false">IF($FJ309+HV$244&gt;73,"",PRODUCT(INDEX($T$19:$T$93,HV$244):INDEX($T$19:$T$93,HV$244+$FJ309-1)))</f>
        <v/>
      </c>
      <c r="HW309" s="150" t="n">
        <f aca="false">IF($FJ309+HW$244&gt;73,"",PRODUCT(INDEX($T$19:$T$93,HW$244):INDEX($T$19:$T$93,HW$244+$FJ309-1)))</f>
        <v>0.729466934106198</v>
      </c>
      <c r="HX309" s="150" t="n">
        <f aca="false">IF($FJ309+HX$244&gt;73,"",PRODUCT(INDEX($T$19:$T$93,HX$244):INDEX($T$19:$T$93,HX$244+$FJ309-1)))</f>
        <v>0.689784915498252</v>
      </c>
      <c r="HY309" s="150" t="n">
        <f aca="false">IF($FJ309+HY$244&gt;73,"",PRODUCT(INDEX($T$19:$T$93,HY$244):INDEX($T$19:$T$93,HY$244+$FJ309-1)))</f>
        <v>0.645519383052363</v>
      </c>
      <c r="HZ309" s="150" t="n">
        <f aca="false">IF($FJ309+HZ$244&gt;73,"",PRODUCT(INDEX($T$19:$T$93,HZ$244):INDEX($T$19:$T$93,HZ$244+$FJ309-1)))</f>
        <v>0.596590290906349</v>
      </c>
      <c r="IA309" s="150" t="n">
        <f aca="false">IF($FJ309+IA$244&gt;73,"",PRODUCT(INDEX($T$19:$T$93,IA$244):INDEX($T$19:$T$93,IA$244+$FJ309-1)))</f>
        <v>0.543101822314284</v>
      </c>
      <c r="IB309" s="150" t="n">
        <f aca="false">IF($FJ309+IB$244&gt;73,"",PRODUCT(INDEX($T$19:$T$93,IB$244):INDEX($T$19:$T$93,IB$244+$FJ309-1)))</f>
        <v>0.485411563848745</v>
      </c>
      <c r="IC309" s="150" t="n">
        <f aca="false">IF($FJ309+IC$244&gt;73,"",PRODUCT(INDEX($T$19:$T$93,IC$244):INDEX($T$19:$T$93,IC$244+$FJ309-1)))</f>
        <v>0.424206581874463</v>
      </c>
      <c r="ID309" s="572" t="n">
        <f aca="false">IF($FJ309+ID$244&gt;73,"",PRODUCT(INDEX($T$19:$T$93,ID$244):INDEX($T$19:$T$93,ID$244+$FJ309-1)))</f>
        <v>0.360577386538801</v>
      </c>
      <c r="IE309" s="129"/>
    </row>
    <row r="310" customFormat="false" ht="12.75" hidden="false" customHeight="false" outlineLevel="0" collapsed="false">
      <c r="I310" s="735"/>
      <c r="J310" s="727"/>
      <c r="K310" s="728"/>
      <c r="L310" s="195"/>
      <c r="M310" s="729"/>
      <c r="P310" s="727"/>
      <c r="S310" s="1"/>
      <c r="T310" s="727"/>
      <c r="U310" s="195"/>
      <c r="V310" s="195"/>
      <c r="W310" s="195"/>
      <c r="X310" s="195"/>
      <c r="Y310" s="195"/>
      <c r="Z310" s="195"/>
      <c r="AA310" s="195"/>
      <c r="AB310" s="195"/>
      <c r="AC310" s="195"/>
      <c r="AD310" s="195"/>
      <c r="AE310" s="195"/>
      <c r="AF310" s="195"/>
      <c r="AG310" s="195"/>
      <c r="AH310" s="195"/>
      <c r="AI310" s="195"/>
      <c r="AJ310" s="195"/>
      <c r="AK310" s="195"/>
      <c r="AL310" s="195"/>
      <c r="AM310" s="195"/>
      <c r="AN310" s="195"/>
      <c r="AO310" s="532"/>
      <c r="AP310" s="195"/>
      <c r="AQ310" s="532"/>
      <c r="AR310" s="195"/>
      <c r="AS310" s="240"/>
      <c r="AT310" s="240"/>
      <c r="AU310" s="240"/>
      <c r="AV310" s="730"/>
      <c r="AW310" s="730"/>
      <c r="AX310" s="730"/>
      <c r="AY310" s="730"/>
      <c r="AZ310" s="468"/>
      <c r="BA310" s="468"/>
      <c r="BB310" s="240"/>
      <c r="BC310" s="240"/>
      <c r="BD310" s="240"/>
      <c r="BE310" s="240"/>
      <c r="BF310" s="672"/>
      <c r="BG310" s="672"/>
      <c r="BH310" s="672"/>
      <c r="BI310" s="672"/>
      <c r="BJ310" s="672"/>
      <c r="BK310" s="240"/>
      <c r="BL310" s="736"/>
      <c r="BM310" s="737"/>
      <c r="BN310" s="240"/>
      <c r="BO310" s="240"/>
      <c r="BP310" s="240"/>
      <c r="BQ310" s="240"/>
      <c r="BR310" s="240"/>
      <c r="BS310" s="240"/>
      <c r="BT310" s="240"/>
      <c r="BU310" s="240"/>
      <c r="BV310" s="240"/>
      <c r="BW310" s="240"/>
      <c r="BX310" s="240"/>
      <c r="BY310" s="240"/>
      <c r="BZ310" s="240"/>
      <c r="CA310" s="240"/>
      <c r="CB310" s="240"/>
      <c r="CC310" s="672"/>
      <c r="CD310" s="672"/>
      <c r="CE310" s="672"/>
      <c r="CF310" s="672"/>
      <c r="CG310" s="672"/>
      <c r="CH310" s="672"/>
      <c r="CI310" s="240"/>
      <c r="CJ310" s="240"/>
      <c r="CK310" s="240"/>
      <c r="CL310" s="240"/>
      <c r="CM310" s="240"/>
      <c r="CN310" s="240"/>
      <c r="CO310" s="240"/>
      <c r="CP310" s="240"/>
      <c r="CQ310" s="240"/>
      <c r="CR310" s="240"/>
      <c r="CS310" s="240"/>
      <c r="CT310" s="240"/>
      <c r="CU310" s="240"/>
      <c r="CV310" s="240"/>
      <c r="CW310" s="240"/>
      <c r="CX310" s="240"/>
      <c r="CY310" s="240"/>
      <c r="CZ310" s="240"/>
      <c r="DA310" s="240"/>
      <c r="DB310" s="240"/>
      <c r="DC310" s="240"/>
      <c r="DD310" s="240"/>
      <c r="DE310" s="240"/>
      <c r="DF310" s="240"/>
      <c r="DG310" s="240"/>
      <c r="DH310" s="478"/>
      <c r="DI310" s="733"/>
      <c r="DJ310" s="195"/>
      <c r="DK310" s="478"/>
      <c r="DL310" s="4"/>
      <c r="DM310" s="4"/>
      <c r="DN310" s="4"/>
      <c r="DO310" s="4"/>
      <c r="DP310" s="4"/>
      <c r="DQ310" s="4"/>
      <c r="DR310" s="4"/>
      <c r="DT310" s="195"/>
      <c r="DU310" s="195"/>
      <c r="DV310" s="195"/>
      <c r="DW310" s="195"/>
      <c r="DX310" s="195"/>
      <c r="DY310" s="195"/>
      <c r="DZ310" s="195"/>
      <c r="EA310" s="195"/>
      <c r="EB310" s="195"/>
      <c r="EC310" s="195"/>
      <c r="ED310" s="195"/>
      <c r="EE310" s="195"/>
      <c r="EF310" s="195"/>
      <c r="EG310" s="195"/>
      <c r="EL310" s="1"/>
      <c r="EM310" s="195"/>
      <c r="EN310" s="731"/>
      <c r="EO310" s="240"/>
      <c r="EP310" s="195"/>
      <c r="EQ310" s="240"/>
      <c r="ER310" s="195"/>
      <c r="ES310" s="195"/>
      <c r="ET310" s="195"/>
      <c r="EU310" s="731"/>
      <c r="FJ310" s="571" t="n">
        <v>66</v>
      </c>
      <c r="FK310" s="150" t="str">
        <f aca="false">IF($FJ310+FK$244&gt;73,"",PRODUCT(INDEX($T$19:$T$93,FK$244):INDEX($T$19:$T$93,FK$244+$FJ310-1)))</f>
        <v/>
      </c>
      <c r="FL310" s="150" t="str">
        <f aca="false">IF($FJ310+FL$244&gt;73,"",PRODUCT(INDEX($T$19:$T$93,FL$244):INDEX($T$19:$T$93,FL$244+$FJ310-1)))</f>
        <v/>
      </c>
      <c r="FM310" s="150" t="str">
        <f aca="false">IF($FJ310+FM$244&gt;73,"",PRODUCT(INDEX($T$19:$T$93,FM$244):INDEX($T$19:$T$93,FM$244+$FJ310-1)))</f>
        <v/>
      </c>
      <c r="FN310" s="150" t="str">
        <f aca="false">IF($FJ310+FN$244&gt;73,"",PRODUCT(INDEX($T$19:$T$93,FN$244):INDEX($T$19:$T$93,FN$244+$FJ310-1)))</f>
        <v/>
      </c>
      <c r="FO310" s="150" t="str">
        <f aca="false">IF($FJ310+FO$244&gt;73,"",PRODUCT(INDEX($T$19:$T$93,FO$244):INDEX($T$19:$T$93,FO$244+$FJ310-1)))</f>
        <v/>
      </c>
      <c r="FP310" s="150" t="str">
        <f aca="false">IF($FJ310+FP$244&gt;73,"",PRODUCT(INDEX($T$19:$T$93,FP$244):INDEX($T$19:$T$93,FP$244+$FJ310-1)))</f>
        <v/>
      </c>
      <c r="FQ310" s="150" t="str">
        <f aca="false">IF($FJ310+FQ$244&gt;73,"",PRODUCT(INDEX($T$19:$T$93,FQ$244):INDEX($T$19:$T$93,FQ$244+$FJ310-1)))</f>
        <v/>
      </c>
      <c r="FR310" s="150" t="str">
        <f aca="false">IF($FJ310+FR$244&gt;73,"",PRODUCT(INDEX($T$19:$T$93,FR$244):INDEX($T$19:$T$93,FR$244+$FJ310-1)))</f>
        <v/>
      </c>
      <c r="FS310" s="150" t="str">
        <f aca="false">IF($FJ310+FS$244&gt;73,"",PRODUCT(INDEX($T$19:$T$93,FS$244):INDEX($T$19:$T$93,FS$244+$FJ310-1)))</f>
        <v/>
      </c>
      <c r="FT310" s="150" t="str">
        <f aca="false">IF($FJ310+FT$244&gt;73,"",PRODUCT(INDEX($T$19:$T$93,FT$244):INDEX($T$19:$T$93,FT$244+$FJ310-1)))</f>
        <v/>
      </c>
      <c r="FU310" s="150" t="str">
        <f aca="false">IF($FJ310+FU$244&gt;73,"",PRODUCT(INDEX($T$19:$T$93,FU$244):INDEX($T$19:$T$93,FU$244+$FJ310-1)))</f>
        <v/>
      </c>
      <c r="FV310" s="150" t="str">
        <f aca="false">IF($FJ310+FV$244&gt;73,"",PRODUCT(INDEX($T$19:$T$93,FV$244):INDEX($T$19:$T$93,FV$244+$FJ310-1)))</f>
        <v/>
      </c>
      <c r="FW310" s="150" t="str">
        <f aca="false">IF($FJ310+FW$244&gt;73,"",PRODUCT(INDEX($T$19:$T$93,FW$244):INDEX($T$19:$T$93,FW$244+$FJ310-1)))</f>
        <v/>
      </c>
      <c r="FX310" s="150" t="str">
        <f aca="false">IF($FJ310+FX$244&gt;73,"",PRODUCT(INDEX($T$19:$T$93,FX$244):INDEX($T$19:$T$93,FX$244+$FJ310-1)))</f>
        <v/>
      </c>
      <c r="FY310" s="150" t="str">
        <f aca="false">IF($FJ310+FY$244&gt;73,"",PRODUCT(INDEX($T$19:$T$93,FY$244):INDEX($T$19:$T$93,FY$244+$FJ310-1)))</f>
        <v/>
      </c>
      <c r="FZ310" s="150" t="str">
        <f aca="false">IF($FJ310+FZ$244&gt;73,"",PRODUCT(INDEX($T$19:$T$93,FZ$244):INDEX($T$19:$T$93,FZ$244+$FJ310-1)))</f>
        <v/>
      </c>
      <c r="GA310" s="150" t="str">
        <f aca="false">IF($FJ310+GA$244&gt;73,"",PRODUCT(INDEX($T$19:$T$93,GA$244):INDEX($T$19:$T$93,GA$244+$FJ310-1)))</f>
        <v/>
      </c>
      <c r="GB310" s="150" t="str">
        <f aca="false">IF($FJ310+GB$244&gt;73,"",PRODUCT(INDEX($T$19:$T$93,GB$244):INDEX($T$19:$T$93,GB$244+$FJ310-1)))</f>
        <v/>
      </c>
      <c r="GC310" s="150" t="str">
        <f aca="false">IF($FJ310+GC$244&gt;73,"",PRODUCT(INDEX($T$19:$T$93,GC$244):INDEX($T$19:$T$93,GC$244+$FJ310-1)))</f>
        <v/>
      </c>
      <c r="GD310" s="150" t="str">
        <f aca="false">IF($FJ310+GD$244&gt;73,"",PRODUCT(INDEX($T$19:$T$93,GD$244):INDEX($T$19:$T$93,GD$244+$FJ310-1)))</f>
        <v/>
      </c>
      <c r="GE310" s="150" t="str">
        <f aca="false">IF($FJ310+GE$244&gt;73,"",PRODUCT(INDEX($T$19:$T$93,GE$244):INDEX($T$19:$T$93,GE$244+$FJ310-1)))</f>
        <v/>
      </c>
      <c r="GF310" s="150" t="str">
        <f aca="false">IF($FJ310+GF$244&gt;73,"",PRODUCT(INDEX($T$19:$T$93,GF$244):INDEX($T$19:$T$93,GF$244+$FJ310-1)))</f>
        <v/>
      </c>
      <c r="GG310" s="150" t="str">
        <f aca="false">IF($FJ310+GG$244&gt;73,"",PRODUCT(INDEX($T$19:$T$93,GG$244):INDEX($T$19:$T$93,GG$244+$FJ310-1)))</f>
        <v/>
      </c>
      <c r="GH310" s="150" t="str">
        <f aca="false">IF($FJ310+GH$244&gt;73,"",PRODUCT(INDEX($T$19:$T$93,GH$244):INDEX($T$19:$T$93,GH$244+$FJ310-1)))</f>
        <v/>
      </c>
      <c r="GI310" s="150" t="str">
        <f aca="false">IF($FJ310+GI$244&gt;73,"",PRODUCT(INDEX($T$19:$T$93,GI$244):INDEX($T$19:$T$93,GI$244+$FJ310-1)))</f>
        <v/>
      </c>
      <c r="GJ310" s="150" t="str">
        <f aca="false">IF($FJ310+GJ$244&gt;73,"",PRODUCT(INDEX($T$19:$T$93,GJ$244):INDEX($T$19:$T$93,GJ$244+$FJ310-1)))</f>
        <v/>
      </c>
      <c r="GK310" s="150" t="str">
        <f aca="false">IF($FJ310+GK$244&gt;73,"",PRODUCT(INDEX($T$19:$T$93,GK$244):INDEX($T$19:$T$93,GK$244+$FJ310-1)))</f>
        <v/>
      </c>
      <c r="GL310" s="150" t="str">
        <f aca="false">IF($FJ310+GL$244&gt;73,"",PRODUCT(INDEX($T$19:$T$93,GL$244):INDEX($T$19:$T$93,GL$244+$FJ310-1)))</f>
        <v/>
      </c>
      <c r="GM310" s="150" t="str">
        <f aca="false">IF($FJ310+GM$244&gt;73,"",PRODUCT(INDEX($T$19:$T$93,GM$244):INDEX($T$19:$T$93,GM$244+$FJ310-1)))</f>
        <v/>
      </c>
      <c r="GN310" s="150" t="str">
        <f aca="false">IF($FJ310+GN$244&gt;73,"",PRODUCT(INDEX($T$19:$T$93,GN$244):INDEX($T$19:$T$93,GN$244+$FJ310-1)))</f>
        <v/>
      </c>
      <c r="GO310" s="150" t="str">
        <f aca="false">IF($FJ310+GO$244&gt;73,"",PRODUCT(INDEX($T$19:$T$93,GO$244):INDEX($T$19:$T$93,GO$244+$FJ310-1)))</f>
        <v/>
      </c>
      <c r="GP310" s="150" t="str">
        <f aca="false">IF($FJ310+GP$244&gt;73,"",PRODUCT(INDEX($T$19:$T$93,GP$244):INDEX($T$19:$T$93,GP$244+$FJ310-1)))</f>
        <v/>
      </c>
      <c r="GQ310" s="150" t="str">
        <f aca="false">IF($FJ310+GQ$244&gt;73,"",PRODUCT(INDEX($T$19:$T$93,GQ$244):INDEX($T$19:$T$93,GQ$244+$FJ310-1)))</f>
        <v/>
      </c>
      <c r="GR310" s="150" t="str">
        <f aca="false">IF($FJ310+GR$244&gt;73,"",PRODUCT(INDEX($T$19:$T$93,GR$244):INDEX($T$19:$T$93,GR$244+$FJ310-1)))</f>
        <v/>
      </c>
      <c r="GS310" s="150" t="str">
        <f aca="false">IF($FJ310+GS$244&gt;73,"",PRODUCT(INDEX($T$19:$T$93,GS$244):INDEX($T$19:$T$93,GS$244+$FJ310-1)))</f>
        <v/>
      </c>
      <c r="GT310" s="150" t="str">
        <f aca="false">IF($FJ310+GT$244&gt;73,"",PRODUCT(INDEX($T$19:$T$93,GT$244):INDEX($T$19:$T$93,GT$244+$FJ310-1)))</f>
        <v/>
      </c>
      <c r="GU310" s="150" t="str">
        <f aca="false">IF($FJ310+GU$244&gt;73,"",PRODUCT(INDEX($T$19:$T$93,GU$244):INDEX($T$19:$T$93,GU$244+$FJ310-1)))</f>
        <v/>
      </c>
      <c r="GV310" s="150" t="str">
        <f aca="false">IF($FJ310+GV$244&gt;73,"",PRODUCT(INDEX($T$19:$T$93,GV$244):INDEX($T$19:$T$93,GV$244+$FJ310-1)))</f>
        <v/>
      </c>
      <c r="GW310" s="150" t="str">
        <f aca="false">IF($FJ310+GW$244&gt;73,"",PRODUCT(INDEX($T$19:$T$93,GW$244):INDEX($T$19:$T$93,GW$244+$FJ310-1)))</f>
        <v/>
      </c>
      <c r="GX310" s="150" t="str">
        <f aca="false">IF($FJ310+GX$244&gt;73,"",PRODUCT(INDEX($T$19:$T$93,GX$244):INDEX($T$19:$T$93,GX$244+$FJ310-1)))</f>
        <v/>
      </c>
      <c r="GY310" s="150" t="str">
        <f aca="false">IF($FJ310+GY$244&gt;73,"",PRODUCT(INDEX($T$19:$T$93,GY$244):INDEX($T$19:$T$93,GY$244+$FJ310-1)))</f>
        <v/>
      </c>
      <c r="GZ310" s="150" t="str">
        <f aca="false">IF($FJ310+GZ$244&gt;73,"",PRODUCT(INDEX($T$19:$T$93,GZ$244):INDEX($T$19:$T$93,GZ$244+$FJ310-1)))</f>
        <v/>
      </c>
      <c r="HA310" s="150" t="str">
        <f aca="false">IF($FJ310+HA$244&gt;73,"",PRODUCT(INDEX($T$19:$T$93,HA$244):INDEX($T$19:$T$93,HA$244+$FJ310-1)))</f>
        <v/>
      </c>
      <c r="HB310" s="150" t="str">
        <f aca="false">IF($FJ310+HB$244&gt;73,"",PRODUCT(INDEX($T$19:$T$93,HB$244):INDEX($T$19:$T$93,HB$244+$FJ310-1)))</f>
        <v/>
      </c>
      <c r="HC310" s="150" t="str">
        <f aca="false">IF($FJ310+HC$244&gt;73,"",PRODUCT(INDEX($T$19:$T$93,HC$244):INDEX($T$19:$T$93,HC$244+$FJ310-1)))</f>
        <v/>
      </c>
      <c r="HD310" s="150" t="str">
        <f aca="false">IF($FJ310+HD$244&gt;73,"",PRODUCT(INDEX($T$19:$T$93,HD$244):INDEX($T$19:$T$93,HD$244+$FJ310-1)))</f>
        <v/>
      </c>
      <c r="HE310" s="150" t="str">
        <f aca="false">IF($FJ310+HE$244&gt;73,"",PRODUCT(INDEX($T$19:$T$93,HE$244):INDEX($T$19:$T$93,HE$244+$FJ310-1)))</f>
        <v/>
      </c>
      <c r="HF310" s="150" t="str">
        <f aca="false">IF($FJ310+HF$244&gt;73,"",PRODUCT(INDEX($T$19:$T$93,HF$244):INDEX($T$19:$T$93,HF$244+$FJ310-1)))</f>
        <v/>
      </c>
      <c r="HG310" s="150" t="str">
        <f aca="false">IF($FJ310+HG$244&gt;73,"",PRODUCT(INDEX($T$19:$T$93,HG$244):INDEX($T$19:$T$93,HG$244+$FJ310-1)))</f>
        <v/>
      </c>
      <c r="HH310" s="150" t="str">
        <f aca="false">IF($FJ310+HH$244&gt;73,"",PRODUCT(INDEX($T$19:$T$93,HH$244):INDEX($T$19:$T$93,HH$244+$FJ310-1)))</f>
        <v/>
      </c>
      <c r="HI310" s="150" t="str">
        <f aca="false">IF($FJ310+HI$244&gt;73,"",PRODUCT(INDEX($T$19:$T$93,HI$244):INDEX($T$19:$T$93,HI$244+$FJ310-1)))</f>
        <v/>
      </c>
      <c r="HJ310" s="150" t="str">
        <f aca="false">IF($FJ310+HJ$244&gt;73,"",PRODUCT(INDEX($T$19:$T$93,HJ$244):INDEX($T$19:$T$93,HJ$244+$FJ310-1)))</f>
        <v/>
      </c>
      <c r="HK310" s="150" t="str">
        <f aca="false">IF($FJ310+HK$244&gt;73,"",PRODUCT(INDEX($T$19:$T$93,HK$244):INDEX($T$19:$T$93,HK$244+$FJ310-1)))</f>
        <v/>
      </c>
      <c r="HL310" s="150" t="str">
        <f aca="false">IF($FJ310+HL$244&gt;73,"",PRODUCT(INDEX($T$19:$T$93,HL$244):INDEX($T$19:$T$93,HL$244+$FJ310-1)))</f>
        <v/>
      </c>
      <c r="HM310" s="150" t="str">
        <f aca="false">IF($FJ310+HM$244&gt;73,"",PRODUCT(INDEX($T$19:$T$93,HM$244):INDEX($T$19:$T$93,HM$244+$FJ310-1)))</f>
        <v/>
      </c>
      <c r="HN310" s="150" t="str">
        <f aca="false">IF($FJ310+HN$244&gt;73,"",PRODUCT(INDEX($T$19:$T$93,HN$244):INDEX($T$19:$T$93,HN$244+$FJ310-1)))</f>
        <v/>
      </c>
      <c r="HO310" s="150" t="str">
        <f aca="false">IF($FJ310+HO$244&gt;73,"",PRODUCT(INDEX($T$19:$T$93,HO$244):INDEX($T$19:$T$93,HO$244+$FJ310-1)))</f>
        <v/>
      </c>
      <c r="HP310" s="150" t="str">
        <f aca="false">IF($FJ310+HP$244&gt;73,"",PRODUCT(INDEX($T$19:$T$93,HP$244):INDEX($T$19:$T$93,HP$244+$FJ310-1)))</f>
        <v/>
      </c>
      <c r="HQ310" s="150" t="str">
        <f aca="false">IF($FJ310+HQ$244&gt;73,"",PRODUCT(INDEX($T$19:$T$93,HQ$244):INDEX($T$19:$T$93,HQ$244+$FJ310-1)))</f>
        <v/>
      </c>
      <c r="HR310" s="150" t="str">
        <f aca="false">IF($FJ310+HR$244&gt;73,"",PRODUCT(INDEX($T$19:$T$93,HR$244):INDEX($T$19:$T$93,HR$244+$FJ310-1)))</f>
        <v/>
      </c>
      <c r="HS310" s="150" t="str">
        <f aca="false">IF($FJ310+HS$244&gt;73,"",PRODUCT(INDEX($T$19:$T$93,HS$244):INDEX($T$19:$T$93,HS$244+$FJ310-1)))</f>
        <v/>
      </c>
      <c r="HT310" s="150" t="str">
        <f aca="false">IF($FJ310+HT$244&gt;73,"",PRODUCT(INDEX($T$19:$T$93,HT$244):INDEX($T$19:$T$93,HT$244+$FJ310-1)))</f>
        <v/>
      </c>
      <c r="HU310" s="150" t="str">
        <f aca="false">IF($FJ310+HU$244&gt;73,"",PRODUCT(INDEX($T$19:$T$93,HU$244):INDEX($T$19:$T$93,HU$244+$FJ310-1)))</f>
        <v/>
      </c>
      <c r="HV310" s="150" t="str">
        <f aca="false">IF($FJ310+HV$244&gt;73,"",PRODUCT(INDEX($T$19:$T$93,HV$244):INDEX($T$19:$T$93,HV$244+$FJ310-1)))</f>
        <v/>
      </c>
      <c r="HW310" s="150" t="str">
        <f aca="false">IF($FJ310+HW$244&gt;73,"",PRODUCT(INDEX($T$19:$T$93,HW$244):INDEX($T$19:$T$93,HW$244+$FJ310-1)))</f>
        <v/>
      </c>
      <c r="HX310" s="150" t="n">
        <f aca="false">IF($FJ310+HX$244&gt;73,"",PRODUCT(INDEX($T$19:$T$93,HX$244):INDEX($T$19:$T$93,HX$244+$FJ310-1)))</f>
        <v>0.689783576338356</v>
      </c>
      <c r="HY310" s="150" t="n">
        <f aca="false">IF($FJ310+HY$244&gt;73,"",PRODUCT(INDEX($T$19:$T$93,HY$244):INDEX($T$19:$T$93,HY$244+$FJ310-1)))</f>
        <v>0.645517917293907</v>
      </c>
      <c r="HZ310" s="150" t="n">
        <f aca="false">IF($FJ310+HZ$244&gt;73,"",PRODUCT(INDEX($T$19:$T$93,HZ$244):INDEX($T$19:$T$93,HZ$244+$FJ310-1)))</f>
        <v>0.596588706510296</v>
      </c>
      <c r="IA310" s="150" t="n">
        <f aca="false">IF($FJ310+IA$244&gt;73,"",PRODUCT(INDEX($T$19:$T$93,IA$244):INDEX($T$19:$T$93,IA$244+$FJ310-1)))</f>
        <v>0.543100135359811</v>
      </c>
      <c r="IB310" s="150" t="n">
        <f aca="false">IF($FJ310+IB$244&gt;73,"",PRODUCT(INDEX($T$19:$T$93,IB$244):INDEX($T$19:$T$93,IB$244+$FJ310-1)))</f>
        <v>0.485409800383744</v>
      </c>
      <c r="IC310" s="150" t="n">
        <f aca="false">IF($FJ310+IC$244&gt;73,"",PRODUCT(INDEX($T$19:$T$93,IC$244):INDEX($T$19:$T$93,IC$244+$FJ310-1)))</f>
        <v>0.424204779401078</v>
      </c>
      <c r="ID310" s="572" t="n">
        <f aca="false">IF($FJ310+ID$244&gt;73,"",PRODUCT(INDEX($T$19:$T$93,ID$244):INDEX($T$19:$T$93,ID$244+$FJ310-1)))</f>
        <v>0.360575594593294</v>
      </c>
      <c r="IE310" s="129"/>
    </row>
    <row r="311" customFormat="false" ht="12.75" hidden="false" customHeight="false" outlineLevel="0" collapsed="false">
      <c r="I311" s="735"/>
      <c r="J311" s="727"/>
      <c r="K311" s="728"/>
      <c r="L311" s="195"/>
      <c r="M311" s="729"/>
      <c r="P311" s="727"/>
      <c r="S311" s="1"/>
      <c r="T311" s="727"/>
      <c r="U311" s="195"/>
      <c r="V311" s="195"/>
      <c r="W311" s="195"/>
      <c r="X311" s="195"/>
      <c r="Y311" s="195"/>
      <c r="Z311" s="195"/>
      <c r="AA311" s="195"/>
      <c r="AB311" s="195"/>
      <c r="AC311" s="195"/>
      <c r="AD311" s="195"/>
      <c r="AE311" s="195"/>
      <c r="AF311" s="195"/>
      <c r="AG311" s="195"/>
      <c r="AH311" s="195"/>
      <c r="AI311" s="195"/>
      <c r="AJ311" s="195"/>
      <c r="AK311" s="195"/>
      <c r="AL311" s="195"/>
      <c r="AM311" s="195"/>
      <c r="AN311" s="195"/>
      <c r="AO311" s="532"/>
      <c r="AP311" s="195"/>
      <c r="AQ311" s="532"/>
      <c r="AR311" s="195"/>
      <c r="AS311" s="240"/>
      <c r="AT311" s="240"/>
      <c r="AU311" s="240"/>
      <c r="AV311" s="730"/>
      <c r="AW311" s="730"/>
      <c r="AX311" s="730"/>
      <c r="AY311" s="730"/>
      <c r="AZ311" s="468"/>
      <c r="BA311" s="468"/>
      <c r="BB311" s="240"/>
      <c r="BC311" s="240"/>
      <c r="BD311" s="240"/>
      <c r="BE311" s="240"/>
      <c r="BF311" s="672"/>
      <c r="BG311" s="672"/>
      <c r="BH311" s="672"/>
      <c r="BI311" s="672"/>
      <c r="BJ311" s="672"/>
      <c r="BK311" s="240"/>
      <c r="BL311" s="736"/>
      <c r="BM311" s="737"/>
      <c r="BN311" s="240"/>
      <c r="BO311" s="240"/>
      <c r="BP311" s="240"/>
      <c r="BQ311" s="240"/>
      <c r="BR311" s="240"/>
      <c r="BS311" s="240"/>
      <c r="BT311" s="240"/>
      <c r="BU311" s="240"/>
      <c r="BV311" s="240"/>
      <c r="BW311" s="240"/>
      <c r="BX311" s="240"/>
      <c r="BY311" s="240"/>
      <c r="BZ311" s="240"/>
      <c r="CA311" s="240"/>
      <c r="CB311" s="240"/>
      <c r="CC311" s="672"/>
      <c r="CD311" s="672"/>
      <c r="CE311" s="672"/>
      <c r="CF311" s="672"/>
      <c r="CG311" s="672"/>
      <c r="CH311" s="672"/>
      <c r="CI311" s="240"/>
      <c r="CJ311" s="240"/>
      <c r="CK311" s="240"/>
      <c r="CL311" s="240"/>
      <c r="CM311" s="240"/>
      <c r="CN311" s="240"/>
      <c r="CO311" s="240"/>
      <c r="CP311" s="240"/>
      <c r="CQ311" s="240"/>
      <c r="CR311" s="240"/>
      <c r="CS311" s="240"/>
      <c r="CT311" s="240"/>
      <c r="CU311" s="240"/>
      <c r="CV311" s="240"/>
      <c r="CW311" s="240"/>
      <c r="CX311" s="240"/>
      <c r="CY311" s="240"/>
      <c r="CZ311" s="240"/>
      <c r="DA311" s="240"/>
      <c r="DB311" s="240"/>
      <c r="DC311" s="240"/>
      <c r="DD311" s="240"/>
      <c r="DE311" s="240"/>
      <c r="DF311" s="240"/>
      <c r="DG311" s="240"/>
      <c r="DH311" s="478"/>
      <c r="DI311" s="733"/>
      <c r="DJ311" s="195"/>
      <c r="DK311" s="478"/>
      <c r="DL311" s="4"/>
      <c r="DM311" s="4"/>
      <c r="DN311" s="4"/>
      <c r="DO311" s="4"/>
      <c r="DP311" s="4"/>
      <c r="DQ311" s="4"/>
      <c r="DR311" s="4"/>
      <c r="DT311" s="195"/>
      <c r="DU311" s="195"/>
      <c r="DV311" s="195"/>
      <c r="DW311" s="195"/>
      <c r="DX311" s="195"/>
      <c r="DY311" s="195"/>
      <c r="DZ311" s="195"/>
      <c r="EA311" s="195"/>
      <c r="EB311" s="195"/>
      <c r="EC311" s="195"/>
      <c r="ED311" s="195"/>
      <c r="EE311" s="195"/>
      <c r="EF311" s="195"/>
      <c r="EG311" s="195"/>
      <c r="EL311" s="1"/>
      <c r="EM311" s="195"/>
      <c r="EN311" s="731"/>
      <c r="EO311" s="240"/>
      <c r="EP311" s="195"/>
      <c r="EQ311" s="240"/>
      <c r="ER311" s="195"/>
      <c r="ES311" s="195"/>
      <c r="ET311" s="195"/>
      <c r="EU311" s="731"/>
      <c r="FJ311" s="571" t="n">
        <v>67</v>
      </c>
      <c r="FK311" s="150" t="str">
        <f aca="false">IF($FJ311+FK$244&gt;73,"",PRODUCT(INDEX($T$19:$T$93,FK$244):INDEX($T$19:$T$93,FK$244+$FJ311-1)))</f>
        <v/>
      </c>
      <c r="FL311" s="150" t="str">
        <f aca="false">IF($FJ311+FL$244&gt;73,"",PRODUCT(INDEX($T$19:$T$93,FL$244):INDEX($T$19:$T$93,FL$244+$FJ311-1)))</f>
        <v/>
      </c>
      <c r="FM311" s="150" t="str">
        <f aca="false">IF($FJ311+FM$244&gt;73,"",PRODUCT(INDEX($T$19:$T$93,FM$244):INDEX($T$19:$T$93,FM$244+$FJ311-1)))</f>
        <v/>
      </c>
      <c r="FN311" s="150" t="str">
        <f aca="false">IF($FJ311+FN$244&gt;73,"",PRODUCT(INDEX($T$19:$T$93,FN$244):INDEX($T$19:$T$93,FN$244+$FJ311-1)))</f>
        <v/>
      </c>
      <c r="FO311" s="150" t="str">
        <f aca="false">IF($FJ311+FO$244&gt;73,"",PRODUCT(INDEX($T$19:$T$93,FO$244):INDEX($T$19:$T$93,FO$244+$FJ311-1)))</f>
        <v/>
      </c>
      <c r="FP311" s="150" t="str">
        <f aca="false">IF($FJ311+FP$244&gt;73,"",PRODUCT(INDEX($T$19:$T$93,FP$244):INDEX($T$19:$T$93,FP$244+$FJ311-1)))</f>
        <v/>
      </c>
      <c r="FQ311" s="150" t="str">
        <f aca="false">IF($FJ311+FQ$244&gt;73,"",PRODUCT(INDEX($T$19:$T$93,FQ$244):INDEX($T$19:$T$93,FQ$244+$FJ311-1)))</f>
        <v/>
      </c>
      <c r="FR311" s="150" t="str">
        <f aca="false">IF($FJ311+FR$244&gt;73,"",PRODUCT(INDEX($T$19:$T$93,FR$244):INDEX($T$19:$T$93,FR$244+$FJ311-1)))</f>
        <v/>
      </c>
      <c r="FS311" s="150" t="str">
        <f aca="false">IF($FJ311+FS$244&gt;73,"",PRODUCT(INDEX($T$19:$T$93,FS$244):INDEX($T$19:$T$93,FS$244+$FJ311-1)))</f>
        <v/>
      </c>
      <c r="FT311" s="150" t="str">
        <f aca="false">IF($FJ311+FT$244&gt;73,"",PRODUCT(INDEX($T$19:$T$93,FT$244):INDEX($T$19:$T$93,FT$244+$FJ311-1)))</f>
        <v/>
      </c>
      <c r="FU311" s="150" t="str">
        <f aca="false">IF($FJ311+FU$244&gt;73,"",PRODUCT(INDEX($T$19:$T$93,FU$244):INDEX($T$19:$T$93,FU$244+$FJ311-1)))</f>
        <v/>
      </c>
      <c r="FV311" s="150" t="str">
        <f aca="false">IF($FJ311+FV$244&gt;73,"",PRODUCT(INDEX($T$19:$T$93,FV$244):INDEX($T$19:$T$93,FV$244+$FJ311-1)))</f>
        <v/>
      </c>
      <c r="FW311" s="150" t="str">
        <f aca="false">IF($FJ311+FW$244&gt;73,"",PRODUCT(INDEX($T$19:$T$93,FW$244):INDEX($T$19:$T$93,FW$244+$FJ311-1)))</f>
        <v/>
      </c>
      <c r="FX311" s="150" t="str">
        <f aca="false">IF($FJ311+FX$244&gt;73,"",PRODUCT(INDEX($T$19:$T$93,FX$244):INDEX($T$19:$T$93,FX$244+$FJ311-1)))</f>
        <v/>
      </c>
      <c r="FY311" s="150" t="str">
        <f aca="false">IF($FJ311+FY$244&gt;73,"",PRODUCT(INDEX($T$19:$T$93,FY$244):INDEX($T$19:$T$93,FY$244+$FJ311-1)))</f>
        <v/>
      </c>
      <c r="FZ311" s="150" t="str">
        <f aca="false">IF($FJ311+FZ$244&gt;73,"",PRODUCT(INDEX($T$19:$T$93,FZ$244):INDEX($T$19:$T$93,FZ$244+$FJ311-1)))</f>
        <v/>
      </c>
      <c r="GA311" s="150" t="str">
        <f aca="false">IF($FJ311+GA$244&gt;73,"",PRODUCT(INDEX($T$19:$T$93,GA$244):INDEX($T$19:$T$93,GA$244+$FJ311-1)))</f>
        <v/>
      </c>
      <c r="GB311" s="150" t="str">
        <f aca="false">IF($FJ311+GB$244&gt;73,"",PRODUCT(INDEX($T$19:$T$93,GB$244):INDEX($T$19:$T$93,GB$244+$FJ311-1)))</f>
        <v/>
      </c>
      <c r="GC311" s="150" t="str">
        <f aca="false">IF($FJ311+GC$244&gt;73,"",PRODUCT(INDEX($T$19:$T$93,GC$244):INDEX($T$19:$T$93,GC$244+$FJ311-1)))</f>
        <v/>
      </c>
      <c r="GD311" s="150" t="str">
        <f aca="false">IF($FJ311+GD$244&gt;73,"",PRODUCT(INDEX($T$19:$T$93,GD$244):INDEX($T$19:$T$93,GD$244+$FJ311-1)))</f>
        <v/>
      </c>
      <c r="GE311" s="150" t="str">
        <f aca="false">IF($FJ311+GE$244&gt;73,"",PRODUCT(INDEX($T$19:$T$93,GE$244):INDEX($T$19:$T$93,GE$244+$FJ311-1)))</f>
        <v/>
      </c>
      <c r="GF311" s="150" t="str">
        <f aca="false">IF($FJ311+GF$244&gt;73,"",PRODUCT(INDEX($T$19:$T$93,GF$244):INDEX($T$19:$T$93,GF$244+$FJ311-1)))</f>
        <v/>
      </c>
      <c r="GG311" s="150" t="str">
        <f aca="false">IF($FJ311+GG$244&gt;73,"",PRODUCT(INDEX($T$19:$T$93,GG$244):INDEX($T$19:$T$93,GG$244+$FJ311-1)))</f>
        <v/>
      </c>
      <c r="GH311" s="150" t="str">
        <f aca="false">IF($FJ311+GH$244&gt;73,"",PRODUCT(INDEX($T$19:$T$93,GH$244):INDEX($T$19:$T$93,GH$244+$FJ311-1)))</f>
        <v/>
      </c>
      <c r="GI311" s="150" t="str">
        <f aca="false">IF($FJ311+GI$244&gt;73,"",PRODUCT(INDEX($T$19:$T$93,GI$244):INDEX($T$19:$T$93,GI$244+$FJ311-1)))</f>
        <v/>
      </c>
      <c r="GJ311" s="150" t="str">
        <f aca="false">IF($FJ311+GJ$244&gt;73,"",PRODUCT(INDEX($T$19:$T$93,GJ$244):INDEX($T$19:$T$93,GJ$244+$FJ311-1)))</f>
        <v/>
      </c>
      <c r="GK311" s="150" t="str">
        <f aca="false">IF($FJ311+GK$244&gt;73,"",PRODUCT(INDEX($T$19:$T$93,GK$244):INDEX($T$19:$T$93,GK$244+$FJ311-1)))</f>
        <v/>
      </c>
      <c r="GL311" s="150" t="str">
        <f aca="false">IF($FJ311+GL$244&gt;73,"",PRODUCT(INDEX($T$19:$T$93,GL$244):INDEX($T$19:$T$93,GL$244+$FJ311-1)))</f>
        <v/>
      </c>
      <c r="GM311" s="150" t="str">
        <f aca="false">IF($FJ311+GM$244&gt;73,"",PRODUCT(INDEX($T$19:$T$93,GM$244):INDEX($T$19:$T$93,GM$244+$FJ311-1)))</f>
        <v/>
      </c>
      <c r="GN311" s="150" t="str">
        <f aca="false">IF($FJ311+GN$244&gt;73,"",PRODUCT(INDEX($T$19:$T$93,GN$244):INDEX($T$19:$T$93,GN$244+$FJ311-1)))</f>
        <v/>
      </c>
      <c r="GO311" s="150" t="str">
        <f aca="false">IF($FJ311+GO$244&gt;73,"",PRODUCT(INDEX($T$19:$T$93,GO$244):INDEX($T$19:$T$93,GO$244+$FJ311-1)))</f>
        <v/>
      </c>
      <c r="GP311" s="150" t="str">
        <f aca="false">IF($FJ311+GP$244&gt;73,"",PRODUCT(INDEX($T$19:$T$93,GP$244):INDEX($T$19:$T$93,GP$244+$FJ311-1)))</f>
        <v/>
      </c>
      <c r="GQ311" s="150" t="str">
        <f aca="false">IF($FJ311+GQ$244&gt;73,"",PRODUCT(INDEX($T$19:$T$93,GQ$244):INDEX($T$19:$T$93,GQ$244+$FJ311-1)))</f>
        <v/>
      </c>
      <c r="GR311" s="150" t="str">
        <f aca="false">IF($FJ311+GR$244&gt;73,"",PRODUCT(INDEX($T$19:$T$93,GR$244):INDEX($T$19:$T$93,GR$244+$FJ311-1)))</f>
        <v/>
      </c>
      <c r="GS311" s="150" t="str">
        <f aca="false">IF($FJ311+GS$244&gt;73,"",PRODUCT(INDEX($T$19:$T$93,GS$244):INDEX($T$19:$T$93,GS$244+$FJ311-1)))</f>
        <v/>
      </c>
      <c r="GT311" s="150" t="str">
        <f aca="false">IF($FJ311+GT$244&gt;73,"",PRODUCT(INDEX($T$19:$T$93,GT$244):INDEX($T$19:$T$93,GT$244+$FJ311-1)))</f>
        <v/>
      </c>
      <c r="GU311" s="150" t="str">
        <f aca="false">IF($FJ311+GU$244&gt;73,"",PRODUCT(INDEX($T$19:$T$93,GU$244):INDEX($T$19:$T$93,GU$244+$FJ311-1)))</f>
        <v/>
      </c>
      <c r="GV311" s="150" t="str">
        <f aca="false">IF($FJ311+GV$244&gt;73,"",PRODUCT(INDEX($T$19:$T$93,GV$244):INDEX($T$19:$T$93,GV$244+$FJ311-1)))</f>
        <v/>
      </c>
      <c r="GW311" s="150" t="str">
        <f aca="false">IF($FJ311+GW$244&gt;73,"",PRODUCT(INDEX($T$19:$T$93,GW$244):INDEX($T$19:$T$93,GW$244+$FJ311-1)))</f>
        <v/>
      </c>
      <c r="GX311" s="150" t="str">
        <f aca="false">IF($FJ311+GX$244&gt;73,"",PRODUCT(INDEX($T$19:$T$93,GX$244):INDEX($T$19:$T$93,GX$244+$FJ311-1)))</f>
        <v/>
      </c>
      <c r="GY311" s="150" t="str">
        <f aca="false">IF($FJ311+GY$244&gt;73,"",PRODUCT(INDEX($T$19:$T$93,GY$244):INDEX($T$19:$T$93,GY$244+$FJ311-1)))</f>
        <v/>
      </c>
      <c r="GZ311" s="150" t="str">
        <f aca="false">IF($FJ311+GZ$244&gt;73,"",PRODUCT(INDEX($T$19:$T$93,GZ$244):INDEX($T$19:$T$93,GZ$244+$FJ311-1)))</f>
        <v/>
      </c>
      <c r="HA311" s="150" t="str">
        <f aca="false">IF($FJ311+HA$244&gt;73,"",PRODUCT(INDEX($T$19:$T$93,HA$244):INDEX($T$19:$T$93,HA$244+$FJ311-1)))</f>
        <v/>
      </c>
      <c r="HB311" s="150" t="str">
        <f aca="false">IF($FJ311+HB$244&gt;73,"",PRODUCT(INDEX($T$19:$T$93,HB$244):INDEX($T$19:$T$93,HB$244+$FJ311-1)))</f>
        <v/>
      </c>
      <c r="HC311" s="150" t="str">
        <f aca="false">IF($FJ311+HC$244&gt;73,"",PRODUCT(INDEX($T$19:$T$93,HC$244):INDEX($T$19:$T$93,HC$244+$FJ311-1)))</f>
        <v/>
      </c>
      <c r="HD311" s="150" t="str">
        <f aca="false">IF($FJ311+HD$244&gt;73,"",PRODUCT(INDEX($T$19:$T$93,HD$244):INDEX($T$19:$T$93,HD$244+$FJ311-1)))</f>
        <v/>
      </c>
      <c r="HE311" s="150" t="str">
        <f aca="false">IF($FJ311+HE$244&gt;73,"",PRODUCT(INDEX($T$19:$T$93,HE$244):INDEX($T$19:$T$93,HE$244+$FJ311-1)))</f>
        <v/>
      </c>
      <c r="HF311" s="150" t="str">
        <f aca="false">IF($FJ311+HF$244&gt;73,"",PRODUCT(INDEX($T$19:$T$93,HF$244):INDEX($T$19:$T$93,HF$244+$FJ311-1)))</f>
        <v/>
      </c>
      <c r="HG311" s="150" t="str">
        <f aca="false">IF($FJ311+HG$244&gt;73,"",PRODUCT(INDEX($T$19:$T$93,HG$244):INDEX($T$19:$T$93,HG$244+$FJ311-1)))</f>
        <v/>
      </c>
      <c r="HH311" s="150" t="str">
        <f aca="false">IF($FJ311+HH$244&gt;73,"",PRODUCT(INDEX($T$19:$T$93,HH$244):INDEX($T$19:$T$93,HH$244+$FJ311-1)))</f>
        <v/>
      </c>
      <c r="HI311" s="150" t="str">
        <f aca="false">IF($FJ311+HI$244&gt;73,"",PRODUCT(INDEX($T$19:$T$93,HI$244):INDEX($T$19:$T$93,HI$244+$FJ311-1)))</f>
        <v/>
      </c>
      <c r="HJ311" s="150" t="str">
        <f aca="false">IF($FJ311+HJ$244&gt;73,"",PRODUCT(INDEX($T$19:$T$93,HJ$244):INDEX($T$19:$T$93,HJ$244+$FJ311-1)))</f>
        <v/>
      </c>
      <c r="HK311" s="150" t="str">
        <f aca="false">IF($FJ311+HK$244&gt;73,"",PRODUCT(INDEX($T$19:$T$93,HK$244):INDEX($T$19:$T$93,HK$244+$FJ311-1)))</f>
        <v/>
      </c>
      <c r="HL311" s="150" t="str">
        <f aca="false">IF($FJ311+HL$244&gt;73,"",PRODUCT(INDEX($T$19:$T$93,HL$244):INDEX($T$19:$T$93,HL$244+$FJ311-1)))</f>
        <v/>
      </c>
      <c r="HM311" s="150" t="str">
        <f aca="false">IF($FJ311+HM$244&gt;73,"",PRODUCT(INDEX($T$19:$T$93,HM$244):INDEX($T$19:$T$93,HM$244+$FJ311-1)))</f>
        <v/>
      </c>
      <c r="HN311" s="150" t="str">
        <f aca="false">IF($FJ311+HN$244&gt;73,"",PRODUCT(INDEX($T$19:$T$93,HN$244):INDEX($T$19:$T$93,HN$244+$FJ311-1)))</f>
        <v/>
      </c>
      <c r="HO311" s="150" t="str">
        <f aca="false">IF($FJ311+HO$244&gt;73,"",PRODUCT(INDEX($T$19:$T$93,HO$244):INDEX($T$19:$T$93,HO$244+$FJ311-1)))</f>
        <v/>
      </c>
      <c r="HP311" s="150" t="str">
        <f aca="false">IF($FJ311+HP$244&gt;73,"",PRODUCT(INDEX($T$19:$T$93,HP$244):INDEX($T$19:$T$93,HP$244+$FJ311-1)))</f>
        <v/>
      </c>
      <c r="HQ311" s="150" t="str">
        <f aca="false">IF($FJ311+HQ$244&gt;73,"",PRODUCT(INDEX($T$19:$T$93,HQ$244):INDEX($T$19:$T$93,HQ$244+$FJ311-1)))</f>
        <v/>
      </c>
      <c r="HR311" s="150" t="str">
        <f aca="false">IF($FJ311+HR$244&gt;73,"",PRODUCT(INDEX($T$19:$T$93,HR$244):INDEX($T$19:$T$93,HR$244+$FJ311-1)))</f>
        <v/>
      </c>
      <c r="HS311" s="150" t="str">
        <f aca="false">IF($FJ311+HS$244&gt;73,"",PRODUCT(INDEX($T$19:$T$93,HS$244):INDEX($T$19:$T$93,HS$244+$FJ311-1)))</f>
        <v/>
      </c>
      <c r="HT311" s="150" t="str">
        <f aca="false">IF($FJ311+HT$244&gt;73,"",PRODUCT(INDEX($T$19:$T$93,HT$244):INDEX($T$19:$T$93,HT$244+$FJ311-1)))</f>
        <v/>
      </c>
      <c r="HU311" s="150" t="str">
        <f aca="false">IF($FJ311+HU$244&gt;73,"",PRODUCT(INDEX($T$19:$T$93,HU$244):INDEX($T$19:$T$93,HU$244+$FJ311-1)))</f>
        <v/>
      </c>
      <c r="HV311" s="150" t="str">
        <f aca="false">IF($FJ311+HV$244&gt;73,"",PRODUCT(INDEX($T$19:$T$93,HV$244):INDEX($T$19:$T$93,HV$244+$FJ311-1)))</f>
        <v/>
      </c>
      <c r="HW311" s="150" t="str">
        <f aca="false">IF($FJ311+HW$244&gt;73,"",PRODUCT(INDEX($T$19:$T$93,HW$244):INDEX($T$19:$T$93,HW$244+$FJ311-1)))</f>
        <v/>
      </c>
      <c r="HX311" s="150" t="str">
        <f aca="false">IF($FJ311+HX$244&gt;73,"",PRODUCT(INDEX($T$19:$T$93,HX$244):INDEX($T$19:$T$93,HX$244+$FJ311-1)))</f>
        <v/>
      </c>
      <c r="HY311" s="150" t="n">
        <f aca="false">IF($FJ311+HY$244&gt;73,"",PRODUCT(INDEX($T$19:$T$93,HY$244):INDEX($T$19:$T$93,HY$244+$FJ311-1)))</f>
        <v>0.645516664074696</v>
      </c>
      <c r="HZ311" s="150" t="n">
        <f aca="false">IF($FJ311+HZ$244&gt;73,"",PRODUCT(INDEX($T$19:$T$93,HZ$244):INDEX($T$19:$T$93,HZ$244+$FJ311-1)))</f>
        <v>0.596587351857028</v>
      </c>
      <c r="IA311" s="150" t="n">
        <f aca="false">IF($FJ311+IA$244&gt;73,"",PRODUCT(INDEX($T$19:$T$93,IA$244):INDEX($T$19:$T$93,IA$244+$FJ311-1)))</f>
        <v>0.543098693020362</v>
      </c>
      <c r="IB311" s="150" t="n">
        <f aca="false">IF($FJ311+IB$244&gt;73,"",PRODUCT(INDEX($T$19:$T$93,IB$244):INDEX($T$19:$T$93,IB$244+$FJ311-1)))</f>
        <v>0.485408292629212</v>
      </c>
      <c r="IC311" s="150" t="n">
        <f aca="false">IF($FJ311+IC$244&gt;73,"",PRODUCT(INDEX($T$19:$T$93,IC$244):INDEX($T$19:$T$93,IC$244+$FJ311-1)))</f>
        <v>0.424203238295885</v>
      </c>
      <c r="ID311" s="572" t="n">
        <f aca="false">IF($FJ311+ID$244&gt;73,"",PRODUCT(INDEX($T$19:$T$93,ID$244):INDEX($T$19:$T$93,ID$244+$FJ311-1)))</f>
        <v>0.360574062490916</v>
      </c>
      <c r="IE311" s="129"/>
    </row>
    <row r="312" customFormat="false" ht="12.75" hidden="false" customHeight="false" outlineLevel="0" collapsed="false">
      <c r="I312" s="735"/>
      <c r="J312" s="727"/>
      <c r="K312" s="728"/>
      <c r="L312" s="195"/>
      <c r="M312" s="729"/>
      <c r="P312" s="727"/>
      <c r="S312" s="1"/>
      <c r="T312" s="727"/>
      <c r="U312" s="195"/>
      <c r="V312" s="195"/>
      <c r="W312" s="195"/>
      <c r="X312" s="195"/>
      <c r="Y312" s="195"/>
      <c r="Z312" s="195"/>
      <c r="AA312" s="195"/>
      <c r="AB312" s="195"/>
      <c r="AC312" s="195"/>
      <c r="AD312" s="195"/>
      <c r="AE312" s="195"/>
      <c r="AF312" s="195"/>
      <c r="AG312" s="195"/>
      <c r="AH312" s="195"/>
      <c r="AI312" s="195"/>
      <c r="AJ312" s="195"/>
      <c r="AK312" s="195"/>
      <c r="AL312" s="195"/>
      <c r="AM312" s="195"/>
      <c r="AN312" s="195"/>
      <c r="AO312" s="532"/>
      <c r="AP312" s="195"/>
      <c r="AQ312" s="532"/>
      <c r="AR312" s="195"/>
      <c r="AS312" s="240"/>
      <c r="AT312" s="240"/>
      <c r="AU312" s="240"/>
      <c r="AV312" s="730"/>
      <c r="AW312" s="730"/>
      <c r="AX312" s="730"/>
      <c r="AY312" s="730"/>
      <c r="AZ312" s="468"/>
      <c r="BA312" s="468"/>
      <c r="BB312" s="240"/>
      <c r="BC312" s="240"/>
      <c r="BD312" s="240"/>
      <c r="BE312" s="240"/>
      <c r="BF312" s="672"/>
      <c r="BG312" s="672"/>
      <c r="BH312" s="672"/>
      <c r="BI312" s="672"/>
      <c r="BJ312" s="672"/>
      <c r="BK312" s="240"/>
      <c r="BL312" s="736"/>
      <c r="BM312" s="737"/>
      <c r="BN312" s="240"/>
      <c r="BO312" s="240"/>
      <c r="BP312" s="240"/>
      <c r="BQ312" s="240"/>
      <c r="BR312" s="240"/>
      <c r="BS312" s="240"/>
      <c r="BT312" s="240"/>
      <c r="BU312" s="240"/>
      <c r="BV312" s="240"/>
      <c r="BW312" s="240"/>
      <c r="BX312" s="240"/>
      <c r="BY312" s="240"/>
      <c r="BZ312" s="240"/>
      <c r="CA312" s="240"/>
      <c r="CB312" s="240"/>
      <c r="CC312" s="672"/>
      <c r="CD312" s="672"/>
      <c r="CE312" s="672"/>
      <c r="CF312" s="672"/>
      <c r="CG312" s="672"/>
      <c r="CH312" s="672"/>
      <c r="CI312" s="240"/>
      <c r="CJ312" s="240"/>
      <c r="CK312" s="240"/>
      <c r="CL312" s="240"/>
      <c r="CM312" s="240"/>
      <c r="CN312" s="240"/>
      <c r="CO312" s="240"/>
      <c r="CP312" s="240"/>
      <c r="CQ312" s="240"/>
      <c r="CR312" s="240"/>
      <c r="CS312" s="240"/>
      <c r="CT312" s="240"/>
      <c r="CU312" s="240"/>
      <c r="CV312" s="240"/>
      <c r="CW312" s="240"/>
      <c r="CX312" s="240"/>
      <c r="CY312" s="240"/>
      <c r="CZ312" s="240"/>
      <c r="DA312" s="240"/>
      <c r="DB312" s="240"/>
      <c r="DC312" s="240"/>
      <c r="DD312" s="240"/>
      <c r="DE312" s="240"/>
      <c r="DF312" s="240"/>
      <c r="DG312" s="240"/>
      <c r="DH312" s="478"/>
      <c r="DI312" s="733"/>
      <c r="DJ312" s="195"/>
      <c r="DK312" s="478"/>
      <c r="DL312" s="4"/>
      <c r="DM312" s="4"/>
      <c r="DN312" s="4"/>
      <c r="DO312" s="4"/>
      <c r="DP312" s="4"/>
      <c r="DQ312" s="4"/>
      <c r="DR312" s="4"/>
      <c r="DT312" s="195"/>
      <c r="DU312" s="195"/>
      <c r="DV312" s="195"/>
      <c r="DW312" s="195"/>
      <c r="DX312" s="195"/>
      <c r="DY312" s="195"/>
      <c r="DZ312" s="195"/>
      <c r="EA312" s="195"/>
      <c r="EB312" s="195"/>
      <c r="EC312" s="195"/>
      <c r="ED312" s="195"/>
      <c r="EE312" s="195"/>
      <c r="EF312" s="195"/>
      <c r="EG312" s="195"/>
      <c r="EL312" s="1"/>
      <c r="EM312" s="195"/>
      <c r="EN312" s="731"/>
      <c r="EO312" s="240"/>
      <c r="EP312" s="195"/>
      <c r="EQ312" s="240"/>
      <c r="ER312" s="195"/>
      <c r="ES312" s="195"/>
      <c r="ET312" s="195"/>
      <c r="EU312" s="731"/>
      <c r="FJ312" s="571" t="n">
        <v>68</v>
      </c>
      <c r="FK312" s="150" t="str">
        <f aca="false">IF($FJ312+FK$244&gt;73,"",PRODUCT(INDEX($T$19:$T$93,FK$244):INDEX($T$19:$T$93,FK$244+$FJ312-1)))</f>
        <v/>
      </c>
      <c r="FL312" s="150" t="str">
        <f aca="false">IF($FJ312+FL$244&gt;73,"",PRODUCT(INDEX($T$19:$T$93,FL$244):INDEX($T$19:$T$93,FL$244+$FJ312-1)))</f>
        <v/>
      </c>
      <c r="FM312" s="150" t="str">
        <f aca="false">IF($FJ312+FM$244&gt;73,"",PRODUCT(INDEX($T$19:$T$93,FM$244):INDEX($T$19:$T$93,FM$244+$FJ312-1)))</f>
        <v/>
      </c>
      <c r="FN312" s="150" t="str">
        <f aca="false">IF($FJ312+FN$244&gt;73,"",PRODUCT(INDEX($T$19:$T$93,FN$244):INDEX($T$19:$T$93,FN$244+$FJ312-1)))</f>
        <v/>
      </c>
      <c r="FO312" s="150" t="str">
        <f aca="false">IF($FJ312+FO$244&gt;73,"",PRODUCT(INDEX($T$19:$T$93,FO$244):INDEX($T$19:$T$93,FO$244+$FJ312-1)))</f>
        <v/>
      </c>
      <c r="FP312" s="150" t="str">
        <f aca="false">IF($FJ312+FP$244&gt;73,"",PRODUCT(INDEX($T$19:$T$93,FP$244):INDEX($T$19:$T$93,FP$244+$FJ312-1)))</f>
        <v/>
      </c>
      <c r="FQ312" s="150" t="str">
        <f aca="false">IF($FJ312+FQ$244&gt;73,"",PRODUCT(INDEX($T$19:$T$93,FQ$244):INDEX($T$19:$T$93,FQ$244+$FJ312-1)))</f>
        <v/>
      </c>
      <c r="FR312" s="150" t="str">
        <f aca="false">IF($FJ312+FR$244&gt;73,"",PRODUCT(INDEX($T$19:$T$93,FR$244):INDEX($T$19:$T$93,FR$244+$FJ312-1)))</f>
        <v/>
      </c>
      <c r="FS312" s="150" t="str">
        <f aca="false">IF($FJ312+FS$244&gt;73,"",PRODUCT(INDEX($T$19:$T$93,FS$244):INDEX($T$19:$T$93,FS$244+$FJ312-1)))</f>
        <v/>
      </c>
      <c r="FT312" s="150" t="str">
        <f aca="false">IF($FJ312+FT$244&gt;73,"",PRODUCT(INDEX($T$19:$T$93,FT$244):INDEX($T$19:$T$93,FT$244+$FJ312-1)))</f>
        <v/>
      </c>
      <c r="FU312" s="150" t="str">
        <f aca="false">IF($FJ312+FU$244&gt;73,"",PRODUCT(INDEX($T$19:$T$93,FU$244):INDEX($T$19:$T$93,FU$244+$FJ312-1)))</f>
        <v/>
      </c>
      <c r="FV312" s="150" t="str">
        <f aca="false">IF($FJ312+FV$244&gt;73,"",PRODUCT(INDEX($T$19:$T$93,FV$244):INDEX($T$19:$T$93,FV$244+$FJ312-1)))</f>
        <v/>
      </c>
      <c r="FW312" s="150" t="str">
        <f aca="false">IF($FJ312+FW$244&gt;73,"",PRODUCT(INDEX($T$19:$T$93,FW$244):INDEX($T$19:$T$93,FW$244+$FJ312-1)))</f>
        <v/>
      </c>
      <c r="FX312" s="150" t="str">
        <f aca="false">IF($FJ312+FX$244&gt;73,"",PRODUCT(INDEX($T$19:$T$93,FX$244):INDEX($T$19:$T$93,FX$244+$FJ312-1)))</f>
        <v/>
      </c>
      <c r="FY312" s="150" t="str">
        <f aca="false">IF($FJ312+FY$244&gt;73,"",PRODUCT(INDEX($T$19:$T$93,FY$244):INDEX($T$19:$T$93,FY$244+$FJ312-1)))</f>
        <v/>
      </c>
      <c r="FZ312" s="150" t="str">
        <f aca="false">IF($FJ312+FZ$244&gt;73,"",PRODUCT(INDEX($T$19:$T$93,FZ$244):INDEX($T$19:$T$93,FZ$244+$FJ312-1)))</f>
        <v/>
      </c>
      <c r="GA312" s="150" t="str">
        <f aca="false">IF($FJ312+GA$244&gt;73,"",PRODUCT(INDEX($T$19:$T$93,GA$244):INDEX($T$19:$T$93,GA$244+$FJ312-1)))</f>
        <v/>
      </c>
      <c r="GB312" s="150" t="str">
        <f aca="false">IF($FJ312+GB$244&gt;73,"",PRODUCT(INDEX($T$19:$T$93,GB$244):INDEX($T$19:$T$93,GB$244+$FJ312-1)))</f>
        <v/>
      </c>
      <c r="GC312" s="150" t="str">
        <f aca="false">IF($FJ312+GC$244&gt;73,"",PRODUCT(INDEX($T$19:$T$93,GC$244):INDEX($T$19:$T$93,GC$244+$FJ312-1)))</f>
        <v/>
      </c>
      <c r="GD312" s="150" t="str">
        <f aca="false">IF($FJ312+GD$244&gt;73,"",PRODUCT(INDEX($T$19:$T$93,GD$244):INDEX($T$19:$T$93,GD$244+$FJ312-1)))</f>
        <v/>
      </c>
      <c r="GE312" s="150" t="str">
        <f aca="false">IF($FJ312+GE$244&gt;73,"",PRODUCT(INDEX($T$19:$T$93,GE$244):INDEX($T$19:$T$93,GE$244+$FJ312-1)))</f>
        <v/>
      </c>
      <c r="GF312" s="150" t="str">
        <f aca="false">IF($FJ312+GF$244&gt;73,"",PRODUCT(INDEX($T$19:$T$93,GF$244):INDEX($T$19:$T$93,GF$244+$FJ312-1)))</f>
        <v/>
      </c>
      <c r="GG312" s="150" t="str">
        <f aca="false">IF($FJ312+GG$244&gt;73,"",PRODUCT(INDEX($T$19:$T$93,GG$244):INDEX($T$19:$T$93,GG$244+$FJ312-1)))</f>
        <v/>
      </c>
      <c r="GH312" s="150" t="str">
        <f aca="false">IF($FJ312+GH$244&gt;73,"",PRODUCT(INDEX($T$19:$T$93,GH$244):INDEX($T$19:$T$93,GH$244+$FJ312-1)))</f>
        <v/>
      </c>
      <c r="GI312" s="150" t="str">
        <f aca="false">IF($FJ312+GI$244&gt;73,"",PRODUCT(INDEX($T$19:$T$93,GI$244):INDEX($T$19:$T$93,GI$244+$FJ312-1)))</f>
        <v/>
      </c>
      <c r="GJ312" s="150" t="str">
        <f aca="false">IF($FJ312+GJ$244&gt;73,"",PRODUCT(INDEX($T$19:$T$93,GJ$244):INDEX($T$19:$T$93,GJ$244+$FJ312-1)))</f>
        <v/>
      </c>
      <c r="GK312" s="150" t="str">
        <f aca="false">IF($FJ312+GK$244&gt;73,"",PRODUCT(INDEX($T$19:$T$93,GK$244):INDEX($T$19:$T$93,GK$244+$FJ312-1)))</f>
        <v/>
      </c>
      <c r="GL312" s="150" t="str">
        <f aca="false">IF($FJ312+GL$244&gt;73,"",PRODUCT(INDEX($T$19:$T$93,GL$244):INDEX($T$19:$T$93,GL$244+$FJ312-1)))</f>
        <v/>
      </c>
      <c r="GM312" s="150" t="str">
        <f aca="false">IF($FJ312+GM$244&gt;73,"",PRODUCT(INDEX($T$19:$T$93,GM$244):INDEX($T$19:$T$93,GM$244+$FJ312-1)))</f>
        <v/>
      </c>
      <c r="GN312" s="150" t="str">
        <f aca="false">IF($FJ312+GN$244&gt;73,"",PRODUCT(INDEX($T$19:$T$93,GN$244):INDEX($T$19:$T$93,GN$244+$FJ312-1)))</f>
        <v/>
      </c>
      <c r="GO312" s="150" t="str">
        <f aca="false">IF($FJ312+GO$244&gt;73,"",PRODUCT(INDEX($T$19:$T$93,GO$244):INDEX($T$19:$T$93,GO$244+$FJ312-1)))</f>
        <v/>
      </c>
      <c r="GP312" s="150" t="str">
        <f aca="false">IF($FJ312+GP$244&gt;73,"",PRODUCT(INDEX($T$19:$T$93,GP$244):INDEX($T$19:$T$93,GP$244+$FJ312-1)))</f>
        <v/>
      </c>
      <c r="GQ312" s="150" t="str">
        <f aca="false">IF($FJ312+GQ$244&gt;73,"",PRODUCT(INDEX($T$19:$T$93,GQ$244):INDEX($T$19:$T$93,GQ$244+$FJ312-1)))</f>
        <v/>
      </c>
      <c r="GR312" s="150" t="str">
        <f aca="false">IF($FJ312+GR$244&gt;73,"",PRODUCT(INDEX($T$19:$T$93,GR$244):INDEX($T$19:$T$93,GR$244+$FJ312-1)))</f>
        <v/>
      </c>
      <c r="GS312" s="150" t="str">
        <f aca="false">IF($FJ312+GS$244&gt;73,"",PRODUCT(INDEX($T$19:$T$93,GS$244):INDEX($T$19:$T$93,GS$244+$FJ312-1)))</f>
        <v/>
      </c>
      <c r="GT312" s="150" t="str">
        <f aca="false">IF($FJ312+GT$244&gt;73,"",PRODUCT(INDEX($T$19:$T$93,GT$244):INDEX($T$19:$T$93,GT$244+$FJ312-1)))</f>
        <v/>
      </c>
      <c r="GU312" s="150" t="str">
        <f aca="false">IF($FJ312+GU$244&gt;73,"",PRODUCT(INDEX($T$19:$T$93,GU$244):INDEX($T$19:$T$93,GU$244+$FJ312-1)))</f>
        <v/>
      </c>
      <c r="GV312" s="150" t="str">
        <f aca="false">IF($FJ312+GV$244&gt;73,"",PRODUCT(INDEX($T$19:$T$93,GV$244):INDEX($T$19:$T$93,GV$244+$FJ312-1)))</f>
        <v/>
      </c>
      <c r="GW312" s="150" t="str">
        <f aca="false">IF($FJ312+GW$244&gt;73,"",PRODUCT(INDEX($T$19:$T$93,GW$244):INDEX($T$19:$T$93,GW$244+$FJ312-1)))</f>
        <v/>
      </c>
      <c r="GX312" s="150" t="str">
        <f aca="false">IF($FJ312+GX$244&gt;73,"",PRODUCT(INDEX($T$19:$T$93,GX$244):INDEX($T$19:$T$93,GX$244+$FJ312-1)))</f>
        <v/>
      </c>
      <c r="GY312" s="150" t="str">
        <f aca="false">IF($FJ312+GY$244&gt;73,"",PRODUCT(INDEX($T$19:$T$93,GY$244):INDEX($T$19:$T$93,GY$244+$FJ312-1)))</f>
        <v/>
      </c>
      <c r="GZ312" s="150" t="str">
        <f aca="false">IF($FJ312+GZ$244&gt;73,"",PRODUCT(INDEX($T$19:$T$93,GZ$244):INDEX($T$19:$T$93,GZ$244+$FJ312-1)))</f>
        <v/>
      </c>
      <c r="HA312" s="150" t="str">
        <f aca="false">IF($FJ312+HA$244&gt;73,"",PRODUCT(INDEX($T$19:$T$93,HA$244):INDEX($T$19:$T$93,HA$244+$FJ312-1)))</f>
        <v/>
      </c>
      <c r="HB312" s="150" t="str">
        <f aca="false">IF($FJ312+HB$244&gt;73,"",PRODUCT(INDEX($T$19:$T$93,HB$244):INDEX($T$19:$T$93,HB$244+$FJ312-1)))</f>
        <v/>
      </c>
      <c r="HC312" s="150" t="str">
        <f aca="false">IF($FJ312+HC$244&gt;73,"",PRODUCT(INDEX($T$19:$T$93,HC$244):INDEX($T$19:$T$93,HC$244+$FJ312-1)))</f>
        <v/>
      </c>
      <c r="HD312" s="150" t="str">
        <f aca="false">IF($FJ312+HD$244&gt;73,"",PRODUCT(INDEX($T$19:$T$93,HD$244):INDEX($T$19:$T$93,HD$244+$FJ312-1)))</f>
        <v/>
      </c>
      <c r="HE312" s="150" t="str">
        <f aca="false">IF($FJ312+HE$244&gt;73,"",PRODUCT(INDEX($T$19:$T$93,HE$244):INDEX($T$19:$T$93,HE$244+$FJ312-1)))</f>
        <v/>
      </c>
      <c r="HF312" s="150" t="str">
        <f aca="false">IF($FJ312+HF$244&gt;73,"",PRODUCT(INDEX($T$19:$T$93,HF$244):INDEX($T$19:$T$93,HF$244+$FJ312-1)))</f>
        <v/>
      </c>
      <c r="HG312" s="150" t="str">
        <f aca="false">IF($FJ312+HG$244&gt;73,"",PRODUCT(INDEX($T$19:$T$93,HG$244):INDEX($T$19:$T$93,HG$244+$FJ312-1)))</f>
        <v/>
      </c>
      <c r="HH312" s="150" t="str">
        <f aca="false">IF($FJ312+HH$244&gt;73,"",PRODUCT(INDEX($T$19:$T$93,HH$244):INDEX($T$19:$T$93,HH$244+$FJ312-1)))</f>
        <v/>
      </c>
      <c r="HI312" s="150" t="str">
        <f aca="false">IF($FJ312+HI$244&gt;73,"",PRODUCT(INDEX($T$19:$T$93,HI$244):INDEX($T$19:$T$93,HI$244+$FJ312-1)))</f>
        <v/>
      </c>
      <c r="HJ312" s="150" t="str">
        <f aca="false">IF($FJ312+HJ$244&gt;73,"",PRODUCT(INDEX($T$19:$T$93,HJ$244):INDEX($T$19:$T$93,HJ$244+$FJ312-1)))</f>
        <v/>
      </c>
      <c r="HK312" s="150" t="str">
        <f aca="false">IF($FJ312+HK$244&gt;73,"",PRODUCT(INDEX($T$19:$T$93,HK$244):INDEX($T$19:$T$93,HK$244+$FJ312-1)))</f>
        <v/>
      </c>
      <c r="HL312" s="150" t="str">
        <f aca="false">IF($FJ312+HL$244&gt;73,"",PRODUCT(INDEX($T$19:$T$93,HL$244):INDEX($T$19:$T$93,HL$244+$FJ312-1)))</f>
        <v/>
      </c>
      <c r="HM312" s="150" t="str">
        <f aca="false">IF($FJ312+HM$244&gt;73,"",PRODUCT(INDEX($T$19:$T$93,HM$244):INDEX($T$19:$T$93,HM$244+$FJ312-1)))</f>
        <v/>
      </c>
      <c r="HN312" s="150" t="str">
        <f aca="false">IF($FJ312+HN$244&gt;73,"",PRODUCT(INDEX($T$19:$T$93,HN$244):INDEX($T$19:$T$93,HN$244+$FJ312-1)))</f>
        <v/>
      </c>
      <c r="HO312" s="150" t="str">
        <f aca="false">IF($FJ312+HO$244&gt;73,"",PRODUCT(INDEX($T$19:$T$93,HO$244):INDEX($T$19:$T$93,HO$244+$FJ312-1)))</f>
        <v/>
      </c>
      <c r="HP312" s="150" t="str">
        <f aca="false">IF($FJ312+HP$244&gt;73,"",PRODUCT(INDEX($T$19:$T$93,HP$244):INDEX($T$19:$T$93,HP$244+$FJ312-1)))</f>
        <v/>
      </c>
      <c r="HQ312" s="150" t="str">
        <f aca="false">IF($FJ312+HQ$244&gt;73,"",PRODUCT(INDEX($T$19:$T$93,HQ$244):INDEX($T$19:$T$93,HQ$244+$FJ312-1)))</f>
        <v/>
      </c>
      <c r="HR312" s="150" t="str">
        <f aca="false">IF($FJ312+HR$244&gt;73,"",PRODUCT(INDEX($T$19:$T$93,HR$244):INDEX($T$19:$T$93,HR$244+$FJ312-1)))</f>
        <v/>
      </c>
      <c r="HS312" s="150" t="str">
        <f aca="false">IF($FJ312+HS$244&gt;73,"",PRODUCT(INDEX($T$19:$T$93,HS$244):INDEX($T$19:$T$93,HS$244+$FJ312-1)))</f>
        <v/>
      </c>
      <c r="HT312" s="150" t="str">
        <f aca="false">IF($FJ312+HT$244&gt;73,"",PRODUCT(INDEX($T$19:$T$93,HT$244):INDEX($T$19:$T$93,HT$244+$FJ312-1)))</f>
        <v/>
      </c>
      <c r="HU312" s="150" t="str">
        <f aca="false">IF($FJ312+HU$244&gt;73,"",PRODUCT(INDEX($T$19:$T$93,HU$244):INDEX($T$19:$T$93,HU$244+$FJ312-1)))</f>
        <v/>
      </c>
      <c r="HV312" s="150" t="str">
        <f aca="false">IF($FJ312+HV$244&gt;73,"",PRODUCT(INDEX($T$19:$T$93,HV$244):INDEX($T$19:$T$93,HV$244+$FJ312-1)))</f>
        <v/>
      </c>
      <c r="HW312" s="150" t="str">
        <f aca="false">IF($FJ312+HW$244&gt;73,"",PRODUCT(INDEX($T$19:$T$93,HW$244):INDEX($T$19:$T$93,HW$244+$FJ312-1)))</f>
        <v/>
      </c>
      <c r="HX312" s="150" t="str">
        <f aca="false">IF($FJ312+HX$244&gt;73,"",PRODUCT(INDEX($T$19:$T$93,HX$244):INDEX($T$19:$T$93,HX$244+$FJ312-1)))</f>
        <v/>
      </c>
      <c r="HY312" s="150" t="str">
        <f aca="false">IF($FJ312+HY$244&gt;73,"",PRODUCT(INDEX($T$19:$T$93,HY$244):INDEX($T$19:$T$93,HY$244+$FJ312-1)))</f>
        <v/>
      </c>
      <c r="HZ312" s="150" t="n">
        <f aca="false">IF($FJ312+HZ$244&gt;73,"",PRODUCT(INDEX($T$19:$T$93,HZ$244):INDEX($T$19:$T$93,HZ$244+$FJ312-1)))</f>
        <v>0.59658619363243</v>
      </c>
      <c r="IA312" s="150" t="n">
        <f aca="false">IF($FJ312+IA$244&gt;73,"",PRODUCT(INDEX($T$19:$T$93,IA$244):INDEX($T$19:$T$93,IA$244+$FJ312-1)))</f>
        <v>0.543097459825012</v>
      </c>
      <c r="IB312" s="150" t="n">
        <f aca="false">IF($FJ312+IB$244&gt;73,"",PRODUCT(INDEX($T$19:$T$93,IB$244):INDEX($T$19:$T$93,IB$244+$FJ312-1)))</f>
        <v>0.485407003505009</v>
      </c>
      <c r="IC312" s="150" t="n">
        <f aca="false">IF($FJ312+IC$244&gt;73,"",PRODUCT(INDEX($T$19:$T$93,IC$244):INDEX($T$19:$T$93,IC$244+$FJ312-1)))</f>
        <v>0.424201920657974</v>
      </c>
      <c r="ID312" s="572" t="n">
        <f aca="false">IF($FJ312+ID$244&gt;73,"",PRODUCT(INDEX($T$19:$T$93,ID$244):INDEX($T$19:$T$93,ID$244+$FJ312-1)))</f>
        <v>0.360572752551502</v>
      </c>
      <c r="IE312" s="129"/>
    </row>
    <row r="313" customFormat="false" ht="12.75" hidden="false" customHeight="false" outlineLevel="0" collapsed="false">
      <c r="I313" s="735"/>
      <c r="J313" s="727"/>
      <c r="K313" s="728"/>
      <c r="L313" s="195"/>
      <c r="M313" s="729"/>
      <c r="P313" s="727"/>
      <c r="S313" s="1"/>
      <c r="T313" s="727"/>
      <c r="U313" s="195"/>
      <c r="V313" s="195"/>
      <c r="W313" s="195"/>
      <c r="X313" s="195"/>
      <c r="Y313" s="195"/>
      <c r="Z313" s="195"/>
      <c r="AA313" s="195"/>
      <c r="AB313" s="195"/>
      <c r="AC313" s="195"/>
      <c r="AD313" s="195"/>
      <c r="AE313" s="195"/>
      <c r="AF313" s="195"/>
      <c r="AG313" s="195"/>
      <c r="AH313" s="195"/>
      <c r="AI313" s="195"/>
      <c r="AJ313" s="195"/>
      <c r="AK313" s="195"/>
      <c r="AL313" s="195"/>
      <c r="AM313" s="195"/>
      <c r="AN313" s="195"/>
      <c r="AO313" s="532"/>
      <c r="AP313" s="195"/>
      <c r="AQ313" s="532"/>
      <c r="AR313" s="195"/>
      <c r="AS313" s="240"/>
      <c r="AT313" s="240"/>
      <c r="AU313" s="240"/>
      <c r="AV313" s="730"/>
      <c r="AW313" s="730"/>
      <c r="AX313" s="730"/>
      <c r="AY313" s="730"/>
      <c r="AZ313" s="468"/>
      <c r="BA313" s="468"/>
      <c r="BB313" s="240"/>
      <c r="BC313" s="240"/>
      <c r="BD313" s="240"/>
      <c r="BE313" s="240"/>
      <c r="BF313" s="672"/>
      <c r="BG313" s="672"/>
      <c r="BH313" s="672"/>
      <c r="BI313" s="672"/>
      <c r="BJ313" s="672"/>
      <c r="BK313" s="240"/>
      <c r="BL313" s="736"/>
      <c r="BM313" s="737"/>
      <c r="BN313" s="240"/>
      <c r="BO313" s="240"/>
      <c r="BP313" s="240"/>
      <c r="BQ313" s="240"/>
      <c r="BR313" s="240"/>
      <c r="BS313" s="240"/>
      <c r="BT313" s="240"/>
      <c r="BU313" s="240"/>
      <c r="BV313" s="240"/>
      <c r="BW313" s="240"/>
      <c r="BX313" s="240"/>
      <c r="BY313" s="240"/>
      <c r="BZ313" s="240"/>
      <c r="CA313" s="240"/>
      <c r="CB313" s="240"/>
      <c r="CC313" s="672"/>
      <c r="CD313" s="672"/>
      <c r="CE313" s="672"/>
      <c r="CF313" s="672"/>
      <c r="CG313" s="672"/>
      <c r="CH313" s="672"/>
      <c r="CI313" s="240"/>
      <c r="CJ313" s="240"/>
      <c r="CK313" s="240"/>
      <c r="CL313" s="240"/>
      <c r="CM313" s="240"/>
      <c r="CN313" s="240"/>
      <c r="CO313" s="240"/>
      <c r="CP313" s="240"/>
      <c r="CQ313" s="240"/>
      <c r="CR313" s="240"/>
      <c r="CS313" s="240"/>
      <c r="CT313" s="240"/>
      <c r="CU313" s="240"/>
      <c r="CV313" s="240"/>
      <c r="CW313" s="240"/>
      <c r="CX313" s="240"/>
      <c r="CY313" s="240"/>
      <c r="CZ313" s="240"/>
      <c r="DA313" s="240"/>
      <c r="DB313" s="240"/>
      <c r="DC313" s="240"/>
      <c r="DD313" s="240"/>
      <c r="DE313" s="240"/>
      <c r="DF313" s="240"/>
      <c r="DG313" s="240"/>
      <c r="DH313" s="478"/>
      <c r="DI313" s="733"/>
      <c r="DJ313" s="195"/>
      <c r="DK313" s="478"/>
      <c r="DL313" s="4"/>
      <c r="DM313" s="4"/>
      <c r="DN313" s="4"/>
      <c r="DO313" s="4"/>
      <c r="DP313" s="4"/>
      <c r="DQ313" s="4"/>
      <c r="DR313" s="4"/>
      <c r="DT313" s="195"/>
      <c r="DU313" s="195"/>
      <c r="DV313" s="195"/>
      <c r="DW313" s="195"/>
      <c r="DX313" s="195"/>
      <c r="DY313" s="195"/>
      <c r="DZ313" s="195"/>
      <c r="EA313" s="195"/>
      <c r="EB313" s="195"/>
      <c r="EC313" s="195"/>
      <c r="ED313" s="195"/>
      <c r="EE313" s="195"/>
      <c r="EF313" s="195"/>
      <c r="EG313" s="195"/>
      <c r="EL313" s="1"/>
      <c r="EM313" s="195"/>
      <c r="EN313" s="731"/>
      <c r="EO313" s="240"/>
      <c r="EP313" s="195"/>
      <c r="EQ313" s="240"/>
      <c r="ER313" s="195"/>
      <c r="ES313" s="195"/>
      <c r="ET313" s="195"/>
      <c r="EU313" s="731"/>
      <c r="FJ313" s="571" t="n">
        <v>69</v>
      </c>
      <c r="FK313" s="150" t="str">
        <f aca="false">IF($FJ313+FK$244&gt;73,"",PRODUCT(INDEX($T$19:$T$93,FK$244):INDEX($T$19:$T$93,FK$244+$FJ313-1)))</f>
        <v/>
      </c>
      <c r="FL313" s="150" t="str">
        <f aca="false">IF($FJ313+FL$244&gt;73,"",PRODUCT(INDEX($T$19:$T$93,FL$244):INDEX($T$19:$T$93,FL$244+$FJ313-1)))</f>
        <v/>
      </c>
      <c r="FM313" s="150" t="str">
        <f aca="false">IF($FJ313+FM$244&gt;73,"",PRODUCT(INDEX($T$19:$T$93,FM$244):INDEX($T$19:$T$93,FM$244+$FJ313-1)))</f>
        <v/>
      </c>
      <c r="FN313" s="150" t="str">
        <f aca="false">IF($FJ313+FN$244&gt;73,"",PRODUCT(INDEX($T$19:$T$93,FN$244):INDEX($T$19:$T$93,FN$244+$FJ313-1)))</f>
        <v/>
      </c>
      <c r="FO313" s="150" t="str">
        <f aca="false">IF($FJ313+FO$244&gt;73,"",PRODUCT(INDEX($T$19:$T$93,FO$244):INDEX($T$19:$T$93,FO$244+$FJ313-1)))</f>
        <v/>
      </c>
      <c r="FP313" s="150" t="str">
        <f aca="false">IF($FJ313+FP$244&gt;73,"",PRODUCT(INDEX($T$19:$T$93,FP$244):INDEX($T$19:$T$93,FP$244+$FJ313-1)))</f>
        <v/>
      </c>
      <c r="FQ313" s="150" t="str">
        <f aca="false">IF($FJ313+FQ$244&gt;73,"",PRODUCT(INDEX($T$19:$T$93,FQ$244):INDEX($T$19:$T$93,FQ$244+$FJ313-1)))</f>
        <v/>
      </c>
      <c r="FR313" s="150" t="str">
        <f aca="false">IF($FJ313+FR$244&gt;73,"",PRODUCT(INDEX($T$19:$T$93,FR$244):INDEX($T$19:$T$93,FR$244+$FJ313-1)))</f>
        <v/>
      </c>
      <c r="FS313" s="150" t="str">
        <f aca="false">IF($FJ313+FS$244&gt;73,"",PRODUCT(INDEX($T$19:$T$93,FS$244):INDEX($T$19:$T$93,FS$244+$FJ313-1)))</f>
        <v/>
      </c>
      <c r="FT313" s="150" t="str">
        <f aca="false">IF($FJ313+FT$244&gt;73,"",PRODUCT(INDEX($T$19:$T$93,FT$244):INDEX($T$19:$T$93,FT$244+$FJ313-1)))</f>
        <v/>
      </c>
      <c r="FU313" s="150" t="str">
        <f aca="false">IF($FJ313+FU$244&gt;73,"",PRODUCT(INDEX($T$19:$T$93,FU$244):INDEX($T$19:$T$93,FU$244+$FJ313-1)))</f>
        <v/>
      </c>
      <c r="FV313" s="150" t="str">
        <f aca="false">IF($FJ313+FV$244&gt;73,"",PRODUCT(INDEX($T$19:$T$93,FV$244):INDEX($T$19:$T$93,FV$244+$FJ313-1)))</f>
        <v/>
      </c>
      <c r="FW313" s="150" t="str">
        <f aca="false">IF($FJ313+FW$244&gt;73,"",PRODUCT(INDEX($T$19:$T$93,FW$244):INDEX($T$19:$T$93,FW$244+$FJ313-1)))</f>
        <v/>
      </c>
      <c r="FX313" s="150" t="str">
        <f aca="false">IF($FJ313+FX$244&gt;73,"",PRODUCT(INDEX($T$19:$T$93,FX$244):INDEX($T$19:$T$93,FX$244+$FJ313-1)))</f>
        <v/>
      </c>
      <c r="FY313" s="150" t="str">
        <f aca="false">IF($FJ313+FY$244&gt;73,"",PRODUCT(INDEX($T$19:$T$93,FY$244):INDEX($T$19:$T$93,FY$244+$FJ313-1)))</f>
        <v/>
      </c>
      <c r="FZ313" s="150" t="str">
        <f aca="false">IF($FJ313+FZ$244&gt;73,"",PRODUCT(INDEX($T$19:$T$93,FZ$244):INDEX($T$19:$T$93,FZ$244+$FJ313-1)))</f>
        <v/>
      </c>
      <c r="GA313" s="150" t="str">
        <f aca="false">IF($FJ313+GA$244&gt;73,"",PRODUCT(INDEX($T$19:$T$93,GA$244):INDEX($T$19:$T$93,GA$244+$FJ313-1)))</f>
        <v/>
      </c>
      <c r="GB313" s="150" t="str">
        <f aca="false">IF($FJ313+GB$244&gt;73,"",PRODUCT(INDEX($T$19:$T$93,GB$244):INDEX($T$19:$T$93,GB$244+$FJ313-1)))</f>
        <v/>
      </c>
      <c r="GC313" s="150" t="str">
        <f aca="false">IF($FJ313+GC$244&gt;73,"",PRODUCT(INDEX($T$19:$T$93,GC$244):INDEX($T$19:$T$93,GC$244+$FJ313-1)))</f>
        <v/>
      </c>
      <c r="GD313" s="150" t="str">
        <f aca="false">IF($FJ313+GD$244&gt;73,"",PRODUCT(INDEX($T$19:$T$93,GD$244):INDEX($T$19:$T$93,GD$244+$FJ313-1)))</f>
        <v/>
      </c>
      <c r="GE313" s="150" t="str">
        <f aca="false">IF($FJ313+GE$244&gt;73,"",PRODUCT(INDEX($T$19:$T$93,GE$244):INDEX($T$19:$T$93,GE$244+$FJ313-1)))</f>
        <v/>
      </c>
      <c r="GF313" s="150" t="str">
        <f aca="false">IF($FJ313+GF$244&gt;73,"",PRODUCT(INDEX($T$19:$T$93,GF$244):INDEX($T$19:$T$93,GF$244+$FJ313-1)))</f>
        <v/>
      </c>
      <c r="GG313" s="150" t="str">
        <f aca="false">IF($FJ313+GG$244&gt;73,"",PRODUCT(INDEX($T$19:$T$93,GG$244):INDEX($T$19:$T$93,GG$244+$FJ313-1)))</f>
        <v/>
      </c>
      <c r="GH313" s="150" t="str">
        <f aca="false">IF($FJ313+GH$244&gt;73,"",PRODUCT(INDEX($T$19:$T$93,GH$244):INDEX($T$19:$T$93,GH$244+$FJ313-1)))</f>
        <v/>
      </c>
      <c r="GI313" s="150" t="str">
        <f aca="false">IF($FJ313+GI$244&gt;73,"",PRODUCT(INDEX($T$19:$T$93,GI$244):INDEX($T$19:$T$93,GI$244+$FJ313-1)))</f>
        <v/>
      </c>
      <c r="GJ313" s="150" t="str">
        <f aca="false">IF($FJ313+GJ$244&gt;73,"",PRODUCT(INDEX($T$19:$T$93,GJ$244):INDEX($T$19:$T$93,GJ$244+$FJ313-1)))</f>
        <v/>
      </c>
      <c r="GK313" s="150" t="str">
        <f aca="false">IF($FJ313+GK$244&gt;73,"",PRODUCT(INDEX($T$19:$T$93,GK$244):INDEX($T$19:$T$93,GK$244+$FJ313-1)))</f>
        <v/>
      </c>
      <c r="GL313" s="150" t="str">
        <f aca="false">IF($FJ313+GL$244&gt;73,"",PRODUCT(INDEX($T$19:$T$93,GL$244):INDEX($T$19:$T$93,GL$244+$FJ313-1)))</f>
        <v/>
      </c>
      <c r="GM313" s="150" t="str">
        <f aca="false">IF($FJ313+GM$244&gt;73,"",PRODUCT(INDEX($T$19:$T$93,GM$244):INDEX($T$19:$T$93,GM$244+$FJ313-1)))</f>
        <v/>
      </c>
      <c r="GN313" s="150" t="str">
        <f aca="false">IF($FJ313+GN$244&gt;73,"",PRODUCT(INDEX($T$19:$T$93,GN$244):INDEX($T$19:$T$93,GN$244+$FJ313-1)))</f>
        <v/>
      </c>
      <c r="GO313" s="150" t="str">
        <f aca="false">IF($FJ313+GO$244&gt;73,"",PRODUCT(INDEX($T$19:$T$93,GO$244):INDEX($T$19:$T$93,GO$244+$FJ313-1)))</f>
        <v/>
      </c>
      <c r="GP313" s="150" t="str">
        <f aca="false">IF($FJ313+GP$244&gt;73,"",PRODUCT(INDEX($T$19:$T$93,GP$244):INDEX($T$19:$T$93,GP$244+$FJ313-1)))</f>
        <v/>
      </c>
      <c r="GQ313" s="150" t="str">
        <f aca="false">IF($FJ313+GQ$244&gt;73,"",PRODUCT(INDEX($T$19:$T$93,GQ$244):INDEX($T$19:$T$93,GQ$244+$FJ313-1)))</f>
        <v/>
      </c>
      <c r="GR313" s="150" t="str">
        <f aca="false">IF($FJ313+GR$244&gt;73,"",PRODUCT(INDEX($T$19:$T$93,GR$244):INDEX($T$19:$T$93,GR$244+$FJ313-1)))</f>
        <v/>
      </c>
      <c r="GS313" s="150" t="str">
        <f aca="false">IF($FJ313+GS$244&gt;73,"",PRODUCT(INDEX($T$19:$T$93,GS$244):INDEX($T$19:$T$93,GS$244+$FJ313-1)))</f>
        <v/>
      </c>
      <c r="GT313" s="150" t="str">
        <f aca="false">IF($FJ313+GT$244&gt;73,"",PRODUCT(INDEX($T$19:$T$93,GT$244):INDEX($T$19:$T$93,GT$244+$FJ313-1)))</f>
        <v/>
      </c>
      <c r="GU313" s="150" t="str">
        <f aca="false">IF($FJ313+GU$244&gt;73,"",PRODUCT(INDEX($T$19:$T$93,GU$244):INDEX($T$19:$T$93,GU$244+$FJ313-1)))</f>
        <v/>
      </c>
      <c r="GV313" s="150" t="str">
        <f aca="false">IF($FJ313+GV$244&gt;73,"",PRODUCT(INDEX($T$19:$T$93,GV$244):INDEX($T$19:$T$93,GV$244+$FJ313-1)))</f>
        <v/>
      </c>
      <c r="GW313" s="150" t="str">
        <f aca="false">IF($FJ313+GW$244&gt;73,"",PRODUCT(INDEX($T$19:$T$93,GW$244):INDEX($T$19:$T$93,GW$244+$FJ313-1)))</f>
        <v/>
      </c>
      <c r="GX313" s="150" t="str">
        <f aca="false">IF($FJ313+GX$244&gt;73,"",PRODUCT(INDEX($T$19:$T$93,GX$244):INDEX($T$19:$T$93,GX$244+$FJ313-1)))</f>
        <v/>
      </c>
      <c r="GY313" s="150" t="str">
        <f aca="false">IF($FJ313+GY$244&gt;73,"",PRODUCT(INDEX($T$19:$T$93,GY$244):INDEX($T$19:$T$93,GY$244+$FJ313-1)))</f>
        <v/>
      </c>
      <c r="GZ313" s="150" t="str">
        <f aca="false">IF($FJ313+GZ$244&gt;73,"",PRODUCT(INDEX($T$19:$T$93,GZ$244):INDEX($T$19:$T$93,GZ$244+$FJ313-1)))</f>
        <v/>
      </c>
      <c r="HA313" s="150" t="str">
        <f aca="false">IF($FJ313+HA$244&gt;73,"",PRODUCT(INDEX($T$19:$T$93,HA$244):INDEX($T$19:$T$93,HA$244+$FJ313-1)))</f>
        <v/>
      </c>
      <c r="HB313" s="150" t="str">
        <f aca="false">IF($FJ313+HB$244&gt;73,"",PRODUCT(INDEX($T$19:$T$93,HB$244):INDEX($T$19:$T$93,HB$244+$FJ313-1)))</f>
        <v/>
      </c>
      <c r="HC313" s="150" t="str">
        <f aca="false">IF($FJ313+HC$244&gt;73,"",PRODUCT(INDEX($T$19:$T$93,HC$244):INDEX($T$19:$T$93,HC$244+$FJ313-1)))</f>
        <v/>
      </c>
      <c r="HD313" s="150" t="str">
        <f aca="false">IF($FJ313+HD$244&gt;73,"",PRODUCT(INDEX($T$19:$T$93,HD$244):INDEX($T$19:$T$93,HD$244+$FJ313-1)))</f>
        <v/>
      </c>
      <c r="HE313" s="150" t="str">
        <f aca="false">IF($FJ313+HE$244&gt;73,"",PRODUCT(INDEX($T$19:$T$93,HE$244):INDEX($T$19:$T$93,HE$244+$FJ313-1)))</f>
        <v/>
      </c>
      <c r="HF313" s="150" t="str">
        <f aca="false">IF($FJ313+HF$244&gt;73,"",PRODUCT(INDEX($T$19:$T$93,HF$244):INDEX($T$19:$T$93,HF$244+$FJ313-1)))</f>
        <v/>
      </c>
      <c r="HG313" s="150" t="str">
        <f aca="false">IF($FJ313+HG$244&gt;73,"",PRODUCT(INDEX($T$19:$T$93,HG$244):INDEX($T$19:$T$93,HG$244+$FJ313-1)))</f>
        <v/>
      </c>
      <c r="HH313" s="150" t="str">
        <f aca="false">IF($FJ313+HH$244&gt;73,"",PRODUCT(INDEX($T$19:$T$93,HH$244):INDEX($T$19:$T$93,HH$244+$FJ313-1)))</f>
        <v/>
      </c>
      <c r="HI313" s="150" t="str">
        <f aca="false">IF($FJ313+HI$244&gt;73,"",PRODUCT(INDEX($T$19:$T$93,HI$244):INDEX($T$19:$T$93,HI$244+$FJ313-1)))</f>
        <v/>
      </c>
      <c r="HJ313" s="150" t="str">
        <f aca="false">IF($FJ313+HJ$244&gt;73,"",PRODUCT(INDEX($T$19:$T$93,HJ$244):INDEX($T$19:$T$93,HJ$244+$FJ313-1)))</f>
        <v/>
      </c>
      <c r="HK313" s="150" t="str">
        <f aca="false">IF($FJ313+HK$244&gt;73,"",PRODUCT(INDEX($T$19:$T$93,HK$244):INDEX($T$19:$T$93,HK$244+$FJ313-1)))</f>
        <v/>
      </c>
      <c r="HL313" s="150" t="str">
        <f aca="false">IF($FJ313+HL$244&gt;73,"",PRODUCT(INDEX($T$19:$T$93,HL$244):INDEX($T$19:$T$93,HL$244+$FJ313-1)))</f>
        <v/>
      </c>
      <c r="HM313" s="150" t="str">
        <f aca="false">IF($FJ313+HM$244&gt;73,"",PRODUCT(INDEX($T$19:$T$93,HM$244):INDEX($T$19:$T$93,HM$244+$FJ313-1)))</f>
        <v/>
      </c>
      <c r="HN313" s="150" t="str">
        <f aca="false">IF($FJ313+HN$244&gt;73,"",PRODUCT(INDEX($T$19:$T$93,HN$244):INDEX($T$19:$T$93,HN$244+$FJ313-1)))</f>
        <v/>
      </c>
      <c r="HO313" s="150" t="str">
        <f aca="false">IF($FJ313+HO$244&gt;73,"",PRODUCT(INDEX($T$19:$T$93,HO$244):INDEX($T$19:$T$93,HO$244+$FJ313-1)))</f>
        <v/>
      </c>
      <c r="HP313" s="150" t="str">
        <f aca="false">IF($FJ313+HP$244&gt;73,"",PRODUCT(INDEX($T$19:$T$93,HP$244):INDEX($T$19:$T$93,HP$244+$FJ313-1)))</f>
        <v/>
      </c>
      <c r="HQ313" s="150" t="str">
        <f aca="false">IF($FJ313+HQ$244&gt;73,"",PRODUCT(INDEX($T$19:$T$93,HQ$244):INDEX($T$19:$T$93,HQ$244+$FJ313-1)))</f>
        <v/>
      </c>
      <c r="HR313" s="150" t="str">
        <f aca="false">IF($FJ313+HR$244&gt;73,"",PRODUCT(INDEX($T$19:$T$93,HR$244):INDEX($T$19:$T$93,HR$244+$FJ313-1)))</f>
        <v/>
      </c>
      <c r="HS313" s="150" t="str">
        <f aca="false">IF($FJ313+HS$244&gt;73,"",PRODUCT(INDEX($T$19:$T$93,HS$244):INDEX($T$19:$T$93,HS$244+$FJ313-1)))</f>
        <v/>
      </c>
      <c r="HT313" s="150" t="str">
        <f aca="false">IF($FJ313+HT$244&gt;73,"",PRODUCT(INDEX($T$19:$T$93,HT$244):INDEX($T$19:$T$93,HT$244+$FJ313-1)))</f>
        <v/>
      </c>
      <c r="HU313" s="150" t="str">
        <f aca="false">IF($FJ313+HU$244&gt;73,"",PRODUCT(INDEX($T$19:$T$93,HU$244):INDEX($T$19:$T$93,HU$244+$FJ313-1)))</f>
        <v/>
      </c>
      <c r="HV313" s="150" t="str">
        <f aca="false">IF($FJ313+HV$244&gt;73,"",PRODUCT(INDEX($T$19:$T$93,HV$244):INDEX($T$19:$T$93,HV$244+$FJ313-1)))</f>
        <v/>
      </c>
      <c r="HW313" s="150" t="str">
        <f aca="false">IF($FJ313+HW$244&gt;73,"",PRODUCT(INDEX($T$19:$T$93,HW$244):INDEX($T$19:$T$93,HW$244+$FJ313-1)))</f>
        <v/>
      </c>
      <c r="HX313" s="150" t="str">
        <f aca="false">IF($FJ313+HX$244&gt;73,"",PRODUCT(INDEX($T$19:$T$93,HX$244):INDEX($T$19:$T$93,HX$244+$FJ313-1)))</f>
        <v/>
      </c>
      <c r="HY313" s="150" t="str">
        <f aca="false">IF($FJ313+HY$244&gt;73,"",PRODUCT(INDEX($T$19:$T$93,HY$244):INDEX($T$19:$T$93,HY$244+$FJ313-1)))</f>
        <v/>
      </c>
      <c r="HZ313" s="150" t="str">
        <f aca="false">IF($FJ313+HZ$244&gt;73,"",PRODUCT(INDEX($T$19:$T$93,HZ$244):INDEX($T$19:$T$93,HZ$244+$FJ313-1)))</f>
        <v/>
      </c>
      <c r="IA313" s="150" t="n">
        <f aca="false">IF($FJ313+IA$244&gt;73,"",PRODUCT(INDEX($T$19:$T$93,IA$244):INDEX($T$19:$T$93,IA$244+$FJ313-1)))</f>
        <v>0.543096405446579</v>
      </c>
      <c r="IB313" s="150" t="n">
        <f aca="false">IF($FJ313+IB$244&gt;73,"",PRODUCT(INDEX($T$19:$T$93,IB$244):INDEX($T$19:$T$93,IB$244+$FJ313-1)))</f>
        <v>0.485405901308175</v>
      </c>
      <c r="IC313" s="150" t="n">
        <f aca="false">IF($FJ313+IC$244&gt;73,"",PRODUCT(INDEX($T$19:$T$93,IC$244):INDEX($T$19:$T$93,IC$244+$FJ313-1)))</f>
        <v>0.424200794082736</v>
      </c>
      <c r="ID313" s="572" t="n">
        <f aca="false">IF($FJ313+ID$244&gt;73,"",PRODUCT(INDEX($T$19:$T$93,ID$244):INDEX($T$19:$T$93,ID$244+$FJ313-1)))</f>
        <v>0.360571632559278</v>
      </c>
      <c r="IE313" s="129"/>
    </row>
    <row r="314" customFormat="false" ht="12.75" hidden="false" customHeight="false" outlineLevel="0" collapsed="false">
      <c r="I314" s="735"/>
      <c r="J314" s="727"/>
      <c r="K314" s="728"/>
      <c r="L314" s="195"/>
      <c r="M314" s="729"/>
      <c r="P314" s="727"/>
      <c r="S314" s="1"/>
      <c r="T314" s="727"/>
      <c r="U314" s="195"/>
      <c r="V314" s="195"/>
      <c r="W314" s="195"/>
      <c r="X314" s="195"/>
      <c r="Y314" s="195"/>
      <c r="Z314" s="195"/>
      <c r="AA314" s="195"/>
      <c r="AB314" s="195"/>
      <c r="AC314" s="195"/>
      <c r="AD314" s="195"/>
      <c r="AE314" s="195"/>
      <c r="AF314" s="195"/>
      <c r="AG314" s="195"/>
      <c r="AH314" s="195"/>
      <c r="AI314" s="195"/>
      <c r="AJ314" s="195"/>
      <c r="AK314" s="195"/>
      <c r="AL314" s="195"/>
      <c r="AM314" s="195"/>
      <c r="AN314" s="195"/>
      <c r="AO314" s="532"/>
      <c r="AP314" s="195"/>
      <c r="AQ314" s="532"/>
      <c r="AR314" s="195"/>
      <c r="AS314" s="240"/>
      <c r="AT314" s="240"/>
      <c r="AU314" s="240"/>
      <c r="AV314" s="730"/>
      <c r="AW314" s="730"/>
      <c r="AX314" s="730"/>
      <c r="AY314" s="730"/>
      <c r="AZ314" s="468"/>
      <c r="BA314" s="468"/>
      <c r="BB314" s="240"/>
      <c r="BC314" s="240"/>
      <c r="BD314" s="240"/>
      <c r="BE314" s="240"/>
      <c r="BF314" s="672"/>
      <c r="BG314" s="672"/>
      <c r="BH314" s="672"/>
      <c r="BI314" s="672"/>
      <c r="BJ314" s="672"/>
      <c r="BK314" s="240"/>
      <c r="BL314" s="736"/>
      <c r="BM314" s="737"/>
      <c r="BN314" s="240"/>
      <c r="BO314" s="240"/>
      <c r="BP314" s="240"/>
      <c r="BQ314" s="240"/>
      <c r="BR314" s="240"/>
      <c r="BS314" s="240"/>
      <c r="BT314" s="240"/>
      <c r="BU314" s="240"/>
      <c r="BV314" s="240"/>
      <c r="BW314" s="240"/>
      <c r="BX314" s="240"/>
      <c r="BY314" s="240"/>
      <c r="BZ314" s="240"/>
      <c r="CA314" s="240"/>
      <c r="CB314" s="240"/>
      <c r="CC314" s="672"/>
      <c r="CD314" s="672"/>
      <c r="CE314" s="672"/>
      <c r="CF314" s="672"/>
      <c r="CG314" s="672"/>
      <c r="CH314" s="672"/>
      <c r="CI314" s="240"/>
      <c r="CJ314" s="240"/>
      <c r="CK314" s="240"/>
      <c r="CL314" s="240"/>
      <c r="CM314" s="240"/>
      <c r="CN314" s="240"/>
      <c r="CO314" s="240"/>
      <c r="CP314" s="240"/>
      <c r="CQ314" s="240"/>
      <c r="CR314" s="240"/>
      <c r="CS314" s="240"/>
      <c r="CT314" s="240"/>
      <c r="CU314" s="240"/>
      <c r="CV314" s="240"/>
      <c r="CW314" s="240"/>
      <c r="CX314" s="240"/>
      <c r="CY314" s="240"/>
      <c r="CZ314" s="240"/>
      <c r="DA314" s="240"/>
      <c r="DB314" s="240"/>
      <c r="DC314" s="240"/>
      <c r="DD314" s="240"/>
      <c r="DE314" s="240"/>
      <c r="DF314" s="240"/>
      <c r="DG314" s="240"/>
      <c r="DH314" s="478"/>
      <c r="DI314" s="733"/>
      <c r="DJ314" s="195"/>
      <c r="DK314" s="478"/>
      <c r="DL314" s="4"/>
      <c r="DM314" s="4"/>
      <c r="DN314" s="4"/>
      <c r="DO314" s="4"/>
      <c r="DP314" s="4"/>
      <c r="DQ314" s="4"/>
      <c r="DR314" s="4"/>
      <c r="DT314" s="195"/>
      <c r="DU314" s="195"/>
      <c r="DV314" s="195"/>
      <c r="DW314" s="195"/>
      <c r="DX314" s="195"/>
      <c r="DY314" s="195"/>
      <c r="DZ314" s="195"/>
      <c r="EA314" s="195"/>
      <c r="EB314" s="195"/>
      <c r="EC314" s="195"/>
      <c r="ED314" s="195"/>
      <c r="EE314" s="195"/>
      <c r="EF314" s="195"/>
      <c r="EG314" s="195"/>
      <c r="EL314" s="1"/>
      <c r="EM314" s="195"/>
      <c r="EN314" s="731"/>
      <c r="EO314" s="240"/>
      <c r="EP314" s="195"/>
      <c r="EQ314" s="240"/>
      <c r="ER314" s="195"/>
      <c r="ES314" s="195"/>
      <c r="ET314" s="195"/>
      <c r="EU314" s="731"/>
      <c r="FJ314" s="571" t="n">
        <v>70</v>
      </c>
      <c r="FK314" s="150" t="str">
        <f aca="false">IF($FJ314+FK$244&gt;73,"",PRODUCT(INDEX($T$19:$T$93,FK$244):INDEX($T$19:$T$93,FK$244+$FJ314-1)))</f>
        <v/>
      </c>
      <c r="FL314" s="150" t="str">
        <f aca="false">IF($FJ314+FL$244&gt;73,"",PRODUCT(INDEX($T$19:$T$93,FL$244):INDEX($T$19:$T$93,FL$244+$FJ314-1)))</f>
        <v/>
      </c>
      <c r="FM314" s="150" t="str">
        <f aca="false">IF($FJ314+FM$244&gt;73,"",PRODUCT(INDEX($T$19:$T$93,FM$244):INDEX($T$19:$T$93,FM$244+$FJ314-1)))</f>
        <v/>
      </c>
      <c r="FN314" s="150" t="str">
        <f aca="false">IF($FJ314+FN$244&gt;73,"",PRODUCT(INDEX($T$19:$T$93,FN$244):INDEX($T$19:$T$93,FN$244+$FJ314-1)))</f>
        <v/>
      </c>
      <c r="FO314" s="150" t="str">
        <f aca="false">IF($FJ314+FO$244&gt;73,"",PRODUCT(INDEX($T$19:$T$93,FO$244):INDEX($T$19:$T$93,FO$244+$FJ314-1)))</f>
        <v/>
      </c>
      <c r="FP314" s="150" t="str">
        <f aca="false">IF($FJ314+FP$244&gt;73,"",PRODUCT(INDEX($T$19:$T$93,FP$244):INDEX($T$19:$T$93,FP$244+$FJ314-1)))</f>
        <v/>
      </c>
      <c r="FQ314" s="150" t="str">
        <f aca="false">IF($FJ314+FQ$244&gt;73,"",PRODUCT(INDEX($T$19:$T$93,FQ$244):INDEX($T$19:$T$93,FQ$244+$FJ314-1)))</f>
        <v/>
      </c>
      <c r="FR314" s="150" t="str">
        <f aca="false">IF($FJ314+FR$244&gt;73,"",PRODUCT(INDEX($T$19:$T$93,FR$244):INDEX($T$19:$T$93,FR$244+$FJ314-1)))</f>
        <v/>
      </c>
      <c r="FS314" s="150" t="str">
        <f aca="false">IF($FJ314+FS$244&gt;73,"",PRODUCT(INDEX($T$19:$T$93,FS$244):INDEX($T$19:$T$93,FS$244+$FJ314-1)))</f>
        <v/>
      </c>
      <c r="FT314" s="150" t="str">
        <f aca="false">IF($FJ314+FT$244&gt;73,"",PRODUCT(INDEX($T$19:$T$93,FT$244):INDEX($T$19:$T$93,FT$244+$FJ314-1)))</f>
        <v/>
      </c>
      <c r="FU314" s="150" t="str">
        <f aca="false">IF($FJ314+FU$244&gt;73,"",PRODUCT(INDEX($T$19:$T$93,FU$244):INDEX($T$19:$T$93,FU$244+$FJ314-1)))</f>
        <v/>
      </c>
      <c r="FV314" s="150" t="str">
        <f aca="false">IF($FJ314+FV$244&gt;73,"",PRODUCT(INDEX($T$19:$T$93,FV$244):INDEX($T$19:$T$93,FV$244+$FJ314-1)))</f>
        <v/>
      </c>
      <c r="FW314" s="150" t="str">
        <f aca="false">IF($FJ314+FW$244&gt;73,"",PRODUCT(INDEX($T$19:$T$93,FW$244):INDEX($T$19:$T$93,FW$244+$FJ314-1)))</f>
        <v/>
      </c>
      <c r="FX314" s="150" t="str">
        <f aca="false">IF($FJ314+FX$244&gt;73,"",PRODUCT(INDEX($T$19:$T$93,FX$244):INDEX($T$19:$T$93,FX$244+$FJ314-1)))</f>
        <v/>
      </c>
      <c r="FY314" s="150" t="str">
        <f aca="false">IF($FJ314+FY$244&gt;73,"",PRODUCT(INDEX($T$19:$T$93,FY$244):INDEX($T$19:$T$93,FY$244+$FJ314-1)))</f>
        <v/>
      </c>
      <c r="FZ314" s="150" t="str">
        <f aca="false">IF($FJ314+FZ$244&gt;73,"",PRODUCT(INDEX($T$19:$T$93,FZ$244):INDEX($T$19:$T$93,FZ$244+$FJ314-1)))</f>
        <v/>
      </c>
      <c r="GA314" s="150" t="str">
        <f aca="false">IF($FJ314+GA$244&gt;73,"",PRODUCT(INDEX($T$19:$T$93,GA$244):INDEX($T$19:$T$93,GA$244+$FJ314-1)))</f>
        <v/>
      </c>
      <c r="GB314" s="150" t="str">
        <f aca="false">IF($FJ314+GB$244&gt;73,"",PRODUCT(INDEX($T$19:$T$93,GB$244):INDEX($T$19:$T$93,GB$244+$FJ314-1)))</f>
        <v/>
      </c>
      <c r="GC314" s="150" t="str">
        <f aca="false">IF($FJ314+GC$244&gt;73,"",PRODUCT(INDEX($T$19:$T$93,GC$244):INDEX($T$19:$T$93,GC$244+$FJ314-1)))</f>
        <v/>
      </c>
      <c r="GD314" s="150" t="str">
        <f aca="false">IF($FJ314+GD$244&gt;73,"",PRODUCT(INDEX($T$19:$T$93,GD$244):INDEX($T$19:$T$93,GD$244+$FJ314-1)))</f>
        <v/>
      </c>
      <c r="GE314" s="150" t="str">
        <f aca="false">IF($FJ314+GE$244&gt;73,"",PRODUCT(INDEX($T$19:$T$93,GE$244):INDEX($T$19:$T$93,GE$244+$FJ314-1)))</f>
        <v/>
      </c>
      <c r="GF314" s="150" t="str">
        <f aca="false">IF($FJ314+GF$244&gt;73,"",PRODUCT(INDEX($T$19:$T$93,GF$244):INDEX($T$19:$T$93,GF$244+$FJ314-1)))</f>
        <v/>
      </c>
      <c r="GG314" s="150" t="str">
        <f aca="false">IF($FJ314+GG$244&gt;73,"",PRODUCT(INDEX($T$19:$T$93,GG$244):INDEX($T$19:$T$93,GG$244+$FJ314-1)))</f>
        <v/>
      </c>
      <c r="GH314" s="150" t="str">
        <f aca="false">IF($FJ314+GH$244&gt;73,"",PRODUCT(INDEX($T$19:$T$93,GH$244):INDEX($T$19:$T$93,GH$244+$FJ314-1)))</f>
        <v/>
      </c>
      <c r="GI314" s="150" t="str">
        <f aca="false">IF($FJ314+GI$244&gt;73,"",PRODUCT(INDEX($T$19:$T$93,GI$244):INDEX($T$19:$T$93,GI$244+$FJ314-1)))</f>
        <v/>
      </c>
      <c r="GJ314" s="150" t="str">
        <f aca="false">IF($FJ314+GJ$244&gt;73,"",PRODUCT(INDEX($T$19:$T$93,GJ$244):INDEX($T$19:$T$93,GJ$244+$FJ314-1)))</f>
        <v/>
      </c>
      <c r="GK314" s="150" t="str">
        <f aca="false">IF($FJ314+GK$244&gt;73,"",PRODUCT(INDEX($T$19:$T$93,GK$244):INDEX($T$19:$T$93,GK$244+$FJ314-1)))</f>
        <v/>
      </c>
      <c r="GL314" s="150" t="str">
        <f aca="false">IF($FJ314+GL$244&gt;73,"",PRODUCT(INDEX($T$19:$T$93,GL$244):INDEX($T$19:$T$93,GL$244+$FJ314-1)))</f>
        <v/>
      </c>
      <c r="GM314" s="150" t="str">
        <f aca="false">IF($FJ314+GM$244&gt;73,"",PRODUCT(INDEX($T$19:$T$93,GM$244):INDEX($T$19:$T$93,GM$244+$FJ314-1)))</f>
        <v/>
      </c>
      <c r="GN314" s="150" t="str">
        <f aca="false">IF($FJ314+GN$244&gt;73,"",PRODUCT(INDEX($T$19:$T$93,GN$244):INDEX($T$19:$T$93,GN$244+$FJ314-1)))</f>
        <v/>
      </c>
      <c r="GO314" s="150" t="str">
        <f aca="false">IF($FJ314+GO$244&gt;73,"",PRODUCT(INDEX($T$19:$T$93,GO$244):INDEX($T$19:$T$93,GO$244+$FJ314-1)))</f>
        <v/>
      </c>
      <c r="GP314" s="150" t="str">
        <f aca="false">IF($FJ314+GP$244&gt;73,"",PRODUCT(INDEX($T$19:$T$93,GP$244):INDEX($T$19:$T$93,GP$244+$FJ314-1)))</f>
        <v/>
      </c>
      <c r="GQ314" s="150" t="str">
        <f aca="false">IF($FJ314+GQ$244&gt;73,"",PRODUCT(INDEX($T$19:$T$93,GQ$244):INDEX($T$19:$T$93,GQ$244+$FJ314-1)))</f>
        <v/>
      </c>
      <c r="GR314" s="150" t="str">
        <f aca="false">IF($FJ314+GR$244&gt;73,"",PRODUCT(INDEX($T$19:$T$93,GR$244):INDEX($T$19:$T$93,GR$244+$FJ314-1)))</f>
        <v/>
      </c>
      <c r="GS314" s="150" t="str">
        <f aca="false">IF($FJ314+GS$244&gt;73,"",PRODUCT(INDEX($T$19:$T$93,GS$244):INDEX($T$19:$T$93,GS$244+$FJ314-1)))</f>
        <v/>
      </c>
      <c r="GT314" s="150" t="str">
        <f aca="false">IF($FJ314+GT$244&gt;73,"",PRODUCT(INDEX($T$19:$T$93,GT$244):INDEX($T$19:$T$93,GT$244+$FJ314-1)))</f>
        <v/>
      </c>
      <c r="GU314" s="150" t="str">
        <f aca="false">IF($FJ314+GU$244&gt;73,"",PRODUCT(INDEX($T$19:$T$93,GU$244):INDEX($T$19:$T$93,GU$244+$FJ314-1)))</f>
        <v/>
      </c>
      <c r="GV314" s="150" t="str">
        <f aca="false">IF($FJ314+GV$244&gt;73,"",PRODUCT(INDEX($T$19:$T$93,GV$244):INDEX($T$19:$T$93,GV$244+$FJ314-1)))</f>
        <v/>
      </c>
      <c r="GW314" s="150" t="str">
        <f aca="false">IF($FJ314+GW$244&gt;73,"",PRODUCT(INDEX($T$19:$T$93,GW$244):INDEX($T$19:$T$93,GW$244+$FJ314-1)))</f>
        <v/>
      </c>
      <c r="GX314" s="150" t="str">
        <f aca="false">IF($FJ314+GX$244&gt;73,"",PRODUCT(INDEX($T$19:$T$93,GX$244):INDEX($T$19:$T$93,GX$244+$FJ314-1)))</f>
        <v/>
      </c>
      <c r="GY314" s="150" t="str">
        <f aca="false">IF($FJ314+GY$244&gt;73,"",PRODUCT(INDEX($T$19:$T$93,GY$244):INDEX($T$19:$T$93,GY$244+$FJ314-1)))</f>
        <v/>
      </c>
      <c r="GZ314" s="150" t="str">
        <f aca="false">IF($FJ314+GZ$244&gt;73,"",PRODUCT(INDEX($T$19:$T$93,GZ$244):INDEX($T$19:$T$93,GZ$244+$FJ314-1)))</f>
        <v/>
      </c>
      <c r="HA314" s="150" t="str">
        <f aca="false">IF($FJ314+HA$244&gt;73,"",PRODUCT(INDEX($T$19:$T$93,HA$244):INDEX($T$19:$T$93,HA$244+$FJ314-1)))</f>
        <v/>
      </c>
      <c r="HB314" s="150" t="str">
        <f aca="false">IF($FJ314+HB$244&gt;73,"",PRODUCT(INDEX($T$19:$T$93,HB$244):INDEX($T$19:$T$93,HB$244+$FJ314-1)))</f>
        <v/>
      </c>
      <c r="HC314" s="150" t="str">
        <f aca="false">IF($FJ314+HC$244&gt;73,"",PRODUCT(INDEX($T$19:$T$93,HC$244):INDEX($T$19:$T$93,HC$244+$FJ314-1)))</f>
        <v/>
      </c>
      <c r="HD314" s="150" t="str">
        <f aca="false">IF($FJ314+HD$244&gt;73,"",PRODUCT(INDEX($T$19:$T$93,HD$244):INDEX($T$19:$T$93,HD$244+$FJ314-1)))</f>
        <v/>
      </c>
      <c r="HE314" s="150" t="str">
        <f aca="false">IF($FJ314+HE$244&gt;73,"",PRODUCT(INDEX($T$19:$T$93,HE$244):INDEX($T$19:$T$93,HE$244+$FJ314-1)))</f>
        <v/>
      </c>
      <c r="HF314" s="150" t="str">
        <f aca="false">IF($FJ314+HF$244&gt;73,"",PRODUCT(INDEX($T$19:$T$93,HF$244):INDEX($T$19:$T$93,HF$244+$FJ314-1)))</f>
        <v/>
      </c>
      <c r="HG314" s="150" t="str">
        <f aca="false">IF($FJ314+HG$244&gt;73,"",PRODUCT(INDEX($T$19:$T$93,HG$244):INDEX($T$19:$T$93,HG$244+$FJ314-1)))</f>
        <v/>
      </c>
      <c r="HH314" s="150" t="str">
        <f aca="false">IF($FJ314+HH$244&gt;73,"",PRODUCT(INDEX($T$19:$T$93,HH$244):INDEX($T$19:$T$93,HH$244+$FJ314-1)))</f>
        <v/>
      </c>
      <c r="HI314" s="150" t="str">
        <f aca="false">IF($FJ314+HI$244&gt;73,"",PRODUCT(INDEX($T$19:$T$93,HI$244):INDEX($T$19:$T$93,HI$244+$FJ314-1)))</f>
        <v/>
      </c>
      <c r="HJ314" s="150" t="str">
        <f aca="false">IF($FJ314+HJ$244&gt;73,"",PRODUCT(INDEX($T$19:$T$93,HJ$244):INDEX($T$19:$T$93,HJ$244+$FJ314-1)))</f>
        <v/>
      </c>
      <c r="HK314" s="150" t="str">
        <f aca="false">IF($FJ314+HK$244&gt;73,"",PRODUCT(INDEX($T$19:$T$93,HK$244):INDEX($T$19:$T$93,HK$244+$FJ314-1)))</f>
        <v/>
      </c>
      <c r="HL314" s="150" t="str">
        <f aca="false">IF($FJ314+HL$244&gt;73,"",PRODUCT(INDEX($T$19:$T$93,HL$244):INDEX($T$19:$T$93,HL$244+$FJ314-1)))</f>
        <v/>
      </c>
      <c r="HM314" s="150" t="str">
        <f aca="false">IF($FJ314+HM$244&gt;73,"",PRODUCT(INDEX($T$19:$T$93,HM$244):INDEX($T$19:$T$93,HM$244+$FJ314-1)))</f>
        <v/>
      </c>
      <c r="HN314" s="150" t="str">
        <f aca="false">IF($FJ314+HN$244&gt;73,"",PRODUCT(INDEX($T$19:$T$93,HN$244):INDEX($T$19:$T$93,HN$244+$FJ314-1)))</f>
        <v/>
      </c>
      <c r="HO314" s="150" t="str">
        <f aca="false">IF($FJ314+HO$244&gt;73,"",PRODUCT(INDEX($T$19:$T$93,HO$244):INDEX($T$19:$T$93,HO$244+$FJ314-1)))</f>
        <v/>
      </c>
      <c r="HP314" s="150" t="str">
        <f aca="false">IF($FJ314+HP$244&gt;73,"",PRODUCT(INDEX($T$19:$T$93,HP$244):INDEX($T$19:$T$93,HP$244+$FJ314-1)))</f>
        <v/>
      </c>
      <c r="HQ314" s="150" t="str">
        <f aca="false">IF($FJ314+HQ$244&gt;73,"",PRODUCT(INDEX($T$19:$T$93,HQ$244):INDEX($T$19:$T$93,HQ$244+$FJ314-1)))</f>
        <v/>
      </c>
      <c r="HR314" s="150" t="str">
        <f aca="false">IF($FJ314+HR$244&gt;73,"",PRODUCT(INDEX($T$19:$T$93,HR$244):INDEX($T$19:$T$93,HR$244+$FJ314-1)))</f>
        <v/>
      </c>
      <c r="HS314" s="150" t="str">
        <f aca="false">IF($FJ314+HS$244&gt;73,"",PRODUCT(INDEX($T$19:$T$93,HS$244):INDEX($T$19:$T$93,HS$244+$FJ314-1)))</f>
        <v/>
      </c>
      <c r="HT314" s="150" t="str">
        <f aca="false">IF($FJ314+HT$244&gt;73,"",PRODUCT(INDEX($T$19:$T$93,HT$244):INDEX($T$19:$T$93,HT$244+$FJ314-1)))</f>
        <v/>
      </c>
      <c r="HU314" s="150" t="str">
        <f aca="false">IF($FJ314+HU$244&gt;73,"",PRODUCT(INDEX($T$19:$T$93,HU$244):INDEX($T$19:$T$93,HU$244+$FJ314-1)))</f>
        <v/>
      </c>
      <c r="HV314" s="150" t="str">
        <f aca="false">IF($FJ314+HV$244&gt;73,"",PRODUCT(INDEX($T$19:$T$93,HV$244):INDEX($T$19:$T$93,HV$244+$FJ314-1)))</f>
        <v/>
      </c>
      <c r="HW314" s="150" t="str">
        <f aca="false">IF($FJ314+HW$244&gt;73,"",PRODUCT(INDEX($T$19:$T$93,HW$244):INDEX($T$19:$T$93,HW$244+$FJ314-1)))</f>
        <v/>
      </c>
      <c r="HX314" s="150" t="str">
        <f aca="false">IF($FJ314+HX$244&gt;73,"",PRODUCT(INDEX($T$19:$T$93,HX$244):INDEX($T$19:$T$93,HX$244+$FJ314-1)))</f>
        <v/>
      </c>
      <c r="HY314" s="150" t="str">
        <f aca="false">IF($FJ314+HY$244&gt;73,"",PRODUCT(INDEX($T$19:$T$93,HY$244):INDEX($T$19:$T$93,HY$244+$FJ314-1)))</f>
        <v/>
      </c>
      <c r="HZ314" s="150" t="str">
        <f aca="false">IF($FJ314+HZ$244&gt;73,"",PRODUCT(INDEX($T$19:$T$93,HZ$244):INDEX($T$19:$T$93,HZ$244+$FJ314-1)))</f>
        <v/>
      </c>
      <c r="IA314" s="150" t="str">
        <f aca="false">IF($FJ314+IA$244&gt;73,"",PRODUCT(INDEX($T$19:$T$93,IA$244):INDEX($T$19:$T$93,IA$244+$FJ314-1)))</f>
        <v/>
      </c>
      <c r="IB314" s="150" t="n">
        <f aca="false">IF($FJ314+IB$244&gt;73,"",PRODUCT(INDEX($T$19:$T$93,IB$244):INDEX($T$19:$T$93,IB$244+$FJ314-1)))</f>
        <v>0.485404958933093</v>
      </c>
      <c r="IC314" s="150" t="n">
        <f aca="false">IF($FJ314+IC$244&gt;73,"",PRODUCT(INDEX($T$19:$T$93,IC$244):INDEX($T$19:$T$93,IC$244+$FJ314-1)))</f>
        <v>0.424199830864718</v>
      </c>
      <c r="ID314" s="572" t="n">
        <f aca="false">IF($FJ314+ID$244&gt;73,"",PRODUCT(INDEX($T$19:$T$93,ID$244):INDEX($T$19:$T$93,ID$244+$FJ314-1)))</f>
        <v>0.360570674970326</v>
      </c>
      <c r="IE314" s="129"/>
    </row>
    <row r="315" customFormat="false" ht="12.75" hidden="false" customHeight="false" outlineLevel="0" collapsed="false">
      <c r="I315" s="735"/>
      <c r="J315" s="727"/>
      <c r="K315" s="728"/>
      <c r="L315" s="195"/>
      <c r="M315" s="729"/>
      <c r="P315" s="727"/>
      <c r="S315" s="1"/>
      <c r="T315" s="727"/>
      <c r="U315" s="195"/>
      <c r="V315" s="195"/>
      <c r="W315" s="195"/>
      <c r="X315" s="195"/>
      <c r="Y315" s="195"/>
      <c r="Z315" s="195"/>
      <c r="AA315" s="195"/>
      <c r="AB315" s="195"/>
      <c r="AC315" s="195"/>
      <c r="AD315" s="195"/>
      <c r="AE315" s="195"/>
      <c r="AF315" s="195"/>
      <c r="AG315" s="195"/>
      <c r="AH315" s="195"/>
      <c r="AI315" s="195"/>
      <c r="AJ315" s="195"/>
      <c r="AK315" s="195"/>
      <c r="AL315" s="195"/>
      <c r="AM315" s="195"/>
      <c r="AN315" s="195"/>
      <c r="AO315" s="532"/>
      <c r="AP315" s="195"/>
      <c r="AQ315" s="532"/>
      <c r="AR315" s="195"/>
      <c r="AS315" s="240"/>
      <c r="AT315" s="240"/>
      <c r="AU315" s="240"/>
      <c r="AV315" s="730"/>
      <c r="AW315" s="730"/>
      <c r="AX315" s="730"/>
      <c r="AY315" s="730"/>
      <c r="AZ315" s="468"/>
      <c r="BA315" s="468"/>
      <c r="BB315" s="240"/>
      <c r="BC315" s="240"/>
      <c r="BD315" s="240"/>
      <c r="BE315" s="240"/>
      <c r="BF315" s="672"/>
      <c r="BG315" s="672"/>
      <c r="BH315" s="672"/>
      <c r="BI315" s="672"/>
      <c r="BJ315" s="672"/>
      <c r="BK315" s="240"/>
      <c r="BL315" s="736"/>
      <c r="BM315" s="737"/>
      <c r="BN315" s="240"/>
      <c r="BO315" s="240"/>
      <c r="BP315" s="240"/>
      <c r="BQ315" s="240"/>
      <c r="BR315" s="240"/>
      <c r="BS315" s="240"/>
      <c r="BT315" s="240"/>
      <c r="BU315" s="240"/>
      <c r="BV315" s="240"/>
      <c r="BW315" s="240"/>
      <c r="BX315" s="240"/>
      <c r="BY315" s="240"/>
      <c r="BZ315" s="240"/>
      <c r="CA315" s="240"/>
      <c r="CB315" s="240"/>
      <c r="CC315" s="672"/>
      <c r="CD315" s="672"/>
      <c r="CE315" s="672"/>
      <c r="CF315" s="672"/>
      <c r="CG315" s="672"/>
      <c r="CH315" s="672"/>
      <c r="CI315" s="240"/>
      <c r="CJ315" s="240"/>
      <c r="CK315" s="240"/>
      <c r="CL315" s="240"/>
      <c r="CM315" s="240"/>
      <c r="CN315" s="240"/>
      <c r="CO315" s="240"/>
      <c r="CP315" s="240"/>
      <c r="CQ315" s="240"/>
      <c r="CR315" s="240"/>
      <c r="CS315" s="240"/>
      <c r="CT315" s="240"/>
      <c r="CU315" s="240"/>
      <c r="CV315" s="240"/>
      <c r="CW315" s="240"/>
      <c r="CX315" s="240"/>
      <c r="CY315" s="240"/>
      <c r="CZ315" s="240"/>
      <c r="DA315" s="240"/>
      <c r="DB315" s="240"/>
      <c r="DC315" s="240"/>
      <c r="DD315" s="240"/>
      <c r="DE315" s="240"/>
      <c r="DF315" s="240"/>
      <c r="DG315" s="240"/>
      <c r="DH315" s="478"/>
      <c r="DI315" s="733"/>
      <c r="DJ315" s="195"/>
      <c r="DK315" s="478"/>
      <c r="DL315" s="4"/>
      <c r="DM315" s="4"/>
      <c r="DN315" s="4"/>
      <c r="DO315" s="4"/>
      <c r="DP315" s="4"/>
      <c r="DQ315" s="4"/>
      <c r="DR315" s="4"/>
      <c r="DT315" s="195"/>
      <c r="DU315" s="195"/>
      <c r="DV315" s="195"/>
      <c r="DW315" s="195"/>
      <c r="DX315" s="195"/>
      <c r="DY315" s="195"/>
      <c r="DZ315" s="195"/>
      <c r="EA315" s="195"/>
      <c r="EB315" s="195"/>
      <c r="EC315" s="195"/>
      <c r="ED315" s="195"/>
      <c r="EE315" s="195"/>
      <c r="EF315" s="195"/>
      <c r="EG315" s="195"/>
      <c r="EL315" s="1"/>
      <c r="EM315" s="195"/>
      <c r="EN315" s="731"/>
      <c r="EO315" s="240"/>
      <c r="EP315" s="195"/>
      <c r="EQ315" s="240"/>
      <c r="ER315" s="195"/>
      <c r="ES315" s="195"/>
      <c r="ET315" s="195"/>
      <c r="EU315" s="731"/>
      <c r="FJ315" s="571" t="n">
        <v>71</v>
      </c>
      <c r="FK315" s="150" t="str">
        <f aca="false">IF($FJ315+FK$244&gt;73,"",PRODUCT(INDEX($T$19:$T$93,FK$244):INDEX($T$19:$T$93,FK$244+$FJ315-1)))</f>
        <v/>
      </c>
      <c r="FL315" s="150" t="str">
        <f aca="false">IF($FJ315+FL$244&gt;73,"",PRODUCT(INDEX($T$19:$T$93,FL$244):INDEX($T$19:$T$93,FL$244+$FJ315-1)))</f>
        <v/>
      </c>
      <c r="FM315" s="150" t="str">
        <f aca="false">IF($FJ315+FM$244&gt;73,"",PRODUCT(INDEX($T$19:$T$93,FM$244):INDEX($T$19:$T$93,FM$244+$FJ315-1)))</f>
        <v/>
      </c>
      <c r="FN315" s="150" t="str">
        <f aca="false">IF($FJ315+FN$244&gt;73,"",PRODUCT(INDEX($T$19:$T$93,FN$244):INDEX($T$19:$T$93,FN$244+$FJ315-1)))</f>
        <v/>
      </c>
      <c r="FO315" s="150" t="str">
        <f aca="false">IF($FJ315+FO$244&gt;73,"",PRODUCT(INDEX($T$19:$T$93,FO$244):INDEX($T$19:$T$93,FO$244+$FJ315-1)))</f>
        <v/>
      </c>
      <c r="FP315" s="150" t="str">
        <f aca="false">IF($FJ315+FP$244&gt;73,"",PRODUCT(INDEX($T$19:$T$93,FP$244):INDEX($T$19:$T$93,FP$244+$FJ315-1)))</f>
        <v/>
      </c>
      <c r="FQ315" s="150" t="str">
        <f aca="false">IF($FJ315+FQ$244&gt;73,"",PRODUCT(INDEX($T$19:$T$93,FQ$244):INDEX($T$19:$T$93,FQ$244+$FJ315-1)))</f>
        <v/>
      </c>
      <c r="FR315" s="150" t="str">
        <f aca="false">IF($FJ315+FR$244&gt;73,"",PRODUCT(INDEX($T$19:$T$93,FR$244):INDEX($T$19:$T$93,FR$244+$FJ315-1)))</f>
        <v/>
      </c>
      <c r="FS315" s="150" t="str">
        <f aca="false">IF($FJ315+FS$244&gt;73,"",PRODUCT(INDEX($T$19:$T$93,FS$244):INDEX($T$19:$T$93,FS$244+$FJ315-1)))</f>
        <v/>
      </c>
      <c r="FT315" s="150" t="str">
        <f aca="false">IF($FJ315+FT$244&gt;73,"",PRODUCT(INDEX($T$19:$T$93,FT$244):INDEX($T$19:$T$93,FT$244+$FJ315-1)))</f>
        <v/>
      </c>
      <c r="FU315" s="150" t="str">
        <f aca="false">IF($FJ315+FU$244&gt;73,"",PRODUCT(INDEX($T$19:$T$93,FU$244):INDEX($T$19:$T$93,FU$244+$FJ315-1)))</f>
        <v/>
      </c>
      <c r="FV315" s="150" t="str">
        <f aca="false">IF($FJ315+FV$244&gt;73,"",PRODUCT(INDEX($T$19:$T$93,FV$244):INDEX($T$19:$T$93,FV$244+$FJ315-1)))</f>
        <v/>
      </c>
      <c r="FW315" s="150" t="str">
        <f aca="false">IF($FJ315+FW$244&gt;73,"",PRODUCT(INDEX($T$19:$T$93,FW$244):INDEX($T$19:$T$93,FW$244+$FJ315-1)))</f>
        <v/>
      </c>
      <c r="FX315" s="150" t="str">
        <f aca="false">IF($FJ315+FX$244&gt;73,"",PRODUCT(INDEX($T$19:$T$93,FX$244):INDEX($T$19:$T$93,FX$244+$FJ315-1)))</f>
        <v/>
      </c>
      <c r="FY315" s="150" t="str">
        <f aca="false">IF($FJ315+FY$244&gt;73,"",PRODUCT(INDEX($T$19:$T$93,FY$244):INDEX($T$19:$T$93,FY$244+$FJ315-1)))</f>
        <v/>
      </c>
      <c r="FZ315" s="150" t="str">
        <f aca="false">IF($FJ315+FZ$244&gt;73,"",PRODUCT(INDEX($T$19:$T$93,FZ$244):INDEX($T$19:$T$93,FZ$244+$FJ315-1)))</f>
        <v/>
      </c>
      <c r="GA315" s="150" t="str">
        <f aca="false">IF($FJ315+GA$244&gt;73,"",PRODUCT(INDEX($T$19:$T$93,GA$244):INDEX($T$19:$T$93,GA$244+$FJ315-1)))</f>
        <v/>
      </c>
      <c r="GB315" s="150" t="str">
        <f aca="false">IF($FJ315+GB$244&gt;73,"",PRODUCT(INDEX($T$19:$T$93,GB$244):INDEX($T$19:$T$93,GB$244+$FJ315-1)))</f>
        <v/>
      </c>
      <c r="GC315" s="150" t="str">
        <f aca="false">IF($FJ315+GC$244&gt;73,"",PRODUCT(INDEX($T$19:$T$93,GC$244):INDEX($T$19:$T$93,GC$244+$FJ315-1)))</f>
        <v/>
      </c>
      <c r="GD315" s="150" t="str">
        <f aca="false">IF($FJ315+GD$244&gt;73,"",PRODUCT(INDEX($T$19:$T$93,GD$244):INDEX($T$19:$T$93,GD$244+$FJ315-1)))</f>
        <v/>
      </c>
      <c r="GE315" s="150" t="str">
        <f aca="false">IF($FJ315+GE$244&gt;73,"",PRODUCT(INDEX($T$19:$T$93,GE$244):INDEX($T$19:$T$93,GE$244+$FJ315-1)))</f>
        <v/>
      </c>
      <c r="GF315" s="150" t="str">
        <f aca="false">IF($FJ315+GF$244&gt;73,"",PRODUCT(INDEX($T$19:$T$93,GF$244):INDEX($T$19:$T$93,GF$244+$FJ315-1)))</f>
        <v/>
      </c>
      <c r="GG315" s="150" t="str">
        <f aca="false">IF($FJ315+GG$244&gt;73,"",PRODUCT(INDEX($T$19:$T$93,GG$244):INDEX($T$19:$T$93,GG$244+$FJ315-1)))</f>
        <v/>
      </c>
      <c r="GH315" s="150" t="str">
        <f aca="false">IF($FJ315+GH$244&gt;73,"",PRODUCT(INDEX($T$19:$T$93,GH$244):INDEX($T$19:$T$93,GH$244+$FJ315-1)))</f>
        <v/>
      </c>
      <c r="GI315" s="150" t="str">
        <f aca="false">IF($FJ315+GI$244&gt;73,"",PRODUCT(INDEX($T$19:$T$93,GI$244):INDEX($T$19:$T$93,GI$244+$FJ315-1)))</f>
        <v/>
      </c>
      <c r="GJ315" s="150" t="str">
        <f aca="false">IF($FJ315+GJ$244&gt;73,"",PRODUCT(INDEX($T$19:$T$93,GJ$244):INDEX($T$19:$T$93,GJ$244+$FJ315-1)))</f>
        <v/>
      </c>
      <c r="GK315" s="150" t="str">
        <f aca="false">IF($FJ315+GK$244&gt;73,"",PRODUCT(INDEX($T$19:$T$93,GK$244):INDEX($T$19:$T$93,GK$244+$FJ315-1)))</f>
        <v/>
      </c>
      <c r="GL315" s="150" t="str">
        <f aca="false">IF($FJ315+GL$244&gt;73,"",PRODUCT(INDEX($T$19:$T$93,GL$244):INDEX($T$19:$T$93,GL$244+$FJ315-1)))</f>
        <v/>
      </c>
      <c r="GM315" s="150" t="str">
        <f aca="false">IF($FJ315+GM$244&gt;73,"",PRODUCT(INDEX($T$19:$T$93,GM$244):INDEX($T$19:$T$93,GM$244+$FJ315-1)))</f>
        <v/>
      </c>
      <c r="GN315" s="150" t="str">
        <f aca="false">IF($FJ315+GN$244&gt;73,"",PRODUCT(INDEX($T$19:$T$93,GN$244):INDEX($T$19:$T$93,GN$244+$FJ315-1)))</f>
        <v/>
      </c>
      <c r="GO315" s="150" t="str">
        <f aca="false">IF($FJ315+GO$244&gt;73,"",PRODUCT(INDEX($T$19:$T$93,GO$244):INDEX($T$19:$T$93,GO$244+$FJ315-1)))</f>
        <v/>
      </c>
      <c r="GP315" s="150" t="str">
        <f aca="false">IF($FJ315+GP$244&gt;73,"",PRODUCT(INDEX($T$19:$T$93,GP$244):INDEX($T$19:$T$93,GP$244+$FJ315-1)))</f>
        <v/>
      </c>
      <c r="GQ315" s="150" t="str">
        <f aca="false">IF($FJ315+GQ$244&gt;73,"",PRODUCT(INDEX($T$19:$T$93,GQ$244):INDEX($T$19:$T$93,GQ$244+$FJ315-1)))</f>
        <v/>
      </c>
      <c r="GR315" s="150" t="str">
        <f aca="false">IF($FJ315+GR$244&gt;73,"",PRODUCT(INDEX($T$19:$T$93,GR$244):INDEX($T$19:$T$93,GR$244+$FJ315-1)))</f>
        <v/>
      </c>
      <c r="GS315" s="150" t="str">
        <f aca="false">IF($FJ315+GS$244&gt;73,"",PRODUCT(INDEX($T$19:$T$93,GS$244):INDEX($T$19:$T$93,GS$244+$FJ315-1)))</f>
        <v/>
      </c>
      <c r="GT315" s="150" t="str">
        <f aca="false">IF($FJ315+GT$244&gt;73,"",PRODUCT(INDEX($T$19:$T$93,GT$244):INDEX($T$19:$T$93,GT$244+$FJ315-1)))</f>
        <v/>
      </c>
      <c r="GU315" s="150" t="str">
        <f aca="false">IF($FJ315+GU$244&gt;73,"",PRODUCT(INDEX($T$19:$T$93,GU$244):INDEX($T$19:$T$93,GU$244+$FJ315-1)))</f>
        <v/>
      </c>
      <c r="GV315" s="150" t="str">
        <f aca="false">IF($FJ315+GV$244&gt;73,"",PRODUCT(INDEX($T$19:$T$93,GV$244):INDEX($T$19:$T$93,GV$244+$FJ315-1)))</f>
        <v/>
      </c>
      <c r="GW315" s="150" t="str">
        <f aca="false">IF($FJ315+GW$244&gt;73,"",PRODUCT(INDEX($T$19:$T$93,GW$244):INDEX($T$19:$T$93,GW$244+$FJ315-1)))</f>
        <v/>
      </c>
      <c r="GX315" s="150" t="str">
        <f aca="false">IF($FJ315+GX$244&gt;73,"",PRODUCT(INDEX($T$19:$T$93,GX$244):INDEX($T$19:$T$93,GX$244+$FJ315-1)))</f>
        <v/>
      </c>
      <c r="GY315" s="150" t="str">
        <f aca="false">IF($FJ315+GY$244&gt;73,"",PRODUCT(INDEX($T$19:$T$93,GY$244):INDEX($T$19:$T$93,GY$244+$FJ315-1)))</f>
        <v/>
      </c>
      <c r="GZ315" s="150" t="str">
        <f aca="false">IF($FJ315+GZ$244&gt;73,"",PRODUCT(INDEX($T$19:$T$93,GZ$244):INDEX($T$19:$T$93,GZ$244+$FJ315-1)))</f>
        <v/>
      </c>
      <c r="HA315" s="150" t="str">
        <f aca="false">IF($FJ315+HA$244&gt;73,"",PRODUCT(INDEX($T$19:$T$93,HA$244):INDEX($T$19:$T$93,HA$244+$FJ315-1)))</f>
        <v/>
      </c>
      <c r="HB315" s="150" t="str">
        <f aca="false">IF($FJ315+HB$244&gt;73,"",PRODUCT(INDEX($T$19:$T$93,HB$244):INDEX($T$19:$T$93,HB$244+$FJ315-1)))</f>
        <v/>
      </c>
      <c r="HC315" s="150" t="str">
        <f aca="false">IF($FJ315+HC$244&gt;73,"",PRODUCT(INDEX($T$19:$T$93,HC$244):INDEX($T$19:$T$93,HC$244+$FJ315-1)))</f>
        <v/>
      </c>
      <c r="HD315" s="150" t="str">
        <f aca="false">IF($FJ315+HD$244&gt;73,"",PRODUCT(INDEX($T$19:$T$93,HD$244):INDEX($T$19:$T$93,HD$244+$FJ315-1)))</f>
        <v/>
      </c>
      <c r="HE315" s="150" t="str">
        <f aca="false">IF($FJ315+HE$244&gt;73,"",PRODUCT(INDEX($T$19:$T$93,HE$244):INDEX($T$19:$T$93,HE$244+$FJ315-1)))</f>
        <v/>
      </c>
      <c r="HF315" s="150" t="str">
        <f aca="false">IF($FJ315+HF$244&gt;73,"",PRODUCT(INDEX($T$19:$T$93,HF$244):INDEX($T$19:$T$93,HF$244+$FJ315-1)))</f>
        <v/>
      </c>
      <c r="HG315" s="150" t="str">
        <f aca="false">IF($FJ315+HG$244&gt;73,"",PRODUCT(INDEX($T$19:$T$93,HG$244):INDEX($T$19:$T$93,HG$244+$FJ315-1)))</f>
        <v/>
      </c>
      <c r="HH315" s="150" t="str">
        <f aca="false">IF($FJ315+HH$244&gt;73,"",PRODUCT(INDEX($T$19:$T$93,HH$244):INDEX($T$19:$T$93,HH$244+$FJ315-1)))</f>
        <v/>
      </c>
      <c r="HI315" s="150" t="str">
        <f aca="false">IF($FJ315+HI$244&gt;73,"",PRODUCT(INDEX($T$19:$T$93,HI$244):INDEX($T$19:$T$93,HI$244+$FJ315-1)))</f>
        <v/>
      </c>
      <c r="HJ315" s="150" t="str">
        <f aca="false">IF($FJ315+HJ$244&gt;73,"",PRODUCT(INDEX($T$19:$T$93,HJ$244):INDEX($T$19:$T$93,HJ$244+$FJ315-1)))</f>
        <v/>
      </c>
      <c r="HK315" s="150" t="str">
        <f aca="false">IF($FJ315+HK$244&gt;73,"",PRODUCT(INDEX($T$19:$T$93,HK$244):INDEX($T$19:$T$93,HK$244+$FJ315-1)))</f>
        <v/>
      </c>
      <c r="HL315" s="150" t="str">
        <f aca="false">IF($FJ315+HL$244&gt;73,"",PRODUCT(INDEX($T$19:$T$93,HL$244):INDEX($T$19:$T$93,HL$244+$FJ315-1)))</f>
        <v/>
      </c>
      <c r="HM315" s="150" t="str">
        <f aca="false">IF($FJ315+HM$244&gt;73,"",PRODUCT(INDEX($T$19:$T$93,HM$244):INDEX($T$19:$T$93,HM$244+$FJ315-1)))</f>
        <v/>
      </c>
      <c r="HN315" s="150" t="str">
        <f aca="false">IF($FJ315+HN$244&gt;73,"",PRODUCT(INDEX($T$19:$T$93,HN$244):INDEX($T$19:$T$93,HN$244+$FJ315-1)))</f>
        <v/>
      </c>
      <c r="HO315" s="150" t="str">
        <f aca="false">IF($FJ315+HO$244&gt;73,"",PRODUCT(INDEX($T$19:$T$93,HO$244):INDEX($T$19:$T$93,HO$244+$FJ315-1)))</f>
        <v/>
      </c>
      <c r="HP315" s="150" t="str">
        <f aca="false">IF($FJ315+HP$244&gt;73,"",PRODUCT(INDEX($T$19:$T$93,HP$244):INDEX($T$19:$T$93,HP$244+$FJ315-1)))</f>
        <v/>
      </c>
      <c r="HQ315" s="150" t="str">
        <f aca="false">IF($FJ315+HQ$244&gt;73,"",PRODUCT(INDEX($T$19:$T$93,HQ$244):INDEX($T$19:$T$93,HQ$244+$FJ315-1)))</f>
        <v/>
      </c>
      <c r="HR315" s="150" t="str">
        <f aca="false">IF($FJ315+HR$244&gt;73,"",PRODUCT(INDEX($T$19:$T$93,HR$244):INDEX($T$19:$T$93,HR$244+$FJ315-1)))</f>
        <v/>
      </c>
      <c r="HS315" s="150" t="str">
        <f aca="false">IF($FJ315+HS$244&gt;73,"",PRODUCT(INDEX($T$19:$T$93,HS$244):INDEX($T$19:$T$93,HS$244+$FJ315-1)))</f>
        <v/>
      </c>
      <c r="HT315" s="150" t="str">
        <f aca="false">IF($FJ315+HT$244&gt;73,"",PRODUCT(INDEX($T$19:$T$93,HT$244):INDEX($T$19:$T$93,HT$244+$FJ315-1)))</f>
        <v/>
      </c>
      <c r="HU315" s="150" t="str">
        <f aca="false">IF($FJ315+HU$244&gt;73,"",PRODUCT(INDEX($T$19:$T$93,HU$244):INDEX($T$19:$T$93,HU$244+$FJ315-1)))</f>
        <v/>
      </c>
      <c r="HV315" s="150" t="str">
        <f aca="false">IF($FJ315+HV$244&gt;73,"",PRODUCT(INDEX($T$19:$T$93,HV$244):INDEX($T$19:$T$93,HV$244+$FJ315-1)))</f>
        <v/>
      </c>
      <c r="HW315" s="150" t="str">
        <f aca="false">IF($FJ315+HW$244&gt;73,"",PRODUCT(INDEX($T$19:$T$93,HW$244):INDEX($T$19:$T$93,HW$244+$FJ315-1)))</f>
        <v/>
      </c>
      <c r="HX315" s="150" t="str">
        <f aca="false">IF($FJ315+HX$244&gt;73,"",PRODUCT(INDEX($T$19:$T$93,HX$244):INDEX($T$19:$T$93,HX$244+$FJ315-1)))</f>
        <v/>
      </c>
      <c r="HY315" s="150" t="str">
        <f aca="false">IF($FJ315+HY$244&gt;73,"",PRODUCT(INDEX($T$19:$T$93,HY$244):INDEX($T$19:$T$93,HY$244+$FJ315-1)))</f>
        <v/>
      </c>
      <c r="HZ315" s="150" t="str">
        <f aca="false">IF($FJ315+HZ$244&gt;73,"",PRODUCT(INDEX($T$19:$T$93,HZ$244):INDEX($T$19:$T$93,HZ$244+$FJ315-1)))</f>
        <v/>
      </c>
      <c r="IA315" s="150" t="str">
        <f aca="false">IF($FJ315+IA$244&gt;73,"",PRODUCT(INDEX($T$19:$T$93,IA$244):INDEX($T$19:$T$93,IA$244+$FJ315-1)))</f>
        <v/>
      </c>
      <c r="IB315" s="150" t="str">
        <f aca="false">IF($FJ315+IB$244&gt;73,"",PRODUCT(INDEX($T$19:$T$93,IB$244):INDEX($T$19:$T$93,IB$244+$FJ315-1)))</f>
        <v/>
      </c>
      <c r="IC315" s="150" t="n">
        <f aca="false">IF($FJ315+IC$244&gt;73,"",PRODUCT(INDEX($T$19:$T$93,IC$244):INDEX($T$19:$T$93,IC$244+$FJ315-1)))</f>
        <v>0.424199007316117</v>
      </c>
      <c r="ID315" s="572" t="n">
        <f aca="false">IF($FJ315+ID$244&gt;73,"",PRODUCT(INDEX($T$19:$T$93,ID$244):INDEX($T$19:$T$93,ID$244+$FJ315-1)))</f>
        <v>0.36056985623501</v>
      </c>
      <c r="IE315" s="129"/>
    </row>
    <row r="316" customFormat="false" ht="12.75" hidden="false" customHeight="false" outlineLevel="0" collapsed="false">
      <c r="I316" s="735"/>
      <c r="J316" s="727"/>
      <c r="K316" s="728"/>
      <c r="L316" s="195"/>
      <c r="M316" s="729"/>
      <c r="P316" s="727"/>
      <c r="S316" s="1"/>
      <c r="T316" s="727"/>
      <c r="U316" s="195"/>
      <c r="V316" s="195"/>
      <c r="W316" s="195"/>
      <c r="X316" s="195"/>
      <c r="Y316" s="195"/>
      <c r="Z316" s="195"/>
      <c r="AA316" s="195"/>
      <c r="AB316" s="195"/>
      <c r="AC316" s="195"/>
      <c r="AD316" s="195"/>
      <c r="AE316" s="195"/>
      <c r="AF316" s="195"/>
      <c r="AG316" s="195"/>
      <c r="AH316" s="195"/>
      <c r="AI316" s="195"/>
      <c r="AJ316" s="195"/>
      <c r="AK316" s="195"/>
      <c r="AL316" s="195"/>
      <c r="AM316" s="195"/>
      <c r="AN316" s="195"/>
      <c r="AO316" s="532"/>
      <c r="AP316" s="195"/>
      <c r="AQ316" s="532"/>
      <c r="AR316" s="195"/>
      <c r="AS316" s="240"/>
      <c r="AT316" s="240"/>
      <c r="AU316" s="240"/>
      <c r="AV316" s="730"/>
      <c r="AW316" s="730"/>
      <c r="AX316" s="730"/>
      <c r="AY316" s="730"/>
      <c r="AZ316" s="468"/>
      <c r="BA316" s="468"/>
      <c r="BB316" s="240"/>
      <c r="BC316" s="240"/>
      <c r="BD316" s="240"/>
      <c r="BE316" s="240"/>
      <c r="BF316" s="672"/>
      <c r="BG316" s="672"/>
      <c r="BH316" s="672"/>
      <c r="BI316" s="672"/>
      <c r="BJ316" s="672"/>
      <c r="BK316" s="240"/>
      <c r="BL316" s="736"/>
      <c r="BM316" s="737"/>
      <c r="BN316" s="240"/>
      <c r="BO316" s="240"/>
      <c r="BP316" s="240"/>
      <c r="BQ316" s="240"/>
      <c r="BR316" s="240"/>
      <c r="BS316" s="240"/>
      <c r="BT316" s="240"/>
      <c r="BU316" s="240"/>
      <c r="BV316" s="240"/>
      <c r="BW316" s="240"/>
      <c r="BX316" s="240"/>
      <c r="BY316" s="240"/>
      <c r="BZ316" s="240"/>
      <c r="CA316" s="240"/>
      <c r="CB316" s="240"/>
      <c r="CC316" s="672"/>
      <c r="CD316" s="672"/>
      <c r="CE316" s="672"/>
      <c r="CF316" s="672"/>
      <c r="CG316" s="672"/>
      <c r="CH316" s="672"/>
      <c r="CI316" s="240"/>
      <c r="CJ316" s="240"/>
      <c r="CK316" s="240"/>
      <c r="CL316" s="240"/>
      <c r="CM316" s="240"/>
      <c r="CN316" s="240"/>
      <c r="CO316" s="240"/>
      <c r="CP316" s="240"/>
      <c r="CQ316" s="240"/>
      <c r="CR316" s="240"/>
      <c r="CS316" s="240"/>
      <c r="CT316" s="240"/>
      <c r="CU316" s="240"/>
      <c r="CV316" s="240"/>
      <c r="CW316" s="240"/>
      <c r="CX316" s="240"/>
      <c r="CY316" s="240"/>
      <c r="CZ316" s="240"/>
      <c r="DA316" s="240"/>
      <c r="DB316" s="240"/>
      <c r="DC316" s="240"/>
      <c r="DD316" s="240"/>
      <c r="DE316" s="240"/>
      <c r="DF316" s="240"/>
      <c r="DG316" s="240"/>
      <c r="DH316" s="478"/>
      <c r="DI316" s="733"/>
      <c r="DJ316" s="195"/>
      <c r="DK316" s="478"/>
      <c r="DL316" s="4"/>
      <c r="DM316" s="4"/>
      <c r="DN316" s="4"/>
      <c r="DO316" s="4"/>
      <c r="DP316" s="4"/>
      <c r="DQ316" s="4"/>
      <c r="DR316" s="4"/>
      <c r="DT316" s="195"/>
      <c r="DU316" s="195"/>
      <c r="DV316" s="195"/>
      <c r="DW316" s="195"/>
      <c r="DX316" s="195"/>
      <c r="DY316" s="195"/>
      <c r="DZ316" s="195"/>
      <c r="EA316" s="195"/>
      <c r="EB316" s="195"/>
      <c r="EC316" s="195"/>
      <c r="ED316" s="195"/>
      <c r="EE316" s="195"/>
      <c r="EF316" s="195"/>
      <c r="EG316" s="195"/>
      <c r="EL316" s="1"/>
      <c r="EM316" s="195"/>
      <c r="EN316" s="731"/>
      <c r="EO316" s="240"/>
      <c r="EP316" s="195"/>
      <c r="EQ316" s="240"/>
      <c r="ER316" s="195"/>
      <c r="ES316" s="195"/>
      <c r="ET316" s="195"/>
      <c r="EU316" s="731"/>
      <c r="FJ316" s="668" t="n">
        <v>72</v>
      </c>
      <c r="FK316" s="669" t="str">
        <f aca="false">IF($FJ316+FK$244&gt;73,"",PRODUCT(INDEX($T$19:$T$93,FK$244):INDEX($T$19:$T$93,FK$244+$FJ316-1)))</f>
        <v/>
      </c>
      <c r="FL316" s="669" t="str">
        <f aca="false">IF($FJ316+FL$244&gt;73,"",PRODUCT(INDEX($T$19:$T$93,FL$244):INDEX($T$19:$T$93,FL$244+$FJ316-1)))</f>
        <v/>
      </c>
      <c r="FM316" s="669" t="str">
        <f aca="false">IF($FJ316+FM$244&gt;73,"",PRODUCT(INDEX($T$19:$T$93,FM$244):INDEX($T$19:$T$93,FM$244+$FJ316-1)))</f>
        <v/>
      </c>
      <c r="FN316" s="669" t="str">
        <f aca="false">IF($FJ316+FN$244&gt;73,"",PRODUCT(INDEX($T$19:$T$93,FN$244):INDEX($T$19:$T$93,FN$244+$FJ316-1)))</f>
        <v/>
      </c>
      <c r="FO316" s="669" t="str">
        <f aca="false">IF($FJ316+FO$244&gt;73,"",PRODUCT(INDEX($T$19:$T$93,FO$244):INDEX($T$19:$T$93,FO$244+$FJ316-1)))</f>
        <v/>
      </c>
      <c r="FP316" s="669" t="str">
        <f aca="false">IF($FJ316+FP$244&gt;73,"",PRODUCT(INDEX($T$19:$T$93,FP$244):INDEX($T$19:$T$93,FP$244+$FJ316-1)))</f>
        <v/>
      </c>
      <c r="FQ316" s="669" t="str">
        <f aca="false">IF($FJ316+FQ$244&gt;73,"",PRODUCT(INDEX($T$19:$T$93,FQ$244):INDEX($T$19:$T$93,FQ$244+$FJ316-1)))</f>
        <v/>
      </c>
      <c r="FR316" s="669" t="str">
        <f aca="false">IF($FJ316+FR$244&gt;73,"",PRODUCT(INDEX($T$19:$T$93,FR$244):INDEX($T$19:$T$93,FR$244+$FJ316-1)))</f>
        <v/>
      </c>
      <c r="FS316" s="669" t="str">
        <f aca="false">IF($FJ316+FS$244&gt;73,"",PRODUCT(INDEX($T$19:$T$93,FS$244):INDEX($T$19:$T$93,FS$244+$FJ316-1)))</f>
        <v/>
      </c>
      <c r="FT316" s="669" t="str">
        <f aca="false">IF($FJ316+FT$244&gt;73,"",PRODUCT(INDEX($T$19:$T$93,FT$244):INDEX($T$19:$T$93,FT$244+$FJ316-1)))</f>
        <v/>
      </c>
      <c r="FU316" s="669" t="str">
        <f aca="false">IF($FJ316+FU$244&gt;73,"",PRODUCT(INDEX($T$19:$T$93,FU$244):INDEX($T$19:$T$93,FU$244+$FJ316-1)))</f>
        <v/>
      </c>
      <c r="FV316" s="669" t="str">
        <f aca="false">IF($FJ316+FV$244&gt;73,"",PRODUCT(INDEX($T$19:$T$93,FV$244):INDEX($T$19:$T$93,FV$244+$FJ316-1)))</f>
        <v/>
      </c>
      <c r="FW316" s="669" t="str">
        <f aca="false">IF($FJ316+FW$244&gt;73,"",PRODUCT(INDEX($T$19:$T$93,FW$244):INDEX($T$19:$T$93,FW$244+$FJ316-1)))</f>
        <v/>
      </c>
      <c r="FX316" s="669" t="str">
        <f aca="false">IF($FJ316+FX$244&gt;73,"",PRODUCT(INDEX($T$19:$T$93,FX$244):INDEX($T$19:$T$93,FX$244+$FJ316-1)))</f>
        <v/>
      </c>
      <c r="FY316" s="669" t="str">
        <f aca="false">IF($FJ316+FY$244&gt;73,"",PRODUCT(INDEX($T$19:$T$93,FY$244):INDEX($T$19:$T$93,FY$244+$FJ316-1)))</f>
        <v/>
      </c>
      <c r="FZ316" s="669" t="str">
        <f aca="false">IF($FJ316+FZ$244&gt;73,"",PRODUCT(INDEX($T$19:$T$93,FZ$244):INDEX($T$19:$T$93,FZ$244+$FJ316-1)))</f>
        <v/>
      </c>
      <c r="GA316" s="669" t="str">
        <f aca="false">IF($FJ316+GA$244&gt;73,"",PRODUCT(INDEX($T$19:$T$93,GA$244):INDEX($T$19:$T$93,GA$244+$FJ316-1)))</f>
        <v/>
      </c>
      <c r="GB316" s="669" t="str">
        <f aca="false">IF($FJ316+GB$244&gt;73,"",PRODUCT(INDEX($T$19:$T$93,GB$244):INDEX($T$19:$T$93,GB$244+$FJ316-1)))</f>
        <v/>
      </c>
      <c r="GC316" s="669" t="str">
        <f aca="false">IF($FJ316+GC$244&gt;73,"",PRODUCT(INDEX($T$19:$T$93,GC$244):INDEX($T$19:$T$93,GC$244+$FJ316-1)))</f>
        <v/>
      </c>
      <c r="GD316" s="669" t="str">
        <f aca="false">IF($FJ316+GD$244&gt;73,"",PRODUCT(INDEX($T$19:$T$93,GD$244):INDEX($T$19:$T$93,GD$244+$FJ316-1)))</f>
        <v/>
      </c>
      <c r="GE316" s="669" t="str">
        <f aca="false">IF($FJ316+GE$244&gt;73,"",PRODUCT(INDEX($T$19:$T$93,GE$244):INDEX($T$19:$T$93,GE$244+$FJ316-1)))</f>
        <v/>
      </c>
      <c r="GF316" s="669" t="str">
        <f aca="false">IF($FJ316+GF$244&gt;73,"",PRODUCT(INDEX($T$19:$T$93,GF$244):INDEX($T$19:$T$93,GF$244+$FJ316-1)))</f>
        <v/>
      </c>
      <c r="GG316" s="669" t="str">
        <f aca="false">IF($FJ316+GG$244&gt;73,"",PRODUCT(INDEX($T$19:$T$93,GG$244):INDEX($T$19:$T$93,GG$244+$FJ316-1)))</f>
        <v/>
      </c>
      <c r="GH316" s="669" t="str">
        <f aca="false">IF($FJ316+GH$244&gt;73,"",PRODUCT(INDEX($T$19:$T$93,GH$244):INDEX($T$19:$T$93,GH$244+$FJ316-1)))</f>
        <v/>
      </c>
      <c r="GI316" s="669" t="str">
        <f aca="false">IF($FJ316+GI$244&gt;73,"",PRODUCT(INDEX($T$19:$T$93,GI$244):INDEX($T$19:$T$93,GI$244+$FJ316-1)))</f>
        <v/>
      </c>
      <c r="GJ316" s="669" t="str">
        <f aca="false">IF($FJ316+GJ$244&gt;73,"",PRODUCT(INDEX($T$19:$T$93,GJ$244):INDEX($T$19:$T$93,GJ$244+$FJ316-1)))</f>
        <v/>
      </c>
      <c r="GK316" s="669" t="str">
        <f aca="false">IF($FJ316+GK$244&gt;73,"",PRODUCT(INDEX($T$19:$T$93,GK$244):INDEX($T$19:$T$93,GK$244+$FJ316-1)))</f>
        <v/>
      </c>
      <c r="GL316" s="669" t="str">
        <f aca="false">IF($FJ316+GL$244&gt;73,"",PRODUCT(INDEX($T$19:$T$93,GL$244):INDEX($T$19:$T$93,GL$244+$FJ316-1)))</f>
        <v/>
      </c>
      <c r="GM316" s="669" t="str">
        <f aca="false">IF($FJ316+GM$244&gt;73,"",PRODUCT(INDEX($T$19:$T$93,GM$244):INDEX($T$19:$T$93,GM$244+$FJ316-1)))</f>
        <v/>
      </c>
      <c r="GN316" s="669" t="str">
        <f aca="false">IF($FJ316+GN$244&gt;73,"",PRODUCT(INDEX($T$19:$T$93,GN$244):INDEX($T$19:$T$93,GN$244+$FJ316-1)))</f>
        <v/>
      </c>
      <c r="GO316" s="669" t="str">
        <f aca="false">IF($FJ316+GO$244&gt;73,"",PRODUCT(INDEX($T$19:$T$93,GO$244):INDEX($T$19:$T$93,GO$244+$FJ316-1)))</f>
        <v/>
      </c>
      <c r="GP316" s="669" t="str">
        <f aca="false">IF($FJ316+GP$244&gt;73,"",PRODUCT(INDEX($T$19:$T$93,GP$244):INDEX($T$19:$T$93,GP$244+$FJ316-1)))</f>
        <v/>
      </c>
      <c r="GQ316" s="669" t="str">
        <f aca="false">IF($FJ316+GQ$244&gt;73,"",PRODUCT(INDEX($T$19:$T$93,GQ$244):INDEX($T$19:$T$93,GQ$244+$FJ316-1)))</f>
        <v/>
      </c>
      <c r="GR316" s="669" t="str">
        <f aca="false">IF($FJ316+GR$244&gt;73,"",PRODUCT(INDEX($T$19:$T$93,GR$244):INDEX($T$19:$T$93,GR$244+$FJ316-1)))</f>
        <v/>
      </c>
      <c r="GS316" s="669" t="str">
        <f aca="false">IF($FJ316+GS$244&gt;73,"",PRODUCT(INDEX($T$19:$T$93,GS$244):INDEX($T$19:$T$93,GS$244+$FJ316-1)))</f>
        <v/>
      </c>
      <c r="GT316" s="669" t="str">
        <f aca="false">IF($FJ316+GT$244&gt;73,"",PRODUCT(INDEX($T$19:$T$93,GT$244):INDEX($T$19:$T$93,GT$244+$FJ316-1)))</f>
        <v/>
      </c>
      <c r="GU316" s="669" t="str">
        <f aca="false">IF($FJ316+GU$244&gt;73,"",PRODUCT(INDEX($T$19:$T$93,GU$244):INDEX($T$19:$T$93,GU$244+$FJ316-1)))</f>
        <v/>
      </c>
      <c r="GV316" s="669" t="str">
        <f aca="false">IF($FJ316+GV$244&gt;73,"",PRODUCT(INDEX($T$19:$T$93,GV$244):INDEX($T$19:$T$93,GV$244+$FJ316-1)))</f>
        <v/>
      </c>
      <c r="GW316" s="669" t="str">
        <f aca="false">IF($FJ316+GW$244&gt;73,"",PRODUCT(INDEX($T$19:$T$93,GW$244):INDEX($T$19:$T$93,GW$244+$FJ316-1)))</f>
        <v/>
      </c>
      <c r="GX316" s="669" t="str">
        <f aca="false">IF($FJ316+GX$244&gt;73,"",PRODUCT(INDEX($T$19:$T$93,GX$244):INDEX($T$19:$T$93,GX$244+$FJ316-1)))</f>
        <v/>
      </c>
      <c r="GY316" s="669" t="str">
        <f aca="false">IF($FJ316+GY$244&gt;73,"",PRODUCT(INDEX($T$19:$T$93,GY$244):INDEX($T$19:$T$93,GY$244+$FJ316-1)))</f>
        <v/>
      </c>
      <c r="GZ316" s="669" t="str">
        <f aca="false">IF($FJ316+GZ$244&gt;73,"",PRODUCT(INDEX($T$19:$T$93,GZ$244):INDEX($T$19:$T$93,GZ$244+$FJ316-1)))</f>
        <v/>
      </c>
      <c r="HA316" s="669" t="str">
        <f aca="false">IF($FJ316+HA$244&gt;73,"",PRODUCT(INDEX($T$19:$T$93,HA$244):INDEX($T$19:$T$93,HA$244+$FJ316-1)))</f>
        <v/>
      </c>
      <c r="HB316" s="669" t="str">
        <f aca="false">IF($FJ316+HB$244&gt;73,"",PRODUCT(INDEX($T$19:$T$93,HB$244):INDEX($T$19:$T$93,HB$244+$FJ316-1)))</f>
        <v/>
      </c>
      <c r="HC316" s="669" t="str">
        <f aca="false">IF($FJ316+HC$244&gt;73,"",PRODUCT(INDEX($T$19:$T$93,HC$244):INDEX($T$19:$T$93,HC$244+$FJ316-1)))</f>
        <v/>
      </c>
      <c r="HD316" s="669" t="str">
        <f aca="false">IF($FJ316+HD$244&gt;73,"",PRODUCT(INDEX($T$19:$T$93,HD$244):INDEX($T$19:$T$93,HD$244+$FJ316-1)))</f>
        <v/>
      </c>
      <c r="HE316" s="669" t="str">
        <f aca="false">IF($FJ316+HE$244&gt;73,"",PRODUCT(INDEX($T$19:$T$93,HE$244):INDEX($T$19:$T$93,HE$244+$FJ316-1)))</f>
        <v/>
      </c>
      <c r="HF316" s="669" t="str">
        <f aca="false">IF($FJ316+HF$244&gt;73,"",PRODUCT(INDEX($T$19:$T$93,HF$244):INDEX($T$19:$T$93,HF$244+$FJ316-1)))</f>
        <v/>
      </c>
      <c r="HG316" s="669" t="str">
        <f aca="false">IF($FJ316+HG$244&gt;73,"",PRODUCT(INDEX($T$19:$T$93,HG$244):INDEX($T$19:$T$93,HG$244+$FJ316-1)))</f>
        <v/>
      </c>
      <c r="HH316" s="669" t="str">
        <f aca="false">IF($FJ316+HH$244&gt;73,"",PRODUCT(INDEX($T$19:$T$93,HH$244):INDEX($T$19:$T$93,HH$244+$FJ316-1)))</f>
        <v/>
      </c>
      <c r="HI316" s="669" t="str">
        <f aca="false">IF($FJ316+HI$244&gt;73,"",PRODUCT(INDEX($T$19:$T$93,HI$244):INDEX($T$19:$T$93,HI$244+$FJ316-1)))</f>
        <v/>
      </c>
      <c r="HJ316" s="669" t="str">
        <f aca="false">IF($FJ316+HJ$244&gt;73,"",PRODUCT(INDEX($T$19:$T$93,HJ$244):INDEX($T$19:$T$93,HJ$244+$FJ316-1)))</f>
        <v/>
      </c>
      <c r="HK316" s="669" t="str">
        <f aca="false">IF($FJ316+HK$244&gt;73,"",PRODUCT(INDEX($T$19:$T$93,HK$244):INDEX($T$19:$T$93,HK$244+$FJ316-1)))</f>
        <v/>
      </c>
      <c r="HL316" s="669" t="str">
        <f aca="false">IF($FJ316+HL$244&gt;73,"",PRODUCT(INDEX($T$19:$T$93,HL$244):INDEX($T$19:$T$93,HL$244+$FJ316-1)))</f>
        <v/>
      </c>
      <c r="HM316" s="669" t="str">
        <f aca="false">IF($FJ316+HM$244&gt;73,"",PRODUCT(INDEX($T$19:$T$93,HM$244):INDEX($T$19:$T$93,HM$244+$FJ316-1)))</f>
        <v/>
      </c>
      <c r="HN316" s="669" t="str">
        <f aca="false">IF($FJ316+HN$244&gt;73,"",PRODUCT(INDEX($T$19:$T$93,HN$244):INDEX($T$19:$T$93,HN$244+$FJ316-1)))</f>
        <v/>
      </c>
      <c r="HO316" s="669" t="str">
        <f aca="false">IF($FJ316+HO$244&gt;73,"",PRODUCT(INDEX($T$19:$T$93,HO$244):INDEX($T$19:$T$93,HO$244+$FJ316-1)))</f>
        <v/>
      </c>
      <c r="HP316" s="669" t="str">
        <f aca="false">IF($FJ316+HP$244&gt;73,"",PRODUCT(INDEX($T$19:$T$93,HP$244):INDEX($T$19:$T$93,HP$244+$FJ316-1)))</f>
        <v/>
      </c>
      <c r="HQ316" s="669" t="str">
        <f aca="false">IF($FJ316+HQ$244&gt;73,"",PRODUCT(INDEX($T$19:$T$93,HQ$244):INDEX($T$19:$T$93,HQ$244+$FJ316-1)))</f>
        <v/>
      </c>
      <c r="HR316" s="669" t="str">
        <f aca="false">IF($FJ316+HR$244&gt;73,"",PRODUCT(INDEX($T$19:$T$93,HR$244):INDEX($T$19:$T$93,HR$244+$FJ316-1)))</f>
        <v/>
      </c>
      <c r="HS316" s="669" t="str">
        <f aca="false">IF($FJ316+HS$244&gt;73,"",PRODUCT(INDEX($T$19:$T$93,HS$244):INDEX($T$19:$T$93,HS$244+$FJ316-1)))</f>
        <v/>
      </c>
      <c r="HT316" s="669" t="str">
        <f aca="false">IF($FJ316+HT$244&gt;73,"",PRODUCT(INDEX($T$19:$T$93,HT$244):INDEX($T$19:$T$93,HT$244+$FJ316-1)))</f>
        <v/>
      </c>
      <c r="HU316" s="669" t="str">
        <f aca="false">IF($FJ316+HU$244&gt;73,"",PRODUCT(INDEX($T$19:$T$93,HU$244):INDEX($T$19:$T$93,HU$244+$FJ316-1)))</f>
        <v/>
      </c>
      <c r="HV316" s="669" t="str">
        <f aca="false">IF($FJ316+HV$244&gt;73,"",PRODUCT(INDEX($T$19:$T$93,HV$244):INDEX($T$19:$T$93,HV$244+$FJ316-1)))</f>
        <v/>
      </c>
      <c r="HW316" s="669" t="str">
        <f aca="false">IF($FJ316+HW$244&gt;73,"",PRODUCT(INDEX($T$19:$T$93,HW$244):INDEX($T$19:$T$93,HW$244+$FJ316-1)))</f>
        <v/>
      </c>
      <c r="HX316" s="669" t="str">
        <f aca="false">IF($FJ316+HX$244&gt;73,"",PRODUCT(INDEX($T$19:$T$93,HX$244):INDEX($T$19:$T$93,HX$244+$FJ316-1)))</f>
        <v/>
      </c>
      <c r="HY316" s="669" t="str">
        <f aca="false">IF($FJ316+HY$244&gt;73,"",PRODUCT(INDEX($T$19:$T$93,HY$244):INDEX($T$19:$T$93,HY$244+$FJ316-1)))</f>
        <v/>
      </c>
      <c r="HZ316" s="669" t="str">
        <f aca="false">IF($FJ316+HZ$244&gt;73,"",PRODUCT(INDEX($T$19:$T$93,HZ$244):INDEX($T$19:$T$93,HZ$244+$FJ316-1)))</f>
        <v/>
      </c>
      <c r="IA316" s="669" t="str">
        <f aca="false">IF($FJ316+IA$244&gt;73,"",PRODUCT(INDEX($T$19:$T$93,IA$244):INDEX($T$19:$T$93,IA$244+$FJ316-1)))</f>
        <v/>
      </c>
      <c r="IB316" s="669" t="str">
        <f aca="false">IF($FJ316+IB$244&gt;73,"",PRODUCT(INDEX($T$19:$T$93,IB$244):INDEX($T$19:$T$93,IB$244+$FJ316-1)))</f>
        <v/>
      </c>
      <c r="IC316" s="669" t="str">
        <f aca="false">IF($FJ316+IC$244&gt;73,"",PRODUCT(INDEX($T$19:$T$93,IC$244):INDEX($T$19:$T$93,IC$244+$FJ316-1)))</f>
        <v/>
      </c>
      <c r="ID316" s="670" t="n">
        <f aca="false">IF($FJ316+ID$244&gt;73,"",PRODUCT(INDEX($T$19:$T$93,ID$244):INDEX($T$19:$T$93,ID$244+$FJ316-1)))</f>
        <v>0.3605691562187</v>
      </c>
      <c r="IE316" s="129"/>
    </row>
    <row r="317" customFormat="false" ht="12.75" hidden="false" customHeight="false" outlineLevel="0" collapsed="false">
      <c r="I317" s="735"/>
      <c r="J317" s="727"/>
      <c r="K317" s="728"/>
      <c r="L317" s="195"/>
      <c r="M317" s="729"/>
      <c r="P317" s="727"/>
      <c r="S317" s="1"/>
      <c r="T317" s="727"/>
      <c r="U317" s="195"/>
      <c r="V317" s="195"/>
      <c r="W317" s="195"/>
      <c r="X317" s="195"/>
      <c r="Y317" s="195"/>
      <c r="Z317" s="195"/>
      <c r="AA317" s="195"/>
      <c r="AB317" s="195"/>
      <c r="AC317" s="195"/>
      <c r="AD317" s="195"/>
      <c r="AE317" s="195"/>
      <c r="AF317" s="195"/>
      <c r="AG317" s="195"/>
      <c r="AH317" s="195"/>
      <c r="AI317" s="195"/>
      <c r="AJ317" s="195"/>
      <c r="AK317" s="195"/>
      <c r="AL317" s="195"/>
      <c r="AM317" s="195"/>
      <c r="AN317" s="195"/>
      <c r="AO317" s="532"/>
      <c r="AP317" s="195"/>
      <c r="AQ317" s="532"/>
      <c r="AR317" s="195"/>
      <c r="AS317" s="240"/>
      <c r="AT317" s="240"/>
      <c r="AU317" s="240"/>
      <c r="AV317" s="730"/>
      <c r="AW317" s="730"/>
      <c r="AX317" s="730"/>
      <c r="AY317" s="730"/>
      <c r="AZ317" s="468"/>
      <c r="BA317" s="468"/>
      <c r="BB317" s="240"/>
      <c r="BC317" s="240"/>
      <c r="BD317" s="240"/>
      <c r="BE317" s="240"/>
      <c r="BF317" s="672"/>
      <c r="BG317" s="672"/>
      <c r="BH317" s="672"/>
      <c r="BI317" s="672"/>
      <c r="BJ317" s="672"/>
      <c r="BK317" s="240"/>
      <c r="BL317" s="736"/>
      <c r="BM317" s="737"/>
      <c r="BN317" s="240"/>
      <c r="BO317" s="240"/>
      <c r="BP317" s="240"/>
      <c r="BQ317" s="240"/>
      <c r="BR317" s="240"/>
      <c r="BS317" s="240"/>
      <c r="BT317" s="240"/>
      <c r="BU317" s="240"/>
      <c r="BV317" s="240"/>
      <c r="BW317" s="240"/>
      <c r="BX317" s="240"/>
      <c r="BY317" s="240"/>
      <c r="BZ317" s="240"/>
      <c r="CA317" s="240"/>
      <c r="CB317" s="240"/>
      <c r="CC317" s="672"/>
      <c r="CD317" s="672"/>
      <c r="CE317" s="672"/>
      <c r="CF317" s="672"/>
      <c r="CG317" s="672"/>
      <c r="CH317" s="672"/>
      <c r="CI317" s="240"/>
      <c r="CJ317" s="240"/>
      <c r="CK317" s="240"/>
      <c r="CL317" s="240"/>
      <c r="CM317" s="240"/>
      <c r="CN317" s="240"/>
      <c r="CO317" s="240"/>
      <c r="CP317" s="240"/>
      <c r="CQ317" s="240"/>
      <c r="CR317" s="240"/>
      <c r="CS317" s="240"/>
      <c r="CT317" s="240"/>
      <c r="CU317" s="240"/>
      <c r="CV317" s="240"/>
      <c r="CW317" s="240"/>
      <c r="CX317" s="240"/>
      <c r="CY317" s="240"/>
      <c r="CZ317" s="240"/>
      <c r="DA317" s="240"/>
      <c r="DB317" s="240"/>
      <c r="DC317" s="240"/>
      <c r="DD317" s="240"/>
      <c r="DE317" s="240"/>
      <c r="DF317" s="240"/>
      <c r="DG317" s="240"/>
      <c r="DH317" s="478"/>
      <c r="DI317" s="733"/>
      <c r="DJ317" s="195"/>
      <c r="DK317" s="478"/>
      <c r="DL317" s="4"/>
      <c r="DM317" s="4"/>
      <c r="DN317" s="4"/>
      <c r="DO317" s="4"/>
      <c r="DP317" s="4"/>
      <c r="DQ317" s="4"/>
      <c r="DR317" s="4"/>
      <c r="DT317" s="195"/>
      <c r="DU317" s="195"/>
      <c r="DV317" s="195"/>
      <c r="DW317" s="195"/>
      <c r="DX317" s="195"/>
      <c r="DY317" s="195"/>
      <c r="DZ317" s="195"/>
      <c r="EA317" s="195"/>
      <c r="EB317" s="195"/>
      <c r="EC317" s="195"/>
      <c r="ED317" s="195"/>
      <c r="EE317" s="195"/>
      <c r="EF317" s="195"/>
      <c r="EG317" s="195"/>
      <c r="EL317" s="1"/>
      <c r="EM317" s="195"/>
      <c r="EN317" s="731"/>
      <c r="EO317" s="240"/>
      <c r="EP317" s="195"/>
      <c r="EQ317" s="240"/>
      <c r="ER317" s="195"/>
      <c r="ES317" s="195"/>
      <c r="ET317" s="195"/>
      <c r="EU317" s="731"/>
      <c r="FJ317" s="129"/>
      <c r="FK317" s="129"/>
      <c r="FL317" s="129"/>
      <c r="FM317" s="129"/>
      <c r="FN317" s="129"/>
      <c r="FO317" s="129"/>
      <c r="FP317" s="129"/>
      <c r="FQ317" s="129"/>
      <c r="FR317" s="129"/>
      <c r="FS317" s="129"/>
      <c r="FT317" s="129"/>
      <c r="FU317" s="129"/>
      <c r="FV317" s="129"/>
      <c r="FW317" s="129"/>
      <c r="FX317" s="129"/>
      <c r="FY317" s="129"/>
      <c r="FZ317" s="129"/>
      <c r="GA317" s="129"/>
      <c r="GB317" s="129"/>
      <c r="GC317" s="129"/>
      <c r="GD317" s="129"/>
      <c r="GE317" s="129"/>
      <c r="GF317" s="129"/>
      <c r="GG317" s="129"/>
      <c r="GH317" s="129"/>
      <c r="GI317" s="129"/>
      <c r="GJ317" s="129"/>
      <c r="GK317" s="129"/>
      <c r="GL317" s="129"/>
      <c r="GM317" s="129"/>
      <c r="GN317" s="129"/>
      <c r="GO317" s="129"/>
      <c r="GP317" s="129"/>
      <c r="GQ317" s="129"/>
      <c r="GR317" s="129"/>
      <c r="GS317" s="129"/>
      <c r="GT317" s="129"/>
      <c r="GU317" s="129"/>
      <c r="GV317" s="129"/>
      <c r="GW317" s="129"/>
      <c r="GX317" s="129"/>
      <c r="GY317" s="129"/>
      <c r="GZ317" s="129"/>
      <c r="HA317" s="129"/>
      <c r="HB317" s="129"/>
      <c r="HC317" s="129"/>
      <c r="HD317" s="129"/>
      <c r="HE317" s="129"/>
      <c r="HF317" s="129"/>
      <c r="HG317" s="129"/>
      <c r="HH317" s="129"/>
      <c r="HI317" s="129"/>
      <c r="HJ317" s="129"/>
      <c r="HK317" s="129"/>
      <c r="HL317" s="129"/>
      <c r="HM317" s="129"/>
      <c r="HN317" s="129"/>
      <c r="HO317" s="129"/>
      <c r="HP317" s="129"/>
      <c r="HQ317" s="129"/>
      <c r="HR317" s="129"/>
      <c r="HS317" s="129"/>
      <c r="HT317" s="129"/>
      <c r="HU317" s="129"/>
      <c r="HV317" s="129"/>
      <c r="HW317" s="129"/>
      <c r="HX317" s="129"/>
      <c r="HY317" s="129"/>
      <c r="HZ317" s="129"/>
      <c r="IA317" s="129"/>
      <c r="IB317" s="129"/>
      <c r="IC317" s="129"/>
      <c r="ID317" s="129"/>
      <c r="IE317" s="129"/>
    </row>
    <row r="318" customFormat="false" ht="15.75" hidden="false" customHeight="false" outlineLevel="0" collapsed="false">
      <c r="I318" s="735"/>
      <c r="J318" s="727"/>
      <c r="K318" s="728"/>
      <c r="L318" s="195"/>
      <c r="M318" s="729"/>
      <c r="P318" s="727"/>
      <c r="S318" s="1"/>
      <c r="T318" s="727"/>
      <c r="U318" s="195"/>
      <c r="V318" s="195"/>
      <c r="W318" s="195"/>
      <c r="X318" s="195"/>
      <c r="Y318" s="195"/>
      <c r="Z318" s="195"/>
      <c r="AA318" s="195"/>
      <c r="AB318" s="195"/>
      <c r="AC318" s="195"/>
      <c r="AD318" s="195"/>
      <c r="AE318" s="195"/>
      <c r="AF318" s="195"/>
      <c r="AG318" s="195"/>
      <c r="AH318" s="195"/>
      <c r="AI318" s="195"/>
      <c r="AJ318" s="195"/>
      <c r="AK318" s="195"/>
      <c r="AL318" s="195"/>
      <c r="AM318" s="195"/>
      <c r="AN318" s="195"/>
      <c r="AO318" s="532"/>
      <c r="AP318" s="195"/>
      <c r="AQ318" s="532"/>
      <c r="AR318" s="195"/>
      <c r="AS318" s="240"/>
      <c r="AT318" s="240"/>
      <c r="AU318" s="240"/>
      <c r="AV318" s="730"/>
      <c r="AW318" s="730"/>
      <c r="AX318" s="730"/>
      <c r="AY318" s="730"/>
      <c r="AZ318" s="468"/>
      <c r="BA318" s="468"/>
      <c r="BB318" s="240"/>
      <c r="BC318" s="240"/>
      <c r="BD318" s="240"/>
      <c r="BE318" s="240"/>
      <c r="BF318" s="672"/>
      <c r="BG318" s="672"/>
      <c r="BH318" s="672"/>
      <c r="BI318" s="672"/>
      <c r="BJ318" s="672"/>
      <c r="BK318" s="240"/>
      <c r="BL318" s="736"/>
      <c r="BM318" s="737"/>
      <c r="BN318" s="240"/>
      <c r="BO318" s="240"/>
      <c r="BP318" s="240"/>
      <c r="BQ318" s="240"/>
      <c r="BR318" s="240"/>
      <c r="BS318" s="240"/>
      <c r="BT318" s="240"/>
      <c r="BU318" s="240"/>
      <c r="BV318" s="240"/>
      <c r="BW318" s="240"/>
      <c r="BX318" s="240"/>
      <c r="BY318" s="240"/>
      <c r="BZ318" s="240"/>
      <c r="CA318" s="240"/>
      <c r="CB318" s="240"/>
      <c r="CC318" s="672"/>
      <c r="CD318" s="672"/>
      <c r="CE318" s="672"/>
      <c r="CF318" s="672"/>
      <c r="CG318" s="672"/>
      <c r="CH318" s="672"/>
      <c r="CI318" s="240"/>
      <c r="CJ318" s="240"/>
      <c r="CK318" s="240"/>
      <c r="CL318" s="240"/>
      <c r="CM318" s="240"/>
      <c r="CN318" s="240"/>
      <c r="CO318" s="240"/>
      <c r="CP318" s="240"/>
      <c r="CQ318" s="240"/>
      <c r="CR318" s="240"/>
      <c r="CS318" s="240"/>
      <c r="CT318" s="240"/>
      <c r="CU318" s="240"/>
      <c r="CV318" s="240"/>
      <c r="CW318" s="240"/>
      <c r="CX318" s="240"/>
      <c r="CY318" s="240"/>
      <c r="CZ318" s="240"/>
      <c r="DA318" s="240"/>
      <c r="DB318" s="240"/>
      <c r="DC318" s="240"/>
      <c r="DD318" s="240"/>
      <c r="DE318" s="240"/>
      <c r="DF318" s="240"/>
      <c r="DG318" s="240"/>
      <c r="DH318" s="478"/>
      <c r="DI318" s="733"/>
      <c r="DJ318" s="195"/>
      <c r="DK318" s="478"/>
      <c r="DL318" s="4"/>
      <c r="DM318" s="4"/>
      <c r="DN318" s="4"/>
      <c r="DO318" s="4"/>
      <c r="DP318" s="4"/>
      <c r="DQ318" s="4"/>
      <c r="DR318" s="4"/>
      <c r="DT318" s="195"/>
      <c r="DU318" s="195"/>
      <c r="DV318" s="195"/>
      <c r="DW318" s="195"/>
      <c r="DX318" s="195"/>
      <c r="DY318" s="195"/>
      <c r="DZ318" s="195"/>
      <c r="EA318" s="195"/>
      <c r="EB318" s="195"/>
      <c r="EC318" s="195"/>
      <c r="ED318" s="195"/>
      <c r="EE318" s="195"/>
      <c r="EF318" s="195"/>
      <c r="EG318" s="195"/>
      <c r="EL318" s="1"/>
      <c r="EM318" s="195"/>
      <c r="EN318" s="731"/>
      <c r="EO318" s="240"/>
      <c r="EP318" s="195"/>
      <c r="EQ318" s="240"/>
      <c r="ER318" s="195"/>
      <c r="ES318" s="195"/>
      <c r="ET318" s="195"/>
      <c r="EU318" s="731"/>
      <c r="FJ318" s="148" t="s">
        <v>490</v>
      </c>
      <c r="FK318" s="129"/>
      <c r="FL318" s="129"/>
      <c r="FM318" s="129"/>
      <c r="FN318" s="129"/>
      <c r="FO318" s="129"/>
      <c r="FP318" s="129"/>
      <c r="FQ318" s="129"/>
      <c r="FR318" s="129"/>
      <c r="FS318" s="129"/>
      <c r="FT318" s="129"/>
      <c r="FU318" s="129"/>
      <c r="FV318" s="129"/>
      <c r="FW318" s="129"/>
      <c r="FX318" s="129"/>
      <c r="FY318" s="129"/>
      <c r="FZ318" s="129"/>
      <c r="GA318" s="129"/>
      <c r="GB318" s="129"/>
      <c r="GC318" s="129"/>
      <c r="GD318" s="129"/>
      <c r="GE318" s="129"/>
      <c r="GF318" s="129"/>
      <c r="GG318" s="129"/>
      <c r="GH318" s="129"/>
      <c r="GI318" s="129"/>
      <c r="GJ318" s="129"/>
      <c r="GK318" s="129"/>
      <c r="GL318" s="129"/>
      <c r="GM318" s="129"/>
      <c r="GN318" s="129"/>
      <c r="GO318" s="129"/>
      <c r="GP318" s="129"/>
      <c r="GQ318" s="129"/>
      <c r="GR318" s="129"/>
      <c r="GS318" s="129"/>
      <c r="GT318" s="129"/>
      <c r="GU318" s="129"/>
      <c r="GV318" s="129"/>
      <c r="GW318" s="129"/>
      <c r="GX318" s="129"/>
      <c r="GY318" s="129"/>
      <c r="GZ318" s="129"/>
      <c r="HA318" s="129"/>
      <c r="HB318" s="129"/>
      <c r="HC318" s="129"/>
      <c r="HD318" s="129"/>
      <c r="HE318" s="129"/>
      <c r="HF318" s="129"/>
      <c r="HG318" s="129"/>
      <c r="HH318" s="129"/>
      <c r="HI318" s="129"/>
      <c r="HJ318" s="129"/>
      <c r="HK318" s="129"/>
      <c r="HL318" s="129"/>
      <c r="HM318" s="129"/>
      <c r="HN318" s="129"/>
      <c r="HO318" s="129"/>
      <c r="HP318" s="129"/>
      <c r="HQ318" s="129"/>
      <c r="HR318" s="129"/>
      <c r="HS318" s="129"/>
      <c r="HT318" s="129"/>
      <c r="HU318" s="129"/>
      <c r="HV318" s="129"/>
      <c r="HW318" s="129"/>
      <c r="HX318" s="129"/>
      <c r="HY318" s="129"/>
      <c r="HZ318" s="129"/>
      <c r="IA318" s="129"/>
      <c r="IB318" s="129"/>
      <c r="IC318" s="129"/>
      <c r="ID318" s="129"/>
      <c r="IE318" s="129"/>
    </row>
    <row r="319" customFormat="false" ht="12.75" hidden="false" customHeight="false" outlineLevel="0" collapsed="false">
      <c r="I319" s="735"/>
      <c r="J319" s="727"/>
      <c r="K319" s="728"/>
      <c r="L319" s="195"/>
      <c r="M319" s="729"/>
      <c r="P319" s="727"/>
      <c r="S319" s="1"/>
      <c r="T319" s="727"/>
      <c r="U319" s="195"/>
      <c r="V319" s="195"/>
      <c r="W319" s="195"/>
      <c r="X319" s="195"/>
      <c r="Y319" s="195"/>
      <c r="Z319" s="195"/>
      <c r="AA319" s="195"/>
      <c r="AB319" s="195"/>
      <c r="AC319" s="195"/>
      <c r="AD319" s="195"/>
      <c r="AE319" s="195"/>
      <c r="AF319" s="195"/>
      <c r="AG319" s="195"/>
      <c r="AH319" s="195"/>
      <c r="AI319" s="195"/>
      <c r="AJ319" s="195"/>
      <c r="AK319" s="195"/>
      <c r="AL319" s="195"/>
      <c r="AM319" s="195"/>
      <c r="AN319" s="532"/>
      <c r="AO319" s="532"/>
      <c r="AP319" s="240"/>
      <c r="AQ319" s="532"/>
      <c r="AR319" s="240"/>
      <c r="AS319" s="240"/>
      <c r="AT319" s="240"/>
      <c r="AU319" s="730"/>
      <c r="AV319" s="730"/>
      <c r="AW319" s="730"/>
      <c r="AX319" s="730"/>
      <c r="AY319" s="468"/>
      <c r="AZ319" s="468"/>
      <c r="BA319" s="240"/>
      <c r="BB319" s="240"/>
      <c r="BC319" s="240"/>
      <c r="BD319" s="240"/>
      <c r="BE319" s="672"/>
      <c r="BF319" s="672"/>
      <c r="BG319" s="672"/>
      <c r="BH319" s="731"/>
      <c r="BI319" s="672"/>
      <c r="BJ319" s="240"/>
      <c r="BK319" s="736"/>
      <c r="BL319" s="737"/>
      <c r="BM319" s="240"/>
      <c r="BN319" s="240"/>
      <c r="BO319" s="240"/>
      <c r="BP319" s="240"/>
      <c r="BQ319" s="240"/>
      <c r="BR319" s="240"/>
      <c r="BS319" s="240"/>
      <c r="BT319" s="240"/>
      <c r="BU319" s="240"/>
      <c r="BV319" s="240"/>
      <c r="BW319" s="240"/>
      <c r="BX319" s="240"/>
      <c r="BY319" s="240"/>
      <c r="BZ319" s="240"/>
      <c r="CA319" s="240"/>
      <c r="CB319" s="672"/>
      <c r="CC319" s="672"/>
      <c r="CD319" s="672"/>
      <c r="CE319" s="672"/>
      <c r="CF319" s="672"/>
      <c r="CG319" s="672"/>
      <c r="CH319" s="240"/>
      <c r="CI319" s="240"/>
      <c r="CJ319" s="240"/>
      <c r="CK319" s="240"/>
      <c r="CL319" s="240"/>
      <c r="CM319" s="240"/>
      <c r="CN319" s="240"/>
      <c r="CO319" s="240"/>
      <c r="CP319" s="240"/>
      <c r="CQ319" s="240"/>
      <c r="CR319" s="240"/>
      <c r="CS319" s="240"/>
      <c r="CT319" s="240"/>
      <c r="CU319" s="240"/>
      <c r="CV319" s="240"/>
      <c r="CW319" s="240"/>
      <c r="CX319" s="240"/>
      <c r="CY319" s="240"/>
      <c r="CZ319" s="240"/>
      <c r="DA319" s="240"/>
      <c r="DB319" s="240"/>
      <c r="DC319" s="240"/>
      <c r="DD319" s="240"/>
      <c r="DE319" s="240"/>
      <c r="DF319" s="240"/>
      <c r="DG319" s="733"/>
      <c r="DH319" s="478"/>
      <c r="DI319" s="195"/>
      <c r="DJ319" s="3"/>
      <c r="DK319" s="478"/>
      <c r="DL319" s="4"/>
      <c r="DM319" s="4"/>
      <c r="DN319" s="4"/>
      <c r="DO319" s="4"/>
      <c r="DP319" s="4"/>
      <c r="DQ319" s="4"/>
      <c r="DS319" s="195"/>
      <c r="DT319" s="195"/>
      <c r="DU319" s="195"/>
      <c r="DV319" s="195"/>
      <c r="DW319" s="195"/>
      <c r="DX319" s="195"/>
      <c r="DY319" s="195"/>
      <c r="DZ319" s="195"/>
      <c r="EA319" s="195"/>
      <c r="EB319" s="195"/>
      <c r="EC319" s="195"/>
      <c r="ED319" s="195"/>
      <c r="EE319" s="195"/>
      <c r="EF319" s="195"/>
      <c r="EG319" s="195"/>
      <c r="EL319" s="1"/>
      <c r="EM319" s="195"/>
      <c r="EN319" s="240"/>
      <c r="EO319" s="240"/>
      <c r="EP319" s="195"/>
      <c r="EQ319" s="240"/>
      <c r="ER319" s="195"/>
      <c r="ES319" s="195"/>
      <c r="ET319" s="195"/>
      <c r="EU319" s="672"/>
      <c r="FJ319" s="213" t="s">
        <v>118</v>
      </c>
      <c r="FK319" s="129"/>
      <c r="FL319" s="129"/>
      <c r="FM319" s="129"/>
      <c r="FN319" s="129"/>
      <c r="FO319" s="129"/>
      <c r="FP319" s="129"/>
      <c r="FQ319" s="129"/>
      <c r="FR319" s="129"/>
      <c r="FS319" s="129"/>
      <c r="FT319" s="129"/>
      <c r="FU319" s="129"/>
      <c r="FV319" s="129"/>
      <c r="FW319" s="129"/>
      <c r="FX319" s="129"/>
      <c r="FY319" s="129"/>
      <c r="FZ319" s="129"/>
      <c r="GA319" s="129"/>
      <c r="GB319" s="129"/>
      <c r="GC319" s="129"/>
      <c r="GD319" s="129"/>
      <c r="GE319" s="129"/>
      <c r="GF319" s="129"/>
      <c r="GG319" s="129"/>
      <c r="GH319" s="129"/>
      <c r="GI319" s="129"/>
      <c r="GJ319" s="129"/>
      <c r="GK319" s="129"/>
      <c r="GL319" s="129"/>
      <c r="GM319" s="129"/>
      <c r="GN319" s="129"/>
      <c r="GO319" s="129"/>
      <c r="GP319" s="129"/>
      <c r="GQ319" s="129"/>
      <c r="GR319" s="129"/>
      <c r="GS319" s="129"/>
      <c r="GT319" s="129"/>
      <c r="GU319" s="129"/>
      <c r="GV319" s="129"/>
      <c r="GW319" s="129"/>
      <c r="GX319" s="129"/>
      <c r="GY319" s="129"/>
      <c r="GZ319" s="129"/>
      <c r="HA319" s="129"/>
      <c r="HB319" s="129"/>
      <c r="HC319" s="129"/>
      <c r="HD319" s="129"/>
      <c r="HE319" s="129"/>
      <c r="HF319" s="129"/>
      <c r="HG319" s="129"/>
      <c r="HH319" s="129"/>
      <c r="HI319" s="129"/>
      <c r="HJ319" s="129"/>
      <c r="HK319" s="129"/>
      <c r="HL319" s="129"/>
      <c r="HM319" s="129"/>
      <c r="HN319" s="129"/>
      <c r="HO319" s="129"/>
      <c r="HP319" s="129"/>
      <c r="HQ319" s="129"/>
      <c r="HR319" s="129"/>
      <c r="HS319" s="129"/>
      <c r="HT319" s="129"/>
      <c r="HU319" s="129"/>
      <c r="HV319" s="129"/>
      <c r="HW319" s="129"/>
      <c r="HX319" s="129"/>
      <c r="HY319" s="129"/>
      <c r="HZ319" s="129"/>
      <c r="IA319" s="129"/>
      <c r="IB319" s="129"/>
      <c r="IC319" s="129"/>
      <c r="ID319" s="129"/>
      <c r="IE319" s="129"/>
    </row>
    <row r="320" customFormat="false" ht="12.75" hidden="false" customHeight="false" outlineLevel="0" collapsed="false">
      <c r="I320" s="735"/>
      <c r="J320" s="727"/>
      <c r="K320" s="728"/>
      <c r="L320" s="195"/>
      <c r="M320" s="729"/>
      <c r="P320" s="727"/>
      <c r="S320" s="1"/>
      <c r="T320" s="727"/>
      <c r="U320" s="195"/>
      <c r="V320" s="195"/>
      <c r="W320" s="195"/>
      <c r="X320" s="195"/>
      <c r="Y320" s="195"/>
      <c r="Z320" s="195"/>
      <c r="AA320" s="195"/>
      <c r="AB320" s="195"/>
      <c r="AC320" s="195"/>
      <c r="AD320" s="195"/>
      <c r="AE320" s="195"/>
      <c r="AF320" s="195"/>
      <c r="AG320" s="195"/>
      <c r="AH320" s="195"/>
      <c r="AI320" s="195"/>
      <c r="AJ320" s="195"/>
      <c r="AK320" s="195"/>
      <c r="AL320" s="195"/>
      <c r="AM320" s="195"/>
      <c r="AN320" s="532"/>
      <c r="AO320" s="532"/>
      <c r="AP320" s="240"/>
      <c r="AQ320" s="532"/>
      <c r="AR320" s="240"/>
      <c r="AS320" s="240"/>
      <c r="AT320" s="240"/>
      <c r="AU320" s="730"/>
      <c r="AV320" s="730"/>
      <c r="AW320" s="730"/>
      <c r="AX320" s="730"/>
      <c r="AY320" s="468"/>
      <c r="AZ320" s="468"/>
      <c r="BA320" s="240"/>
      <c r="BB320" s="240"/>
      <c r="BC320" s="240"/>
      <c r="BD320" s="240"/>
      <c r="BE320" s="672"/>
      <c r="BF320" s="672"/>
      <c r="BG320" s="672"/>
      <c r="BH320" s="731"/>
      <c r="BI320" s="672"/>
      <c r="BJ320" s="240"/>
      <c r="BK320" s="736"/>
      <c r="BL320" s="737"/>
      <c r="BM320" s="240"/>
      <c r="BN320" s="240"/>
      <c r="BO320" s="240"/>
      <c r="BP320" s="240"/>
      <c r="BQ320" s="240"/>
      <c r="BR320" s="240"/>
      <c r="BS320" s="240"/>
      <c r="BT320" s="240"/>
      <c r="BU320" s="240"/>
      <c r="BV320" s="240"/>
      <c r="BW320" s="240"/>
      <c r="BX320" s="240"/>
      <c r="BY320" s="240"/>
      <c r="BZ320" s="240"/>
      <c r="CA320" s="240"/>
      <c r="CB320" s="672"/>
      <c r="CC320" s="672"/>
      <c r="CD320" s="672"/>
      <c r="CE320" s="672"/>
      <c r="CF320" s="672"/>
      <c r="CG320" s="672"/>
      <c r="CH320" s="240"/>
      <c r="CI320" s="240"/>
      <c r="CJ320" s="240"/>
      <c r="CK320" s="240"/>
      <c r="CL320" s="240"/>
      <c r="CM320" s="240"/>
      <c r="CN320" s="240"/>
      <c r="CO320" s="240"/>
      <c r="CP320" s="240"/>
      <c r="CQ320" s="240"/>
      <c r="CR320" s="240"/>
      <c r="CS320" s="240"/>
      <c r="CT320" s="240"/>
      <c r="CU320" s="240"/>
      <c r="CV320" s="240"/>
      <c r="CW320" s="240"/>
      <c r="CX320" s="240"/>
      <c r="CY320" s="240"/>
      <c r="CZ320" s="240"/>
      <c r="DA320" s="240"/>
      <c r="DB320" s="240"/>
      <c r="DC320" s="240"/>
      <c r="DD320" s="240"/>
      <c r="DE320" s="240"/>
      <c r="DF320" s="240"/>
      <c r="DG320" s="733"/>
      <c r="DH320" s="478"/>
      <c r="DI320" s="195"/>
      <c r="DJ320" s="3"/>
      <c r="DK320" s="478"/>
      <c r="DL320" s="4"/>
      <c r="DM320" s="4"/>
      <c r="DN320" s="4"/>
      <c r="DO320" s="4"/>
      <c r="DP320" s="4"/>
      <c r="DQ320" s="4"/>
      <c r="DS320" s="195"/>
      <c r="DT320" s="195"/>
      <c r="DU320" s="195"/>
      <c r="DV320" s="195"/>
      <c r="DW320" s="195"/>
      <c r="DX320" s="195"/>
      <c r="DY320" s="195"/>
      <c r="DZ320" s="195"/>
      <c r="EA320" s="195"/>
      <c r="EB320" s="195"/>
      <c r="EC320" s="195"/>
      <c r="ED320" s="195"/>
      <c r="EE320" s="195"/>
      <c r="EF320" s="195"/>
      <c r="EG320" s="195"/>
      <c r="EL320" s="1"/>
      <c r="EM320" s="195"/>
      <c r="EN320" s="240"/>
      <c r="EO320" s="240"/>
      <c r="EP320" s="195"/>
      <c r="EQ320" s="240"/>
      <c r="ER320" s="195"/>
      <c r="ES320" s="195"/>
      <c r="ET320" s="195"/>
      <c r="EU320" s="672"/>
      <c r="FJ320" s="129"/>
      <c r="FK320" s="241" t="n">
        <f aca="false">FK15</f>
        <v>0</v>
      </c>
      <c r="FL320" s="132" t="str">
        <f aca="false">IF(SwaptionYearsToExp&lt;=SUM($FK$15:FK15),"",MIN(FL$15,SwaptionYearsToExp-SUM($FK$15:FK15)))</f>
        <v/>
      </c>
      <c r="FM320" s="132" t="n">
        <f aca="false">IF(SwaptionYearsToExp&lt;=SUM($FK$15:FL15),"",MIN(FM$15,SwaptionYearsToExp-SUM($FK$15:FL15)))</f>
        <v>0.0876112251882262</v>
      </c>
      <c r="FN320" s="132" t="n">
        <f aca="false">IF(SwaptionYearsToExp&lt;=SUM($FK$15:FM15),"",MIN(FN$15,SwaptionYearsToExp-SUM($FK$15:FM15)))</f>
        <v>0.0766598220396979</v>
      </c>
      <c r="FO320" s="132" t="n">
        <f aca="false">IF(SwaptionYearsToExp&lt;=SUM($FK$15:FN15),"",MIN(FO$15,SwaptionYearsToExp-SUM($FK$15:FN15)))</f>
        <v>0.0821355236139638</v>
      </c>
      <c r="FP320" s="132" t="n">
        <f aca="false">IF(SwaptionYearsToExp&lt;=SUM($FK$15:FO15),"",MIN(FP$15,SwaptionYearsToExp-SUM($FK$15:FO15)))</f>
        <v>0.0465434633812443</v>
      </c>
      <c r="FQ320" s="132" t="str">
        <f aca="false">IF(SwaptionYearsToExp&lt;=SUM($FK$15:FP15),"",MIN(FQ$15,SwaptionYearsToExp-SUM($FK$15:FP15)))</f>
        <v/>
      </c>
      <c r="FR320" s="132" t="str">
        <f aca="false">IF(SwaptionYearsToExp&lt;=SUM($FK$15:FQ15),"",MIN(FR$15,SwaptionYearsToExp-SUM($FK$15:FQ15)))</f>
        <v/>
      </c>
      <c r="FS320" s="132" t="str">
        <f aca="false">IF(SwaptionYearsToExp&lt;=SUM($FK$15:FR15),"",MIN(FS$15,SwaptionYearsToExp-SUM($FK$15:FR15)))</f>
        <v/>
      </c>
      <c r="FT320" s="132" t="str">
        <f aca="false">IF(SwaptionYearsToExp&lt;=SUM($FK$15:FS15),"",MIN(FT$15,SwaptionYearsToExp-SUM($FK$15:FS15)))</f>
        <v/>
      </c>
      <c r="FU320" s="132" t="str">
        <f aca="false">IF(SwaptionYearsToExp&lt;=SUM($FK$15:FT15),"",MIN(FU$15,SwaptionYearsToExp-SUM($FK$15:FT15)))</f>
        <v/>
      </c>
      <c r="FV320" s="132" t="str">
        <f aca="false">IF(SwaptionYearsToExp&lt;=SUM($FK$15:FU15),"",MIN(FV$15,SwaptionYearsToExp-SUM($FK$15:FU15)))</f>
        <v/>
      </c>
      <c r="FW320" s="132" t="str">
        <f aca="false">IF(SwaptionYearsToExp&lt;=SUM($FK$15:FV15),"",MIN(FW$15,SwaptionYearsToExp-SUM($FK$15:FV15)))</f>
        <v/>
      </c>
      <c r="FX320" s="132" t="str">
        <f aca="false">IF(SwaptionYearsToExp&lt;=SUM($FK$15:FW15),"",MIN(FX$15,SwaptionYearsToExp-SUM($FK$15:FW15)))</f>
        <v/>
      </c>
      <c r="FY320" s="132" t="str">
        <f aca="false">IF(SwaptionYearsToExp&lt;=SUM($FK$15:FX15),"",MIN(FY$15,SwaptionYearsToExp-SUM($FK$15:FX15)))</f>
        <v/>
      </c>
      <c r="FZ320" s="132" t="str">
        <f aca="false">IF(SwaptionYearsToExp&lt;=SUM($FK$15:FY15),"",MIN(FZ$15,SwaptionYearsToExp-SUM($FK$15:FY15)))</f>
        <v/>
      </c>
      <c r="GA320" s="132" t="str">
        <f aca="false">IF(SwaptionYearsToExp&lt;=SUM($FK$15:FZ15),"",MIN(GA$15,SwaptionYearsToExp-SUM($FK$15:FZ15)))</f>
        <v/>
      </c>
      <c r="GB320" s="132" t="str">
        <f aca="false">IF(SwaptionYearsToExp&lt;=SUM($FK$15:GA15),"",MIN(GB$15,SwaptionYearsToExp-SUM($FK$15:GA15)))</f>
        <v/>
      </c>
      <c r="GC320" s="132" t="str">
        <f aca="false">IF(SwaptionYearsToExp&lt;=SUM($FK$15:GB15),"",MIN(GC$15,SwaptionYearsToExp-SUM($FK$15:GB15)))</f>
        <v/>
      </c>
      <c r="GD320" s="132" t="str">
        <f aca="false">IF(SwaptionYearsToExp&lt;=SUM($FK$15:GC15),"",MIN(GD$15,SwaptionYearsToExp-SUM($FK$15:GC15)))</f>
        <v/>
      </c>
      <c r="GE320" s="132" t="str">
        <f aca="false">IF(SwaptionYearsToExp&lt;=SUM($FK$15:GD15),"",MIN(GE$15,SwaptionYearsToExp-SUM($FK$15:GD15)))</f>
        <v/>
      </c>
      <c r="GF320" s="132" t="str">
        <f aca="false">IF(SwaptionYearsToExp&lt;=SUM($FK$15:GE15),"",MIN(GF$15,SwaptionYearsToExp-SUM($FK$15:GE15)))</f>
        <v/>
      </c>
      <c r="GG320" s="132" t="str">
        <f aca="false">IF(SwaptionYearsToExp&lt;=SUM($FK$15:GF15),"",MIN(GG$15,SwaptionYearsToExp-SUM($FK$15:GF15)))</f>
        <v/>
      </c>
      <c r="GH320" s="132" t="str">
        <f aca="false">IF(SwaptionYearsToExp&lt;=SUM($FK$15:GG15),"",MIN(GH$15,SwaptionYearsToExp-SUM($FK$15:GG15)))</f>
        <v/>
      </c>
      <c r="GI320" s="132" t="str">
        <f aca="false">IF(SwaptionYearsToExp&lt;=SUM($FK$15:GH15),"",MIN(GI$15,SwaptionYearsToExp-SUM($FK$15:GH15)))</f>
        <v/>
      </c>
      <c r="GJ320" s="132" t="str">
        <f aca="false">IF(SwaptionYearsToExp&lt;=SUM($FK$15:GI15),"",MIN(GJ$15,SwaptionYearsToExp-SUM($FK$15:GI15)))</f>
        <v/>
      </c>
      <c r="GK320" s="132" t="str">
        <f aca="false">IF(SwaptionYearsToExp&lt;=SUM($FK$15:GJ15),"",MIN(GK$15,SwaptionYearsToExp-SUM($FK$15:GJ15)))</f>
        <v/>
      </c>
      <c r="GL320" s="132" t="str">
        <f aca="false">IF(SwaptionYearsToExp&lt;=SUM($FK$15:GK15),"",MIN(GL$15,SwaptionYearsToExp-SUM($FK$15:GK15)))</f>
        <v/>
      </c>
      <c r="GM320" s="132" t="str">
        <f aca="false">IF(SwaptionYearsToExp&lt;=SUM($FK$15:GL15),"",MIN(GM$15,SwaptionYearsToExp-SUM($FK$15:GL15)))</f>
        <v/>
      </c>
      <c r="GN320" s="132" t="str">
        <f aca="false">IF(SwaptionYearsToExp&lt;=SUM($FK$15:GM15),"",MIN(GN$15,SwaptionYearsToExp-SUM($FK$15:GM15)))</f>
        <v/>
      </c>
      <c r="GO320" s="132" t="str">
        <f aca="false">IF(SwaptionYearsToExp&lt;=SUM($FK$15:GN15),"",MIN(GO$15,SwaptionYearsToExp-SUM($FK$15:GN15)))</f>
        <v/>
      </c>
      <c r="GP320" s="132" t="str">
        <f aca="false">IF(SwaptionYearsToExp&lt;=SUM($FK$15:GO15),"",MIN(GP$15,SwaptionYearsToExp-SUM($FK$15:GO15)))</f>
        <v/>
      </c>
      <c r="GQ320" s="132" t="str">
        <f aca="false">IF(SwaptionYearsToExp&lt;=SUM($FK$15:GP15),"",MIN(GQ$15,SwaptionYearsToExp-SUM($FK$15:GP15)))</f>
        <v/>
      </c>
      <c r="GR320" s="132" t="str">
        <f aca="false">IF(SwaptionYearsToExp&lt;=SUM($FK$15:GQ15),"",MIN(GR$15,SwaptionYearsToExp-SUM($FK$15:GQ15)))</f>
        <v/>
      </c>
      <c r="GS320" s="132" t="str">
        <f aca="false">IF(SwaptionYearsToExp&lt;=SUM($FK$15:GR15),"",MIN(GS$15,SwaptionYearsToExp-SUM($FK$15:GR15)))</f>
        <v/>
      </c>
      <c r="GT320" s="132" t="str">
        <f aca="false">IF(SwaptionYearsToExp&lt;=SUM($FK$15:GS15),"",MIN(GT$15,SwaptionYearsToExp-SUM($FK$15:GS15)))</f>
        <v/>
      </c>
      <c r="GU320" s="132" t="str">
        <f aca="false">IF(SwaptionYearsToExp&lt;=SUM($FK$15:GT15),"",MIN(GU$15,SwaptionYearsToExp-SUM($FK$15:GT15)))</f>
        <v/>
      </c>
      <c r="GV320" s="132" t="str">
        <f aca="false">IF(SwaptionYearsToExp&lt;=SUM($FK$15:GU15),"",MIN(GV$15,SwaptionYearsToExp-SUM($FK$15:GU15)))</f>
        <v/>
      </c>
      <c r="GW320" s="132" t="str">
        <f aca="false">IF(SwaptionYearsToExp&lt;=SUM($FK$15:GV15),"",MIN(GW$15,SwaptionYearsToExp-SUM($FK$15:GV15)))</f>
        <v/>
      </c>
      <c r="GX320" s="132" t="str">
        <f aca="false">IF(SwaptionYearsToExp&lt;=SUM($FK$15:GW15),"",MIN(GX$15,SwaptionYearsToExp-SUM($FK$15:GW15)))</f>
        <v/>
      </c>
      <c r="GY320" s="132" t="str">
        <f aca="false">IF(SwaptionYearsToExp&lt;=SUM($FK$15:GX15),"",MIN(GY$15,SwaptionYearsToExp-SUM($FK$15:GX15)))</f>
        <v/>
      </c>
      <c r="GZ320" s="132" t="str">
        <f aca="false">IF(SwaptionYearsToExp&lt;=SUM($FK$15:GY15),"",MIN(GZ$15,SwaptionYearsToExp-SUM($FK$15:GY15)))</f>
        <v/>
      </c>
      <c r="HA320" s="132" t="str">
        <f aca="false">IF(SwaptionYearsToExp&lt;=SUM($FK$15:GZ15),"",MIN(HA$15,SwaptionYearsToExp-SUM($FK$15:GZ15)))</f>
        <v/>
      </c>
      <c r="HB320" s="132" t="str">
        <f aca="false">IF(SwaptionYearsToExp&lt;=SUM($FK$15:HA15),"",MIN(HB$15,SwaptionYearsToExp-SUM($FK$15:HA15)))</f>
        <v/>
      </c>
      <c r="HC320" s="132" t="str">
        <f aca="false">IF(SwaptionYearsToExp&lt;=SUM($FK$15:HB15),"",MIN(HC$15,SwaptionYearsToExp-SUM($FK$15:HB15)))</f>
        <v/>
      </c>
      <c r="HD320" s="132" t="str">
        <f aca="false">IF(SwaptionYearsToExp&lt;=SUM($FK$15:HC15),"",MIN(HD$15,SwaptionYearsToExp-SUM($FK$15:HC15)))</f>
        <v/>
      </c>
      <c r="HE320" s="132" t="str">
        <f aca="false">IF(SwaptionYearsToExp&lt;=SUM($FK$15:HD15),"",MIN(HE$15,SwaptionYearsToExp-SUM($FK$15:HD15)))</f>
        <v/>
      </c>
      <c r="HF320" s="132" t="str">
        <f aca="false">IF(SwaptionYearsToExp&lt;=SUM($FK$15:HE15),"",MIN(HF$15,SwaptionYearsToExp-SUM($FK$15:HE15)))</f>
        <v/>
      </c>
      <c r="HG320" s="132" t="str">
        <f aca="false">IF(SwaptionYearsToExp&lt;=SUM($FK$15:HF15),"",MIN(HG$15,SwaptionYearsToExp-SUM($FK$15:HF15)))</f>
        <v/>
      </c>
      <c r="HH320" s="132" t="str">
        <f aca="false">IF(SwaptionYearsToExp&lt;=SUM($FK$15:HG15),"",MIN(HH$15,SwaptionYearsToExp-SUM($FK$15:HG15)))</f>
        <v/>
      </c>
      <c r="HI320" s="132" t="str">
        <f aca="false">IF(SwaptionYearsToExp&lt;=SUM($FK$15:HH15),"",MIN(HI$15,SwaptionYearsToExp-SUM($FK$15:HH15)))</f>
        <v/>
      </c>
      <c r="HJ320" s="132" t="str">
        <f aca="false">IF(SwaptionYearsToExp&lt;=SUM($FK$15:HI15),"",MIN(HJ$15,SwaptionYearsToExp-SUM($FK$15:HI15)))</f>
        <v/>
      </c>
      <c r="HK320" s="132" t="str">
        <f aca="false">IF(SwaptionYearsToExp&lt;=SUM($FK$15:HJ15),"",MIN(HK$15,SwaptionYearsToExp-SUM($FK$15:HJ15)))</f>
        <v/>
      </c>
      <c r="HL320" s="132" t="str">
        <f aca="false">IF(SwaptionYearsToExp&lt;=SUM($FK$15:HK15),"",MIN(HL$15,SwaptionYearsToExp-SUM($FK$15:HK15)))</f>
        <v/>
      </c>
      <c r="HM320" s="132" t="str">
        <f aca="false">IF(SwaptionYearsToExp&lt;=SUM($FK$15:HL15),"",MIN(HM$15,SwaptionYearsToExp-SUM($FK$15:HL15)))</f>
        <v/>
      </c>
      <c r="HN320" s="132" t="str">
        <f aca="false">IF(SwaptionYearsToExp&lt;=SUM($FK$15:HM15),"",MIN(HN$15,SwaptionYearsToExp-SUM($FK$15:HM15)))</f>
        <v/>
      </c>
      <c r="HO320" s="132" t="str">
        <f aca="false">IF(SwaptionYearsToExp&lt;=SUM($FK$15:HN15),"",MIN(HO$15,SwaptionYearsToExp-SUM($FK$15:HN15)))</f>
        <v/>
      </c>
      <c r="HP320" s="132" t="str">
        <f aca="false">IF(SwaptionYearsToExp&lt;=SUM($FK$15:HO15),"",MIN(HP$15,SwaptionYearsToExp-SUM($FK$15:HO15)))</f>
        <v/>
      </c>
      <c r="HQ320" s="132" t="str">
        <f aca="false">IF(SwaptionYearsToExp&lt;=SUM($FK$15:HP15),"",MIN(HQ$15,SwaptionYearsToExp-SUM($FK$15:HP15)))</f>
        <v/>
      </c>
      <c r="HR320" s="132" t="str">
        <f aca="false">IF(SwaptionYearsToExp&lt;=SUM($FK$15:HQ15),"",MIN(HR$15,SwaptionYearsToExp-SUM($FK$15:HQ15)))</f>
        <v/>
      </c>
      <c r="HS320" s="132" t="str">
        <f aca="false">IF(SwaptionYearsToExp&lt;=SUM($FK$15:HR15),"",MIN(HS$15,SwaptionYearsToExp-SUM($FK$15:HR15)))</f>
        <v/>
      </c>
      <c r="HT320" s="132" t="str">
        <f aca="false">IF(SwaptionYearsToExp&lt;=SUM($FK$15:HS15),"",MIN(HT$15,SwaptionYearsToExp-SUM($FK$15:HS15)))</f>
        <v/>
      </c>
      <c r="HU320" s="132" t="str">
        <f aca="false">IF(SwaptionYearsToExp&lt;=SUM($FK$15:HT15),"",MIN(HU$15,SwaptionYearsToExp-SUM($FK$15:HT15)))</f>
        <v/>
      </c>
      <c r="HV320" s="132" t="str">
        <f aca="false">IF(SwaptionYearsToExp&lt;=SUM($FK$15:HU15),"",MIN(HV$15,SwaptionYearsToExp-SUM($FK$15:HU15)))</f>
        <v/>
      </c>
      <c r="HW320" s="132" t="str">
        <f aca="false">IF(SwaptionYearsToExp&lt;=SUM($FK$15:HV15),"",MIN(HW$15,SwaptionYearsToExp-SUM($FK$15:HV15)))</f>
        <v/>
      </c>
      <c r="HX320" s="132" t="str">
        <f aca="false">IF(SwaptionYearsToExp&lt;=SUM($FK$15:HW15),"",MIN(HX$15,SwaptionYearsToExp-SUM($FK$15:HW15)))</f>
        <v/>
      </c>
      <c r="HY320" s="132" t="str">
        <f aca="false">IF(SwaptionYearsToExp&lt;=SUM($FK$15:HX15),"",MIN(HY$15,SwaptionYearsToExp-SUM($FK$15:HX15)))</f>
        <v/>
      </c>
      <c r="HZ320" s="132" t="str">
        <f aca="false">IF(SwaptionYearsToExp&lt;=SUM($FK$15:HY15),"",MIN(HZ$15,SwaptionYearsToExp-SUM($FK$15:HY15)))</f>
        <v/>
      </c>
      <c r="IA320" s="132" t="str">
        <f aca="false">IF(SwaptionYearsToExp&lt;=SUM($FK$15:HZ15),"",MIN(IA$15,SwaptionYearsToExp-SUM($FK$15:HZ15)))</f>
        <v/>
      </c>
      <c r="IB320" s="132" t="str">
        <f aca="false">IF(SwaptionYearsToExp&lt;=SUM($FK$15:IA15),"",MIN(IB$15,SwaptionYearsToExp-SUM($FK$15:IA15)))</f>
        <v/>
      </c>
      <c r="IC320" s="132" t="str">
        <f aca="false">IF(SwaptionYearsToExp&lt;=SUM($FK$15:IB15),"",MIN(IC$15,SwaptionYearsToExp-SUM($FK$15:IB15)))</f>
        <v/>
      </c>
      <c r="ID320" s="132" t="str">
        <f aca="false">IF(SwaptionYearsToExp&lt;=SUM($FK$15:IC15),"",MIN(ID$15,SwaptionYearsToExp-SUM($FK$15:IC15)))</f>
        <v/>
      </c>
      <c r="IE320" s="129"/>
    </row>
    <row r="321" customFormat="false" ht="12.75" hidden="false" customHeight="false" outlineLevel="0" collapsed="false">
      <c r="I321" s="735"/>
      <c r="J321" s="727"/>
      <c r="K321" s="195"/>
      <c r="L321" s="195"/>
      <c r="M321" s="729"/>
      <c r="P321" s="727"/>
      <c r="S321" s="1"/>
      <c r="T321" s="727"/>
      <c r="U321" s="195"/>
      <c r="V321" s="195"/>
      <c r="W321" s="195"/>
      <c r="X321" s="195"/>
      <c r="Y321" s="195"/>
      <c r="Z321" s="195"/>
      <c r="AA321" s="195"/>
      <c r="AB321" s="195"/>
      <c r="AC321" s="195"/>
      <c r="AD321" s="195"/>
      <c r="AE321" s="195"/>
      <c r="AF321" s="195"/>
      <c r="AG321" s="195"/>
      <c r="AH321" s="195"/>
      <c r="AI321" s="195"/>
      <c r="AJ321" s="195"/>
      <c r="AK321" s="195"/>
      <c r="AL321" s="195"/>
      <c r="AM321" s="195"/>
      <c r="AN321" s="532"/>
      <c r="AO321" s="532"/>
      <c r="AP321" s="240"/>
      <c r="AQ321" s="532"/>
      <c r="AR321" s="240"/>
      <c r="AS321" s="240"/>
      <c r="AT321" s="240"/>
      <c r="AU321" s="730"/>
      <c r="AV321" s="730"/>
      <c r="AW321" s="730"/>
      <c r="AX321" s="730"/>
      <c r="AY321" s="468"/>
      <c r="AZ321" s="468"/>
      <c r="BA321" s="240"/>
      <c r="BB321" s="240"/>
      <c r="BC321" s="240"/>
      <c r="BD321" s="240"/>
      <c r="BE321" s="672"/>
      <c r="BF321" s="672"/>
      <c r="BG321" s="672"/>
      <c r="BH321" s="731"/>
      <c r="BI321" s="672"/>
      <c r="BJ321" s="240"/>
      <c r="BK321" s="736"/>
      <c r="BL321" s="737"/>
      <c r="BM321" s="240"/>
      <c r="BN321" s="240"/>
      <c r="BO321" s="240"/>
      <c r="BP321" s="240"/>
      <c r="BQ321" s="240"/>
      <c r="BR321" s="240"/>
      <c r="BS321" s="240"/>
      <c r="BT321" s="240"/>
      <c r="BU321" s="240"/>
      <c r="BV321" s="240"/>
      <c r="BW321" s="240"/>
      <c r="BX321" s="240"/>
      <c r="BY321" s="240"/>
      <c r="BZ321" s="240"/>
      <c r="CA321" s="240"/>
      <c r="CB321" s="672"/>
      <c r="CC321" s="672"/>
      <c r="CD321" s="672"/>
      <c r="CE321" s="672"/>
      <c r="CF321" s="672"/>
      <c r="CG321" s="672"/>
      <c r="CH321" s="240"/>
      <c r="CI321" s="240"/>
      <c r="CJ321" s="240"/>
      <c r="CK321" s="240"/>
      <c r="CL321" s="240"/>
      <c r="CM321" s="240"/>
      <c r="CN321" s="240"/>
      <c r="CO321" s="240"/>
      <c r="CP321" s="240"/>
      <c r="CQ321" s="240"/>
      <c r="CR321" s="240"/>
      <c r="CS321" s="240"/>
      <c r="CT321" s="240"/>
      <c r="CU321" s="240"/>
      <c r="CV321" s="240"/>
      <c r="CW321" s="240"/>
      <c r="CX321" s="240"/>
      <c r="CY321" s="240"/>
      <c r="CZ321" s="240"/>
      <c r="DA321" s="240"/>
      <c r="DB321" s="240"/>
      <c r="DC321" s="240"/>
      <c r="DD321" s="240"/>
      <c r="DE321" s="240"/>
      <c r="DF321" s="240"/>
      <c r="DG321" s="733"/>
      <c r="DH321" s="478"/>
      <c r="DI321" s="195"/>
      <c r="DJ321" s="3"/>
      <c r="DK321" s="478"/>
      <c r="DL321" s="4"/>
      <c r="DM321" s="4"/>
      <c r="DN321" s="4"/>
      <c r="DO321" s="4"/>
      <c r="DP321" s="4"/>
      <c r="DQ321" s="4"/>
      <c r="DS321" s="195"/>
      <c r="DT321" s="195"/>
      <c r="DU321" s="195"/>
      <c r="DV321" s="195"/>
      <c r="DW321" s="195"/>
      <c r="DX321" s="195"/>
      <c r="DY321" s="195"/>
      <c r="DZ321" s="195"/>
      <c r="EA321" s="195"/>
      <c r="EB321" s="195"/>
      <c r="EC321" s="195"/>
      <c r="ED321" s="195"/>
      <c r="EE321" s="195"/>
      <c r="EF321" s="195"/>
      <c r="EG321" s="195"/>
      <c r="EL321" s="1"/>
      <c r="EM321" s="195"/>
      <c r="EN321" s="240"/>
      <c r="EO321" s="240"/>
      <c r="EP321" s="195"/>
      <c r="EQ321" s="240"/>
      <c r="ER321" s="195"/>
      <c r="ES321" s="195"/>
      <c r="ET321" s="195"/>
      <c r="EU321" s="672"/>
      <c r="FJ321" s="288"/>
      <c r="FK321" s="288"/>
      <c r="FL321" s="289"/>
      <c r="FM321" s="19"/>
      <c r="FN321" s="19"/>
      <c r="FO321" s="19"/>
      <c r="FP321" s="19"/>
      <c r="FQ321" s="19"/>
      <c r="FR321" s="19"/>
      <c r="FS321" s="19"/>
      <c r="FT321" s="19"/>
      <c r="FU321" s="19"/>
      <c r="FV321" s="19"/>
      <c r="FW321" s="19"/>
      <c r="FX321" s="19"/>
      <c r="FY321" s="19"/>
      <c r="FZ321" s="19"/>
      <c r="GA321" s="19"/>
      <c r="GB321" s="19"/>
      <c r="GC321" s="19"/>
      <c r="GD321" s="19"/>
      <c r="GE321" s="19"/>
      <c r="GF321" s="19"/>
      <c r="GG321" s="19"/>
      <c r="GH321" s="19"/>
      <c r="GI321" s="19"/>
      <c r="GJ321" s="19"/>
      <c r="GK321" s="19"/>
      <c r="GL321" s="19"/>
      <c r="GM321" s="19"/>
      <c r="GN321" s="19"/>
      <c r="GO321" s="19"/>
      <c r="GP321" s="19"/>
      <c r="GQ321" s="19"/>
      <c r="GR321" s="19"/>
      <c r="GS321" s="19"/>
      <c r="GT321" s="19"/>
      <c r="GU321" s="19"/>
      <c r="GV321" s="19"/>
      <c r="GW321" s="19"/>
      <c r="GX321" s="19"/>
      <c r="GY321" s="19"/>
      <c r="GZ321" s="19"/>
      <c r="HA321" s="19"/>
      <c r="HB321" s="19"/>
      <c r="HC321" s="19"/>
      <c r="HD321" s="19"/>
      <c r="HE321" s="129"/>
      <c r="HF321" s="19"/>
      <c r="HG321" s="19"/>
      <c r="HH321" s="19"/>
      <c r="HI321" s="192"/>
      <c r="HJ321" s="192"/>
      <c r="HK321" s="192"/>
      <c r="HL321" s="192"/>
      <c r="HM321" s="192"/>
      <c r="HN321" s="192"/>
      <c r="HO321" s="192"/>
      <c r="HP321" s="193"/>
      <c r="HQ321" s="193"/>
      <c r="HR321" s="193"/>
      <c r="HS321" s="193"/>
      <c r="HT321" s="129"/>
      <c r="HU321" s="129"/>
      <c r="HV321" s="129"/>
      <c r="HW321" s="129"/>
      <c r="HX321" s="132"/>
      <c r="HY321" s="129"/>
      <c r="HZ321" s="129"/>
      <c r="IA321" s="129"/>
      <c r="IB321" s="129"/>
      <c r="IC321" s="129"/>
      <c r="ID321" s="129"/>
      <c r="IE321" s="129"/>
    </row>
    <row r="322" customFormat="false" ht="12.75" hidden="false" customHeight="false" outlineLevel="0" collapsed="false">
      <c r="I322" s="735"/>
      <c r="J322" s="727"/>
      <c r="K322" s="195"/>
      <c r="L322" s="195"/>
      <c r="M322" s="729"/>
      <c r="P322" s="727"/>
      <c r="S322" s="1"/>
      <c r="T322" s="727"/>
      <c r="U322" s="195"/>
      <c r="V322" s="195"/>
      <c r="W322" s="195"/>
      <c r="X322" s="195"/>
      <c r="Y322" s="195"/>
      <c r="Z322" s="195"/>
      <c r="AA322" s="195"/>
      <c r="AB322" s="195"/>
      <c r="AC322" s="195"/>
      <c r="AD322" s="195"/>
      <c r="AE322" s="195"/>
      <c r="AF322" s="195"/>
      <c r="AG322" s="195"/>
      <c r="AH322" s="195"/>
      <c r="AI322" s="195"/>
      <c r="AJ322" s="195"/>
      <c r="AK322" s="195"/>
      <c r="AL322" s="195"/>
      <c r="AM322" s="195"/>
      <c r="AN322" s="532"/>
      <c r="AO322" s="532"/>
      <c r="AP322" s="240"/>
      <c r="AQ322" s="532"/>
      <c r="AR322" s="240"/>
      <c r="AS322" s="240"/>
      <c r="AT322" s="240"/>
      <c r="AU322" s="730"/>
      <c r="AV322" s="730"/>
      <c r="AW322" s="730"/>
      <c r="AX322" s="730"/>
      <c r="AY322" s="468"/>
      <c r="AZ322" s="468"/>
      <c r="BA322" s="240"/>
      <c r="BB322" s="240"/>
      <c r="BC322" s="240"/>
      <c r="BD322" s="240"/>
      <c r="BE322" s="672"/>
      <c r="BF322" s="672"/>
      <c r="BG322" s="672"/>
      <c r="BH322" s="731"/>
      <c r="BI322" s="672"/>
      <c r="BJ322" s="240"/>
      <c r="BK322" s="736"/>
      <c r="BL322" s="737"/>
      <c r="BM322" s="240"/>
      <c r="BN322" s="240"/>
      <c r="BO322" s="240"/>
      <c r="BP322" s="240"/>
      <c r="BQ322" s="240"/>
      <c r="BR322" s="240"/>
      <c r="BS322" s="240"/>
      <c r="BT322" s="240"/>
      <c r="BU322" s="240"/>
      <c r="BV322" s="240"/>
      <c r="BW322" s="240"/>
      <c r="BX322" s="240"/>
      <c r="BY322" s="240"/>
      <c r="BZ322" s="240"/>
      <c r="CA322" s="240"/>
      <c r="CB322" s="672"/>
      <c r="CC322" s="672"/>
      <c r="CD322" s="672"/>
      <c r="CE322" s="672"/>
      <c r="CF322" s="672"/>
      <c r="CG322" s="672"/>
      <c r="CH322" s="240"/>
      <c r="CI322" s="240"/>
      <c r="CJ322" s="240"/>
      <c r="CK322" s="240"/>
      <c r="CL322" s="240"/>
      <c r="CM322" s="240"/>
      <c r="CN322" s="240"/>
      <c r="CO322" s="240"/>
      <c r="CP322" s="240"/>
      <c r="CQ322" s="240"/>
      <c r="CR322" s="240"/>
      <c r="CS322" s="240"/>
      <c r="CT322" s="240"/>
      <c r="CU322" s="240"/>
      <c r="CV322" s="240"/>
      <c r="CW322" s="240"/>
      <c r="CX322" s="240"/>
      <c r="CY322" s="240"/>
      <c r="CZ322" s="240"/>
      <c r="DA322" s="240"/>
      <c r="DB322" s="240"/>
      <c r="DC322" s="240"/>
      <c r="DD322" s="240"/>
      <c r="DE322" s="240"/>
      <c r="DF322" s="240"/>
      <c r="DG322" s="733"/>
      <c r="DH322" s="478"/>
      <c r="DI322" s="195"/>
      <c r="DJ322" s="3"/>
      <c r="DK322" s="478"/>
      <c r="DL322" s="4"/>
      <c r="DM322" s="4"/>
      <c r="DN322" s="4"/>
      <c r="DO322" s="4"/>
      <c r="DP322" s="4"/>
      <c r="DQ322" s="4"/>
      <c r="DS322" s="195"/>
      <c r="DT322" s="195"/>
      <c r="DU322" s="195"/>
      <c r="DV322" s="195"/>
      <c r="DW322" s="195"/>
      <c r="DX322" s="195"/>
      <c r="DY322" s="195"/>
      <c r="DZ322" s="195"/>
      <c r="EA322" s="195"/>
      <c r="EB322" s="195"/>
      <c r="EC322" s="195"/>
      <c r="ED322" s="195"/>
      <c r="EE322" s="195"/>
      <c r="EF322" s="195"/>
      <c r="EG322" s="195"/>
      <c r="EL322" s="1"/>
      <c r="EM322" s="195"/>
      <c r="EN322" s="240"/>
      <c r="EO322" s="240"/>
      <c r="EP322" s="195"/>
      <c r="EQ322" s="240"/>
      <c r="ER322" s="195"/>
      <c r="ES322" s="195"/>
      <c r="ET322" s="195"/>
      <c r="EU322" s="672"/>
      <c r="FJ322" s="129"/>
      <c r="FK322" s="129"/>
      <c r="FL322" s="129"/>
      <c r="FM322" s="129"/>
      <c r="FN322" s="129"/>
      <c r="FO322" s="129"/>
      <c r="FP322" s="129"/>
      <c r="FQ322" s="129"/>
      <c r="FR322" s="129"/>
      <c r="FS322" s="129"/>
      <c r="FT322" s="129"/>
      <c r="FU322" s="129"/>
      <c r="FV322" s="129"/>
      <c r="FW322" s="129"/>
      <c r="FX322" s="129"/>
      <c r="FY322" s="129"/>
      <c r="FZ322" s="129"/>
      <c r="GA322" s="129"/>
      <c r="GB322" s="129"/>
      <c r="GC322" s="129"/>
      <c r="GD322" s="129"/>
      <c r="GE322" s="129"/>
      <c r="GF322" s="129"/>
      <c r="GG322" s="129"/>
      <c r="GH322" s="129"/>
      <c r="GI322" s="129"/>
      <c r="GJ322" s="129"/>
      <c r="GK322" s="129"/>
      <c r="GL322" s="129"/>
      <c r="GM322" s="129"/>
      <c r="GN322" s="129"/>
      <c r="GO322" s="129"/>
      <c r="GP322" s="129"/>
      <c r="GQ322" s="129"/>
      <c r="GR322" s="129"/>
      <c r="GS322" s="129"/>
      <c r="GT322" s="129"/>
      <c r="GU322" s="129"/>
      <c r="GV322" s="129"/>
      <c r="GW322" s="129"/>
      <c r="GX322" s="129"/>
      <c r="GY322" s="129"/>
      <c r="GZ322" s="129"/>
      <c r="HA322" s="129"/>
      <c r="HB322" s="129"/>
      <c r="HC322" s="129"/>
      <c r="HD322" s="129"/>
      <c r="HE322" s="129"/>
      <c r="HF322" s="129"/>
      <c r="HG322" s="129"/>
      <c r="HH322" s="129"/>
      <c r="HI322" s="129"/>
      <c r="HJ322" s="129"/>
      <c r="HK322" s="129"/>
      <c r="HL322" s="129"/>
      <c r="HM322" s="129"/>
      <c r="HN322" s="129"/>
      <c r="HO322" s="129"/>
      <c r="HP322" s="129"/>
      <c r="HQ322" s="129"/>
      <c r="HR322" s="129"/>
      <c r="HS322" s="129"/>
      <c r="HT322" s="129"/>
      <c r="HU322" s="129"/>
      <c r="HV322" s="129"/>
      <c r="HW322" s="129"/>
      <c r="HX322" s="129"/>
      <c r="HY322" s="129"/>
      <c r="HZ322" s="129"/>
      <c r="IA322" s="129"/>
      <c r="IB322" s="129"/>
      <c r="IC322" s="129"/>
      <c r="ID322" s="129"/>
      <c r="IE322" s="129"/>
    </row>
    <row r="323" customFormat="false" ht="12.75" hidden="false" customHeight="false" outlineLevel="0" collapsed="false">
      <c r="I323" s="735"/>
      <c r="J323" s="727"/>
      <c r="K323" s="195"/>
      <c r="L323" s="195"/>
      <c r="M323" s="729"/>
      <c r="P323" s="727"/>
      <c r="S323" s="1"/>
      <c r="T323" s="727"/>
      <c r="U323" s="195"/>
      <c r="V323" s="195"/>
      <c r="W323" s="195"/>
      <c r="X323" s="195"/>
      <c r="Y323" s="195"/>
      <c r="Z323" s="195"/>
      <c r="AA323" s="195"/>
      <c r="AB323" s="195"/>
      <c r="AC323" s="195"/>
      <c r="AD323" s="195"/>
      <c r="AE323" s="195"/>
      <c r="AF323" s="195"/>
      <c r="AG323" s="195"/>
      <c r="AH323" s="195"/>
      <c r="AI323" s="195"/>
      <c r="AJ323" s="195"/>
      <c r="AK323" s="195"/>
      <c r="AL323" s="195"/>
      <c r="AM323" s="195"/>
      <c r="AN323" s="532"/>
      <c r="AO323" s="532"/>
      <c r="AP323" s="240"/>
      <c r="AQ323" s="532"/>
      <c r="AR323" s="240"/>
      <c r="AS323" s="240"/>
      <c r="AT323" s="240"/>
      <c r="AU323" s="730"/>
      <c r="AV323" s="730"/>
      <c r="AW323" s="730"/>
      <c r="AX323" s="730"/>
      <c r="AY323" s="468"/>
      <c r="AZ323" s="468"/>
      <c r="BA323" s="240"/>
      <c r="BB323" s="240"/>
      <c r="BC323" s="240"/>
      <c r="BD323" s="240"/>
      <c r="BE323" s="672"/>
      <c r="BF323" s="672"/>
      <c r="BG323" s="672"/>
      <c r="BH323" s="731"/>
      <c r="BI323" s="672"/>
      <c r="BJ323" s="240"/>
      <c r="BK323" s="736"/>
      <c r="BL323" s="737"/>
      <c r="BM323" s="240"/>
      <c r="BN323" s="240"/>
      <c r="BO323" s="240"/>
      <c r="BP323" s="240"/>
      <c r="BQ323" s="240"/>
      <c r="BR323" s="240"/>
      <c r="BS323" s="240"/>
      <c r="BT323" s="240"/>
      <c r="BU323" s="240"/>
      <c r="BV323" s="240"/>
      <c r="BW323" s="240"/>
      <c r="BX323" s="240"/>
      <c r="BY323" s="240"/>
      <c r="BZ323" s="240"/>
      <c r="CA323" s="240"/>
      <c r="CB323" s="672"/>
      <c r="CC323" s="672"/>
      <c r="CD323" s="672"/>
      <c r="CE323" s="672"/>
      <c r="CF323" s="672"/>
      <c r="CG323" s="672"/>
      <c r="CH323" s="240"/>
      <c r="CI323" s="240"/>
      <c r="CJ323" s="240"/>
      <c r="CK323" s="240"/>
      <c r="CL323" s="240"/>
      <c r="CM323" s="240"/>
      <c r="CN323" s="240"/>
      <c r="CO323" s="240"/>
      <c r="CP323" s="240"/>
      <c r="CQ323" s="240"/>
      <c r="CR323" s="240"/>
      <c r="CS323" s="240"/>
      <c r="CT323" s="240"/>
      <c r="CU323" s="240"/>
      <c r="CV323" s="240"/>
      <c r="CW323" s="240"/>
      <c r="CX323" s="240"/>
      <c r="CY323" s="240"/>
      <c r="CZ323" s="240"/>
      <c r="DA323" s="240"/>
      <c r="DB323" s="240"/>
      <c r="DC323" s="240"/>
      <c r="DD323" s="240"/>
      <c r="DE323" s="240"/>
      <c r="DF323" s="240"/>
      <c r="DG323" s="733"/>
      <c r="DH323" s="478"/>
      <c r="DI323" s="195"/>
      <c r="DJ323" s="3"/>
      <c r="DK323" s="478"/>
      <c r="DL323" s="4"/>
      <c r="DM323" s="4"/>
      <c r="DN323" s="4"/>
      <c r="DO323" s="4"/>
      <c r="DP323" s="4"/>
      <c r="DQ323" s="4"/>
      <c r="DS323" s="195"/>
      <c r="DT323" s="195"/>
      <c r="DU323" s="195"/>
      <c r="DV323" s="195"/>
      <c r="DW323" s="195"/>
      <c r="DX323" s="195"/>
      <c r="DY323" s="195"/>
      <c r="DZ323" s="195"/>
      <c r="EA323" s="195"/>
      <c r="EB323" s="195"/>
      <c r="EC323" s="195"/>
      <c r="ED323" s="195"/>
      <c r="EE323" s="195"/>
      <c r="EF323" s="195"/>
      <c r="EG323" s="195"/>
      <c r="EL323" s="1"/>
      <c r="EM323" s="195"/>
      <c r="EN323" s="240"/>
      <c r="EO323" s="240"/>
      <c r="EP323" s="195"/>
      <c r="EQ323" s="240"/>
      <c r="ER323" s="195"/>
      <c r="ES323" s="195"/>
      <c r="ET323" s="195"/>
      <c r="EU323" s="672"/>
      <c r="FJ323" s="415" t="s">
        <v>215</v>
      </c>
      <c r="FK323" s="129"/>
      <c r="FL323" s="129"/>
      <c r="FM323" s="129"/>
      <c r="FN323" s="129"/>
      <c r="FO323" s="129"/>
      <c r="FP323" s="129"/>
      <c r="FQ323" s="129"/>
      <c r="FR323" s="129"/>
      <c r="FS323" s="129"/>
      <c r="FT323" s="129"/>
      <c r="FU323" s="129"/>
      <c r="FV323" s="129"/>
      <c r="FW323" s="129"/>
      <c r="FX323" s="129"/>
      <c r="FY323" s="129"/>
      <c r="FZ323" s="129"/>
      <c r="GA323" s="129"/>
      <c r="GB323" s="129"/>
      <c r="GC323" s="129"/>
      <c r="GD323" s="129"/>
      <c r="GE323" s="129"/>
      <c r="GF323" s="129"/>
      <c r="GG323" s="129"/>
      <c r="GH323" s="129"/>
      <c r="GI323" s="129"/>
      <c r="GJ323" s="129"/>
      <c r="GK323" s="129"/>
      <c r="GL323" s="129"/>
      <c r="GM323" s="129"/>
      <c r="GN323" s="129"/>
      <c r="GO323" s="129"/>
      <c r="GP323" s="129"/>
      <c r="GQ323" s="129"/>
      <c r="GR323" s="129"/>
      <c r="GS323" s="129"/>
      <c r="GT323" s="129"/>
      <c r="GU323" s="129"/>
      <c r="GV323" s="129"/>
      <c r="GW323" s="129"/>
      <c r="GX323" s="129"/>
      <c r="GY323" s="129"/>
      <c r="GZ323" s="129"/>
      <c r="HA323" s="129"/>
      <c r="HB323" s="129"/>
      <c r="HC323" s="129"/>
      <c r="HD323" s="129"/>
      <c r="HE323" s="129"/>
      <c r="HF323" s="129"/>
      <c r="HG323" s="129"/>
      <c r="HH323" s="129"/>
      <c r="HI323" s="129"/>
      <c r="HJ323" s="129"/>
      <c r="HK323" s="129"/>
      <c r="HL323" s="129"/>
      <c r="HM323" s="129"/>
      <c r="HN323" s="129"/>
      <c r="HO323" s="129"/>
      <c r="HP323" s="129"/>
      <c r="HQ323" s="129"/>
      <c r="HR323" s="129"/>
      <c r="HS323" s="129"/>
      <c r="HT323" s="129"/>
      <c r="HU323" s="129"/>
      <c r="HV323" s="129"/>
      <c r="HW323" s="129"/>
      <c r="HX323" s="129"/>
      <c r="HY323" s="129"/>
      <c r="HZ323" s="129"/>
      <c r="IA323" s="129"/>
      <c r="IB323" s="129"/>
      <c r="IC323" s="129"/>
      <c r="ID323" s="129"/>
      <c r="IE323" s="129"/>
    </row>
    <row r="324" customFormat="false" ht="12.75" hidden="false" customHeight="false" outlineLevel="0" collapsed="false">
      <c r="I324" s="735"/>
      <c r="J324" s="727"/>
      <c r="K324" s="195"/>
      <c r="L324" s="195"/>
      <c r="M324" s="729"/>
      <c r="P324" s="727"/>
      <c r="S324" s="1"/>
      <c r="T324" s="727"/>
      <c r="U324" s="195"/>
      <c r="V324" s="195"/>
      <c r="W324" s="195"/>
      <c r="X324" s="195"/>
      <c r="Y324" s="195"/>
      <c r="Z324" s="195"/>
      <c r="AA324" s="195"/>
      <c r="AB324" s="195"/>
      <c r="AC324" s="195"/>
      <c r="AD324" s="195"/>
      <c r="AE324" s="195"/>
      <c r="AF324" s="195"/>
      <c r="AG324" s="195"/>
      <c r="AH324" s="195"/>
      <c r="AI324" s="195"/>
      <c r="AJ324" s="195"/>
      <c r="AK324" s="195"/>
      <c r="AL324" s="195"/>
      <c r="AM324" s="195"/>
      <c r="AN324" s="532"/>
      <c r="AO324" s="532"/>
      <c r="AP324" s="240"/>
      <c r="AQ324" s="532"/>
      <c r="AR324" s="240"/>
      <c r="AS324" s="240"/>
      <c r="AT324" s="240"/>
      <c r="AU324" s="730"/>
      <c r="AV324" s="730"/>
      <c r="AW324" s="730"/>
      <c r="AX324" s="730"/>
      <c r="AY324" s="468"/>
      <c r="AZ324" s="468"/>
      <c r="BA324" s="240"/>
      <c r="BB324" s="240"/>
      <c r="BC324" s="240"/>
      <c r="BD324" s="240"/>
      <c r="BE324" s="672"/>
      <c r="BF324" s="672"/>
      <c r="BG324" s="672"/>
      <c r="BH324" s="731"/>
      <c r="BI324" s="672"/>
      <c r="BJ324" s="240"/>
      <c r="BK324" s="736"/>
      <c r="BL324" s="737"/>
      <c r="BM324" s="240"/>
      <c r="BN324" s="240"/>
      <c r="BO324" s="240"/>
      <c r="BP324" s="240"/>
      <c r="BQ324" s="240"/>
      <c r="BR324" s="240"/>
      <c r="BS324" s="240"/>
      <c r="BT324" s="240"/>
      <c r="BU324" s="240"/>
      <c r="BV324" s="240"/>
      <c r="BW324" s="240"/>
      <c r="BX324" s="240"/>
      <c r="BY324" s="240"/>
      <c r="BZ324" s="240"/>
      <c r="CA324" s="240"/>
      <c r="CB324" s="672"/>
      <c r="CC324" s="672"/>
      <c r="CD324" s="672"/>
      <c r="CE324" s="672"/>
      <c r="CF324" s="672"/>
      <c r="CG324" s="672"/>
      <c r="CH324" s="240"/>
      <c r="CI324" s="240"/>
      <c r="CJ324" s="240"/>
      <c r="CK324" s="240"/>
      <c r="CL324" s="240"/>
      <c r="CM324" s="240"/>
      <c r="CN324" s="240"/>
      <c r="CO324" s="240"/>
      <c r="CP324" s="240"/>
      <c r="CQ324" s="240"/>
      <c r="CR324" s="240"/>
      <c r="CS324" s="240"/>
      <c r="CT324" s="240"/>
      <c r="CU324" s="240"/>
      <c r="CV324" s="240"/>
      <c r="CW324" s="240"/>
      <c r="CX324" s="240"/>
      <c r="CY324" s="240"/>
      <c r="CZ324" s="240"/>
      <c r="DA324" s="240"/>
      <c r="DB324" s="240"/>
      <c r="DC324" s="240"/>
      <c r="DD324" s="240"/>
      <c r="DE324" s="240"/>
      <c r="DF324" s="240"/>
      <c r="DG324" s="733"/>
      <c r="DH324" s="478"/>
      <c r="DI324" s="195"/>
      <c r="DJ324" s="3"/>
      <c r="DK324" s="478"/>
      <c r="DL324" s="4"/>
      <c r="DM324" s="4"/>
      <c r="DN324" s="4"/>
      <c r="DO324" s="4"/>
      <c r="DP324" s="4"/>
      <c r="DQ324" s="4"/>
      <c r="DS324" s="195"/>
      <c r="DT324" s="195"/>
      <c r="DU324" s="195"/>
      <c r="DV324" s="195"/>
      <c r="DW324" s="195"/>
      <c r="DX324" s="195"/>
      <c r="DY324" s="195"/>
      <c r="DZ324" s="195"/>
      <c r="EA324" s="195"/>
      <c r="EB324" s="195"/>
      <c r="EC324" s="195"/>
      <c r="ED324" s="195"/>
      <c r="EE324" s="195"/>
      <c r="EF324" s="195"/>
      <c r="EG324" s="195"/>
      <c r="EL324" s="1"/>
      <c r="EM324" s="195"/>
      <c r="EN324" s="240"/>
      <c r="EO324" s="240"/>
      <c r="EP324" s="195"/>
      <c r="EQ324" s="240"/>
      <c r="ER324" s="195"/>
      <c r="ES324" s="195"/>
      <c r="ET324" s="195"/>
      <c r="EU324" s="672"/>
      <c r="FJ324" s="508"/>
      <c r="FK324" s="509" t="n">
        <v>1</v>
      </c>
      <c r="FL324" s="509" t="n">
        <v>2</v>
      </c>
      <c r="FM324" s="509" t="n">
        <v>3</v>
      </c>
      <c r="FN324" s="509" t="n">
        <v>4</v>
      </c>
      <c r="FO324" s="509" t="n">
        <v>5</v>
      </c>
      <c r="FP324" s="509" t="n">
        <v>6</v>
      </c>
      <c r="FQ324" s="509" t="n">
        <v>7</v>
      </c>
      <c r="FR324" s="509" t="n">
        <v>8</v>
      </c>
      <c r="FS324" s="509" t="n">
        <v>9</v>
      </c>
      <c r="FT324" s="509" t="n">
        <v>10</v>
      </c>
      <c r="FU324" s="509" t="n">
        <v>11</v>
      </c>
      <c r="FV324" s="509" t="n">
        <v>12</v>
      </c>
      <c r="FW324" s="509" t="n">
        <v>13</v>
      </c>
      <c r="FX324" s="509" t="n">
        <v>14</v>
      </c>
      <c r="FY324" s="509" t="n">
        <v>15</v>
      </c>
      <c r="FZ324" s="509" t="n">
        <v>16</v>
      </c>
      <c r="GA324" s="509" t="n">
        <v>17</v>
      </c>
      <c r="GB324" s="509" t="n">
        <v>18</v>
      </c>
      <c r="GC324" s="509" t="n">
        <v>19</v>
      </c>
      <c r="GD324" s="509" t="n">
        <v>20</v>
      </c>
      <c r="GE324" s="509" t="n">
        <v>21</v>
      </c>
      <c r="GF324" s="509" t="n">
        <v>22</v>
      </c>
      <c r="GG324" s="509" t="n">
        <v>23</v>
      </c>
      <c r="GH324" s="509" t="n">
        <v>24</v>
      </c>
      <c r="GI324" s="509" t="n">
        <v>25</v>
      </c>
      <c r="GJ324" s="509" t="n">
        <v>26</v>
      </c>
      <c r="GK324" s="509" t="n">
        <v>27</v>
      </c>
      <c r="GL324" s="509" t="n">
        <v>28</v>
      </c>
      <c r="GM324" s="509" t="n">
        <v>29</v>
      </c>
      <c r="GN324" s="509" t="n">
        <v>30</v>
      </c>
      <c r="GO324" s="509" t="n">
        <v>31</v>
      </c>
      <c r="GP324" s="509" t="n">
        <v>32</v>
      </c>
      <c r="GQ324" s="509" t="n">
        <v>33</v>
      </c>
      <c r="GR324" s="509" t="n">
        <v>34</v>
      </c>
      <c r="GS324" s="509" t="n">
        <v>35</v>
      </c>
      <c r="GT324" s="509" t="n">
        <v>36</v>
      </c>
      <c r="GU324" s="509" t="n">
        <v>37</v>
      </c>
      <c r="GV324" s="509" t="n">
        <v>38</v>
      </c>
      <c r="GW324" s="509" t="n">
        <v>39</v>
      </c>
      <c r="GX324" s="509" t="n">
        <v>40</v>
      </c>
      <c r="GY324" s="509" t="n">
        <v>41</v>
      </c>
      <c r="GZ324" s="509" t="n">
        <v>42</v>
      </c>
      <c r="HA324" s="509" t="n">
        <v>43</v>
      </c>
      <c r="HB324" s="509" t="n">
        <v>44</v>
      </c>
      <c r="HC324" s="509" t="n">
        <v>45</v>
      </c>
      <c r="HD324" s="509" t="n">
        <v>46</v>
      </c>
      <c r="HE324" s="509" t="n">
        <v>47</v>
      </c>
      <c r="HF324" s="509" t="n">
        <v>48</v>
      </c>
      <c r="HG324" s="509" t="n">
        <v>49</v>
      </c>
      <c r="HH324" s="509" t="n">
        <v>50</v>
      </c>
      <c r="HI324" s="509" t="n">
        <v>51</v>
      </c>
      <c r="HJ324" s="509" t="n">
        <v>52</v>
      </c>
      <c r="HK324" s="509" t="n">
        <v>53</v>
      </c>
      <c r="HL324" s="509" t="n">
        <v>54</v>
      </c>
      <c r="HM324" s="509" t="n">
        <v>55</v>
      </c>
      <c r="HN324" s="509" t="n">
        <v>56</v>
      </c>
      <c r="HO324" s="509" t="n">
        <v>57</v>
      </c>
      <c r="HP324" s="509" t="n">
        <v>58</v>
      </c>
      <c r="HQ324" s="509" t="n">
        <v>59</v>
      </c>
      <c r="HR324" s="509" t="n">
        <v>60</v>
      </c>
      <c r="HS324" s="509" t="n">
        <v>61</v>
      </c>
      <c r="HT324" s="509" t="n">
        <v>62</v>
      </c>
      <c r="HU324" s="509" t="n">
        <v>63</v>
      </c>
      <c r="HV324" s="509" t="n">
        <v>64</v>
      </c>
      <c r="HW324" s="509" t="n">
        <v>65</v>
      </c>
      <c r="HX324" s="509" t="n">
        <v>66</v>
      </c>
      <c r="HY324" s="509" t="n">
        <v>67</v>
      </c>
      <c r="HZ324" s="509" t="n">
        <v>68</v>
      </c>
      <c r="IA324" s="509" t="n">
        <v>69</v>
      </c>
      <c r="IB324" s="509" t="n">
        <v>70</v>
      </c>
      <c r="IC324" s="509" t="n">
        <v>71</v>
      </c>
      <c r="ID324" s="510" t="n">
        <v>72</v>
      </c>
      <c r="IE324" s="129"/>
    </row>
    <row r="325" customFormat="false" ht="12.75" hidden="false" customHeight="false" outlineLevel="0" collapsed="false">
      <c r="I325" s="735"/>
      <c r="J325" s="727"/>
      <c r="K325" s="195"/>
      <c r="L325" s="195"/>
      <c r="M325" s="729"/>
      <c r="P325" s="727"/>
      <c r="S325" s="1"/>
      <c r="T325" s="727"/>
      <c r="U325" s="195"/>
      <c r="V325" s="195"/>
      <c r="W325" s="195"/>
      <c r="X325" s="195"/>
      <c r="Y325" s="195"/>
      <c r="Z325" s="195"/>
      <c r="AA325" s="195"/>
      <c r="AB325" s="195"/>
      <c r="AC325" s="195"/>
      <c r="AD325" s="195"/>
      <c r="AE325" s="195"/>
      <c r="AF325" s="195"/>
      <c r="AG325" s="195"/>
      <c r="AH325" s="195"/>
      <c r="AI325" s="195"/>
      <c r="AJ325" s="195"/>
      <c r="AK325" s="195"/>
      <c r="AL325" s="195"/>
      <c r="AM325" s="195"/>
      <c r="AN325" s="532"/>
      <c r="AO325" s="532"/>
      <c r="AP325" s="240"/>
      <c r="AQ325" s="532"/>
      <c r="AR325" s="240"/>
      <c r="AS325" s="240"/>
      <c r="AT325" s="240"/>
      <c r="AU325" s="730"/>
      <c r="AV325" s="730"/>
      <c r="AW325" s="730"/>
      <c r="AX325" s="730"/>
      <c r="AY325" s="468"/>
      <c r="AZ325" s="468"/>
      <c r="BA325" s="240"/>
      <c r="BB325" s="240"/>
      <c r="BC325" s="240"/>
      <c r="BD325" s="240"/>
      <c r="BE325" s="672"/>
      <c r="BF325" s="672"/>
      <c r="BG325" s="672"/>
      <c r="BH325" s="731"/>
      <c r="BI325" s="672"/>
      <c r="BJ325" s="240"/>
      <c r="BK325" s="736"/>
      <c r="BL325" s="737"/>
      <c r="BM325" s="240"/>
      <c r="BN325" s="240"/>
      <c r="BO325" s="240"/>
      <c r="BP325" s="240"/>
      <c r="BQ325" s="240"/>
      <c r="BR325" s="240"/>
      <c r="BS325" s="240"/>
      <c r="BT325" s="240"/>
      <c r="BU325" s="240"/>
      <c r="BV325" s="240"/>
      <c r="BW325" s="240"/>
      <c r="BX325" s="240"/>
      <c r="BY325" s="240"/>
      <c r="BZ325" s="240"/>
      <c r="CA325" s="240"/>
      <c r="CB325" s="672"/>
      <c r="CC325" s="672"/>
      <c r="CD325" s="672"/>
      <c r="CE325" s="672"/>
      <c r="CF325" s="672"/>
      <c r="CG325" s="672"/>
      <c r="CH325" s="240"/>
      <c r="CI325" s="240"/>
      <c r="CJ325" s="240"/>
      <c r="CK325" s="240"/>
      <c r="CL325" s="240"/>
      <c r="CM325" s="240"/>
      <c r="CN325" s="240"/>
      <c r="CO325" s="240"/>
      <c r="CP325" s="240"/>
      <c r="CQ325" s="240"/>
      <c r="CR325" s="240"/>
      <c r="CS325" s="240"/>
      <c r="CT325" s="240"/>
      <c r="CU325" s="240"/>
      <c r="CV325" s="240"/>
      <c r="CW325" s="240"/>
      <c r="CX325" s="240"/>
      <c r="CY325" s="240"/>
      <c r="CZ325" s="240"/>
      <c r="DA325" s="240"/>
      <c r="DB325" s="240"/>
      <c r="DC325" s="240"/>
      <c r="DD325" s="240"/>
      <c r="DE325" s="240"/>
      <c r="DF325" s="240"/>
      <c r="DG325" s="733"/>
      <c r="DH325" s="478"/>
      <c r="DI325" s="195"/>
      <c r="DJ325" s="3"/>
      <c r="DK325" s="478"/>
      <c r="DL325" s="4"/>
      <c r="DM325" s="4"/>
      <c r="DN325" s="4"/>
      <c r="DO325" s="4"/>
      <c r="DP325" s="4"/>
      <c r="DQ325" s="4"/>
      <c r="DS325" s="195"/>
      <c r="DT325" s="195"/>
      <c r="DU325" s="195"/>
      <c r="DV325" s="195"/>
      <c r="DW325" s="195"/>
      <c r="DX325" s="195"/>
      <c r="DY325" s="195"/>
      <c r="DZ325" s="195"/>
      <c r="EA325" s="195"/>
      <c r="EB325" s="195"/>
      <c r="EC325" s="195"/>
      <c r="ED325" s="195"/>
      <c r="EE325" s="195"/>
      <c r="EF325" s="195"/>
      <c r="EG325" s="195"/>
      <c r="EL325" s="1"/>
      <c r="EM325" s="195"/>
      <c r="EN325" s="240"/>
      <c r="EO325" s="240"/>
      <c r="EP325" s="195"/>
      <c r="EQ325" s="240"/>
      <c r="ER325" s="195"/>
      <c r="ES325" s="195"/>
      <c r="ET325" s="195"/>
      <c r="EU325" s="672"/>
      <c r="FJ325" s="571" t="n">
        <v>1</v>
      </c>
      <c r="FK325" s="150" t="str">
        <f aca="false">IF(AND(ISNUMBER(FK20),ISNUMBER(FK$320),FK$320&lt;&gt;0),FK20*FK$320/FK$15,"")</f>
        <v/>
      </c>
      <c r="FL325" s="150" t="str">
        <f aca="false">IF(AND(ISNUMBER(FL20),ISNUMBER(FL$320),FL$320&lt;&gt;0),FL20*FL$320/FL$15,"")</f>
        <v/>
      </c>
      <c r="FM325" s="150" t="str">
        <f aca="false">IF(AND(ISNUMBER(FM20),ISNUMBER(FM$320),FM$320&lt;&gt;0),FM20*FM$320/FM$15,"")</f>
        <v/>
      </c>
      <c r="FN325" s="150" t="str">
        <f aca="false">IF(AND(ISNUMBER(FN20),ISNUMBER(FN$320),FN$320&lt;&gt;0),FN20*FN$320/FN$15,"")</f>
        <v/>
      </c>
      <c r="FO325" s="150" t="str">
        <f aca="false">IF(AND(ISNUMBER(FO20),ISNUMBER(FO$320),FO$320&lt;&gt;0),FO20*FO$320/FO$15,"")</f>
        <v/>
      </c>
      <c r="FP325" s="150" t="str">
        <f aca="false">IF(AND(ISNUMBER(FP20),ISNUMBER(FP$320),FP$320&lt;&gt;0),FP20*FP$320/FP$15,"")</f>
        <v/>
      </c>
      <c r="FQ325" s="150" t="str">
        <f aca="false">IF(AND(ISNUMBER(FQ20),ISNUMBER(FQ$320),FQ$320&lt;&gt;0),FQ20*FQ$320/FQ$15,"")</f>
        <v/>
      </c>
      <c r="FR325" s="150" t="str">
        <f aca="false">IF(AND(ISNUMBER(FR20),ISNUMBER(FR$320),FR$320&lt;&gt;0),FR20*FR$320/FR$15,"")</f>
        <v/>
      </c>
      <c r="FS325" s="150" t="str">
        <f aca="false">IF(AND(ISNUMBER(FS20),ISNUMBER(FS$320),FS$320&lt;&gt;0),FS20*FS$320/FS$15,"")</f>
        <v/>
      </c>
      <c r="FT325" s="150" t="str">
        <f aca="false">IF(AND(ISNUMBER(FT20),ISNUMBER(FT$320),FT$320&lt;&gt;0),FT20*FT$320/FT$15,"")</f>
        <v/>
      </c>
      <c r="FU325" s="150" t="str">
        <f aca="false">IF(AND(ISNUMBER(FU20),ISNUMBER(FU$320),FU$320&lt;&gt;0),FU20*FU$320/FU$15,"")</f>
        <v/>
      </c>
      <c r="FV325" s="150" t="str">
        <f aca="false">IF(AND(ISNUMBER(FV20),ISNUMBER(FV$320),FV$320&lt;&gt;0),FV20*FV$320/FV$15,"")</f>
        <v/>
      </c>
      <c r="FW325" s="150" t="str">
        <f aca="false">IF(AND(ISNUMBER(FW20),ISNUMBER(FW$320),FW$320&lt;&gt;0),FW20*FW$320/FW$15,"")</f>
        <v/>
      </c>
      <c r="FX325" s="150" t="str">
        <f aca="false">IF(AND(ISNUMBER(FX20),ISNUMBER(FX$320),FX$320&lt;&gt;0),FX20*FX$320/FX$15,"")</f>
        <v/>
      </c>
      <c r="FY325" s="150" t="str">
        <f aca="false">IF(AND(ISNUMBER(FY20),ISNUMBER(FY$320),FY$320&lt;&gt;0),FY20*FY$320/FY$15,"")</f>
        <v/>
      </c>
      <c r="FZ325" s="150" t="str">
        <f aca="false">IF(AND(ISNUMBER(FZ20),ISNUMBER(FZ$320),FZ$320&lt;&gt;0),FZ20*FZ$320/FZ$15,"")</f>
        <v/>
      </c>
      <c r="GA325" s="150" t="str">
        <f aca="false">IF(AND(ISNUMBER(GA20),ISNUMBER(GA$320),GA$320&lt;&gt;0),GA20*GA$320/GA$15,"")</f>
        <v/>
      </c>
      <c r="GB325" s="150" t="str">
        <f aca="false">IF(AND(ISNUMBER(GB20),ISNUMBER(GB$320),GB$320&lt;&gt;0),GB20*GB$320/GB$15,"")</f>
        <v/>
      </c>
      <c r="GC325" s="150" t="str">
        <f aca="false">IF(AND(ISNUMBER(GC20),ISNUMBER(GC$320),GC$320&lt;&gt;0),GC20*GC$320/GC$15,"")</f>
        <v/>
      </c>
      <c r="GD325" s="150" t="str">
        <f aca="false">IF(AND(ISNUMBER(GD20),ISNUMBER(GD$320),GD$320&lt;&gt;0),GD20*GD$320/GD$15,"")</f>
        <v/>
      </c>
      <c r="GE325" s="150" t="str">
        <f aca="false">IF(AND(ISNUMBER(GE20),ISNUMBER(GE$320),GE$320&lt;&gt;0),GE20*GE$320/GE$15,"")</f>
        <v/>
      </c>
      <c r="GF325" s="150" t="str">
        <f aca="false">IF(AND(ISNUMBER(GF20),ISNUMBER(GF$320),GF$320&lt;&gt;0),GF20*GF$320/GF$15,"")</f>
        <v/>
      </c>
      <c r="GG325" s="150" t="str">
        <f aca="false">IF(AND(ISNUMBER(GG20),ISNUMBER(GG$320),GG$320&lt;&gt;0),GG20*GG$320/GG$15,"")</f>
        <v/>
      </c>
      <c r="GH325" s="150" t="str">
        <f aca="false">IF(AND(ISNUMBER(GH20),ISNUMBER(GH$320),GH$320&lt;&gt;0),GH20*GH$320/GH$15,"")</f>
        <v/>
      </c>
      <c r="GI325" s="150" t="str">
        <f aca="false">IF(AND(ISNUMBER(GI20),ISNUMBER(GI$320),GI$320&lt;&gt;0),GI20*GI$320/GI$15,"")</f>
        <v/>
      </c>
      <c r="GJ325" s="150" t="str">
        <f aca="false">IF(AND(ISNUMBER(GJ20),ISNUMBER(GJ$320),GJ$320&lt;&gt;0),GJ20*GJ$320/GJ$15,"")</f>
        <v/>
      </c>
      <c r="GK325" s="150" t="str">
        <f aca="false">IF(AND(ISNUMBER(GK20),ISNUMBER(GK$320),GK$320&lt;&gt;0),GK20*GK$320/GK$15,"")</f>
        <v/>
      </c>
      <c r="GL325" s="150" t="str">
        <f aca="false">IF(AND(ISNUMBER(GL20),ISNUMBER(GL$320),GL$320&lt;&gt;0),GL20*GL$320/GL$15,"")</f>
        <v/>
      </c>
      <c r="GM325" s="150" t="str">
        <f aca="false">IF(AND(ISNUMBER(GM20),ISNUMBER(GM$320),GM$320&lt;&gt;0),GM20*GM$320/GM$15,"")</f>
        <v/>
      </c>
      <c r="GN325" s="150" t="str">
        <f aca="false">IF(AND(ISNUMBER(GN20),ISNUMBER(GN$320),GN$320&lt;&gt;0),GN20*GN$320/GN$15,"")</f>
        <v/>
      </c>
      <c r="GO325" s="150" t="str">
        <f aca="false">IF(AND(ISNUMBER(GO20),ISNUMBER(GO$320),GO$320&lt;&gt;0),GO20*GO$320/GO$15,"")</f>
        <v/>
      </c>
      <c r="GP325" s="150" t="str">
        <f aca="false">IF(AND(ISNUMBER(GP20),ISNUMBER(GP$320),GP$320&lt;&gt;0),GP20*GP$320/GP$15,"")</f>
        <v/>
      </c>
      <c r="GQ325" s="150" t="str">
        <f aca="false">IF(AND(ISNUMBER(GQ20),ISNUMBER(GQ$320),GQ$320&lt;&gt;0),GQ20*GQ$320/GQ$15,"")</f>
        <v/>
      </c>
      <c r="GR325" s="150" t="str">
        <f aca="false">IF(AND(ISNUMBER(GR20),ISNUMBER(GR$320),GR$320&lt;&gt;0),GR20*GR$320/GR$15,"")</f>
        <v/>
      </c>
      <c r="GS325" s="150" t="str">
        <f aca="false">IF(AND(ISNUMBER(GS20),ISNUMBER(GS$320),GS$320&lt;&gt;0),GS20*GS$320/GS$15,"")</f>
        <v/>
      </c>
      <c r="GT325" s="150" t="str">
        <f aca="false">IF(AND(ISNUMBER(GT20),ISNUMBER(GT$320),GT$320&lt;&gt;0),GT20*GT$320/GT$15,"")</f>
        <v/>
      </c>
      <c r="GU325" s="150" t="str">
        <f aca="false">IF(AND(ISNUMBER(GU20),ISNUMBER(GU$320),GU$320&lt;&gt;0),GU20*GU$320/GU$15,"")</f>
        <v/>
      </c>
      <c r="GV325" s="150" t="str">
        <f aca="false">IF(AND(ISNUMBER(GV20),ISNUMBER(GV$320),GV$320&lt;&gt;0),GV20*GV$320/GV$15,"")</f>
        <v/>
      </c>
      <c r="GW325" s="150" t="str">
        <f aca="false">IF(AND(ISNUMBER(GW20),ISNUMBER(GW$320),GW$320&lt;&gt;0),GW20*GW$320/GW$15,"")</f>
        <v/>
      </c>
      <c r="GX325" s="150" t="str">
        <f aca="false">IF(AND(ISNUMBER(GX20),ISNUMBER(GX$320),GX$320&lt;&gt;0),GX20*GX$320/GX$15,"")</f>
        <v/>
      </c>
      <c r="GY325" s="150" t="str">
        <f aca="false">IF(AND(ISNUMBER(GY20),ISNUMBER(GY$320),GY$320&lt;&gt;0),GY20*GY$320/GY$15,"")</f>
        <v/>
      </c>
      <c r="GZ325" s="150" t="str">
        <f aca="false">IF(AND(ISNUMBER(GZ20),ISNUMBER(GZ$320),GZ$320&lt;&gt;0),GZ20*GZ$320/GZ$15,"")</f>
        <v/>
      </c>
      <c r="HA325" s="150" t="str">
        <f aca="false">IF(AND(ISNUMBER(HA20),ISNUMBER(HA$320),HA$320&lt;&gt;0),HA20*HA$320/HA$15,"")</f>
        <v/>
      </c>
      <c r="HB325" s="150" t="str">
        <f aca="false">IF(AND(ISNUMBER(HB20),ISNUMBER(HB$320),HB$320&lt;&gt;0),HB20*HB$320/HB$15,"")</f>
        <v/>
      </c>
      <c r="HC325" s="150" t="str">
        <f aca="false">IF(AND(ISNUMBER(HC20),ISNUMBER(HC$320),HC$320&lt;&gt;0),HC20*HC$320/HC$15,"")</f>
        <v/>
      </c>
      <c r="HD325" s="150" t="str">
        <f aca="false">IF(AND(ISNUMBER(HD20),ISNUMBER(HD$320),HD$320&lt;&gt;0),HD20*HD$320/HD$15,"")</f>
        <v/>
      </c>
      <c r="HE325" s="150" t="str">
        <f aca="false">IF(AND(ISNUMBER(HE20),ISNUMBER(HE$320),HE$320&lt;&gt;0),HE20*HE$320/HE$15,"")</f>
        <v/>
      </c>
      <c r="HF325" s="150" t="str">
        <f aca="false">IF(AND(ISNUMBER(HF20),ISNUMBER(HF$320),HF$320&lt;&gt;0),HF20*HF$320/HF$15,"")</f>
        <v/>
      </c>
      <c r="HG325" s="150" t="str">
        <f aca="false">IF(AND(ISNUMBER(HG20),ISNUMBER(HG$320),HG$320&lt;&gt;0),HG20*HG$320/HG$15,"")</f>
        <v/>
      </c>
      <c r="HH325" s="150" t="str">
        <f aca="false">IF(AND(ISNUMBER(HH20),ISNUMBER(HH$320),HH$320&lt;&gt;0),HH20*HH$320/HH$15,"")</f>
        <v/>
      </c>
      <c r="HI325" s="150" t="str">
        <f aca="false">IF(AND(ISNUMBER(HI20),ISNUMBER(HI$320),HI$320&lt;&gt;0),HI20*HI$320/HI$15,"")</f>
        <v/>
      </c>
      <c r="HJ325" s="150" t="str">
        <f aca="false">IF(AND(ISNUMBER(HJ20),ISNUMBER(HJ$320),HJ$320&lt;&gt;0),HJ20*HJ$320/HJ$15,"")</f>
        <v/>
      </c>
      <c r="HK325" s="150" t="str">
        <f aca="false">IF(AND(ISNUMBER(HK20),ISNUMBER(HK$320),HK$320&lt;&gt;0),HK20*HK$320/HK$15,"")</f>
        <v/>
      </c>
      <c r="HL325" s="150" t="str">
        <f aca="false">IF(AND(ISNUMBER(HL20),ISNUMBER(HL$320),HL$320&lt;&gt;0),HL20*HL$320/HL$15,"")</f>
        <v/>
      </c>
      <c r="HM325" s="150" t="str">
        <f aca="false">IF(AND(ISNUMBER(HM20),ISNUMBER(HM$320),HM$320&lt;&gt;0),HM20*HM$320/HM$15,"")</f>
        <v/>
      </c>
      <c r="HN325" s="150" t="str">
        <f aca="false">IF(AND(ISNUMBER(HN20),ISNUMBER(HN$320),HN$320&lt;&gt;0),HN20*HN$320/HN$15,"")</f>
        <v/>
      </c>
      <c r="HO325" s="150" t="str">
        <f aca="false">IF(AND(ISNUMBER(HO20),ISNUMBER(HO$320),HO$320&lt;&gt;0),HO20*HO$320/HO$15,"")</f>
        <v/>
      </c>
      <c r="HP325" s="150" t="str">
        <f aca="false">IF(AND(ISNUMBER(HP20),ISNUMBER(HP$320),HP$320&lt;&gt;0),HP20*HP$320/HP$15,"")</f>
        <v/>
      </c>
      <c r="HQ325" s="150" t="str">
        <f aca="false">IF(AND(ISNUMBER(HQ20),ISNUMBER(HQ$320),HQ$320&lt;&gt;0),HQ20*HQ$320/HQ$15,"")</f>
        <v/>
      </c>
      <c r="HR325" s="150" t="str">
        <f aca="false">IF(AND(ISNUMBER(HR20),ISNUMBER(HR$320),HR$320&lt;&gt;0),HR20*HR$320/HR$15,"")</f>
        <v/>
      </c>
      <c r="HS325" s="150" t="str">
        <f aca="false">IF(AND(ISNUMBER(HS20),ISNUMBER(HS$320),HS$320&lt;&gt;0),HS20*HS$320/HS$15,"")</f>
        <v/>
      </c>
      <c r="HT325" s="150" t="str">
        <f aca="false">IF(AND(ISNUMBER(HT20),ISNUMBER(HT$320),HT$320&lt;&gt;0),HT20*HT$320/HT$15,"")</f>
        <v/>
      </c>
      <c r="HU325" s="150" t="str">
        <f aca="false">IF(AND(ISNUMBER(HU20),ISNUMBER(HU$320),HU$320&lt;&gt;0),HU20*HU$320/HU$15,"")</f>
        <v/>
      </c>
      <c r="HV325" s="150" t="str">
        <f aca="false">IF(AND(ISNUMBER(HV20),ISNUMBER(HV$320),HV$320&lt;&gt;0),HV20*HV$320/HV$15,"")</f>
        <v/>
      </c>
      <c r="HW325" s="150" t="str">
        <f aca="false">IF(AND(ISNUMBER(HW20),ISNUMBER(HW$320),HW$320&lt;&gt;0),HW20*HW$320/HW$15,"")</f>
        <v/>
      </c>
      <c r="HX325" s="150" t="str">
        <f aca="false">IF(AND(ISNUMBER(HX20),ISNUMBER(HX$320),HX$320&lt;&gt;0),HX20*HX$320/HX$15,"")</f>
        <v/>
      </c>
      <c r="HY325" s="150" t="str">
        <f aca="false">IF(AND(ISNUMBER(HY20),ISNUMBER(HY$320),HY$320&lt;&gt;0),HY20*HY$320/HY$15,"")</f>
        <v/>
      </c>
      <c r="HZ325" s="150" t="str">
        <f aca="false">IF(AND(ISNUMBER(HZ20),ISNUMBER(HZ$320),HZ$320&lt;&gt;0),HZ20*HZ$320/HZ$15,"")</f>
        <v/>
      </c>
      <c r="IA325" s="150" t="str">
        <f aca="false">IF(AND(ISNUMBER(IA20),ISNUMBER(IA$320),IA$320&lt;&gt;0),IA20*IA$320/IA$15,"")</f>
        <v/>
      </c>
      <c r="IB325" s="150" t="str">
        <f aca="false">IF(AND(ISNUMBER(IB20),ISNUMBER(IB$320),IB$320&lt;&gt;0),IB20*IB$320/IB$15,"")</f>
        <v/>
      </c>
      <c r="IC325" s="150" t="str">
        <f aca="false">IF(AND(ISNUMBER(IC20),ISNUMBER(IC$320),IC$320&lt;&gt;0),IC20*IC$320/IC$15,"")</f>
        <v/>
      </c>
      <c r="ID325" s="572" t="str">
        <f aca="false">IF(AND(ISNUMBER(ID20),ISNUMBER(ID$320),ID$320&lt;&gt;0),ID20*ID$320/ID$15,"")</f>
        <v/>
      </c>
      <c r="IE325" s="129"/>
    </row>
    <row r="326" customFormat="false" ht="12.75" hidden="false" customHeight="false" outlineLevel="0" collapsed="false">
      <c r="I326" s="735"/>
      <c r="J326" s="727"/>
      <c r="K326" s="195"/>
      <c r="L326" s="195"/>
      <c r="M326" s="729"/>
      <c r="P326" s="727"/>
      <c r="S326" s="1"/>
      <c r="T326" s="727"/>
      <c r="U326" s="195"/>
      <c r="V326" s="195"/>
      <c r="W326" s="195"/>
      <c r="X326" s="195"/>
      <c r="Y326" s="195"/>
      <c r="Z326" s="195"/>
      <c r="AA326" s="195"/>
      <c r="AB326" s="195"/>
      <c r="AC326" s="195"/>
      <c r="AD326" s="195"/>
      <c r="AE326" s="195"/>
      <c r="AF326" s="195"/>
      <c r="AG326" s="195"/>
      <c r="AH326" s="195"/>
      <c r="AI326" s="195"/>
      <c r="AJ326" s="195"/>
      <c r="AK326" s="195"/>
      <c r="AL326" s="195"/>
      <c r="AM326" s="195"/>
      <c r="AN326" s="532"/>
      <c r="AO326" s="532"/>
      <c r="AP326" s="240"/>
      <c r="AQ326" s="532"/>
      <c r="AR326" s="240"/>
      <c r="AS326" s="240"/>
      <c r="AT326" s="240"/>
      <c r="AU326" s="730"/>
      <c r="AV326" s="730"/>
      <c r="AW326" s="730"/>
      <c r="AX326" s="730"/>
      <c r="AY326" s="468"/>
      <c r="AZ326" s="468"/>
      <c r="BA326" s="240"/>
      <c r="BB326" s="240"/>
      <c r="BC326" s="240"/>
      <c r="BD326" s="240"/>
      <c r="BE326" s="672"/>
      <c r="BF326" s="672"/>
      <c r="BG326" s="672"/>
      <c r="BH326" s="731"/>
      <c r="BI326" s="672"/>
      <c r="BJ326" s="240"/>
      <c r="BK326" s="736"/>
      <c r="BL326" s="737"/>
      <c r="BM326" s="240"/>
      <c r="BN326" s="240"/>
      <c r="BO326" s="240"/>
      <c r="BP326" s="240"/>
      <c r="BQ326" s="240"/>
      <c r="BR326" s="240"/>
      <c r="BS326" s="240"/>
      <c r="BT326" s="240"/>
      <c r="BU326" s="240"/>
      <c r="BV326" s="240"/>
      <c r="BW326" s="240"/>
      <c r="BX326" s="240"/>
      <c r="BY326" s="240"/>
      <c r="BZ326" s="240"/>
      <c r="CA326" s="240"/>
      <c r="CB326" s="672"/>
      <c r="CC326" s="672"/>
      <c r="CD326" s="672"/>
      <c r="CE326" s="672"/>
      <c r="CF326" s="672"/>
      <c r="CG326" s="672"/>
      <c r="CH326" s="240"/>
      <c r="CI326" s="240"/>
      <c r="CJ326" s="240"/>
      <c r="CK326" s="240"/>
      <c r="CL326" s="240"/>
      <c r="CM326" s="240"/>
      <c r="CN326" s="240"/>
      <c r="CO326" s="240"/>
      <c r="CP326" s="240"/>
      <c r="CQ326" s="240"/>
      <c r="CR326" s="240"/>
      <c r="CS326" s="240"/>
      <c r="CT326" s="240"/>
      <c r="CU326" s="240"/>
      <c r="CV326" s="240"/>
      <c r="CW326" s="240"/>
      <c r="CX326" s="240"/>
      <c r="CY326" s="240"/>
      <c r="CZ326" s="240"/>
      <c r="DA326" s="240"/>
      <c r="DB326" s="240"/>
      <c r="DC326" s="240"/>
      <c r="DD326" s="240"/>
      <c r="DE326" s="240"/>
      <c r="DF326" s="240"/>
      <c r="DG326" s="733"/>
      <c r="DH326" s="478"/>
      <c r="DI326" s="195"/>
      <c r="DJ326" s="3"/>
      <c r="DK326" s="478"/>
      <c r="DL326" s="4"/>
      <c r="DM326" s="4"/>
      <c r="DN326" s="4"/>
      <c r="DO326" s="4"/>
      <c r="DP326" s="4"/>
      <c r="DQ326" s="4"/>
      <c r="DS326" s="195"/>
      <c r="DT326" s="195"/>
      <c r="DU326" s="195"/>
      <c r="DV326" s="195"/>
      <c r="DW326" s="195"/>
      <c r="DX326" s="195"/>
      <c r="DY326" s="195"/>
      <c r="DZ326" s="195"/>
      <c r="EA326" s="195"/>
      <c r="EB326" s="195"/>
      <c r="EC326" s="195"/>
      <c r="ED326" s="195"/>
      <c r="EE326" s="195"/>
      <c r="EF326" s="195"/>
      <c r="EG326" s="195"/>
      <c r="EL326" s="1"/>
      <c r="EM326" s="195"/>
      <c r="EN326" s="240"/>
      <c r="EO326" s="240"/>
      <c r="EP326" s="195"/>
      <c r="EQ326" s="240"/>
      <c r="ER326" s="195"/>
      <c r="ES326" s="195"/>
      <c r="ET326" s="195"/>
      <c r="EU326" s="672"/>
      <c r="FJ326" s="571" t="n">
        <v>2</v>
      </c>
      <c r="FK326" s="150" t="str">
        <f aca="false">IF(AND(ISNUMBER(FK21),ISNUMBER(FK$320),FK$320&lt;&gt;0),FK21*FK$320/FK$15,"")</f>
        <v/>
      </c>
      <c r="FL326" s="150" t="str">
        <f aca="false">IF(AND(ISNUMBER(FL21),ISNUMBER(FL$320),FL$320&lt;&gt;0),FL21*FL$320/FL$15,"")</f>
        <v/>
      </c>
      <c r="FM326" s="150" t="str">
        <f aca="false">IF(AND(ISNUMBER(FM21),ISNUMBER(FM$320),FM$320&lt;&gt;0),FM21*FM$320/FM$15,"")</f>
        <v/>
      </c>
      <c r="FN326" s="150" t="str">
        <f aca="false">IF(AND(ISNUMBER(FN21),ISNUMBER(FN$320),FN$320&lt;&gt;0),FN21*FN$320/FN$15,"")</f>
        <v/>
      </c>
      <c r="FO326" s="150" t="str">
        <f aca="false">IF(AND(ISNUMBER(FO21),ISNUMBER(FO$320),FO$320&lt;&gt;0),FO21*FO$320/FO$15,"")</f>
        <v/>
      </c>
      <c r="FP326" s="150" t="str">
        <f aca="false">IF(AND(ISNUMBER(FP21),ISNUMBER(FP$320),FP$320&lt;&gt;0),FP21*FP$320/FP$15,"")</f>
        <v/>
      </c>
      <c r="FQ326" s="150" t="str">
        <f aca="false">IF(AND(ISNUMBER(FQ21),ISNUMBER(FQ$320),FQ$320&lt;&gt;0),FQ21*FQ$320/FQ$15,"")</f>
        <v/>
      </c>
      <c r="FR326" s="150" t="str">
        <f aca="false">IF(AND(ISNUMBER(FR21),ISNUMBER(FR$320),FR$320&lt;&gt;0),FR21*FR$320/FR$15,"")</f>
        <v/>
      </c>
      <c r="FS326" s="150" t="str">
        <f aca="false">IF(AND(ISNUMBER(FS21),ISNUMBER(FS$320),FS$320&lt;&gt;0),FS21*FS$320/FS$15,"")</f>
        <v/>
      </c>
      <c r="FT326" s="150" t="str">
        <f aca="false">IF(AND(ISNUMBER(FT21),ISNUMBER(FT$320),FT$320&lt;&gt;0),FT21*FT$320/FT$15,"")</f>
        <v/>
      </c>
      <c r="FU326" s="150" t="str">
        <f aca="false">IF(AND(ISNUMBER(FU21),ISNUMBER(FU$320),FU$320&lt;&gt;0),FU21*FU$320/FU$15,"")</f>
        <v/>
      </c>
      <c r="FV326" s="150" t="str">
        <f aca="false">IF(AND(ISNUMBER(FV21),ISNUMBER(FV$320),FV$320&lt;&gt;0),FV21*FV$320/FV$15,"")</f>
        <v/>
      </c>
      <c r="FW326" s="150" t="str">
        <f aca="false">IF(AND(ISNUMBER(FW21),ISNUMBER(FW$320),FW$320&lt;&gt;0),FW21*FW$320/FW$15,"")</f>
        <v/>
      </c>
      <c r="FX326" s="150" t="str">
        <f aca="false">IF(AND(ISNUMBER(FX21),ISNUMBER(FX$320),FX$320&lt;&gt;0),FX21*FX$320/FX$15,"")</f>
        <v/>
      </c>
      <c r="FY326" s="150" t="str">
        <f aca="false">IF(AND(ISNUMBER(FY21),ISNUMBER(FY$320),FY$320&lt;&gt;0),FY21*FY$320/FY$15,"")</f>
        <v/>
      </c>
      <c r="FZ326" s="150" t="str">
        <f aca="false">IF(AND(ISNUMBER(FZ21),ISNUMBER(FZ$320),FZ$320&lt;&gt;0),FZ21*FZ$320/FZ$15,"")</f>
        <v/>
      </c>
      <c r="GA326" s="150" t="str">
        <f aca="false">IF(AND(ISNUMBER(GA21),ISNUMBER(GA$320),GA$320&lt;&gt;0),GA21*GA$320/GA$15,"")</f>
        <v/>
      </c>
      <c r="GB326" s="150" t="str">
        <f aca="false">IF(AND(ISNUMBER(GB21),ISNUMBER(GB$320),GB$320&lt;&gt;0),GB21*GB$320/GB$15,"")</f>
        <v/>
      </c>
      <c r="GC326" s="150" t="str">
        <f aca="false">IF(AND(ISNUMBER(GC21),ISNUMBER(GC$320),GC$320&lt;&gt;0),GC21*GC$320/GC$15,"")</f>
        <v/>
      </c>
      <c r="GD326" s="150" t="str">
        <f aca="false">IF(AND(ISNUMBER(GD21),ISNUMBER(GD$320),GD$320&lt;&gt;0),GD21*GD$320/GD$15,"")</f>
        <v/>
      </c>
      <c r="GE326" s="150" t="str">
        <f aca="false">IF(AND(ISNUMBER(GE21),ISNUMBER(GE$320),GE$320&lt;&gt;0),GE21*GE$320/GE$15,"")</f>
        <v/>
      </c>
      <c r="GF326" s="150" t="str">
        <f aca="false">IF(AND(ISNUMBER(GF21),ISNUMBER(GF$320),GF$320&lt;&gt;0),GF21*GF$320/GF$15,"")</f>
        <v/>
      </c>
      <c r="GG326" s="150" t="str">
        <f aca="false">IF(AND(ISNUMBER(GG21),ISNUMBER(GG$320),GG$320&lt;&gt;0),GG21*GG$320/GG$15,"")</f>
        <v/>
      </c>
      <c r="GH326" s="150" t="str">
        <f aca="false">IF(AND(ISNUMBER(GH21),ISNUMBER(GH$320),GH$320&lt;&gt;0),GH21*GH$320/GH$15,"")</f>
        <v/>
      </c>
      <c r="GI326" s="150" t="str">
        <f aca="false">IF(AND(ISNUMBER(GI21),ISNUMBER(GI$320),GI$320&lt;&gt;0),GI21*GI$320/GI$15,"")</f>
        <v/>
      </c>
      <c r="GJ326" s="150" t="str">
        <f aca="false">IF(AND(ISNUMBER(GJ21),ISNUMBER(GJ$320),GJ$320&lt;&gt;0),GJ21*GJ$320/GJ$15,"")</f>
        <v/>
      </c>
      <c r="GK326" s="150" t="str">
        <f aca="false">IF(AND(ISNUMBER(GK21),ISNUMBER(GK$320),GK$320&lt;&gt;0),GK21*GK$320/GK$15,"")</f>
        <v/>
      </c>
      <c r="GL326" s="150" t="str">
        <f aca="false">IF(AND(ISNUMBER(GL21),ISNUMBER(GL$320),GL$320&lt;&gt;0),GL21*GL$320/GL$15,"")</f>
        <v/>
      </c>
      <c r="GM326" s="150" t="str">
        <f aca="false">IF(AND(ISNUMBER(GM21),ISNUMBER(GM$320),GM$320&lt;&gt;0),GM21*GM$320/GM$15,"")</f>
        <v/>
      </c>
      <c r="GN326" s="150" t="str">
        <f aca="false">IF(AND(ISNUMBER(GN21),ISNUMBER(GN$320),GN$320&lt;&gt;0),GN21*GN$320/GN$15,"")</f>
        <v/>
      </c>
      <c r="GO326" s="150" t="str">
        <f aca="false">IF(AND(ISNUMBER(GO21),ISNUMBER(GO$320),GO$320&lt;&gt;0),GO21*GO$320/GO$15,"")</f>
        <v/>
      </c>
      <c r="GP326" s="150" t="str">
        <f aca="false">IF(AND(ISNUMBER(GP21),ISNUMBER(GP$320),GP$320&lt;&gt;0),GP21*GP$320/GP$15,"")</f>
        <v/>
      </c>
      <c r="GQ326" s="150" t="str">
        <f aca="false">IF(AND(ISNUMBER(GQ21),ISNUMBER(GQ$320),GQ$320&lt;&gt;0),GQ21*GQ$320/GQ$15,"")</f>
        <v/>
      </c>
      <c r="GR326" s="150" t="str">
        <f aca="false">IF(AND(ISNUMBER(GR21),ISNUMBER(GR$320),GR$320&lt;&gt;0),GR21*GR$320/GR$15,"")</f>
        <v/>
      </c>
      <c r="GS326" s="150" t="str">
        <f aca="false">IF(AND(ISNUMBER(GS21),ISNUMBER(GS$320),GS$320&lt;&gt;0),GS21*GS$320/GS$15,"")</f>
        <v/>
      </c>
      <c r="GT326" s="150" t="str">
        <f aca="false">IF(AND(ISNUMBER(GT21),ISNUMBER(GT$320),GT$320&lt;&gt;0),GT21*GT$320/GT$15,"")</f>
        <v/>
      </c>
      <c r="GU326" s="150" t="str">
        <f aca="false">IF(AND(ISNUMBER(GU21),ISNUMBER(GU$320),GU$320&lt;&gt;0),GU21*GU$320/GU$15,"")</f>
        <v/>
      </c>
      <c r="GV326" s="150" t="str">
        <f aca="false">IF(AND(ISNUMBER(GV21),ISNUMBER(GV$320),GV$320&lt;&gt;0),GV21*GV$320/GV$15,"")</f>
        <v/>
      </c>
      <c r="GW326" s="150" t="str">
        <f aca="false">IF(AND(ISNUMBER(GW21),ISNUMBER(GW$320),GW$320&lt;&gt;0),GW21*GW$320/GW$15,"")</f>
        <v/>
      </c>
      <c r="GX326" s="150" t="str">
        <f aca="false">IF(AND(ISNUMBER(GX21),ISNUMBER(GX$320),GX$320&lt;&gt;0),GX21*GX$320/GX$15,"")</f>
        <v/>
      </c>
      <c r="GY326" s="150" t="str">
        <f aca="false">IF(AND(ISNUMBER(GY21),ISNUMBER(GY$320),GY$320&lt;&gt;0),GY21*GY$320/GY$15,"")</f>
        <v/>
      </c>
      <c r="GZ326" s="150" t="str">
        <f aca="false">IF(AND(ISNUMBER(GZ21),ISNUMBER(GZ$320),GZ$320&lt;&gt;0),GZ21*GZ$320/GZ$15,"")</f>
        <v/>
      </c>
      <c r="HA326" s="150" t="str">
        <f aca="false">IF(AND(ISNUMBER(HA21),ISNUMBER(HA$320),HA$320&lt;&gt;0),HA21*HA$320/HA$15,"")</f>
        <v/>
      </c>
      <c r="HB326" s="150" t="str">
        <f aca="false">IF(AND(ISNUMBER(HB21),ISNUMBER(HB$320),HB$320&lt;&gt;0),HB21*HB$320/HB$15,"")</f>
        <v/>
      </c>
      <c r="HC326" s="150" t="str">
        <f aca="false">IF(AND(ISNUMBER(HC21),ISNUMBER(HC$320),HC$320&lt;&gt;0),HC21*HC$320/HC$15,"")</f>
        <v/>
      </c>
      <c r="HD326" s="150" t="str">
        <f aca="false">IF(AND(ISNUMBER(HD21),ISNUMBER(HD$320),HD$320&lt;&gt;0),HD21*HD$320/HD$15,"")</f>
        <v/>
      </c>
      <c r="HE326" s="150" t="str">
        <f aca="false">IF(AND(ISNUMBER(HE21),ISNUMBER(HE$320),HE$320&lt;&gt;0),HE21*HE$320/HE$15,"")</f>
        <v/>
      </c>
      <c r="HF326" s="150" t="str">
        <f aca="false">IF(AND(ISNUMBER(HF21),ISNUMBER(HF$320),HF$320&lt;&gt;0),HF21*HF$320/HF$15,"")</f>
        <v/>
      </c>
      <c r="HG326" s="150" t="str">
        <f aca="false">IF(AND(ISNUMBER(HG21),ISNUMBER(HG$320),HG$320&lt;&gt;0),HG21*HG$320/HG$15,"")</f>
        <v/>
      </c>
      <c r="HH326" s="150" t="str">
        <f aca="false">IF(AND(ISNUMBER(HH21),ISNUMBER(HH$320),HH$320&lt;&gt;0),HH21*HH$320/HH$15,"")</f>
        <v/>
      </c>
      <c r="HI326" s="150" t="str">
        <f aca="false">IF(AND(ISNUMBER(HI21),ISNUMBER(HI$320),HI$320&lt;&gt;0),HI21*HI$320/HI$15,"")</f>
        <v/>
      </c>
      <c r="HJ326" s="150" t="str">
        <f aca="false">IF(AND(ISNUMBER(HJ21),ISNUMBER(HJ$320),HJ$320&lt;&gt;0),HJ21*HJ$320/HJ$15,"")</f>
        <v/>
      </c>
      <c r="HK326" s="150" t="str">
        <f aca="false">IF(AND(ISNUMBER(HK21),ISNUMBER(HK$320),HK$320&lt;&gt;0),HK21*HK$320/HK$15,"")</f>
        <v/>
      </c>
      <c r="HL326" s="150" t="str">
        <f aca="false">IF(AND(ISNUMBER(HL21),ISNUMBER(HL$320),HL$320&lt;&gt;0),HL21*HL$320/HL$15,"")</f>
        <v/>
      </c>
      <c r="HM326" s="150" t="str">
        <f aca="false">IF(AND(ISNUMBER(HM21),ISNUMBER(HM$320),HM$320&lt;&gt;0),HM21*HM$320/HM$15,"")</f>
        <v/>
      </c>
      <c r="HN326" s="150" t="str">
        <f aca="false">IF(AND(ISNUMBER(HN21),ISNUMBER(HN$320),HN$320&lt;&gt;0),HN21*HN$320/HN$15,"")</f>
        <v/>
      </c>
      <c r="HO326" s="150" t="str">
        <f aca="false">IF(AND(ISNUMBER(HO21),ISNUMBER(HO$320),HO$320&lt;&gt;0),HO21*HO$320/HO$15,"")</f>
        <v/>
      </c>
      <c r="HP326" s="150" t="str">
        <f aca="false">IF(AND(ISNUMBER(HP21),ISNUMBER(HP$320),HP$320&lt;&gt;0),HP21*HP$320/HP$15,"")</f>
        <v/>
      </c>
      <c r="HQ326" s="150" t="str">
        <f aca="false">IF(AND(ISNUMBER(HQ21),ISNUMBER(HQ$320),HQ$320&lt;&gt;0),HQ21*HQ$320/HQ$15,"")</f>
        <v/>
      </c>
      <c r="HR326" s="150" t="str">
        <f aca="false">IF(AND(ISNUMBER(HR21),ISNUMBER(HR$320),HR$320&lt;&gt;0),HR21*HR$320/HR$15,"")</f>
        <v/>
      </c>
      <c r="HS326" s="150" t="str">
        <f aca="false">IF(AND(ISNUMBER(HS21),ISNUMBER(HS$320),HS$320&lt;&gt;0),HS21*HS$320/HS$15,"")</f>
        <v/>
      </c>
      <c r="HT326" s="150" t="str">
        <f aca="false">IF(AND(ISNUMBER(HT21),ISNUMBER(HT$320),HT$320&lt;&gt;0),HT21*HT$320/HT$15,"")</f>
        <v/>
      </c>
      <c r="HU326" s="150" t="str">
        <f aca="false">IF(AND(ISNUMBER(HU21),ISNUMBER(HU$320),HU$320&lt;&gt;0),HU21*HU$320/HU$15,"")</f>
        <v/>
      </c>
      <c r="HV326" s="150" t="str">
        <f aca="false">IF(AND(ISNUMBER(HV21),ISNUMBER(HV$320),HV$320&lt;&gt;0),HV21*HV$320/HV$15,"")</f>
        <v/>
      </c>
      <c r="HW326" s="150" t="str">
        <f aca="false">IF(AND(ISNUMBER(HW21),ISNUMBER(HW$320),HW$320&lt;&gt;0),HW21*HW$320/HW$15,"")</f>
        <v/>
      </c>
      <c r="HX326" s="150" t="str">
        <f aca="false">IF(AND(ISNUMBER(HX21),ISNUMBER(HX$320),HX$320&lt;&gt;0),HX21*HX$320/HX$15,"")</f>
        <v/>
      </c>
      <c r="HY326" s="150" t="str">
        <f aca="false">IF(AND(ISNUMBER(HY21),ISNUMBER(HY$320),HY$320&lt;&gt;0),HY21*HY$320/HY$15,"")</f>
        <v/>
      </c>
      <c r="HZ326" s="150" t="str">
        <f aca="false">IF(AND(ISNUMBER(HZ21),ISNUMBER(HZ$320),HZ$320&lt;&gt;0),HZ21*HZ$320/HZ$15,"")</f>
        <v/>
      </c>
      <c r="IA326" s="150" t="str">
        <f aca="false">IF(AND(ISNUMBER(IA21),ISNUMBER(IA$320),IA$320&lt;&gt;0),IA21*IA$320/IA$15,"")</f>
        <v/>
      </c>
      <c r="IB326" s="150" t="str">
        <f aca="false">IF(AND(ISNUMBER(IB21),ISNUMBER(IB$320),IB$320&lt;&gt;0),IB21*IB$320/IB$15,"")</f>
        <v/>
      </c>
      <c r="IC326" s="150" t="str">
        <f aca="false">IF(AND(ISNUMBER(IC21),ISNUMBER(IC$320),IC$320&lt;&gt;0),IC21*IC$320/IC$15,"")</f>
        <v/>
      </c>
      <c r="ID326" s="572" t="str">
        <f aca="false">IF(AND(ISNUMBER(ID21),ISNUMBER(ID$320),ID$320&lt;&gt;0),ID21*ID$320/ID$15,"")</f>
        <v/>
      </c>
      <c r="IE326" s="129"/>
    </row>
    <row r="327" customFormat="false" ht="12.75" hidden="false" customHeight="false" outlineLevel="0" collapsed="false">
      <c r="I327" s="735"/>
      <c r="J327" s="727"/>
      <c r="K327" s="195"/>
      <c r="L327" s="195"/>
      <c r="M327" s="729"/>
      <c r="P327" s="727"/>
      <c r="S327" s="1"/>
      <c r="T327" s="727"/>
      <c r="U327" s="195"/>
      <c r="V327" s="195"/>
      <c r="W327" s="195"/>
      <c r="X327" s="195"/>
      <c r="Y327" s="195"/>
      <c r="Z327" s="195"/>
      <c r="AA327" s="195"/>
      <c r="AB327" s="195"/>
      <c r="AC327" s="195"/>
      <c r="AD327" s="195"/>
      <c r="AE327" s="195"/>
      <c r="AF327" s="195"/>
      <c r="AG327" s="195"/>
      <c r="AH327" s="195"/>
      <c r="AI327" s="195"/>
      <c r="AJ327" s="195"/>
      <c r="AK327" s="195"/>
      <c r="AL327" s="195"/>
      <c r="AM327" s="195"/>
      <c r="AN327" s="532"/>
      <c r="AO327" s="532"/>
      <c r="AP327" s="240"/>
      <c r="AQ327" s="532"/>
      <c r="AR327" s="240"/>
      <c r="AS327" s="240"/>
      <c r="AT327" s="240"/>
      <c r="AU327" s="730"/>
      <c r="AV327" s="730"/>
      <c r="AW327" s="730"/>
      <c r="AX327" s="730"/>
      <c r="AY327" s="468"/>
      <c r="AZ327" s="468"/>
      <c r="BA327" s="240"/>
      <c r="BB327" s="240"/>
      <c r="BC327" s="240"/>
      <c r="BD327" s="240"/>
      <c r="BE327" s="672"/>
      <c r="BF327" s="672"/>
      <c r="BG327" s="672"/>
      <c r="BH327" s="731"/>
      <c r="BI327" s="672"/>
      <c r="BJ327" s="240"/>
      <c r="BK327" s="736"/>
      <c r="BL327" s="737"/>
      <c r="BM327" s="240"/>
      <c r="BN327" s="240"/>
      <c r="BO327" s="240"/>
      <c r="BP327" s="240"/>
      <c r="BQ327" s="240"/>
      <c r="BR327" s="240"/>
      <c r="BS327" s="240"/>
      <c r="BT327" s="240"/>
      <c r="BU327" s="240"/>
      <c r="BV327" s="240"/>
      <c r="BW327" s="240"/>
      <c r="BX327" s="240"/>
      <c r="BY327" s="240"/>
      <c r="BZ327" s="240"/>
      <c r="CA327" s="240"/>
      <c r="CB327" s="672"/>
      <c r="CC327" s="672"/>
      <c r="CD327" s="672"/>
      <c r="CE327" s="672"/>
      <c r="CF327" s="672"/>
      <c r="CG327" s="672"/>
      <c r="CH327" s="240"/>
      <c r="CI327" s="240"/>
      <c r="CJ327" s="240"/>
      <c r="CK327" s="240"/>
      <c r="CL327" s="240"/>
      <c r="CM327" s="240"/>
      <c r="CN327" s="240"/>
      <c r="CO327" s="240"/>
      <c r="CP327" s="240"/>
      <c r="CQ327" s="240"/>
      <c r="CR327" s="240"/>
      <c r="CS327" s="240"/>
      <c r="CT327" s="240"/>
      <c r="CU327" s="240"/>
      <c r="CV327" s="240"/>
      <c r="CW327" s="240"/>
      <c r="CX327" s="240"/>
      <c r="CY327" s="240"/>
      <c r="CZ327" s="240"/>
      <c r="DA327" s="240"/>
      <c r="DB327" s="240"/>
      <c r="DC327" s="240"/>
      <c r="DD327" s="240"/>
      <c r="DE327" s="240"/>
      <c r="DF327" s="240"/>
      <c r="DG327" s="733"/>
      <c r="DH327" s="478"/>
      <c r="DI327" s="195"/>
      <c r="DJ327" s="3"/>
      <c r="DK327" s="478"/>
      <c r="DL327" s="4"/>
      <c r="DM327" s="4"/>
      <c r="DN327" s="4"/>
      <c r="DO327" s="4"/>
      <c r="DP327" s="4"/>
      <c r="DQ327" s="4"/>
      <c r="DS327" s="195"/>
      <c r="DT327" s="195"/>
      <c r="DU327" s="195"/>
      <c r="DV327" s="195"/>
      <c r="DW327" s="195"/>
      <c r="DX327" s="195"/>
      <c r="DY327" s="195"/>
      <c r="DZ327" s="195"/>
      <c r="EA327" s="195"/>
      <c r="EB327" s="195"/>
      <c r="EC327" s="195"/>
      <c r="ED327" s="195"/>
      <c r="EE327" s="195"/>
      <c r="EF327" s="195"/>
      <c r="EG327" s="195"/>
      <c r="EL327" s="1"/>
      <c r="EM327" s="195"/>
      <c r="EN327" s="240"/>
      <c r="EO327" s="240"/>
      <c r="EP327" s="195"/>
      <c r="EQ327" s="240"/>
      <c r="ER327" s="195"/>
      <c r="ES327" s="195"/>
      <c r="ET327" s="195"/>
      <c r="EU327" s="672"/>
      <c r="FJ327" s="571" t="n">
        <v>3</v>
      </c>
      <c r="FK327" s="150" t="str">
        <f aca="false">IF(AND(ISNUMBER(FK22),ISNUMBER(FK$320),FK$320&lt;&gt;0),FK22*FK$320/FK$15,"")</f>
        <v/>
      </c>
      <c r="FL327" s="150" t="str">
        <f aca="false">IF(AND(ISNUMBER(FL22),ISNUMBER(FL$320),FL$320&lt;&gt;0),FL22*FL$320/FL$15,"")</f>
        <v/>
      </c>
      <c r="FM327" s="150" t="n">
        <f aca="false">IF(AND(ISNUMBER(FM22),ISNUMBER(FM$320),FM$320&lt;&gt;0),FM22*FM$320/FM$15,"")</f>
        <v>0.0133256673511292</v>
      </c>
      <c r="FN327" s="150" t="str">
        <f aca="false">IF(AND(ISNUMBER(FN22),ISNUMBER(FN$320),FN$320&lt;&gt;0),FN22*FN$320/FN$15,"")</f>
        <v/>
      </c>
      <c r="FO327" s="150" t="str">
        <f aca="false">IF(AND(ISNUMBER(FO22),ISNUMBER(FO$320),FO$320&lt;&gt;0),FO22*FO$320/FO$15,"")</f>
        <v/>
      </c>
      <c r="FP327" s="150" t="str">
        <f aca="false">IF(AND(ISNUMBER(FP22),ISNUMBER(FP$320),FP$320&lt;&gt;0),FP22*FP$320/FP$15,"")</f>
        <v/>
      </c>
      <c r="FQ327" s="150" t="str">
        <f aca="false">IF(AND(ISNUMBER(FQ22),ISNUMBER(FQ$320),FQ$320&lt;&gt;0),FQ22*FQ$320/FQ$15,"")</f>
        <v/>
      </c>
      <c r="FR327" s="150" t="str">
        <f aca="false">IF(AND(ISNUMBER(FR22),ISNUMBER(FR$320),FR$320&lt;&gt;0),FR22*FR$320/FR$15,"")</f>
        <v/>
      </c>
      <c r="FS327" s="150" t="str">
        <f aca="false">IF(AND(ISNUMBER(FS22),ISNUMBER(FS$320),FS$320&lt;&gt;0),FS22*FS$320/FS$15,"")</f>
        <v/>
      </c>
      <c r="FT327" s="150" t="str">
        <f aca="false">IF(AND(ISNUMBER(FT22),ISNUMBER(FT$320),FT$320&lt;&gt;0),FT22*FT$320/FT$15,"")</f>
        <v/>
      </c>
      <c r="FU327" s="150" t="str">
        <f aca="false">IF(AND(ISNUMBER(FU22),ISNUMBER(FU$320),FU$320&lt;&gt;0),FU22*FU$320/FU$15,"")</f>
        <v/>
      </c>
      <c r="FV327" s="150" t="str">
        <f aca="false">IF(AND(ISNUMBER(FV22),ISNUMBER(FV$320),FV$320&lt;&gt;0),FV22*FV$320/FV$15,"")</f>
        <v/>
      </c>
      <c r="FW327" s="150" t="str">
        <f aca="false">IF(AND(ISNUMBER(FW22),ISNUMBER(FW$320),FW$320&lt;&gt;0),FW22*FW$320/FW$15,"")</f>
        <v/>
      </c>
      <c r="FX327" s="150" t="str">
        <f aca="false">IF(AND(ISNUMBER(FX22),ISNUMBER(FX$320),FX$320&lt;&gt;0),FX22*FX$320/FX$15,"")</f>
        <v/>
      </c>
      <c r="FY327" s="150" t="str">
        <f aca="false">IF(AND(ISNUMBER(FY22),ISNUMBER(FY$320),FY$320&lt;&gt;0),FY22*FY$320/FY$15,"")</f>
        <v/>
      </c>
      <c r="FZ327" s="150" t="str">
        <f aca="false">IF(AND(ISNUMBER(FZ22),ISNUMBER(FZ$320),FZ$320&lt;&gt;0),FZ22*FZ$320/FZ$15,"")</f>
        <v/>
      </c>
      <c r="GA327" s="150" t="str">
        <f aca="false">IF(AND(ISNUMBER(GA22),ISNUMBER(GA$320),GA$320&lt;&gt;0),GA22*GA$320/GA$15,"")</f>
        <v/>
      </c>
      <c r="GB327" s="150" t="str">
        <f aca="false">IF(AND(ISNUMBER(GB22),ISNUMBER(GB$320),GB$320&lt;&gt;0),GB22*GB$320/GB$15,"")</f>
        <v/>
      </c>
      <c r="GC327" s="150" t="str">
        <f aca="false">IF(AND(ISNUMBER(GC22),ISNUMBER(GC$320),GC$320&lt;&gt;0),GC22*GC$320/GC$15,"")</f>
        <v/>
      </c>
      <c r="GD327" s="150" t="str">
        <f aca="false">IF(AND(ISNUMBER(GD22),ISNUMBER(GD$320),GD$320&lt;&gt;0),GD22*GD$320/GD$15,"")</f>
        <v/>
      </c>
      <c r="GE327" s="150" t="str">
        <f aca="false">IF(AND(ISNUMBER(GE22),ISNUMBER(GE$320),GE$320&lt;&gt;0),GE22*GE$320/GE$15,"")</f>
        <v/>
      </c>
      <c r="GF327" s="150" t="str">
        <f aca="false">IF(AND(ISNUMBER(GF22),ISNUMBER(GF$320),GF$320&lt;&gt;0),GF22*GF$320/GF$15,"")</f>
        <v/>
      </c>
      <c r="GG327" s="150" t="str">
        <f aca="false">IF(AND(ISNUMBER(GG22),ISNUMBER(GG$320),GG$320&lt;&gt;0),GG22*GG$320/GG$15,"")</f>
        <v/>
      </c>
      <c r="GH327" s="150" t="str">
        <f aca="false">IF(AND(ISNUMBER(GH22),ISNUMBER(GH$320),GH$320&lt;&gt;0),GH22*GH$320/GH$15,"")</f>
        <v/>
      </c>
      <c r="GI327" s="150" t="str">
        <f aca="false">IF(AND(ISNUMBER(GI22),ISNUMBER(GI$320),GI$320&lt;&gt;0),GI22*GI$320/GI$15,"")</f>
        <v/>
      </c>
      <c r="GJ327" s="150" t="str">
        <f aca="false">IF(AND(ISNUMBER(GJ22),ISNUMBER(GJ$320),GJ$320&lt;&gt;0),GJ22*GJ$320/GJ$15,"")</f>
        <v/>
      </c>
      <c r="GK327" s="150" t="str">
        <f aca="false">IF(AND(ISNUMBER(GK22),ISNUMBER(GK$320),GK$320&lt;&gt;0),GK22*GK$320/GK$15,"")</f>
        <v/>
      </c>
      <c r="GL327" s="150" t="str">
        <f aca="false">IF(AND(ISNUMBER(GL22),ISNUMBER(GL$320),GL$320&lt;&gt;0),GL22*GL$320/GL$15,"")</f>
        <v/>
      </c>
      <c r="GM327" s="150" t="str">
        <f aca="false">IF(AND(ISNUMBER(GM22),ISNUMBER(GM$320),GM$320&lt;&gt;0),GM22*GM$320/GM$15,"")</f>
        <v/>
      </c>
      <c r="GN327" s="150" t="str">
        <f aca="false">IF(AND(ISNUMBER(GN22),ISNUMBER(GN$320),GN$320&lt;&gt;0),GN22*GN$320/GN$15,"")</f>
        <v/>
      </c>
      <c r="GO327" s="150" t="str">
        <f aca="false">IF(AND(ISNUMBER(GO22),ISNUMBER(GO$320),GO$320&lt;&gt;0),GO22*GO$320/GO$15,"")</f>
        <v/>
      </c>
      <c r="GP327" s="150" t="str">
        <f aca="false">IF(AND(ISNUMBER(GP22),ISNUMBER(GP$320),GP$320&lt;&gt;0),GP22*GP$320/GP$15,"")</f>
        <v/>
      </c>
      <c r="GQ327" s="150" t="str">
        <f aca="false">IF(AND(ISNUMBER(GQ22),ISNUMBER(GQ$320),GQ$320&lt;&gt;0),GQ22*GQ$320/GQ$15,"")</f>
        <v/>
      </c>
      <c r="GR327" s="150" t="str">
        <f aca="false">IF(AND(ISNUMBER(GR22),ISNUMBER(GR$320),GR$320&lt;&gt;0),GR22*GR$320/GR$15,"")</f>
        <v/>
      </c>
      <c r="GS327" s="150" t="str">
        <f aca="false">IF(AND(ISNUMBER(GS22),ISNUMBER(GS$320),GS$320&lt;&gt;0),GS22*GS$320/GS$15,"")</f>
        <v/>
      </c>
      <c r="GT327" s="150" t="str">
        <f aca="false">IF(AND(ISNUMBER(GT22),ISNUMBER(GT$320),GT$320&lt;&gt;0),GT22*GT$320/GT$15,"")</f>
        <v/>
      </c>
      <c r="GU327" s="150" t="str">
        <f aca="false">IF(AND(ISNUMBER(GU22),ISNUMBER(GU$320),GU$320&lt;&gt;0),GU22*GU$320/GU$15,"")</f>
        <v/>
      </c>
      <c r="GV327" s="150" t="str">
        <f aca="false">IF(AND(ISNUMBER(GV22),ISNUMBER(GV$320),GV$320&lt;&gt;0),GV22*GV$320/GV$15,"")</f>
        <v/>
      </c>
      <c r="GW327" s="150" t="str">
        <f aca="false">IF(AND(ISNUMBER(GW22),ISNUMBER(GW$320),GW$320&lt;&gt;0),GW22*GW$320/GW$15,"")</f>
        <v/>
      </c>
      <c r="GX327" s="150" t="str">
        <f aca="false">IF(AND(ISNUMBER(GX22),ISNUMBER(GX$320),GX$320&lt;&gt;0),GX22*GX$320/GX$15,"")</f>
        <v/>
      </c>
      <c r="GY327" s="150" t="str">
        <f aca="false">IF(AND(ISNUMBER(GY22),ISNUMBER(GY$320),GY$320&lt;&gt;0),GY22*GY$320/GY$15,"")</f>
        <v/>
      </c>
      <c r="GZ327" s="150" t="str">
        <f aca="false">IF(AND(ISNUMBER(GZ22),ISNUMBER(GZ$320),GZ$320&lt;&gt;0),GZ22*GZ$320/GZ$15,"")</f>
        <v/>
      </c>
      <c r="HA327" s="150" t="str">
        <f aca="false">IF(AND(ISNUMBER(HA22),ISNUMBER(HA$320),HA$320&lt;&gt;0),HA22*HA$320/HA$15,"")</f>
        <v/>
      </c>
      <c r="HB327" s="150" t="str">
        <f aca="false">IF(AND(ISNUMBER(HB22),ISNUMBER(HB$320),HB$320&lt;&gt;0),HB22*HB$320/HB$15,"")</f>
        <v/>
      </c>
      <c r="HC327" s="150" t="str">
        <f aca="false">IF(AND(ISNUMBER(HC22),ISNUMBER(HC$320),HC$320&lt;&gt;0),HC22*HC$320/HC$15,"")</f>
        <v/>
      </c>
      <c r="HD327" s="150" t="str">
        <f aca="false">IF(AND(ISNUMBER(HD22),ISNUMBER(HD$320),HD$320&lt;&gt;0),HD22*HD$320/HD$15,"")</f>
        <v/>
      </c>
      <c r="HE327" s="150" t="str">
        <f aca="false">IF(AND(ISNUMBER(HE22),ISNUMBER(HE$320),HE$320&lt;&gt;0),HE22*HE$320/HE$15,"")</f>
        <v/>
      </c>
      <c r="HF327" s="150" t="str">
        <f aca="false">IF(AND(ISNUMBER(HF22),ISNUMBER(HF$320),HF$320&lt;&gt;0),HF22*HF$320/HF$15,"")</f>
        <v/>
      </c>
      <c r="HG327" s="150" t="str">
        <f aca="false">IF(AND(ISNUMBER(HG22),ISNUMBER(HG$320),HG$320&lt;&gt;0),HG22*HG$320/HG$15,"")</f>
        <v/>
      </c>
      <c r="HH327" s="150" t="str">
        <f aca="false">IF(AND(ISNUMBER(HH22),ISNUMBER(HH$320),HH$320&lt;&gt;0),HH22*HH$320/HH$15,"")</f>
        <v/>
      </c>
      <c r="HI327" s="150" t="str">
        <f aca="false">IF(AND(ISNUMBER(HI22),ISNUMBER(HI$320),HI$320&lt;&gt;0),HI22*HI$320/HI$15,"")</f>
        <v/>
      </c>
      <c r="HJ327" s="150" t="str">
        <f aca="false">IF(AND(ISNUMBER(HJ22),ISNUMBER(HJ$320),HJ$320&lt;&gt;0),HJ22*HJ$320/HJ$15,"")</f>
        <v/>
      </c>
      <c r="HK327" s="150" t="str">
        <f aca="false">IF(AND(ISNUMBER(HK22),ISNUMBER(HK$320),HK$320&lt;&gt;0),HK22*HK$320/HK$15,"")</f>
        <v/>
      </c>
      <c r="HL327" s="150" t="str">
        <f aca="false">IF(AND(ISNUMBER(HL22),ISNUMBER(HL$320),HL$320&lt;&gt;0),HL22*HL$320/HL$15,"")</f>
        <v/>
      </c>
      <c r="HM327" s="150" t="str">
        <f aca="false">IF(AND(ISNUMBER(HM22),ISNUMBER(HM$320),HM$320&lt;&gt;0),HM22*HM$320/HM$15,"")</f>
        <v/>
      </c>
      <c r="HN327" s="150" t="str">
        <f aca="false">IF(AND(ISNUMBER(HN22),ISNUMBER(HN$320),HN$320&lt;&gt;0),HN22*HN$320/HN$15,"")</f>
        <v/>
      </c>
      <c r="HO327" s="150" t="str">
        <f aca="false">IF(AND(ISNUMBER(HO22),ISNUMBER(HO$320),HO$320&lt;&gt;0),HO22*HO$320/HO$15,"")</f>
        <v/>
      </c>
      <c r="HP327" s="150" t="str">
        <f aca="false">IF(AND(ISNUMBER(HP22),ISNUMBER(HP$320),HP$320&lt;&gt;0),HP22*HP$320/HP$15,"")</f>
        <v/>
      </c>
      <c r="HQ327" s="150" t="str">
        <f aca="false">IF(AND(ISNUMBER(HQ22),ISNUMBER(HQ$320),HQ$320&lt;&gt;0),HQ22*HQ$320/HQ$15,"")</f>
        <v/>
      </c>
      <c r="HR327" s="150" t="str">
        <f aca="false">IF(AND(ISNUMBER(HR22),ISNUMBER(HR$320),HR$320&lt;&gt;0),HR22*HR$320/HR$15,"")</f>
        <v/>
      </c>
      <c r="HS327" s="150" t="str">
        <f aca="false">IF(AND(ISNUMBER(HS22),ISNUMBER(HS$320),HS$320&lt;&gt;0),HS22*HS$320/HS$15,"")</f>
        <v/>
      </c>
      <c r="HT327" s="150" t="str">
        <f aca="false">IF(AND(ISNUMBER(HT22),ISNUMBER(HT$320),HT$320&lt;&gt;0),HT22*HT$320/HT$15,"")</f>
        <v/>
      </c>
      <c r="HU327" s="150" t="str">
        <f aca="false">IF(AND(ISNUMBER(HU22),ISNUMBER(HU$320),HU$320&lt;&gt;0),HU22*HU$320/HU$15,"")</f>
        <v/>
      </c>
      <c r="HV327" s="150" t="str">
        <f aca="false">IF(AND(ISNUMBER(HV22),ISNUMBER(HV$320),HV$320&lt;&gt;0),HV22*HV$320/HV$15,"")</f>
        <v/>
      </c>
      <c r="HW327" s="150" t="str">
        <f aca="false">IF(AND(ISNUMBER(HW22),ISNUMBER(HW$320),HW$320&lt;&gt;0),HW22*HW$320/HW$15,"")</f>
        <v/>
      </c>
      <c r="HX327" s="150" t="str">
        <f aca="false">IF(AND(ISNUMBER(HX22),ISNUMBER(HX$320),HX$320&lt;&gt;0),HX22*HX$320/HX$15,"")</f>
        <v/>
      </c>
      <c r="HY327" s="150" t="str">
        <f aca="false">IF(AND(ISNUMBER(HY22),ISNUMBER(HY$320),HY$320&lt;&gt;0),HY22*HY$320/HY$15,"")</f>
        <v/>
      </c>
      <c r="HZ327" s="150" t="str">
        <f aca="false">IF(AND(ISNUMBER(HZ22),ISNUMBER(HZ$320),HZ$320&lt;&gt;0),HZ22*HZ$320/HZ$15,"")</f>
        <v/>
      </c>
      <c r="IA327" s="150" t="str">
        <f aca="false">IF(AND(ISNUMBER(IA22),ISNUMBER(IA$320),IA$320&lt;&gt;0),IA22*IA$320/IA$15,"")</f>
        <v/>
      </c>
      <c r="IB327" s="150" t="str">
        <f aca="false">IF(AND(ISNUMBER(IB22),ISNUMBER(IB$320),IB$320&lt;&gt;0),IB22*IB$320/IB$15,"")</f>
        <v/>
      </c>
      <c r="IC327" s="150" t="str">
        <f aca="false">IF(AND(ISNUMBER(IC22),ISNUMBER(IC$320),IC$320&lt;&gt;0),IC22*IC$320/IC$15,"")</f>
        <v/>
      </c>
      <c r="ID327" s="572" t="str">
        <f aca="false">IF(AND(ISNUMBER(ID22),ISNUMBER(ID$320),ID$320&lt;&gt;0),ID22*ID$320/ID$15,"")</f>
        <v/>
      </c>
      <c r="IE327" s="129"/>
    </row>
    <row r="328" customFormat="false" ht="12.75" hidden="false" customHeight="false" outlineLevel="0" collapsed="false">
      <c r="I328" s="735"/>
      <c r="J328" s="727"/>
      <c r="K328" s="195"/>
      <c r="L328" s="195"/>
      <c r="M328" s="729"/>
      <c r="P328" s="727"/>
      <c r="S328" s="1"/>
      <c r="T328" s="727"/>
      <c r="U328" s="195"/>
      <c r="V328" s="195"/>
      <c r="W328" s="195"/>
      <c r="X328" s="195"/>
      <c r="Y328" s="195"/>
      <c r="Z328" s="195"/>
      <c r="AA328" s="195"/>
      <c r="AB328" s="195"/>
      <c r="AC328" s="195"/>
      <c r="AD328" s="195"/>
      <c r="AE328" s="195"/>
      <c r="AF328" s="195"/>
      <c r="AG328" s="195"/>
      <c r="AH328" s="195"/>
      <c r="AI328" s="195"/>
      <c r="AJ328" s="195"/>
      <c r="AK328" s="195"/>
      <c r="AL328" s="195"/>
      <c r="AM328" s="195"/>
      <c r="AN328" s="532"/>
      <c r="AO328" s="532"/>
      <c r="AP328" s="240"/>
      <c r="AQ328" s="532"/>
      <c r="AR328" s="240"/>
      <c r="AS328" s="240"/>
      <c r="AT328" s="240"/>
      <c r="AU328" s="730"/>
      <c r="AV328" s="730"/>
      <c r="AW328" s="730"/>
      <c r="AX328" s="730"/>
      <c r="AY328" s="468"/>
      <c r="AZ328" s="468"/>
      <c r="BA328" s="240"/>
      <c r="BB328" s="240"/>
      <c r="BC328" s="240"/>
      <c r="BD328" s="240"/>
      <c r="BE328" s="672"/>
      <c r="BF328" s="672"/>
      <c r="BG328" s="672"/>
      <c r="BH328" s="731"/>
      <c r="BI328" s="672"/>
      <c r="BJ328" s="240"/>
      <c r="BK328" s="736"/>
      <c r="BL328" s="737"/>
      <c r="BM328" s="240"/>
      <c r="BN328" s="240"/>
      <c r="BO328" s="240"/>
      <c r="BP328" s="240"/>
      <c r="BQ328" s="240"/>
      <c r="BR328" s="240"/>
      <c r="BS328" s="240"/>
      <c r="BT328" s="240"/>
      <c r="BU328" s="240"/>
      <c r="BV328" s="240"/>
      <c r="BW328" s="240"/>
      <c r="BX328" s="240"/>
      <c r="BY328" s="240"/>
      <c r="BZ328" s="240"/>
      <c r="CA328" s="240"/>
      <c r="CB328" s="672"/>
      <c r="CC328" s="672"/>
      <c r="CD328" s="672"/>
      <c r="CE328" s="672"/>
      <c r="CF328" s="672"/>
      <c r="CG328" s="672"/>
      <c r="CH328" s="240"/>
      <c r="CI328" s="240"/>
      <c r="CJ328" s="240"/>
      <c r="CK328" s="240"/>
      <c r="CL328" s="240"/>
      <c r="CM328" s="240"/>
      <c r="CN328" s="240"/>
      <c r="CO328" s="240"/>
      <c r="CP328" s="240"/>
      <c r="CQ328" s="240"/>
      <c r="CR328" s="240"/>
      <c r="CS328" s="240"/>
      <c r="CT328" s="240"/>
      <c r="CU328" s="240"/>
      <c r="CV328" s="240"/>
      <c r="CW328" s="240"/>
      <c r="CX328" s="240"/>
      <c r="CY328" s="240"/>
      <c r="CZ328" s="240"/>
      <c r="DA328" s="240"/>
      <c r="DB328" s="240"/>
      <c r="DC328" s="240"/>
      <c r="DD328" s="240"/>
      <c r="DE328" s="240"/>
      <c r="DF328" s="240"/>
      <c r="DG328" s="733"/>
      <c r="DH328" s="478"/>
      <c r="DI328" s="195"/>
      <c r="DJ328" s="3"/>
      <c r="DK328" s="478"/>
      <c r="DL328" s="4"/>
      <c r="DM328" s="4"/>
      <c r="DN328" s="4"/>
      <c r="DO328" s="4"/>
      <c r="DP328" s="4"/>
      <c r="DQ328" s="4"/>
      <c r="DS328" s="195"/>
      <c r="DT328" s="195"/>
      <c r="DU328" s="195"/>
      <c r="DV328" s="195"/>
      <c r="DW328" s="195"/>
      <c r="DX328" s="195"/>
      <c r="DY328" s="195"/>
      <c r="DZ328" s="195"/>
      <c r="EA328" s="195"/>
      <c r="EB328" s="195"/>
      <c r="EC328" s="195"/>
      <c r="ED328" s="195"/>
      <c r="EE328" s="195"/>
      <c r="EF328" s="195"/>
      <c r="EG328" s="195"/>
      <c r="EL328" s="1"/>
      <c r="EM328" s="195"/>
      <c r="EN328" s="240"/>
      <c r="EO328" s="240"/>
      <c r="EP328" s="195"/>
      <c r="EQ328" s="240"/>
      <c r="ER328" s="195"/>
      <c r="ES328" s="195"/>
      <c r="ET328" s="195"/>
      <c r="EU328" s="672"/>
      <c r="FJ328" s="571" t="n">
        <v>4</v>
      </c>
      <c r="FK328" s="150" t="str">
        <f aca="false">IF(AND(ISNUMBER(FK23),ISNUMBER(FK$320),FK$320&lt;&gt;0),FK23*FK$320/FK$15,"")</f>
        <v/>
      </c>
      <c r="FL328" s="150" t="str">
        <f aca="false">IF(AND(ISNUMBER(FL23),ISNUMBER(FL$320),FL$320&lt;&gt;0),FL23*FL$320/FL$15,"")</f>
        <v/>
      </c>
      <c r="FM328" s="150" t="n">
        <f aca="false">IF(AND(ISNUMBER(FM23),ISNUMBER(FM$320),FM$320&lt;&gt;0),FM23*FM$320/FM$15,"")</f>
        <v>0.0103319813937894</v>
      </c>
      <c r="FN328" s="150" t="n">
        <f aca="false">IF(AND(ISNUMBER(FN23),ISNUMBER(FN$320),FN$320&lt;&gt;0),FN23*FN$320/FN$15,"")</f>
        <v>0.0112158110882956</v>
      </c>
      <c r="FO328" s="150" t="str">
        <f aca="false">IF(AND(ISNUMBER(FO23),ISNUMBER(FO$320),FO$320&lt;&gt;0),FO23*FO$320/FO$15,"")</f>
        <v/>
      </c>
      <c r="FP328" s="150" t="str">
        <f aca="false">IF(AND(ISNUMBER(FP23),ISNUMBER(FP$320),FP$320&lt;&gt;0),FP23*FP$320/FP$15,"")</f>
        <v/>
      </c>
      <c r="FQ328" s="150" t="str">
        <f aca="false">IF(AND(ISNUMBER(FQ23),ISNUMBER(FQ$320),FQ$320&lt;&gt;0),FQ23*FQ$320/FQ$15,"")</f>
        <v/>
      </c>
      <c r="FR328" s="150" t="str">
        <f aca="false">IF(AND(ISNUMBER(FR23),ISNUMBER(FR$320),FR$320&lt;&gt;0),FR23*FR$320/FR$15,"")</f>
        <v/>
      </c>
      <c r="FS328" s="150" t="str">
        <f aca="false">IF(AND(ISNUMBER(FS23),ISNUMBER(FS$320),FS$320&lt;&gt;0),FS23*FS$320/FS$15,"")</f>
        <v/>
      </c>
      <c r="FT328" s="150" t="str">
        <f aca="false">IF(AND(ISNUMBER(FT23),ISNUMBER(FT$320),FT$320&lt;&gt;0),FT23*FT$320/FT$15,"")</f>
        <v/>
      </c>
      <c r="FU328" s="150" t="str">
        <f aca="false">IF(AND(ISNUMBER(FU23),ISNUMBER(FU$320),FU$320&lt;&gt;0),FU23*FU$320/FU$15,"")</f>
        <v/>
      </c>
      <c r="FV328" s="150" t="str">
        <f aca="false">IF(AND(ISNUMBER(FV23),ISNUMBER(FV$320),FV$320&lt;&gt;0),FV23*FV$320/FV$15,"")</f>
        <v/>
      </c>
      <c r="FW328" s="150" t="str">
        <f aca="false">IF(AND(ISNUMBER(FW23),ISNUMBER(FW$320),FW$320&lt;&gt;0),FW23*FW$320/FW$15,"")</f>
        <v/>
      </c>
      <c r="FX328" s="150" t="str">
        <f aca="false">IF(AND(ISNUMBER(FX23),ISNUMBER(FX$320),FX$320&lt;&gt;0),FX23*FX$320/FX$15,"")</f>
        <v/>
      </c>
      <c r="FY328" s="150" t="str">
        <f aca="false">IF(AND(ISNUMBER(FY23),ISNUMBER(FY$320),FY$320&lt;&gt;0),FY23*FY$320/FY$15,"")</f>
        <v/>
      </c>
      <c r="FZ328" s="150" t="str">
        <f aca="false">IF(AND(ISNUMBER(FZ23),ISNUMBER(FZ$320),FZ$320&lt;&gt;0),FZ23*FZ$320/FZ$15,"")</f>
        <v/>
      </c>
      <c r="GA328" s="150" t="str">
        <f aca="false">IF(AND(ISNUMBER(GA23),ISNUMBER(GA$320),GA$320&lt;&gt;0),GA23*GA$320/GA$15,"")</f>
        <v/>
      </c>
      <c r="GB328" s="150" t="str">
        <f aca="false">IF(AND(ISNUMBER(GB23),ISNUMBER(GB$320),GB$320&lt;&gt;0),GB23*GB$320/GB$15,"")</f>
        <v/>
      </c>
      <c r="GC328" s="150" t="str">
        <f aca="false">IF(AND(ISNUMBER(GC23),ISNUMBER(GC$320),GC$320&lt;&gt;0),GC23*GC$320/GC$15,"")</f>
        <v/>
      </c>
      <c r="GD328" s="150" t="str">
        <f aca="false">IF(AND(ISNUMBER(GD23),ISNUMBER(GD$320),GD$320&lt;&gt;0),GD23*GD$320/GD$15,"")</f>
        <v/>
      </c>
      <c r="GE328" s="150" t="str">
        <f aca="false">IF(AND(ISNUMBER(GE23),ISNUMBER(GE$320),GE$320&lt;&gt;0),GE23*GE$320/GE$15,"")</f>
        <v/>
      </c>
      <c r="GF328" s="150" t="str">
        <f aca="false">IF(AND(ISNUMBER(GF23),ISNUMBER(GF$320),GF$320&lt;&gt;0),GF23*GF$320/GF$15,"")</f>
        <v/>
      </c>
      <c r="GG328" s="150" t="str">
        <f aca="false">IF(AND(ISNUMBER(GG23),ISNUMBER(GG$320),GG$320&lt;&gt;0),GG23*GG$320/GG$15,"")</f>
        <v/>
      </c>
      <c r="GH328" s="150" t="str">
        <f aca="false">IF(AND(ISNUMBER(GH23),ISNUMBER(GH$320),GH$320&lt;&gt;0),GH23*GH$320/GH$15,"")</f>
        <v/>
      </c>
      <c r="GI328" s="150" t="str">
        <f aca="false">IF(AND(ISNUMBER(GI23),ISNUMBER(GI$320),GI$320&lt;&gt;0),GI23*GI$320/GI$15,"")</f>
        <v/>
      </c>
      <c r="GJ328" s="150" t="str">
        <f aca="false">IF(AND(ISNUMBER(GJ23),ISNUMBER(GJ$320),GJ$320&lt;&gt;0),GJ23*GJ$320/GJ$15,"")</f>
        <v/>
      </c>
      <c r="GK328" s="150" t="str">
        <f aca="false">IF(AND(ISNUMBER(GK23),ISNUMBER(GK$320),GK$320&lt;&gt;0),GK23*GK$320/GK$15,"")</f>
        <v/>
      </c>
      <c r="GL328" s="150" t="str">
        <f aca="false">IF(AND(ISNUMBER(GL23),ISNUMBER(GL$320),GL$320&lt;&gt;0),GL23*GL$320/GL$15,"")</f>
        <v/>
      </c>
      <c r="GM328" s="150" t="str">
        <f aca="false">IF(AND(ISNUMBER(GM23),ISNUMBER(GM$320),GM$320&lt;&gt;0),GM23*GM$320/GM$15,"")</f>
        <v/>
      </c>
      <c r="GN328" s="150" t="str">
        <f aca="false">IF(AND(ISNUMBER(GN23),ISNUMBER(GN$320),GN$320&lt;&gt;0),GN23*GN$320/GN$15,"")</f>
        <v/>
      </c>
      <c r="GO328" s="150" t="str">
        <f aca="false">IF(AND(ISNUMBER(GO23),ISNUMBER(GO$320),GO$320&lt;&gt;0),GO23*GO$320/GO$15,"")</f>
        <v/>
      </c>
      <c r="GP328" s="150" t="str">
        <f aca="false">IF(AND(ISNUMBER(GP23),ISNUMBER(GP$320),GP$320&lt;&gt;0),GP23*GP$320/GP$15,"")</f>
        <v/>
      </c>
      <c r="GQ328" s="150" t="str">
        <f aca="false">IF(AND(ISNUMBER(GQ23),ISNUMBER(GQ$320),GQ$320&lt;&gt;0),GQ23*GQ$320/GQ$15,"")</f>
        <v/>
      </c>
      <c r="GR328" s="150" t="str">
        <f aca="false">IF(AND(ISNUMBER(GR23),ISNUMBER(GR$320),GR$320&lt;&gt;0),GR23*GR$320/GR$15,"")</f>
        <v/>
      </c>
      <c r="GS328" s="150" t="str">
        <f aca="false">IF(AND(ISNUMBER(GS23),ISNUMBER(GS$320),GS$320&lt;&gt;0),GS23*GS$320/GS$15,"")</f>
        <v/>
      </c>
      <c r="GT328" s="150" t="str">
        <f aca="false">IF(AND(ISNUMBER(GT23),ISNUMBER(GT$320),GT$320&lt;&gt;0),GT23*GT$320/GT$15,"")</f>
        <v/>
      </c>
      <c r="GU328" s="150" t="str">
        <f aca="false">IF(AND(ISNUMBER(GU23),ISNUMBER(GU$320),GU$320&lt;&gt;0),GU23*GU$320/GU$15,"")</f>
        <v/>
      </c>
      <c r="GV328" s="150" t="str">
        <f aca="false">IF(AND(ISNUMBER(GV23),ISNUMBER(GV$320),GV$320&lt;&gt;0),GV23*GV$320/GV$15,"")</f>
        <v/>
      </c>
      <c r="GW328" s="150" t="str">
        <f aca="false">IF(AND(ISNUMBER(GW23),ISNUMBER(GW$320),GW$320&lt;&gt;0),GW23*GW$320/GW$15,"")</f>
        <v/>
      </c>
      <c r="GX328" s="150" t="str">
        <f aca="false">IF(AND(ISNUMBER(GX23),ISNUMBER(GX$320),GX$320&lt;&gt;0),GX23*GX$320/GX$15,"")</f>
        <v/>
      </c>
      <c r="GY328" s="150" t="str">
        <f aca="false">IF(AND(ISNUMBER(GY23),ISNUMBER(GY$320),GY$320&lt;&gt;0),GY23*GY$320/GY$15,"")</f>
        <v/>
      </c>
      <c r="GZ328" s="150" t="str">
        <f aca="false">IF(AND(ISNUMBER(GZ23),ISNUMBER(GZ$320),GZ$320&lt;&gt;0),GZ23*GZ$320/GZ$15,"")</f>
        <v/>
      </c>
      <c r="HA328" s="150" t="str">
        <f aca="false">IF(AND(ISNUMBER(HA23),ISNUMBER(HA$320),HA$320&lt;&gt;0),HA23*HA$320/HA$15,"")</f>
        <v/>
      </c>
      <c r="HB328" s="150" t="str">
        <f aca="false">IF(AND(ISNUMBER(HB23),ISNUMBER(HB$320),HB$320&lt;&gt;0),HB23*HB$320/HB$15,"")</f>
        <v/>
      </c>
      <c r="HC328" s="150" t="str">
        <f aca="false">IF(AND(ISNUMBER(HC23),ISNUMBER(HC$320),HC$320&lt;&gt;0),HC23*HC$320/HC$15,"")</f>
        <v/>
      </c>
      <c r="HD328" s="150" t="str">
        <f aca="false">IF(AND(ISNUMBER(HD23),ISNUMBER(HD$320),HD$320&lt;&gt;0),HD23*HD$320/HD$15,"")</f>
        <v/>
      </c>
      <c r="HE328" s="150" t="str">
        <f aca="false">IF(AND(ISNUMBER(HE23),ISNUMBER(HE$320),HE$320&lt;&gt;0),HE23*HE$320/HE$15,"")</f>
        <v/>
      </c>
      <c r="HF328" s="150" t="str">
        <f aca="false">IF(AND(ISNUMBER(HF23),ISNUMBER(HF$320),HF$320&lt;&gt;0),HF23*HF$320/HF$15,"")</f>
        <v/>
      </c>
      <c r="HG328" s="150" t="str">
        <f aca="false">IF(AND(ISNUMBER(HG23),ISNUMBER(HG$320),HG$320&lt;&gt;0),HG23*HG$320/HG$15,"")</f>
        <v/>
      </c>
      <c r="HH328" s="150" t="str">
        <f aca="false">IF(AND(ISNUMBER(HH23),ISNUMBER(HH$320),HH$320&lt;&gt;0),HH23*HH$320/HH$15,"")</f>
        <v/>
      </c>
      <c r="HI328" s="150" t="str">
        <f aca="false">IF(AND(ISNUMBER(HI23),ISNUMBER(HI$320),HI$320&lt;&gt;0),HI23*HI$320/HI$15,"")</f>
        <v/>
      </c>
      <c r="HJ328" s="150" t="str">
        <f aca="false">IF(AND(ISNUMBER(HJ23),ISNUMBER(HJ$320),HJ$320&lt;&gt;0),HJ23*HJ$320/HJ$15,"")</f>
        <v/>
      </c>
      <c r="HK328" s="150" t="str">
        <f aca="false">IF(AND(ISNUMBER(HK23),ISNUMBER(HK$320),HK$320&lt;&gt;0),HK23*HK$320/HK$15,"")</f>
        <v/>
      </c>
      <c r="HL328" s="150" t="str">
        <f aca="false">IF(AND(ISNUMBER(HL23),ISNUMBER(HL$320),HL$320&lt;&gt;0),HL23*HL$320/HL$15,"")</f>
        <v/>
      </c>
      <c r="HM328" s="150" t="str">
        <f aca="false">IF(AND(ISNUMBER(HM23),ISNUMBER(HM$320),HM$320&lt;&gt;0),HM23*HM$320/HM$15,"")</f>
        <v/>
      </c>
      <c r="HN328" s="150" t="str">
        <f aca="false">IF(AND(ISNUMBER(HN23),ISNUMBER(HN$320),HN$320&lt;&gt;0),HN23*HN$320/HN$15,"")</f>
        <v/>
      </c>
      <c r="HO328" s="150" t="str">
        <f aca="false">IF(AND(ISNUMBER(HO23),ISNUMBER(HO$320),HO$320&lt;&gt;0),HO23*HO$320/HO$15,"")</f>
        <v/>
      </c>
      <c r="HP328" s="150" t="str">
        <f aca="false">IF(AND(ISNUMBER(HP23),ISNUMBER(HP$320),HP$320&lt;&gt;0),HP23*HP$320/HP$15,"")</f>
        <v/>
      </c>
      <c r="HQ328" s="150" t="str">
        <f aca="false">IF(AND(ISNUMBER(HQ23),ISNUMBER(HQ$320),HQ$320&lt;&gt;0),HQ23*HQ$320/HQ$15,"")</f>
        <v/>
      </c>
      <c r="HR328" s="150" t="str">
        <f aca="false">IF(AND(ISNUMBER(HR23),ISNUMBER(HR$320),HR$320&lt;&gt;0),HR23*HR$320/HR$15,"")</f>
        <v/>
      </c>
      <c r="HS328" s="150" t="str">
        <f aca="false">IF(AND(ISNUMBER(HS23),ISNUMBER(HS$320),HS$320&lt;&gt;0),HS23*HS$320/HS$15,"")</f>
        <v/>
      </c>
      <c r="HT328" s="150" t="str">
        <f aca="false">IF(AND(ISNUMBER(HT23),ISNUMBER(HT$320),HT$320&lt;&gt;0),HT23*HT$320/HT$15,"")</f>
        <v/>
      </c>
      <c r="HU328" s="150" t="str">
        <f aca="false">IF(AND(ISNUMBER(HU23),ISNUMBER(HU$320),HU$320&lt;&gt;0),HU23*HU$320/HU$15,"")</f>
        <v/>
      </c>
      <c r="HV328" s="150" t="str">
        <f aca="false">IF(AND(ISNUMBER(HV23),ISNUMBER(HV$320),HV$320&lt;&gt;0),HV23*HV$320/HV$15,"")</f>
        <v/>
      </c>
      <c r="HW328" s="150" t="str">
        <f aca="false">IF(AND(ISNUMBER(HW23),ISNUMBER(HW$320),HW$320&lt;&gt;0),HW23*HW$320/HW$15,"")</f>
        <v/>
      </c>
      <c r="HX328" s="150" t="str">
        <f aca="false">IF(AND(ISNUMBER(HX23),ISNUMBER(HX$320),HX$320&lt;&gt;0),HX23*HX$320/HX$15,"")</f>
        <v/>
      </c>
      <c r="HY328" s="150" t="str">
        <f aca="false">IF(AND(ISNUMBER(HY23),ISNUMBER(HY$320),HY$320&lt;&gt;0),HY23*HY$320/HY$15,"")</f>
        <v/>
      </c>
      <c r="HZ328" s="150" t="str">
        <f aca="false">IF(AND(ISNUMBER(HZ23),ISNUMBER(HZ$320),HZ$320&lt;&gt;0),HZ23*HZ$320/HZ$15,"")</f>
        <v/>
      </c>
      <c r="IA328" s="150" t="str">
        <f aca="false">IF(AND(ISNUMBER(IA23),ISNUMBER(IA$320),IA$320&lt;&gt;0),IA23*IA$320/IA$15,"")</f>
        <v/>
      </c>
      <c r="IB328" s="150" t="str">
        <f aca="false">IF(AND(ISNUMBER(IB23),ISNUMBER(IB$320),IB$320&lt;&gt;0),IB23*IB$320/IB$15,"")</f>
        <v/>
      </c>
      <c r="IC328" s="150" t="str">
        <f aca="false">IF(AND(ISNUMBER(IC23),ISNUMBER(IC$320),IC$320&lt;&gt;0),IC23*IC$320/IC$15,"")</f>
        <v/>
      </c>
      <c r="ID328" s="572" t="str">
        <f aca="false">IF(AND(ISNUMBER(ID23),ISNUMBER(ID$320),ID$320&lt;&gt;0),ID23*ID$320/ID$15,"")</f>
        <v/>
      </c>
      <c r="IE328" s="129"/>
    </row>
    <row r="329" customFormat="false" ht="12.75" hidden="false" customHeight="false" outlineLevel="0" collapsed="false">
      <c r="I329" s="735"/>
      <c r="J329" s="727"/>
      <c r="K329" s="195"/>
      <c r="L329" s="195"/>
      <c r="M329" s="729"/>
      <c r="P329" s="727"/>
      <c r="S329" s="1"/>
      <c r="T329" s="727"/>
      <c r="U329" s="195"/>
      <c r="V329" s="195"/>
      <c r="W329" s="195"/>
      <c r="X329" s="195"/>
      <c r="Y329" s="195"/>
      <c r="Z329" s="195"/>
      <c r="AA329" s="195"/>
      <c r="AB329" s="195"/>
      <c r="AC329" s="195"/>
      <c r="AD329" s="195"/>
      <c r="AE329" s="195"/>
      <c r="AF329" s="195"/>
      <c r="AG329" s="195"/>
      <c r="AH329" s="195"/>
      <c r="AI329" s="195"/>
      <c r="AJ329" s="195"/>
      <c r="AK329" s="195"/>
      <c r="AL329" s="195"/>
      <c r="AM329" s="195"/>
      <c r="AN329" s="532"/>
      <c r="AO329" s="532"/>
      <c r="AP329" s="240"/>
      <c r="AQ329" s="532"/>
      <c r="AR329" s="240"/>
      <c r="AS329" s="240"/>
      <c r="AT329" s="240"/>
      <c r="AU329" s="730"/>
      <c r="AV329" s="730"/>
      <c r="AW329" s="730"/>
      <c r="AX329" s="730"/>
      <c r="AY329" s="468"/>
      <c r="AZ329" s="468"/>
      <c r="BA329" s="240"/>
      <c r="BB329" s="240"/>
      <c r="BC329" s="240"/>
      <c r="BD329" s="240"/>
      <c r="BE329" s="672"/>
      <c r="BF329" s="672"/>
      <c r="BG329" s="672"/>
      <c r="BH329" s="731"/>
      <c r="BI329" s="672"/>
      <c r="BJ329" s="240"/>
      <c r="BK329" s="736"/>
      <c r="BL329" s="737"/>
      <c r="BM329" s="240"/>
      <c r="BN329" s="240"/>
      <c r="BO329" s="240"/>
      <c r="BP329" s="240"/>
      <c r="BQ329" s="240"/>
      <c r="BR329" s="240"/>
      <c r="BS329" s="240"/>
      <c r="BT329" s="240"/>
      <c r="BU329" s="240"/>
      <c r="BV329" s="240"/>
      <c r="BW329" s="240"/>
      <c r="BX329" s="240"/>
      <c r="BY329" s="240"/>
      <c r="BZ329" s="240"/>
      <c r="CA329" s="240"/>
      <c r="CB329" s="672"/>
      <c r="CC329" s="672"/>
      <c r="CD329" s="672"/>
      <c r="CE329" s="672"/>
      <c r="CF329" s="672"/>
      <c r="CG329" s="672"/>
      <c r="CH329" s="240"/>
      <c r="CI329" s="240"/>
      <c r="CJ329" s="240"/>
      <c r="CK329" s="240"/>
      <c r="CL329" s="240"/>
      <c r="CM329" s="240"/>
      <c r="CN329" s="240"/>
      <c r="CO329" s="240"/>
      <c r="CP329" s="240"/>
      <c r="CQ329" s="240"/>
      <c r="CR329" s="240"/>
      <c r="CS329" s="240"/>
      <c r="CT329" s="240"/>
      <c r="CU329" s="240"/>
      <c r="CV329" s="240"/>
      <c r="CW329" s="240"/>
      <c r="CX329" s="240"/>
      <c r="CY329" s="240"/>
      <c r="CZ329" s="240"/>
      <c r="DA329" s="240"/>
      <c r="DB329" s="240"/>
      <c r="DC329" s="240"/>
      <c r="DD329" s="240"/>
      <c r="DE329" s="240"/>
      <c r="DF329" s="240"/>
      <c r="DG329" s="733"/>
      <c r="DH329" s="478"/>
      <c r="DI329" s="195"/>
      <c r="DJ329" s="3"/>
      <c r="DK329" s="478"/>
      <c r="DL329" s="4"/>
      <c r="DM329" s="4"/>
      <c r="DN329" s="4"/>
      <c r="DO329" s="4"/>
      <c r="DP329" s="4"/>
      <c r="DQ329" s="4"/>
      <c r="DS329" s="195"/>
      <c r="DT329" s="195"/>
      <c r="DU329" s="195"/>
      <c r="DV329" s="195"/>
      <c r="DW329" s="195"/>
      <c r="DX329" s="195"/>
      <c r="DY329" s="195"/>
      <c r="DZ329" s="195"/>
      <c r="EA329" s="195"/>
      <c r="EB329" s="195"/>
      <c r="EC329" s="195"/>
      <c r="ED329" s="195"/>
      <c r="EE329" s="195"/>
      <c r="EF329" s="195"/>
      <c r="EG329" s="195"/>
      <c r="EL329" s="1"/>
      <c r="EM329" s="195"/>
      <c r="EN329" s="240"/>
      <c r="EO329" s="240"/>
      <c r="EP329" s="195"/>
      <c r="EQ329" s="240"/>
      <c r="ER329" s="195"/>
      <c r="ES329" s="195"/>
      <c r="ET329" s="195"/>
      <c r="EU329" s="672"/>
      <c r="FJ329" s="571" t="n">
        <v>5</v>
      </c>
      <c r="FK329" s="150" t="str">
        <f aca="false">IF(AND(ISNUMBER(FK24),ISNUMBER(FK$320),FK$320&lt;&gt;0),FK24*FK$320/FK$15,"")</f>
        <v/>
      </c>
      <c r="FL329" s="150" t="str">
        <f aca="false">IF(AND(ISNUMBER(FL24),ISNUMBER(FL$320),FL$320&lt;&gt;0),FL24*FL$320/FL$15,"")</f>
        <v/>
      </c>
      <c r="FM329" s="150" t="n">
        <f aca="false">IF(AND(ISNUMBER(FM24),ISNUMBER(FM$320),FM$320&lt;&gt;0),FM24*FM$320/FM$15,"")</f>
        <v>0.00834740874089484</v>
      </c>
      <c r="FN329" s="150" t="n">
        <f aca="false">IF(AND(ISNUMBER(FN24),ISNUMBER(FN$320),FN$320&lt;&gt;0),FN24*FN$320/FN$15,"")</f>
        <v>0.0086961161814314</v>
      </c>
      <c r="FO329" s="150" t="n">
        <f aca="false">IF(AND(ISNUMBER(FO24),ISNUMBER(FO$320),FO$320&lt;&gt;0),FO24*FO$320/FO$15,"")</f>
        <v>0.011666099845996</v>
      </c>
      <c r="FP329" s="150" t="str">
        <f aca="false">IF(AND(ISNUMBER(FP24),ISNUMBER(FP$320),FP$320&lt;&gt;0),FP24*FP$320/FP$15,"")</f>
        <v/>
      </c>
      <c r="FQ329" s="150" t="str">
        <f aca="false">IF(AND(ISNUMBER(FQ24),ISNUMBER(FQ$320),FQ$320&lt;&gt;0),FQ24*FQ$320/FQ$15,"")</f>
        <v/>
      </c>
      <c r="FR329" s="150" t="str">
        <f aca="false">IF(AND(ISNUMBER(FR24),ISNUMBER(FR$320),FR$320&lt;&gt;0),FR24*FR$320/FR$15,"")</f>
        <v/>
      </c>
      <c r="FS329" s="150" t="str">
        <f aca="false">IF(AND(ISNUMBER(FS24),ISNUMBER(FS$320),FS$320&lt;&gt;0),FS24*FS$320/FS$15,"")</f>
        <v/>
      </c>
      <c r="FT329" s="150" t="str">
        <f aca="false">IF(AND(ISNUMBER(FT24),ISNUMBER(FT$320),FT$320&lt;&gt;0),FT24*FT$320/FT$15,"")</f>
        <v/>
      </c>
      <c r="FU329" s="150" t="str">
        <f aca="false">IF(AND(ISNUMBER(FU24),ISNUMBER(FU$320),FU$320&lt;&gt;0),FU24*FU$320/FU$15,"")</f>
        <v/>
      </c>
      <c r="FV329" s="150" t="str">
        <f aca="false">IF(AND(ISNUMBER(FV24),ISNUMBER(FV$320),FV$320&lt;&gt;0),FV24*FV$320/FV$15,"")</f>
        <v/>
      </c>
      <c r="FW329" s="150" t="str">
        <f aca="false">IF(AND(ISNUMBER(FW24),ISNUMBER(FW$320),FW$320&lt;&gt;0),FW24*FW$320/FW$15,"")</f>
        <v/>
      </c>
      <c r="FX329" s="150" t="str">
        <f aca="false">IF(AND(ISNUMBER(FX24),ISNUMBER(FX$320),FX$320&lt;&gt;0),FX24*FX$320/FX$15,"")</f>
        <v/>
      </c>
      <c r="FY329" s="150" t="str">
        <f aca="false">IF(AND(ISNUMBER(FY24),ISNUMBER(FY$320),FY$320&lt;&gt;0),FY24*FY$320/FY$15,"")</f>
        <v/>
      </c>
      <c r="FZ329" s="150" t="str">
        <f aca="false">IF(AND(ISNUMBER(FZ24),ISNUMBER(FZ$320),FZ$320&lt;&gt;0),FZ24*FZ$320/FZ$15,"")</f>
        <v/>
      </c>
      <c r="GA329" s="150" t="str">
        <f aca="false">IF(AND(ISNUMBER(GA24),ISNUMBER(GA$320),GA$320&lt;&gt;0),GA24*GA$320/GA$15,"")</f>
        <v/>
      </c>
      <c r="GB329" s="150" t="str">
        <f aca="false">IF(AND(ISNUMBER(GB24),ISNUMBER(GB$320),GB$320&lt;&gt;0),GB24*GB$320/GB$15,"")</f>
        <v/>
      </c>
      <c r="GC329" s="150" t="str">
        <f aca="false">IF(AND(ISNUMBER(GC24),ISNUMBER(GC$320),GC$320&lt;&gt;0),GC24*GC$320/GC$15,"")</f>
        <v/>
      </c>
      <c r="GD329" s="150" t="str">
        <f aca="false">IF(AND(ISNUMBER(GD24),ISNUMBER(GD$320),GD$320&lt;&gt;0),GD24*GD$320/GD$15,"")</f>
        <v/>
      </c>
      <c r="GE329" s="150" t="str">
        <f aca="false">IF(AND(ISNUMBER(GE24),ISNUMBER(GE$320),GE$320&lt;&gt;0),GE24*GE$320/GE$15,"")</f>
        <v/>
      </c>
      <c r="GF329" s="150" t="str">
        <f aca="false">IF(AND(ISNUMBER(GF24),ISNUMBER(GF$320),GF$320&lt;&gt;0),GF24*GF$320/GF$15,"")</f>
        <v/>
      </c>
      <c r="GG329" s="150" t="str">
        <f aca="false">IF(AND(ISNUMBER(GG24),ISNUMBER(GG$320),GG$320&lt;&gt;0),GG24*GG$320/GG$15,"")</f>
        <v/>
      </c>
      <c r="GH329" s="150" t="str">
        <f aca="false">IF(AND(ISNUMBER(GH24),ISNUMBER(GH$320),GH$320&lt;&gt;0),GH24*GH$320/GH$15,"")</f>
        <v/>
      </c>
      <c r="GI329" s="150" t="str">
        <f aca="false">IF(AND(ISNUMBER(GI24),ISNUMBER(GI$320),GI$320&lt;&gt;0),GI24*GI$320/GI$15,"")</f>
        <v/>
      </c>
      <c r="GJ329" s="150" t="str">
        <f aca="false">IF(AND(ISNUMBER(GJ24),ISNUMBER(GJ$320),GJ$320&lt;&gt;0),GJ24*GJ$320/GJ$15,"")</f>
        <v/>
      </c>
      <c r="GK329" s="150" t="str">
        <f aca="false">IF(AND(ISNUMBER(GK24),ISNUMBER(GK$320),GK$320&lt;&gt;0),GK24*GK$320/GK$15,"")</f>
        <v/>
      </c>
      <c r="GL329" s="150" t="str">
        <f aca="false">IF(AND(ISNUMBER(GL24),ISNUMBER(GL$320),GL$320&lt;&gt;0),GL24*GL$320/GL$15,"")</f>
        <v/>
      </c>
      <c r="GM329" s="150" t="str">
        <f aca="false">IF(AND(ISNUMBER(GM24),ISNUMBER(GM$320),GM$320&lt;&gt;0),GM24*GM$320/GM$15,"")</f>
        <v/>
      </c>
      <c r="GN329" s="150" t="str">
        <f aca="false">IF(AND(ISNUMBER(GN24),ISNUMBER(GN$320),GN$320&lt;&gt;0),GN24*GN$320/GN$15,"")</f>
        <v/>
      </c>
      <c r="GO329" s="150" t="str">
        <f aca="false">IF(AND(ISNUMBER(GO24),ISNUMBER(GO$320),GO$320&lt;&gt;0),GO24*GO$320/GO$15,"")</f>
        <v/>
      </c>
      <c r="GP329" s="150" t="str">
        <f aca="false">IF(AND(ISNUMBER(GP24),ISNUMBER(GP$320),GP$320&lt;&gt;0),GP24*GP$320/GP$15,"")</f>
        <v/>
      </c>
      <c r="GQ329" s="150" t="str">
        <f aca="false">IF(AND(ISNUMBER(GQ24),ISNUMBER(GQ$320),GQ$320&lt;&gt;0),GQ24*GQ$320/GQ$15,"")</f>
        <v/>
      </c>
      <c r="GR329" s="150" t="str">
        <f aca="false">IF(AND(ISNUMBER(GR24),ISNUMBER(GR$320),GR$320&lt;&gt;0),GR24*GR$320/GR$15,"")</f>
        <v/>
      </c>
      <c r="GS329" s="150" t="str">
        <f aca="false">IF(AND(ISNUMBER(GS24),ISNUMBER(GS$320),GS$320&lt;&gt;0),GS24*GS$320/GS$15,"")</f>
        <v/>
      </c>
      <c r="GT329" s="150" t="str">
        <f aca="false">IF(AND(ISNUMBER(GT24),ISNUMBER(GT$320),GT$320&lt;&gt;0),GT24*GT$320/GT$15,"")</f>
        <v/>
      </c>
      <c r="GU329" s="150" t="str">
        <f aca="false">IF(AND(ISNUMBER(GU24),ISNUMBER(GU$320),GU$320&lt;&gt;0),GU24*GU$320/GU$15,"")</f>
        <v/>
      </c>
      <c r="GV329" s="150" t="str">
        <f aca="false">IF(AND(ISNUMBER(GV24),ISNUMBER(GV$320),GV$320&lt;&gt;0),GV24*GV$320/GV$15,"")</f>
        <v/>
      </c>
      <c r="GW329" s="150" t="str">
        <f aca="false">IF(AND(ISNUMBER(GW24),ISNUMBER(GW$320),GW$320&lt;&gt;0),GW24*GW$320/GW$15,"")</f>
        <v/>
      </c>
      <c r="GX329" s="150" t="str">
        <f aca="false">IF(AND(ISNUMBER(GX24),ISNUMBER(GX$320),GX$320&lt;&gt;0),GX24*GX$320/GX$15,"")</f>
        <v/>
      </c>
      <c r="GY329" s="150" t="str">
        <f aca="false">IF(AND(ISNUMBER(GY24),ISNUMBER(GY$320),GY$320&lt;&gt;0),GY24*GY$320/GY$15,"")</f>
        <v/>
      </c>
      <c r="GZ329" s="150" t="str">
        <f aca="false">IF(AND(ISNUMBER(GZ24),ISNUMBER(GZ$320),GZ$320&lt;&gt;0),GZ24*GZ$320/GZ$15,"")</f>
        <v/>
      </c>
      <c r="HA329" s="150" t="str">
        <f aca="false">IF(AND(ISNUMBER(HA24),ISNUMBER(HA$320),HA$320&lt;&gt;0),HA24*HA$320/HA$15,"")</f>
        <v/>
      </c>
      <c r="HB329" s="150" t="str">
        <f aca="false">IF(AND(ISNUMBER(HB24),ISNUMBER(HB$320),HB$320&lt;&gt;0),HB24*HB$320/HB$15,"")</f>
        <v/>
      </c>
      <c r="HC329" s="150" t="str">
        <f aca="false">IF(AND(ISNUMBER(HC24),ISNUMBER(HC$320),HC$320&lt;&gt;0),HC24*HC$320/HC$15,"")</f>
        <v/>
      </c>
      <c r="HD329" s="150" t="str">
        <f aca="false">IF(AND(ISNUMBER(HD24),ISNUMBER(HD$320),HD$320&lt;&gt;0),HD24*HD$320/HD$15,"")</f>
        <v/>
      </c>
      <c r="HE329" s="150" t="str">
        <f aca="false">IF(AND(ISNUMBER(HE24),ISNUMBER(HE$320),HE$320&lt;&gt;0),HE24*HE$320/HE$15,"")</f>
        <v/>
      </c>
      <c r="HF329" s="150" t="str">
        <f aca="false">IF(AND(ISNUMBER(HF24),ISNUMBER(HF$320),HF$320&lt;&gt;0),HF24*HF$320/HF$15,"")</f>
        <v/>
      </c>
      <c r="HG329" s="150" t="str">
        <f aca="false">IF(AND(ISNUMBER(HG24),ISNUMBER(HG$320),HG$320&lt;&gt;0),HG24*HG$320/HG$15,"")</f>
        <v/>
      </c>
      <c r="HH329" s="150" t="str">
        <f aca="false">IF(AND(ISNUMBER(HH24),ISNUMBER(HH$320),HH$320&lt;&gt;0),HH24*HH$320/HH$15,"")</f>
        <v/>
      </c>
      <c r="HI329" s="150" t="str">
        <f aca="false">IF(AND(ISNUMBER(HI24),ISNUMBER(HI$320),HI$320&lt;&gt;0),HI24*HI$320/HI$15,"")</f>
        <v/>
      </c>
      <c r="HJ329" s="150" t="str">
        <f aca="false">IF(AND(ISNUMBER(HJ24),ISNUMBER(HJ$320),HJ$320&lt;&gt;0),HJ24*HJ$320/HJ$15,"")</f>
        <v/>
      </c>
      <c r="HK329" s="150" t="str">
        <f aca="false">IF(AND(ISNUMBER(HK24),ISNUMBER(HK$320),HK$320&lt;&gt;0),HK24*HK$320/HK$15,"")</f>
        <v/>
      </c>
      <c r="HL329" s="150" t="str">
        <f aca="false">IF(AND(ISNUMBER(HL24),ISNUMBER(HL$320),HL$320&lt;&gt;0),HL24*HL$320/HL$15,"")</f>
        <v/>
      </c>
      <c r="HM329" s="150" t="str">
        <f aca="false">IF(AND(ISNUMBER(HM24),ISNUMBER(HM$320),HM$320&lt;&gt;0),HM24*HM$320/HM$15,"")</f>
        <v/>
      </c>
      <c r="HN329" s="150" t="str">
        <f aca="false">IF(AND(ISNUMBER(HN24),ISNUMBER(HN$320),HN$320&lt;&gt;0),HN24*HN$320/HN$15,"")</f>
        <v/>
      </c>
      <c r="HO329" s="150" t="str">
        <f aca="false">IF(AND(ISNUMBER(HO24),ISNUMBER(HO$320),HO$320&lt;&gt;0),HO24*HO$320/HO$15,"")</f>
        <v/>
      </c>
      <c r="HP329" s="150" t="str">
        <f aca="false">IF(AND(ISNUMBER(HP24),ISNUMBER(HP$320),HP$320&lt;&gt;0),HP24*HP$320/HP$15,"")</f>
        <v/>
      </c>
      <c r="HQ329" s="150" t="str">
        <f aca="false">IF(AND(ISNUMBER(HQ24),ISNUMBER(HQ$320),HQ$320&lt;&gt;0),HQ24*HQ$320/HQ$15,"")</f>
        <v/>
      </c>
      <c r="HR329" s="150" t="str">
        <f aca="false">IF(AND(ISNUMBER(HR24),ISNUMBER(HR$320),HR$320&lt;&gt;0),HR24*HR$320/HR$15,"")</f>
        <v/>
      </c>
      <c r="HS329" s="150" t="str">
        <f aca="false">IF(AND(ISNUMBER(HS24),ISNUMBER(HS$320),HS$320&lt;&gt;0),HS24*HS$320/HS$15,"")</f>
        <v/>
      </c>
      <c r="HT329" s="150" t="str">
        <f aca="false">IF(AND(ISNUMBER(HT24),ISNUMBER(HT$320),HT$320&lt;&gt;0),HT24*HT$320/HT$15,"")</f>
        <v/>
      </c>
      <c r="HU329" s="150" t="str">
        <f aca="false">IF(AND(ISNUMBER(HU24),ISNUMBER(HU$320),HU$320&lt;&gt;0),HU24*HU$320/HU$15,"")</f>
        <v/>
      </c>
      <c r="HV329" s="150" t="str">
        <f aca="false">IF(AND(ISNUMBER(HV24),ISNUMBER(HV$320),HV$320&lt;&gt;0),HV24*HV$320/HV$15,"")</f>
        <v/>
      </c>
      <c r="HW329" s="150" t="str">
        <f aca="false">IF(AND(ISNUMBER(HW24),ISNUMBER(HW$320),HW$320&lt;&gt;0),HW24*HW$320/HW$15,"")</f>
        <v/>
      </c>
      <c r="HX329" s="150" t="str">
        <f aca="false">IF(AND(ISNUMBER(HX24),ISNUMBER(HX$320),HX$320&lt;&gt;0),HX24*HX$320/HX$15,"")</f>
        <v/>
      </c>
      <c r="HY329" s="150" t="str">
        <f aca="false">IF(AND(ISNUMBER(HY24),ISNUMBER(HY$320),HY$320&lt;&gt;0),HY24*HY$320/HY$15,"")</f>
        <v/>
      </c>
      <c r="HZ329" s="150" t="str">
        <f aca="false">IF(AND(ISNUMBER(HZ24),ISNUMBER(HZ$320),HZ$320&lt;&gt;0),HZ24*HZ$320/HZ$15,"")</f>
        <v/>
      </c>
      <c r="IA329" s="150" t="str">
        <f aca="false">IF(AND(ISNUMBER(IA24),ISNUMBER(IA$320),IA$320&lt;&gt;0),IA24*IA$320/IA$15,"")</f>
        <v/>
      </c>
      <c r="IB329" s="150" t="str">
        <f aca="false">IF(AND(ISNUMBER(IB24),ISNUMBER(IB$320),IB$320&lt;&gt;0),IB24*IB$320/IB$15,"")</f>
        <v/>
      </c>
      <c r="IC329" s="150" t="str">
        <f aca="false">IF(AND(ISNUMBER(IC24),ISNUMBER(IC$320),IC$320&lt;&gt;0),IC24*IC$320/IC$15,"")</f>
        <v/>
      </c>
      <c r="ID329" s="572" t="str">
        <f aca="false">IF(AND(ISNUMBER(ID24),ISNUMBER(ID$320),ID$320&lt;&gt;0),ID24*ID$320/ID$15,"")</f>
        <v/>
      </c>
      <c r="IE329" s="129"/>
    </row>
    <row r="330" customFormat="false" ht="12.75" hidden="false" customHeight="false" outlineLevel="0" collapsed="false">
      <c r="I330" s="735"/>
      <c r="J330" s="727"/>
      <c r="K330" s="195"/>
      <c r="L330" s="195"/>
      <c r="M330" s="729"/>
      <c r="P330" s="727"/>
      <c r="S330" s="1"/>
      <c r="T330" s="727"/>
      <c r="U330" s="195"/>
      <c r="V330" s="195"/>
      <c r="W330" s="195"/>
      <c r="X330" s="195"/>
      <c r="Y330" s="195"/>
      <c r="Z330" s="195"/>
      <c r="AA330" s="195"/>
      <c r="AB330" s="195"/>
      <c r="AC330" s="195"/>
      <c r="AD330" s="195"/>
      <c r="AE330" s="195"/>
      <c r="AF330" s="195"/>
      <c r="AG330" s="195"/>
      <c r="AH330" s="195"/>
      <c r="AI330" s="195"/>
      <c r="AJ330" s="195"/>
      <c r="AK330" s="195"/>
      <c r="AL330" s="195"/>
      <c r="AM330" s="195"/>
      <c r="AN330" s="532"/>
      <c r="AO330" s="532"/>
      <c r="AP330" s="240"/>
      <c r="AQ330" s="532"/>
      <c r="AR330" s="240"/>
      <c r="AS330" s="240"/>
      <c r="AT330" s="240"/>
      <c r="AU330" s="730"/>
      <c r="AV330" s="730"/>
      <c r="AW330" s="730"/>
      <c r="AX330" s="730"/>
      <c r="AY330" s="468"/>
      <c r="AZ330" s="468"/>
      <c r="BA330" s="240"/>
      <c r="BB330" s="240"/>
      <c r="BC330" s="240"/>
      <c r="BD330" s="240"/>
      <c r="BE330" s="672"/>
      <c r="BF330" s="672"/>
      <c r="BG330" s="672"/>
      <c r="BH330" s="731"/>
      <c r="BI330" s="672"/>
      <c r="BJ330" s="240"/>
      <c r="BK330" s="736"/>
      <c r="BL330" s="737"/>
      <c r="BM330" s="240"/>
      <c r="BN330" s="240"/>
      <c r="BO330" s="240"/>
      <c r="BP330" s="240"/>
      <c r="BQ330" s="240"/>
      <c r="BR330" s="240"/>
      <c r="BS330" s="240"/>
      <c r="BT330" s="240"/>
      <c r="BU330" s="240"/>
      <c r="BV330" s="240"/>
      <c r="BW330" s="240"/>
      <c r="BX330" s="240"/>
      <c r="BY330" s="240"/>
      <c r="BZ330" s="240"/>
      <c r="CA330" s="240"/>
      <c r="CB330" s="672"/>
      <c r="CC330" s="672"/>
      <c r="CD330" s="672"/>
      <c r="CE330" s="672"/>
      <c r="CF330" s="672"/>
      <c r="CG330" s="672"/>
      <c r="CH330" s="240"/>
      <c r="CI330" s="240"/>
      <c r="CJ330" s="240"/>
      <c r="CK330" s="240"/>
      <c r="CL330" s="240"/>
      <c r="CM330" s="240"/>
      <c r="CN330" s="240"/>
      <c r="CO330" s="240"/>
      <c r="CP330" s="240"/>
      <c r="CQ330" s="240"/>
      <c r="CR330" s="240"/>
      <c r="CS330" s="240"/>
      <c r="CT330" s="240"/>
      <c r="CU330" s="240"/>
      <c r="CV330" s="240"/>
      <c r="CW330" s="240"/>
      <c r="CX330" s="240"/>
      <c r="CY330" s="240"/>
      <c r="CZ330" s="240"/>
      <c r="DA330" s="240"/>
      <c r="DB330" s="240"/>
      <c r="DC330" s="240"/>
      <c r="DD330" s="240"/>
      <c r="DE330" s="240"/>
      <c r="DF330" s="240"/>
      <c r="DG330" s="733"/>
      <c r="DH330" s="478"/>
      <c r="DI330" s="195"/>
      <c r="DJ330" s="3"/>
      <c r="DK330" s="478"/>
      <c r="DL330" s="4"/>
      <c r="DM330" s="4"/>
      <c r="DN330" s="4"/>
      <c r="DO330" s="4"/>
      <c r="DP330" s="4"/>
      <c r="DQ330" s="4"/>
      <c r="DS330" s="195"/>
      <c r="DT330" s="195"/>
      <c r="DU330" s="195"/>
      <c r="DV330" s="195"/>
      <c r="DW330" s="195"/>
      <c r="DX330" s="195"/>
      <c r="DY330" s="195"/>
      <c r="DZ330" s="195"/>
      <c r="EA330" s="195"/>
      <c r="EB330" s="195"/>
      <c r="EC330" s="195"/>
      <c r="ED330" s="195"/>
      <c r="EE330" s="195"/>
      <c r="EF330" s="195"/>
      <c r="EG330" s="195"/>
      <c r="EL330" s="1"/>
      <c r="EM330" s="195"/>
      <c r="EN330" s="240"/>
      <c r="EO330" s="240"/>
      <c r="EP330" s="195"/>
      <c r="EQ330" s="240"/>
      <c r="ER330" s="195"/>
      <c r="ES330" s="195"/>
      <c r="ET330" s="195"/>
      <c r="EU330" s="672"/>
      <c r="FJ330" s="571" t="n">
        <v>6</v>
      </c>
      <c r="FK330" s="150" t="str">
        <f aca="false">IF(AND(ISNUMBER(FK25),ISNUMBER(FK$320),FK$320&lt;&gt;0),FK25*FK$320/FK$15,"")</f>
        <v/>
      </c>
      <c r="FL330" s="150" t="str">
        <f aca="false">IF(AND(ISNUMBER(FL25),ISNUMBER(FL$320),FL$320&lt;&gt;0),FL25*FL$320/FL$15,"")</f>
        <v/>
      </c>
      <c r="FM330" s="150" t="n">
        <f aca="false">IF(AND(ISNUMBER(FM25),ISNUMBER(FM$320),FM$320&lt;&gt;0),FM25*FM$320/FM$15,"")</f>
        <v>0.00697652324478673</v>
      </c>
      <c r="FN330" s="150" t="n">
        <f aca="false">IF(AND(ISNUMBER(FN25),ISNUMBER(FN$320),FN$320&lt;&gt;0),FN25*FN$320/FN$15,"")</f>
        <v>0.00702576141574853</v>
      </c>
      <c r="FO330" s="150" t="n">
        <f aca="false">IF(AND(ISNUMBER(FO25),ISNUMBER(FO$320),FO$320&lt;&gt;0),FO25*FO$320/FO$15,"")</f>
        <v>0.00904524504258366</v>
      </c>
      <c r="FP330" s="150" t="n">
        <f aca="false">IF(AND(ISNUMBER(FP25),ISNUMBER(FP$320),FP$320&lt;&gt;0),FP25*FP$320/FP$15,"")</f>
        <v>0.00646361552714302</v>
      </c>
      <c r="FQ330" s="150" t="str">
        <f aca="false">IF(AND(ISNUMBER(FQ25),ISNUMBER(FQ$320),FQ$320&lt;&gt;0),FQ25*FQ$320/FQ$15,"")</f>
        <v/>
      </c>
      <c r="FR330" s="150" t="str">
        <f aca="false">IF(AND(ISNUMBER(FR25),ISNUMBER(FR$320),FR$320&lt;&gt;0),FR25*FR$320/FR$15,"")</f>
        <v/>
      </c>
      <c r="FS330" s="150" t="str">
        <f aca="false">IF(AND(ISNUMBER(FS25),ISNUMBER(FS$320),FS$320&lt;&gt;0),FS25*FS$320/FS$15,"")</f>
        <v/>
      </c>
      <c r="FT330" s="150" t="str">
        <f aca="false">IF(AND(ISNUMBER(FT25),ISNUMBER(FT$320),FT$320&lt;&gt;0),FT25*FT$320/FT$15,"")</f>
        <v/>
      </c>
      <c r="FU330" s="150" t="str">
        <f aca="false">IF(AND(ISNUMBER(FU25),ISNUMBER(FU$320),FU$320&lt;&gt;0),FU25*FU$320/FU$15,"")</f>
        <v/>
      </c>
      <c r="FV330" s="150" t="str">
        <f aca="false">IF(AND(ISNUMBER(FV25),ISNUMBER(FV$320),FV$320&lt;&gt;0),FV25*FV$320/FV$15,"")</f>
        <v/>
      </c>
      <c r="FW330" s="150" t="str">
        <f aca="false">IF(AND(ISNUMBER(FW25),ISNUMBER(FW$320),FW$320&lt;&gt;0),FW25*FW$320/FW$15,"")</f>
        <v/>
      </c>
      <c r="FX330" s="150" t="str">
        <f aca="false">IF(AND(ISNUMBER(FX25),ISNUMBER(FX$320),FX$320&lt;&gt;0),FX25*FX$320/FX$15,"")</f>
        <v/>
      </c>
      <c r="FY330" s="150" t="str">
        <f aca="false">IF(AND(ISNUMBER(FY25),ISNUMBER(FY$320),FY$320&lt;&gt;0),FY25*FY$320/FY$15,"")</f>
        <v/>
      </c>
      <c r="FZ330" s="150" t="str">
        <f aca="false">IF(AND(ISNUMBER(FZ25),ISNUMBER(FZ$320),FZ$320&lt;&gt;0),FZ25*FZ$320/FZ$15,"")</f>
        <v/>
      </c>
      <c r="GA330" s="150" t="str">
        <f aca="false">IF(AND(ISNUMBER(GA25),ISNUMBER(GA$320),GA$320&lt;&gt;0),GA25*GA$320/GA$15,"")</f>
        <v/>
      </c>
      <c r="GB330" s="150" t="str">
        <f aca="false">IF(AND(ISNUMBER(GB25),ISNUMBER(GB$320),GB$320&lt;&gt;0),GB25*GB$320/GB$15,"")</f>
        <v/>
      </c>
      <c r="GC330" s="150" t="str">
        <f aca="false">IF(AND(ISNUMBER(GC25),ISNUMBER(GC$320),GC$320&lt;&gt;0),GC25*GC$320/GC$15,"")</f>
        <v/>
      </c>
      <c r="GD330" s="150" t="str">
        <f aca="false">IF(AND(ISNUMBER(GD25),ISNUMBER(GD$320),GD$320&lt;&gt;0),GD25*GD$320/GD$15,"")</f>
        <v/>
      </c>
      <c r="GE330" s="150" t="str">
        <f aca="false">IF(AND(ISNUMBER(GE25),ISNUMBER(GE$320),GE$320&lt;&gt;0),GE25*GE$320/GE$15,"")</f>
        <v/>
      </c>
      <c r="GF330" s="150" t="str">
        <f aca="false">IF(AND(ISNUMBER(GF25),ISNUMBER(GF$320),GF$320&lt;&gt;0),GF25*GF$320/GF$15,"")</f>
        <v/>
      </c>
      <c r="GG330" s="150" t="str">
        <f aca="false">IF(AND(ISNUMBER(GG25),ISNUMBER(GG$320),GG$320&lt;&gt;0),GG25*GG$320/GG$15,"")</f>
        <v/>
      </c>
      <c r="GH330" s="150" t="str">
        <f aca="false">IF(AND(ISNUMBER(GH25),ISNUMBER(GH$320),GH$320&lt;&gt;0),GH25*GH$320/GH$15,"")</f>
        <v/>
      </c>
      <c r="GI330" s="150" t="str">
        <f aca="false">IF(AND(ISNUMBER(GI25),ISNUMBER(GI$320),GI$320&lt;&gt;0),GI25*GI$320/GI$15,"")</f>
        <v/>
      </c>
      <c r="GJ330" s="150" t="str">
        <f aca="false">IF(AND(ISNUMBER(GJ25),ISNUMBER(GJ$320),GJ$320&lt;&gt;0),GJ25*GJ$320/GJ$15,"")</f>
        <v/>
      </c>
      <c r="GK330" s="150" t="str">
        <f aca="false">IF(AND(ISNUMBER(GK25),ISNUMBER(GK$320),GK$320&lt;&gt;0),GK25*GK$320/GK$15,"")</f>
        <v/>
      </c>
      <c r="GL330" s="150" t="str">
        <f aca="false">IF(AND(ISNUMBER(GL25),ISNUMBER(GL$320),GL$320&lt;&gt;0),GL25*GL$320/GL$15,"")</f>
        <v/>
      </c>
      <c r="GM330" s="150" t="str">
        <f aca="false">IF(AND(ISNUMBER(GM25),ISNUMBER(GM$320),GM$320&lt;&gt;0),GM25*GM$320/GM$15,"")</f>
        <v/>
      </c>
      <c r="GN330" s="150" t="str">
        <f aca="false">IF(AND(ISNUMBER(GN25),ISNUMBER(GN$320),GN$320&lt;&gt;0),GN25*GN$320/GN$15,"")</f>
        <v/>
      </c>
      <c r="GO330" s="150" t="str">
        <f aca="false">IF(AND(ISNUMBER(GO25),ISNUMBER(GO$320),GO$320&lt;&gt;0),GO25*GO$320/GO$15,"")</f>
        <v/>
      </c>
      <c r="GP330" s="150" t="str">
        <f aca="false">IF(AND(ISNUMBER(GP25),ISNUMBER(GP$320),GP$320&lt;&gt;0),GP25*GP$320/GP$15,"")</f>
        <v/>
      </c>
      <c r="GQ330" s="150" t="str">
        <f aca="false">IF(AND(ISNUMBER(GQ25),ISNUMBER(GQ$320),GQ$320&lt;&gt;0),GQ25*GQ$320/GQ$15,"")</f>
        <v/>
      </c>
      <c r="GR330" s="150" t="str">
        <f aca="false">IF(AND(ISNUMBER(GR25),ISNUMBER(GR$320),GR$320&lt;&gt;0),GR25*GR$320/GR$15,"")</f>
        <v/>
      </c>
      <c r="GS330" s="150" t="str">
        <f aca="false">IF(AND(ISNUMBER(GS25),ISNUMBER(GS$320),GS$320&lt;&gt;0),GS25*GS$320/GS$15,"")</f>
        <v/>
      </c>
      <c r="GT330" s="150" t="str">
        <f aca="false">IF(AND(ISNUMBER(GT25),ISNUMBER(GT$320),GT$320&lt;&gt;0),GT25*GT$320/GT$15,"")</f>
        <v/>
      </c>
      <c r="GU330" s="150" t="str">
        <f aca="false">IF(AND(ISNUMBER(GU25),ISNUMBER(GU$320),GU$320&lt;&gt;0),GU25*GU$320/GU$15,"")</f>
        <v/>
      </c>
      <c r="GV330" s="150" t="str">
        <f aca="false">IF(AND(ISNUMBER(GV25),ISNUMBER(GV$320),GV$320&lt;&gt;0),GV25*GV$320/GV$15,"")</f>
        <v/>
      </c>
      <c r="GW330" s="150" t="str">
        <f aca="false">IF(AND(ISNUMBER(GW25),ISNUMBER(GW$320),GW$320&lt;&gt;0),GW25*GW$320/GW$15,"")</f>
        <v/>
      </c>
      <c r="GX330" s="150" t="str">
        <f aca="false">IF(AND(ISNUMBER(GX25),ISNUMBER(GX$320),GX$320&lt;&gt;0),GX25*GX$320/GX$15,"")</f>
        <v/>
      </c>
      <c r="GY330" s="150" t="str">
        <f aca="false">IF(AND(ISNUMBER(GY25),ISNUMBER(GY$320),GY$320&lt;&gt;0),GY25*GY$320/GY$15,"")</f>
        <v/>
      </c>
      <c r="GZ330" s="150" t="str">
        <f aca="false">IF(AND(ISNUMBER(GZ25),ISNUMBER(GZ$320),GZ$320&lt;&gt;0),GZ25*GZ$320/GZ$15,"")</f>
        <v/>
      </c>
      <c r="HA330" s="150" t="str">
        <f aca="false">IF(AND(ISNUMBER(HA25),ISNUMBER(HA$320),HA$320&lt;&gt;0),HA25*HA$320/HA$15,"")</f>
        <v/>
      </c>
      <c r="HB330" s="150" t="str">
        <f aca="false">IF(AND(ISNUMBER(HB25),ISNUMBER(HB$320),HB$320&lt;&gt;0),HB25*HB$320/HB$15,"")</f>
        <v/>
      </c>
      <c r="HC330" s="150" t="str">
        <f aca="false">IF(AND(ISNUMBER(HC25),ISNUMBER(HC$320),HC$320&lt;&gt;0),HC25*HC$320/HC$15,"")</f>
        <v/>
      </c>
      <c r="HD330" s="150" t="str">
        <f aca="false">IF(AND(ISNUMBER(HD25),ISNUMBER(HD$320),HD$320&lt;&gt;0),HD25*HD$320/HD$15,"")</f>
        <v/>
      </c>
      <c r="HE330" s="150" t="str">
        <f aca="false">IF(AND(ISNUMBER(HE25),ISNUMBER(HE$320),HE$320&lt;&gt;0),HE25*HE$320/HE$15,"")</f>
        <v/>
      </c>
      <c r="HF330" s="150" t="str">
        <f aca="false">IF(AND(ISNUMBER(HF25),ISNUMBER(HF$320),HF$320&lt;&gt;0),HF25*HF$320/HF$15,"")</f>
        <v/>
      </c>
      <c r="HG330" s="150" t="str">
        <f aca="false">IF(AND(ISNUMBER(HG25),ISNUMBER(HG$320),HG$320&lt;&gt;0),HG25*HG$320/HG$15,"")</f>
        <v/>
      </c>
      <c r="HH330" s="150" t="str">
        <f aca="false">IF(AND(ISNUMBER(HH25),ISNUMBER(HH$320),HH$320&lt;&gt;0),HH25*HH$320/HH$15,"")</f>
        <v/>
      </c>
      <c r="HI330" s="150" t="str">
        <f aca="false">IF(AND(ISNUMBER(HI25),ISNUMBER(HI$320),HI$320&lt;&gt;0),HI25*HI$320/HI$15,"")</f>
        <v/>
      </c>
      <c r="HJ330" s="150" t="str">
        <f aca="false">IF(AND(ISNUMBER(HJ25),ISNUMBER(HJ$320),HJ$320&lt;&gt;0),HJ25*HJ$320/HJ$15,"")</f>
        <v/>
      </c>
      <c r="HK330" s="150" t="str">
        <f aca="false">IF(AND(ISNUMBER(HK25),ISNUMBER(HK$320),HK$320&lt;&gt;0),HK25*HK$320/HK$15,"")</f>
        <v/>
      </c>
      <c r="HL330" s="150" t="str">
        <f aca="false">IF(AND(ISNUMBER(HL25),ISNUMBER(HL$320),HL$320&lt;&gt;0),HL25*HL$320/HL$15,"")</f>
        <v/>
      </c>
      <c r="HM330" s="150" t="str">
        <f aca="false">IF(AND(ISNUMBER(HM25),ISNUMBER(HM$320),HM$320&lt;&gt;0),HM25*HM$320/HM$15,"")</f>
        <v/>
      </c>
      <c r="HN330" s="150" t="str">
        <f aca="false">IF(AND(ISNUMBER(HN25),ISNUMBER(HN$320),HN$320&lt;&gt;0),HN25*HN$320/HN$15,"")</f>
        <v/>
      </c>
      <c r="HO330" s="150" t="str">
        <f aca="false">IF(AND(ISNUMBER(HO25),ISNUMBER(HO$320),HO$320&lt;&gt;0),HO25*HO$320/HO$15,"")</f>
        <v/>
      </c>
      <c r="HP330" s="150" t="str">
        <f aca="false">IF(AND(ISNUMBER(HP25),ISNUMBER(HP$320),HP$320&lt;&gt;0),HP25*HP$320/HP$15,"")</f>
        <v/>
      </c>
      <c r="HQ330" s="150" t="str">
        <f aca="false">IF(AND(ISNUMBER(HQ25),ISNUMBER(HQ$320),HQ$320&lt;&gt;0),HQ25*HQ$320/HQ$15,"")</f>
        <v/>
      </c>
      <c r="HR330" s="150" t="str">
        <f aca="false">IF(AND(ISNUMBER(HR25),ISNUMBER(HR$320),HR$320&lt;&gt;0),HR25*HR$320/HR$15,"")</f>
        <v/>
      </c>
      <c r="HS330" s="150" t="str">
        <f aca="false">IF(AND(ISNUMBER(HS25),ISNUMBER(HS$320),HS$320&lt;&gt;0),HS25*HS$320/HS$15,"")</f>
        <v/>
      </c>
      <c r="HT330" s="150" t="str">
        <f aca="false">IF(AND(ISNUMBER(HT25),ISNUMBER(HT$320),HT$320&lt;&gt;0),HT25*HT$320/HT$15,"")</f>
        <v/>
      </c>
      <c r="HU330" s="150" t="str">
        <f aca="false">IF(AND(ISNUMBER(HU25),ISNUMBER(HU$320),HU$320&lt;&gt;0),HU25*HU$320/HU$15,"")</f>
        <v/>
      </c>
      <c r="HV330" s="150" t="str">
        <f aca="false">IF(AND(ISNUMBER(HV25),ISNUMBER(HV$320),HV$320&lt;&gt;0),HV25*HV$320/HV$15,"")</f>
        <v/>
      </c>
      <c r="HW330" s="150" t="str">
        <f aca="false">IF(AND(ISNUMBER(HW25),ISNUMBER(HW$320),HW$320&lt;&gt;0),HW25*HW$320/HW$15,"")</f>
        <v/>
      </c>
      <c r="HX330" s="150" t="str">
        <f aca="false">IF(AND(ISNUMBER(HX25),ISNUMBER(HX$320),HX$320&lt;&gt;0),HX25*HX$320/HX$15,"")</f>
        <v/>
      </c>
      <c r="HY330" s="150" t="str">
        <f aca="false">IF(AND(ISNUMBER(HY25),ISNUMBER(HY$320),HY$320&lt;&gt;0),HY25*HY$320/HY$15,"")</f>
        <v/>
      </c>
      <c r="HZ330" s="150" t="str">
        <f aca="false">IF(AND(ISNUMBER(HZ25),ISNUMBER(HZ$320),HZ$320&lt;&gt;0),HZ25*HZ$320/HZ$15,"")</f>
        <v/>
      </c>
      <c r="IA330" s="150" t="str">
        <f aca="false">IF(AND(ISNUMBER(IA25),ISNUMBER(IA$320),IA$320&lt;&gt;0),IA25*IA$320/IA$15,"")</f>
        <v/>
      </c>
      <c r="IB330" s="150" t="str">
        <f aca="false">IF(AND(ISNUMBER(IB25),ISNUMBER(IB$320),IB$320&lt;&gt;0),IB25*IB$320/IB$15,"")</f>
        <v/>
      </c>
      <c r="IC330" s="150" t="str">
        <f aca="false">IF(AND(ISNUMBER(IC25),ISNUMBER(IC$320),IC$320&lt;&gt;0),IC25*IC$320/IC$15,"")</f>
        <v/>
      </c>
      <c r="ID330" s="572" t="str">
        <f aca="false">IF(AND(ISNUMBER(ID25),ISNUMBER(ID$320),ID$320&lt;&gt;0),ID25*ID$320/ID$15,"")</f>
        <v/>
      </c>
      <c r="IE330" s="129"/>
    </row>
    <row r="331" customFormat="false" ht="12.75" hidden="false" customHeight="false" outlineLevel="0" collapsed="false">
      <c r="I331" s="735"/>
      <c r="J331" s="727"/>
      <c r="K331" s="195"/>
      <c r="L331" s="195"/>
      <c r="M331" s="729"/>
      <c r="P331" s="727"/>
      <c r="S331" s="1"/>
      <c r="T331" s="727"/>
      <c r="U331" s="195"/>
      <c r="V331" s="195"/>
      <c r="W331" s="195"/>
      <c r="X331" s="195"/>
      <c r="Y331" s="195"/>
      <c r="Z331" s="195"/>
      <c r="AA331" s="195"/>
      <c r="AB331" s="195"/>
      <c r="AC331" s="195"/>
      <c r="AD331" s="195"/>
      <c r="AE331" s="195"/>
      <c r="AF331" s="195"/>
      <c r="AG331" s="195"/>
      <c r="AH331" s="195"/>
      <c r="AI331" s="195"/>
      <c r="AJ331" s="195"/>
      <c r="AK331" s="195"/>
      <c r="AL331" s="195"/>
      <c r="AM331" s="195"/>
      <c r="AN331" s="532"/>
      <c r="AO331" s="532"/>
      <c r="AP331" s="240"/>
      <c r="AQ331" s="532"/>
      <c r="AR331" s="240"/>
      <c r="AS331" s="240"/>
      <c r="AT331" s="240"/>
      <c r="AU331" s="730"/>
      <c r="AV331" s="730"/>
      <c r="AW331" s="730"/>
      <c r="AX331" s="730"/>
      <c r="AY331" s="468"/>
      <c r="AZ331" s="468"/>
      <c r="BA331" s="240"/>
      <c r="BB331" s="240"/>
      <c r="BC331" s="240"/>
      <c r="BD331" s="240"/>
      <c r="BE331" s="672"/>
      <c r="BF331" s="672"/>
      <c r="BG331" s="672"/>
      <c r="BH331" s="731"/>
      <c r="BI331" s="672"/>
      <c r="BJ331" s="240"/>
      <c r="BK331" s="736"/>
      <c r="BL331" s="737"/>
      <c r="BM331" s="240"/>
      <c r="BN331" s="240"/>
      <c r="BO331" s="240"/>
      <c r="BP331" s="240"/>
      <c r="BQ331" s="240"/>
      <c r="BR331" s="240"/>
      <c r="BS331" s="240"/>
      <c r="BT331" s="240"/>
      <c r="BU331" s="240"/>
      <c r="BV331" s="240"/>
      <c r="BW331" s="240"/>
      <c r="BX331" s="240"/>
      <c r="BY331" s="240"/>
      <c r="BZ331" s="240"/>
      <c r="CA331" s="240"/>
      <c r="CB331" s="672"/>
      <c r="CC331" s="672"/>
      <c r="CD331" s="672"/>
      <c r="CE331" s="672"/>
      <c r="CF331" s="672"/>
      <c r="CG331" s="672"/>
      <c r="CH331" s="240"/>
      <c r="CI331" s="240"/>
      <c r="CJ331" s="240"/>
      <c r="CK331" s="240"/>
      <c r="CL331" s="240"/>
      <c r="CM331" s="240"/>
      <c r="CN331" s="240"/>
      <c r="CO331" s="240"/>
      <c r="CP331" s="240"/>
      <c r="CQ331" s="240"/>
      <c r="CR331" s="240"/>
      <c r="CS331" s="240"/>
      <c r="CT331" s="240"/>
      <c r="CU331" s="240"/>
      <c r="CV331" s="240"/>
      <c r="CW331" s="240"/>
      <c r="CX331" s="240"/>
      <c r="CY331" s="240"/>
      <c r="CZ331" s="240"/>
      <c r="DA331" s="240"/>
      <c r="DB331" s="240"/>
      <c r="DC331" s="240"/>
      <c r="DD331" s="240"/>
      <c r="DE331" s="240"/>
      <c r="DF331" s="240"/>
      <c r="DG331" s="733"/>
      <c r="DH331" s="478"/>
      <c r="DI331" s="195"/>
      <c r="DJ331" s="3"/>
      <c r="DK331" s="478"/>
      <c r="DL331" s="4"/>
      <c r="DM331" s="4"/>
      <c r="DN331" s="4"/>
      <c r="DO331" s="4"/>
      <c r="DP331" s="4"/>
      <c r="DQ331" s="4"/>
      <c r="DS331" s="195"/>
      <c r="DT331" s="195"/>
      <c r="DU331" s="195"/>
      <c r="DV331" s="195"/>
      <c r="DW331" s="195"/>
      <c r="DX331" s="195"/>
      <c r="DY331" s="195"/>
      <c r="DZ331" s="195"/>
      <c r="EA331" s="195"/>
      <c r="EB331" s="195"/>
      <c r="EC331" s="195"/>
      <c r="ED331" s="195"/>
      <c r="EE331" s="195"/>
      <c r="EF331" s="195"/>
      <c r="EG331" s="195"/>
      <c r="EL331" s="1"/>
      <c r="EM331" s="195"/>
      <c r="EN331" s="240"/>
      <c r="EO331" s="240"/>
      <c r="EP331" s="195"/>
      <c r="EQ331" s="240"/>
      <c r="ER331" s="195"/>
      <c r="ES331" s="195"/>
      <c r="ET331" s="195"/>
      <c r="EU331" s="672"/>
      <c r="FJ331" s="571" t="n">
        <v>7</v>
      </c>
      <c r="FK331" s="150" t="str">
        <f aca="false">IF(AND(ISNUMBER(FK26),ISNUMBER(FK$320),FK$320&lt;&gt;0),FK26*FK$320/FK$15,"")</f>
        <v/>
      </c>
      <c r="FL331" s="150" t="str">
        <f aca="false">IF(AND(ISNUMBER(FL26),ISNUMBER(FL$320),FL$320&lt;&gt;0),FL26*FL$320/FL$15,"")</f>
        <v/>
      </c>
      <c r="FM331" s="150" t="n">
        <f aca="false">IF(AND(ISNUMBER(FM26),ISNUMBER(FM$320),FM$320&lt;&gt;0),FM26*FM$320/FM$15,"")</f>
        <v>0.00599690996878949</v>
      </c>
      <c r="FN331" s="150" t="n">
        <f aca="false">IF(AND(ISNUMBER(FN26),ISNUMBER(FN$320),FN$320&lt;&gt;0),FN26*FN$320/FN$15,"")</f>
        <v>0.00587192856498854</v>
      </c>
      <c r="FO331" s="150" t="n">
        <f aca="false">IF(AND(ISNUMBER(FO26),ISNUMBER(FO$320),FO$320&lt;&gt;0),FO26*FO$320/FO$15,"")</f>
        <v>0.00730782941376418</v>
      </c>
      <c r="FP331" s="150" t="n">
        <f aca="false">IF(AND(ISNUMBER(FP26),ISNUMBER(FP$320),FP$320&lt;&gt;0),FP26*FP$320/FP$15,"")</f>
        <v>0.00501152802357708</v>
      </c>
      <c r="FQ331" s="150" t="str">
        <f aca="false">IF(AND(ISNUMBER(FQ26),ISNUMBER(FQ$320),FQ$320&lt;&gt;0),FQ26*FQ$320/FQ$15,"")</f>
        <v/>
      </c>
      <c r="FR331" s="150" t="str">
        <f aca="false">IF(AND(ISNUMBER(FR26),ISNUMBER(FR$320),FR$320&lt;&gt;0),FR26*FR$320/FR$15,"")</f>
        <v/>
      </c>
      <c r="FS331" s="150" t="str">
        <f aca="false">IF(AND(ISNUMBER(FS26),ISNUMBER(FS$320),FS$320&lt;&gt;0),FS26*FS$320/FS$15,"")</f>
        <v/>
      </c>
      <c r="FT331" s="150" t="str">
        <f aca="false">IF(AND(ISNUMBER(FT26),ISNUMBER(FT$320),FT$320&lt;&gt;0),FT26*FT$320/FT$15,"")</f>
        <v/>
      </c>
      <c r="FU331" s="150" t="str">
        <f aca="false">IF(AND(ISNUMBER(FU26),ISNUMBER(FU$320),FU$320&lt;&gt;0),FU26*FU$320/FU$15,"")</f>
        <v/>
      </c>
      <c r="FV331" s="150" t="str">
        <f aca="false">IF(AND(ISNUMBER(FV26),ISNUMBER(FV$320),FV$320&lt;&gt;0),FV26*FV$320/FV$15,"")</f>
        <v/>
      </c>
      <c r="FW331" s="150" t="str">
        <f aca="false">IF(AND(ISNUMBER(FW26),ISNUMBER(FW$320),FW$320&lt;&gt;0),FW26*FW$320/FW$15,"")</f>
        <v/>
      </c>
      <c r="FX331" s="150" t="str">
        <f aca="false">IF(AND(ISNUMBER(FX26),ISNUMBER(FX$320),FX$320&lt;&gt;0),FX26*FX$320/FX$15,"")</f>
        <v/>
      </c>
      <c r="FY331" s="150" t="str">
        <f aca="false">IF(AND(ISNUMBER(FY26),ISNUMBER(FY$320),FY$320&lt;&gt;0),FY26*FY$320/FY$15,"")</f>
        <v/>
      </c>
      <c r="FZ331" s="150" t="str">
        <f aca="false">IF(AND(ISNUMBER(FZ26),ISNUMBER(FZ$320),FZ$320&lt;&gt;0),FZ26*FZ$320/FZ$15,"")</f>
        <v/>
      </c>
      <c r="GA331" s="150" t="str">
        <f aca="false">IF(AND(ISNUMBER(GA26),ISNUMBER(GA$320),GA$320&lt;&gt;0),GA26*GA$320/GA$15,"")</f>
        <v/>
      </c>
      <c r="GB331" s="150" t="str">
        <f aca="false">IF(AND(ISNUMBER(GB26),ISNUMBER(GB$320),GB$320&lt;&gt;0),GB26*GB$320/GB$15,"")</f>
        <v/>
      </c>
      <c r="GC331" s="150" t="str">
        <f aca="false">IF(AND(ISNUMBER(GC26),ISNUMBER(GC$320),GC$320&lt;&gt;0),GC26*GC$320/GC$15,"")</f>
        <v/>
      </c>
      <c r="GD331" s="150" t="str">
        <f aca="false">IF(AND(ISNUMBER(GD26),ISNUMBER(GD$320),GD$320&lt;&gt;0),GD26*GD$320/GD$15,"")</f>
        <v/>
      </c>
      <c r="GE331" s="150" t="str">
        <f aca="false">IF(AND(ISNUMBER(GE26),ISNUMBER(GE$320),GE$320&lt;&gt;0),GE26*GE$320/GE$15,"")</f>
        <v/>
      </c>
      <c r="GF331" s="150" t="str">
        <f aca="false">IF(AND(ISNUMBER(GF26),ISNUMBER(GF$320),GF$320&lt;&gt;0),GF26*GF$320/GF$15,"")</f>
        <v/>
      </c>
      <c r="GG331" s="150" t="str">
        <f aca="false">IF(AND(ISNUMBER(GG26),ISNUMBER(GG$320),GG$320&lt;&gt;0),GG26*GG$320/GG$15,"")</f>
        <v/>
      </c>
      <c r="GH331" s="150" t="str">
        <f aca="false">IF(AND(ISNUMBER(GH26),ISNUMBER(GH$320),GH$320&lt;&gt;0),GH26*GH$320/GH$15,"")</f>
        <v/>
      </c>
      <c r="GI331" s="150" t="str">
        <f aca="false">IF(AND(ISNUMBER(GI26),ISNUMBER(GI$320),GI$320&lt;&gt;0),GI26*GI$320/GI$15,"")</f>
        <v/>
      </c>
      <c r="GJ331" s="150" t="str">
        <f aca="false">IF(AND(ISNUMBER(GJ26),ISNUMBER(GJ$320),GJ$320&lt;&gt;0),GJ26*GJ$320/GJ$15,"")</f>
        <v/>
      </c>
      <c r="GK331" s="150" t="str">
        <f aca="false">IF(AND(ISNUMBER(GK26),ISNUMBER(GK$320),GK$320&lt;&gt;0),GK26*GK$320/GK$15,"")</f>
        <v/>
      </c>
      <c r="GL331" s="150" t="str">
        <f aca="false">IF(AND(ISNUMBER(GL26),ISNUMBER(GL$320),GL$320&lt;&gt;0),GL26*GL$320/GL$15,"")</f>
        <v/>
      </c>
      <c r="GM331" s="150" t="str">
        <f aca="false">IF(AND(ISNUMBER(GM26),ISNUMBER(GM$320),GM$320&lt;&gt;0),GM26*GM$320/GM$15,"")</f>
        <v/>
      </c>
      <c r="GN331" s="150" t="str">
        <f aca="false">IF(AND(ISNUMBER(GN26),ISNUMBER(GN$320),GN$320&lt;&gt;0),GN26*GN$320/GN$15,"")</f>
        <v/>
      </c>
      <c r="GO331" s="150" t="str">
        <f aca="false">IF(AND(ISNUMBER(GO26),ISNUMBER(GO$320),GO$320&lt;&gt;0),GO26*GO$320/GO$15,"")</f>
        <v/>
      </c>
      <c r="GP331" s="150" t="str">
        <f aca="false">IF(AND(ISNUMBER(GP26),ISNUMBER(GP$320),GP$320&lt;&gt;0),GP26*GP$320/GP$15,"")</f>
        <v/>
      </c>
      <c r="GQ331" s="150" t="str">
        <f aca="false">IF(AND(ISNUMBER(GQ26),ISNUMBER(GQ$320),GQ$320&lt;&gt;0),GQ26*GQ$320/GQ$15,"")</f>
        <v/>
      </c>
      <c r="GR331" s="150" t="str">
        <f aca="false">IF(AND(ISNUMBER(GR26),ISNUMBER(GR$320),GR$320&lt;&gt;0),GR26*GR$320/GR$15,"")</f>
        <v/>
      </c>
      <c r="GS331" s="150" t="str">
        <f aca="false">IF(AND(ISNUMBER(GS26),ISNUMBER(GS$320),GS$320&lt;&gt;0),GS26*GS$320/GS$15,"")</f>
        <v/>
      </c>
      <c r="GT331" s="150" t="str">
        <f aca="false">IF(AND(ISNUMBER(GT26),ISNUMBER(GT$320),GT$320&lt;&gt;0),GT26*GT$320/GT$15,"")</f>
        <v/>
      </c>
      <c r="GU331" s="150" t="str">
        <f aca="false">IF(AND(ISNUMBER(GU26),ISNUMBER(GU$320),GU$320&lt;&gt;0),GU26*GU$320/GU$15,"")</f>
        <v/>
      </c>
      <c r="GV331" s="150" t="str">
        <f aca="false">IF(AND(ISNUMBER(GV26),ISNUMBER(GV$320),GV$320&lt;&gt;0),GV26*GV$320/GV$15,"")</f>
        <v/>
      </c>
      <c r="GW331" s="150" t="str">
        <f aca="false">IF(AND(ISNUMBER(GW26),ISNUMBER(GW$320),GW$320&lt;&gt;0),GW26*GW$320/GW$15,"")</f>
        <v/>
      </c>
      <c r="GX331" s="150" t="str">
        <f aca="false">IF(AND(ISNUMBER(GX26),ISNUMBER(GX$320),GX$320&lt;&gt;0),GX26*GX$320/GX$15,"")</f>
        <v/>
      </c>
      <c r="GY331" s="150" t="str">
        <f aca="false">IF(AND(ISNUMBER(GY26),ISNUMBER(GY$320),GY$320&lt;&gt;0),GY26*GY$320/GY$15,"")</f>
        <v/>
      </c>
      <c r="GZ331" s="150" t="str">
        <f aca="false">IF(AND(ISNUMBER(GZ26),ISNUMBER(GZ$320),GZ$320&lt;&gt;0),GZ26*GZ$320/GZ$15,"")</f>
        <v/>
      </c>
      <c r="HA331" s="150" t="str">
        <f aca="false">IF(AND(ISNUMBER(HA26),ISNUMBER(HA$320),HA$320&lt;&gt;0),HA26*HA$320/HA$15,"")</f>
        <v/>
      </c>
      <c r="HB331" s="150" t="str">
        <f aca="false">IF(AND(ISNUMBER(HB26),ISNUMBER(HB$320),HB$320&lt;&gt;0),HB26*HB$320/HB$15,"")</f>
        <v/>
      </c>
      <c r="HC331" s="150" t="str">
        <f aca="false">IF(AND(ISNUMBER(HC26),ISNUMBER(HC$320),HC$320&lt;&gt;0),HC26*HC$320/HC$15,"")</f>
        <v/>
      </c>
      <c r="HD331" s="150" t="str">
        <f aca="false">IF(AND(ISNUMBER(HD26),ISNUMBER(HD$320),HD$320&lt;&gt;0),HD26*HD$320/HD$15,"")</f>
        <v/>
      </c>
      <c r="HE331" s="150" t="str">
        <f aca="false">IF(AND(ISNUMBER(HE26),ISNUMBER(HE$320),HE$320&lt;&gt;0),HE26*HE$320/HE$15,"")</f>
        <v/>
      </c>
      <c r="HF331" s="150" t="str">
        <f aca="false">IF(AND(ISNUMBER(HF26),ISNUMBER(HF$320),HF$320&lt;&gt;0),HF26*HF$320/HF$15,"")</f>
        <v/>
      </c>
      <c r="HG331" s="150" t="str">
        <f aca="false">IF(AND(ISNUMBER(HG26),ISNUMBER(HG$320),HG$320&lt;&gt;0),HG26*HG$320/HG$15,"")</f>
        <v/>
      </c>
      <c r="HH331" s="150" t="str">
        <f aca="false">IF(AND(ISNUMBER(HH26),ISNUMBER(HH$320),HH$320&lt;&gt;0),HH26*HH$320/HH$15,"")</f>
        <v/>
      </c>
      <c r="HI331" s="150" t="str">
        <f aca="false">IF(AND(ISNUMBER(HI26),ISNUMBER(HI$320),HI$320&lt;&gt;0),HI26*HI$320/HI$15,"")</f>
        <v/>
      </c>
      <c r="HJ331" s="150" t="str">
        <f aca="false">IF(AND(ISNUMBER(HJ26),ISNUMBER(HJ$320),HJ$320&lt;&gt;0),HJ26*HJ$320/HJ$15,"")</f>
        <v/>
      </c>
      <c r="HK331" s="150" t="str">
        <f aca="false">IF(AND(ISNUMBER(HK26),ISNUMBER(HK$320),HK$320&lt;&gt;0),HK26*HK$320/HK$15,"")</f>
        <v/>
      </c>
      <c r="HL331" s="150" t="str">
        <f aca="false">IF(AND(ISNUMBER(HL26),ISNUMBER(HL$320),HL$320&lt;&gt;0),HL26*HL$320/HL$15,"")</f>
        <v/>
      </c>
      <c r="HM331" s="150" t="str">
        <f aca="false">IF(AND(ISNUMBER(HM26),ISNUMBER(HM$320),HM$320&lt;&gt;0),HM26*HM$320/HM$15,"")</f>
        <v/>
      </c>
      <c r="HN331" s="150" t="str">
        <f aca="false">IF(AND(ISNUMBER(HN26),ISNUMBER(HN$320),HN$320&lt;&gt;0),HN26*HN$320/HN$15,"")</f>
        <v/>
      </c>
      <c r="HO331" s="150" t="str">
        <f aca="false">IF(AND(ISNUMBER(HO26),ISNUMBER(HO$320),HO$320&lt;&gt;0),HO26*HO$320/HO$15,"")</f>
        <v/>
      </c>
      <c r="HP331" s="150" t="str">
        <f aca="false">IF(AND(ISNUMBER(HP26),ISNUMBER(HP$320),HP$320&lt;&gt;0),HP26*HP$320/HP$15,"")</f>
        <v/>
      </c>
      <c r="HQ331" s="150" t="str">
        <f aca="false">IF(AND(ISNUMBER(HQ26),ISNUMBER(HQ$320),HQ$320&lt;&gt;0),HQ26*HQ$320/HQ$15,"")</f>
        <v/>
      </c>
      <c r="HR331" s="150" t="str">
        <f aca="false">IF(AND(ISNUMBER(HR26),ISNUMBER(HR$320),HR$320&lt;&gt;0),HR26*HR$320/HR$15,"")</f>
        <v/>
      </c>
      <c r="HS331" s="150" t="str">
        <f aca="false">IF(AND(ISNUMBER(HS26),ISNUMBER(HS$320),HS$320&lt;&gt;0),HS26*HS$320/HS$15,"")</f>
        <v/>
      </c>
      <c r="HT331" s="150" t="str">
        <f aca="false">IF(AND(ISNUMBER(HT26),ISNUMBER(HT$320),HT$320&lt;&gt;0),HT26*HT$320/HT$15,"")</f>
        <v/>
      </c>
      <c r="HU331" s="150" t="str">
        <f aca="false">IF(AND(ISNUMBER(HU26),ISNUMBER(HU$320),HU$320&lt;&gt;0),HU26*HU$320/HU$15,"")</f>
        <v/>
      </c>
      <c r="HV331" s="150" t="str">
        <f aca="false">IF(AND(ISNUMBER(HV26),ISNUMBER(HV$320),HV$320&lt;&gt;0),HV26*HV$320/HV$15,"")</f>
        <v/>
      </c>
      <c r="HW331" s="150" t="str">
        <f aca="false">IF(AND(ISNUMBER(HW26),ISNUMBER(HW$320),HW$320&lt;&gt;0),HW26*HW$320/HW$15,"")</f>
        <v/>
      </c>
      <c r="HX331" s="150" t="str">
        <f aca="false">IF(AND(ISNUMBER(HX26),ISNUMBER(HX$320),HX$320&lt;&gt;0),HX26*HX$320/HX$15,"")</f>
        <v/>
      </c>
      <c r="HY331" s="150" t="str">
        <f aca="false">IF(AND(ISNUMBER(HY26),ISNUMBER(HY$320),HY$320&lt;&gt;0),HY26*HY$320/HY$15,"")</f>
        <v/>
      </c>
      <c r="HZ331" s="150" t="str">
        <f aca="false">IF(AND(ISNUMBER(HZ26),ISNUMBER(HZ$320),HZ$320&lt;&gt;0),HZ26*HZ$320/HZ$15,"")</f>
        <v/>
      </c>
      <c r="IA331" s="150" t="str">
        <f aca="false">IF(AND(ISNUMBER(IA26),ISNUMBER(IA$320),IA$320&lt;&gt;0),IA26*IA$320/IA$15,"")</f>
        <v/>
      </c>
      <c r="IB331" s="150" t="str">
        <f aca="false">IF(AND(ISNUMBER(IB26),ISNUMBER(IB$320),IB$320&lt;&gt;0),IB26*IB$320/IB$15,"")</f>
        <v/>
      </c>
      <c r="IC331" s="150" t="str">
        <f aca="false">IF(AND(ISNUMBER(IC26),ISNUMBER(IC$320),IC$320&lt;&gt;0),IC26*IC$320/IC$15,"")</f>
        <v/>
      </c>
      <c r="ID331" s="572" t="str">
        <f aca="false">IF(AND(ISNUMBER(ID26),ISNUMBER(ID$320),ID$320&lt;&gt;0),ID26*ID$320/ID$15,"")</f>
        <v/>
      </c>
      <c r="IE331" s="129"/>
    </row>
    <row r="332" customFormat="false" ht="12.75" hidden="false" customHeight="false" outlineLevel="0" collapsed="false">
      <c r="I332" s="735"/>
      <c r="J332" s="727"/>
      <c r="K332" s="195"/>
      <c r="L332" s="195"/>
      <c r="M332" s="729"/>
      <c r="P332" s="727"/>
      <c r="S332" s="1"/>
      <c r="T332" s="727"/>
      <c r="U332" s="195"/>
      <c r="V332" s="195"/>
      <c r="W332" s="195"/>
      <c r="X332" s="195"/>
      <c r="Y332" s="195"/>
      <c r="Z332" s="195"/>
      <c r="AA332" s="195"/>
      <c r="AB332" s="195"/>
      <c r="AC332" s="195"/>
      <c r="AD332" s="195"/>
      <c r="AE332" s="195"/>
      <c r="AF332" s="195"/>
      <c r="AG332" s="195"/>
      <c r="AH332" s="195"/>
      <c r="AI332" s="195"/>
      <c r="AJ332" s="195"/>
      <c r="AK332" s="195"/>
      <c r="AL332" s="195"/>
      <c r="AM332" s="195"/>
      <c r="AN332" s="532"/>
      <c r="AO332" s="532"/>
      <c r="AP332" s="240"/>
      <c r="AQ332" s="532"/>
      <c r="AR332" s="240"/>
      <c r="AS332" s="240"/>
      <c r="AT332" s="240"/>
      <c r="AU332" s="730"/>
      <c r="AV332" s="730"/>
      <c r="AW332" s="730"/>
      <c r="AX332" s="730"/>
      <c r="AY332" s="468"/>
      <c r="AZ332" s="468"/>
      <c r="BA332" s="240"/>
      <c r="BB332" s="240"/>
      <c r="BC332" s="240"/>
      <c r="BD332" s="240"/>
      <c r="BE332" s="672"/>
      <c r="BF332" s="672"/>
      <c r="BG332" s="672"/>
      <c r="BH332" s="731"/>
      <c r="BI332" s="672"/>
      <c r="BJ332" s="240"/>
      <c r="BK332" s="736"/>
      <c r="BL332" s="737"/>
      <c r="BM332" s="240"/>
      <c r="BN332" s="240"/>
      <c r="BO332" s="240"/>
      <c r="BP332" s="240"/>
      <c r="BQ332" s="240"/>
      <c r="BR332" s="240"/>
      <c r="BS332" s="240"/>
      <c r="BT332" s="240"/>
      <c r="BU332" s="240"/>
      <c r="BV332" s="240"/>
      <c r="BW332" s="240"/>
      <c r="BX332" s="240"/>
      <c r="BY332" s="240"/>
      <c r="BZ332" s="240"/>
      <c r="CA332" s="240"/>
      <c r="CB332" s="672"/>
      <c r="CC332" s="672"/>
      <c r="CD332" s="672"/>
      <c r="CE332" s="672"/>
      <c r="CF332" s="672"/>
      <c r="CG332" s="672"/>
      <c r="CH332" s="240"/>
      <c r="CI332" s="240"/>
      <c r="CJ332" s="240"/>
      <c r="CK332" s="240"/>
      <c r="CL332" s="240"/>
      <c r="CM332" s="240"/>
      <c r="CN332" s="240"/>
      <c r="CO332" s="240"/>
      <c r="CP332" s="240"/>
      <c r="CQ332" s="240"/>
      <c r="CR332" s="240"/>
      <c r="CS332" s="240"/>
      <c r="CT332" s="240"/>
      <c r="CU332" s="240"/>
      <c r="CV332" s="240"/>
      <c r="CW332" s="240"/>
      <c r="CX332" s="240"/>
      <c r="CY332" s="240"/>
      <c r="CZ332" s="240"/>
      <c r="DA332" s="240"/>
      <c r="DB332" s="240"/>
      <c r="DC332" s="240"/>
      <c r="DD332" s="240"/>
      <c r="DE332" s="240"/>
      <c r="DF332" s="240"/>
      <c r="DG332" s="733"/>
      <c r="DH332" s="478"/>
      <c r="DI332" s="195"/>
      <c r="DJ332" s="3"/>
      <c r="DK332" s="478"/>
      <c r="DL332" s="4"/>
      <c r="DM332" s="4"/>
      <c r="DN332" s="4"/>
      <c r="DO332" s="4"/>
      <c r="DP332" s="4"/>
      <c r="DQ332" s="4"/>
      <c r="DS332" s="195"/>
      <c r="DT332" s="195"/>
      <c r="DU332" s="195"/>
      <c r="DV332" s="195"/>
      <c r="DW332" s="195"/>
      <c r="DX332" s="195"/>
      <c r="DY332" s="195"/>
      <c r="DZ332" s="195"/>
      <c r="EA332" s="195"/>
      <c r="EB332" s="195"/>
      <c r="EC332" s="195"/>
      <c r="ED332" s="195"/>
      <c r="EE332" s="195"/>
      <c r="EF332" s="195"/>
      <c r="EG332" s="195"/>
      <c r="EL332" s="1"/>
      <c r="EM332" s="195"/>
      <c r="EN332" s="240"/>
      <c r="EO332" s="240"/>
      <c r="EP332" s="195"/>
      <c r="EQ332" s="240"/>
      <c r="ER332" s="195"/>
      <c r="ES332" s="195"/>
      <c r="ET332" s="195"/>
      <c r="EU332" s="672"/>
      <c r="FJ332" s="571" t="n">
        <v>8</v>
      </c>
      <c r="FK332" s="150" t="str">
        <f aca="false">IF(AND(ISNUMBER(FK27),ISNUMBER(FK$320),FK$320&lt;&gt;0),FK27*FK$320/FK$15,"")</f>
        <v/>
      </c>
      <c r="FL332" s="150" t="str">
        <f aca="false">IF(AND(ISNUMBER(FL27),ISNUMBER(FL$320),FL$320&lt;&gt;0),FL27*FL$320/FL$15,"")</f>
        <v/>
      </c>
      <c r="FM332" s="150" t="n">
        <f aca="false">IF(AND(ISNUMBER(FM27),ISNUMBER(FM$320),FM$320&lt;&gt;0),FM27*FM$320/FM$15,"")</f>
        <v>0.00527694849024304</v>
      </c>
      <c r="FN332" s="150" t="n">
        <f aca="false">IF(AND(ISNUMBER(FN27),ISNUMBER(FN$320),FN$320&lt;&gt;0),FN27*FN$320/FN$15,"")</f>
        <v>0.00504741770533239</v>
      </c>
      <c r="FO332" s="150" t="n">
        <f aca="false">IF(AND(ISNUMBER(FO27),ISNUMBER(FO$320),FO$320&lt;&gt;0),FO27*FO$320/FO$15,"")</f>
        <v>0.00610767285472553</v>
      </c>
      <c r="FP332" s="150" t="n">
        <f aca="false">IF(AND(ISNUMBER(FP27),ISNUMBER(FP$320),FP$320&lt;&gt;0),FP27*FP$320/FP$15,"")</f>
        <v>0.00404891097213868</v>
      </c>
      <c r="FQ332" s="150" t="str">
        <f aca="false">IF(AND(ISNUMBER(FQ27),ISNUMBER(FQ$320),FQ$320&lt;&gt;0),FQ27*FQ$320/FQ$15,"")</f>
        <v/>
      </c>
      <c r="FR332" s="150" t="str">
        <f aca="false">IF(AND(ISNUMBER(FR27),ISNUMBER(FR$320),FR$320&lt;&gt;0),FR27*FR$320/FR$15,"")</f>
        <v/>
      </c>
      <c r="FS332" s="150" t="str">
        <f aca="false">IF(AND(ISNUMBER(FS27),ISNUMBER(FS$320),FS$320&lt;&gt;0),FS27*FS$320/FS$15,"")</f>
        <v/>
      </c>
      <c r="FT332" s="150" t="str">
        <f aca="false">IF(AND(ISNUMBER(FT27),ISNUMBER(FT$320),FT$320&lt;&gt;0),FT27*FT$320/FT$15,"")</f>
        <v/>
      </c>
      <c r="FU332" s="150" t="str">
        <f aca="false">IF(AND(ISNUMBER(FU27),ISNUMBER(FU$320),FU$320&lt;&gt;0),FU27*FU$320/FU$15,"")</f>
        <v/>
      </c>
      <c r="FV332" s="150" t="str">
        <f aca="false">IF(AND(ISNUMBER(FV27),ISNUMBER(FV$320),FV$320&lt;&gt;0),FV27*FV$320/FV$15,"")</f>
        <v/>
      </c>
      <c r="FW332" s="150" t="str">
        <f aca="false">IF(AND(ISNUMBER(FW27),ISNUMBER(FW$320),FW$320&lt;&gt;0),FW27*FW$320/FW$15,"")</f>
        <v/>
      </c>
      <c r="FX332" s="150" t="str">
        <f aca="false">IF(AND(ISNUMBER(FX27),ISNUMBER(FX$320),FX$320&lt;&gt;0),FX27*FX$320/FX$15,"")</f>
        <v/>
      </c>
      <c r="FY332" s="150" t="str">
        <f aca="false">IF(AND(ISNUMBER(FY27),ISNUMBER(FY$320),FY$320&lt;&gt;0),FY27*FY$320/FY$15,"")</f>
        <v/>
      </c>
      <c r="FZ332" s="150" t="str">
        <f aca="false">IF(AND(ISNUMBER(FZ27),ISNUMBER(FZ$320),FZ$320&lt;&gt;0),FZ27*FZ$320/FZ$15,"")</f>
        <v/>
      </c>
      <c r="GA332" s="150" t="str">
        <f aca="false">IF(AND(ISNUMBER(GA27),ISNUMBER(GA$320),GA$320&lt;&gt;0),GA27*GA$320/GA$15,"")</f>
        <v/>
      </c>
      <c r="GB332" s="150" t="str">
        <f aca="false">IF(AND(ISNUMBER(GB27),ISNUMBER(GB$320),GB$320&lt;&gt;0),GB27*GB$320/GB$15,"")</f>
        <v/>
      </c>
      <c r="GC332" s="150" t="str">
        <f aca="false">IF(AND(ISNUMBER(GC27),ISNUMBER(GC$320),GC$320&lt;&gt;0),GC27*GC$320/GC$15,"")</f>
        <v/>
      </c>
      <c r="GD332" s="150" t="str">
        <f aca="false">IF(AND(ISNUMBER(GD27),ISNUMBER(GD$320),GD$320&lt;&gt;0),GD27*GD$320/GD$15,"")</f>
        <v/>
      </c>
      <c r="GE332" s="150" t="str">
        <f aca="false">IF(AND(ISNUMBER(GE27),ISNUMBER(GE$320),GE$320&lt;&gt;0),GE27*GE$320/GE$15,"")</f>
        <v/>
      </c>
      <c r="GF332" s="150" t="str">
        <f aca="false">IF(AND(ISNUMBER(GF27),ISNUMBER(GF$320),GF$320&lt;&gt;0),GF27*GF$320/GF$15,"")</f>
        <v/>
      </c>
      <c r="GG332" s="150" t="str">
        <f aca="false">IF(AND(ISNUMBER(GG27),ISNUMBER(GG$320),GG$320&lt;&gt;0),GG27*GG$320/GG$15,"")</f>
        <v/>
      </c>
      <c r="GH332" s="150" t="str">
        <f aca="false">IF(AND(ISNUMBER(GH27),ISNUMBER(GH$320),GH$320&lt;&gt;0),GH27*GH$320/GH$15,"")</f>
        <v/>
      </c>
      <c r="GI332" s="150" t="str">
        <f aca="false">IF(AND(ISNUMBER(GI27),ISNUMBER(GI$320),GI$320&lt;&gt;0),GI27*GI$320/GI$15,"")</f>
        <v/>
      </c>
      <c r="GJ332" s="150" t="str">
        <f aca="false">IF(AND(ISNUMBER(GJ27),ISNUMBER(GJ$320),GJ$320&lt;&gt;0),GJ27*GJ$320/GJ$15,"")</f>
        <v/>
      </c>
      <c r="GK332" s="150" t="str">
        <f aca="false">IF(AND(ISNUMBER(GK27),ISNUMBER(GK$320),GK$320&lt;&gt;0),GK27*GK$320/GK$15,"")</f>
        <v/>
      </c>
      <c r="GL332" s="150" t="str">
        <f aca="false">IF(AND(ISNUMBER(GL27),ISNUMBER(GL$320),GL$320&lt;&gt;0),GL27*GL$320/GL$15,"")</f>
        <v/>
      </c>
      <c r="GM332" s="150" t="str">
        <f aca="false">IF(AND(ISNUMBER(GM27),ISNUMBER(GM$320),GM$320&lt;&gt;0),GM27*GM$320/GM$15,"")</f>
        <v/>
      </c>
      <c r="GN332" s="150" t="str">
        <f aca="false">IF(AND(ISNUMBER(GN27),ISNUMBER(GN$320),GN$320&lt;&gt;0),GN27*GN$320/GN$15,"")</f>
        <v/>
      </c>
      <c r="GO332" s="150" t="str">
        <f aca="false">IF(AND(ISNUMBER(GO27),ISNUMBER(GO$320),GO$320&lt;&gt;0),GO27*GO$320/GO$15,"")</f>
        <v/>
      </c>
      <c r="GP332" s="150" t="str">
        <f aca="false">IF(AND(ISNUMBER(GP27),ISNUMBER(GP$320),GP$320&lt;&gt;0),GP27*GP$320/GP$15,"")</f>
        <v/>
      </c>
      <c r="GQ332" s="150" t="str">
        <f aca="false">IF(AND(ISNUMBER(GQ27),ISNUMBER(GQ$320),GQ$320&lt;&gt;0),GQ27*GQ$320/GQ$15,"")</f>
        <v/>
      </c>
      <c r="GR332" s="150" t="str">
        <f aca="false">IF(AND(ISNUMBER(GR27),ISNUMBER(GR$320),GR$320&lt;&gt;0),GR27*GR$320/GR$15,"")</f>
        <v/>
      </c>
      <c r="GS332" s="150" t="str">
        <f aca="false">IF(AND(ISNUMBER(GS27),ISNUMBER(GS$320),GS$320&lt;&gt;0),GS27*GS$320/GS$15,"")</f>
        <v/>
      </c>
      <c r="GT332" s="150" t="str">
        <f aca="false">IF(AND(ISNUMBER(GT27),ISNUMBER(GT$320),GT$320&lt;&gt;0),GT27*GT$320/GT$15,"")</f>
        <v/>
      </c>
      <c r="GU332" s="150" t="str">
        <f aca="false">IF(AND(ISNUMBER(GU27),ISNUMBER(GU$320),GU$320&lt;&gt;0),GU27*GU$320/GU$15,"")</f>
        <v/>
      </c>
      <c r="GV332" s="150" t="str">
        <f aca="false">IF(AND(ISNUMBER(GV27),ISNUMBER(GV$320),GV$320&lt;&gt;0),GV27*GV$320/GV$15,"")</f>
        <v/>
      </c>
      <c r="GW332" s="150" t="str">
        <f aca="false">IF(AND(ISNUMBER(GW27),ISNUMBER(GW$320),GW$320&lt;&gt;0),GW27*GW$320/GW$15,"")</f>
        <v/>
      </c>
      <c r="GX332" s="150" t="str">
        <f aca="false">IF(AND(ISNUMBER(GX27),ISNUMBER(GX$320),GX$320&lt;&gt;0),GX27*GX$320/GX$15,"")</f>
        <v/>
      </c>
      <c r="GY332" s="150" t="str">
        <f aca="false">IF(AND(ISNUMBER(GY27),ISNUMBER(GY$320),GY$320&lt;&gt;0),GY27*GY$320/GY$15,"")</f>
        <v/>
      </c>
      <c r="GZ332" s="150" t="str">
        <f aca="false">IF(AND(ISNUMBER(GZ27),ISNUMBER(GZ$320),GZ$320&lt;&gt;0),GZ27*GZ$320/GZ$15,"")</f>
        <v/>
      </c>
      <c r="HA332" s="150" t="str">
        <f aca="false">IF(AND(ISNUMBER(HA27),ISNUMBER(HA$320),HA$320&lt;&gt;0),HA27*HA$320/HA$15,"")</f>
        <v/>
      </c>
      <c r="HB332" s="150" t="str">
        <f aca="false">IF(AND(ISNUMBER(HB27),ISNUMBER(HB$320),HB$320&lt;&gt;0),HB27*HB$320/HB$15,"")</f>
        <v/>
      </c>
      <c r="HC332" s="150" t="str">
        <f aca="false">IF(AND(ISNUMBER(HC27),ISNUMBER(HC$320),HC$320&lt;&gt;0),HC27*HC$320/HC$15,"")</f>
        <v/>
      </c>
      <c r="HD332" s="150" t="str">
        <f aca="false">IF(AND(ISNUMBER(HD27),ISNUMBER(HD$320),HD$320&lt;&gt;0),HD27*HD$320/HD$15,"")</f>
        <v/>
      </c>
      <c r="HE332" s="150" t="str">
        <f aca="false">IF(AND(ISNUMBER(HE27),ISNUMBER(HE$320),HE$320&lt;&gt;0),HE27*HE$320/HE$15,"")</f>
        <v/>
      </c>
      <c r="HF332" s="150" t="str">
        <f aca="false">IF(AND(ISNUMBER(HF27),ISNUMBER(HF$320),HF$320&lt;&gt;0),HF27*HF$320/HF$15,"")</f>
        <v/>
      </c>
      <c r="HG332" s="150" t="str">
        <f aca="false">IF(AND(ISNUMBER(HG27),ISNUMBER(HG$320),HG$320&lt;&gt;0),HG27*HG$320/HG$15,"")</f>
        <v/>
      </c>
      <c r="HH332" s="150" t="str">
        <f aca="false">IF(AND(ISNUMBER(HH27),ISNUMBER(HH$320),HH$320&lt;&gt;0),HH27*HH$320/HH$15,"")</f>
        <v/>
      </c>
      <c r="HI332" s="150" t="str">
        <f aca="false">IF(AND(ISNUMBER(HI27),ISNUMBER(HI$320),HI$320&lt;&gt;0),HI27*HI$320/HI$15,"")</f>
        <v/>
      </c>
      <c r="HJ332" s="150" t="str">
        <f aca="false">IF(AND(ISNUMBER(HJ27),ISNUMBER(HJ$320),HJ$320&lt;&gt;0),HJ27*HJ$320/HJ$15,"")</f>
        <v/>
      </c>
      <c r="HK332" s="150" t="str">
        <f aca="false">IF(AND(ISNUMBER(HK27),ISNUMBER(HK$320),HK$320&lt;&gt;0),HK27*HK$320/HK$15,"")</f>
        <v/>
      </c>
      <c r="HL332" s="150" t="str">
        <f aca="false">IF(AND(ISNUMBER(HL27),ISNUMBER(HL$320),HL$320&lt;&gt;0),HL27*HL$320/HL$15,"")</f>
        <v/>
      </c>
      <c r="HM332" s="150" t="str">
        <f aca="false">IF(AND(ISNUMBER(HM27),ISNUMBER(HM$320),HM$320&lt;&gt;0),HM27*HM$320/HM$15,"")</f>
        <v/>
      </c>
      <c r="HN332" s="150" t="str">
        <f aca="false">IF(AND(ISNUMBER(HN27),ISNUMBER(HN$320),HN$320&lt;&gt;0),HN27*HN$320/HN$15,"")</f>
        <v/>
      </c>
      <c r="HO332" s="150" t="str">
        <f aca="false">IF(AND(ISNUMBER(HO27),ISNUMBER(HO$320),HO$320&lt;&gt;0),HO27*HO$320/HO$15,"")</f>
        <v/>
      </c>
      <c r="HP332" s="150" t="str">
        <f aca="false">IF(AND(ISNUMBER(HP27),ISNUMBER(HP$320),HP$320&lt;&gt;0),HP27*HP$320/HP$15,"")</f>
        <v/>
      </c>
      <c r="HQ332" s="150" t="str">
        <f aca="false">IF(AND(ISNUMBER(HQ27),ISNUMBER(HQ$320),HQ$320&lt;&gt;0),HQ27*HQ$320/HQ$15,"")</f>
        <v/>
      </c>
      <c r="HR332" s="150" t="str">
        <f aca="false">IF(AND(ISNUMBER(HR27),ISNUMBER(HR$320),HR$320&lt;&gt;0),HR27*HR$320/HR$15,"")</f>
        <v/>
      </c>
      <c r="HS332" s="150" t="str">
        <f aca="false">IF(AND(ISNUMBER(HS27),ISNUMBER(HS$320),HS$320&lt;&gt;0),HS27*HS$320/HS$15,"")</f>
        <v/>
      </c>
      <c r="HT332" s="150" t="str">
        <f aca="false">IF(AND(ISNUMBER(HT27),ISNUMBER(HT$320),HT$320&lt;&gt;0),HT27*HT$320/HT$15,"")</f>
        <v/>
      </c>
      <c r="HU332" s="150" t="str">
        <f aca="false">IF(AND(ISNUMBER(HU27),ISNUMBER(HU$320),HU$320&lt;&gt;0),HU27*HU$320/HU$15,"")</f>
        <v/>
      </c>
      <c r="HV332" s="150" t="str">
        <f aca="false">IF(AND(ISNUMBER(HV27),ISNUMBER(HV$320),HV$320&lt;&gt;0),HV27*HV$320/HV$15,"")</f>
        <v/>
      </c>
      <c r="HW332" s="150" t="str">
        <f aca="false">IF(AND(ISNUMBER(HW27),ISNUMBER(HW$320),HW$320&lt;&gt;0),HW27*HW$320/HW$15,"")</f>
        <v/>
      </c>
      <c r="HX332" s="150" t="str">
        <f aca="false">IF(AND(ISNUMBER(HX27),ISNUMBER(HX$320),HX$320&lt;&gt;0),HX27*HX$320/HX$15,"")</f>
        <v/>
      </c>
      <c r="HY332" s="150" t="str">
        <f aca="false">IF(AND(ISNUMBER(HY27),ISNUMBER(HY$320),HY$320&lt;&gt;0),HY27*HY$320/HY$15,"")</f>
        <v/>
      </c>
      <c r="HZ332" s="150" t="str">
        <f aca="false">IF(AND(ISNUMBER(HZ27),ISNUMBER(HZ$320),HZ$320&lt;&gt;0),HZ27*HZ$320/HZ$15,"")</f>
        <v/>
      </c>
      <c r="IA332" s="150" t="str">
        <f aca="false">IF(AND(ISNUMBER(IA27),ISNUMBER(IA$320),IA$320&lt;&gt;0),IA27*IA$320/IA$15,"")</f>
        <v/>
      </c>
      <c r="IB332" s="150" t="str">
        <f aca="false">IF(AND(ISNUMBER(IB27),ISNUMBER(IB$320),IB$320&lt;&gt;0),IB27*IB$320/IB$15,"")</f>
        <v/>
      </c>
      <c r="IC332" s="150" t="str">
        <f aca="false">IF(AND(ISNUMBER(IC27),ISNUMBER(IC$320),IC$320&lt;&gt;0),IC27*IC$320/IC$15,"")</f>
        <v/>
      </c>
      <c r="ID332" s="572" t="str">
        <f aca="false">IF(AND(ISNUMBER(ID27),ISNUMBER(ID$320),ID$320&lt;&gt;0),ID27*ID$320/ID$15,"")</f>
        <v/>
      </c>
      <c r="IE332" s="129"/>
    </row>
    <row r="333" customFormat="false" ht="12.75" hidden="false" customHeight="false" outlineLevel="0" collapsed="false">
      <c r="I333" s="735"/>
      <c r="J333" s="727"/>
      <c r="K333" s="195"/>
      <c r="L333" s="195"/>
      <c r="M333" s="729"/>
      <c r="P333" s="727"/>
      <c r="S333" s="1"/>
      <c r="T333" s="727"/>
      <c r="U333" s="195"/>
      <c r="V333" s="195"/>
      <c r="W333" s="195"/>
      <c r="X333" s="195"/>
      <c r="Y333" s="195"/>
      <c r="Z333" s="195"/>
      <c r="AA333" s="195"/>
      <c r="AB333" s="195"/>
      <c r="AC333" s="195"/>
      <c r="AD333" s="195"/>
      <c r="AE333" s="195"/>
      <c r="AF333" s="195"/>
      <c r="AG333" s="195"/>
      <c r="AH333" s="195"/>
      <c r="AI333" s="195"/>
      <c r="AJ333" s="195"/>
      <c r="AK333" s="195"/>
      <c r="AL333" s="195"/>
      <c r="AM333" s="195"/>
      <c r="AN333" s="532"/>
      <c r="AO333" s="532"/>
      <c r="AP333" s="240"/>
      <c r="AQ333" s="532"/>
      <c r="AR333" s="240"/>
      <c r="AS333" s="240"/>
      <c r="AT333" s="240"/>
      <c r="AU333" s="730"/>
      <c r="AV333" s="730"/>
      <c r="AW333" s="730"/>
      <c r="AX333" s="730"/>
      <c r="AY333" s="468"/>
      <c r="AZ333" s="468"/>
      <c r="BA333" s="240"/>
      <c r="BB333" s="240"/>
      <c r="BC333" s="240"/>
      <c r="BD333" s="240"/>
      <c r="BE333" s="672"/>
      <c r="BF333" s="672"/>
      <c r="BG333" s="672"/>
      <c r="BH333" s="731"/>
      <c r="BI333" s="672"/>
      <c r="BJ333" s="240"/>
      <c r="BK333" s="736"/>
      <c r="BL333" s="737"/>
      <c r="BM333" s="240"/>
      <c r="BN333" s="240"/>
      <c r="BO333" s="240"/>
      <c r="BP333" s="240"/>
      <c r="BQ333" s="240"/>
      <c r="BR333" s="240"/>
      <c r="BS333" s="240"/>
      <c r="BT333" s="240"/>
      <c r="BU333" s="240"/>
      <c r="BV333" s="240"/>
      <c r="BW333" s="240"/>
      <c r="BX333" s="240"/>
      <c r="BY333" s="240"/>
      <c r="BZ333" s="240"/>
      <c r="CA333" s="240"/>
      <c r="CB333" s="672"/>
      <c r="CC333" s="672"/>
      <c r="CD333" s="672"/>
      <c r="CE333" s="672"/>
      <c r="CF333" s="672"/>
      <c r="CG333" s="672"/>
      <c r="CH333" s="240"/>
      <c r="CI333" s="240"/>
      <c r="CJ333" s="240"/>
      <c r="CK333" s="240"/>
      <c r="CL333" s="240"/>
      <c r="CM333" s="240"/>
      <c r="CN333" s="240"/>
      <c r="CO333" s="240"/>
      <c r="CP333" s="240"/>
      <c r="CQ333" s="240"/>
      <c r="CR333" s="240"/>
      <c r="CS333" s="240"/>
      <c r="CT333" s="240"/>
      <c r="CU333" s="240"/>
      <c r="CV333" s="240"/>
      <c r="CW333" s="240"/>
      <c r="CX333" s="240"/>
      <c r="CY333" s="240"/>
      <c r="CZ333" s="240"/>
      <c r="DA333" s="240"/>
      <c r="DB333" s="240"/>
      <c r="DC333" s="240"/>
      <c r="DD333" s="240"/>
      <c r="DE333" s="240"/>
      <c r="DF333" s="240"/>
      <c r="DG333" s="733"/>
      <c r="DH333" s="478"/>
      <c r="DI333" s="195"/>
      <c r="DJ333" s="3"/>
      <c r="DK333" s="478"/>
      <c r="DL333" s="4"/>
      <c r="DM333" s="4"/>
      <c r="DN333" s="4"/>
      <c r="DO333" s="4"/>
      <c r="DP333" s="4"/>
      <c r="DQ333" s="4"/>
      <c r="DS333" s="195"/>
      <c r="DT333" s="195"/>
      <c r="DU333" s="195"/>
      <c r="DV333" s="195"/>
      <c r="DW333" s="195"/>
      <c r="DX333" s="195"/>
      <c r="DY333" s="195"/>
      <c r="DZ333" s="195"/>
      <c r="EA333" s="195"/>
      <c r="EB333" s="195"/>
      <c r="EC333" s="195"/>
      <c r="ED333" s="195"/>
      <c r="EE333" s="195"/>
      <c r="EF333" s="195"/>
      <c r="EG333" s="195"/>
      <c r="EL333" s="1"/>
      <c r="EM333" s="195"/>
      <c r="EN333" s="240"/>
      <c r="EO333" s="240"/>
      <c r="EP333" s="195"/>
      <c r="EQ333" s="240"/>
      <c r="ER333" s="195"/>
      <c r="ES333" s="195"/>
      <c r="ET333" s="195"/>
      <c r="EU333" s="672"/>
      <c r="FJ333" s="571" t="n">
        <v>9</v>
      </c>
      <c r="FK333" s="150" t="str">
        <f aca="false">IF(AND(ISNUMBER(FK28),ISNUMBER(FK$320),FK$320&lt;&gt;0),FK28*FK$320/FK$15,"")</f>
        <v/>
      </c>
      <c r="FL333" s="150" t="str">
        <f aca="false">IF(AND(ISNUMBER(FL28),ISNUMBER(FL$320),FL$320&lt;&gt;0),FL28*FL$320/FL$15,"")</f>
        <v/>
      </c>
      <c r="FM333" s="150" t="n">
        <f aca="false">IF(AND(ISNUMBER(FM28),ISNUMBER(FM$320),FM$320&lt;&gt;0),FM28*FM$320/FM$15,"")</f>
        <v>0.00473528358168956</v>
      </c>
      <c r="FN333" s="150" t="n">
        <f aca="false">IF(AND(ISNUMBER(FN28),ISNUMBER(FN$320),FN$320&lt;&gt;0),FN28*FN$320/FN$15,"")</f>
        <v>0.0044414479087396</v>
      </c>
      <c r="FO333" s="150" t="n">
        <f aca="false">IF(AND(ISNUMBER(FO28),ISNUMBER(FO$320),FO$320&lt;&gt;0),FO28*FO$320/FO$15,"")</f>
        <v>0.00525005979962562</v>
      </c>
      <c r="FP333" s="150" t="n">
        <f aca="false">IF(AND(ISNUMBER(FP28),ISNUMBER(FP$320),FP$320&lt;&gt;0),FP28*FP$320/FP$15,"")</f>
        <v>0.00338396290274022</v>
      </c>
      <c r="FQ333" s="150" t="str">
        <f aca="false">IF(AND(ISNUMBER(FQ28),ISNUMBER(FQ$320),FQ$320&lt;&gt;0),FQ28*FQ$320/FQ$15,"")</f>
        <v/>
      </c>
      <c r="FR333" s="150" t="str">
        <f aca="false">IF(AND(ISNUMBER(FR28),ISNUMBER(FR$320),FR$320&lt;&gt;0),FR28*FR$320/FR$15,"")</f>
        <v/>
      </c>
      <c r="FS333" s="150" t="str">
        <f aca="false">IF(AND(ISNUMBER(FS28),ISNUMBER(FS$320),FS$320&lt;&gt;0),FS28*FS$320/FS$15,"")</f>
        <v/>
      </c>
      <c r="FT333" s="150" t="str">
        <f aca="false">IF(AND(ISNUMBER(FT28),ISNUMBER(FT$320),FT$320&lt;&gt;0),FT28*FT$320/FT$15,"")</f>
        <v/>
      </c>
      <c r="FU333" s="150" t="str">
        <f aca="false">IF(AND(ISNUMBER(FU28),ISNUMBER(FU$320),FU$320&lt;&gt;0),FU28*FU$320/FU$15,"")</f>
        <v/>
      </c>
      <c r="FV333" s="150" t="str">
        <f aca="false">IF(AND(ISNUMBER(FV28),ISNUMBER(FV$320),FV$320&lt;&gt;0),FV28*FV$320/FV$15,"")</f>
        <v/>
      </c>
      <c r="FW333" s="150" t="str">
        <f aca="false">IF(AND(ISNUMBER(FW28),ISNUMBER(FW$320),FW$320&lt;&gt;0),FW28*FW$320/FW$15,"")</f>
        <v/>
      </c>
      <c r="FX333" s="150" t="str">
        <f aca="false">IF(AND(ISNUMBER(FX28),ISNUMBER(FX$320),FX$320&lt;&gt;0),FX28*FX$320/FX$15,"")</f>
        <v/>
      </c>
      <c r="FY333" s="150" t="str">
        <f aca="false">IF(AND(ISNUMBER(FY28),ISNUMBER(FY$320),FY$320&lt;&gt;0),FY28*FY$320/FY$15,"")</f>
        <v/>
      </c>
      <c r="FZ333" s="150" t="str">
        <f aca="false">IF(AND(ISNUMBER(FZ28),ISNUMBER(FZ$320),FZ$320&lt;&gt;0),FZ28*FZ$320/FZ$15,"")</f>
        <v/>
      </c>
      <c r="GA333" s="150" t="str">
        <f aca="false">IF(AND(ISNUMBER(GA28),ISNUMBER(GA$320),GA$320&lt;&gt;0),GA28*GA$320/GA$15,"")</f>
        <v/>
      </c>
      <c r="GB333" s="150" t="str">
        <f aca="false">IF(AND(ISNUMBER(GB28),ISNUMBER(GB$320),GB$320&lt;&gt;0),GB28*GB$320/GB$15,"")</f>
        <v/>
      </c>
      <c r="GC333" s="150" t="str">
        <f aca="false">IF(AND(ISNUMBER(GC28),ISNUMBER(GC$320),GC$320&lt;&gt;0),GC28*GC$320/GC$15,"")</f>
        <v/>
      </c>
      <c r="GD333" s="150" t="str">
        <f aca="false">IF(AND(ISNUMBER(GD28),ISNUMBER(GD$320),GD$320&lt;&gt;0),GD28*GD$320/GD$15,"")</f>
        <v/>
      </c>
      <c r="GE333" s="150" t="str">
        <f aca="false">IF(AND(ISNUMBER(GE28),ISNUMBER(GE$320),GE$320&lt;&gt;0),GE28*GE$320/GE$15,"")</f>
        <v/>
      </c>
      <c r="GF333" s="150" t="str">
        <f aca="false">IF(AND(ISNUMBER(GF28),ISNUMBER(GF$320),GF$320&lt;&gt;0),GF28*GF$320/GF$15,"")</f>
        <v/>
      </c>
      <c r="GG333" s="150" t="str">
        <f aca="false">IF(AND(ISNUMBER(GG28),ISNUMBER(GG$320),GG$320&lt;&gt;0),GG28*GG$320/GG$15,"")</f>
        <v/>
      </c>
      <c r="GH333" s="150" t="str">
        <f aca="false">IF(AND(ISNUMBER(GH28),ISNUMBER(GH$320),GH$320&lt;&gt;0),GH28*GH$320/GH$15,"")</f>
        <v/>
      </c>
      <c r="GI333" s="150" t="str">
        <f aca="false">IF(AND(ISNUMBER(GI28),ISNUMBER(GI$320),GI$320&lt;&gt;0),GI28*GI$320/GI$15,"")</f>
        <v/>
      </c>
      <c r="GJ333" s="150" t="str">
        <f aca="false">IF(AND(ISNUMBER(GJ28),ISNUMBER(GJ$320),GJ$320&lt;&gt;0),GJ28*GJ$320/GJ$15,"")</f>
        <v/>
      </c>
      <c r="GK333" s="150" t="str">
        <f aca="false">IF(AND(ISNUMBER(GK28),ISNUMBER(GK$320),GK$320&lt;&gt;0),GK28*GK$320/GK$15,"")</f>
        <v/>
      </c>
      <c r="GL333" s="150" t="str">
        <f aca="false">IF(AND(ISNUMBER(GL28),ISNUMBER(GL$320),GL$320&lt;&gt;0),GL28*GL$320/GL$15,"")</f>
        <v/>
      </c>
      <c r="GM333" s="150" t="str">
        <f aca="false">IF(AND(ISNUMBER(GM28),ISNUMBER(GM$320),GM$320&lt;&gt;0),GM28*GM$320/GM$15,"")</f>
        <v/>
      </c>
      <c r="GN333" s="150" t="str">
        <f aca="false">IF(AND(ISNUMBER(GN28),ISNUMBER(GN$320),GN$320&lt;&gt;0),GN28*GN$320/GN$15,"")</f>
        <v/>
      </c>
      <c r="GO333" s="150" t="str">
        <f aca="false">IF(AND(ISNUMBER(GO28),ISNUMBER(GO$320),GO$320&lt;&gt;0),GO28*GO$320/GO$15,"")</f>
        <v/>
      </c>
      <c r="GP333" s="150" t="str">
        <f aca="false">IF(AND(ISNUMBER(GP28),ISNUMBER(GP$320),GP$320&lt;&gt;0),GP28*GP$320/GP$15,"")</f>
        <v/>
      </c>
      <c r="GQ333" s="150" t="str">
        <f aca="false">IF(AND(ISNUMBER(GQ28),ISNUMBER(GQ$320),GQ$320&lt;&gt;0),GQ28*GQ$320/GQ$15,"")</f>
        <v/>
      </c>
      <c r="GR333" s="150" t="str">
        <f aca="false">IF(AND(ISNUMBER(GR28),ISNUMBER(GR$320),GR$320&lt;&gt;0),GR28*GR$320/GR$15,"")</f>
        <v/>
      </c>
      <c r="GS333" s="150" t="str">
        <f aca="false">IF(AND(ISNUMBER(GS28),ISNUMBER(GS$320),GS$320&lt;&gt;0),GS28*GS$320/GS$15,"")</f>
        <v/>
      </c>
      <c r="GT333" s="150" t="str">
        <f aca="false">IF(AND(ISNUMBER(GT28),ISNUMBER(GT$320),GT$320&lt;&gt;0),GT28*GT$320/GT$15,"")</f>
        <v/>
      </c>
      <c r="GU333" s="150" t="str">
        <f aca="false">IF(AND(ISNUMBER(GU28),ISNUMBER(GU$320),GU$320&lt;&gt;0),GU28*GU$320/GU$15,"")</f>
        <v/>
      </c>
      <c r="GV333" s="150" t="str">
        <f aca="false">IF(AND(ISNUMBER(GV28),ISNUMBER(GV$320),GV$320&lt;&gt;0),GV28*GV$320/GV$15,"")</f>
        <v/>
      </c>
      <c r="GW333" s="150" t="str">
        <f aca="false">IF(AND(ISNUMBER(GW28),ISNUMBER(GW$320),GW$320&lt;&gt;0),GW28*GW$320/GW$15,"")</f>
        <v/>
      </c>
      <c r="GX333" s="150" t="str">
        <f aca="false">IF(AND(ISNUMBER(GX28),ISNUMBER(GX$320),GX$320&lt;&gt;0),GX28*GX$320/GX$15,"")</f>
        <v/>
      </c>
      <c r="GY333" s="150" t="str">
        <f aca="false">IF(AND(ISNUMBER(GY28),ISNUMBER(GY$320),GY$320&lt;&gt;0),GY28*GY$320/GY$15,"")</f>
        <v/>
      </c>
      <c r="GZ333" s="150" t="str">
        <f aca="false">IF(AND(ISNUMBER(GZ28),ISNUMBER(GZ$320),GZ$320&lt;&gt;0),GZ28*GZ$320/GZ$15,"")</f>
        <v/>
      </c>
      <c r="HA333" s="150" t="str">
        <f aca="false">IF(AND(ISNUMBER(HA28),ISNUMBER(HA$320),HA$320&lt;&gt;0),HA28*HA$320/HA$15,"")</f>
        <v/>
      </c>
      <c r="HB333" s="150" t="str">
        <f aca="false">IF(AND(ISNUMBER(HB28),ISNUMBER(HB$320),HB$320&lt;&gt;0),HB28*HB$320/HB$15,"")</f>
        <v/>
      </c>
      <c r="HC333" s="150" t="str">
        <f aca="false">IF(AND(ISNUMBER(HC28),ISNUMBER(HC$320),HC$320&lt;&gt;0),HC28*HC$320/HC$15,"")</f>
        <v/>
      </c>
      <c r="HD333" s="150" t="str">
        <f aca="false">IF(AND(ISNUMBER(HD28),ISNUMBER(HD$320),HD$320&lt;&gt;0),HD28*HD$320/HD$15,"")</f>
        <v/>
      </c>
      <c r="HE333" s="150" t="str">
        <f aca="false">IF(AND(ISNUMBER(HE28),ISNUMBER(HE$320),HE$320&lt;&gt;0),HE28*HE$320/HE$15,"")</f>
        <v/>
      </c>
      <c r="HF333" s="150" t="str">
        <f aca="false">IF(AND(ISNUMBER(HF28),ISNUMBER(HF$320),HF$320&lt;&gt;0),HF28*HF$320/HF$15,"")</f>
        <v/>
      </c>
      <c r="HG333" s="150" t="str">
        <f aca="false">IF(AND(ISNUMBER(HG28),ISNUMBER(HG$320),HG$320&lt;&gt;0),HG28*HG$320/HG$15,"")</f>
        <v/>
      </c>
      <c r="HH333" s="150" t="str">
        <f aca="false">IF(AND(ISNUMBER(HH28),ISNUMBER(HH$320),HH$320&lt;&gt;0),HH28*HH$320/HH$15,"")</f>
        <v/>
      </c>
      <c r="HI333" s="150" t="str">
        <f aca="false">IF(AND(ISNUMBER(HI28),ISNUMBER(HI$320),HI$320&lt;&gt;0),HI28*HI$320/HI$15,"")</f>
        <v/>
      </c>
      <c r="HJ333" s="150" t="str">
        <f aca="false">IF(AND(ISNUMBER(HJ28),ISNUMBER(HJ$320),HJ$320&lt;&gt;0),HJ28*HJ$320/HJ$15,"")</f>
        <v/>
      </c>
      <c r="HK333" s="150" t="str">
        <f aca="false">IF(AND(ISNUMBER(HK28),ISNUMBER(HK$320),HK$320&lt;&gt;0),HK28*HK$320/HK$15,"")</f>
        <v/>
      </c>
      <c r="HL333" s="150" t="str">
        <f aca="false">IF(AND(ISNUMBER(HL28),ISNUMBER(HL$320),HL$320&lt;&gt;0),HL28*HL$320/HL$15,"")</f>
        <v/>
      </c>
      <c r="HM333" s="150" t="str">
        <f aca="false">IF(AND(ISNUMBER(HM28),ISNUMBER(HM$320),HM$320&lt;&gt;0),HM28*HM$320/HM$15,"")</f>
        <v/>
      </c>
      <c r="HN333" s="150" t="str">
        <f aca="false">IF(AND(ISNUMBER(HN28),ISNUMBER(HN$320),HN$320&lt;&gt;0),HN28*HN$320/HN$15,"")</f>
        <v/>
      </c>
      <c r="HO333" s="150" t="str">
        <f aca="false">IF(AND(ISNUMBER(HO28),ISNUMBER(HO$320),HO$320&lt;&gt;0),HO28*HO$320/HO$15,"")</f>
        <v/>
      </c>
      <c r="HP333" s="150" t="str">
        <f aca="false">IF(AND(ISNUMBER(HP28),ISNUMBER(HP$320),HP$320&lt;&gt;0),HP28*HP$320/HP$15,"")</f>
        <v/>
      </c>
      <c r="HQ333" s="150" t="str">
        <f aca="false">IF(AND(ISNUMBER(HQ28),ISNUMBER(HQ$320),HQ$320&lt;&gt;0),HQ28*HQ$320/HQ$15,"")</f>
        <v/>
      </c>
      <c r="HR333" s="150" t="str">
        <f aca="false">IF(AND(ISNUMBER(HR28),ISNUMBER(HR$320),HR$320&lt;&gt;0),HR28*HR$320/HR$15,"")</f>
        <v/>
      </c>
      <c r="HS333" s="150" t="str">
        <f aca="false">IF(AND(ISNUMBER(HS28),ISNUMBER(HS$320),HS$320&lt;&gt;0),HS28*HS$320/HS$15,"")</f>
        <v/>
      </c>
      <c r="HT333" s="150" t="str">
        <f aca="false">IF(AND(ISNUMBER(HT28),ISNUMBER(HT$320),HT$320&lt;&gt;0),HT28*HT$320/HT$15,"")</f>
        <v/>
      </c>
      <c r="HU333" s="150" t="str">
        <f aca="false">IF(AND(ISNUMBER(HU28),ISNUMBER(HU$320),HU$320&lt;&gt;0),HU28*HU$320/HU$15,"")</f>
        <v/>
      </c>
      <c r="HV333" s="150" t="str">
        <f aca="false">IF(AND(ISNUMBER(HV28),ISNUMBER(HV$320),HV$320&lt;&gt;0),HV28*HV$320/HV$15,"")</f>
        <v/>
      </c>
      <c r="HW333" s="150" t="str">
        <f aca="false">IF(AND(ISNUMBER(HW28),ISNUMBER(HW$320),HW$320&lt;&gt;0),HW28*HW$320/HW$15,"")</f>
        <v/>
      </c>
      <c r="HX333" s="150" t="str">
        <f aca="false">IF(AND(ISNUMBER(HX28),ISNUMBER(HX$320),HX$320&lt;&gt;0),HX28*HX$320/HX$15,"")</f>
        <v/>
      </c>
      <c r="HY333" s="150" t="str">
        <f aca="false">IF(AND(ISNUMBER(HY28),ISNUMBER(HY$320),HY$320&lt;&gt;0),HY28*HY$320/HY$15,"")</f>
        <v/>
      </c>
      <c r="HZ333" s="150" t="str">
        <f aca="false">IF(AND(ISNUMBER(HZ28),ISNUMBER(HZ$320),HZ$320&lt;&gt;0),HZ28*HZ$320/HZ$15,"")</f>
        <v/>
      </c>
      <c r="IA333" s="150" t="str">
        <f aca="false">IF(AND(ISNUMBER(IA28),ISNUMBER(IA$320),IA$320&lt;&gt;0),IA28*IA$320/IA$15,"")</f>
        <v/>
      </c>
      <c r="IB333" s="150" t="str">
        <f aca="false">IF(AND(ISNUMBER(IB28),ISNUMBER(IB$320),IB$320&lt;&gt;0),IB28*IB$320/IB$15,"")</f>
        <v/>
      </c>
      <c r="IC333" s="150" t="str">
        <f aca="false">IF(AND(ISNUMBER(IC28),ISNUMBER(IC$320),IC$320&lt;&gt;0),IC28*IC$320/IC$15,"")</f>
        <v/>
      </c>
      <c r="ID333" s="572" t="str">
        <f aca="false">IF(AND(ISNUMBER(ID28),ISNUMBER(ID$320),ID$320&lt;&gt;0),ID28*ID$320/ID$15,"")</f>
        <v/>
      </c>
      <c r="IE333" s="129"/>
    </row>
    <row r="334" customFormat="false" ht="12.75" hidden="false" customHeight="false" outlineLevel="0" collapsed="false">
      <c r="I334" s="735"/>
      <c r="J334" s="727"/>
      <c r="K334" s="195"/>
      <c r="L334" s="195"/>
      <c r="M334" s="729"/>
      <c r="P334" s="727"/>
      <c r="S334" s="1"/>
      <c r="T334" s="727"/>
      <c r="U334" s="195"/>
      <c r="V334" s="195"/>
      <c r="W334" s="195"/>
      <c r="X334" s="195"/>
      <c r="Y334" s="195"/>
      <c r="Z334" s="195"/>
      <c r="AA334" s="195"/>
      <c r="AB334" s="195"/>
      <c r="AC334" s="195"/>
      <c r="AD334" s="195"/>
      <c r="AE334" s="195"/>
      <c r="AF334" s="195"/>
      <c r="AG334" s="195"/>
      <c r="AH334" s="195"/>
      <c r="AI334" s="195"/>
      <c r="AJ334" s="195"/>
      <c r="AK334" s="195"/>
      <c r="AL334" s="195"/>
      <c r="AM334" s="195"/>
      <c r="AN334" s="532"/>
      <c r="AO334" s="532"/>
      <c r="AP334" s="240"/>
      <c r="AQ334" s="532"/>
      <c r="AR334" s="240"/>
      <c r="AS334" s="240"/>
      <c r="AT334" s="240"/>
      <c r="AU334" s="730"/>
      <c r="AV334" s="730"/>
      <c r="AW334" s="730"/>
      <c r="AX334" s="730"/>
      <c r="AY334" s="468"/>
      <c r="AZ334" s="468"/>
      <c r="BA334" s="240"/>
      <c r="BB334" s="240"/>
      <c r="BC334" s="240"/>
      <c r="BD334" s="240"/>
      <c r="BE334" s="672"/>
      <c r="BF334" s="672"/>
      <c r="BG334" s="672"/>
      <c r="BH334" s="731"/>
      <c r="BI334" s="672"/>
      <c r="BJ334" s="240"/>
      <c r="BK334" s="736"/>
      <c r="BL334" s="737"/>
      <c r="BM334" s="240"/>
      <c r="BN334" s="240"/>
      <c r="BO334" s="240"/>
      <c r="BP334" s="240"/>
      <c r="BQ334" s="240"/>
      <c r="BR334" s="240"/>
      <c r="BS334" s="240"/>
      <c r="BT334" s="240"/>
      <c r="BU334" s="240"/>
      <c r="BV334" s="240"/>
      <c r="BW334" s="240"/>
      <c r="BX334" s="240"/>
      <c r="BY334" s="240"/>
      <c r="BZ334" s="240"/>
      <c r="CA334" s="240"/>
      <c r="CB334" s="672"/>
      <c r="CC334" s="672"/>
      <c r="CD334" s="672"/>
      <c r="CE334" s="672"/>
      <c r="CF334" s="672"/>
      <c r="CG334" s="672"/>
      <c r="CH334" s="240"/>
      <c r="CI334" s="240"/>
      <c r="CJ334" s="240"/>
      <c r="CK334" s="240"/>
      <c r="CL334" s="240"/>
      <c r="CM334" s="240"/>
      <c r="CN334" s="240"/>
      <c r="CO334" s="240"/>
      <c r="CP334" s="240"/>
      <c r="CQ334" s="240"/>
      <c r="CR334" s="240"/>
      <c r="CS334" s="240"/>
      <c r="CT334" s="240"/>
      <c r="CU334" s="240"/>
      <c r="CV334" s="240"/>
      <c r="CW334" s="240"/>
      <c r="CX334" s="240"/>
      <c r="CY334" s="240"/>
      <c r="CZ334" s="240"/>
      <c r="DA334" s="240"/>
      <c r="DB334" s="240"/>
      <c r="DC334" s="240"/>
      <c r="DD334" s="240"/>
      <c r="DE334" s="240"/>
      <c r="DF334" s="240"/>
      <c r="DG334" s="733"/>
      <c r="DH334" s="478"/>
      <c r="DI334" s="195"/>
      <c r="DJ334" s="3"/>
      <c r="DK334" s="478"/>
      <c r="DL334" s="4"/>
      <c r="DM334" s="4"/>
      <c r="DN334" s="4"/>
      <c r="DO334" s="4"/>
      <c r="DP334" s="4"/>
      <c r="DQ334" s="4"/>
      <c r="DS334" s="195"/>
      <c r="DT334" s="195"/>
      <c r="DU334" s="195"/>
      <c r="DV334" s="195"/>
      <c r="DW334" s="195"/>
      <c r="DX334" s="195"/>
      <c r="DY334" s="195"/>
      <c r="DZ334" s="195"/>
      <c r="EA334" s="195"/>
      <c r="EB334" s="195"/>
      <c r="EC334" s="195"/>
      <c r="ED334" s="195"/>
      <c r="EE334" s="195"/>
      <c r="EF334" s="195"/>
      <c r="EG334" s="195"/>
      <c r="EL334" s="1"/>
      <c r="EM334" s="195"/>
      <c r="EN334" s="240"/>
      <c r="EO334" s="240"/>
      <c r="EP334" s="195"/>
      <c r="EQ334" s="240"/>
      <c r="ER334" s="195"/>
      <c r="ES334" s="195"/>
      <c r="ET334" s="195"/>
      <c r="EU334" s="672"/>
      <c r="FJ334" s="571" t="n">
        <v>10</v>
      </c>
      <c r="FK334" s="150" t="str">
        <f aca="false">IF(AND(ISNUMBER(FK29),ISNUMBER(FK$320),FK$320&lt;&gt;0),FK29*FK$320/FK$15,"")</f>
        <v/>
      </c>
      <c r="FL334" s="150" t="str">
        <f aca="false">IF(AND(ISNUMBER(FL29),ISNUMBER(FL$320),FL$320&lt;&gt;0),FL29*FL$320/FL$15,"")</f>
        <v/>
      </c>
      <c r="FM334" s="150" t="n">
        <f aca="false">IF(AND(ISNUMBER(FM29),ISNUMBER(FM$320),FM$320&lt;&gt;0),FM29*FM$320/FM$15,"")</f>
        <v>0.00431969849595126</v>
      </c>
      <c r="FN334" s="150" t="n">
        <f aca="false">IF(AND(ISNUMBER(FN29),ISNUMBER(FN$320),FN$320&lt;&gt;0),FN29*FN$320/FN$15,"")</f>
        <v>0.0039855449413749</v>
      </c>
      <c r="FO334" s="150" t="n">
        <f aca="false">IF(AND(ISNUMBER(FO29),ISNUMBER(FO$320),FO$320&lt;&gt;0),FO29*FO$320/FO$15,"")</f>
        <v>0.00461976172353848</v>
      </c>
      <c r="FP334" s="150" t="n">
        <f aca="false">IF(AND(ISNUMBER(FP29),ISNUMBER(FP$320),FP$320&lt;&gt;0),FP29*FP$320/FP$15,"")</f>
        <v>0.00290880144069197</v>
      </c>
      <c r="FQ334" s="150" t="str">
        <f aca="false">IF(AND(ISNUMBER(FQ29),ISNUMBER(FQ$320),FQ$320&lt;&gt;0),FQ29*FQ$320/FQ$15,"")</f>
        <v/>
      </c>
      <c r="FR334" s="150" t="str">
        <f aca="false">IF(AND(ISNUMBER(FR29),ISNUMBER(FR$320),FR$320&lt;&gt;0),FR29*FR$320/FR$15,"")</f>
        <v/>
      </c>
      <c r="FS334" s="150" t="str">
        <f aca="false">IF(AND(ISNUMBER(FS29),ISNUMBER(FS$320),FS$320&lt;&gt;0),FS29*FS$320/FS$15,"")</f>
        <v/>
      </c>
      <c r="FT334" s="150" t="str">
        <f aca="false">IF(AND(ISNUMBER(FT29),ISNUMBER(FT$320),FT$320&lt;&gt;0),FT29*FT$320/FT$15,"")</f>
        <v/>
      </c>
      <c r="FU334" s="150" t="str">
        <f aca="false">IF(AND(ISNUMBER(FU29),ISNUMBER(FU$320),FU$320&lt;&gt;0),FU29*FU$320/FU$15,"")</f>
        <v/>
      </c>
      <c r="FV334" s="150" t="str">
        <f aca="false">IF(AND(ISNUMBER(FV29),ISNUMBER(FV$320),FV$320&lt;&gt;0),FV29*FV$320/FV$15,"")</f>
        <v/>
      </c>
      <c r="FW334" s="150" t="str">
        <f aca="false">IF(AND(ISNUMBER(FW29),ISNUMBER(FW$320),FW$320&lt;&gt;0),FW29*FW$320/FW$15,"")</f>
        <v/>
      </c>
      <c r="FX334" s="150" t="str">
        <f aca="false">IF(AND(ISNUMBER(FX29),ISNUMBER(FX$320),FX$320&lt;&gt;0),FX29*FX$320/FX$15,"")</f>
        <v/>
      </c>
      <c r="FY334" s="150" t="str">
        <f aca="false">IF(AND(ISNUMBER(FY29),ISNUMBER(FY$320),FY$320&lt;&gt;0),FY29*FY$320/FY$15,"")</f>
        <v/>
      </c>
      <c r="FZ334" s="150" t="str">
        <f aca="false">IF(AND(ISNUMBER(FZ29),ISNUMBER(FZ$320),FZ$320&lt;&gt;0),FZ29*FZ$320/FZ$15,"")</f>
        <v/>
      </c>
      <c r="GA334" s="150" t="str">
        <f aca="false">IF(AND(ISNUMBER(GA29),ISNUMBER(GA$320),GA$320&lt;&gt;0),GA29*GA$320/GA$15,"")</f>
        <v/>
      </c>
      <c r="GB334" s="150" t="str">
        <f aca="false">IF(AND(ISNUMBER(GB29),ISNUMBER(GB$320),GB$320&lt;&gt;0),GB29*GB$320/GB$15,"")</f>
        <v/>
      </c>
      <c r="GC334" s="150" t="str">
        <f aca="false">IF(AND(ISNUMBER(GC29),ISNUMBER(GC$320),GC$320&lt;&gt;0),GC29*GC$320/GC$15,"")</f>
        <v/>
      </c>
      <c r="GD334" s="150" t="str">
        <f aca="false">IF(AND(ISNUMBER(GD29),ISNUMBER(GD$320),GD$320&lt;&gt;0),GD29*GD$320/GD$15,"")</f>
        <v/>
      </c>
      <c r="GE334" s="150" t="str">
        <f aca="false">IF(AND(ISNUMBER(GE29),ISNUMBER(GE$320),GE$320&lt;&gt;0),GE29*GE$320/GE$15,"")</f>
        <v/>
      </c>
      <c r="GF334" s="150" t="str">
        <f aca="false">IF(AND(ISNUMBER(GF29),ISNUMBER(GF$320),GF$320&lt;&gt;0),GF29*GF$320/GF$15,"")</f>
        <v/>
      </c>
      <c r="GG334" s="150" t="str">
        <f aca="false">IF(AND(ISNUMBER(GG29),ISNUMBER(GG$320),GG$320&lt;&gt;0),GG29*GG$320/GG$15,"")</f>
        <v/>
      </c>
      <c r="GH334" s="150" t="str">
        <f aca="false">IF(AND(ISNUMBER(GH29),ISNUMBER(GH$320),GH$320&lt;&gt;0),GH29*GH$320/GH$15,"")</f>
        <v/>
      </c>
      <c r="GI334" s="150" t="str">
        <f aca="false">IF(AND(ISNUMBER(GI29),ISNUMBER(GI$320),GI$320&lt;&gt;0),GI29*GI$320/GI$15,"")</f>
        <v/>
      </c>
      <c r="GJ334" s="150" t="str">
        <f aca="false">IF(AND(ISNUMBER(GJ29),ISNUMBER(GJ$320),GJ$320&lt;&gt;0),GJ29*GJ$320/GJ$15,"")</f>
        <v/>
      </c>
      <c r="GK334" s="150" t="str">
        <f aca="false">IF(AND(ISNUMBER(GK29),ISNUMBER(GK$320),GK$320&lt;&gt;0),GK29*GK$320/GK$15,"")</f>
        <v/>
      </c>
      <c r="GL334" s="150" t="str">
        <f aca="false">IF(AND(ISNUMBER(GL29),ISNUMBER(GL$320),GL$320&lt;&gt;0),GL29*GL$320/GL$15,"")</f>
        <v/>
      </c>
      <c r="GM334" s="150" t="str">
        <f aca="false">IF(AND(ISNUMBER(GM29),ISNUMBER(GM$320),GM$320&lt;&gt;0),GM29*GM$320/GM$15,"")</f>
        <v/>
      </c>
      <c r="GN334" s="150" t="str">
        <f aca="false">IF(AND(ISNUMBER(GN29),ISNUMBER(GN$320),GN$320&lt;&gt;0),GN29*GN$320/GN$15,"")</f>
        <v/>
      </c>
      <c r="GO334" s="150" t="str">
        <f aca="false">IF(AND(ISNUMBER(GO29),ISNUMBER(GO$320),GO$320&lt;&gt;0),GO29*GO$320/GO$15,"")</f>
        <v/>
      </c>
      <c r="GP334" s="150" t="str">
        <f aca="false">IF(AND(ISNUMBER(GP29),ISNUMBER(GP$320),GP$320&lt;&gt;0),GP29*GP$320/GP$15,"")</f>
        <v/>
      </c>
      <c r="GQ334" s="150" t="str">
        <f aca="false">IF(AND(ISNUMBER(GQ29),ISNUMBER(GQ$320),GQ$320&lt;&gt;0),GQ29*GQ$320/GQ$15,"")</f>
        <v/>
      </c>
      <c r="GR334" s="150" t="str">
        <f aca="false">IF(AND(ISNUMBER(GR29),ISNUMBER(GR$320),GR$320&lt;&gt;0),GR29*GR$320/GR$15,"")</f>
        <v/>
      </c>
      <c r="GS334" s="150" t="str">
        <f aca="false">IF(AND(ISNUMBER(GS29),ISNUMBER(GS$320),GS$320&lt;&gt;0),GS29*GS$320/GS$15,"")</f>
        <v/>
      </c>
      <c r="GT334" s="150" t="str">
        <f aca="false">IF(AND(ISNUMBER(GT29),ISNUMBER(GT$320),GT$320&lt;&gt;0),GT29*GT$320/GT$15,"")</f>
        <v/>
      </c>
      <c r="GU334" s="150" t="str">
        <f aca="false">IF(AND(ISNUMBER(GU29),ISNUMBER(GU$320),GU$320&lt;&gt;0),GU29*GU$320/GU$15,"")</f>
        <v/>
      </c>
      <c r="GV334" s="150" t="str">
        <f aca="false">IF(AND(ISNUMBER(GV29),ISNUMBER(GV$320),GV$320&lt;&gt;0),GV29*GV$320/GV$15,"")</f>
        <v/>
      </c>
      <c r="GW334" s="150" t="str">
        <f aca="false">IF(AND(ISNUMBER(GW29),ISNUMBER(GW$320),GW$320&lt;&gt;0),GW29*GW$320/GW$15,"")</f>
        <v/>
      </c>
      <c r="GX334" s="150" t="str">
        <f aca="false">IF(AND(ISNUMBER(GX29),ISNUMBER(GX$320),GX$320&lt;&gt;0),GX29*GX$320/GX$15,"")</f>
        <v/>
      </c>
      <c r="GY334" s="150" t="str">
        <f aca="false">IF(AND(ISNUMBER(GY29),ISNUMBER(GY$320),GY$320&lt;&gt;0),GY29*GY$320/GY$15,"")</f>
        <v/>
      </c>
      <c r="GZ334" s="150" t="str">
        <f aca="false">IF(AND(ISNUMBER(GZ29),ISNUMBER(GZ$320),GZ$320&lt;&gt;0),GZ29*GZ$320/GZ$15,"")</f>
        <v/>
      </c>
      <c r="HA334" s="150" t="str">
        <f aca="false">IF(AND(ISNUMBER(HA29),ISNUMBER(HA$320),HA$320&lt;&gt;0),HA29*HA$320/HA$15,"")</f>
        <v/>
      </c>
      <c r="HB334" s="150" t="str">
        <f aca="false">IF(AND(ISNUMBER(HB29),ISNUMBER(HB$320),HB$320&lt;&gt;0),HB29*HB$320/HB$15,"")</f>
        <v/>
      </c>
      <c r="HC334" s="150" t="str">
        <f aca="false">IF(AND(ISNUMBER(HC29),ISNUMBER(HC$320),HC$320&lt;&gt;0),HC29*HC$320/HC$15,"")</f>
        <v/>
      </c>
      <c r="HD334" s="150" t="str">
        <f aca="false">IF(AND(ISNUMBER(HD29),ISNUMBER(HD$320),HD$320&lt;&gt;0),HD29*HD$320/HD$15,"")</f>
        <v/>
      </c>
      <c r="HE334" s="150" t="str">
        <f aca="false">IF(AND(ISNUMBER(HE29),ISNUMBER(HE$320),HE$320&lt;&gt;0),HE29*HE$320/HE$15,"")</f>
        <v/>
      </c>
      <c r="HF334" s="150" t="str">
        <f aca="false">IF(AND(ISNUMBER(HF29),ISNUMBER(HF$320),HF$320&lt;&gt;0),HF29*HF$320/HF$15,"")</f>
        <v/>
      </c>
      <c r="HG334" s="150" t="str">
        <f aca="false">IF(AND(ISNUMBER(HG29),ISNUMBER(HG$320),HG$320&lt;&gt;0),HG29*HG$320/HG$15,"")</f>
        <v/>
      </c>
      <c r="HH334" s="150" t="str">
        <f aca="false">IF(AND(ISNUMBER(HH29),ISNUMBER(HH$320),HH$320&lt;&gt;0),HH29*HH$320/HH$15,"")</f>
        <v/>
      </c>
      <c r="HI334" s="150" t="str">
        <f aca="false">IF(AND(ISNUMBER(HI29),ISNUMBER(HI$320),HI$320&lt;&gt;0),HI29*HI$320/HI$15,"")</f>
        <v/>
      </c>
      <c r="HJ334" s="150" t="str">
        <f aca="false">IF(AND(ISNUMBER(HJ29),ISNUMBER(HJ$320),HJ$320&lt;&gt;0),HJ29*HJ$320/HJ$15,"")</f>
        <v/>
      </c>
      <c r="HK334" s="150" t="str">
        <f aca="false">IF(AND(ISNUMBER(HK29),ISNUMBER(HK$320),HK$320&lt;&gt;0),HK29*HK$320/HK$15,"")</f>
        <v/>
      </c>
      <c r="HL334" s="150" t="str">
        <f aca="false">IF(AND(ISNUMBER(HL29),ISNUMBER(HL$320),HL$320&lt;&gt;0),HL29*HL$320/HL$15,"")</f>
        <v/>
      </c>
      <c r="HM334" s="150" t="str">
        <f aca="false">IF(AND(ISNUMBER(HM29),ISNUMBER(HM$320),HM$320&lt;&gt;0),HM29*HM$320/HM$15,"")</f>
        <v/>
      </c>
      <c r="HN334" s="150" t="str">
        <f aca="false">IF(AND(ISNUMBER(HN29),ISNUMBER(HN$320),HN$320&lt;&gt;0),HN29*HN$320/HN$15,"")</f>
        <v/>
      </c>
      <c r="HO334" s="150" t="str">
        <f aca="false">IF(AND(ISNUMBER(HO29),ISNUMBER(HO$320),HO$320&lt;&gt;0),HO29*HO$320/HO$15,"")</f>
        <v/>
      </c>
      <c r="HP334" s="150" t="str">
        <f aca="false">IF(AND(ISNUMBER(HP29),ISNUMBER(HP$320),HP$320&lt;&gt;0),HP29*HP$320/HP$15,"")</f>
        <v/>
      </c>
      <c r="HQ334" s="150" t="str">
        <f aca="false">IF(AND(ISNUMBER(HQ29),ISNUMBER(HQ$320),HQ$320&lt;&gt;0),HQ29*HQ$320/HQ$15,"")</f>
        <v/>
      </c>
      <c r="HR334" s="150" t="str">
        <f aca="false">IF(AND(ISNUMBER(HR29),ISNUMBER(HR$320),HR$320&lt;&gt;0),HR29*HR$320/HR$15,"")</f>
        <v/>
      </c>
      <c r="HS334" s="150" t="str">
        <f aca="false">IF(AND(ISNUMBER(HS29),ISNUMBER(HS$320),HS$320&lt;&gt;0),HS29*HS$320/HS$15,"")</f>
        <v/>
      </c>
      <c r="HT334" s="150" t="str">
        <f aca="false">IF(AND(ISNUMBER(HT29),ISNUMBER(HT$320),HT$320&lt;&gt;0),HT29*HT$320/HT$15,"")</f>
        <v/>
      </c>
      <c r="HU334" s="150" t="str">
        <f aca="false">IF(AND(ISNUMBER(HU29),ISNUMBER(HU$320),HU$320&lt;&gt;0),HU29*HU$320/HU$15,"")</f>
        <v/>
      </c>
      <c r="HV334" s="150" t="str">
        <f aca="false">IF(AND(ISNUMBER(HV29),ISNUMBER(HV$320),HV$320&lt;&gt;0),HV29*HV$320/HV$15,"")</f>
        <v/>
      </c>
      <c r="HW334" s="150" t="str">
        <f aca="false">IF(AND(ISNUMBER(HW29),ISNUMBER(HW$320),HW$320&lt;&gt;0),HW29*HW$320/HW$15,"")</f>
        <v/>
      </c>
      <c r="HX334" s="150" t="str">
        <f aca="false">IF(AND(ISNUMBER(HX29),ISNUMBER(HX$320),HX$320&lt;&gt;0),HX29*HX$320/HX$15,"")</f>
        <v/>
      </c>
      <c r="HY334" s="150" t="str">
        <f aca="false">IF(AND(ISNUMBER(HY29),ISNUMBER(HY$320),HY$320&lt;&gt;0),HY29*HY$320/HY$15,"")</f>
        <v/>
      </c>
      <c r="HZ334" s="150" t="str">
        <f aca="false">IF(AND(ISNUMBER(HZ29),ISNUMBER(HZ$320),HZ$320&lt;&gt;0),HZ29*HZ$320/HZ$15,"")</f>
        <v/>
      </c>
      <c r="IA334" s="150" t="str">
        <f aca="false">IF(AND(ISNUMBER(IA29),ISNUMBER(IA$320),IA$320&lt;&gt;0),IA29*IA$320/IA$15,"")</f>
        <v/>
      </c>
      <c r="IB334" s="150" t="str">
        <f aca="false">IF(AND(ISNUMBER(IB29),ISNUMBER(IB$320),IB$320&lt;&gt;0),IB29*IB$320/IB$15,"")</f>
        <v/>
      </c>
      <c r="IC334" s="150" t="str">
        <f aca="false">IF(AND(ISNUMBER(IC29),ISNUMBER(IC$320),IC$320&lt;&gt;0),IC29*IC$320/IC$15,"")</f>
        <v/>
      </c>
      <c r="ID334" s="572" t="str">
        <f aca="false">IF(AND(ISNUMBER(ID29),ISNUMBER(ID$320),ID$320&lt;&gt;0),ID29*ID$320/ID$15,"")</f>
        <v/>
      </c>
      <c r="IE334" s="129"/>
    </row>
    <row r="335" customFormat="false" ht="12.75" hidden="false" customHeight="false" outlineLevel="0" collapsed="false">
      <c r="I335" s="735"/>
      <c r="J335" s="727"/>
      <c r="K335" s="195"/>
      <c r="L335" s="195"/>
      <c r="M335" s="729"/>
      <c r="P335" s="727"/>
      <c r="S335" s="1"/>
      <c r="T335" s="727"/>
      <c r="U335" s="195"/>
      <c r="V335" s="195"/>
      <c r="W335" s="195"/>
      <c r="X335" s="195"/>
      <c r="Y335" s="195"/>
      <c r="Z335" s="195"/>
      <c r="AA335" s="195"/>
      <c r="AB335" s="195"/>
      <c r="AC335" s="195"/>
      <c r="AD335" s="195"/>
      <c r="AE335" s="195"/>
      <c r="AF335" s="195"/>
      <c r="AG335" s="195"/>
      <c r="AH335" s="195"/>
      <c r="AI335" s="195"/>
      <c r="AJ335" s="195"/>
      <c r="AK335" s="195"/>
      <c r="AL335" s="195"/>
      <c r="AM335" s="195"/>
      <c r="AN335" s="532"/>
      <c r="AO335" s="532"/>
      <c r="AP335" s="240"/>
      <c r="AQ335" s="532"/>
      <c r="AR335" s="240"/>
      <c r="AS335" s="240"/>
      <c r="AT335" s="240"/>
      <c r="AU335" s="730"/>
      <c r="AV335" s="730"/>
      <c r="AW335" s="730"/>
      <c r="AX335" s="730"/>
      <c r="AY335" s="468"/>
      <c r="AZ335" s="468"/>
      <c r="BA335" s="240"/>
      <c r="BB335" s="240"/>
      <c r="BC335" s="240"/>
      <c r="BD335" s="240"/>
      <c r="BE335" s="672"/>
      <c r="BF335" s="672"/>
      <c r="BG335" s="672"/>
      <c r="BH335" s="731"/>
      <c r="BI335" s="672"/>
      <c r="BJ335" s="240"/>
      <c r="BK335" s="736"/>
      <c r="BL335" s="737"/>
      <c r="BM335" s="240"/>
      <c r="BN335" s="240"/>
      <c r="BO335" s="240"/>
      <c r="BP335" s="240"/>
      <c r="BQ335" s="240"/>
      <c r="BR335" s="240"/>
      <c r="BS335" s="240"/>
      <c r="BT335" s="240"/>
      <c r="BU335" s="240"/>
      <c r="BV335" s="240"/>
      <c r="BW335" s="240"/>
      <c r="BX335" s="240"/>
      <c r="BY335" s="240"/>
      <c r="BZ335" s="240"/>
      <c r="CA335" s="240"/>
      <c r="CB335" s="672"/>
      <c r="CC335" s="672"/>
      <c r="CD335" s="672"/>
      <c r="CE335" s="672"/>
      <c r="CF335" s="672"/>
      <c r="CG335" s="672"/>
      <c r="CH335" s="240"/>
      <c r="CI335" s="240"/>
      <c r="CJ335" s="240"/>
      <c r="CK335" s="240"/>
      <c r="CL335" s="240"/>
      <c r="CM335" s="240"/>
      <c r="CN335" s="240"/>
      <c r="CO335" s="240"/>
      <c r="CP335" s="240"/>
      <c r="CQ335" s="240"/>
      <c r="CR335" s="240"/>
      <c r="CS335" s="240"/>
      <c r="CT335" s="240"/>
      <c r="CU335" s="240"/>
      <c r="CV335" s="240"/>
      <c r="CW335" s="240"/>
      <c r="CX335" s="240"/>
      <c r="CY335" s="240"/>
      <c r="CZ335" s="240"/>
      <c r="DA335" s="240"/>
      <c r="DB335" s="240"/>
      <c r="DC335" s="240"/>
      <c r="DD335" s="240"/>
      <c r="DE335" s="240"/>
      <c r="DF335" s="240"/>
      <c r="DG335" s="733"/>
      <c r="DH335" s="478"/>
      <c r="DI335" s="195"/>
      <c r="DJ335" s="3"/>
      <c r="DK335" s="478"/>
      <c r="DL335" s="4"/>
      <c r="DM335" s="4"/>
      <c r="DN335" s="4"/>
      <c r="DO335" s="4"/>
      <c r="DP335" s="4"/>
      <c r="DQ335" s="4"/>
      <c r="DS335" s="195"/>
      <c r="DT335" s="195"/>
      <c r="DU335" s="195"/>
      <c r="DV335" s="195"/>
      <c r="DW335" s="195"/>
      <c r="DX335" s="195"/>
      <c r="DY335" s="195"/>
      <c r="DZ335" s="195"/>
      <c r="EA335" s="195"/>
      <c r="EB335" s="195"/>
      <c r="EC335" s="195"/>
      <c r="ED335" s="195"/>
      <c r="EE335" s="195"/>
      <c r="EF335" s="195"/>
      <c r="EG335" s="195"/>
      <c r="EL335" s="1"/>
      <c r="EM335" s="195"/>
      <c r="EN335" s="240"/>
      <c r="EO335" s="240"/>
      <c r="EP335" s="195"/>
      <c r="EQ335" s="240"/>
      <c r="ER335" s="195"/>
      <c r="ES335" s="195"/>
      <c r="ET335" s="195"/>
      <c r="EU335" s="672"/>
      <c r="FJ335" s="571" t="n">
        <v>11</v>
      </c>
      <c r="FK335" s="150" t="str">
        <f aca="false">IF(AND(ISNUMBER(FK30),ISNUMBER(FK$320),FK$320&lt;&gt;0),FK30*FK$320/FK$15,"")</f>
        <v/>
      </c>
      <c r="FL335" s="150" t="str">
        <f aca="false">IF(AND(ISNUMBER(FL30),ISNUMBER(FL$320),FL$320&lt;&gt;0),FL30*FL$320/FL$15,"")</f>
        <v/>
      </c>
      <c r="FM335" s="150" t="n">
        <f aca="false">IF(AND(ISNUMBER(FM30),ISNUMBER(FM$320),FM$320&lt;&gt;0),FM30*FM$320/FM$15,"")</f>
        <v>0.00399555783695943</v>
      </c>
      <c r="FN335" s="150" t="n">
        <f aca="false">IF(AND(ISNUMBER(FN30),ISNUMBER(FN$320),FN$320&lt;&gt;0),FN30*FN$320/FN$15,"")</f>
        <v>0.00363575954677258</v>
      </c>
      <c r="FO335" s="150" t="n">
        <f aca="false">IF(AND(ISNUMBER(FO30),ISNUMBER(FO$320),FO$320&lt;&gt;0),FO30*FO$320/FO$15,"")</f>
        <v>0.00414555531122536</v>
      </c>
      <c r="FP335" s="150" t="n">
        <f aca="false">IF(AND(ISNUMBER(FP30),ISNUMBER(FP$320),FP$320&lt;&gt;0),FP30*FP$320/FP$15,"")</f>
        <v>0.00255958409426891</v>
      </c>
      <c r="FQ335" s="150" t="str">
        <f aca="false">IF(AND(ISNUMBER(FQ30),ISNUMBER(FQ$320),FQ$320&lt;&gt;0),FQ30*FQ$320/FQ$15,"")</f>
        <v/>
      </c>
      <c r="FR335" s="150" t="str">
        <f aca="false">IF(AND(ISNUMBER(FR30),ISNUMBER(FR$320),FR$320&lt;&gt;0),FR30*FR$320/FR$15,"")</f>
        <v/>
      </c>
      <c r="FS335" s="150" t="str">
        <f aca="false">IF(AND(ISNUMBER(FS30),ISNUMBER(FS$320),FS$320&lt;&gt;0),FS30*FS$320/FS$15,"")</f>
        <v/>
      </c>
      <c r="FT335" s="150" t="str">
        <f aca="false">IF(AND(ISNUMBER(FT30),ISNUMBER(FT$320),FT$320&lt;&gt;0),FT30*FT$320/FT$15,"")</f>
        <v/>
      </c>
      <c r="FU335" s="150" t="str">
        <f aca="false">IF(AND(ISNUMBER(FU30),ISNUMBER(FU$320),FU$320&lt;&gt;0),FU30*FU$320/FU$15,"")</f>
        <v/>
      </c>
      <c r="FV335" s="150" t="str">
        <f aca="false">IF(AND(ISNUMBER(FV30),ISNUMBER(FV$320),FV$320&lt;&gt;0),FV30*FV$320/FV$15,"")</f>
        <v/>
      </c>
      <c r="FW335" s="150" t="str">
        <f aca="false">IF(AND(ISNUMBER(FW30),ISNUMBER(FW$320),FW$320&lt;&gt;0),FW30*FW$320/FW$15,"")</f>
        <v/>
      </c>
      <c r="FX335" s="150" t="str">
        <f aca="false">IF(AND(ISNUMBER(FX30),ISNUMBER(FX$320),FX$320&lt;&gt;0),FX30*FX$320/FX$15,"")</f>
        <v/>
      </c>
      <c r="FY335" s="150" t="str">
        <f aca="false">IF(AND(ISNUMBER(FY30),ISNUMBER(FY$320),FY$320&lt;&gt;0),FY30*FY$320/FY$15,"")</f>
        <v/>
      </c>
      <c r="FZ335" s="150" t="str">
        <f aca="false">IF(AND(ISNUMBER(FZ30),ISNUMBER(FZ$320),FZ$320&lt;&gt;0),FZ30*FZ$320/FZ$15,"")</f>
        <v/>
      </c>
      <c r="GA335" s="150" t="str">
        <f aca="false">IF(AND(ISNUMBER(GA30),ISNUMBER(GA$320),GA$320&lt;&gt;0),GA30*GA$320/GA$15,"")</f>
        <v/>
      </c>
      <c r="GB335" s="150" t="str">
        <f aca="false">IF(AND(ISNUMBER(GB30),ISNUMBER(GB$320),GB$320&lt;&gt;0),GB30*GB$320/GB$15,"")</f>
        <v/>
      </c>
      <c r="GC335" s="150" t="str">
        <f aca="false">IF(AND(ISNUMBER(GC30),ISNUMBER(GC$320),GC$320&lt;&gt;0),GC30*GC$320/GC$15,"")</f>
        <v/>
      </c>
      <c r="GD335" s="150" t="str">
        <f aca="false">IF(AND(ISNUMBER(GD30),ISNUMBER(GD$320),GD$320&lt;&gt;0),GD30*GD$320/GD$15,"")</f>
        <v/>
      </c>
      <c r="GE335" s="150" t="str">
        <f aca="false">IF(AND(ISNUMBER(GE30),ISNUMBER(GE$320),GE$320&lt;&gt;0),GE30*GE$320/GE$15,"")</f>
        <v/>
      </c>
      <c r="GF335" s="150" t="str">
        <f aca="false">IF(AND(ISNUMBER(GF30),ISNUMBER(GF$320),GF$320&lt;&gt;0),GF30*GF$320/GF$15,"")</f>
        <v/>
      </c>
      <c r="GG335" s="150" t="str">
        <f aca="false">IF(AND(ISNUMBER(GG30),ISNUMBER(GG$320),GG$320&lt;&gt;0),GG30*GG$320/GG$15,"")</f>
        <v/>
      </c>
      <c r="GH335" s="150" t="str">
        <f aca="false">IF(AND(ISNUMBER(GH30),ISNUMBER(GH$320),GH$320&lt;&gt;0),GH30*GH$320/GH$15,"")</f>
        <v/>
      </c>
      <c r="GI335" s="150" t="str">
        <f aca="false">IF(AND(ISNUMBER(GI30),ISNUMBER(GI$320),GI$320&lt;&gt;0),GI30*GI$320/GI$15,"")</f>
        <v/>
      </c>
      <c r="GJ335" s="150" t="str">
        <f aca="false">IF(AND(ISNUMBER(GJ30),ISNUMBER(GJ$320),GJ$320&lt;&gt;0),GJ30*GJ$320/GJ$15,"")</f>
        <v/>
      </c>
      <c r="GK335" s="150" t="str">
        <f aca="false">IF(AND(ISNUMBER(GK30),ISNUMBER(GK$320),GK$320&lt;&gt;0),GK30*GK$320/GK$15,"")</f>
        <v/>
      </c>
      <c r="GL335" s="150" t="str">
        <f aca="false">IF(AND(ISNUMBER(GL30),ISNUMBER(GL$320),GL$320&lt;&gt;0),GL30*GL$320/GL$15,"")</f>
        <v/>
      </c>
      <c r="GM335" s="150" t="str">
        <f aca="false">IF(AND(ISNUMBER(GM30),ISNUMBER(GM$320),GM$320&lt;&gt;0),GM30*GM$320/GM$15,"")</f>
        <v/>
      </c>
      <c r="GN335" s="150" t="str">
        <f aca="false">IF(AND(ISNUMBER(GN30),ISNUMBER(GN$320),GN$320&lt;&gt;0),GN30*GN$320/GN$15,"")</f>
        <v/>
      </c>
      <c r="GO335" s="150" t="str">
        <f aca="false">IF(AND(ISNUMBER(GO30),ISNUMBER(GO$320),GO$320&lt;&gt;0),GO30*GO$320/GO$15,"")</f>
        <v/>
      </c>
      <c r="GP335" s="150" t="str">
        <f aca="false">IF(AND(ISNUMBER(GP30),ISNUMBER(GP$320),GP$320&lt;&gt;0),GP30*GP$320/GP$15,"")</f>
        <v/>
      </c>
      <c r="GQ335" s="150" t="str">
        <f aca="false">IF(AND(ISNUMBER(GQ30),ISNUMBER(GQ$320),GQ$320&lt;&gt;0),GQ30*GQ$320/GQ$15,"")</f>
        <v/>
      </c>
      <c r="GR335" s="150" t="str">
        <f aca="false">IF(AND(ISNUMBER(GR30),ISNUMBER(GR$320),GR$320&lt;&gt;0),GR30*GR$320/GR$15,"")</f>
        <v/>
      </c>
      <c r="GS335" s="150" t="str">
        <f aca="false">IF(AND(ISNUMBER(GS30),ISNUMBER(GS$320),GS$320&lt;&gt;0),GS30*GS$320/GS$15,"")</f>
        <v/>
      </c>
      <c r="GT335" s="150" t="str">
        <f aca="false">IF(AND(ISNUMBER(GT30),ISNUMBER(GT$320),GT$320&lt;&gt;0),GT30*GT$320/GT$15,"")</f>
        <v/>
      </c>
      <c r="GU335" s="150" t="str">
        <f aca="false">IF(AND(ISNUMBER(GU30),ISNUMBER(GU$320),GU$320&lt;&gt;0),GU30*GU$320/GU$15,"")</f>
        <v/>
      </c>
      <c r="GV335" s="150" t="str">
        <f aca="false">IF(AND(ISNUMBER(GV30),ISNUMBER(GV$320),GV$320&lt;&gt;0),GV30*GV$320/GV$15,"")</f>
        <v/>
      </c>
      <c r="GW335" s="150" t="str">
        <f aca="false">IF(AND(ISNUMBER(GW30),ISNUMBER(GW$320),GW$320&lt;&gt;0),GW30*GW$320/GW$15,"")</f>
        <v/>
      </c>
      <c r="GX335" s="150" t="str">
        <f aca="false">IF(AND(ISNUMBER(GX30),ISNUMBER(GX$320),GX$320&lt;&gt;0),GX30*GX$320/GX$15,"")</f>
        <v/>
      </c>
      <c r="GY335" s="150" t="str">
        <f aca="false">IF(AND(ISNUMBER(GY30),ISNUMBER(GY$320),GY$320&lt;&gt;0),GY30*GY$320/GY$15,"")</f>
        <v/>
      </c>
      <c r="GZ335" s="150" t="str">
        <f aca="false">IF(AND(ISNUMBER(GZ30),ISNUMBER(GZ$320),GZ$320&lt;&gt;0),GZ30*GZ$320/GZ$15,"")</f>
        <v/>
      </c>
      <c r="HA335" s="150" t="str">
        <f aca="false">IF(AND(ISNUMBER(HA30),ISNUMBER(HA$320),HA$320&lt;&gt;0),HA30*HA$320/HA$15,"")</f>
        <v/>
      </c>
      <c r="HB335" s="150" t="str">
        <f aca="false">IF(AND(ISNUMBER(HB30),ISNUMBER(HB$320),HB$320&lt;&gt;0),HB30*HB$320/HB$15,"")</f>
        <v/>
      </c>
      <c r="HC335" s="150" t="str">
        <f aca="false">IF(AND(ISNUMBER(HC30),ISNUMBER(HC$320),HC$320&lt;&gt;0),HC30*HC$320/HC$15,"")</f>
        <v/>
      </c>
      <c r="HD335" s="150" t="str">
        <f aca="false">IF(AND(ISNUMBER(HD30),ISNUMBER(HD$320),HD$320&lt;&gt;0),HD30*HD$320/HD$15,"")</f>
        <v/>
      </c>
      <c r="HE335" s="150" t="str">
        <f aca="false">IF(AND(ISNUMBER(HE30),ISNUMBER(HE$320),HE$320&lt;&gt;0),HE30*HE$320/HE$15,"")</f>
        <v/>
      </c>
      <c r="HF335" s="150" t="str">
        <f aca="false">IF(AND(ISNUMBER(HF30),ISNUMBER(HF$320),HF$320&lt;&gt;0),HF30*HF$320/HF$15,"")</f>
        <v/>
      </c>
      <c r="HG335" s="150" t="str">
        <f aca="false">IF(AND(ISNUMBER(HG30),ISNUMBER(HG$320),HG$320&lt;&gt;0),HG30*HG$320/HG$15,"")</f>
        <v/>
      </c>
      <c r="HH335" s="150" t="str">
        <f aca="false">IF(AND(ISNUMBER(HH30),ISNUMBER(HH$320),HH$320&lt;&gt;0),HH30*HH$320/HH$15,"")</f>
        <v/>
      </c>
      <c r="HI335" s="150" t="str">
        <f aca="false">IF(AND(ISNUMBER(HI30),ISNUMBER(HI$320),HI$320&lt;&gt;0),HI30*HI$320/HI$15,"")</f>
        <v/>
      </c>
      <c r="HJ335" s="150" t="str">
        <f aca="false">IF(AND(ISNUMBER(HJ30),ISNUMBER(HJ$320),HJ$320&lt;&gt;0),HJ30*HJ$320/HJ$15,"")</f>
        <v/>
      </c>
      <c r="HK335" s="150" t="str">
        <f aca="false">IF(AND(ISNUMBER(HK30),ISNUMBER(HK$320),HK$320&lt;&gt;0),HK30*HK$320/HK$15,"")</f>
        <v/>
      </c>
      <c r="HL335" s="150" t="str">
        <f aca="false">IF(AND(ISNUMBER(HL30),ISNUMBER(HL$320),HL$320&lt;&gt;0),HL30*HL$320/HL$15,"")</f>
        <v/>
      </c>
      <c r="HM335" s="150" t="str">
        <f aca="false">IF(AND(ISNUMBER(HM30),ISNUMBER(HM$320),HM$320&lt;&gt;0),HM30*HM$320/HM$15,"")</f>
        <v/>
      </c>
      <c r="HN335" s="150" t="str">
        <f aca="false">IF(AND(ISNUMBER(HN30),ISNUMBER(HN$320),HN$320&lt;&gt;0),HN30*HN$320/HN$15,"")</f>
        <v/>
      </c>
      <c r="HO335" s="150" t="str">
        <f aca="false">IF(AND(ISNUMBER(HO30),ISNUMBER(HO$320),HO$320&lt;&gt;0),HO30*HO$320/HO$15,"")</f>
        <v/>
      </c>
      <c r="HP335" s="150" t="str">
        <f aca="false">IF(AND(ISNUMBER(HP30),ISNUMBER(HP$320),HP$320&lt;&gt;0),HP30*HP$320/HP$15,"")</f>
        <v/>
      </c>
      <c r="HQ335" s="150" t="str">
        <f aca="false">IF(AND(ISNUMBER(HQ30),ISNUMBER(HQ$320),HQ$320&lt;&gt;0),HQ30*HQ$320/HQ$15,"")</f>
        <v/>
      </c>
      <c r="HR335" s="150" t="str">
        <f aca="false">IF(AND(ISNUMBER(HR30),ISNUMBER(HR$320),HR$320&lt;&gt;0),HR30*HR$320/HR$15,"")</f>
        <v/>
      </c>
      <c r="HS335" s="150" t="str">
        <f aca="false">IF(AND(ISNUMBER(HS30),ISNUMBER(HS$320),HS$320&lt;&gt;0),HS30*HS$320/HS$15,"")</f>
        <v/>
      </c>
      <c r="HT335" s="150" t="str">
        <f aca="false">IF(AND(ISNUMBER(HT30),ISNUMBER(HT$320),HT$320&lt;&gt;0),HT30*HT$320/HT$15,"")</f>
        <v/>
      </c>
      <c r="HU335" s="150" t="str">
        <f aca="false">IF(AND(ISNUMBER(HU30),ISNUMBER(HU$320),HU$320&lt;&gt;0),HU30*HU$320/HU$15,"")</f>
        <v/>
      </c>
      <c r="HV335" s="150" t="str">
        <f aca="false">IF(AND(ISNUMBER(HV30),ISNUMBER(HV$320),HV$320&lt;&gt;0),HV30*HV$320/HV$15,"")</f>
        <v/>
      </c>
      <c r="HW335" s="150" t="str">
        <f aca="false">IF(AND(ISNUMBER(HW30),ISNUMBER(HW$320),HW$320&lt;&gt;0),HW30*HW$320/HW$15,"")</f>
        <v/>
      </c>
      <c r="HX335" s="150" t="str">
        <f aca="false">IF(AND(ISNUMBER(HX30),ISNUMBER(HX$320),HX$320&lt;&gt;0),HX30*HX$320/HX$15,"")</f>
        <v/>
      </c>
      <c r="HY335" s="150" t="str">
        <f aca="false">IF(AND(ISNUMBER(HY30),ISNUMBER(HY$320),HY$320&lt;&gt;0),HY30*HY$320/HY$15,"")</f>
        <v/>
      </c>
      <c r="HZ335" s="150" t="str">
        <f aca="false">IF(AND(ISNUMBER(HZ30),ISNUMBER(HZ$320),HZ$320&lt;&gt;0),HZ30*HZ$320/HZ$15,"")</f>
        <v/>
      </c>
      <c r="IA335" s="150" t="str">
        <f aca="false">IF(AND(ISNUMBER(IA30),ISNUMBER(IA$320),IA$320&lt;&gt;0),IA30*IA$320/IA$15,"")</f>
        <v/>
      </c>
      <c r="IB335" s="150" t="str">
        <f aca="false">IF(AND(ISNUMBER(IB30),ISNUMBER(IB$320),IB$320&lt;&gt;0),IB30*IB$320/IB$15,"")</f>
        <v/>
      </c>
      <c r="IC335" s="150" t="str">
        <f aca="false">IF(AND(ISNUMBER(IC30),ISNUMBER(IC$320),IC$320&lt;&gt;0),IC30*IC$320/IC$15,"")</f>
        <v/>
      </c>
      <c r="ID335" s="572" t="str">
        <f aca="false">IF(AND(ISNUMBER(ID30),ISNUMBER(ID$320),ID$320&lt;&gt;0),ID30*ID$320/ID$15,"")</f>
        <v/>
      </c>
      <c r="IE335" s="129"/>
    </row>
    <row r="336" customFormat="false" ht="12.75" hidden="false" customHeight="false" outlineLevel="0" collapsed="false">
      <c r="I336" s="735"/>
      <c r="J336" s="727"/>
      <c r="K336" s="195"/>
      <c r="L336" s="195"/>
      <c r="M336" s="729"/>
      <c r="P336" s="727"/>
      <c r="S336" s="1"/>
      <c r="T336" s="727"/>
      <c r="U336" s="195"/>
      <c r="V336" s="195"/>
      <c r="W336" s="195"/>
      <c r="X336" s="195"/>
      <c r="Y336" s="195"/>
      <c r="Z336" s="195"/>
      <c r="AA336" s="195"/>
      <c r="AB336" s="195"/>
      <c r="AC336" s="195"/>
      <c r="AD336" s="195"/>
      <c r="AE336" s="195"/>
      <c r="AF336" s="195"/>
      <c r="AG336" s="195"/>
      <c r="AH336" s="195"/>
      <c r="AI336" s="195"/>
      <c r="AJ336" s="195"/>
      <c r="AK336" s="195"/>
      <c r="AL336" s="195"/>
      <c r="AM336" s="195"/>
      <c r="AN336" s="532"/>
      <c r="AO336" s="532"/>
      <c r="AP336" s="240"/>
      <c r="AQ336" s="532"/>
      <c r="AR336" s="240"/>
      <c r="AS336" s="240"/>
      <c r="AT336" s="240"/>
      <c r="AU336" s="730"/>
      <c r="AV336" s="730"/>
      <c r="AW336" s="730"/>
      <c r="AX336" s="730"/>
      <c r="AY336" s="468"/>
      <c r="AZ336" s="468"/>
      <c r="BA336" s="240"/>
      <c r="BB336" s="240"/>
      <c r="BC336" s="240"/>
      <c r="BD336" s="240"/>
      <c r="BE336" s="672"/>
      <c r="BF336" s="672"/>
      <c r="BG336" s="672"/>
      <c r="BH336" s="731"/>
      <c r="BI336" s="672"/>
      <c r="BJ336" s="240"/>
      <c r="BK336" s="736"/>
      <c r="BL336" s="737"/>
      <c r="BM336" s="240"/>
      <c r="BN336" s="240"/>
      <c r="BO336" s="240"/>
      <c r="BP336" s="240"/>
      <c r="BQ336" s="240"/>
      <c r="BR336" s="240"/>
      <c r="BS336" s="240"/>
      <c r="BT336" s="240"/>
      <c r="BU336" s="240"/>
      <c r="BV336" s="240"/>
      <c r="BW336" s="240"/>
      <c r="BX336" s="240"/>
      <c r="BY336" s="240"/>
      <c r="BZ336" s="240"/>
      <c r="CA336" s="240"/>
      <c r="CB336" s="672"/>
      <c r="CC336" s="672"/>
      <c r="CD336" s="672"/>
      <c r="CE336" s="672"/>
      <c r="CF336" s="672"/>
      <c r="CG336" s="672"/>
      <c r="CH336" s="240"/>
      <c r="CI336" s="240"/>
      <c r="CJ336" s="240"/>
      <c r="CK336" s="240"/>
      <c r="CL336" s="240"/>
      <c r="CM336" s="240"/>
      <c r="CN336" s="240"/>
      <c r="CO336" s="240"/>
      <c r="CP336" s="240"/>
      <c r="CQ336" s="240"/>
      <c r="CR336" s="240"/>
      <c r="CS336" s="240"/>
      <c r="CT336" s="240"/>
      <c r="CU336" s="240"/>
      <c r="CV336" s="240"/>
      <c r="CW336" s="240"/>
      <c r="CX336" s="240"/>
      <c r="CY336" s="240"/>
      <c r="CZ336" s="240"/>
      <c r="DA336" s="240"/>
      <c r="DB336" s="240"/>
      <c r="DC336" s="240"/>
      <c r="DD336" s="240"/>
      <c r="DE336" s="240"/>
      <c r="DF336" s="240"/>
      <c r="DG336" s="733"/>
      <c r="DH336" s="478"/>
      <c r="DI336" s="195"/>
      <c r="DJ336" s="3"/>
      <c r="DK336" s="478"/>
      <c r="DL336" s="4"/>
      <c r="DM336" s="4"/>
      <c r="DN336" s="4"/>
      <c r="DO336" s="4"/>
      <c r="DP336" s="4"/>
      <c r="DQ336" s="4"/>
      <c r="DS336" s="195"/>
      <c r="DT336" s="195"/>
      <c r="DU336" s="195"/>
      <c r="DV336" s="195"/>
      <c r="DW336" s="195"/>
      <c r="DX336" s="195"/>
      <c r="DY336" s="195"/>
      <c r="DZ336" s="195"/>
      <c r="EA336" s="195"/>
      <c r="EB336" s="195"/>
      <c r="EC336" s="195"/>
      <c r="ED336" s="195"/>
      <c r="EE336" s="195"/>
      <c r="EF336" s="195"/>
      <c r="EG336" s="195"/>
      <c r="EL336" s="1"/>
      <c r="EM336" s="195"/>
      <c r="EN336" s="240"/>
      <c r="EO336" s="240"/>
      <c r="EP336" s="195"/>
      <c r="EQ336" s="240"/>
      <c r="ER336" s="195"/>
      <c r="ES336" s="195"/>
      <c r="ET336" s="195"/>
      <c r="EU336" s="672"/>
      <c r="FJ336" s="571" t="n">
        <v>12</v>
      </c>
      <c r="FK336" s="150" t="str">
        <f aca="false">IF(AND(ISNUMBER(FK31),ISNUMBER(FK$320),FK$320&lt;&gt;0),FK31*FK$320/FK$15,"")</f>
        <v/>
      </c>
      <c r="FL336" s="150" t="str">
        <f aca="false">IF(AND(ISNUMBER(FL31),ISNUMBER(FL$320),FL$320&lt;&gt;0),FL31*FL$320/FL$15,"")</f>
        <v/>
      </c>
      <c r="FM336" s="150" t="n">
        <f aca="false">IF(AND(ISNUMBER(FM31),ISNUMBER(FM$320),FM$320&lt;&gt;0),FM31*FM$320/FM$15,"")</f>
        <v>0.00373921356835952</v>
      </c>
      <c r="FN336" s="150" t="n">
        <f aca="false">IF(AND(ISNUMBER(FN31),ISNUMBER(FN$320),FN$320&lt;&gt;0),FN31*FN$320/FN$15,"")</f>
        <v>0.0033629401598336</v>
      </c>
      <c r="FO336" s="150" t="n">
        <f aca="false">IF(AND(ISNUMBER(FO31),ISNUMBER(FO$320),FO$320&lt;&gt;0),FO31*FO$320/FO$15,"")</f>
        <v>0.00378172684567995</v>
      </c>
      <c r="FP336" s="150" t="n">
        <f aca="false">IF(AND(ISNUMBER(FP31),ISNUMBER(FP$320),FP$320&lt;&gt;0),FP31*FP$320/FP$15,"")</f>
        <v>0.00229684950686094</v>
      </c>
      <c r="FQ336" s="150" t="str">
        <f aca="false">IF(AND(ISNUMBER(FQ31),ISNUMBER(FQ$320),FQ$320&lt;&gt;0),FQ31*FQ$320/FQ$15,"")</f>
        <v/>
      </c>
      <c r="FR336" s="150" t="str">
        <f aca="false">IF(AND(ISNUMBER(FR31),ISNUMBER(FR$320),FR$320&lt;&gt;0),FR31*FR$320/FR$15,"")</f>
        <v/>
      </c>
      <c r="FS336" s="150" t="str">
        <f aca="false">IF(AND(ISNUMBER(FS31),ISNUMBER(FS$320),FS$320&lt;&gt;0),FS31*FS$320/FS$15,"")</f>
        <v/>
      </c>
      <c r="FT336" s="150" t="str">
        <f aca="false">IF(AND(ISNUMBER(FT31),ISNUMBER(FT$320),FT$320&lt;&gt;0),FT31*FT$320/FT$15,"")</f>
        <v/>
      </c>
      <c r="FU336" s="150" t="str">
        <f aca="false">IF(AND(ISNUMBER(FU31),ISNUMBER(FU$320),FU$320&lt;&gt;0),FU31*FU$320/FU$15,"")</f>
        <v/>
      </c>
      <c r="FV336" s="150" t="str">
        <f aca="false">IF(AND(ISNUMBER(FV31),ISNUMBER(FV$320),FV$320&lt;&gt;0),FV31*FV$320/FV$15,"")</f>
        <v/>
      </c>
      <c r="FW336" s="150" t="str">
        <f aca="false">IF(AND(ISNUMBER(FW31),ISNUMBER(FW$320),FW$320&lt;&gt;0),FW31*FW$320/FW$15,"")</f>
        <v/>
      </c>
      <c r="FX336" s="150" t="str">
        <f aca="false">IF(AND(ISNUMBER(FX31),ISNUMBER(FX$320),FX$320&lt;&gt;0),FX31*FX$320/FX$15,"")</f>
        <v/>
      </c>
      <c r="FY336" s="150" t="str">
        <f aca="false">IF(AND(ISNUMBER(FY31),ISNUMBER(FY$320),FY$320&lt;&gt;0),FY31*FY$320/FY$15,"")</f>
        <v/>
      </c>
      <c r="FZ336" s="150" t="str">
        <f aca="false">IF(AND(ISNUMBER(FZ31),ISNUMBER(FZ$320),FZ$320&lt;&gt;0),FZ31*FZ$320/FZ$15,"")</f>
        <v/>
      </c>
      <c r="GA336" s="150" t="str">
        <f aca="false">IF(AND(ISNUMBER(GA31),ISNUMBER(GA$320),GA$320&lt;&gt;0),GA31*GA$320/GA$15,"")</f>
        <v/>
      </c>
      <c r="GB336" s="150" t="str">
        <f aca="false">IF(AND(ISNUMBER(GB31),ISNUMBER(GB$320),GB$320&lt;&gt;0),GB31*GB$320/GB$15,"")</f>
        <v/>
      </c>
      <c r="GC336" s="150" t="str">
        <f aca="false">IF(AND(ISNUMBER(GC31),ISNUMBER(GC$320),GC$320&lt;&gt;0),GC31*GC$320/GC$15,"")</f>
        <v/>
      </c>
      <c r="GD336" s="150" t="str">
        <f aca="false">IF(AND(ISNUMBER(GD31),ISNUMBER(GD$320),GD$320&lt;&gt;0),GD31*GD$320/GD$15,"")</f>
        <v/>
      </c>
      <c r="GE336" s="150" t="str">
        <f aca="false">IF(AND(ISNUMBER(GE31),ISNUMBER(GE$320),GE$320&lt;&gt;0),GE31*GE$320/GE$15,"")</f>
        <v/>
      </c>
      <c r="GF336" s="150" t="str">
        <f aca="false">IF(AND(ISNUMBER(GF31),ISNUMBER(GF$320),GF$320&lt;&gt;0),GF31*GF$320/GF$15,"")</f>
        <v/>
      </c>
      <c r="GG336" s="150" t="str">
        <f aca="false">IF(AND(ISNUMBER(GG31),ISNUMBER(GG$320),GG$320&lt;&gt;0),GG31*GG$320/GG$15,"")</f>
        <v/>
      </c>
      <c r="GH336" s="150" t="str">
        <f aca="false">IF(AND(ISNUMBER(GH31),ISNUMBER(GH$320),GH$320&lt;&gt;0),GH31*GH$320/GH$15,"")</f>
        <v/>
      </c>
      <c r="GI336" s="150" t="str">
        <f aca="false">IF(AND(ISNUMBER(GI31),ISNUMBER(GI$320),GI$320&lt;&gt;0),GI31*GI$320/GI$15,"")</f>
        <v/>
      </c>
      <c r="GJ336" s="150" t="str">
        <f aca="false">IF(AND(ISNUMBER(GJ31),ISNUMBER(GJ$320),GJ$320&lt;&gt;0),GJ31*GJ$320/GJ$15,"")</f>
        <v/>
      </c>
      <c r="GK336" s="150" t="str">
        <f aca="false">IF(AND(ISNUMBER(GK31),ISNUMBER(GK$320),GK$320&lt;&gt;0),GK31*GK$320/GK$15,"")</f>
        <v/>
      </c>
      <c r="GL336" s="150" t="str">
        <f aca="false">IF(AND(ISNUMBER(GL31),ISNUMBER(GL$320),GL$320&lt;&gt;0),GL31*GL$320/GL$15,"")</f>
        <v/>
      </c>
      <c r="GM336" s="150" t="str">
        <f aca="false">IF(AND(ISNUMBER(GM31),ISNUMBER(GM$320),GM$320&lt;&gt;0),GM31*GM$320/GM$15,"")</f>
        <v/>
      </c>
      <c r="GN336" s="150" t="str">
        <f aca="false">IF(AND(ISNUMBER(GN31),ISNUMBER(GN$320),GN$320&lt;&gt;0),GN31*GN$320/GN$15,"")</f>
        <v/>
      </c>
      <c r="GO336" s="150" t="str">
        <f aca="false">IF(AND(ISNUMBER(GO31),ISNUMBER(GO$320),GO$320&lt;&gt;0),GO31*GO$320/GO$15,"")</f>
        <v/>
      </c>
      <c r="GP336" s="150" t="str">
        <f aca="false">IF(AND(ISNUMBER(GP31),ISNUMBER(GP$320),GP$320&lt;&gt;0),GP31*GP$320/GP$15,"")</f>
        <v/>
      </c>
      <c r="GQ336" s="150" t="str">
        <f aca="false">IF(AND(ISNUMBER(GQ31),ISNUMBER(GQ$320),GQ$320&lt;&gt;0),GQ31*GQ$320/GQ$15,"")</f>
        <v/>
      </c>
      <c r="GR336" s="150" t="str">
        <f aca="false">IF(AND(ISNUMBER(GR31),ISNUMBER(GR$320),GR$320&lt;&gt;0),GR31*GR$320/GR$15,"")</f>
        <v/>
      </c>
      <c r="GS336" s="150" t="str">
        <f aca="false">IF(AND(ISNUMBER(GS31),ISNUMBER(GS$320),GS$320&lt;&gt;0),GS31*GS$320/GS$15,"")</f>
        <v/>
      </c>
      <c r="GT336" s="150" t="str">
        <f aca="false">IF(AND(ISNUMBER(GT31),ISNUMBER(GT$320),GT$320&lt;&gt;0),GT31*GT$320/GT$15,"")</f>
        <v/>
      </c>
      <c r="GU336" s="150" t="str">
        <f aca="false">IF(AND(ISNUMBER(GU31),ISNUMBER(GU$320),GU$320&lt;&gt;0),GU31*GU$320/GU$15,"")</f>
        <v/>
      </c>
      <c r="GV336" s="150" t="str">
        <f aca="false">IF(AND(ISNUMBER(GV31),ISNUMBER(GV$320),GV$320&lt;&gt;0),GV31*GV$320/GV$15,"")</f>
        <v/>
      </c>
      <c r="GW336" s="150" t="str">
        <f aca="false">IF(AND(ISNUMBER(GW31),ISNUMBER(GW$320),GW$320&lt;&gt;0),GW31*GW$320/GW$15,"")</f>
        <v/>
      </c>
      <c r="GX336" s="150" t="str">
        <f aca="false">IF(AND(ISNUMBER(GX31),ISNUMBER(GX$320),GX$320&lt;&gt;0),GX31*GX$320/GX$15,"")</f>
        <v/>
      </c>
      <c r="GY336" s="150" t="str">
        <f aca="false">IF(AND(ISNUMBER(GY31),ISNUMBER(GY$320),GY$320&lt;&gt;0),GY31*GY$320/GY$15,"")</f>
        <v/>
      </c>
      <c r="GZ336" s="150" t="str">
        <f aca="false">IF(AND(ISNUMBER(GZ31),ISNUMBER(GZ$320),GZ$320&lt;&gt;0),GZ31*GZ$320/GZ$15,"")</f>
        <v/>
      </c>
      <c r="HA336" s="150" t="str">
        <f aca="false">IF(AND(ISNUMBER(HA31),ISNUMBER(HA$320),HA$320&lt;&gt;0),HA31*HA$320/HA$15,"")</f>
        <v/>
      </c>
      <c r="HB336" s="150" t="str">
        <f aca="false">IF(AND(ISNUMBER(HB31),ISNUMBER(HB$320),HB$320&lt;&gt;0),HB31*HB$320/HB$15,"")</f>
        <v/>
      </c>
      <c r="HC336" s="150" t="str">
        <f aca="false">IF(AND(ISNUMBER(HC31),ISNUMBER(HC$320),HC$320&lt;&gt;0),HC31*HC$320/HC$15,"")</f>
        <v/>
      </c>
      <c r="HD336" s="150" t="str">
        <f aca="false">IF(AND(ISNUMBER(HD31),ISNUMBER(HD$320),HD$320&lt;&gt;0),HD31*HD$320/HD$15,"")</f>
        <v/>
      </c>
      <c r="HE336" s="150" t="str">
        <f aca="false">IF(AND(ISNUMBER(HE31),ISNUMBER(HE$320),HE$320&lt;&gt;0),HE31*HE$320/HE$15,"")</f>
        <v/>
      </c>
      <c r="HF336" s="150" t="str">
        <f aca="false">IF(AND(ISNUMBER(HF31),ISNUMBER(HF$320),HF$320&lt;&gt;0),HF31*HF$320/HF$15,"")</f>
        <v/>
      </c>
      <c r="HG336" s="150" t="str">
        <f aca="false">IF(AND(ISNUMBER(HG31),ISNUMBER(HG$320),HG$320&lt;&gt;0),HG31*HG$320/HG$15,"")</f>
        <v/>
      </c>
      <c r="HH336" s="150" t="str">
        <f aca="false">IF(AND(ISNUMBER(HH31),ISNUMBER(HH$320),HH$320&lt;&gt;0),HH31*HH$320/HH$15,"")</f>
        <v/>
      </c>
      <c r="HI336" s="150" t="str">
        <f aca="false">IF(AND(ISNUMBER(HI31),ISNUMBER(HI$320),HI$320&lt;&gt;0),HI31*HI$320/HI$15,"")</f>
        <v/>
      </c>
      <c r="HJ336" s="150" t="str">
        <f aca="false">IF(AND(ISNUMBER(HJ31),ISNUMBER(HJ$320),HJ$320&lt;&gt;0),HJ31*HJ$320/HJ$15,"")</f>
        <v/>
      </c>
      <c r="HK336" s="150" t="str">
        <f aca="false">IF(AND(ISNUMBER(HK31),ISNUMBER(HK$320),HK$320&lt;&gt;0),HK31*HK$320/HK$15,"")</f>
        <v/>
      </c>
      <c r="HL336" s="150" t="str">
        <f aca="false">IF(AND(ISNUMBER(HL31),ISNUMBER(HL$320),HL$320&lt;&gt;0),HL31*HL$320/HL$15,"")</f>
        <v/>
      </c>
      <c r="HM336" s="150" t="str">
        <f aca="false">IF(AND(ISNUMBER(HM31),ISNUMBER(HM$320),HM$320&lt;&gt;0),HM31*HM$320/HM$15,"")</f>
        <v/>
      </c>
      <c r="HN336" s="150" t="str">
        <f aca="false">IF(AND(ISNUMBER(HN31),ISNUMBER(HN$320),HN$320&lt;&gt;0),HN31*HN$320/HN$15,"")</f>
        <v/>
      </c>
      <c r="HO336" s="150" t="str">
        <f aca="false">IF(AND(ISNUMBER(HO31),ISNUMBER(HO$320),HO$320&lt;&gt;0),HO31*HO$320/HO$15,"")</f>
        <v/>
      </c>
      <c r="HP336" s="150" t="str">
        <f aca="false">IF(AND(ISNUMBER(HP31),ISNUMBER(HP$320),HP$320&lt;&gt;0),HP31*HP$320/HP$15,"")</f>
        <v/>
      </c>
      <c r="HQ336" s="150" t="str">
        <f aca="false">IF(AND(ISNUMBER(HQ31),ISNUMBER(HQ$320),HQ$320&lt;&gt;0),HQ31*HQ$320/HQ$15,"")</f>
        <v/>
      </c>
      <c r="HR336" s="150" t="str">
        <f aca="false">IF(AND(ISNUMBER(HR31),ISNUMBER(HR$320),HR$320&lt;&gt;0),HR31*HR$320/HR$15,"")</f>
        <v/>
      </c>
      <c r="HS336" s="150" t="str">
        <f aca="false">IF(AND(ISNUMBER(HS31),ISNUMBER(HS$320),HS$320&lt;&gt;0),HS31*HS$320/HS$15,"")</f>
        <v/>
      </c>
      <c r="HT336" s="150" t="str">
        <f aca="false">IF(AND(ISNUMBER(HT31),ISNUMBER(HT$320),HT$320&lt;&gt;0),HT31*HT$320/HT$15,"")</f>
        <v/>
      </c>
      <c r="HU336" s="150" t="str">
        <f aca="false">IF(AND(ISNUMBER(HU31),ISNUMBER(HU$320),HU$320&lt;&gt;0),HU31*HU$320/HU$15,"")</f>
        <v/>
      </c>
      <c r="HV336" s="150" t="str">
        <f aca="false">IF(AND(ISNUMBER(HV31),ISNUMBER(HV$320),HV$320&lt;&gt;0),HV31*HV$320/HV$15,"")</f>
        <v/>
      </c>
      <c r="HW336" s="150" t="str">
        <f aca="false">IF(AND(ISNUMBER(HW31),ISNUMBER(HW$320),HW$320&lt;&gt;0),HW31*HW$320/HW$15,"")</f>
        <v/>
      </c>
      <c r="HX336" s="150" t="str">
        <f aca="false">IF(AND(ISNUMBER(HX31),ISNUMBER(HX$320),HX$320&lt;&gt;0),HX31*HX$320/HX$15,"")</f>
        <v/>
      </c>
      <c r="HY336" s="150" t="str">
        <f aca="false">IF(AND(ISNUMBER(HY31),ISNUMBER(HY$320),HY$320&lt;&gt;0),HY31*HY$320/HY$15,"")</f>
        <v/>
      </c>
      <c r="HZ336" s="150" t="str">
        <f aca="false">IF(AND(ISNUMBER(HZ31),ISNUMBER(HZ$320),HZ$320&lt;&gt;0),HZ31*HZ$320/HZ$15,"")</f>
        <v/>
      </c>
      <c r="IA336" s="150" t="str">
        <f aca="false">IF(AND(ISNUMBER(IA31),ISNUMBER(IA$320),IA$320&lt;&gt;0),IA31*IA$320/IA$15,"")</f>
        <v/>
      </c>
      <c r="IB336" s="150" t="str">
        <f aca="false">IF(AND(ISNUMBER(IB31),ISNUMBER(IB$320),IB$320&lt;&gt;0),IB31*IB$320/IB$15,"")</f>
        <v/>
      </c>
      <c r="IC336" s="150" t="str">
        <f aca="false">IF(AND(ISNUMBER(IC31),ISNUMBER(IC$320),IC$320&lt;&gt;0),IC31*IC$320/IC$15,"")</f>
        <v/>
      </c>
      <c r="ID336" s="572" t="str">
        <f aca="false">IF(AND(ISNUMBER(ID31),ISNUMBER(ID$320),ID$320&lt;&gt;0),ID31*ID$320/ID$15,"")</f>
        <v/>
      </c>
      <c r="IE336" s="129"/>
    </row>
    <row r="337" customFormat="false" ht="12.75" hidden="false" customHeight="false" outlineLevel="0" collapsed="false">
      <c r="I337" s="735"/>
      <c r="J337" s="727"/>
      <c r="K337" s="195"/>
      <c r="L337" s="195"/>
      <c r="M337" s="729"/>
      <c r="P337" s="727"/>
      <c r="S337" s="1"/>
      <c r="T337" s="727"/>
      <c r="U337" s="195"/>
      <c r="V337" s="195"/>
      <c r="W337" s="195"/>
      <c r="X337" s="195"/>
      <c r="Y337" s="195"/>
      <c r="Z337" s="195"/>
      <c r="AA337" s="195"/>
      <c r="AB337" s="195"/>
      <c r="AC337" s="195"/>
      <c r="AD337" s="195"/>
      <c r="AE337" s="195"/>
      <c r="AF337" s="195"/>
      <c r="AG337" s="195"/>
      <c r="AH337" s="195"/>
      <c r="AI337" s="195"/>
      <c r="AJ337" s="195"/>
      <c r="AK337" s="195"/>
      <c r="AL337" s="195"/>
      <c r="AM337" s="195"/>
      <c r="AN337" s="532"/>
      <c r="AO337" s="532"/>
      <c r="AP337" s="240"/>
      <c r="AQ337" s="532"/>
      <c r="AR337" s="240"/>
      <c r="AS337" s="240"/>
      <c r="AT337" s="240"/>
      <c r="AU337" s="730"/>
      <c r="AV337" s="730"/>
      <c r="AW337" s="730"/>
      <c r="AX337" s="730"/>
      <c r="AY337" s="468"/>
      <c r="AZ337" s="468"/>
      <c r="BA337" s="240"/>
      <c r="BB337" s="240"/>
      <c r="BC337" s="240"/>
      <c r="BD337" s="240"/>
      <c r="BE337" s="672"/>
      <c r="BF337" s="672"/>
      <c r="BG337" s="672"/>
      <c r="BH337" s="731"/>
      <c r="BI337" s="672"/>
      <c r="BJ337" s="240"/>
      <c r="BK337" s="736"/>
      <c r="BL337" s="737"/>
      <c r="BM337" s="240"/>
      <c r="BN337" s="240"/>
      <c r="BO337" s="240"/>
      <c r="BP337" s="240"/>
      <c r="BQ337" s="240"/>
      <c r="BR337" s="240"/>
      <c r="BS337" s="240"/>
      <c r="BT337" s="240"/>
      <c r="BU337" s="240"/>
      <c r="BV337" s="240"/>
      <c r="BW337" s="240"/>
      <c r="BX337" s="240"/>
      <c r="BY337" s="240"/>
      <c r="BZ337" s="240"/>
      <c r="CA337" s="240"/>
      <c r="CB337" s="672"/>
      <c r="CC337" s="672"/>
      <c r="CD337" s="672"/>
      <c r="CE337" s="672"/>
      <c r="CF337" s="672"/>
      <c r="CG337" s="672"/>
      <c r="CH337" s="240"/>
      <c r="CI337" s="240"/>
      <c r="CJ337" s="240"/>
      <c r="CK337" s="240"/>
      <c r="CL337" s="240"/>
      <c r="CM337" s="240"/>
      <c r="CN337" s="240"/>
      <c r="CO337" s="240"/>
      <c r="CP337" s="240"/>
      <c r="CQ337" s="240"/>
      <c r="CR337" s="240"/>
      <c r="CS337" s="240"/>
      <c r="CT337" s="240"/>
      <c r="CU337" s="240"/>
      <c r="CV337" s="240"/>
      <c r="CW337" s="240"/>
      <c r="CX337" s="240"/>
      <c r="CY337" s="240"/>
      <c r="CZ337" s="240"/>
      <c r="DA337" s="240"/>
      <c r="DB337" s="240"/>
      <c r="DC337" s="240"/>
      <c r="DD337" s="240"/>
      <c r="DE337" s="240"/>
      <c r="DF337" s="240"/>
      <c r="DG337" s="733"/>
      <c r="DH337" s="478"/>
      <c r="DI337" s="195"/>
      <c r="DJ337" s="3"/>
      <c r="DK337" s="478"/>
      <c r="DL337" s="4"/>
      <c r="DM337" s="4"/>
      <c r="DN337" s="4"/>
      <c r="DO337" s="4"/>
      <c r="DP337" s="4"/>
      <c r="DQ337" s="4"/>
      <c r="DS337" s="195"/>
      <c r="DT337" s="195"/>
      <c r="DU337" s="195"/>
      <c r="DV337" s="195"/>
      <c r="DW337" s="195"/>
      <c r="DX337" s="195"/>
      <c r="DY337" s="195"/>
      <c r="DZ337" s="195"/>
      <c r="EA337" s="195"/>
      <c r="EB337" s="195"/>
      <c r="EC337" s="195"/>
      <c r="ED337" s="195"/>
      <c r="EE337" s="195"/>
      <c r="EF337" s="195"/>
      <c r="EG337" s="195"/>
      <c r="EL337" s="1"/>
      <c r="EM337" s="195"/>
      <c r="EN337" s="240"/>
      <c r="EO337" s="240"/>
      <c r="EP337" s="195"/>
      <c r="EQ337" s="240"/>
      <c r="ER337" s="195"/>
      <c r="ES337" s="195"/>
      <c r="ET337" s="195"/>
      <c r="EU337" s="672"/>
      <c r="FJ337" s="571" t="n">
        <v>13</v>
      </c>
      <c r="FK337" s="150" t="str">
        <f aca="false">IF(AND(ISNUMBER(FK32),ISNUMBER(FK$320),FK$320&lt;&gt;0),FK32*FK$320/FK$15,"")</f>
        <v/>
      </c>
      <c r="FL337" s="150" t="str">
        <f aca="false">IF(AND(ISNUMBER(FL32),ISNUMBER(FL$320),FL$320&lt;&gt;0),FL32*FL$320/FL$15,"")</f>
        <v/>
      </c>
      <c r="FM337" s="150" t="n">
        <f aca="false">IF(AND(ISNUMBER(FM32),ISNUMBER(FM$320),FM$320&lt;&gt;0),FM32*FM$320/FM$15,"")</f>
        <v>0.00353410085681829</v>
      </c>
      <c r="FN337" s="150" t="n">
        <f aca="false">IF(AND(ISNUMBER(FN32),ISNUMBER(FN$320),FN$320&lt;&gt;0),FN32*FN$320/FN$15,"")</f>
        <v>0.00314718294374639</v>
      </c>
      <c r="FO337" s="150" t="n">
        <f aca="false">IF(AND(ISNUMBER(FO32),ISNUMBER(FO$320),FO$320&lt;&gt;0),FO32*FO$320/FO$15,"")</f>
        <v>0.00349795439419179</v>
      </c>
      <c r="FP337" s="150" t="n">
        <f aca="false">IF(AND(ISNUMBER(FP32),ISNUMBER(FP$320),FP$320&lt;&gt;0),FP32*FP$320/FP$15,"")</f>
        <v>0.0020952699429827</v>
      </c>
      <c r="FQ337" s="150" t="str">
        <f aca="false">IF(AND(ISNUMBER(FQ32),ISNUMBER(FQ$320),FQ$320&lt;&gt;0),FQ32*FQ$320/FQ$15,"")</f>
        <v/>
      </c>
      <c r="FR337" s="150" t="str">
        <f aca="false">IF(AND(ISNUMBER(FR32),ISNUMBER(FR$320),FR$320&lt;&gt;0),FR32*FR$320/FR$15,"")</f>
        <v/>
      </c>
      <c r="FS337" s="150" t="str">
        <f aca="false">IF(AND(ISNUMBER(FS32),ISNUMBER(FS$320),FS$320&lt;&gt;0),FS32*FS$320/FS$15,"")</f>
        <v/>
      </c>
      <c r="FT337" s="150" t="str">
        <f aca="false">IF(AND(ISNUMBER(FT32),ISNUMBER(FT$320),FT$320&lt;&gt;0),FT32*FT$320/FT$15,"")</f>
        <v/>
      </c>
      <c r="FU337" s="150" t="str">
        <f aca="false">IF(AND(ISNUMBER(FU32),ISNUMBER(FU$320),FU$320&lt;&gt;0),FU32*FU$320/FU$15,"")</f>
        <v/>
      </c>
      <c r="FV337" s="150" t="str">
        <f aca="false">IF(AND(ISNUMBER(FV32),ISNUMBER(FV$320),FV$320&lt;&gt;0),FV32*FV$320/FV$15,"")</f>
        <v/>
      </c>
      <c r="FW337" s="150" t="str">
        <f aca="false">IF(AND(ISNUMBER(FW32),ISNUMBER(FW$320),FW$320&lt;&gt;0),FW32*FW$320/FW$15,"")</f>
        <v/>
      </c>
      <c r="FX337" s="150" t="str">
        <f aca="false">IF(AND(ISNUMBER(FX32),ISNUMBER(FX$320),FX$320&lt;&gt;0),FX32*FX$320/FX$15,"")</f>
        <v/>
      </c>
      <c r="FY337" s="150" t="str">
        <f aca="false">IF(AND(ISNUMBER(FY32),ISNUMBER(FY$320),FY$320&lt;&gt;0),FY32*FY$320/FY$15,"")</f>
        <v/>
      </c>
      <c r="FZ337" s="150" t="str">
        <f aca="false">IF(AND(ISNUMBER(FZ32),ISNUMBER(FZ$320),FZ$320&lt;&gt;0),FZ32*FZ$320/FZ$15,"")</f>
        <v/>
      </c>
      <c r="GA337" s="150" t="str">
        <f aca="false">IF(AND(ISNUMBER(GA32),ISNUMBER(GA$320),GA$320&lt;&gt;0),GA32*GA$320/GA$15,"")</f>
        <v/>
      </c>
      <c r="GB337" s="150" t="str">
        <f aca="false">IF(AND(ISNUMBER(GB32),ISNUMBER(GB$320),GB$320&lt;&gt;0),GB32*GB$320/GB$15,"")</f>
        <v/>
      </c>
      <c r="GC337" s="150" t="str">
        <f aca="false">IF(AND(ISNUMBER(GC32),ISNUMBER(GC$320),GC$320&lt;&gt;0),GC32*GC$320/GC$15,"")</f>
        <v/>
      </c>
      <c r="GD337" s="150" t="str">
        <f aca="false">IF(AND(ISNUMBER(GD32),ISNUMBER(GD$320),GD$320&lt;&gt;0),GD32*GD$320/GD$15,"")</f>
        <v/>
      </c>
      <c r="GE337" s="150" t="str">
        <f aca="false">IF(AND(ISNUMBER(GE32),ISNUMBER(GE$320),GE$320&lt;&gt;0),GE32*GE$320/GE$15,"")</f>
        <v/>
      </c>
      <c r="GF337" s="150" t="str">
        <f aca="false">IF(AND(ISNUMBER(GF32),ISNUMBER(GF$320),GF$320&lt;&gt;0),GF32*GF$320/GF$15,"")</f>
        <v/>
      </c>
      <c r="GG337" s="150" t="str">
        <f aca="false">IF(AND(ISNUMBER(GG32),ISNUMBER(GG$320),GG$320&lt;&gt;0),GG32*GG$320/GG$15,"")</f>
        <v/>
      </c>
      <c r="GH337" s="150" t="str">
        <f aca="false">IF(AND(ISNUMBER(GH32),ISNUMBER(GH$320),GH$320&lt;&gt;0),GH32*GH$320/GH$15,"")</f>
        <v/>
      </c>
      <c r="GI337" s="150" t="str">
        <f aca="false">IF(AND(ISNUMBER(GI32),ISNUMBER(GI$320),GI$320&lt;&gt;0),GI32*GI$320/GI$15,"")</f>
        <v/>
      </c>
      <c r="GJ337" s="150" t="str">
        <f aca="false">IF(AND(ISNUMBER(GJ32),ISNUMBER(GJ$320),GJ$320&lt;&gt;0),GJ32*GJ$320/GJ$15,"")</f>
        <v/>
      </c>
      <c r="GK337" s="150" t="str">
        <f aca="false">IF(AND(ISNUMBER(GK32),ISNUMBER(GK$320),GK$320&lt;&gt;0),GK32*GK$320/GK$15,"")</f>
        <v/>
      </c>
      <c r="GL337" s="150" t="str">
        <f aca="false">IF(AND(ISNUMBER(GL32),ISNUMBER(GL$320),GL$320&lt;&gt;0),GL32*GL$320/GL$15,"")</f>
        <v/>
      </c>
      <c r="GM337" s="150" t="str">
        <f aca="false">IF(AND(ISNUMBER(GM32),ISNUMBER(GM$320),GM$320&lt;&gt;0),GM32*GM$320/GM$15,"")</f>
        <v/>
      </c>
      <c r="GN337" s="150" t="str">
        <f aca="false">IF(AND(ISNUMBER(GN32),ISNUMBER(GN$320),GN$320&lt;&gt;0),GN32*GN$320/GN$15,"")</f>
        <v/>
      </c>
      <c r="GO337" s="150" t="str">
        <f aca="false">IF(AND(ISNUMBER(GO32),ISNUMBER(GO$320),GO$320&lt;&gt;0),GO32*GO$320/GO$15,"")</f>
        <v/>
      </c>
      <c r="GP337" s="150" t="str">
        <f aca="false">IF(AND(ISNUMBER(GP32),ISNUMBER(GP$320),GP$320&lt;&gt;0),GP32*GP$320/GP$15,"")</f>
        <v/>
      </c>
      <c r="GQ337" s="150" t="str">
        <f aca="false">IF(AND(ISNUMBER(GQ32),ISNUMBER(GQ$320),GQ$320&lt;&gt;0),GQ32*GQ$320/GQ$15,"")</f>
        <v/>
      </c>
      <c r="GR337" s="150" t="str">
        <f aca="false">IF(AND(ISNUMBER(GR32),ISNUMBER(GR$320),GR$320&lt;&gt;0),GR32*GR$320/GR$15,"")</f>
        <v/>
      </c>
      <c r="GS337" s="150" t="str">
        <f aca="false">IF(AND(ISNUMBER(GS32),ISNUMBER(GS$320),GS$320&lt;&gt;0),GS32*GS$320/GS$15,"")</f>
        <v/>
      </c>
      <c r="GT337" s="150" t="str">
        <f aca="false">IF(AND(ISNUMBER(GT32),ISNUMBER(GT$320),GT$320&lt;&gt;0),GT32*GT$320/GT$15,"")</f>
        <v/>
      </c>
      <c r="GU337" s="150" t="str">
        <f aca="false">IF(AND(ISNUMBER(GU32),ISNUMBER(GU$320),GU$320&lt;&gt;0),GU32*GU$320/GU$15,"")</f>
        <v/>
      </c>
      <c r="GV337" s="150" t="str">
        <f aca="false">IF(AND(ISNUMBER(GV32),ISNUMBER(GV$320),GV$320&lt;&gt;0),GV32*GV$320/GV$15,"")</f>
        <v/>
      </c>
      <c r="GW337" s="150" t="str">
        <f aca="false">IF(AND(ISNUMBER(GW32),ISNUMBER(GW$320),GW$320&lt;&gt;0),GW32*GW$320/GW$15,"")</f>
        <v/>
      </c>
      <c r="GX337" s="150" t="str">
        <f aca="false">IF(AND(ISNUMBER(GX32),ISNUMBER(GX$320),GX$320&lt;&gt;0),GX32*GX$320/GX$15,"")</f>
        <v/>
      </c>
      <c r="GY337" s="150" t="str">
        <f aca="false">IF(AND(ISNUMBER(GY32),ISNUMBER(GY$320),GY$320&lt;&gt;0),GY32*GY$320/GY$15,"")</f>
        <v/>
      </c>
      <c r="GZ337" s="150" t="str">
        <f aca="false">IF(AND(ISNUMBER(GZ32),ISNUMBER(GZ$320),GZ$320&lt;&gt;0),GZ32*GZ$320/GZ$15,"")</f>
        <v/>
      </c>
      <c r="HA337" s="150" t="str">
        <f aca="false">IF(AND(ISNUMBER(HA32),ISNUMBER(HA$320),HA$320&lt;&gt;0),HA32*HA$320/HA$15,"")</f>
        <v/>
      </c>
      <c r="HB337" s="150" t="str">
        <f aca="false">IF(AND(ISNUMBER(HB32),ISNUMBER(HB$320),HB$320&lt;&gt;0),HB32*HB$320/HB$15,"")</f>
        <v/>
      </c>
      <c r="HC337" s="150" t="str">
        <f aca="false">IF(AND(ISNUMBER(HC32),ISNUMBER(HC$320),HC$320&lt;&gt;0),HC32*HC$320/HC$15,"")</f>
        <v/>
      </c>
      <c r="HD337" s="150" t="str">
        <f aca="false">IF(AND(ISNUMBER(HD32),ISNUMBER(HD$320),HD$320&lt;&gt;0),HD32*HD$320/HD$15,"")</f>
        <v/>
      </c>
      <c r="HE337" s="150" t="str">
        <f aca="false">IF(AND(ISNUMBER(HE32),ISNUMBER(HE$320),HE$320&lt;&gt;0),HE32*HE$320/HE$15,"")</f>
        <v/>
      </c>
      <c r="HF337" s="150" t="str">
        <f aca="false">IF(AND(ISNUMBER(HF32),ISNUMBER(HF$320),HF$320&lt;&gt;0),HF32*HF$320/HF$15,"")</f>
        <v/>
      </c>
      <c r="HG337" s="150" t="str">
        <f aca="false">IF(AND(ISNUMBER(HG32),ISNUMBER(HG$320),HG$320&lt;&gt;0),HG32*HG$320/HG$15,"")</f>
        <v/>
      </c>
      <c r="HH337" s="150" t="str">
        <f aca="false">IF(AND(ISNUMBER(HH32),ISNUMBER(HH$320),HH$320&lt;&gt;0),HH32*HH$320/HH$15,"")</f>
        <v/>
      </c>
      <c r="HI337" s="150" t="str">
        <f aca="false">IF(AND(ISNUMBER(HI32),ISNUMBER(HI$320),HI$320&lt;&gt;0),HI32*HI$320/HI$15,"")</f>
        <v/>
      </c>
      <c r="HJ337" s="150" t="str">
        <f aca="false">IF(AND(ISNUMBER(HJ32),ISNUMBER(HJ$320),HJ$320&lt;&gt;0),HJ32*HJ$320/HJ$15,"")</f>
        <v/>
      </c>
      <c r="HK337" s="150" t="str">
        <f aca="false">IF(AND(ISNUMBER(HK32),ISNUMBER(HK$320),HK$320&lt;&gt;0),HK32*HK$320/HK$15,"")</f>
        <v/>
      </c>
      <c r="HL337" s="150" t="str">
        <f aca="false">IF(AND(ISNUMBER(HL32),ISNUMBER(HL$320),HL$320&lt;&gt;0),HL32*HL$320/HL$15,"")</f>
        <v/>
      </c>
      <c r="HM337" s="150" t="str">
        <f aca="false">IF(AND(ISNUMBER(HM32),ISNUMBER(HM$320),HM$320&lt;&gt;0),HM32*HM$320/HM$15,"")</f>
        <v/>
      </c>
      <c r="HN337" s="150" t="str">
        <f aca="false">IF(AND(ISNUMBER(HN32),ISNUMBER(HN$320),HN$320&lt;&gt;0),HN32*HN$320/HN$15,"")</f>
        <v/>
      </c>
      <c r="HO337" s="150" t="str">
        <f aca="false">IF(AND(ISNUMBER(HO32),ISNUMBER(HO$320),HO$320&lt;&gt;0),HO32*HO$320/HO$15,"")</f>
        <v/>
      </c>
      <c r="HP337" s="150" t="str">
        <f aca="false">IF(AND(ISNUMBER(HP32),ISNUMBER(HP$320),HP$320&lt;&gt;0),HP32*HP$320/HP$15,"")</f>
        <v/>
      </c>
      <c r="HQ337" s="150" t="str">
        <f aca="false">IF(AND(ISNUMBER(HQ32),ISNUMBER(HQ$320),HQ$320&lt;&gt;0),HQ32*HQ$320/HQ$15,"")</f>
        <v/>
      </c>
      <c r="HR337" s="150" t="str">
        <f aca="false">IF(AND(ISNUMBER(HR32),ISNUMBER(HR$320),HR$320&lt;&gt;0),HR32*HR$320/HR$15,"")</f>
        <v/>
      </c>
      <c r="HS337" s="150" t="str">
        <f aca="false">IF(AND(ISNUMBER(HS32),ISNUMBER(HS$320),HS$320&lt;&gt;0),HS32*HS$320/HS$15,"")</f>
        <v/>
      </c>
      <c r="HT337" s="150" t="str">
        <f aca="false">IF(AND(ISNUMBER(HT32),ISNUMBER(HT$320),HT$320&lt;&gt;0),HT32*HT$320/HT$15,"")</f>
        <v/>
      </c>
      <c r="HU337" s="150" t="str">
        <f aca="false">IF(AND(ISNUMBER(HU32),ISNUMBER(HU$320),HU$320&lt;&gt;0),HU32*HU$320/HU$15,"")</f>
        <v/>
      </c>
      <c r="HV337" s="150" t="str">
        <f aca="false">IF(AND(ISNUMBER(HV32),ISNUMBER(HV$320),HV$320&lt;&gt;0),HV32*HV$320/HV$15,"")</f>
        <v/>
      </c>
      <c r="HW337" s="150" t="str">
        <f aca="false">IF(AND(ISNUMBER(HW32),ISNUMBER(HW$320),HW$320&lt;&gt;0),HW32*HW$320/HW$15,"")</f>
        <v/>
      </c>
      <c r="HX337" s="150" t="str">
        <f aca="false">IF(AND(ISNUMBER(HX32),ISNUMBER(HX$320),HX$320&lt;&gt;0),HX32*HX$320/HX$15,"")</f>
        <v/>
      </c>
      <c r="HY337" s="150" t="str">
        <f aca="false">IF(AND(ISNUMBER(HY32),ISNUMBER(HY$320),HY$320&lt;&gt;0),HY32*HY$320/HY$15,"")</f>
        <v/>
      </c>
      <c r="HZ337" s="150" t="str">
        <f aca="false">IF(AND(ISNUMBER(HZ32),ISNUMBER(HZ$320),HZ$320&lt;&gt;0),HZ32*HZ$320/HZ$15,"")</f>
        <v/>
      </c>
      <c r="IA337" s="150" t="str">
        <f aca="false">IF(AND(ISNUMBER(IA32),ISNUMBER(IA$320),IA$320&lt;&gt;0),IA32*IA$320/IA$15,"")</f>
        <v/>
      </c>
      <c r="IB337" s="150" t="str">
        <f aca="false">IF(AND(ISNUMBER(IB32),ISNUMBER(IB$320),IB$320&lt;&gt;0),IB32*IB$320/IB$15,"")</f>
        <v/>
      </c>
      <c r="IC337" s="150" t="str">
        <f aca="false">IF(AND(ISNUMBER(IC32),ISNUMBER(IC$320),IC$320&lt;&gt;0),IC32*IC$320/IC$15,"")</f>
        <v/>
      </c>
      <c r="ID337" s="572" t="str">
        <f aca="false">IF(AND(ISNUMBER(ID32),ISNUMBER(ID$320),ID$320&lt;&gt;0),ID32*ID$320/ID$15,"")</f>
        <v/>
      </c>
      <c r="IE337" s="129"/>
    </row>
    <row r="338" customFormat="false" ht="12.75" hidden="false" customHeight="false" outlineLevel="0" collapsed="false">
      <c r="I338" s="735"/>
      <c r="J338" s="727"/>
      <c r="K338" s="195"/>
      <c r="L338" s="195"/>
      <c r="M338" s="729"/>
      <c r="P338" s="727"/>
      <c r="S338" s="1"/>
      <c r="T338" s="727"/>
      <c r="U338" s="195"/>
      <c r="V338" s="195"/>
      <c r="W338" s="195"/>
      <c r="X338" s="195"/>
      <c r="Y338" s="195"/>
      <c r="Z338" s="195"/>
      <c r="AA338" s="195"/>
      <c r="AB338" s="195"/>
      <c r="AC338" s="195"/>
      <c r="AD338" s="195"/>
      <c r="AE338" s="195"/>
      <c r="AF338" s="195"/>
      <c r="AG338" s="195"/>
      <c r="AH338" s="195"/>
      <c r="AI338" s="195"/>
      <c r="AJ338" s="195"/>
      <c r="AK338" s="195"/>
      <c r="AL338" s="195"/>
      <c r="AM338" s="195"/>
      <c r="AN338" s="532"/>
      <c r="AO338" s="532"/>
      <c r="AP338" s="240"/>
      <c r="AQ338" s="532"/>
      <c r="AR338" s="240"/>
      <c r="AS338" s="240"/>
      <c r="AT338" s="240"/>
      <c r="AU338" s="730"/>
      <c r="AV338" s="730"/>
      <c r="AW338" s="730"/>
      <c r="AX338" s="730"/>
      <c r="AY338" s="468"/>
      <c r="AZ338" s="468"/>
      <c r="BA338" s="240"/>
      <c r="BB338" s="240"/>
      <c r="BC338" s="240"/>
      <c r="BD338" s="240"/>
      <c r="BE338" s="672"/>
      <c r="BF338" s="672"/>
      <c r="BG338" s="672"/>
      <c r="BH338" s="731"/>
      <c r="BI338" s="672"/>
      <c r="BJ338" s="240"/>
      <c r="BK338" s="736"/>
      <c r="BL338" s="737"/>
      <c r="BM338" s="240"/>
      <c r="BN338" s="240"/>
      <c r="BO338" s="240"/>
      <c r="BP338" s="240"/>
      <c r="BQ338" s="240"/>
      <c r="BR338" s="240"/>
      <c r="BS338" s="240"/>
      <c r="BT338" s="240"/>
      <c r="BU338" s="240"/>
      <c r="BV338" s="240"/>
      <c r="BW338" s="240"/>
      <c r="BX338" s="240"/>
      <c r="BY338" s="240"/>
      <c r="BZ338" s="240"/>
      <c r="CA338" s="240"/>
      <c r="CB338" s="672"/>
      <c r="CC338" s="672"/>
      <c r="CD338" s="672"/>
      <c r="CE338" s="672"/>
      <c r="CF338" s="672"/>
      <c r="CG338" s="672"/>
      <c r="CH338" s="240"/>
      <c r="CI338" s="240"/>
      <c r="CJ338" s="240"/>
      <c r="CK338" s="240"/>
      <c r="CL338" s="240"/>
      <c r="CM338" s="240"/>
      <c r="CN338" s="240"/>
      <c r="CO338" s="240"/>
      <c r="CP338" s="240"/>
      <c r="CQ338" s="240"/>
      <c r="CR338" s="240"/>
      <c r="CS338" s="240"/>
      <c r="CT338" s="240"/>
      <c r="CU338" s="240"/>
      <c r="CV338" s="240"/>
      <c r="CW338" s="240"/>
      <c r="CX338" s="240"/>
      <c r="CY338" s="240"/>
      <c r="CZ338" s="240"/>
      <c r="DA338" s="240"/>
      <c r="DB338" s="240"/>
      <c r="DC338" s="240"/>
      <c r="DD338" s="240"/>
      <c r="DE338" s="240"/>
      <c r="DF338" s="240"/>
      <c r="DG338" s="733"/>
      <c r="DH338" s="478"/>
      <c r="DI338" s="195"/>
      <c r="DJ338" s="3"/>
      <c r="DK338" s="478"/>
      <c r="DL338" s="4"/>
      <c r="DM338" s="4"/>
      <c r="DN338" s="4"/>
      <c r="DO338" s="4"/>
      <c r="DP338" s="4"/>
      <c r="DQ338" s="4"/>
      <c r="DS338" s="195"/>
      <c r="DT338" s="195"/>
      <c r="DU338" s="195"/>
      <c r="DV338" s="195"/>
      <c r="DW338" s="195"/>
      <c r="DX338" s="195"/>
      <c r="DY338" s="195"/>
      <c r="DZ338" s="195"/>
      <c r="EA338" s="195"/>
      <c r="EB338" s="195"/>
      <c r="EC338" s="195"/>
      <c r="ED338" s="195"/>
      <c r="EE338" s="195"/>
      <c r="EF338" s="195"/>
      <c r="EG338" s="195"/>
      <c r="EL338" s="1"/>
      <c r="EM338" s="195"/>
      <c r="EN338" s="240"/>
      <c r="EO338" s="240"/>
      <c r="EP338" s="195"/>
      <c r="EQ338" s="240"/>
      <c r="ER338" s="195"/>
      <c r="ES338" s="195"/>
      <c r="ET338" s="195"/>
      <c r="EU338" s="672"/>
      <c r="FJ338" s="571" t="n">
        <v>14</v>
      </c>
      <c r="FK338" s="150" t="str">
        <f aca="false">IF(AND(ISNUMBER(FK33),ISNUMBER(FK$320),FK$320&lt;&gt;0),FK33*FK$320/FK$15,"")</f>
        <v/>
      </c>
      <c r="FL338" s="150" t="str">
        <f aca="false">IF(AND(ISNUMBER(FL33),ISNUMBER(FL$320),FL$320&lt;&gt;0),FL33*FL$320/FL$15,"")</f>
        <v/>
      </c>
      <c r="FM338" s="150" t="n">
        <f aca="false">IF(AND(ISNUMBER(FM33),ISNUMBER(FM$320),FM$320&lt;&gt;0),FM33*FM$320/FM$15,"")</f>
        <v>0.0033683493981548</v>
      </c>
      <c r="FN338" s="150" t="n">
        <f aca="false">IF(AND(ISNUMBER(FN33),ISNUMBER(FN$320),FN$320&lt;&gt;0),FN33*FN$320/FN$15,"")</f>
        <v>0.00297454577940507</v>
      </c>
      <c r="FO338" s="150" t="n">
        <f aca="false">IF(AND(ISNUMBER(FO33),ISNUMBER(FO$320),FO$320&lt;&gt;0),FO33*FO$320/FO$15,"")</f>
        <v>0.00327353502714359</v>
      </c>
      <c r="FP338" s="150" t="n">
        <f aca="false">IF(AND(ISNUMBER(FP33),ISNUMBER(FP$320),FP$320&lt;&gt;0),FP33*FP$320/FP$15,"")</f>
        <v>0.00193804550226751</v>
      </c>
      <c r="FQ338" s="150" t="str">
        <f aca="false">IF(AND(ISNUMBER(FQ33),ISNUMBER(FQ$320),FQ$320&lt;&gt;0),FQ33*FQ$320/FQ$15,"")</f>
        <v/>
      </c>
      <c r="FR338" s="150" t="str">
        <f aca="false">IF(AND(ISNUMBER(FR33),ISNUMBER(FR$320),FR$320&lt;&gt;0),FR33*FR$320/FR$15,"")</f>
        <v/>
      </c>
      <c r="FS338" s="150" t="str">
        <f aca="false">IF(AND(ISNUMBER(FS33),ISNUMBER(FS$320),FS$320&lt;&gt;0),FS33*FS$320/FS$15,"")</f>
        <v/>
      </c>
      <c r="FT338" s="150" t="str">
        <f aca="false">IF(AND(ISNUMBER(FT33),ISNUMBER(FT$320),FT$320&lt;&gt;0),FT33*FT$320/FT$15,"")</f>
        <v/>
      </c>
      <c r="FU338" s="150" t="str">
        <f aca="false">IF(AND(ISNUMBER(FU33),ISNUMBER(FU$320),FU$320&lt;&gt;0),FU33*FU$320/FU$15,"")</f>
        <v/>
      </c>
      <c r="FV338" s="150" t="str">
        <f aca="false">IF(AND(ISNUMBER(FV33),ISNUMBER(FV$320),FV$320&lt;&gt;0),FV33*FV$320/FV$15,"")</f>
        <v/>
      </c>
      <c r="FW338" s="150" t="str">
        <f aca="false">IF(AND(ISNUMBER(FW33),ISNUMBER(FW$320),FW$320&lt;&gt;0),FW33*FW$320/FW$15,"")</f>
        <v/>
      </c>
      <c r="FX338" s="150" t="str">
        <f aca="false">IF(AND(ISNUMBER(FX33),ISNUMBER(FX$320),FX$320&lt;&gt;0),FX33*FX$320/FX$15,"")</f>
        <v/>
      </c>
      <c r="FY338" s="150" t="str">
        <f aca="false">IF(AND(ISNUMBER(FY33),ISNUMBER(FY$320),FY$320&lt;&gt;0),FY33*FY$320/FY$15,"")</f>
        <v/>
      </c>
      <c r="FZ338" s="150" t="str">
        <f aca="false">IF(AND(ISNUMBER(FZ33),ISNUMBER(FZ$320),FZ$320&lt;&gt;0),FZ33*FZ$320/FZ$15,"")</f>
        <v/>
      </c>
      <c r="GA338" s="150" t="str">
        <f aca="false">IF(AND(ISNUMBER(GA33),ISNUMBER(GA$320),GA$320&lt;&gt;0),GA33*GA$320/GA$15,"")</f>
        <v/>
      </c>
      <c r="GB338" s="150" t="str">
        <f aca="false">IF(AND(ISNUMBER(GB33),ISNUMBER(GB$320),GB$320&lt;&gt;0),GB33*GB$320/GB$15,"")</f>
        <v/>
      </c>
      <c r="GC338" s="150" t="str">
        <f aca="false">IF(AND(ISNUMBER(GC33),ISNUMBER(GC$320),GC$320&lt;&gt;0),GC33*GC$320/GC$15,"")</f>
        <v/>
      </c>
      <c r="GD338" s="150" t="str">
        <f aca="false">IF(AND(ISNUMBER(GD33),ISNUMBER(GD$320),GD$320&lt;&gt;0),GD33*GD$320/GD$15,"")</f>
        <v/>
      </c>
      <c r="GE338" s="150" t="str">
        <f aca="false">IF(AND(ISNUMBER(GE33),ISNUMBER(GE$320),GE$320&lt;&gt;0),GE33*GE$320/GE$15,"")</f>
        <v/>
      </c>
      <c r="GF338" s="150" t="str">
        <f aca="false">IF(AND(ISNUMBER(GF33),ISNUMBER(GF$320),GF$320&lt;&gt;0),GF33*GF$320/GF$15,"")</f>
        <v/>
      </c>
      <c r="GG338" s="150" t="str">
        <f aca="false">IF(AND(ISNUMBER(GG33),ISNUMBER(GG$320),GG$320&lt;&gt;0),GG33*GG$320/GG$15,"")</f>
        <v/>
      </c>
      <c r="GH338" s="150" t="str">
        <f aca="false">IF(AND(ISNUMBER(GH33),ISNUMBER(GH$320),GH$320&lt;&gt;0),GH33*GH$320/GH$15,"")</f>
        <v/>
      </c>
      <c r="GI338" s="150" t="str">
        <f aca="false">IF(AND(ISNUMBER(GI33),ISNUMBER(GI$320),GI$320&lt;&gt;0),GI33*GI$320/GI$15,"")</f>
        <v/>
      </c>
      <c r="GJ338" s="150" t="str">
        <f aca="false">IF(AND(ISNUMBER(GJ33),ISNUMBER(GJ$320),GJ$320&lt;&gt;0),GJ33*GJ$320/GJ$15,"")</f>
        <v/>
      </c>
      <c r="GK338" s="150" t="str">
        <f aca="false">IF(AND(ISNUMBER(GK33),ISNUMBER(GK$320),GK$320&lt;&gt;0),GK33*GK$320/GK$15,"")</f>
        <v/>
      </c>
      <c r="GL338" s="150" t="str">
        <f aca="false">IF(AND(ISNUMBER(GL33),ISNUMBER(GL$320),GL$320&lt;&gt;0),GL33*GL$320/GL$15,"")</f>
        <v/>
      </c>
      <c r="GM338" s="150" t="str">
        <f aca="false">IF(AND(ISNUMBER(GM33),ISNUMBER(GM$320),GM$320&lt;&gt;0),GM33*GM$320/GM$15,"")</f>
        <v/>
      </c>
      <c r="GN338" s="150" t="str">
        <f aca="false">IF(AND(ISNUMBER(GN33),ISNUMBER(GN$320),GN$320&lt;&gt;0),GN33*GN$320/GN$15,"")</f>
        <v/>
      </c>
      <c r="GO338" s="150" t="str">
        <f aca="false">IF(AND(ISNUMBER(GO33),ISNUMBER(GO$320),GO$320&lt;&gt;0),GO33*GO$320/GO$15,"")</f>
        <v/>
      </c>
      <c r="GP338" s="150" t="str">
        <f aca="false">IF(AND(ISNUMBER(GP33),ISNUMBER(GP$320),GP$320&lt;&gt;0),GP33*GP$320/GP$15,"")</f>
        <v/>
      </c>
      <c r="GQ338" s="150" t="str">
        <f aca="false">IF(AND(ISNUMBER(GQ33),ISNUMBER(GQ$320),GQ$320&lt;&gt;0),GQ33*GQ$320/GQ$15,"")</f>
        <v/>
      </c>
      <c r="GR338" s="150" t="str">
        <f aca="false">IF(AND(ISNUMBER(GR33),ISNUMBER(GR$320),GR$320&lt;&gt;0),GR33*GR$320/GR$15,"")</f>
        <v/>
      </c>
      <c r="GS338" s="150" t="str">
        <f aca="false">IF(AND(ISNUMBER(GS33),ISNUMBER(GS$320),GS$320&lt;&gt;0),GS33*GS$320/GS$15,"")</f>
        <v/>
      </c>
      <c r="GT338" s="150" t="str">
        <f aca="false">IF(AND(ISNUMBER(GT33),ISNUMBER(GT$320),GT$320&lt;&gt;0),GT33*GT$320/GT$15,"")</f>
        <v/>
      </c>
      <c r="GU338" s="150" t="str">
        <f aca="false">IF(AND(ISNUMBER(GU33),ISNUMBER(GU$320),GU$320&lt;&gt;0),GU33*GU$320/GU$15,"")</f>
        <v/>
      </c>
      <c r="GV338" s="150" t="str">
        <f aca="false">IF(AND(ISNUMBER(GV33),ISNUMBER(GV$320),GV$320&lt;&gt;0),GV33*GV$320/GV$15,"")</f>
        <v/>
      </c>
      <c r="GW338" s="150" t="str">
        <f aca="false">IF(AND(ISNUMBER(GW33),ISNUMBER(GW$320),GW$320&lt;&gt;0),GW33*GW$320/GW$15,"")</f>
        <v/>
      </c>
      <c r="GX338" s="150" t="str">
        <f aca="false">IF(AND(ISNUMBER(GX33),ISNUMBER(GX$320),GX$320&lt;&gt;0),GX33*GX$320/GX$15,"")</f>
        <v/>
      </c>
      <c r="GY338" s="150" t="str">
        <f aca="false">IF(AND(ISNUMBER(GY33),ISNUMBER(GY$320),GY$320&lt;&gt;0),GY33*GY$320/GY$15,"")</f>
        <v/>
      </c>
      <c r="GZ338" s="150" t="str">
        <f aca="false">IF(AND(ISNUMBER(GZ33),ISNUMBER(GZ$320),GZ$320&lt;&gt;0),GZ33*GZ$320/GZ$15,"")</f>
        <v/>
      </c>
      <c r="HA338" s="150" t="str">
        <f aca="false">IF(AND(ISNUMBER(HA33),ISNUMBER(HA$320),HA$320&lt;&gt;0),HA33*HA$320/HA$15,"")</f>
        <v/>
      </c>
      <c r="HB338" s="150" t="str">
        <f aca="false">IF(AND(ISNUMBER(HB33),ISNUMBER(HB$320),HB$320&lt;&gt;0),HB33*HB$320/HB$15,"")</f>
        <v/>
      </c>
      <c r="HC338" s="150" t="str">
        <f aca="false">IF(AND(ISNUMBER(HC33),ISNUMBER(HC$320),HC$320&lt;&gt;0),HC33*HC$320/HC$15,"")</f>
        <v/>
      </c>
      <c r="HD338" s="150" t="str">
        <f aca="false">IF(AND(ISNUMBER(HD33),ISNUMBER(HD$320),HD$320&lt;&gt;0),HD33*HD$320/HD$15,"")</f>
        <v/>
      </c>
      <c r="HE338" s="150" t="str">
        <f aca="false">IF(AND(ISNUMBER(HE33),ISNUMBER(HE$320),HE$320&lt;&gt;0),HE33*HE$320/HE$15,"")</f>
        <v/>
      </c>
      <c r="HF338" s="150" t="str">
        <f aca="false">IF(AND(ISNUMBER(HF33),ISNUMBER(HF$320),HF$320&lt;&gt;0),HF33*HF$320/HF$15,"")</f>
        <v/>
      </c>
      <c r="HG338" s="150" t="str">
        <f aca="false">IF(AND(ISNUMBER(HG33),ISNUMBER(HG$320),HG$320&lt;&gt;0),HG33*HG$320/HG$15,"")</f>
        <v/>
      </c>
      <c r="HH338" s="150" t="str">
        <f aca="false">IF(AND(ISNUMBER(HH33),ISNUMBER(HH$320),HH$320&lt;&gt;0),HH33*HH$320/HH$15,"")</f>
        <v/>
      </c>
      <c r="HI338" s="150" t="str">
        <f aca="false">IF(AND(ISNUMBER(HI33),ISNUMBER(HI$320),HI$320&lt;&gt;0),HI33*HI$320/HI$15,"")</f>
        <v/>
      </c>
      <c r="HJ338" s="150" t="str">
        <f aca="false">IF(AND(ISNUMBER(HJ33),ISNUMBER(HJ$320),HJ$320&lt;&gt;0),HJ33*HJ$320/HJ$15,"")</f>
        <v/>
      </c>
      <c r="HK338" s="150" t="str">
        <f aca="false">IF(AND(ISNUMBER(HK33),ISNUMBER(HK$320),HK$320&lt;&gt;0),HK33*HK$320/HK$15,"")</f>
        <v/>
      </c>
      <c r="HL338" s="150" t="str">
        <f aca="false">IF(AND(ISNUMBER(HL33),ISNUMBER(HL$320),HL$320&lt;&gt;0),HL33*HL$320/HL$15,"")</f>
        <v/>
      </c>
      <c r="HM338" s="150" t="str">
        <f aca="false">IF(AND(ISNUMBER(HM33),ISNUMBER(HM$320),HM$320&lt;&gt;0),HM33*HM$320/HM$15,"")</f>
        <v/>
      </c>
      <c r="HN338" s="150" t="str">
        <f aca="false">IF(AND(ISNUMBER(HN33),ISNUMBER(HN$320),HN$320&lt;&gt;0),HN33*HN$320/HN$15,"")</f>
        <v/>
      </c>
      <c r="HO338" s="150" t="str">
        <f aca="false">IF(AND(ISNUMBER(HO33),ISNUMBER(HO$320),HO$320&lt;&gt;0),HO33*HO$320/HO$15,"")</f>
        <v/>
      </c>
      <c r="HP338" s="150" t="str">
        <f aca="false">IF(AND(ISNUMBER(HP33),ISNUMBER(HP$320),HP$320&lt;&gt;0),HP33*HP$320/HP$15,"")</f>
        <v/>
      </c>
      <c r="HQ338" s="150" t="str">
        <f aca="false">IF(AND(ISNUMBER(HQ33),ISNUMBER(HQ$320),HQ$320&lt;&gt;0),HQ33*HQ$320/HQ$15,"")</f>
        <v/>
      </c>
      <c r="HR338" s="150" t="str">
        <f aca="false">IF(AND(ISNUMBER(HR33),ISNUMBER(HR$320),HR$320&lt;&gt;0),HR33*HR$320/HR$15,"")</f>
        <v/>
      </c>
      <c r="HS338" s="150" t="str">
        <f aca="false">IF(AND(ISNUMBER(HS33),ISNUMBER(HS$320),HS$320&lt;&gt;0),HS33*HS$320/HS$15,"")</f>
        <v/>
      </c>
      <c r="HT338" s="150" t="str">
        <f aca="false">IF(AND(ISNUMBER(HT33),ISNUMBER(HT$320),HT$320&lt;&gt;0),HT33*HT$320/HT$15,"")</f>
        <v/>
      </c>
      <c r="HU338" s="150" t="str">
        <f aca="false">IF(AND(ISNUMBER(HU33),ISNUMBER(HU$320),HU$320&lt;&gt;0),HU33*HU$320/HU$15,"")</f>
        <v/>
      </c>
      <c r="HV338" s="150" t="str">
        <f aca="false">IF(AND(ISNUMBER(HV33),ISNUMBER(HV$320),HV$320&lt;&gt;0),HV33*HV$320/HV$15,"")</f>
        <v/>
      </c>
      <c r="HW338" s="150" t="str">
        <f aca="false">IF(AND(ISNUMBER(HW33),ISNUMBER(HW$320),HW$320&lt;&gt;0),HW33*HW$320/HW$15,"")</f>
        <v/>
      </c>
      <c r="HX338" s="150" t="str">
        <f aca="false">IF(AND(ISNUMBER(HX33),ISNUMBER(HX$320),HX$320&lt;&gt;0),HX33*HX$320/HX$15,"")</f>
        <v/>
      </c>
      <c r="HY338" s="150" t="str">
        <f aca="false">IF(AND(ISNUMBER(HY33),ISNUMBER(HY$320),HY$320&lt;&gt;0),HY33*HY$320/HY$15,"")</f>
        <v/>
      </c>
      <c r="HZ338" s="150" t="str">
        <f aca="false">IF(AND(ISNUMBER(HZ33),ISNUMBER(HZ$320),HZ$320&lt;&gt;0),HZ33*HZ$320/HZ$15,"")</f>
        <v/>
      </c>
      <c r="IA338" s="150" t="str">
        <f aca="false">IF(AND(ISNUMBER(IA33),ISNUMBER(IA$320),IA$320&lt;&gt;0),IA33*IA$320/IA$15,"")</f>
        <v/>
      </c>
      <c r="IB338" s="150" t="str">
        <f aca="false">IF(AND(ISNUMBER(IB33),ISNUMBER(IB$320),IB$320&lt;&gt;0),IB33*IB$320/IB$15,"")</f>
        <v/>
      </c>
      <c r="IC338" s="150" t="str">
        <f aca="false">IF(AND(ISNUMBER(IC33),ISNUMBER(IC$320),IC$320&lt;&gt;0),IC33*IC$320/IC$15,"")</f>
        <v/>
      </c>
      <c r="ID338" s="572" t="str">
        <f aca="false">IF(AND(ISNUMBER(ID33),ISNUMBER(ID$320),ID$320&lt;&gt;0),ID33*ID$320/ID$15,"")</f>
        <v/>
      </c>
      <c r="IE338" s="129"/>
    </row>
    <row r="339" customFormat="false" ht="12.75" hidden="false" customHeight="false" outlineLevel="0" collapsed="false">
      <c r="I339" s="735"/>
      <c r="J339" s="727"/>
      <c r="K339" s="195"/>
      <c r="L339" s="195"/>
      <c r="M339" s="729"/>
      <c r="P339" s="727"/>
      <c r="S339" s="1"/>
      <c r="T339" s="727"/>
      <c r="U339" s="195"/>
      <c r="V339" s="195"/>
      <c r="W339" s="195"/>
      <c r="X339" s="195"/>
      <c r="Y339" s="195"/>
      <c r="Z339" s="195"/>
      <c r="AA339" s="195"/>
      <c r="AB339" s="195"/>
      <c r="AC339" s="195"/>
      <c r="AD339" s="195"/>
      <c r="AE339" s="195"/>
      <c r="AF339" s="195"/>
      <c r="AG339" s="195"/>
      <c r="AH339" s="195"/>
      <c r="AI339" s="195"/>
      <c r="AJ339" s="195"/>
      <c r="AK339" s="195"/>
      <c r="AL339" s="195"/>
      <c r="AM339" s="195"/>
      <c r="AN339" s="532"/>
      <c r="AO339" s="532"/>
      <c r="AP339" s="240"/>
      <c r="AQ339" s="532"/>
      <c r="AR339" s="240"/>
      <c r="AS339" s="240"/>
      <c r="AT339" s="240"/>
      <c r="AU339" s="730"/>
      <c r="AV339" s="730"/>
      <c r="AW339" s="730"/>
      <c r="AX339" s="730"/>
      <c r="AY339" s="468"/>
      <c r="AZ339" s="468"/>
      <c r="BA339" s="240"/>
      <c r="BB339" s="240"/>
      <c r="BC339" s="240"/>
      <c r="BD339" s="240"/>
      <c r="BE339" s="672"/>
      <c r="BF339" s="672"/>
      <c r="BG339" s="672"/>
      <c r="BH339" s="731"/>
      <c r="BI339" s="672"/>
      <c r="BJ339" s="240"/>
      <c r="BK339" s="736"/>
      <c r="BL339" s="737"/>
      <c r="BM339" s="240"/>
      <c r="BN339" s="240"/>
      <c r="BO339" s="240"/>
      <c r="BP339" s="240"/>
      <c r="BQ339" s="240"/>
      <c r="BR339" s="240"/>
      <c r="BS339" s="240"/>
      <c r="BT339" s="240"/>
      <c r="BU339" s="240"/>
      <c r="BV339" s="240"/>
      <c r="BW339" s="240"/>
      <c r="BX339" s="240"/>
      <c r="BY339" s="240"/>
      <c r="BZ339" s="240"/>
      <c r="CA339" s="240"/>
      <c r="CB339" s="672"/>
      <c r="CC339" s="672"/>
      <c r="CD339" s="672"/>
      <c r="CE339" s="672"/>
      <c r="CF339" s="672"/>
      <c r="CG339" s="672"/>
      <c r="CH339" s="240"/>
      <c r="CI339" s="240"/>
      <c r="CJ339" s="240"/>
      <c r="CK339" s="240"/>
      <c r="CL339" s="240"/>
      <c r="CM339" s="240"/>
      <c r="CN339" s="240"/>
      <c r="CO339" s="240"/>
      <c r="CP339" s="240"/>
      <c r="CQ339" s="240"/>
      <c r="CR339" s="240"/>
      <c r="CS339" s="240"/>
      <c r="CT339" s="240"/>
      <c r="CU339" s="240"/>
      <c r="CV339" s="240"/>
      <c r="CW339" s="240"/>
      <c r="CX339" s="240"/>
      <c r="CY339" s="240"/>
      <c r="CZ339" s="240"/>
      <c r="DA339" s="240"/>
      <c r="DB339" s="240"/>
      <c r="DC339" s="240"/>
      <c r="DD339" s="240"/>
      <c r="DE339" s="240"/>
      <c r="DF339" s="240"/>
      <c r="DG339" s="733"/>
      <c r="DH339" s="478"/>
      <c r="DI339" s="195"/>
      <c r="DJ339" s="3"/>
      <c r="DK339" s="478"/>
      <c r="DL339" s="4"/>
      <c r="DM339" s="4"/>
      <c r="DN339" s="4"/>
      <c r="DO339" s="4"/>
      <c r="DP339" s="4"/>
      <c r="DQ339" s="4"/>
      <c r="DS339" s="195"/>
      <c r="DT339" s="195"/>
      <c r="DU339" s="195"/>
      <c r="DV339" s="195"/>
      <c r="DW339" s="195"/>
      <c r="DX339" s="195"/>
      <c r="DY339" s="195"/>
      <c r="DZ339" s="195"/>
      <c r="EA339" s="195"/>
      <c r="EB339" s="195"/>
      <c r="EC339" s="195"/>
      <c r="ED339" s="195"/>
      <c r="EE339" s="195"/>
      <c r="EF339" s="195"/>
      <c r="EG339" s="195"/>
      <c r="EL339" s="1"/>
      <c r="EM339" s="195"/>
      <c r="EN339" s="240"/>
      <c r="EO339" s="240"/>
      <c r="EP339" s="195"/>
      <c r="EQ339" s="240"/>
      <c r="ER339" s="195"/>
      <c r="ES339" s="195"/>
      <c r="ET339" s="195"/>
      <c r="EU339" s="672"/>
      <c r="FJ339" s="571" t="n">
        <v>15</v>
      </c>
      <c r="FK339" s="150" t="str">
        <f aca="false">IF(AND(ISNUMBER(FK34),ISNUMBER(FK$320),FK$320&lt;&gt;0),FK34*FK$320/FK$15,"")</f>
        <v/>
      </c>
      <c r="FL339" s="150" t="str">
        <f aca="false">IF(AND(ISNUMBER(FL34),ISNUMBER(FL$320),FL$320&lt;&gt;0),FL34*FL$320/FL$15,"")</f>
        <v/>
      </c>
      <c r="FM339" s="150" t="n">
        <f aca="false">IF(AND(ISNUMBER(FM34),ISNUMBER(FM$320),FM$320&lt;&gt;0),FM34*FM$320/FM$15,"")</f>
        <v>0.00323327853696623</v>
      </c>
      <c r="FN339" s="150" t="n">
        <f aca="false">IF(AND(ISNUMBER(FN34),ISNUMBER(FN$320),FN$320&lt;&gt;0),FN34*FN$320/FN$15,"")</f>
        <v>0.00283503779087484</v>
      </c>
      <c r="FO339" s="150" t="n">
        <f aca="false">IF(AND(ISNUMBER(FO34),ISNUMBER(FO$320),FO$320&lt;&gt;0),FO34*FO$320/FO$15,"")</f>
        <v>0.00309396688173883</v>
      </c>
      <c r="FP339" s="150" t="n">
        <f aca="false">IF(AND(ISNUMBER(FP34),ISNUMBER(FP$320),FP$320&lt;&gt;0),FP34*FP$320/FP$15,"")</f>
        <v>0.00181370570365502</v>
      </c>
      <c r="FQ339" s="150" t="str">
        <f aca="false">IF(AND(ISNUMBER(FQ34),ISNUMBER(FQ$320),FQ$320&lt;&gt;0),FQ34*FQ$320/FQ$15,"")</f>
        <v/>
      </c>
      <c r="FR339" s="150" t="str">
        <f aca="false">IF(AND(ISNUMBER(FR34),ISNUMBER(FR$320),FR$320&lt;&gt;0),FR34*FR$320/FR$15,"")</f>
        <v/>
      </c>
      <c r="FS339" s="150" t="str">
        <f aca="false">IF(AND(ISNUMBER(FS34),ISNUMBER(FS$320),FS$320&lt;&gt;0),FS34*FS$320/FS$15,"")</f>
        <v/>
      </c>
      <c r="FT339" s="150" t="str">
        <f aca="false">IF(AND(ISNUMBER(FT34),ISNUMBER(FT$320),FT$320&lt;&gt;0),FT34*FT$320/FT$15,"")</f>
        <v/>
      </c>
      <c r="FU339" s="150" t="str">
        <f aca="false">IF(AND(ISNUMBER(FU34),ISNUMBER(FU$320),FU$320&lt;&gt;0),FU34*FU$320/FU$15,"")</f>
        <v/>
      </c>
      <c r="FV339" s="150" t="str">
        <f aca="false">IF(AND(ISNUMBER(FV34),ISNUMBER(FV$320),FV$320&lt;&gt;0),FV34*FV$320/FV$15,"")</f>
        <v/>
      </c>
      <c r="FW339" s="150" t="str">
        <f aca="false">IF(AND(ISNUMBER(FW34),ISNUMBER(FW$320),FW$320&lt;&gt;0),FW34*FW$320/FW$15,"")</f>
        <v/>
      </c>
      <c r="FX339" s="150" t="str">
        <f aca="false">IF(AND(ISNUMBER(FX34),ISNUMBER(FX$320),FX$320&lt;&gt;0),FX34*FX$320/FX$15,"")</f>
        <v/>
      </c>
      <c r="FY339" s="150" t="str">
        <f aca="false">IF(AND(ISNUMBER(FY34),ISNUMBER(FY$320),FY$320&lt;&gt;0),FY34*FY$320/FY$15,"")</f>
        <v/>
      </c>
      <c r="FZ339" s="150" t="str">
        <f aca="false">IF(AND(ISNUMBER(FZ34),ISNUMBER(FZ$320),FZ$320&lt;&gt;0),FZ34*FZ$320/FZ$15,"")</f>
        <v/>
      </c>
      <c r="GA339" s="150" t="str">
        <f aca="false">IF(AND(ISNUMBER(GA34),ISNUMBER(GA$320),GA$320&lt;&gt;0),GA34*GA$320/GA$15,"")</f>
        <v/>
      </c>
      <c r="GB339" s="150" t="str">
        <f aca="false">IF(AND(ISNUMBER(GB34),ISNUMBER(GB$320),GB$320&lt;&gt;0),GB34*GB$320/GB$15,"")</f>
        <v/>
      </c>
      <c r="GC339" s="150" t="str">
        <f aca="false">IF(AND(ISNUMBER(GC34),ISNUMBER(GC$320),GC$320&lt;&gt;0),GC34*GC$320/GC$15,"")</f>
        <v/>
      </c>
      <c r="GD339" s="150" t="str">
        <f aca="false">IF(AND(ISNUMBER(GD34),ISNUMBER(GD$320),GD$320&lt;&gt;0),GD34*GD$320/GD$15,"")</f>
        <v/>
      </c>
      <c r="GE339" s="150" t="str">
        <f aca="false">IF(AND(ISNUMBER(GE34),ISNUMBER(GE$320),GE$320&lt;&gt;0),GE34*GE$320/GE$15,"")</f>
        <v/>
      </c>
      <c r="GF339" s="150" t="str">
        <f aca="false">IF(AND(ISNUMBER(GF34),ISNUMBER(GF$320),GF$320&lt;&gt;0),GF34*GF$320/GF$15,"")</f>
        <v/>
      </c>
      <c r="GG339" s="150" t="str">
        <f aca="false">IF(AND(ISNUMBER(GG34),ISNUMBER(GG$320),GG$320&lt;&gt;0),GG34*GG$320/GG$15,"")</f>
        <v/>
      </c>
      <c r="GH339" s="150" t="str">
        <f aca="false">IF(AND(ISNUMBER(GH34),ISNUMBER(GH$320),GH$320&lt;&gt;0),GH34*GH$320/GH$15,"")</f>
        <v/>
      </c>
      <c r="GI339" s="150" t="str">
        <f aca="false">IF(AND(ISNUMBER(GI34),ISNUMBER(GI$320),GI$320&lt;&gt;0),GI34*GI$320/GI$15,"")</f>
        <v/>
      </c>
      <c r="GJ339" s="150" t="str">
        <f aca="false">IF(AND(ISNUMBER(GJ34),ISNUMBER(GJ$320),GJ$320&lt;&gt;0),GJ34*GJ$320/GJ$15,"")</f>
        <v/>
      </c>
      <c r="GK339" s="150" t="str">
        <f aca="false">IF(AND(ISNUMBER(GK34),ISNUMBER(GK$320),GK$320&lt;&gt;0),GK34*GK$320/GK$15,"")</f>
        <v/>
      </c>
      <c r="GL339" s="150" t="str">
        <f aca="false">IF(AND(ISNUMBER(GL34),ISNUMBER(GL$320),GL$320&lt;&gt;0),GL34*GL$320/GL$15,"")</f>
        <v/>
      </c>
      <c r="GM339" s="150" t="str">
        <f aca="false">IF(AND(ISNUMBER(GM34),ISNUMBER(GM$320),GM$320&lt;&gt;0),GM34*GM$320/GM$15,"")</f>
        <v/>
      </c>
      <c r="GN339" s="150" t="str">
        <f aca="false">IF(AND(ISNUMBER(GN34),ISNUMBER(GN$320),GN$320&lt;&gt;0),GN34*GN$320/GN$15,"")</f>
        <v/>
      </c>
      <c r="GO339" s="150" t="str">
        <f aca="false">IF(AND(ISNUMBER(GO34),ISNUMBER(GO$320),GO$320&lt;&gt;0),GO34*GO$320/GO$15,"")</f>
        <v/>
      </c>
      <c r="GP339" s="150" t="str">
        <f aca="false">IF(AND(ISNUMBER(GP34),ISNUMBER(GP$320),GP$320&lt;&gt;0),GP34*GP$320/GP$15,"")</f>
        <v/>
      </c>
      <c r="GQ339" s="150" t="str">
        <f aca="false">IF(AND(ISNUMBER(GQ34),ISNUMBER(GQ$320),GQ$320&lt;&gt;0),GQ34*GQ$320/GQ$15,"")</f>
        <v/>
      </c>
      <c r="GR339" s="150" t="str">
        <f aca="false">IF(AND(ISNUMBER(GR34),ISNUMBER(GR$320),GR$320&lt;&gt;0),GR34*GR$320/GR$15,"")</f>
        <v/>
      </c>
      <c r="GS339" s="150" t="str">
        <f aca="false">IF(AND(ISNUMBER(GS34),ISNUMBER(GS$320),GS$320&lt;&gt;0),GS34*GS$320/GS$15,"")</f>
        <v/>
      </c>
      <c r="GT339" s="150" t="str">
        <f aca="false">IF(AND(ISNUMBER(GT34),ISNUMBER(GT$320),GT$320&lt;&gt;0),GT34*GT$320/GT$15,"")</f>
        <v/>
      </c>
      <c r="GU339" s="150" t="str">
        <f aca="false">IF(AND(ISNUMBER(GU34),ISNUMBER(GU$320),GU$320&lt;&gt;0),GU34*GU$320/GU$15,"")</f>
        <v/>
      </c>
      <c r="GV339" s="150" t="str">
        <f aca="false">IF(AND(ISNUMBER(GV34),ISNUMBER(GV$320),GV$320&lt;&gt;0),GV34*GV$320/GV$15,"")</f>
        <v/>
      </c>
      <c r="GW339" s="150" t="str">
        <f aca="false">IF(AND(ISNUMBER(GW34),ISNUMBER(GW$320),GW$320&lt;&gt;0),GW34*GW$320/GW$15,"")</f>
        <v/>
      </c>
      <c r="GX339" s="150" t="str">
        <f aca="false">IF(AND(ISNUMBER(GX34),ISNUMBER(GX$320),GX$320&lt;&gt;0),GX34*GX$320/GX$15,"")</f>
        <v/>
      </c>
      <c r="GY339" s="150" t="str">
        <f aca="false">IF(AND(ISNUMBER(GY34),ISNUMBER(GY$320),GY$320&lt;&gt;0),GY34*GY$320/GY$15,"")</f>
        <v/>
      </c>
      <c r="GZ339" s="150" t="str">
        <f aca="false">IF(AND(ISNUMBER(GZ34),ISNUMBER(GZ$320),GZ$320&lt;&gt;0),GZ34*GZ$320/GZ$15,"")</f>
        <v/>
      </c>
      <c r="HA339" s="150" t="str">
        <f aca="false">IF(AND(ISNUMBER(HA34),ISNUMBER(HA$320),HA$320&lt;&gt;0),HA34*HA$320/HA$15,"")</f>
        <v/>
      </c>
      <c r="HB339" s="150" t="str">
        <f aca="false">IF(AND(ISNUMBER(HB34),ISNUMBER(HB$320),HB$320&lt;&gt;0),HB34*HB$320/HB$15,"")</f>
        <v/>
      </c>
      <c r="HC339" s="150" t="str">
        <f aca="false">IF(AND(ISNUMBER(HC34),ISNUMBER(HC$320),HC$320&lt;&gt;0),HC34*HC$320/HC$15,"")</f>
        <v/>
      </c>
      <c r="HD339" s="150" t="str">
        <f aca="false">IF(AND(ISNUMBER(HD34),ISNUMBER(HD$320),HD$320&lt;&gt;0),HD34*HD$320/HD$15,"")</f>
        <v/>
      </c>
      <c r="HE339" s="150" t="str">
        <f aca="false">IF(AND(ISNUMBER(HE34),ISNUMBER(HE$320),HE$320&lt;&gt;0),HE34*HE$320/HE$15,"")</f>
        <v/>
      </c>
      <c r="HF339" s="150" t="str">
        <f aca="false">IF(AND(ISNUMBER(HF34),ISNUMBER(HF$320),HF$320&lt;&gt;0),HF34*HF$320/HF$15,"")</f>
        <v/>
      </c>
      <c r="HG339" s="150" t="str">
        <f aca="false">IF(AND(ISNUMBER(HG34),ISNUMBER(HG$320),HG$320&lt;&gt;0),HG34*HG$320/HG$15,"")</f>
        <v/>
      </c>
      <c r="HH339" s="150" t="str">
        <f aca="false">IF(AND(ISNUMBER(HH34),ISNUMBER(HH$320),HH$320&lt;&gt;0),HH34*HH$320/HH$15,"")</f>
        <v/>
      </c>
      <c r="HI339" s="150" t="str">
        <f aca="false">IF(AND(ISNUMBER(HI34),ISNUMBER(HI$320),HI$320&lt;&gt;0),HI34*HI$320/HI$15,"")</f>
        <v/>
      </c>
      <c r="HJ339" s="150" t="str">
        <f aca="false">IF(AND(ISNUMBER(HJ34),ISNUMBER(HJ$320),HJ$320&lt;&gt;0),HJ34*HJ$320/HJ$15,"")</f>
        <v/>
      </c>
      <c r="HK339" s="150" t="str">
        <f aca="false">IF(AND(ISNUMBER(HK34),ISNUMBER(HK$320),HK$320&lt;&gt;0),HK34*HK$320/HK$15,"")</f>
        <v/>
      </c>
      <c r="HL339" s="150" t="str">
        <f aca="false">IF(AND(ISNUMBER(HL34),ISNUMBER(HL$320),HL$320&lt;&gt;0),HL34*HL$320/HL$15,"")</f>
        <v/>
      </c>
      <c r="HM339" s="150" t="str">
        <f aca="false">IF(AND(ISNUMBER(HM34),ISNUMBER(HM$320),HM$320&lt;&gt;0),HM34*HM$320/HM$15,"")</f>
        <v/>
      </c>
      <c r="HN339" s="150" t="str">
        <f aca="false">IF(AND(ISNUMBER(HN34),ISNUMBER(HN$320),HN$320&lt;&gt;0),HN34*HN$320/HN$15,"")</f>
        <v/>
      </c>
      <c r="HO339" s="150" t="str">
        <f aca="false">IF(AND(ISNUMBER(HO34),ISNUMBER(HO$320),HO$320&lt;&gt;0),HO34*HO$320/HO$15,"")</f>
        <v/>
      </c>
      <c r="HP339" s="150" t="str">
        <f aca="false">IF(AND(ISNUMBER(HP34),ISNUMBER(HP$320),HP$320&lt;&gt;0),HP34*HP$320/HP$15,"")</f>
        <v/>
      </c>
      <c r="HQ339" s="150" t="str">
        <f aca="false">IF(AND(ISNUMBER(HQ34),ISNUMBER(HQ$320),HQ$320&lt;&gt;0),HQ34*HQ$320/HQ$15,"")</f>
        <v/>
      </c>
      <c r="HR339" s="150" t="str">
        <f aca="false">IF(AND(ISNUMBER(HR34),ISNUMBER(HR$320),HR$320&lt;&gt;0),HR34*HR$320/HR$15,"")</f>
        <v/>
      </c>
      <c r="HS339" s="150" t="str">
        <f aca="false">IF(AND(ISNUMBER(HS34),ISNUMBER(HS$320),HS$320&lt;&gt;0),HS34*HS$320/HS$15,"")</f>
        <v/>
      </c>
      <c r="HT339" s="150" t="str">
        <f aca="false">IF(AND(ISNUMBER(HT34),ISNUMBER(HT$320),HT$320&lt;&gt;0),HT34*HT$320/HT$15,"")</f>
        <v/>
      </c>
      <c r="HU339" s="150" t="str">
        <f aca="false">IF(AND(ISNUMBER(HU34),ISNUMBER(HU$320),HU$320&lt;&gt;0),HU34*HU$320/HU$15,"")</f>
        <v/>
      </c>
      <c r="HV339" s="150" t="str">
        <f aca="false">IF(AND(ISNUMBER(HV34),ISNUMBER(HV$320),HV$320&lt;&gt;0),HV34*HV$320/HV$15,"")</f>
        <v/>
      </c>
      <c r="HW339" s="150" t="str">
        <f aca="false">IF(AND(ISNUMBER(HW34),ISNUMBER(HW$320),HW$320&lt;&gt;0),HW34*HW$320/HW$15,"")</f>
        <v/>
      </c>
      <c r="HX339" s="150" t="str">
        <f aca="false">IF(AND(ISNUMBER(HX34),ISNUMBER(HX$320),HX$320&lt;&gt;0),HX34*HX$320/HX$15,"")</f>
        <v/>
      </c>
      <c r="HY339" s="150" t="str">
        <f aca="false">IF(AND(ISNUMBER(HY34),ISNUMBER(HY$320),HY$320&lt;&gt;0),HY34*HY$320/HY$15,"")</f>
        <v/>
      </c>
      <c r="HZ339" s="150" t="str">
        <f aca="false">IF(AND(ISNUMBER(HZ34),ISNUMBER(HZ$320),HZ$320&lt;&gt;0),HZ34*HZ$320/HZ$15,"")</f>
        <v/>
      </c>
      <c r="IA339" s="150" t="str">
        <f aca="false">IF(AND(ISNUMBER(IA34),ISNUMBER(IA$320),IA$320&lt;&gt;0),IA34*IA$320/IA$15,"")</f>
        <v/>
      </c>
      <c r="IB339" s="150" t="str">
        <f aca="false">IF(AND(ISNUMBER(IB34),ISNUMBER(IB$320),IB$320&lt;&gt;0),IB34*IB$320/IB$15,"")</f>
        <v/>
      </c>
      <c r="IC339" s="150" t="str">
        <f aca="false">IF(AND(ISNUMBER(IC34),ISNUMBER(IC$320),IC$320&lt;&gt;0),IC34*IC$320/IC$15,"")</f>
        <v/>
      </c>
      <c r="ID339" s="572" t="str">
        <f aca="false">IF(AND(ISNUMBER(ID34),ISNUMBER(ID$320),ID$320&lt;&gt;0),ID34*ID$320/ID$15,"")</f>
        <v/>
      </c>
      <c r="IE339" s="129"/>
    </row>
    <row r="340" customFormat="false" ht="12.75" hidden="false" customHeight="false" outlineLevel="0" collapsed="false">
      <c r="I340" s="735"/>
      <c r="J340" s="727"/>
      <c r="K340" s="195"/>
      <c r="L340" s="195"/>
      <c r="M340" s="729"/>
      <c r="P340" s="727"/>
      <c r="S340" s="1"/>
      <c r="T340" s="727"/>
      <c r="U340" s="195"/>
      <c r="V340" s="195"/>
      <c r="W340" s="195"/>
      <c r="X340" s="195"/>
      <c r="Y340" s="195"/>
      <c r="Z340" s="195"/>
      <c r="AA340" s="195"/>
      <c r="AB340" s="195"/>
      <c r="AC340" s="195"/>
      <c r="AD340" s="195"/>
      <c r="AE340" s="195"/>
      <c r="AF340" s="195"/>
      <c r="AG340" s="195"/>
      <c r="AH340" s="195"/>
      <c r="AI340" s="195"/>
      <c r="AJ340" s="195"/>
      <c r="AK340" s="195"/>
      <c r="AL340" s="195"/>
      <c r="AM340" s="195"/>
      <c r="AN340" s="532"/>
      <c r="AO340" s="532"/>
      <c r="AP340" s="240"/>
      <c r="AQ340" s="532"/>
      <c r="AR340" s="240"/>
      <c r="AS340" s="240"/>
      <c r="AT340" s="240"/>
      <c r="AU340" s="730"/>
      <c r="AV340" s="730"/>
      <c r="AW340" s="730"/>
      <c r="AX340" s="730"/>
      <c r="AY340" s="468"/>
      <c r="AZ340" s="468"/>
      <c r="BA340" s="240"/>
      <c r="BB340" s="240"/>
      <c r="BC340" s="240"/>
      <c r="BD340" s="240"/>
      <c r="BE340" s="672"/>
      <c r="BF340" s="672"/>
      <c r="BG340" s="672"/>
      <c r="BH340" s="731"/>
      <c r="BI340" s="672"/>
      <c r="BJ340" s="240"/>
      <c r="BK340" s="736"/>
      <c r="BL340" s="737"/>
      <c r="BM340" s="240"/>
      <c r="BN340" s="240"/>
      <c r="BO340" s="240"/>
      <c r="BP340" s="240"/>
      <c r="BQ340" s="240"/>
      <c r="BR340" s="240"/>
      <c r="BS340" s="240"/>
      <c r="BT340" s="240"/>
      <c r="BU340" s="240"/>
      <c r="BV340" s="240"/>
      <c r="BW340" s="240"/>
      <c r="BX340" s="240"/>
      <c r="BY340" s="240"/>
      <c r="BZ340" s="240"/>
      <c r="CA340" s="240"/>
      <c r="CB340" s="672"/>
      <c r="CC340" s="672"/>
      <c r="CD340" s="672"/>
      <c r="CE340" s="672"/>
      <c r="CF340" s="672"/>
      <c r="CG340" s="672"/>
      <c r="CH340" s="240"/>
      <c r="CI340" s="240"/>
      <c r="CJ340" s="240"/>
      <c r="CK340" s="240"/>
      <c r="CL340" s="240"/>
      <c r="CM340" s="240"/>
      <c r="CN340" s="240"/>
      <c r="CO340" s="240"/>
      <c r="CP340" s="240"/>
      <c r="CQ340" s="240"/>
      <c r="CR340" s="240"/>
      <c r="CS340" s="240"/>
      <c r="CT340" s="240"/>
      <c r="CU340" s="240"/>
      <c r="CV340" s="240"/>
      <c r="CW340" s="240"/>
      <c r="CX340" s="240"/>
      <c r="CY340" s="240"/>
      <c r="CZ340" s="240"/>
      <c r="DA340" s="240"/>
      <c r="DB340" s="240"/>
      <c r="DC340" s="240"/>
      <c r="DD340" s="240"/>
      <c r="DE340" s="240"/>
      <c r="DF340" s="240"/>
      <c r="DG340" s="733"/>
      <c r="DH340" s="478"/>
      <c r="DI340" s="195"/>
      <c r="DJ340" s="3"/>
      <c r="DK340" s="478"/>
      <c r="DL340" s="4"/>
      <c r="DM340" s="4"/>
      <c r="DN340" s="4"/>
      <c r="DO340" s="4"/>
      <c r="DP340" s="4"/>
      <c r="DQ340" s="4"/>
      <c r="DS340" s="195"/>
      <c r="DT340" s="195"/>
      <c r="DU340" s="195"/>
      <c r="DV340" s="195"/>
      <c r="DW340" s="195"/>
      <c r="DX340" s="195"/>
      <c r="DY340" s="195"/>
      <c r="DZ340" s="195"/>
      <c r="EA340" s="195"/>
      <c r="EB340" s="195"/>
      <c r="EC340" s="195"/>
      <c r="ED340" s="195"/>
      <c r="EE340" s="195"/>
      <c r="EF340" s="195"/>
      <c r="EG340" s="195"/>
      <c r="EL340" s="1"/>
      <c r="EM340" s="195"/>
      <c r="EN340" s="240"/>
      <c r="EO340" s="240"/>
      <c r="EP340" s="195"/>
      <c r="EQ340" s="240"/>
      <c r="ER340" s="195"/>
      <c r="ES340" s="195"/>
      <c r="ET340" s="195"/>
      <c r="EU340" s="672"/>
      <c r="FJ340" s="571" t="n">
        <v>16</v>
      </c>
      <c r="FK340" s="150" t="str">
        <f aca="false">IF(AND(ISNUMBER(FK35),ISNUMBER(FK$320),FK$320&lt;&gt;0),FK35*FK$320/FK$15,"")</f>
        <v/>
      </c>
      <c r="FL340" s="150" t="str">
        <f aca="false">IF(AND(ISNUMBER(FL35),ISNUMBER(FL$320),FL$320&lt;&gt;0),FL35*FL$320/FL$15,"")</f>
        <v/>
      </c>
      <c r="FM340" s="150" t="n">
        <f aca="false">IF(AND(ISNUMBER(FM35),ISNUMBER(FM$320),FM$320&lt;&gt;0),FM35*FM$320/FM$15,"")</f>
        <v>0.00312242392438661</v>
      </c>
      <c r="FN340" s="150" t="n">
        <f aca="false">IF(AND(ISNUMBER(FN35),ISNUMBER(FN$320),FN$320&lt;&gt;0),FN35*FN$320/FN$15,"")</f>
        <v>0.00272135273310577</v>
      </c>
      <c r="FO340" s="150" t="n">
        <f aca="false">IF(AND(ISNUMBER(FO35),ISNUMBER(FO$320),FO$320&lt;&gt;0),FO35*FO$320/FO$15,"")</f>
        <v>0.00294885797158554</v>
      </c>
      <c r="FP340" s="150" t="n">
        <f aca="false">IF(AND(ISNUMBER(FP35),ISNUMBER(FP$320),FP$320&lt;&gt;0),FP35*FP$320/FP$15,"")</f>
        <v>0.00171421577401783</v>
      </c>
      <c r="FQ340" s="150" t="str">
        <f aca="false">IF(AND(ISNUMBER(FQ35),ISNUMBER(FQ$320),FQ$320&lt;&gt;0),FQ35*FQ$320/FQ$15,"")</f>
        <v/>
      </c>
      <c r="FR340" s="150" t="str">
        <f aca="false">IF(AND(ISNUMBER(FR35),ISNUMBER(FR$320),FR$320&lt;&gt;0),FR35*FR$320/FR$15,"")</f>
        <v/>
      </c>
      <c r="FS340" s="150" t="str">
        <f aca="false">IF(AND(ISNUMBER(FS35),ISNUMBER(FS$320),FS$320&lt;&gt;0),FS35*FS$320/FS$15,"")</f>
        <v/>
      </c>
      <c r="FT340" s="150" t="str">
        <f aca="false">IF(AND(ISNUMBER(FT35),ISNUMBER(FT$320),FT$320&lt;&gt;0),FT35*FT$320/FT$15,"")</f>
        <v/>
      </c>
      <c r="FU340" s="150" t="str">
        <f aca="false">IF(AND(ISNUMBER(FU35),ISNUMBER(FU$320),FU$320&lt;&gt;0),FU35*FU$320/FU$15,"")</f>
        <v/>
      </c>
      <c r="FV340" s="150" t="str">
        <f aca="false">IF(AND(ISNUMBER(FV35),ISNUMBER(FV$320),FV$320&lt;&gt;0),FV35*FV$320/FV$15,"")</f>
        <v/>
      </c>
      <c r="FW340" s="150" t="str">
        <f aca="false">IF(AND(ISNUMBER(FW35),ISNUMBER(FW$320),FW$320&lt;&gt;0),FW35*FW$320/FW$15,"")</f>
        <v/>
      </c>
      <c r="FX340" s="150" t="str">
        <f aca="false">IF(AND(ISNUMBER(FX35),ISNUMBER(FX$320),FX$320&lt;&gt;0),FX35*FX$320/FX$15,"")</f>
        <v/>
      </c>
      <c r="FY340" s="150" t="str">
        <f aca="false">IF(AND(ISNUMBER(FY35),ISNUMBER(FY$320),FY$320&lt;&gt;0),FY35*FY$320/FY$15,"")</f>
        <v/>
      </c>
      <c r="FZ340" s="150" t="str">
        <f aca="false">IF(AND(ISNUMBER(FZ35),ISNUMBER(FZ$320),FZ$320&lt;&gt;0),FZ35*FZ$320/FZ$15,"")</f>
        <v/>
      </c>
      <c r="GA340" s="150" t="str">
        <f aca="false">IF(AND(ISNUMBER(GA35),ISNUMBER(GA$320),GA$320&lt;&gt;0),GA35*GA$320/GA$15,"")</f>
        <v/>
      </c>
      <c r="GB340" s="150" t="str">
        <f aca="false">IF(AND(ISNUMBER(GB35),ISNUMBER(GB$320),GB$320&lt;&gt;0),GB35*GB$320/GB$15,"")</f>
        <v/>
      </c>
      <c r="GC340" s="150" t="str">
        <f aca="false">IF(AND(ISNUMBER(GC35),ISNUMBER(GC$320),GC$320&lt;&gt;0),GC35*GC$320/GC$15,"")</f>
        <v/>
      </c>
      <c r="GD340" s="150" t="str">
        <f aca="false">IF(AND(ISNUMBER(GD35),ISNUMBER(GD$320),GD$320&lt;&gt;0),GD35*GD$320/GD$15,"")</f>
        <v/>
      </c>
      <c r="GE340" s="150" t="str">
        <f aca="false">IF(AND(ISNUMBER(GE35),ISNUMBER(GE$320),GE$320&lt;&gt;0),GE35*GE$320/GE$15,"")</f>
        <v/>
      </c>
      <c r="GF340" s="150" t="str">
        <f aca="false">IF(AND(ISNUMBER(GF35),ISNUMBER(GF$320),GF$320&lt;&gt;0),GF35*GF$320/GF$15,"")</f>
        <v/>
      </c>
      <c r="GG340" s="150" t="str">
        <f aca="false">IF(AND(ISNUMBER(GG35),ISNUMBER(GG$320),GG$320&lt;&gt;0),GG35*GG$320/GG$15,"")</f>
        <v/>
      </c>
      <c r="GH340" s="150" t="str">
        <f aca="false">IF(AND(ISNUMBER(GH35),ISNUMBER(GH$320),GH$320&lt;&gt;0),GH35*GH$320/GH$15,"")</f>
        <v/>
      </c>
      <c r="GI340" s="150" t="str">
        <f aca="false">IF(AND(ISNUMBER(GI35),ISNUMBER(GI$320),GI$320&lt;&gt;0),GI35*GI$320/GI$15,"")</f>
        <v/>
      </c>
      <c r="GJ340" s="150" t="str">
        <f aca="false">IF(AND(ISNUMBER(GJ35),ISNUMBER(GJ$320),GJ$320&lt;&gt;0),GJ35*GJ$320/GJ$15,"")</f>
        <v/>
      </c>
      <c r="GK340" s="150" t="str">
        <f aca="false">IF(AND(ISNUMBER(GK35),ISNUMBER(GK$320),GK$320&lt;&gt;0),GK35*GK$320/GK$15,"")</f>
        <v/>
      </c>
      <c r="GL340" s="150" t="str">
        <f aca="false">IF(AND(ISNUMBER(GL35),ISNUMBER(GL$320),GL$320&lt;&gt;0),GL35*GL$320/GL$15,"")</f>
        <v/>
      </c>
      <c r="GM340" s="150" t="str">
        <f aca="false">IF(AND(ISNUMBER(GM35),ISNUMBER(GM$320),GM$320&lt;&gt;0),GM35*GM$320/GM$15,"")</f>
        <v/>
      </c>
      <c r="GN340" s="150" t="str">
        <f aca="false">IF(AND(ISNUMBER(GN35),ISNUMBER(GN$320),GN$320&lt;&gt;0),GN35*GN$320/GN$15,"")</f>
        <v/>
      </c>
      <c r="GO340" s="150" t="str">
        <f aca="false">IF(AND(ISNUMBER(GO35),ISNUMBER(GO$320),GO$320&lt;&gt;0),GO35*GO$320/GO$15,"")</f>
        <v/>
      </c>
      <c r="GP340" s="150" t="str">
        <f aca="false">IF(AND(ISNUMBER(GP35),ISNUMBER(GP$320),GP$320&lt;&gt;0),GP35*GP$320/GP$15,"")</f>
        <v/>
      </c>
      <c r="GQ340" s="150" t="str">
        <f aca="false">IF(AND(ISNUMBER(GQ35),ISNUMBER(GQ$320),GQ$320&lt;&gt;0),GQ35*GQ$320/GQ$15,"")</f>
        <v/>
      </c>
      <c r="GR340" s="150" t="str">
        <f aca="false">IF(AND(ISNUMBER(GR35),ISNUMBER(GR$320),GR$320&lt;&gt;0),GR35*GR$320/GR$15,"")</f>
        <v/>
      </c>
      <c r="GS340" s="150" t="str">
        <f aca="false">IF(AND(ISNUMBER(GS35),ISNUMBER(GS$320),GS$320&lt;&gt;0),GS35*GS$320/GS$15,"")</f>
        <v/>
      </c>
      <c r="GT340" s="150" t="str">
        <f aca="false">IF(AND(ISNUMBER(GT35),ISNUMBER(GT$320),GT$320&lt;&gt;0),GT35*GT$320/GT$15,"")</f>
        <v/>
      </c>
      <c r="GU340" s="150" t="str">
        <f aca="false">IF(AND(ISNUMBER(GU35),ISNUMBER(GU$320),GU$320&lt;&gt;0),GU35*GU$320/GU$15,"")</f>
        <v/>
      </c>
      <c r="GV340" s="150" t="str">
        <f aca="false">IF(AND(ISNUMBER(GV35),ISNUMBER(GV$320),GV$320&lt;&gt;0),GV35*GV$320/GV$15,"")</f>
        <v/>
      </c>
      <c r="GW340" s="150" t="str">
        <f aca="false">IF(AND(ISNUMBER(GW35),ISNUMBER(GW$320),GW$320&lt;&gt;0),GW35*GW$320/GW$15,"")</f>
        <v/>
      </c>
      <c r="GX340" s="150" t="str">
        <f aca="false">IF(AND(ISNUMBER(GX35),ISNUMBER(GX$320),GX$320&lt;&gt;0),GX35*GX$320/GX$15,"")</f>
        <v/>
      </c>
      <c r="GY340" s="150" t="str">
        <f aca="false">IF(AND(ISNUMBER(GY35),ISNUMBER(GY$320),GY$320&lt;&gt;0),GY35*GY$320/GY$15,"")</f>
        <v/>
      </c>
      <c r="GZ340" s="150" t="str">
        <f aca="false">IF(AND(ISNUMBER(GZ35),ISNUMBER(GZ$320),GZ$320&lt;&gt;0),GZ35*GZ$320/GZ$15,"")</f>
        <v/>
      </c>
      <c r="HA340" s="150" t="str">
        <f aca="false">IF(AND(ISNUMBER(HA35),ISNUMBER(HA$320),HA$320&lt;&gt;0),HA35*HA$320/HA$15,"")</f>
        <v/>
      </c>
      <c r="HB340" s="150" t="str">
        <f aca="false">IF(AND(ISNUMBER(HB35),ISNUMBER(HB$320),HB$320&lt;&gt;0),HB35*HB$320/HB$15,"")</f>
        <v/>
      </c>
      <c r="HC340" s="150" t="str">
        <f aca="false">IF(AND(ISNUMBER(HC35),ISNUMBER(HC$320),HC$320&lt;&gt;0),HC35*HC$320/HC$15,"")</f>
        <v/>
      </c>
      <c r="HD340" s="150" t="str">
        <f aca="false">IF(AND(ISNUMBER(HD35),ISNUMBER(HD$320),HD$320&lt;&gt;0),HD35*HD$320/HD$15,"")</f>
        <v/>
      </c>
      <c r="HE340" s="150" t="str">
        <f aca="false">IF(AND(ISNUMBER(HE35),ISNUMBER(HE$320),HE$320&lt;&gt;0),HE35*HE$320/HE$15,"")</f>
        <v/>
      </c>
      <c r="HF340" s="150" t="str">
        <f aca="false">IF(AND(ISNUMBER(HF35),ISNUMBER(HF$320),HF$320&lt;&gt;0),HF35*HF$320/HF$15,"")</f>
        <v/>
      </c>
      <c r="HG340" s="150" t="str">
        <f aca="false">IF(AND(ISNUMBER(HG35),ISNUMBER(HG$320),HG$320&lt;&gt;0),HG35*HG$320/HG$15,"")</f>
        <v/>
      </c>
      <c r="HH340" s="150" t="str">
        <f aca="false">IF(AND(ISNUMBER(HH35),ISNUMBER(HH$320),HH$320&lt;&gt;0),HH35*HH$320/HH$15,"")</f>
        <v/>
      </c>
      <c r="HI340" s="150" t="str">
        <f aca="false">IF(AND(ISNUMBER(HI35),ISNUMBER(HI$320),HI$320&lt;&gt;0),HI35*HI$320/HI$15,"")</f>
        <v/>
      </c>
      <c r="HJ340" s="150" t="str">
        <f aca="false">IF(AND(ISNUMBER(HJ35),ISNUMBER(HJ$320),HJ$320&lt;&gt;0),HJ35*HJ$320/HJ$15,"")</f>
        <v/>
      </c>
      <c r="HK340" s="150" t="str">
        <f aca="false">IF(AND(ISNUMBER(HK35),ISNUMBER(HK$320),HK$320&lt;&gt;0),HK35*HK$320/HK$15,"")</f>
        <v/>
      </c>
      <c r="HL340" s="150" t="str">
        <f aca="false">IF(AND(ISNUMBER(HL35),ISNUMBER(HL$320),HL$320&lt;&gt;0),HL35*HL$320/HL$15,"")</f>
        <v/>
      </c>
      <c r="HM340" s="150" t="str">
        <f aca="false">IF(AND(ISNUMBER(HM35),ISNUMBER(HM$320),HM$320&lt;&gt;0),HM35*HM$320/HM$15,"")</f>
        <v/>
      </c>
      <c r="HN340" s="150" t="str">
        <f aca="false">IF(AND(ISNUMBER(HN35),ISNUMBER(HN$320),HN$320&lt;&gt;0),HN35*HN$320/HN$15,"")</f>
        <v/>
      </c>
      <c r="HO340" s="150" t="str">
        <f aca="false">IF(AND(ISNUMBER(HO35),ISNUMBER(HO$320),HO$320&lt;&gt;0),HO35*HO$320/HO$15,"")</f>
        <v/>
      </c>
      <c r="HP340" s="150" t="str">
        <f aca="false">IF(AND(ISNUMBER(HP35),ISNUMBER(HP$320),HP$320&lt;&gt;0),HP35*HP$320/HP$15,"")</f>
        <v/>
      </c>
      <c r="HQ340" s="150" t="str">
        <f aca="false">IF(AND(ISNUMBER(HQ35),ISNUMBER(HQ$320),HQ$320&lt;&gt;0),HQ35*HQ$320/HQ$15,"")</f>
        <v/>
      </c>
      <c r="HR340" s="150" t="str">
        <f aca="false">IF(AND(ISNUMBER(HR35),ISNUMBER(HR$320),HR$320&lt;&gt;0),HR35*HR$320/HR$15,"")</f>
        <v/>
      </c>
      <c r="HS340" s="150" t="str">
        <f aca="false">IF(AND(ISNUMBER(HS35),ISNUMBER(HS$320),HS$320&lt;&gt;0),HS35*HS$320/HS$15,"")</f>
        <v/>
      </c>
      <c r="HT340" s="150" t="str">
        <f aca="false">IF(AND(ISNUMBER(HT35),ISNUMBER(HT$320),HT$320&lt;&gt;0),HT35*HT$320/HT$15,"")</f>
        <v/>
      </c>
      <c r="HU340" s="150" t="str">
        <f aca="false">IF(AND(ISNUMBER(HU35),ISNUMBER(HU$320),HU$320&lt;&gt;0),HU35*HU$320/HU$15,"")</f>
        <v/>
      </c>
      <c r="HV340" s="150" t="str">
        <f aca="false">IF(AND(ISNUMBER(HV35),ISNUMBER(HV$320),HV$320&lt;&gt;0),HV35*HV$320/HV$15,"")</f>
        <v/>
      </c>
      <c r="HW340" s="150" t="str">
        <f aca="false">IF(AND(ISNUMBER(HW35),ISNUMBER(HW$320),HW$320&lt;&gt;0),HW35*HW$320/HW$15,"")</f>
        <v/>
      </c>
      <c r="HX340" s="150" t="str">
        <f aca="false">IF(AND(ISNUMBER(HX35),ISNUMBER(HX$320),HX$320&lt;&gt;0),HX35*HX$320/HX$15,"")</f>
        <v/>
      </c>
      <c r="HY340" s="150" t="str">
        <f aca="false">IF(AND(ISNUMBER(HY35),ISNUMBER(HY$320),HY$320&lt;&gt;0),HY35*HY$320/HY$15,"")</f>
        <v/>
      </c>
      <c r="HZ340" s="150" t="str">
        <f aca="false">IF(AND(ISNUMBER(HZ35),ISNUMBER(HZ$320),HZ$320&lt;&gt;0),HZ35*HZ$320/HZ$15,"")</f>
        <v/>
      </c>
      <c r="IA340" s="150" t="str">
        <f aca="false">IF(AND(ISNUMBER(IA35),ISNUMBER(IA$320),IA$320&lt;&gt;0),IA35*IA$320/IA$15,"")</f>
        <v/>
      </c>
      <c r="IB340" s="150" t="str">
        <f aca="false">IF(AND(ISNUMBER(IB35),ISNUMBER(IB$320),IB$320&lt;&gt;0),IB35*IB$320/IB$15,"")</f>
        <v/>
      </c>
      <c r="IC340" s="150" t="str">
        <f aca="false">IF(AND(ISNUMBER(IC35),ISNUMBER(IC$320),IC$320&lt;&gt;0),IC35*IC$320/IC$15,"")</f>
        <v/>
      </c>
      <c r="ID340" s="572" t="str">
        <f aca="false">IF(AND(ISNUMBER(ID35),ISNUMBER(ID$320),ID$320&lt;&gt;0),ID35*ID$320/ID$15,"")</f>
        <v/>
      </c>
      <c r="IE340" s="129"/>
    </row>
    <row r="341" customFormat="false" ht="12.75" hidden="false" customHeight="false" outlineLevel="0" collapsed="false">
      <c r="I341" s="735"/>
      <c r="J341" s="727"/>
      <c r="K341" s="195"/>
      <c r="L341" s="195"/>
      <c r="M341" s="729"/>
      <c r="P341" s="727"/>
      <c r="S341" s="1"/>
      <c r="T341" s="727"/>
      <c r="U341" s="195"/>
      <c r="V341" s="195"/>
      <c r="W341" s="195"/>
      <c r="X341" s="195"/>
      <c r="Y341" s="195"/>
      <c r="Z341" s="195"/>
      <c r="AA341" s="195"/>
      <c r="AB341" s="195"/>
      <c r="AC341" s="195"/>
      <c r="AD341" s="195"/>
      <c r="AE341" s="195"/>
      <c r="AF341" s="195"/>
      <c r="AG341" s="195"/>
      <c r="AH341" s="195"/>
      <c r="AI341" s="195"/>
      <c r="AJ341" s="195"/>
      <c r="AK341" s="195"/>
      <c r="AL341" s="195"/>
      <c r="AM341" s="195"/>
      <c r="AN341" s="532"/>
      <c r="AO341" s="532"/>
      <c r="AP341" s="240"/>
      <c r="AQ341" s="532"/>
      <c r="AR341" s="240"/>
      <c r="AS341" s="240"/>
      <c r="AT341" s="240"/>
      <c r="AU341" s="730"/>
      <c r="AV341" s="730"/>
      <c r="AW341" s="730"/>
      <c r="AX341" s="730"/>
      <c r="AY341" s="468"/>
      <c r="AZ341" s="468"/>
      <c r="BA341" s="240"/>
      <c r="BB341" s="240"/>
      <c r="BC341" s="240"/>
      <c r="BD341" s="240"/>
      <c r="BE341" s="672"/>
      <c r="BF341" s="672"/>
      <c r="BG341" s="672"/>
      <c r="BH341" s="731"/>
      <c r="BI341" s="672"/>
      <c r="BJ341" s="240"/>
      <c r="BK341" s="736"/>
      <c r="BL341" s="737"/>
      <c r="BM341" s="240"/>
      <c r="BN341" s="240"/>
      <c r="BO341" s="240"/>
      <c r="BP341" s="240"/>
      <c r="BQ341" s="240"/>
      <c r="BR341" s="240"/>
      <c r="BS341" s="240"/>
      <c r="BT341" s="240"/>
      <c r="BU341" s="240"/>
      <c r="BV341" s="240"/>
      <c r="BW341" s="240"/>
      <c r="BX341" s="240"/>
      <c r="BY341" s="240"/>
      <c r="BZ341" s="240"/>
      <c r="CA341" s="240"/>
      <c r="CB341" s="672"/>
      <c r="CC341" s="672"/>
      <c r="CD341" s="672"/>
      <c r="CE341" s="672"/>
      <c r="CF341" s="672"/>
      <c r="CG341" s="672"/>
      <c r="CH341" s="240"/>
      <c r="CI341" s="240"/>
      <c r="CJ341" s="240"/>
      <c r="CK341" s="240"/>
      <c r="CL341" s="240"/>
      <c r="CM341" s="240"/>
      <c r="CN341" s="240"/>
      <c r="CO341" s="240"/>
      <c r="CP341" s="240"/>
      <c r="CQ341" s="240"/>
      <c r="CR341" s="240"/>
      <c r="CS341" s="240"/>
      <c r="CT341" s="240"/>
      <c r="CU341" s="240"/>
      <c r="CV341" s="240"/>
      <c r="CW341" s="240"/>
      <c r="CX341" s="240"/>
      <c r="CY341" s="240"/>
      <c r="CZ341" s="240"/>
      <c r="DA341" s="240"/>
      <c r="DB341" s="240"/>
      <c r="DC341" s="240"/>
      <c r="DD341" s="240"/>
      <c r="DE341" s="240"/>
      <c r="DF341" s="240"/>
      <c r="DG341" s="733"/>
      <c r="DH341" s="478"/>
      <c r="DI341" s="195"/>
      <c r="DJ341" s="3"/>
      <c r="DK341" s="478"/>
      <c r="DL341" s="4"/>
      <c r="DM341" s="4"/>
      <c r="DN341" s="4"/>
      <c r="DO341" s="4"/>
      <c r="DP341" s="4"/>
      <c r="DQ341" s="4"/>
      <c r="DS341" s="195"/>
      <c r="DT341" s="195"/>
      <c r="DU341" s="195"/>
      <c r="DV341" s="195"/>
      <c r="DW341" s="195"/>
      <c r="DX341" s="195"/>
      <c r="DY341" s="195"/>
      <c r="DZ341" s="195"/>
      <c r="EA341" s="195"/>
      <c r="EB341" s="195"/>
      <c r="EC341" s="195"/>
      <c r="ED341" s="195"/>
      <c r="EE341" s="195"/>
      <c r="EF341" s="195"/>
      <c r="EG341" s="195"/>
      <c r="EL341" s="1"/>
      <c r="EM341" s="195"/>
      <c r="EN341" s="240"/>
      <c r="EO341" s="240"/>
      <c r="EP341" s="195"/>
      <c r="EQ341" s="240"/>
      <c r="ER341" s="195"/>
      <c r="ES341" s="195"/>
      <c r="ET341" s="195"/>
      <c r="EU341" s="672"/>
      <c r="FJ341" s="571" t="n">
        <v>17</v>
      </c>
      <c r="FK341" s="150" t="str">
        <f aca="false">IF(AND(ISNUMBER(FK36),ISNUMBER(FK$320),FK$320&lt;&gt;0),FK36*FK$320/FK$15,"")</f>
        <v/>
      </c>
      <c r="FL341" s="150" t="str">
        <f aca="false">IF(AND(ISNUMBER(FL36),ISNUMBER(FL$320),FL$320&lt;&gt;0),FL36*FL$320/FL$15,"")</f>
        <v/>
      </c>
      <c r="FM341" s="150" t="n">
        <f aca="false">IF(AND(ISNUMBER(FM36),ISNUMBER(FM$320),FM$320&lt;&gt;0),FM36*FM$320/FM$15,"")</f>
        <v>0.00303089283531748</v>
      </c>
      <c r="FN341" s="150" t="n">
        <f aca="false">IF(AND(ISNUMBER(FN36),ISNUMBER(FN$320),FN$320&lt;&gt;0),FN36*FN$320/FN$15,"")</f>
        <v>0.00262804975921353</v>
      </c>
      <c r="FO341" s="150" t="n">
        <f aca="false">IF(AND(ISNUMBER(FO36),ISNUMBER(FO$320),FO$320&lt;&gt;0),FO36*FO$320/FO$15,"")</f>
        <v>0.00283060872286952</v>
      </c>
      <c r="FP341" s="150" t="n">
        <f aca="false">IF(AND(ISNUMBER(FP36),ISNUMBER(FP$320),FP$320&lt;&gt;0),FP36*FP$320/FP$15,"")</f>
        <v>0.00163381802179771</v>
      </c>
      <c r="FQ341" s="150" t="str">
        <f aca="false">IF(AND(ISNUMBER(FQ36),ISNUMBER(FQ$320),FQ$320&lt;&gt;0),FQ36*FQ$320/FQ$15,"")</f>
        <v/>
      </c>
      <c r="FR341" s="150" t="str">
        <f aca="false">IF(AND(ISNUMBER(FR36),ISNUMBER(FR$320),FR$320&lt;&gt;0),FR36*FR$320/FR$15,"")</f>
        <v/>
      </c>
      <c r="FS341" s="150" t="str">
        <f aca="false">IF(AND(ISNUMBER(FS36),ISNUMBER(FS$320),FS$320&lt;&gt;0),FS36*FS$320/FS$15,"")</f>
        <v/>
      </c>
      <c r="FT341" s="150" t="str">
        <f aca="false">IF(AND(ISNUMBER(FT36),ISNUMBER(FT$320),FT$320&lt;&gt;0),FT36*FT$320/FT$15,"")</f>
        <v/>
      </c>
      <c r="FU341" s="150" t="str">
        <f aca="false">IF(AND(ISNUMBER(FU36),ISNUMBER(FU$320),FU$320&lt;&gt;0),FU36*FU$320/FU$15,"")</f>
        <v/>
      </c>
      <c r="FV341" s="150" t="str">
        <f aca="false">IF(AND(ISNUMBER(FV36),ISNUMBER(FV$320),FV$320&lt;&gt;0),FV36*FV$320/FV$15,"")</f>
        <v/>
      </c>
      <c r="FW341" s="150" t="str">
        <f aca="false">IF(AND(ISNUMBER(FW36),ISNUMBER(FW$320),FW$320&lt;&gt;0),FW36*FW$320/FW$15,"")</f>
        <v/>
      </c>
      <c r="FX341" s="150" t="str">
        <f aca="false">IF(AND(ISNUMBER(FX36),ISNUMBER(FX$320),FX$320&lt;&gt;0),FX36*FX$320/FX$15,"")</f>
        <v/>
      </c>
      <c r="FY341" s="150" t="str">
        <f aca="false">IF(AND(ISNUMBER(FY36),ISNUMBER(FY$320),FY$320&lt;&gt;0),FY36*FY$320/FY$15,"")</f>
        <v/>
      </c>
      <c r="FZ341" s="150" t="str">
        <f aca="false">IF(AND(ISNUMBER(FZ36),ISNUMBER(FZ$320),FZ$320&lt;&gt;0),FZ36*FZ$320/FZ$15,"")</f>
        <v/>
      </c>
      <c r="GA341" s="150" t="str">
        <f aca="false">IF(AND(ISNUMBER(GA36),ISNUMBER(GA$320),GA$320&lt;&gt;0),GA36*GA$320/GA$15,"")</f>
        <v/>
      </c>
      <c r="GB341" s="150" t="str">
        <f aca="false">IF(AND(ISNUMBER(GB36),ISNUMBER(GB$320),GB$320&lt;&gt;0),GB36*GB$320/GB$15,"")</f>
        <v/>
      </c>
      <c r="GC341" s="150" t="str">
        <f aca="false">IF(AND(ISNUMBER(GC36),ISNUMBER(GC$320),GC$320&lt;&gt;0),GC36*GC$320/GC$15,"")</f>
        <v/>
      </c>
      <c r="GD341" s="150" t="str">
        <f aca="false">IF(AND(ISNUMBER(GD36),ISNUMBER(GD$320),GD$320&lt;&gt;0),GD36*GD$320/GD$15,"")</f>
        <v/>
      </c>
      <c r="GE341" s="150" t="str">
        <f aca="false">IF(AND(ISNUMBER(GE36),ISNUMBER(GE$320),GE$320&lt;&gt;0),GE36*GE$320/GE$15,"")</f>
        <v/>
      </c>
      <c r="GF341" s="150" t="str">
        <f aca="false">IF(AND(ISNUMBER(GF36),ISNUMBER(GF$320),GF$320&lt;&gt;0),GF36*GF$320/GF$15,"")</f>
        <v/>
      </c>
      <c r="GG341" s="150" t="str">
        <f aca="false">IF(AND(ISNUMBER(GG36),ISNUMBER(GG$320),GG$320&lt;&gt;0),GG36*GG$320/GG$15,"")</f>
        <v/>
      </c>
      <c r="GH341" s="150" t="str">
        <f aca="false">IF(AND(ISNUMBER(GH36),ISNUMBER(GH$320),GH$320&lt;&gt;0),GH36*GH$320/GH$15,"")</f>
        <v/>
      </c>
      <c r="GI341" s="150" t="str">
        <f aca="false">IF(AND(ISNUMBER(GI36),ISNUMBER(GI$320),GI$320&lt;&gt;0),GI36*GI$320/GI$15,"")</f>
        <v/>
      </c>
      <c r="GJ341" s="150" t="str">
        <f aca="false">IF(AND(ISNUMBER(GJ36),ISNUMBER(GJ$320),GJ$320&lt;&gt;0),GJ36*GJ$320/GJ$15,"")</f>
        <v/>
      </c>
      <c r="GK341" s="150" t="str">
        <f aca="false">IF(AND(ISNUMBER(GK36),ISNUMBER(GK$320),GK$320&lt;&gt;0),GK36*GK$320/GK$15,"")</f>
        <v/>
      </c>
      <c r="GL341" s="150" t="str">
        <f aca="false">IF(AND(ISNUMBER(GL36),ISNUMBER(GL$320),GL$320&lt;&gt;0),GL36*GL$320/GL$15,"")</f>
        <v/>
      </c>
      <c r="GM341" s="150" t="str">
        <f aca="false">IF(AND(ISNUMBER(GM36),ISNUMBER(GM$320),GM$320&lt;&gt;0),GM36*GM$320/GM$15,"")</f>
        <v/>
      </c>
      <c r="GN341" s="150" t="str">
        <f aca="false">IF(AND(ISNUMBER(GN36),ISNUMBER(GN$320),GN$320&lt;&gt;0),GN36*GN$320/GN$15,"")</f>
        <v/>
      </c>
      <c r="GO341" s="150" t="str">
        <f aca="false">IF(AND(ISNUMBER(GO36),ISNUMBER(GO$320),GO$320&lt;&gt;0),GO36*GO$320/GO$15,"")</f>
        <v/>
      </c>
      <c r="GP341" s="150" t="str">
        <f aca="false">IF(AND(ISNUMBER(GP36),ISNUMBER(GP$320),GP$320&lt;&gt;0),GP36*GP$320/GP$15,"")</f>
        <v/>
      </c>
      <c r="GQ341" s="150" t="str">
        <f aca="false">IF(AND(ISNUMBER(GQ36),ISNUMBER(GQ$320),GQ$320&lt;&gt;0),GQ36*GQ$320/GQ$15,"")</f>
        <v/>
      </c>
      <c r="GR341" s="150" t="str">
        <f aca="false">IF(AND(ISNUMBER(GR36),ISNUMBER(GR$320),GR$320&lt;&gt;0),GR36*GR$320/GR$15,"")</f>
        <v/>
      </c>
      <c r="GS341" s="150" t="str">
        <f aca="false">IF(AND(ISNUMBER(GS36),ISNUMBER(GS$320),GS$320&lt;&gt;0),GS36*GS$320/GS$15,"")</f>
        <v/>
      </c>
      <c r="GT341" s="150" t="str">
        <f aca="false">IF(AND(ISNUMBER(GT36),ISNUMBER(GT$320),GT$320&lt;&gt;0),GT36*GT$320/GT$15,"")</f>
        <v/>
      </c>
      <c r="GU341" s="150" t="str">
        <f aca="false">IF(AND(ISNUMBER(GU36),ISNUMBER(GU$320),GU$320&lt;&gt;0),GU36*GU$320/GU$15,"")</f>
        <v/>
      </c>
      <c r="GV341" s="150" t="str">
        <f aca="false">IF(AND(ISNUMBER(GV36),ISNUMBER(GV$320),GV$320&lt;&gt;0),GV36*GV$320/GV$15,"")</f>
        <v/>
      </c>
      <c r="GW341" s="150" t="str">
        <f aca="false">IF(AND(ISNUMBER(GW36),ISNUMBER(GW$320),GW$320&lt;&gt;0),GW36*GW$320/GW$15,"")</f>
        <v/>
      </c>
      <c r="GX341" s="150" t="str">
        <f aca="false">IF(AND(ISNUMBER(GX36),ISNUMBER(GX$320),GX$320&lt;&gt;0),GX36*GX$320/GX$15,"")</f>
        <v/>
      </c>
      <c r="GY341" s="150" t="str">
        <f aca="false">IF(AND(ISNUMBER(GY36),ISNUMBER(GY$320),GY$320&lt;&gt;0),GY36*GY$320/GY$15,"")</f>
        <v/>
      </c>
      <c r="GZ341" s="150" t="str">
        <f aca="false">IF(AND(ISNUMBER(GZ36),ISNUMBER(GZ$320),GZ$320&lt;&gt;0),GZ36*GZ$320/GZ$15,"")</f>
        <v/>
      </c>
      <c r="HA341" s="150" t="str">
        <f aca="false">IF(AND(ISNUMBER(HA36),ISNUMBER(HA$320),HA$320&lt;&gt;0),HA36*HA$320/HA$15,"")</f>
        <v/>
      </c>
      <c r="HB341" s="150" t="str">
        <f aca="false">IF(AND(ISNUMBER(HB36),ISNUMBER(HB$320),HB$320&lt;&gt;0),HB36*HB$320/HB$15,"")</f>
        <v/>
      </c>
      <c r="HC341" s="150" t="str">
        <f aca="false">IF(AND(ISNUMBER(HC36),ISNUMBER(HC$320),HC$320&lt;&gt;0),HC36*HC$320/HC$15,"")</f>
        <v/>
      </c>
      <c r="HD341" s="150" t="str">
        <f aca="false">IF(AND(ISNUMBER(HD36),ISNUMBER(HD$320),HD$320&lt;&gt;0),HD36*HD$320/HD$15,"")</f>
        <v/>
      </c>
      <c r="HE341" s="150" t="str">
        <f aca="false">IF(AND(ISNUMBER(HE36),ISNUMBER(HE$320),HE$320&lt;&gt;0),HE36*HE$320/HE$15,"")</f>
        <v/>
      </c>
      <c r="HF341" s="150" t="str">
        <f aca="false">IF(AND(ISNUMBER(HF36),ISNUMBER(HF$320),HF$320&lt;&gt;0),HF36*HF$320/HF$15,"")</f>
        <v/>
      </c>
      <c r="HG341" s="150" t="str">
        <f aca="false">IF(AND(ISNUMBER(HG36),ISNUMBER(HG$320),HG$320&lt;&gt;0),HG36*HG$320/HG$15,"")</f>
        <v/>
      </c>
      <c r="HH341" s="150" t="str">
        <f aca="false">IF(AND(ISNUMBER(HH36),ISNUMBER(HH$320),HH$320&lt;&gt;0),HH36*HH$320/HH$15,"")</f>
        <v/>
      </c>
      <c r="HI341" s="150" t="str">
        <f aca="false">IF(AND(ISNUMBER(HI36),ISNUMBER(HI$320),HI$320&lt;&gt;0),HI36*HI$320/HI$15,"")</f>
        <v/>
      </c>
      <c r="HJ341" s="150" t="str">
        <f aca="false">IF(AND(ISNUMBER(HJ36),ISNUMBER(HJ$320),HJ$320&lt;&gt;0),HJ36*HJ$320/HJ$15,"")</f>
        <v/>
      </c>
      <c r="HK341" s="150" t="str">
        <f aca="false">IF(AND(ISNUMBER(HK36),ISNUMBER(HK$320),HK$320&lt;&gt;0),HK36*HK$320/HK$15,"")</f>
        <v/>
      </c>
      <c r="HL341" s="150" t="str">
        <f aca="false">IF(AND(ISNUMBER(HL36),ISNUMBER(HL$320),HL$320&lt;&gt;0),HL36*HL$320/HL$15,"")</f>
        <v/>
      </c>
      <c r="HM341" s="150" t="str">
        <f aca="false">IF(AND(ISNUMBER(HM36),ISNUMBER(HM$320),HM$320&lt;&gt;0),HM36*HM$320/HM$15,"")</f>
        <v/>
      </c>
      <c r="HN341" s="150" t="str">
        <f aca="false">IF(AND(ISNUMBER(HN36),ISNUMBER(HN$320),HN$320&lt;&gt;0),HN36*HN$320/HN$15,"")</f>
        <v/>
      </c>
      <c r="HO341" s="150" t="str">
        <f aca="false">IF(AND(ISNUMBER(HO36),ISNUMBER(HO$320),HO$320&lt;&gt;0),HO36*HO$320/HO$15,"")</f>
        <v/>
      </c>
      <c r="HP341" s="150" t="str">
        <f aca="false">IF(AND(ISNUMBER(HP36),ISNUMBER(HP$320),HP$320&lt;&gt;0),HP36*HP$320/HP$15,"")</f>
        <v/>
      </c>
      <c r="HQ341" s="150" t="str">
        <f aca="false">IF(AND(ISNUMBER(HQ36),ISNUMBER(HQ$320),HQ$320&lt;&gt;0),HQ36*HQ$320/HQ$15,"")</f>
        <v/>
      </c>
      <c r="HR341" s="150" t="str">
        <f aca="false">IF(AND(ISNUMBER(HR36),ISNUMBER(HR$320),HR$320&lt;&gt;0),HR36*HR$320/HR$15,"")</f>
        <v/>
      </c>
      <c r="HS341" s="150" t="str">
        <f aca="false">IF(AND(ISNUMBER(HS36),ISNUMBER(HS$320),HS$320&lt;&gt;0),HS36*HS$320/HS$15,"")</f>
        <v/>
      </c>
      <c r="HT341" s="150" t="str">
        <f aca="false">IF(AND(ISNUMBER(HT36),ISNUMBER(HT$320),HT$320&lt;&gt;0),HT36*HT$320/HT$15,"")</f>
        <v/>
      </c>
      <c r="HU341" s="150" t="str">
        <f aca="false">IF(AND(ISNUMBER(HU36),ISNUMBER(HU$320),HU$320&lt;&gt;0),HU36*HU$320/HU$15,"")</f>
        <v/>
      </c>
      <c r="HV341" s="150" t="str">
        <f aca="false">IF(AND(ISNUMBER(HV36),ISNUMBER(HV$320),HV$320&lt;&gt;0),HV36*HV$320/HV$15,"")</f>
        <v/>
      </c>
      <c r="HW341" s="150" t="str">
        <f aca="false">IF(AND(ISNUMBER(HW36),ISNUMBER(HW$320),HW$320&lt;&gt;0),HW36*HW$320/HW$15,"")</f>
        <v/>
      </c>
      <c r="HX341" s="150" t="str">
        <f aca="false">IF(AND(ISNUMBER(HX36),ISNUMBER(HX$320),HX$320&lt;&gt;0),HX36*HX$320/HX$15,"")</f>
        <v/>
      </c>
      <c r="HY341" s="150" t="str">
        <f aca="false">IF(AND(ISNUMBER(HY36),ISNUMBER(HY$320),HY$320&lt;&gt;0),HY36*HY$320/HY$15,"")</f>
        <v/>
      </c>
      <c r="HZ341" s="150" t="str">
        <f aca="false">IF(AND(ISNUMBER(HZ36),ISNUMBER(HZ$320),HZ$320&lt;&gt;0),HZ36*HZ$320/HZ$15,"")</f>
        <v/>
      </c>
      <c r="IA341" s="150" t="str">
        <f aca="false">IF(AND(ISNUMBER(IA36),ISNUMBER(IA$320),IA$320&lt;&gt;0),IA36*IA$320/IA$15,"")</f>
        <v/>
      </c>
      <c r="IB341" s="150" t="str">
        <f aca="false">IF(AND(ISNUMBER(IB36),ISNUMBER(IB$320),IB$320&lt;&gt;0),IB36*IB$320/IB$15,"")</f>
        <v/>
      </c>
      <c r="IC341" s="150" t="str">
        <f aca="false">IF(AND(ISNUMBER(IC36),ISNUMBER(IC$320),IC$320&lt;&gt;0),IC36*IC$320/IC$15,"")</f>
        <v/>
      </c>
      <c r="ID341" s="572" t="str">
        <f aca="false">IF(AND(ISNUMBER(ID36),ISNUMBER(ID$320),ID$320&lt;&gt;0),ID36*ID$320/ID$15,"")</f>
        <v/>
      </c>
      <c r="IE341" s="129"/>
    </row>
    <row r="342" customFormat="false" ht="12.75" hidden="false" customHeight="false" outlineLevel="0" collapsed="false">
      <c r="I342" s="735"/>
      <c r="J342" s="727"/>
      <c r="K342" s="195"/>
      <c r="L342" s="195"/>
      <c r="M342" s="729"/>
      <c r="P342" s="727"/>
      <c r="S342" s="1"/>
      <c r="T342" s="727"/>
      <c r="U342" s="195"/>
      <c r="V342" s="195"/>
      <c r="W342" s="195"/>
      <c r="X342" s="195"/>
      <c r="Y342" s="195"/>
      <c r="Z342" s="195"/>
      <c r="AA342" s="195"/>
      <c r="AB342" s="195"/>
      <c r="AC342" s="195"/>
      <c r="AD342" s="195"/>
      <c r="AE342" s="195"/>
      <c r="AF342" s="195"/>
      <c r="AG342" s="195"/>
      <c r="AH342" s="195"/>
      <c r="AI342" s="195"/>
      <c r="AJ342" s="195"/>
      <c r="AK342" s="195"/>
      <c r="AL342" s="195"/>
      <c r="AM342" s="195"/>
      <c r="AN342" s="532"/>
      <c r="AO342" s="532"/>
      <c r="AP342" s="240"/>
      <c r="AQ342" s="532"/>
      <c r="AR342" s="240"/>
      <c r="AS342" s="240"/>
      <c r="AT342" s="240"/>
      <c r="AU342" s="730"/>
      <c r="AV342" s="730"/>
      <c r="AW342" s="730"/>
      <c r="AX342" s="730"/>
      <c r="AY342" s="468"/>
      <c r="AZ342" s="468"/>
      <c r="BA342" s="240"/>
      <c r="BB342" s="240"/>
      <c r="BC342" s="240"/>
      <c r="BD342" s="240"/>
      <c r="BE342" s="672"/>
      <c r="BF342" s="672"/>
      <c r="BG342" s="672"/>
      <c r="BH342" s="731"/>
      <c r="BI342" s="672"/>
      <c r="BJ342" s="240"/>
      <c r="BK342" s="736"/>
      <c r="BL342" s="737"/>
      <c r="BM342" s="240"/>
      <c r="BN342" s="240"/>
      <c r="BO342" s="240"/>
      <c r="BP342" s="240"/>
      <c r="BQ342" s="240"/>
      <c r="BR342" s="240"/>
      <c r="BS342" s="240"/>
      <c r="BT342" s="240"/>
      <c r="BU342" s="240"/>
      <c r="BV342" s="240"/>
      <c r="BW342" s="240"/>
      <c r="BX342" s="240"/>
      <c r="BY342" s="240"/>
      <c r="BZ342" s="240"/>
      <c r="CA342" s="240"/>
      <c r="CB342" s="672"/>
      <c r="CC342" s="672"/>
      <c r="CD342" s="672"/>
      <c r="CE342" s="672"/>
      <c r="CF342" s="672"/>
      <c r="CG342" s="672"/>
      <c r="CH342" s="240"/>
      <c r="CI342" s="240"/>
      <c r="CJ342" s="240"/>
      <c r="CK342" s="240"/>
      <c r="CL342" s="240"/>
      <c r="CM342" s="240"/>
      <c r="CN342" s="240"/>
      <c r="CO342" s="240"/>
      <c r="CP342" s="240"/>
      <c r="CQ342" s="240"/>
      <c r="CR342" s="240"/>
      <c r="CS342" s="240"/>
      <c r="CT342" s="240"/>
      <c r="CU342" s="240"/>
      <c r="CV342" s="240"/>
      <c r="CW342" s="240"/>
      <c r="CX342" s="240"/>
      <c r="CY342" s="240"/>
      <c r="CZ342" s="240"/>
      <c r="DA342" s="240"/>
      <c r="DB342" s="240"/>
      <c r="DC342" s="240"/>
      <c r="DD342" s="240"/>
      <c r="DE342" s="240"/>
      <c r="DF342" s="240"/>
      <c r="DG342" s="733"/>
      <c r="DH342" s="478"/>
      <c r="DI342" s="195"/>
      <c r="DJ342" s="3"/>
      <c r="DK342" s="478"/>
      <c r="DL342" s="4"/>
      <c r="DM342" s="4"/>
      <c r="DN342" s="4"/>
      <c r="DO342" s="4"/>
      <c r="DP342" s="4"/>
      <c r="DQ342" s="4"/>
      <c r="DS342" s="195"/>
      <c r="DT342" s="195"/>
      <c r="DU342" s="195"/>
      <c r="DV342" s="195"/>
      <c r="DW342" s="195"/>
      <c r="DX342" s="195"/>
      <c r="DY342" s="195"/>
      <c r="DZ342" s="195"/>
      <c r="EA342" s="195"/>
      <c r="EB342" s="195"/>
      <c r="EC342" s="195"/>
      <c r="ED342" s="195"/>
      <c r="EE342" s="195"/>
      <c r="EF342" s="195"/>
      <c r="EG342" s="195"/>
      <c r="EL342" s="1"/>
      <c r="EM342" s="195"/>
      <c r="EN342" s="240"/>
      <c r="EO342" s="240"/>
      <c r="EP342" s="195"/>
      <c r="EQ342" s="240"/>
      <c r="ER342" s="195"/>
      <c r="ES342" s="195"/>
      <c r="ET342" s="195"/>
      <c r="EU342" s="672"/>
      <c r="FJ342" s="571" t="n">
        <v>18</v>
      </c>
      <c r="FK342" s="150" t="str">
        <f aca="false">IF(AND(ISNUMBER(FK37),ISNUMBER(FK$320),FK$320&lt;&gt;0),FK37*FK$320/FK$15,"")</f>
        <v/>
      </c>
      <c r="FL342" s="150" t="str">
        <f aca="false">IF(AND(ISNUMBER(FL37),ISNUMBER(FL$320),FL$320&lt;&gt;0),FL37*FL$320/FL$15,"")</f>
        <v/>
      </c>
      <c r="FM342" s="150" t="n">
        <f aca="false">IF(AND(ISNUMBER(FM37),ISNUMBER(FM$320),FM$320&lt;&gt;0),FM37*FM$320/FM$15,"")</f>
        <v>0.00295492784974458</v>
      </c>
      <c r="FN342" s="150" t="n">
        <f aca="false">IF(AND(ISNUMBER(FN37),ISNUMBER(FN$320),FN$320&lt;&gt;0),FN37*FN$320/FN$15,"")</f>
        <v>0.00255101081049489</v>
      </c>
      <c r="FO342" s="150" t="n">
        <f aca="false">IF(AND(ISNUMBER(FO37),ISNUMBER(FO$320),FO$320&lt;&gt;0),FO37*FO$320/FO$15,"")</f>
        <v>0.00273355985134464</v>
      </c>
      <c r="FP342" s="150" t="n">
        <f aca="false">IF(AND(ISNUMBER(FP37),ISNUMBER(FP$320),FP$320&lt;&gt;0),FP37*FP$320/FP$15,"")</f>
        <v>0.00156830189471466</v>
      </c>
      <c r="FQ342" s="150" t="str">
        <f aca="false">IF(AND(ISNUMBER(FQ37),ISNUMBER(FQ$320),FQ$320&lt;&gt;0),FQ37*FQ$320/FQ$15,"")</f>
        <v/>
      </c>
      <c r="FR342" s="150" t="str">
        <f aca="false">IF(AND(ISNUMBER(FR37),ISNUMBER(FR$320),FR$320&lt;&gt;0),FR37*FR$320/FR$15,"")</f>
        <v/>
      </c>
      <c r="FS342" s="150" t="str">
        <f aca="false">IF(AND(ISNUMBER(FS37),ISNUMBER(FS$320),FS$320&lt;&gt;0),FS37*FS$320/FS$15,"")</f>
        <v/>
      </c>
      <c r="FT342" s="150" t="str">
        <f aca="false">IF(AND(ISNUMBER(FT37),ISNUMBER(FT$320),FT$320&lt;&gt;0),FT37*FT$320/FT$15,"")</f>
        <v/>
      </c>
      <c r="FU342" s="150" t="str">
        <f aca="false">IF(AND(ISNUMBER(FU37),ISNUMBER(FU$320),FU$320&lt;&gt;0),FU37*FU$320/FU$15,"")</f>
        <v/>
      </c>
      <c r="FV342" s="150" t="str">
        <f aca="false">IF(AND(ISNUMBER(FV37),ISNUMBER(FV$320),FV$320&lt;&gt;0),FV37*FV$320/FV$15,"")</f>
        <v/>
      </c>
      <c r="FW342" s="150" t="str">
        <f aca="false">IF(AND(ISNUMBER(FW37),ISNUMBER(FW$320),FW$320&lt;&gt;0),FW37*FW$320/FW$15,"")</f>
        <v/>
      </c>
      <c r="FX342" s="150" t="str">
        <f aca="false">IF(AND(ISNUMBER(FX37),ISNUMBER(FX$320),FX$320&lt;&gt;0),FX37*FX$320/FX$15,"")</f>
        <v/>
      </c>
      <c r="FY342" s="150" t="str">
        <f aca="false">IF(AND(ISNUMBER(FY37),ISNUMBER(FY$320),FY$320&lt;&gt;0),FY37*FY$320/FY$15,"")</f>
        <v/>
      </c>
      <c r="FZ342" s="150" t="str">
        <f aca="false">IF(AND(ISNUMBER(FZ37),ISNUMBER(FZ$320),FZ$320&lt;&gt;0),FZ37*FZ$320/FZ$15,"")</f>
        <v/>
      </c>
      <c r="GA342" s="150" t="str">
        <f aca="false">IF(AND(ISNUMBER(GA37),ISNUMBER(GA$320),GA$320&lt;&gt;0),GA37*GA$320/GA$15,"")</f>
        <v/>
      </c>
      <c r="GB342" s="150" t="str">
        <f aca="false">IF(AND(ISNUMBER(GB37),ISNUMBER(GB$320),GB$320&lt;&gt;0),GB37*GB$320/GB$15,"")</f>
        <v/>
      </c>
      <c r="GC342" s="150" t="str">
        <f aca="false">IF(AND(ISNUMBER(GC37),ISNUMBER(GC$320),GC$320&lt;&gt;0),GC37*GC$320/GC$15,"")</f>
        <v/>
      </c>
      <c r="GD342" s="150" t="str">
        <f aca="false">IF(AND(ISNUMBER(GD37),ISNUMBER(GD$320),GD$320&lt;&gt;0),GD37*GD$320/GD$15,"")</f>
        <v/>
      </c>
      <c r="GE342" s="150" t="str">
        <f aca="false">IF(AND(ISNUMBER(GE37),ISNUMBER(GE$320),GE$320&lt;&gt;0),GE37*GE$320/GE$15,"")</f>
        <v/>
      </c>
      <c r="GF342" s="150" t="str">
        <f aca="false">IF(AND(ISNUMBER(GF37),ISNUMBER(GF$320),GF$320&lt;&gt;0),GF37*GF$320/GF$15,"")</f>
        <v/>
      </c>
      <c r="GG342" s="150" t="str">
        <f aca="false">IF(AND(ISNUMBER(GG37),ISNUMBER(GG$320),GG$320&lt;&gt;0),GG37*GG$320/GG$15,"")</f>
        <v/>
      </c>
      <c r="GH342" s="150" t="str">
        <f aca="false">IF(AND(ISNUMBER(GH37),ISNUMBER(GH$320),GH$320&lt;&gt;0),GH37*GH$320/GH$15,"")</f>
        <v/>
      </c>
      <c r="GI342" s="150" t="str">
        <f aca="false">IF(AND(ISNUMBER(GI37),ISNUMBER(GI$320),GI$320&lt;&gt;0),GI37*GI$320/GI$15,"")</f>
        <v/>
      </c>
      <c r="GJ342" s="150" t="str">
        <f aca="false">IF(AND(ISNUMBER(GJ37),ISNUMBER(GJ$320),GJ$320&lt;&gt;0),GJ37*GJ$320/GJ$15,"")</f>
        <v/>
      </c>
      <c r="GK342" s="150" t="str">
        <f aca="false">IF(AND(ISNUMBER(GK37),ISNUMBER(GK$320),GK$320&lt;&gt;0),GK37*GK$320/GK$15,"")</f>
        <v/>
      </c>
      <c r="GL342" s="150" t="str">
        <f aca="false">IF(AND(ISNUMBER(GL37),ISNUMBER(GL$320),GL$320&lt;&gt;0),GL37*GL$320/GL$15,"")</f>
        <v/>
      </c>
      <c r="GM342" s="150" t="str">
        <f aca="false">IF(AND(ISNUMBER(GM37),ISNUMBER(GM$320),GM$320&lt;&gt;0),GM37*GM$320/GM$15,"")</f>
        <v/>
      </c>
      <c r="GN342" s="150" t="str">
        <f aca="false">IF(AND(ISNUMBER(GN37),ISNUMBER(GN$320),GN$320&lt;&gt;0),GN37*GN$320/GN$15,"")</f>
        <v/>
      </c>
      <c r="GO342" s="150" t="str">
        <f aca="false">IF(AND(ISNUMBER(GO37),ISNUMBER(GO$320),GO$320&lt;&gt;0),GO37*GO$320/GO$15,"")</f>
        <v/>
      </c>
      <c r="GP342" s="150" t="str">
        <f aca="false">IF(AND(ISNUMBER(GP37),ISNUMBER(GP$320),GP$320&lt;&gt;0),GP37*GP$320/GP$15,"")</f>
        <v/>
      </c>
      <c r="GQ342" s="150" t="str">
        <f aca="false">IF(AND(ISNUMBER(GQ37),ISNUMBER(GQ$320),GQ$320&lt;&gt;0),GQ37*GQ$320/GQ$15,"")</f>
        <v/>
      </c>
      <c r="GR342" s="150" t="str">
        <f aca="false">IF(AND(ISNUMBER(GR37),ISNUMBER(GR$320),GR$320&lt;&gt;0),GR37*GR$320/GR$15,"")</f>
        <v/>
      </c>
      <c r="GS342" s="150" t="str">
        <f aca="false">IF(AND(ISNUMBER(GS37),ISNUMBER(GS$320),GS$320&lt;&gt;0),GS37*GS$320/GS$15,"")</f>
        <v/>
      </c>
      <c r="GT342" s="150" t="str">
        <f aca="false">IF(AND(ISNUMBER(GT37),ISNUMBER(GT$320),GT$320&lt;&gt;0),GT37*GT$320/GT$15,"")</f>
        <v/>
      </c>
      <c r="GU342" s="150" t="str">
        <f aca="false">IF(AND(ISNUMBER(GU37),ISNUMBER(GU$320),GU$320&lt;&gt;0),GU37*GU$320/GU$15,"")</f>
        <v/>
      </c>
      <c r="GV342" s="150" t="str">
        <f aca="false">IF(AND(ISNUMBER(GV37),ISNUMBER(GV$320),GV$320&lt;&gt;0),GV37*GV$320/GV$15,"")</f>
        <v/>
      </c>
      <c r="GW342" s="150" t="str">
        <f aca="false">IF(AND(ISNUMBER(GW37),ISNUMBER(GW$320),GW$320&lt;&gt;0),GW37*GW$320/GW$15,"")</f>
        <v/>
      </c>
      <c r="GX342" s="150" t="str">
        <f aca="false">IF(AND(ISNUMBER(GX37),ISNUMBER(GX$320),GX$320&lt;&gt;0),GX37*GX$320/GX$15,"")</f>
        <v/>
      </c>
      <c r="GY342" s="150" t="str">
        <f aca="false">IF(AND(ISNUMBER(GY37),ISNUMBER(GY$320),GY$320&lt;&gt;0),GY37*GY$320/GY$15,"")</f>
        <v/>
      </c>
      <c r="GZ342" s="150" t="str">
        <f aca="false">IF(AND(ISNUMBER(GZ37),ISNUMBER(GZ$320),GZ$320&lt;&gt;0),GZ37*GZ$320/GZ$15,"")</f>
        <v/>
      </c>
      <c r="HA342" s="150" t="str">
        <f aca="false">IF(AND(ISNUMBER(HA37),ISNUMBER(HA$320),HA$320&lt;&gt;0),HA37*HA$320/HA$15,"")</f>
        <v/>
      </c>
      <c r="HB342" s="150" t="str">
        <f aca="false">IF(AND(ISNUMBER(HB37),ISNUMBER(HB$320),HB$320&lt;&gt;0),HB37*HB$320/HB$15,"")</f>
        <v/>
      </c>
      <c r="HC342" s="150" t="str">
        <f aca="false">IF(AND(ISNUMBER(HC37),ISNUMBER(HC$320),HC$320&lt;&gt;0),HC37*HC$320/HC$15,"")</f>
        <v/>
      </c>
      <c r="HD342" s="150" t="str">
        <f aca="false">IF(AND(ISNUMBER(HD37),ISNUMBER(HD$320),HD$320&lt;&gt;0),HD37*HD$320/HD$15,"")</f>
        <v/>
      </c>
      <c r="HE342" s="150" t="str">
        <f aca="false">IF(AND(ISNUMBER(HE37),ISNUMBER(HE$320),HE$320&lt;&gt;0),HE37*HE$320/HE$15,"")</f>
        <v/>
      </c>
      <c r="HF342" s="150" t="str">
        <f aca="false">IF(AND(ISNUMBER(HF37),ISNUMBER(HF$320),HF$320&lt;&gt;0),HF37*HF$320/HF$15,"")</f>
        <v/>
      </c>
      <c r="HG342" s="150" t="str">
        <f aca="false">IF(AND(ISNUMBER(HG37),ISNUMBER(HG$320),HG$320&lt;&gt;0),HG37*HG$320/HG$15,"")</f>
        <v/>
      </c>
      <c r="HH342" s="150" t="str">
        <f aca="false">IF(AND(ISNUMBER(HH37),ISNUMBER(HH$320),HH$320&lt;&gt;0),HH37*HH$320/HH$15,"")</f>
        <v/>
      </c>
      <c r="HI342" s="150" t="str">
        <f aca="false">IF(AND(ISNUMBER(HI37),ISNUMBER(HI$320),HI$320&lt;&gt;0),HI37*HI$320/HI$15,"")</f>
        <v/>
      </c>
      <c r="HJ342" s="150" t="str">
        <f aca="false">IF(AND(ISNUMBER(HJ37),ISNUMBER(HJ$320),HJ$320&lt;&gt;0),HJ37*HJ$320/HJ$15,"")</f>
        <v/>
      </c>
      <c r="HK342" s="150" t="str">
        <f aca="false">IF(AND(ISNUMBER(HK37),ISNUMBER(HK$320),HK$320&lt;&gt;0),HK37*HK$320/HK$15,"")</f>
        <v/>
      </c>
      <c r="HL342" s="150" t="str">
        <f aca="false">IF(AND(ISNUMBER(HL37),ISNUMBER(HL$320),HL$320&lt;&gt;0),HL37*HL$320/HL$15,"")</f>
        <v/>
      </c>
      <c r="HM342" s="150" t="str">
        <f aca="false">IF(AND(ISNUMBER(HM37),ISNUMBER(HM$320),HM$320&lt;&gt;0),HM37*HM$320/HM$15,"")</f>
        <v/>
      </c>
      <c r="HN342" s="150" t="str">
        <f aca="false">IF(AND(ISNUMBER(HN37),ISNUMBER(HN$320),HN$320&lt;&gt;0),HN37*HN$320/HN$15,"")</f>
        <v/>
      </c>
      <c r="HO342" s="150" t="str">
        <f aca="false">IF(AND(ISNUMBER(HO37),ISNUMBER(HO$320),HO$320&lt;&gt;0),HO37*HO$320/HO$15,"")</f>
        <v/>
      </c>
      <c r="HP342" s="150" t="str">
        <f aca="false">IF(AND(ISNUMBER(HP37),ISNUMBER(HP$320),HP$320&lt;&gt;0),HP37*HP$320/HP$15,"")</f>
        <v/>
      </c>
      <c r="HQ342" s="150" t="str">
        <f aca="false">IF(AND(ISNUMBER(HQ37),ISNUMBER(HQ$320),HQ$320&lt;&gt;0),HQ37*HQ$320/HQ$15,"")</f>
        <v/>
      </c>
      <c r="HR342" s="150" t="str">
        <f aca="false">IF(AND(ISNUMBER(HR37),ISNUMBER(HR$320),HR$320&lt;&gt;0),HR37*HR$320/HR$15,"")</f>
        <v/>
      </c>
      <c r="HS342" s="150" t="str">
        <f aca="false">IF(AND(ISNUMBER(HS37),ISNUMBER(HS$320),HS$320&lt;&gt;0),HS37*HS$320/HS$15,"")</f>
        <v/>
      </c>
      <c r="HT342" s="150" t="str">
        <f aca="false">IF(AND(ISNUMBER(HT37),ISNUMBER(HT$320),HT$320&lt;&gt;0),HT37*HT$320/HT$15,"")</f>
        <v/>
      </c>
      <c r="HU342" s="150" t="str">
        <f aca="false">IF(AND(ISNUMBER(HU37),ISNUMBER(HU$320),HU$320&lt;&gt;0),HU37*HU$320/HU$15,"")</f>
        <v/>
      </c>
      <c r="HV342" s="150" t="str">
        <f aca="false">IF(AND(ISNUMBER(HV37),ISNUMBER(HV$320),HV$320&lt;&gt;0),HV37*HV$320/HV$15,"")</f>
        <v/>
      </c>
      <c r="HW342" s="150" t="str">
        <f aca="false">IF(AND(ISNUMBER(HW37),ISNUMBER(HW$320),HW$320&lt;&gt;0),HW37*HW$320/HW$15,"")</f>
        <v/>
      </c>
      <c r="HX342" s="150" t="str">
        <f aca="false">IF(AND(ISNUMBER(HX37),ISNUMBER(HX$320),HX$320&lt;&gt;0),HX37*HX$320/HX$15,"")</f>
        <v/>
      </c>
      <c r="HY342" s="150" t="str">
        <f aca="false">IF(AND(ISNUMBER(HY37),ISNUMBER(HY$320),HY$320&lt;&gt;0),HY37*HY$320/HY$15,"")</f>
        <v/>
      </c>
      <c r="HZ342" s="150" t="str">
        <f aca="false">IF(AND(ISNUMBER(HZ37),ISNUMBER(HZ$320),HZ$320&lt;&gt;0),HZ37*HZ$320/HZ$15,"")</f>
        <v/>
      </c>
      <c r="IA342" s="150" t="str">
        <f aca="false">IF(AND(ISNUMBER(IA37),ISNUMBER(IA$320),IA$320&lt;&gt;0),IA37*IA$320/IA$15,"")</f>
        <v/>
      </c>
      <c r="IB342" s="150" t="str">
        <f aca="false">IF(AND(ISNUMBER(IB37),ISNUMBER(IB$320),IB$320&lt;&gt;0),IB37*IB$320/IB$15,"")</f>
        <v/>
      </c>
      <c r="IC342" s="150" t="str">
        <f aca="false">IF(AND(ISNUMBER(IC37),ISNUMBER(IC$320),IC$320&lt;&gt;0),IC37*IC$320/IC$15,"")</f>
        <v/>
      </c>
      <c r="ID342" s="572" t="str">
        <f aca="false">IF(AND(ISNUMBER(ID37),ISNUMBER(ID$320),ID$320&lt;&gt;0),ID37*ID$320/ID$15,"")</f>
        <v/>
      </c>
      <c r="IE342" s="129"/>
    </row>
    <row r="343" customFormat="false" ht="12.75" hidden="false" customHeight="false" outlineLevel="0" collapsed="false">
      <c r="I343" s="735"/>
      <c r="J343" s="727"/>
      <c r="K343" s="195"/>
      <c r="L343" s="195"/>
      <c r="M343" s="729"/>
      <c r="P343" s="727"/>
      <c r="S343" s="1"/>
      <c r="T343" s="727"/>
      <c r="U343" s="195"/>
      <c r="V343" s="195"/>
      <c r="W343" s="195"/>
      <c r="X343" s="195"/>
      <c r="Y343" s="195"/>
      <c r="Z343" s="195"/>
      <c r="AA343" s="195"/>
      <c r="AB343" s="195"/>
      <c r="AC343" s="195"/>
      <c r="AD343" s="195"/>
      <c r="AE343" s="195"/>
      <c r="AF343" s="195"/>
      <c r="AG343" s="195"/>
      <c r="AH343" s="195"/>
      <c r="AI343" s="195"/>
      <c r="AJ343" s="195"/>
      <c r="AK343" s="195"/>
      <c r="AL343" s="195"/>
      <c r="AM343" s="195"/>
      <c r="AN343" s="532"/>
      <c r="AO343" s="532"/>
      <c r="AP343" s="240"/>
      <c r="AQ343" s="532"/>
      <c r="AR343" s="240"/>
      <c r="AS343" s="240"/>
      <c r="AT343" s="240"/>
      <c r="AU343" s="730"/>
      <c r="AV343" s="730"/>
      <c r="AW343" s="730"/>
      <c r="AX343" s="730"/>
      <c r="AY343" s="468"/>
      <c r="AZ343" s="468"/>
      <c r="BA343" s="240"/>
      <c r="BB343" s="240"/>
      <c r="BC343" s="240"/>
      <c r="BD343" s="240"/>
      <c r="BE343" s="672"/>
      <c r="BF343" s="672"/>
      <c r="BG343" s="672"/>
      <c r="BH343" s="731"/>
      <c r="BI343" s="672"/>
      <c r="BJ343" s="240"/>
      <c r="BK343" s="736"/>
      <c r="BL343" s="737"/>
      <c r="BM343" s="240"/>
      <c r="BN343" s="240"/>
      <c r="BO343" s="240"/>
      <c r="BP343" s="240"/>
      <c r="BQ343" s="240"/>
      <c r="BR343" s="240"/>
      <c r="BS343" s="240"/>
      <c r="BT343" s="240"/>
      <c r="BU343" s="240"/>
      <c r="BV343" s="240"/>
      <c r="BW343" s="240"/>
      <c r="BX343" s="240"/>
      <c r="BY343" s="240"/>
      <c r="BZ343" s="240"/>
      <c r="CA343" s="240"/>
      <c r="CB343" s="672"/>
      <c r="CC343" s="672"/>
      <c r="CD343" s="672"/>
      <c r="CE343" s="672"/>
      <c r="CF343" s="672"/>
      <c r="CG343" s="672"/>
      <c r="CH343" s="240"/>
      <c r="CI343" s="240"/>
      <c r="CJ343" s="240"/>
      <c r="CK343" s="240"/>
      <c r="CL343" s="240"/>
      <c r="CM343" s="240"/>
      <c r="CN343" s="240"/>
      <c r="CO343" s="240"/>
      <c r="CP343" s="240"/>
      <c r="CQ343" s="240"/>
      <c r="CR343" s="240"/>
      <c r="CS343" s="240"/>
      <c r="CT343" s="240"/>
      <c r="CU343" s="240"/>
      <c r="CV343" s="240"/>
      <c r="CW343" s="240"/>
      <c r="CX343" s="240"/>
      <c r="CY343" s="240"/>
      <c r="CZ343" s="240"/>
      <c r="DA343" s="240"/>
      <c r="DB343" s="240"/>
      <c r="DC343" s="240"/>
      <c r="DD343" s="240"/>
      <c r="DE343" s="240"/>
      <c r="DF343" s="240"/>
      <c r="DG343" s="733"/>
      <c r="DH343" s="478"/>
      <c r="DI343" s="195"/>
      <c r="DJ343" s="3"/>
      <c r="DK343" s="478"/>
      <c r="DL343" s="4"/>
      <c r="DM343" s="4"/>
      <c r="DN343" s="4"/>
      <c r="DO343" s="4"/>
      <c r="DP343" s="4"/>
      <c r="DQ343" s="4"/>
      <c r="DS343" s="195"/>
      <c r="DT343" s="195"/>
      <c r="DU343" s="195"/>
      <c r="DV343" s="195"/>
      <c r="DW343" s="195"/>
      <c r="DX343" s="195"/>
      <c r="DY343" s="195"/>
      <c r="DZ343" s="195"/>
      <c r="EA343" s="195"/>
      <c r="EB343" s="195"/>
      <c r="EC343" s="195"/>
      <c r="ED343" s="195"/>
      <c r="EE343" s="195"/>
      <c r="EF343" s="195"/>
      <c r="EG343" s="195"/>
      <c r="EL343" s="1"/>
      <c r="EM343" s="195"/>
      <c r="EN343" s="240"/>
      <c r="EO343" s="240"/>
      <c r="EP343" s="195"/>
      <c r="EQ343" s="240"/>
      <c r="ER343" s="195"/>
      <c r="ES343" s="195"/>
      <c r="ET343" s="195"/>
      <c r="EU343" s="672"/>
      <c r="FJ343" s="571" t="n">
        <v>19</v>
      </c>
      <c r="FK343" s="150" t="str">
        <f aca="false">IF(AND(ISNUMBER(FK38),ISNUMBER(FK$320),FK$320&lt;&gt;0),FK38*FK$320/FK$15,"")</f>
        <v/>
      </c>
      <c r="FL343" s="150" t="str">
        <f aca="false">IF(AND(ISNUMBER(FL38),ISNUMBER(FL$320),FL$320&lt;&gt;0),FL38*FL$320/FL$15,"")</f>
        <v/>
      </c>
      <c r="FM343" s="150" t="n">
        <f aca="false">IF(AND(ISNUMBER(FM38),ISNUMBER(FM$320),FM$320&lt;&gt;0),FM38*FM$320/FM$15,"")</f>
        <v>0.00289160566732541</v>
      </c>
      <c r="FN343" s="150" t="n">
        <f aca="false">IF(AND(ISNUMBER(FN38),ISNUMBER(FN$320),FN$320&lt;&gt;0),FN38*FN$320/FN$15,"")</f>
        <v>0.00248707338019137</v>
      </c>
      <c r="FO343" s="150" t="n">
        <f aca="false">IF(AND(ISNUMBER(FO38),ISNUMBER(FO$320),FO$320&lt;&gt;0),FO38*FO$320/FO$15,"")</f>
        <v>0.00265342796781817</v>
      </c>
      <c r="FP343" s="150" t="n">
        <f aca="false">IF(AND(ISNUMBER(FP38),ISNUMBER(FP$320),FP$320&lt;&gt;0),FP38*FP$320/FP$15,"")</f>
        <v>0.00151453186007063</v>
      </c>
      <c r="FQ343" s="150" t="str">
        <f aca="false">IF(AND(ISNUMBER(FQ38),ISNUMBER(FQ$320),FQ$320&lt;&gt;0),FQ38*FQ$320/FQ$15,"")</f>
        <v/>
      </c>
      <c r="FR343" s="150" t="str">
        <f aca="false">IF(AND(ISNUMBER(FR38),ISNUMBER(FR$320),FR$320&lt;&gt;0),FR38*FR$320/FR$15,"")</f>
        <v/>
      </c>
      <c r="FS343" s="150" t="str">
        <f aca="false">IF(AND(ISNUMBER(FS38),ISNUMBER(FS$320),FS$320&lt;&gt;0),FS38*FS$320/FS$15,"")</f>
        <v/>
      </c>
      <c r="FT343" s="150" t="str">
        <f aca="false">IF(AND(ISNUMBER(FT38),ISNUMBER(FT$320),FT$320&lt;&gt;0),FT38*FT$320/FT$15,"")</f>
        <v/>
      </c>
      <c r="FU343" s="150" t="str">
        <f aca="false">IF(AND(ISNUMBER(FU38),ISNUMBER(FU$320),FU$320&lt;&gt;0),FU38*FU$320/FU$15,"")</f>
        <v/>
      </c>
      <c r="FV343" s="150" t="str">
        <f aca="false">IF(AND(ISNUMBER(FV38),ISNUMBER(FV$320),FV$320&lt;&gt;0),FV38*FV$320/FV$15,"")</f>
        <v/>
      </c>
      <c r="FW343" s="150" t="str">
        <f aca="false">IF(AND(ISNUMBER(FW38),ISNUMBER(FW$320),FW$320&lt;&gt;0),FW38*FW$320/FW$15,"")</f>
        <v/>
      </c>
      <c r="FX343" s="150" t="str">
        <f aca="false">IF(AND(ISNUMBER(FX38),ISNUMBER(FX$320),FX$320&lt;&gt;0),FX38*FX$320/FX$15,"")</f>
        <v/>
      </c>
      <c r="FY343" s="150" t="str">
        <f aca="false">IF(AND(ISNUMBER(FY38),ISNUMBER(FY$320),FY$320&lt;&gt;0),FY38*FY$320/FY$15,"")</f>
        <v/>
      </c>
      <c r="FZ343" s="150" t="str">
        <f aca="false">IF(AND(ISNUMBER(FZ38),ISNUMBER(FZ$320),FZ$320&lt;&gt;0),FZ38*FZ$320/FZ$15,"")</f>
        <v/>
      </c>
      <c r="GA343" s="150" t="str">
        <f aca="false">IF(AND(ISNUMBER(GA38),ISNUMBER(GA$320),GA$320&lt;&gt;0),GA38*GA$320/GA$15,"")</f>
        <v/>
      </c>
      <c r="GB343" s="150" t="str">
        <f aca="false">IF(AND(ISNUMBER(GB38),ISNUMBER(GB$320),GB$320&lt;&gt;0),GB38*GB$320/GB$15,"")</f>
        <v/>
      </c>
      <c r="GC343" s="150" t="str">
        <f aca="false">IF(AND(ISNUMBER(GC38),ISNUMBER(GC$320),GC$320&lt;&gt;0),GC38*GC$320/GC$15,"")</f>
        <v/>
      </c>
      <c r="GD343" s="150" t="str">
        <f aca="false">IF(AND(ISNUMBER(GD38),ISNUMBER(GD$320),GD$320&lt;&gt;0),GD38*GD$320/GD$15,"")</f>
        <v/>
      </c>
      <c r="GE343" s="150" t="str">
        <f aca="false">IF(AND(ISNUMBER(GE38),ISNUMBER(GE$320),GE$320&lt;&gt;0),GE38*GE$320/GE$15,"")</f>
        <v/>
      </c>
      <c r="GF343" s="150" t="str">
        <f aca="false">IF(AND(ISNUMBER(GF38),ISNUMBER(GF$320),GF$320&lt;&gt;0),GF38*GF$320/GF$15,"")</f>
        <v/>
      </c>
      <c r="GG343" s="150" t="str">
        <f aca="false">IF(AND(ISNUMBER(GG38),ISNUMBER(GG$320),GG$320&lt;&gt;0),GG38*GG$320/GG$15,"")</f>
        <v/>
      </c>
      <c r="GH343" s="150" t="str">
        <f aca="false">IF(AND(ISNUMBER(GH38),ISNUMBER(GH$320),GH$320&lt;&gt;0),GH38*GH$320/GH$15,"")</f>
        <v/>
      </c>
      <c r="GI343" s="150" t="str">
        <f aca="false">IF(AND(ISNUMBER(GI38),ISNUMBER(GI$320),GI$320&lt;&gt;0),GI38*GI$320/GI$15,"")</f>
        <v/>
      </c>
      <c r="GJ343" s="150" t="str">
        <f aca="false">IF(AND(ISNUMBER(GJ38),ISNUMBER(GJ$320),GJ$320&lt;&gt;0),GJ38*GJ$320/GJ$15,"")</f>
        <v/>
      </c>
      <c r="GK343" s="150" t="str">
        <f aca="false">IF(AND(ISNUMBER(GK38),ISNUMBER(GK$320),GK$320&lt;&gt;0),GK38*GK$320/GK$15,"")</f>
        <v/>
      </c>
      <c r="GL343" s="150" t="str">
        <f aca="false">IF(AND(ISNUMBER(GL38),ISNUMBER(GL$320),GL$320&lt;&gt;0),GL38*GL$320/GL$15,"")</f>
        <v/>
      </c>
      <c r="GM343" s="150" t="str">
        <f aca="false">IF(AND(ISNUMBER(GM38),ISNUMBER(GM$320),GM$320&lt;&gt;0),GM38*GM$320/GM$15,"")</f>
        <v/>
      </c>
      <c r="GN343" s="150" t="str">
        <f aca="false">IF(AND(ISNUMBER(GN38),ISNUMBER(GN$320),GN$320&lt;&gt;0),GN38*GN$320/GN$15,"")</f>
        <v/>
      </c>
      <c r="GO343" s="150" t="str">
        <f aca="false">IF(AND(ISNUMBER(GO38),ISNUMBER(GO$320),GO$320&lt;&gt;0),GO38*GO$320/GO$15,"")</f>
        <v/>
      </c>
      <c r="GP343" s="150" t="str">
        <f aca="false">IF(AND(ISNUMBER(GP38),ISNUMBER(GP$320),GP$320&lt;&gt;0),GP38*GP$320/GP$15,"")</f>
        <v/>
      </c>
      <c r="GQ343" s="150" t="str">
        <f aca="false">IF(AND(ISNUMBER(GQ38),ISNUMBER(GQ$320),GQ$320&lt;&gt;0),GQ38*GQ$320/GQ$15,"")</f>
        <v/>
      </c>
      <c r="GR343" s="150" t="str">
        <f aca="false">IF(AND(ISNUMBER(GR38),ISNUMBER(GR$320),GR$320&lt;&gt;0),GR38*GR$320/GR$15,"")</f>
        <v/>
      </c>
      <c r="GS343" s="150" t="str">
        <f aca="false">IF(AND(ISNUMBER(GS38),ISNUMBER(GS$320),GS$320&lt;&gt;0),GS38*GS$320/GS$15,"")</f>
        <v/>
      </c>
      <c r="GT343" s="150" t="str">
        <f aca="false">IF(AND(ISNUMBER(GT38),ISNUMBER(GT$320),GT$320&lt;&gt;0),GT38*GT$320/GT$15,"")</f>
        <v/>
      </c>
      <c r="GU343" s="150" t="str">
        <f aca="false">IF(AND(ISNUMBER(GU38),ISNUMBER(GU$320),GU$320&lt;&gt;0),GU38*GU$320/GU$15,"")</f>
        <v/>
      </c>
      <c r="GV343" s="150" t="str">
        <f aca="false">IF(AND(ISNUMBER(GV38),ISNUMBER(GV$320),GV$320&lt;&gt;0),GV38*GV$320/GV$15,"")</f>
        <v/>
      </c>
      <c r="GW343" s="150" t="str">
        <f aca="false">IF(AND(ISNUMBER(GW38),ISNUMBER(GW$320),GW$320&lt;&gt;0),GW38*GW$320/GW$15,"")</f>
        <v/>
      </c>
      <c r="GX343" s="150" t="str">
        <f aca="false">IF(AND(ISNUMBER(GX38),ISNUMBER(GX$320),GX$320&lt;&gt;0),GX38*GX$320/GX$15,"")</f>
        <v/>
      </c>
      <c r="GY343" s="150" t="str">
        <f aca="false">IF(AND(ISNUMBER(GY38),ISNUMBER(GY$320),GY$320&lt;&gt;0),GY38*GY$320/GY$15,"")</f>
        <v/>
      </c>
      <c r="GZ343" s="150" t="str">
        <f aca="false">IF(AND(ISNUMBER(GZ38),ISNUMBER(GZ$320),GZ$320&lt;&gt;0),GZ38*GZ$320/GZ$15,"")</f>
        <v/>
      </c>
      <c r="HA343" s="150" t="str">
        <f aca="false">IF(AND(ISNUMBER(HA38),ISNUMBER(HA$320),HA$320&lt;&gt;0),HA38*HA$320/HA$15,"")</f>
        <v/>
      </c>
      <c r="HB343" s="150" t="str">
        <f aca="false">IF(AND(ISNUMBER(HB38),ISNUMBER(HB$320),HB$320&lt;&gt;0),HB38*HB$320/HB$15,"")</f>
        <v/>
      </c>
      <c r="HC343" s="150" t="str">
        <f aca="false">IF(AND(ISNUMBER(HC38),ISNUMBER(HC$320),HC$320&lt;&gt;0),HC38*HC$320/HC$15,"")</f>
        <v/>
      </c>
      <c r="HD343" s="150" t="str">
        <f aca="false">IF(AND(ISNUMBER(HD38),ISNUMBER(HD$320),HD$320&lt;&gt;0),HD38*HD$320/HD$15,"")</f>
        <v/>
      </c>
      <c r="HE343" s="150" t="str">
        <f aca="false">IF(AND(ISNUMBER(HE38),ISNUMBER(HE$320),HE$320&lt;&gt;0),HE38*HE$320/HE$15,"")</f>
        <v/>
      </c>
      <c r="HF343" s="150" t="str">
        <f aca="false">IF(AND(ISNUMBER(HF38),ISNUMBER(HF$320),HF$320&lt;&gt;0),HF38*HF$320/HF$15,"")</f>
        <v/>
      </c>
      <c r="HG343" s="150" t="str">
        <f aca="false">IF(AND(ISNUMBER(HG38),ISNUMBER(HG$320),HG$320&lt;&gt;0),HG38*HG$320/HG$15,"")</f>
        <v/>
      </c>
      <c r="HH343" s="150" t="str">
        <f aca="false">IF(AND(ISNUMBER(HH38),ISNUMBER(HH$320),HH$320&lt;&gt;0),HH38*HH$320/HH$15,"")</f>
        <v/>
      </c>
      <c r="HI343" s="150" t="str">
        <f aca="false">IF(AND(ISNUMBER(HI38),ISNUMBER(HI$320),HI$320&lt;&gt;0),HI38*HI$320/HI$15,"")</f>
        <v/>
      </c>
      <c r="HJ343" s="150" t="str">
        <f aca="false">IF(AND(ISNUMBER(HJ38),ISNUMBER(HJ$320),HJ$320&lt;&gt;0),HJ38*HJ$320/HJ$15,"")</f>
        <v/>
      </c>
      <c r="HK343" s="150" t="str">
        <f aca="false">IF(AND(ISNUMBER(HK38),ISNUMBER(HK$320),HK$320&lt;&gt;0),HK38*HK$320/HK$15,"")</f>
        <v/>
      </c>
      <c r="HL343" s="150" t="str">
        <f aca="false">IF(AND(ISNUMBER(HL38),ISNUMBER(HL$320),HL$320&lt;&gt;0),HL38*HL$320/HL$15,"")</f>
        <v/>
      </c>
      <c r="HM343" s="150" t="str">
        <f aca="false">IF(AND(ISNUMBER(HM38),ISNUMBER(HM$320),HM$320&lt;&gt;0),HM38*HM$320/HM$15,"")</f>
        <v/>
      </c>
      <c r="HN343" s="150" t="str">
        <f aca="false">IF(AND(ISNUMBER(HN38),ISNUMBER(HN$320),HN$320&lt;&gt;0),HN38*HN$320/HN$15,"")</f>
        <v/>
      </c>
      <c r="HO343" s="150" t="str">
        <f aca="false">IF(AND(ISNUMBER(HO38),ISNUMBER(HO$320),HO$320&lt;&gt;0),HO38*HO$320/HO$15,"")</f>
        <v/>
      </c>
      <c r="HP343" s="150" t="str">
        <f aca="false">IF(AND(ISNUMBER(HP38),ISNUMBER(HP$320),HP$320&lt;&gt;0),HP38*HP$320/HP$15,"")</f>
        <v/>
      </c>
      <c r="HQ343" s="150" t="str">
        <f aca="false">IF(AND(ISNUMBER(HQ38),ISNUMBER(HQ$320),HQ$320&lt;&gt;0),HQ38*HQ$320/HQ$15,"")</f>
        <v/>
      </c>
      <c r="HR343" s="150" t="str">
        <f aca="false">IF(AND(ISNUMBER(HR38),ISNUMBER(HR$320),HR$320&lt;&gt;0),HR38*HR$320/HR$15,"")</f>
        <v/>
      </c>
      <c r="HS343" s="150" t="str">
        <f aca="false">IF(AND(ISNUMBER(HS38),ISNUMBER(HS$320),HS$320&lt;&gt;0),HS38*HS$320/HS$15,"")</f>
        <v/>
      </c>
      <c r="HT343" s="150" t="str">
        <f aca="false">IF(AND(ISNUMBER(HT38),ISNUMBER(HT$320),HT$320&lt;&gt;0),HT38*HT$320/HT$15,"")</f>
        <v/>
      </c>
      <c r="HU343" s="150" t="str">
        <f aca="false">IF(AND(ISNUMBER(HU38),ISNUMBER(HU$320),HU$320&lt;&gt;0),HU38*HU$320/HU$15,"")</f>
        <v/>
      </c>
      <c r="HV343" s="150" t="str">
        <f aca="false">IF(AND(ISNUMBER(HV38),ISNUMBER(HV$320),HV$320&lt;&gt;0),HV38*HV$320/HV$15,"")</f>
        <v/>
      </c>
      <c r="HW343" s="150" t="str">
        <f aca="false">IF(AND(ISNUMBER(HW38),ISNUMBER(HW$320),HW$320&lt;&gt;0),HW38*HW$320/HW$15,"")</f>
        <v/>
      </c>
      <c r="HX343" s="150" t="str">
        <f aca="false">IF(AND(ISNUMBER(HX38),ISNUMBER(HX$320),HX$320&lt;&gt;0),HX38*HX$320/HX$15,"")</f>
        <v/>
      </c>
      <c r="HY343" s="150" t="str">
        <f aca="false">IF(AND(ISNUMBER(HY38),ISNUMBER(HY$320),HY$320&lt;&gt;0),HY38*HY$320/HY$15,"")</f>
        <v/>
      </c>
      <c r="HZ343" s="150" t="str">
        <f aca="false">IF(AND(ISNUMBER(HZ38),ISNUMBER(HZ$320),HZ$320&lt;&gt;0),HZ38*HZ$320/HZ$15,"")</f>
        <v/>
      </c>
      <c r="IA343" s="150" t="str">
        <f aca="false">IF(AND(ISNUMBER(IA38),ISNUMBER(IA$320),IA$320&lt;&gt;0),IA38*IA$320/IA$15,"")</f>
        <v/>
      </c>
      <c r="IB343" s="150" t="str">
        <f aca="false">IF(AND(ISNUMBER(IB38),ISNUMBER(IB$320),IB$320&lt;&gt;0),IB38*IB$320/IB$15,"")</f>
        <v/>
      </c>
      <c r="IC343" s="150" t="str">
        <f aca="false">IF(AND(ISNUMBER(IC38),ISNUMBER(IC$320),IC$320&lt;&gt;0),IC38*IC$320/IC$15,"")</f>
        <v/>
      </c>
      <c r="ID343" s="572" t="str">
        <f aca="false">IF(AND(ISNUMBER(ID38),ISNUMBER(ID$320),ID$320&lt;&gt;0),ID38*ID$320/ID$15,"")</f>
        <v/>
      </c>
      <c r="IE343" s="129"/>
    </row>
    <row r="344" customFormat="false" ht="12.75" hidden="false" customHeight="false" outlineLevel="0" collapsed="false">
      <c r="I344" s="735"/>
      <c r="J344" s="727"/>
      <c r="K344" s="195"/>
      <c r="L344" s="195"/>
      <c r="M344" s="729"/>
      <c r="P344" s="727"/>
      <c r="S344" s="1"/>
      <c r="T344" s="727"/>
      <c r="U344" s="195"/>
      <c r="V344" s="195"/>
      <c r="W344" s="195"/>
      <c r="X344" s="195"/>
      <c r="Y344" s="195"/>
      <c r="Z344" s="195"/>
      <c r="AA344" s="195"/>
      <c r="AB344" s="195"/>
      <c r="AC344" s="195"/>
      <c r="AD344" s="195"/>
      <c r="AE344" s="195"/>
      <c r="AF344" s="195"/>
      <c r="AG344" s="195"/>
      <c r="AH344" s="195"/>
      <c r="AI344" s="195"/>
      <c r="AJ344" s="195"/>
      <c r="AK344" s="195"/>
      <c r="AL344" s="195"/>
      <c r="AM344" s="195"/>
      <c r="AN344" s="532"/>
      <c r="AO344" s="532"/>
      <c r="AP344" s="240"/>
      <c r="AQ344" s="532"/>
      <c r="AR344" s="240"/>
      <c r="AS344" s="240"/>
      <c r="AT344" s="240"/>
      <c r="AU344" s="730"/>
      <c r="AV344" s="730"/>
      <c r="AW344" s="730"/>
      <c r="AX344" s="730"/>
      <c r="AY344" s="468"/>
      <c r="AZ344" s="468"/>
      <c r="BA344" s="240"/>
      <c r="BB344" s="240"/>
      <c r="BC344" s="240"/>
      <c r="BD344" s="240"/>
      <c r="BE344" s="672"/>
      <c r="BF344" s="672"/>
      <c r="BG344" s="672"/>
      <c r="BH344" s="731"/>
      <c r="BI344" s="672"/>
      <c r="BJ344" s="240"/>
      <c r="BK344" s="736"/>
      <c r="BL344" s="737"/>
      <c r="BM344" s="240"/>
      <c r="BN344" s="240"/>
      <c r="BO344" s="240"/>
      <c r="BP344" s="240"/>
      <c r="BQ344" s="240"/>
      <c r="BR344" s="240"/>
      <c r="BS344" s="240"/>
      <c r="BT344" s="240"/>
      <c r="BU344" s="240"/>
      <c r="BV344" s="240"/>
      <c r="BW344" s="240"/>
      <c r="BX344" s="240"/>
      <c r="BY344" s="240"/>
      <c r="BZ344" s="240"/>
      <c r="CA344" s="240"/>
      <c r="CB344" s="672"/>
      <c r="CC344" s="672"/>
      <c r="CD344" s="672"/>
      <c r="CE344" s="672"/>
      <c r="CF344" s="672"/>
      <c r="CG344" s="672"/>
      <c r="CH344" s="240"/>
      <c r="CI344" s="240"/>
      <c r="CJ344" s="240"/>
      <c r="CK344" s="240"/>
      <c r="CL344" s="240"/>
      <c r="CM344" s="240"/>
      <c r="CN344" s="240"/>
      <c r="CO344" s="240"/>
      <c r="CP344" s="240"/>
      <c r="CQ344" s="240"/>
      <c r="CR344" s="240"/>
      <c r="CS344" s="240"/>
      <c r="CT344" s="240"/>
      <c r="CU344" s="240"/>
      <c r="CV344" s="240"/>
      <c r="CW344" s="240"/>
      <c r="CX344" s="240"/>
      <c r="CY344" s="240"/>
      <c r="CZ344" s="240"/>
      <c r="DA344" s="240"/>
      <c r="DB344" s="240"/>
      <c r="DC344" s="240"/>
      <c r="DD344" s="240"/>
      <c r="DE344" s="240"/>
      <c r="DF344" s="240"/>
      <c r="DG344" s="733"/>
      <c r="DH344" s="478"/>
      <c r="DI344" s="195"/>
      <c r="DJ344" s="3"/>
      <c r="DK344" s="478"/>
      <c r="DL344" s="4"/>
      <c r="DM344" s="4"/>
      <c r="DN344" s="4"/>
      <c r="DO344" s="4"/>
      <c r="DP344" s="4"/>
      <c r="DQ344" s="4"/>
      <c r="DS344" s="195"/>
      <c r="DT344" s="195"/>
      <c r="DU344" s="195"/>
      <c r="DV344" s="195"/>
      <c r="DW344" s="195"/>
      <c r="DX344" s="195"/>
      <c r="DY344" s="195"/>
      <c r="DZ344" s="195"/>
      <c r="EA344" s="195"/>
      <c r="EB344" s="195"/>
      <c r="EC344" s="195"/>
      <c r="ED344" s="195"/>
      <c r="EE344" s="195"/>
      <c r="EF344" s="195"/>
      <c r="EG344" s="195"/>
      <c r="EL344" s="1"/>
      <c r="EM344" s="195"/>
      <c r="EN344" s="240"/>
      <c r="EO344" s="240"/>
      <c r="EP344" s="195"/>
      <c r="EQ344" s="240"/>
      <c r="ER344" s="195"/>
      <c r="ES344" s="195"/>
      <c r="ET344" s="195"/>
      <c r="EU344" s="672"/>
      <c r="FJ344" s="571" t="n">
        <v>20</v>
      </c>
      <c r="FK344" s="150" t="str">
        <f aca="false">IF(AND(ISNUMBER(FK39),ISNUMBER(FK$320),FK$320&lt;&gt;0),FK39*FK$320/FK$15,"")</f>
        <v/>
      </c>
      <c r="FL344" s="150" t="str">
        <f aca="false">IF(AND(ISNUMBER(FL39),ISNUMBER(FL$320),FL$320&lt;&gt;0),FL39*FL$320/FL$15,"")</f>
        <v/>
      </c>
      <c r="FM344" s="150" t="n">
        <f aca="false">IF(AND(ISNUMBER(FM39),ISNUMBER(FM$320),FM$320&lt;&gt;0),FM39*FM$320/FM$15,"")</f>
        <v>0.00283862539633862</v>
      </c>
      <c r="FN344" s="150" t="n">
        <f aca="false">IF(AND(ISNUMBER(FN39),ISNUMBER(FN$320),FN$320&lt;&gt;0),FN39*FN$320/FN$15,"")</f>
        <v>0.00243377701483883</v>
      </c>
      <c r="FO344" s="150" t="n">
        <f aca="false">IF(AND(ISNUMBER(FO39),ISNUMBER(FO$320),FO$320&lt;&gt;0),FO39*FO$320/FO$15,"")</f>
        <v>0.00258692359823266</v>
      </c>
      <c r="FP344" s="150" t="n">
        <f aca="false">IF(AND(ISNUMBER(FP39),ISNUMBER(FP$320),FP$320&lt;&gt;0),FP39*FP$320/FP$15,"")</f>
        <v>0.00147013470134421</v>
      </c>
      <c r="FQ344" s="150" t="str">
        <f aca="false">IF(AND(ISNUMBER(FQ39),ISNUMBER(FQ$320),FQ$320&lt;&gt;0),FQ39*FQ$320/FQ$15,"")</f>
        <v/>
      </c>
      <c r="FR344" s="150" t="str">
        <f aca="false">IF(AND(ISNUMBER(FR39),ISNUMBER(FR$320),FR$320&lt;&gt;0),FR39*FR$320/FR$15,"")</f>
        <v/>
      </c>
      <c r="FS344" s="150" t="str">
        <f aca="false">IF(AND(ISNUMBER(FS39),ISNUMBER(FS$320),FS$320&lt;&gt;0),FS39*FS$320/FS$15,"")</f>
        <v/>
      </c>
      <c r="FT344" s="150" t="str">
        <f aca="false">IF(AND(ISNUMBER(FT39),ISNUMBER(FT$320),FT$320&lt;&gt;0),FT39*FT$320/FT$15,"")</f>
        <v/>
      </c>
      <c r="FU344" s="150" t="str">
        <f aca="false">IF(AND(ISNUMBER(FU39),ISNUMBER(FU$320),FU$320&lt;&gt;0),FU39*FU$320/FU$15,"")</f>
        <v/>
      </c>
      <c r="FV344" s="150" t="str">
        <f aca="false">IF(AND(ISNUMBER(FV39),ISNUMBER(FV$320),FV$320&lt;&gt;0),FV39*FV$320/FV$15,"")</f>
        <v/>
      </c>
      <c r="FW344" s="150" t="str">
        <f aca="false">IF(AND(ISNUMBER(FW39),ISNUMBER(FW$320),FW$320&lt;&gt;0),FW39*FW$320/FW$15,"")</f>
        <v/>
      </c>
      <c r="FX344" s="150" t="str">
        <f aca="false">IF(AND(ISNUMBER(FX39),ISNUMBER(FX$320),FX$320&lt;&gt;0),FX39*FX$320/FX$15,"")</f>
        <v/>
      </c>
      <c r="FY344" s="150" t="str">
        <f aca="false">IF(AND(ISNUMBER(FY39),ISNUMBER(FY$320),FY$320&lt;&gt;0),FY39*FY$320/FY$15,"")</f>
        <v/>
      </c>
      <c r="FZ344" s="150" t="str">
        <f aca="false">IF(AND(ISNUMBER(FZ39),ISNUMBER(FZ$320),FZ$320&lt;&gt;0),FZ39*FZ$320/FZ$15,"")</f>
        <v/>
      </c>
      <c r="GA344" s="150" t="str">
        <f aca="false">IF(AND(ISNUMBER(GA39),ISNUMBER(GA$320),GA$320&lt;&gt;0),GA39*GA$320/GA$15,"")</f>
        <v/>
      </c>
      <c r="GB344" s="150" t="str">
        <f aca="false">IF(AND(ISNUMBER(GB39),ISNUMBER(GB$320),GB$320&lt;&gt;0),GB39*GB$320/GB$15,"")</f>
        <v/>
      </c>
      <c r="GC344" s="150" t="str">
        <f aca="false">IF(AND(ISNUMBER(GC39),ISNUMBER(GC$320),GC$320&lt;&gt;0),GC39*GC$320/GC$15,"")</f>
        <v/>
      </c>
      <c r="GD344" s="150" t="str">
        <f aca="false">IF(AND(ISNUMBER(GD39),ISNUMBER(GD$320),GD$320&lt;&gt;0),GD39*GD$320/GD$15,"")</f>
        <v/>
      </c>
      <c r="GE344" s="150" t="str">
        <f aca="false">IF(AND(ISNUMBER(GE39),ISNUMBER(GE$320),GE$320&lt;&gt;0),GE39*GE$320/GE$15,"")</f>
        <v/>
      </c>
      <c r="GF344" s="150" t="str">
        <f aca="false">IF(AND(ISNUMBER(GF39),ISNUMBER(GF$320),GF$320&lt;&gt;0),GF39*GF$320/GF$15,"")</f>
        <v/>
      </c>
      <c r="GG344" s="150" t="str">
        <f aca="false">IF(AND(ISNUMBER(GG39),ISNUMBER(GG$320),GG$320&lt;&gt;0),GG39*GG$320/GG$15,"")</f>
        <v/>
      </c>
      <c r="GH344" s="150" t="str">
        <f aca="false">IF(AND(ISNUMBER(GH39),ISNUMBER(GH$320),GH$320&lt;&gt;0),GH39*GH$320/GH$15,"")</f>
        <v/>
      </c>
      <c r="GI344" s="150" t="str">
        <f aca="false">IF(AND(ISNUMBER(GI39),ISNUMBER(GI$320),GI$320&lt;&gt;0),GI39*GI$320/GI$15,"")</f>
        <v/>
      </c>
      <c r="GJ344" s="150" t="str">
        <f aca="false">IF(AND(ISNUMBER(GJ39),ISNUMBER(GJ$320),GJ$320&lt;&gt;0),GJ39*GJ$320/GJ$15,"")</f>
        <v/>
      </c>
      <c r="GK344" s="150" t="str">
        <f aca="false">IF(AND(ISNUMBER(GK39),ISNUMBER(GK$320),GK$320&lt;&gt;0),GK39*GK$320/GK$15,"")</f>
        <v/>
      </c>
      <c r="GL344" s="150" t="str">
        <f aca="false">IF(AND(ISNUMBER(GL39),ISNUMBER(GL$320),GL$320&lt;&gt;0),GL39*GL$320/GL$15,"")</f>
        <v/>
      </c>
      <c r="GM344" s="150" t="str">
        <f aca="false">IF(AND(ISNUMBER(GM39),ISNUMBER(GM$320),GM$320&lt;&gt;0),GM39*GM$320/GM$15,"")</f>
        <v/>
      </c>
      <c r="GN344" s="150" t="str">
        <f aca="false">IF(AND(ISNUMBER(GN39),ISNUMBER(GN$320),GN$320&lt;&gt;0),GN39*GN$320/GN$15,"")</f>
        <v/>
      </c>
      <c r="GO344" s="150" t="str">
        <f aca="false">IF(AND(ISNUMBER(GO39),ISNUMBER(GO$320),GO$320&lt;&gt;0),GO39*GO$320/GO$15,"")</f>
        <v/>
      </c>
      <c r="GP344" s="150" t="str">
        <f aca="false">IF(AND(ISNUMBER(GP39),ISNUMBER(GP$320),GP$320&lt;&gt;0),GP39*GP$320/GP$15,"")</f>
        <v/>
      </c>
      <c r="GQ344" s="150" t="str">
        <f aca="false">IF(AND(ISNUMBER(GQ39),ISNUMBER(GQ$320),GQ$320&lt;&gt;0),GQ39*GQ$320/GQ$15,"")</f>
        <v/>
      </c>
      <c r="GR344" s="150" t="str">
        <f aca="false">IF(AND(ISNUMBER(GR39),ISNUMBER(GR$320),GR$320&lt;&gt;0),GR39*GR$320/GR$15,"")</f>
        <v/>
      </c>
      <c r="GS344" s="150" t="str">
        <f aca="false">IF(AND(ISNUMBER(GS39),ISNUMBER(GS$320),GS$320&lt;&gt;0),GS39*GS$320/GS$15,"")</f>
        <v/>
      </c>
      <c r="GT344" s="150" t="str">
        <f aca="false">IF(AND(ISNUMBER(GT39),ISNUMBER(GT$320),GT$320&lt;&gt;0),GT39*GT$320/GT$15,"")</f>
        <v/>
      </c>
      <c r="GU344" s="150" t="str">
        <f aca="false">IF(AND(ISNUMBER(GU39),ISNUMBER(GU$320),GU$320&lt;&gt;0),GU39*GU$320/GU$15,"")</f>
        <v/>
      </c>
      <c r="GV344" s="150" t="str">
        <f aca="false">IF(AND(ISNUMBER(GV39),ISNUMBER(GV$320),GV$320&lt;&gt;0),GV39*GV$320/GV$15,"")</f>
        <v/>
      </c>
      <c r="GW344" s="150" t="str">
        <f aca="false">IF(AND(ISNUMBER(GW39),ISNUMBER(GW$320),GW$320&lt;&gt;0),GW39*GW$320/GW$15,"")</f>
        <v/>
      </c>
      <c r="GX344" s="150" t="str">
        <f aca="false">IF(AND(ISNUMBER(GX39),ISNUMBER(GX$320),GX$320&lt;&gt;0),GX39*GX$320/GX$15,"")</f>
        <v/>
      </c>
      <c r="GY344" s="150" t="str">
        <f aca="false">IF(AND(ISNUMBER(GY39),ISNUMBER(GY$320),GY$320&lt;&gt;0),GY39*GY$320/GY$15,"")</f>
        <v/>
      </c>
      <c r="GZ344" s="150" t="str">
        <f aca="false">IF(AND(ISNUMBER(GZ39),ISNUMBER(GZ$320),GZ$320&lt;&gt;0),GZ39*GZ$320/GZ$15,"")</f>
        <v/>
      </c>
      <c r="HA344" s="150" t="str">
        <f aca="false">IF(AND(ISNUMBER(HA39),ISNUMBER(HA$320),HA$320&lt;&gt;0),HA39*HA$320/HA$15,"")</f>
        <v/>
      </c>
      <c r="HB344" s="150" t="str">
        <f aca="false">IF(AND(ISNUMBER(HB39),ISNUMBER(HB$320),HB$320&lt;&gt;0),HB39*HB$320/HB$15,"")</f>
        <v/>
      </c>
      <c r="HC344" s="150" t="str">
        <f aca="false">IF(AND(ISNUMBER(HC39),ISNUMBER(HC$320),HC$320&lt;&gt;0),HC39*HC$320/HC$15,"")</f>
        <v/>
      </c>
      <c r="HD344" s="150" t="str">
        <f aca="false">IF(AND(ISNUMBER(HD39),ISNUMBER(HD$320),HD$320&lt;&gt;0),HD39*HD$320/HD$15,"")</f>
        <v/>
      </c>
      <c r="HE344" s="150" t="str">
        <f aca="false">IF(AND(ISNUMBER(HE39),ISNUMBER(HE$320),HE$320&lt;&gt;0),HE39*HE$320/HE$15,"")</f>
        <v/>
      </c>
      <c r="HF344" s="150" t="str">
        <f aca="false">IF(AND(ISNUMBER(HF39),ISNUMBER(HF$320),HF$320&lt;&gt;0),HF39*HF$320/HF$15,"")</f>
        <v/>
      </c>
      <c r="HG344" s="150" t="str">
        <f aca="false">IF(AND(ISNUMBER(HG39),ISNUMBER(HG$320),HG$320&lt;&gt;0),HG39*HG$320/HG$15,"")</f>
        <v/>
      </c>
      <c r="HH344" s="150" t="str">
        <f aca="false">IF(AND(ISNUMBER(HH39),ISNUMBER(HH$320),HH$320&lt;&gt;0),HH39*HH$320/HH$15,"")</f>
        <v/>
      </c>
      <c r="HI344" s="150" t="str">
        <f aca="false">IF(AND(ISNUMBER(HI39),ISNUMBER(HI$320),HI$320&lt;&gt;0),HI39*HI$320/HI$15,"")</f>
        <v/>
      </c>
      <c r="HJ344" s="150" t="str">
        <f aca="false">IF(AND(ISNUMBER(HJ39),ISNUMBER(HJ$320),HJ$320&lt;&gt;0),HJ39*HJ$320/HJ$15,"")</f>
        <v/>
      </c>
      <c r="HK344" s="150" t="str">
        <f aca="false">IF(AND(ISNUMBER(HK39),ISNUMBER(HK$320),HK$320&lt;&gt;0),HK39*HK$320/HK$15,"")</f>
        <v/>
      </c>
      <c r="HL344" s="150" t="str">
        <f aca="false">IF(AND(ISNUMBER(HL39),ISNUMBER(HL$320),HL$320&lt;&gt;0),HL39*HL$320/HL$15,"")</f>
        <v/>
      </c>
      <c r="HM344" s="150" t="str">
        <f aca="false">IF(AND(ISNUMBER(HM39),ISNUMBER(HM$320),HM$320&lt;&gt;0),HM39*HM$320/HM$15,"")</f>
        <v/>
      </c>
      <c r="HN344" s="150" t="str">
        <f aca="false">IF(AND(ISNUMBER(HN39),ISNUMBER(HN$320),HN$320&lt;&gt;0),HN39*HN$320/HN$15,"")</f>
        <v/>
      </c>
      <c r="HO344" s="150" t="str">
        <f aca="false">IF(AND(ISNUMBER(HO39),ISNUMBER(HO$320),HO$320&lt;&gt;0),HO39*HO$320/HO$15,"")</f>
        <v/>
      </c>
      <c r="HP344" s="150" t="str">
        <f aca="false">IF(AND(ISNUMBER(HP39),ISNUMBER(HP$320),HP$320&lt;&gt;0),HP39*HP$320/HP$15,"")</f>
        <v/>
      </c>
      <c r="HQ344" s="150" t="str">
        <f aca="false">IF(AND(ISNUMBER(HQ39),ISNUMBER(HQ$320),HQ$320&lt;&gt;0),HQ39*HQ$320/HQ$15,"")</f>
        <v/>
      </c>
      <c r="HR344" s="150" t="str">
        <f aca="false">IF(AND(ISNUMBER(HR39),ISNUMBER(HR$320),HR$320&lt;&gt;0),HR39*HR$320/HR$15,"")</f>
        <v/>
      </c>
      <c r="HS344" s="150" t="str">
        <f aca="false">IF(AND(ISNUMBER(HS39),ISNUMBER(HS$320),HS$320&lt;&gt;0),HS39*HS$320/HS$15,"")</f>
        <v/>
      </c>
      <c r="HT344" s="150" t="str">
        <f aca="false">IF(AND(ISNUMBER(HT39),ISNUMBER(HT$320),HT$320&lt;&gt;0),HT39*HT$320/HT$15,"")</f>
        <v/>
      </c>
      <c r="HU344" s="150" t="str">
        <f aca="false">IF(AND(ISNUMBER(HU39),ISNUMBER(HU$320),HU$320&lt;&gt;0),HU39*HU$320/HU$15,"")</f>
        <v/>
      </c>
      <c r="HV344" s="150" t="str">
        <f aca="false">IF(AND(ISNUMBER(HV39),ISNUMBER(HV$320),HV$320&lt;&gt;0),HV39*HV$320/HV$15,"")</f>
        <v/>
      </c>
      <c r="HW344" s="150" t="str">
        <f aca="false">IF(AND(ISNUMBER(HW39),ISNUMBER(HW$320),HW$320&lt;&gt;0),HW39*HW$320/HW$15,"")</f>
        <v/>
      </c>
      <c r="HX344" s="150" t="str">
        <f aca="false">IF(AND(ISNUMBER(HX39),ISNUMBER(HX$320),HX$320&lt;&gt;0),HX39*HX$320/HX$15,"")</f>
        <v/>
      </c>
      <c r="HY344" s="150" t="str">
        <f aca="false">IF(AND(ISNUMBER(HY39),ISNUMBER(HY$320),HY$320&lt;&gt;0),HY39*HY$320/HY$15,"")</f>
        <v/>
      </c>
      <c r="HZ344" s="150" t="str">
        <f aca="false">IF(AND(ISNUMBER(HZ39),ISNUMBER(HZ$320),HZ$320&lt;&gt;0),HZ39*HZ$320/HZ$15,"")</f>
        <v/>
      </c>
      <c r="IA344" s="150" t="str">
        <f aca="false">IF(AND(ISNUMBER(IA39),ISNUMBER(IA$320),IA$320&lt;&gt;0),IA39*IA$320/IA$15,"")</f>
        <v/>
      </c>
      <c r="IB344" s="150" t="str">
        <f aca="false">IF(AND(ISNUMBER(IB39),ISNUMBER(IB$320),IB$320&lt;&gt;0),IB39*IB$320/IB$15,"")</f>
        <v/>
      </c>
      <c r="IC344" s="150" t="str">
        <f aca="false">IF(AND(ISNUMBER(IC39),ISNUMBER(IC$320),IC$320&lt;&gt;0),IC39*IC$320/IC$15,"")</f>
        <v/>
      </c>
      <c r="ID344" s="572" t="str">
        <f aca="false">IF(AND(ISNUMBER(ID39),ISNUMBER(ID$320),ID$320&lt;&gt;0),ID39*ID$320/ID$15,"")</f>
        <v/>
      </c>
      <c r="IE344" s="129"/>
    </row>
    <row r="345" customFormat="false" ht="12.75" hidden="false" customHeight="false" outlineLevel="0" collapsed="false">
      <c r="I345" s="735"/>
      <c r="J345" s="727"/>
      <c r="K345" s="195"/>
      <c r="L345" s="195"/>
      <c r="M345" s="729"/>
      <c r="P345" s="727"/>
      <c r="S345" s="1"/>
      <c r="T345" s="727"/>
      <c r="U345" s="195"/>
      <c r="V345" s="195"/>
      <c r="W345" s="195"/>
      <c r="X345" s="195"/>
      <c r="Y345" s="195"/>
      <c r="Z345" s="195"/>
      <c r="AA345" s="195"/>
      <c r="AB345" s="195"/>
      <c r="AC345" s="195"/>
      <c r="AD345" s="195"/>
      <c r="AE345" s="195"/>
      <c r="AF345" s="195"/>
      <c r="AG345" s="195"/>
      <c r="AH345" s="195"/>
      <c r="AI345" s="195"/>
      <c r="AJ345" s="195"/>
      <c r="AK345" s="195"/>
      <c r="AL345" s="195"/>
      <c r="AM345" s="195"/>
      <c r="AN345" s="532"/>
      <c r="AO345" s="532"/>
      <c r="AP345" s="240"/>
      <c r="AQ345" s="532"/>
      <c r="AR345" s="240"/>
      <c r="AS345" s="240"/>
      <c r="AT345" s="240"/>
      <c r="AU345" s="730"/>
      <c r="AV345" s="730"/>
      <c r="AW345" s="730"/>
      <c r="AX345" s="730"/>
      <c r="AY345" s="468"/>
      <c r="AZ345" s="468"/>
      <c r="BA345" s="240"/>
      <c r="BB345" s="240"/>
      <c r="BC345" s="240"/>
      <c r="BD345" s="240"/>
      <c r="BE345" s="672"/>
      <c r="BF345" s="672"/>
      <c r="BG345" s="672"/>
      <c r="BH345" s="731"/>
      <c r="BI345" s="672"/>
      <c r="BJ345" s="240"/>
      <c r="BK345" s="736"/>
      <c r="BL345" s="737"/>
      <c r="BM345" s="240"/>
      <c r="BN345" s="240"/>
      <c r="BO345" s="240"/>
      <c r="BP345" s="240"/>
      <c r="BQ345" s="240"/>
      <c r="BR345" s="240"/>
      <c r="BS345" s="240"/>
      <c r="BT345" s="240"/>
      <c r="BU345" s="240"/>
      <c r="BV345" s="240"/>
      <c r="BW345" s="240"/>
      <c r="BX345" s="240"/>
      <c r="BY345" s="240"/>
      <c r="BZ345" s="240"/>
      <c r="CA345" s="240"/>
      <c r="CB345" s="672"/>
      <c r="CC345" s="672"/>
      <c r="CD345" s="672"/>
      <c r="CE345" s="672"/>
      <c r="CF345" s="672"/>
      <c r="CG345" s="672"/>
      <c r="CH345" s="240"/>
      <c r="CI345" s="240"/>
      <c r="CJ345" s="240"/>
      <c r="CK345" s="240"/>
      <c r="CL345" s="240"/>
      <c r="CM345" s="240"/>
      <c r="CN345" s="240"/>
      <c r="CO345" s="240"/>
      <c r="CP345" s="240"/>
      <c r="CQ345" s="240"/>
      <c r="CR345" s="240"/>
      <c r="CS345" s="240"/>
      <c r="CT345" s="240"/>
      <c r="CU345" s="240"/>
      <c r="CV345" s="240"/>
      <c r="CW345" s="240"/>
      <c r="CX345" s="240"/>
      <c r="CY345" s="240"/>
      <c r="CZ345" s="240"/>
      <c r="DA345" s="240"/>
      <c r="DB345" s="240"/>
      <c r="DC345" s="240"/>
      <c r="DD345" s="240"/>
      <c r="DE345" s="240"/>
      <c r="DF345" s="240"/>
      <c r="DG345" s="733"/>
      <c r="DH345" s="478"/>
      <c r="DI345" s="195"/>
      <c r="DJ345" s="3"/>
      <c r="DK345" s="478"/>
      <c r="DL345" s="4"/>
      <c r="DM345" s="4"/>
      <c r="DN345" s="4"/>
      <c r="DO345" s="4"/>
      <c r="DP345" s="4"/>
      <c r="DQ345" s="4"/>
      <c r="DS345" s="195"/>
      <c r="DT345" s="195"/>
      <c r="DU345" s="195"/>
      <c r="DV345" s="195"/>
      <c r="DW345" s="195"/>
      <c r="DX345" s="195"/>
      <c r="DY345" s="195"/>
      <c r="DZ345" s="195"/>
      <c r="EA345" s="195"/>
      <c r="EB345" s="195"/>
      <c r="EC345" s="195"/>
      <c r="ED345" s="195"/>
      <c r="EE345" s="195"/>
      <c r="EF345" s="195"/>
      <c r="EG345" s="195"/>
      <c r="EL345" s="1"/>
      <c r="EM345" s="195"/>
      <c r="EN345" s="240"/>
      <c r="EO345" s="240"/>
      <c r="EP345" s="195"/>
      <c r="EQ345" s="240"/>
      <c r="ER345" s="195"/>
      <c r="ES345" s="195"/>
      <c r="ET345" s="195"/>
      <c r="EU345" s="672"/>
      <c r="FJ345" s="571" t="n">
        <v>21</v>
      </c>
      <c r="FK345" s="150" t="str">
        <f aca="false">IF(AND(ISNUMBER(FK40),ISNUMBER(FK$320),FK$320&lt;&gt;0),FK40*FK$320/FK$15,"")</f>
        <v/>
      </c>
      <c r="FL345" s="150" t="str">
        <f aca="false">IF(AND(ISNUMBER(FL40),ISNUMBER(FL$320),FL$320&lt;&gt;0),FL40*FL$320/FL$15,"")</f>
        <v/>
      </c>
      <c r="FM345" s="150" t="n">
        <f aca="false">IF(AND(ISNUMBER(FM40),ISNUMBER(FM$320),FM$320&lt;&gt;0),FM40*FM$320/FM$15,"")</f>
        <v>0.00279415722127402</v>
      </c>
      <c r="FN345" s="150" t="n">
        <f aca="false">IF(AND(ISNUMBER(FN40),ISNUMBER(FN$320),FN$320&lt;&gt;0),FN40*FN$320/FN$15,"")</f>
        <v>0.00238918512348083</v>
      </c>
      <c r="FO345" s="150" t="n">
        <f aca="false">IF(AND(ISNUMBER(FO40),ISNUMBER(FO$320),FO$320&lt;&gt;0),FO40*FO$320/FO$15,"")</f>
        <v>0.00253148750763372</v>
      </c>
      <c r="FP345" s="150" t="n">
        <f aca="false">IF(AND(ISNUMBER(FP40),ISNUMBER(FP$320),FP$320&lt;&gt;0),FP40*FP$320/FP$15,"")</f>
        <v>0.00143328788179438</v>
      </c>
      <c r="FQ345" s="150" t="str">
        <f aca="false">IF(AND(ISNUMBER(FQ40),ISNUMBER(FQ$320),FQ$320&lt;&gt;0),FQ40*FQ$320/FQ$15,"")</f>
        <v/>
      </c>
      <c r="FR345" s="150" t="str">
        <f aca="false">IF(AND(ISNUMBER(FR40),ISNUMBER(FR$320),FR$320&lt;&gt;0),FR40*FR$320/FR$15,"")</f>
        <v/>
      </c>
      <c r="FS345" s="150" t="str">
        <f aca="false">IF(AND(ISNUMBER(FS40),ISNUMBER(FS$320),FS$320&lt;&gt;0),FS40*FS$320/FS$15,"")</f>
        <v/>
      </c>
      <c r="FT345" s="150" t="str">
        <f aca="false">IF(AND(ISNUMBER(FT40),ISNUMBER(FT$320),FT$320&lt;&gt;0),FT40*FT$320/FT$15,"")</f>
        <v/>
      </c>
      <c r="FU345" s="150" t="str">
        <f aca="false">IF(AND(ISNUMBER(FU40),ISNUMBER(FU$320),FU$320&lt;&gt;0),FU40*FU$320/FU$15,"")</f>
        <v/>
      </c>
      <c r="FV345" s="150" t="str">
        <f aca="false">IF(AND(ISNUMBER(FV40),ISNUMBER(FV$320),FV$320&lt;&gt;0),FV40*FV$320/FV$15,"")</f>
        <v/>
      </c>
      <c r="FW345" s="150" t="str">
        <f aca="false">IF(AND(ISNUMBER(FW40),ISNUMBER(FW$320),FW$320&lt;&gt;0),FW40*FW$320/FW$15,"")</f>
        <v/>
      </c>
      <c r="FX345" s="150" t="str">
        <f aca="false">IF(AND(ISNUMBER(FX40),ISNUMBER(FX$320),FX$320&lt;&gt;0),FX40*FX$320/FX$15,"")</f>
        <v/>
      </c>
      <c r="FY345" s="150" t="str">
        <f aca="false">IF(AND(ISNUMBER(FY40),ISNUMBER(FY$320),FY$320&lt;&gt;0),FY40*FY$320/FY$15,"")</f>
        <v/>
      </c>
      <c r="FZ345" s="150" t="str">
        <f aca="false">IF(AND(ISNUMBER(FZ40),ISNUMBER(FZ$320),FZ$320&lt;&gt;0),FZ40*FZ$320/FZ$15,"")</f>
        <v/>
      </c>
      <c r="GA345" s="150" t="str">
        <f aca="false">IF(AND(ISNUMBER(GA40),ISNUMBER(GA$320),GA$320&lt;&gt;0),GA40*GA$320/GA$15,"")</f>
        <v/>
      </c>
      <c r="GB345" s="150" t="str">
        <f aca="false">IF(AND(ISNUMBER(GB40),ISNUMBER(GB$320),GB$320&lt;&gt;0),GB40*GB$320/GB$15,"")</f>
        <v/>
      </c>
      <c r="GC345" s="150" t="str">
        <f aca="false">IF(AND(ISNUMBER(GC40),ISNUMBER(GC$320),GC$320&lt;&gt;0),GC40*GC$320/GC$15,"")</f>
        <v/>
      </c>
      <c r="GD345" s="150" t="str">
        <f aca="false">IF(AND(ISNUMBER(GD40),ISNUMBER(GD$320),GD$320&lt;&gt;0),GD40*GD$320/GD$15,"")</f>
        <v/>
      </c>
      <c r="GE345" s="150" t="str">
        <f aca="false">IF(AND(ISNUMBER(GE40),ISNUMBER(GE$320),GE$320&lt;&gt;0),GE40*GE$320/GE$15,"")</f>
        <v/>
      </c>
      <c r="GF345" s="150" t="str">
        <f aca="false">IF(AND(ISNUMBER(GF40),ISNUMBER(GF$320),GF$320&lt;&gt;0),GF40*GF$320/GF$15,"")</f>
        <v/>
      </c>
      <c r="GG345" s="150" t="str">
        <f aca="false">IF(AND(ISNUMBER(GG40),ISNUMBER(GG$320),GG$320&lt;&gt;0),GG40*GG$320/GG$15,"")</f>
        <v/>
      </c>
      <c r="GH345" s="150" t="str">
        <f aca="false">IF(AND(ISNUMBER(GH40),ISNUMBER(GH$320),GH$320&lt;&gt;0),GH40*GH$320/GH$15,"")</f>
        <v/>
      </c>
      <c r="GI345" s="150" t="str">
        <f aca="false">IF(AND(ISNUMBER(GI40),ISNUMBER(GI$320),GI$320&lt;&gt;0),GI40*GI$320/GI$15,"")</f>
        <v/>
      </c>
      <c r="GJ345" s="150" t="str">
        <f aca="false">IF(AND(ISNUMBER(GJ40),ISNUMBER(GJ$320),GJ$320&lt;&gt;0),GJ40*GJ$320/GJ$15,"")</f>
        <v/>
      </c>
      <c r="GK345" s="150" t="str">
        <f aca="false">IF(AND(ISNUMBER(GK40),ISNUMBER(GK$320),GK$320&lt;&gt;0),GK40*GK$320/GK$15,"")</f>
        <v/>
      </c>
      <c r="GL345" s="150" t="str">
        <f aca="false">IF(AND(ISNUMBER(GL40),ISNUMBER(GL$320),GL$320&lt;&gt;0),GL40*GL$320/GL$15,"")</f>
        <v/>
      </c>
      <c r="GM345" s="150" t="str">
        <f aca="false">IF(AND(ISNUMBER(GM40),ISNUMBER(GM$320),GM$320&lt;&gt;0),GM40*GM$320/GM$15,"")</f>
        <v/>
      </c>
      <c r="GN345" s="150" t="str">
        <f aca="false">IF(AND(ISNUMBER(GN40),ISNUMBER(GN$320),GN$320&lt;&gt;0),GN40*GN$320/GN$15,"")</f>
        <v/>
      </c>
      <c r="GO345" s="150" t="str">
        <f aca="false">IF(AND(ISNUMBER(GO40),ISNUMBER(GO$320),GO$320&lt;&gt;0),GO40*GO$320/GO$15,"")</f>
        <v/>
      </c>
      <c r="GP345" s="150" t="str">
        <f aca="false">IF(AND(ISNUMBER(GP40),ISNUMBER(GP$320),GP$320&lt;&gt;0),GP40*GP$320/GP$15,"")</f>
        <v/>
      </c>
      <c r="GQ345" s="150" t="str">
        <f aca="false">IF(AND(ISNUMBER(GQ40),ISNUMBER(GQ$320),GQ$320&lt;&gt;0),GQ40*GQ$320/GQ$15,"")</f>
        <v/>
      </c>
      <c r="GR345" s="150" t="str">
        <f aca="false">IF(AND(ISNUMBER(GR40),ISNUMBER(GR$320),GR$320&lt;&gt;0),GR40*GR$320/GR$15,"")</f>
        <v/>
      </c>
      <c r="GS345" s="150" t="str">
        <f aca="false">IF(AND(ISNUMBER(GS40),ISNUMBER(GS$320),GS$320&lt;&gt;0),GS40*GS$320/GS$15,"")</f>
        <v/>
      </c>
      <c r="GT345" s="150" t="str">
        <f aca="false">IF(AND(ISNUMBER(GT40),ISNUMBER(GT$320),GT$320&lt;&gt;0),GT40*GT$320/GT$15,"")</f>
        <v/>
      </c>
      <c r="GU345" s="150" t="str">
        <f aca="false">IF(AND(ISNUMBER(GU40),ISNUMBER(GU$320),GU$320&lt;&gt;0),GU40*GU$320/GU$15,"")</f>
        <v/>
      </c>
      <c r="GV345" s="150" t="str">
        <f aca="false">IF(AND(ISNUMBER(GV40),ISNUMBER(GV$320),GV$320&lt;&gt;0),GV40*GV$320/GV$15,"")</f>
        <v/>
      </c>
      <c r="GW345" s="150" t="str">
        <f aca="false">IF(AND(ISNUMBER(GW40),ISNUMBER(GW$320),GW$320&lt;&gt;0),GW40*GW$320/GW$15,"")</f>
        <v/>
      </c>
      <c r="GX345" s="150" t="str">
        <f aca="false">IF(AND(ISNUMBER(GX40),ISNUMBER(GX$320),GX$320&lt;&gt;0),GX40*GX$320/GX$15,"")</f>
        <v/>
      </c>
      <c r="GY345" s="150" t="str">
        <f aca="false">IF(AND(ISNUMBER(GY40),ISNUMBER(GY$320),GY$320&lt;&gt;0),GY40*GY$320/GY$15,"")</f>
        <v/>
      </c>
      <c r="GZ345" s="150" t="str">
        <f aca="false">IF(AND(ISNUMBER(GZ40),ISNUMBER(GZ$320),GZ$320&lt;&gt;0),GZ40*GZ$320/GZ$15,"")</f>
        <v/>
      </c>
      <c r="HA345" s="150" t="str">
        <f aca="false">IF(AND(ISNUMBER(HA40),ISNUMBER(HA$320),HA$320&lt;&gt;0),HA40*HA$320/HA$15,"")</f>
        <v/>
      </c>
      <c r="HB345" s="150" t="str">
        <f aca="false">IF(AND(ISNUMBER(HB40),ISNUMBER(HB$320),HB$320&lt;&gt;0),HB40*HB$320/HB$15,"")</f>
        <v/>
      </c>
      <c r="HC345" s="150" t="str">
        <f aca="false">IF(AND(ISNUMBER(HC40),ISNUMBER(HC$320),HC$320&lt;&gt;0),HC40*HC$320/HC$15,"")</f>
        <v/>
      </c>
      <c r="HD345" s="150" t="str">
        <f aca="false">IF(AND(ISNUMBER(HD40),ISNUMBER(HD$320),HD$320&lt;&gt;0),HD40*HD$320/HD$15,"")</f>
        <v/>
      </c>
      <c r="HE345" s="150" t="str">
        <f aca="false">IF(AND(ISNUMBER(HE40),ISNUMBER(HE$320),HE$320&lt;&gt;0),HE40*HE$320/HE$15,"")</f>
        <v/>
      </c>
      <c r="HF345" s="150" t="str">
        <f aca="false">IF(AND(ISNUMBER(HF40),ISNUMBER(HF$320),HF$320&lt;&gt;0),HF40*HF$320/HF$15,"")</f>
        <v/>
      </c>
      <c r="HG345" s="150" t="str">
        <f aca="false">IF(AND(ISNUMBER(HG40),ISNUMBER(HG$320),HG$320&lt;&gt;0),HG40*HG$320/HG$15,"")</f>
        <v/>
      </c>
      <c r="HH345" s="150" t="str">
        <f aca="false">IF(AND(ISNUMBER(HH40),ISNUMBER(HH$320),HH$320&lt;&gt;0),HH40*HH$320/HH$15,"")</f>
        <v/>
      </c>
      <c r="HI345" s="150" t="str">
        <f aca="false">IF(AND(ISNUMBER(HI40),ISNUMBER(HI$320),HI$320&lt;&gt;0),HI40*HI$320/HI$15,"")</f>
        <v/>
      </c>
      <c r="HJ345" s="150" t="str">
        <f aca="false">IF(AND(ISNUMBER(HJ40),ISNUMBER(HJ$320),HJ$320&lt;&gt;0),HJ40*HJ$320/HJ$15,"")</f>
        <v/>
      </c>
      <c r="HK345" s="150" t="str">
        <f aca="false">IF(AND(ISNUMBER(HK40),ISNUMBER(HK$320),HK$320&lt;&gt;0),HK40*HK$320/HK$15,"")</f>
        <v/>
      </c>
      <c r="HL345" s="150" t="str">
        <f aca="false">IF(AND(ISNUMBER(HL40),ISNUMBER(HL$320),HL$320&lt;&gt;0),HL40*HL$320/HL$15,"")</f>
        <v/>
      </c>
      <c r="HM345" s="150" t="str">
        <f aca="false">IF(AND(ISNUMBER(HM40),ISNUMBER(HM$320),HM$320&lt;&gt;0),HM40*HM$320/HM$15,"")</f>
        <v/>
      </c>
      <c r="HN345" s="150" t="str">
        <f aca="false">IF(AND(ISNUMBER(HN40),ISNUMBER(HN$320),HN$320&lt;&gt;0),HN40*HN$320/HN$15,"")</f>
        <v/>
      </c>
      <c r="HO345" s="150" t="str">
        <f aca="false">IF(AND(ISNUMBER(HO40),ISNUMBER(HO$320),HO$320&lt;&gt;0),HO40*HO$320/HO$15,"")</f>
        <v/>
      </c>
      <c r="HP345" s="150" t="str">
        <f aca="false">IF(AND(ISNUMBER(HP40),ISNUMBER(HP$320),HP$320&lt;&gt;0),HP40*HP$320/HP$15,"")</f>
        <v/>
      </c>
      <c r="HQ345" s="150" t="str">
        <f aca="false">IF(AND(ISNUMBER(HQ40),ISNUMBER(HQ$320),HQ$320&lt;&gt;0),HQ40*HQ$320/HQ$15,"")</f>
        <v/>
      </c>
      <c r="HR345" s="150" t="str">
        <f aca="false">IF(AND(ISNUMBER(HR40),ISNUMBER(HR$320),HR$320&lt;&gt;0),HR40*HR$320/HR$15,"")</f>
        <v/>
      </c>
      <c r="HS345" s="150" t="str">
        <f aca="false">IF(AND(ISNUMBER(HS40),ISNUMBER(HS$320),HS$320&lt;&gt;0),HS40*HS$320/HS$15,"")</f>
        <v/>
      </c>
      <c r="HT345" s="150" t="str">
        <f aca="false">IF(AND(ISNUMBER(HT40),ISNUMBER(HT$320),HT$320&lt;&gt;0),HT40*HT$320/HT$15,"")</f>
        <v/>
      </c>
      <c r="HU345" s="150" t="str">
        <f aca="false">IF(AND(ISNUMBER(HU40),ISNUMBER(HU$320),HU$320&lt;&gt;0),HU40*HU$320/HU$15,"")</f>
        <v/>
      </c>
      <c r="HV345" s="150" t="str">
        <f aca="false">IF(AND(ISNUMBER(HV40),ISNUMBER(HV$320),HV$320&lt;&gt;0),HV40*HV$320/HV$15,"")</f>
        <v/>
      </c>
      <c r="HW345" s="150" t="str">
        <f aca="false">IF(AND(ISNUMBER(HW40),ISNUMBER(HW$320),HW$320&lt;&gt;0),HW40*HW$320/HW$15,"")</f>
        <v/>
      </c>
      <c r="HX345" s="150" t="str">
        <f aca="false">IF(AND(ISNUMBER(HX40),ISNUMBER(HX$320),HX$320&lt;&gt;0),HX40*HX$320/HX$15,"")</f>
        <v/>
      </c>
      <c r="HY345" s="150" t="str">
        <f aca="false">IF(AND(ISNUMBER(HY40),ISNUMBER(HY$320),HY$320&lt;&gt;0),HY40*HY$320/HY$15,"")</f>
        <v/>
      </c>
      <c r="HZ345" s="150" t="str">
        <f aca="false">IF(AND(ISNUMBER(HZ40),ISNUMBER(HZ$320),HZ$320&lt;&gt;0),HZ40*HZ$320/HZ$15,"")</f>
        <v/>
      </c>
      <c r="IA345" s="150" t="str">
        <f aca="false">IF(AND(ISNUMBER(IA40),ISNUMBER(IA$320),IA$320&lt;&gt;0),IA40*IA$320/IA$15,"")</f>
        <v/>
      </c>
      <c r="IB345" s="150" t="str">
        <f aca="false">IF(AND(ISNUMBER(IB40),ISNUMBER(IB$320),IB$320&lt;&gt;0),IB40*IB$320/IB$15,"")</f>
        <v/>
      </c>
      <c r="IC345" s="150" t="str">
        <f aca="false">IF(AND(ISNUMBER(IC40),ISNUMBER(IC$320),IC$320&lt;&gt;0),IC40*IC$320/IC$15,"")</f>
        <v/>
      </c>
      <c r="ID345" s="572" t="str">
        <f aca="false">IF(AND(ISNUMBER(ID40),ISNUMBER(ID$320),ID$320&lt;&gt;0),ID40*ID$320/ID$15,"")</f>
        <v/>
      </c>
      <c r="IE345" s="129"/>
    </row>
    <row r="346" customFormat="false" ht="12.75" hidden="false" customHeight="false" outlineLevel="0" collapsed="false">
      <c r="I346" s="735"/>
      <c r="J346" s="727"/>
      <c r="K346" s="195"/>
      <c r="L346" s="195"/>
      <c r="M346" s="729"/>
      <c r="P346" s="727"/>
      <c r="S346" s="1"/>
      <c r="T346" s="727"/>
      <c r="U346" s="195"/>
      <c r="V346" s="195"/>
      <c r="W346" s="195"/>
      <c r="X346" s="195"/>
      <c r="Y346" s="195"/>
      <c r="Z346" s="195"/>
      <c r="AA346" s="195"/>
      <c r="AB346" s="195"/>
      <c r="AC346" s="195"/>
      <c r="AD346" s="195"/>
      <c r="AE346" s="195"/>
      <c r="AF346" s="195"/>
      <c r="AG346" s="195"/>
      <c r="AH346" s="195"/>
      <c r="AI346" s="195"/>
      <c r="AJ346" s="195"/>
      <c r="AK346" s="195"/>
      <c r="AL346" s="195"/>
      <c r="AM346" s="195"/>
      <c r="AN346" s="532"/>
      <c r="AO346" s="532"/>
      <c r="AP346" s="240"/>
      <c r="AQ346" s="532"/>
      <c r="AR346" s="240"/>
      <c r="AS346" s="240"/>
      <c r="AT346" s="240"/>
      <c r="AU346" s="730"/>
      <c r="AV346" s="730"/>
      <c r="AW346" s="730"/>
      <c r="AX346" s="730"/>
      <c r="AY346" s="468"/>
      <c r="AZ346" s="468"/>
      <c r="BA346" s="240"/>
      <c r="BB346" s="240"/>
      <c r="BC346" s="240"/>
      <c r="BD346" s="240"/>
      <c r="BE346" s="672"/>
      <c r="BF346" s="672"/>
      <c r="BG346" s="672"/>
      <c r="BH346" s="731"/>
      <c r="BI346" s="672"/>
      <c r="BJ346" s="240"/>
      <c r="BK346" s="736"/>
      <c r="BL346" s="737"/>
      <c r="BM346" s="240"/>
      <c r="BN346" s="240"/>
      <c r="BO346" s="240"/>
      <c r="BP346" s="240"/>
      <c r="BQ346" s="240"/>
      <c r="BR346" s="240"/>
      <c r="BS346" s="240"/>
      <c r="BT346" s="240"/>
      <c r="BU346" s="240"/>
      <c r="BV346" s="240"/>
      <c r="BW346" s="240"/>
      <c r="BX346" s="240"/>
      <c r="BY346" s="240"/>
      <c r="BZ346" s="240"/>
      <c r="CA346" s="240"/>
      <c r="CB346" s="672"/>
      <c r="CC346" s="672"/>
      <c r="CD346" s="672"/>
      <c r="CE346" s="672"/>
      <c r="CF346" s="672"/>
      <c r="CG346" s="672"/>
      <c r="CH346" s="240"/>
      <c r="CI346" s="240"/>
      <c r="CJ346" s="240"/>
      <c r="CK346" s="240"/>
      <c r="CL346" s="240"/>
      <c r="CM346" s="240"/>
      <c r="CN346" s="240"/>
      <c r="CO346" s="240"/>
      <c r="CP346" s="240"/>
      <c r="CQ346" s="240"/>
      <c r="CR346" s="240"/>
      <c r="CS346" s="240"/>
      <c r="CT346" s="240"/>
      <c r="CU346" s="240"/>
      <c r="CV346" s="240"/>
      <c r="CW346" s="240"/>
      <c r="CX346" s="240"/>
      <c r="CY346" s="240"/>
      <c r="CZ346" s="240"/>
      <c r="DA346" s="240"/>
      <c r="DB346" s="240"/>
      <c r="DC346" s="240"/>
      <c r="DD346" s="240"/>
      <c r="DE346" s="240"/>
      <c r="DF346" s="240"/>
      <c r="DG346" s="733"/>
      <c r="DH346" s="478"/>
      <c r="DI346" s="195"/>
      <c r="DJ346" s="3"/>
      <c r="DK346" s="478"/>
      <c r="DL346" s="4"/>
      <c r="DM346" s="4"/>
      <c r="DN346" s="4"/>
      <c r="DO346" s="4"/>
      <c r="DP346" s="4"/>
      <c r="DQ346" s="4"/>
      <c r="DS346" s="195"/>
      <c r="DT346" s="195"/>
      <c r="DU346" s="195"/>
      <c r="DV346" s="195"/>
      <c r="DW346" s="195"/>
      <c r="DX346" s="195"/>
      <c r="DY346" s="195"/>
      <c r="DZ346" s="195"/>
      <c r="EA346" s="195"/>
      <c r="EB346" s="195"/>
      <c r="EC346" s="195"/>
      <c r="ED346" s="195"/>
      <c r="EE346" s="195"/>
      <c r="EF346" s="195"/>
      <c r="EG346" s="195"/>
      <c r="EL346" s="1"/>
      <c r="EM346" s="195"/>
      <c r="EN346" s="240"/>
      <c r="EO346" s="240"/>
      <c r="EP346" s="195"/>
      <c r="EQ346" s="240"/>
      <c r="ER346" s="195"/>
      <c r="ES346" s="195"/>
      <c r="ET346" s="195"/>
      <c r="EU346" s="672"/>
      <c r="FJ346" s="571" t="n">
        <v>22</v>
      </c>
      <c r="FK346" s="150" t="str">
        <f aca="false">IF(AND(ISNUMBER(FK41),ISNUMBER(FK$320),FK$320&lt;&gt;0),FK41*FK$320/FK$15,"")</f>
        <v/>
      </c>
      <c r="FL346" s="150" t="str">
        <f aca="false">IF(AND(ISNUMBER(FL41),ISNUMBER(FL$320),FL$320&lt;&gt;0),FL41*FL$320/FL$15,"")</f>
        <v/>
      </c>
      <c r="FM346" s="150" t="n">
        <f aca="false">IF(AND(ISNUMBER(FM41),ISNUMBER(FM$320),FM$320&lt;&gt;0),FM41*FM$320/FM$15,"")</f>
        <v>0.00275673253427517</v>
      </c>
      <c r="FN346" s="150" t="n">
        <f aca="false">IF(AND(ISNUMBER(FN41),ISNUMBER(FN$320),FN$320&lt;&gt;0),FN41*FN$320/FN$15,"")</f>
        <v>0.00235175760575703</v>
      </c>
      <c r="FO346" s="150" t="n">
        <f aca="false">IF(AND(ISNUMBER(FO41),ISNUMBER(FO$320),FO$320&lt;&gt;0),FO41*FO$320/FO$15,"")</f>
        <v>0.00248510535543724</v>
      </c>
      <c r="FP346" s="150" t="n">
        <f aca="false">IF(AND(ISNUMBER(FP41),ISNUMBER(FP$320),FP$320&lt;&gt;0),FP41*FP$320/FP$15,"")</f>
        <v>0.00140257345446309</v>
      </c>
      <c r="FQ346" s="150" t="str">
        <f aca="false">IF(AND(ISNUMBER(FQ41),ISNUMBER(FQ$320),FQ$320&lt;&gt;0),FQ41*FQ$320/FQ$15,"")</f>
        <v/>
      </c>
      <c r="FR346" s="150" t="str">
        <f aca="false">IF(AND(ISNUMBER(FR41),ISNUMBER(FR$320),FR$320&lt;&gt;0),FR41*FR$320/FR$15,"")</f>
        <v/>
      </c>
      <c r="FS346" s="150" t="str">
        <f aca="false">IF(AND(ISNUMBER(FS41),ISNUMBER(FS$320),FS$320&lt;&gt;0),FS41*FS$320/FS$15,"")</f>
        <v/>
      </c>
      <c r="FT346" s="150" t="str">
        <f aca="false">IF(AND(ISNUMBER(FT41),ISNUMBER(FT$320),FT$320&lt;&gt;0),FT41*FT$320/FT$15,"")</f>
        <v/>
      </c>
      <c r="FU346" s="150" t="str">
        <f aca="false">IF(AND(ISNUMBER(FU41),ISNUMBER(FU$320),FU$320&lt;&gt;0),FU41*FU$320/FU$15,"")</f>
        <v/>
      </c>
      <c r="FV346" s="150" t="str">
        <f aca="false">IF(AND(ISNUMBER(FV41),ISNUMBER(FV$320),FV$320&lt;&gt;0),FV41*FV$320/FV$15,"")</f>
        <v/>
      </c>
      <c r="FW346" s="150" t="str">
        <f aca="false">IF(AND(ISNUMBER(FW41),ISNUMBER(FW$320),FW$320&lt;&gt;0),FW41*FW$320/FW$15,"")</f>
        <v/>
      </c>
      <c r="FX346" s="150" t="str">
        <f aca="false">IF(AND(ISNUMBER(FX41),ISNUMBER(FX$320),FX$320&lt;&gt;0),FX41*FX$320/FX$15,"")</f>
        <v/>
      </c>
      <c r="FY346" s="150" t="str">
        <f aca="false">IF(AND(ISNUMBER(FY41),ISNUMBER(FY$320),FY$320&lt;&gt;0),FY41*FY$320/FY$15,"")</f>
        <v/>
      </c>
      <c r="FZ346" s="150" t="str">
        <f aca="false">IF(AND(ISNUMBER(FZ41),ISNUMBER(FZ$320),FZ$320&lt;&gt;0),FZ41*FZ$320/FZ$15,"")</f>
        <v/>
      </c>
      <c r="GA346" s="150" t="str">
        <f aca="false">IF(AND(ISNUMBER(GA41),ISNUMBER(GA$320),GA$320&lt;&gt;0),GA41*GA$320/GA$15,"")</f>
        <v/>
      </c>
      <c r="GB346" s="150" t="str">
        <f aca="false">IF(AND(ISNUMBER(GB41),ISNUMBER(GB$320),GB$320&lt;&gt;0),GB41*GB$320/GB$15,"")</f>
        <v/>
      </c>
      <c r="GC346" s="150" t="str">
        <f aca="false">IF(AND(ISNUMBER(GC41),ISNUMBER(GC$320),GC$320&lt;&gt;0),GC41*GC$320/GC$15,"")</f>
        <v/>
      </c>
      <c r="GD346" s="150" t="str">
        <f aca="false">IF(AND(ISNUMBER(GD41),ISNUMBER(GD$320),GD$320&lt;&gt;0),GD41*GD$320/GD$15,"")</f>
        <v/>
      </c>
      <c r="GE346" s="150" t="str">
        <f aca="false">IF(AND(ISNUMBER(GE41),ISNUMBER(GE$320),GE$320&lt;&gt;0),GE41*GE$320/GE$15,"")</f>
        <v/>
      </c>
      <c r="GF346" s="150" t="str">
        <f aca="false">IF(AND(ISNUMBER(GF41),ISNUMBER(GF$320),GF$320&lt;&gt;0),GF41*GF$320/GF$15,"")</f>
        <v/>
      </c>
      <c r="GG346" s="150" t="str">
        <f aca="false">IF(AND(ISNUMBER(GG41),ISNUMBER(GG$320),GG$320&lt;&gt;0),GG41*GG$320/GG$15,"")</f>
        <v/>
      </c>
      <c r="GH346" s="150" t="str">
        <f aca="false">IF(AND(ISNUMBER(GH41),ISNUMBER(GH$320),GH$320&lt;&gt;0),GH41*GH$320/GH$15,"")</f>
        <v/>
      </c>
      <c r="GI346" s="150" t="str">
        <f aca="false">IF(AND(ISNUMBER(GI41),ISNUMBER(GI$320),GI$320&lt;&gt;0),GI41*GI$320/GI$15,"")</f>
        <v/>
      </c>
      <c r="GJ346" s="150" t="str">
        <f aca="false">IF(AND(ISNUMBER(GJ41),ISNUMBER(GJ$320),GJ$320&lt;&gt;0),GJ41*GJ$320/GJ$15,"")</f>
        <v/>
      </c>
      <c r="GK346" s="150" t="str">
        <f aca="false">IF(AND(ISNUMBER(GK41),ISNUMBER(GK$320),GK$320&lt;&gt;0),GK41*GK$320/GK$15,"")</f>
        <v/>
      </c>
      <c r="GL346" s="150" t="str">
        <f aca="false">IF(AND(ISNUMBER(GL41),ISNUMBER(GL$320),GL$320&lt;&gt;0),GL41*GL$320/GL$15,"")</f>
        <v/>
      </c>
      <c r="GM346" s="150" t="str">
        <f aca="false">IF(AND(ISNUMBER(GM41),ISNUMBER(GM$320),GM$320&lt;&gt;0),GM41*GM$320/GM$15,"")</f>
        <v/>
      </c>
      <c r="GN346" s="150" t="str">
        <f aca="false">IF(AND(ISNUMBER(GN41),ISNUMBER(GN$320),GN$320&lt;&gt;0),GN41*GN$320/GN$15,"")</f>
        <v/>
      </c>
      <c r="GO346" s="150" t="str">
        <f aca="false">IF(AND(ISNUMBER(GO41),ISNUMBER(GO$320),GO$320&lt;&gt;0),GO41*GO$320/GO$15,"")</f>
        <v/>
      </c>
      <c r="GP346" s="150" t="str">
        <f aca="false">IF(AND(ISNUMBER(GP41),ISNUMBER(GP$320),GP$320&lt;&gt;0),GP41*GP$320/GP$15,"")</f>
        <v/>
      </c>
      <c r="GQ346" s="150" t="str">
        <f aca="false">IF(AND(ISNUMBER(GQ41),ISNUMBER(GQ$320),GQ$320&lt;&gt;0),GQ41*GQ$320/GQ$15,"")</f>
        <v/>
      </c>
      <c r="GR346" s="150" t="str">
        <f aca="false">IF(AND(ISNUMBER(GR41),ISNUMBER(GR$320),GR$320&lt;&gt;0),GR41*GR$320/GR$15,"")</f>
        <v/>
      </c>
      <c r="GS346" s="150" t="str">
        <f aca="false">IF(AND(ISNUMBER(GS41),ISNUMBER(GS$320),GS$320&lt;&gt;0),GS41*GS$320/GS$15,"")</f>
        <v/>
      </c>
      <c r="GT346" s="150" t="str">
        <f aca="false">IF(AND(ISNUMBER(GT41),ISNUMBER(GT$320),GT$320&lt;&gt;0),GT41*GT$320/GT$15,"")</f>
        <v/>
      </c>
      <c r="GU346" s="150" t="str">
        <f aca="false">IF(AND(ISNUMBER(GU41),ISNUMBER(GU$320),GU$320&lt;&gt;0),GU41*GU$320/GU$15,"")</f>
        <v/>
      </c>
      <c r="GV346" s="150" t="str">
        <f aca="false">IF(AND(ISNUMBER(GV41),ISNUMBER(GV$320),GV$320&lt;&gt;0),GV41*GV$320/GV$15,"")</f>
        <v/>
      </c>
      <c r="GW346" s="150" t="str">
        <f aca="false">IF(AND(ISNUMBER(GW41),ISNUMBER(GW$320),GW$320&lt;&gt;0),GW41*GW$320/GW$15,"")</f>
        <v/>
      </c>
      <c r="GX346" s="150" t="str">
        <f aca="false">IF(AND(ISNUMBER(GX41),ISNUMBER(GX$320),GX$320&lt;&gt;0),GX41*GX$320/GX$15,"")</f>
        <v/>
      </c>
      <c r="GY346" s="150" t="str">
        <f aca="false">IF(AND(ISNUMBER(GY41),ISNUMBER(GY$320),GY$320&lt;&gt;0),GY41*GY$320/GY$15,"")</f>
        <v/>
      </c>
      <c r="GZ346" s="150" t="str">
        <f aca="false">IF(AND(ISNUMBER(GZ41),ISNUMBER(GZ$320),GZ$320&lt;&gt;0),GZ41*GZ$320/GZ$15,"")</f>
        <v/>
      </c>
      <c r="HA346" s="150" t="str">
        <f aca="false">IF(AND(ISNUMBER(HA41),ISNUMBER(HA$320),HA$320&lt;&gt;0),HA41*HA$320/HA$15,"")</f>
        <v/>
      </c>
      <c r="HB346" s="150" t="str">
        <f aca="false">IF(AND(ISNUMBER(HB41),ISNUMBER(HB$320),HB$320&lt;&gt;0),HB41*HB$320/HB$15,"")</f>
        <v/>
      </c>
      <c r="HC346" s="150" t="str">
        <f aca="false">IF(AND(ISNUMBER(HC41),ISNUMBER(HC$320),HC$320&lt;&gt;0),HC41*HC$320/HC$15,"")</f>
        <v/>
      </c>
      <c r="HD346" s="150" t="str">
        <f aca="false">IF(AND(ISNUMBER(HD41),ISNUMBER(HD$320),HD$320&lt;&gt;0),HD41*HD$320/HD$15,"")</f>
        <v/>
      </c>
      <c r="HE346" s="150" t="str">
        <f aca="false">IF(AND(ISNUMBER(HE41),ISNUMBER(HE$320),HE$320&lt;&gt;0),HE41*HE$320/HE$15,"")</f>
        <v/>
      </c>
      <c r="HF346" s="150" t="str">
        <f aca="false">IF(AND(ISNUMBER(HF41),ISNUMBER(HF$320),HF$320&lt;&gt;0),HF41*HF$320/HF$15,"")</f>
        <v/>
      </c>
      <c r="HG346" s="150" t="str">
        <f aca="false">IF(AND(ISNUMBER(HG41),ISNUMBER(HG$320),HG$320&lt;&gt;0),HG41*HG$320/HG$15,"")</f>
        <v/>
      </c>
      <c r="HH346" s="150" t="str">
        <f aca="false">IF(AND(ISNUMBER(HH41),ISNUMBER(HH$320),HH$320&lt;&gt;0),HH41*HH$320/HH$15,"")</f>
        <v/>
      </c>
      <c r="HI346" s="150" t="str">
        <f aca="false">IF(AND(ISNUMBER(HI41),ISNUMBER(HI$320),HI$320&lt;&gt;0),HI41*HI$320/HI$15,"")</f>
        <v/>
      </c>
      <c r="HJ346" s="150" t="str">
        <f aca="false">IF(AND(ISNUMBER(HJ41),ISNUMBER(HJ$320),HJ$320&lt;&gt;0),HJ41*HJ$320/HJ$15,"")</f>
        <v/>
      </c>
      <c r="HK346" s="150" t="str">
        <f aca="false">IF(AND(ISNUMBER(HK41),ISNUMBER(HK$320),HK$320&lt;&gt;0),HK41*HK$320/HK$15,"")</f>
        <v/>
      </c>
      <c r="HL346" s="150" t="str">
        <f aca="false">IF(AND(ISNUMBER(HL41),ISNUMBER(HL$320),HL$320&lt;&gt;0),HL41*HL$320/HL$15,"")</f>
        <v/>
      </c>
      <c r="HM346" s="150" t="str">
        <f aca="false">IF(AND(ISNUMBER(HM41),ISNUMBER(HM$320),HM$320&lt;&gt;0),HM41*HM$320/HM$15,"")</f>
        <v/>
      </c>
      <c r="HN346" s="150" t="str">
        <f aca="false">IF(AND(ISNUMBER(HN41),ISNUMBER(HN$320),HN$320&lt;&gt;0),HN41*HN$320/HN$15,"")</f>
        <v/>
      </c>
      <c r="HO346" s="150" t="str">
        <f aca="false">IF(AND(ISNUMBER(HO41),ISNUMBER(HO$320),HO$320&lt;&gt;0),HO41*HO$320/HO$15,"")</f>
        <v/>
      </c>
      <c r="HP346" s="150" t="str">
        <f aca="false">IF(AND(ISNUMBER(HP41),ISNUMBER(HP$320),HP$320&lt;&gt;0),HP41*HP$320/HP$15,"")</f>
        <v/>
      </c>
      <c r="HQ346" s="150" t="str">
        <f aca="false">IF(AND(ISNUMBER(HQ41),ISNUMBER(HQ$320),HQ$320&lt;&gt;0),HQ41*HQ$320/HQ$15,"")</f>
        <v/>
      </c>
      <c r="HR346" s="150" t="str">
        <f aca="false">IF(AND(ISNUMBER(HR41),ISNUMBER(HR$320),HR$320&lt;&gt;0),HR41*HR$320/HR$15,"")</f>
        <v/>
      </c>
      <c r="HS346" s="150" t="str">
        <f aca="false">IF(AND(ISNUMBER(HS41),ISNUMBER(HS$320),HS$320&lt;&gt;0),HS41*HS$320/HS$15,"")</f>
        <v/>
      </c>
      <c r="HT346" s="150" t="str">
        <f aca="false">IF(AND(ISNUMBER(HT41),ISNUMBER(HT$320),HT$320&lt;&gt;0),HT41*HT$320/HT$15,"")</f>
        <v/>
      </c>
      <c r="HU346" s="150" t="str">
        <f aca="false">IF(AND(ISNUMBER(HU41),ISNUMBER(HU$320),HU$320&lt;&gt;0),HU41*HU$320/HU$15,"")</f>
        <v/>
      </c>
      <c r="HV346" s="150" t="str">
        <f aca="false">IF(AND(ISNUMBER(HV41),ISNUMBER(HV$320),HV$320&lt;&gt;0),HV41*HV$320/HV$15,"")</f>
        <v/>
      </c>
      <c r="HW346" s="150" t="str">
        <f aca="false">IF(AND(ISNUMBER(HW41),ISNUMBER(HW$320),HW$320&lt;&gt;0),HW41*HW$320/HW$15,"")</f>
        <v/>
      </c>
      <c r="HX346" s="150" t="str">
        <f aca="false">IF(AND(ISNUMBER(HX41),ISNUMBER(HX$320),HX$320&lt;&gt;0),HX41*HX$320/HX$15,"")</f>
        <v/>
      </c>
      <c r="HY346" s="150" t="str">
        <f aca="false">IF(AND(ISNUMBER(HY41),ISNUMBER(HY$320),HY$320&lt;&gt;0),HY41*HY$320/HY$15,"")</f>
        <v/>
      </c>
      <c r="HZ346" s="150" t="str">
        <f aca="false">IF(AND(ISNUMBER(HZ41),ISNUMBER(HZ$320),HZ$320&lt;&gt;0),HZ41*HZ$320/HZ$15,"")</f>
        <v/>
      </c>
      <c r="IA346" s="150" t="str">
        <f aca="false">IF(AND(ISNUMBER(IA41),ISNUMBER(IA$320),IA$320&lt;&gt;0),IA41*IA$320/IA$15,"")</f>
        <v/>
      </c>
      <c r="IB346" s="150" t="str">
        <f aca="false">IF(AND(ISNUMBER(IB41),ISNUMBER(IB$320),IB$320&lt;&gt;0),IB41*IB$320/IB$15,"")</f>
        <v/>
      </c>
      <c r="IC346" s="150" t="str">
        <f aca="false">IF(AND(ISNUMBER(IC41),ISNUMBER(IC$320),IC$320&lt;&gt;0),IC41*IC$320/IC$15,"")</f>
        <v/>
      </c>
      <c r="ID346" s="572" t="str">
        <f aca="false">IF(AND(ISNUMBER(ID41),ISNUMBER(ID$320),ID$320&lt;&gt;0),ID41*ID$320/ID$15,"")</f>
        <v/>
      </c>
      <c r="IE346" s="129"/>
    </row>
    <row r="347" customFormat="false" ht="12.75" hidden="false" customHeight="false" outlineLevel="0" collapsed="false">
      <c r="I347" s="735"/>
      <c r="J347" s="727"/>
      <c r="K347" s="195"/>
      <c r="L347" s="195"/>
      <c r="M347" s="729"/>
      <c r="P347" s="727"/>
      <c r="S347" s="1"/>
      <c r="T347" s="727"/>
      <c r="U347" s="195"/>
      <c r="V347" s="195"/>
      <c r="W347" s="195"/>
      <c r="X347" s="195"/>
      <c r="Y347" s="195"/>
      <c r="Z347" s="195"/>
      <c r="AA347" s="195"/>
      <c r="AB347" s="195"/>
      <c r="AC347" s="195"/>
      <c r="AD347" s="195"/>
      <c r="AE347" s="195"/>
      <c r="AF347" s="195"/>
      <c r="AG347" s="195"/>
      <c r="AH347" s="195"/>
      <c r="AI347" s="195"/>
      <c r="AJ347" s="195"/>
      <c r="AK347" s="195"/>
      <c r="AL347" s="195"/>
      <c r="AM347" s="195"/>
      <c r="AN347" s="532"/>
      <c r="AO347" s="532"/>
      <c r="AP347" s="240"/>
      <c r="AQ347" s="532"/>
      <c r="AR347" s="240"/>
      <c r="AS347" s="240"/>
      <c r="AT347" s="240"/>
      <c r="AU347" s="730"/>
      <c r="AV347" s="730"/>
      <c r="AW347" s="730"/>
      <c r="AX347" s="730"/>
      <c r="AY347" s="468"/>
      <c r="AZ347" s="468"/>
      <c r="BA347" s="240"/>
      <c r="BB347" s="240"/>
      <c r="BC347" s="240"/>
      <c r="BD347" s="240"/>
      <c r="BE347" s="672"/>
      <c r="BF347" s="672"/>
      <c r="BG347" s="672"/>
      <c r="BH347" s="731"/>
      <c r="BI347" s="672"/>
      <c r="BJ347" s="240"/>
      <c r="BK347" s="736"/>
      <c r="BL347" s="737"/>
      <c r="BM347" s="240"/>
      <c r="BN347" s="240"/>
      <c r="BO347" s="240"/>
      <c r="BP347" s="240"/>
      <c r="BQ347" s="240"/>
      <c r="BR347" s="240"/>
      <c r="BS347" s="240"/>
      <c r="BT347" s="240"/>
      <c r="BU347" s="240"/>
      <c r="BV347" s="240"/>
      <c r="BW347" s="240"/>
      <c r="BX347" s="240"/>
      <c r="BY347" s="240"/>
      <c r="BZ347" s="240"/>
      <c r="CA347" s="240"/>
      <c r="CB347" s="672"/>
      <c r="CC347" s="672"/>
      <c r="CD347" s="672"/>
      <c r="CE347" s="672"/>
      <c r="CF347" s="672"/>
      <c r="CG347" s="672"/>
      <c r="CH347" s="240"/>
      <c r="CI347" s="240"/>
      <c r="CJ347" s="240"/>
      <c r="CK347" s="240"/>
      <c r="CL347" s="240"/>
      <c r="CM347" s="240"/>
      <c r="CN347" s="240"/>
      <c r="CO347" s="240"/>
      <c r="CP347" s="240"/>
      <c r="CQ347" s="240"/>
      <c r="CR347" s="240"/>
      <c r="CS347" s="240"/>
      <c r="CT347" s="240"/>
      <c r="CU347" s="240"/>
      <c r="CV347" s="240"/>
      <c r="CW347" s="240"/>
      <c r="CX347" s="240"/>
      <c r="CY347" s="240"/>
      <c r="CZ347" s="240"/>
      <c r="DA347" s="240"/>
      <c r="DB347" s="240"/>
      <c r="DC347" s="240"/>
      <c r="DD347" s="240"/>
      <c r="DE347" s="240"/>
      <c r="DF347" s="240"/>
      <c r="DG347" s="733"/>
      <c r="DH347" s="478"/>
      <c r="DI347" s="195"/>
      <c r="DJ347" s="3"/>
      <c r="DK347" s="478"/>
      <c r="DL347" s="4"/>
      <c r="DM347" s="4"/>
      <c r="DN347" s="4"/>
      <c r="DO347" s="4"/>
      <c r="DP347" s="4"/>
      <c r="DQ347" s="4"/>
      <c r="DS347" s="195"/>
      <c r="DT347" s="195"/>
      <c r="DU347" s="195"/>
      <c r="DV347" s="195"/>
      <c r="DW347" s="195"/>
      <c r="DX347" s="195"/>
      <c r="DY347" s="195"/>
      <c r="DZ347" s="195"/>
      <c r="EA347" s="195"/>
      <c r="EB347" s="195"/>
      <c r="EC347" s="195"/>
      <c r="ED347" s="195"/>
      <c r="EE347" s="195"/>
      <c r="EF347" s="195"/>
      <c r="EG347" s="195"/>
      <c r="EL347" s="1"/>
      <c r="EM347" s="195"/>
      <c r="EN347" s="240"/>
      <c r="EO347" s="240"/>
      <c r="EP347" s="195"/>
      <c r="EQ347" s="240"/>
      <c r="ER347" s="195"/>
      <c r="ES347" s="195"/>
      <c r="ET347" s="195"/>
      <c r="EU347" s="672"/>
      <c r="FJ347" s="571" t="n">
        <v>23</v>
      </c>
      <c r="FK347" s="150" t="str">
        <f aca="false">IF(AND(ISNUMBER(FK42),ISNUMBER(FK$320),FK$320&lt;&gt;0),FK42*FK$320/FK$15,"")</f>
        <v/>
      </c>
      <c r="FL347" s="150" t="str">
        <f aca="false">IF(AND(ISNUMBER(FL42),ISNUMBER(FL$320),FL$320&lt;&gt;0),FL42*FL$320/FL$15,"")</f>
        <v/>
      </c>
      <c r="FM347" s="150" t="n">
        <f aca="false">IF(AND(ISNUMBER(FM42),ISNUMBER(FM$320),FM$320&lt;&gt;0),FM42*FM$320/FM$15,"")</f>
        <v>0.00272516300662327</v>
      </c>
      <c r="FN347" s="150" t="n">
        <f aca="false">IF(AND(ISNUMBER(FN42),ISNUMBER(FN$320),FN$320&lt;&gt;0),FN42*FN$320/FN$15,"")</f>
        <v>0.00232025837886224</v>
      </c>
      <c r="FO347" s="150" t="n">
        <f aca="false">IF(AND(ISNUMBER(FO42),ISNUMBER(FO$320),FO$320&lt;&gt;0),FO42*FO$320/FO$15,"")</f>
        <v>0.00244617520983152</v>
      </c>
      <c r="FP347" s="150" t="n">
        <f aca="false">IF(AND(ISNUMBER(FP42),ISNUMBER(FP$320),FP$320&lt;&gt;0),FP42*FP$320/FP$15,"")</f>
        <v>0.00137687537172103</v>
      </c>
      <c r="FQ347" s="150" t="str">
        <f aca="false">IF(AND(ISNUMBER(FQ42),ISNUMBER(FQ$320),FQ$320&lt;&gt;0),FQ42*FQ$320/FQ$15,"")</f>
        <v/>
      </c>
      <c r="FR347" s="150" t="str">
        <f aca="false">IF(AND(ISNUMBER(FR42),ISNUMBER(FR$320),FR$320&lt;&gt;0),FR42*FR$320/FR$15,"")</f>
        <v/>
      </c>
      <c r="FS347" s="150" t="str">
        <f aca="false">IF(AND(ISNUMBER(FS42),ISNUMBER(FS$320),FS$320&lt;&gt;0),FS42*FS$320/FS$15,"")</f>
        <v/>
      </c>
      <c r="FT347" s="150" t="str">
        <f aca="false">IF(AND(ISNUMBER(FT42),ISNUMBER(FT$320),FT$320&lt;&gt;0),FT42*FT$320/FT$15,"")</f>
        <v/>
      </c>
      <c r="FU347" s="150" t="str">
        <f aca="false">IF(AND(ISNUMBER(FU42),ISNUMBER(FU$320),FU$320&lt;&gt;0),FU42*FU$320/FU$15,"")</f>
        <v/>
      </c>
      <c r="FV347" s="150" t="str">
        <f aca="false">IF(AND(ISNUMBER(FV42),ISNUMBER(FV$320),FV$320&lt;&gt;0),FV42*FV$320/FV$15,"")</f>
        <v/>
      </c>
      <c r="FW347" s="150" t="str">
        <f aca="false">IF(AND(ISNUMBER(FW42),ISNUMBER(FW$320),FW$320&lt;&gt;0),FW42*FW$320/FW$15,"")</f>
        <v/>
      </c>
      <c r="FX347" s="150" t="str">
        <f aca="false">IF(AND(ISNUMBER(FX42),ISNUMBER(FX$320),FX$320&lt;&gt;0),FX42*FX$320/FX$15,"")</f>
        <v/>
      </c>
      <c r="FY347" s="150" t="str">
        <f aca="false">IF(AND(ISNUMBER(FY42),ISNUMBER(FY$320),FY$320&lt;&gt;0),FY42*FY$320/FY$15,"")</f>
        <v/>
      </c>
      <c r="FZ347" s="150" t="str">
        <f aca="false">IF(AND(ISNUMBER(FZ42),ISNUMBER(FZ$320),FZ$320&lt;&gt;0),FZ42*FZ$320/FZ$15,"")</f>
        <v/>
      </c>
      <c r="GA347" s="150" t="str">
        <f aca="false">IF(AND(ISNUMBER(GA42),ISNUMBER(GA$320),GA$320&lt;&gt;0),GA42*GA$320/GA$15,"")</f>
        <v/>
      </c>
      <c r="GB347" s="150" t="str">
        <f aca="false">IF(AND(ISNUMBER(GB42),ISNUMBER(GB$320),GB$320&lt;&gt;0),GB42*GB$320/GB$15,"")</f>
        <v/>
      </c>
      <c r="GC347" s="150" t="str">
        <f aca="false">IF(AND(ISNUMBER(GC42),ISNUMBER(GC$320),GC$320&lt;&gt;0),GC42*GC$320/GC$15,"")</f>
        <v/>
      </c>
      <c r="GD347" s="150" t="str">
        <f aca="false">IF(AND(ISNUMBER(GD42),ISNUMBER(GD$320),GD$320&lt;&gt;0),GD42*GD$320/GD$15,"")</f>
        <v/>
      </c>
      <c r="GE347" s="150" t="str">
        <f aca="false">IF(AND(ISNUMBER(GE42),ISNUMBER(GE$320),GE$320&lt;&gt;0),GE42*GE$320/GE$15,"")</f>
        <v/>
      </c>
      <c r="GF347" s="150" t="str">
        <f aca="false">IF(AND(ISNUMBER(GF42),ISNUMBER(GF$320),GF$320&lt;&gt;0),GF42*GF$320/GF$15,"")</f>
        <v/>
      </c>
      <c r="GG347" s="150" t="str">
        <f aca="false">IF(AND(ISNUMBER(GG42),ISNUMBER(GG$320),GG$320&lt;&gt;0),GG42*GG$320/GG$15,"")</f>
        <v/>
      </c>
      <c r="GH347" s="150" t="str">
        <f aca="false">IF(AND(ISNUMBER(GH42),ISNUMBER(GH$320),GH$320&lt;&gt;0),GH42*GH$320/GH$15,"")</f>
        <v/>
      </c>
      <c r="GI347" s="150" t="str">
        <f aca="false">IF(AND(ISNUMBER(GI42),ISNUMBER(GI$320),GI$320&lt;&gt;0),GI42*GI$320/GI$15,"")</f>
        <v/>
      </c>
      <c r="GJ347" s="150" t="str">
        <f aca="false">IF(AND(ISNUMBER(GJ42),ISNUMBER(GJ$320),GJ$320&lt;&gt;0),GJ42*GJ$320/GJ$15,"")</f>
        <v/>
      </c>
      <c r="GK347" s="150" t="str">
        <f aca="false">IF(AND(ISNUMBER(GK42),ISNUMBER(GK$320),GK$320&lt;&gt;0),GK42*GK$320/GK$15,"")</f>
        <v/>
      </c>
      <c r="GL347" s="150" t="str">
        <f aca="false">IF(AND(ISNUMBER(GL42),ISNUMBER(GL$320),GL$320&lt;&gt;0),GL42*GL$320/GL$15,"")</f>
        <v/>
      </c>
      <c r="GM347" s="150" t="str">
        <f aca="false">IF(AND(ISNUMBER(GM42),ISNUMBER(GM$320),GM$320&lt;&gt;0),GM42*GM$320/GM$15,"")</f>
        <v/>
      </c>
      <c r="GN347" s="150" t="str">
        <f aca="false">IF(AND(ISNUMBER(GN42),ISNUMBER(GN$320),GN$320&lt;&gt;0),GN42*GN$320/GN$15,"")</f>
        <v/>
      </c>
      <c r="GO347" s="150" t="str">
        <f aca="false">IF(AND(ISNUMBER(GO42),ISNUMBER(GO$320),GO$320&lt;&gt;0),GO42*GO$320/GO$15,"")</f>
        <v/>
      </c>
      <c r="GP347" s="150" t="str">
        <f aca="false">IF(AND(ISNUMBER(GP42),ISNUMBER(GP$320),GP$320&lt;&gt;0),GP42*GP$320/GP$15,"")</f>
        <v/>
      </c>
      <c r="GQ347" s="150" t="str">
        <f aca="false">IF(AND(ISNUMBER(GQ42),ISNUMBER(GQ$320),GQ$320&lt;&gt;0),GQ42*GQ$320/GQ$15,"")</f>
        <v/>
      </c>
      <c r="GR347" s="150" t="str">
        <f aca="false">IF(AND(ISNUMBER(GR42),ISNUMBER(GR$320),GR$320&lt;&gt;0),GR42*GR$320/GR$15,"")</f>
        <v/>
      </c>
      <c r="GS347" s="150" t="str">
        <f aca="false">IF(AND(ISNUMBER(GS42),ISNUMBER(GS$320),GS$320&lt;&gt;0),GS42*GS$320/GS$15,"")</f>
        <v/>
      </c>
      <c r="GT347" s="150" t="str">
        <f aca="false">IF(AND(ISNUMBER(GT42),ISNUMBER(GT$320),GT$320&lt;&gt;0),GT42*GT$320/GT$15,"")</f>
        <v/>
      </c>
      <c r="GU347" s="150" t="str">
        <f aca="false">IF(AND(ISNUMBER(GU42),ISNUMBER(GU$320),GU$320&lt;&gt;0),GU42*GU$320/GU$15,"")</f>
        <v/>
      </c>
      <c r="GV347" s="150" t="str">
        <f aca="false">IF(AND(ISNUMBER(GV42),ISNUMBER(GV$320),GV$320&lt;&gt;0),GV42*GV$320/GV$15,"")</f>
        <v/>
      </c>
      <c r="GW347" s="150" t="str">
        <f aca="false">IF(AND(ISNUMBER(GW42),ISNUMBER(GW$320),GW$320&lt;&gt;0),GW42*GW$320/GW$15,"")</f>
        <v/>
      </c>
      <c r="GX347" s="150" t="str">
        <f aca="false">IF(AND(ISNUMBER(GX42),ISNUMBER(GX$320),GX$320&lt;&gt;0),GX42*GX$320/GX$15,"")</f>
        <v/>
      </c>
      <c r="GY347" s="150" t="str">
        <f aca="false">IF(AND(ISNUMBER(GY42),ISNUMBER(GY$320),GY$320&lt;&gt;0),GY42*GY$320/GY$15,"")</f>
        <v/>
      </c>
      <c r="GZ347" s="150" t="str">
        <f aca="false">IF(AND(ISNUMBER(GZ42),ISNUMBER(GZ$320),GZ$320&lt;&gt;0),GZ42*GZ$320/GZ$15,"")</f>
        <v/>
      </c>
      <c r="HA347" s="150" t="str">
        <f aca="false">IF(AND(ISNUMBER(HA42),ISNUMBER(HA$320),HA$320&lt;&gt;0),HA42*HA$320/HA$15,"")</f>
        <v/>
      </c>
      <c r="HB347" s="150" t="str">
        <f aca="false">IF(AND(ISNUMBER(HB42),ISNUMBER(HB$320),HB$320&lt;&gt;0),HB42*HB$320/HB$15,"")</f>
        <v/>
      </c>
      <c r="HC347" s="150" t="str">
        <f aca="false">IF(AND(ISNUMBER(HC42),ISNUMBER(HC$320),HC$320&lt;&gt;0),HC42*HC$320/HC$15,"")</f>
        <v/>
      </c>
      <c r="HD347" s="150" t="str">
        <f aca="false">IF(AND(ISNUMBER(HD42),ISNUMBER(HD$320),HD$320&lt;&gt;0),HD42*HD$320/HD$15,"")</f>
        <v/>
      </c>
      <c r="HE347" s="150" t="str">
        <f aca="false">IF(AND(ISNUMBER(HE42),ISNUMBER(HE$320),HE$320&lt;&gt;0),HE42*HE$320/HE$15,"")</f>
        <v/>
      </c>
      <c r="HF347" s="150" t="str">
        <f aca="false">IF(AND(ISNUMBER(HF42),ISNUMBER(HF$320),HF$320&lt;&gt;0),HF42*HF$320/HF$15,"")</f>
        <v/>
      </c>
      <c r="HG347" s="150" t="str">
        <f aca="false">IF(AND(ISNUMBER(HG42),ISNUMBER(HG$320),HG$320&lt;&gt;0),HG42*HG$320/HG$15,"")</f>
        <v/>
      </c>
      <c r="HH347" s="150" t="str">
        <f aca="false">IF(AND(ISNUMBER(HH42),ISNUMBER(HH$320),HH$320&lt;&gt;0),HH42*HH$320/HH$15,"")</f>
        <v/>
      </c>
      <c r="HI347" s="150" t="str">
        <f aca="false">IF(AND(ISNUMBER(HI42),ISNUMBER(HI$320),HI$320&lt;&gt;0),HI42*HI$320/HI$15,"")</f>
        <v/>
      </c>
      <c r="HJ347" s="150" t="str">
        <f aca="false">IF(AND(ISNUMBER(HJ42),ISNUMBER(HJ$320),HJ$320&lt;&gt;0),HJ42*HJ$320/HJ$15,"")</f>
        <v/>
      </c>
      <c r="HK347" s="150" t="str">
        <f aca="false">IF(AND(ISNUMBER(HK42),ISNUMBER(HK$320),HK$320&lt;&gt;0),HK42*HK$320/HK$15,"")</f>
        <v/>
      </c>
      <c r="HL347" s="150" t="str">
        <f aca="false">IF(AND(ISNUMBER(HL42),ISNUMBER(HL$320),HL$320&lt;&gt;0),HL42*HL$320/HL$15,"")</f>
        <v/>
      </c>
      <c r="HM347" s="150" t="str">
        <f aca="false">IF(AND(ISNUMBER(HM42),ISNUMBER(HM$320),HM$320&lt;&gt;0),HM42*HM$320/HM$15,"")</f>
        <v/>
      </c>
      <c r="HN347" s="150" t="str">
        <f aca="false">IF(AND(ISNUMBER(HN42),ISNUMBER(HN$320),HN$320&lt;&gt;0),HN42*HN$320/HN$15,"")</f>
        <v/>
      </c>
      <c r="HO347" s="150" t="str">
        <f aca="false">IF(AND(ISNUMBER(HO42),ISNUMBER(HO$320),HO$320&lt;&gt;0),HO42*HO$320/HO$15,"")</f>
        <v/>
      </c>
      <c r="HP347" s="150" t="str">
        <f aca="false">IF(AND(ISNUMBER(HP42),ISNUMBER(HP$320),HP$320&lt;&gt;0),HP42*HP$320/HP$15,"")</f>
        <v/>
      </c>
      <c r="HQ347" s="150" t="str">
        <f aca="false">IF(AND(ISNUMBER(HQ42),ISNUMBER(HQ$320),HQ$320&lt;&gt;0),HQ42*HQ$320/HQ$15,"")</f>
        <v/>
      </c>
      <c r="HR347" s="150" t="str">
        <f aca="false">IF(AND(ISNUMBER(HR42),ISNUMBER(HR$320),HR$320&lt;&gt;0),HR42*HR$320/HR$15,"")</f>
        <v/>
      </c>
      <c r="HS347" s="150" t="str">
        <f aca="false">IF(AND(ISNUMBER(HS42),ISNUMBER(HS$320),HS$320&lt;&gt;0),HS42*HS$320/HS$15,"")</f>
        <v/>
      </c>
      <c r="HT347" s="150" t="str">
        <f aca="false">IF(AND(ISNUMBER(HT42),ISNUMBER(HT$320),HT$320&lt;&gt;0),HT42*HT$320/HT$15,"")</f>
        <v/>
      </c>
      <c r="HU347" s="150" t="str">
        <f aca="false">IF(AND(ISNUMBER(HU42),ISNUMBER(HU$320),HU$320&lt;&gt;0),HU42*HU$320/HU$15,"")</f>
        <v/>
      </c>
      <c r="HV347" s="150" t="str">
        <f aca="false">IF(AND(ISNUMBER(HV42),ISNUMBER(HV$320),HV$320&lt;&gt;0),HV42*HV$320/HV$15,"")</f>
        <v/>
      </c>
      <c r="HW347" s="150" t="str">
        <f aca="false">IF(AND(ISNUMBER(HW42),ISNUMBER(HW$320),HW$320&lt;&gt;0),HW42*HW$320/HW$15,"")</f>
        <v/>
      </c>
      <c r="HX347" s="150" t="str">
        <f aca="false">IF(AND(ISNUMBER(HX42),ISNUMBER(HX$320),HX$320&lt;&gt;0),HX42*HX$320/HX$15,"")</f>
        <v/>
      </c>
      <c r="HY347" s="150" t="str">
        <f aca="false">IF(AND(ISNUMBER(HY42),ISNUMBER(HY$320),HY$320&lt;&gt;0),HY42*HY$320/HY$15,"")</f>
        <v/>
      </c>
      <c r="HZ347" s="150" t="str">
        <f aca="false">IF(AND(ISNUMBER(HZ42),ISNUMBER(HZ$320),HZ$320&lt;&gt;0),HZ42*HZ$320/HZ$15,"")</f>
        <v/>
      </c>
      <c r="IA347" s="150" t="str">
        <f aca="false">IF(AND(ISNUMBER(IA42),ISNUMBER(IA$320),IA$320&lt;&gt;0),IA42*IA$320/IA$15,"")</f>
        <v/>
      </c>
      <c r="IB347" s="150" t="str">
        <f aca="false">IF(AND(ISNUMBER(IB42),ISNUMBER(IB$320),IB$320&lt;&gt;0),IB42*IB$320/IB$15,"")</f>
        <v/>
      </c>
      <c r="IC347" s="150" t="str">
        <f aca="false">IF(AND(ISNUMBER(IC42),ISNUMBER(IC$320),IC$320&lt;&gt;0),IC42*IC$320/IC$15,"")</f>
        <v/>
      </c>
      <c r="ID347" s="572" t="str">
        <f aca="false">IF(AND(ISNUMBER(ID42),ISNUMBER(ID$320),ID$320&lt;&gt;0),ID42*ID$320/ID$15,"")</f>
        <v/>
      </c>
      <c r="IE347" s="129"/>
    </row>
    <row r="348" customFormat="false" ht="12.75" hidden="false" customHeight="false" outlineLevel="0" collapsed="false">
      <c r="I348" s="735"/>
      <c r="J348" s="727"/>
      <c r="K348" s="195"/>
      <c r="L348" s="195"/>
      <c r="M348" s="729"/>
      <c r="P348" s="727"/>
      <c r="S348" s="1"/>
      <c r="T348" s="727"/>
      <c r="U348" s="195"/>
      <c r="V348" s="195"/>
      <c r="W348" s="195"/>
      <c r="X348" s="195"/>
      <c r="Y348" s="195"/>
      <c r="Z348" s="195"/>
      <c r="AA348" s="195"/>
      <c r="AB348" s="195"/>
      <c r="AC348" s="195"/>
      <c r="AD348" s="195"/>
      <c r="AE348" s="195"/>
      <c r="AF348" s="195"/>
      <c r="AG348" s="195"/>
      <c r="AH348" s="195"/>
      <c r="AI348" s="195"/>
      <c r="AJ348" s="195"/>
      <c r="AK348" s="195"/>
      <c r="AL348" s="195"/>
      <c r="AM348" s="195"/>
      <c r="AN348" s="532"/>
      <c r="AO348" s="532"/>
      <c r="AP348" s="240"/>
      <c r="AQ348" s="532"/>
      <c r="AR348" s="240"/>
      <c r="AS348" s="240"/>
      <c r="AT348" s="240"/>
      <c r="AU348" s="730"/>
      <c r="AV348" s="730"/>
      <c r="AW348" s="730"/>
      <c r="AX348" s="730"/>
      <c r="AY348" s="468"/>
      <c r="AZ348" s="468"/>
      <c r="BA348" s="240"/>
      <c r="BB348" s="240"/>
      <c r="BC348" s="240"/>
      <c r="BD348" s="240"/>
      <c r="BE348" s="672"/>
      <c r="BF348" s="672"/>
      <c r="BG348" s="672"/>
      <c r="BH348" s="731"/>
      <c r="BI348" s="672"/>
      <c r="BJ348" s="240"/>
      <c r="BK348" s="736"/>
      <c r="BL348" s="737"/>
      <c r="BM348" s="240"/>
      <c r="BN348" s="240"/>
      <c r="BO348" s="240"/>
      <c r="BP348" s="240"/>
      <c r="BQ348" s="240"/>
      <c r="BR348" s="240"/>
      <c r="BS348" s="240"/>
      <c r="BT348" s="240"/>
      <c r="BU348" s="240"/>
      <c r="BV348" s="240"/>
      <c r="BW348" s="240"/>
      <c r="BX348" s="240"/>
      <c r="BY348" s="240"/>
      <c r="BZ348" s="240"/>
      <c r="CA348" s="240"/>
      <c r="CB348" s="672"/>
      <c r="CC348" s="672"/>
      <c r="CD348" s="672"/>
      <c r="CE348" s="672"/>
      <c r="CF348" s="672"/>
      <c r="CG348" s="672"/>
      <c r="CH348" s="240"/>
      <c r="CI348" s="240"/>
      <c r="CJ348" s="240"/>
      <c r="CK348" s="240"/>
      <c r="CL348" s="240"/>
      <c r="CM348" s="240"/>
      <c r="CN348" s="240"/>
      <c r="CO348" s="240"/>
      <c r="CP348" s="240"/>
      <c r="CQ348" s="240"/>
      <c r="CR348" s="240"/>
      <c r="CS348" s="240"/>
      <c r="CT348" s="240"/>
      <c r="CU348" s="240"/>
      <c r="CV348" s="240"/>
      <c r="CW348" s="240"/>
      <c r="CX348" s="240"/>
      <c r="CY348" s="240"/>
      <c r="CZ348" s="240"/>
      <c r="DA348" s="240"/>
      <c r="DB348" s="240"/>
      <c r="DC348" s="240"/>
      <c r="DD348" s="240"/>
      <c r="DE348" s="240"/>
      <c r="DF348" s="240"/>
      <c r="DG348" s="733"/>
      <c r="DH348" s="478"/>
      <c r="DI348" s="195"/>
      <c r="DJ348" s="3"/>
      <c r="DK348" s="478"/>
      <c r="DL348" s="4"/>
      <c r="DM348" s="4"/>
      <c r="DN348" s="4"/>
      <c r="DO348" s="4"/>
      <c r="DP348" s="4"/>
      <c r="DQ348" s="4"/>
      <c r="DS348" s="195"/>
      <c r="DT348" s="195"/>
      <c r="DU348" s="195"/>
      <c r="DV348" s="195"/>
      <c r="DW348" s="195"/>
      <c r="DX348" s="195"/>
      <c r="DY348" s="195"/>
      <c r="DZ348" s="195"/>
      <c r="EA348" s="195"/>
      <c r="EB348" s="195"/>
      <c r="EC348" s="195"/>
      <c r="ED348" s="195"/>
      <c r="EE348" s="195"/>
      <c r="EF348" s="195"/>
      <c r="EG348" s="195"/>
      <c r="EL348" s="1"/>
      <c r="EM348" s="195"/>
      <c r="EN348" s="240"/>
      <c r="EO348" s="240"/>
      <c r="EP348" s="195"/>
      <c r="EQ348" s="240"/>
      <c r="ER348" s="195"/>
      <c r="ES348" s="195"/>
      <c r="ET348" s="195"/>
      <c r="EU348" s="672"/>
      <c r="FJ348" s="571" t="n">
        <v>24</v>
      </c>
      <c r="FK348" s="150" t="str">
        <f aca="false">IF(AND(ISNUMBER(FK43),ISNUMBER(FK$320),FK$320&lt;&gt;0),FK43*FK$320/FK$15,"")</f>
        <v/>
      </c>
      <c r="FL348" s="150" t="str">
        <f aca="false">IF(AND(ISNUMBER(FL43),ISNUMBER(FL$320),FL$320&lt;&gt;0),FL43*FL$320/FL$15,"")</f>
        <v/>
      </c>
      <c r="FM348" s="150" t="n">
        <f aca="false">IF(AND(ISNUMBER(FM43),ISNUMBER(FM$320),FM$320&lt;&gt;0),FM43*FM$320/FM$15,"")</f>
        <v>0.00269848016663449</v>
      </c>
      <c r="FN348" s="150" t="n">
        <f aca="false">IF(AND(ISNUMBER(FN43),ISNUMBER(FN$320),FN$320&lt;&gt;0),FN43*FN$320/FN$15,"")</f>
        <v>0.00229368726246255</v>
      </c>
      <c r="FO348" s="150" t="n">
        <f aca="false">IF(AND(ISNUMBER(FO43),ISNUMBER(FO$320),FO$320&lt;&gt;0),FO43*FO$320/FO$15,"")</f>
        <v>0.0024134113621585</v>
      </c>
      <c r="FP348" s="150" t="n">
        <f aca="false">IF(AND(ISNUMBER(FP43),ISNUMBER(FP$320),FP$320&lt;&gt;0),FP43*FP$320/FP$15,"")</f>
        <v>0.00135530608147555</v>
      </c>
      <c r="FQ348" s="150" t="str">
        <f aca="false">IF(AND(ISNUMBER(FQ43),ISNUMBER(FQ$320),FQ$320&lt;&gt;0),FQ43*FQ$320/FQ$15,"")</f>
        <v/>
      </c>
      <c r="FR348" s="150" t="str">
        <f aca="false">IF(AND(ISNUMBER(FR43),ISNUMBER(FR$320),FR$320&lt;&gt;0),FR43*FR$320/FR$15,"")</f>
        <v/>
      </c>
      <c r="FS348" s="150" t="str">
        <f aca="false">IF(AND(ISNUMBER(FS43),ISNUMBER(FS$320),FS$320&lt;&gt;0),FS43*FS$320/FS$15,"")</f>
        <v/>
      </c>
      <c r="FT348" s="150" t="str">
        <f aca="false">IF(AND(ISNUMBER(FT43),ISNUMBER(FT$320),FT$320&lt;&gt;0),FT43*FT$320/FT$15,"")</f>
        <v/>
      </c>
      <c r="FU348" s="150" t="str">
        <f aca="false">IF(AND(ISNUMBER(FU43),ISNUMBER(FU$320),FU$320&lt;&gt;0),FU43*FU$320/FU$15,"")</f>
        <v/>
      </c>
      <c r="FV348" s="150" t="str">
        <f aca="false">IF(AND(ISNUMBER(FV43),ISNUMBER(FV$320),FV$320&lt;&gt;0),FV43*FV$320/FV$15,"")</f>
        <v/>
      </c>
      <c r="FW348" s="150" t="str">
        <f aca="false">IF(AND(ISNUMBER(FW43),ISNUMBER(FW$320),FW$320&lt;&gt;0),FW43*FW$320/FW$15,"")</f>
        <v/>
      </c>
      <c r="FX348" s="150" t="str">
        <f aca="false">IF(AND(ISNUMBER(FX43),ISNUMBER(FX$320),FX$320&lt;&gt;0),FX43*FX$320/FX$15,"")</f>
        <v/>
      </c>
      <c r="FY348" s="150" t="str">
        <f aca="false">IF(AND(ISNUMBER(FY43),ISNUMBER(FY$320),FY$320&lt;&gt;0),FY43*FY$320/FY$15,"")</f>
        <v/>
      </c>
      <c r="FZ348" s="150" t="str">
        <f aca="false">IF(AND(ISNUMBER(FZ43),ISNUMBER(FZ$320),FZ$320&lt;&gt;0),FZ43*FZ$320/FZ$15,"")</f>
        <v/>
      </c>
      <c r="GA348" s="150" t="str">
        <f aca="false">IF(AND(ISNUMBER(GA43),ISNUMBER(GA$320),GA$320&lt;&gt;0),GA43*GA$320/GA$15,"")</f>
        <v/>
      </c>
      <c r="GB348" s="150" t="str">
        <f aca="false">IF(AND(ISNUMBER(GB43),ISNUMBER(GB$320),GB$320&lt;&gt;0),GB43*GB$320/GB$15,"")</f>
        <v/>
      </c>
      <c r="GC348" s="150" t="str">
        <f aca="false">IF(AND(ISNUMBER(GC43),ISNUMBER(GC$320),GC$320&lt;&gt;0),GC43*GC$320/GC$15,"")</f>
        <v/>
      </c>
      <c r="GD348" s="150" t="str">
        <f aca="false">IF(AND(ISNUMBER(GD43),ISNUMBER(GD$320),GD$320&lt;&gt;0),GD43*GD$320/GD$15,"")</f>
        <v/>
      </c>
      <c r="GE348" s="150" t="str">
        <f aca="false">IF(AND(ISNUMBER(GE43),ISNUMBER(GE$320),GE$320&lt;&gt;0),GE43*GE$320/GE$15,"")</f>
        <v/>
      </c>
      <c r="GF348" s="150" t="str">
        <f aca="false">IF(AND(ISNUMBER(GF43),ISNUMBER(GF$320),GF$320&lt;&gt;0),GF43*GF$320/GF$15,"")</f>
        <v/>
      </c>
      <c r="GG348" s="150" t="str">
        <f aca="false">IF(AND(ISNUMBER(GG43),ISNUMBER(GG$320),GG$320&lt;&gt;0),GG43*GG$320/GG$15,"")</f>
        <v/>
      </c>
      <c r="GH348" s="150" t="str">
        <f aca="false">IF(AND(ISNUMBER(GH43),ISNUMBER(GH$320),GH$320&lt;&gt;0),GH43*GH$320/GH$15,"")</f>
        <v/>
      </c>
      <c r="GI348" s="150" t="str">
        <f aca="false">IF(AND(ISNUMBER(GI43),ISNUMBER(GI$320),GI$320&lt;&gt;0),GI43*GI$320/GI$15,"")</f>
        <v/>
      </c>
      <c r="GJ348" s="150" t="str">
        <f aca="false">IF(AND(ISNUMBER(GJ43),ISNUMBER(GJ$320),GJ$320&lt;&gt;0),GJ43*GJ$320/GJ$15,"")</f>
        <v/>
      </c>
      <c r="GK348" s="150" t="str">
        <f aca="false">IF(AND(ISNUMBER(GK43),ISNUMBER(GK$320),GK$320&lt;&gt;0),GK43*GK$320/GK$15,"")</f>
        <v/>
      </c>
      <c r="GL348" s="150" t="str">
        <f aca="false">IF(AND(ISNUMBER(GL43),ISNUMBER(GL$320),GL$320&lt;&gt;0),GL43*GL$320/GL$15,"")</f>
        <v/>
      </c>
      <c r="GM348" s="150" t="str">
        <f aca="false">IF(AND(ISNUMBER(GM43),ISNUMBER(GM$320),GM$320&lt;&gt;0),GM43*GM$320/GM$15,"")</f>
        <v/>
      </c>
      <c r="GN348" s="150" t="str">
        <f aca="false">IF(AND(ISNUMBER(GN43),ISNUMBER(GN$320),GN$320&lt;&gt;0),GN43*GN$320/GN$15,"")</f>
        <v/>
      </c>
      <c r="GO348" s="150" t="str">
        <f aca="false">IF(AND(ISNUMBER(GO43),ISNUMBER(GO$320),GO$320&lt;&gt;0),GO43*GO$320/GO$15,"")</f>
        <v/>
      </c>
      <c r="GP348" s="150" t="str">
        <f aca="false">IF(AND(ISNUMBER(GP43),ISNUMBER(GP$320),GP$320&lt;&gt;0),GP43*GP$320/GP$15,"")</f>
        <v/>
      </c>
      <c r="GQ348" s="150" t="str">
        <f aca="false">IF(AND(ISNUMBER(GQ43),ISNUMBER(GQ$320),GQ$320&lt;&gt;0),GQ43*GQ$320/GQ$15,"")</f>
        <v/>
      </c>
      <c r="GR348" s="150" t="str">
        <f aca="false">IF(AND(ISNUMBER(GR43),ISNUMBER(GR$320),GR$320&lt;&gt;0),GR43*GR$320/GR$15,"")</f>
        <v/>
      </c>
      <c r="GS348" s="150" t="str">
        <f aca="false">IF(AND(ISNUMBER(GS43),ISNUMBER(GS$320),GS$320&lt;&gt;0),GS43*GS$320/GS$15,"")</f>
        <v/>
      </c>
      <c r="GT348" s="150" t="str">
        <f aca="false">IF(AND(ISNUMBER(GT43),ISNUMBER(GT$320),GT$320&lt;&gt;0),GT43*GT$320/GT$15,"")</f>
        <v/>
      </c>
      <c r="GU348" s="150" t="str">
        <f aca="false">IF(AND(ISNUMBER(GU43),ISNUMBER(GU$320),GU$320&lt;&gt;0),GU43*GU$320/GU$15,"")</f>
        <v/>
      </c>
      <c r="GV348" s="150" t="str">
        <f aca="false">IF(AND(ISNUMBER(GV43),ISNUMBER(GV$320),GV$320&lt;&gt;0),GV43*GV$320/GV$15,"")</f>
        <v/>
      </c>
      <c r="GW348" s="150" t="str">
        <f aca="false">IF(AND(ISNUMBER(GW43),ISNUMBER(GW$320),GW$320&lt;&gt;0),GW43*GW$320/GW$15,"")</f>
        <v/>
      </c>
      <c r="GX348" s="150" t="str">
        <f aca="false">IF(AND(ISNUMBER(GX43),ISNUMBER(GX$320),GX$320&lt;&gt;0),GX43*GX$320/GX$15,"")</f>
        <v/>
      </c>
      <c r="GY348" s="150" t="str">
        <f aca="false">IF(AND(ISNUMBER(GY43),ISNUMBER(GY$320),GY$320&lt;&gt;0),GY43*GY$320/GY$15,"")</f>
        <v/>
      </c>
      <c r="GZ348" s="150" t="str">
        <f aca="false">IF(AND(ISNUMBER(GZ43),ISNUMBER(GZ$320),GZ$320&lt;&gt;0),GZ43*GZ$320/GZ$15,"")</f>
        <v/>
      </c>
      <c r="HA348" s="150" t="str">
        <f aca="false">IF(AND(ISNUMBER(HA43),ISNUMBER(HA$320),HA$320&lt;&gt;0),HA43*HA$320/HA$15,"")</f>
        <v/>
      </c>
      <c r="HB348" s="150" t="str">
        <f aca="false">IF(AND(ISNUMBER(HB43),ISNUMBER(HB$320),HB$320&lt;&gt;0),HB43*HB$320/HB$15,"")</f>
        <v/>
      </c>
      <c r="HC348" s="150" t="str">
        <f aca="false">IF(AND(ISNUMBER(HC43),ISNUMBER(HC$320),HC$320&lt;&gt;0),HC43*HC$320/HC$15,"")</f>
        <v/>
      </c>
      <c r="HD348" s="150" t="str">
        <f aca="false">IF(AND(ISNUMBER(HD43),ISNUMBER(HD$320),HD$320&lt;&gt;0),HD43*HD$320/HD$15,"")</f>
        <v/>
      </c>
      <c r="HE348" s="150" t="str">
        <f aca="false">IF(AND(ISNUMBER(HE43),ISNUMBER(HE$320),HE$320&lt;&gt;0),HE43*HE$320/HE$15,"")</f>
        <v/>
      </c>
      <c r="HF348" s="150" t="str">
        <f aca="false">IF(AND(ISNUMBER(HF43),ISNUMBER(HF$320),HF$320&lt;&gt;0),HF43*HF$320/HF$15,"")</f>
        <v/>
      </c>
      <c r="HG348" s="150" t="str">
        <f aca="false">IF(AND(ISNUMBER(HG43),ISNUMBER(HG$320),HG$320&lt;&gt;0),HG43*HG$320/HG$15,"")</f>
        <v/>
      </c>
      <c r="HH348" s="150" t="str">
        <f aca="false">IF(AND(ISNUMBER(HH43),ISNUMBER(HH$320),HH$320&lt;&gt;0),HH43*HH$320/HH$15,"")</f>
        <v/>
      </c>
      <c r="HI348" s="150" t="str">
        <f aca="false">IF(AND(ISNUMBER(HI43),ISNUMBER(HI$320),HI$320&lt;&gt;0),HI43*HI$320/HI$15,"")</f>
        <v/>
      </c>
      <c r="HJ348" s="150" t="str">
        <f aca="false">IF(AND(ISNUMBER(HJ43),ISNUMBER(HJ$320),HJ$320&lt;&gt;0),HJ43*HJ$320/HJ$15,"")</f>
        <v/>
      </c>
      <c r="HK348" s="150" t="str">
        <f aca="false">IF(AND(ISNUMBER(HK43),ISNUMBER(HK$320),HK$320&lt;&gt;0),HK43*HK$320/HK$15,"")</f>
        <v/>
      </c>
      <c r="HL348" s="150" t="str">
        <f aca="false">IF(AND(ISNUMBER(HL43),ISNUMBER(HL$320),HL$320&lt;&gt;0),HL43*HL$320/HL$15,"")</f>
        <v/>
      </c>
      <c r="HM348" s="150" t="str">
        <f aca="false">IF(AND(ISNUMBER(HM43),ISNUMBER(HM$320),HM$320&lt;&gt;0),HM43*HM$320/HM$15,"")</f>
        <v/>
      </c>
      <c r="HN348" s="150" t="str">
        <f aca="false">IF(AND(ISNUMBER(HN43),ISNUMBER(HN$320),HN$320&lt;&gt;0),HN43*HN$320/HN$15,"")</f>
        <v/>
      </c>
      <c r="HO348" s="150" t="str">
        <f aca="false">IF(AND(ISNUMBER(HO43),ISNUMBER(HO$320),HO$320&lt;&gt;0),HO43*HO$320/HO$15,"")</f>
        <v/>
      </c>
      <c r="HP348" s="150" t="str">
        <f aca="false">IF(AND(ISNUMBER(HP43),ISNUMBER(HP$320),HP$320&lt;&gt;0),HP43*HP$320/HP$15,"")</f>
        <v/>
      </c>
      <c r="HQ348" s="150" t="str">
        <f aca="false">IF(AND(ISNUMBER(HQ43),ISNUMBER(HQ$320),HQ$320&lt;&gt;0),HQ43*HQ$320/HQ$15,"")</f>
        <v/>
      </c>
      <c r="HR348" s="150" t="str">
        <f aca="false">IF(AND(ISNUMBER(HR43),ISNUMBER(HR$320),HR$320&lt;&gt;0),HR43*HR$320/HR$15,"")</f>
        <v/>
      </c>
      <c r="HS348" s="150" t="str">
        <f aca="false">IF(AND(ISNUMBER(HS43),ISNUMBER(HS$320),HS$320&lt;&gt;0),HS43*HS$320/HS$15,"")</f>
        <v/>
      </c>
      <c r="HT348" s="150" t="str">
        <f aca="false">IF(AND(ISNUMBER(HT43),ISNUMBER(HT$320),HT$320&lt;&gt;0),HT43*HT$320/HT$15,"")</f>
        <v/>
      </c>
      <c r="HU348" s="150" t="str">
        <f aca="false">IF(AND(ISNUMBER(HU43),ISNUMBER(HU$320),HU$320&lt;&gt;0),HU43*HU$320/HU$15,"")</f>
        <v/>
      </c>
      <c r="HV348" s="150" t="str">
        <f aca="false">IF(AND(ISNUMBER(HV43),ISNUMBER(HV$320),HV$320&lt;&gt;0),HV43*HV$320/HV$15,"")</f>
        <v/>
      </c>
      <c r="HW348" s="150" t="str">
        <f aca="false">IF(AND(ISNUMBER(HW43),ISNUMBER(HW$320),HW$320&lt;&gt;0),HW43*HW$320/HW$15,"")</f>
        <v/>
      </c>
      <c r="HX348" s="150" t="str">
        <f aca="false">IF(AND(ISNUMBER(HX43),ISNUMBER(HX$320),HX$320&lt;&gt;0),HX43*HX$320/HX$15,"")</f>
        <v/>
      </c>
      <c r="HY348" s="150" t="str">
        <f aca="false">IF(AND(ISNUMBER(HY43),ISNUMBER(HY$320),HY$320&lt;&gt;0),HY43*HY$320/HY$15,"")</f>
        <v/>
      </c>
      <c r="HZ348" s="150" t="str">
        <f aca="false">IF(AND(ISNUMBER(HZ43),ISNUMBER(HZ$320),HZ$320&lt;&gt;0),HZ43*HZ$320/HZ$15,"")</f>
        <v/>
      </c>
      <c r="IA348" s="150" t="str">
        <f aca="false">IF(AND(ISNUMBER(IA43),ISNUMBER(IA$320),IA$320&lt;&gt;0),IA43*IA$320/IA$15,"")</f>
        <v/>
      </c>
      <c r="IB348" s="150" t="str">
        <f aca="false">IF(AND(ISNUMBER(IB43),ISNUMBER(IB$320),IB$320&lt;&gt;0),IB43*IB$320/IB$15,"")</f>
        <v/>
      </c>
      <c r="IC348" s="150" t="str">
        <f aca="false">IF(AND(ISNUMBER(IC43),ISNUMBER(IC$320),IC$320&lt;&gt;0),IC43*IC$320/IC$15,"")</f>
        <v/>
      </c>
      <c r="ID348" s="572" t="str">
        <f aca="false">IF(AND(ISNUMBER(ID43),ISNUMBER(ID$320),ID$320&lt;&gt;0),ID43*ID$320/ID$15,"")</f>
        <v/>
      </c>
      <c r="IE348" s="129"/>
    </row>
    <row r="349" customFormat="false" ht="12.75" hidden="false" customHeight="false" outlineLevel="0" collapsed="false">
      <c r="I349" s="735"/>
      <c r="J349" s="727"/>
      <c r="K349" s="195"/>
      <c r="L349" s="195"/>
      <c r="M349" s="729"/>
      <c r="P349" s="727"/>
      <c r="S349" s="1"/>
      <c r="T349" s="727"/>
      <c r="U349" s="195"/>
      <c r="V349" s="195"/>
      <c r="W349" s="195"/>
      <c r="X349" s="195"/>
      <c r="Y349" s="195"/>
      <c r="Z349" s="195"/>
      <c r="AA349" s="195"/>
      <c r="AB349" s="195"/>
      <c r="AC349" s="195"/>
      <c r="AD349" s="195"/>
      <c r="AE349" s="195"/>
      <c r="AF349" s="195"/>
      <c r="AG349" s="195"/>
      <c r="AH349" s="195"/>
      <c r="AI349" s="195"/>
      <c r="AJ349" s="195"/>
      <c r="AK349" s="195"/>
      <c r="AL349" s="195"/>
      <c r="AM349" s="195"/>
      <c r="AN349" s="532"/>
      <c r="AO349" s="532"/>
      <c r="AP349" s="240"/>
      <c r="AQ349" s="532"/>
      <c r="AR349" s="240"/>
      <c r="AS349" s="240"/>
      <c r="AT349" s="240"/>
      <c r="AU349" s="730"/>
      <c r="AV349" s="730"/>
      <c r="AW349" s="730"/>
      <c r="AX349" s="730"/>
      <c r="AY349" s="468"/>
      <c r="AZ349" s="468"/>
      <c r="BA349" s="240"/>
      <c r="BB349" s="240"/>
      <c r="BC349" s="240"/>
      <c r="BD349" s="240"/>
      <c r="BE349" s="672"/>
      <c r="BF349" s="672"/>
      <c r="BG349" s="672"/>
      <c r="BH349" s="731"/>
      <c r="BI349" s="672"/>
      <c r="BJ349" s="240"/>
      <c r="BK349" s="736"/>
      <c r="BL349" s="737"/>
      <c r="BM349" s="240"/>
      <c r="BN349" s="240"/>
      <c r="BO349" s="240"/>
      <c r="BP349" s="240"/>
      <c r="BQ349" s="240"/>
      <c r="BR349" s="240"/>
      <c r="BS349" s="240"/>
      <c r="BT349" s="240"/>
      <c r="BU349" s="240"/>
      <c r="BV349" s="240"/>
      <c r="BW349" s="240"/>
      <c r="BX349" s="240"/>
      <c r="BY349" s="240"/>
      <c r="BZ349" s="240"/>
      <c r="CA349" s="240"/>
      <c r="CB349" s="672"/>
      <c r="CC349" s="672"/>
      <c r="CD349" s="672"/>
      <c r="CE349" s="672"/>
      <c r="CF349" s="672"/>
      <c r="CG349" s="672"/>
      <c r="CH349" s="240"/>
      <c r="CI349" s="240"/>
      <c r="CJ349" s="240"/>
      <c r="CK349" s="240"/>
      <c r="CL349" s="240"/>
      <c r="CM349" s="240"/>
      <c r="CN349" s="240"/>
      <c r="CO349" s="240"/>
      <c r="CP349" s="240"/>
      <c r="CQ349" s="240"/>
      <c r="CR349" s="240"/>
      <c r="CS349" s="240"/>
      <c r="CT349" s="240"/>
      <c r="CU349" s="240"/>
      <c r="CV349" s="240"/>
      <c r="CW349" s="240"/>
      <c r="CX349" s="240"/>
      <c r="CY349" s="240"/>
      <c r="CZ349" s="240"/>
      <c r="DA349" s="240"/>
      <c r="DB349" s="240"/>
      <c r="DC349" s="240"/>
      <c r="DD349" s="240"/>
      <c r="DE349" s="240"/>
      <c r="DF349" s="240"/>
      <c r="DG349" s="733"/>
      <c r="DH349" s="478"/>
      <c r="DI349" s="195"/>
      <c r="DJ349" s="3"/>
      <c r="DK349" s="478"/>
      <c r="DL349" s="4"/>
      <c r="DM349" s="4"/>
      <c r="DN349" s="4"/>
      <c r="DO349" s="4"/>
      <c r="DP349" s="4"/>
      <c r="DQ349" s="4"/>
      <c r="DS349" s="195"/>
      <c r="DT349" s="195"/>
      <c r="DU349" s="195"/>
      <c r="DV349" s="195"/>
      <c r="DW349" s="195"/>
      <c r="DX349" s="195"/>
      <c r="DY349" s="195"/>
      <c r="DZ349" s="195"/>
      <c r="EA349" s="195"/>
      <c r="EB349" s="195"/>
      <c r="EC349" s="195"/>
      <c r="ED349" s="195"/>
      <c r="EE349" s="195"/>
      <c r="EF349" s="195"/>
      <c r="EG349" s="195"/>
      <c r="EL349" s="1"/>
      <c r="EM349" s="195"/>
      <c r="EN349" s="240"/>
      <c r="EO349" s="240"/>
      <c r="EP349" s="195"/>
      <c r="EQ349" s="240"/>
      <c r="ER349" s="195"/>
      <c r="ES349" s="195"/>
      <c r="ET349" s="195"/>
      <c r="EU349" s="672"/>
      <c r="FJ349" s="571" t="n">
        <v>25</v>
      </c>
      <c r="FK349" s="150" t="str">
        <f aca="false">IF(AND(ISNUMBER(FK44),ISNUMBER(FK$320),FK$320&lt;&gt;0),FK44*FK$320/FK$15,"")</f>
        <v/>
      </c>
      <c r="FL349" s="150" t="str">
        <f aca="false">IF(AND(ISNUMBER(FL44),ISNUMBER(FL$320),FL$320&lt;&gt;0),FL44*FL$320/FL$15,"")</f>
        <v/>
      </c>
      <c r="FM349" s="150" t="n">
        <f aca="false">IF(AND(ISNUMBER(FM44),ISNUMBER(FM$320),FM$320&lt;&gt;0),FM44*FM$320/FM$15,"")</f>
        <v>0.00267588971507353</v>
      </c>
      <c r="FN349" s="150" t="n">
        <f aca="false">IF(AND(ISNUMBER(FN44),ISNUMBER(FN$320),FN$320&lt;&gt;0),FN44*FN$320/FN$15,"")</f>
        <v>0.00227122912323937</v>
      </c>
      <c r="FO349" s="150" t="n">
        <f aca="false">IF(AND(ISNUMBER(FO44),ISNUMBER(FO$320),FO$320&lt;&gt;0),FO44*FO$320/FO$15,"")</f>
        <v>0.00238577347716756</v>
      </c>
      <c r="FP349" s="150" t="n">
        <f aca="false">IF(AND(ISNUMBER(FP44),ISNUMBER(FP$320),FP$320&lt;&gt;0),FP44*FP$320/FP$15,"")</f>
        <v>0.00133715323542212</v>
      </c>
      <c r="FQ349" s="150" t="str">
        <f aca="false">IF(AND(ISNUMBER(FQ44),ISNUMBER(FQ$320),FQ$320&lt;&gt;0),FQ44*FQ$320/FQ$15,"")</f>
        <v/>
      </c>
      <c r="FR349" s="150" t="str">
        <f aca="false">IF(AND(ISNUMBER(FR44),ISNUMBER(FR$320),FR$320&lt;&gt;0),FR44*FR$320/FR$15,"")</f>
        <v/>
      </c>
      <c r="FS349" s="150" t="str">
        <f aca="false">IF(AND(ISNUMBER(FS44),ISNUMBER(FS$320),FS$320&lt;&gt;0),FS44*FS$320/FS$15,"")</f>
        <v/>
      </c>
      <c r="FT349" s="150" t="str">
        <f aca="false">IF(AND(ISNUMBER(FT44),ISNUMBER(FT$320),FT$320&lt;&gt;0),FT44*FT$320/FT$15,"")</f>
        <v/>
      </c>
      <c r="FU349" s="150" t="str">
        <f aca="false">IF(AND(ISNUMBER(FU44),ISNUMBER(FU$320),FU$320&lt;&gt;0),FU44*FU$320/FU$15,"")</f>
        <v/>
      </c>
      <c r="FV349" s="150" t="str">
        <f aca="false">IF(AND(ISNUMBER(FV44),ISNUMBER(FV$320),FV$320&lt;&gt;0),FV44*FV$320/FV$15,"")</f>
        <v/>
      </c>
      <c r="FW349" s="150" t="str">
        <f aca="false">IF(AND(ISNUMBER(FW44),ISNUMBER(FW$320),FW$320&lt;&gt;0),FW44*FW$320/FW$15,"")</f>
        <v/>
      </c>
      <c r="FX349" s="150" t="str">
        <f aca="false">IF(AND(ISNUMBER(FX44),ISNUMBER(FX$320),FX$320&lt;&gt;0),FX44*FX$320/FX$15,"")</f>
        <v/>
      </c>
      <c r="FY349" s="150" t="str">
        <f aca="false">IF(AND(ISNUMBER(FY44),ISNUMBER(FY$320),FY$320&lt;&gt;0),FY44*FY$320/FY$15,"")</f>
        <v/>
      </c>
      <c r="FZ349" s="150" t="str">
        <f aca="false">IF(AND(ISNUMBER(FZ44),ISNUMBER(FZ$320),FZ$320&lt;&gt;0),FZ44*FZ$320/FZ$15,"")</f>
        <v/>
      </c>
      <c r="GA349" s="150" t="str">
        <f aca="false">IF(AND(ISNUMBER(GA44),ISNUMBER(GA$320),GA$320&lt;&gt;0),GA44*GA$320/GA$15,"")</f>
        <v/>
      </c>
      <c r="GB349" s="150" t="str">
        <f aca="false">IF(AND(ISNUMBER(GB44),ISNUMBER(GB$320),GB$320&lt;&gt;0),GB44*GB$320/GB$15,"")</f>
        <v/>
      </c>
      <c r="GC349" s="150" t="str">
        <f aca="false">IF(AND(ISNUMBER(GC44),ISNUMBER(GC$320),GC$320&lt;&gt;0),GC44*GC$320/GC$15,"")</f>
        <v/>
      </c>
      <c r="GD349" s="150" t="str">
        <f aca="false">IF(AND(ISNUMBER(GD44),ISNUMBER(GD$320),GD$320&lt;&gt;0),GD44*GD$320/GD$15,"")</f>
        <v/>
      </c>
      <c r="GE349" s="150" t="str">
        <f aca="false">IF(AND(ISNUMBER(GE44),ISNUMBER(GE$320),GE$320&lt;&gt;0),GE44*GE$320/GE$15,"")</f>
        <v/>
      </c>
      <c r="GF349" s="150" t="str">
        <f aca="false">IF(AND(ISNUMBER(GF44),ISNUMBER(GF$320),GF$320&lt;&gt;0),GF44*GF$320/GF$15,"")</f>
        <v/>
      </c>
      <c r="GG349" s="150" t="str">
        <f aca="false">IF(AND(ISNUMBER(GG44),ISNUMBER(GG$320),GG$320&lt;&gt;0),GG44*GG$320/GG$15,"")</f>
        <v/>
      </c>
      <c r="GH349" s="150" t="str">
        <f aca="false">IF(AND(ISNUMBER(GH44),ISNUMBER(GH$320),GH$320&lt;&gt;0),GH44*GH$320/GH$15,"")</f>
        <v/>
      </c>
      <c r="GI349" s="150" t="str">
        <f aca="false">IF(AND(ISNUMBER(GI44),ISNUMBER(GI$320),GI$320&lt;&gt;0),GI44*GI$320/GI$15,"")</f>
        <v/>
      </c>
      <c r="GJ349" s="150" t="str">
        <f aca="false">IF(AND(ISNUMBER(GJ44),ISNUMBER(GJ$320),GJ$320&lt;&gt;0),GJ44*GJ$320/GJ$15,"")</f>
        <v/>
      </c>
      <c r="GK349" s="150" t="str">
        <f aca="false">IF(AND(ISNUMBER(GK44),ISNUMBER(GK$320),GK$320&lt;&gt;0),GK44*GK$320/GK$15,"")</f>
        <v/>
      </c>
      <c r="GL349" s="150" t="str">
        <f aca="false">IF(AND(ISNUMBER(GL44),ISNUMBER(GL$320),GL$320&lt;&gt;0),GL44*GL$320/GL$15,"")</f>
        <v/>
      </c>
      <c r="GM349" s="150" t="str">
        <f aca="false">IF(AND(ISNUMBER(GM44),ISNUMBER(GM$320),GM$320&lt;&gt;0),GM44*GM$320/GM$15,"")</f>
        <v/>
      </c>
      <c r="GN349" s="150" t="str">
        <f aca="false">IF(AND(ISNUMBER(GN44),ISNUMBER(GN$320),GN$320&lt;&gt;0),GN44*GN$320/GN$15,"")</f>
        <v/>
      </c>
      <c r="GO349" s="150" t="str">
        <f aca="false">IF(AND(ISNUMBER(GO44),ISNUMBER(GO$320),GO$320&lt;&gt;0),GO44*GO$320/GO$15,"")</f>
        <v/>
      </c>
      <c r="GP349" s="150" t="str">
        <f aca="false">IF(AND(ISNUMBER(GP44),ISNUMBER(GP$320),GP$320&lt;&gt;0),GP44*GP$320/GP$15,"")</f>
        <v/>
      </c>
      <c r="GQ349" s="150" t="str">
        <f aca="false">IF(AND(ISNUMBER(GQ44),ISNUMBER(GQ$320),GQ$320&lt;&gt;0),GQ44*GQ$320/GQ$15,"")</f>
        <v/>
      </c>
      <c r="GR349" s="150" t="str">
        <f aca="false">IF(AND(ISNUMBER(GR44),ISNUMBER(GR$320),GR$320&lt;&gt;0),GR44*GR$320/GR$15,"")</f>
        <v/>
      </c>
      <c r="GS349" s="150" t="str">
        <f aca="false">IF(AND(ISNUMBER(GS44),ISNUMBER(GS$320),GS$320&lt;&gt;0),GS44*GS$320/GS$15,"")</f>
        <v/>
      </c>
      <c r="GT349" s="150" t="str">
        <f aca="false">IF(AND(ISNUMBER(GT44),ISNUMBER(GT$320),GT$320&lt;&gt;0),GT44*GT$320/GT$15,"")</f>
        <v/>
      </c>
      <c r="GU349" s="150" t="str">
        <f aca="false">IF(AND(ISNUMBER(GU44),ISNUMBER(GU$320),GU$320&lt;&gt;0),GU44*GU$320/GU$15,"")</f>
        <v/>
      </c>
      <c r="GV349" s="150" t="str">
        <f aca="false">IF(AND(ISNUMBER(GV44),ISNUMBER(GV$320),GV$320&lt;&gt;0),GV44*GV$320/GV$15,"")</f>
        <v/>
      </c>
      <c r="GW349" s="150" t="str">
        <f aca="false">IF(AND(ISNUMBER(GW44),ISNUMBER(GW$320),GW$320&lt;&gt;0),GW44*GW$320/GW$15,"")</f>
        <v/>
      </c>
      <c r="GX349" s="150" t="str">
        <f aca="false">IF(AND(ISNUMBER(GX44),ISNUMBER(GX$320),GX$320&lt;&gt;0),GX44*GX$320/GX$15,"")</f>
        <v/>
      </c>
      <c r="GY349" s="150" t="str">
        <f aca="false">IF(AND(ISNUMBER(GY44),ISNUMBER(GY$320),GY$320&lt;&gt;0),GY44*GY$320/GY$15,"")</f>
        <v/>
      </c>
      <c r="GZ349" s="150" t="str">
        <f aca="false">IF(AND(ISNUMBER(GZ44),ISNUMBER(GZ$320),GZ$320&lt;&gt;0),GZ44*GZ$320/GZ$15,"")</f>
        <v/>
      </c>
      <c r="HA349" s="150" t="str">
        <f aca="false">IF(AND(ISNUMBER(HA44),ISNUMBER(HA$320),HA$320&lt;&gt;0),HA44*HA$320/HA$15,"")</f>
        <v/>
      </c>
      <c r="HB349" s="150" t="str">
        <f aca="false">IF(AND(ISNUMBER(HB44),ISNUMBER(HB$320),HB$320&lt;&gt;0),HB44*HB$320/HB$15,"")</f>
        <v/>
      </c>
      <c r="HC349" s="150" t="str">
        <f aca="false">IF(AND(ISNUMBER(HC44),ISNUMBER(HC$320),HC$320&lt;&gt;0),HC44*HC$320/HC$15,"")</f>
        <v/>
      </c>
      <c r="HD349" s="150" t="str">
        <f aca="false">IF(AND(ISNUMBER(HD44),ISNUMBER(HD$320),HD$320&lt;&gt;0),HD44*HD$320/HD$15,"")</f>
        <v/>
      </c>
      <c r="HE349" s="150" t="str">
        <f aca="false">IF(AND(ISNUMBER(HE44),ISNUMBER(HE$320),HE$320&lt;&gt;0),HE44*HE$320/HE$15,"")</f>
        <v/>
      </c>
      <c r="HF349" s="150" t="str">
        <f aca="false">IF(AND(ISNUMBER(HF44),ISNUMBER(HF$320),HF$320&lt;&gt;0),HF44*HF$320/HF$15,"")</f>
        <v/>
      </c>
      <c r="HG349" s="150" t="str">
        <f aca="false">IF(AND(ISNUMBER(HG44),ISNUMBER(HG$320),HG$320&lt;&gt;0),HG44*HG$320/HG$15,"")</f>
        <v/>
      </c>
      <c r="HH349" s="150" t="str">
        <f aca="false">IF(AND(ISNUMBER(HH44),ISNUMBER(HH$320),HH$320&lt;&gt;0),HH44*HH$320/HH$15,"")</f>
        <v/>
      </c>
      <c r="HI349" s="150" t="str">
        <f aca="false">IF(AND(ISNUMBER(HI44),ISNUMBER(HI$320),HI$320&lt;&gt;0),HI44*HI$320/HI$15,"")</f>
        <v/>
      </c>
      <c r="HJ349" s="150" t="str">
        <f aca="false">IF(AND(ISNUMBER(HJ44),ISNUMBER(HJ$320),HJ$320&lt;&gt;0),HJ44*HJ$320/HJ$15,"")</f>
        <v/>
      </c>
      <c r="HK349" s="150" t="str">
        <f aca="false">IF(AND(ISNUMBER(HK44),ISNUMBER(HK$320),HK$320&lt;&gt;0),HK44*HK$320/HK$15,"")</f>
        <v/>
      </c>
      <c r="HL349" s="150" t="str">
        <f aca="false">IF(AND(ISNUMBER(HL44),ISNUMBER(HL$320),HL$320&lt;&gt;0),HL44*HL$320/HL$15,"")</f>
        <v/>
      </c>
      <c r="HM349" s="150" t="str">
        <f aca="false">IF(AND(ISNUMBER(HM44),ISNUMBER(HM$320),HM$320&lt;&gt;0),HM44*HM$320/HM$15,"")</f>
        <v/>
      </c>
      <c r="HN349" s="150" t="str">
        <f aca="false">IF(AND(ISNUMBER(HN44),ISNUMBER(HN$320),HN$320&lt;&gt;0),HN44*HN$320/HN$15,"")</f>
        <v/>
      </c>
      <c r="HO349" s="150" t="str">
        <f aca="false">IF(AND(ISNUMBER(HO44),ISNUMBER(HO$320),HO$320&lt;&gt;0),HO44*HO$320/HO$15,"")</f>
        <v/>
      </c>
      <c r="HP349" s="150" t="str">
        <f aca="false">IF(AND(ISNUMBER(HP44),ISNUMBER(HP$320),HP$320&lt;&gt;0),HP44*HP$320/HP$15,"")</f>
        <v/>
      </c>
      <c r="HQ349" s="150" t="str">
        <f aca="false">IF(AND(ISNUMBER(HQ44),ISNUMBER(HQ$320),HQ$320&lt;&gt;0),HQ44*HQ$320/HQ$15,"")</f>
        <v/>
      </c>
      <c r="HR349" s="150" t="str">
        <f aca="false">IF(AND(ISNUMBER(HR44),ISNUMBER(HR$320),HR$320&lt;&gt;0),HR44*HR$320/HR$15,"")</f>
        <v/>
      </c>
      <c r="HS349" s="150" t="str">
        <f aca="false">IF(AND(ISNUMBER(HS44),ISNUMBER(HS$320),HS$320&lt;&gt;0),HS44*HS$320/HS$15,"")</f>
        <v/>
      </c>
      <c r="HT349" s="150" t="str">
        <f aca="false">IF(AND(ISNUMBER(HT44),ISNUMBER(HT$320),HT$320&lt;&gt;0),HT44*HT$320/HT$15,"")</f>
        <v/>
      </c>
      <c r="HU349" s="150" t="str">
        <f aca="false">IF(AND(ISNUMBER(HU44),ISNUMBER(HU$320),HU$320&lt;&gt;0),HU44*HU$320/HU$15,"")</f>
        <v/>
      </c>
      <c r="HV349" s="150" t="str">
        <f aca="false">IF(AND(ISNUMBER(HV44),ISNUMBER(HV$320),HV$320&lt;&gt;0),HV44*HV$320/HV$15,"")</f>
        <v/>
      </c>
      <c r="HW349" s="150" t="str">
        <f aca="false">IF(AND(ISNUMBER(HW44),ISNUMBER(HW$320),HW$320&lt;&gt;0),HW44*HW$320/HW$15,"")</f>
        <v/>
      </c>
      <c r="HX349" s="150" t="str">
        <f aca="false">IF(AND(ISNUMBER(HX44),ISNUMBER(HX$320),HX$320&lt;&gt;0),HX44*HX$320/HX$15,"")</f>
        <v/>
      </c>
      <c r="HY349" s="150" t="str">
        <f aca="false">IF(AND(ISNUMBER(HY44),ISNUMBER(HY$320),HY$320&lt;&gt;0),HY44*HY$320/HY$15,"")</f>
        <v/>
      </c>
      <c r="HZ349" s="150" t="str">
        <f aca="false">IF(AND(ISNUMBER(HZ44),ISNUMBER(HZ$320),HZ$320&lt;&gt;0),HZ44*HZ$320/HZ$15,"")</f>
        <v/>
      </c>
      <c r="IA349" s="150" t="str">
        <f aca="false">IF(AND(ISNUMBER(IA44),ISNUMBER(IA$320),IA$320&lt;&gt;0),IA44*IA$320/IA$15,"")</f>
        <v/>
      </c>
      <c r="IB349" s="150" t="str">
        <f aca="false">IF(AND(ISNUMBER(IB44),ISNUMBER(IB$320),IB$320&lt;&gt;0),IB44*IB$320/IB$15,"")</f>
        <v/>
      </c>
      <c r="IC349" s="150" t="str">
        <f aca="false">IF(AND(ISNUMBER(IC44),ISNUMBER(IC$320),IC$320&lt;&gt;0),IC44*IC$320/IC$15,"")</f>
        <v/>
      </c>
      <c r="ID349" s="572" t="str">
        <f aca="false">IF(AND(ISNUMBER(ID44),ISNUMBER(ID$320),ID$320&lt;&gt;0),ID44*ID$320/ID$15,"")</f>
        <v/>
      </c>
      <c r="IE349" s="129"/>
    </row>
    <row r="350" customFormat="false" ht="12.75" hidden="false" customHeight="false" outlineLevel="0" collapsed="false">
      <c r="I350" s="735"/>
      <c r="J350" s="727"/>
      <c r="K350" s="195"/>
      <c r="L350" s="195"/>
      <c r="M350" s="729"/>
      <c r="P350" s="727"/>
      <c r="S350" s="1"/>
      <c r="T350" s="727"/>
      <c r="U350" s="195"/>
      <c r="V350" s="195"/>
      <c r="W350" s="195"/>
      <c r="X350" s="195"/>
      <c r="Y350" s="195"/>
      <c r="Z350" s="195"/>
      <c r="AA350" s="195"/>
      <c r="AB350" s="195"/>
      <c r="AC350" s="195"/>
      <c r="AD350" s="195"/>
      <c r="AE350" s="195"/>
      <c r="AF350" s="195"/>
      <c r="AG350" s="195"/>
      <c r="AH350" s="195"/>
      <c r="AI350" s="195"/>
      <c r="AJ350" s="195"/>
      <c r="AK350" s="195"/>
      <c r="AL350" s="195"/>
      <c r="AM350" s="195"/>
      <c r="AN350" s="532"/>
      <c r="AO350" s="532"/>
      <c r="AP350" s="240"/>
      <c r="AQ350" s="532"/>
      <c r="AR350" s="240"/>
      <c r="AS350" s="240"/>
      <c r="AT350" s="240"/>
      <c r="AU350" s="730"/>
      <c r="AV350" s="730"/>
      <c r="AW350" s="730"/>
      <c r="AX350" s="730"/>
      <c r="AY350" s="468"/>
      <c r="AZ350" s="468"/>
      <c r="BA350" s="240"/>
      <c r="BB350" s="240"/>
      <c r="BC350" s="240"/>
      <c r="BD350" s="240"/>
      <c r="BE350" s="672"/>
      <c r="BF350" s="672"/>
      <c r="BG350" s="672"/>
      <c r="BH350" s="731"/>
      <c r="BI350" s="672"/>
      <c r="BJ350" s="240"/>
      <c r="BK350" s="736"/>
      <c r="BL350" s="737"/>
      <c r="BM350" s="240"/>
      <c r="BN350" s="240"/>
      <c r="BO350" s="240"/>
      <c r="BP350" s="240"/>
      <c r="BQ350" s="240"/>
      <c r="BR350" s="240"/>
      <c r="BS350" s="240"/>
      <c r="BT350" s="240"/>
      <c r="BU350" s="240"/>
      <c r="BV350" s="240"/>
      <c r="BW350" s="240"/>
      <c r="BX350" s="240"/>
      <c r="BY350" s="240"/>
      <c r="BZ350" s="240"/>
      <c r="CA350" s="240"/>
      <c r="CB350" s="672"/>
      <c r="CC350" s="672"/>
      <c r="CD350" s="672"/>
      <c r="CE350" s="672"/>
      <c r="CF350" s="672"/>
      <c r="CG350" s="672"/>
      <c r="CH350" s="240"/>
      <c r="CI350" s="240"/>
      <c r="CJ350" s="240"/>
      <c r="CK350" s="240"/>
      <c r="CL350" s="240"/>
      <c r="CM350" s="240"/>
      <c r="CN350" s="240"/>
      <c r="CO350" s="240"/>
      <c r="CP350" s="240"/>
      <c r="CQ350" s="240"/>
      <c r="CR350" s="240"/>
      <c r="CS350" s="240"/>
      <c r="CT350" s="240"/>
      <c r="CU350" s="240"/>
      <c r="CV350" s="240"/>
      <c r="CW350" s="240"/>
      <c r="CX350" s="240"/>
      <c r="CY350" s="240"/>
      <c r="CZ350" s="240"/>
      <c r="DA350" s="240"/>
      <c r="DB350" s="240"/>
      <c r="DC350" s="240"/>
      <c r="DD350" s="240"/>
      <c r="DE350" s="240"/>
      <c r="DF350" s="240"/>
      <c r="DG350" s="733"/>
      <c r="DH350" s="478"/>
      <c r="DI350" s="195"/>
      <c r="DJ350" s="3"/>
      <c r="DK350" s="478"/>
      <c r="DL350" s="4"/>
      <c r="DM350" s="4"/>
      <c r="DN350" s="4"/>
      <c r="DO350" s="4"/>
      <c r="DP350" s="4"/>
      <c r="DQ350" s="4"/>
      <c r="DS350" s="195"/>
      <c r="DT350" s="195"/>
      <c r="DU350" s="195"/>
      <c r="DV350" s="195"/>
      <c r="DW350" s="195"/>
      <c r="DX350" s="195"/>
      <c r="DY350" s="195"/>
      <c r="DZ350" s="195"/>
      <c r="EA350" s="195"/>
      <c r="EB350" s="195"/>
      <c r="EC350" s="195"/>
      <c r="ED350" s="195"/>
      <c r="EE350" s="195"/>
      <c r="EF350" s="195"/>
      <c r="EG350" s="195"/>
      <c r="EL350" s="1"/>
      <c r="EM350" s="195"/>
      <c r="EN350" s="240"/>
      <c r="EO350" s="240"/>
      <c r="EP350" s="195"/>
      <c r="EQ350" s="240"/>
      <c r="ER350" s="195"/>
      <c r="ES350" s="195"/>
      <c r="ET350" s="195"/>
      <c r="EU350" s="672"/>
      <c r="FJ350" s="571" t="n">
        <v>26</v>
      </c>
      <c r="FK350" s="150" t="str">
        <f aca="false">IF(AND(ISNUMBER(FK45),ISNUMBER(FK$320),FK$320&lt;&gt;0),FK45*FK$320/FK$15,"")</f>
        <v/>
      </c>
      <c r="FL350" s="150" t="str">
        <f aca="false">IF(AND(ISNUMBER(FL45),ISNUMBER(FL$320),FL$320&lt;&gt;0),FL45*FL$320/FL$15,"")</f>
        <v/>
      </c>
      <c r="FM350" s="150" t="n">
        <f aca="false">IF(AND(ISNUMBER(FM45),ISNUMBER(FM$320),FM$320&lt;&gt;0),FM45*FM$320/FM$15,"")</f>
        <v>0.00265673657403279</v>
      </c>
      <c r="FN350" s="150" t="n">
        <f aca="false">IF(AND(ISNUMBER(FN45),ISNUMBER(FN$320),FN$320&lt;&gt;0),FN45*FN$320/FN$15,"")</f>
        <v>0.00225221542355509</v>
      </c>
      <c r="FO350" s="150" t="n">
        <f aca="false">IF(AND(ISNUMBER(FO45),ISNUMBER(FO$320),FO$320&lt;&gt;0),FO45*FO$320/FO$15,"")</f>
        <v>0.00236241369583116</v>
      </c>
      <c r="FP350" s="150" t="n">
        <f aca="false">IF(AND(ISNUMBER(FP45),ISNUMBER(FP$320),FP$320&lt;&gt;0),FP45*FP$320/FP$15,"")</f>
        <v>0.00132184043466411</v>
      </c>
      <c r="FQ350" s="150" t="str">
        <f aca="false">IF(AND(ISNUMBER(FQ45),ISNUMBER(FQ$320),FQ$320&lt;&gt;0),FQ45*FQ$320/FQ$15,"")</f>
        <v/>
      </c>
      <c r="FR350" s="150" t="str">
        <f aca="false">IF(AND(ISNUMBER(FR45),ISNUMBER(FR$320),FR$320&lt;&gt;0),FR45*FR$320/FR$15,"")</f>
        <v/>
      </c>
      <c r="FS350" s="150" t="str">
        <f aca="false">IF(AND(ISNUMBER(FS45),ISNUMBER(FS$320),FS$320&lt;&gt;0),FS45*FS$320/FS$15,"")</f>
        <v/>
      </c>
      <c r="FT350" s="150" t="str">
        <f aca="false">IF(AND(ISNUMBER(FT45),ISNUMBER(FT$320),FT$320&lt;&gt;0),FT45*FT$320/FT$15,"")</f>
        <v/>
      </c>
      <c r="FU350" s="150" t="str">
        <f aca="false">IF(AND(ISNUMBER(FU45),ISNUMBER(FU$320),FU$320&lt;&gt;0),FU45*FU$320/FU$15,"")</f>
        <v/>
      </c>
      <c r="FV350" s="150" t="str">
        <f aca="false">IF(AND(ISNUMBER(FV45),ISNUMBER(FV$320),FV$320&lt;&gt;0),FV45*FV$320/FV$15,"")</f>
        <v/>
      </c>
      <c r="FW350" s="150" t="str">
        <f aca="false">IF(AND(ISNUMBER(FW45),ISNUMBER(FW$320),FW$320&lt;&gt;0),FW45*FW$320/FW$15,"")</f>
        <v/>
      </c>
      <c r="FX350" s="150" t="str">
        <f aca="false">IF(AND(ISNUMBER(FX45),ISNUMBER(FX$320),FX$320&lt;&gt;0),FX45*FX$320/FX$15,"")</f>
        <v/>
      </c>
      <c r="FY350" s="150" t="str">
        <f aca="false">IF(AND(ISNUMBER(FY45),ISNUMBER(FY$320),FY$320&lt;&gt;0),FY45*FY$320/FY$15,"")</f>
        <v/>
      </c>
      <c r="FZ350" s="150" t="str">
        <f aca="false">IF(AND(ISNUMBER(FZ45),ISNUMBER(FZ$320),FZ$320&lt;&gt;0),FZ45*FZ$320/FZ$15,"")</f>
        <v/>
      </c>
      <c r="GA350" s="150" t="str">
        <f aca="false">IF(AND(ISNUMBER(GA45),ISNUMBER(GA$320),GA$320&lt;&gt;0),GA45*GA$320/GA$15,"")</f>
        <v/>
      </c>
      <c r="GB350" s="150" t="str">
        <f aca="false">IF(AND(ISNUMBER(GB45),ISNUMBER(GB$320),GB$320&lt;&gt;0),GB45*GB$320/GB$15,"")</f>
        <v/>
      </c>
      <c r="GC350" s="150" t="str">
        <f aca="false">IF(AND(ISNUMBER(GC45),ISNUMBER(GC$320),GC$320&lt;&gt;0),GC45*GC$320/GC$15,"")</f>
        <v/>
      </c>
      <c r="GD350" s="150" t="str">
        <f aca="false">IF(AND(ISNUMBER(GD45),ISNUMBER(GD$320),GD$320&lt;&gt;0),GD45*GD$320/GD$15,"")</f>
        <v/>
      </c>
      <c r="GE350" s="150" t="str">
        <f aca="false">IF(AND(ISNUMBER(GE45),ISNUMBER(GE$320),GE$320&lt;&gt;0),GE45*GE$320/GE$15,"")</f>
        <v/>
      </c>
      <c r="GF350" s="150" t="str">
        <f aca="false">IF(AND(ISNUMBER(GF45),ISNUMBER(GF$320),GF$320&lt;&gt;0),GF45*GF$320/GF$15,"")</f>
        <v/>
      </c>
      <c r="GG350" s="150" t="str">
        <f aca="false">IF(AND(ISNUMBER(GG45),ISNUMBER(GG$320),GG$320&lt;&gt;0),GG45*GG$320/GG$15,"")</f>
        <v/>
      </c>
      <c r="GH350" s="150" t="str">
        <f aca="false">IF(AND(ISNUMBER(GH45),ISNUMBER(GH$320),GH$320&lt;&gt;0),GH45*GH$320/GH$15,"")</f>
        <v/>
      </c>
      <c r="GI350" s="150" t="str">
        <f aca="false">IF(AND(ISNUMBER(GI45),ISNUMBER(GI$320),GI$320&lt;&gt;0),GI45*GI$320/GI$15,"")</f>
        <v/>
      </c>
      <c r="GJ350" s="150" t="str">
        <f aca="false">IF(AND(ISNUMBER(GJ45),ISNUMBER(GJ$320),GJ$320&lt;&gt;0),GJ45*GJ$320/GJ$15,"")</f>
        <v/>
      </c>
      <c r="GK350" s="150" t="str">
        <f aca="false">IF(AND(ISNUMBER(GK45),ISNUMBER(GK$320),GK$320&lt;&gt;0),GK45*GK$320/GK$15,"")</f>
        <v/>
      </c>
      <c r="GL350" s="150" t="str">
        <f aca="false">IF(AND(ISNUMBER(GL45),ISNUMBER(GL$320),GL$320&lt;&gt;0),GL45*GL$320/GL$15,"")</f>
        <v/>
      </c>
      <c r="GM350" s="150" t="str">
        <f aca="false">IF(AND(ISNUMBER(GM45),ISNUMBER(GM$320),GM$320&lt;&gt;0),GM45*GM$320/GM$15,"")</f>
        <v/>
      </c>
      <c r="GN350" s="150" t="str">
        <f aca="false">IF(AND(ISNUMBER(GN45),ISNUMBER(GN$320),GN$320&lt;&gt;0),GN45*GN$320/GN$15,"")</f>
        <v/>
      </c>
      <c r="GO350" s="150" t="str">
        <f aca="false">IF(AND(ISNUMBER(GO45),ISNUMBER(GO$320),GO$320&lt;&gt;0),GO45*GO$320/GO$15,"")</f>
        <v/>
      </c>
      <c r="GP350" s="150" t="str">
        <f aca="false">IF(AND(ISNUMBER(GP45),ISNUMBER(GP$320),GP$320&lt;&gt;0),GP45*GP$320/GP$15,"")</f>
        <v/>
      </c>
      <c r="GQ350" s="150" t="str">
        <f aca="false">IF(AND(ISNUMBER(GQ45),ISNUMBER(GQ$320),GQ$320&lt;&gt;0),GQ45*GQ$320/GQ$15,"")</f>
        <v/>
      </c>
      <c r="GR350" s="150" t="str">
        <f aca="false">IF(AND(ISNUMBER(GR45),ISNUMBER(GR$320),GR$320&lt;&gt;0),GR45*GR$320/GR$15,"")</f>
        <v/>
      </c>
      <c r="GS350" s="150" t="str">
        <f aca="false">IF(AND(ISNUMBER(GS45),ISNUMBER(GS$320),GS$320&lt;&gt;0),GS45*GS$320/GS$15,"")</f>
        <v/>
      </c>
      <c r="GT350" s="150" t="str">
        <f aca="false">IF(AND(ISNUMBER(GT45),ISNUMBER(GT$320),GT$320&lt;&gt;0),GT45*GT$320/GT$15,"")</f>
        <v/>
      </c>
      <c r="GU350" s="150" t="str">
        <f aca="false">IF(AND(ISNUMBER(GU45),ISNUMBER(GU$320),GU$320&lt;&gt;0),GU45*GU$320/GU$15,"")</f>
        <v/>
      </c>
      <c r="GV350" s="150" t="str">
        <f aca="false">IF(AND(ISNUMBER(GV45),ISNUMBER(GV$320),GV$320&lt;&gt;0),GV45*GV$320/GV$15,"")</f>
        <v/>
      </c>
      <c r="GW350" s="150" t="str">
        <f aca="false">IF(AND(ISNUMBER(GW45),ISNUMBER(GW$320),GW$320&lt;&gt;0),GW45*GW$320/GW$15,"")</f>
        <v/>
      </c>
      <c r="GX350" s="150" t="str">
        <f aca="false">IF(AND(ISNUMBER(GX45),ISNUMBER(GX$320),GX$320&lt;&gt;0),GX45*GX$320/GX$15,"")</f>
        <v/>
      </c>
      <c r="GY350" s="150" t="str">
        <f aca="false">IF(AND(ISNUMBER(GY45),ISNUMBER(GY$320),GY$320&lt;&gt;0),GY45*GY$320/GY$15,"")</f>
        <v/>
      </c>
      <c r="GZ350" s="150" t="str">
        <f aca="false">IF(AND(ISNUMBER(GZ45),ISNUMBER(GZ$320),GZ$320&lt;&gt;0),GZ45*GZ$320/GZ$15,"")</f>
        <v/>
      </c>
      <c r="HA350" s="150" t="str">
        <f aca="false">IF(AND(ISNUMBER(HA45),ISNUMBER(HA$320),HA$320&lt;&gt;0),HA45*HA$320/HA$15,"")</f>
        <v/>
      </c>
      <c r="HB350" s="150" t="str">
        <f aca="false">IF(AND(ISNUMBER(HB45),ISNUMBER(HB$320),HB$320&lt;&gt;0),HB45*HB$320/HB$15,"")</f>
        <v/>
      </c>
      <c r="HC350" s="150" t="str">
        <f aca="false">IF(AND(ISNUMBER(HC45),ISNUMBER(HC$320),HC$320&lt;&gt;0),HC45*HC$320/HC$15,"")</f>
        <v/>
      </c>
      <c r="HD350" s="150" t="str">
        <f aca="false">IF(AND(ISNUMBER(HD45),ISNUMBER(HD$320),HD$320&lt;&gt;0),HD45*HD$320/HD$15,"")</f>
        <v/>
      </c>
      <c r="HE350" s="150" t="str">
        <f aca="false">IF(AND(ISNUMBER(HE45),ISNUMBER(HE$320),HE$320&lt;&gt;0),HE45*HE$320/HE$15,"")</f>
        <v/>
      </c>
      <c r="HF350" s="150" t="str">
        <f aca="false">IF(AND(ISNUMBER(HF45),ISNUMBER(HF$320),HF$320&lt;&gt;0),HF45*HF$320/HF$15,"")</f>
        <v/>
      </c>
      <c r="HG350" s="150" t="str">
        <f aca="false">IF(AND(ISNUMBER(HG45),ISNUMBER(HG$320),HG$320&lt;&gt;0),HG45*HG$320/HG$15,"")</f>
        <v/>
      </c>
      <c r="HH350" s="150" t="str">
        <f aca="false">IF(AND(ISNUMBER(HH45),ISNUMBER(HH$320),HH$320&lt;&gt;0),HH45*HH$320/HH$15,"")</f>
        <v/>
      </c>
      <c r="HI350" s="150" t="str">
        <f aca="false">IF(AND(ISNUMBER(HI45),ISNUMBER(HI$320),HI$320&lt;&gt;0),HI45*HI$320/HI$15,"")</f>
        <v/>
      </c>
      <c r="HJ350" s="150" t="str">
        <f aca="false">IF(AND(ISNUMBER(HJ45),ISNUMBER(HJ$320),HJ$320&lt;&gt;0),HJ45*HJ$320/HJ$15,"")</f>
        <v/>
      </c>
      <c r="HK350" s="150" t="str">
        <f aca="false">IF(AND(ISNUMBER(HK45),ISNUMBER(HK$320),HK$320&lt;&gt;0),HK45*HK$320/HK$15,"")</f>
        <v/>
      </c>
      <c r="HL350" s="150" t="str">
        <f aca="false">IF(AND(ISNUMBER(HL45),ISNUMBER(HL$320),HL$320&lt;&gt;0),HL45*HL$320/HL$15,"")</f>
        <v/>
      </c>
      <c r="HM350" s="150" t="str">
        <f aca="false">IF(AND(ISNUMBER(HM45),ISNUMBER(HM$320),HM$320&lt;&gt;0),HM45*HM$320/HM$15,"")</f>
        <v/>
      </c>
      <c r="HN350" s="150" t="str">
        <f aca="false">IF(AND(ISNUMBER(HN45),ISNUMBER(HN$320),HN$320&lt;&gt;0),HN45*HN$320/HN$15,"")</f>
        <v/>
      </c>
      <c r="HO350" s="150" t="str">
        <f aca="false">IF(AND(ISNUMBER(HO45),ISNUMBER(HO$320),HO$320&lt;&gt;0),HO45*HO$320/HO$15,"")</f>
        <v/>
      </c>
      <c r="HP350" s="150" t="str">
        <f aca="false">IF(AND(ISNUMBER(HP45),ISNUMBER(HP$320),HP$320&lt;&gt;0),HP45*HP$320/HP$15,"")</f>
        <v/>
      </c>
      <c r="HQ350" s="150" t="str">
        <f aca="false">IF(AND(ISNUMBER(HQ45),ISNUMBER(HQ$320),HQ$320&lt;&gt;0),HQ45*HQ$320/HQ$15,"")</f>
        <v/>
      </c>
      <c r="HR350" s="150" t="str">
        <f aca="false">IF(AND(ISNUMBER(HR45),ISNUMBER(HR$320),HR$320&lt;&gt;0),HR45*HR$320/HR$15,"")</f>
        <v/>
      </c>
      <c r="HS350" s="150" t="str">
        <f aca="false">IF(AND(ISNUMBER(HS45),ISNUMBER(HS$320),HS$320&lt;&gt;0),HS45*HS$320/HS$15,"")</f>
        <v/>
      </c>
      <c r="HT350" s="150" t="str">
        <f aca="false">IF(AND(ISNUMBER(HT45),ISNUMBER(HT$320),HT$320&lt;&gt;0),HT45*HT$320/HT$15,"")</f>
        <v/>
      </c>
      <c r="HU350" s="150" t="str">
        <f aca="false">IF(AND(ISNUMBER(HU45),ISNUMBER(HU$320),HU$320&lt;&gt;0),HU45*HU$320/HU$15,"")</f>
        <v/>
      </c>
      <c r="HV350" s="150" t="str">
        <f aca="false">IF(AND(ISNUMBER(HV45),ISNUMBER(HV$320),HV$320&lt;&gt;0),HV45*HV$320/HV$15,"")</f>
        <v/>
      </c>
      <c r="HW350" s="150" t="str">
        <f aca="false">IF(AND(ISNUMBER(HW45),ISNUMBER(HW$320),HW$320&lt;&gt;0),HW45*HW$320/HW$15,"")</f>
        <v/>
      </c>
      <c r="HX350" s="150" t="str">
        <f aca="false">IF(AND(ISNUMBER(HX45),ISNUMBER(HX$320),HX$320&lt;&gt;0),HX45*HX$320/HX$15,"")</f>
        <v/>
      </c>
      <c r="HY350" s="150" t="str">
        <f aca="false">IF(AND(ISNUMBER(HY45),ISNUMBER(HY$320),HY$320&lt;&gt;0),HY45*HY$320/HY$15,"")</f>
        <v/>
      </c>
      <c r="HZ350" s="150" t="str">
        <f aca="false">IF(AND(ISNUMBER(HZ45),ISNUMBER(HZ$320),HZ$320&lt;&gt;0),HZ45*HZ$320/HZ$15,"")</f>
        <v/>
      </c>
      <c r="IA350" s="150" t="str">
        <f aca="false">IF(AND(ISNUMBER(IA45),ISNUMBER(IA$320),IA$320&lt;&gt;0),IA45*IA$320/IA$15,"")</f>
        <v/>
      </c>
      <c r="IB350" s="150" t="str">
        <f aca="false">IF(AND(ISNUMBER(IB45),ISNUMBER(IB$320),IB$320&lt;&gt;0),IB45*IB$320/IB$15,"")</f>
        <v/>
      </c>
      <c r="IC350" s="150" t="str">
        <f aca="false">IF(AND(ISNUMBER(IC45),ISNUMBER(IC$320),IC$320&lt;&gt;0),IC45*IC$320/IC$15,"")</f>
        <v/>
      </c>
      <c r="ID350" s="572" t="str">
        <f aca="false">IF(AND(ISNUMBER(ID45),ISNUMBER(ID$320),ID$320&lt;&gt;0),ID45*ID$320/ID$15,"")</f>
        <v/>
      </c>
      <c r="IE350" s="129"/>
    </row>
    <row r="351" customFormat="false" ht="12.75" hidden="false" customHeight="false" outlineLevel="0" collapsed="false">
      <c r="I351" s="735"/>
      <c r="J351" s="727"/>
      <c r="K351" s="195"/>
      <c r="L351" s="195"/>
      <c r="M351" s="729"/>
      <c r="P351" s="727"/>
      <c r="S351" s="1"/>
      <c r="T351" s="727"/>
      <c r="U351" s="195"/>
      <c r="V351" s="195"/>
      <c r="W351" s="195"/>
      <c r="X351" s="195"/>
      <c r="Y351" s="195"/>
      <c r="Z351" s="195"/>
      <c r="AA351" s="195"/>
      <c r="AB351" s="195"/>
      <c r="AC351" s="195"/>
      <c r="AD351" s="195"/>
      <c r="AE351" s="195"/>
      <c r="AF351" s="195"/>
      <c r="AG351" s="195"/>
      <c r="AH351" s="195"/>
      <c r="AI351" s="195"/>
      <c r="AJ351" s="195"/>
      <c r="AK351" s="195"/>
      <c r="AL351" s="195"/>
      <c r="AM351" s="195"/>
      <c r="AN351" s="532"/>
      <c r="AO351" s="532"/>
      <c r="AP351" s="240"/>
      <c r="AQ351" s="532"/>
      <c r="AR351" s="240"/>
      <c r="AS351" s="240"/>
      <c r="AT351" s="240"/>
      <c r="AU351" s="730"/>
      <c r="AV351" s="730"/>
      <c r="AW351" s="730"/>
      <c r="AX351" s="730"/>
      <c r="AY351" s="468"/>
      <c r="AZ351" s="468"/>
      <c r="BA351" s="240"/>
      <c r="BB351" s="240"/>
      <c r="BC351" s="240"/>
      <c r="BD351" s="240"/>
      <c r="BE351" s="672"/>
      <c r="BF351" s="672"/>
      <c r="BG351" s="672"/>
      <c r="BH351" s="731"/>
      <c r="BI351" s="672"/>
      <c r="BJ351" s="240"/>
      <c r="BK351" s="736"/>
      <c r="BL351" s="737"/>
      <c r="BM351" s="240"/>
      <c r="BN351" s="240"/>
      <c r="BO351" s="240"/>
      <c r="BP351" s="240"/>
      <c r="BQ351" s="240"/>
      <c r="BR351" s="240"/>
      <c r="BS351" s="240"/>
      <c r="BT351" s="240"/>
      <c r="BU351" s="240"/>
      <c r="BV351" s="240"/>
      <c r="BW351" s="240"/>
      <c r="BX351" s="240"/>
      <c r="BY351" s="240"/>
      <c r="BZ351" s="240"/>
      <c r="CA351" s="240"/>
      <c r="CB351" s="672"/>
      <c r="CC351" s="672"/>
      <c r="CD351" s="672"/>
      <c r="CE351" s="672"/>
      <c r="CF351" s="672"/>
      <c r="CG351" s="672"/>
      <c r="CH351" s="240"/>
      <c r="CI351" s="240"/>
      <c r="CJ351" s="240"/>
      <c r="CK351" s="240"/>
      <c r="CL351" s="240"/>
      <c r="CM351" s="240"/>
      <c r="CN351" s="240"/>
      <c r="CO351" s="240"/>
      <c r="CP351" s="240"/>
      <c r="CQ351" s="240"/>
      <c r="CR351" s="240"/>
      <c r="CS351" s="240"/>
      <c r="CT351" s="240"/>
      <c r="CU351" s="240"/>
      <c r="CV351" s="240"/>
      <c r="CW351" s="240"/>
      <c r="CX351" s="240"/>
      <c r="CY351" s="240"/>
      <c r="CZ351" s="240"/>
      <c r="DA351" s="240"/>
      <c r="DB351" s="240"/>
      <c r="DC351" s="240"/>
      <c r="DD351" s="240"/>
      <c r="DE351" s="240"/>
      <c r="DF351" s="240"/>
      <c r="DG351" s="733"/>
      <c r="DH351" s="478"/>
      <c r="DI351" s="195"/>
      <c r="DJ351" s="3"/>
      <c r="DK351" s="478"/>
      <c r="DL351" s="4"/>
      <c r="DM351" s="4"/>
      <c r="DN351" s="4"/>
      <c r="DO351" s="4"/>
      <c r="DP351" s="4"/>
      <c r="DQ351" s="4"/>
      <c r="DS351" s="195"/>
      <c r="DT351" s="195"/>
      <c r="DU351" s="195"/>
      <c r="DV351" s="195"/>
      <c r="DW351" s="195"/>
      <c r="DX351" s="195"/>
      <c r="DY351" s="195"/>
      <c r="DZ351" s="195"/>
      <c r="EA351" s="195"/>
      <c r="EB351" s="195"/>
      <c r="EC351" s="195"/>
      <c r="ED351" s="195"/>
      <c r="EE351" s="195"/>
      <c r="EF351" s="195"/>
      <c r="EG351" s="195"/>
      <c r="EL351" s="1"/>
      <c r="EM351" s="195"/>
      <c r="EN351" s="240"/>
      <c r="EO351" s="240"/>
      <c r="EP351" s="195"/>
      <c r="EQ351" s="240"/>
      <c r="ER351" s="195"/>
      <c r="ES351" s="195"/>
      <c r="ET351" s="195"/>
      <c r="EU351" s="672"/>
      <c r="FJ351" s="571" t="n">
        <v>27</v>
      </c>
      <c r="FK351" s="150" t="str">
        <f aca="false">IF(AND(ISNUMBER(FK46),ISNUMBER(FK$320),FK$320&lt;&gt;0),FK46*FK$320/FK$15,"")</f>
        <v/>
      </c>
      <c r="FL351" s="150" t="str">
        <f aca="false">IF(AND(ISNUMBER(FL46),ISNUMBER(FL$320),FL$320&lt;&gt;0),FL46*FL$320/FL$15,"")</f>
        <v/>
      </c>
      <c r="FM351" s="150" t="n">
        <f aca="false">IF(AND(ISNUMBER(FM46),ISNUMBER(FM$320),FM$320&lt;&gt;0),FM46*FM$320/FM$15,"")</f>
        <v>0.00264047785201954</v>
      </c>
      <c r="FN351" s="150" t="n">
        <f aca="false">IF(AND(ISNUMBER(FN46),ISNUMBER(FN$320),FN$320&lt;&gt;0),FN46*FN$320/FN$15,"")</f>
        <v>0.00223609480415196</v>
      </c>
      <c r="FO351" s="150" t="n">
        <f aca="false">IF(AND(ISNUMBER(FO46),ISNUMBER(FO$320),FO$320&lt;&gt;0),FO46*FO$320/FO$15,"")</f>
        <v>0.00234263664027875</v>
      </c>
      <c r="FP351" s="150" t="n">
        <f aca="false">IF(AND(ISNUMBER(FP46),ISNUMBER(FP$320),FP$320&lt;&gt;0),FP46*FP$320/FP$15,"")</f>
        <v>0.00130889792196922</v>
      </c>
      <c r="FQ351" s="150" t="str">
        <f aca="false">IF(AND(ISNUMBER(FQ46),ISNUMBER(FQ$320),FQ$320&lt;&gt;0),FQ46*FQ$320/FQ$15,"")</f>
        <v/>
      </c>
      <c r="FR351" s="150" t="str">
        <f aca="false">IF(AND(ISNUMBER(FR46),ISNUMBER(FR$320),FR$320&lt;&gt;0),FR46*FR$320/FR$15,"")</f>
        <v/>
      </c>
      <c r="FS351" s="150" t="str">
        <f aca="false">IF(AND(ISNUMBER(FS46),ISNUMBER(FS$320),FS$320&lt;&gt;0),FS46*FS$320/FS$15,"")</f>
        <v/>
      </c>
      <c r="FT351" s="150" t="str">
        <f aca="false">IF(AND(ISNUMBER(FT46),ISNUMBER(FT$320),FT$320&lt;&gt;0),FT46*FT$320/FT$15,"")</f>
        <v/>
      </c>
      <c r="FU351" s="150" t="str">
        <f aca="false">IF(AND(ISNUMBER(FU46),ISNUMBER(FU$320),FU$320&lt;&gt;0),FU46*FU$320/FU$15,"")</f>
        <v/>
      </c>
      <c r="FV351" s="150" t="str">
        <f aca="false">IF(AND(ISNUMBER(FV46),ISNUMBER(FV$320),FV$320&lt;&gt;0),FV46*FV$320/FV$15,"")</f>
        <v/>
      </c>
      <c r="FW351" s="150" t="str">
        <f aca="false">IF(AND(ISNUMBER(FW46),ISNUMBER(FW$320),FW$320&lt;&gt;0),FW46*FW$320/FW$15,"")</f>
        <v/>
      </c>
      <c r="FX351" s="150" t="str">
        <f aca="false">IF(AND(ISNUMBER(FX46),ISNUMBER(FX$320),FX$320&lt;&gt;0),FX46*FX$320/FX$15,"")</f>
        <v/>
      </c>
      <c r="FY351" s="150" t="str">
        <f aca="false">IF(AND(ISNUMBER(FY46),ISNUMBER(FY$320),FY$320&lt;&gt;0),FY46*FY$320/FY$15,"")</f>
        <v/>
      </c>
      <c r="FZ351" s="150" t="str">
        <f aca="false">IF(AND(ISNUMBER(FZ46),ISNUMBER(FZ$320),FZ$320&lt;&gt;0),FZ46*FZ$320/FZ$15,"")</f>
        <v/>
      </c>
      <c r="GA351" s="150" t="str">
        <f aca="false">IF(AND(ISNUMBER(GA46),ISNUMBER(GA$320),GA$320&lt;&gt;0),GA46*GA$320/GA$15,"")</f>
        <v/>
      </c>
      <c r="GB351" s="150" t="str">
        <f aca="false">IF(AND(ISNUMBER(GB46),ISNUMBER(GB$320),GB$320&lt;&gt;0),GB46*GB$320/GB$15,"")</f>
        <v/>
      </c>
      <c r="GC351" s="150" t="str">
        <f aca="false">IF(AND(ISNUMBER(GC46),ISNUMBER(GC$320),GC$320&lt;&gt;0),GC46*GC$320/GC$15,"")</f>
        <v/>
      </c>
      <c r="GD351" s="150" t="str">
        <f aca="false">IF(AND(ISNUMBER(GD46),ISNUMBER(GD$320),GD$320&lt;&gt;0),GD46*GD$320/GD$15,"")</f>
        <v/>
      </c>
      <c r="GE351" s="150" t="str">
        <f aca="false">IF(AND(ISNUMBER(GE46),ISNUMBER(GE$320),GE$320&lt;&gt;0),GE46*GE$320/GE$15,"")</f>
        <v/>
      </c>
      <c r="GF351" s="150" t="str">
        <f aca="false">IF(AND(ISNUMBER(GF46),ISNUMBER(GF$320),GF$320&lt;&gt;0),GF46*GF$320/GF$15,"")</f>
        <v/>
      </c>
      <c r="GG351" s="150" t="str">
        <f aca="false">IF(AND(ISNUMBER(GG46),ISNUMBER(GG$320),GG$320&lt;&gt;0),GG46*GG$320/GG$15,"")</f>
        <v/>
      </c>
      <c r="GH351" s="150" t="str">
        <f aca="false">IF(AND(ISNUMBER(GH46),ISNUMBER(GH$320),GH$320&lt;&gt;0),GH46*GH$320/GH$15,"")</f>
        <v/>
      </c>
      <c r="GI351" s="150" t="str">
        <f aca="false">IF(AND(ISNUMBER(GI46),ISNUMBER(GI$320),GI$320&lt;&gt;0),GI46*GI$320/GI$15,"")</f>
        <v/>
      </c>
      <c r="GJ351" s="150" t="str">
        <f aca="false">IF(AND(ISNUMBER(GJ46),ISNUMBER(GJ$320),GJ$320&lt;&gt;0),GJ46*GJ$320/GJ$15,"")</f>
        <v/>
      </c>
      <c r="GK351" s="150" t="str">
        <f aca="false">IF(AND(ISNUMBER(GK46),ISNUMBER(GK$320),GK$320&lt;&gt;0),GK46*GK$320/GK$15,"")</f>
        <v/>
      </c>
      <c r="GL351" s="150" t="str">
        <f aca="false">IF(AND(ISNUMBER(GL46),ISNUMBER(GL$320),GL$320&lt;&gt;0),GL46*GL$320/GL$15,"")</f>
        <v/>
      </c>
      <c r="GM351" s="150" t="str">
        <f aca="false">IF(AND(ISNUMBER(GM46),ISNUMBER(GM$320),GM$320&lt;&gt;0),GM46*GM$320/GM$15,"")</f>
        <v/>
      </c>
      <c r="GN351" s="150" t="str">
        <f aca="false">IF(AND(ISNUMBER(GN46),ISNUMBER(GN$320),GN$320&lt;&gt;0),GN46*GN$320/GN$15,"")</f>
        <v/>
      </c>
      <c r="GO351" s="150" t="str">
        <f aca="false">IF(AND(ISNUMBER(GO46),ISNUMBER(GO$320),GO$320&lt;&gt;0),GO46*GO$320/GO$15,"")</f>
        <v/>
      </c>
      <c r="GP351" s="150" t="str">
        <f aca="false">IF(AND(ISNUMBER(GP46),ISNUMBER(GP$320),GP$320&lt;&gt;0),GP46*GP$320/GP$15,"")</f>
        <v/>
      </c>
      <c r="GQ351" s="150" t="str">
        <f aca="false">IF(AND(ISNUMBER(GQ46),ISNUMBER(GQ$320),GQ$320&lt;&gt;0),GQ46*GQ$320/GQ$15,"")</f>
        <v/>
      </c>
      <c r="GR351" s="150" t="str">
        <f aca="false">IF(AND(ISNUMBER(GR46),ISNUMBER(GR$320),GR$320&lt;&gt;0),GR46*GR$320/GR$15,"")</f>
        <v/>
      </c>
      <c r="GS351" s="150" t="str">
        <f aca="false">IF(AND(ISNUMBER(GS46),ISNUMBER(GS$320),GS$320&lt;&gt;0),GS46*GS$320/GS$15,"")</f>
        <v/>
      </c>
      <c r="GT351" s="150" t="str">
        <f aca="false">IF(AND(ISNUMBER(GT46),ISNUMBER(GT$320),GT$320&lt;&gt;0),GT46*GT$320/GT$15,"")</f>
        <v/>
      </c>
      <c r="GU351" s="150" t="str">
        <f aca="false">IF(AND(ISNUMBER(GU46),ISNUMBER(GU$320),GU$320&lt;&gt;0),GU46*GU$320/GU$15,"")</f>
        <v/>
      </c>
      <c r="GV351" s="150" t="str">
        <f aca="false">IF(AND(ISNUMBER(GV46),ISNUMBER(GV$320),GV$320&lt;&gt;0),GV46*GV$320/GV$15,"")</f>
        <v/>
      </c>
      <c r="GW351" s="150" t="str">
        <f aca="false">IF(AND(ISNUMBER(GW46),ISNUMBER(GW$320),GW$320&lt;&gt;0),GW46*GW$320/GW$15,"")</f>
        <v/>
      </c>
      <c r="GX351" s="150" t="str">
        <f aca="false">IF(AND(ISNUMBER(GX46),ISNUMBER(GX$320),GX$320&lt;&gt;0),GX46*GX$320/GX$15,"")</f>
        <v/>
      </c>
      <c r="GY351" s="150" t="str">
        <f aca="false">IF(AND(ISNUMBER(GY46),ISNUMBER(GY$320),GY$320&lt;&gt;0),GY46*GY$320/GY$15,"")</f>
        <v/>
      </c>
      <c r="GZ351" s="150" t="str">
        <f aca="false">IF(AND(ISNUMBER(GZ46),ISNUMBER(GZ$320),GZ$320&lt;&gt;0),GZ46*GZ$320/GZ$15,"")</f>
        <v/>
      </c>
      <c r="HA351" s="150" t="str">
        <f aca="false">IF(AND(ISNUMBER(HA46),ISNUMBER(HA$320),HA$320&lt;&gt;0),HA46*HA$320/HA$15,"")</f>
        <v/>
      </c>
      <c r="HB351" s="150" t="str">
        <f aca="false">IF(AND(ISNUMBER(HB46),ISNUMBER(HB$320),HB$320&lt;&gt;0),HB46*HB$320/HB$15,"")</f>
        <v/>
      </c>
      <c r="HC351" s="150" t="str">
        <f aca="false">IF(AND(ISNUMBER(HC46),ISNUMBER(HC$320),HC$320&lt;&gt;0),HC46*HC$320/HC$15,"")</f>
        <v/>
      </c>
      <c r="HD351" s="150" t="str">
        <f aca="false">IF(AND(ISNUMBER(HD46),ISNUMBER(HD$320),HD$320&lt;&gt;0),HD46*HD$320/HD$15,"")</f>
        <v/>
      </c>
      <c r="HE351" s="150" t="str">
        <f aca="false">IF(AND(ISNUMBER(HE46),ISNUMBER(HE$320),HE$320&lt;&gt;0),HE46*HE$320/HE$15,"")</f>
        <v/>
      </c>
      <c r="HF351" s="150" t="str">
        <f aca="false">IF(AND(ISNUMBER(HF46),ISNUMBER(HF$320),HF$320&lt;&gt;0),HF46*HF$320/HF$15,"")</f>
        <v/>
      </c>
      <c r="HG351" s="150" t="str">
        <f aca="false">IF(AND(ISNUMBER(HG46),ISNUMBER(HG$320),HG$320&lt;&gt;0),HG46*HG$320/HG$15,"")</f>
        <v/>
      </c>
      <c r="HH351" s="150" t="str">
        <f aca="false">IF(AND(ISNUMBER(HH46),ISNUMBER(HH$320),HH$320&lt;&gt;0),HH46*HH$320/HH$15,"")</f>
        <v/>
      </c>
      <c r="HI351" s="150" t="str">
        <f aca="false">IF(AND(ISNUMBER(HI46),ISNUMBER(HI$320),HI$320&lt;&gt;0),HI46*HI$320/HI$15,"")</f>
        <v/>
      </c>
      <c r="HJ351" s="150" t="str">
        <f aca="false">IF(AND(ISNUMBER(HJ46),ISNUMBER(HJ$320),HJ$320&lt;&gt;0),HJ46*HJ$320/HJ$15,"")</f>
        <v/>
      </c>
      <c r="HK351" s="150" t="str">
        <f aca="false">IF(AND(ISNUMBER(HK46),ISNUMBER(HK$320),HK$320&lt;&gt;0),HK46*HK$320/HK$15,"")</f>
        <v/>
      </c>
      <c r="HL351" s="150" t="str">
        <f aca="false">IF(AND(ISNUMBER(HL46),ISNUMBER(HL$320),HL$320&lt;&gt;0),HL46*HL$320/HL$15,"")</f>
        <v/>
      </c>
      <c r="HM351" s="150" t="str">
        <f aca="false">IF(AND(ISNUMBER(HM46),ISNUMBER(HM$320),HM$320&lt;&gt;0),HM46*HM$320/HM$15,"")</f>
        <v/>
      </c>
      <c r="HN351" s="150" t="str">
        <f aca="false">IF(AND(ISNUMBER(HN46),ISNUMBER(HN$320),HN$320&lt;&gt;0),HN46*HN$320/HN$15,"")</f>
        <v/>
      </c>
      <c r="HO351" s="150" t="str">
        <f aca="false">IF(AND(ISNUMBER(HO46),ISNUMBER(HO$320),HO$320&lt;&gt;0),HO46*HO$320/HO$15,"")</f>
        <v/>
      </c>
      <c r="HP351" s="150" t="str">
        <f aca="false">IF(AND(ISNUMBER(HP46),ISNUMBER(HP$320),HP$320&lt;&gt;0),HP46*HP$320/HP$15,"")</f>
        <v/>
      </c>
      <c r="HQ351" s="150" t="str">
        <f aca="false">IF(AND(ISNUMBER(HQ46),ISNUMBER(HQ$320),HQ$320&lt;&gt;0),HQ46*HQ$320/HQ$15,"")</f>
        <v/>
      </c>
      <c r="HR351" s="150" t="str">
        <f aca="false">IF(AND(ISNUMBER(HR46),ISNUMBER(HR$320),HR$320&lt;&gt;0),HR46*HR$320/HR$15,"")</f>
        <v/>
      </c>
      <c r="HS351" s="150" t="str">
        <f aca="false">IF(AND(ISNUMBER(HS46),ISNUMBER(HS$320),HS$320&lt;&gt;0),HS46*HS$320/HS$15,"")</f>
        <v/>
      </c>
      <c r="HT351" s="150" t="str">
        <f aca="false">IF(AND(ISNUMBER(HT46),ISNUMBER(HT$320),HT$320&lt;&gt;0),HT46*HT$320/HT$15,"")</f>
        <v/>
      </c>
      <c r="HU351" s="150" t="str">
        <f aca="false">IF(AND(ISNUMBER(HU46),ISNUMBER(HU$320),HU$320&lt;&gt;0),HU46*HU$320/HU$15,"")</f>
        <v/>
      </c>
      <c r="HV351" s="150" t="str">
        <f aca="false">IF(AND(ISNUMBER(HV46),ISNUMBER(HV$320),HV$320&lt;&gt;0),HV46*HV$320/HV$15,"")</f>
        <v/>
      </c>
      <c r="HW351" s="150" t="str">
        <f aca="false">IF(AND(ISNUMBER(HW46),ISNUMBER(HW$320),HW$320&lt;&gt;0),HW46*HW$320/HW$15,"")</f>
        <v/>
      </c>
      <c r="HX351" s="150" t="str">
        <f aca="false">IF(AND(ISNUMBER(HX46),ISNUMBER(HX$320),HX$320&lt;&gt;0),HX46*HX$320/HX$15,"")</f>
        <v/>
      </c>
      <c r="HY351" s="150" t="str">
        <f aca="false">IF(AND(ISNUMBER(HY46),ISNUMBER(HY$320),HY$320&lt;&gt;0),HY46*HY$320/HY$15,"")</f>
        <v/>
      </c>
      <c r="HZ351" s="150" t="str">
        <f aca="false">IF(AND(ISNUMBER(HZ46),ISNUMBER(HZ$320),HZ$320&lt;&gt;0),HZ46*HZ$320/HZ$15,"")</f>
        <v/>
      </c>
      <c r="IA351" s="150" t="str">
        <f aca="false">IF(AND(ISNUMBER(IA46),ISNUMBER(IA$320),IA$320&lt;&gt;0),IA46*IA$320/IA$15,"")</f>
        <v/>
      </c>
      <c r="IB351" s="150" t="str">
        <f aca="false">IF(AND(ISNUMBER(IB46),ISNUMBER(IB$320),IB$320&lt;&gt;0),IB46*IB$320/IB$15,"")</f>
        <v/>
      </c>
      <c r="IC351" s="150" t="str">
        <f aca="false">IF(AND(ISNUMBER(IC46),ISNUMBER(IC$320),IC$320&lt;&gt;0),IC46*IC$320/IC$15,"")</f>
        <v/>
      </c>
      <c r="ID351" s="572" t="str">
        <f aca="false">IF(AND(ISNUMBER(ID46),ISNUMBER(ID$320),ID$320&lt;&gt;0),ID46*ID$320/ID$15,"")</f>
        <v/>
      </c>
      <c r="IE351" s="129"/>
    </row>
    <row r="352" customFormat="false" ht="12.75" hidden="false" customHeight="false" outlineLevel="0" collapsed="false">
      <c r="I352" s="735"/>
      <c r="J352" s="727"/>
      <c r="K352" s="195"/>
      <c r="L352" s="195"/>
      <c r="M352" s="729"/>
      <c r="P352" s="727"/>
      <c r="S352" s="1"/>
      <c r="T352" s="727"/>
      <c r="U352" s="195"/>
      <c r="V352" s="195"/>
      <c r="W352" s="195"/>
      <c r="X352" s="195"/>
      <c r="Y352" s="195"/>
      <c r="Z352" s="195"/>
      <c r="AA352" s="195"/>
      <c r="AB352" s="195"/>
      <c r="AC352" s="195"/>
      <c r="AD352" s="195"/>
      <c r="AE352" s="195"/>
      <c r="AF352" s="195"/>
      <c r="AG352" s="195"/>
      <c r="AH352" s="195"/>
      <c r="AI352" s="195"/>
      <c r="AJ352" s="195"/>
      <c r="AK352" s="195"/>
      <c r="AL352" s="195"/>
      <c r="AM352" s="195"/>
      <c r="AN352" s="532"/>
      <c r="AO352" s="532"/>
      <c r="AP352" s="240"/>
      <c r="AQ352" s="532"/>
      <c r="AR352" s="240"/>
      <c r="AS352" s="240"/>
      <c r="AT352" s="240"/>
      <c r="AU352" s="730"/>
      <c r="AV352" s="730"/>
      <c r="AW352" s="730"/>
      <c r="AX352" s="730"/>
      <c r="AY352" s="468"/>
      <c r="AZ352" s="468"/>
      <c r="BA352" s="240"/>
      <c r="BB352" s="240"/>
      <c r="BC352" s="240"/>
      <c r="BD352" s="240"/>
      <c r="BE352" s="672"/>
      <c r="BF352" s="672"/>
      <c r="BG352" s="672"/>
      <c r="BH352" s="731"/>
      <c r="BI352" s="672"/>
      <c r="BJ352" s="240"/>
      <c r="BK352" s="736"/>
      <c r="BL352" s="737"/>
      <c r="BM352" s="240"/>
      <c r="BN352" s="240"/>
      <c r="BO352" s="240"/>
      <c r="BP352" s="240"/>
      <c r="BQ352" s="240"/>
      <c r="BR352" s="240"/>
      <c r="BS352" s="240"/>
      <c r="BT352" s="240"/>
      <c r="BU352" s="240"/>
      <c r="BV352" s="240"/>
      <c r="BW352" s="240"/>
      <c r="BX352" s="240"/>
      <c r="BY352" s="240"/>
      <c r="BZ352" s="240"/>
      <c r="CA352" s="240"/>
      <c r="CB352" s="672"/>
      <c r="CC352" s="672"/>
      <c r="CD352" s="672"/>
      <c r="CE352" s="672"/>
      <c r="CF352" s="672"/>
      <c r="CG352" s="672"/>
      <c r="CH352" s="240"/>
      <c r="CI352" s="240"/>
      <c r="CJ352" s="240"/>
      <c r="CK352" s="240"/>
      <c r="CL352" s="240"/>
      <c r="CM352" s="240"/>
      <c r="CN352" s="240"/>
      <c r="CO352" s="240"/>
      <c r="CP352" s="240"/>
      <c r="CQ352" s="240"/>
      <c r="CR352" s="240"/>
      <c r="CS352" s="240"/>
      <c r="CT352" s="240"/>
      <c r="CU352" s="240"/>
      <c r="CV352" s="240"/>
      <c r="CW352" s="240"/>
      <c r="CX352" s="240"/>
      <c r="CY352" s="240"/>
      <c r="CZ352" s="240"/>
      <c r="DA352" s="240"/>
      <c r="DB352" s="240"/>
      <c r="DC352" s="240"/>
      <c r="DD352" s="240"/>
      <c r="DE352" s="240"/>
      <c r="DF352" s="240"/>
      <c r="DG352" s="733"/>
      <c r="DH352" s="478"/>
      <c r="DI352" s="195"/>
      <c r="DJ352" s="3"/>
      <c r="DK352" s="478"/>
      <c r="DL352" s="4"/>
      <c r="DM352" s="4"/>
      <c r="DN352" s="4"/>
      <c r="DO352" s="4"/>
      <c r="DP352" s="4"/>
      <c r="DQ352" s="4"/>
      <c r="DS352" s="195"/>
      <c r="DT352" s="195"/>
      <c r="DU352" s="195"/>
      <c r="DV352" s="195"/>
      <c r="DW352" s="195"/>
      <c r="DX352" s="195"/>
      <c r="DY352" s="195"/>
      <c r="DZ352" s="195"/>
      <c r="EA352" s="195"/>
      <c r="EB352" s="195"/>
      <c r="EC352" s="195"/>
      <c r="ED352" s="195"/>
      <c r="EE352" s="195"/>
      <c r="EF352" s="195"/>
      <c r="EG352" s="195"/>
      <c r="EL352" s="1"/>
      <c r="EM352" s="195"/>
      <c r="EN352" s="240"/>
      <c r="EO352" s="240"/>
      <c r="EP352" s="195"/>
      <c r="EQ352" s="240"/>
      <c r="ER352" s="195"/>
      <c r="ES352" s="195"/>
      <c r="ET352" s="195"/>
      <c r="EU352" s="672"/>
      <c r="FJ352" s="571" t="n">
        <v>28</v>
      </c>
      <c r="FK352" s="150" t="str">
        <f aca="false">IF(AND(ISNUMBER(FK47),ISNUMBER(FK$320),FK$320&lt;&gt;0),FK47*FK$320/FK$15,"")</f>
        <v/>
      </c>
      <c r="FL352" s="150" t="str">
        <f aca="false">IF(AND(ISNUMBER(FL47),ISNUMBER(FL$320),FL$320&lt;&gt;0),FL47*FL$320/FL$15,"")</f>
        <v/>
      </c>
      <c r="FM352" s="150" t="n">
        <f aca="false">IF(AND(ISNUMBER(FM47),ISNUMBER(FM$320),FM$320&lt;&gt;0),FM47*FM$320/FM$15,"")</f>
        <v>0.00262666171744035</v>
      </c>
      <c r="FN352" s="150" t="n">
        <f aca="false">IF(AND(ISNUMBER(FN47),ISNUMBER(FN$320),FN$320&lt;&gt;0),FN47*FN$320/FN$15,"")</f>
        <v>0.0022224103296838</v>
      </c>
      <c r="FO352" s="150" t="n">
        <f aca="false">IF(AND(ISNUMBER(FO47),ISNUMBER(FO$320),FO$320&lt;&gt;0),FO47*FO$320/FO$15,"")</f>
        <v>0.00232586881545933</v>
      </c>
      <c r="FP352" s="150" t="n">
        <f aca="false">IF(AND(ISNUMBER(FP47),ISNUMBER(FP$320),FP$320&lt;&gt;0),FP47*FP$320/FP$15,"")</f>
        <v>0.00129794042245891</v>
      </c>
      <c r="FQ352" s="150" t="str">
        <f aca="false">IF(AND(ISNUMBER(FQ47),ISNUMBER(FQ$320),FQ$320&lt;&gt;0),FQ47*FQ$320/FQ$15,"")</f>
        <v/>
      </c>
      <c r="FR352" s="150" t="str">
        <f aca="false">IF(AND(ISNUMBER(FR47),ISNUMBER(FR$320),FR$320&lt;&gt;0),FR47*FR$320/FR$15,"")</f>
        <v/>
      </c>
      <c r="FS352" s="150" t="str">
        <f aca="false">IF(AND(ISNUMBER(FS47),ISNUMBER(FS$320),FS$320&lt;&gt;0),FS47*FS$320/FS$15,"")</f>
        <v/>
      </c>
      <c r="FT352" s="150" t="str">
        <f aca="false">IF(AND(ISNUMBER(FT47),ISNUMBER(FT$320),FT$320&lt;&gt;0),FT47*FT$320/FT$15,"")</f>
        <v/>
      </c>
      <c r="FU352" s="150" t="str">
        <f aca="false">IF(AND(ISNUMBER(FU47),ISNUMBER(FU$320),FU$320&lt;&gt;0),FU47*FU$320/FU$15,"")</f>
        <v/>
      </c>
      <c r="FV352" s="150" t="str">
        <f aca="false">IF(AND(ISNUMBER(FV47),ISNUMBER(FV$320),FV$320&lt;&gt;0),FV47*FV$320/FV$15,"")</f>
        <v/>
      </c>
      <c r="FW352" s="150" t="str">
        <f aca="false">IF(AND(ISNUMBER(FW47),ISNUMBER(FW$320),FW$320&lt;&gt;0),FW47*FW$320/FW$15,"")</f>
        <v/>
      </c>
      <c r="FX352" s="150" t="str">
        <f aca="false">IF(AND(ISNUMBER(FX47),ISNUMBER(FX$320),FX$320&lt;&gt;0),FX47*FX$320/FX$15,"")</f>
        <v/>
      </c>
      <c r="FY352" s="150" t="str">
        <f aca="false">IF(AND(ISNUMBER(FY47),ISNUMBER(FY$320),FY$320&lt;&gt;0),FY47*FY$320/FY$15,"")</f>
        <v/>
      </c>
      <c r="FZ352" s="150" t="str">
        <f aca="false">IF(AND(ISNUMBER(FZ47),ISNUMBER(FZ$320),FZ$320&lt;&gt;0),FZ47*FZ$320/FZ$15,"")</f>
        <v/>
      </c>
      <c r="GA352" s="150" t="str">
        <f aca="false">IF(AND(ISNUMBER(GA47),ISNUMBER(GA$320),GA$320&lt;&gt;0),GA47*GA$320/GA$15,"")</f>
        <v/>
      </c>
      <c r="GB352" s="150" t="str">
        <f aca="false">IF(AND(ISNUMBER(GB47),ISNUMBER(GB$320),GB$320&lt;&gt;0),GB47*GB$320/GB$15,"")</f>
        <v/>
      </c>
      <c r="GC352" s="150" t="str">
        <f aca="false">IF(AND(ISNUMBER(GC47),ISNUMBER(GC$320),GC$320&lt;&gt;0),GC47*GC$320/GC$15,"")</f>
        <v/>
      </c>
      <c r="GD352" s="150" t="str">
        <f aca="false">IF(AND(ISNUMBER(GD47),ISNUMBER(GD$320),GD$320&lt;&gt;0),GD47*GD$320/GD$15,"")</f>
        <v/>
      </c>
      <c r="GE352" s="150" t="str">
        <f aca="false">IF(AND(ISNUMBER(GE47),ISNUMBER(GE$320),GE$320&lt;&gt;0),GE47*GE$320/GE$15,"")</f>
        <v/>
      </c>
      <c r="GF352" s="150" t="str">
        <f aca="false">IF(AND(ISNUMBER(GF47),ISNUMBER(GF$320),GF$320&lt;&gt;0),GF47*GF$320/GF$15,"")</f>
        <v/>
      </c>
      <c r="GG352" s="150" t="str">
        <f aca="false">IF(AND(ISNUMBER(GG47),ISNUMBER(GG$320),GG$320&lt;&gt;0),GG47*GG$320/GG$15,"")</f>
        <v/>
      </c>
      <c r="GH352" s="150" t="str">
        <f aca="false">IF(AND(ISNUMBER(GH47),ISNUMBER(GH$320),GH$320&lt;&gt;0),GH47*GH$320/GH$15,"")</f>
        <v/>
      </c>
      <c r="GI352" s="150" t="str">
        <f aca="false">IF(AND(ISNUMBER(GI47),ISNUMBER(GI$320),GI$320&lt;&gt;0),GI47*GI$320/GI$15,"")</f>
        <v/>
      </c>
      <c r="GJ352" s="150" t="str">
        <f aca="false">IF(AND(ISNUMBER(GJ47),ISNUMBER(GJ$320),GJ$320&lt;&gt;0),GJ47*GJ$320/GJ$15,"")</f>
        <v/>
      </c>
      <c r="GK352" s="150" t="str">
        <f aca="false">IF(AND(ISNUMBER(GK47),ISNUMBER(GK$320),GK$320&lt;&gt;0),GK47*GK$320/GK$15,"")</f>
        <v/>
      </c>
      <c r="GL352" s="150" t="str">
        <f aca="false">IF(AND(ISNUMBER(GL47),ISNUMBER(GL$320),GL$320&lt;&gt;0),GL47*GL$320/GL$15,"")</f>
        <v/>
      </c>
      <c r="GM352" s="150" t="str">
        <f aca="false">IF(AND(ISNUMBER(GM47),ISNUMBER(GM$320),GM$320&lt;&gt;0),GM47*GM$320/GM$15,"")</f>
        <v/>
      </c>
      <c r="GN352" s="150" t="str">
        <f aca="false">IF(AND(ISNUMBER(GN47),ISNUMBER(GN$320),GN$320&lt;&gt;0),GN47*GN$320/GN$15,"")</f>
        <v/>
      </c>
      <c r="GO352" s="150" t="str">
        <f aca="false">IF(AND(ISNUMBER(GO47),ISNUMBER(GO$320),GO$320&lt;&gt;0),GO47*GO$320/GO$15,"")</f>
        <v/>
      </c>
      <c r="GP352" s="150" t="str">
        <f aca="false">IF(AND(ISNUMBER(GP47),ISNUMBER(GP$320),GP$320&lt;&gt;0),GP47*GP$320/GP$15,"")</f>
        <v/>
      </c>
      <c r="GQ352" s="150" t="str">
        <f aca="false">IF(AND(ISNUMBER(GQ47),ISNUMBER(GQ$320),GQ$320&lt;&gt;0),GQ47*GQ$320/GQ$15,"")</f>
        <v/>
      </c>
      <c r="GR352" s="150" t="str">
        <f aca="false">IF(AND(ISNUMBER(GR47),ISNUMBER(GR$320),GR$320&lt;&gt;0),GR47*GR$320/GR$15,"")</f>
        <v/>
      </c>
      <c r="GS352" s="150" t="str">
        <f aca="false">IF(AND(ISNUMBER(GS47),ISNUMBER(GS$320),GS$320&lt;&gt;0),GS47*GS$320/GS$15,"")</f>
        <v/>
      </c>
      <c r="GT352" s="150" t="str">
        <f aca="false">IF(AND(ISNUMBER(GT47),ISNUMBER(GT$320),GT$320&lt;&gt;0),GT47*GT$320/GT$15,"")</f>
        <v/>
      </c>
      <c r="GU352" s="150" t="str">
        <f aca="false">IF(AND(ISNUMBER(GU47),ISNUMBER(GU$320),GU$320&lt;&gt;0),GU47*GU$320/GU$15,"")</f>
        <v/>
      </c>
      <c r="GV352" s="150" t="str">
        <f aca="false">IF(AND(ISNUMBER(GV47),ISNUMBER(GV$320),GV$320&lt;&gt;0),GV47*GV$320/GV$15,"")</f>
        <v/>
      </c>
      <c r="GW352" s="150" t="str">
        <f aca="false">IF(AND(ISNUMBER(GW47),ISNUMBER(GW$320),GW$320&lt;&gt;0),GW47*GW$320/GW$15,"")</f>
        <v/>
      </c>
      <c r="GX352" s="150" t="str">
        <f aca="false">IF(AND(ISNUMBER(GX47),ISNUMBER(GX$320),GX$320&lt;&gt;0),GX47*GX$320/GX$15,"")</f>
        <v/>
      </c>
      <c r="GY352" s="150" t="str">
        <f aca="false">IF(AND(ISNUMBER(GY47),ISNUMBER(GY$320),GY$320&lt;&gt;0),GY47*GY$320/GY$15,"")</f>
        <v/>
      </c>
      <c r="GZ352" s="150" t="str">
        <f aca="false">IF(AND(ISNUMBER(GZ47),ISNUMBER(GZ$320),GZ$320&lt;&gt;0),GZ47*GZ$320/GZ$15,"")</f>
        <v/>
      </c>
      <c r="HA352" s="150" t="str">
        <f aca="false">IF(AND(ISNUMBER(HA47),ISNUMBER(HA$320),HA$320&lt;&gt;0),HA47*HA$320/HA$15,"")</f>
        <v/>
      </c>
      <c r="HB352" s="150" t="str">
        <f aca="false">IF(AND(ISNUMBER(HB47),ISNUMBER(HB$320),HB$320&lt;&gt;0),HB47*HB$320/HB$15,"")</f>
        <v/>
      </c>
      <c r="HC352" s="150" t="str">
        <f aca="false">IF(AND(ISNUMBER(HC47),ISNUMBER(HC$320),HC$320&lt;&gt;0),HC47*HC$320/HC$15,"")</f>
        <v/>
      </c>
      <c r="HD352" s="150" t="str">
        <f aca="false">IF(AND(ISNUMBER(HD47),ISNUMBER(HD$320),HD$320&lt;&gt;0),HD47*HD$320/HD$15,"")</f>
        <v/>
      </c>
      <c r="HE352" s="150" t="str">
        <f aca="false">IF(AND(ISNUMBER(HE47),ISNUMBER(HE$320),HE$320&lt;&gt;0),HE47*HE$320/HE$15,"")</f>
        <v/>
      </c>
      <c r="HF352" s="150" t="str">
        <f aca="false">IF(AND(ISNUMBER(HF47),ISNUMBER(HF$320),HF$320&lt;&gt;0),HF47*HF$320/HF$15,"")</f>
        <v/>
      </c>
      <c r="HG352" s="150" t="str">
        <f aca="false">IF(AND(ISNUMBER(HG47),ISNUMBER(HG$320),HG$320&lt;&gt;0),HG47*HG$320/HG$15,"")</f>
        <v/>
      </c>
      <c r="HH352" s="150" t="str">
        <f aca="false">IF(AND(ISNUMBER(HH47),ISNUMBER(HH$320),HH$320&lt;&gt;0),HH47*HH$320/HH$15,"")</f>
        <v/>
      </c>
      <c r="HI352" s="150" t="str">
        <f aca="false">IF(AND(ISNUMBER(HI47),ISNUMBER(HI$320),HI$320&lt;&gt;0),HI47*HI$320/HI$15,"")</f>
        <v/>
      </c>
      <c r="HJ352" s="150" t="str">
        <f aca="false">IF(AND(ISNUMBER(HJ47),ISNUMBER(HJ$320),HJ$320&lt;&gt;0),HJ47*HJ$320/HJ$15,"")</f>
        <v/>
      </c>
      <c r="HK352" s="150" t="str">
        <f aca="false">IF(AND(ISNUMBER(HK47),ISNUMBER(HK$320),HK$320&lt;&gt;0),HK47*HK$320/HK$15,"")</f>
        <v/>
      </c>
      <c r="HL352" s="150" t="str">
        <f aca="false">IF(AND(ISNUMBER(HL47),ISNUMBER(HL$320),HL$320&lt;&gt;0),HL47*HL$320/HL$15,"")</f>
        <v/>
      </c>
      <c r="HM352" s="150" t="str">
        <f aca="false">IF(AND(ISNUMBER(HM47),ISNUMBER(HM$320),HM$320&lt;&gt;0),HM47*HM$320/HM$15,"")</f>
        <v/>
      </c>
      <c r="HN352" s="150" t="str">
        <f aca="false">IF(AND(ISNUMBER(HN47),ISNUMBER(HN$320),HN$320&lt;&gt;0),HN47*HN$320/HN$15,"")</f>
        <v/>
      </c>
      <c r="HO352" s="150" t="str">
        <f aca="false">IF(AND(ISNUMBER(HO47),ISNUMBER(HO$320),HO$320&lt;&gt;0),HO47*HO$320/HO$15,"")</f>
        <v/>
      </c>
      <c r="HP352" s="150" t="str">
        <f aca="false">IF(AND(ISNUMBER(HP47),ISNUMBER(HP$320),HP$320&lt;&gt;0),HP47*HP$320/HP$15,"")</f>
        <v/>
      </c>
      <c r="HQ352" s="150" t="str">
        <f aca="false">IF(AND(ISNUMBER(HQ47),ISNUMBER(HQ$320),HQ$320&lt;&gt;0),HQ47*HQ$320/HQ$15,"")</f>
        <v/>
      </c>
      <c r="HR352" s="150" t="str">
        <f aca="false">IF(AND(ISNUMBER(HR47),ISNUMBER(HR$320),HR$320&lt;&gt;0),HR47*HR$320/HR$15,"")</f>
        <v/>
      </c>
      <c r="HS352" s="150" t="str">
        <f aca="false">IF(AND(ISNUMBER(HS47),ISNUMBER(HS$320),HS$320&lt;&gt;0),HS47*HS$320/HS$15,"")</f>
        <v/>
      </c>
      <c r="HT352" s="150" t="str">
        <f aca="false">IF(AND(ISNUMBER(HT47),ISNUMBER(HT$320),HT$320&lt;&gt;0),HT47*HT$320/HT$15,"")</f>
        <v/>
      </c>
      <c r="HU352" s="150" t="str">
        <f aca="false">IF(AND(ISNUMBER(HU47),ISNUMBER(HU$320),HU$320&lt;&gt;0),HU47*HU$320/HU$15,"")</f>
        <v/>
      </c>
      <c r="HV352" s="150" t="str">
        <f aca="false">IF(AND(ISNUMBER(HV47),ISNUMBER(HV$320),HV$320&lt;&gt;0),HV47*HV$320/HV$15,"")</f>
        <v/>
      </c>
      <c r="HW352" s="150" t="str">
        <f aca="false">IF(AND(ISNUMBER(HW47),ISNUMBER(HW$320),HW$320&lt;&gt;0),HW47*HW$320/HW$15,"")</f>
        <v/>
      </c>
      <c r="HX352" s="150" t="str">
        <f aca="false">IF(AND(ISNUMBER(HX47),ISNUMBER(HX$320),HX$320&lt;&gt;0),HX47*HX$320/HX$15,"")</f>
        <v/>
      </c>
      <c r="HY352" s="150" t="str">
        <f aca="false">IF(AND(ISNUMBER(HY47),ISNUMBER(HY$320),HY$320&lt;&gt;0),HY47*HY$320/HY$15,"")</f>
        <v/>
      </c>
      <c r="HZ352" s="150" t="str">
        <f aca="false">IF(AND(ISNUMBER(HZ47),ISNUMBER(HZ$320),HZ$320&lt;&gt;0),HZ47*HZ$320/HZ$15,"")</f>
        <v/>
      </c>
      <c r="IA352" s="150" t="str">
        <f aca="false">IF(AND(ISNUMBER(IA47),ISNUMBER(IA$320),IA$320&lt;&gt;0),IA47*IA$320/IA$15,"")</f>
        <v/>
      </c>
      <c r="IB352" s="150" t="str">
        <f aca="false">IF(AND(ISNUMBER(IB47),ISNUMBER(IB$320),IB$320&lt;&gt;0),IB47*IB$320/IB$15,"")</f>
        <v/>
      </c>
      <c r="IC352" s="150" t="str">
        <f aca="false">IF(AND(ISNUMBER(IC47),ISNUMBER(IC$320),IC$320&lt;&gt;0),IC47*IC$320/IC$15,"")</f>
        <v/>
      </c>
      <c r="ID352" s="572" t="str">
        <f aca="false">IF(AND(ISNUMBER(ID47),ISNUMBER(ID$320),ID$320&lt;&gt;0),ID47*ID$320/ID$15,"")</f>
        <v/>
      </c>
      <c r="IE352" s="129"/>
    </row>
    <row r="353" customFormat="false" ht="12.75" hidden="false" customHeight="false" outlineLevel="0" collapsed="false">
      <c r="I353" s="735"/>
      <c r="J353" s="727"/>
      <c r="K353" s="195"/>
      <c r="L353" s="195"/>
      <c r="M353" s="729"/>
      <c r="P353" s="727"/>
      <c r="S353" s="1"/>
      <c r="T353" s="727"/>
      <c r="U353" s="195"/>
      <c r="V353" s="195"/>
      <c r="W353" s="195"/>
      <c r="X353" s="195"/>
      <c r="Y353" s="195"/>
      <c r="Z353" s="195"/>
      <c r="AA353" s="195"/>
      <c r="AB353" s="195"/>
      <c r="AC353" s="195"/>
      <c r="AD353" s="195"/>
      <c r="AE353" s="195"/>
      <c r="AF353" s="195"/>
      <c r="AG353" s="195"/>
      <c r="AH353" s="195"/>
      <c r="AI353" s="195"/>
      <c r="AJ353" s="195"/>
      <c r="AK353" s="195"/>
      <c r="AL353" s="195"/>
      <c r="AM353" s="195"/>
      <c r="AN353" s="532"/>
      <c r="AO353" s="532"/>
      <c r="AP353" s="240"/>
      <c r="AQ353" s="532"/>
      <c r="AR353" s="240"/>
      <c r="AS353" s="240"/>
      <c r="AT353" s="240"/>
      <c r="AU353" s="730"/>
      <c r="AV353" s="730"/>
      <c r="AW353" s="730"/>
      <c r="AX353" s="730"/>
      <c r="AY353" s="468"/>
      <c r="AZ353" s="468"/>
      <c r="BA353" s="240"/>
      <c r="BB353" s="240"/>
      <c r="BC353" s="240"/>
      <c r="BD353" s="240"/>
      <c r="BE353" s="672"/>
      <c r="BF353" s="672"/>
      <c r="BG353" s="672"/>
      <c r="BH353" s="731"/>
      <c r="BI353" s="672"/>
      <c r="BJ353" s="240"/>
      <c r="BK353" s="736"/>
      <c r="BL353" s="737"/>
      <c r="BM353" s="240"/>
      <c r="BN353" s="240"/>
      <c r="BO353" s="240"/>
      <c r="BP353" s="240"/>
      <c r="BQ353" s="240"/>
      <c r="BR353" s="240"/>
      <c r="BS353" s="240"/>
      <c r="BT353" s="240"/>
      <c r="BU353" s="240"/>
      <c r="BV353" s="240"/>
      <c r="BW353" s="240"/>
      <c r="BX353" s="240"/>
      <c r="BY353" s="240"/>
      <c r="BZ353" s="240"/>
      <c r="CA353" s="240"/>
      <c r="CB353" s="672"/>
      <c r="CC353" s="672"/>
      <c r="CD353" s="672"/>
      <c r="CE353" s="672"/>
      <c r="CF353" s="672"/>
      <c r="CG353" s="672"/>
      <c r="CH353" s="240"/>
      <c r="CI353" s="240"/>
      <c r="CJ353" s="240"/>
      <c r="CK353" s="240"/>
      <c r="CL353" s="240"/>
      <c r="CM353" s="240"/>
      <c r="CN353" s="240"/>
      <c r="CO353" s="240"/>
      <c r="CP353" s="240"/>
      <c r="CQ353" s="240"/>
      <c r="CR353" s="240"/>
      <c r="CS353" s="240"/>
      <c r="CT353" s="240"/>
      <c r="CU353" s="240"/>
      <c r="CV353" s="240"/>
      <c r="CW353" s="240"/>
      <c r="CX353" s="240"/>
      <c r="CY353" s="240"/>
      <c r="CZ353" s="240"/>
      <c r="DA353" s="240"/>
      <c r="DB353" s="240"/>
      <c r="DC353" s="240"/>
      <c r="DD353" s="240"/>
      <c r="DE353" s="240"/>
      <c r="DF353" s="240"/>
      <c r="DG353" s="733"/>
      <c r="DH353" s="478"/>
      <c r="DI353" s="195"/>
      <c r="DJ353" s="3"/>
      <c r="DK353" s="478"/>
      <c r="DL353" s="4"/>
      <c r="DM353" s="4"/>
      <c r="DN353" s="4"/>
      <c r="DO353" s="4"/>
      <c r="DP353" s="4"/>
      <c r="DQ353" s="4"/>
      <c r="DS353" s="195"/>
      <c r="DT353" s="195"/>
      <c r="DU353" s="195"/>
      <c r="DV353" s="195"/>
      <c r="DW353" s="195"/>
      <c r="DX353" s="195"/>
      <c r="DY353" s="195"/>
      <c r="DZ353" s="195"/>
      <c r="EA353" s="195"/>
      <c r="EB353" s="195"/>
      <c r="EC353" s="195"/>
      <c r="ED353" s="195"/>
      <c r="EE353" s="195"/>
      <c r="EF353" s="195"/>
      <c r="EG353" s="195"/>
      <c r="EL353" s="1"/>
      <c r="EM353" s="195"/>
      <c r="EN353" s="240"/>
      <c r="EO353" s="240"/>
      <c r="EP353" s="195"/>
      <c r="EQ353" s="240"/>
      <c r="ER353" s="195"/>
      <c r="ES353" s="195"/>
      <c r="ET353" s="195"/>
      <c r="EU353" s="672"/>
      <c r="FJ353" s="571" t="n">
        <v>29</v>
      </c>
      <c r="FK353" s="150" t="str">
        <f aca="false">IF(AND(ISNUMBER(FK48),ISNUMBER(FK$320),FK$320&lt;&gt;0),FK48*FK$320/FK$15,"")</f>
        <v/>
      </c>
      <c r="FL353" s="150" t="str">
        <f aca="false">IF(AND(ISNUMBER(FL48),ISNUMBER(FL$320),FL$320&lt;&gt;0),FL48*FL$320/FL$15,"")</f>
        <v/>
      </c>
      <c r="FM353" s="150" t="n">
        <f aca="false">IF(AND(ISNUMBER(FM48),ISNUMBER(FM$320),FM$320&lt;&gt;0),FM48*FM$320/FM$15,"")</f>
        <v>0.00261491073208366</v>
      </c>
      <c r="FN353" s="150" t="n">
        <f aca="false">IF(AND(ISNUMBER(FN48),ISNUMBER(FN$320),FN$320&lt;&gt;0),FN48*FN$320/FN$15,"")</f>
        <v>0.002210781707167</v>
      </c>
      <c r="FO353" s="150" t="n">
        <f aca="false">IF(AND(ISNUMBER(FO48),ISNUMBER(FO$320),FO$320&lt;&gt;0),FO48*FO$320/FO$15,"")</f>
        <v>0.00231163494113417</v>
      </c>
      <c r="FP353" s="150" t="n">
        <f aca="false">IF(AND(ISNUMBER(FP48),ISNUMBER(FP$320),FP$320&lt;&gt;0),FP48*FP$320/FP$15,"")</f>
        <v>0.00128865019056565</v>
      </c>
      <c r="FQ353" s="150" t="str">
        <f aca="false">IF(AND(ISNUMBER(FQ48),ISNUMBER(FQ$320),FQ$320&lt;&gt;0),FQ48*FQ$320/FQ$15,"")</f>
        <v/>
      </c>
      <c r="FR353" s="150" t="str">
        <f aca="false">IF(AND(ISNUMBER(FR48),ISNUMBER(FR$320),FR$320&lt;&gt;0),FR48*FR$320/FR$15,"")</f>
        <v/>
      </c>
      <c r="FS353" s="150" t="str">
        <f aca="false">IF(AND(ISNUMBER(FS48),ISNUMBER(FS$320),FS$320&lt;&gt;0),FS48*FS$320/FS$15,"")</f>
        <v/>
      </c>
      <c r="FT353" s="150" t="str">
        <f aca="false">IF(AND(ISNUMBER(FT48),ISNUMBER(FT$320),FT$320&lt;&gt;0),FT48*FT$320/FT$15,"")</f>
        <v/>
      </c>
      <c r="FU353" s="150" t="str">
        <f aca="false">IF(AND(ISNUMBER(FU48),ISNUMBER(FU$320),FU$320&lt;&gt;0),FU48*FU$320/FU$15,"")</f>
        <v/>
      </c>
      <c r="FV353" s="150" t="str">
        <f aca="false">IF(AND(ISNUMBER(FV48),ISNUMBER(FV$320),FV$320&lt;&gt;0),FV48*FV$320/FV$15,"")</f>
        <v/>
      </c>
      <c r="FW353" s="150" t="str">
        <f aca="false">IF(AND(ISNUMBER(FW48),ISNUMBER(FW$320),FW$320&lt;&gt;0),FW48*FW$320/FW$15,"")</f>
        <v/>
      </c>
      <c r="FX353" s="150" t="str">
        <f aca="false">IF(AND(ISNUMBER(FX48),ISNUMBER(FX$320),FX$320&lt;&gt;0),FX48*FX$320/FX$15,"")</f>
        <v/>
      </c>
      <c r="FY353" s="150" t="str">
        <f aca="false">IF(AND(ISNUMBER(FY48),ISNUMBER(FY$320),FY$320&lt;&gt;0),FY48*FY$320/FY$15,"")</f>
        <v/>
      </c>
      <c r="FZ353" s="150" t="str">
        <f aca="false">IF(AND(ISNUMBER(FZ48),ISNUMBER(FZ$320),FZ$320&lt;&gt;0),FZ48*FZ$320/FZ$15,"")</f>
        <v/>
      </c>
      <c r="GA353" s="150" t="str">
        <f aca="false">IF(AND(ISNUMBER(GA48),ISNUMBER(GA$320),GA$320&lt;&gt;0),GA48*GA$320/GA$15,"")</f>
        <v/>
      </c>
      <c r="GB353" s="150" t="str">
        <f aca="false">IF(AND(ISNUMBER(GB48),ISNUMBER(GB$320),GB$320&lt;&gt;0),GB48*GB$320/GB$15,"")</f>
        <v/>
      </c>
      <c r="GC353" s="150" t="str">
        <f aca="false">IF(AND(ISNUMBER(GC48),ISNUMBER(GC$320),GC$320&lt;&gt;0),GC48*GC$320/GC$15,"")</f>
        <v/>
      </c>
      <c r="GD353" s="150" t="str">
        <f aca="false">IF(AND(ISNUMBER(GD48),ISNUMBER(GD$320),GD$320&lt;&gt;0),GD48*GD$320/GD$15,"")</f>
        <v/>
      </c>
      <c r="GE353" s="150" t="str">
        <f aca="false">IF(AND(ISNUMBER(GE48),ISNUMBER(GE$320),GE$320&lt;&gt;0),GE48*GE$320/GE$15,"")</f>
        <v/>
      </c>
      <c r="GF353" s="150" t="str">
        <f aca="false">IF(AND(ISNUMBER(GF48),ISNUMBER(GF$320),GF$320&lt;&gt;0),GF48*GF$320/GF$15,"")</f>
        <v/>
      </c>
      <c r="GG353" s="150" t="str">
        <f aca="false">IF(AND(ISNUMBER(GG48),ISNUMBER(GG$320),GG$320&lt;&gt;0),GG48*GG$320/GG$15,"")</f>
        <v/>
      </c>
      <c r="GH353" s="150" t="str">
        <f aca="false">IF(AND(ISNUMBER(GH48),ISNUMBER(GH$320),GH$320&lt;&gt;0),GH48*GH$320/GH$15,"")</f>
        <v/>
      </c>
      <c r="GI353" s="150" t="str">
        <f aca="false">IF(AND(ISNUMBER(GI48),ISNUMBER(GI$320),GI$320&lt;&gt;0),GI48*GI$320/GI$15,"")</f>
        <v/>
      </c>
      <c r="GJ353" s="150" t="str">
        <f aca="false">IF(AND(ISNUMBER(GJ48),ISNUMBER(GJ$320),GJ$320&lt;&gt;0),GJ48*GJ$320/GJ$15,"")</f>
        <v/>
      </c>
      <c r="GK353" s="150" t="str">
        <f aca="false">IF(AND(ISNUMBER(GK48),ISNUMBER(GK$320),GK$320&lt;&gt;0),GK48*GK$320/GK$15,"")</f>
        <v/>
      </c>
      <c r="GL353" s="150" t="str">
        <f aca="false">IF(AND(ISNUMBER(GL48),ISNUMBER(GL$320),GL$320&lt;&gt;0),GL48*GL$320/GL$15,"")</f>
        <v/>
      </c>
      <c r="GM353" s="150" t="str">
        <f aca="false">IF(AND(ISNUMBER(GM48),ISNUMBER(GM$320),GM$320&lt;&gt;0),GM48*GM$320/GM$15,"")</f>
        <v/>
      </c>
      <c r="GN353" s="150" t="str">
        <f aca="false">IF(AND(ISNUMBER(GN48),ISNUMBER(GN$320),GN$320&lt;&gt;0),GN48*GN$320/GN$15,"")</f>
        <v/>
      </c>
      <c r="GO353" s="150" t="str">
        <f aca="false">IF(AND(ISNUMBER(GO48),ISNUMBER(GO$320),GO$320&lt;&gt;0),GO48*GO$320/GO$15,"")</f>
        <v/>
      </c>
      <c r="GP353" s="150" t="str">
        <f aca="false">IF(AND(ISNUMBER(GP48),ISNUMBER(GP$320),GP$320&lt;&gt;0),GP48*GP$320/GP$15,"")</f>
        <v/>
      </c>
      <c r="GQ353" s="150" t="str">
        <f aca="false">IF(AND(ISNUMBER(GQ48),ISNUMBER(GQ$320),GQ$320&lt;&gt;0),GQ48*GQ$320/GQ$15,"")</f>
        <v/>
      </c>
      <c r="GR353" s="150" t="str">
        <f aca="false">IF(AND(ISNUMBER(GR48),ISNUMBER(GR$320),GR$320&lt;&gt;0),GR48*GR$320/GR$15,"")</f>
        <v/>
      </c>
      <c r="GS353" s="150" t="str">
        <f aca="false">IF(AND(ISNUMBER(GS48),ISNUMBER(GS$320),GS$320&lt;&gt;0),GS48*GS$320/GS$15,"")</f>
        <v/>
      </c>
      <c r="GT353" s="150" t="str">
        <f aca="false">IF(AND(ISNUMBER(GT48),ISNUMBER(GT$320),GT$320&lt;&gt;0),GT48*GT$320/GT$15,"")</f>
        <v/>
      </c>
      <c r="GU353" s="150" t="str">
        <f aca="false">IF(AND(ISNUMBER(GU48),ISNUMBER(GU$320),GU$320&lt;&gt;0),GU48*GU$320/GU$15,"")</f>
        <v/>
      </c>
      <c r="GV353" s="150" t="str">
        <f aca="false">IF(AND(ISNUMBER(GV48),ISNUMBER(GV$320),GV$320&lt;&gt;0),GV48*GV$320/GV$15,"")</f>
        <v/>
      </c>
      <c r="GW353" s="150" t="str">
        <f aca="false">IF(AND(ISNUMBER(GW48),ISNUMBER(GW$320),GW$320&lt;&gt;0),GW48*GW$320/GW$15,"")</f>
        <v/>
      </c>
      <c r="GX353" s="150" t="str">
        <f aca="false">IF(AND(ISNUMBER(GX48),ISNUMBER(GX$320),GX$320&lt;&gt;0),GX48*GX$320/GX$15,"")</f>
        <v/>
      </c>
      <c r="GY353" s="150" t="str">
        <f aca="false">IF(AND(ISNUMBER(GY48),ISNUMBER(GY$320),GY$320&lt;&gt;0),GY48*GY$320/GY$15,"")</f>
        <v/>
      </c>
      <c r="GZ353" s="150" t="str">
        <f aca="false">IF(AND(ISNUMBER(GZ48),ISNUMBER(GZ$320),GZ$320&lt;&gt;0),GZ48*GZ$320/GZ$15,"")</f>
        <v/>
      </c>
      <c r="HA353" s="150" t="str">
        <f aca="false">IF(AND(ISNUMBER(HA48),ISNUMBER(HA$320),HA$320&lt;&gt;0),HA48*HA$320/HA$15,"")</f>
        <v/>
      </c>
      <c r="HB353" s="150" t="str">
        <f aca="false">IF(AND(ISNUMBER(HB48),ISNUMBER(HB$320),HB$320&lt;&gt;0),HB48*HB$320/HB$15,"")</f>
        <v/>
      </c>
      <c r="HC353" s="150" t="str">
        <f aca="false">IF(AND(ISNUMBER(HC48),ISNUMBER(HC$320),HC$320&lt;&gt;0),HC48*HC$320/HC$15,"")</f>
        <v/>
      </c>
      <c r="HD353" s="150" t="str">
        <f aca="false">IF(AND(ISNUMBER(HD48),ISNUMBER(HD$320),HD$320&lt;&gt;0),HD48*HD$320/HD$15,"")</f>
        <v/>
      </c>
      <c r="HE353" s="150" t="str">
        <f aca="false">IF(AND(ISNUMBER(HE48),ISNUMBER(HE$320),HE$320&lt;&gt;0),HE48*HE$320/HE$15,"")</f>
        <v/>
      </c>
      <c r="HF353" s="150" t="str">
        <f aca="false">IF(AND(ISNUMBER(HF48),ISNUMBER(HF$320),HF$320&lt;&gt;0),HF48*HF$320/HF$15,"")</f>
        <v/>
      </c>
      <c r="HG353" s="150" t="str">
        <f aca="false">IF(AND(ISNUMBER(HG48),ISNUMBER(HG$320),HG$320&lt;&gt;0),HG48*HG$320/HG$15,"")</f>
        <v/>
      </c>
      <c r="HH353" s="150" t="str">
        <f aca="false">IF(AND(ISNUMBER(HH48),ISNUMBER(HH$320),HH$320&lt;&gt;0),HH48*HH$320/HH$15,"")</f>
        <v/>
      </c>
      <c r="HI353" s="150" t="str">
        <f aca="false">IF(AND(ISNUMBER(HI48),ISNUMBER(HI$320),HI$320&lt;&gt;0),HI48*HI$320/HI$15,"")</f>
        <v/>
      </c>
      <c r="HJ353" s="150" t="str">
        <f aca="false">IF(AND(ISNUMBER(HJ48),ISNUMBER(HJ$320),HJ$320&lt;&gt;0),HJ48*HJ$320/HJ$15,"")</f>
        <v/>
      </c>
      <c r="HK353" s="150" t="str">
        <f aca="false">IF(AND(ISNUMBER(HK48),ISNUMBER(HK$320),HK$320&lt;&gt;0),HK48*HK$320/HK$15,"")</f>
        <v/>
      </c>
      <c r="HL353" s="150" t="str">
        <f aca="false">IF(AND(ISNUMBER(HL48),ISNUMBER(HL$320),HL$320&lt;&gt;0),HL48*HL$320/HL$15,"")</f>
        <v/>
      </c>
      <c r="HM353" s="150" t="str">
        <f aca="false">IF(AND(ISNUMBER(HM48),ISNUMBER(HM$320),HM$320&lt;&gt;0),HM48*HM$320/HM$15,"")</f>
        <v/>
      </c>
      <c r="HN353" s="150" t="str">
        <f aca="false">IF(AND(ISNUMBER(HN48),ISNUMBER(HN$320),HN$320&lt;&gt;0),HN48*HN$320/HN$15,"")</f>
        <v/>
      </c>
      <c r="HO353" s="150" t="str">
        <f aca="false">IF(AND(ISNUMBER(HO48),ISNUMBER(HO$320),HO$320&lt;&gt;0),HO48*HO$320/HO$15,"")</f>
        <v/>
      </c>
      <c r="HP353" s="150" t="str">
        <f aca="false">IF(AND(ISNUMBER(HP48),ISNUMBER(HP$320),HP$320&lt;&gt;0),HP48*HP$320/HP$15,"")</f>
        <v/>
      </c>
      <c r="HQ353" s="150" t="str">
        <f aca="false">IF(AND(ISNUMBER(HQ48),ISNUMBER(HQ$320),HQ$320&lt;&gt;0),HQ48*HQ$320/HQ$15,"")</f>
        <v/>
      </c>
      <c r="HR353" s="150" t="str">
        <f aca="false">IF(AND(ISNUMBER(HR48),ISNUMBER(HR$320),HR$320&lt;&gt;0),HR48*HR$320/HR$15,"")</f>
        <v/>
      </c>
      <c r="HS353" s="150" t="str">
        <f aca="false">IF(AND(ISNUMBER(HS48),ISNUMBER(HS$320),HS$320&lt;&gt;0),HS48*HS$320/HS$15,"")</f>
        <v/>
      </c>
      <c r="HT353" s="150" t="str">
        <f aca="false">IF(AND(ISNUMBER(HT48),ISNUMBER(HT$320),HT$320&lt;&gt;0),HT48*HT$320/HT$15,"")</f>
        <v/>
      </c>
      <c r="HU353" s="150" t="str">
        <f aca="false">IF(AND(ISNUMBER(HU48),ISNUMBER(HU$320),HU$320&lt;&gt;0),HU48*HU$320/HU$15,"")</f>
        <v/>
      </c>
      <c r="HV353" s="150" t="str">
        <f aca="false">IF(AND(ISNUMBER(HV48),ISNUMBER(HV$320),HV$320&lt;&gt;0),HV48*HV$320/HV$15,"")</f>
        <v/>
      </c>
      <c r="HW353" s="150" t="str">
        <f aca="false">IF(AND(ISNUMBER(HW48),ISNUMBER(HW$320),HW$320&lt;&gt;0),HW48*HW$320/HW$15,"")</f>
        <v/>
      </c>
      <c r="HX353" s="150" t="str">
        <f aca="false">IF(AND(ISNUMBER(HX48),ISNUMBER(HX$320),HX$320&lt;&gt;0),HX48*HX$320/HX$15,"")</f>
        <v/>
      </c>
      <c r="HY353" s="150" t="str">
        <f aca="false">IF(AND(ISNUMBER(HY48),ISNUMBER(HY$320),HY$320&lt;&gt;0),HY48*HY$320/HY$15,"")</f>
        <v/>
      </c>
      <c r="HZ353" s="150" t="str">
        <f aca="false">IF(AND(ISNUMBER(HZ48),ISNUMBER(HZ$320),HZ$320&lt;&gt;0),HZ48*HZ$320/HZ$15,"")</f>
        <v/>
      </c>
      <c r="IA353" s="150" t="str">
        <f aca="false">IF(AND(ISNUMBER(IA48),ISNUMBER(IA$320),IA$320&lt;&gt;0),IA48*IA$320/IA$15,"")</f>
        <v/>
      </c>
      <c r="IB353" s="150" t="str">
        <f aca="false">IF(AND(ISNUMBER(IB48),ISNUMBER(IB$320),IB$320&lt;&gt;0),IB48*IB$320/IB$15,"")</f>
        <v/>
      </c>
      <c r="IC353" s="150" t="str">
        <f aca="false">IF(AND(ISNUMBER(IC48),ISNUMBER(IC$320),IC$320&lt;&gt;0),IC48*IC$320/IC$15,"")</f>
        <v/>
      </c>
      <c r="ID353" s="572" t="str">
        <f aca="false">IF(AND(ISNUMBER(ID48),ISNUMBER(ID$320),ID$320&lt;&gt;0),ID48*ID$320/ID$15,"")</f>
        <v/>
      </c>
    </row>
    <row r="354" customFormat="false" ht="12.75" hidden="false" customHeight="false" outlineLevel="0" collapsed="false">
      <c r="I354" s="735"/>
      <c r="J354" s="727"/>
      <c r="K354" s="195"/>
      <c r="L354" s="195"/>
      <c r="M354" s="729"/>
      <c r="P354" s="727"/>
      <c r="S354" s="1"/>
      <c r="T354" s="727"/>
      <c r="U354" s="195"/>
      <c r="V354" s="195"/>
      <c r="W354" s="195"/>
      <c r="X354" s="195"/>
      <c r="Y354" s="195"/>
      <c r="Z354" s="195"/>
      <c r="AA354" s="195"/>
      <c r="AB354" s="195"/>
      <c r="AC354" s="195"/>
      <c r="AD354" s="195"/>
      <c r="AE354" s="195"/>
      <c r="AF354" s="195"/>
      <c r="AG354" s="195"/>
      <c r="AH354" s="195"/>
      <c r="AI354" s="195"/>
      <c r="AJ354" s="195"/>
      <c r="AK354" s="195"/>
      <c r="AL354" s="195"/>
      <c r="AM354" s="195"/>
      <c r="AN354" s="532"/>
      <c r="AO354" s="532"/>
      <c r="AP354" s="240"/>
      <c r="AQ354" s="532"/>
      <c r="AR354" s="240"/>
      <c r="AS354" s="240"/>
      <c r="AT354" s="240"/>
      <c r="AU354" s="730"/>
      <c r="AV354" s="730"/>
      <c r="AW354" s="730"/>
      <c r="AX354" s="730"/>
      <c r="AY354" s="468"/>
      <c r="AZ354" s="468"/>
      <c r="BA354" s="240"/>
      <c r="BB354" s="240"/>
      <c r="BC354" s="240"/>
      <c r="BD354" s="240"/>
      <c r="BE354" s="672"/>
      <c r="BF354" s="672"/>
      <c r="BG354" s="672"/>
      <c r="BH354" s="731"/>
      <c r="BI354" s="672"/>
      <c r="BJ354" s="240"/>
      <c r="BK354" s="736"/>
      <c r="BL354" s="737"/>
      <c r="BM354" s="240"/>
      <c r="BN354" s="240"/>
      <c r="BO354" s="240"/>
      <c r="BP354" s="240"/>
      <c r="BQ354" s="240"/>
      <c r="BR354" s="240"/>
      <c r="BS354" s="240"/>
      <c r="BT354" s="240"/>
      <c r="BU354" s="240"/>
      <c r="BV354" s="240"/>
      <c r="BW354" s="240"/>
      <c r="BX354" s="240"/>
      <c r="BY354" s="240"/>
      <c r="BZ354" s="240"/>
      <c r="CA354" s="240"/>
      <c r="CB354" s="672"/>
      <c r="CC354" s="672"/>
      <c r="CD354" s="672"/>
      <c r="CE354" s="672"/>
      <c r="CF354" s="672"/>
      <c r="CG354" s="672"/>
      <c r="CH354" s="240"/>
      <c r="CI354" s="240"/>
      <c r="CJ354" s="240"/>
      <c r="CK354" s="240"/>
      <c r="CL354" s="240"/>
      <c r="CM354" s="240"/>
      <c r="CN354" s="240"/>
      <c r="CO354" s="240"/>
      <c r="CP354" s="240"/>
      <c r="CQ354" s="240"/>
      <c r="CR354" s="240"/>
      <c r="CS354" s="240"/>
      <c r="CT354" s="240"/>
      <c r="CU354" s="240"/>
      <c r="CV354" s="240"/>
      <c r="CW354" s="240"/>
      <c r="CX354" s="240"/>
      <c r="CY354" s="240"/>
      <c r="CZ354" s="240"/>
      <c r="DA354" s="240"/>
      <c r="DB354" s="240"/>
      <c r="DC354" s="240"/>
      <c r="DD354" s="240"/>
      <c r="DE354" s="240"/>
      <c r="DF354" s="240"/>
      <c r="DG354" s="733"/>
      <c r="DH354" s="478"/>
      <c r="DI354" s="195"/>
      <c r="DJ354" s="3"/>
      <c r="DK354" s="478"/>
      <c r="DL354" s="4"/>
      <c r="DM354" s="4"/>
      <c r="DN354" s="4"/>
      <c r="DO354" s="4"/>
      <c r="DP354" s="4"/>
      <c r="DQ354" s="4"/>
      <c r="DS354" s="195"/>
      <c r="DT354" s="195"/>
      <c r="DU354" s="195"/>
      <c r="DV354" s="195"/>
      <c r="DW354" s="195"/>
      <c r="DX354" s="195"/>
      <c r="DY354" s="195"/>
      <c r="DZ354" s="195"/>
      <c r="EA354" s="195"/>
      <c r="EB354" s="195"/>
      <c r="EC354" s="195"/>
      <c r="ED354" s="195"/>
      <c r="EE354" s="195"/>
      <c r="EF354" s="195"/>
      <c r="EG354" s="195"/>
      <c r="EL354" s="1"/>
      <c r="EM354" s="195"/>
      <c r="EN354" s="240"/>
      <c r="EO354" s="240"/>
      <c r="EP354" s="195"/>
      <c r="EQ354" s="240"/>
      <c r="ER354" s="195"/>
      <c r="ES354" s="195"/>
      <c r="ET354" s="195"/>
      <c r="EU354" s="672"/>
      <c r="FJ354" s="571" t="n">
        <v>30</v>
      </c>
      <c r="FK354" s="150" t="str">
        <f aca="false">IF(AND(ISNUMBER(FK49),ISNUMBER(FK$320),FK$320&lt;&gt;0),FK49*FK$320/FK$15,"")</f>
        <v/>
      </c>
      <c r="FL354" s="150" t="str">
        <f aca="false">IF(AND(ISNUMBER(FL49),ISNUMBER(FL$320),FL$320&lt;&gt;0),FL49*FL$320/FL$15,"")</f>
        <v/>
      </c>
      <c r="FM354" s="150" t="n">
        <f aca="false">IF(AND(ISNUMBER(FM49),ISNUMBER(FM$320),FM$320&lt;&gt;0),FM49*FM$320/FM$15,"")</f>
        <v>0.0026049085876211</v>
      </c>
      <c r="FN354" s="150" t="n">
        <f aca="false">IF(AND(ISNUMBER(FN49),ISNUMBER(FN$320),FN$320&lt;&gt;0),FN49*FN$320/FN$15,"")</f>
        <v>0.00220089125827696</v>
      </c>
      <c r="FO354" s="150" t="n">
        <f aca="false">IF(AND(ISNUMBER(FO49),ISNUMBER(FO$320),FO$320&lt;&gt;0),FO49*FO$320/FO$15,"")</f>
        <v>0.00229953945643989</v>
      </c>
      <c r="FP354" s="150" t="n">
        <f aca="false">IF(AND(ISNUMBER(FP49),ISNUMBER(FP$320),FP$320&lt;&gt;0),FP49*FP$320/FP$15,"")</f>
        <v>0.00128076389674732</v>
      </c>
      <c r="FQ354" s="150" t="str">
        <f aca="false">IF(AND(ISNUMBER(FQ49),ISNUMBER(FQ$320),FQ$320&lt;&gt;0),FQ49*FQ$320/FQ$15,"")</f>
        <v/>
      </c>
      <c r="FR354" s="150" t="str">
        <f aca="false">IF(AND(ISNUMBER(FR49),ISNUMBER(FR$320),FR$320&lt;&gt;0),FR49*FR$320/FR$15,"")</f>
        <v/>
      </c>
      <c r="FS354" s="150" t="str">
        <f aca="false">IF(AND(ISNUMBER(FS49),ISNUMBER(FS$320),FS$320&lt;&gt;0),FS49*FS$320/FS$15,"")</f>
        <v/>
      </c>
      <c r="FT354" s="150" t="str">
        <f aca="false">IF(AND(ISNUMBER(FT49),ISNUMBER(FT$320),FT$320&lt;&gt;0),FT49*FT$320/FT$15,"")</f>
        <v/>
      </c>
      <c r="FU354" s="150" t="str">
        <f aca="false">IF(AND(ISNUMBER(FU49),ISNUMBER(FU$320),FU$320&lt;&gt;0),FU49*FU$320/FU$15,"")</f>
        <v/>
      </c>
      <c r="FV354" s="150" t="str">
        <f aca="false">IF(AND(ISNUMBER(FV49),ISNUMBER(FV$320),FV$320&lt;&gt;0),FV49*FV$320/FV$15,"")</f>
        <v/>
      </c>
      <c r="FW354" s="150" t="str">
        <f aca="false">IF(AND(ISNUMBER(FW49),ISNUMBER(FW$320),FW$320&lt;&gt;0),FW49*FW$320/FW$15,"")</f>
        <v/>
      </c>
      <c r="FX354" s="150" t="str">
        <f aca="false">IF(AND(ISNUMBER(FX49),ISNUMBER(FX$320),FX$320&lt;&gt;0),FX49*FX$320/FX$15,"")</f>
        <v/>
      </c>
      <c r="FY354" s="150" t="str">
        <f aca="false">IF(AND(ISNUMBER(FY49),ISNUMBER(FY$320),FY$320&lt;&gt;0),FY49*FY$320/FY$15,"")</f>
        <v/>
      </c>
      <c r="FZ354" s="150" t="str">
        <f aca="false">IF(AND(ISNUMBER(FZ49),ISNUMBER(FZ$320),FZ$320&lt;&gt;0),FZ49*FZ$320/FZ$15,"")</f>
        <v/>
      </c>
      <c r="GA354" s="150" t="str">
        <f aca="false">IF(AND(ISNUMBER(GA49),ISNUMBER(GA$320),GA$320&lt;&gt;0),GA49*GA$320/GA$15,"")</f>
        <v/>
      </c>
      <c r="GB354" s="150" t="str">
        <f aca="false">IF(AND(ISNUMBER(GB49),ISNUMBER(GB$320),GB$320&lt;&gt;0),GB49*GB$320/GB$15,"")</f>
        <v/>
      </c>
      <c r="GC354" s="150" t="str">
        <f aca="false">IF(AND(ISNUMBER(GC49),ISNUMBER(GC$320),GC$320&lt;&gt;0),GC49*GC$320/GC$15,"")</f>
        <v/>
      </c>
      <c r="GD354" s="150" t="str">
        <f aca="false">IF(AND(ISNUMBER(GD49),ISNUMBER(GD$320),GD$320&lt;&gt;0),GD49*GD$320/GD$15,"")</f>
        <v/>
      </c>
      <c r="GE354" s="150" t="str">
        <f aca="false">IF(AND(ISNUMBER(GE49),ISNUMBER(GE$320),GE$320&lt;&gt;0),GE49*GE$320/GE$15,"")</f>
        <v/>
      </c>
      <c r="GF354" s="150" t="str">
        <f aca="false">IF(AND(ISNUMBER(GF49),ISNUMBER(GF$320),GF$320&lt;&gt;0),GF49*GF$320/GF$15,"")</f>
        <v/>
      </c>
      <c r="GG354" s="150" t="str">
        <f aca="false">IF(AND(ISNUMBER(GG49),ISNUMBER(GG$320),GG$320&lt;&gt;0),GG49*GG$320/GG$15,"")</f>
        <v/>
      </c>
      <c r="GH354" s="150" t="str">
        <f aca="false">IF(AND(ISNUMBER(GH49),ISNUMBER(GH$320),GH$320&lt;&gt;0),GH49*GH$320/GH$15,"")</f>
        <v/>
      </c>
      <c r="GI354" s="150" t="str">
        <f aca="false">IF(AND(ISNUMBER(GI49),ISNUMBER(GI$320),GI$320&lt;&gt;0),GI49*GI$320/GI$15,"")</f>
        <v/>
      </c>
      <c r="GJ354" s="150" t="str">
        <f aca="false">IF(AND(ISNUMBER(GJ49),ISNUMBER(GJ$320),GJ$320&lt;&gt;0),GJ49*GJ$320/GJ$15,"")</f>
        <v/>
      </c>
      <c r="GK354" s="150" t="str">
        <f aca="false">IF(AND(ISNUMBER(GK49),ISNUMBER(GK$320),GK$320&lt;&gt;0),GK49*GK$320/GK$15,"")</f>
        <v/>
      </c>
      <c r="GL354" s="150" t="str">
        <f aca="false">IF(AND(ISNUMBER(GL49),ISNUMBER(GL$320),GL$320&lt;&gt;0),GL49*GL$320/GL$15,"")</f>
        <v/>
      </c>
      <c r="GM354" s="150" t="str">
        <f aca="false">IF(AND(ISNUMBER(GM49),ISNUMBER(GM$320),GM$320&lt;&gt;0),GM49*GM$320/GM$15,"")</f>
        <v/>
      </c>
      <c r="GN354" s="150" t="str">
        <f aca="false">IF(AND(ISNUMBER(GN49),ISNUMBER(GN$320),GN$320&lt;&gt;0),GN49*GN$320/GN$15,"")</f>
        <v/>
      </c>
      <c r="GO354" s="150" t="str">
        <f aca="false">IF(AND(ISNUMBER(GO49),ISNUMBER(GO$320),GO$320&lt;&gt;0),GO49*GO$320/GO$15,"")</f>
        <v/>
      </c>
      <c r="GP354" s="150" t="str">
        <f aca="false">IF(AND(ISNUMBER(GP49),ISNUMBER(GP$320),GP$320&lt;&gt;0),GP49*GP$320/GP$15,"")</f>
        <v/>
      </c>
      <c r="GQ354" s="150" t="str">
        <f aca="false">IF(AND(ISNUMBER(GQ49),ISNUMBER(GQ$320),GQ$320&lt;&gt;0),GQ49*GQ$320/GQ$15,"")</f>
        <v/>
      </c>
      <c r="GR354" s="150" t="str">
        <f aca="false">IF(AND(ISNUMBER(GR49),ISNUMBER(GR$320),GR$320&lt;&gt;0),GR49*GR$320/GR$15,"")</f>
        <v/>
      </c>
      <c r="GS354" s="150" t="str">
        <f aca="false">IF(AND(ISNUMBER(GS49),ISNUMBER(GS$320),GS$320&lt;&gt;0),GS49*GS$320/GS$15,"")</f>
        <v/>
      </c>
      <c r="GT354" s="150" t="str">
        <f aca="false">IF(AND(ISNUMBER(GT49),ISNUMBER(GT$320),GT$320&lt;&gt;0),GT49*GT$320/GT$15,"")</f>
        <v/>
      </c>
      <c r="GU354" s="150" t="str">
        <f aca="false">IF(AND(ISNUMBER(GU49),ISNUMBER(GU$320),GU$320&lt;&gt;0),GU49*GU$320/GU$15,"")</f>
        <v/>
      </c>
      <c r="GV354" s="150" t="str">
        <f aca="false">IF(AND(ISNUMBER(GV49),ISNUMBER(GV$320),GV$320&lt;&gt;0),GV49*GV$320/GV$15,"")</f>
        <v/>
      </c>
      <c r="GW354" s="150" t="str">
        <f aca="false">IF(AND(ISNUMBER(GW49),ISNUMBER(GW$320),GW$320&lt;&gt;0),GW49*GW$320/GW$15,"")</f>
        <v/>
      </c>
      <c r="GX354" s="150" t="str">
        <f aca="false">IF(AND(ISNUMBER(GX49),ISNUMBER(GX$320),GX$320&lt;&gt;0),GX49*GX$320/GX$15,"")</f>
        <v/>
      </c>
      <c r="GY354" s="150" t="str">
        <f aca="false">IF(AND(ISNUMBER(GY49),ISNUMBER(GY$320),GY$320&lt;&gt;0),GY49*GY$320/GY$15,"")</f>
        <v/>
      </c>
      <c r="GZ354" s="150" t="str">
        <f aca="false">IF(AND(ISNUMBER(GZ49),ISNUMBER(GZ$320),GZ$320&lt;&gt;0),GZ49*GZ$320/GZ$15,"")</f>
        <v/>
      </c>
      <c r="HA354" s="150" t="str">
        <f aca="false">IF(AND(ISNUMBER(HA49),ISNUMBER(HA$320),HA$320&lt;&gt;0),HA49*HA$320/HA$15,"")</f>
        <v/>
      </c>
      <c r="HB354" s="150" t="str">
        <f aca="false">IF(AND(ISNUMBER(HB49),ISNUMBER(HB$320),HB$320&lt;&gt;0),HB49*HB$320/HB$15,"")</f>
        <v/>
      </c>
      <c r="HC354" s="150" t="str">
        <f aca="false">IF(AND(ISNUMBER(HC49),ISNUMBER(HC$320),HC$320&lt;&gt;0),HC49*HC$320/HC$15,"")</f>
        <v/>
      </c>
      <c r="HD354" s="150" t="str">
        <f aca="false">IF(AND(ISNUMBER(HD49),ISNUMBER(HD$320),HD$320&lt;&gt;0),HD49*HD$320/HD$15,"")</f>
        <v/>
      </c>
      <c r="HE354" s="150" t="str">
        <f aca="false">IF(AND(ISNUMBER(HE49),ISNUMBER(HE$320),HE$320&lt;&gt;0),HE49*HE$320/HE$15,"")</f>
        <v/>
      </c>
      <c r="HF354" s="150" t="str">
        <f aca="false">IF(AND(ISNUMBER(HF49),ISNUMBER(HF$320),HF$320&lt;&gt;0),HF49*HF$320/HF$15,"")</f>
        <v/>
      </c>
      <c r="HG354" s="150" t="str">
        <f aca="false">IF(AND(ISNUMBER(HG49),ISNUMBER(HG$320),HG$320&lt;&gt;0),HG49*HG$320/HG$15,"")</f>
        <v/>
      </c>
      <c r="HH354" s="150" t="str">
        <f aca="false">IF(AND(ISNUMBER(HH49),ISNUMBER(HH$320),HH$320&lt;&gt;0),HH49*HH$320/HH$15,"")</f>
        <v/>
      </c>
      <c r="HI354" s="150" t="str">
        <f aca="false">IF(AND(ISNUMBER(HI49),ISNUMBER(HI$320),HI$320&lt;&gt;0),HI49*HI$320/HI$15,"")</f>
        <v/>
      </c>
      <c r="HJ354" s="150" t="str">
        <f aca="false">IF(AND(ISNUMBER(HJ49),ISNUMBER(HJ$320),HJ$320&lt;&gt;0),HJ49*HJ$320/HJ$15,"")</f>
        <v/>
      </c>
      <c r="HK354" s="150" t="str">
        <f aca="false">IF(AND(ISNUMBER(HK49),ISNUMBER(HK$320),HK$320&lt;&gt;0),HK49*HK$320/HK$15,"")</f>
        <v/>
      </c>
      <c r="HL354" s="150" t="str">
        <f aca="false">IF(AND(ISNUMBER(HL49),ISNUMBER(HL$320),HL$320&lt;&gt;0),HL49*HL$320/HL$15,"")</f>
        <v/>
      </c>
      <c r="HM354" s="150" t="str">
        <f aca="false">IF(AND(ISNUMBER(HM49),ISNUMBER(HM$320),HM$320&lt;&gt;0),HM49*HM$320/HM$15,"")</f>
        <v/>
      </c>
      <c r="HN354" s="150" t="str">
        <f aca="false">IF(AND(ISNUMBER(HN49),ISNUMBER(HN$320),HN$320&lt;&gt;0),HN49*HN$320/HN$15,"")</f>
        <v/>
      </c>
      <c r="HO354" s="150" t="str">
        <f aca="false">IF(AND(ISNUMBER(HO49),ISNUMBER(HO$320),HO$320&lt;&gt;0),HO49*HO$320/HO$15,"")</f>
        <v/>
      </c>
      <c r="HP354" s="150" t="str">
        <f aca="false">IF(AND(ISNUMBER(HP49),ISNUMBER(HP$320),HP$320&lt;&gt;0),HP49*HP$320/HP$15,"")</f>
        <v/>
      </c>
      <c r="HQ354" s="150" t="str">
        <f aca="false">IF(AND(ISNUMBER(HQ49),ISNUMBER(HQ$320),HQ$320&lt;&gt;0),HQ49*HQ$320/HQ$15,"")</f>
        <v/>
      </c>
      <c r="HR354" s="150" t="str">
        <f aca="false">IF(AND(ISNUMBER(HR49),ISNUMBER(HR$320),HR$320&lt;&gt;0),HR49*HR$320/HR$15,"")</f>
        <v/>
      </c>
      <c r="HS354" s="150" t="str">
        <f aca="false">IF(AND(ISNUMBER(HS49),ISNUMBER(HS$320),HS$320&lt;&gt;0),HS49*HS$320/HS$15,"")</f>
        <v/>
      </c>
      <c r="HT354" s="150" t="str">
        <f aca="false">IF(AND(ISNUMBER(HT49),ISNUMBER(HT$320),HT$320&lt;&gt;0),HT49*HT$320/HT$15,"")</f>
        <v/>
      </c>
      <c r="HU354" s="150" t="str">
        <f aca="false">IF(AND(ISNUMBER(HU49),ISNUMBER(HU$320),HU$320&lt;&gt;0),HU49*HU$320/HU$15,"")</f>
        <v/>
      </c>
      <c r="HV354" s="150" t="str">
        <f aca="false">IF(AND(ISNUMBER(HV49),ISNUMBER(HV$320),HV$320&lt;&gt;0),HV49*HV$320/HV$15,"")</f>
        <v/>
      </c>
      <c r="HW354" s="150" t="str">
        <f aca="false">IF(AND(ISNUMBER(HW49),ISNUMBER(HW$320),HW$320&lt;&gt;0),HW49*HW$320/HW$15,"")</f>
        <v/>
      </c>
      <c r="HX354" s="150" t="str">
        <f aca="false">IF(AND(ISNUMBER(HX49),ISNUMBER(HX$320),HX$320&lt;&gt;0),HX49*HX$320/HX$15,"")</f>
        <v/>
      </c>
      <c r="HY354" s="150" t="str">
        <f aca="false">IF(AND(ISNUMBER(HY49),ISNUMBER(HY$320),HY$320&lt;&gt;0),HY49*HY$320/HY$15,"")</f>
        <v/>
      </c>
      <c r="HZ354" s="150" t="str">
        <f aca="false">IF(AND(ISNUMBER(HZ49),ISNUMBER(HZ$320),HZ$320&lt;&gt;0),HZ49*HZ$320/HZ$15,"")</f>
        <v/>
      </c>
      <c r="IA354" s="150" t="str">
        <f aca="false">IF(AND(ISNUMBER(IA49),ISNUMBER(IA$320),IA$320&lt;&gt;0),IA49*IA$320/IA$15,"")</f>
        <v/>
      </c>
      <c r="IB354" s="150" t="str">
        <f aca="false">IF(AND(ISNUMBER(IB49),ISNUMBER(IB$320),IB$320&lt;&gt;0),IB49*IB$320/IB$15,"")</f>
        <v/>
      </c>
      <c r="IC354" s="150" t="str">
        <f aca="false">IF(AND(ISNUMBER(IC49),ISNUMBER(IC$320),IC$320&lt;&gt;0),IC49*IC$320/IC$15,"")</f>
        <v/>
      </c>
      <c r="ID354" s="572" t="str">
        <f aca="false">IF(AND(ISNUMBER(ID49),ISNUMBER(ID$320),ID$320&lt;&gt;0),ID49*ID$320/ID$15,"")</f>
        <v/>
      </c>
    </row>
    <row r="355" customFormat="false" ht="12.75" hidden="false" customHeight="false" outlineLevel="0" collapsed="false">
      <c r="I355" s="735"/>
      <c r="J355" s="727"/>
      <c r="K355" s="195"/>
      <c r="L355" s="195"/>
      <c r="M355" s="729"/>
      <c r="P355" s="727"/>
      <c r="S355" s="1"/>
      <c r="T355" s="727"/>
      <c r="U355" s="195"/>
      <c r="V355" s="195"/>
      <c r="W355" s="195"/>
      <c r="X355" s="195"/>
      <c r="Y355" s="195"/>
      <c r="Z355" s="195"/>
      <c r="AA355" s="195"/>
      <c r="AB355" s="195"/>
      <c r="AC355" s="195"/>
      <c r="AD355" s="195"/>
      <c r="AE355" s="195"/>
      <c r="AF355" s="195"/>
      <c r="AG355" s="195"/>
      <c r="AH355" s="195"/>
      <c r="AI355" s="195"/>
      <c r="AJ355" s="195"/>
      <c r="AK355" s="195"/>
      <c r="AL355" s="195"/>
      <c r="AM355" s="195"/>
      <c r="AN355" s="532"/>
      <c r="AO355" s="532"/>
      <c r="AP355" s="240"/>
      <c r="AQ355" s="532"/>
      <c r="AR355" s="240"/>
      <c r="AS355" s="240"/>
      <c r="AT355" s="240"/>
      <c r="AU355" s="730"/>
      <c r="AV355" s="730"/>
      <c r="AW355" s="730"/>
      <c r="AX355" s="730"/>
      <c r="AY355" s="468"/>
      <c r="AZ355" s="468"/>
      <c r="BA355" s="240"/>
      <c r="BB355" s="240"/>
      <c r="BC355" s="240"/>
      <c r="BD355" s="240"/>
      <c r="BE355" s="672"/>
      <c r="BF355" s="672"/>
      <c r="BG355" s="672"/>
      <c r="BH355" s="731"/>
      <c r="BI355" s="672"/>
      <c r="BJ355" s="240"/>
      <c r="BK355" s="736"/>
      <c r="BL355" s="737"/>
      <c r="BM355" s="240"/>
      <c r="BN355" s="240"/>
      <c r="BO355" s="240"/>
      <c r="BP355" s="240"/>
      <c r="BQ355" s="240"/>
      <c r="BR355" s="240"/>
      <c r="BS355" s="240"/>
      <c r="BT355" s="240"/>
      <c r="BU355" s="240"/>
      <c r="BV355" s="240"/>
      <c r="BW355" s="240"/>
      <c r="BX355" s="240"/>
      <c r="BY355" s="240"/>
      <c r="BZ355" s="240"/>
      <c r="CA355" s="240"/>
      <c r="CB355" s="672"/>
      <c r="CC355" s="672"/>
      <c r="CD355" s="672"/>
      <c r="CE355" s="672"/>
      <c r="CF355" s="672"/>
      <c r="CG355" s="672"/>
      <c r="CH355" s="240"/>
      <c r="CI355" s="240"/>
      <c r="CJ355" s="240"/>
      <c r="CK355" s="240"/>
      <c r="CL355" s="240"/>
      <c r="CM355" s="240"/>
      <c r="CN355" s="240"/>
      <c r="CO355" s="240"/>
      <c r="CP355" s="240"/>
      <c r="CQ355" s="240"/>
      <c r="CR355" s="240"/>
      <c r="CS355" s="240"/>
      <c r="CT355" s="240"/>
      <c r="CU355" s="240"/>
      <c r="CV355" s="240"/>
      <c r="CW355" s="240"/>
      <c r="CX355" s="240"/>
      <c r="CY355" s="240"/>
      <c r="CZ355" s="240"/>
      <c r="DA355" s="240"/>
      <c r="DB355" s="240"/>
      <c r="DC355" s="240"/>
      <c r="DD355" s="240"/>
      <c r="DE355" s="240"/>
      <c r="DF355" s="240"/>
      <c r="DG355" s="733"/>
      <c r="DH355" s="478"/>
      <c r="DI355" s="195"/>
      <c r="DJ355" s="3"/>
      <c r="DK355" s="478"/>
      <c r="DL355" s="4"/>
      <c r="DM355" s="4"/>
      <c r="DN355" s="4"/>
      <c r="DO355" s="4"/>
      <c r="DP355" s="4"/>
      <c r="DQ355" s="4"/>
      <c r="DS355" s="195"/>
      <c r="DT355" s="195"/>
      <c r="DU355" s="195"/>
      <c r="DV355" s="195"/>
      <c r="DW355" s="195"/>
      <c r="DX355" s="195"/>
      <c r="DY355" s="195"/>
      <c r="DZ355" s="195"/>
      <c r="EA355" s="195"/>
      <c r="EB355" s="195"/>
      <c r="EC355" s="195"/>
      <c r="ED355" s="195"/>
      <c r="EE355" s="195"/>
      <c r="EF355" s="195"/>
      <c r="EG355" s="195"/>
      <c r="EL355" s="1"/>
      <c r="EM355" s="195"/>
      <c r="EN355" s="240"/>
      <c r="EO355" s="240"/>
      <c r="EP355" s="195"/>
      <c r="EQ355" s="240"/>
      <c r="ER355" s="195"/>
      <c r="ES355" s="195"/>
      <c r="ET355" s="195"/>
      <c r="EU355" s="672"/>
      <c r="FJ355" s="571" t="n">
        <v>31</v>
      </c>
      <c r="FK355" s="150" t="str">
        <f aca="false">IF(AND(ISNUMBER(FK50),ISNUMBER(FK$320),FK$320&lt;&gt;0),FK50*FK$320/FK$15,"")</f>
        <v/>
      </c>
      <c r="FL355" s="150" t="str">
        <f aca="false">IF(AND(ISNUMBER(FL50),ISNUMBER(FL$320),FL$320&lt;&gt;0),FL50*FL$320/FL$15,"")</f>
        <v/>
      </c>
      <c r="FM355" s="150" t="n">
        <f aca="false">IF(AND(ISNUMBER(FM50),ISNUMBER(FM$320),FM$320&lt;&gt;0),FM50*FM$320/FM$15,"")</f>
        <v>0.00259638946523154</v>
      </c>
      <c r="FN355" s="150" t="n">
        <f aca="false">IF(AND(ISNUMBER(FN50),ISNUMBER(FN$320),FN$320&lt;&gt;0),FN50*FN$320/FN$15,"")</f>
        <v>0.00219247275586249</v>
      </c>
      <c r="FO355" s="150" t="n">
        <f aca="false">IF(AND(ISNUMBER(FO50),ISNUMBER(FO$320),FO$320&lt;&gt;0),FO50*FO$320/FO$15,"")</f>
        <v>0.00228925192900522</v>
      </c>
      <c r="FP355" s="150" t="n">
        <f aca="false">IF(AND(ISNUMBER(FP50),ISNUMBER(FP$320),FP$320&lt;&gt;0),FP50*FP$320/FP$15,"")</f>
        <v>0.00127406238006991</v>
      </c>
      <c r="FQ355" s="150" t="str">
        <f aca="false">IF(AND(ISNUMBER(FQ50),ISNUMBER(FQ$320),FQ$320&lt;&gt;0),FQ50*FQ$320/FQ$15,"")</f>
        <v/>
      </c>
      <c r="FR355" s="150" t="str">
        <f aca="false">IF(AND(ISNUMBER(FR50),ISNUMBER(FR$320),FR$320&lt;&gt;0),FR50*FR$320/FR$15,"")</f>
        <v/>
      </c>
      <c r="FS355" s="150" t="str">
        <f aca="false">IF(AND(ISNUMBER(FS50),ISNUMBER(FS$320),FS$320&lt;&gt;0),FS50*FS$320/FS$15,"")</f>
        <v/>
      </c>
      <c r="FT355" s="150" t="str">
        <f aca="false">IF(AND(ISNUMBER(FT50),ISNUMBER(FT$320),FT$320&lt;&gt;0),FT50*FT$320/FT$15,"")</f>
        <v/>
      </c>
      <c r="FU355" s="150" t="str">
        <f aca="false">IF(AND(ISNUMBER(FU50),ISNUMBER(FU$320),FU$320&lt;&gt;0),FU50*FU$320/FU$15,"")</f>
        <v/>
      </c>
      <c r="FV355" s="150" t="str">
        <f aca="false">IF(AND(ISNUMBER(FV50),ISNUMBER(FV$320),FV$320&lt;&gt;0),FV50*FV$320/FV$15,"")</f>
        <v/>
      </c>
      <c r="FW355" s="150" t="str">
        <f aca="false">IF(AND(ISNUMBER(FW50),ISNUMBER(FW$320),FW$320&lt;&gt;0),FW50*FW$320/FW$15,"")</f>
        <v/>
      </c>
      <c r="FX355" s="150" t="str">
        <f aca="false">IF(AND(ISNUMBER(FX50),ISNUMBER(FX$320),FX$320&lt;&gt;0),FX50*FX$320/FX$15,"")</f>
        <v/>
      </c>
      <c r="FY355" s="150" t="str">
        <f aca="false">IF(AND(ISNUMBER(FY50),ISNUMBER(FY$320),FY$320&lt;&gt;0),FY50*FY$320/FY$15,"")</f>
        <v/>
      </c>
      <c r="FZ355" s="150" t="str">
        <f aca="false">IF(AND(ISNUMBER(FZ50),ISNUMBER(FZ$320),FZ$320&lt;&gt;0),FZ50*FZ$320/FZ$15,"")</f>
        <v/>
      </c>
      <c r="GA355" s="150" t="str">
        <f aca="false">IF(AND(ISNUMBER(GA50),ISNUMBER(GA$320),GA$320&lt;&gt;0),GA50*GA$320/GA$15,"")</f>
        <v/>
      </c>
      <c r="GB355" s="150" t="str">
        <f aca="false">IF(AND(ISNUMBER(GB50),ISNUMBER(GB$320),GB$320&lt;&gt;0),GB50*GB$320/GB$15,"")</f>
        <v/>
      </c>
      <c r="GC355" s="150" t="str">
        <f aca="false">IF(AND(ISNUMBER(GC50),ISNUMBER(GC$320),GC$320&lt;&gt;0),GC50*GC$320/GC$15,"")</f>
        <v/>
      </c>
      <c r="GD355" s="150" t="str">
        <f aca="false">IF(AND(ISNUMBER(GD50),ISNUMBER(GD$320),GD$320&lt;&gt;0),GD50*GD$320/GD$15,"")</f>
        <v/>
      </c>
      <c r="GE355" s="150" t="str">
        <f aca="false">IF(AND(ISNUMBER(GE50),ISNUMBER(GE$320),GE$320&lt;&gt;0),GE50*GE$320/GE$15,"")</f>
        <v/>
      </c>
      <c r="GF355" s="150" t="str">
        <f aca="false">IF(AND(ISNUMBER(GF50),ISNUMBER(GF$320),GF$320&lt;&gt;0),GF50*GF$320/GF$15,"")</f>
        <v/>
      </c>
      <c r="GG355" s="150" t="str">
        <f aca="false">IF(AND(ISNUMBER(GG50),ISNUMBER(GG$320),GG$320&lt;&gt;0),GG50*GG$320/GG$15,"")</f>
        <v/>
      </c>
      <c r="GH355" s="150" t="str">
        <f aca="false">IF(AND(ISNUMBER(GH50),ISNUMBER(GH$320),GH$320&lt;&gt;0),GH50*GH$320/GH$15,"")</f>
        <v/>
      </c>
      <c r="GI355" s="150" t="str">
        <f aca="false">IF(AND(ISNUMBER(GI50),ISNUMBER(GI$320),GI$320&lt;&gt;0),GI50*GI$320/GI$15,"")</f>
        <v/>
      </c>
      <c r="GJ355" s="150" t="str">
        <f aca="false">IF(AND(ISNUMBER(GJ50),ISNUMBER(GJ$320),GJ$320&lt;&gt;0),GJ50*GJ$320/GJ$15,"")</f>
        <v/>
      </c>
      <c r="GK355" s="150" t="str">
        <f aca="false">IF(AND(ISNUMBER(GK50),ISNUMBER(GK$320),GK$320&lt;&gt;0),GK50*GK$320/GK$15,"")</f>
        <v/>
      </c>
      <c r="GL355" s="150" t="str">
        <f aca="false">IF(AND(ISNUMBER(GL50),ISNUMBER(GL$320),GL$320&lt;&gt;0),GL50*GL$320/GL$15,"")</f>
        <v/>
      </c>
      <c r="GM355" s="150" t="str">
        <f aca="false">IF(AND(ISNUMBER(GM50),ISNUMBER(GM$320),GM$320&lt;&gt;0),GM50*GM$320/GM$15,"")</f>
        <v/>
      </c>
      <c r="GN355" s="150" t="str">
        <f aca="false">IF(AND(ISNUMBER(GN50),ISNUMBER(GN$320),GN$320&lt;&gt;0),GN50*GN$320/GN$15,"")</f>
        <v/>
      </c>
      <c r="GO355" s="150" t="str">
        <f aca="false">IF(AND(ISNUMBER(GO50),ISNUMBER(GO$320),GO$320&lt;&gt;0),GO50*GO$320/GO$15,"")</f>
        <v/>
      </c>
      <c r="GP355" s="150" t="str">
        <f aca="false">IF(AND(ISNUMBER(GP50),ISNUMBER(GP$320),GP$320&lt;&gt;0),GP50*GP$320/GP$15,"")</f>
        <v/>
      </c>
      <c r="GQ355" s="150" t="str">
        <f aca="false">IF(AND(ISNUMBER(GQ50),ISNUMBER(GQ$320),GQ$320&lt;&gt;0),GQ50*GQ$320/GQ$15,"")</f>
        <v/>
      </c>
      <c r="GR355" s="150" t="str">
        <f aca="false">IF(AND(ISNUMBER(GR50),ISNUMBER(GR$320),GR$320&lt;&gt;0),GR50*GR$320/GR$15,"")</f>
        <v/>
      </c>
      <c r="GS355" s="150" t="str">
        <f aca="false">IF(AND(ISNUMBER(GS50),ISNUMBER(GS$320),GS$320&lt;&gt;0),GS50*GS$320/GS$15,"")</f>
        <v/>
      </c>
      <c r="GT355" s="150" t="str">
        <f aca="false">IF(AND(ISNUMBER(GT50),ISNUMBER(GT$320),GT$320&lt;&gt;0),GT50*GT$320/GT$15,"")</f>
        <v/>
      </c>
      <c r="GU355" s="150" t="str">
        <f aca="false">IF(AND(ISNUMBER(GU50),ISNUMBER(GU$320),GU$320&lt;&gt;0),GU50*GU$320/GU$15,"")</f>
        <v/>
      </c>
      <c r="GV355" s="150" t="str">
        <f aca="false">IF(AND(ISNUMBER(GV50),ISNUMBER(GV$320),GV$320&lt;&gt;0),GV50*GV$320/GV$15,"")</f>
        <v/>
      </c>
      <c r="GW355" s="150" t="str">
        <f aca="false">IF(AND(ISNUMBER(GW50),ISNUMBER(GW$320),GW$320&lt;&gt;0),GW50*GW$320/GW$15,"")</f>
        <v/>
      </c>
      <c r="GX355" s="150" t="str">
        <f aca="false">IF(AND(ISNUMBER(GX50),ISNUMBER(GX$320),GX$320&lt;&gt;0),GX50*GX$320/GX$15,"")</f>
        <v/>
      </c>
      <c r="GY355" s="150" t="str">
        <f aca="false">IF(AND(ISNUMBER(GY50),ISNUMBER(GY$320),GY$320&lt;&gt;0),GY50*GY$320/GY$15,"")</f>
        <v/>
      </c>
      <c r="GZ355" s="150" t="str">
        <f aca="false">IF(AND(ISNUMBER(GZ50),ISNUMBER(GZ$320),GZ$320&lt;&gt;0),GZ50*GZ$320/GZ$15,"")</f>
        <v/>
      </c>
      <c r="HA355" s="150" t="str">
        <f aca="false">IF(AND(ISNUMBER(HA50),ISNUMBER(HA$320),HA$320&lt;&gt;0),HA50*HA$320/HA$15,"")</f>
        <v/>
      </c>
      <c r="HB355" s="150" t="str">
        <f aca="false">IF(AND(ISNUMBER(HB50),ISNUMBER(HB$320),HB$320&lt;&gt;0),HB50*HB$320/HB$15,"")</f>
        <v/>
      </c>
      <c r="HC355" s="150" t="str">
        <f aca="false">IF(AND(ISNUMBER(HC50),ISNUMBER(HC$320),HC$320&lt;&gt;0),HC50*HC$320/HC$15,"")</f>
        <v/>
      </c>
      <c r="HD355" s="150" t="str">
        <f aca="false">IF(AND(ISNUMBER(HD50),ISNUMBER(HD$320),HD$320&lt;&gt;0),HD50*HD$320/HD$15,"")</f>
        <v/>
      </c>
      <c r="HE355" s="150" t="str">
        <f aca="false">IF(AND(ISNUMBER(HE50),ISNUMBER(HE$320),HE$320&lt;&gt;0),HE50*HE$320/HE$15,"")</f>
        <v/>
      </c>
      <c r="HF355" s="150" t="str">
        <f aca="false">IF(AND(ISNUMBER(HF50),ISNUMBER(HF$320),HF$320&lt;&gt;0),HF50*HF$320/HF$15,"")</f>
        <v/>
      </c>
      <c r="HG355" s="150" t="str">
        <f aca="false">IF(AND(ISNUMBER(HG50),ISNUMBER(HG$320),HG$320&lt;&gt;0),HG50*HG$320/HG$15,"")</f>
        <v/>
      </c>
      <c r="HH355" s="150" t="str">
        <f aca="false">IF(AND(ISNUMBER(HH50),ISNUMBER(HH$320),HH$320&lt;&gt;0),HH50*HH$320/HH$15,"")</f>
        <v/>
      </c>
      <c r="HI355" s="150" t="str">
        <f aca="false">IF(AND(ISNUMBER(HI50),ISNUMBER(HI$320),HI$320&lt;&gt;0),HI50*HI$320/HI$15,"")</f>
        <v/>
      </c>
      <c r="HJ355" s="150" t="str">
        <f aca="false">IF(AND(ISNUMBER(HJ50),ISNUMBER(HJ$320),HJ$320&lt;&gt;0),HJ50*HJ$320/HJ$15,"")</f>
        <v/>
      </c>
      <c r="HK355" s="150" t="str">
        <f aca="false">IF(AND(ISNUMBER(HK50),ISNUMBER(HK$320),HK$320&lt;&gt;0),HK50*HK$320/HK$15,"")</f>
        <v/>
      </c>
      <c r="HL355" s="150" t="str">
        <f aca="false">IF(AND(ISNUMBER(HL50),ISNUMBER(HL$320),HL$320&lt;&gt;0),HL50*HL$320/HL$15,"")</f>
        <v/>
      </c>
      <c r="HM355" s="150" t="str">
        <f aca="false">IF(AND(ISNUMBER(HM50),ISNUMBER(HM$320),HM$320&lt;&gt;0),HM50*HM$320/HM$15,"")</f>
        <v/>
      </c>
      <c r="HN355" s="150" t="str">
        <f aca="false">IF(AND(ISNUMBER(HN50),ISNUMBER(HN$320),HN$320&lt;&gt;0),HN50*HN$320/HN$15,"")</f>
        <v/>
      </c>
      <c r="HO355" s="150" t="str">
        <f aca="false">IF(AND(ISNUMBER(HO50),ISNUMBER(HO$320),HO$320&lt;&gt;0),HO50*HO$320/HO$15,"")</f>
        <v/>
      </c>
      <c r="HP355" s="150" t="str">
        <f aca="false">IF(AND(ISNUMBER(HP50),ISNUMBER(HP$320),HP$320&lt;&gt;0),HP50*HP$320/HP$15,"")</f>
        <v/>
      </c>
      <c r="HQ355" s="150" t="str">
        <f aca="false">IF(AND(ISNUMBER(HQ50),ISNUMBER(HQ$320),HQ$320&lt;&gt;0),HQ50*HQ$320/HQ$15,"")</f>
        <v/>
      </c>
      <c r="HR355" s="150" t="str">
        <f aca="false">IF(AND(ISNUMBER(HR50),ISNUMBER(HR$320),HR$320&lt;&gt;0),HR50*HR$320/HR$15,"")</f>
        <v/>
      </c>
      <c r="HS355" s="150" t="str">
        <f aca="false">IF(AND(ISNUMBER(HS50),ISNUMBER(HS$320),HS$320&lt;&gt;0),HS50*HS$320/HS$15,"")</f>
        <v/>
      </c>
      <c r="HT355" s="150" t="str">
        <f aca="false">IF(AND(ISNUMBER(HT50),ISNUMBER(HT$320),HT$320&lt;&gt;0),HT50*HT$320/HT$15,"")</f>
        <v/>
      </c>
      <c r="HU355" s="150" t="str">
        <f aca="false">IF(AND(ISNUMBER(HU50),ISNUMBER(HU$320),HU$320&lt;&gt;0),HU50*HU$320/HU$15,"")</f>
        <v/>
      </c>
      <c r="HV355" s="150" t="str">
        <f aca="false">IF(AND(ISNUMBER(HV50),ISNUMBER(HV$320),HV$320&lt;&gt;0),HV50*HV$320/HV$15,"")</f>
        <v/>
      </c>
      <c r="HW355" s="150" t="str">
        <f aca="false">IF(AND(ISNUMBER(HW50),ISNUMBER(HW$320),HW$320&lt;&gt;0),HW50*HW$320/HW$15,"")</f>
        <v/>
      </c>
      <c r="HX355" s="150" t="str">
        <f aca="false">IF(AND(ISNUMBER(HX50),ISNUMBER(HX$320),HX$320&lt;&gt;0),HX50*HX$320/HX$15,"")</f>
        <v/>
      </c>
      <c r="HY355" s="150" t="str">
        <f aca="false">IF(AND(ISNUMBER(HY50),ISNUMBER(HY$320),HY$320&lt;&gt;0),HY50*HY$320/HY$15,"")</f>
        <v/>
      </c>
      <c r="HZ355" s="150" t="str">
        <f aca="false">IF(AND(ISNUMBER(HZ50),ISNUMBER(HZ$320),HZ$320&lt;&gt;0),HZ50*HZ$320/HZ$15,"")</f>
        <v/>
      </c>
      <c r="IA355" s="150" t="str">
        <f aca="false">IF(AND(ISNUMBER(IA50),ISNUMBER(IA$320),IA$320&lt;&gt;0),IA50*IA$320/IA$15,"")</f>
        <v/>
      </c>
      <c r="IB355" s="150" t="str">
        <f aca="false">IF(AND(ISNUMBER(IB50),ISNUMBER(IB$320),IB$320&lt;&gt;0),IB50*IB$320/IB$15,"")</f>
        <v/>
      </c>
      <c r="IC355" s="150" t="str">
        <f aca="false">IF(AND(ISNUMBER(IC50),ISNUMBER(IC$320),IC$320&lt;&gt;0),IC50*IC$320/IC$15,"")</f>
        <v/>
      </c>
      <c r="ID355" s="572" t="str">
        <f aca="false">IF(AND(ISNUMBER(ID50),ISNUMBER(ID$320),ID$320&lt;&gt;0),ID50*ID$320/ID$15,"")</f>
        <v/>
      </c>
    </row>
    <row r="356" customFormat="false" ht="12.75" hidden="false" customHeight="false" outlineLevel="0" collapsed="false">
      <c r="I356" s="735"/>
      <c r="J356" s="727"/>
      <c r="K356" s="195"/>
      <c r="L356" s="195"/>
      <c r="M356" s="729"/>
      <c r="P356" s="727"/>
      <c r="S356" s="1"/>
      <c r="T356" s="727"/>
      <c r="U356" s="195"/>
      <c r="V356" s="195"/>
      <c r="W356" s="195"/>
      <c r="X356" s="195"/>
      <c r="Y356" s="195"/>
      <c r="Z356" s="195"/>
      <c r="AA356" s="195"/>
      <c r="AB356" s="195"/>
      <c r="AC356" s="195"/>
      <c r="AD356" s="195"/>
      <c r="AE356" s="195"/>
      <c r="AF356" s="195"/>
      <c r="AG356" s="195"/>
      <c r="AH356" s="195"/>
      <c r="AI356" s="195"/>
      <c r="AJ356" s="195"/>
      <c r="AK356" s="195"/>
      <c r="AL356" s="195"/>
      <c r="AM356" s="195"/>
      <c r="AN356" s="532"/>
      <c r="AO356" s="532"/>
      <c r="AP356" s="240"/>
      <c r="AQ356" s="532"/>
      <c r="AR356" s="240"/>
      <c r="AS356" s="240"/>
      <c r="AT356" s="240"/>
      <c r="AU356" s="730"/>
      <c r="AV356" s="730"/>
      <c r="AW356" s="730"/>
      <c r="AX356" s="730"/>
      <c r="AY356" s="468"/>
      <c r="AZ356" s="468"/>
      <c r="BA356" s="240"/>
      <c r="BB356" s="240"/>
      <c r="BC356" s="240"/>
      <c r="BD356" s="240"/>
      <c r="BE356" s="672"/>
      <c r="BF356" s="672"/>
      <c r="BG356" s="672"/>
      <c r="BH356" s="731"/>
      <c r="BI356" s="672"/>
      <c r="BJ356" s="240"/>
      <c r="BK356" s="736"/>
      <c r="BL356" s="737"/>
      <c r="BM356" s="240"/>
      <c r="BN356" s="240"/>
      <c r="BO356" s="240"/>
      <c r="BP356" s="240"/>
      <c r="BQ356" s="240"/>
      <c r="BR356" s="240"/>
      <c r="BS356" s="240"/>
      <c r="BT356" s="240"/>
      <c r="BU356" s="240"/>
      <c r="BV356" s="240"/>
      <c r="BW356" s="240"/>
      <c r="BX356" s="240"/>
      <c r="BY356" s="240"/>
      <c r="BZ356" s="240"/>
      <c r="CA356" s="240"/>
      <c r="CB356" s="672"/>
      <c r="CC356" s="672"/>
      <c r="CD356" s="672"/>
      <c r="CE356" s="672"/>
      <c r="CF356" s="672"/>
      <c r="CG356" s="672"/>
      <c r="CH356" s="240"/>
      <c r="CI356" s="240"/>
      <c r="CJ356" s="240"/>
      <c r="CK356" s="240"/>
      <c r="CL356" s="240"/>
      <c r="CM356" s="240"/>
      <c r="CN356" s="240"/>
      <c r="CO356" s="240"/>
      <c r="CP356" s="240"/>
      <c r="CQ356" s="240"/>
      <c r="CR356" s="240"/>
      <c r="CS356" s="240"/>
      <c r="CT356" s="240"/>
      <c r="CU356" s="240"/>
      <c r="CV356" s="240"/>
      <c r="CW356" s="240"/>
      <c r="CX356" s="240"/>
      <c r="CY356" s="240"/>
      <c r="CZ356" s="240"/>
      <c r="DA356" s="240"/>
      <c r="DB356" s="240"/>
      <c r="DC356" s="240"/>
      <c r="DD356" s="240"/>
      <c r="DE356" s="240"/>
      <c r="DF356" s="240"/>
      <c r="DG356" s="733"/>
      <c r="DH356" s="478"/>
      <c r="DI356" s="195"/>
      <c r="DJ356" s="3"/>
      <c r="DK356" s="478"/>
      <c r="DL356" s="4"/>
      <c r="DM356" s="4"/>
      <c r="DN356" s="4"/>
      <c r="DO356" s="4"/>
      <c r="DP356" s="4"/>
      <c r="DQ356" s="4"/>
      <c r="DS356" s="195"/>
      <c r="DT356" s="195"/>
      <c r="DU356" s="195"/>
      <c r="DV356" s="195"/>
      <c r="DW356" s="195"/>
      <c r="DX356" s="195"/>
      <c r="DY356" s="195"/>
      <c r="DZ356" s="195"/>
      <c r="EA356" s="195"/>
      <c r="EB356" s="195"/>
      <c r="EC356" s="195"/>
      <c r="ED356" s="195"/>
      <c r="EE356" s="195"/>
      <c r="EF356" s="195"/>
      <c r="EG356" s="195"/>
      <c r="EL356" s="1"/>
      <c r="EM356" s="195"/>
      <c r="EN356" s="240"/>
      <c r="EO356" s="240"/>
      <c r="EP356" s="195"/>
      <c r="EQ356" s="240"/>
      <c r="ER356" s="195"/>
      <c r="ES356" s="195"/>
      <c r="ET356" s="195"/>
      <c r="EU356" s="672"/>
      <c r="FJ356" s="571" t="n">
        <v>32</v>
      </c>
      <c r="FK356" s="150" t="str">
        <f aca="false">IF(AND(ISNUMBER(FK51),ISNUMBER(FK$320),FK$320&lt;&gt;0),FK51*FK$320/FK$15,"")</f>
        <v/>
      </c>
      <c r="FL356" s="150" t="str">
        <f aca="false">IF(AND(ISNUMBER(FL51),ISNUMBER(FL$320),FL$320&lt;&gt;0),FL51*FL$320/FL$15,"")</f>
        <v/>
      </c>
      <c r="FM356" s="150" t="n">
        <f aca="false">IF(AND(ISNUMBER(FM51),ISNUMBER(FM$320),FM$320&lt;&gt;0),FM51*FM$320/FM$15,"")</f>
        <v>0.00258912943677238</v>
      </c>
      <c r="FN356" s="150" t="n">
        <f aca="false">IF(AND(ISNUMBER(FN51),ISNUMBER(FN$320),FN$320&lt;&gt;0),FN51*FN$320/FN$15,"")</f>
        <v>0.00218530246826325</v>
      </c>
      <c r="FO356" s="150" t="n">
        <f aca="false">IF(AND(ISNUMBER(FO51),ISNUMBER(FO$320),FO$320&lt;&gt;0),FO51*FO$320/FO$15,"")</f>
        <v>0.00228049544327737</v>
      </c>
      <c r="FP356" s="150" t="n">
        <f aca="false">IF(AND(ISNUMBER(FP51),ISNUMBER(FP$320),FP$320&lt;&gt;0),FP51*FP$320/FP$15,"")</f>
        <v>0.00126836256411253</v>
      </c>
      <c r="FQ356" s="150" t="str">
        <f aca="false">IF(AND(ISNUMBER(FQ51),ISNUMBER(FQ$320),FQ$320&lt;&gt;0),FQ51*FQ$320/FQ$15,"")</f>
        <v/>
      </c>
      <c r="FR356" s="150" t="str">
        <f aca="false">IF(AND(ISNUMBER(FR51),ISNUMBER(FR$320),FR$320&lt;&gt;0),FR51*FR$320/FR$15,"")</f>
        <v/>
      </c>
      <c r="FS356" s="150" t="str">
        <f aca="false">IF(AND(ISNUMBER(FS51),ISNUMBER(FS$320),FS$320&lt;&gt;0),FS51*FS$320/FS$15,"")</f>
        <v/>
      </c>
      <c r="FT356" s="150" t="str">
        <f aca="false">IF(AND(ISNUMBER(FT51),ISNUMBER(FT$320),FT$320&lt;&gt;0),FT51*FT$320/FT$15,"")</f>
        <v/>
      </c>
      <c r="FU356" s="150" t="str">
        <f aca="false">IF(AND(ISNUMBER(FU51),ISNUMBER(FU$320),FU$320&lt;&gt;0),FU51*FU$320/FU$15,"")</f>
        <v/>
      </c>
      <c r="FV356" s="150" t="str">
        <f aca="false">IF(AND(ISNUMBER(FV51),ISNUMBER(FV$320),FV$320&lt;&gt;0),FV51*FV$320/FV$15,"")</f>
        <v/>
      </c>
      <c r="FW356" s="150" t="str">
        <f aca="false">IF(AND(ISNUMBER(FW51),ISNUMBER(FW$320),FW$320&lt;&gt;0),FW51*FW$320/FW$15,"")</f>
        <v/>
      </c>
      <c r="FX356" s="150" t="str">
        <f aca="false">IF(AND(ISNUMBER(FX51),ISNUMBER(FX$320),FX$320&lt;&gt;0),FX51*FX$320/FX$15,"")</f>
        <v/>
      </c>
      <c r="FY356" s="150" t="str">
        <f aca="false">IF(AND(ISNUMBER(FY51),ISNUMBER(FY$320),FY$320&lt;&gt;0),FY51*FY$320/FY$15,"")</f>
        <v/>
      </c>
      <c r="FZ356" s="150" t="str">
        <f aca="false">IF(AND(ISNUMBER(FZ51),ISNUMBER(FZ$320),FZ$320&lt;&gt;0),FZ51*FZ$320/FZ$15,"")</f>
        <v/>
      </c>
      <c r="GA356" s="150" t="str">
        <f aca="false">IF(AND(ISNUMBER(GA51),ISNUMBER(GA$320),GA$320&lt;&gt;0),GA51*GA$320/GA$15,"")</f>
        <v/>
      </c>
      <c r="GB356" s="150" t="str">
        <f aca="false">IF(AND(ISNUMBER(GB51),ISNUMBER(GB$320),GB$320&lt;&gt;0),GB51*GB$320/GB$15,"")</f>
        <v/>
      </c>
      <c r="GC356" s="150" t="str">
        <f aca="false">IF(AND(ISNUMBER(GC51),ISNUMBER(GC$320),GC$320&lt;&gt;0),GC51*GC$320/GC$15,"")</f>
        <v/>
      </c>
      <c r="GD356" s="150" t="str">
        <f aca="false">IF(AND(ISNUMBER(GD51),ISNUMBER(GD$320),GD$320&lt;&gt;0),GD51*GD$320/GD$15,"")</f>
        <v/>
      </c>
      <c r="GE356" s="150" t="str">
        <f aca="false">IF(AND(ISNUMBER(GE51),ISNUMBER(GE$320),GE$320&lt;&gt;0),GE51*GE$320/GE$15,"")</f>
        <v/>
      </c>
      <c r="GF356" s="150" t="str">
        <f aca="false">IF(AND(ISNUMBER(GF51),ISNUMBER(GF$320),GF$320&lt;&gt;0),GF51*GF$320/GF$15,"")</f>
        <v/>
      </c>
      <c r="GG356" s="150" t="str">
        <f aca="false">IF(AND(ISNUMBER(GG51),ISNUMBER(GG$320),GG$320&lt;&gt;0),GG51*GG$320/GG$15,"")</f>
        <v/>
      </c>
      <c r="GH356" s="150" t="str">
        <f aca="false">IF(AND(ISNUMBER(GH51),ISNUMBER(GH$320),GH$320&lt;&gt;0),GH51*GH$320/GH$15,"")</f>
        <v/>
      </c>
      <c r="GI356" s="150" t="str">
        <f aca="false">IF(AND(ISNUMBER(GI51),ISNUMBER(GI$320),GI$320&lt;&gt;0),GI51*GI$320/GI$15,"")</f>
        <v/>
      </c>
      <c r="GJ356" s="150" t="str">
        <f aca="false">IF(AND(ISNUMBER(GJ51),ISNUMBER(GJ$320),GJ$320&lt;&gt;0),GJ51*GJ$320/GJ$15,"")</f>
        <v/>
      </c>
      <c r="GK356" s="150" t="str">
        <f aca="false">IF(AND(ISNUMBER(GK51),ISNUMBER(GK$320),GK$320&lt;&gt;0),GK51*GK$320/GK$15,"")</f>
        <v/>
      </c>
      <c r="GL356" s="150" t="str">
        <f aca="false">IF(AND(ISNUMBER(GL51),ISNUMBER(GL$320),GL$320&lt;&gt;0),GL51*GL$320/GL$15,"")</f>
        <v/>
      </c>
      <c r="GM356" s="150" t="str">
        <f aca="false">IF(AND(ISNUMBER(GM51),ISNUMBER(GM$320),GM$320&lt;&gt;0),GM51*GM$320/GM$15,"")</f>
        <v/>
      </c>
      <c r="GN356" s="150" t="str">
        <f aca="false">IF(AND(ISNUMBER(GN51),ISNUMBER(GN$320),GN$320&lt;&gt;0),GN51*GN$320/GN$15,"")</f>
        <v/>
      </c>
      <c r="GO356" s="150" t="str">
        <f aca="false">IF(AND(ISNUMBER(GO51),ISNUMBER(GO$320),GO$320&lt;&gt;0),GO51*GO$320/GO$15,"")</f>
        <v/>
      </c>
      <c r="GP356" s="150" t="str">
        <f aca="false">IF(AND(ISNUMBER(GP51),ISNUMBER(GP$320),GP$320&lt;&gt;0),GP51*GP$320/GP$15,"")</f>
        <v/>
      </c>
      <c r="GQ356" s="150" t="str">
        <f aca="false">IF(AND(ISNUMBER(GQ51),ISNUMBER(GQ$320),GQ$320&lt;&gt;0),GQ51*GQ$320/GQ$15,"")</f>
        <v/>
      </c>
      <c r="GR356" s="150" t="str">
        <f aca="false">IF(AND(ISNUMBER(GR51),ISNUMBER(GR$320),GR$320&lt;&gt;0),GR51*GR$320/GR$15,"")</f>
        <v/>
      </c>
      <c r="GS356" s="150" t="str">
        <f aca="false">IF(AND(ISNUMBER(GS51),ISNUMBER(GS$320),GS$320&lt;&gt;0),GS51*GS$320/GS$15,"")</f>
        <v/>
      </c>
      <c r="GT356" s="150" t="str">
        <f aca="false">IF(AND(ISNUMBER(GT51),ISNUMBER(GT$320),GT$320&lt;&gt;0),GT51*GT$320/GT$15,"")</f>
        <v/>
      </c>
      <c r="GU356" s="150" t="str">
        <f aca="false">IF(AND(ISNUMBER(GU51),ISNUMBER(GU$320),GU$320&lt;&gt;0),GU51*GU$320/GU$15,"")</f>
        <v/>
      </c>
      <c r="GV356" s="150" t="str">
        <f aca="false">IF(AND(ISNUMBER(GV51),ISNUMBER(GV$320),GV$320&lt;&gt;0),GV51*GV$320/GV$15,"")</f>
        <v/>
      </c>
      <c r="GW356" s="150" t="str">
        <f aca="false">IF(AND(ISNUMBER(GW51),ISNUMBER(GW$320),GW$320&lt;&gt;0),GW51*GW$320/GW$15,"")</f>
        <v/>
      </c>
      <c r="GX356" s="150" t="str">
        <f aca="false">IF(AND(ISNUMBER(GX51),ISNUMBER(GX$320),GX$320&lt;&gt;0),GX51*GX$320/GX$15,"")</f>
        <v/>
      </c>
      <c r="GY356" s="150" t="str">
        <f aca="false">IF(AND(ISNUMBER(GY51),ISNUMBER(GY$320),GY$320&lt;&gt;0),GY51*GY$320/GY$15,"")</f>
        <v/>
      </c>
      <c r="GZ356" s="150" t="str">
        <f aca="false">IF(AND(ISNUMBER(GZ51),ISNUMBER(GZ$320),GZ$320&lt;&gt;0),GZ51*GZ$320/GZ$15,"")</f>
        <v/>
      </c>
      <c r="HA356" s="150" t="str">
        <f aca="false">IF(AND(ISNUMBER(HA51),ISNUMBER(HA$320),HA$320&lt;&gt;0),HA51*HA$320/HA$15,"")</f>
        <v/>
      </c>
      <c r="HB356" s="150" t="str">
        <f aca="false">IF(AND(ISNUMBER(HB51),ISNUMBER(HB$320),HB$320&lt;&gt;0),HB51*HB$320/HB$15,"")</f>
        <v/>
      </c>
      <c r="HC356" s="150" t="str">
        <f aca="false">IF(AND(ISNUMBER(HC51),ISNUMBER(HC$320),HC$320&lt;&gt;0),HC51*HC$320/HC$15,"")</f>
        <v/>
      </c>
      <c r="HD356" s="150" t="str">
        <f aca="false">IF(AND(ISNUMBER(HD51),ISNUMBER(HD$320),HD$320&lt;&gt;0),HD51*HD$320/HD$15,"")</f>
        <v/>
      </c>
      <c r="HE356" s="150" t="str">
        <f aca="false">IF(AND(ISNUMBER(HE51),ISNUMBER(HE$320),HE$320&lt;&gt;0),HE51*HE$320/HE$15,"")</f>
        <v/>
      </c>
      <c r="HF356" s="150" t="str">
        <f aca="false">IF(AND(ISNUMBER(HF51),ISNUMBER(HF$320),HF$320&lt;&gt;0),HF51*HF$320/HF$15,"")</f>
        <v/>
      </c>
      <c r="HG356" s="150" t="str">
        <f aca="false">IF(AND(ISNUMBER(HG51),ISNUMBER(HG$320),HG$320&lt;&gt;0),HG51*HG$320/HG$15,"")</f>
        <v/>
      </c>
      <c r="HH356" s="150" t="str">
        <f aca="false">IF(AND(ISNUMBER(HH51),ISNUMBER(HH$320),HH$320&lt;&gt;0),HH51*HH$320/HH$15,"")</f>
        <v/>
      </c>
      <c r="HI356" s="150" t="str">
        <f aca="false">IF(AND(ISNUMBER(HI51),ISNUMBER(HI$320),HI$320&lt;&gt;0),HI51*HI$320/HI$15,"")</f>
        <v/>
      </c>
      <c r="HJ356" s="150" t="str">
        <f aca="false">IF(AND(ISNUMBER(HJ51),ISNUMBER(HJ$320),HJ$320&lt;&gt;0),HJ51*HJ$320/HJ$15,"")</f>
        <v/>
      </c>
      <c r="HK356" s="150" t="str">
        <f aca="false">IF(AND(ISNUMBER(HK51),ISNUMBER(HK$320),HK$320&lt;&gt;0),HK51*HK$320/HK$15,"")</f>
        <v/>
      </c>
      <c r="HL356" s="150" t="str">
        <f aca="false">IF(AND(ISNUMBER(HL51),ISNUMBER(HL$320),HL$320&lt;&gt;0),HL51*HL$320/HL$15,"")</f>
        <v/>
      </c>
      <c r="HM356" s="150" t="str">
        <f aca="false">IF(AND(ISNUMBER(HM51),ISNUMBER(HM$320),HM$320&lt;&gt;0),HM51*HM$320/HM$15,"")</f>
        <v/>
      </c>
      <c r="HN356" s="150" t="str">
        <f aca="false">IF(AND(ISNUMBER(HN51),ISNUMBER(HN$320),HN$320&lt;&gt;0),HN51*HN$320/HN$15,"")</f>
        <v/>
      </c>
      <c r="HO356" s="150" t="str">
        <f aca="false">IF(AND(ISNUMBER(HO51),ISNUMBER(HO$320),HO$320&lt;&gt;0),HO51*HO$320/HO$15,"")</f>
        <v/>
      </c>
      <c r="HP356" s="150" t="str">
        <f aca="false">IF(AND(ISNUMBER(HP51),ISNUMBER(HP$320),HP$320&lt;&gt;0),HP51*HP$320/HP$15,"")</f>
        <v/>
      </c>
      <c r="HQ356" s="150" t="str">
        <f aca="false">IF(AND(ISNUMBER(HQ51),ISNUMBER(HQ$320),HQ$320&lt;&gt;0),HQ51*HQ$320/HQ$15,"")</f>
        <v/>
      </c>
      <c r="HR356" s="150" t="str">
        <f aca="false">IF(AND(ISNUMBER(HR51),ISNUMBER(HR$320),HR$320&lt;&gt;0),HR51*HR$320/HR$15,"")</f>
        <v/>
      </c>
      <c r="HS356" s="150" t="str">
        <f aca="false">IF(AND(ISNUMBER(HS51),ISNUMBER(HS$320),HS$320&lt;&gt;0),HS51*HS$320/HS$15,"")</f>
        <v/>
      </c>
      <c r="HT356" s="150" t="str">
        <f aca="false">IF(AND(ISNUMBER(HT51),ISNUMBER(HT$320),HT$320&lt;&gt;0),HT51*HT$320/HT$15,"")</f>
        <v/>
      </c>
      <c r="HU356" s="150" t="str">
        <f aca="false">IF(AND(ISNUMBER(HU51),ISNUMBER(HU$320),HU$320&lt;&gt;0),HU51*HU$320/HU$15,"")</f>
        <v/>
      </c>
      <c r="HV356" s="150" t="str">
        <f aca="false">IF(AND(ISNUMBER(HV51),ISNUMBER(HV$320),HV$320&lt;&gt;0),HV51*HV$320/HV$15,"")</f>
        <v/>
      </c>
      <c r="HW356" s="150" t="str">
        <f aca="false">IF(AND(ISNUMBER(HW51),ISNUMBER(HW$320),HW$320&lt;&gt;0),HW51*HW$320/HW$15,"")</f>
        <v/>
      </c>
      <c r="HX356" s="150" t="str">
        <f aca="false">IF(AND(ISNUMBER(HX51),ISNUMBER(HX$320),HX$320&lt;&gt;0),HX51*HX$320/HX$15,"")</f>
        <v/>
      </c>
      <c r="HY356" s="150" t="str">
        <f aca="false">IF(AND(ISNUMBER(HY51),ISNUMBER(HY$320),HY$320&lt;&gt;0),HY51*HY$320/HY$15,"")</f>
        <v/>
      </c>
      <c r="HZ356" s="150" t="str">
        <f aca="false">IF(AND(ISNUMBER(HZ51),ISNUMBER(HZ$320),HZ$320&lt;&gt;0),HZ51*HZ$320/HZ$15,"")</f>
        <v/>
      </c>
      <c r="IA356" s="150" t="str">
        <f aca="false">IF(AND(ISNUMBER(IA51),ISNUMBER(IA$320),IA$320&lt;&gt;0),IA51*IA$320/IA$15,"")</f>
        <v/>
      </c>
      <c r="IB356" s="150" t="str">
        <f aca="false">IF(AND(ISNUMBER(IB51),ISNUMBER(IB$320),IB$320&lt;&gt;0),IB51*IB$320/IB$15,"")</f>
        <v/>
      </c>
      <c r="IC356" s="150" t="str">
        <f aca="false">IF(AND(ISNUMBER(IC51),ISNUMBER(IC$320),IC$320&lt;&gt;0),IC51*IC$320/IC$15,"")</f>
        <v/>
      </c>
      <c r="ID356" s="572" t="str">
        <f aca="false">IF(AND(ISNUMBER(ID51),ISNUMBER(ID$320),ID$320&lt;&gt;0),ID51*ID$320/ID$15,"")</f>
        <v/>
      </c>
    </row>
    <row r="357" customFormat="false" ht="12.75" hidden="false" customHeight="false" outlineLevel="0" collapsed="false">
      <c r="I357" s="735"/>
      <c r="J357" s="727"/>
      <c r="K357" s="195"/>
      <c r="L357" s="195"/>
      <c r="M357" s="729"/>
      <c r="P357" s="727"/>
      <c r="S357" s="1"/>
      <c r="T357" s="727"/>
      <c r="U357" s="195"/>
      <c r="V357" s="195"/>
      <c r="W357" s="195"/>
      <c r="X357" s="195"/>
      <c r="Y357" s="195"/>
      <c r="Z357" s="195"/>
      <c r="AA357" s="195"/>
      <c r="AB357" s="195"/>
      <c r="AC357" s="195"/>
      <c r="AD357" s="195"/>
      <c r="AE357" s="195"/>
      <c r="AF357" s="195"/>
      <c r="AG357" s="195"/>
      <c r="AH357" s="195"/>
      <c r="AI357" s="195"/>
      <c r="AJ357" s="195"/>
      <c r="AK357" s="195"/>
      <c r="AL357" s="195"/>
      <c r="AM357" s="195"/>
      <c r="AN357" s="532"/>
      <c r="AO357" s="532"/>
      <c r="AP357" s="240"/>
      <c r="AQ357" s="532"/>
      <c r="AR357" s="240"/>
      <c r="AS357" s="240"/>
      <c r="AT357" s="240"/>
      <c r="AU357" s="730"/>
      <c r="AV357" s="730"/>
      <c r="AW357" s="730"/>
      <c r="AX357" s="730"/>
      <c r="AY357" s="468"/>
      <c r="AZ357" s="468"/>
      <c r="BA357" s="240"/>
      <c r="BB357" s="240"/>
      <c r="BC357" s="240"/>
      <c r="BD357" s="240"/>
      <c r="BE357" s="672"/>
      <c r="BF357" s="672"/>
      <c r="BG357" s="672"/>
      <c r="BH357" s="731"/>
      <c r="BI357" s="672"/>
      <c r="BJ357" s="240"/>
      <c r="BK357" s="736"/>
      <c r="BL357" s="737"/>
      <c r="BM357" s="240"/>
      <c r="BN357" s="240"/>
      <c r="BO357" s="240"/>
      <c r="BP357" s="240"/>
      <c r="BQ357" s="240"/>
      <c r="BR357" s="240"/>
      <c r="BS357" s="240"/>
      <c r="BT357" s="240"/>
      <c r="BU357" s="240"/>
      <c r="BV357" s="240"/>
      <c r="BW357" s="240"/>
      <c r="BX357" s="240"/>
      <c r="BY357" s="240"/>
      <c r="BZ357" s="240"/>
      <c r="CA357" s="240"/>
      <c r="CB357" s="672"/>
      <c r="CC357" s="672"/>
      <c r="CD357" s="672"/>
      <c r="CE357" s="672"/>
      <c r="CF357" s="672"/>
      <c r="CG357" s="672"/>
      <c r="CH357" s="240"/>
      <c r="CI357" s="240"/>
      <c r="CJ357" s="240"/>
      <c r="CK357" s="240"/>
      <c r="CL357" s="240"/>
      <c r="CM357" s="240"/>
      <c r="CN357" s="240"/>
      <c r="CO357" s="240"/>
      <c r="CP357" s="240"/>
      <c r="CQ357" s="240"/>
      <c r="CR357" s="240"/>
      <c r="CS357" s="240"/>
      <c r="CT357" s="240"/>
      <c r="CU357" s="240"/>
      <c r="CV357" s="240"/>
      <c r="CW357" s="240"/>
      <c r="CX357" s="240"/>
      <c r="CY357" s="240"/>
      <c r="CZ357" s="240"/>
      <c r="DA357" s="240"/>
      <c r="DB357" s="240"/>
      <c r="DC357" s="240"/>
      <c r="DD357" s="240"/>
      <c r="DE357" s="240"/>
      <c r="DF357" s="240"/>
      <c r="DG357" s="733"/>
      <c r="DH357" s="478"/>
      <c r="DI357" s="195"/>
      <c r="DJ357" s="3"/>
      <c r="DK357" s="478"/>
      <c r="DL357" s="4"/>
      <c r="DM357" s="4"/>
      <c r="DN357" s="4"/>
      <c r="DO357" s="4"/>
      <c r="DP357" s="4"/>
      <c r="DQ357" s="4"/>
      <c r="DS357" s="195"/>
      <c r="DT357" s="195"/>
      <c r="DU357" s="195"/>
      <c r="DV357" s="195"/>
      <c r="DW357" s="195"/>
      <c r="DX357" s="195"/>
      <c r="DY357" s="195"/>
      <c r="DZ357" s="195"/>
      <c r="EA357" s="195"/>
      <c r="EB357" s="195"/>
      <c r="EC357" s="195"/>
      <c r="ED357" s="195"/>
      <c r="EE357" s="195"/>
      <c r="EF357" s="195"/>
      <c r="EG357" s="195"/>
      <c r="EL357" s="1"/>
      <c r="EM357" s="195"/>
      <c r="EN357" s="240"/>
      <c r="EO357" s="240"/>
      <c r="EP357" s="195"/>
      <c r="EQ357" s="240"/>
      <c r="ER357" s="195"/>
      <c r="ES357" s="195"/>
      <c r="ET357" s="195"/>
      <c r="EU357" s="672"/>
      <c r="FJ357" s="571" t="n">
        <v>33</v>
      </c>
      <c r="FK357" s="150" t="str">
        <f aca="false">IF(AND(ISNUMBER(FK52),ISNUMBER(FK$320),FK$320&lt;&gt;0),FK52*FK$320/FK$15,"")</f>
        <v/>
      </c>
      <c r="FL357" s="150" t="str">
        <f aca="false">IF(AND(ISNUMBER(FL52),ISNUMBER(FL$320),FL$320&lt;&gt;0),FL52*FL$320/FL$15,"")</f>
        <v/>
      </c>
      <c r="FM357" s="150" t="n">
        <f aca="false">IF(AND(ISNUMBER(FM52),ISNUMBER(FM$320),FM$320&lt;&gt;0),FM52*FM$320/FM$15,"")</f>
        <v>0.00258293946937024</v>
      </c>
      <c r="FN357" s="150" t="n">
        <f aca="false">IF(AND(ISNUMBER(FN52),ISNUMBER(FN$320),FN$320&lt;&gt;0),FN52*FN$320/FN$15,"")</f>
        <v>0.00217919192193578</v>
      </c>
      <c r="FO357" s="150" t="n">
        <f aca="false">IF(AND(ISNUMBER(FO52),ISNUMBER(FO$320),FO$320&lt;&gt;0),FO52*FO$320/FO$15,"")</f>
        <v>0.00227303728528962</v>
      </c>
      <c r="FP357" s="150" t="n">
        <f aca="false">IF(AND(ISNUMBER(FP52),ISNUMBER(FP$320),FP$320&lt;&gt;0),FP52*FP$320/FP$15,"")</f>
        <v>0.00126351102350676</v>
      </c>
      <c r="FQ357" s="150" t="str">
        <f aca="false">IF(AND(ISNUMBER(FQ52),ISNUMBER(FQ$320),FQ$320&lt;&gt;0),FQ52*FQ$320/FQ$15,"")</f>
        <v/>
      </c>
      <c r="FR357" s="150" t="str">
        <f aca="false">IF(AND(ISNUMBER(FR52),ISNUMBER(FR$320),FR$320&lt;&gt;0),FR52*FR$320/FR$15,"")</f>
        <v/>
      </c>
      <c r="FS357" s="150" t="str">
        <f aca="false">IF(AND(ISNUMBER(FS52),ISNUMBER(FS$320),FS$320&lt;&gt;0),FS52*FS$320/FS$15,"")</f>
        <v/>
      </c>
      <c r="FT357" s="150" t="str">
        <f aca="false">IF(AND(ISNUMBER(FT52),ISNUMBER(FT$320),FT$320&lt;&gt;0),FT52*FT$320/FT$15,"")</f>
        <v/>
      </c>
      <c r="FU357" s="150" t="str">
        <f aca="false">IF(AND(ISNUMBER(FU52),ISNUMBER(FU$320),FU$320&lt;&gt;0),FU52*FU$320/FU$15,"")</f>
        <v/>
      </c>
      <c r="FV357" s="150" t="str">
        <f aca="false">IF(AND(ISNUMBER(FV52),ISNUMBER(FV$320),FV$320&lt;&gt;0),FV52*FV$320/FV$15,"")</f>
        <v/>
      </c>
      <c r="FW357" s="150" t="str">
        <f aca="false">IF(AND(ISNUMBER(FW52),ISNUMBER(FW$320),FW$320&lt;&gt;0),FW52*FW$320/FW$15,"")</f>
        <v/>
      </c>
      <c r="FX357" s="150" t="str">
        <f aca="false">IF(AND(ISNUMBER(FX52),ISNUMBER(FX$320),FX$320&lt;&gt;0),FX52*FX$320/FX$15,"")</f>
        <v/>
      </c>
      <c r="FY357" s="150" t="str">
        <f aca="false">IF(AND(ISNUMBER(FY52),ISNUMBER(FY$320),FY$320&lt;&gt;0),FY52*FY$320/FY$15,"")</f>
        <v/>
      </c>
      <c r="FZ357" s="150" t="str">
        <f aca="false">IF(AND(ISNUMBER(FZ52),ISNUMBER(FZ$320),FZ$320&lt;&gt;0),FZ52*FZ$320/FZ$15,"")</f>
        <v/>
      </c>
      <c r="GA357" s="150" t="str">
        <f aca="false">IF(AND(ISNUMBER(GA52),ISNUMBER(GA$320),GA$320&lt;&gt;0),GA52*GA$320/GA$15,"")</f>
        <v/>
      </c>
      <c r="GB357" s="150" t="str">
        <f aca="false">IF(AND(ISNUMBER(GB52),ISNUMBER(GB$320),GB$320&lt;&gt;0),GB52*GB$320/GB$15,"")</f>
        <v/>
      </c>
      <c r="GC357" s="150" t="str">
        <f aca="false">IF(AND(ISNUMBER(GC52),ISNUMBER(GC$320),GC$320&lt;&gt;0),GC52*GC$320/GC$15,"")</f>
        <v/>
      </c>
      <c r="GD357" s="150" t="str">
        <f aca="false">IF(AND(ISNUMBER(GD52),ISNUMBER(GD$320),GD$320&lt;&gt;0),GD52*GD$320/GD$15,"")</f>
        <v/>
      </c>
      <c r="GE357" s="150" t="str">
        <f aca="false">IF(AND(ISNUMBER(GE52),ISNUMBER(GE$320),GE$320&lt;&gt;0),GE52*GE$320/GE$15,"")</f>
        <v/>
      </c>
      <c r="GF357" s="150" t="str">
        <f aca="false">IF(AND(ISNUMBER(GF52),ISNUMBER(GF$320),GF$320&lt;&gt;0),GF52*GF$320/GF$15,"")</f>
        <v/>
      </c>
      <c r="GG357" s="150" t="str">
        <f aca="false">IF(AND(ISNUMBER(GG52),ISNUMBER(GG$320),GG$320&lt;&gt;0),GG52*GG$320/GG$15,"")</f>
        <v/>
      </c>
      <c r="GH357" s="150" t="str">
        <f aca="false">IF(AND(ISNUMBER(GH52),ISNUMBER(GH$320),GH$320&lt;&gt;0),GH52*GH$320/GH$15,"")</f>
        <v/>
      </c>
      <c r="GI357" s="150" t="str">
        <f aca="false">IF(AND(ISNUMBER(GI52),ISNUMBER(GI$320),GI$320&lt;&gt;0),GI52*GI$320/GI$15,"")</f>
        <v/>
      </c>
      <c r="GJ357" s="150" t="str">
        <f aca="false">IF(AND(ISNUMBER(GJ52),ISNUMBER(GJ$320),GJ$320&lt;&gt;0),GJ52*GJ$320/GJ$15,"")</f>
        <v/>
      </c>
      <c r="GK357" s="150" t="str">
        <f aca="false">IF(AND(ISNUMBER(GK52),ISNUMBER(GK$320),GK$320&lt;&gt;0),GK52*GK$320/GK$15,"")</f>
        <v/>
      </c>
      <c r="GL357" s="150" t="str">
        <f aca="false">IF(AND(ISNUMBER(GL52),ISNUMBER(GL$320),GL$320&lt;&gt;0),GL52*GL$320/GL$15,"")</f>
        <v/>
      </c>
      <c r="GM357" s="150" t="str">
        <f aca="false">IF(AND(ISNUMBER(GM52),ISNUMBER(GM$320),GM$320&lt;&gt;0),GM52*GM$320/GM$15,"")</f>
        <v/>
      </c>
      <c r="GN357" s="150" t="str">
        <f aca="false">IF(AND(ISNUMBER(GN52),ISNUMBER(GN$320),GN$320&lt;&gt;0),GN52*GN$320/GN$15,"")</f>
        <v/>
      </c>
      <c r="GO357" s="150" t="str">
        <f aca="false">IF(AND(ISNUMBER(GO52),ISNUMBER(GO$320),GO$320&lt;&gt;0),GO52*GO$320/GO$15,"")</f>
        <v/>
      </c>
      <c r="GP357" s="150" t="str">
        <f aca="false">IF(AND(ISNUMBER(GP52),ISNUMBER(GP$320),GP$320&lt;&gt;0),GP52*GP$320/GP$15,"")</f>
        <v/>
      </c>
      <c r="GQ357" s="150" t="str">
        <f aca="false">IF(AND(ISNUMBER(GQ52),ISNUMBER(GQ$320),GQ$320&lt;&gt;0),GQ52*GQ$320/GQ$15,"")</f>
        <v/>
      </c>
      <c r="GR357" s="150" t="str">
        <f aca="false">IF(AND(ISNUMBER(GR52),ISNUMBER(GR$320),GR$320&lt;&gt;0),GR52*GR$320/GR$15,"")</f>
        <v/>
      </c>
      <c r="GS357" s="150" t="str">
        <f aca="false">IF(AND(ISNUMBER(GS52),ISNUMBER(GS$320),GS$320&lt;&gt;0),GS52*GS$320/GS$15,"")</f>
        <v/>
      </c>
      <c r="GT357" s="150" t="str">
        <f aca="false">IF(AND(ISNUMBER(GT52),ISNUMBER(GT$320),GT$320&lt;&gt;0),GT52*GT$320/GT$15,"")</f>
        <v/>
      </c>
      <c r="GU357" s="150" t="str">
        <f aca="false">IF(AND(ISNUMBER(GU52),ISNUMBER(GU$320),GU$320&lt;&gt;0),GU52*GU$320/GU$15,"")</f>
        <v/>
      </c>
      <c r="GV357" s="150" t="str">
        <f aca="false">IF(AND(ISNUMBER(GV52),ISNUMBER(GV$320),GV$320&lt;&gt;0),GV52*GV$320/GV$15,"")</f>
        <v/>
      </c>
      <c r="GW357" s="150" t="str">
        <f aca="false">IF(AND(ISNUMBER(GW52),ISNUMBER(GW$320),GW$320&lt;&gt;0),GW52*GW$320/GW$15,"")</f>
        <v/>
      </c>
      <c r="GX357" s="150" t="str">
        <f aca="false">IF(AND(ISNUMBER(GX52),ISNUMBER(GX$320),GX$320&lt;&gt;0),GX52*GX$320/GX$15,"")</f>
        <v/>
      </c>
      <c r="GY357" s="150" t="str">
        <f aca="false">IF(AND(ISNUMBER(GY52),ISNUMBER(GY$320),GY$320&lt;&gt;0),GY52*GY$320/GY$15,"")</f>
        <v/>
      </c>
      <c r="GZ357" s="150" t="str">
        <f aca="false">IF(AND(ISNUMBER(GZ52),ISNUMBER(GZ$320),GZ$320&lt;&gt;0),GZ52*GZ$320/GZ$15,"")</f>
        <v/>
      </c>
      <c r="HA357" s="150" t="str">
        <f aca="false">IF(AND(ISNUMBER(HA52),ISNUMBER(HA$320),HA$320&lt;&gt;0),HA52*HA$320/HA$15,"")</f>
        <v/>
      </c>
      <c r="HB357" s="150" t="str">
        <f aca="false">IF(AND(ISNUMBER(HB52),ISNUMBER(HB$320),HB$320&lt;&gt;0),HB52*HB$320/HB$15,"")</f>
        <v/>
      </c>
      <c r="HC357" s="150" t="str">
        <f aca="false">IF(AND(ISNUMBER(HC52),ISNUMBER(HC$320),HC$320&lt;&gt;0),HC52*HC$320/HC$15,"")</f>
        <v/>
      </c>
      <c r="HD357" s="150" t="str">
        <f aca="false">IF(AND(ISNUMBER(HD52),ISNUMBER(HD$320),HD$320&lt;&gt;0),HD52*HD$320/HD$15,"")</f>
        <v/>
      </c>
      <c r="HE357" s="150" t="str">
        <f aca="false">IF(AND(ISNUMBER(HE52),ISNUMBER(HE$320),HE$320&lt;&gt;0),HE52*HE$320/HE$15,"")</f>
        <v/>
      </c>
      <c r="HF357" s="150" t="str">
        <f aca="false">IF(AND(ISNUMBER(HF52),ISNUMBER(HF$320),HF$320&lt;&gt;0),HF52*HF$320/HF$15,"")</f>
        <v/>
      </c>
      <c r="HG357" s="150" t="str">
        <f aca="false">IF(AND(ISNUMBER(HG52),ISNUMBER(HG$320),HG$320&lt;&gt;0),HG52*HG$320/HG$15,"")</f>
        <v/>
      </c>
      <c r="HH357" s="150" t="str">
        <f aca="false">IF(AND(ISNUMBER(HH52),ISNUMBER(HH$320),HH$320&lt;&gt;0),HH52*HH$320/HH$15,"")</f>
        <v/>
      </c>
      <c r="HI357" s="150" t="str">
        <f aca="false">IF(AND(ISNUMBER(HI52),ISNUMBER(HI$320),HI$320&lt;&gt;0),HI52*HI$320/HI$15,"")</f>
        <v/>
      </c>
      <c r="HJ357" s="150" t="str">
        <f aca="false">IF(AND(ISNUMBER(HJ52),ISNUMBER(HJ$320),HJ$320&lt;&gt;0),HJ52*HJ$320/HJ$15,"")</f>
        <v/>
      </c>
      <c r="HK357" s="150" t="str">
        <f aca="false">IF(AND(ISNUMBER(HK52),ISNUMBER(HK$320),HK$320&lt;&gt;0),HK52*HK$320/HK$15,"")</f>
        <v/>
      </c>
      <c r="HL357" s="150" t="str">
        <f aca="false">IF(AND(ISNUMBER(HL52),ISNUMBER(HL$320),HL$320&lt;&gt;0),HL52*HL$320/HL$15,"")</f>
        <v/>
      </c>
      <c r="HM357" s="150" t="str">
        <f aca="false">IF(AND(ISNUMBER(HM52),ISNUMBER(HM$320),HM$320&lt;&gt;0),HM52*HM$320/HM$15,"")</f>
        <v/>
      </c>
      <c r="HN357" s="150" t="str">
        <f aca="false">IF(AND(ISNUMBER(HN52),ISNUMBER(HN$320),HN$320&lt;&gt;0),HN52*HN$320/HN$15,"")</f>
        <v/>
      </c>
      <c r="HO357" s="150" t="str">
        <f aca="false">IF(AND(ISNUMBER(HO52),ISNUMBER(HO$320),HO$320&lt;&gt;0),HO52*HO$320/HO$15,"")</f>
        <v/>
      </c>
      <c r="HP357" s="150" t="str">
        <f aca="false">IF(AND(ISNUMBER(HP52),ISNUMBER(HP$320),HP$320&lt;&gt;0),HP52*HP$320/HP$15,"")</f>
        <v/>
      </c>
      <c r="HQ357" s="150" t="str">
        <f aca="false">IF(AND(ISNUMBER(HQ52),ISNUMBER(HQ$320),HQ$320&lt;&gt;0),HQ52*HQ$320/HQ$15,"")</f>
        <v/>
      </c>
      <c r="HR357" s="150" t="str">
        <f aca="false">IF(AND(ISNUMBER(HR52),ISNUMBER(HR$320),HR$320&lt;&gt;0),HR52*HR$320/HR$15,"")</f>
        <v/>
      </c>
      <c r="HS357" s="150" t="str">
        <f aca="false">IF(AND(ISNUMBER(HS52),ISNUMBER(HS$320),HS$320&lt;&gt;0),HS52*HS$320/HS$15,"")</f>
        <v/>
      </c>
      <c r="HT357" s="150" t="str">
        <f aca="false">IF(AND(ISNUMBER(HT52),ISNUMBER(HT$320),HT$320&lt;&gt;0),HT52*HT$320/HT$15,"")</f>
        <v/>
      </c>
      <c r="HU357" s="150" t="str">
        <f aca="false">IF(AND(ISNUMBER(HU52),ISNUMBER(HU$320),HU$320&lt;&gt;0),HU52*HU$320/HU$15,"")</f>
        <v/>
      </c>
      <c r="HV357" s="150" t="str">
        <f aca="false">IF(AND(ISNUMBER(HV52),ISNUMBER(HV$320),HV$320&lt;&gt;0),HV52*HV$320/HV$15,"")</f>
        <v/>
      </c>
      <c r="HW357" s="150" t="str">
        <f aca="false">IF(AND(ISNUMBER(HW52),ISNUMBER(HW$320),HW$320&lt;&gt;0),HW52*HW$320/HW$15,"")</f>
        <v/>
      </c>
      <c r="HX357" s="150" t="str">
        <f aca="false">IF(AND(ISNUMBER(HX52),ISNUMBER(HX$320),HX$320&lt;&gt;0),HX52*HX$320/HX$15,"")</f>
        <v/>
      </c>
      <c r="HY357" s="150" t="str">
        <f aca="false">IF(AND(ISNUMBER(HY52),ISNUMBER(HY$320),HY$320&lt;&gt;0),HY52*HY$320/HY$15,"")</f>
        <v/>
      </c>
      <c r="HZ357" s="150" t="str">
        <f aca="false">IF(AND(ISNUMBER(HZ52),ISNUMBER(HZ$320),HZ$320&lt;&gt;0),HZ52*HZ$320/HZ$15,"")</f>
        <v/>
      </c>
      <c r="IA357" s="150" t="str">
        <f aca="false">IF(AND(ISNUMBER(IA52),ISNUMBER(IA$320),IA$320&lt;&gt;0),IA52*IA$320/IA$15,"")</f>
        <v/>
      </c>
      <c r="IB357" s="150" t="str">
        <f aca="false">IF(AND(ISNUMBER(IB52),ISNUMBER(IB$320),IB$320&lt;&gt;0),IB52*IB$320/IB$15,"")</f>
        <v/>
      </c>
      <c r="IC357" s="150" t="str">
        <f aca="false">IF(AND(ISNUMBER(IC52),ISNUMBER(IC$320),IC$320&lt;&gt;0),IC52*IC$320/IC$15,"")</f>
        <v/>
      </c>
      <c r="ID357" s="572" t="str">
        <f aca="false">IF(AND(ISNUMBER(ID52),ISNUMBER(ID$320),ID$320&lt;&gt;0),ID52*ID$320/ID$15,"")</f>
        <v/>
      </c>
    </row>
    <row r="358" customFormat="false" ht="12.75" hidden="false" customHeight="false" outlineLevel="0" collapsed="false">
      <c r="I358" s="735"/>
      <c r="J358" s="727"/>
      <c r="K358" s="195"/>
      <c r="L358" s="195"/>
      <c r="M358" s="729"/>
      <c r="P358" s="727"/>
      <c r="S358" s="1"/>
      <c r="T358" s="727"/>
      <c r="U358" s="195"/>
      <c r="V358" s="195"/>
      <c r="W358" s="195"/>
      <c r="X358" s="195"/>
      <c r="Y358" s="195"/>
      <c r="Z358" s="195"/>
      <c r="AA358" s="195"/>
      <c r="AB358" s="195"/>
      <c r="AC358" s="195"/>
      <c r="AD358" s="195"/>
      <c r="AE358" s="195"/>
      <c r="AF358" s="195"/>
      <c r="AG358" s="195"/>
      <c r="AH358" s="195"/>
      <c r="AI358" s="195"/>
      <c r="AJ358" s="195"/>
      <c r="AK358" s="195"/>
      <c r="AL358" s="195"/>
      <c r="AM358" s="195"/>
      <c r="AN358" s="532"/>
      <c r="AO358" s="532"/>
      <c r="AP358" s="240"/>
      <c r="AQ358" s="532"/>
      <c r="AR358" s="240"/>
      <c r="AS358" s="240"/>
      <c r="AT358" s="240"/>
      <c r="AU358" s="730"/>
      <c r="AV358" s="730"/>
      <c r="AW358" s="730"/>
      <c r="AX358" s="730"/>
      <c r="AY358" s="468"/>
      <c r="AZ358" s="468"/>
      <c r="BA358" s="240"/>
      <c r="BB358" s="240"/>
      <c r="BC358" s="240"/>
      <c r="BD358" s="240"/>
      <c r="BE358" s="672"/>
      <c r="BF358" s="672"/>
      <c r="BG358" s="672"/>
      <c r="BH358" s="731"/>
      <c r="BI358" s="672"/>
      <c r="BJ358" s="240"/>
      <c r="BK358" s="736"/>
      <c r="BL358" s="737"/>
      <c r="BM358" s="240"/>
      <c r="BN358" s="240"/>
      <c r="BO358" s="240"/>
      <c r="BP358" s="240"/>
      <c r="BQ358" s="240"/>
      <c r="BR358" s="240"/>
      <c r="BS358" s="240"/>
      <c r="BT358" s="240"/>
      <c r="BU358" s="240"/>
      <c r="BV358" s="240"/>
      <c r="BW358" s="240"/>
      <c r="BX358" s="240"/>
      <c r="BY358" s="240"/>
      <c r="BZ358" s="240"/>
      <c r="CA358" s="240"/>
      <c r="CB358" s="672"/>
      <c r="CC358" s="672"/>
      <c r="CD358" s="672"/>
      <c r="CE358" s="672"/>
      <c r="CF358" s="672"/>
      <c r="CG358" s="672"/>
      <c r="CH358" s="240"/>
      <c r="CI358" s="240"/>
      <c r="CJ358" s="240"/>
      <c r="CK358" s="240"/>
      <c r="CL358" s="240"/>
      <c r="CM358" s="240"/>
      <c r="CN358" s="240"/>
      <c r="CO358" s="240"/>
      <c r="CP358" s="240"/>
      <c r="CQ358" s="240"/>
      <c r="CR358" s="240"/>
      <c r="CS358" s="240"/>
      <c r="CT358" s="240"/>
      <c r="CU358" s="240"/>
      <c r="CV358" s="240"/>
      <c r="CW358" s="240"/>
      <c r="CX358" s="240"/>
      <c r="CY358" s="240"/>
      <c r="CZ358" s="240"/>
      <c r="DA358" s="240"/>
      <c r="DB358" s="240"/>
      <c r="DC358" s="240"/>
      <c r="DD358" s="240"/>
      <c r="DE358" s="240"/>
      <c r="DF358" s="240"/>
      <c r="DG358" s="733"/>
      <c r="DH358" s="478"/>
      <c r="DI358" s="195"/>
      <c r="DJ358" s="3"/>
      <c r="DK358" s="478"/>
      <c r="DL358" s="4"/>
      <c r="DM358" s="4"/>
      <c r="DN358" s="4"/>
      <c r="DO358" s="4"/>
      <c r="DP358" s="4"/>
      <c r="DQ358" s="4"/>
      <c r="DS358" s="195"/>
      <c r="DT358" s="195"/>
      <c r="DU358" s="195"/>
      <c r="DV358" s="195"/>
      <c r="DW358" s="195"/>
      <c r="DX358" s="195"/>
      <c r="DY358" s="195"/>
      <c r="DZ358" s="195"/>
      <c r="EA358" s="195"/>
      <c r="EB358" s="195"/>
      <c r="EC358" s="195"/>
      <c r="ED358" s="195"/>
      <c r="EE358" s="195"/>
      <c r="EF358" s="195"/>
      <c r="EG358" s="195"/>
      <c r="EL358" s="1"/>
      <c r="EM358" s="195"/>
      <c r="EN358" s="240"/>
      <c r="EO358" s="240"/>
      <c r="EP358" s="195"/>
      <c r="EQ358" s="240"/>
      <c r="ER358" s="195"/>
      <c r="ES358" s="195"/>
      <c r="ET358" s="195"/>
      <c r="EU358" s="672"/>
      <c r="FJ358" s="571" t="n">
        <v>34</v>
      </c>
      <c r="FK358" s="150" t="str">
        <f aca="false">IF(AND(ISNUMBER(FK53),ISNUMBER(FK$320),FK$320&lt;&gt;0),FK53*FK$320/FK$15,"")</f>
        <v/>
      </c>
      <c r="FL358" s="150" t="str">
        <f aca="false">IF(AND(ISNUMBER(FL53),ISNUMBER(FL$320),FL$320&lt;&gt;0),FL53*FL$320/FL$15,"")</f>
        <v/>
      </c>
      <c r="FM358" s="150" t="n">
        <f aca="false">IF(AND(ISNUMBER(FM53),ISNUMBER(FM$320),FM$320&lt;&gt;0),FM53*FM$320/FM$15,"")</f>
        <v>0.00257765970011228</v>
      </c>
      <c r="FN358" s="150" t="n">
        <f aca="false">IF(AND(ISNUMBER(FN53),ISNUMBER(FN$320),FN$320&lt;&gt;0),FN53*FN$320/FN$15,"")</f>
        <v>0.00217398201362907</v>
      </c>
      <c r="FO358" s="150" t="n">
        <f aca="false">IF(AND(ISNUMBER(FO53),ISNUMBER(FO$320),FO$320&lt;&gt;0),FO53*FO$320/FO$15,"")</f>
        <v>0.00226668141472363</v>
      </c>
      <c r="FP358" s="150" t="n">
        <f aca="false">IF(AND(ISNUMBER(FP53),ISNUMBER(FP$320),FP$320&lt;&gt;0),FP53*FP$320/FP$15,"")</f>
        <v>0.00125937882282188</v>
      </c>
      <c r="FQ358" s="150" t="str">
        <f aca="false">IF(AND(ISNUMBER(FQ53),ISNUMBER(FQ$320),FQ$320&lt;&gt;0),FQ53*FQ$320/FQ$15,"")</f>
        <v/>
      </c>
      <c r="FR358" s="150" t="str">
        <f aca="false">IF(AND(ISNUMBER(FR53),ISNUMBER(FR$320),FR$320&lt;&gt;0),FR53*FR$320/FR$15,"")</f>
        <v/>
      </c>
      <c r="FS358" s="150" t="str">
        <f aca="false">IF(AND(ISNUMBER(FS53),ISNUMBER(FS$320),FS$320&lt;&gt;0),FS53*FS$320/FS$15,"")</f>
        <v/>
      </c>
      <c r="FT358" s="150" t="str">
        <f aca="false">IF(AND(ISNUMBER(FT53),ISNUMBER(FT$320),FT$320&lt;&gt;0),FT53*FT$320/FT$15,"")</f>
        <v/>
      </c>
      <c r="FU358" s="150" t="str">
        <f aca="false">IF(AND(ISNUMBER(FU53),ISNUMBER(FU$320),FU$320&lt;&gt;0),FU53*FU$320/FU$15,"")</f>
        <v/>
      </c>
      <c r="FV358" s="150" t="str">
        <f aca="false">IF(AND(ISNUMBER(FV53),ISNUMBER(FV$320),FV$320&lt;&gt;0),FV53*FV$320/FV$15,"")</f>
        <v/>
      </c>
      <c r="FW358" s="150" t="str">
        <f aca="false">IF(AND(ISNUMBER(FW53),ISNUMBER(FW$320),FW$320&lt;&gt;0),FW53*FW$320/FW$15,"")</f>
        <v/>
      </c>
      <c r="FX358" s="150" t="str">
        <f aca="false">IF(AND(ISNUMBER(FX53),ISNUMBER(FX$320),FX$320&lt;&gt;0),FX53*FX$320/FX$15,"")</f>
        <v/>
      </c>
      <c r="FY358" s="150" t="str">
        <f aca="false">IF(AND(ISNUMBER(FY53),ISNUMBER(FY$320),FY$320&lt;&gt;0),FY53*FY$320/FY$15,"")</f>
        <v/>
      </c>
      <c r="FZ358" s="150" t="str">
        <f aca="false">IF(AND(ISNUMBER(FZ53),ISNUMBER(FZ$320),FZ$320&lt;&gt;0),FZ53*FZ$320/FZ$15,"")</f>
        <v/>
      </c>
      <c r="GA358" s="150" t="str">
        <f aca="false">IF(AND(ISNUMBER(GA53),ISNUMBER(GA$320),GA$320&lt;&gt;0),GA53*GA$320/GA$15,"")</f>
        <v/>
      </c>
      <c r="GB358" s="150" t="str">
        <f aca="false">IF(AND(ISNUMBER(GB53),ISNUMBER(GB$320),GB$320&lt;&gt;0),GB53*GB$320/GB$15,"")</f>
        <v/>
      </c>
      <c r="GC358" s="150" t="str">
        <f aca="false">IF(AND(ISNUMBER(GC53),ISNUMBER(GC$320),GC$320&lt;&gt;0),GC53*GC$320/GC$15,"")</f>
        <v/>
      </c>
      <c r="GD358" s="150" t="str">
        <f aca="false">IF(AND(ISNUMBER(GD53),ISNUMBER(GD$320),GD$320&lt;&gt;0),GD53*GD$320/GD$15,"")</f>
        <v/>
      </c>
      <c r="GE358" s="150" t="str">
        <f aca="false">IF(AND(ISNUMBER(GE53),ISNUMBER(GE$320),GE$320&lt;&gt;0),GE53*GE$320/GE$15,"")</f>
        <v/>
      </c>
      <c r="GF358" s="150" t="str">
        <f aca="false">IF(AND(ISNUMBER(GF53),ISNUMBER(GF$320),GF$320&lt;&gt;0),GF53*GF$320/GF$15,"")</f>
        <v/>
      </c>
      <c r="GG358" s="150" t="str">
        <f aca="false">IF(AND(ISNUMBER(GG53),ISNUMBER(GG$320),GG$320&lt;&gt;0),GG53*GG$320/GG$15,"")</f>
        <v/>
      </c>
      <c r="GH358" s="150" t="str">
        <f aca="false">IF(AND(ISNUMBER(GH53),ISNUMBER(GH$320),GH$320&lt;&gt;0),GH53*GH$320/GH$15,"")</f>
        <v/>
      </c>
      <c r="GI358" s="150" t="str">
        <f aca="false">IF(AND(ISNUMBER(GI53),ISNUMBER(GI$320),GI$320&lt;&gt;0),GI53*GI$320/GI$15,"")</f>
        <v/>
      </c>
      <c r="GJ358" s="150" t="str">
        <f aca="false">IF(AND(ISNUMBER(GJ53),ISNUMBER(GJ$320),GJ$320&lt;&gt;0),GJ53*GJ$320/GJ$15,"")</f>
        <v/>
      </c>
      <c r="GK358" s="150" t="str">
        <f aca="false">IF(AND(ISNUMBER(GK53),ISNUMBER(GK$320),GK$320&lt;&gt;0),GK53*GK$320/GK$15,"")</f>
        <v/>
      </c>
      <c r="GL358" s="150" t="str">
        <f aca="false">IF(AND(ISNUMBER(GL53),ISNUMBER(GL$320),GL$320&lt;&gt;0),GL53*GL$320/GL$15,"")</f>
        <v/>
      </c>
      <c r="GM358" s="150" t="str">
        <f aca="false">IF(AND(ISNUMBER(GM53),ISNUMBER(GM$320),GM$320&lt;&gt;0),GM53*GM$320/GM$15,"")</f>
        <v/>
      </c>
      <c r="GN358" s="150" t="str">
        <f aca="false">IF(AND(ISNUMBER(GN53),ISNUMBER(GN$320),GN$320&lt;&gt;0),GN53*GN$320/GN$15,"")</f>
        <v/>
      </c>
      <c r="GO358" s="150" t="str">
        <f aca="false">IF(AND(ISNUMBER(GO53),ISNUMBER(GO$320),GO$320&lt;&gt;0),GO53*GO$320/GO$15,"")</f>
        <v/>
      </c>
      <c r="GP358" s="150" t="str">
        <f aca="false">IF(AND(ISNUMBER(GP53),ISNUMBER(GP$320),GP$320&lt;&gt;0),GP53*GP$320/GP$15,"")</f>
        <v/>
      </c>
      <c r="GQ358" s="150" t="str">
        <f aca="false">IF(AND(ISNUMBER(GQ53),ISNUMBER(GQ$320),GQ$320&lt;&gt;0),GQ53*GQ$320/GQ$15,"")</f>
        <v/>
      </c>
      <c r="GR358" s="150" t="str">
        <f aca="false">IF(AND(ISNUMBER(GR53),ISNUMBER(GR$320),GR$320&lt;&gt;0),GR53*GR$320/GR$15,"")</f>
        <v/>
      </c>
      <c r="GS358" s="150" t="str">
        <f aca="false">IF(AND(ISNUMBER(GS53),ISNUMBER(GS$320),GS$320&lt;&gt;0),GS53*GS$320/GS$15,"")</f>
        <v/>
      </c>
      <c r="GT358" s="150" t="str">
        <f aca="false">IF(AND(ISNUMBER(GT53),ISNUMBER(GT$320),GT$320&lt;&gt;0),GT53*GT$320/GT$15,"")</f>
        <v/>
      </c>
      <c r="GU358" s="150" t="str">
        <f aca="false">IF(AND(ISNUMBER(GU53),ISNUMBER(GU$320),GU$320&lt;&gt;0),GU53*GU$320/GU$15,"")</f>
        <v/>
      </c>
      <c r="GV358" s="150" t="str">
        <f aca="false">IF(AND(ISNUMBER(GV53),ISNUMBER(GV$320),GV$320&lt;&gt;0),GV53*GV$320/GV$15,"")</f>
        <v/>
      </c>
      <c r="GW358" s="150" t="str">
        <f aca="false">IF(AND(ISNUMBER(GW53),ISNUMBER(GW$320),GW$320&lt;&gt;0),GW53*GW$320/GW$15,"")</f>
        <v/>
      </c>
      <c r="GX358" s="150" t="str">
        <f aca="false">IF(AND(ISNUMBER(GX53),ISNUMBER(GX$320),GX$320&lt;&gt;0),GX53*GX$320/GX$15,"")</f>
        <v/>
      </c>
      <c r="GY358" s="150" t="str">
        <f aca="false">IF(AND(ISNUMBER(GY53),ISNUMBER(GY$320),GY$320&lt;&gt;0),GY53*GY$320/GY$15,"")</f>
        <v/>
      </c>
      <c r="GZ358" s="150" t="str">
        <f aca="false">IF(AND(ISNUMBER(GZ53),ISNUMBER(GZ$320),GZ$320&lt;&gt;0),GZ53*GZ$320/GZ$15,"")</f>
        <v/>
      </c>
      <c r="HA358" s="150" t="str">
        <f aca="false">IF(AND(ISNUMBER(HA53),ISNUMBER(HA$320),HA$320&lt;&gt;0),HA53*HA$320/HA$15,"")</f>
        <v/>
      </c>
      <c r="HB358" s="150" t="str">
        <f aca="false">IF(AND(ISNUMBER(HB53),ISNUMBER(HB$320),HB$320&lt;&gt;0),HB53*HB$320/HB$15,"")</f>
        <v/>
      </c>
      <c r="HC358" s="150" t="str">
        <f aca="false">IF(AND(ISNUMBER(HC53),ISNUMBER(HC$320),HC$320&lt;&gt;0),HC53*HC$320/HC$15,"")</f>
        <v/>
      </c>
      <c r="HD358" s="150" t="str">
        <f aca="false">IF(AND(ISNUMBER(HD53),ISNUMBER(HD$320),HD$320&lt;&gt;0),HD53*HD$320/HD$15,"")</f>
        <v/>
      </c>
      <c r="HE358" s="150" t="str">
        <f aca="false">IF(AND(ISNUMBER(HE53),ISNUMBER(HE$320),HE$320&lt;&gt;0),HE53*HE$320/HE$15,"")</f>
        <v/>
      </c>
      <c r="HF358" s="150" t="str">
        <f aca="false">IF(AND(ISNUMBER(HF53),ISNUMBER(HF$320),HF$320&lt;&gt;0),HF53*HF$320/HF$15,"")</f>
        <v/>
      </c>
      <c r="HG358" s="150" t="str">
        <f aca="false">IF(AND(ISNUMBER(HG53),ISNUMBER(HG$320),HG$320&lt;&gt;0),HG53*HG$320/HG$15,"")</f>
        <v/>
      </c>
      <c r="HH358" s="150" t="str">
        <f aca="false">IF(AND(ISNUMBER(HH53),ISNUMBER(HH$320),HH$320&lt;&gt;0),HH53*HH$320/HH$15,"")</f>
        <v/>
      </c>
      <c r="HI358" s="150" t="str">
        <f aca="false">IF(AND(ISNUMBER(HI53),ISNUMBER(HI$320),HI$320&lt;&gt;0),HI53*HI$320/HI$15,"")</f>
        <v/>
      </c>
      <c r="HJ358" s="150" t="str">
        <f aca="false">IF(AND(ISNUMBER(HJ53),ISNUMBER(HJ$320),HJ$320&lt;&gt;0),HJ53*HJ$320/HJ$15,"")</f>
        <v/>
      </c>
      <c r="HK358" s="150" t="str">
        <f aca="false">IF(AND(ISNUMBER(HK53),ISNUMBER(HK$320),HK$320&lt;&gt;0),HK53*HK$320/HK$15,"")</f>
        <v/>
      </c>
      <c r="HL358" s="150" t="str">
        <f aca="false">IF(AND(ISNUMBER(HL53),ISNUMBER(HL$320),HL$320&lt;&gt;0),HL53*HL$320/HL$15,"")</f>
        <v/>
      </c>
      <c r="HM358" s="150" t="str">
        <f aca="false">IF(AND(ISNUMBER(HM53),ISNUMBER(HM$320),HM$320&lt;&gt;0),HM53*HM$320/HM$15,"")</f>
        <v/>
      </c>
      <c r="HN358" s="150" t="str">
        <f aca="false">IF(AND(ISNUMBER(HN53),ISNUMBER(HN$320),HN$320&lt;&gt;0),HN53*HN$320/HN$15,"")</f>
        <v/>
      </c>
      <c r="HO358" s="150" t="str">
        <f aca="false">IF(AND(ISNUMBER(HO53),ISNUMBER(HO$320),HO$320&lt;&gt;0),HO53*HO$320/HO$15,"")</f>
        <v/>
      </c>
      <c r="HP358" s="150" t="str">
        <f aca="false">IF(AND(ISNUMBER(HP53),ISNUMBER(HP$320),HP$320&lt;&gt;0),HP53*HP$320/HP$15,"")</f>
        <v/>
      </c>
      <c r="HQ358" s="150" t="str">
        <f aca="false">IF(AND(ISNUMBER(HQ53),ISNUMBER(HQ$320),HQ$320&lt;&gt;0),HQ53*HQ$320/HQ$15,"")</f>
        <v/>
      </c>
      <c r="HR358" s="150" t="str">
        <f aca="false">IF(AND(ISNUMBER(HR53),ISNUMBER(HR$320),HR$320&lt;&gt;0),HR53*HR$320/HR$15,"")</f>
        <v/>
      </c>
      <c r="HS358" s="150" t="str">
        <f aca="false">IF(AND(ISNUMBER(HS53),ISNUMBER(HS$320),HS$320&lt;&gt;0),HS53*HS$320/HS$15,"")</f>
        <v/>
      </c>
      <c r="HT358" s="150" t="str">
        <f aca="false">IF(AND(ISNUMBER(HT53),ISNUMBER(HT$320),HT$320&lt;&gt;0),HT53*HT$320/HT$15,"")</f>
        <v/>
      </c>
      <c r="HU358" s="150" t="str">
        <f aca="false">IF(AND(ISNUMBER(HU53),ISNUMBER(HU$320),HU$320&lt;&gt;0),HU53*HU$320/HU$15,"")</f>
        <v/>
      </c>
      <c r="HV358" s="150" t="str">
        <f aca="false">IF(AND(ISNUMBER(HV53),ISNUMBER(HV$320),HV$320&lt;&gt;0),HV53*HV$320/HV$15,"")</f>
        <v/>
      </c>
      <c r="HW358" s="150" t="str">
        <f aca="false">IF(AND(ISNUMBER(HW53),ISNUMBER(HW$320),HW$320&lt;&gt;0),HW53*HW$320/HW$15,"")</f>
        <v/>
      </c>
      <c r="HX358" s="150" t="str">
        <f aca="false">IF(AND(ISNUMBER(HX53),ISNUMBER(HX$320),HX$320&lt;&gt;0),HX53*HX$320/HX$15,"")</f>
        <v/>
      </c>
      <c r="HY358" s="150" t="str">
        <f aca="false">IF(AND(ISNUMBER(HY53),ISNUMBER(HY$320),HY$320&lt;&gt;0),HY53*HY$320/HY$15,"")</f>
        <v/>
      </c>
      <c r="HZ358" s="150" t="str">
        <f aca="false">IF(AND(ISNUMBER(HZ53),ISNUMBER(HZ$320),HZ$320&lt;&gt;0),HZ53*HZ$320/HZ$15,"")</f>
        <v/>
      </c>
      <c r="IA358" s="150" t="str">
        <f aca="false">IF(AND(ISNUMBER(IA53),ISNUMBER(IA$320),IA$320&lt;&gt;0),IA53*IA$320/IA$15,"")</f>
        <v/>
      </c>
      <c r="IB358" s="150" t="str">
        <f aca="false">IF(AND(ISNUMBER(IB53),ISNUMBER(IB$320),IB$320&lt;&gt;0),IB53*IB$320/IB$15,"")</f>
        <v/>
      </c>
      <c r="IC358" s="150" t="str">
        <f aca="false">IF(AND(ISNUMBER(IC53),ISNUMBER(IC$320),IC$320&lt;&gt;0),IC53*IC$320/IC$15,"")</f>
        <v/>
      </c>
      <c r="ID358" s="572" t="str">
        <f aca="false">IF(AND(ISNUMBER(ID53),ISNUMBER(ID$320),ID$320&lt;&gt;0),ID53*ID$320/ID$15,"")</f>
        <v/>
      </c>
    </row>
    <row r="359" customFormat="false" ht="12.75" hidden="false" customHeight="false" outlineLevel="0" collapsed="false">
      <c r="I359" s="735"/>
      <c r="J359" s="727"/>
      <c r="K359" s="195"/>
      <c r="L359" s="195"/>
      <c r="M359" s="729"/>
      <c r="P359" s="727"/>
      <c r="S359" s="1"/>
      <c r="T359" s="727"/>
      <c r="U359" s="195"/>
      <c r="V359" s="195"/>
      <c r="W359" s="195"/>
      <c r="X359" s="195"/>
      <c r="Y359" s="195"/>
      <c r="Z359" s="195"/>
      <c r="AA359" s="195"/>
      <c r="AB359" s="195"/>
      <c r="AC359" s="195"/>
      <c r="AD359" s="195"/>
      <c r="AE359" s="195"/>
      <c r="AF359" s="195"/>
      <c r="AG359" s="195"/>
      <c r="AH359" s="195"/>
      <c r="AI359" s="195"/>
      <c r="AJ359" s="195"/>
      <c r="AK359" s="195"/>
      <c r="AL359" s="195"/>
      <c r="AM359" s="195"/>
      <c r="AN359" s="532"/>
      <c r="AO359" s="532"/>
      <c r="AP359" s="240"/>
      <c r="AQ359" s="532"/>
      <c r="AR359" s="240"/>
      <c r="AS359" s="240"/>
      <c r="AT359" s="240"/>
      <c r="AU359" s="730"/>
      <c r="AV359" s="730"/>
      <c r="AW359" s="730"/>
      <c r="AX359" s="730"/>
      <c r="AY359" s="468"/>
      <c r="AZ359" s="468"/>
      <c r="BA359" s="240"/>
      <c r="BB359" s="240"/>
      <c r="BC359" s="240"/>
      <c r="BD359" s="240"/>
      <c r="BE359" s="672"/>
      <c r="BF359" s="672"/>
      <c r="BG359" s="672"/>
      <c r="BH359" s="731"/>
      <c r="BI359" s="672"/>
      <c r="BJ359" s="240"/>
      <c r="BK359" s="736"/>
      <c r="BL359" s="737"/>
      <c r="BM359" s="240"/>
      <c r="BN359" s="240"/>
      <c r="BO359" s="240"/>
      <c r="BP359" s="240"/>
      <c r="BQ359" s="240"/>
      <c r="BR359" s="240"/>
      <c r="BS359" s="240"/>
      <c r="BT359" s="240"/>
      <c r="BU359" s="240"/>
      <c r="BV359" s="240"/>
      <c r="BW359" s="240"/>
      <c r="BX359" s="240"/>
      <c r="BY359" s="240"/>
      <c r="BZ359" s="240"/>
      <c r="CA359" s="240"/>
      <c r="CB359" s="672"/>
      <c r="CC359" s="672"/>
      <c r="CD359" s="672"/>
      <c r="CE359" s="672"/>
      <c r="CF359" s="672"/>
      <c r="CG359" s="672"/>
      <c r="CH359" s="240"/>
      <c r="CI359" s="240"/>
      <c r="CJ359" s="240"/>
      <c r="CK359" s="240"/>
      <c r="CL359" s="240"/>
      <c r="CM359" s="240"/>
      <c r="CN359" s="240"/>
      <c r="CO359" s="240"/>
      <c r="CP359" s="240"/>
      <c r="CQ359" s="240"/>
      <c r="CR359" s="240"/>
      <c r="CS359" s="240"/>
      <c r="CT359" s="240"/>
      <c r="CU359" s="240"/>
      <c r="CV359" s="240"/>
      <c r="CW359" s="240"/>
      <c r="CX359" s="240"/>
      <c r="CY359" s="240"/>
      <c r="CZ359" s="240"/>
      <c r="DA359" s="240"/>
      <c r="DB359" s="240"/>
      <c r="DC359" s="240"/>
      <c r="DD359" s="240"/>
      <c r="DE359" s="240"/>
      <c r="DF359" s="240"/>
      <c r="DG359" s="733"/>
      <c r="DH359" s="478"/>
      <c r="DI359" s="195"/>
      <c r="DJ359" s="3"/>
      <c r="DK359" s="478"/>
      <c r="DL359" s="4"/>
      <c r="DM359" s="4"/>
      <c r="DN359" s="4"/>
      <c r="DO359" s="4"/>
      <c r="DP359" s="4"/>
      <c r="DQ359" s="4"/>
      <c r="DS359" s="195"/>
      <c r="DT359" s="195"/>
      <c r="DU359" s="195"/>
      <c r="DV359" s="195"/>
      <c r="DW359" s="195"/>
      <c r="DX359" s="195"/>
      <c r="DY359" s="195"/>
      <c r="DZ359" s="195"/>
      <c r="EA359" s="195"/>
      <c r="EB359" s="195"/>
      <c r="EC359" s="195"/>
      <c r="ED359" s="195"/>
      <c r="EE359" s="195"/>
      <c r="EF359" s="195"/>
      <c r="EG359" s="195"/>
      <c r="EL359" s="1"/>
      <c r="EM359" s="195"/>
      <c r="EN359" s="240"/>
      <c r="EO359" s="240"/>
      <c r="EP359" s="195"/>
      <c r="EQ359" s="240"/>
      <c r="ER359" s="195"/>
      <c r="ES359" s="195"/>
      <c r="ET359" s="195"/>
      <c r="EU359" s="672"/>
      <c r="FJ359" s="571" t="n">
        <v>35</v>
      </c>
      <c r="FK359" s="150" t="str">
        <f aca="false">IF(AND(ISNUMBER(FK54),ISNUMBER(FK$320),FK$320&lt;&gt;0),FK54*FK$320/FK$15,"")</f>
        <v/>
      </c>
      <c r="FL359" s="150" t="str">
        <f aca="false">IF(AND(ISNUMBER(FL54),ISNUMBER(FL$320),FL$320&lt;&gt;0),FL54*FL$320/FL$15,"")</f>
        <v/>
      </c>
      <c r="FM359" s="150" t="n">
        <f aca="false">IF(AND(ISNUMBER(FM54),ISNUMBER(FM$320),FM$320&lt;&gt;0),FM54*FM$320/FM$15,"")</f>
        <v>0.00257315472484825</v>
      </c>
      <c r="FN359" s="150" t="n">
        <f aca="false">IF(AND(ISNUMBER(FN54),ISNUMBER(FN$320),FN$320&lt;&gt;0),FN54*FN$320/FN$15,"")</f>
        <v>0.00216953819156547</v>
      </c>
      <c r="FO359" s="150" t="n">
        <f aca="false">IF(AND(ISNUMBER(FO54),ISNUMBER(FO$320),FO$320&lt;&gt;0),FO54*FO$320/FO$15,"")</f>
        <v>0.00226126234070249</v>
      </c>
      <c r="FP359" s="150" t="n">
        <f aca="false">IF(AND(ISNUMBER(FP54),ISNUMBER(FP$320),FP$320&lt;&gt;0),FP54*FP$320/FP$15,"")</f>
        <v>0.00125585734570261</v>
      </c>
      <c r="FQ359" s="150" t="str">
        <f aca="false">IF(AND(ISNUMBER(FQ54),ISNUMBER(FQ$320),FQ$320&lt;&gt;0),FQ54*FQ$320/FQ$15,"")</f>
        <v/>
      </c>
      <c r="FR359" s="150" t="str">
        <f aca="false">IF(AND(ISNUMBER(FR54),ISNUMBER(FR$320),FR$320&lt;&gt;0),FR54*FR$320/FR$15,"")</f>
        <v/>
      </c>
      <c r="FS359" s="150" t="str">
        <f aca="false">IF(AND(ISNUMBER(FS54),ISNUMBER(FS$320),FS$320&lt;&gt;0),FS54*FS$320/FS$15,"")</f>
        <v/>
      </c>
      <c r="FT359" s="150" t="str">
        <f aca="false">IF(AND(ISNUMBER(FT54),ISNUMBER(FT$320),FT$320&lt;&gt;0),FT54*FT$320/FT$15,"")</f>
        <v/>
      </c>
      <c r="FU359" s="150" t="str">
        <f aca="false">IF(AND(ISNUMBER(FU54),ISNUMBER(FU$320),FU$320&lt;&gt;0),FU54*FU$320/FU$15,"")</f>
        <v/>
      </c>
      <c r="FV359" s="150" t="str">
        <f aca="false">IF(AND(ISNUMBER(FV54),ISNUMBER(FV$320),FV$320&lt;&gt;0),FV54*FV$320/FV$15,"")</f>
        <v/>
      </c>
      <c r="FW359" s="150" t="str">
        <f aca="false">IF(AND(ISNUMBER(FW54),ISNUMBER(FW$320),FW$320&lt;&gt;0),FW54*FW$320/FW$15,"")</f>
        <v/>
      </c>
      <c r="FX359" s="150" t="str">
        <f aca="false">IF(AND(ISNUMBER(FX54),ISNUMBER(FX$320),FX$320&lt;&gt;0),FX54*FX$320/FX$15,"")</f>
        <v/>
      </c>
      <c r="FY359" s="150" t="str">
        <f aca="false">IF(AND(ISNUMBER(FY54),ISNUMBER(FY$320),FY$320&lt;&gt;0),FY54*FY$320/FY$15,"")</f>
        <v/>
      </c>
      <c r="FZ359" s="150" t="str">
        <f aca="false">IF(AND(ISNUMBER(FZ54),ISNUMBER(FZ$320),FZ$320&lt;&gt;0),FZ54*FZ$320/FZ$15,"")</f>
        <v/>
      </c>
      <c r="GA359" s="150" t="str">
        <f aca="false">IF(AND(ISNUMBER(GA54),ISNUMBER(GA$320),GA$320&lt;&gt;0),GA54*GA$320/GA$15,"")</f>
        <v/>
      </c>
      <c r="GB359" s="150" t="str">
        <f aca="false">IF(AND(ISNUMBER(GB54),ISNUMBER(GB$320),GB$320&lt;&gt;0),GB54*GB$320/GB$15,"")</f>
        <v/>
      </c>
      <c r="GC359" s="150" t="str">
        <f aca="false">IF(AND(ISNUMBER(GC54),ISNUMBER(GC$320),GC$320&lt;&gt;0),GC54*GC$320/GC$15,"")</f>
        <v/>
      </c>
      <c r="GD359" s="150" t="str">
        <f aca="false">IF(AND(ISNUMBER(GD54),ISNUMBER(GD$320),GD$320&lt;&gt;0),GD54*GD$320/GD$15,"")</f>
        <v/>
      </c>
      <c r="GE359" s="150" t="str">
        <f aca="false">IF(AND(ISNUMBER(GE54),ISNUMBER(GE$320),GE$320&lt;&gt;0),GE54*GE$320/GE$15,"")</f>
        <v/>
      </c>
      <c r="GF359" s="150" t="str">
        <f aca="false">IF(AND(ISNUMBER(GF54),ISNUMBER(GF$320),GF$320&lt;&gt;0),GF54*GF$320/GF$15,"")</f>
        <v/>
      </c>
      <c r="GG359" s="150" t="str">
        <f aca="false">IF(AND(ISNUMBER(GG54),ISNUMBER(GG$320),GG$320&lt;&gt;0),GG54*GG$320/GG$15,"")</f>
        <v/>
      </c>
      <c r="GH359" s="150" t="str">
        <f aca="false">IF(AND(ISNUMBER(GH54),ISNUMBER(GH$320),GH$320&lt;&gt;0),GH54*GH$320/GH$15,"")</f>
        <v/>
      </c>
      <c r="GI359" s="150" t="str">
        <f aca="false">IF(AND(ISNUMBER(GI54),ISNUMBER(GI$320),GI$320&lt;&gt;0),GI54*GI$320/GI$15,"")</f>
        <v/>
      </c>
      <c r="GJ359" s="150" t="str">
        <f aca="false">IF(AND(ISNUMBER(GJ54),ISNUMBER(GJ$320),GJ$320&lt;&gt;0),GJ54*GJ$320/GJ$15,"")</f>
        <v/>
      </c>
      <c r="GK359" s="150" t="str">
        <f aca="false">IF(AND(ISNUMBER(GK54),ISNUMBER(GK$320),GK$320&lt;&gt;0),GK54*GK$320/GK$15,"")</f>
        <v/>
      </c>
      <c r="GL359" s="150" t="str">
        <f aca="false">IF(AND(ISNUMBER(GL54),ISNUMBER(GL$320),GL$320&lt;&gt;0),GL54*GL$320/GL$15,"")</f>
        <v/>
      </c>
      <c r="GM359" s="150" t="str">
        <f aca="false">IF(AND(ISNUMBER(GM54),ISNUMBER(GM$320),GM$320&lt;&gt;0),GM54*GM$320/GM$15,"")</f>
        <v/>
      </c>
      <c r="GN359" s="150" t="str">
        <f aca="false">IF(AND(ISNUMBER(GN54),ISNUMBER(GN$320),GN$320&lt;&gt;0),GN54*GN$320/GN$15,"")</f>
        <v/>
      </c>
      <c r="GO359" s="150" t="str">
        <f aca="false">IF(AND(ISNUMBER(GO54),ISNUMBER(GO$320),GO$320&lt;&gt;0),GO54*GO$320/GO$15,"")</f>
        <v/>
      </c>
      <c r="GP359" s="150" t="str">
        <f aca="false">IF(AND(ISNUMBER(GP54),ISNUMBER(GP$320),GP$320&lt;&gt;0),GP54*GP$320/GP$15,"")</f>
        <v/>
      </c>
      <c r="GQ359" s="150" t="str">
        <f aca="false">IF(AND(ISNUMBER(GQ54),ISNUMBER(GQ$320),GQ$320&lt;&gt;0),GQ54*GQ$320/GQ$15,"")</f>
        <v/>
      </c>
      <c r="GR359" s="150" t="str">
        <f aca="false">IF(AND(ISNUMBER(GR54),ISNUMBER(GR$320),GR$320&lt;&gt;0),GR54*GR$320/GR$15,"")</f>
        <v/>
      </c>
      <c r="GS359" s="150" t="str">
        <f aca="false">IF(AND(ISNUMBER(GS54),ISNUMBER(GS$320),GS$320&lt;&gt;0),GS54*GS$320/GS$15,"")</f>
        <v/>
      </c>
      <c r="GT359" s="150" t="str">
        <f aca="false">IF(AND(ISNUMBER(GT54),ISNUMBER(GT$320),GT$320&lt;&gt;0),GT54*GT$320/GT$15,"")</f>
        <v/>
      </c>
      <c r="GU359" s="150" t="str">
        <f aca="false">IF(AND(ISNUMBER(GU54),ISNUMBER(GU$320),GU$320&lt;&gt;0),GU54*GU$320/GU$15,"")</f>
        <v/>
      </c>
      <c r="GV359" s="150" t="str">
        <f aca="false">IF(AND(ISNUMBER(GV54),ISNUMBER(GV$320),GV$320&lt;&gt;0),GV54*GV$320/GV$15,"")</f>
        <v/>
      </c>
      <c r="GW359" s="150" t="str">
        <f aca="false">IF(AND(ISNUMBER(GW54),ISNUMBER(GW$320),GW$320&lt;&gt;0),GW54*GW$320/GW$15,"")</f>
        <v/>
      </c>
      <c r="GX359" s="150" t="str">
        <f aca="false">IF(AND(ISNUMBER(GX54),ISNUMBER(GX$320),GX$320&lt;&gt;0),GX54*GX$320/GX$15,"")</f>
        <v/>
      </c>
      <c r="GY359" s="150" t="str">
        <f aca="false">IF(AND(ISNUMBER(GY54),ISNUMBER(GY$320),GY$320&lt;&gt;0),GY54*GY$320/GY$15,"")</f>
        <v/>
      </c>
      <c r="GZ359" s="150" t="str">
        <f aca="false">IF(AND(ISNUMBER(GZ54),ISNUMBER(GZ$320),GZ$320&lt;&gt;0),GZ54*GZ$320/GZ$15,"")</f>
        <v/>
      </c>
      <c r="HA359" s="150" t="str">
        <f aca="false">IF(AND(ISNUMBER(HA54),ISNUMBER(HA$320),HA$320&lt;&gt;0),HA54*HA$320/HA$15,"")</f>
        <v/>
      </c>
      <c r="HB359" s="150" t="str">
        <f aca="false">IF(AND(ISNUMBER(HB54),ISNUMBER(HB$320),HB$320&lt;&gt;0),HB54*HB$320/HB$15,"")</f>
        <v/>
      </c>
      <c r="HC359" s="150" t="str">
        <f aca="false">IF(AND(ISNUMBER(HC54),ISNUMBER(HC$320),HC$320&lt;&gt;0),HC54*HC$320/HC$15,"")</f>
        <v/>
      </c>
      <c r="HD359" s="150" t="str">
        <f aca="false">IF(AND(ISNUMBER(HD54),ISNUMBER(HD$320),HD$320&lt;&gt;0),HD54*HD$320/HD$15,"")</f>
        <v/>
      </c>
      <c r="HE359" s="150" t="str">
        <f aca="false">IF(AND(ISNUMBER(HE54),ISNUMBER(HE$320),HE$320&lt;&gt;0),HE54*HE$320/HE$15,"")</f>
        <v/>
      </c>
      <c r="HF359" s="150" t="str">
        <f aca="false">IF(AND(ISNUMBER(HF54),ISNUMBER(HF$320),HF$320&lt;&gt;0),HF54*HF$320/HF$15,"")</f>
        <v/>
      </c>
      <c r="HG359" s="150" t="str">
        <f aca="false">IF(AND(ISNUMBER(HG54),ISNUMBER(HG$320),HG$320&lt;&gt;0),HG54*HG$320/HG$15,"")</f>
        <v/>
      </c>
      <c r="HH359" s="150" t="str">
        <f aca="false">IF(AND(ISNUMBER(HH54),ISNUMBER(HH$320),HH$320&lt;&gt;0),HH54*HH$320/HH$15,"")</f>
        <v/>
      </c>
      <c r="HI359" s="150" t="str">
        <f aca="false">IF(AND(ISNUMBER(HI54),ISNUMBER(HI$320),HI$320&lt;&gt;0),HI54*HI$320/HI$15,"")</f>
        <v/>
      </c>
      <c r="HJ359" s="150" t="str">
        <f aca="false">IF(AND(ISNUMBER(HJ54),ISNUMBER(HJ$320),HJ$320&lt;&gt;0),HJ54*HJ$320/HJ$15,"")</f>
        <v/>
      </c>
      <c r="HK359" s="150" t="str">
        <f aca="false">IF(AND(ISNUMBER(HK54),ISNUMBER(HK$320),HK$320&lt;&gt;0),HK54*HK$320/HK$15,"")</f>
        <v/>
      </c>
      <c r="HL359" s="150" t="str">
        <f aca="false">IF(AND(ISNUMBER(HL54),ISNUMBER(HL$320),HL$320&lt;&gt;0),HL54*HL$320/HL$15,"")</f>
        <v/>
      </c>
      <c r="HM359" s="150" t="str">
        <f aca="false">IF(AND(ISNUMBER(HM54),ISNUMBER(HM$320),HM$320&lt;&gt;0),HM54*HM$320/HM$15,"")</f>
        <v/>
      </c>
      <c r="HN359" s="150" t="str">
        <f aca="false">IF(AND(ISNUMBER(HN54),ISNUMBER(HN$320),HN$320&lt;&gt;0),HN54*HN$320/HN$15,"")</f>
        <v/>
      </c>
      <c r="HO359" s="150" t="str">
        <f aca="false">IF(AND(ISNUMBER(HO54),ISNUMBER(HO$320),HO$320&lt;&gt;0),HO54*HO$320/HO$15,"")</f>
        <v/>
      </c>
      <c r="HP359" s="150" t="str">
        <f aca="false">IF(AND(ISNUMBER(HP54),ISNUMBER(HP$320),HP$320&lt;&gt;0),HP54*HP$320/HP$15,"")</f>
        <v/>
      </c>
      <c r="HQ359" s="150" t="str">
        <f aca="false">IF(AND(ISNUMBER(HQ54),ISNUMBER(HQ$320),HQ$320&lt;&gt;0),HQ54*HQ$320/HQ$15,"")</f>
        <v/>
      </c>
      <c r="HR359" s="150" t="str">
        <f aca="false">IF(AND(ISNUMBER(HR54),ISNUMBER(HR$320),HR$320&lt;&gt;0),HR54*HR$320/HR$15,"")</f>
        <v/>
      </c>
      <c r="HS359" s="150" t="str">
        <f aca="false">IF(AND(ISNUMBER(HS54),ISNUMBER(HS$320),HS$320&lt;&gt;0),HS54*HS$320/HS$15,"")</f>
        <v/>
      </c>
      <c r="HT359" s="150" t="str">
        <f aca="false">IF(AND(ISNUMBER(HT54),ISNUMBER(HT$320),HT$320&lt;&gt;0),HT54*HT$320/HT$15,"")</f>
        <v/>
      </c>
      <c r="HU359" s="150" t="str">
        <f aca="false">IF(AND(ISNUMBER(HU54),ISNUMBER(HU$320),HU$320&lt;&gt;0),HU54*HU$320/HU$15,"")</f>
        <v/>
      </c>
      <c r="HV359" s="150" t="str">
        <f aca="false">IF(AND(ISNUMBER(HV54),ISNUMBER(HV$320),HV$320&lt;&gt;0),HV54*HV$320/HV$15,"")</f>
        <v/>
      </c>
      <c r="HW359" s="150" t="str">
        <f aca="false">IF(AND(ISNUMBER(HW54),ISNUMBER(HW$320),HW$320&lt;&gt;0),HW54*HW$320/HW$15,"")</f>
        <v/>
      </c>
      <c r="HX359" s="150" t="str">
        <f aca="false">IF(AND(ISNUMBER(HX54),ISNUMBER(HX$320),HX$320&lt;&gt;0),HX54*HX$320/HX$15,"")</f>
        <v/>
      </c>
      <c r="HY359" s="150" t="str">
        <f aca="false">IF(AND(ISNUMBER(HY54),ISNUMBER(HY$320),HY$320&lt;&gt;0),HY54*HY$320/HY$15,"")</f>
        <v/>
      </c>
      <c r="HZ359" s="150" t="str">
        <f aca="false">IF(AND(ISNUMBER(HZ54),ISNUMBER(HZ$320),HZ$320&lt;&gt;0),HZ54*HZ$320/HZ$15,"")</f>
        <v/>
      </c>
      <c r="IA359" s="150" t="str">
        <f aca="false">IF(AND(ISNUMBER(IA54),ISNUMBER(IA$320),IA$320&lt;&gt;0),IA54*IA$320/IA$15,"")</f>
        <v/>
      </c>
      <c r="IB359" s="150" t="str">
        <f aca="false">IF(AND(ISNUMBER(IB54),ISNUMBER(IB$320),IB$320&lt;&gt;0),IB54*IB$320/IB$15,"")</f>
        <v/>
      </c>
      <c r="IC359" s="150" t="str">
        <f aca="false">IF(AND(ISNUMBER(IC54),ISNUMBER(IC$320),IC$320&lt;&gt;0),IC54*IC$320/IC$15,"")</f>
        <v/>
      </c>
      <c r="ID359" s="572" t="str">
        <f aca="false">IF(AND(ISNUMBER(ID54),ISNUMBER(ID$320),ID$320&lt;&gt;0),ID54*ID$320/ID$15,"")</f>
        <v/>
      </c>
    </row>
    <row r="360" customFormat="false" ht="12.75" hidden="false" customHeight="false" outlineLevel="0" collapsed="false">
      <c r="I360" s="735"/>
      <c r="J360" s="727"/>
      <c r="K360" s="195"/>
      <c r="L360" s="195"/>
      <c r="M360" s="729"/>
      <c r="P360" s="727"/>
      <c r="S360" s="1"/>
      <c r="T360" s="727"/>
      <c r="U360" s="195"/>
      <c r="V360" s="195"/>
      <c r="W360" s="195"/>
      <c r="X360" s="195"/>
      <c r="Y360" s="195"/>
      <c r="Z360" s="195"/>
      <c r="AA360" s="195"/>
      <c r="AB360" s="195"/>
      <c r="AC360" s="195"/>
      <c r="AD360" s="195"/>
      <c r="AE360" s="195"/>
      <c r="AF360" s="195"/>
      <c r="AG360" s="195"/>
      <c r="AH360" s="195"/>
      <c r="AI360" s="195"/>
      <c r="AJ360" s="195"/>
      <c r="AK360" s="195"/>
      <c r="AL360" s="195"/>
      <c r="AM360" s="195"/>
      <c r="AN360" s="532"/>
      <c r="AO360" s="532"/>
      <c r="AP360" s="240"/>
      <c r="AQ360" s="532"/>
      <c r="AR360" s="240"/>
      <c r="AS360" s="240"/>
      <c r="AT360" s="240"/>
      <c r="AU360" s="730"/>
      <c r="AV360" s="730"/>
      <c r="AW360" s="730"/>
      <c r="AX360" s="730"/>
      <c r="AY360" s="468"/>
      <c r="AZ360" s="468"/>
      <c r="BA360" s="240"/>
      <c r="BB360" s="240"/>
      <c r="BC360" s="240"/>
      <c r="BD360" s="240"/>
      <c r="BE360" s="672"/>
      <c r="BF360" s="672"/>
      <c r="BG360" s="672"/>
      <c r="BH360" s="731"/>
      <c r="BI360" s="672"/>
      <c r="BJ360" s="240"/>
      <c r="BK360" s="736"/>
      <c r="BL360" s="737"/>
      <c r="BM360" s="240"/>
      <c r="BN360" s="240"/>
      <c r="BO360" s="240"/>
      <c r="BP360" s="240"/>
      <c r="BQ360" s="240"/>
      <c r="BR360" s="240"/>
      <c r="BS360" s="240"/>
      <c r="BT360" s="240"/>
      <c r="BU360" s="240"/>
      <c r="BV360" s="240"/>
      <c r="BW360" s="240"/>
      <c r="BX360" s="240"/>
      <c r="BY360" s="240"/>
      <c r="BZ360" s="240"/>
      <c r="CA360" s="240"/>
      <c r="CB360" s="672"/>
      <c r="CC360" s="672"/>
      <c r="CD360" s="672"/>
      <c r="CE360" s="672"/>
      <c r="CF360" s="672"/>
      <c r="CG360" s="672"/>
      <c r="CH360" s="240"/>
      <c r="CI360" s="240"/>
      <c r="CJ360" s="240"/>
      <c r="CK360" s="240"/>
      <c r="CL360" s="240"/>
      <c r="CM360" s="240"/>
      <c r="CN360" s="240"/>
      <c r="CO360" s="240"/>
      <c r="CP360" s="240"/>
      <c r="CQ360" s="240"/>
      <c r="CR360" s="240"/>
      <c r="CS360" s="240"/>
      <c r="CT360" s="240"/>
      <c r="CU360" s="240"/>
      <c r="CV360" s="240"/>
      <c r="CW360" s="240"/>
      <c r="CX360" s="240"/>
      <c r="CY360" s="240"/>
      <c r="CZ360" s="240"/>
      <c r="DA360" s="240"/>
      <c r="DB360" s="240"/>
      <c r="DC360" s="240"/>
      <c r="DD360" s="240"/>
      <c r="DE360" s="240"/>
      <c r="DF360" s="240"/>
      <c r="DG360" s="733"/>
      <c r="DH360" s="478"/>
      <c r="DI360" s="195"/>
      <c r="DJ360" s="3"/>
      <c r="DK360" s="478"/>
      <c r="DL360" s="4"/>
      <c r="DM360" s="4"/>
      <c r="DN360" s="4"/>
      <c r="DO360" s="4"/>
      <c r="DP360" s="4"/>
      <c r="DQ360" s="4"/>
      <c r="DS360" s="195"/>
      <c r="DT360" s="195"/>
      <c r="DU360" s="195"/>
      <c r="DV360" s="195"/>
      <c r="DW360" s="195"/>
      <c r="DX360" s="195"/>
      <c r="DY360" s="195"/>
      <c r="DZ360" s="195"/>
      <c r="EA360" s="195"/>
      <c r="EB360" s="195"/>
      <c r="EC360" s="195"/>
      <c r="ED360" s="195"/>
      <c r="EE360" s="195"/>
      <c r="EF360" s="195"/>
      <c r="EG360" s="195"/>
      <c r="EL360" s="1"/>
      <c r="EM360" s="195"/>
      <c r="EN360" s="240"/>
      <c r="EO360" s="240"/>
      <c r="EP360" s="195"/>
      <c r="EQ360" s="240"/>
      <c r="ER360" s="195"/>
      <c r="ES360" s="195"/>
      <c r="ET360" s="195"/>
      <c r="EU360" s="672"/>
      <c r="FJ360" s="571" t="n">
        <v>36</v>
      </c>
      <c r="FK360" s="150" t="str">
        <f aca="false">IF(AND(ISNUMBER(FK55),ISNUMBER(FK$320),FK$320&lt;&gt;0),FK55*FK$320/FK$15,"")</f>
        <v/>
      </c>
      <c r="FL360" s="150" t="str">
        <f aca="false">IF(AND(ISNUMBER(FL55),ISNUMBER(FL$320),FL$320&lt;&gt;0),FL55*FL$320/FL$15,"")</f>
        <v/>
      </c>
      <c r="FM360" s="150" t="n">
        <f aca="false">IF(AND(ISNUMBER(FM55),ISNUMBER(FM$320),FM$320&lt;&gt;0),FM55*FM$320/FM$15,"")</f>
        <v>0.00256930970270681</v>
      </c>
      <c r="FN360" s="150" t="n">
        <f aca="false">IF(AND(ISNUMBER(FN55),ISNUMBER(FN$320),FN$320&lt;&gt;0),FN55*FN$320/FN$15,"")</f>
        <v>0.0021657464901679</v>
      </c>
      <c r="FO360" s="150" t="n">
        <f aca="false">IF(AND(ISNUMBER(FO55),ISNUMBER(FO$320),FO$320&lt;&gt;0),FO55*FO$320/FO$15,"")</f>
        <v>0.0022566401095073</v>
      </c>
      <c r="FP360" s="150" t="n">
        <f aca="false">IF(AND(ISNUMBER(FP55),ISNUMBER(FP$320),FP$320&lt;&gt;0),FP55*FP$320/FP$15,"")</f>
        <v>0.00125285490174549</v>
      </c>
      <c r="FQ360" s="150" t="str">
        <f aca="false">IF(AND(ISNUMBER(FQ55),ISNUMBER(FQ$320),FQ$320&lt;&gt;0),FQ55*FQ$320/FQ$15,"")</f>
        <v/>
      </c>
      <c r="FR360" s="150" t="str">
        <f aca="false">IF(AND(ISNUMBER(FR55),ISNUMBER(FR$320),FR$320&lt;&gt;0),FR55*FR$320/FR$15,"")</f>
        <v/>
      </c>
      <c r="FS360" s="150" t="str">
        <f aca="false">IF(AND(ISNUMBER(FS55),ISNUMBER(FS$320),FS$320&lt;&gt;0),FS55*FS$320/FS$15,"")</f>
        <v/>
      </c>
      <c r="FT360" s="150" t="str">
        <f aca="false">IF(AND(ISNUMBER(FT55),ISNUMBER(FT$320),FT$320&lt;&gt;0),FT55*FT$320/FT$15,"")</f>
        <v/>
      </c>
      <c r="FU360" s="150" t="str">
        <f aca="false">IF(AND(ISNUMBER(FU55),ISNUMBER(FU$320),FU$320&lt;&gt;0),FU55*FU$320/FU$15,"")</f>
        <v/>
      </c>
      <c r="FV360" s="150" t="str">
        <f aca="false">IF(AND(ISNUMBER(FV55),ISNUMBER(FV$320),FV$320&lt;&gt;0),FV55*FV$320/FV$15,"")</f>
        <v/>
      </c>
      <c r="FW360" s="150" t="str">
        <f aca="false">IF(AND(ISNUMBER(FW55),ISNUMBER(FW$320),FW$320&lt;&gt;0),FW55*FW$320/FW$15,"")</f>
        <v/>
      </c>
      <c r="FX360" s="150" t="str">
        <f aca="false">IF(AND(ISNUMBER(FX55),ISNUMBER(FX$320),FX$320&lt;&gt;0),FX55*FX$320/FX$15,"")</f>
        <v/>
      </c>
      <c r="FY360" s="150" t="str">
        <f aca="false">IF(AND(ISNUMBER(FY55),ISNUMBER(FY$320),FY$320&lt;&gt;0),FY55*FY$320/FY$15,"")</f>
        <v/>
      </c>
      <c r="FZ360" s="150" t="str">
        <f aca="false">IF(AND(ISNUMBER(FZ55),ISNUMBER(FZ$320),FZ$320&lt;&gt;0),FZ55*FZ$320/FZ$15,"")</f>
        <v/>
      </c>
      <c r="GA360" s="150" t="str">
        <f aca="false">IF(AND(ISNUMBER(GA55),ISNUMBER(GA$320),GA$320&lt;&gt;0),GA55*GA$320/GA$15,"")</f>
        <v/>
      </c>
      <c r="GB360" s="150" t="str">
        <f aca="false">IF(AND(ISNUMBER(GB55),ISNUMBER(GB$320),GB$320&lt;&gt;0),GB55*GB$320/GB$15,"")</f>
        <v/>
      </c>
      <c r="GC360" s="150" t="str">
        <f aca="false">IF(AND(ISNUMBER(GC55),ISNUMBER(GC$320),GC$320&lt;&gt;0),GC55*GC$320/GC$15,"")</f>
        <v/>
      </c>
      <c r="GD360" s="150" t="str">
        <f aca="false">IF(AND(ISNUMBER(GD55),ISNUMBER(GD$320),GD$320&lt;&gt;0),GD55*GD$320/GD$15,"")</f>
        <v/>
      </c>
      <c r="GE360" s="150" t="str">
        <f aca="false">IF(AND(ISNUMBER(GE55),ISNUMBER(GE$320),GE$320&lt;&gt;0),GE55*GE$320/GE$15,"")</f>
        <v/>
      </c>
      <c r="GF360" s="150" t="str">
        <f aca="false">IF(AND(ISNUMBER(GF55),ISNUMBER(GF$320),GF$320&lt;&gt;0),GF55*GF$320/GF$15,"")</f>
        <v/>
      </c>
      <c r="GG360" s="150" t="str">
        <f aca="false">IF(AND(ISNUMBER(GG55),ISNUMBER(GG$320),GG$320&lt;&gt;0),GG55*GG$320/GG$15,"")</f>
        <v/>
      </c>
      <c r="GH360" s="150" t="str">
        <f aca="false">IF(AND(ISNUMBER(GH55),ISNUMBER(GH$320),GH$320&lt;&gt;0),GH55*GH$320/GH$15,"")</f>
        <v/>
      </c>
      <c r="GI360" s="150" t="str">
        <f aca="false">IF(AND(ISNUMBER(GI55),ISNUMBER(GI$320),GI$320&lt;&gt;0),GI55*GI$320/GI$15,"")</f>
        <v/>
      </c>
      <c r="GJ360" s="150" t="str">
        <f aca="false">IF(AND(ISNUMBER(GJ55),ISNUMBER(GJ$320),GJ$320&lt;&gt;0),GJ55*GJ$320/GJ$15,"")</f>
        <v/>
      </c>
      <c r="GK360" s="150" t="str">
        <f aca="false">IF(AND(ISNUMBER(GK55),ISNUMBER(GK$320),GK$320&lt;&gt;0),GK55*GK$320/GK$15,"")</f>
        <v/>
      </c>
      <c r="GL360" s="150" t="str">
        <f aca="false">IF(AND(ISNUMBER(GL55),ISNUMBER(GL$320),GL$320&lt;&gt;0),GL55*GL$320/GL$15,"")</f>
        <v/>
      </c>
      <c r="GM360" s="150" t="str">
        <f aca="false">IF(AND(ISNUMBER(GM55),ISNUMBER(GM$320),GM$320&lt;&gt;0),GM55*GM$320/GM$15,"")</f>
        <v/>
      </c>
      <c r="GN360" s="150" t="str">
        <f aca="false">IF(AND(ISNUMBER(GN55),ISNUMBER(GN$320),GN$320&lt;&gt;0),GN55*GN$320/GN$15,"")</f>
        <v/>
      </c>
      <c r="GO360" s="150" t="str">
        <f aca="false">IF(AND(ISNUMBER(GO55),ISNUMBER(GO$320),GO$320&lt;&gt;0),GO55*GO$320/GO$15,"")</f>
        <v/>
      </c>
      <c r="GP360" s="150" t="str">
        <f aca="false">IF(AND(ISNUMBER(GP55),ISNUMBER(GP$320),GP$320&lt;&gt;0),GP55*GP$320/GP$15,"")</f>
        <v/>
      </c>
      <c r="GQ360" s="150" t="str">
        <f aca="false">IF(AND(ISNUMBER(GQ55),ISNUMBER(GQ$320),GQ$320&lt;&gt;0),GQ55*GQ$320/GQ$15,"")</f>
        <v/>
      </c>
      <c r="GR360" s="150" t="str">
        <f aca="false">IF(AND(ISNUMBER(GR55),ISNUMBER(GR$320),GR$320&lt;&gt;0),GR55*GR$320/GR$15,"")</f>
        <v/>
      </c>
      <c r="GS360" s="150" t="str">
        <f aca="false">IF(AND(ISNUMBER(GS55),ISNUMBER(GS$320),GS$320&lt;&gt;0),GS55*GS$320/GS$15,"")</f>
        <v/>
      </c>
      <c r="GT360" s="150" t="str">
        <f aca="false">IF(AND(ISNUMBER(GT55),ISNUMBER(GT$320),GT$320&lt;&gt;0),GT55*GT$320/GT$15,"")</f>
        <v/>
      </c>
      <c r="GU360" s="150" t="str">
        <f aca="false">IF(AND(ISNUMBER(GU55),ISNUMBER(GU$320),GU$320&lt;&gt;0),GU55*GU$320/GU$15,"")</f>
        <v/>
      </c>
      <c r="GV360" s="150" t="str">
        <f aca="false">IF(AND(ISNUMBER(GV55),ISNUMBER(GV$320),GV$320&lt;&gt;0),GV55*GV$320/GV$15,"")</f>
        <v/>
      </c>
      <c r="GW360" s="150" t="str">
        <f aca="false">IF(AND(ISNUMBER(GW55),ISNUMBER(GW$320),GW$320&lt;&gt;0),GW55*GW$320/GW$15,"")</f>
        <v/>
      </c>
      <c r="GX360" s="150" t="str">
        <f aca="false">IF(AND(ISNUMBER(GX55),ISNUMBER(GX$320),GX$320&lt;&gt;0),GX55*GX$320/GX$15,"")</f>
        <v/>
      </c>
      <c r="GY360" s="150" t="str">
        <f aca="false">IF(AND(ISNUMBER(GY55),ISNUMBER(GY$320),GY$320&lt;&gt;0),GY55*GY$320/GY$15,"")</f>
        <v/>
      </c>
      <c r="GZ360" s="150" t="str">
        <f aca="false">IF(AND(ISNUMBER(GZ55),ISNUMBER(GZ$320),GZ$320&lt;&gt;0),GZ55*GZ$320/GZ$15,"")</f>
        <v/>
      </c>
      <c r="HA360" s="150" t="str">
        <f aca="false">IF(AND(ISNUMBER(HA55),ISNUMBER(HA$320),HA$320&lt;&gt;0),HA55*HA$320/HA$15,"")</f>
        <v/>
      </c>
      <c r="HB360" s="150" t="str">
        <f aca="false">IF(AND(ISNUMBER(HB55),ISNUMBER(HB$320),HB$320&lt;&gt;0),HB55*HB$320/HB$15,"")</f>
        <v/>
      </c>
      <c r="HC360" s="150" t="str">
        <f aca="false">IF(AND(ISNUMBER(HC55),ISNUMBER(HC$320),HC$320&lt;&gt;0),HC55*HC$320/HC$15,"")</f>
        <v/>
      </c>
      <c r="HD360" s="150" t="str">
        <f aca="false">IF(AND(ISNUMBER(HD55),ISNUMBER(HD$320),HD$320&lt;&gt;0),HD55*HD$320/HD$15,"")</f>
        <v/>
      </c>
      <c r="HE360" s="150" t="str">
        <f aca="false">IF(AND(ISNUMBER(HE55),ISNUMBER(HE$320),HE$320&lt;&gt;0),HE55*HE$320/HE$15,"")</f>
        <v/>
      </c>
      <c r="HF360" s="150" t="str">
        <f aca="false">IF(AND(ISNUMBER(HF55),ISNUMBER(HF$320),HF$320&lt;&gt;0),HF55*HF$320/HF$15,"")</f>
        <v/>
      </c>
      <c r="HG360" s="150" t="str">
        <f aca="false">IF(AND(ISNUMBER(HG55),ISNUMBER(HG$320),HG$320&lt;&gt;0),HG55*HG$320/HG$15,"")</f>
        <v/>
      </c>
      <c r="HH360" s="150" t="str">
        <f aca="false">IF(AND(ISNUMBER(HH55),ISNUMBER(HH$320),HH$320&lt;&gt;0),HH55*HH$320/HH$15,"")</f>
        <v/>
      </c>
      <c r="HI360" s="150" t="str">
        <f aca="false">IF(AND(ISNUMBER(HI55),ISNUMBER(HI$320),HI$320&lt;&gt;0),HI55*HI$320/HI$15,"")</f>
        <v/>
      </c>
      <c r="HJ360" s="150" t="str">
        <f aca="false">IF(AND(ISNUMBER(HJ55),ISNUMBER(HJ$320),HJ$320&lt;&gt;0),HJ55*HJ$320/HJ$15,"")</f>
        <v/>
      </c>
      <c r="HK360" s="150" t="str">
        <f aca="false">IF(AND(ISNUMBER(HK55),ISNUMBER(HK$320),HK$320&lt;&gt;0),HK55*HK$320/HK$15,"")</f>
        <v/>
      </c>
      <c r="HL360" s="150" t="str">
        <f aca="false">IF(AND(ISNUMBER(HL55),ISNUMBER(HL$320),HL$320&lt;&gt;0),HL55*HL$320/HL$15,"")</f>
        <v/>
      </c>
      <c r="HM360" s="150" t="str">
        <f aca="false">IF(AND(ISNUMBER(HM55),ISNUMBER(HM$320),HM$320&lt;&gt;0),HM55*HM$320/HM$15,"")</f>
        <v/>
      </c>
      <c r="HN360" s="150" t="str">
        <f aca="false">IF(AND(ISNUMBER(HN55),ISNUMBER(HN$320),HN$320&lt;&gt;0),HN55*HN$320/HN$15,"")</f>
        <v/>
      </c>
      <c r="HO360" s="150" t="str">
        <f aca="false">IF(AND(ISNUMBER(HO55),ISNUMBER(HO$320),HO$320&lt;&gt;0),HO55*HO$320/HO$15,"")</f>
        <v/>
      </c>
      <c r="HP360" s="150" t="str">
        <f aca="false">IF(AND(ISNUMBER(HP55),ISNUMBER(HP$320),HP$320&lt;&gt;0),HP55*HP$320/HP$15,"")</f>
        <v/>
      </c>
      <c r="HQ360" s="150" t="str">
        <f aca="false">IF(AND(ISNUMBER(HQ55),ISNUMBER(HQ$320),HQ$320&lt;&gt;0),HQ55*HQ$320/HQ$15,"")</f>
        <v/>
      </c>
      <c r="HR360" s="150" t="str">
        <f aca="false">IF(AND(ISNUMBER(HR55),ISNUMBER(HR$320),HR$320&lt;&gt;0),HR55*HR$320/HR$15,"")</f>
        <v/>
      </c>
      <c r="HS360" s="150" t="str">
        <f aca="false">IF(AND(ISNUMBER(HS55),ISNUMBER(HS$320),HS$320&lt;&gt;0),HS55*HS$320/HS$15,"")</f>
        <v/>
      </c>
      <c r="HT360" s="150" t="str">
        <f aca="false">IF(AND(ISNUMBER(HT55),ISNUMBER(HT$320),HT$320&lt;&gt;0),HT55*HT$320/HT$15,"")</f>
        <v/>
      </c>
      <c r="HU360" s="150" t="str">
        <f aca="false">IF(AND(ISNUMBER(HU55),ISNUMBER(HU$320),HU$320&lt;&gt;0),HU55*HU$320/HU$15,"")</f>
        <v/>
      </c>
      <c r="HV360" s="150" t="str">
        <f aca="false">IF(AND(ISNUMBER(HV55),ISNUMBER(HV$320),HV$320&lt;&gt;0),HV55*HV$320/HV$15,"")</f>
        <v/>
      </c>
      <c r="HW360" s="150" t="str">
        <f aca="false">IF(AND(ISNUMBER(HW55),ISNUMBER(HW$320),HW$320&lt;&gt;0),HW55*HW$320/HW$15,"")</f>
        <v/>
      </c>
      <c r="HX360" s="150" t="str">
        <f aca="false">IF(AND(ISNUMBER(HX55),ISNUMBER(HX$320),HX$320&lt;&gt;0),HX55*HX$320/HX$15,"")</f>
        <v/>
      </c>
      <c r="HY360" s="150" t="str">
        <f aca="false">IF(AND(ISNUMBER(HY55),ISNUMBER(HY$320),HY$320&lt;&gt;0),HY55*HY$320/HY$15,"")</f>
        <v/>
      </c>
      <c r="HZ360" s="150" t="str">
        <f aca="false">IF(AND(ISNUMBER(HZ55),ISNUMBER(HZ$320),HZ$320&lt;&gt;0),HZ55*HZ$320/HZ$15,"")</f>
        <v/>
      </c>
      <c r="IA360" s="150" t="str">
        <f aca="false">IF(AND(ISNUMBER(IA55),ISNUMBER(IA$320),IA$320&lt;&gt;0),IA55*IA$320/IA$15,"")</f>
        <v/>
      </c>
      <c r="IB360" s="150" t="str">
        <f aca="false">IF(AND(ISNUMBER(IB55),ISNUMBER(IB$320),IB$320&lt;&gt;0),IB55*IB$320/IB$15,"")</f>
        <v/>
      </c>
      <c r="IC360" s="150" t="str">
        <f aca="false">IF(AND(ISNUMBER(IC55),ISNUMBER(IC$320),IC$320&lt;&gt;0),IC55*IC$320/IC$15,"")</f>
        <v/>
      </c>
      <c r="ID360" s="572" t="str">
        <f aca="false">IF(AND(ISNUMBER(ID55),ISNUMBER(ID$320),ID$320&lt;&gt;0),ID55*ID$320/ID$15,"")</f>
        <v/>
      </c>
    </row>
    <row r="361" customFormat="false" ht="12.75" hidden="false" customHeight="false" outlineLevel="0" collapsed="false">
      <c r="I361" s="735"/>
      <c r="J361" s="727"/>
      <c r="K361" s="195"/>
      <c r="L361" s="195"/>
      <c r="M361" s="729"/>
      <c r="P361" s="727"/>
      <c r="S361" s="1"/>
      <c r="T361" s="727"/>
      <c r="U361" s="195"/>
      <c r="V361" s="195"/>
      <c r="W361" s="195"/>
      <c r="X361" s="195"/>
      <c r="Y361" s="195"/>
      <c r="Z361" s="195"/>
      <c r="AA361" s="195"/>
      <c r="AB361" s="195"/>
      <c r="AC361" s="195"/>
      <c r="AD361" s="195"/>
      <c r="AE361" s="195"/>
      <c r="AF361" s="195"/>
      <c r="AG361" s="195"/>
      <c r="AH361" s="195"/>
      <c r="AI361" s="195"/>
      <c r="AJ361" s="195"/>
      <c r="AK361" s="195"/>
      <c r="AL361" s="195"/>
      <c r="AM361" s="195"/>
      <c r="AN361" s="532"/>
      <c r="AO361" s="532"/>
      <c r="AP361" s="240"/>
      <c r="AQ361" s="532"/>
      <c r="AR361" s="240"/>
      <c r="AS361" s="240"/>
      <c r="AT361" s="240"/>
      <c r="AU361" s="730"/>
      <c r="AV361" s="730"/>
      <c r="AW361" s="730"/>
      <c r="AX361" s="730"/>
      <c r="AY361" s="468"/>
      <c r="AZ361" s="468"/>
      <c r="BA361" s="240"/>
      <c r="BB361" s="240"/>
      <c r="BC361" s="240"/>
      <c r="BD361" s="240"/>
      <c r="BE361" s="672"/>
      <c r="BF361" s="672"/>
      <c r="BG361" s="672"/>
      <c r="BH361" s="731"/>
      <c r="BI361" s="672"/>
      <c r="BJ361" s="240"/>
      <c r="BK361" s="736"/>
      <c r="BL361" s="737"/>
      <c r="BM361" s="240"/>
      <c r="BN361" s="240"/>
      <c r="BO361" s="240"/>
      <c r="BP361" s="240"/>
      <c r="BQ361" s="240"/>
      <c r="BR361" s="240"/>
      <c r="BS361" s="240"/>
      <c r="BT361" s="240"/>
      <c r="BU361" s="240"/>
      <c r="BV361" s="240"/>
      <c r="BW361" s="240"/>
      <c r="BX361" s="240"/>
      <c r="BY361" s="240"/>
      <c r="BZ361" s="240"/>
      <c r="CA361" s="240"/>
      <c r="CB361" s="672"/>
      <c r="CC361" s="672"/>
      <c r="CD361" s="672"/>
      <c r="CE361" s="672"/>
      <c r="CF361" s="672"/>
      <c r="CG361" s="672"/>
      <c r="CH361" s="240"/>
      <c r="CI361" s="240"/>
      <c r="CJ361" s="240"/>
      <c r="CK361" s="240"/>
      <c r="CL361" s="240"/>
      <c r="CM361" s="240"/>
      <c r="CN361" s="240"/>
      <c r="CO361" s="240"/>
      <c r="CP361" s="240"/>
      <c r="CQ361" s="240"/>
      <c r="CR361" s="240"/>
      <c r="CS361" s="240"/>
      <c r="CT361" s="240"/>
      <c r="CU361" s="240"/>
      <c r="CV361" s="240"/>
      <c r="CW361" s="240"/>
      <c r="CX361" s="240"/>
      <c r="CY361" s="240"/>
      <c r="CZ361" s="240"/>
      <c r="DA361" s="240"/>
      <c r="DB361" s="240"/>
      <c r="DC361" s="240"/>
      <c r="DD361" s="240"/>
      <c r="DE361" s="240"/>
      <c r="DF361" s="240"/>
      <c r="DG361" s="733"/>
      <c r="DH361" s="478"/>
      <c r="DI361" s="195"/>
      <c r="DJ361" s="3"/>
      <c r="DK361" s="478"/>
      <c r="DL361" s="4"/>
      <c r="DM361" s="4"/>
      <c r="DN361" s="4"/>
      <c r="DO361" s="4"/>
      <c r="DP361" s="4"/>
      <c r="DQ361" s="4"/>
      <c r="DS361" s="195"/>
      <c r="DT361" s="195"/>
      <c r="DU361" s="195"/>
      <c r="DV361" s="195"/>
      <c r="DW361" s="195"/>
      <c r="DX361" s="195"/>
      <c r="DY361" s="195"/>
      <c r="DZ361" s="195"/>
      <c r="EA361" s="195"/>
      <c r="EB361" s="195"/>
      <c r="EC361" s="195"/>
      <c r="ED361" s="195"/>
      <c r="EE361" s="195"/>
      <c r="EF361" s="195"/>
      <c r="EG361" s="195"/>
      <c r="EL361" s="1"/>
      <c r="EM361" s="195"/>
      <c r="EN361" s="240"/>
      <c r="EO361" s="240"/>
      <c r="EP361" s="195"/>
      <c r="EQ361" s="240"/>
      <c r="ER361" s="195"/>
      <c r="ES361" s="195"/>
      <c r="ET361" s="195"/>
      <c r="EU361" s="672"/>
      <c r="FJ361" s="571" t="n">
        <v>37</v>
      </c>
      <c r="FK361" s="150" t="str">
        <f aca="false">IF(AND(ISNUMBER(FK56),ISNUMBER(FK$320),FK$320&lt;&gt;0),FK56*FK$320/FK$15,"")</f>
        <v/>
      </c>
      <c r="FL361" s="150" t="str">
        <f aca="false">IF(AND(ISNUMBER(FL56),ISNUMBER(FL$320),FL$320&lt;&gt;0),FL56*FL$320/FL$15,"")</f>
        <v/>
      </c>
      <c r="FM361" s="150" t="n">
        <f aca="false">IF(AND(ISNUMBER(FM56),ISNUMBER(FM$320),FM$320&lt;&gt;0),FM56*FM$320/FM$15,"")</f>
        <v>0.00256602712122318</v>
      </c>
      <c r="FN361" s="150" t="n">
        <f aca="false">IF(AND(ISNUMBER(FN56),ISNUMBER(FN$320),FN$320&lt;&gt;0),FN56*FN$320/FN$15,"")</f>
        <v>0.00216251025134906</v>
      </c>
      <c r="FO361" s="150" t="n">
        <f aca="false">IF(AND(ISNUMBER(FO56),ISNUMBER(FO$320),FO$320&lt;&gt;0),FO56*FO$320/FO$15,"")</f>
        <v>0.0022526961801078</v>
      </c>
      <c r="FP361" s="150" t="n">
        <f aca="false">IF(AND(ISNUMBER(FP56),ISNUMBER(FP$320),FP$320&lt;&gt;0),FP56*FP$320/FP$15,"")</f>
        <v>0.00125029394943772</v>
      </c>
      <c r="FQ361" s="150" t="str">
        <f aca="false">IF(AND(ISNUMBER(FQ56),ISNUMBER(FQ$320),FQ$320&lt;&gt;0),FQ56*FQ$320/FQ$15,"")</f>
        <v/>
      </c>
      <c r="FR361" s="150" t="str">
        <f aca="false">IF(AND(ISNUMBER(FR56),ISNUMBER(FR$320),FR$320&lt;&gt;0),FR56*FR$320/FR$15,"")</f>
        <v/>
      </c>
      <c r="FS361" s="150" t="str">
        <f aca="false">IF(AND(ISNUMBER(FS56),ISNUMBER(FS$320),FS$320&lt;&gt;0),FS56*FS$320/FS$15,"")</f>
        <v/>
      </c>
      <c r="FT361" s="150" t="str">
        <f aca="false">IF(AND(ISNUMBER(FT56),ISNUMBER(FT$320),FT$320&lt;&gt;0),FT56*FT$320/FT$15,"")</f>
        <v/>
      </c>
      <c r="FU361" s="150" t="str">
        <f aca="false">IF(AND(ISNUMBER(FU56),ISNUMBER(FU$320),FU$320&lt;&gt;0),FU56*FU$320/FU$15,"")</f>
        <v/>
      </c>
      <c r="FV361" s="150" t="str">
        <f aca="false">IF(AND(ISNUMBER(FV56),ISNUMBER(FV$320),FV$320&lt;&gt;0),FV56*FV$320/FV$15,"")</f>
        <v/>
      </c>
      <c r="FW361" s="150" t="str">
        <f aca="false">IF(AND(ISNUMBER(FW56),ISNUMBER(FW$320),FW$320&lt;&gt;0),FW56*FW$320/FW$15,"")</f>
        <v/>
      </c>
      <c r="FX361" s="150" t="str">
        <f aca="false">IF(AND(ISNUMBER(FX56),ISNUMBER(FX$320),FX$320&lt;&gt;0),FX56*FX$320/FX$15,"")</f>
        <v/>
      </c>
      <c r="FY361" s="150" t="str">
        <f aca="false">IF(AND(ISNUMBER(FY56),ISNUMBER(FY$320),FY$320&lt;&gt;0),FY56*FY$320/FY$15,"")</f>
        <v/>
      </c>
      <c r="FZ361" s="150" t="str">
        <f aca="false">IF(AND(ISNUMBER(FZ56),ISNUMBER(FZ$320),FZ$320&lt;&gt;0),FZ56*FZ$320/FZ$15,"")</f>
        <v/>
      </c>
      <c r="GA361" s="150" t="str">
        <f aca="false">IF(AND(ISNUMBER(GA56),ISNUMBER(GA$320),GA$320&lt;&gt;0),GA56*GA$320/GA$15,"")</f>
        <v/>
      </c>
      <c r="GB361" s="150" t="str">
        <f aca="false">IF(AND(ISNUMBER(GB56),ISNUMBER(GB$320),GB$320&lt;&gt;0),GB56*GB$320/GB$15,"")</f>
        <v/>
      </c>
      <c r="GC361" s="150" t="str">
        <f aca="false">IF(AND(ISNUMBER(GC56),ISNUMBER(GC$320),GC$320&lt;&gt;0),GC56*GC$320/GC$15,"")</f>
        <v/>
      </c>
      <c r="GD361" s="150" t="str">
        <f aca="false">IF(AND(ISNUMBER(GD56),ISNUMBER(GD$320),GD$320&lt;&gt;0),GD56*GD$320/GD$15,"")</f>
        <v/>
      </c>
      <c r="GE361" s="150" t="str">
        <f aca="false">IF(AND(ISNUMBER(GE56),ISNUMBER(GE$320),GE$320&lt;&gt;0),GE56*GE$320/GE$15,"")</f>
        <v/>
      </c>
      <c r="GF361" s="150" t="str">
        <f aca="false">IF(AND(ISNUMBER(GF56),ISNUMBER(GF$320),GF$320&lt;&gt;0),GF56*GF$320/GF$15,"")</f>
        <v/>
      </c>
      <c r="GG361" s="150" t="str">
        <f aca="false">IF(AND(ISNUMBER(GG56),ISNUMBER(GG$320),GG$320&lt;&gt;0),GG56*GG$320/GG$15,"")</f>
        <v/>
      </c>
      <c r="GH361" s="150" t="str">
        <f aca="false">IF(AND(ISNUMBER(GH56),ISNUMBER(GH$320),GH$320&lt;&gt;0),GH56*GH$320/GH$15,"")</f>
        <v/>
      </c>
      <c r="GI361" s="150" t="str">
        <f aca="false">IF(AND(ISNUMBER(GI56),ISNUMBER(GI$320),GI$320&lt;&gt;0),GI56*GI$320/GI$15,"")</f>
        <v/>
      </c>
      <c r="GJ361" s="150" t="str">
        <f aca="false">IF(AND(ISNUMBER(GJ56),ISNUMBER(GJ$320),GJ$320&lt;&gt;0),GJ56*GJ$320/GJ$15,"")</f>
        <v/>
      </c>
      <c r="GK361" s="150" t="str">
        <f aca="false">IF(AND(ISNUMBER(GK56),ISNUMBER(GK$320),GK$320&lt;&gt;0),GK56*GK$320/GK$15,"")</f>
        <v/>
      </c>
      <c r="GL361" s="150" t="str">
        <f aca="false">IF(AND(ISNUMBER(GL56),ISNUMBER(GL$320),GL$320&lt;&gt;0),GL56*GL$320/GL$15,"")</f>
        <v/>
      </c>
      <c r="GM361" s="150" t="str">
        <f aca="false">IF(AND(ISNUMBER(GM56),ISNUMBER(GM$320),GM$320&lt;&gt;0),GM56*GM$320/GM$15,"")</f>
        <v/>
      </c>
      <c r="GN361" s="150" t="str">
        <f aca="false">IF(AND(ISNUMBER(GN56),ISNUMBER(GN$320),GN$320&lt;&gt;0),GN56*GN$320/GN$15,"")</f>
        <v/>
      </c>
      <c r="GO361" s="150" t="str">
        <f aca="false">IF(AND(ISNUMBER(GO56),ISNUMBER(GO$320),GO$320&lt;&gt;0),GO56*GO$320/GO$15,"")</f>
        <v/>
      </c>
      <c r="GP361" s="150" t="str">
        <f aca="false">IF(AND(ISNUMBER(GP56),ISNUMBER(GP$320),GP$320&lt;&gt;0),GP56*GP$320/GP$15,"")</f>
        <v/>
      </c>
      <c r="GQ361" s="150" t="str">
        <f aca="false">IF(AND(ISNUMBER(GQ56),ISNUMBER(GQ$320),GQ$320&lt;&gt;0),GQ56*GQ$320/GQ$15,"")</f>
        <v/>
      </c>
      <c r="GR361" s="150" t="str">
        <f aca="false">IF(AND(ISNUMBER(GR56),ISNUMBER(GR$320),GR$320&lt;&gt;0),GR56*GR$320/GR$15,"")</f>
        <v/>
      </c>
      <c r="GS361" s="150" t="str">
        <f aca="false">IF(AND(ISNUMBER(GS56),ISNUMBER(GS$320),GS$320&lt;&gt;0),GS56*GS$320/GS$15,"")</f>
        <v/>
      </c>
      <c r="GT361" s="150" t="str">
        <f aca="false">IF(AND(ISNUMBER(GT56),ISNUMBER(GT$320),GT$320&lt;&gt;0),GT56*GT$320/GT$15,"")</f>
        <v/>
      </c>
      <c r="GU361" s="150" t="str">
        <f aca="false">IF(AND(ISNUMBER(GU56),ISNUMBER(GU$320),GU$320&lt;&gt;0),GU56*GU$320/GU$15,"")</f>
        <v/>
      </c>
      <c r="GV361" s="150" t="str">
        <f aca="false">IF(AND(ISNUMBER(GV56),ISNUMBER(GV$320),GV$320&lt;&gt;0),GV56*GV$320/GV$15,"")</f>
        <v/>
      </c>
      <c r="GW361" s="150" t="str">
        <f aca="false">IF(AND(ISNUMBER(GW56),ISNUMBER(GW$320),GW$320&lt;&gt;0),GW56*GW$320/GW$15,"")</f>
        <v/>
      </c>
      <c r="GX361" s="150" t="str">
        <f aca="false">IF(AND(ISNUMBER(GX56),ISNUMBER(GX$320),GX$320&lt;&gt;0),GX56*GX$320/GX$15,"")</f>
        <v/>
      </c>
      <c r="GY361" s="150" t="str">
        <f aca="false">IF(AND(ISNUMBER(GY56),ISNUMBER(GY$320),GY$320&lt;&gt;0),GY56*GY$320/GY$15,"")</f>
        <v/>
      </c>
      <c r="GZ361" s="150" t="str">
        <f aca="false">IF(AND(ISNUMBER(GZ56),ISNUMBER(GZ$320),GZ$320&lt;&gt;0),GZ56*GZ$320/GZ$15,"")</f>
        <v/>
      </c>
      <c r="HA361" s="150" t="str">
        <f aca="false">IF(AND(ISNUMBER(HA56),ISNUMBER(HA$320),HA$320&lt;&gt;0),HA56*HA$320/HA$15,"")</f>
        <v/>
      </c>
      <c r="HB361" s="150" t="str">
        <f aca="false">IF(AND(ISNUMBER(HB56),ISNUMBER(HB$320),HB$320&lt;&gt;0),HB56*HB$320/HB$15,"")</f>
        <v/>
      </c>
      <c r="HC361" s="150" t="str">
        <f aca="false">IF(AND(ISNUMBER(HC56),ISNUMBER(HC$320),HC$320&lt;&gt;0),HC56*HC$320/HC$15,"")</f>
        <v/>
      </c>
      <c r="HD361" s="150" t="str">
        <f aca="false">IF(AND(ISNUMBER(HD56),ISNUMBER(HD$320),HD$320&lt;&gt;0),HD56*HD$320/HD$15,"")</f>
        <v/>
      </c>
      <c r="HE361" s="150" t="str">
        <f aca="false">IF(AND(ISNUMBER(HE56),ISNUMBER(HE$320),HE$320&lt;&gt;0),HE56*HE$320/HE$15,"")</f>
        <v/>
      </c>
      <c r="HF361" s="150" t="str">
        <f aca="false">IF(AND(ISNUMBER(HF56),ISNUMBER(HF$320),HF$320&lt;&gt;0),HF56*HF$320/HF$15,"")</f>
        <v/>
      </c>
      <c r="HG361" s="150" t="str">
        <f aca="false">IF(AND(ISNUMBER(HG56),ISNUMBER(HG$320),HG$320&lt;&gt;0),HG56*HG$320/HG$15,"")</f>
        <v/>
      </c>
      <c r="HH361" s="150" t="str">
        <f aca="false">IF(AND(ISNUMBER(HH56),ISNUMBER(HH$320),HH$320&lt;&gt;0),HH56*HH$320/HH$15,"")</f>
        <v/>
      </c>
      <c r="HI361" s="150" t="str">
        <f aca="false">IF(AND(ISNUMBER(HI56),ISNUMBER(HI$320),HI$320&lt;&gt;0),HI56*HI$320/HI$15,"")</f>
        <v/>
      </c>
      <c r="HJ361" s="150" t="str">
        <f aca="false">IF(AND(ISNUMBER(HJ56),ISNUMBER(HJ$320),HJ$320&lt;&gt;0),HJ56*HJ$320/HJ$15,"")</f>
        <v/>
      </c>
      <c r="HK361" s="150" t="str">
        <f aca="false">IF(AND(ISNUMBER(HK56),ISNUMBER(HK$320),HK$320&lt;&gt;0),HK56*HK$320/HK$15,"")</f>
        <v/>
      </c>
      <c r="HL361" s="150" t="str">
        <f aca="false">IF(AND(ISNUMBER(HL56),ISNUMBER(HL$320),HL$320&lt;&gt;0),HL56*HL$320/HL$15,"")</f>
        <v/>
      </c>
      <c r="HM361" s="150" t="str">
        <f aca="false">IF(AND(ISNUMBER(HM56),ISNUMBER(HM$320),HM$320&lt;&gt;0),HM56*HM$320/HM$15,"")</f>
        <v/>
      </c>
      <c r="HN361" s="150" t="str">
        <f aca="false">IF(AND(ISNUMBER(HN56),ISNUMBER(HN$320),HN$320&lt;&gt;0),HN56*HN$320/HN$15,"")</f>
        <v/>
      </c>
      <c r="HO361" s="150" t="str">
        <f aca="false">IF(AND(ISNUMBER(HO56),ISNUMBER(HO$320),HO$320&lt;&gt;0),HO56*HO$320/HO$15,"")</f>
        <v/>
      </c>
      <c r="HP361" s="150" t="str">
        <f aca="false">IF(AND(ISNUMBER(HP56),ISNUMBER(HP$320),HP$320&lt;&gt;0),HP56*HP$320/HP$15,"")</f>
        <v/>
      </c>
      <c r="HQ361" s="150" t="str">
        <f aca="false">IF(AND(ISNUMBER(HQ56),ISNUMBER(HQ$320),HQ$320&lt;&gt;0),HQ56*HQ$320/HQ$15,"")</f>
        <v/>
      </c>
      <c r="HR361" s="150" t="str">
        <f aca="false">IF(AND(ISNUMBER(HR56),ISNUMBER(HR$320),HR$320&lt;&gt;0),HR56*HR$320/HR$15,"")</f>
        <v/>
      </c>
      <c r="HS361" s="150" t="str">
        <f aca="false">IF(AND(ISNUMBER(HS56),ISNUMBER(HS$320),HS$320&lt;&gt;0),HS56*HS$320/HS$15,"")</f>
        <v/>
      </c>
      <c r="HT361" s="150" t="str">
        <f aca="false">IF(AND(ISNUMBER(HT56),ISNUMBER(HT$320),HT$320&lt;&gt;0),HT56*HT$320/HT$15,"")</f>
        <v/>
      </c>
      <c r="HU361" s="150" t="str">
        <f aca="false">IF(AND(ISNUMBER(HU56),ISNUMBER(HU$320),HU$320&lt;&gt;0),HU56*HU$320/HU$15,"")</f>
        <v/>
      </c>
      <c r="HV361" s="150" t="str">
        <f aca="false">IF(AND(ISNUMBER(HV56),ISNUMBER(HV$320),HV$320&lt;&gt;0),HV56*HV$320/HV$15,"")</f>
        <v/>
      </c>
      <c r="HW361" s="150" t="str">
        <f aca="false">IF(AND(ISNUMBER(HW56),ISNUMBER(HW$320),HW$320&lt;&gt;0),HW56*HW$320/HW$15,"")</f>
        <v/>
      </c>
      <c r="HX361" s="150" t="str">
        <f aca="false">IF(AND(ISNUMBER(HX56),ISNUMBER(HX$320),HX$320&lt;&gt;0),HX56*HX$320/HX$15,"")</f>
        <v/>
      </c>
      <c r="HY361" s="150" t="str">
        <f aca="false">IF(AND(ISNUMBER(HY56),ISNUMBER(HY$320),HY$320&lt;&gt;0),HY56*HY$320/HY$15,"")</f>
        <v/>
      </c>
      <c r="HZ361" s="150" t="str">
        <f aca="false">IF(AND(ISNUMBER(HZ56),ISNUMBER(HZ$320),HZ$320&lt;&gt;0),HZ56*HZ$320/HZ$15,"")</f>
        <v/>
      </c>
      <c r="IA361" s="150" t="str">
        <f aca="false">IF(AND(ISNUMBER(IA56),ISNUMBER(IA$320),IA$320&lt;&gt;0),IA56*IA$320/IA$15,"")</f>
        <v/>
      </c>
      <c r="IB361" s="150" t="str">
        <f aca="false">IF(AND(ISNUMBER(IB56),ISNUMBER(IB$320),IB$320&lt;&gt;0),IB56*IB$320/IB$15,"")</f>
        <v/>
      </c>
      <c r="IC361" s="150" t="str">
        <f aca="false">IF(AND(ISNUMBER(IC56),ISNUMBER(IC$320),IC$320&lt;&gt;0),IC56*IC$320/IC$15,"")</f>
        <v/>
      </c>
      <c r="ID361" s="572" t="str">
        <f aca="false">IF(AND(ISNUMBER(ID56),ISNUMBER(ID$320),ID$320&lt;&gt;0),ID56*ID$320/ID$15,"")</f>
        <v/>
      </c>
    </row>
    <row r="362" customFormat="false" ht="12.75" hidden="false" customHeight="false" outlineLevel="0" collapsed="false">
      <c r="I362" s="735"/>
      <c r="J362" s="727"/>
      <c r="K362" s="195"/>
      <c r="L362" s="195"/>
      <c r="M362" s="729"/>
      <c r="P362" s="727"/>
      <c r="S362" s="1"/>
      <c r="T362" s="727"/>
      <c r="U362" s="195"/>
      <c r="V362" s="195"/>
      <c r="W362" s="195"/>
      <c r="X362" s="195"/>
      <c r="Y362" s="195"/>
      <c r="Z362" s="195"/>
      <c r="AA362" s="195"/>
      <c r="AB362" s="195"/>
      <c r="AC362" s="195"/>
      <c r="AD362" s="195"/>
      <c r="AE362" s="195"/>
      <c r="AF362" s="195"/>
      <c r="AG362" s="195"/>
      <c r="AH362" s="195"/>
      <c r="AI362" s="195"/>
      <c r="AJ362" s="195"/>
      <c r="AK362" s="195"/>
      <c r="AL362" s="195"/>
      <c r="AM362" s="195"/>
      <c r="AN362" s="532"/>
      <c r="AO362" s="532"/>
      <c r="AP362" s="240"/>
      <c r="AQ362" s="532"/>
      <c r="AR362" s="240"/>
      <c r="AS362" s="240"/>
      <c r="AT362" s="240"/>
      <c r="AU362" s="730"/>
      <c r="AV362" s="730"/>
      <c r="AW362" s="730"/>
      <c r="AX362" s="730"/>
      <c r="AY362" s="468"/>
      <c r="AZ362" s="468"/>
      <c r="BA362" s="240"/>
      <c r="BB362" s="240"/>
      <c r="BC362" s="240"/>
      <c r="BD362" s="240"/>
      <c r="BE362" s="672"/>
      <c r="BF362" s="672"/>
      <c r="BG362" s="672"/>
      <c r="BH362" s="731"/>
      <c r="BI362" s="672"/>
      <c r="BJ362" s="240"/>
      <c r="BK362" s="736"/>
      <c r="BL362" s="737"/>
      <c r="BM362" s="240"/>
      <c r="BN362" s="240"/>
      <c r="BO362" s="240"/>
      <c r="BP362" s="240"/>
      <c r="BQ362" s="240"/>
      <c r="BR362" s="240"/>
      <c r="BS362" s="240"/>
      <c r="BT362" s="240"/>
      <c r="BU362" s="240"/>
      <c r="BV362" s="240"/>
      <c r="BW362" s="240"/>
      <c r="BX362" s="240"/>
      <c r="BY362" s="240"/>
      <c r="BZ362" s="240"/>
      <c r="CA362" s="240"/>
      <c r="CB362" s="672"/>
      <c r="CC362" s="672"/>
      <c r="CD362" s="672"/>
      <c r="CE362" s="672"/>
      <c r="CF362" s="672"/>
      <c r="CG362" s="672"/>
      <c r="CH362" s="240"/>
      <c r="CI362" s="240"/>
      <c r="CJ362" s="240"/>
      <c r="CK362" s="240"/>
      <c r="CL362" s="240"/>
      <c r="CM362" s="240"/>
      <c r="CN362" s="240"/>
      <c r="CO362" s="240"/>
      <c r="CP362" s="240"/>
      <c r="CQ362" s="240"/>
      <c r="CR362" s="240"/>
      <c r="CS362" s="240"/>
      <c r="CT362" s="240"/>
      <c r="CU362" s="240"/>
      <c r="CV362" s="240"/>
      <c r="CW362" s="240"/>
      <c r="CX362" s="240"/>
      <c r="CY362" s="240"/>
      <c r="CZ362" s="240"/>
      <c r="DA362" s="240"/>
      <c r="DB362" s="240"/>
      <c r="DC362" s="240"/>
      <c r="DD362" s="240"/>
      <c r="DE362" s="240"/>
      <c r="DF362" s="240"/>
      <c r="DG362" s="733"/>
      <c r="DH362" s="478"/>
      <c r="DI362" s="195"/>
      <c r="DJ362" s="3"/>
      <c r="DK362" s="478"/>
      <c r="DL362" s="4"/>
      <c r="DM362" s="4"/>
      <c r="DN362" s="4"/>
      <c r="DO362" s="4"/>
      <c r="DP362" s="4"/>
      <c r="DQ362" s="4"/>
      <c r="DS362" s="195"/>
      <c r="DT362" s="195"/>
      <c r="DU362" s="195"/>
      <c r="DV362" s="195"/>
      <c r="DW362" s="195"/>
      <c r="DX362" s="195"/>
      <c r="DY362" s="195"/>
      <c r="DZ362" s="195"/>
      <c r="EA362" s="195"/>
      <c r="EB362" s="195"/>
      <c r="EC362" s="195"/>
      <c r="ED362" s="195"/>
      <c r="EE362" s="195"/>
      <c r="EF362" s="195"/>
      <c r="EG362" s="195"/>
      <c r="EL362" s="1"/>
      <c r="EM362" s="195"/>
      <c r="EN362" s="240"/>
      <c r="EO362" s="240"/>
      <c r="EP362" s="195"/>
      <c r="EQ362" s="240"/>
      <c r="ER362" s="195"/>
      <c r="ES362" s="195"/>
      <c r="ET362" s="195"/>
      <c r="EU362" s="672"/>
      <c r="FJ362" s="571" t="n">
        <v>38</v>
      </c>
      <c r="FK362" s="150" t="str">
        <f aca="false">IF(AND(ISNUMBER(FK57),ISNUMBER(FK$320),FK$320&lt;&gt;0),FK57*FK$320/FK$15,"")</f>
        <v/>
      </c>
      <c r="FL362" s="150" t="str">
        <f aca="false">IF(AND(ISNUMBER(FL57),ISNUMBER(FL$320),FL$320&lt;&gt;0),FL57*FL$320/FL$15,"")</f>
        <v/>
      </c>
      <c r="FM362" s="150" t="n">
        <f aca="false">IF(AND(ISNUMBER(FM57),ISNUMBER(FM$320),FM$320&lt;&gt;0),FM57*FM$320/FM$15,"")</f>
        <v>0.0025632240998103</v>
      </c>
      <c r="FN362" s="150" t="n">
        <f aca="false">IF(AND(ISNUMBER(FN57),ISNUMBER(FN$320),FN$320&lt;&gt;0),FN57*FN$320/FN$15,"")</f>
        <v>0.00215974740181723</v>
      </c>
      <c r="FO362" s="150" t="n">
        <f aca="false">IF(AND(ISNUMBER(FO57),ISNUMBER(FO$320),FO$320&lt;&gt;0),FO57*FO$320/FO$15,"")</f>
        <v>0.00224933001381909</v>
      </c>
      <c r="FP362" s="150" t="n">
        <f aca="false">IF(AND(ISNUMBER(FP57),ISNUMBER(FP$320),FP$320&lt;&gt;0),FP57*FP$320/FP$15,"")</f>
        <v>0.00124810881099033</v>
      </c>
      <c r="FQ362" s="150" t="str">
        <f aca="false">IF(AND(ISNUMBER(FQ57),ISNUMBER(FQ$320),FQ$320&lt;&gt;0),FQ57*FQ$320/FQ$15,"")</f>
        <v/>
      </c>
      <c r="FR362" s="150" t="str">
        <f aca="false">IF(AND(ISNUMBER(FR57),ISNUMBER(FR$320),FR$320&lt;&gt;0),FR57*FR$320/FR$15,"")</f>
        <v/>
      </c>
      <c r="FS362" s="150" t="str">
        <f aca="false">IF(AND(ISNUMBER(FS57),ISNUMBER(FS$320),FS$320&lt;&gt;0),FS57*FS$320/FS$15,"")</f>
        <v/>
      </c>
      <c r="FT362" s="150" t="str">
        <f aca="false">IF(AND(ISNUMBER(FT57),ISNUMBER(FT$320),FT$320&lt;&gt;0),FT57*FT$320/FT$15,"")</f>
        <v/>
      </c>
      <c r="FU362" s="150" t="str">
        <f aca="false">IF(AND(ISNUMBER(FU57),ISNUMBER(FU$320),FU$320&lt;&gt;0),FU57*FU$320/FU$15,"")</f>
        <v/>
      </c>
      <c r="FV362" s="150" t="str">
        <f aca="false">IF(AND(ISNUMBER(FV57),ISNUMBER(FV$320),FV$320&lt;&gt;0),FV57*FV$320/FV$15,"")</f>
        <v/>
      </c>
      <c r="FW362" s="150" t="str">
        <f aca="false">IF(AND(ISNUMBER(FW57),ISNUMBER(FW$320),FW$320&lt;&gt;0),FW57*FW$320/FW$15,"")</f>
        <v/>
      </c>
      <c r="FX362" s="150" t="str">
        <f aca="false">IF(AND(ISNUMBER(FX57),ISNUMBER(FX$320),FX$320&lt;&gt;0),FX57*FX$320/FX$15,"")</f>
        <v/>
      </c>
      <c r="FY362" s="150" t="str">
        <f aca="false">IF(AND(ISNUMBER(FY57),ISNUMBER(FY$320),FY$320&lt;&gt;0),FY57*FY$320/FY$15,"")</f>
        <v/>
      </c>
      <c r="FZ362" s="150" t="str">
        <f aca="false">IF(AND(ISNUMBER(FZ57),ISNUMBER(FZ$320),FZ$320&lt;&gt;0),FZ57*FZ$320/FZ$15,"")</f>
        <v/>
      </c>
      <c r="GA362" s="150" t="str">
        <f aca="false">IF(AND(ISNUMBER(GA57),ISNUMBER(GA$320),GA$320&lt;&gt;0),GA57*GA$320/GA$15,"")</f>
        <v/>
      </c>
      <c r="GB362" s="150" t="str">
        <f aca="false">IF(AND(ISNUMBER(GB57),ISNUMBER(GB$320),GB$320&lt;&gt;0),GB57*GB$320/GB$15,"")</f>
        <v/>
      </c>
      <c r="GC362" s="150" t="str">
        <f aca="false">IF(AND(ISNUMBER(GC57),ISNUMBER(GC$320),GC$320&lt;&gt;0),GC57*GC$320/GC$15,"")</f>
        <v/>
      </c>
      <c r="GD362" s="150" t="str">
        <f aca="false">IF(AND(ISNUMBER(GD57),ISNUMBER(GD$320),GD$320&lt;&gt;0),GD57*GD$320/GD$15,"")</f>
        <v/>
      </c>
      <c r="GE362" s="150" t="str">
        <f aca="false">IF(AND(ISNUMBER(GE57),ISNUMBER(GE$320),GE$320&lt;&gt;0),GE57*GE$320/GE$15,"")</f>
        <v/>
      </c>
      <c r="GF362" s="150" t="str">
        <f aca="false">IF(AND(ISNUMBER(GF57),ISNUMBER(GF$320),GF$320&lt;&gt;0),GF57*GF$320/GF$15,"")</f>
        <v/>
      </c>
      <c r="GG362" s="150" t="str">
        <f aca="false">IF(AND(ISNUMBER(GG57),ISNUMBER(GG$320),GG$320&lt;&gt;0),GG57*GG$320/GG$15,"")</f>
        <v/>
      </c>
      <c r="GH362" s="150" t="str">
        <f aca="false">IF(AND(ISNUMBER(GH57),ISNUMBER(GH$320),GH$320&lt;&gt;0),GH57*GH$320/GH$15,"")</f>
        <v/>
      </c>
      <c r="GI362" s="150" t="str">
        <f aca="false">IF(AND(ISNUMBER(GI57),ISNUMBER(GI$320),GI$320&lt;&gt;0),GI57*GI$320/GI$15,"")</f>
        <v/>
      </c>
      <c r="GJ362" s="150" t="str">
        <f aca="false">IF(AND(ISNUMBER(GJ57),ISNUMBER(GJ$320),GJ$320&lt;&gt;0),GJ57*GJ$320/GJ$15,"")</f>
        <v/>
      </c>
      <c r="GK362" s="150" t="str">
        <f aca="false">IF(AND(ISNUMBER(GK57),ISNUMBER(GK$320),GK$320&lt;&gt;0),GK57*GK$320/GK$15,"")</f>
        <v/>
      </c>
      <c r="GL362" s="150" t="str">
        <f aca="false">IF(AND(ISNUMBER(GL57),ISNUMBER(GL$320),GL$320&lt;&gt;0),GL57*GL$320/GL$15,"")</f>
        <v/>
      </c>
      <c r="GM362" s="150" t="str">
        <f aca="false">IF(AND(ISNUMBER(GM57),ISNUMBER(GM$320),GM$320&lt;&gt;0),GM57*GM$320/GM$15,"")</f>
        <v/>
      </c>
      <c r="GN362" s="150" t="str">
        <f aca="false">IF(AND(ISNUMBER(GN57),ISNUMBER(GN$320),GN$320&lt;&gt;0),GN57*GN$320/GN$15,"")</f>
        <v/>
      </c>
      <c r="GO362" s="150" t="str">
        <f aca="false">IF(AND(ISNUMBER(GO57),ISNUMBER(GO$320),GO$320&lt;&gt;0),GO57*GO$320/GO$15,"")</f>
        <v/>
      </c>
      <c r="GP362" s="150" t="str">
        <f aca="false">IF(AND(ISNUMBER(GP57),ISNUMBER(GP$320),GP$320&lt;&gt;0),GP57*GP$320/GP$15,"")</f>
        <v/>
      </c>
      <c r="GQ362" s="150" t="str">
        <f aca="false">IF(AND(ISNUMBER(GQ57),ISNUMBER(GQ$320),GQ$320&lt;&gt;0),GQ57*GQ$320/GQ$15,"")</f>
        <v/>
      </c>
      <c r="GR362" s="150" t="str">
        <f aca="false">IF(AND(ISNUMBER(GR57),ISNUMBER(GR$320),GR$320&lt;&gt;0),GR57*GR$320/GR$15,"")</f>
        <v/>
      </c>
      <c r="GS362" s="150" t="str">
        <f aca="false">IF(AND(ISNUMBER(GS57),ISNUMBER(GS$320),GS$320&lt;&gt;0),GS57*GS$320/GS$15,"")</f>
        <v/>
      </c>
      <c r="GT362" s="150" t="str">
        <f aca="false">IF(AND(ISNUMBER(GT57),ISNUMBER(GT$320),GT$320&lt;&gt;0),GT57*GT$320/GT$15,"")</f>
        <v/>
      </c>
      <c r="GU362" s="150" t="str">
        <f aca="false">IF(AND(ISNUMBER(GU57),ISNUMBER(GU$320),GU$320&lt;&gt;0),GU57*GU$320/GU$15,"")</f>
        <v/>
      </c>
      <c r="GV362" s="150" t="str">
        <f aca="false">IF(AND(ISNUMBER(GV57),ISNUMBER(GV$320),GV$320&lt;&gt;0),GV57*GV$320/GV$15,"")</f>
        <v/>
      </c>
      <c r="GW362" s="150" t="str">
        <f aca="false">IF(AND(ISNUMBER(GW57),ISNUMBER(GW$320),GW$320&lt;&gt;0),GW57*GW$320/GW$15,"")</f>
        <v/>
      </c>
      <c r="GX362" s="150" t="str">
        <f aca="false">IF(AND(ISNUMBER(GX57),ISNUMBER(GX$320),GX$320&lt;&gt;0),GX57*GX$320/GX$15,"")</f>
        <v/>
      </c>
      <c r="GY362" s="150" t="str">
        <f aca="false">IF(AND(ISNUMBER(GY57),ISNUMBER(GY$320),GY$320&lt;&gt;0),GY57*GY$320/GY$15,"")</f>
        <v/>
      </c>
      <c r="GZ362" s="150" t="str">
        <f aca="false">IF(AND(ISNUMBER(GZ57),ISNUMBER(GZ$320),GZ$320&lt;&gt;0),GZ57*GZ$320/GZ$15,"")</f>
        <v/>
      </c>
      <c r="HA362" s="150" t="str">
        <f aca="false">IF(AND(ISNUMBER(HA57),ISNUMBER(HA$320),HA$320&lt;&gt;0),HA57*HA$320/HA$15,"")</f>
        <v/>
      </c>
      <c r="HB362" s="150" t="str">
        <f aca="false">IF(AND(ISNUMBER(HB57),ISNUMBER(HB$320),HB$320&lt;&gt;0),HB57*HB$320/HB$15,"")</f>
        <v/>
      </c>
      <c r="HC362" s="150" t="str">
        <f aca="false">IF(AND(ISNUMBER(HC57),ISNUMBER(HC$320),HC$320&lt;&gt;0),HC57*HC$320/HC$15,"")</f>
        <v/>
      </c>
      <c r="HD362" s="150" t="str">
        <f aca="false">IF(AND(ISNUMBER(HD57),ISNUMBER(HD$320),HD$320&lt;&gt;0),HD57*HD$320/HD$15,"")</f>
        <v/>
      </c>
      <c r="HE362" s="150" t="str">
        <f aca="false">IF(AND(ISNUMBER(HE57),ISNUMBER(HE$320),HE$320&lt;&gt;0),HE57*HE$320/HE$15,"")</f>
        <v/>
      </c>
      <c r="HF362" s="150" t="str">
        <f aca="false">IF(AND(ISNUMBER(HF57),ISNUMBER(HF$320),HF$320&lt;&gt;0),HF57*HF$320/HF$15,"")</f>
        <v/>
      </c>
      <c r="HG362" s="150" t="str">
        <f aca="false">IF(AND(ISNUMBER(HG57),ISNUMBER(HG$320),HG$320&lt;&gt;0),HG57*HG$320/HG$15,"")</f>
        <v/>
      </c>
      <c r="HH362" s="150" t="str">
        <f aca="false">IF(AND(ISNUMBER(HH57),ISNUMBER(HH$320),HH$320&lt;&gt;0),HH57*HH$320/HH$15,"")</f>
        <v/>
      </c>
      <c r="HI362" s="150" t="str">
        <f aca="false">IF(AND(ISNUMBER(HI57),ISNUMBER(HI$320),HI$320&lt;&gt;0),HI57*HI$320/HI$15,"")</f>
        <v/>
      </c>
      <c r="HJ362" s="150" t="str">
        <f aca="false">IF(AND(ISNUMBER(HJ57),ISNUMBER(HJ$320),HJ$320&lt;&gt;0),HJ57*HJ$320/HJ$15,"")</f>
        <v/>
      </c>
      <c r="HK362" s="150" t="str">
        <f aca="false">IF(AND(ISNUMBER(HK57),ISNUMBER(HK$320),HK$320&lt;&gt;0),HK57*HK$320/HK$15,"")</f>
        <v/>
      </c>
      <c r="HL362" s="150" t="str">
        <f aca="false">IF(AND(ISNUMBER(HL57),ISNUMBER(HL$320),HL$320&lt;&gt;0),HL57*HL$320/HL$15,"")</f>
        <v/>
      </c>
      <c r="HM362" s="150" t="str">
        <f aca="false">IF(AND(ISNUMBER(HM57),ISNUMBER(HM$320),HM$320&lt;&gt;0),HM57*HM$320/HM$15,"")</f>
        <v/>
      </c>
      <c r="HN362" s="150" t="str">
        <f aca="false">IF(AND(ISNUMBER(HN57),ISNUMBER(HN$320),HN$320&lt;&gt;0),HN57*HN$320/HN$15,"")</f>
        <v/>
      </c>
      <c r="HO362" s="150" t="str">
        <f aca="false">IF(AND(ISNUMBER(HO57),ISNUMBER(HO$320),HO$320&lt;&gt;0),HO57*HO$320/HO$15,"")</f>
        <v/>
      </c>
      <c r="HP362" s="150" t="str">
        <f aca="false">IF(AND(ISNUMBER(HP57),ISNUMBER(HP$320),HP$320&lt;&gt;0),HP57*HP$320/HP$15,"")</f>
        <v/>
      </c>
      <c r="HQ362" s="150" t="str">
        <f aca="false">IF(AND(ISNUMBER(HQ57),ISNUMBER(HQ$320),HQ$320&lt;&gt;0),HQ57*HQ$320/HQ$15,"")</f>
        <v/>
      </c>
      <c r="HR362" s="150" t="str">
        <f aca="false">IF(AND(ISNUMBER(HR57),ISNUMBER(HR$320),HR$320&lt;&gt;0),HR57*HR$320/HR$15,"")</f>
        <v/>
      </c>
      <c r="HS362" s="150" t="str">
        <f aca="false">IF(AND(ISNUMBER(HS57),ISNUMBER(HS$320),HS$320&lt;&gt;0),HS57*HS$320/HS$15,"")</f>
        <v/>
      </c>
      <c r="HT362" s="150" t="str">
        <f aca="false">IF(AND(ISNUMBER(HT57),ISNUMBER(HT$320),HT$320&lt;&gt;0),HT57*HT$320/HT$15,"")</f>
        <v/>
      </c>
      <c r="HU362" s="150" t="str">
        <f aca="false">IF(AND(ISNUMBER(HU57),ISNUMBER(HU$320),HU$320&lt;&gt;0),HU57*HU$320/HU$15,"")</f>
        <v/>
      </c>
      <c r="HV362" s="150" t="str">
        <f aca="false">IF(AND(ISNUMBER(HV57),ISNUMBER(HV$320),HV$320&lt;&gt;0),HV57*HV$320/HV$15,"")</f>
        <v/>
      </c>
      <c r="HW362" s="150" t="str">
        <f aca="false">IF(AND(ISNUMBER(HW57),ISNUMBER(HW$320),HW$320&lt;&gt;0),HW57*HW$320/HW$15,"")</f>
        <v/>
      </c>
      <c r="HX362" s="150" t="str">
        <f aca="false">IF(AND(ISNUMBER(HX57),ISNUMBER(HX$320),HX$320&lt;&gt;0),HX57*HX$320/HX$15,"")</f>
        <v/>
      </c>
      <c r="HY362" s="150" t="str">
        <f aca="false">IF(AND(ISNUMBER(HY57),ISNUMBER(HY$320),HY$320&lt;&gt;0),HY57*HY$320/HY$15,"")</f>
        <v/>
      </c>
      <c r="HZ362" s="150" t="str">
        <f aca="false">IF(AND(ISNUMBER(HZ57),ISNUMBER(HZ$320),HZ$320&lt;&gt;0),HZ57*HZ$320/HZ$15,"")</f>
        <v/>
      </c>
      <c r="IA362" s="150" t="str">
        <f aca="false">IF(AND(ISNUMBER(IA57),ISNUMBER(IA$320),IA$320&lt;&gt;0),IA57*IA$320/IA$15,"")</f>
        <v/>
      </c>
      <c r="IB362" s="150" t="str">
        <f aca="false">IF(AND(ISNUMBER(IB57),ISNUMBER(IB$320),IB$320&lt;&gt;0),IB57*IB$320/IB$15,"")</f>
        <v/>
      </c>
      <c r="IC362" s="150" t="str">
        <f aca="false">IF(AND(ISNUMBER(IC57),ISNUMBER(IC$320),IC$320&lt;&gt;0),IC57*IC$320/IC$15,"")</f>
        <v/>
      </c>
      <c r="ID362" s="572" t="str">
        <f aca="false">IF(AND(ISNUMBER(ID57),ISNUMBER(ID$320),ID$320&lt;&gt;0),ID57*ID$320/ID$15,"")</f>
        <v/>
      </c>
    </row>
    <row r="363" customFormat="false" ht="12.75" hidden="false" customHeight="false" outlineLevel="0" collapsed="false">
      <c r="I363" s="735"/>
      <c r="J363" s="727"/>
      <c r="K363" s="195"/>
      <c r="L363" s="195"/>
      <c r="M363" s="729"/>
      <c r="P363" s="727"/>
      <c r="S363" s="1"/>
      <c r="T363" s="727"/>
      <c r="U363" s="195"/>
      <c r="V363" s="195"/>
      <c r="W363" s="195"/>
      <c r="X363" s="195"/>
      <c r="Y363" s="195"/>
      <c r="Z363" s="195"/>
      <c r="AA363" s="195"/>
      <c r="AB363" s="195"/>
      <c r="AC363" s="195"/>
      <c r="AD363" s="195"/>
      <c r="AE363" s="195"/>
      <c r="AF363" s="195"/>
      <c r="AG363" s="195"/>
      <c r="AH363" s="195"/>
      <c r="AI363" s="195"/>
      <c r="AJ363" s="195"/>
      <c r="AK363" s="195"/>
      <c r="AL363" s="195"/>
      <c r="AM363" s="195"/>
      <c r="AN363" s="532"/>
      <c r="AO363" s="532"/>
      <c r="AP363" s="240"/>
      <c r="AQ363" s="532"/>
      <c r="AR363" s="240"/>
      <c r="AS363" s="240"/>
      <c r="AT363" s="240"/>
      <c r="AU363" s="730"/>
      <c r="AV363" s="730"/>
      <c r="AW363" s="730"/>
      <c r="AX363" s="730"/>
      <c r="AY363" s="468"/>
      <c r="AZ363" s="468"/>
      <c r="BA363" s="240"/>
      <c r="BB363" s="240"/>
      <c r="BC363" s="240"/>
      <c r="BD363" s="240"/>
      <c r="BE363" s="672"/>
      <c r="BF363" s="672"/>
      <c r="BG363" s="672"/>
      <c r="BH363" s="731"/>
      <c r="BI363" s="672"/>
      <c r="BJ363" s="240"/>
      <c r="BK363" s="736"/>
      <c r="BL363" s="737"/>
      <c r="BM363" s="240"/>
      <c r="BN363" s="240"/>
      <c r="BO363" s="240"/>
      <c r="BP363" s="240"/>
      <c r="BQ363" s="240"/>
      <c r="BR363" s="240"/>
      <c r="BS363" s="240"/>
      <c r="BT363" s="240"/>
      <c r="BU363" s="240"/>
      <c r="BV363" s="240"/>
      <c r="BW363" s="240"/>
      <c r="BX363" s="240"/>
      <c r="BY363" s="240"/>
      <c r="BZ363" s="240"/>
      <c r="CA363" s="240"/>
      <c r="CB363" s="672"/>
      <c r="CC363" s="672"/>
      <c r="CD363" s="672"/>
      <c r="CE363" s="672"/>
      <c r="CF363" s="672"/>
      <c r="CG363" s="672"/>
      <c r="CH363" s="240"/>
      <c r="CI363" s="240"/>
      <c r="CJ363" s="240"/>
      <c r="CK363" s="240"/>
      <c r="CL363" s="240"/>
      <c r="CM363" s="240"/>
      <c r="CN363" s="240"/>
      <c r="CO363" s="240"/>
      <c r="CP363" s="240"/>
      <c r="CQ363" s="240"/>
      <c r="CR363" s="240"/>
      <c r="CS363" s="240"/>
      <c r="CT363" s="240"/>
      <c r="CU363" s="240"/>
      <c r="CV363" s="240"/>
      <c r="CW363" s="240"/>
      <c r="CX363" s="240"/>
      <c r="CY363" s="240"/>
      <c r="CZ363" s="240"/>
      <c r="DA363" s="240"/>
      <c r="DB363" s="240"/>
      <c r="DC363" s="240"/>
      <c r="DD363" s="240"/>
      <c r="DE363" s="240"/>
      <c r="DF363" s="240"/>
      <c r="DG363" s="733"/>
      <c r="DH363" s="478"/>
      <c r="DI363" s="195"/>
      <c r="DJ363" s="3"/>
      <c r="DK363" s="478"/>
      <c r="DL363" s="4"/>
      <c r="DM363" s="4"/>
      <c r="DN363" s="4"/>
      <c r="DO363" s="4"/>
      <c r="DP363" s="4"/>
      <c r="DQ363" s="4"/>
      <c r="DS363" s="195"/>
      <c r="DT363" s="195"/>
      <c r="DU363" s="195"/>
      <c r="DV363" s="195"/>
      <c r="DW363" s="195"/>
      <c r="DX363" s="195"/>
      <c r="DY363" s="195"/>
      <c r="DZ363" s="195"/>
      <c r="EA363" s="195"/>
      <c r="EB363" s="195"/>
      <c r="EC363" s="195"/>
      <c r="ED363" s="195"/>
      <c r="EE363" s="195"/>
      <c r="EF363" s="195"/>
      <c r="EG363" s="195"/>
      <c r="EL363" s="1"/>
      <c r="EM363" s="195"/>
      <c r="EN363" s="240"/>
      <c r="EO363" s="240"/>
      <c r="EP363" s="195"/>
      <c r="EQ363" s="240"/>
      <c r="ER363" s="195"/>
      <c r="ES363" s="195"/>
      <c r="ET363" s="195"/>
      <c r="EU363" s="672"/>
      <c r="FJ363" s="571" t="n">
        <v>39</v>
      </c>
      <c r="FK363" s="150" t="str">
        <f aca="false">IF(AND(ISNUMBER(FK58),ISNUMBER(FK$320),FK$320&lt;&gt;0),FK58*FK$320/FK$15,"")</f>
        <v/>
      </c>
      <c r="FL363" s="150" t="str">
        <f aca="false">IF(AND(ISNUMBER(FL58),ISNUMBER(FL$320),FL$320&lt;&gt;0),FL58*FL$320/FL$15,"")</f>
        <v/>
      </c>
      <c r="FM363" s="150" t="n">
        <f aca="false">IF(AND(ISNUMBER(FM58),ISNUMBER(FM$320),FM$320&lt;&gt;0),FM58*FM$320/FM$15,"")</f>
        <v>0.00256083013443031</v>
      </c>
      <c r="FN363" s="150" t="n">
        <f aca="false">IF(AND(ISNUMBER(FN58),ISNUMBER(FN$320),FN$320&lt;&gt;0),FN58*FN$320/FN$15,"")</f>
        <v>0.00215738818348956</v>
      </c>
      <c r="FO363" s="150" t="n">
        <f aca="false">IF(AND(ISNUMBER(FO58),ISNUMBER(FO$320),FO$320&lt;&gt;0),FO58*FO$320/FO$15,"")</f>
        <v>0.00224645624229743</v>
      </c>
      <c r="FP363" s="150" t="n">
        <f aca="false">IF(AND(ISNUMBER(FP58),ISNUMBER(FP$320),FP$320&lt;&gt;0),FP58*FP$320/FP$15,"")</f>
        <v>0.00124624378283371</v>
      </c>
      <c r="FQ363" s="150" t="str">
        <f aca="false">IF(AND(ISNUMBER(FQ58),ISNUMBER(FQ$320),FQ$320&lt;&gt;0),FQ58*FQ$320/FQ$15,"")</f>
        <v/>
      </c>
      <c r="FR363" s="150" t="str">
        <f aca="false">IF(AND(ISNUMBER(FR58),ISNUMBER(FR$320),FR$320&lt;&gt;0),FR58*FR$320/FR$15,"")</f>
        <v/>
      </c>
      <c r="FS363" s="150" t="str">
        <f aca="false">IF(AND(ISNUMBER(FS58),ISNUMBER(FS$320),FS$320&lt;&gt;0),FS58*FS$320/FS$15,"")</f>
        <v/>
      </c>
      <c r="FT363" s="150" t="str">
        <f aca="false">IF(AND(ISNUMBER(FT58),ISNUMBER(FT$320),FT$320&lt;&gt;0),FT58*FT$320/FT$15,"")</f>
        <v/>
      </c>
      <c r="FU363" s="150" t="str">
        <f aca="false">IF(AND(ISNUMBER(FU58),ISNUMBER(FU$320),FU$320&lt;&gt;0),FU58*FU$320/FU$15,"")</f>
        <v/>
      </c>
      <c r="FV363" s="150" t="str">
        <f aca="false">IF(AND(ISNUMBER(FV58),ISNUMBER(FV$320),FV$320&lt;&gt;0),FV58*FV$320/FV$15,"")</f>
        <v/>
      </c>
      <c r="FW363" s="150" t="str">
        <f aca="false">IF(AND(ISNUMBER(FW58),ISNUMBER(FW$320),FW$320&lt;&gt;0),FW58*FW$320/FW$15,"")</f>
        <v/>
      </c>
      <c r="FX363" s="150" t="str">
        <f aca="false">IF(AND(ISNUMBER(FX58),ISNUMBER(FX$320),FX$320&lt;&gt;0),FX58*FX$320/FX$15,"")</f>
        <v/>
      </c>
      <c r="FY363" s="150" t="str">
        <f aca="false">IF(AND(ISNUMBER(FY58),ISNUMBER(FY$320),FY$320&lt;&gt;0),FY58*FY$320/FY$15,"")</f>
        <v/>
      </c>
      <c r="FZ363" s="150" t="str">
        <f aca="false">IF(AND(ISNUMBER(FZ58),ISNUMBER(FZ$320),FZ$320&lt;&gt;0),FZ58*FZ$320/FZ$15,"")</f>
        <v/>
      </c>
      <c r="GA363" s="150" t="str">
        <f aca="false">IF(AND(ISNUMBER(GA58),ISNUMBER(GA$320),GA$320&lt;&gt;0),GA58*GA$320/GA$15,"")</f>
        <v/>
      </c>
      <c r="GB363" s="150" t="str">
        <f aca="false">IF(AND(ISNUMBER(GB58),ISNUMBER(GB$320),GB$320&lt;&gt;0),GB58*GB$320/GB$15,"")</f>
        <v/>
      </c>
      <c r="GC363" s="150" t="str">
        <f aca="false">IF(AND(ISNUMBER(GC58),ISNUMBER(GC$320),GC$320&lt;&gt;0),GC58*GC$320/GC$15,"")</f>
        <v/>
      </c>
      <c r="GD363" s="150" t="str">
        <f aca="false">IF(AND(ISNUMBER(GD58),ISNUMBER(GD$320),GD$320&lt;&gt;0),GD58*GD$320/GD$15,"")</f>
        <v/>
      </c>
      <c r="GE363" s="150" t="str">
        <f aca="false">IF(AND(ISNUMBER(GE58),ISNUMBER(GE$320),GE$320&lt;&gt;0),GE58*GE$320/GE$15,"")</f>
        <v/>
      </c>
      <c r="GF363" s="150" t="str">
        <f aca="false">IF(AND(ISNUMBER(GF58),ISNUMBER(GF$320),GF$320&lt;&gt;0),GF58*GF$320/GF$15,"")</f>
        <v/>
      </c>
      <c r="GG363" s="150" t="str">
        <f aca="false">IF(AND(ISNUMBER(GG58),ISNUMBER(GG$320),GG$320&lt;&gt;0),GG58*GG$320/GG$15,"")</f>
        <v/>
      </c>
      <c r="GH363" s="150" t="str">
        <f aca="false">IF(AND(ISNUMBER(GH58),ISNUMBER(GH$320),GH$320&lt;&gt;0),GH58*GH$320/GH$15,"")</f>
        <v/>
      </c>
      <c r="GI363" s="150" t="str">
        <f aca="false">IF(AND(ISNUMBER(GI58),ISNUMBER(GI$320),GI$320&lt;&gt;0),GI58*GI$320/GI$15,"")</f>
        <v/>
      </c>
      <c r="GJ363" s="150" t="str">
        <f aca="false">IF(AND(ISNUMBER(GJ58),ISNUMBER(GJ$320),GJ$320&lt;&gt;0),GJ58*GJ$320/GJ$15,"")</f>
        <v/>
      </c>
      <c r="GK363" s="150" t="str">
        <f aca="false">IF(AND(ISNUMBER(GK58),ISNUMBER(GK$320),GK$320&lt;&gt;0),GK58*GK$320/GK$15,"")</f>
        <v/>
      </c>
      <c r="GL363" s="150" t="str">
        <f aca="false">IF(AND(ISNUMBER(GL58),ISNUMBER(GL$320),GL$320&lt;&gt;0),GL58*GL$320/GL$15,"")</f>
        <v/>
      </c>
      <c r="GM363" s="150" t="str">
        <f aca="false">IF(AND(ISNUMBER(GM58),ISNUMBER(GM$320),GM$320&lt;&gt;0),GM58*GM$320/GM$15,"")</f>
        <v/>
      </c>
      <c r="GN363" s="150" t="str">
        <f aca="false">IF(AND(ISNUMBER(GN58),ISNUMBER(GN$320),GN$320&lt;&gt;0),GN58*GN$320/GN$15,"")</f>
        <v/>
      </c>
      <c r="GO363" s="150" t="str">
        <f aca="false">IF(AND(ISNUMBER(GO58),ISNUMBER(GO$320),GO$320&lt;&gt;0),GO58*GO$320/GO$15,"")</f>
        <v/>
      </c>
      <c r="GP363" s="150" t="str">
        <f aca="false">IF(AND(ISNUMBER(GP58),ISNUMBER(GP$320),GP$320&lt;&gt;0),GP58*GP$320/GP$15,"")</f>
        <v/>
      </c>
      <c r="GQ363" s="150" t="str">
        <f aca="false">IF(AND(ISNUMBER(GQ58),ISNUMBER(GQ$320),GQ$320&lt;&gt;0),GQ58*GQ$320/GQ$15,"")</f>
        <v/>
      </c>
      <c r="GR363" s="150" t="str">
        <f aca="false">IF(AND(ISNUMBER(GR58),ISNUMBER(GR$320),GR$320&lt;&gt;0),GR58*GR$320/GR$15,"")</f>
        <v/>
      </c>
      <c r="GS363" s="150" t="str">
        <f aca="false">IF(AND(ISNUMBER(GS58),ISNUMBER(GS$320),GS$320&lt;&gt;0),GS58*GS$320/GS$15,"")</f>
        <v/>
      </c>
      <c r="GT363" s="150" t="str">
        <f aca="false">IF(AND(ISNUMBER(GT58),ISNUMBER(GT$320),GT$320&lt;&gt;0),GT58*GT$320/GT$15,"")</f>
        <v/>
      </c>
      <c r="GU363" s="150" t="str">
        <f aca="false">IF(AND(ISNUMBER(GU58),ISNUMBER(GU$320),GU$320&lt;&gt;0),GU58*GU$320/GU$15,"")</f>
        <v/>
      </c>
      <c r="GV363" s="150" t="str">
        <f aca="false">IF(AND(ISNUMBER(GV58),ISNUMBER(GV$320),GV$320&lt;&gt;0),GV58*GV$320/GV$15,"")</f>
        <v/>
      </c>
      <c r="GW363" s="150" t="str">
        <f aca="false">IF(AND(ISNUMBER(GW58),ISNUMBER(GW$320),GW$320&lt;&gt;0),GW58*GW$320/GW$15,"")</f>
        <v/>
      </c>
      <c r="GX363" s="150" t="str">
        <f aca="false">IF(AND(ISNUMBER(GX58),ISNUMBER(GX$320),GX$320&lt;&gt;0),GX58*GX$320/GX$15,"")</f>
        <v/>
      </c>
      <c r="GY363" s="150" t="str">
        <f aca="false">IF(AND(ISNUMBER(GY58),ISNUMBER(GY$320),GY$320&lt;&gt;0),GY58*GY$320/GY$15,"")</f>
        <v/>
      </c>
      <c r="GZ363" s="150" t="str">
        <f aca="false">IF(AND(ISNUMBER(GZ58),ISNUMBER(GZ$320),GZ$320&lt;&gt;0),GZ58*GZ$320/GZ$15,"")</f>
        <v/>
      </c>
      <c r="HA363" s="150" t="str">
        <f aca="false">IF(AND(ISNUMBER(HA58),ISNUMBER(HA$320),HA$320&lt;&gt;0),HA58*HA$320/HA$15,"")</f>
        <v/>
      </c>
      <c r="HB363" s="150" t="str">
        <f aca="false">IF(AND(ISNUMBER(HB58),ISNUMBER(HB$320),HB$320&lt;&gt;0),HB58*HB$320/HB$15,"")</f>
        <v/>
      </c>
      <c r="HC363" s="150" t="str">
        <f aca="false">IF(AND(ISNUMBER(HC58),ISNUMBER(HC$320),HC$320&lt;&gt;0),HC58*HC$320/HC$15,"")</f>
        <v/>
      </c>
      <c r="HD363" s="150" t="str">
        <f aca="false">IF(AND(ISNUMBER(HD58),ISNUMBER(HD$320),HD$320&lt;&gt;0),HD58*HD$320/HD$15,"")</f>
        <v/>
      </c>
      <c r="HE363" s="150" t="str">
        <f aca="false">IF(AND(ISNUMBER(HE58),ISNUMBER(HE$320),HE$320&lt;&gt;0),HE58*HE$320/HE$15,"")</f>
        <v/>
      </c>
      <c r="HF363" s="150" t="str">
        <f aca="false">IF(AND(ISNUMBER(HF58),ISNUMBER(HF$320),HF$320&lt;&gt;0),HF58*HF$320/HF$15,"")</f>
        <v/>
      </c>
      <c r="HG363" s="150" t="str">
        <f aca="false">IF(AND(ISNUMBER(HG58),ISNUMBER(HG$320),HG$320&lt;&gt;0),HG58*HG$320/HG$15,"")</f>
        <v/>
      </c>
      <c r="HH363" s="150" t="str">
        <f aca="false">IF(AND(ISNUMBER(HH58),ISNUMBER(HH$320),HH$320&lt;&gt;0),HH58*HH$320/HH$15,"")</f>
        <v/>
      </c>
      <c r="HI363" s="150" t="str">
        <f aca="false">IF(AND(ISNUMBER(HI58),ISNUMBER(HI$320),HI$320&lt;&gt;0),HI58*HI$320/HI$15,"")</f>
        <v/>
      </c>
      <c r="HJ363" s="150" t="str">
        <f aca="false">IF(AND(ISNUMBER(HJ58),ISNUMBER(HJ$320),HJ$320&lt;&gt;0),HJ58*HJ$320/HJ$15,"")</f>
        <v/>
      </c>
      <c r="HK363" s="150" t="str">
        <f aca="false">IF(AND(ISNUMBER(HK58),ISNUMBER(HK$320),HK$320&lt;&gt;0),HK58*HK$320/HK$15,"")</f>
        <v/>
      </c>
      <c r="HL363" s="150" t="str">
        <f aca="false">IF(AND(ISNUMBER(HL58),ISNUMBER(HL$320),HL$320&lt;&gt;0),HL58*HL$320/HL$15,"")</f>
        <v/>
      </c>
      <c r="HM363" s="150" t="str">
        <f aca="false">IF(AND(ISNUMBER(HM58),ISNUMBER(HM$320),HM$320&lt;&gt;0),HM58*HM$320/HM$15,"")</f>
        <v/>
      </c>
      <c r="HN363" s="150" t="str">
        <f aca="false">IF(AND(ISNUMBER(HN58),ISNUMBER(HN$320),HN$320&lt;&gt;0),HN58*HN$320/HN$15,"")</f>
        <v/>
      </c>
      <c r="HO363" s="150" t="str">
        <f aca="false">IF(AND(ISNUMBER(HO58),ISNUMBER(HO$320),HO$320&lt;&gt;0),HO58*HO$320/HO$15,"")</f>
        <v/>
      </c>
      <c r="HP363" s="150" t="str">
        <f aca="false">IF(AND(ISNUMBER(HP58),ISNUMBER(HP$320),HP$320&lt;&gt;0),HP58*HP$320/HP$15,"")</f>
        <v/>
      </c>
      <c r="HQ363" s="150" t="str">
        <f aca="false">IF(AND(ISNUMBER(HQ58),ISNUMBER(HQ$320),HQ$320&lt;&gt;0),HQ58*HQ$320/HQ$15,"")</f>
        <v/>
      </c>
      <c r="HR363" s="150" t="str">
        <f aca="false">IF(AND(ISNUMBER(HR58),ISNUMBER(HR$320),HR$320&lt;&gt;0),HR58*HR$320/HR$15,"")</f>
        <v/>
      </c>
      <c r="HS363" s="150" t="str">
        <f aca="false">IF(AND(ISNUMBER(HS58),ISNUMBER(HS$320),HS$320&lt;&gt;0),HS58*HS$320/HS$15,"")</f>
        <v/>
      </c>
      <c r="HT363" s="150" t="str">
        <f aca="false">IF(AND(ISNUMBER(HT58),ISNUMBER(HT$320),HT$320&lt;&gt;0),HT58*HT$320/HT$15,"")</f>
        <v/>
      </c>
      <c r="HU363" s="150" t="str">
        <f aca="false">IF(AND(ISNUMBER(HU58),ISNUMBER(HU$320),HU$320&lt;&gt;0),HU58*HU$320/HU$15,"")</f>
        <v/>
      </c>
      <c r="HV363" s="150" t="str">
        <f aca="false">IF(AND(ISNUMBER(HV58),ISNUMBER(HV$320),HV$320&lt;&gt;0),HV58*HV$320/HV$15,"")</f>
        <v/>
      </c>
      <c r="HW363" s="150" t="str">
        <f aca="false">IF(AND(ISNUMBER(HW58),ISNUMBER(HW$320),HW$320&lt;&gt;0),HW58*HW$320/HW$15,"")</f>
        <v/>
      </c>
      <c r="HX363" s="150" t="str">
        <f aca="false">IF(AND(ISNUMBER(HX58),ISNUMBER(HX$320),HX$320&lt;&gt;0),HX58*HX$320/HX$15,"")</f>
        <v/>
      </c>
      <c r="HY363" s="150" t="str">
        <f aca="false">IF(AND(ISNUMBER(HY58),ISNUMBER(HY$320),HY$320&lt;&gt;0),HY58*HY$320/HY$15,"")</f>
        <v/>
      </c>
      <c r="HZ363" s="150" t="str">
        <f aca="false">IF(AND(ISNUMBER(HZ58),ISNUMBER(HZ$320),HZ$320&lt;&gt;0),HZ58*HZ$320/HZ$15,"")</f>
        <v/>
      </c>
      <c r="IA363" s="150" t="str">
        <f aca="false">IF(AND(ISNUMBER(IA58),ISNUMBER(IA$320),IA$320&lt;&gt;0),IA58*IA$320/IA$15,"")</f>
        <v/>
      </c>
      <c r="IB363" s="150" t="str">
        <f aca="false">IF(AND(ISNUMBER(IB58),ISNUMBER(IB$320),IB$320&lt;&gt;0),IB58*IB$320/IB$15,"")</f>
        <v/>
      </c>
      <c r="IC363" s="150" t="str">
        <f aca="false">IF(AND(ISNUMBER(IC58),ISNUMBER(IC$320),IC$320&lt;&gt;0),IC58*IC$320/IC$15,"")</f>
        <v/>
      </c>
      <c r="ID363" s="572" t="str">
        <f aca="false">IF(AND(ISNUMBER(ID58),ISNUMBER(ID$320),ID$320&lt;&gt;0),ID58*ID$320/ID$15,"")</f>
        <v/>
      </c>
    </row>
    <row r="364" customFormat="false" ht="12.75" hidden="false" customHeight="false" outlineLevel="0" collapsed="false">
      <c r="I364" s="735"/>
      <c r="J364" s="727"/>
      <c r="K364" s="195"/>
      <c r="L364" s="195"/>
      <c r="M364" s="729"/>
      <c r="P364" s="727"/>
      <c r="S364" s="1"/>
      <c r="T364" s="727"/>
      <c r="U364" s="195"/>
      <c r="V364" s="195"/>
      <c r="W364" s="195"/>
      <c r="X364" s="195"/>
      <c r="Y364" s="195"/>
      <c r="Z364" s="195"/>
      <c r="AA364" s="195"/>
      <c r="AB364" s="195"/>
      <c r="AC364" s="195"/>
      <c r="AD364" s="195"/>
      <c r="AE364" s="195"/>
      <c r="AF364" s="195"/>
      <c r="AG364" s="195"/>
      <c r="AH364" s="195"/>
      <c r="AI364" s="195"/>
      <c r="AJ364" s="195"/>
      <c r="AK364" s="195"/>
      <c r="AL364" s="195"/>
      <c r="AM364" s="195"/>
      <c r="AN364" s="532"/>
      <c r="AO364" s="532"/>
      <c r="AP364" s="240"/>
      <c r="AQ364" s="532"/>
      <c r="AR364" s="240"/>
      <c r="AS364" s="240"/>
      <c r="AT364" s="240"/>
      <c r="AU364" s="730"/>
      <c r="AV364" s="730"/>
      <c r="AW364" s="730"/>
      <c r="AX364" s="730"/>
      <c r="AY364" s="468"/>
      <c r="AZ364" s="468"/>
      <c r="BA364" s="240"/>
      <c r="BB364" s="240"/>
      <c r="BC364" s="240"/>
      <c r="BD364" s="240"/>
      <c r="BE364" s="672"/>
      <c r="BF364" s="672"/>
      <c r="BG364" s="672"/>
      <c r="BH364" s="731"/>
      <c r="BI364" s="672"/>
      <c r="BJ364" s="240"/>
      <c r="BK364" s="736"/>
      <c r="BL364" s="737"/>
      <c r="BM364" s="240"/>
      <c r="BN364" s="240"/>
      <c r="BO364" s="240"/>
      <c r="BP364" s="240"/>
      <c r="BQ364" s="240"/>
      <c r="BR364" s="240"/>
      <c r="BS364" s="240"/>
      <c r="BT364" s="240"/>
      <c r="BU364" s="240"/>
      <c r="BV364" s="240"/>
      <c r="BW364" s="240"/>
      <c r="BX364" s="240"/>
      <c r="BY364" s="240"/>
      <c r="BZ364" s="240"/>
      <c r="CA364" s="240"/>
      <c r="CB364" s="672"/>
      <c r="CC364" s="672"/>
      <c r="CD364" s="672"/>
      <c r="CE364" s="672"/>
      <c r="CF364" s="672"/>
      <c r="CG364" s="672"/>
      <c r="CH364" s="240"/>
      <c r="CI364" s="240"/>
      <c r="CJ364" s="240"/>
      <c r="CK364" s="240"/>
      <c r="CL364" s="240"/>
      <c r="CM364" s="240"/>
      <c r="CN364" s="240"/>
      <c r="CO364" s="240"/>
      <c r="CP364" s="240"/>
      <c r="CQ364" s="240"/>
      <c r="CR364" s="240"/>
      <c r="CS364" s="240"/>
      <c r="CT364" s="240"/>
      <c r="CU364" s="240"/>
      <c r="CV364" s="240"/>
      <c r="CW364" s="240"/>
      <c r="CX364" s="240"/>
      <c r="CY364" s="240"/>
      <c r="CZ364" s="240"/>
      <c r="DA364" s="240"/>
      <c r="DB364" s="240"/>
      <c r="DC364" s="240"/>
      <c r="DD364" s="240"/>
      <c r="DE364" s="240"/>
      <c r="DF364" s="240"/>
      <c r="DG364" s="733"/>
      <c r="DH364" s="478"/>
      <c r="DI364" s="195"/>
      <c r="DJ364" s="3"/>
      <c r="DK364" s="478"/>
      <c r="DL364" s="4"/>
      <c r="DM364" s="4"/>
      <c r="DN364" s="4"/>
      <c r="DO364" s="4"/>
      <c r="DP364" s="4"/>
      <c r="DQ364" s="4"/>
      <c r="DS364" s="195"/>
      <c r="DT364" s="195"/>
      <c r="DU364" s="195"/>
      <c r="DV364" s="195"/>
      <c r="DW364" s="195"/>
      <c r="DX364" s="195"/>
      <c r="DY364" s="195"/>
      <c r="DZ364" s="195"/>
      <c r="EA364" s="195"/>
      <c r="EB364" s="195"/>
      <c r="EC364" s="195"/>
      <c r="ED364" s="195"/>
      <c r="EE364" s="195"/>
      <c r="EF364" s="195"/>
      <c r="EG364" s="195"/>
      <c r="EL364" s="1"/>
      <c r="EM364" s="195"/>
      <c r="EN364" s="240"/>
      <c r="EO364" s="240"/>
      <c r="EP364" s="195"/>
      <c r="EQ364" s="240"/>
      <c r="ER364" s="195"/>
      <c r="ES364" s="195"/>
      <c r="ET364" s="195"/>
      <c r="EU364" s="672"/>
      <c r="FJ364" s="571" t="n">
        <v>40</v>
      </c>
      <c r="FK364" s="150" t="str">
        <f aca="false">IF(AND(ISNUMBER(FK59),ISNUMBER(FK$320),FK$320&lt;&gt;0),FK59*FK$320/FK$15,"")</f>
        <v/>
      </c>
      <c r="FL364" s="150" t="str">
        <f aca="false">IF(AND(ISNUMBER(FL59),ISNUMBER(FL$320),FL$320&lt;&gt;0),FL59*FL$320/FL$15,"")</f>
        <v/>
      </c>
      <c r="FM364" s="150" t="n">
        <f aca="false">IF(AND(ISNUMBER(FM59),ISNUMBER(FM$320),FM$320&lt;&gt;0),FM59*FM$320/FM$15,"")</f>
        <v>0.00255878520571074</v>
      </c>
      <c r="FN364" s="150" t="n">
        <f aca="false">IF(AND(ISNUMBER(FN59),ISNUMBER(FN$320),FN$320&lt;&gt;0),FN59*FN$320/FN$15,"")</f>
        <v>0.00215537325525022</v>
      </c>
      <c r="FO364" s="150" t="n">
        <f aca="false">IF(AND(ISNUMBER(FO59),ISNUMBER(FO$320),FO$320&lt;&gt;0),FO59*FO$320/FO$15,"")</f>
        <v>0.00224400230683503</v>
      </c>
      <c r="FP364" s="150" t="n">
        <f aca="false">IF(AND(ISNUMBER(FP59),ISNUMBER(FP$320),FP$320&lt;&gt;0),FP59*FP$320/FP$15,"")</f>
        <v>0.00124465156654258</v>
      </c>
      <c r="FQ364" s="150" t="str">
        <f aca="false">IF(AND(ISNUMBER(FQ59),ISNUMBER(FQ$320),FQ$320&lt;&gt;0),FQ59*FQ$320/FQ$15,"")</f>
        <v/>
      </c>
      <c r="FR364" s="150" t="str">
        <f aca="false">IF(AND(ISNUMBER(FR59),ISNUMBER(FR$320),FR$320&lt;&gt;0),FR59*FR$320/FR$15,"")</f>
        <v/>
      </c>
      <c r="FS364" s="150" t="str">
        <f aca="false">IF(AND(ISNUMBER(FS59),ISNUMBER(FS$320),FS$320&lt;&gt;0),FS59*FS$320/FS$15,"")</f>
        <v/>
      </c>
      <c r="FT364" s="150" t="str">
        <f aca="false">IF(AND(ISNUMBER(FT59),ISNUMBER(FT$320),FT$320&lt;&gt;0),FT59*FT$320/FT$15,"")</f>
        <v/>
      </c>
      <c r="FU364" s="150" t="str">
        <f aca="false">IF(AND(ISNUMBER(FU59),ISNUMBER(FU$320),FU$320&lt;&gt;0),FU59*FU$320/FU$15,"")</f>
        <v/>
      </c>
      <c r="FV364" s="150" t="str">
        <f aca="false">IF(AND(ISNUMBER(FV59),ISNUMBER(FV$320),FV$320&lt;&gt;0),FV59*FV$320/FV$15,"")</f>
        <v/>
      </c>
      <c r="FW364" s="150" t="str">
        <f aca="false">IF(AND(ISNUMBER(FW59),ISNUMBER(FW$320),FW$320&lt;&gt;0),FW59*FW$320/FW$15,"")</f>
        <v/>
      </c>
      <c r="FX364" s="150" t="str">
        <f aca="false">IF(AND(ISNUMBER(FX59),ISNUMBER(FX$320),FX$320&lt;&gt;0),FX59*FX$320/FX$15,"")</f>
        <v/>
      </c>
      <c r="FY364" s="150" t="str">
        <f aca="false">IF(AND(ISNUMBER(FY59),ISNUMBER(FY$320),FY$320&lt;&gt;0),FY59*FY$320/FY$15,"")</f>
        <v/>
      </c>
      <c r="FZ364" s="150" t="str">
        <f aca="false">IF(AND(ISNUMBER(FZ59),ISNUMBER(FZ$320),FZ$320&lt;&gt;0),FZ59*FZ$320/FZ$15,"")</f>
        <v/>
      </c>
      <c r="GA364" s="150" t="str">
        <f aca="false">IF(AND(ISNUMBER(GA59),ISNUMBER(GA$320),GA$320&lt;&gt;0),GA59*GA$320/GA$15,"")</f>
        <v/>
      </c>
      <c r="GB364" s="150" t="str">
        <f aca="false">IF(AND(ISNUMBER(GB59),ISNUMBER(GB$320),GB$320&lt;&gt;0),GB59*GB$320/GB$15,"")</f>
        <v/>
      </c>
      <c r="GC364" s="150" t="str">
        <f aca="false">IF(AND(ISNUMBER(GC59),ISNUMBER(GC$320),GC$320&lt;&gt;0),GC59*GC$320/GC$15,"")</f>
        <v/>
      </c>
      <c r="GD364" s="150" t="str">
        <f aca="false">IF(AND(ISNUMBER(GD59),ISNUMBER(GD$320),GD$320&lt;&gt;0),GD59*GD$320/GD$15,"")</f>
        <v/>
      </c>
      <c r="GE364" s="150" t="str">
        <f aca="false">IF(AND(ISNUMBER(GE59),ISNUMBER(GE$320),GE$320&lt;&gt;0),GE59*GE$320/GE$15,"")</f>
        <v/>
      </c>
      <c r="GF364" s="150" t="str">
        <f aca="false">IF(AND(ISNUMBER(GF59),ISNUMBER(GF$320),GF$320&lt;&gt;0),GF59*GF$320/GF$15,"")</f>
        <v/>
      </c>
      <c r="GG364" s="150" t="str">
        <f aca="false">IF(AND(ISNUMBER(GG59),ISNUMBER(GG$320),GG$320&lt;&gt;0),GG59*GG$320/GG$15,"")</f>
        <v/>
      </c>
      <c r="GH364" s="150" t="str">
        <f aca="false">IF(AND(ISNUMBER(GH59),ISNUMBER(GH$320),GH$320&lt;&gt;0),GH59*GH$320/GH$15,"")</f>
        <v/>
      </c>
      <c r="GI364" s="150" t="str">
        <f aca="false">IF(AND(ISNUMBER(GI59),ISNUMBER(GI$320),GI$320&lt;&gt;0),GI59*GI$320/GI$15,"")</f>
        <v/>
      </c>
      <c r="GJ364" s="150" t="str">
        <f aca="false">IF(AND(ISNUMBER(GJ59),ISNUMBER(GJ$320),GJ$320&lt;&gt;0),GJ59*GJ$320/GJ$15,"")</f>
        <v/>
      </c>
      <c r="GK364" s="150" t="str">
        <f aca="false">IF(AND(ISNUMBER(GK59),ISNUMBER(GK$320),GK$320&lt;&gt;0),GK59*GK$320/GK$15,"")</f>
        <v/>
      </c>
      <c r="GL364" s="150" t="str">
        <f aca="false">IF(AND(ISNUMBER(GL59),ISNUMBER(GL$320),GL$320&lt;&gt;0),GL59*GL$320/GL$15,"")</f>
        <v/>
      </c>
      <c r="GM364" s="150" t="str">
        <f aca="false">IF(AND(ISNUMBER(GM59),ISNUMBER(GM$320),GM$320&lt;&gt;0),GM59*GM$320/GM$15,"")</f>
        <v/>
      </c>
      <c r="GN364" s="150" t="str">
        <f aca="false">IF(AND(ISNUMBER(GN59),ISNUMBER(GN$320),GN$320&lt;&gt;0),GN59*GN$320/GN$15,"")</f>
        <v/>
      </c>
      <c r="GO364" s="150" t="str">
        <f aca="false">IF(AND(ISNUMBER(GO59),ISNUMBER(GO$320),GO$320&lt;&gt;0),GO59*GO$320/GO$15,"")</f>
        <v/>
      </c>
      <c r="GP364" s="150" t="str">
        <f aca="false">IF(AND(ISNUMBER(GP59),ISNUMBER(GP$320),GP$320&lt;&gt;0),GP59*GP$320/GP$15,"")</f>
        <v/>
      </c>
      <c r="GQ364" s="150" t="str">
        <f aca="false">IF(AND(ISNUMBER(GQ59),ISNUMBER(GQ$320),GQ$320&lt;&gt;0),GQ59*GQ$320/GQ$15,"")</f>
        <v/>
      </c>
      <c r="GR364" s="150" t="str">
        <f aca="false">IF(AND(ISNUMBER(GR59),ISNUMBER(GR$320),GR$320&lt;&gt;0),GR59*GR$320/GR$15,"")</f>
        <v/>
      </c>
      <c r="GS364" s="150" t="str">
        <f aca="false">IF(AND(ISNUMBER(GS59),ISNUMBER(GS$320),GS$320&lt;&gt;0),GS59*GS$320/GS$15,"")</f>
        <v/>
      </c>
      <c r="GT364" s="150" t="str">
        <f aca="false">IF(AND(ISNUMBER(GT59),ISNUMBER(GT$320),GT$320&lt;&gt;0),GT59*GT$320/GT$15,"")</f>
        <v/>
      </c>
      <c r="GU364" s="150" t="str">
        <f aca="false">IF(AND(ISNUMBER(GU59),ISNUMBER(GU$320),GU$320&lt;&gt;0),GU59*GU$320/GU$15,"")</f>
        <v/>
      </c>
      <c r="GV364" s="150" t="str">
        <f aca="false">IF(AND(ISNUMBER(GV59),ISNUMBER(GV$320),GV$320&lt;&gt;0),GV59*GV$320/GV$15,"")</f>
        <v/>
      </c>
      <c r="GW364" s="150" t="str">
        <f aca="false">IF(AND(ISNUMBER(GW59),ISNUMBER(GW$320),GW$320&lt;&gt;0),GW59*GW$320/GW$15,"")</f>
        <v/>
      </c>
      <c r="GX364" s="150" t="str">
        <f aca="false">IF(AND(ISNUMBER(GX59),ISNUMBER(GX$320),GX$320&lt;&gt;0),GX59*GX$320/GX$15,"")</f>
        <v/>
      </c>
      <c r="GY364" s="150" t="str">
        <f aca="false">IF(AND(ISNUMBER(GY59),ISNUMBER(GY$320),GY$320&lt;&gt;0),GY59*GY$320/GY$15,"")</f>
        <v/>
      </c>
      <c r="GZ364" s="150" t="str">
        <f aca="false">IF(AND(ISNUMBER(GZ59),ISNUMBER(GZ$320),GZ$320&lt;&gt;0),GZ59*GZ$320/GZ$15,"")</f>
        <v/>
      </c>
      <c r="HA364" s="150" t="str">
        <f aca="false">IF(AND(ISNUMBER(HA59),ISNUMBER(HA$320),HA$320&lt;&gt;0),HA59*HA$320/HA$15,"")</f>
        <v/>
      </c>
      <c r="HB364" s="150" t="str">
        <f aca="false">IF(AND(ISNUMBER(HB59),ISNUMBER(HB$320),HB$320&lt;&gt;0),HB59*HB$320/HB$15,"")</f>
        <v/>
      </c>
      <c r="HC364" s="150" t="str">
        <f aca="false">IF(AND(ISNUMBER(HC59),ISNUMBER(HC$320),HC$320&lt;&gt;0),HC59*HC$320/HC$15,"")</f>
        <v/>
      </c>
      <c r="HD364" s="150" t="str">
        <f aca="false">IF(AND(ISNUMBER(HD59),ISNUMBER(HD$320),HD$320&lt;&gt;0),HD59*HD$320/HD$15,"")</f>
        <v/>
      </c>
      <c r="HE364" s="150" t="str">
        <f aca="false">IF(AND(ISNUMBER(HE59),ISNUMBER(HE$320),HE$320&lt;&gt;0),HE59*HE$320/HE$15,"")</f>
        <v/>
      </c>
      <c r="HF364" s="150" t="str">
        <f aca="false">IF(AND(ISNUMBER(HF59),ISNUMBER(HF$320),HF$320&lt;&gt;0),HF59*HF$320/HF$15,"")</f>
        <v/>
      </c>
      <c r="HG364" s="150" t="str">
        <f aca="false">IF(AND(ISNUMBER(HG59),ISNUMBER(HG$320),HG$320&lt;&gt;0),HG59*HG$320/HG$15,"")</f>
        <v/>
      </c>
      <c r="HH364" s="150" t="str">
        <f aca="false">IF(AND(ISNUMBER(HH59),ISNUMBER(HH$320),HH$320&lt;&gt;0),HH59*HH$320/HH$15,"")</f>
        <v/>
      </c>
      <c r="HI364" s="150" t="str">
        <f aca="false">IF(AND(ISNUMBER(HI59),ISNUMBER(HI$320),HI$320&lt;&gt;0),HI59*HI$320/HI$15,"")</f>
        <v/>
      </c>
      <c r="HJ364" s="150" t="str">
        <f aca="false">IF(AND(ISNUMBER(HJ59),ISNUMBER(HJ$320),HJ$320&lt;&gt;0),HJ59*HJ$320/HJ$15,"")</f>
        <v/>
      </c>
      <c r="HK364" s="150" t="str">
        <f aca="false">IF(AND(ISNUMBER(HK59),ISNUMBER(HK$320),HK$320&lt;&gt;0),HK59*HK$320/HK$15,"")</f>
        <v/>
      </c>
      <c r="HL364" s="150" t="str">
        <f aca="false">IF(AND(ISNUMBER(HL59),ISNUMBER(HL$320),HL$320&lt;&gt;0),HL59*HL$320/HL$15,"")</f>
        <v/>
      </c>
      <c r="HM364" s="150" t="str">
        <f aca="false">IF(AND(ISNUMBER(HM59),ISNUMBER(HM$320),HM$320&lt;&gt;0),HM59*HM$320/HM$15,"")</f>
        <v/>
      </c>
      <c r="HN364" s="150" t="str">
        <f aca="false">IF(AND(ISNUMBER(HN59),ISNUMBER(HN$320),HN$320&lt;&gt;0),HN59*HN$320/HN$15,"")</f>
        <v/>
      </c>
      <c r="HO364" s="150" t="str">
        <f aca="false">IF(AND(ISNUMBER(HO59),ISNUMBER(HO$320),HO$320&lt;&gt;0),HO59*HO$320/HO$15,"")</f>
        <v/>
      </c>
      <c r="HP364" s="150" t="str">
        <f aca="false">IF(AND(ISNUMBER(HP59),ISNUMBER(HP$320),HP$320&lt;&gt;0),HP59*HP$320/HP$15,"")</f>
        <v/>
      </c>
      <c r="HQ364" s="150" t="str">
        <f aca="false">IF(AND(ISNUMBER(HQ59),ISNUMBER(HQ$320),HQ$320&lt;&gt;0),HQ59*HQ$320/HQ$15,"")</f>
        <v/>
      </c>
      <c r="HR364" s="150" t="str">
        <f aca="false">IF(AND(ISNUMBER(HR59),ISNUMBER(HR$320),HR$320&lt;&gt;0),HR59*HR$320/HR$15,"")</f>
        <v/>
      </c>
      <c r="HS364" s="150" t="str">
        <f aca="false">IF(AND(ISNUMBER(HS59),ISNUMBER(HS$320),HS$320&lt;&gt;0),HS59*HS$320/HS$15,"")</f>
        <v/>
      </c>
      <c r="HT364" s="150" t="str">
        <f aca="false">IF(AND(ISNUMBER(HT59),ISNUMBER(HT$320),HT$320&lt;&gt;0),HT59*HT$320/HT$15,"")</f>
        <v/>
      </c>
      <c r="HU364" s="150" t="str">
        <f aca="false">IF(AND(ISNUMBER(HU59),ISNUMBER(HU$320),HU$320&lt;&gt;0),HU59*HU$320/HU$15,"")</f>
        <v/>
      </c>
      <c r="HV364" s="150" t="str">
        <f aca="false">IF(AND(ISNUMBER(HV59),ISNUMBER(HV$320),HV$320&lt;&gt;0),HV59*HV$320/HV$15,"")</f>
        <v/>
      </c>
      <c r="HW364" s="150" t="str">
        <f aca="false">IF(AND(ISNUMBER(HW59),ISNUMBER(HW$320),HW$320&lt;&gt;0),HW59*HW$320/HW$15,"")</f>
        <v/>
      </c>
      <c r="HX364" s="150" t="str">
        <f aca="false">IF(AND(ISNUMBER(HX59),ISNUMBER(HX$320),HX$320&lt;&gt;0),HX59*HX$320/HX$15,"")</f>
        <v/>
      </c>
      <c r="HY364" s="150" t="str">
        <f aca="false">IF(AND(ISNUMBER(HY59),ISNUMBER(HY$320),HY$320&lt;&gt;0),HY59*HY$320/HY$15,"")</f>
        <v/>
      </c>
      <c r="HZ364" s="150" t="str">
        <f aca="false">IF(AND(ISNUMBER(HZ59),ISNUMBER(HZ$320),HZ$320&lt;&gt;0),HZ59*HZ$320/HZ$15,"")</f>
        <v/>
      </c>
      <c r="IA364" s="150" t="str">
        <f aca="false">IF(AND(ISNUMBER(IA59),ISNUMBER(IA$320),IA$320&lt;&gt;0),IA59*IA$320/IA$15,"")</f>
        <v/>
      </c>
      <c r="IB364" s="150" t="str">
        <f aca="false">IF(AND(ISNUMBER(IB59),ISNUMBER(IB$320),IB$320&lt;&gt;0),IB59*IB$320/IB$15,"")</f>
        <v/>
      </c>
      <c r="IC364" s="150" t="str">
        <f aca="false">IF(AND(ISNUMBER(IC59),ISNUMBER(IC$320),IC$320&lt;&gt;0),IC59*IC$320/IC$15,"")</f>
        <v/>
      </c>
      <c r="ID364" s="572" t="str">
        <f aca="false">IF(AND(ISNUMBER(ID59),ISNUMBER(ID$320),ID$320&lt;&gt;0),ID59*ID$320/ID$15,"")</f>
        <v/>
      </c>
    </row>
    <row r="365" customFormat="false" ht="12.75" hidden="false" customHeight="false" outlineLevel="0" collapsed="false">
      <c r="I365" s="735"/>
      <c r="J365" s="727"/>
      <c r="K365" s="195"/>
      <c r="L365" s="195"/>
      <c r="M365" s="729"/>
      <c r="P365" s="727"/>
      <c r="S365" s="1"/>
      <c r="T365" s="727"/>
      <c r="U365" s="195"/>
      <c r="V365" s="195"/>
      <c r="W365" s="195"/>
      <c r="X365" s="195"/>
      <c r="Y365" s="195"/>
      <c r="Z365" s="195"/>
      <c r="AA365" s="195"/>
      <c r="AB365" s="195"/>
      <c r="AC365" s="195"/>
      <c r="AD365" s="195"/>
      <c r="AE365" s="195"/>
      <c r="AF365" s="195"/>
      <c r="AG365" s="195"/>
      <c r="AH365" s="195"/>
      <c r="AI365" s="195"/>
      <c r="AJ365" s="195"/>
      <c r="AK365" s="195"/>
      <c r="AL365" s="195"/>
      <c r="AM365" s="195"/>
      <c r="AN365" s="532"/>
      <c r="AO365" s="532"/>
      <c r="AP365" s="240"/>
      <c r="AQ365" s="532"/>
      <c r="AR365" s="240"/>
      <c r="AS365" s="240"/>
      <c r="AT365" s="240"/>
      <c r="AU365" s="730"/>
      <c r="AV365" s="730"/>
      <c r="AW365" s="730"/>
      <c r="AX365" s="730"/>
      <c r="AY365" s="468"/>
      <c r="AZ365" s="468"/>
      <c r="BA365" s="240"/>
      <c r="BB365" s="240"/>
      <c r="BC365" s="240"/>
      <c r="BD365" s="240"/>
      <c r="BE365" s="672"/>
      <c r="BF365" s="672"/>
      <c r="BG365" s="672"/>
      <c r="BH365" s="731"/>
      <c r="BI365" s="672"/>
      <c r="BJ365" s="240"/>
      <c r="BK365" s="736"/>
      <c r="BL365" s="737"/>
      <c r="BM365" s="240"/>
      <c r="BN365" s="240"/>
      <c r="BO365" s="240"/>
      <c r="BP365" s="240"/>
      <c r="BQ365" s="240"/>
      <c r="BR365" s="240"/>
      <c r="BS365" s="240"/>
      <c r="BT365" s="240"/>
      <c r="BU365" s="240"/>
      <c r="BV365" s="240"/>
      <c r="BW365" s="240"/>
      <c r="BX365" s="240"/>
      <c r="BY365" s="240"/>
      <c r="BZ365" s="240"/>
      <c r="CA365" s="240"/>
      <c r="CB365" s="672"/>
      <c r="CC365" s="672"/>
      <c r="CD365" s="672"/>
      <c r="CE365" s="672"/>
      <c r="CF365" s="672"/>
      <c r="CG365" s="672"/>
      <c r="CH365" s="240"/>
      <c r="CI365" s="240"/>
      <c r="CJ365" s="240"/>
      <c r="CK365" s="240"/>
      <c r="CL365" s="240"/>
      <c r="CM365" s="240"/>
      <c r="CN365" s="240"/>
      <c r="CO365" s="240"/>
      <c r="CP365" s="240"/>
      <c r="CQ365" s="240"/>
      <c r="CR365" s="240"/>
      <c r="CS365" s="240"/>
      <c r="CT365" s="240"/>
      <c r="CU365" s="240"/>
      <c r="CV365" s="240"/>
      <c r="CW365" s="240"/>
      <c r="CX365" s="240"/>
      <c r="CY365" s="240"/>
      <c r="CZ365" s="240"/>
      <c r="DA365" s="240"/>
      <c r="DB365" s="240"/>
      <c r="DC365" s="240"/>
      <c r="DD365" s="240"/>
      <c r="DE365" s="240"/>
      <c r="DF365" s="240"/>
      <c r="DG365" s="733"/>
      <c r="DH365" s="478"/>
      <c r="DI365" s="195"/>
      <c r="DJ365" s="3"/>
      <c r="DK365" s="478"/>
      <c r="DL365" s="4"/>
      <c r="DM365" s="4"/>
      <c r="DN365" s="4"/>
      <c r="DO365" s="4"/>
      <c r="DP365" s="4"/>
      <c r="DQ365" s="4"/>
      <c r="DS365" s="195"/>
      <c r="DT365" s="195"/>
      <c r="DU365" s="195"/>
      <c r="DV365" s="195"/>
      <c r="DW365" s="195"/>
      <c r="DX365" s="195"/>
      <c r="DY365" s="195"/>
      <c r="DZ365" s="195"/>
      <c r="EA365" s="195"/>
      <c r="EB365" s="195"/>
      <c r="EC365" s="195"/>
      <c r="ED365" s="195"/>
      <c r="EE365" s="195"/>
      <c r="EF365" s="195"/>
      <c r="EG365" s="195"/>
      <c r="EL365" s="1"/>
      <c r="EM365" s="195"/>
      <c r="EN365" s="240"/>
      <c r="EO365" s="240"/>
      <c r="EP365" s="195"/>
      <c r="EQ365" s="240"/>
      <c r="ER365" s="195"/>
      <c r="ES365" s="195"/>
      <c r="ET365" s="195"/>
      <c r="EU365" s="672"/>
      <c r="FJ365" s="571" t="n">
        <v>41</v>
      </c>
      <c r="FK365" s="150" t="str">
        <f aca="false">IF(AND(ISNUMBER(FK60),ISNUMBER(FK$320),FK$320&lt;&gt;0),FK60*FK$320/FK$15,"")</f>
        <v/>
      </c>
      <c r="FL365" s="150" t="str">
        <f aca="false">IF(AND(ISNUMBER(FL60),ISNUMBER(FL$320),FL$320&lt;&gt;0),FL60*FL$320/FL$15,"")</f>
        <v/>
      </c>
      <c r="FM365" s="150" t="n">
        <f aca="false">IF(AND(ISNUMBER(FM60),ISNUMBER(FM$320),FM$320&lt;&gt;0),FM60*FM$320/FM$15,"")</f>
        <v>0.00255703818783641</v>
      </c>
      <c r="FN365" s="150" t="n">
        <f aca="false">IF(AND(ISNUMBER(FN60),ISNUMBER(FN$320),FN$320&lt;&gt;0),FN60*FN$320/FN$15,"")</f>
        <v>0.00215365210060908</v>
      </c>
      <c r="FO365" s="150" t="n">
        <f aca="false">IF(AND(ISNUMBER(FO60),ISNUMBER(FO$320),FO$320&lt;&gt;0),FO60*FO$320/FO$15,"")</f>
        <v>0.00224190648390813</v>
      </c>
      <c r="FP365" s="150" t="n">
        <f aca="false">IF(AND(ISNUMBER(FP60),ISNUMBER(FP$320),FP$320&lt;&gt;0),FP60*FP$320/FP$15,"")</f>
        <v>0.00124329196088458</v>
      </c>
      <c r="FQ365" s="150" t="str">
        <f aca="false">IF(AND(ISNUMBER(FQ60),ISNUMBER(FQ$320),FQ$320&lt;&gt;0),FQ60*FQ$320/FQ$15,"")</f>
        <v/>
      </c>
      <c r="FR365" s="150" t="str">
        <f aca="false">IF(AND(ISNUMBER(FR60),ISNUMBER(FR$320),FR$320&lt;&gt;0),FR60*FR$320/FR$15,"")</f>
        <v/>
      </c>
      <c r="FS365" s="150" t="str">
        <f aca="false">IF(AND(ISNUMBER(FS60),ISNUMBER(FS$320),FS$320&lt;&gt;0),FS60*FS$320/FS$15,"")</f>
        <v/>
      </c>
      <c r="FT365" s="150" t="str">
        <f aca="false">IF(AND(ISNUMBER(FT60),ISNUMBER(FT$320),FT$320&lt;&gt;0),FT60*FT$320/FT$15,"")</f>
        <v/>
      </c>
      <c r="FU365" s="150" t="str">
        <f aca="false">IF(AND(ISNUMBER(FU60),ISNUMBER(FU$320),FU$320&lt;&gt;0),FU60*FU$320/FU$15,"")</f>
        <v/>
      </c>
      <c r="FV365" s="150" t="str">
        <f aca="false">IF(AND(ISNUMBER(FV60),ISNUMBER(FV$320),FV$320&lt;&gt;0),FV60*FV$320/FV$15,"")</f>
        <v/>
      </c>
      <c r="FW365" s="150" t="str">
        <f aca="false">IF(AND(ISNUMBER(FW60),ISNUMBER(FW$320),FW$320&lt;&gt;0),FW60*FW$320/FW$15,"")</f>
        <v/>
      </c>
      <c r="FX365" s="150" t="str">
        <f aca="false">IF(AND(ISNUMBER(FX60),ISNUMBER(FX$320),FX$320&lt;&gt;0),FX60*FX$320/FX$15,"")</f>
        <v/>
      </c>
      <c r="FY365" s="150" t="str">
        <f aca="false">IF(AND(ISNUMBER(FY60),ISNUMBER(FY$320),FY$320&lt;&gt;0),FY60*FY$320/FY$15,"")</f>
        <v/>
      </c>
      <c r="FZ365" s="150" t="str">
        <f aca="false">IF(AND(ISNUMBER(FZ60),ISNUMBER(FZ$320),FZ$320&lt;&gt;0),FZ60*FZ$320/FZ$15,"")</f>
        <v/>
      </c>
      <c r="GA365" s="150" t="str">
        <f aca="false">IF(AND(ISNUMBER(GA60),ISNUMBER(GA$320),GA$320&lt;&gt;0),GA60*GA$320/GA$15,"")</f>
        <v/>
      </c>
      <c r="GB365" s="150" t="str">
        <f aca="false">IF(AND(ISNUMBER(GB60),ISNUMBER(GB$320),GB$320&lt;&gt;0),GB60*GB$320/GB$15,"")</f>
        <v/>
      </c>
      <c r="GC365" s="150" t="str">
        <f aca="false">IF(AND(ISNUMBER(GC60),ISNUMBER(GC$320),GC$320&lt;&gt;0),GC60*GC$320/GC$15,"")</f>
        <v/>
      </c>
      <c r="GD365" s="150" t="str">
        <f aca="false">IF(AND(ISNUMBER(GD60),ISNUMBER(GD$320),GD$320&lt;&gt;0),GD60*GD$320/GD$15,"")</f>
        <v/>
      </c>
      <c r="GE365" s="150" t="str">
        <f aca="false">IF(AND(ISNUMBER(GE60),ISNUMBER(GE$320),GE$320&lt;&gt;0),GE60*GE$320/GE$15,"")</f>
        <v/>
      </c>
      <c r="GF365" s="150" t="str">
        <f aca="false">IF(AND(ISNUMBER(GF60),ISNUMBER(GF$320),GF$320&lt;&gt;0),GF60*GF$320/GF$15,"")</f>
        <v/>
      </c>
      <c r="GG365" s="150" t="str">
        <f aca="false">IF(AND(ISNUMBER(GG60),ISNUMBER(GG$320),GG$320&lt;&gt;0),GG60*GG$320/GG$15,"")</f>
        <v/>
      </c>
      <c r="GH365" s="150" t="str">
        <f aca="false">IF(AND(ISNUMBER(GH60),ISNUMBER(GH$320),GH$320&lt;&gt;0),GH60*GH$320/GH$15,"")</f>
        <v/>
      </c>
      <c r="GI365" s="150" t="str">
        <f aca="false">IF(AND(ISNUMBER(GI60),ISNUMBER(GI$320),GI$320&lt;&gt;0),GI60*GI$320/GI$15,"")</f>
        <v/>
      </c>
      <c r="GJ365" s="150" t="str">
        <f aca="false">IF(AND(ISNUMBER(GJ60),ISNUMBER(GJ$320),GJ$320&lt;&gt;0),GJ60*GJ$320/GJ$15,"")</f>
        <v/>
      </c>
      <c r="GK365" s="150" t="str">
        <f aca="false">IF(AND(ISNUMBER(GK60),ISNUMBER(GK$320),GK$320&lt;&gt;0),GK60*GK$320/GK$15,"")</f>
        <v/>
      </c>
      <c r="GL365" s="150" t="str">
        <f aca="false">IF(AND(ISNUMBER(GL60),ISNUMBER(GL$320),GL$320&lt;&gt;0),GL60*GL$320/GL$15,"")</f>
        <v/>
      </c>
      <c r="GM365" s="150" t="str">
        <f aca="false">IF(AND(ISNUMBER(GM60),ISNUMBER(GM$320),GM$320&lt;&gt;0),GM60*GM$320/GM$15,"")</f>
        <v/>
      </c>
      <c r="GN365" s="150" t="str">
        <f aca="false">IF(AND(ISNUMBER(GN60),ISNUMBER(GN$320),GN$320&lt;&gt;0),GN60*GN$320/GN$15,"")</f>
        <v/>
      </c>
      <c r="GO365" s="150" t="str">
        <f aca="false">IF(AND(ISNUMBER(GO60),ISNUMBER(GO$320),GO$320&lt;&gt;0),GO60*GO$320/GO$15,"")</f>
        <v/>
      </c>
      <c r="GP365" s="150" t="str">
        <f aca="false">IF(AND(ISNUMBER(GP60),ISNUMBER(GP$320),GP$320&lt;&gt;0),GP60*GP$320/GP$15,"")</f>
        <v/>
      </c>
      <c r="GQ365" s="150" t="str">
        <f aca="false">IF(AND(ISNUMBER(GQ60),ISNUMBER(GQ$320),GQ$320&lt;&gt;0),GQ60*GQ$320/GQ$15,"")</f>
        <v/>
      </c>
      <c r="GR365" s="150" t="str">
        <f aca="false">IF(AND(ISNUMBER(GR60),ISNUMBER(GR$320),GR$320&lt;&gt;0),GR60*GR$320/GR$15,"")</f>
        <v/>
      </c>
      <c r="GS365" s="150" t="str">
        <f aca="false">IF(AND(ISNUMBER(GS60),ISNUMBER(GS$320),GS$320&lt;&gt;0),GS60*GS$320/GS$15,"")</f>
        <v/>
      </c>
      <c r="GT365" s="150" t="str">
        <f aca="false">IF(AND(ISNUMBER(GT60),ISNUMBER(GT$320),GT$320&lt;&gt;0),GT60*GT$320/GT$15,"")</f>
        <v/>
      </c>
      <c r="GU365" s="150" t="str">
        <f aca="false">IF(AND(ISNUMBER(GU60),ISNUMBER(GU$320),GU$320&lt;&gt;0),GU60*GU$320/GU$15,"")</f>
        <v/>
      </c>
      <c r="GV365" s="150" t="str">
        <f aca="false">IF(AND(ISNUMBER(GV60),ISNUMBER(GV$320),GV$320&lt;&gt;0),GV60*GV$320/GV$15,"")</f>
        <v/>
      </c>
      <c r="GW365" s="150" t="str">
        <f aca="false">IF(AND(ISNUMBER(GW60),ISNUMBER(GW$320),GW$320&lt;&gt;0),GW60*GW$320/GW$15,"")</f>
        <v/>
      </c>
      <c r="GX365" s="150" t="str">
        <f aca="false">IF(AND(ISNUMBER(GX60),ISNUMBER(GX$320),GX$320&lt;&gt;0),GX60*GX$320/GX$15,"")</f>
        <v/>
      </c>
      <c r="GY365" s="150" t="str">
        <f aca="false">IF(AND(ISNUMBER(GY60),ISNUMBER(GY$320),GY$320&lt;&gt;0),GY60*GY$320/GY$15,"")</f>
        <v/>
      </c>
      <c r="GZ365" s="150" t="str">
        <f aca="false">IF(AND(ISNUMBER(GZ60),ISNUMBER(GZ$320),GZ$320&lt;&gt;0),GZ60*GZ$320/GZ$15,"")</f>
        <v/>
      </c>
      <c r="HA365" s="150" t="str">
        <f aca="false">IF(AND(ISNUMBER(HA60),ISNUMBER(HA$320),HA$320&lt;&gt;0),HA60*HA$320/HA$15,"")</f>
        <v/>
      </c>
      <c r="HB365" s="150" t="str">
        <f aca="false">IF(AND(ISNUMBER(HB60),ISNUMBER(HB$320),HB$320&lt;&gt;0),HB60*HB$320/HB$15,"")</f>
        <v/>
      </c>
      <c r="HC365" s="150" t="str">
        <f aca="false">IF(AND(ISNUMBER(HC60),ISNUMBER(HC$320),HC$320&lt;&gt;0),HC60*HC$320/HC$15,"")</f>
        <v/>
      </c>
      <c r="HD365" s="150" t="str">
        <f aca="false">IF(AND(ISNUMBER(HD60),ISNUMBER(HD$320),HD$320&lt;&gt;0),HD60*HD$320/HD$15,"")</f>
        <v/>
      </c>
      <c r="HE365" s="150" t="str">
        <f aca="false">IF(AND(ISNUMBER(HE60),ISNUMBER(HE$320),HE$320&lt;&gt;0),HE60*HE$320/HE$15,"")</f>
        <v/>
      </c>
      <c r="HF365" s="150" t="str">
        <f aca="false">IF(AND(ISNUMBER(HF60),ISNUMBER(HF$320),HF$320&lt;&gt;0),HF60*HF$320/HF$15,"")</f>
        <v/>
      </c>
      <c r="HG365" s="150" t="str">
        <f aca="false">IF(AND(ISNUMBER(HG60),ISNUMBER(HG$320),HG$320&lt;&gt;0),HG60*HG$320/HG$15,"")</f>
        <v/>
      </c>
      <c r="HH365" s="150" t="str">
        <f aca="false">IF(AND(ISNUMBER(HH60),ISNUMBER(HH$320),HH$320&lt;&gt;0),HH60*HH$320/HH$15,"")</f>
        <v/>
      </c>
      <c r="HI365" s="150" t="str">
        <f aca="false">IF(AND(ISNUMBER(HI60),ISNUMBER(HI$320),HI$320&lt;&gt;0),HI60*HI$320/HI$15,"")</f>
        <v/>
      </c>
      <c r="HJ365" s="150" t="str">
        <f aca="false">IF(AND(ISNUMBER(HJ60),ISNUMBER(HJ$320),HJ$320&lt;&gt;0),HJ60*HJ$320/HJ$15,"")</f>
        <v/>
      </c>
      <c r="HK365" s="150" t="str">
        <f aca="false">IF(AND(ISNUMBER(HK60),ISNUMBER(HK$320),HK$320&lt;&gt;0),HK60*HK$320/HK$15,"")</f>
        <v/>
      </c>
      <c r="HL365" s="150" t="str">
        <f aca="false">IF(AND(ISNUMBER(HL60),ISNUMBER(HL$320),HL$320&lt;&gt;0),HL60*HL$320/HL$15,"")</f>
        <v/>
      </c>
      <c r="HM365" s="150" t="str">
        <f aca="false">IF(AND(ISNUMBER(HM60),ISNUMBER(HM$320),HM$320&lt;&gt;0),HM60*HM$320/HM$15,"")</f>
        <v/>
      </c>
      <c r="HN365" s="150" t="str">
        <f aca="false">IF(AND(ISNUMBER(HN60),ISNUMBER(HN$320),HN$320&lt;&gt;0),HN60*HN$320/HN$15,"")</f>
        <v/>
      </c>
      <c r="HO365" s="150" t="str">
        <f aca="false">IF(AND(ISNUMBER(HO60),ISNUMBER(HO$320),HO$320&lt;&gt;0),HO60*HO$320/HO$15,"")</f>
        <v/>
      </c>
      <c r="HP365" s="150" t="str">
        <f aca="false">IF(AND(ISNUMBER(HP60),ISNUMBER(HP$320),HP$320&lt;&gt;0),HP60*HP$320/HP$15,"")</f>
        <v/>
      </c>
      <c r="HQ365" s="150" t="str">
        <f aca="false">IF(AND(ISNUMBER(HQ60),ISNUMBER(HQ$320),HQ$320&lt;&gt;0),HQ60*HQ$320/HQ$15,"")</f>
        <v/>
      </c>
      <c r="HR365" s="150" t="str">
        <f aca="false">IF(AND(ISNUMBER(HR60),ISNUMBER(HR$320),HR$320&lt;&gt;0),HR60*HR$320/HR$15,"")</f>
        <v/>
      </c>
      <c r="HS365" s="150" t="str">
        <f aca="false">IF(AND(ISNUMBER(HS60),ISNUMBER(HS$320),HS$320&lt;&gt;0),HS60*HS$320/HS$15,"")</f>
        <v/>
      </c>
      <c r="HT365" s="150" t="str">
        <f aca="false">IF(AND(ISNUMBER(HT60),ISNUMBER(HT$320),HT$320&lt;&gt;0),HT60*HT$320/HT$15,"")</f>
        <v/>
      </c>
      <c r="HU365" s="150" t="str">
        <f aca="false">IF(AND(ISNUMBER(HU60),ISNUMBER(HU$320),HU$320&lt;&gt;0),HU60*HU$320/HU$15,"")</f>
        <v/>
      </c>
      <c r="HV365" s="150" t="str">
        <f aca="false">IF(AND(ISNUMBER(HV60),ISNUMBER(HV$320),HV$320&lt;&gt;0),HV60*HV$320/HV$15,"")</f>
        <v/>
      </c>
      <c r="HW365" s="150" t="str">
        <f aca="false">IF(AND(ISNUMBER(HW60),ISNUMBER(HW$320),HW$320&lt;&gt;0),HW60*HW$320/HW$15,"")</f>
        <v/>
      </c>
      <c r="HX365" s="150" t="str">
        <f aca="false">IF(AND(ISNUMBER(HX60),ISNUMBER(HX$320),HX$320&lt;&gt;0),HX60*HX$320/HX$15,"")</f>
        <v/>
      </c>
      <c r="HY365" s="150" t="str">
        <f aca="false">IF(AND(ISNUMBER(HY60),ISNUMBER(HY$320),HY$320&lt;&gt;0),HY60*HY$320/HY$15,"")</f>
        <v/>
      </c>
      <c r="HZ365" s="150" t="str">
        <f aca="false">IF(AND(ISNUMBER(HZ60),ISNUMBER(HZ$320),HZ$320&lt;&gt;0),HZ60*HZ$320/HZ$15,"")</f>
        <v/>
      </c>
      <c r="IA365" s="150" t="str">
        <f aca="false">IF(AND(ISNUMBER(IA60),ISNUMBER(IA$320),IA$320&lt;&gt;0),IA60*IA$320/IA$15,"")</f>
        <v/>
      </c>
      <c r="IB365" s="150" t="str">
        <f aca="false">IF(AND(ISNUMBER(IB60),ISNUMBER(IB$320),IB$320&lt;&gt;0),IB60*IB$320/IB$15,"")</f>
        <v/>
      </c>
      <c r="IC365" s="150" t="str">
        <f aca="false">IF(AND(ISNUMBER(IC60),ISNUMBER(IC$320),IC$320&lt;&gt;0),IC60*IC$320/IC$15,"")</f>
        <v/>
      </c>
      <c r="ID365" s="572" t="str">
        <f aca="false">IF(AND(ISNUMBER(ID60),ISNUMBER(ID$320),ID$320&lt;&gt;0),ID60*ID$320/ID$15,"")</f>
        <v/>
      </c>
    </row>
    <row r="366" customFormat="false" ht="12.75" hidden="false" customHeight="false" outlineLevel="0" collapsed="false">
      <c r="I366" s="735"/>
      <c r="J366" s="727"/>
      <c r="K366" s="195"/>
      <c r="L366" s="195"/>
      <c r="M366" s="729"/>
      <c r="P366" s="727"/>
      <c r="S366" s="1"/>
      <c r="T366" s="727"/>
      <c r="U366" s="195"/>
      <c r="V366" s="195"/>
      <c r="W366" s="195"/>
      <c r="X366" s="195"/>
      <c r="Y366" s="195"/>
      <c r="Z366" s="195"/>
      <c r="AA366" s="195"/>
      <c r="AB366" s="195"/>
      <c r="AC366" s="195"/>
      <c r="AD366" s="195"/>
      <c r="AE366" s="195"/>
      <c r="AF366" s="195"/>
      <c r="AG366" s="195"/>
      <c r="AH366" s="195"/>
      <c r="AI366" s="195"/>
      <c r="AJ366" s="195"/>
      <c r="AK366" s="195"/>
      <c r="AL366" s="195"/>
      <c r="AM366" s="195"/>
      <c r="AN366" s="532"/>
      <c r="AO366" s="532"/>
      <c r="AP366" s="240"/>
      <c r="AQ366" s="532"/>
      <c r="AR366" s="240"/>
      <c r="AS366" s="240"/>
      <c r="AT366" s="240"/>
      <c r="AU366" s="730"/>
      <c r="AV366" s="730"/>
      <c r="AW366" s="730"/>
      <c r="AX366" s="730"/>
      <c r="AY366" s="468"/>
      <c r="AZ366" s="468"/>
      <c r="BA366" s="240"/>
      <c r="BB366" s="240"/>
      <c r="BC366" s="240"/>
      <c r="BD366" s="240"/>
      <c r="BE366" s="672"/>
      <c r="BF366" s="672"/>
      <c r="BG366" s="672"/>
      <c r="BH366" s="731"/>
      <c r="BI366" s="672"/>
      <c r="BJ366" s="240"/>
      <c r="BK366" s="736"/>
      <c r="BL366" s="737"/>
      <c r="BM366" s="240"/>
      <c r="BN366" s="240"/>
      <c r="BO366" s="240"/>
      <c r="BP366" s="240"/>
      <c r="BQ366" s="240"/>
      <c r="BR366" s="240"/>
      <c r="BS366" s="240"/>
      <c r="BT366" s="240"/>
      <c r="BU366" s="240"/>
      <c r="BV366" s="240"/>
      <c r="BW366" s="240"/>
      <c r="BX366" s="240"/>
      <c r="BY366" s="240"/>
      <c r="BZ366" s="240"/>
      <c r="CA366" s="240"/>
      <c r="CB366" s="672"/>
      <c r="CC366" s="672"/>
      <c r="CD366" s="672"/>
      <c r="CE366" s="672"/>
      <c r="CF366" s="672"/>
      <c r="CG366" s="672"/>
      <c r="CH366" s="240"/>
      <c r="CI366" s="240"/>
      <c r="CJ366" s="240"/>
      <c r="CK366" s="240"/>
      <c r="CL366" s="240"/>
      <c r="CM366" s="240"/>
      <c r="CN366" s="240"/>
      <c r="CO366" s="240"/>
      <c r="CP366" s="240"/>
      <c r="CQ366" s="240"/>
      <c r="CR366" s="240"/>
      <c r="CS366" s="240"/>
      <c r="CT366" s="240"/>
      <c r="CU366" s="240"/>
      <c r="CV366" s="240"/>
      <c r="CW366" s="240"/>
      <c r="CX366" s="240"/>
      <c r="CY366" s="240"/>
      <c r="CZ366" s="240"/>
      <c r="DA366" s="240"/>
      <c r="DB366" s="240"/>
      <c r="DC366" s="240"/>
      <c r="DD366" s="240"/>
      <c r="DE366" s="240"/>
      <c r="DF366" s="240"/>
      <c r="DG366" s="733"/>
      <c r="DH366" s="478"/>
      <c r="DI366" s="195"/>
      <c r="DJ366" s="3"/>
      <c r="DK366" s="478"/>
      <c r="DL366" s="4"/>
      <c r="DM366" s="4"/>
      <c r="DN366" s="4"/>
      <c r="DO366" s="4"/>
      <c r="DP366" s="4"/>
      <c r="DQ366" s="4"/>
      <c r="DS366" s="195"/>
      <c r="DT366" s="195"/>
      <c r="DU366" s="195"/>
      <c r="DV366" s="195"/>
      <c r="DW366" s="195"/>
      <c r="DX366" s="195"/>
      <c r="DY366" s="195"/>
      <c r="DZ366" s="195"/>
      <c r="EA366" s="195"/>
      <c r="EB366" s="195"/>
      <c r="EC366" s="195"/>
      <c r="ED366" s="195"/>
      <c r="EE366" s="195"/>
      <c r="EF366" s="195"/>
      <c r="EG366" s="195"/>
      <c r="EL366" s="1"/>
      <c r="EM366" s="195"/>
      <c r="EN366" s="240"/>
      <c r="EO366" s="240"/>
      <c r="EP366" s="195"/>
      <c r="EQ366" s="240"/>
      <c r="ER366" s="195"/>
      <c r="ES366" s="195"/>
      <c r="ET366" s="195"/>
      <c r="EU366" s="672"/>
      <c r="FJ366" s="571" t="n">
        <v>42</v>
      </c>
      <c r="FK366" s="150" t="str">
        <f aca="false">IF(AND(ISNUMBER(FK61),ISNUMBER(FK$320),FK$320&lt;&gt;0),FK61*FK$320/FK$15,"")</f>
        <v/>
      </c>
      <c r="FL366" s="150" t="str">
        <f aca="false">IF(AND(ISNUMBER(FL61),ISNUMBER(FL$320),FL$320&lt;&gt;0),FL61*FL$320/FL$15,"")</f>
        <v/>
      </c>
      <c r="FM366" s="150" t="n">
        <f aca="false">IF(AND(ISNUMBER(FM61),ISNUMBER(FM$320),FM$320&lt;&gt;0),FM61*FM$320/FM$15,"")</f>
        <v>0.00255554550738197</v>
      </c>
      <c r="FN366" s="150" t="n">
        <f aca="false">IF(AND(ISNUMBER(FN61),ISNUMBER(FN$320),FN$320&lt;&gt;0),FN61*FN$320/FN$15,"")</f>
        <v>0.00215218168851412</v>
      </c>
      <c r="FO366" s="150" t="n">
        <f aca="false">IF(AND(ISNUMBER(FO61),ISNUMBER(FO$320),FO$320&lt;&gt;0),FO61*FO$320/FO$15,"")</f>
        <v>0.00224011622890687</v>
      </c>
      <c r="FP366" s="150" t="n">
        <f aca="false">IF(AND(ISNUMBER(FP61),ISNUMBER(FP$320),FP$320&lt;&gt;0),FP61*FP$320/FP$15,"")</f>
        <v>0.00124213076787309</v>
      </c>
      <c r="FQ366" s="150" t="str">
        <f aca="false">IF(AND(ISNUMBER(FQ61),ISNUMBER(FQ$320),FQ$320&lt;&gt;0),FQ61*FQ$320/FQ$15,"")</f>
        <v/>
      </c>
      <c r="FR366" s="150" t="str">
        <f aca="false">IF(AND(ISNUMBER(FR61),ISNUMBER(FR$320),FR$320&lt;&gt;0),FR61*FR$320/FR$15,"")</f>
        <v/>
      </c>
      <c r="FS366" s="150" t="str">
        <f aca="false">IF(AND(ISNUMBER(FS61),ISNUMBER(FS$320),FS$320&lt;&gt;0),FS61*FS$320/FS$15,"")</f>
        <v/>
      </c>
      <c r="FT366" s="150" t="str">
        <f aca="false">IF(AND(ISNUMBER(FT61),ISNUMBER(FT$320),FT$320&lt;&gt;0),FT61*FT$320/FT$15,"")</f>
        <v/>
      </c>
      <c r="FU366" s="150" t="str">
        <f aca="false">IF(AND(ISNUMBER(FU61),ISNUMBER(FU$320),FU$320&lt;&gt;0),FU61*FU$320/FU$15,"")</f>
        <v/>
      </c>
      <c r="FV366" s="150" t="str">
        <f aca="false">IF(AND(ISNUMBER(FV61),ISNUMBER(FV$320),FV$320&lt;&gt;0),FV61*FV$320/FV$15,"")</f>
        <v/>
      </c>
      <c r="FW366" s="150" t="str">
        <f aca="false">IF(AND(ISNUMBER(FW61),ISNUMBER(FW$320),FW$320&lt;&gt;0),FW61*FW$320/FW$15,"")</f>
        <v/>
      </c>
      <c r="FX366" s="150" t="str">
        <f aca="false">IF(AND(ISNUMBER(FX61),ISNUMBER(FX$320),FX$320&lt;&gt;0),FX61*FX$320/FX$15,"")</f>
        <v/>
      </c>
      <c r="FY366" s="150" t="str">
        <f aca="false">IF(AND(ISNUMBER(FY61),ISNUMBER(FY$320),FY$320&lt;&gt;0),FY61*FY$320/FY$15,"")</f>
        <v/>
      </c>
      <c r="FZ366" s="150" t="str">
        <f aca="false">IF(AND(ISNUMBER(FZ61),ISNUMBER(FZ$320),FZ$320&lt;&gt;0),FZ61*FZ$320/FZ$15,"")</f>
        <v/>
      </c>
      <c r="GA366" s="150" t="str">
        <f aca="false">IF(AND(ISNUMBER(GA61),ISNUMBER(GA$320),GA$320&lt;&gt;0),GA61*GA$320/GA$15,"")</f>
        <v/>
      </c>
      <c r="GB366" s="150" t="str">
        <f aca="false">IF(AND(ISNUMBER(GB61),ISNUMBER(GB$320),GB$320&lt;&gt;0),GB61*GB$320/GB$15,"")</f>
        <v/>
      </c>
      <c r="GC366" s="150" t="str">
        <f aca="false">IF(AND(ISNUMBER(GC61),ISNUMBER(GC$320),GC$320&lt;&gt;0),GC61*GC$320/GC$15,"")</f>
        <v/>
      </c>
      <c r="GD366" s="150" t="str">
        <f aca="false">IF(AND(ISNUMBER(GD61),ISNUMBER(GD$320),GD$320&lt;&gt;0),GD61*GD$320/GD$15,"")</f>
        <v/>
      </c>
      <c r="GE366" s="150" t="str">
        <f aca="false">IF(AND(ISNUMBER(GE61),ISNUMBER(GE$320),GE$320&lt;&gt;0),GE61*GE$320/GE$15,"")</f>
        <v/>
      </c>
      <c r="GF366" s="150" t="str">
        <f aca="false">IF(AND(ISNUMBER(GF61),ISNUMBER(GF$320),GF$320&lt;&gt;0),GF61*GF$320/GF$15,"")</f>
        <v/>
      </c>
      <c r="GG366" s="150" t="str">
        <f aca="false">IF(AND(ISNUMBER(GG61),ISNUMBER(GG$320),GG$320&lt;&gt;0),GG61*GG$320/GG$15,"")</f>
        <v/>
      </c>
      <c r="GH366" s="150" t="str">
        <f aca="false">IF(AND(ISNUMBER(GH61),ISNUMBER(GH$320),GH$320&lt;&gt;0),GH61*GH$320/GH$15,"")</f>
        <v/>
      </c>
      <c r="GI366" s="150" t="str">
        <f aca="false">IF(AND(ISNUMBER(GI61),ISNUMBER(GI$320),GI$320&lt;&gt;0),GI61*GI$320/GI$15,"")</f>
        <v/>
      </c>
      <c r="GJ366" s="150" t="str">
        <f aca="false">IF(AND(ISNUMBER(GJ61),ISNUMBER(GJ$320),GJ$320&lt;&gt;0),GJ61*GJ$320/GJ$15,"")</f>
        <v/>
      </c>
      <c r="GK366" s="150" t="str">
        <f aca="false">IF(AND(ISNUMBER(GK61),ISNUMBER(GK$320),GK$320&lt;&gt;0),GK61*GK$320/GK$15,"")</f>
        <v/>
      </c>
      <c r="GL366" s="150" t="str">
        <f aca="false">IF(AND(ISNUMBER(GL61),ISNUMBER(GL$320),GL$320&lt;&gt;0),GL61*GL$320/GL$15,"")</f>
        <v/>
      </c>
      <c r="GM366" s="150" t="str">
        <f aca="false">IF(AND(ISNUMBER(GM61),ISNUMBER(GM$320),GM$320&lt;&gt;0),GM61*GM$320/GM$15,"")</f>
        <v/>
      </c>
      <c r="GN366" s="150" t="str">
        <f aca="false">IF(AND(ISNUMBER(GN61),ISNUMBER(GN$320),GN$320&lt;&gt;0),GN61*GN$320/GN$15,"")</f>
        <v/>
      </c>
      <c r="GO366" s="150" t="str">
        <f aca="false">IF(AND(ISNUMBER(GO61),ISNUMBER(GO$320),GO$320&lt;&gt;0),GO61*GO$320/GO$15,"")</f>
        <v/>
      </c>
      <c r="GP366" s="150" t="str">
        <f aca="false">IF(AND(ISNUMBER(GP61),ISNUMBER(GP$320),GP$320&lt;&gt;0),GP61*GP$320/GP$15,"")</f>
        <v/>
      </c>
      <c r="GQ366" s="150" t="str">
        <f aca="false">IF(AND(ISNUMBER(GQ61),ISNUMBER(GQ$320),GQ$320&lt;&gt;0),GQ61*GQ$320/GQ$15,"")</f>
        <v/>
      </c>
      <c r="GR366" s="150" t="str">
        <f aca="false">IF(AND(ISNUMBER(GR61),ISNUMBER(GR$320),GR$320&lt;&gt;0),GR61*GR$320/GR$15,"")</f>
        <v/>
      </c>
      <c r="GS366" s="150" t="str">
        <f aca="false">IF(AND(ISNUMBER(GS61),ISNUMBER(GS$320),GS$320&lt;&gt;0),GS61*GS$320/GS$15,"")</f>
        <v/>
      </c>
      <c r="GT366" s="150" t="str">
        <f aca="false">IF(AND(ISNUMBER(GT61),ISNUMBER(GT$320),GT$320&lt;&gt;0),GT61*GT$320/GT$15,"")</f>
        <v/>
      </c>
      <c r="GU366" s="150" t="str">
        <f aca="false">IF(AND(ISNUMBER(GU61),ISNUMBER(GU$320),GU$320&lt;&gt;0),GU61*GU$320/GU$15,"")</f>
        <v/>
      </c>
      <c r="GV366" s="150" t="str">
        <f aca="false">IF(AND(ISNUMBER(GV61),ISNUMBER(GV$320),GV$320&lt;&gt;0),GV61*GV$320/GV$15,"")</f>
        <v/>
      </c>
      <c r="GW366" s="150" t="str">
        <f aca="false">IF(AND(ISNUMBER(GW61),ISNUMBER(GW$320),GW$320&lt;&gt;0),GW61*GW$320/GW$15,"")</f>
        <v/>
      </c>
      <c r="GX366" s="150" t="str">
        <f aca="false">IF(AND(ISNUMBER(GX61),ISNUMBER(GX$320),GX$320&lt;&gt;0),GX61*GX$320/GX$15,"")</f>
        <v/>
      </c>
      <c r="GY366" s="150" t="str">
        <f aca="false">IF(AND(ISNUMBER(GY61),ISNUMBER(GY$320),GY$320&lt;&gt;0),GY61*GY$320/GY$15,"")</f>
        <v/>
      </c>
      <c r="GZ366" s="150" t="str">
        <f aca="false">IF(AND(ISNUMBER(GZ61),ISNUMBER(GZ$320),GZ$320&lt;&gt;0),GZ61*GZ$320/GZ$15,"")</f>
        <v/>
      </c>
      <c r="HA366" s="150" t="str">
        <f aca="false">IF(AND(ISNUMBER(HA61),ISNUMBER(HA$320),HA$320&lt;&gt;0),HA61*HA$320/HA$15,"")</f>
        <v/>
      </c>
      <c r="HB366" s="150" t="str">
        <f aca="false">IF(AND(ISNUMBER(HB61),ISNUMBER(HB$320),HB$320&lt;&gt;0),HB61*HB$320/HB$15,"")</f>
        <v/>
      </c>
      <c r="HC366" s="150" t="str">
        <f aca="false">IF(AND(ISNUMBER(HC61),ISNUMBER(HC$320),HC$320&lt;&gt;0),HC61*HC$320/HC$15,"")</f>
        <v/>
      </c>
      <c r="HD366" s="150" t="str">
        <f aca="false">IF(AND(ISNUMBER(HD61),ISNUMBER(HD$320),HD$320&lt;&gt;0),HD61*HD$320/HD$15,"")</f>
        <v/>
      </c>
      <c r="HE366" s="150" t="str">
        <f aca="false">IF(AND(ISNUMBER(HE61),ISNUMBER(HE$320),HE$320&lt;&gt;0),HE61*HE$320/HE$15,"")</f>
        <v/>
      </c>
      <c r="HF366" s="150" t="str">
        <f aca="false">IF(AND(ISNUMBER(HF61),ISNUMBER(HF$320),HF$320&lt;&gt;0),HF61*HF$320/HF$15,"")</f>
        <v/>
      </c>
      <c r="HG366" s="150" t="str">
        <f aca="false">IF(AND(ISNUMBER(HG61),ISNUMBER(HG$320),HG$320&lt;&gt;0),HG61*HG$320/HG$15,"")</f>
        <v/>
      </c>
      <c r="HH366" s="150" t="str">
        <f aca="false">IF(AND(ISNUMBER(HH61),ISNUMBER(HH$320),HH$320&lt;&gt;0),HH61*HH$320/HH$15,"")</f>
        <v/>
      </c>
      <c r="HI366" s="150" t="str">
        <f aca="false">IF(AND(ISNUMBER(HI61),ISNUMBER(HI$320),HI$320&lt;&gt;0),HI61*HI$320/HI$15,"")</f>
        <v/>
      </c>
      <c r="HJ366" s="150" t="str">
        <f aca="false">IF(AND(ISNUMBER(HJ61),ISNUMBER(HJ$320),HJ$320&lt;&gt;0),HJ61*HJ$320/HJ$15,"")</f>
        <v/>
      </c>
      <c r="HK366" s="150" t="str">
        <f aca="false">IF(AND(ISNUMBER(HK61),ISNUMBER(HK$320),HK$320&lt;&gt;0),HK61*HK$320/HK$15,"")</f>
        <v/>
      </c>
      <c r="HL366" s="150" t="str">
        <f aca="false">IF(AND(ISNUMBER(HL61),ISNUMBER(HL$320),HL$320&lt;&gt;0),HL61*HL$320/HL$15,"")</f>
        <v/>
      </c>
      <c r="HM366" s="150" t="str">
        <f aca="false">IF(AND(ISNUMBER(HM61),ISNUMBER(HM$320),HM$320&lt;&gt;0),HM61*HM$320/HM$15,"")</f>
        <v/>
      </c>
      <c r="HN366" s="150" t="str">
        <f aca="false">IF(AND(ISNUMBER(HN61),ISNUMBER(HN$320),HN$320&lt;&gt;0),HN61*HN$320/HN$15,"")</f>
        <v/>
      </c>
      <c r="HO366" s="150" t="str">
        <f aca="false">IF(AND(ISNUMBER(HO61),ISNUMBER(HO$320),HO$320&lt;&gt;0),HO61*HO$320/HO$15,"")</f>
        <v/>
      </c>
      <c r="HP366" s="150" t="str">
        <f aca="false">IF(AND(ISNUMBER(HP61),ISNUMBER(HP$320),HP$320&lt;&gt;0),HP61*HP$320/HP$15,"")</f>
        <v/>
      </c>
      <c r="HQ366" s="150" t="str">
        <f aca="false">IF(AND(ISNUMBER(HQ61),ISNUMBER(HQ$320),HQ$320&lt;&gt;0),HQ61*HQ$320/HQ$15,"")</f>
        <v/>
      </c>
      <c r="HR366" s="150" t="str">
        <f aca="false">IF(AND(ISNUMBER(HR61),ISNUMBER(HR$320),HR$320&lt;&gt;0),HR61*HR$320/HR$15,"")</f>
        <v/>
      </c>
      <c r="HS366" s="150" t="str">
        <f aca="false">IF(AND(ISNUMBER(HS61),ISNUMBER(HS$320),HS$320&lt;&gt;0),HS61*HS$320/HS$15,"")</f>
        <v/>
      </c>
      <c r="HT366" s="150" t="str">
        <f aca="false">IF(AND(ISNUMBER(HT61),ISNUMBER(HT$320),HT$320&lt;&gt;0),HT61*HT$320/HT$15,"")</f>
        <v/>
      </c>
      <c r="HU366" s="150" t="str">
        <f aca="false">IF(AND(ISNUMBER(HU61),ISNUMBER(HU$320),HU$320&lt;&gt;0),HU61*HU$320/HU$15,"")</f>
        <v/>
      </c>
      <c r="HV366" s="150" t="str">
        <f aca="false">IF(AND(ISNUMBER(HV61),ISNUMBER(HV$320),HV$320&lt;&gt;0),HV61*HV$320/HV$15,"")</f>
        <v/>
      </c>
      <c r="HW366" s="150" t="str">
        <f aca="false">IF(AND(ISNUMBER(HW61),ISNUMBER(HW$320),HW$320&lt;&gt;0),HW61*HW$320/HW$15,"")</f>
        <v/>
      </c>
      <c r="HX366" s="150" t="str">
        <f aca="false">IF(AND(ISNUMBER(HX61),ISNUMBER(HX$320),HX$320&lt;&gt;0),HX61*HX$320/HX$15,"")</f>
        <v/>
      </c>
      <c r="HY366" s="150" t="str">
        <f aca="false">IF(AND(ISNUMBER(HY61),ISNUMBER(HY$320),HY$320&lt;&gt;0),HY61*HY$320/HY$15,"")</f>
        <v/>
      </c>
      <c r="HZ366" s="150" t="str">
        <f aca="false">IF(AND(ISNUMBER(HZ61),ISNUMBER(HZ$320),HZ$320&lt;&gt;0),HZ61*HZ$320/HZ$15,"")</f>
        <v/>
      </c>
      <c r="IA366" s="150" t="str">
        <f aca="false">IF(AND(ISNUMBER(IA61),ISNUMBER(IA$320),IA$320&lt;&gt;0),IA61*IA$320/IA$15,"")</f>
        <v/>
      </c>
      <c r="IB366" s="150" t="str">
        <f aca="false">IF(AND(ISNUMBER(IB61),ISNUMBER(IB$320),IB$320&lt;&gt;0),IB61*IB$320/IB$15,"")</f>
        <v/>
      </c>
      <c r="IC366" s="150" t="str">
        <f aca="false">IF(AND(ISNUMBER(IC61),ISNUMBER(IC$320),IC$320&lt;&gt;0),IC61*IC$320/IC$15,"")</f>
        <v/>
      </c>
      <c r="ID366" s="572" t="str">
        <f aca="false">IF(AND(ISNUMBER(ID61),ISNUMBER(ID$320),ID$320&lt;&gt;0),ID61*ID$320/ID$15,"")</f>
        <v/>
      </c>
    </row>
    <row r="367" customFormat="false" ht="12.75" hidden="false" customHeight="false" outlineLevel="0" collapsed="false">
      <c r="I367" s="735"/>
      <c r="J367" s="727"/>
      <c r="K367" s="195"/>
      <c r="L367" s="195"/>
      <c r="M367" s="729"/>
      <c r="P367" s="727"/>
      <c r="S367" s="1"/>
      <c r="T367" s="727"/>
      <c r="U367" s="195"/>
      <c r="V367" s="195"/>
      <c r="W367" s="195"/>
      <c r="X367" s="195"/>
      <c r="Y367" s="195"/>
      <c r="Z367" s="195"/>
      <c r="AA367" s="195"/>
      <c r="AB367" s="195"/>
      <c r="AC367" s="195"/>
      <c r="AD367" s="195"/>
      <c r="AE367" s="195"/>
      <c r="AF367" s="195"/>
      <c r="AG367" s="195"/>
      <c r="AH367" s="195"/>
      <c r="AI367" s="195"/>
      <c r="AJ367" s="195"/>
      <c r="AK367" s="195"/>
      <c r="AL367" s="195"/>
      <c r="AM367" s="195"/>
      <c r="AN367" s="532"/>
      <c r="AO367" s="532"/>
      <c r="AP367" s="240"/>
      <c r="AQ367" s="532"/>
      <c r="AR367" s="240"/>
      <c r="AS367" s="240"/>
      <c r="AT367" s="240"/>
      <c r="AU367" s="730"/>
      <c r="AV367" s="730"/>
      <c r="AW367" s="730"/>
      <c r="AX367" s="730"/>
      <c r="AY367" s="468"/>
      <c r="AZ367" s="468"/>
      <c r="BA367" s="240"/>
      <c r="BB367" s="240"/>
      <c r="BC367" s="240"/>
      <c r="BD367" s="240"/>
      <c r="BE367" s="672"/>
      <c r="BF367" s="672"/>
      <c r="BG367" s="672"/>
      <c r="BH367" s="731"/>
      <c r="BI367" s="672"/>
      <c r="BJ367" s="240"/>
      <c r="BK367" s="736"/>
      <c r="BL367" s="737"/>
      <c r="BM367" s="240"/>
      <c r="BN367" s="240"/>
      <c r="BO367" s="240"/>
      <c r="BP367" s="240"/>
      <c r="BQ367" s="240"/>
      <c r="BR367" s="240"/>
      <c r="BS367" s="240"/>
      <c r="BT367" s="240"/>
      <c r="BU367" s="240"/>
      <c r="BV367" s="240"/>
      <c r="BW367" s="240"/>
      <c r="BX367" s="240"/>
      <c r="BY367" s="240"/>
      <c r="BZ367" s="240"/>
      <c r="CA367" s="240"/>
      <c r="CB367" s="672"/>
      <c r="CC367" s="672"/>
      <c r="CD367" s="672"/>
      <c r="CE367" s="672"/>
      <c r="CF367" s="672"/>
      <c r="CG367" s="672"/>
      <c r="CH367" s="240"/>
      <c r="CI367" s="240"/>
      <c r="CJ367" s="240"/>
      <c r="CK367" s="240"/>
      <c r="CL367" s="240"/>
      <c r="CM367" s="240"/>
      <c r="CN367" s="240"/>
      <c r="CO367" s="240"/>
      <c r="CP367" s="240"/>
      <c r="CQ367" s="240"/>
      <c r="CR367" s="240"/>
      <c r="CS367" s="240"/>
      <c r="CT367" s="240"/>
      <c r="CU367" s="240"/>
      <c r="CV367" s="240"/>
      <c r="CW367" s="240"/>
      <c r="CX367" s="240"/>
      <c r="CY367" s="240"/>
      <c r="CZ367" s="240"/>
      <c r="DA367" s="240"/>
      <c r="DB367" s="240"/>
      <c r="DC367" s="240"/>
      <c r="DD367" s="240"/>
      <c r="DE367" s="240"/>
      <c r="DF367" s="240"/>
      <c r="DG367" s="733"/>
      <c r="DH367" s="478"/>
      <c r="DI367" s="195"/>
      <c r="DJ367" s="3"/>
      <c r="DK367" s="478"/>
      <c r="DL367" s="4"/>
      <c r="DM367" s="4"/>
      <c r="DN367" s="4"/>
      <c r="DO367" s="4"/>
      <c r="DP367" s="4"/>
      <c r="DQ367" s="4"/>
      <c r="DS367" s="195"/>
      <c r="DT367" s="195"/>
      <c r="DU367" s="195"/>
      <c r="DV367" s="195"/>
      <c r="DW367" s="195"/>
      <c r="DX367" s="195"/>
      <c r="DY367" s="195"/>
      <c r="DZ367" s="195"/>
      <c r="EA367" s="195"/>
      <c r="EB367" s="195"/>
      <c r="EC367" s="195"/>
      <c r="ED367" s="195"/>
      <c r="EE367" s="195"/>
      <c r="EF367" s="195"/>
      <c r="EG367" s="195"/>
      <c r="EL367" s="1"/>
      <c r="EM367" s="195"/>
      <c r="EN367" s="240"/>
      <c r="EO367" s="240"/>
      <c r="EP367" s="195"/>
      <c r="EQ367" s="240"/>
      <c r="ER367" s="195"/>
      <c r="ES367" s="195"/>
      <c r="ET367" s="195"/>
      <c r="EU367" s="672"/>
      <c r="FJ367" s="571" t="n">
        <v>43</v>
      </c>
      <c r="FK367" s="150" t="str">
        <f aca="false">IF(AND(ISNUMBER(FK62),ISNUMBER(FK$320),FK$320&lt;&gt;0),FK62*FK$320/FK$15,"")</f>
        <v/>
      </c>
      <c r="FL367" s="150" t="str">
        <f aca="false">IF(AND(ISNUMBER(FL62),ISNUMBER(FL$320),FL$320&lt;&gt;0),FL62*FL$320/FL$15,"")</f>
        <v/>
      </c>
      <c r="FM367" s="150" t="n">
        <f aca="false">IF(AND(ISNUMBER(FM62),ISNUMBER(FM$320),FM$320&lt;&gt;0),FM62*FM$320/FM$15,"")</f>
        <v>0.00255427001060426</v>
      </c>
      <c r="FN367" s="150" t="n">
        <f aca="false">IF(AND(ISNUMBER(FN62),ISNUMBER(FN$320),FN$320&lt;&gt;0),FN62*FN$320/FN$15,"")</f>
        <v>0.00215092534453141</v>
      </c>
      <c r="FO367" s="150" t="n">
        <f aca="false">IF(AND(ISNUMBER(FO62),ISNUMBER(FO$320),FO$320&lt;&gt;0),FO62*FO$320/FO$15,"")</f>
        <v>0.00223858678318249</v>
      </c>
      <c r="FP367" s="150" t="n">
        <f aca="false">IF(AND(ISNUMBER(FP62),ISNUMBER(FP$320),FP$320&lt;&gt;0),FP62*FP$320/FP$15,"")</f>
        <v>0.00124113887510889</v>
      </c>
      <c r="FQ367" s="150" t="str">
        <f aca="false">IF(AND(ISNUMBER(FQ62),ISNUMBER(FQ$320),FQ$320&lt;&gt;0),FQ62*FQ$320/FQ$15,"")</f>
        <v/>
      </c>
      <c r="FR367" s="150" t="str">
        <f aca="false">IF(AND(ISNUMBER(FR62),ISNUMBER(FR$320),FR$320&lt;&gt;0),FR62*FR$320/FR$15,"")</f>
        <v/>
      </c>
      <c r="FS367" s="150" t="str">
        <f aca="false">IF(AND(ISNUMBER(FS62),ISNUMBER(FS$320),FS$320&lt;&gt;0),FS62*FS$320/FS$15,"")</f>
        <v/>
      </c>
      <c r="FT367" s="150" t="str">
        <f aca="false">IF(AND(ISNUMBER(FT62),ISNUMBER(FT$320),FT$320&lt;&gt;0),FT62*FT$320/FT$15,"")</f>
        <v/>
      </c>
      <c r="FU367" s="150" t="str">
        <f aca="false">IF(AND(ISNUMBER(FU62),ISNUMBER(FU$320),FU$320&lt;&gt;0),FU62*FU$320/FU$15,"")</f>
        <v/>
      </c>
      <c r="FV367" s="150" t="str">
        <f aca="false">IF(AND(ISNUMBER(FV62),ISNUMBER(FV$320),FV$320&lt;&gt;0),FV62*FV$320/FV$15,"")</f>
        <v/>
      </c>
      <c r="FW367" s="150" t="str">
        <f aca="false">IF(AND(ISNUMBER(FW62),ISNUMBER(FW$320),FW$320&lt;&gt;0),FW62*FW$320/FW$15,"")</f>
        <v/>
      </c>
      <c r="FX367" s="150" t="str">
        <f aca="false">IF(AND(ISNUMBER(FX62),ISNUMBER(FX$320),FX$320&lt;&gt;0),FX62*FX$320/FX$15,"")</f>
        <v/>
      </c>
      <c r="FY367" s="150" t="str">
        <f aca="false">IF(AND(ISNUMBER(FY62),ISNUMBER(FY$320),FY$320&lt;&gt;0),FY62*FY$320/FY$15,"")</f>
        <v/>
      </c>
      <c r="FZ367" s="150" t="str">
        <f aca="false">IF(AND(ISNUMBER(FZ62),ISNUMBER(FZ$320),FZ$320&lt;&gt;0),FZ62*FZ$320/FZ$15,"")</f>
        <v/>
      </c>
      <c r="GA367" s="150" t="str">
        <f aca="false">IF(AND(ISNUMBER(GA62),ISNUMBER(GA$320),GA$320&lt;&gt;0),GA62*GA$320/GA$15,"")</f>
        <v/>
      </c>
      <c r="GB367" s="150" t="str">
        <f aca="false">IF(AND(ISNUMBER(GB62),ISNUMBER(GB$320),GB$320&lt;&gt;0),GB62*GB$320/GB$15,"")</f>
        <v/>
      </c>
      <c r="GC367" s="150" t="str">
        <f aca="false">IF(AND(ISNUMBER(GC62),ISNUMBER(GC$320),GC$320&lt;&gt;0),GC62*GC$320/GC$15,"")</f>
        <v/>
      </c>
      <c r="GD367" s="150" t="str">
        <f aca="false">IF(AND(ISNUMBER(GD62),ISNUMBER(GD$320),GD$320&lt;&gt;0),GD62*GD$320/GD$15,"")</f>
        <v/>
      </c>
      <c r="GE367" s="150" t="str">
        <f aca="false">IF(AND(ISNUMBER(GE62),ISNUMBER(GE$320),GE$320&lt;&gt;0),GE62*GE$320/GE$15,"")</f>
        <v/>
      </c>
      <c r="GF367" s="150" t="str">
        <f aca="false">IF(AND(ISNUMBER(GF62),ISNUMBER(GF$320),GF$320&lt;&gt;0),GF62*GF$320/GF$15,"")</f>
        <v/>
      </c>
      <c r="GG367" s="150" t="str">
        <f aca="false">IF(AND(ISNUMBER(GG62),ISNUMBER(GG$320),GG$320&lt;&gt;0),GG62*GG$320/GG$15,"")</f>
        <v/>
      </c>
      <c r="GH367" s="150" t="str">
        <f aca="false">IF(AND(ISNUMBER(GH62),ISNUMBER(GH$320),GH$320&lt;&gt;0),GH62*GH$320/GH$15,"")</f>
        <v/>
      </c>
      <c r="GI367" s="150" t="str">
        <f aca="false">IF(AND(ISNUMBER(GI62),ISNUMBER(GI$320),GI$320&lt;&gt;0),GI62*GI$320/GI$15,"")</f>
        <v/>
      </c>
      <c r="GJ367" s="150" t="str">
        <f aca="false">IF(AND(ISNUMBER(GJ62),ISNUMBER(GJ$320),GJ$320&lt;&gt;0),GJ62*GJ$320/GJ$15,"")</f>
        <v/>
      </c>
      <c r="GK367" s="150" t="str">
        <f aca="false">IF(AND(ISNUMBER(GK62),ISNUMBER(GK$320),GK$320&lt;&gt;0),GK62*GK$320/GK$15,"")</f>
        <v/>
      </c>
      <c r="GL367" s="150" t="str">
        <f aca="false">IF(AND(ISNUMBER(GL62),ISNUMBER(GL$320),GL$320&lt;&gt;0),GL62*GL$320/GL$15,"")</f>
        <v/>
      </c>
      <c r="GM367" s="150" t="str">
        <f aca="false">IF(AND(ISNUMBER(GM62),ISNUMBER(GM$320),GM$320&lt;&gt;0),GM62*GM$320/GM$15,"")</f>
        <v/>
      </c>
      <c r="GN367" s="150" t="str">
        <f aca="false">IF(AND(ISNUMBER(GN62),ISNUMBER(GN$320),GN$320&lt;&gt;0),GN62*GN$320/GN$15,"")</f>
        <v/>
      </c>
      <c r="GO367" s="150" t="str">
        <f aca="false">IF(AND(ISNUMBER(GO62),ISNUMBER(GO$320),GO$320&lt;&gt;0),GO62*GO$320/GO$15,"")</f>
        <v/>
      </c>
      <c r="GP367" s="150" t="str">
        <f aca="false">IF(AND(ISNUMBER(GP62),ISNUMBER(GP$320),GP$320&lt;&gt;0),GP62*GP$320/GP$15,"")</f>
        <v/>
      </c>
      <c r="GQ367" s="150" t="str">
        <f aca="false">IF(AND(ISNUMBER(GQ62),ISNUMBER(GQ$320),GQ$320&lt;&gt;0),GQ62*GQ$320/GQ$15,"")</f>
        <v/>
      </c>
      <c r="GR367" s="150" t="str">
        <f aca="false">IF(AND(ISNUMBER(GR62),ISNUMBER(GR$320),GR$320&lt;&gt;0),GR62*GR$320/GR$15,"")</f>
        <v/>
      </c>
      <c r="GS367" s="150" t="str">
        <f aca="false">IF(AND(ISNUMBER(GS62),ISNUMBER(GS$320),GS$320&lt;&gt;0),GS62*GS$320/GS$15,"")</f>
        <v/>
      </c>
      <c r="GT367" s="150" t="str">
        <f aca="false">IF(AND(ISNUMBER(GT62),ISNUMBER(GT$320),GT$320&lt;&gt;0),GT62*GT$320/GT$15,"")</f>
        <v/>
      </c>
      <c r="GU367" s="150" t="str">
        <f aca="false">IF(AND(ISNUMBER(GU62),ISNUMBER(GU$320),GU$320&lt;&gt;0),GU62*GU$320/GU$15,"")</f>
        <v/>
      </c>
      <c r="GV367" s="150" t="str">
        <f aca="false">IF(AND(ISNUMBER(GV62),ISNUMBER(GV$320),GV$320&lt;&gt;0),GV62*GV$320/GV$15,"")</f>
        <v/>
      </c>
      <c r="GW367" s="150" t="str">
        <f aca="false">IF(AND(ISNUMBER(GW62),ISNUMBER(GW$320),GW$320&lt;&gt;0),GW62*GW$320/GW$15,"")</f>
        <v/>
      </c>
      <c r="GX367" s="150" t="str">
        <f aca="false">IF(AND(ISNUMBER(GX62),ISNUMBER(GX$320),GX$320&lt;&gt;0),GX62*GX$320/GX$15,"")</f>
        <v/>
      </c>
      <c r="GY367" s="150" t="str">
        <f aca="false">IF(AND(ISNUMBER(GY62),ISNUMBER(GY$320),GY$320&lt;&gt;0),GY62*GY$320/GY$15,"")</f>
        <v/>
      </c>
      <c r="GZ367" s="150" t="str">
        <f aca="false">IF(AND(ISNUMBER(GZ62),ISNUMBER(GZ$320),GZ$320&lt;&gt;0),GZ62*GZ$320/GZ$15,"")</f>
        <v/>
      </c>
      <c r="HA367" s="150" t="str">
        <f aca="false">IF(AND(ISNUMBER(HA62),ISNUMBER(HA$320),HA$320&lt;&gt;0),HA62*HA$320/HA$15,"")</f>
        <v/>
      </c>
      <c r="HB367" s="150" t="str">
        <f aca="false">IF(AND(ISNUMBER(HB62),ISNUMBER(HB$320),HB$320&lt;&gt;0),HB62*HB$320/HB$15,"")</f>
        <v/>
      </c>
      <c r="HC367" s="150" t="str">
        <f aca="false">IF(AND(ISNUMBER(HC62),ISNUMBER(HC$320),HC$320&lt;&gt;0),HC62*HC$320/HC$15,"")</f>
        <v/>
      </c>
      <c r="HD367" s="150" t="str">
        <f aca="false">IF(AND(ISNUMBER(HD62),ISNUMBER(HD$320),HD$320&lt;&gt;0),HD62*HD$320/HD$15,"")</f>
        <v/>
      </c>
      <c r="HE367" s="150" t="str">
        <f aca="false">IF(AND(ISNUMBER(HE62),ISNUMBER(HE$320),HE$320&lt;&gt;0),HE62*HE$320/HE$15,"")</f>
        <v/>
      </c>
      <c r="HF367" s="150" t="str">
        <f aca="false">IF(AND(ISNUMBER(HF62),ISNUMBER(HF$320),HF$320&lt;&gt;0),HF62*HF$320/HF$15,"")</f>
        <v/>
      </c>
      <c r="HG367" s="150" t="str">
        <f aca="false">IF(AND(ISNUMBER(HG62),ISNUMBER(HG$320),HG$320&lt;&gt;0),HG62*HG$320/HG$15,"")</f>
        <v/>
      </c>
      <c r="HH367" s="150" t="str">
        <f aca="false">IF(AND(ISNUMBER(HH62),ISNUMBER(HH$320),HH$320&lt;&gt;0),HH62*HH$320/HH$15,"")</f>
        <v/>
      </c>
      <c r="HI367" s="150" t="str">
        <f aca="false">IF(AND(ISNUMBER(HI62),ISNUMBER(HI$320),HI$320&lt;&gt;0),HI62*HI$320/HI$15,"")</f>
        <v/>
      </c>
      <c r="HJ367" s="150" t="str">
        <f aca="false">IF(AND(ISNUMBER(HJ62),ISNUMBER(HJ$320),HJ$320&lt;&gt;0),HJ62*HJ$320/HJ$15,"")</f>
        <v/>
      </c>
      <c r="HK367" s="150" t="str">
        <f aca="false">IF(AND(ISNUMBER(HK62),ISNUMBER(HK$320),HK$320&lt;&gt;0),HK62*HK$320/HK$15,"")</f>
        <v/>
      </c>
      <c r="HL367" s="150" t="str">
        <f aca="false">IF(AND(ISNUMBER(HL62),ISNUMBER(HL$320),HL$320&lt;&gt;0),HL62*HL$320/HL$15,"")</f>
        <v/>
      </c>
      <c r="HM367" s="150" t="str">
        <f aca="false">IF(AND(ISNUMBER(HM62),ISNUMBER(HM$320),HM$320&lt;&gt;0),HM62*HM$320/HM$15,"")</f>
        <v/>
      </c>
      <c r="HN367" s="150" t="str">
        <f aca="false">IF(AND(ISNUMBER(HN62),ISNUMBER(HN$320),HN$320&lt;&gt;0),HN62*HN$320/HN$15,"")</f>
        <v/>
      </c>
      <c r="HO367" s="150" t="str">
        <f aca="false">IF(AND(ISNUMBER(HO62),ISNUMBER(HO$320),HO$320&lt;&gt;0),HO62*HO$320/HO$15,"")</f>
        <v/>
      </c>
      <c r="HP367" s="150" t="str">
        <f aca="false">IF(AND(ISNUMBER(HP62),ISNUMBER(HP$320),HP$320&lt;&gt;0),HP62*HP$320/HP$15,"")</f>
        <v/>
      </c>
      <c r="HQ367" s="150" t="str">
        <f aca="false">IF(AND(ISNUMBER(HQ62),ISNUMBER(HQ$320),HQ$320&lt;&gt;0),HQ62*HQ$320/HQ$15,"")</f>
        <v/>
      </c>
      <c r="HR367" s="150" t="str">
        <f aca="false">IF(AND(ISNUMBER(HR62),ISNUMBER(HR$320),HR$320&lt;&gt;0),HR62*HR$320/HR$15,"")</f>
        <v/>
      </c>
      <c r="HS367" s="150" t="str">
        <f aca="false">IF(AND(ISNUMBER(HS62),ISNUMBER(HS$320),HS$320&lt;&gt;0),HS62*HS$320/HS$15,"")</f>
        <v/>
      </c>
      <c r="HT367" s="150" t="str">
        <f aca="false">IF(AND(ISNUMBER(HT62),ISNUMBER(HT$320),HT$320&lt;&gt;0),HT62*HT$320/HT$15,"")</f>
        <v/>
      </c>
      <c r="HU367" s="150" t="str">
        <f aca="false">IF(AND(ISNUMBER(HU62),ISNUMBER(HU$320),HU$320&lt;&gt;0),HU62*HU$320/HU$15,"")</f>
        <v/>
      </c>
      <c r="HV367" s="150" t="str">
        <f aca="false">IF(AND(ISNUMBER(HV62),ISNUMBER(HV$320),HV$320&lt;&gt;0),HV62*HV$320/HV$15,"")</f>
        <v/>
      </c>
      <c r="HW367" s="150" t="str">
        <f aca="false">IF(AND(ISNUMBER(HW62),ISNUMBER(HW$320),HW$320&lt;&gt;0),HW62*HW$320/HW$15,"")</f>
        <v/>
      </c>
      <c r="HX367" s="150" t="str">
        <f aca="false">IF(AND(ISNUMBER(HX62),ISNUMBER(HX$320),HX$320&lt;&gt;0),HX62*HX$320/HX$15,"")</f>
        <v/>
      </c>
      <c r="HY367" s="150" t="str">
        <f aca="false">IF(AND(ISNUMBER(HY62),ISNUMBER(HY$320),HY$320&lt;&gt;0),HY62*HY$320/HY$15,"")</f>
        <v/>
      </c>
      <c r="HZ367" s="150" t="str">
        <f aca="false">IF(AND(ISNUMBER(HZ62),ISNUMBER(HZ$320),HZ$320&lt;&gt;0),HZ62*HZ$320/HZ$15,"")</f>
        <v/>
      </c>
      <c r="IA367" s="150" t="str">
        <f aca="false">IF(AND(ISNUMBER(IA62),ISNUMBER(IA$320),IA$320&lt;&gt;0),IA62*IA$320/IA$15,"")</f>
        <v/>
      </c>
      <c r="IB367" s="150" t="str">
        <f aca="false">IF(AND(ISNUMBER(IB62),ISNUMBER(IB$320),IB$320&lt;&gt;0),IB62*IB$320/IB$15,"")</f>
        <v/>
      </c>
      <c r="IC367" s="150" t="str">
        <f aca="false">IF(AND(ISNUMBER(IC62),ISNUMBER(IC$320),IC$320&lt;&gt;0),IC62*IC$320/IC$15,"")</f>
        <v/>
      </c>
      <c r="ID367" s="572" t="str">
        <f aca="false">IF(AND(ISNUMBER(ID62),ISNUMBER(ID$320),ID$320&lt;&gt;0),ID62*ID$320/ID$15,"")</f>
        <v/>
      </c>
    </row>
    <row r="368" customFormat="false" ht="12.75" hidden="false" customHeight="false" outlineLevel="0" collapsed="false">
      <c r="I368" s="735"/>
      <c r="J368" s="727"/>
      <c r="K368" s="195"/>
      <c r="L368" s="195"/>
      <c r="M368" s="729"/>
      <c r="P368" s="727"/>
      <c r="S368" s="1"/>
      <c r="T368" s="727"/>
      <c r="U368" s="195"/>
      <c r="V368" s="195"/>
      <c r="W368" s="195"/>
      <c r="X368" s="195"/>
      <c r="Y368" s="195"/>
      <c r="Z368" s="195"/>
      <c r="AA368" s="195"/>
      <c r="AB368" s="195"/>
      <c r="AC368" s="195"/>
      <c r="AD368" s="195"/>
      <c r="AE368" s="195"/>
      <c r="AF368" s="195"/>
      <c r="AG368" s="195"/>
      <c r="AH368" s="195"/>
      <c r="AI368" s="195"/>
      <c r="AJ368" s="195"/>
      <c r="AK368" s="195"/>
      <c r="AL368" s="195"/>
      <c r="AM368" s="195"/>
      <c r="AN368" s="532"/>
      <c r="AO368" s="532"/>
      <c r="AP368" s="240"/>
      <c r="AQ368" s="532"/>
      <c r="AR368" s="240"/>
      <c r="AS368" s="240"/>
      <c r="AT368" s="240"/>
      <c r="AU368" s="730"/>
      <c r="AV368" s="730"/>
      <c r="AW368" s="730"/>
      <c r="AX368" s="730"/>
      <c r="AY368" s="468"/>
      <c r="AZ368" s="468"/>
      <c r="BA368" s="240"/>
      <c r="BB368" s="240"/>
      <c r="BC368" s="240"/>
      <c r="BD368" s="240"/>
      <c r="BE368" s="672"/>
      <c r="BF368" s="672"/>
      <c r="BG368" s="672"/>
      <c r="BH368" s="731"/>
      <c r="BI368" s="672"/>
      <c r="BJ368" s="240"/>
      <c r="BK368" s="736"/>
      <c r="BL368" s="737"/>
      <c r="BM368" s="240"/>
      <c r="BN368" s="240"/>
      <c r="BO368" s="240"/>
      <c r="BP368" s="240"/>
      <c r="BQ368" s="240"/>
      <c r="BR368" s="240"/>
      <c r="BS368" s="240"/>
      <c r="BT368" s="240"/>
      <c r="BU368" s="240"/>
      <c r="BV368" s="240"/>
      <c r="BW368" s="240"/>
      <c r="BX368" s="240"/>
      <c r="BY368" s="240"/>
      <c r="BZ368" s="240"/>
      <c r="CA368" s="240"/>
      <c r="CB368" s="672"/>
      <c r="CC368" s="672"/>
      <c r="CD368" s="672"/>
      <c r="CE368" s="672"/>
      <c r="CF368" s="672"/>
      <c r="CG368" s="672"/>
      <c r="CH368" s="240"/>
      <c r="CI368" s="240"/>
      <c r="CJ368" s="240"/>
      <c r="CK368" s="240"/>
      <c r="CL368" s="240"/>
      <c r="CM368" s="240"/>
      <c r="CN368" s="240"/>
      <c r="CO368" s="240"/>
      <c r="CP368" s="240"/>
      <c r="CQ368" s="240"/>
      <c r="CR368" s="240"/>
      <c r="CS368" s="240"/>
      <c r="CT368" s="240"/>
      <c r="CU368" s="240"/>
      <c r="CV368" s="240"/>
      <c r="CW368" s="240"/>
      <c r="CX368" s="240"/>
      <c r="CY368" s="240"/>
      <c r="CZ368" s="240"/>
      <c r="DA368" s="240"/>
      <c r="DB368" s="240"/>
      <c r="DC368" s="240"/>
      <c r="DD368" s="240"/>
      <c r="DE368" s="240"/>
      <c r="DF368" s="240"/>
      <c r="DG368" s="733"/>
      <c r="DH368" s="478"/>
      <c r="DI368" s="195"/>
      <c r="DJ368" s="3"/>
      <c r="DK368" s="478"/>
      <c r="DL368" s="4"/>
      <c r="DM368" s="4"/>
      <c r="DN368" s="4"/>
      <c r="DO368" s="4"/>
      <c r="DP368" s="4"/>
      <c r="DQ368" s="4"/>
      <c r="DS368" s="195"/>
      <c r="DT368" s="195"/>
      <c r="DU368" s="195"/>
      <c r="DV368" s="195"/>
      <c r="DW368" s="195"/>
      <c r="DX368" s="195"/>
      <c r="DY368" s="195"/>
      <c r="DZ368" s="195"/>
      <c r="EA368" s="195"/>
      <c r="EB368" s="195"/>
      <c r="EC368" s="195"/>
      <c r="ED368" s="195"/>
      <c r="EE368" s="195"/>
      <c r="EF368" s="195"/>
      <c r="EG368" s="195"/>
      <c r="EL368" s="1"/>
      <c r="EM368" s="195"/>
      <c r="EN368" s="240"/>
      <c r="EO368" s="240"/>
      <c r="EP368" s="195"/>
      <c r="EQ368" s="240"/>
      <c r="ER368" s="195"/>
      <c r="ES368" s="195"/>
      <c r="ET368" s="195"/>
      <c r="EU368" s="672"/>
      <c r="FJ368" s="571" t="n">
        <v>44</v>
      </c>
      <c r="FK368" s="150" t="str">
        <f aca="false">IF(AND(ISNUMBER(FK63),ISNUMBER(FK$320),FK$320&lt;&gt;0),FK63*FK$320/FK$15,"")</f>
        <v/>
      </c>
      <c r="FL368" s="150" t="str">
        <f aca="false">IF(AND(ISNUMBER(FL63),ISNUMBER(FL$320),FL$320&lt;&gt;0),FL63*FL$320/FL$15,"")</f>
        <v/>
      </c>
      <c r="FM368" s="150" t="n">
        <f aca="false">IF(AND(ISNUMBER(FM63),ISNUMBER(FM$320),FM$320&lt;&gt;0),FM63*FM$320/FM$15,"")</f>
        <v>0.00255318000516295</v>
      </c>
      <c r="FN368" s="150" t="n">
        <f aca="false">IF(AND(ISNUMBER(FN63),ISNUMBER(FN$320),FN$320&lt;&gt;0),FN63*FN$320/FN$15,"")</f>
        <v>0.00214985179747928</v>
      </c>
      <c r="FO368" s="150" t="n">
        <f aca="false">IF(AND(ISNUMBER(FO63),ISNUMBER(FO$320),FO$320&lt;&gt;0),FO63*FO$320/FO$15,"")</f>
        <v>0.00223727999990771</v>
      </c>
      <c r="FP368" s="150" t="n">
        <f aca="false">IF(AND(ISNUMBER(FP63),ISNUMBER(FP$320),FP$320&lt;&gt;0),FP63*FP$320/FP$15,"")</f>
        <v>0.00124029148401311</v>
      </c>
      <c r="FQ368" s="150" t="str">
        <f aca="false">IF(AND(ISNUMBER(FQ63),ISNUMBER(FQ$320),FQ$320&lt;&gt;0),FQ63*FQ$320/FQ$15,"")</f>
        <v/>
      </c>
      <c r="FR368" s="150" t="str">
        <f aca="false">IF(AND(ISNUMBER(FR63),ISNUMBER(FR$320),FR$320&lt;&gt;0),FR63*FR$320/FR$15,"")</f>
        <v/>
      </c>
      <c r="FS368" s="150" t="str">
        <f aca="false">IF(AND(ISNUMBER(FS63),ISNUMBER(FS$320),FS$320&lt;&gt;0),FS63*FS$320/FS$15,"")</f>
        <v/>
      </c>
      <c r="FT368" s="150" t="str">
        <f aca="false">IF(AND(ISNUMBER(FT63),ISNUMBER(FT$320),FT$320&lt;&gt;0),FT63*FT$320/FT$15,"")</f>
        <v/>
      </c>
      <c r="FU368" s="150" t="str">
        <f aca="false">IF(AND(ISNUMBER(FU63),ISNUMBER(FU$320),FU$320&lt;&gt;0),FU63*FU$320/FU$15,"")</f>
        <v/>
      </c>
      <c r="FV368" s="150" t="str">
        <f aca="false">IF(AND(ISNUMBER(FV63),ISNUMBER(FV$320),FV$320&lt;&gt;0),FV63*FV$320/FV$15,"")</f>
        <v/>
      </c>
      <c r="FW368" s="150" t="str">
        <f aca="false">IF(AND(ISNUMBER(FW63),ISNUMBER(FW$320),FW$320&lt;&gt;0),FW63*FW$320/FW$15,"")</f>
        <v/>
      </c>
      <c r="FX368" s="150" t="str">
        <f aca="false">IF(AND(ISNUMBER(FX63),ISNUMBER(FX$320),FX$320&lt;&gt;0),FX63*FX$320/FX$15,"")</f>
        <v/>
      </c>
      <c r="FY368" s="150" t="str">
        <f aca="false">IF(AND(ISNUMBER(FY63),ISNUMBER(FY$320),FY$320&lt;&gt;0),FY63*FY$320/FY$15,"")</f>
        <v/>
      </c>
      <c r="FZ368" s="150" t="str">
        <f aca="false">IF(AND(ISNUMBER(FZ63),ISNUMBER(FZ$320),FZ$320&lt;&gt;0),FZ63*FZ$320/FZ$15,"")</f>
        <v/>
      </c>
      <c r="GA368" s="150" t="str">
        <f aca="false">IF(AND(ISNUMBER(GA63),ISNUMBER(GA$320),GA$320&lt;&gt;0),GA63*GA$320/GA$15,"")</f>
        <v/>
      </c>
      <c r="GB368" s="150" t="str">
        <f aca="false">IF(AND(ISNUMBER(GB63),ISNUMBER(GB$320),GB$320&lt;&gt;0),GB63*GB$320/GB$15,"")</f>
        <v/>
      </c>
      <c r="GC368" s="150" t="str">
        <f aca="false">IF(AND(ISNUMBER(GC63),ISNUMBER(GC$320),GC$320&lt;&gt;0),GC63*GC$320/GC$15,"")</f>
        <v/>
      </c>
      <c r="GD368" s="150" t="str">
        <f aca="false">IF(AND(ISNUMBER(GD63),ISNUMBER(GD$320),GD$320&lt;&gt;0),GD63*GD$320/GD$15,"")</f>
        <v/>
      </c>
      <c r="GE368" s="150" t="str">
        <f aca="false">IF(AND(ISNUMBER(GE63),ISNUMBER(GE$320),GE$320&lt;&gt;0),GE63*GE$320/GE$15,"")</f>
        <v/>
      </c>
      <c r="GF368" s="150" t="str">
        <f aca="false">IF(AND(ISNUMBER(GF63),ISNUMBER(GF$320),GF$320&lt;&gt;0),GF63*GF$320/GF$15,"")</f>
        <v/>
      </c>
      <c r="GG368" s="150" t="str">
        <f aca="false">IF(AND(ISNUMBER(GG63),ISNUMBER(GG$320),GG$320&lt;&gt;0),GG63*GG$320/GG$15,"")</f>
        <v/>
      </c>
      <c r="GH368" s="150" t="str">
        <f aca="false">IF(AND(ISNUMBER(GH63),ISNUMBER(GH$320),GH$320&lt;&gt;0),GH63*GH$320/GH$15,"")</f>
        <v/>
      </c>
      <c r="GI368" s="150" t="str">
        <f aca="false">IF(AND(ISNUMBER(GI63),ISNUMBER(GI$320),GI$320&lt;&gt;0),GI63*GI$320/GI$15,"")</f>
        <v/>
      </c>
      <c r="GJ368" s="150" t="str">
        <f aca="false">IF(AND(ISNUMBER(GJ63),ISNUMBER(GJ$320),GJ$320&lt;&gt;0),GJ63*GJ$320/GJ$15,"")</f>
        <v/>
      </c>
      <c r="GK368" s="150" t="str">
        <f aca="false">IF(AND(ISNUMBER(GK63),ISNUMBER(GK$320),GK$320&lt;&gt;0),GK63*GK$320/GK$15,"")</f>
        <v/>
      </c>
      <c r="GL368" s="150" t="str">
        <f aca="false">IF(AND(ISNUMBER(GL63),ISNUMBER(GL$320),GL$320&lt;&gt;0),GL63*GL$320/GL$15,"")</f>
        <v/>
      </c>
      <c r="GM368" s="150" t="str">
        <f aca="false">IF(AND(ISNUMBER(GM63),ISNUMBER(GM$320),GM$320&lt;&gt;0),GM63*GM$320/GM$15,"")</f>
        <v/>
      </c>
      <c r="GN368" s="150" t="str">
        <f aca="false">IF(AND(ISNUMBER(GN63),ISNUMBER(GN$320),GN$320&lt;&gt;0),GN63*GN$320/GN$15,"")</f>
        <v/>
      </c>
      <c r="GO368" s="150" t="str">
        <f aca="false">IF(AND(ISNUMBER(GO63),ISNUMBER(GO$320),GO$320&lt;&gt;0),GO63*GO$320/GO$15,"")</f>
        <v/>
      </c>
      <c r="GP368" s="150" t="str">
        <f aca="false">IF(AND(ISNUMBER(GP63),ISNUMBER(GP$320),GP$320&lt;&gt;0),GP63*GP$320/GP$15,"")</f>
        <v/>
      </c>
      <c r="GQ368" s="150" t="str">
        <f aca="false">IF(AND(ISNUMBER(GQ63),ISNUMBER(GQ$320),GQ$320&lt;&gt;0),GQ63*GQ$320/GQ$15,"")</f>
        <v/>
      </c>
      <c r="GR368" s="150" t="str">
        <f aca="false">IF(AND(ISNUMBER(GR63),ISNUMBER(GR$320),GR$320&lt;&gt;0),GR63*GR$320/GR$15,"")</f>
        <v/>
      </c>
      <c r="GS368" s="150" t="str">
        <f aca="false">IF(AND(ISNUMBER(GS63),ISNUMBER(GS$320),GS$320&lt;&gt;0),GS63*GS$320/GS$15,"")</f>
        <v/>
      </c>
      <c r="GT368" s="150" t="str">
        <f aca="false">IF(AND(ISNUMBER(GT63),ISNUMBER(GT$320),GT$320&lt;&gt;0),GT63*GT$320/GT$15,"")</f>
        <v/>
      </c>
      <c r="GU368" s="150" t="str">
        <f aca="false">IF(AND(ISNUMBER(GU63),ISNUMBER(GU$320),GU$320&lt;&gt;0),GU63*GU$320/GU$15,"")</f>
        <v/>
      </c>
      <c r="GV368" s="150" t="str">
        <f aca="false">IF(AND(ISNUMBER(GV63),ISNUMBER(GV$320),GV$320&lt;&gt;0),GV63*GV$320/GV$15,"")</f>
        <v/>
      </c>
      <c r="GW368" s="150" t="str">
        <f aca="false">IF(AND(ISNUMBER(GW63),ISNUMBER(GW$320),GW$320&lt;&gt;0),GW63*GW$320/GW$15,"")</f>
        <v/>
      </c>
      <c r="GX368" s="150" t="str">
        <f aca="false">IF(AND(ISNUMBER(GX63),ISNUMBER(GX$320),GX$320&lt;&gt;0),GX63*GX$320/GX$15,"")</f>
        <v/>
      </c>
      <c r="GY368" s="150" t="str">
        <f aca="false">IF(AND(ISNUMBER(GY63),ISNUMBER(GY$320),GY$320&lt;&gt;0),GY63*GY$320/GY$15,"")</f>
        <v/>
      </c>
      <c r="GZ368" s="150" t="str">
        <f aca="false">IF(AND(ISNUMBER(GZ63),ISNUMBER(GZ$320),GZ$320&lt;&gt;0),GZ63*GZ$320/GZ$15,"")</f>
        <v/>
      </c>
      <c r="HA368" s="150" t="str">
        <f aca="false">IF(AND(ISNUMBER(HA63),ISNUMBER(HA$320),HA$320&lt;&gt;0),HA63*HA$320/HA$15,"")</f>
        <v/>
      </c>
      <c r="HB368" s="150" t="str">
        <f aca="false">IF(AND(ISNUMBER(HB63),ISNUMBER(HB$320),HB$320&lt;&gt;0),HB63*HB$320/HB$15,"")</f>
        <v/>
      </c>
      <c r="HC368" s="150" t="str">
        <f aca="false">IF(AND(ISNUMBER(HC63),ISNUMBER(HC$320),HC$320&lt;&gt;0),HC63*HC$320/HC$15,"")</f>
        <v/>
      </c>
      <c r="HD368" s="150" t="str">
        <f aca="false">IF(AND(ISNUMBER(HD63),ISNUMBER(HD$320),HD$320&lt;&gt;0),HD63*HD$320/HD$15,"")</f>
        <v/>
      </c>
      <c r="HE368" s="150" t="str">
        <f aca="false">IF(AND(ISNUMBER(HE63),ISNUMBER(HE$320),HE$320&lt;&gt;0),HE63*HE$320/HE$15,"")</f>
        <v/>
      </c>
      <c r="HF368" s="150" t="str">
        <f aca="false">IF(AND(ISNUMBER(HF63),ISNUMBER(HF$320),HF$320&lt;&gt;0),HF63*HF$320/HF$15,"")</f>
        <v/>
      </c>
      <c r="HG368" s="150" t="str">
        <f aca="false">IF(AND(ISNUMBER(HG63),ISNUMBER(HG$320),HG$320&lt;&gt;0),HG63*HG$320/HG$15,"")</f>
        <v/>
      </c>
      <c r="HH368" s="150" t="str">
        <f aca="false">IF(AND(ISNUMBER(HH63),ISNUMBER(HH$320),HH$320&lt;&gt;0),HH63*HH$320/HH$15,"")</f>
        <v/>
      </c>
      <c r="HI368" s="150" t="str">
        <f aca="false">IF(AND(ISNUMBER(HI63),ISNUMBER(HI$320),HI$320&lt;&gt;0),HI63*HI$320/HI$15,"")</f>
        <v/>
      </c>
      <c r="HJ368" s="150" t="str">
        <f aca="false">IF(AND(ISNUMBER(HJ63),ISNUMBER(HJ$320),HJ$320&lt;&gt;0),HJ63*HJ$320/HJ$15,"")</f>
        <v/>
      </c>
      <c r="HK368" s="150" t="str">
        <f aca="false">IF(AND(ISNUMBER(HK63),ISNUMBER(HK$320),HK$320&lt;&gt;0),HK63*HK$320/HK$15,"")</f>
        <v/>
      </c>
      <c r="HL368" s="150" t="str">
        <f aca="false">IF(AND(ISNUMBER(HL63),ISNUMBER(HL$320),HL$320&lt;&gt;0),HL63*HL$320/HL$15,"")</f>
        <v/>
      </c>
      <c r="HM368" s="150" t="str">
        <f aca="false">IF(AND(ISNUMBER(HM63),ISNUMBER(HM$320),HM$320&lt;&gt;0),HM63*HM$320/HM$15,"")</f>
        <v/>
      </c>
      <c r="HN368" s="150" t="str">
        <f aca="false">IF(AND(ISNUMBER(HN63),ISNUMBER(HN$320),HN$320&lt;&gt;0),HN63*HN$320/HN$15,"")</f>
        <v/>
      </c>
      <c r="HO368" s="150" t="str">
        <f aca="false">IF(AND(ISNUMBER(HO63),ISNUMBER(HO$320),HO$320&lt;&gt;0),HO63*HO$320/HO$15,"")</f>
        <v/>
      </c>
      <c r="HP368" s="150" t="str">
        <f aca="false">IF(AND(ISNUMBER(HP63),ISNUMBER(HP$320),HP$320&lt;&gt;0),HP63*HP$320/HP$15,"")</f>
        <v/>
      </c>
      <c r="HQ368" s="150" t="str">
        <f aca="false">IF(AND(ISNUMBER(HQ63),ISNUMBER(HQ$320),HQ$320&lt;&gt;0),HQ63*HQ$320/HQ$15,"")</f>
        <v/>
      </c>
      <c r="HR368" s="150" t="str">
        <f aca="false">IF(AND(ISNUMBER(HR63),ISNUMBER(HR$320),HR$320&lt;&gt;0),HR63*HR$320/HR$15,"")</f>
        <v/>
      </c>
      <c r="HS368" s="150" t="str">
        <f aca="false">IF(AND(ISNUMBER(HS63),ISNUMBER(HS$320),HS$320&lt;&gt;0),HS63*HS$320/HS$15,"")</f>
        <v/>
      </c>
      <c r="HT368" s="150" t="str">
        <f aca="false">IF(AND(ISNUMBER(HT63),ISNUMBER(HT$320),HT$320&lt;&gt;0),HT63*HT$320/HT$15,"")</f>
        <v/>
      </c>
      <c r="HU368" s="150" t="str">
        <f aca="false">IF(AND(ISNUMBER(HU63),ISNUMBER(HU$320),HU$320&lt;&gt;0),HU63*HU$320/HU$15,"")</f>
        <v/>
      </c>
      <c r="HV368" s="150" t="str">
        <f aca="false">IF(AND(ISNUMBER(HV63),ISNUMBER(HV$320),HV$320&lt;&gt;0),HV63*HV$320/HV$15,"")</f>
        <v/>
      </c>
      <c r="HW368" s="150" t="str">
        <f aca="false">IF(AND(ISNUMBER(HW63),ISNUMBER(HW$320),HW$320&lt;&gt;0),HW63*HW$320/HW$15,"")</f>
        <v/>
      </c>
      <c r="HX368" s="150" t="str">
        <f aca="false">IF(AND(ISNUMBER(HX63),ISNUMBER(HX$320),HX$320&lt;&gt;0),HX63*HX$320/HX$15,"")</f>
        <v/>
      </c>
      <c r="HY368" s="150" t="str">
        <f aca="false">IF(AND(ISNUMBER(HY63),ISNUMBER(HY$320),HY$320&lt;&gt;0),HY63*HY$320/HY$15,"")</f>
        <v/>
      </c>
      <c r="HZ368" s="150" t="str">
        <f aca="false">IF(AND(ISNUMBER(HZ63),ISNUMBER(HZ$320),HZ$320&lt;&gt;0),HZ63*HZ$320/HZ$15,"")</f>
        <v/>
      </c>
      <c r="IA368" s="150" t="str">
        <f aca="false">IF(AND(ISNUMBER(IA63),ISNUMBER(IA$320),IA$320&lt;&gt;0),IA63*IA$320/IA$15,"")</f>
        <v/>
      </c>
      <c r="IB368" s="150" t="str">
        <f aca="false">IF(AND(ISNUMBER(IB63),ISNUMBER(IB$320),IB$320&lt;&gt;0),IB63*IB$320/IB$15,"")</f>
        <v/>
      </c>
      <c r="IC368" s="150" t="str">
        <f aca="false">IF(AND(ISNUMBER(IC63),ISNUMBER(IC$320),IC$320&lt;&gt;0),IC63*IC$320/IC$15,"")</f>
        <v/>
      </c>
      <c r="ID368" s="572" t="str">
        <f aca="false">IF(AND(ISNUMBER(ID63),ISNUMBER(ID$320),ID$320&lt;&gt;0),ID63*ID$320/ID$15,"")</f>
        <v/>
      </c>
    </row>
    <row r="369" customFormat="false" ht="12.75" hidden="false" customHeight="false" outlineLevel="0" collapsed="false">
      <c r="I369" s="735"/>
      <c r="J369" s="727"/>
      <c r="K369" s="195"/>
      <c r="L369" s="195"/>
      <c r="M369" s="729"/>
      <c r="P369" s="727"/>
      <c r="S369" s="1"/>
      <c r="T369" s="727"/>
      <c r="U369" s="195"/>
      <c r="V369" s="195"/>
      <c r="W369" s="195"/>
      <c r="X369" s="195"/>
      <c r="Y369" s="195"/>
      <c r="Z369" s="195"/>
      <c r="AA369" s="195"/>
      <c r="AB369" s="195"/>
      <c r="AC369" s="195"/>
      <c r="AD369" s="195"/>
      <c r="AE369" s="195"/>
      <c r="AF369" s="195"/>
      <c r="AG369" s="195"/>
      <c r="AH369" s="195"/>
      <c r="AI369" s="195"/>
      <c r="AJ369" s="195"/>
      <c r="AK369" s="195"/>
      <c r="AL369" s="195"/>
      <c r="AM369" s="195"/>
      <c r="AN369" s="532"/>
      <c r="AO369" s="532"/>
      <c r="AP369" s="240"/>
      <c r="AQ369" s="532"/>
      <c r="AR369" s="240"/>
      <c r="AS369" s="240"/>
      <c r="AT369" s="240"/>
      <c r="AU369" s="730"/>
      <c r="AV369" s="730"/>
      <c r="AW369" s="730"/>
      <c r="AX369" s="730"/>
      <c r="AY369" s="468"/>
      <c r="AZ369" s="468"/>
      <c r="BA369" s="240"/>
      <c r="BB369" s="240"/>
      <c r="BC369" s="240"/>
      <c r="BD369" s="240"/>
      <c r="BE369" s="672"/>
      <c r="BF369" s="672"/>
      <c r="BG369" s="672"/>
      <c r="BH369" s="731"/>
      <c r="BI369" s="672"/>
      <c r="BJ369" s="240"/>
      <c r="BK369" s="736"/>
      <c r="BL369" s="737"/>
      <c r="BM369" s="240"/>
      <c r="BN369" s="240"/>
      <c r="BO369" s="240"/>
      <c r="BP369" s="240"/>
      <c r="BQ369" s="240"/>
      <c r="BR369" s="240"/>
      <c r="BS369" s="240"/>
      <c r="BT369" s="240"/>
      <c r="BU369" s="240"/>
      <c r="BV369" s="240"/>
      <c r="BW369" s="240"/>
      <c r="BX369" s="240"/>
      <c r="BY369" s="240"/>
      <c r="BZ369" s="240"/>
      <c r="CA369" s="240"/>
      <c r="CB369" s="672"/>
      <c r="CC369" s="672"/>
      <c r="CD369" s="672"/>
      <c r="CE369" s="672"/>
      <c r="CF369" s="672"/>
      <c r="CG369" s="672"/>
      <c r="CH369" s="240"/>
      <c r="CI369" s="240"/>
      <c r="CJ369" s="240"/>
      <c r="CK369" s="240"/>
      <c r="CL369" s="240"/>
      <c r="CM369" s="240"/>
      <c r="CN369" s="240"/>
      <c r="CO369" s="240"/>
      <c r="CP369" s="240"/>
      <c r="CQ369" s="240"/>
      <c r="CR369" s="240"/>
      <c r="CS369" s="240"/>
      <c r="CT369" s="240"/>
      <c r="CU369" s="240"/>
      <c r="CV369" s="240"/>
      <c r="CW369" s="240"/>
      <c r="CX369" s="240"/>
      <c r="CY369" s="240"/>
      <c r="CZ369" s="240"/>
      <c r="DA369" s="240"/>
      <c r="DB369" s="240"/>
      <c r="DC369" s="240"/>
      <c r="DD369" s="240"/>
      <c r="DE369" s="240"/>
      <c r="DF369" s="240"/>
      <c r="DG369" s="733"/>
      <c r="DH369" s="478"/>
      <c r="DI369" s="195"/>
      <c r="DJ369" s="3"/>
      <c r="DK369" s="478"/>
      <c r="DL369" s="4"/>
      <c r="DM369" s="4"/>
      <c r="DN369" s="4"/>
      <c r="DO369" s="4"/>
      <c r="DP369" s="4"/>
      <c r="DQ369" s="4"/>
      <c r="DS369" s="195"/>
      <c r="DT369" s="195"/>
      <c r="DU369" s="195"/>
      <c r="DV369" s="195"/>
      <c r="DW369" s="195"/>
      <c r="DX369" s="195"/>
      <c r="DY369" s="195"/>
      <c r="DZ369" s="195"/>
      <c r="EA369" s="195"/>
      <c r="EB369" s="195"/>
      <c r="EC369" s="195"/>
      <c r="ED369" s="195"/>
      <c r="EE369" s="195"/>
      <c r="EF369" s="195"/>
      <c r="EG369" s="195"/>
      <c r="EL369" s="1"/>
      <c r="EM369" s="195"/>
      <c r="EN369" s="240"/>
      <c r="EO369" s="240"/>
      <c r="EP369" s="195"/>
      <c r="EQ369" s="240"/>
      <c r="ER369" s="195"/>
      <c r="ES369" s="195"/>
      <c r="ET369" s="195"/>
      <c r="EU369" s="672"/>
      <c r="FJ369" s="571" t="n">
        <v>45</v>
      </c>
      <c r="FK369" s="150" t="str">
        <f aca="false">IF(AND(ISNUMBER(FK64),ISNUMBER(FK$320),FK$320&lt;&gt;0),FK64*FK$320/FK$15,"")</f>
        <v/>
      </c>
      <c r="FL369" s="150" t="str">
        <f aca="false">IF(AND(ISNUMBER(FL64),ISNUMBER(FL$320),FL$320&lt;&gt;0),FL64*FL$320/FL$15,"")</f>
        <v/>
      </c>
      <c r="FM369" s="150" t="n">
        <f aca="false">IF(AND(ISNUMBER(FM64),ISNUMBER(FM$320),FM$320&lt;&gt;0),FM64*FM$320/FM$15,"")</f>
        <v>0.00255224844821159</v>
      </c>
      <c r="FN369" s="150" t="n">
        <f aca="false">IF(AND(ISNUMBER(FN64),ISNUMBER(FN$320),FN$320&lt;&gt;0),FN64*FN$320/FN$15,"")</f>
        <v>0.0021489343728736</v>
      </c>
      <c r="FO369" s="150" t="n">
        <f aca="false">IF(AND(ISNUMBER(FO64),ISNUMBER(FO$320),FO$320&lt;&gt;0),FO64*FO$320/FO$15,"")</f>
        <v>0.00223616335243559</v>
      </c>
      <c r="FP369" s="150" t="n">
        <f aca="false">IF(AND(ISNUMBER(FP64),ISNUMBER(FP$320),FP$320&lt;&gt;0),FP64*FP$320/FP$15,"")</f>
        <v>0.00123956745929388</v>
      </c>
      <c r="FQ369" s="150" t="str">
        <f aca="false">IF(AND(ISNUMBER(FQ64),ISNUMBER(FQ$320),FQ$320&lt;&gt;0),FQ64*FQ$320/FQ$15,"")</f>
        <v/>
      </c>
      <c r="FR369" s="150" t="str">
        <f aca="false">IF(AND(ISNUMBER(FR64),ISNUMBER(FR$320),FR$320&lt;&gt;0),FR64*FR$320/FR$15,"")</f>
        <v/>
      </c>
      <c r="FS369" s="150" t="str">
        <f aca="false">IF(AND(ISNUMBER(FS64),ISNUMBER(FS$320),FS$320&lt;&gt;0),FS64*FS$320/FS$15,"")</f>
        <v/>
      </c>
      <c r="FT369" s="150" t="str">
        <f aca="false">IF(AND(ISNUMBER(FT64),ISNUMBER(FT$320),FT$320&lt;&gt;0),FT64*FT$320/FT$15,"")</f>
        <v/>
      </c>
      <c r="FU369" s="150" t="str">
        <f aca="false">IF(AND(ISNUMBER(FU64),ISNUMBER(FU$320),FU$320&lt;&gt;0),FU64*FU$320/FU$15,"")</f>
        <v/>
      </c>
      <c r="FV369" s="150" t="str">
        <f aca="false">IF(AND(ISNUMBER(FV64),ISNUMBER(FV$320),FV$320&lt;&gt;0),FV64*FV$320/FV$15,"")</f>
        <v/>
      </c>
      <c r="FW369" s="150" t="str">
        <f aca="false">IF(AND(ISNUMBER(FW64),ISNUMBER(FW$320),FW$320&lt;&gt;0),FW64*FW$320/FW$15,"")</f>
        <v/>
      </c>
      <c r="FX369" s="150" t="str">
        <f aca="false">IF(AND(ISNUMBER(FX64),ISNUMBER(FX$320),FX$320&lt;&gt;0),FX64*FX$320/FX$15,"")</f>
        <v/>
      </c>
      <c r="FY369" s="150" t="str">
        <f aca="false">IF(AND(ISNUMBER(FY64),ISNUMBER(FY$320),FY$320&lt;&gt;0),FY64*FY$320/FY$15,"")</f>
        <v/>
      </c>
      <c r="FZ369" s="150" t="str">
        <f aca="false">IF(AND(ISNUMBER(FZ64),ISNUMBER(FZ$320),FZ$320&lt;&gt;0),FZ64*FZ$320/FZ$15,"")</f>
        <v/>
      </c>
      <c r="GA369" s="150" t="str">
        <f aca="false">IF(AND(ISNUMBER(GA64),ISNUMBER(GA$320),GA$320&lt;&gt;0),GA64*GA$320/GA$15,"")</f>
        <v/>
      </c>
      <c r="GB369" s="150" t="str">
        <f aca="false">IF(AND(ISNUMBER(GB64),ISNUMBER(GB$320),GB$320&lt;&gt;0),GB64*GB$320/GB$15,"")</f>
        <v/>
      </c>
      <c r="GC369" s="150" t="str">
        <f aca="false">IF(AND(ISNUMBER(GC64),ISNUMBER(GC$320),GC$320&lt;&gt;0),GC64*GC$320/GC$15,"")</f>
        <v/>
      </c>
      <c r="GD369" s="150" t="str">
        <f aca="false">IF(AND(ISNUMBER(GD64),ISNUMBER(GD$320),GD$320&lt;&gt;0),GD64*GD$320/GD$15,"")</f>
        <v/>
      </c>
      <c r="GE369" s="150" t="str">
        <f aca="false">IF(AND(ISNUMBER(GE64),ISNUMBER(GE$320),GE$320&lt;&gt;0),GE64*GE$320/GE$15,"")</f>
        <v/>
      </c>
      <c r="GF369" s="150" t="str">
        <f aca="false">IF(AND(ISNUMBER(GF64),ISNUMBER(GF$320),GF$320&lt;&gt;0),GF64*GF$320/GF$15,"")</f>
        <v/>
      </c>
      <c r="GG369" s="150" t="str">
        <f aca="false">IF(AND(ISNUMBER(GG64),ISNUMBER(GG$320),GG$320&lt;&gt;0),GG64*GG$320/GG$15,"")</f>
        <v/>
      </c>
      <c r="GH369" s="150" t="str">
        <f aca="false">IF(AND(ISNUMBER(GH64),ISNUMBER(GH$320),GH$320&lt;&gt;0),GH64*GH$320/GH$15,"")</f>
        <v/>
      </c>
      <c r="GI369" s="150" t="str">
        <f aca="false">IF(AND(ISNUMBER(GI64),ISNUMBER(GI$320),GI$320&lt;&gt;0),GI64*GI$320/GI$15,"")</f>
        <v/>
      </c>
      <c r="GJ369" s="150" t="str">
        <f aca="false">IF(AND(ISNUMBER(GJ64),ISNUMBER(GJ$320),GJ$320&lt;&gt;0),GJ64*GJ$320/GJ$15,"")</f>
        <v/>
      </c>
      <c r="GK369" s="150" t="str">
        <f aca="false">IF(AND(ISNUMBER(GK64),ISNUMBER(GK$320),GK$320&lt;&gt;0),GK64*GK$320/GK$15,"")</f>
        <v/>
      </c>
      <c r="GL369" s="150" t="str">
        <f aca="false">IF(AND(ISNUMBER(GL64),ISNUMBER(GL$320),GL$320&lt;&gt;0),GL64*GL$320/GL$15,"")</f>
        <v/>
      </c>
      <c r="GM369" s="150" t="str">
        <f aca="false">IF(AND(ISNUMBER(GM64),ISNUMBER(GM$320),GM$320&lt;&gt;0),GM64*GM$320/GM$15,"")</f>
        <v/>
      </c>
      <c r="GN369" s="150" t="str">
        <f aca="false">IF(AND(ISNUMBER(GN64),ISNUMBER(GN$320),GN$320&lt;&gt;0),GN64*GN$320/GN$15,"")</f>
        <v/>
      </c>
      <c r="GO369" s="150" t="str">
        <f aca="false">IF(AND(ISNUMBER(GO64),ISNUMBER(GO$320),GO$320&lt;&gt;0),GO64*GO$320/GO$15,"")</f>
        <v/>
      </c>
      <c r="GP369" s="150" t="str">
        <f aca="false">IF(AND(ISNUMBER(GP64),ISNUMBER(GP$320),GP$320&lt;&gt;0),GP64*GP$320/GP$15,"")</f>
        <v/>
      </c>
      <c r="GQ369" s="150" t="str">
        <f aca="false">IF(AND(ISNUMBER(GQ64),ISNUMBER(GQ$320),GQ$320&lt;&gt;0),GQ64*GQ$320/GQ$15,"")</f>
        <v/>
      </c>
      <c r="GR369" s="150" t="str">
        <f aca="false">IF(AND(ISNUMBER(GR64),ISNUMBER(GR$320),GR$320&lt;&gt;0),GR64*GR$320/GR$15,"")</f>
        <v/>
      </c>
      <c r="GS369" s="150" t="str">
        <f aca="false">IF(AND(ISNUMBER(GS64),ISNUMBER(GS$320),GS$320&lt;&gt;0),GS64*GS$320/GS$15,"")</f>
        <v/>
      </c>
      <c r="GT369" s="150" t="str">
        <f aca="false">IF(AND(ISNUMBER(GT64),ISNUMBER(GT$320),GT$320&lt;&gt;0),GT64*GT$320/GT$15,"")</f>
        <v/>
      </c>
      <c r="GU369" s="150" t="str">
        <f aca="false">IF(AND(ISNUMBER(GU64),ISNUMBER(GU$320),GU$320&lt;&gt;0),GU64*GU$320/GU$15,"")</f>
        <v/>
      </c>
      <c r="GV369" s="150" t="str">
        <f aca="false">IF(AND(ISNUMBER(GV64),ISNUMBER(GV$320),GV$320&lt;&gt;0),GV64*GV$320/GV$15,"")</f>
        <v/>
      </c>
      <c r="GW369" s="150" t="str">
        <f aca="false">IF(AND(ISNUMBER(GW64),ISNUMBER(GW$320),GW$320&lt;&gt;0),GW64*GW$320/GW$15,"")</f>
        <v/>
      </c>
      <c r="GX369" s="150" t="str">
        <f aca="false">IF(AND(ISNUMBER(GX64),ISNUMBER(GX$320),GX$320&lt;&gt;0),GX64*GX$320/GX$15,"")</f>
        <v/>
      </c>
      <c r="GY369" s="150" t="str">
        <f aca="false">IF(AND(ISNUMBER(GY64),ISNUMBER(GY$320),GY$320&lt;&gt;0),GY64*GY$320/GY$15,"")</f>
        <v/>
      </c>
      <c r="GZ369" s="150" t="str">
        <f aca="false">IF(AND(ISNUMBER(GZ64),ISNUMBER(GZ$320),GZ$320&lt;&gt;0),GZ64*GZ$320/GZ$15,"")</f>
        <v/>
      </c>
      <c r="HA369" s="150" t="str">
        <f aca="false">IF(AND(ISNUMBER(HA64),ISNUMBER(HA$320),HA$320&lt;&gt;0),HA64*HA$320/HA$15,"")</f>
        <v/>
      </c>
      <c r="HB369" s="150" t="str">
        <f aca="false">IF(AND(ISNUMBER(HB64),ISNUMBER(HB$320),HB$320&lt;&gt;0),HB64*HB$320/HB$15,"")</f>
        <v/>
      </c>
      <c r="HC369" s="150" t="str">
        <f aca="false">IF(AND(ISNUMBER(HC64),ISNUMBER(HC$320),HC$320&lt;&gt;0),HC64*HC$320/HC$15,"")</f>
        <v/>
      </c>
      <c r="HD369" s="150" t="str">
        <f aca="false">IF(AND(ISNUMBER(HD64),ISNUMBER(HD$320),HD$320&lt;&gt;0),HD64*HD$320/HD$15,"")</f>
        <v/>
      </c>
      <c r="HE369" s="150" t="str">
        <f aca="false">IF(AND(ISNUMBER(HE64),ISNUMBER(HE$320),HE$320&lt;&gt;0),HE64*HE$320/HE$15,"")</f>
        <v/>
      </c>
      <c r="HF369" s="150" t="str">
        <f aca="false">IF(AND(ISNUMBER(HF64),ISNUMBER(HF$320),HF$320&lt;&gt;0),HF64*HF$320/HF$15,"")</f>
        <v/>
      </c>
      <c r="HG369" s="150" t="str">
        <f aca="false">IF(AND(ISNUMBER(HG64),ISNUMBER(HG$320),HG$320&lt;&gt;0),HG64*HG$320/HG$15,"")</f>
        <v/>
      </c>
      <c r="HH369" s="150" t="str">
        <f aca="false">IF(AND(ISNUMBER(HH64),ISNUMBER(HH$320),HH$320&lt;&gt;0),HH64*HH$320/HH$15,"")</f>
        <v/>
      </c>
      <c r="HI369" s="150" t="str">
        <f aca="false">IF(AND(ISNUMBER(HI64),ISNUMBER(HI$320),HI$320&lt;&gt;0),HI64*HI$320/HI$15,"")</f>
        <v/>
      </c>
      <c r="HJ369" s="150" t="str">
        <f aca="false">IF(AND(ISNUMBER(HJ64),ISNUMBER(HJ$320),HJ$320&lt;&gt;0),HJ64*HJ$320/HJ$15,"")</f>
        <v/>
      </c>
      <c r="HK369" s="150" t="str">
        <f aca="false">IF(AND(ISNUMBER(HK64),ISNUMBER(HK$320),HK$320&lt;&gt;0),HK64*HK$320/HK$15,"")</f>
        <v/>
      </c>
      <c r="HL369" s="150" t="str">
        <f aca="false">IF(AND(ISNUMBER(HL64),ISNUMBER(HL$320),HL$320&lt;&gt;0),HL64*HL$320/HL$15,"")</f>
        <v/>
      </c>
      <c r="HM369" s="150" t="str">
        <f aca="false">IF(AND(ISNUMBER(HM64),ISNUMBER(HM$320),HM$320&lt;&gt;0),HM64*HM$320/HM$15,"")</f>
        <v/>
      </c>
      <c r="HN369" s="150" t="str">
        <f aca="false">IF(AND(ISNUMBER(HN64),ISNUMBER(HN$320),HN$320&lt;&gt;0),HN64*HN$320/HN$15,"")</f>
        <v/>
      </c>
      <c r="HO369" s="150" t="str">
        <f aca="false">IF(AND(ISNUMBER(HO64),ISNUMBER(HO$320),HO$320&lt;&gt;0),HO64*HO$320/HO$15,"")</f>
        <v/>
      </c>
      <c r="HP369" s="150" t="str">
        <f aca="false">IF(AND(ISNUMBER(HP64),ISNUMBER(HP$320),HP$320&lt;&gt;0),HP64*HP$320/HP$15,"")</f>
        <v/>
      </c>
      <c r="HQ369" s="150" t="str">
        <f aca="false">IF(AND(ISNUMBER(HQ64),ISNUMBER(HQ$320),HQ$320&lt;&gt;0),HQ64*HQ$320/HQ$15,"")</f>
        <v/>
      </c>
      <c r="HR369" s="150" t="str">
        <f aca="false">IF(AND(ISNUMBER(HR64),ISNUMBER(HR$320),HR$320&lt;&gt;0),HR64*HR$320/HR$15,"")</f>
        <v/>
      </c>
      <c r="HS369" s="150" t="str">
        <f aca="false">IF(AND(ISNUMBER(HS64),ISNUMBER(HS$320),HS$320&lt;&gt;0),HS64*HS$320/HS$15,"")</f>
        <v/>
      </c>
      <c r="HT369" s="150" t="str">
        <f aca="false">IF(AND(ISNUMBER(HT64),ISNUMBER(HT$320),HT$320&lt;&gt;0),HT64*HT$320/HT$15,"")</f>
        <v/>
      </c>
      <c r="HU369" s="150" t="str">
        <f aca="false">IF(AND(ISNUMBER(HU64),ISNUMBER(HU$320),HU$320&lt;&gt;0),HU64*HU$320/HU$15,"")</f>
        <v/>
      </c>
      <c r="HV369" s="150" t="str">
        <f aca="false">IF(AND(ISNUMBER(HV64),ISNUMBER(HV$320),HV$320&lt;&gt;0),HV64*HV$320/HV$15,"")</f>
        <v/>
      </c>
      <c r="HW369" s="150" t="str">
        <f aca="false">IF(AND(ISNUMBER(HW64),ISNUMBER(HW$320),HW$320&lt;&gt;0),HW64*HW$320/HW$15,"")</f>
        <v/>
      </c>
      <c r="HX369" s="150" t="str">
        <f aca="false">IF(AND(ISNUMBER(HX64),ISNUMBER(HX$320),HX$320&lt;&gt;0),HX64*HX$320/HX$15,"")</f>
        <v/>
      </c>
      <c r="HY369" s="150" t="str">
        <f aca="false">IF(AND(ISNUMBER(HY64),ISNUMBER(HY$320),HY$320&lt;&gt;0),HY64*HY$320/HY$15,"")</f>
        <v/>
      </c>
      <c r="HZ369" s="150" t="str">
        <f aca="false">IF(AND(ISNUMBER(HZ64),ISNUMBER(HZ$320),HZ$320&lt;&gt;0),HZ64*HZ$320/HZ$15,"")</f>
        <v/>
      </c>
      <c r="IA369" s="150" t="str">
        <f aca="false">IF(AND(ISNUMBER(IA64),ISNUMBER(IA$320),IA$320&lt;&gt;0),IA64*IA$320/IA$15,"")</f>
        <v/>
      </c>
      <c r="IB369" s="150" t="str">
        <f aca="false">IF(AND(ISNUMBER(IB64),ISNUMBER(IB$320),IB$320&lt;&gt;0),IB64*IB$320/IB$15,"")</f>
        <v/>
      </c>
      <c r="IC369" s="150" t="str">
        <f aca="false">IF(AND(ISNUMBER(IC64),ISNUMBER(IC$320),IC$320&lt;&gt;0),IC64*IC$320/IC$15,"")</f>
        <v/>
      </c>
      <c r="ID369" s="572" t="str">
        <f aca="false">IF(AND(ISNUMBER(ID64),ISNUMBER(ID$320),ID$320&lt;&gt;0),ID64*ID$320/ID$15,"")</f>
        <v/>
      </c>
    </row>
    <row r="370" customFormat="false" ht="12.75" hidden="false" customHeight="false" outlineLevel="0" collapsed="false">
      <c r="I370" s="735"/>
      <c r="J370" s="727"/>
      <c r="K370" s="195"/>
      <c r="L370" s="195"/>
      <c r="M370" s="729"/>
      <c r="P370" s="727"/>
      <c r="S370" s="1"/>
      <c r="T370" s="727"/>
      <c r="U370" s="195"/>
      <c r="V370" s="195"/>
      <c r="W370" s="195"/>
      <c r="X370" s="195"/>
      <c r="Y370" s="195"/>
      <c r="Z370" s="195"/>
      <c r="AA370" s="195"/>
      <c r="AB370" s="195"/>
      <c r="AC370" s="195"/>
      <c r="AD370" s="195"/>
      <c r="AE370" s="195"/>
      <c r="AF370" s="195"/>
      <c r="AG370" s="195"/>
      <c r="AH370" s="195"/>
      <c r="AI370" s="195"/>
      <c r="AJ370" s="195"/>
      <c r="AK370" s="195"/>
      <c r="AL370" s="195"/>
      <c r="AM370" s="195"/>
      <c r="AN370" s="532"/>
      <c r="AO370" s="532"/>
      <c r="AP370" s="240"/>
      <c r="AQ370" s="532"/>
      <c r="AR370" s="240"/>
      <c r="AS370" s="240"/>
      <c r="AT370" s="240"/>
      <c r="AU370" s="730"/>
      <c r="AV370" s="730"/>
      <c r="AW370" s="730"/>
      <c r="AX370" s="730"/>
      <c r="AY370" s="468"/>
      <c r="AZ370" s="468"/>
      <c r="BA370" s="240"/>
      <c r="BB370" s="240"/>
      <c r="BC370" s="240"/>
      <c r="BD370" s="240"/>
      <c r="BE370" s="672"/>
      <c r="BF370" s="672"/>
      <c r="BG370" s="672"/>
      <c r="BH370" s="731"/>
      <c r="BI370" s="672"/>
      <c r="BJ370" s="240"/>
      <c r="BK370" s="736"/>
      <c r="BL370" s="737"/>
      <c r="BM370" s="240"/>
      <c r="BN370" s="240"/>
      <c r="BO370" s="240"/>
      <c r="BP370" s="240"/>
      <c r="BQ370" s="240"/>
      <c r="BR370" s="240"/>
      <c r="BS370" s="240"/>
      <c r="BT370" s="240"/>
      <c r="BU370" s="240"/>
      <c r="BV370" s="240"/>
      <c r="BW370" s="240"/>
      <c r="BX370" s="240"/>
      <c r="BY370" s="240"/>
      <c r="BZ370" s="240"/>
      <c r="CA370" s="240"/>
      <c r="CB370" s="672"/>
      <c r="CC370" s="672"/>
      <c r="CD370" s="672"/>
      <c r="CE370" s="672"/>
      <c r="CF370" s="672"/>
      <c r="CG370" s="672"/>
      <c r="CH370" s="240"/>
      <c r="CI370" s="240"/>
      <c r="CJ370" s="240"/>
      <c r="CK370" s="240"/>
      <c r="CL370" s="240"/>
      <c r="CM370" s="240"/>
      <c r="CN370" s="240"/>
      <c r="CO370" s="240"/>
      <c r="CP370" s="240"/>
      <c r="CQ370" s="240"/>
      <c r="CR370" s="240"/>
      <c r="CS370" s="240"/>
      <c r="CT370" s="240"/>
      <c r="CU370" s="240"/>
      <c r="CV370" s="240"/>
      <c r="CW370" s="240"/>
      <c r="CX370" s="240"/>
      <c r="CY370" s="240"/>
      <c r="CZ370" s="240"/>
      <c r="DA370" s="240"/>
      <c r="DB370" s="240"/>
      <c r="DC370" s="240"/>
      <c r="DD370" s="240"/>
      <c r="DE370" s="240"/>
      <c r="DF370" s="240"/>
      <c r="DG370" s="733"/>
      <c r="DH370" s="478"/>
      <c r="DI370" s="195"/>
      <c r="DJ370" s="3"/>
      <c r="DK370" s="478"/>
      <c r="DL370" s="4"/>
      <c r="DM370" s="4"/>
      <c r="DN370" s="4"/>
      <c r="DO370" s="4"/>
      <c r="DP370" s="4"/>
      <c r="DQ370" s="4"/>
      <c r="DS370" s="195"/>
      <c r="DT370" s="195"/>
      <c r="DU370" s="195"/>
      <c r="DV370" s="195"/>
      <c r="DW370" s="195"/>
      <c r="DX370" s="195"/>
      <c r="DY370" s="195"/>
      <c r="DZ370" s="195"/>
      <c r="EA370" s="195"/>
      <c r="EB370" s="195"/>
      <c r="EC370" s="195"/>
      <c r="ED370" s="195"/>
      <c r="EE370" s="195"/>
      <c r="EF370" s="195"/>
      <c r="EG370" s="195"/>
      <c r="EL370" s="1"/>
      <c r="EM370" s="195"/>
      <c r="EN370" s="240"/>
      <c r="EO370" s="240"/>
      <c r="EP370" s="195"/>
      <c r="EQ370" s="240"/>
      <c r="ER370" s="195"/>
      <c r="ES370" s="195"/>
      <c r="ET370" s="195"/>
      <c r="EU370" s="672"/>
      <c r="FJ370" s="571" t="n">
        <v>46</v>
      </c>
      <c r="FK370" s="150" t="str">
        <f aca="false">IF(AND(ISNUMBER(FK65),ISNUMBER(FK$320),FK$320&lt;&gt;0),FK65*FK$320/FK$15,"")</f>
        <v/>
      </c>
      <c r="FL370" s="150" t="str">
        <f aca="false">IF(AND(ISNUMBER(FL65),ISNUMBER(FL$320),FL$320&lt;&gt;0),FL65*FL$320/FL$15,"")</f>
        <v/>
      </c>
      <c r="FM370" s="150" t="n">
        <f aca="false">IF(AND(ISNUMBER(FM65),ISNUMBER(FM$320),FM$320&lt;&gt;0),FM65*FM$320/FM$15,"")</f>
        <v>0.00255145225762345</v>
      </c>
      <c r="FN370" s="150" t="n">
        <f aca="false">IF(AND(ISNUMBER(FN65),ISNUMBER(FN$320),FN$320&lt;&gt;0),FN65*FN$320/FN$15,"")</f>
        <v>0.00214815030956862</v>
      </c>
      <c r="FO370" s="150" t="n">
        <f aca="false">IF(AND(ISNUMBER(FO65),ISNUMBER(FO$320),FO$320&lt;&gt;0),FO65*FO$320/FO$15,"")</f>
        <v>0.00223520909536343</v>
      </c>
      <c r="FP370" s="150" t="n">
        <f aca="false">IF(AND(ISNUMBER(FP65),ISNUMBER(FP$320),FP$320&lt;&gt;0),FP65*FP$320/FP$15,"")</f>
        <v>0.00123894877952649</v>
      </c>
      <c r="FQ370" s="150" t="str">
        <f aca="false">IF(AND(ISNUMBER(FQ65),ISNUMBER(FQ$320),FQ$320&lt;&gt;0),FQ65*FQ$320/FQ$15,"")</f>
        <v/>
      </c>
      <c r="FR370" s="150" t="str">
        <f aca="false">IF(AND(ISNUMBER(FR65),ISNUMBER(FR$320),FR$320&lt;&gt;0),FR65*FR$320/FR$15,"")</f>
        <v/>
      </c>
      <c r="FS370" s="150" t="str">
        <f aca="false">IF(AND(ISNUMBER(FS65),ISNUMBER(FS$320),FS$320&lt;&gt;0),FS65*FS$320/FS$15,"")</f>
        <v/>
      </c>
      <c r="FT370" s="150" t="str">
        <f aca="false">IF(AND(ISNUMBER(FT65),ISNUMBER(FT$320),FT$320&lt;&gt;0),FT65*FT$320/FT$15,"")</f>
        <v/>
      </c>
      <c r="FU370" s="150" t="str">
        <f aca="false">IF(AND(ISNUMBER(FU65),ISNUMBER(FU$320),FU$320&lt;&gt;0),FU65*FU$320/FU$15,"")</f>
        <v/>
      </c>
      <c r="FV370" s="150" t="str">
        <f aca="false">IF(AND(ISNUMBER(FV65),ISNUMBER(FV$320),FV$320&lt;&gt;0),FV65*FV$320/FV$15,"")</f>
        <v/>
      </c>
      <c r="FW370" s="150" t="str">
        <f aca="false">IF(AND(ISNUMBER(FW65),ISNUMBER(FW$320),FW$320&lt;&gt;0),FW65*FW$320/FW$15,"")</f>
        <v/>
      </c>
      <c r="FX370" s="150" t="str">
        <f aca="false">IF(AND(ISNUMBER(FX65),ISNUMBER(FX$320),FX$320&lt;&gt;0),FX65*FX$320/FX$15,"")</f>
        <v/>
      </c>
      <c r="FY370" s="150" t="str">
        <f aca="false">IF(AND(ISNUMBER(FY65),ISNUMBER(FY$320),FY$320&lt;&gt;0),FY65*FY$320/FY$15,"")</f>
        <v/>
      </c>
      <c r="FZ370" s="150" t="str">
        <f aca="false">IF(AND(ISNUMBER(FZ65),ISNUMBER(FZ$320),FZ$320&lt;&gt;0),FZ65*FZ$320/FZ$15,"")</f>
        <v/>
      </c>
      <c r="GA370" s="150" t="str">
        <f aca="false">IF(AND(ISNUMBER(GA65),ISNUMBER(GA$320),GA$320&lt;&gt;0),GA65*GA$320/GA$15,"")</f>
        <v/>
      </c>
      <c r="GB370" s="150" t="str">
        <f aca="false">IF(AND(ISNUMBER(GB65),ISNUMBER(GB$320),GB$320&lt;&gt;0),GB65*GB$320/GB$15,"")</f>
        <v/>
      </c>
      <c r="GC370" s="150" t="str">
        <f aca="false">IF(AND(ISNUMBER(GC65),ISNUMBER(GC$320),GC$320&lt;&gt;0),GC65*GC$320/GC$15,"")</f>
        <v/>
      </c>
      <c r="GD370" s="150" t="str">
        <f aca="false">IF(AND(ISNUMBER(GD65),ISNUMBER(GD$320),GD$320&lt;&gt;0),GD65*GD$320/GD$15,"")</f>
        <v/>
      </c>
      <c r="GE370" s="150" t="str">
        <f aca="false">IF(AND(ISNUMBER(GE65),ISNUMBER(GE$320),GE$320&lt;&gt;0),GE65*GE$320/GE$15,"")</f>
        <v/>
      </c>
      <c r="GF370" s="150" t="str">
        <f aca="false">IF(AND(ISNUMBER(GF65),ISNUMBER(GF$320),GF$320&lt;&gt;0),GF65*GF$320/GF$15,"")</f>
        <v/>
      </c>
      <c r="GG370" s="150" t="str">
        <f aca="false">IF(AND(ISNUMBER(GG65),ISNUMBER(GG$320),GG$320&lt;&gt;0),GG65*GG$320/GG$15,"")</f>
        <v/>
      </c>
      <c r="GH370" s="150" t="str">
        <f aca="false">IF(AND(ISNUMBER(GH65),ISNUMBER(GH$320),GH$320&lt;&gt;0),GH65*GH$320/GH$15,"")</f>
        <v/>
      </c>
      <c r="GI370" s="150" t="str">
        <f aca="false">IF(AND(ISNUMBER(GI65),ISNUMBER(GI$320),GI$320&lt;&gt;0),GI65*GI$320/GI$15,"")</f>
        <v/>
      </c>
      <c r="GJ370" s="150" t="str">
        <f aca="false">IF(AND(ISNUMBER(GJ65),ISNUMBER(GJ$320),GJ$320&lt;&gt;0),GJ65*GJ$320/GJ$15,"")</f>
        <v/>
      </c>
      <c r="GK370" s="150" t="str">
        <f aca="false">IF(AND(ISNUMBER(GK65),ISNUMBER(GK$320),GK$320&lt;&gt;0),GK65*GK$320/GK$15,"")</f>
        <v/>
      </c>
      <c r="GL370" s="150" t="str">
        <f aca="false">IF(AND(ISNUMBER(GL65),ISNUMBER(GL$320),GL$320&lt;&gt;0),GL65*GL$320/GL$15,"")</f>
        <v/>
      </c>
      <c r="GM370" s="150" t="str">
        <f aca="false">IF(AND(ISNUMBER(GM65),ISNUMBER(GM$320),GM$320&lt;&gt;0),GM65*GM$320/GM$15,"")</f>
        <v/>
      </c>
      <c r="GN370" s="150" t="str">
        <f aca="false">IF(AND(ISNUMBER(GN65),ISNUMBER(GN$320),GN$320&lt;&gt;0),GN65*GN$320/GN$15,"")</f>
        <v/>
      </c>
      <c r="GO370" s="150" t="str">
        <f aca="false">IF(AND(ISNUMBER(GO65),ISNUMBER(GO$320),GO$320&lt;&gt;0),GO65*GO$320/GO$15,"")</f>
        <v/>
      </c>
      <c r="GP370" s="150" t="str">
        <f aca="false">IF(AND(ISNUMBER(GP65),ISNUMBER(GP$320),GP$320&lt;&gt;0),GP65*GP$320/GP$15,"")</f>
        <v/>
      </c>
      <c r="GQ370" s="150" t="str">
        <f aca="false">IF(AND(ISNUMBER(GQ65),ISNUMBER(GQ$320),GQ$320&lt;&gt;0),GQ65*GQ$320/GQ$15,"")</f>
        <v/>
      </c>
      <c r="GR370" s="150" t="str">
        <f aca="false">IF(AND(ISNUMBER(GR65),ISNUMBER(GR$320),GR$320&lt;&gt;0),GR65*GR$320/GR$15,"")</f>
        <v/>
      </c>
      <c r="GS370" s="150" t="str">
        <f aca="false">IF(AND(ISNUMBER(GS65),ISNUMBER(GS$320),GS$320&lt;&gt;0),GS65*GS$320/GS$15,"")</f>
        <v/>
      </c>
      <c r="GT370" s="150" t="str">
        <f aca="false">IF(AND(ISNUMBER(GT65),ISNUMBER(GT$320),GT$320&lt;&gt;0),GT65*GT$320/GT$15,"")</f>
        <v/>
      </c>
      <c r="GU370" s="150" t="str">
        <f aca="false">IF(AND(ISNUMBER(GU65),ISNUMBER(GU$320),GU$320&lt;&gt;0),GU65*GU$320/GU$15,"")</f>
        <v/>
      </c>
      <c r="GV370" s="150" t="str">
        <f aca="false">IF(AND(ISNUMBER(GV65),ISNUMBER(GV$320),GV$320&lt;&gt;0),GV65*GV$320/GV$15,"")</f>
        <v/>
      </c>
      <c r="GW370" s="150" t="str">
        <f aca="false">IF(AND(ISNUMBER(GW65),ISNUMBER(GW$320),GW$320&lt;&gt;0),GW65*GW$320/GW$15,"")</f>
        <v/>
      </c>
      <c r="GX370" s="150" t="str">
        <f aca="false">IF(AND(ISNUMBER(GX65),ISNUMBER(GX$320),GX$320&lt;&gt;0),GX65*GX$320/GX$15,"")</f>
        <v/>
      </c>
      <c r="GY370" s="150" t="str">
        <f aca="false">IF(AND(ISNUMBER(GY65),ISNUMBER(GY$320),GY$320&lt;&gt;0),GY65*GY$320/GY$15,"")</f>
        <v/>
      </c>
      <c r="GZ370" s="150" t="str">
        <f aca="false">IF(AND(ISNUMBER(GZ65),ISNUMBER(GZ$320),GZ$320&lt;&gt;0),GZ65*GZ$320/GZ$15,"")</f>
        <v/>
      </c>
      <c r="HA370" s="150" t="str">
        <f aca="false">IF(AND(ISNUMBER(HA65),ISNUMBER(HA$320),HA$320&lt;&gt;0),HA65*HA$320/HA$15,"")</f>
        <v/>
      </c>
      <c r="HB370" s="150" t="str">
        <f aca="false">IF(AND(ISNUMBER(HB65),ISNUMBER(HB$320),HB$320&lt;&gt;0),HB65*HB$320/HB$15,"")</f>
        <v/>
      </c>
      <c r="HC370" s="150" t="str">
        <f aca="false">IF(AND(ISNUMBER(HC65),ISNUMBER(HC$320),HC$320&lt;&gt;0),HC65*HC$320/HC$15,"")</f>
        <v/>
      </c>
      <c r="HD370" s="150" t="str">
        <f aca="false">IF(AND(ISNUMBER(HD65),ISNUMBER(HD$320),HD$320&lt;&gt;0),HD65*HD$320/HD$15,"")</f>
        <v/>
      </c>
      <c r="HE370" s="150" t="str">
        <f aca="false">IF(AND(ISNUMBER(HE65),ISNUMBER(HE$320),HE$320&lt;&gt;0),HE65*HE$320/HE$15,"")</f>
        <v/>
      </c>
      <c r="HF370" s="150" t="str">
        <f aca="false">IF(AND(ISNUMBER(HF65),ISNUMBER(HF$320),HF$320&lt;&gt;0),HF65*HF$320/HF$15,"")</f>
        <v/>
      </c>
      <c r="HG370" s="150" t="str">
        <f aca="false">IF(AND(ISNUMBER(HG65),ISNUMBER(HG$320),HG$320&lt;&gt;0),HG65*HG$320/HG$15,"")</f>
        <v/>
      </c>
      <c r="HH370" s="150" t="str">
        <f aca="false">IF(AND(ISNUMBER(HH65),ISNUMBER(HH$320),HH$320&lt;&gt;0),HH65*HH$320/HH$15,"")</f>
        <v/>
      </c>
      <c r="HI370" s="150" t="str">
        <f aca="false">IF(AND(ISNUMBER(HI65),ISNUMBER(HI$320),HI$320&lt;&gt;0),HI65*HI$320/HI$15,"")</f>
        <v/>
      </c>
      <c r="HJ370" s="150" t="str">
        <f aca="false">IF(AND(ISNUMBER(HJ65),ISNUMBER(HJ$320),HJ$320&lt;&gt;0),HJ65*HJ$320/HJ$15,"")</f>
        <v/>
      </c>
      <c r="HK370" s="150" t="str">
        <f aca="false">IF(AND(ISNUMBER(HK65),ISNUMBER(HK$320),HK$320&lt;&gt;0),HK65*HK$320/HK$15,"")</f>
        <v/>
      </c>
      <c r="HL370" s="150" t="str">
        <f aca="false">IF(AND(ISNUMBER(HL65),ISNUMBER(HL$320),HL$320&lt;&gt;0),HL65*HL$320/HL$15,"")</f>
        <v/>
      </c>
      <c r="HM370" s="150" t="str">
        <f aca="false">IF(AND(ISNUMBER(HM65),ISNUMBER(HM$320),HM$320&lt;&gt;0),HM65*HM$320/HM$15,"")</f>
        <v/>
      </c>
      <c r="HN370" s="150" t="str">
        <f aca="false">IF(AND(ISNUMBER(HN65),ISNUMBER(HN$320),HN$320&lt;&gt;0),HN65*HN$320/HN$15,"")</f>
        <v/>
      </c>
      <c r="HO370" s="150" t="str">
        <f aca="false">IF(AND(ISNUMBER(HO65),ISNUMBER(HO$320),HO$320&lt;&gt;0),HO65*HO$320/HO$15,"")</f>
        <v/>
      </c>
      <c r="HP370" s="150" t="str">
        <f aca="false">IF(AND(ISNUMBER(HP65),ISNUMBER(HP$320),HP$320&lt;&gt;0),HP65*HP$320/HP$15,"")</f>
        <v/>
      </c>
      <c r="HQ370" s="150" t="str">
        <f aca="false">IF(AND(ISNUMBER(HQ65),ISNUMBER(HQ$320),HQ$320&lt;&gt;0),HQ65*HQ$320/HQ$15,"")</f>
        <v/>
      </c>
      <c r="HR370" s="150" t="str">
        <f aca="false">IF(AND(ISNUMBER(HR65),ISNUMBER(HR$320),HR$320&lt;&gt;0),HR65*HR$320/HR$15,"")</f>
        <v/>
      </c>
      <c r="HS370" s="150" t="str">
        <f aca="false">IF(AND(ISNUMBER(HS65),ISNUMBER(HS$320),HS$320&lt;&gt;0),HS65*HS$320/HS$15,"")</f>
        <v/>
      </c>
      <c r="HT370" s="150" t="str">
        <f aca="false">IF(AND(ISNUMBER(HT65),ISNUMBER(HT$320),HT$320&lt;&gt;0),HT65*HT$320/HT$15,"")</f>
        <v/>
      </c>
      <c r="HU370" s="150" t="str">
        <f aca="false">IF(AND(ISNUMBER(HU65),ISNUMBER(HU$320),HU$320&lt;&gt;0),HU65*HU$320/HU$15,"")</f>
        <v/>
      </c>
      <c r="HV370" s="150" t="str">
        <f aca="false">IF(AND(ISNUMBER(HV65),ISNUMBER(HV$320),HV$320&lt;&gt;0),HV65*HV$320/HV$15,"")</f>
        <v/>
      </c>
      <c r="HW370" s="150" t="str">
        <f aca="false">IF(AND(ISNUMBER(HW65),ISNUMBER(HW$320),HW$320&lt;&gt;0),HW65*HW$320/HW$15,"")</f>
        <v/>
      </c>
      <c r="HX370" s="150" t="str">
        <f aca="false">IF(AND(ISNUMBER(HX65),ISNUMBER(HX$320),HX$320&lt;&gt;0),HX65*HX$320/HX$15,"")</f>
        <v/>
      </c>
      <c r="HY370" s="150" t="str">
        <f aca="false">IF(AND(ISNUMBER(HY65),ISNUMBER(HY$320),HY$320&lt;&gt;0),HY65*HY$320/HY$15,"")</f>
        <v/>
      </c>
      <c r="HZ370" s="150" t="str">
        <f aca="false">IF(AND(ISNUMBER(HZ65),ISNUMBER(HZ$320),HZ$320&lt;&gt;0),HZ65*HZ$320/HZ$15,"")</f>
        <v/>
      </c>
      <c r="IA370" s="150" t="str">
        <f aca="false">IF(AND(ISNUMBER(IA65),ISNUMBER(IA$320),IA$320&lt;&gt;0),IA65*IA$320/IA$15,"")</f>
        <v/>
      </c>
      <c r="IB370" s="150" t="str">
        <f aca="false">IF(AND(ISNUMBER(IB65),ISNUMBER(IB$320),IB$320&lt;&gt;0),IB65*IB$320/IB$15,"")</f>
        <v/>
      </c>
      <c r="IC370" s="150" t="str">
        <f aca="false">IF(AND(ISNUMBER(IC65),ISNUMBER(IC$320),IC$320&lt;&gt;0),IC65*IC$320/IC$15,"")</f>
        <v/>
      </c>
      <c r="ID370" s="572" t="str">
        <f aca="false">IF(AND(ISNUMBER(ID65),ISNUMBER(ID$320),ID$320&lt;&gt;0),ID65*ID$320/ID$15,"")</f>
        <v/>
      </c>
    </row>
    <row r="371" customFormat="false" ht="12.75" hidden="false" customHeight="false" outlineLevel="0" collapsed="false">
      <c r="I371" s="735"/>
      <c r="J371" s="727"/>
      <c r="K371" s="195"/>
      <c r="L371" s="195"/>
      <c r="M371" s="729"/>
      <c r="P371" s="727"/>
      <c r="S371" s="1"/>
      <c r="T371" s="727"/>
      <c r="U371" s="195"/>
      <c r="V371" s="195"/>
      <c r="W371" s="195"/>
      <c r="X371" s="195"/>
      <c r="Y371" s="195"/>
      <c r="Z371" s="195"/>
      <c r="AA371" s="195"/>
      <c r="AB371" s="195"/>
      <c r="AC371" s="195"/>
      <c r="AD371" s="195"/>
      <c r="AE371" s="195"/>
      <c r="AF371" s="195"/>
      <c r="AG371" s="195"/>
      <c r="AH371" s="195"/>
      <c r="AI371" s="195"/>
      <c r="AJ371" s="195"/>
      <c r="AK371" s="195"/>
      <c r="AL371" s="195"/>
      <c r="AM371" s="195"/>
      <c r="AN371" s="532"/>
      <c r="AO371" s="532"/>
      <c r="AP371" s="240"/>
      <c r="AQ371" s="532"/>
      <c r="AR371" s="240"/>
      <c r="AS371" s="240"/>
      <c r="AT371" s="240"/>
      <c r="AU371" s="730"/>
      <c r="AV371" s="730"/>
      <c r="AW371" s="730"/>
      <c r="AX371" s="730"/>
      <c r="AY371" s="468"/>
      <c r="AZ371" s="468"/>
      <c r="BA371" s="240"/>
      <c r="BB371" s="240"/>
      <c r="BC371" s="240"/>
      <c r="BD371" s="240"/>
      <c r="BE371" s="672"/>
      <c r="BF371" s="672"/>
      <c r="BG371" s="672"/>
      <c r="BH371" s="731"/>
      <c r="BI371" s="672"/>
      <c r="BJ371" s="240"/>
      <c r="BK371" s="736"/>
      <c r="BL371" s="737"/>
      <c r="BM371" s="240"/>
      <c r="BN371" s="240"/>
      <c r="BO371" s="240"/>
      <c r="BP371" s="240"/>
      <c r="BQ371" s="240"/>
      <c r="BR371" s="240"/>
      <c r="BS371" s="240"/>
      <c r="BT371" s="240"/>
      <c r="BU371" s="240"/>
      <c r="BV371" s="240"/>
      <c r="BW371" s="240"/>
      <c r="BX371" s="240"/>
      <c r="BY371" s="240"/>
      <c r="BZ371" s="240"/>
      <c r="CA371" s="240"/>
      <c r="CB371" s="672"/>
      <c r="CC371" s="672"/>
      <c r="CD371" s="672"/>
      <c r="CE371" s="672"/>
      <c r="CF371" s="672"/>
      <c r="CG371" s="672"/>
      <c r="CH371" s="240"/>
      <c r="CI371" s="240"/>
      <c r="CJ371" s="240"/>
      <c r="CK371" s="240"/>
      <c r="CL371" s="240"/>
      <c r="CM371" s="240"/>
      <c r="CN371" s="240"/>
      <c r="CO371" s="240"/>
      <c r="CP371" s="240"/>
      <c r="CQ371" s="240"/>
      <c r="CR371" s="240"/>
      <c r="CS371" s="240"/>
      <c r="CT371" s="240"/>
      <c r="CU371" s="240"/>
      <c r="CV371" s="240"/>
      <c r="CW371" s="240"/>
      <c r="CX371" s="240"/>
      <c r="CY371" s="240"/>
      <c r="CZ371" s="240"/>
      <c r="DA371" s="240"/>
      <c r="DB371" s="240"/>
      <c r="DC371" s="240"/>
      <c r="DD371" s="240"/>
      <c r="DE371" s="240"/>
      <c r="DF371" s="240"/>
      <c r="DG371" s="733"/>
      <c r="DH371" s="478"/>
      <c r="DI371" s="195"/>
      <c r="DJ371" s="3"/>
      <c r="DK371" s="478"/>
      <c r="DL371" s="4"/>
      <c r="DM371" s="4"/>
      <c r="DN371" s="4"/>
      <c r="DO371" s="4"/>
      <c r="DP371" s="4"/>
      <c r="DQ371" s="4"/>
      <c r="DS371" s="195"/>
      <c r="DT371" s="195"/>
      <c r="DU371" s="195"/>
      <c r="DV371" s="195"/>
      <c r="DW371" s="195"/>
      <c r="DX371" s="195"/>
      <c r="DY371" s="195"/>
      <c r="DZ371" s="195"/>
      <c r="EA371" s="195"/>
      <c r="EB371" s="195"/>
      <c r="EC371" s="195"/>
      <c r="ED371" s="195"/>
      <c r="EE371" s="195"/>
      <c r="EF371" s="195"/>
      <c r="EG371" s="195"/>
      <c r="EL371" s="1"/>
      <c r="EM371" s="195"/>
      <c r="EN371" s="240"/>
      <c r="EO371" s="240"/>
      <c r="EP371" s="195"/>
      <c r="EQ371" s="240"/>
      <c r="ER371" s="195"/>
      <c r="ES371" s="195"/>
      <c r="ET371" s="195"/>
      <c r="EU371" s="672"/>
      <c r="FJ371" s="571" t="n">
        <v>47</v>
      </c>
      <c r="FK371" s="150" t="str">
        <f aca="false">IF(AND(ISNUMBER(FK66),ISNUMBER(FK$320),FK$320&lt;&gt;0),FK66*FK$320/FK$15,"")</f>
        <v/>
      </c>
      <c r="FL371" s="150" t="str">
        <f aca="false">IF(AND(ISNUMBER(FL66),ISNUMBER(FL$320),FL$320&lt;&gt;0),FL66*FL$320/FL$15,"")</f>
        <v/>
      </c>
      <c r="FM371" s="150" t="n">
        <f aca="false">IF(AND(ISNUMBER(FM66),ISNUMBER(FM$320),FM$320&lt;&gt;0),FM66*FM$320/FM$15,"")</f>
        <v>0.00255077172703282</v>
      </c>
      <c r="FN371" s="150" t="n">
        <f aca="false">IF(AND(ISNUMBER(FN66),ISNUMBER(FN$320),FN$320&lt;&gt;0),FN66*FN$320/FN$15,"")</f>
        <v>0.00214748018003653</v>
      </c>
      <c r="FO371" s="150" t="n">
        <f aca="false">IF(AND(ISNUMBER(FO66),ISNUMBER(FO$320),FO$320&lt;&gt;0),FO66*FO$320/FO$15,"")</f>
        <v>0.00223439355373835</v>
      </c>
      <c r="FP371" s="150" t="n">
        <f aca="false">IF(AND(ISNUMBER(FP66),ISNUMBER(FP$320),FP$320&lt;&gt;0),FP66*FP$320/FP$15,"")</f>
        <v>0.00123842007233986</v>
      </c>
      <c r="FQ371" s="150" t="str">
        <f aca="false">IF(AND(ISNUMBER(FQ66),ISNUMBER(FQ$320),FQ$320&lt;&gt;0),FQ66*FQ$320/FQ$15,"")</f>
        <v/>
      </c>
      <c r="FR371" s="150" t="str">
        <f aca="false">IF(AND(ISNUMBER(FR66),ISNUMBER(FR$320),FR$320&lt;&gt;0),FR66*FR$320/FR$15,"")</f>
        <v/>
      </c>
      <c r="FS371" s="150" t="str">
        <f aca="false">IF(AND(ISNUMBER(FS66),ISNUMBER(FS$320),FS$320&lt;&gt;0),FS66*FS$320/FS$15,"")</f>
        <v/>
      </c>
      <c r="FT371" s="150" t="str">
        <f aca="false">IF(AND(ISNUMBER(FT66),ISNUMBER(FT$320),FT$320&lt;&gt;0),FT66*FT$320/FT$15,"")</f>
        <v/>
      </c>
      <c r="FU371" s="150" t="str">
        <f aca="false">IF(AND(ISNUMBER(FU66),ISNUMBER(FU$320),FU$320&lt;&gt;0),FU66*FU$320/FU$15,"")</f>
        <v/>
      </c>
      <c r="FV371" s="150" t="str">
        <f aca="false">IF(AND(ISNUMBER(FV66),ISNUMBER(FV$320),FV$320&lt;&gt;0),FV66*FV$320/FV$15,"")</f>
        <v/>
      </c>
      <c r="FW371" s="150" t="str">
        <f aca="false">IF(AND(ISNUMBER(FW66),ISNUMBER(FW$320),FW$320&lt;&gt;0),FW66*FW$320/FW$15,"")</f>
        <v/>
      </c>
      <c r="FX371" s="150" t="str">
        <f aca="false">IF(AND(ISNUMBER(FX66),ISNUMBER(FX$320),FX$320&lt;&gt;0),FX66*FX$320/FX$15,"")</f>
        <v/>
      </c>
      <c r="FY371" s="150" t="str">
        <f aca="false">IF(AND(ISNUMBER(FY66),ISNUMBER(FY$320),FY$320&lt;&gt;0),FY66*FY$320/FY$15,"")</f>
        <v/>
      </c>
      <c r="FZ371" s="150" t="str">
        <f aca="false">IF(AND(ISNUMBER(FZ66),ISNUMBER(FZ$320),FZ$320&lt;&gt;0),FZ66*FZ$320/FZ$15,"")</f>
        <v/>
      </c>
      <c r="GA371" s="150" t="str">
        <f aca="false">IF(AND(ISNUMBER(GA66),ISNUMBER(GA$320),GA$320&lt;&gt;0),GA66*GA$320/GA$15,"")</f>
        <v/>
      </c>
      <c r="GB371" s="150" t="str">
        <f aca="false">IF(AND(ISNUMBER(GB66),ISNUMBER(GB$320),GB$320&lt;&gt;0),GB66*GB$320/GB$15,"")</f>
        <v/>
      </c>
      <c r="GC371" s="150" t="str">
        <f aca="false">IF(AND(ISNUMBER(GC66),ISNUMBER(GC$320),GC$320&lt;&gt;0),GC66*GC$320/GC$15,"")</f>
        <v/>
      </c>
      <c r="GD371" s="150" t="str">
        <f aca="false">IF(AND(ISNUMBER(GD66),ISNUMBER(GD$320),GD$320&lt;&gt;0),GD66*GD$320/GD$15,"")</f>
        <v/>
      </c>
      <c r="GE371" s="150" t="str">
        <f aca="false">IF(AND(ISNUMBER(GE66),ISNUMBER(GE$320),GE$320&lt;&gt;0),GE66*GE$320/GE$15,"")</f>
        <v/>
      </c>
      <c r="GF371" s="150" t="str">
        <f aca="false">IF(AND(ISNUMBER(GF66),ISNUMBER(GF$320),GF$320&lt;&gt;0),GF66*GF$320/GF$15,"")</f>
        <v/>
      </c>
      <c r="GG371" s="150" t="str">
        <f aca="false">IF(AND(ISNUMBER(GG66),ISNUMBER(GG$320),GG$320&lt;&gt;0),GG66*GG$320/GG$15,"")</f>
        <v/>
      </c>
      <c r="GH371" s="150" t="str">
        <f aca="false">IF(AND(ISNUMBER(GH66),ISNUMBER(GH$320),GH$320&lt;&gt;0),GH66*GH$320/GH$15,"")</f>
        <v/>
      </c>
      <c r="GI371" s="150" t="str">
        <f aca="false">IF(AND(ISNUMBER(GI66),ISNUMBER(GI$320),GI$320&lt;&gt;0),GI66*GI$320/GI$15,"")</f>
        <v/>
      </c>
      <c r="GJ371" s="150" t="str">
        <f aca="false">IF(AND(ISNUMBER(GJ66),ISNUMBER(GJ$320),GJ$320&lt;&gt;0),GJ66*GJ$320/GJ$15,"")</f>
        <v/>
      </c>
      <c r="GK371" s="150" t="str">
        <f aca="false">IF(AND(ISNUMBER(GK66),ISNUMBER(GK$320),GK$320&lt;&gt;0),GK66*GK$320/GK$15,"")</f>
        <v/>
      </c>
      <c r="GL371" s="150" t="str">
        <f aca="false">IF(AND(ISNUMBER(GL66),ISNUMBER(GL$320),GL$320&lt;&gt;0),GL66*GL$320/GL$15,"")</f>
        <v/>
      </c>
      <c r="GM371" s="150" t="str">
        <f aca="false">IF(AND(ISNUMBER(GM66),ISNUMBER(GM$320),GM$320&lt;&gt;0),GM66*GM$320/GM$15,"")</f>
        <v/>
      </c>
      <c r="GN371" s="150" t="str">
        <f aca="false">IF(AND(ISNUMBER(GN66),ISNUMBER(GN$320),GN$320&lt;&gt;0),GN66*GN$320/GN$15,"")</f>
        <v/>
      </c>
      <c r="GO371" s="150" t="str">
        <f aca="false">IF(AND(ISNUMBER(GO66),ISNUMBER(GO$320),GO$320&lt;&gt;0),GO66*GO$320/GO$15,"")</f>
        <v/>
      </c>
      <c r="GP371" s="150" t="str">
        <f aca="false">IF(AND(ISNUMBER(GP66),ISNUMBER(GP$320),GP$320&lt;&gt;0),GP66*GP$320/GP$15,"")</f>
        <v/>
      </c>
      <c r="GQ371" s="150" t="str">
        <f aca="false">IF(AND(ISNUMBER(GQ66),ISNUMBER(GQ$320),GQ$320&lt;&gt;0),GQ66*GQ$320/GQ$15,"")</f>
        <v/>
      </c>
      <c r="GR371" s="150" t="str">
        <f aca="false">IF(AND(ISNUMBER(GR66),ISNUMBER(GR$320),GR$320&lt;&gt;0),GR66*GR$320/GR$15,"")</f>
        <v/>
      </c>
      <c r="GS371" s="150" t="str">
        <f aca="false">IF(AND(ISNUMBER(GS66),ISNUMBER(GS$320),GS$320&lt;&gt;0),GS66*GS$320/GS$15,"")</f>
        <v/>
      </c>
      <c r="GT371" s="150" t="str">
        <f aca="false">IF(AND(ISNUMBER(GT66),ISNUMBER(GT$320),GT$320&lt;&gt;0),GT66*GT$320/GT$15,"")</f>
        <v/>
      </c>
      <c r="GU371" s="150" t="str">
        <f aca="false">IF(AND(ISNUMBER(GU66),ISNUMBER(GU$320),GU$320&lt;&gt;0),GU66*GU$320/GU$15,"")</f>
        <v/>
      </c>
      <c r="GV371" s="150" t="str">
        <f aca="false">IF(AND(ISNUMBER(GV66),ISNUMBER(GV$320),GV$320&lt;&gt;0),GV66*GV$320/GV$15,"")</f>
        <v/>
      </c>
      <c r="GW371" s="150" t="str">
        <f aca="false">IF(AND(ISNUMBER(GW66),ISNUMBER(GW$320),GW$320&lt;&gt;0),GW66*GW$320/GW$15,"")</f>
        <v/>
      </c>
      <c r="GX371" s="150" t="str">
        <f aca="false">IF(AND(ISNUMBER(GX66),ISNUMBER(GX$320),GX$320&lt;&gt;0),GX66*GX$320/GX$15,"")</f>
        <v/>
      </c>
      <c r="GY371" s="150" t="str">
        <f aca="false">IF(AND(ISNUMBER(GY66),ISNUMBER(GY$320),GY$320&lt;&gt;0),GY66*GY$320/GY$15,"")</f>
        <v/>
      </c>
      <c r="GZ371" s="150" t="str">
        <f aca="false">IF(AND(ISNUMBER(GZ66),ISNUMBER(GZ$320),GZ$320&lt;&gt;0),GZ66*GZ$320/GZ$15,"")</f>
        <v/>
      </c>
      <c r="HA371" s="150" t="str">
        <f aca="false">IF(AND(ISNUMBER(HA66),ISNUMBER(HA$320),HA$320&lt;&gt;0),HA66*HA$320/HA$15,"")</f>
        <v/>
      </c>
      <c r="HB371" s="150" t="str">
        <f aca="false">IF(AND(ISNUMBER(HB66),ISNUMBER(HB$320),HB$320&lt;&gt;0),HB66*HB$320/HB$15,"")</f>
        <v/>
      </c>
      <c r="HC371" s="150" t="str">
        <f aca="false">IF(AND(ISNUMBER(HC66),ISNUMBER(HC$320),HC$320&lt;&gt;0),HC66*HC$320/HC$15,"")</f>
        <v/>
      </c>
      <c r="HD371" s="150" t="str">
        <f aca="false">IF(AND(ISNUMBER(HD66),ISNUMBER(HD$320),HD$320&lt;&gt;0),HD66*HD$320/HD$15,"")</f>
        <v/>
      </c>
      <c r="HE371" s="150" t="str">
        <f aca="false">IF(AND(ISNUMBER(HE66),ISNUMBER(HE$320),HE$320&lt;&gt;0),HE66*HE$320/HE$15,"")</f>
        <v/>
      </c>
      <c r="HF371" s="150" t="str">
        <f aca="false">IF(AND(ISNUMBER(HF66),ISNUMBER(HF$320),HF$320&lt;&gt;0),HF66*HF$320/HF$15,"")</f>
        <v/>
      </c>
      <c r="HG371" s="150" t="str">
        <f aca="false">IF(AND(ISNUMBER(HG66),ISNUMBER(HG$320),HG$320&lt;&gt;0),HG66*HG$320/HG$15,"")</f>
        <v/>
      </c>
      <c r="HH371" s="150" t="str">
        <f aca="false">IF(AND(ISNUMBER(HH66),ISNUMBER(HH$320),HH$320&lt;&gt;0),HH66*HH$320/HH$15,"")</f>
        <v/>
      </c>
      <c r="HI371" s="150" t="str">
        <f aca="false">IF(AND(ISNUMBER(HI66),ISNUMBER(HI$320),HI$320&lt;&gt;0),HI66*HI$320/HI$15,"")</f>
        <v/>
      </c>
      <c r="HJ371" s="150" t="str">
        <f aca="false">IF(AND(ISNUMBER(HJ66),ISNUMBER(HJ$320),HJ$320&lt;&gt;0),HJ66*HJ$320/HJ$15,"")</f>
        <v/>
      </c>
      <c r="HK371" s="150" t="str">
        <f aca="false">IF(AND(ISNUMBER(HK66),ISNUMBER(HK$320),HK$320&lt;&gt;0),HK66*HK$320/HK$15,"")</f>
        <v/>
      </c>
      <c r="HL371" s="150" t="str">
        <f aca="false">IF(AND(ISNUMBER(HL66),ISNUMBER(HL$320),HL$320&lt;&gt;0),HL66*HL$320/HL$15,"")</f>
        <v/>
      </c>
      <c r="HM371" s="150" t="str">
        <f aca="false">IF(AND(ISNUMBER(HM66),ISNUMBER(HM$320),HM$320&lt;&gt;0),HM66*HM$320/HM$15,"")</f>
        <v/>
      </c>
      <c r="HN371" s="150" t="str">
        <f aca="false">IF(AND(ISNUMBER(HN66),ISNUMBER(HN$320),HN$320&lt;&gt;0),HN66*HN$320/HN$15,"")</f>
        <v/>
      </c>
      <c r="HO371" s="150" t="str">
        <f aca="false">IF(AND(ISNUMBER(HO66),ISNUMBER(HO$320),HO$320&lt;&gt;0),HO66*HO$320/HO$15,"")</f>
        <v/>
      </c>
      <c r="HP371" s="150" t="str">
        <f aca="false">IF(AND(ISNUMBER(HP66),ISNUMBER(HP$320),HP$320&lt;&gt;0),HP66*HP$320/HP$15,"")</f>
        <v/>
      </c>
      <c r="HQ371" s="150" t="str">
        <f aca="false">IF(AND(ISNUMBER(HQ66),ISNUMBER(HQ$320),HQ$320&lt;&gt;0),HQ66*HQ$320/HQ$15,"")</f>
        <v/>
      </c>
      <c r="HR371" s="150" t="str">
        <f aca="false">IF(AND(ISNUMBER(HR66),ISNUMBER(HR$320),HR$320&lt;&gt;0),HR66*HR$320/HR$15,"")</f>
        <v/>
      </c>
      <c r="HS371" s="150" t="str">
        <f aca="false">IF(AND(ISNUMBER(HS66),ISNUMBER(HS$320),HS$320&lt;&gt;0),HS66*HS$320/HS$15,"")</f>
        <v/>
      </c>
      <c r="HT371" s="150" t="str">
        <f aca="false">IF(AND(ISNUMBER(HT66),ISNUMBER(HT$320),HT$320&lt;&gt;0),HT66*HT$320/HT$15,"")</f>
        <v/>
      </c>
      <c r="HU371" s="150" t="str">
        <f aca="false">IF(AND(ISNUMBER(HU66),ISNUMBER(HU$320),HU$320&lt;&gt;0),HU66*HU$320/HU$15,"")</f>
        <v/>
      </c>
      <c r="HV371" s="150" t="str">
        <f aca="false">IF(AND(ISNUMBER(HV66),ISNUMBER(HV$320),HV$320&lt;&gt;0),HV66*HV$320/HV$15,"")</f>
        <v/>
      </c>
      <c r="HW371" s="150" t="str">
        <f aca="false">IF(AND(ISNUMBER(HW66),ISNUMBER(HW$320),HW$320&lt;&gt;0),HW66*HW$320/HW$15,"")</f>
        <v/>
      </c>
      <c r="HX371" s="150" t="str">
        <f aca="false">IF(AND(ISNUMBER(HX66),ISNUMBER(HX$320),HX$320&lt;&gt;0),HX66*HX$320/HX$15,"")</f>
        <v/>
      </c>
      <c r="HY371" s="150" t="str">
        <f aca="false">IF(AND(ISNUMBER(HY66),ISNUMBER(HY$320),HY$320&lt;&gt;0),HY66*HY$320/HY$15,"")</f>
        <v/>
      </c>
      <c r="HZ371" s="150" t="str">
        <f aca="false">IF(AND(ISNUMBER(HZ66),ISNUMBER(HZ$320),HZ$320&lt;&gt;0),HZ66*HZ$320/HZ$15,"")</f>
        <v/>
      </c>
      <c r="IA371" s="150" t="str">
        <f aca="false">IF(AND(ISNUMBER(IA66),ISNUMBER(IA$320),IA$320&lt;&gt;0),IA66*IA$320/IA$15,"")</f>
        <v/>
      </c>
      <c r="IB371" s="150" t="str">
        <f aca="false">IF(AND(ISNUMBER(IB66),ISNUMBER(IB$320),IB$320&lt;&gt;0),IB66*IB$320/IB$15,"")</f>
        <v/>
      </c>
      <c r="IC371" s="150" t="str">
        <f aca="false">IF(AND(ISNUMBER(IC66),ISNUMBER(IC$320),IC$320&lt;&gt;0),IC66*IC$320/IC$15,"")</f>
        <v/>
      </c>
      <c r="ID371" s="572" t="str">
        <f aca="false">IF(AND(ISNUMBER(ID66),ISNUMBER(ID$320),ID$320&lt;&gt;0),ID66*ID$320/ID$15,"")</f>
        <v/>
      </c>
    </row>
    <row r="372" customFormat="false" ht="12.75" hidden="false" customHeight="false" outlineLevel="0" collapsed="false">
      <c r="I372" s="735"/>
      <c r="J372" s="727"/>
      <c r="K372" s="195"/>
      <c r="L372" s="195"/>
      <c r="M372" s="729"/>
      <c r="P372" s="727"/>
      <c r="S372" s="1"/>
      <c r="T372" s="727"/>
      <c r="U372" s="195"/>
      <c r="V372" s="195"/>
      <c r="W372" s="195"/>
      <c r="X372" s="195"/>
      <c r="Y372" s="195"/>
      <c r="Z372" s="195"/>
      <c r="AA372" s="195"/>
      <c r="AB372" s="195"/>
      <c r="AC372" s="195"/>
      <c r="AD372" s="195"/>
      <c r="AE372" s="195"/>
      <c r="AF372" s="195"/>
      <c r="AG372" s="195"/>
      <c r="AH372" s="195"/>
      <c r="AI372" s="195"/>
      <c r="AJ372" s="195"/>
      <c r="AK372" s="195"/>
      <c r="AL372" s="195"/>
      <c r="AM372" s="195"/>
      <c r="AN372" s="532"/>
      <c r="AO372" s="532"/>
      <c r="AP372" s="240"/>
      <c r="AQ372" s="532"/>
      <c r="AR372" s="240"/>
      <c r="AS372" s="240"/>
      <c r="AT372" s="240"/>
      <c r="AU372" s="730"/>
      <c r="AV372" s="730"/>
      <c r="AW372" s="730"/>
      <c r="AX372" s="730"/>
      <c r="AY372" s="468"/>
      <c r="AZ372" s="468"/>
      <c r="BA372" s="240"/>
      <c r="BB372" s="240"/>
      <c r="BC372" s="240"/>
      <c r="BD372" s="240"/>
      <c r="BE372" s="672"/>
      <c r="BF372" s="672"/>
      <c r="BG372" s="672"/>
      <c r="BH372" s="731"/>
      <c r="BI372" s="672"/>
      <c r="BJ372" s="240"/>
      <c r="BK372" s="736"/>
      <c r="BL372" s="737"/>
      <c r="BM372" s="240"/>
      <c r="BN372" s="240"/>
      <c r="BO372" s="240"/>
      <c r="BP372" s="240"/>
      <c r="BQ372" s="240"/>
      <c r="BR372" s="240"/>
      <c r="BS372" s="240"/>
      <c r="BT372" s="240"/>
      <c r="BU372" s="240"/>
      <c r="BV372" s="240"/>
      <c r="BW372" s="240"/>
      <c r="BX372" s="240"/>
      <c r="BY372" s="240"/>
      <c r="BZ372" s="240"/>
      <c r="CA372" s="240"/>
      <c r="CB372" s="672"/>
      <c r="CC372" s="672"/>
      <c r="CD372" s="672"/>
      <c r="CE372" s="672"/>
      <c r="CF372" s="672"/>
      <c r="CG372" s="672"/>
      <c r="CH372" s="240"/>
      <c r="CI372" s="240"/>
      <c r="CJ372" s="240"/>
      <c r="CK372" s="240"/>
      <c r="CL372" s="240"/>
      <c r="CM372" s="240"/>
      <c r="CN372" s="240"/>
      <c r="CO372" s="240"/>
      <c r="CP372" s="240"/>
      <c r="CQ372" s="240"/>
      <c r="CR372" s="240"/>
      <c r="CS372" s="240"/>
      <c r="CT372" s="240"/>
      <c r="CU372" s="240"/>
      <c r="CV372" s="240"/>
      <c r="CW372" s="240"/>
      <c r="CX372" s="240"/>
      <c r="CY372" s="240"/>
      <c r="CZ372" s="240"/>
      <c r="DA372" s="240"/>
      <c r="DB372" s="240"/>
      <c r="DC372" s="240"/>
      <c r="DD372" s="240"/>
      <c r="DE372" s="240"/>
      <c r="DF372" s="240"/>
      <c r="DG372" s="733"/>
      <c r="DH372" s="478"/>
      <c r="DI372" s="195"/>
      <c r="DJ372" s="3"/>
      <c r="DK372" s="478"/>
      <c r="DL372" s="4"/>
      <c r="DM372" s="4"/>
      <c r="DN372" s="4"/>
      <c r="DO372" s="4"/>
      <c r="DP372" s="4"/>
      <c r="DQ372" s="4"/>
      <c r="DS372" s="195"/>
      <c r="DT372" s="195"/>
      <c r="DU372" s="195"/>
      <c r="DV372" s="195"/>
      <c r="DW372" s="195"/>
      <c r="DX372" s="195"/>
      <c r="DY372" s="195"/>
      <c r="DZ372" s="195"/>
      <c r="EA372" s="195"/>
      <c r="EB372" s="195"/>
      <c r="EC372" s="195"/>
      <c r="ED372" s="195"/>
      <c r="EE372" s="195"/>
      <c r="EF372" s="195"/>
      <c r="EG372" s="195"/>
      <c r="EL372" s="1"/>
      <c r="EM372" s="195"/>
      <c r="EN372" s="240"/>
      <c r="EO372" s="240"/>
      <c r="EP372" s="195"/>
      <c r="EQ372" s="240"/>
      <c r="ER372" s="195"/>
      <c r="ES372" s="195"/>
      <c r="ET372" s="195"/>
      <c r="EU372" s="672"/>
      <c r="FJ372" s="571" t="n">
        <v>48</v>
      </c>
      <c r="FK372" s="150" t="str">
        <f aca="false">IF(AND(ISNUMBER(FK67),ISNUMBER(FK$320),FK$320&lt;&gt;0),FK67*FK$320/FK$15,"")</f>
        <v/>
      </c>
      <c r="FL372" s="150" t="str">
        <f aca="false">IF(AND(ISNUMBER(FL67),ISNUMBER(FL$320),FL$320&lt;&gt;0),FL67*FL$320/FL$15,"")</f>
        <v/>
      </c>
      <c r="FM372" s="150" t="n">
        <f aca="false">IF(AND(ISNUMBER(FM67),ISNUMBER(FM$320),FM$320&lt;&gt;0),FM67*FM$320/FM$15,"")</f>
        <v>0.00255019002857148</v>
      </c>
      <c r="FN372" s="150" t="n">
        <f aca="false">IF(AND(ISNUMBER(FN67),ISNUMBER(FN$320),FN$320&lt;&gt;0),FN67*FN$320/FN$15,"")</f>
        <v>0.00214690739802545</v>
      </c>
      <c r="FO372" s="150" t="n">
        <f aca="false">IF(AND(ISNUMBER(FO67),ISNUMBER(FO$320),FO$320&lt;&gt;0),FO67*FO$320/FO$15,"")</f>
        <v>0.00223369652006245</v>
      </c>
      <c r="FP372" s="150" t="n">
        <f aca="false">IF(AND(ISNUMBER(FP67),ISNUMBER(FP$320),FP$320&lt;&gt;0),FP67*FP$320/FP$15,"")</f>
        <v>0.00123796822060016</v>
      </c>
      <c r="FQ372" s="150" t="str">
        <f aca="false">IF(AND(ISNUMBER(FQ67),ISNUMBER(FQ$320),FQ$320&lt;&gt;0),FQ67*FQ$320/FQ$15,"")</f>
        <v/>
      </c>
      <c r="FR372" s="150" t="str">
        <f aca="false">IF(AND(ISNUMBER(FR67),ISNUMBER(FR$320),FR$320&lt;&gt;0),FR67*FR$320/FR$15,"")</f>
        <v/>
      </c>
      <c r="FS372" s="150" t="str">
        <f aca="false">IF(AND(ISNUMBER(FS67),ISNUMBER(FS$320),FS$320&lt;&gt;0),FS67*FS$320/FS$15,"")</f>
        <v/>
      </c>
      <c r="FT372" s="150" t="str">
        <f aca="false">IF(AND(ISNUMBER(FT67),ISNUMBER(FT$320),FT$320&lt;&gt;0),FT67*FT$320/FT$15,"")</f>
        <v/>
      </c>
      <c r="FU372" s="150" t="str">
        <f aca="false">IF(AND(ISNUMBER(FU67),ISNUMBER(FU$320),FU$320&lt;&gt;0),FU67*FU$320/FU$15,"")</f>
        <v/>
      </c>
      <c r="FV372" s="150" t="str">
        <f aca="false">IF(AND(ISNUMBER(FV67),ISNUMBER(FV$320),FV$320&lt;&gt;0),FV67*FV$320/FV$15,"")</f>
        <v/>
      </c>
      <c r="FW372" s="150" t="str">
        <f aca="false">IF(AND(ISNUMBER(FW67),ISNUMBER(FW$320),FW$320&lt;&gt;0),FW67*FW$320/FW$15,"")</f>
        <v/>
      </c>
      <c r="FX372" s="150" t="str">
        <f aca="false">IF(AND(ISNUMBER(FX67),ISNUMBER(FX$320),FX$320&lt;&gt;0),FX67*FX$320/FX$15,"")</f>
        <v/>
      </c>
      <c r="FY372" s="150" t="str">
        <f aca="false">IF(AND(ISNUMBER(FY67),ISNUMBER(FY$320),FY$320&lt;&gt;0),FY67*FY$320/FY$15,"")</f>
        <v/>
      </c>
      <c r="FZ372" s="150" t="str">
        <f aca="false">IF(AND(ISNUMBER(FZ67),ISNUMBER(FZ$320),FZ$320&lt;&gt;0),FZ67*FZ$320/FZ$15,"")</f>
        <v/>
      </c>
      <c r="GA372" s="150" t="str">
        <f aca="false">IF(AND(ISNUMBER(GA67),ISNUMBER(GA$320),GA$320&lt;&gt;0),GA67*GA$320/GA$15,"")</f>
        <v/>
      </c>
      <c r="GB372" s="150" t="str">
        <f aca="false">IF(AND(ISNUMBER(GB67),ISNUMBER(GB$320),GB$320&lt;&gt;0),GB67*GB$320/GB$15,"")</f>
        <v/>
      </c>
      <c r="GC372" s="150" t="str">
        <f aca="false">IF(AND(ISNUMBER(GC67),ISNUMBER(GC$320),GC$320&lt;&gt;0),GC67*GC$320/GC$15,"")</f>
        <v/>
      </c>
      <c r="GD372" s="150" t="str">
        <f aca="false">IF(AND(ISNUMBER(GD67),ISNUMBER(GD$320),GD$320&lt;&gt;0),GD67*GD$320/GD$15,"")</f>
        <v/>
      </c>
      <c r="GE372" s="150" t="str">
        <f aca="false">IF(AND(ISNUMBER(GE67),ISNUMBER(GE$320),GE$320&lt;&gt;0),GE67*GE$320/GE$15,"")</f>
        <v/>
      </c>
      <c r="GF372" s="150" t="str">
        <f aca="false">IF(AND(ISNUMBER(GF67),ISNUMBER(GF$320),GF$320&lt;&gt;0),GF67*GF$320/GF$15,"")</f>
        <v/>
      </c>
      <c r="GG372" s="150" t="str">
        <f aca="false">IF(AND(ISNUMBER(GG67),ISNUMBER(GG$320),GG$320&lt;&gt;0),GG67*GG$320/GG$15,"")</f>
        <v/>
      </c>
      <c r="GH372" s="150" t="str">
        <f aca="false">IF(AND(ISNUMBER(GH67),ISNUMBER(GH$320),GH$320&lt;&gt;0),GH67*GH$320/GH$15,"")</f>
        <v/>
      </c>
      <c r="GI372" s="150" t="str">
        <f aca="false">IF(AND(ISNUMBER(GI67),ISNUMBER(GI$320),GI$320&lt;&gt;0),GI67*GI$320/GI$15,"")</f>
        <v/>
      </c>
      <c r="GJ372" s="150" t="str">
        <f aca="false">IF(AND(ISNUMBER(GJ67),ISNUMBER(GJ$320),GJ$320&lt;&gt;0),GJ67*GJ$320/GJ$15,"")</f>
        <v/>
      </c>
      <c r="GK372" s="150" t="str">
        <f aca="false">IF(AND(ISNUMBER(GK67),ISNUMBER(GK$320),GK$320&lt;&gt;0),GK67*GK$320/GK$15,"")</f>
        <v/>
      </c>
      <c r="GL372" s="150" t="str">
        <f aca="false">IF(AND(ISNUMBER(GL67),ISNUMBER(GL$320),GL$320&lt;&gt;0),GL67*GL$320/GL$15,"")</f>
        <v/>
      </c>
      <c r="GM372" s="150" t="str">
        <f aca="false">IF(AND(ISNUMBER(GM67),ISNUMBER(GM$320),GM$320&lt;&gt;0),GM67*GM$320/GM$15,"")</f>
        <v/>
      </c>
      <c r="GN372" s="150" t="str">
        <f aca="false">IF(AND(ISNUMBER(GN67),ISNUMBER(GN$320),GN$320&lt;&gt;0),GN67*GN$320/GN$15,"")</f>
        <v/>
      </c>
      <c r="GO372" s="150" t="str">
        <f aca="false">IF(AND(ISNUMBER(GO67),ISNUMBER(GO$320),GO$320&lt;&gt;0),GO67*GO$320/GO$15,"")</f>
        <v/>
      </c>
      <c r="GP372" s="150" t="str">
        <f aca="false">IF(AND(ISNUMBER(GP67),ISNUMBER(GP$320),GP$320&lt;&gt;0),GP67*GP$320/GP$15,"")</f>
        <v/>
      </c>
      <c r="GQ372" s="150" t="str">
        <f aca="false">IF(AND(ISNUMBER(GQ67),ISNUMBER(GQ$320),GQ$320&lt;&gt;0),GQ67*GQ$320/GQ$15,"")</f>
        <v/>
      </c>
      <c r="GR372" s="150" t="str">
        <f aca="false">IF(AND(ISNUMBER(GR67),ISNUMBER(GR$320),GR$320&lt;&gt;0),GR67*GR$320/GR$15,"")</f>
        <v/>
      </c>
      <c r="GS372" s="150" t="str">
        <f aca="false">IF(AND(ISNUMBER(GS67),ISNUMBER(GS$320),GS$320&lt;&gt;0),GS67*GS$320/GS$15,"")</f>
        <v/>
      </c>
      <c r="GT372" s="150" t="str">
        <f aca="false">IF(AND(ISNUMBER(GT67),ISNUMBER(GT$320),GT$320&lt;&gt;0),GT67*GT$320/GT$15,"")</f>
        <v/>
      </c>
      <c r="GU372" s="150" t="str">
        <f aca="false">IF(AND(ISNUMBER(GU67),ISNUMBER(GU$320),GU$320&lt;&gt;0),GU67*GU$320/GU$15,"")</f>
        <v/>
      </c>
      <c r="GV372" s="150" t="str">
        <f aca="false">IF(AND(ISNUMBER(GV67),ISNUMBER(GV$320),GV$320&lt;&gt;0),GV67*GV$320/GV$15,"")</f>
        <v/>
      </c>
      <c r="GW372" s="150" t="str">
        <f aca="false">IF(AND(ISNUMBER(GW67),ISNUMBER(GW$320),GW$320&lt;&gt;0),GW67*GW$320/GW$15,"")</f>
        <v/>
      </c>
      <c r="GX372" s="150" t="str">
        <f aca="false">IF(AND(ISNUMBER(GX67),ISNUMBER(GX$320),GX$320&lt;&gt;0),GX67*GX$320/GX$15,"")</f>
        <v/>
      </c>
      <c r="GY372" s="150" t="str">
        <f aca="false">IF(AND(ISNUMBER(GY67),ISNUMBER(GY$320),GY$320&lt;&gt;0),GY67*GY$320/GY$15,"")</f>
        <v/>
      </c>
      <c r="GZ372" s="150" t="str">
        <f aca="false">IF(AND(ISNUMBER(GZ67),ISNUMBER(GZ$320),GZ$320&lt;&gt;0),GZ67*GZ$320/GZ$15,"")</f>
        <v/>
      </c>
      <c r="HA372" s="150" t="str">
        <f aca="false">IF(AND(ISNUMBER(HA67),ISNUMBER(HA$320),HA$320&lt;&gt;0),HA67*HA$320/HA$15,"")</f>
        <v/>
      </c>
      <c r="HB372" s="150" t="str">
        <f aca="false">IF(AND(ISNUMBER(HB67),ISNUMBER(HB$320),HB$320&lt;&gt;0),HB67*HB$320/HB$15,"")</f>
        <v/>
      </c>
      <c r="HC372" s="150" t="str">
        <f aca="false">IF(AND(ISNUMBER(HC67),ISNUMBER(HC$320),HC$320&lt;&gt;0),HC67*HC$320/HC$15,"")</f>
        <v/>
      </c>
      <c r="HD372" s="150" t="str">
        <f aca="false">IF(AND(ISNUMBER(HD67),ISNUMBER(HD$320),HD$320&lt;&gt;0),HD67*HD$320/HD$15,"")</f>
        <v/>
      </c>
      <c r="HE372" s="150" t="str">
        <f aca="false">IF(AND(ISNUMBER(HE67),ISNUMBER(HE$320),HE$320&lt;&gt;0),HE67*HE$320/HE$15,"")</f>
        <v/>
      </c>
      <c r="HF372" s="150" t="str">
        <f aca="false">IF(AND(ISNUMBER(HF67),ISNUMBER(HF$320),HF$320&lt;&gt;0),HF67*HF$320/HF$15,"")</f>
        <v/>
      </c>
      <c r="HG372" s="150" t="str">
        <f aca="false">IF(AND(ISNUMBER(HG67),ISNUMBER(HG$320),HG$320&lt;&gt;0),HG67*HG$320/HG$15,"")</f>
        <v/>
      </c>
      <c r="HH372" s="150" t="str">
        <f aca="false">IF(AND(ISNUMBER(HH67),ISNUMBER(HH$320),HH$320&lt;&gt;0),HH67*HH$320/HH$15,"")</f>
        <v/>
      </c>
      <c r="HI372" s="150" t="str">
        <f aca="false">IF(AND(ISNUMBER(HI67),ISNUMBER(HI$320),HI$320&lt;&gt;0),HI67*HI$320/HI$15,"")</f>
        <v/>
      </c>
      <c r="HJ372" s="150" t="str">
        <f aca="false">IF(AND(ISNUMBER(HJ67),ISNUMBER(HJ$320),HJ$320&lt;&gt;0),HJ67*HJ$320/HJ$15,"")</f>
        <v/>
      </c>
      <c r="HK372" s="150" t="str">
        <f aca="false">IF(AND(ISNUMBER(HK67),ISNUMBER(HK$320),HK$320&lt;&gt;0),HK67*HK$320/HK$15,"")</f>
        <v/>
      </c>
      <c r="HL372" s="150" t="str">
        <f aca="false">IF(AND(ISNUMBER(HL67),ISNUMBER(HL$320),HL$320&lt;&gt;0),HL67*HL$320/HL$15,"")</f>
        <v/>
      </c>
      <c r="HM372" s="150" t="str">
        <f aca="false">IF(AND(ISNUMBER(HM67),ISNUMBER(HM$320),HM$320&lt;&gt;0),HM67*HM$320/HM$15,"")</f>
        <v/>
      </c>
      <c r="HN372" s="150" t="str">
        <f aca="false">IF(AND(ISNUMBER(HN67),ISNUMBER(HN$320),HN$320&lt;&gt;0),HN67*HN$320/HN$15,"")</f>
        <v/>
      </c>
      <c r="HO372" s="150" t="str">
        <f aca="false">IF(AND(ISNUMBER(HO67),ISNUMBER(HO$320),HO$320&lt;&gt;0),HO67*HO$320/HO$15,"")</f>
        <v/>
      </c>
      <c r="HP372" s="150" t="str">
        <f aca="false">IF(AND(ISNUMBER(HP67),ISNUMBER(HP$320),HP$320&lt;&gt;0),HP67*HP$320/HP$15,"")</f>
        <v/>
      </c>
      <c r="HQ372" s="150" t="str">
        <f aca="false">IF(AND(ISNUMBER(HQ67),ISNUMBER(HQ$320),HQ$320&lt;&gt;0),HQ67*HQ$320/HQ$15,"")</f>
        <v/>
      </c>
      <c r="HR372" s="150" t="str">
        <f aca="false">IF(AND(ISNUMBER(HR67),ISNUMBER(HR$320),HR$320&lt;&gt;0),HR67*HR$320/HR$15,"")</f>
        <v/>
      </c>
      <c r="HS372" s="150" t="str">
        <f aca="false">IF(AND(ISNUMBER(HS67),ISNUMBER(HS$320),HS$320&lt;&gt;0),HS67*HS$320/HS$15,"")</f>
        <v/>
      </c>
      <c r="HT372" s="150" t="str">
        <f aca="false">IF(AND(ISNUMBER(HT67),ISNUMBER(HT$320),HT$320&lt;&gt;0),HT67*HT$320/HT$15,"")</f>
        <v/>
      </c>
      <c r="HU372" s="150" t="str">
        <f aca="false">IF(AND(ISNUMBER(HU67),ISNUMBER(HU$320),HU$320&lt;&gt;0),HU67*HU$320/HU$15,"")</f>
        <v/>
      </c>
      <c r="HV372" s="150" t="str">
        <f aca="false">IF(AND(ISNUMBER(HV67),ISNUMBER(HV$320),HV$320&lt;&gt;0),HV67*HV$320/HV$15,"")</f>
        <v/>
      </c>
      <c r="HW372" s="150" t="str">
        <f aca="false">IF(AND(ISNUMBER(HW67),ISNUMBER(HW$320),HW$320&lt;&gt;0),HW67*HW$320/HW$15,"")</f>
        <v/>
      </c>
      <c r="HX372" s="150" t="str">
        <f aca="false">IF(AND(ISNUMBER(HX67),ISNUMBER(HX$320),HX$320&lt;&gt;0),HX67*HX$320/HX$15,"")</f>
        <v/>
      </c>
      <c r="HY372" s="150" t="str">
        <f aca="false">IF(AND(ISNUMBER(HY67),ISNUMBER(HY$320),HY$320&lt;&gt;0),HY67*HY$320/HY$15,"")</f>
        <v/>
      </c>
      <c r="HZ372" s="150" t="str">
        <f aca="false">IF(AND(ISNUMBER(HZ67),ISNUMBER(HZ$320),HZ$320&lt;&gt;0),HZ67*HZ$320/HZ$15,"")</f>
        <v/>
      </c>
      <c r="IA372" s="150" t="str">
        <f aca="false">IF(AND(ISNUMBER(IA67),ISNUMBER(IA$320),IA$320&lt;&gt;0),IA67*IA$320/IA$15,"")</f>
        <v/>
      </c>
      <c r="IB372" s="150" t="str">
        <f aca="false">IF(AND(ISNUMBER(IB67),ISNUMBER(IB$320),IB$320&lt;&gt;0),IB67*IB$320/IB$15,"")</f>
        <v/>
      </c>
      <c r="IC372" s="150" t="str">
        <f aca="false">IF(AND(ISNUMBER(IC67),ISNUMBER(IC$320),IC$320&lt;&gt;0),IC67*IC$320/IC$15,"")</f>
        <v/>
      </c>
      <c r="ID372" s="572" t="str">
        <f aca="false">IF(AND(ISNUMBER(ID67),ISNUMBER(ID$320),ID$320&lt;&gt;0),ID67*ID$320/ID$15,"")</f>
        <v/>
      </c>
    </row>
    <row r="373" customFormat="false" ht="12.75" hidden="false" customHeight="false" outlineLevel="0" collapsed="false">
      <c r="I373" s="735"/>
      <c r="J373" s="727"/>
      <c r="K373" s="195"/>
      <c r="L373" s="195"/>
      <c r="M373" s="729"/>
      <c r="P373" s="727"/>
      <c r="S373" s="1"/>
      <c r="T373" s="727"/>
      <c r="U373" s="195"/>
      <c r="V373" s="195"/>
      <c r="W373" s="195"/>
      <c r="X373" s="195"/>
      <c r="Y373" s="195"/>
      <c r="Z373" s="195"/>
      <c r="AA373" s="195"/>
      <c r="AB373" s="195"/>
      <c r="AC373" s="195"/>
      <c r="AD373" s="195"/>
      <c r="AE373" s="195"/>
      <c r="AF373" s="195"/>
      <c r="AG373" s="195"/>
      <c r="AH373" s="195"/>
      <c r="AI373" s="195"/>
      <c r="AJ373" s="195"/>
      <c r="AK373" s="195"/>
      <c r="AL373" s="195"/>
      <c r="AM373" s="195"/>
      <c r="AN373" s="532"/>
      <c r="AO373" s="532"/>
      <c r="AP373" s="240"/>
      <c r="AQ373" s="532"/>
      <c r="AR373" s="240"/>
      <c r="AS373" s="240"/>
      <c r="AT373" s="240"/>
      <c r="AU373" s="730"/>
      <c r="AV373" s="730"/>
      <c r="AW373" s="730"/>
      <c r="AX373" s="730"/>
      <c r="AY373" s="468"/>
      <c r="AZ373" s="468"/>
      <c r="BA373" s="240"/>
      <c r="BB373" s="240"/>
      <c r="BC373" s="240"/>
      <c r="BD373" s="240"/>
      <c r="BE373" s="672"/>
      <c r="BF373" s="672"/>
      <c r="BG373" s="672"/>
      <c r="BH373" s="731"/>
      <c r="BI373" s="672"/>
      <c r="BJ373" s="240"/>
      <c r="BK373" s="736"/>
      <c r="BL373" s="737"/>
      <c r="BM373" s="240"/>
      <c r="BN373" s="240"/>
      <c r="BO373" s="240"/>
      <c r="BP373" s="240"/>
      <c r="BQ373" s="240"/>
      <c r="BR373" s="240"/>
      <c r="BS373" s="240"/>
      <c r="BT373" s="240"/>
      <c r="BU373" s="240"/>
      <c r="BV373" s="240"/>
      <c r="BW373" s="240"/>
      <c r="BX373" s="240"/>
      <c r="BY373" s="240"/>
      <c r="BZ373" s="240"/>
      <c r="CA373" s="240"/>
      <c r="CB373" s="672"/>
      <c r="CC373" s="672"/>
      <c r="CD373" s="672"/>
      <c r="CE373" s="672"/>
      <c r="CF373" s="672"/>
      <c r="CG373" s="672"/>
      <c r="CH373" s="240"/>
      <c r="CI373" s="240"/>
      <c r="CJ373" s="240"/>
      <c r="CK373" s="240"/>
      <c r="CL373" s="240"/>
      <c r="CM373" s="240"/>
      <c r="CN373" s="240"/>
      <c r="CO373" s="240"/>
      <c r="CP373" s="240"/>
      <c r="CQ373" s="240"/>
      <c r="CR373" s="240"/>
      <c r="CS373" s="240"/>
      <c r="CT373" s="240"/>
      <c r="CU373" s="240"/>
      <c r="CV373" s="240"/>
      <c r="CW373" s="240"/>
      <c r="CX373" s="240"/>
      <c r="CY373" s="240"/>
      <c r="CZ373" s="240"/>
      <c r="DA373" s="240"/>
      <c r="DB373" s="240"/>
      <c r="DC373" s="240"/>
      <c r="DD373" s="240"/>
      <c r="DE373" s="240"/>
      <c r="DF373" s="240"/>
      <c r="DG373" s="733"/>
      <c r="DH373" s="478"/>
      <c r="DI373" s="195"/>
      <c r="DJ373" s="3"/>
      <c r="DK373" s="478"/>
      <c r="DL373" s="4"/>
      <c r="DM373" s="4"/>
      <c r="DN373" s="4"/>
      <c r="DO373" s="4"/>
      <c r="DP373" s="4"/>
      <c r="DQ373" s="4"/>
      <c r="DS373" s="195"/>
      <c r="DT373" s="195"/>
      <c r="DU373" s="195"/>
      <c r="DV373" s="195"/>
      <c r="DW373" s="195"/>
      <c r="DX373" s="195"/>
      <c r="DY373" s="195"/>
      <c r="DZ373" s="195"/>
      <c r="EA373" s="195"/>
      <c r="EB373" s="195"/>
      <c r="EC373" s="195"/>
      <c r="ED373" s="195"/>
      <c r="EE373" s="195"/>
      <c r="EF373" s="195"/>
      <c r="EG373" s="195"/>
      <c r="EL373" s="1"/>
      <c r="EM373" s="195"/>
      <c r="EN373" s="240"/>
      <c r="EO373" s="240"/>
      <c r="EP373" s="195"/>
      <c r="EQ373" s="240"/>
      <c r="ER373" s="195"/>
      <c r="ES373" s="195"/>
      <c r="ET373" s="195"/>
      <c r="EU373" s="672"/>
      <c r="FJ373" s="571" t="n">
        <v>49</v>
      </c>
      <c r="FK373" s="150" t="str">
        <f aca="false">IF(AND(ISNUMBER(FK68),ISNUMBER(FK$320),FK$320&lt;&gt;0),FK68*FK$320/FK$15,"")</f>
        <v/>
      </c>
      <c r="FL373" s="150" t="str">
        <f aca="false">IF(AND(ISNUMBER(FL68),ISNUMBER(FL$320),FL$320&lt;&gt;0),FL68*FL$320/FL$15,"")</f>
        <v/>
      </c>
      <c r="FM373" s="150" t="n">
        <f aca="false">IF(AND(ISNUMBER(FM68),ISNUMBER(FM$320),FM$320&lt;&gt;0),FM68*FM$320/FM$15,"")</f>
        <v>0.00254969278980722</v>
      </c>
      <c r="FN373" s="150" t="n">
        <f aca="false">IF(AND(ISNUMBER(FN68),ISNUMBER(FN$320),FN$320&lt;&gt;0),FN68*FN$320/FN$15,"")</f>
        <v>0.00214641780002778</v>
      </c>
      <c r="FO373" s="150" t="n">
        <f aca="false">IF(AND(ISNUMBER(FO68),ISNUMBER(FO$320),FO$320&lt;&gt;0),FO68*FO$320/FO$15,"")</f>
        <v>0.00223310074218436</v>
      </c>
      <c r="FP373" s="150" t="n">
        <f aca="false">IF(AND(ISNUMBER(FP68),ISNUMBER(FP$320),FP$320&lt;&gt;0),FP68*FP$320/FP$15,"")</f>
        <v>0.00123758202832083</v>
      </c>
      <c r="FQ373" s="150" t="str">
        <f aca="false">IF(AND(ISNUMBER(FQ68),ISNUMBER(FQ$320),FQ$320&lt;&gt;0),FQ68*FQ$320/FQ$15,"")</f>
        <v/>
      </c>
      <c r="FR373" s="150" t="str">
        <f aca="false">IF(AND(ISNUMBER(FR68),ISNUMBER(FR$320),FR$320&lt;&gt;0),FR68*FR$320/FR$15,"")</f>
        <v/>
      </c>
      <c r="FS373" s="150" t="str">
        <f aca="false">IF(AND(ISNUMBER(FS68),ISNUMBER(FS$320),FS$320&lt;&gt;0),FS68*FS$320/FS$15,"")</f>
        <v/>
      </c>
      <c r="FT373" s="150" t="str">
        <f aca="false">IF(AND(ISNUMBER(FT68),ISNUMBER(FT$320),FT$320&lt;&gt;0),FT68*FT$320/FT$15,"")</f>
        <v/>
      </c>
      <c r="FU373" s="150" t="str">
        <f aca="false">IF(AND(ISNUMBER(FU68),ISNUMBER(FU$320),FU$320&lt;&gt;0),FU68*FU$320/FU$15,"")</f>
        <v/>
      </c>
      <c r="FV373" s="150" t="str">
        <f aca="false">IF(AND(ISNUMBER(FV68),ISNUMBER(FV$320),FV$320&lt;&gt;0),FV68*FV$320/FV$15,"")</f>
        <v/>
      </c>
      <c r="FW373" s="150" t="str">
        <f aca="false">IF(AND(ISNUMBER(FW68),ISNUMBER(FW$320),FW$320&lt;&gt;0),FW68*FW$320/FW$15,"")</f>
        <v/>
      </c>
      <c r="FX373" s="150" t="str">
        <f aca="false">IF(AND(ISNUMBER(FX68),ISNUMBER(FX$320),FX$320&lt;&gt;0),FX68*FX$320/FX$15,"")</f>
        <v/>
      </c>
      <c r="FY373" s="150" t="str">
        <f aca="false">IF(AND(ISNUMBER(FY68),ISNUMBER(FY$320),FY$320&lt;&gt;0),FY68*FY$320/FY$15,"")</f>
        <v/>
      </c>
      <c r="FZ373" s="150" t="str">
        <f aca="false">IF(AND(ISNUMBER(FZ68),ISNUMBER(FZ$320),FZ$320&lt;&gt;0),FZ68*FZ$320/FZ$15,"")</f>
        <v/>
      </c>
      <c r="GA373" s="150" t="str">
        <f aca="false">IF(AND(ISNUMBER(GA68),ISNUMBER(GA$320),GA$320&lt;&gt;0),GA68*GA$320/GA$15,"")</f>
        <v/>
      </c>
      <c r="GB373" s="150" t="str">
        <f aca="false">IF(AND(ISNUMBER(GB68),ISNUMBER(GB$320),GB$320&lt;&gt;0),GB68*GB$320/GB$15,"")</f>
        <v/>
      </c>
      <c r="GC373" s="150" t="str">
        <f aca="false">IF(AND(ISNUMBER(GC68),ISNUMBER(GC$320),GC$320&lt;&gt;0),GC68*GC$320/GC$15,"")</f>
        <v/>
      </c>
      <c r="GD373" s="150" t="str">
        <f aca="false">IF(AND(ISNUMBER(GD68),ISNUMBER(GD$320),GD$320&lt;&gt;0),GD68*GD$320/GD$15,"")</f>
        <v/>
      </c>
      <c r="GE373" s="150" t="str">
        <f aca="false">IF(AND(ISNUMBER(GE68),ISNUMBER(GE$320),GE$320&lt;&gt;0),GE68*GE$320/GE$15,"")</f>
        <v/>
      </c>
      <c r="GF373" s="150" t="str">
        <f aca="false">IF(AND(ISNUMBER(GF68),ISNUMBER(GF$320),GF$320&lt;&gt;0),GF68*GF$320/GF$15,"")</f>
        <v/>
      </c>
      <c r="GG373" s="150" t="str">
        <f aca="false">IF(AND(ISNUMBER(GG68),ISNUMBER(GG$320),GG$320&lt;&gt;0),GG68*GG$320/GG$15,"")</f>
        <v/>
      </c>
      <c r="GH373" s="150" t="str">
        <f aca="false">IF(AND(ISNUMBER(GH68),ISNUMBER(GH$320),GH$320&lt;&gt;0),GH68*GH$320/GH$15,"")</f>
        <v/>
      </c>
      <c r="GI373" s="150" t="str">
        <f aca="false">IF(AND(ISNUMBER(GI68),ISNUMBER(GI$320),GI$320&lt;&gt;0),GI68*GI$320/GI$15,"")</f>
        <v/>
      </c>
      <c r="GJ373" s="150" t="str">
        <f aca="false">IF(AND(ISNUMBER(GJ68),ISNUMBER(GJ$320),GJ$320&lt;&gt;0),GJ68*GJ$320/GJ$15,"")</f>
        <v/>
      </c>
      <c r="GK373" s="150" t="str">
        <f aca="false">IF(AND(ISNUMBER(GK68),ISNUMBER(GK$320),GK$320&lt;&gt;0),GK68*GK$320/GK$15,"")</f>
        <v/>
      </c>
      <c r="GL373" s="150" t="str">
        <f aca="false">IF(AND(ISNUMBER(GL68),ISNUMBER(GL$320),GL$320&lt;&gt;0),GL68*GL$320/GL$15,"")</f>
        <v/>
      </c>
      <c r="GM373" s="150" t="str">
        <f aca="false">IF(AND(ISNUMBER(GM68),ISNUMBER(GM$320),GM$320&lt;&gt;0),GM68*GM$320/GM$15,"")</f>
        <v/>
      </c>
      <c r="GN373" s="150" t="str">
        <f aca="false">IF(AND(ISNUMBER(GN68),ISNUMBER(GN$320),GN$320&lt;&gt;0),GN68*GN$320/GN$15,"")</f>
        <v/>
      </c>
      <c r="GO373" s="150" t="str">
        <f aca="false">IF(AND(ISNUMBER(GO68),ISNUMBER(GO$320),GO$320&lt;&gt;0),GO68*GO$320/GO$15,"")</f>
        <v/>
      </c>
      <c r="GP373" s="150" t="str">
        <f aca="false">IF(AND(ISNUMBER(GP68),ISNUMBER(GP$320),GP$320&lt;&gt;0),GP68*GP$320/GP$15,"")</f>
        <v/>
      </c>
      <c r="GQ373" s="150" t="str">
        <f aca="false">IF(AND(ISNUMBER(GQ68),ISNUMBER(GQ$320),GQ$320&lt;&gt;0),GQ68*GQ$320/GQ$15,"")</f>
        <v/>
      </c>
      <c r="GR373" s="150" t="str">
        <f aca="false">IF(AND(ISNUMBER(GR68),ISNUMBER(GR$320),GR$320&lt;&gt;0),GR68*GR$320/GR$15,"")</f>
        <v/>
      </c>
      <c r="GS373" s="150" t="str">
        <f aca="false">IF(AND(ISNUMBER(GS68),ISNUMBER(GS$320),GS$320&lt;&gt;0),GS68*GS$320/GS$15,"")</f>
        <v/>
      </c>
      <c r="GT373" s="150" t="str">
        <f aca="false">IF(AND(ISNUMBER(GT68),ISNUMBER(GT$320),GT$320&lt;&gt;0),GT68*GT$320/GT$15,"")</f>
        <v/>
      </c>
      <c r="GU373" s="150" t="str">
        <f aca="false">IF(AND(ISNUMBER(GU68),ISNUMBER(GU$320),GU$320&lt;&gt;0),GU68*GU$320/GU$15,"")</f>
        <v/>
      </c>
      <c r="GV373" s="150" t="str">
        <f aca="false">IF(AND(ISNUMBER(GV68),ISNUMBER(GV$320),GV$320&lt;&gt;0),GV68*GV$320/GV$15,"")</f>
        <v/>
      </c>
      <c r="GW373" s="150" t="str">
        <f aca="false">IF(AND(ISNUMBER(GW68),ISNUMBER(GW$320),GW$320&lt;&gt;0),GW68*GW$320/GW$15,"")</f>
        <v/>
      </c>
      <c r="GX373" s="150" t="str">
        <f aca="false">IF(AND(ISNUMBER(GX68),ISNUMBER(GX$320),GX$320&lt;&gt;0),GX68*GX$320/GX$15,"")</f>
        <v/>
      </c>
      <c r="GY373" s="150" t="str">
        <f aca="false">IF(AND(ISNUMBER(GY68),ISNUMBER(GY$320),GY$320&lt;&gt;0),GY68*GY$320/GY$15,"")</f>
        <v/>
      </c>
      <c r="GZ373" s="150" t="str">
        <f aca="false">IF(AND(ISNUMBER(GZ68),ISNUMBER(GZ$320),GZ$320&lt;&gt;0),GZ68*GZ$320/GZ$15,"")</f>
        <v/>
      </c>
      <c r="HA373" s="150" t="str">
        <f aca="false">IF(AND(ISNUMBER(HA68),ISNUMBER(HA$320),HA$320&lt;&gt;0),HA68*HA$320/HA$15,"")</f>
        <v/>
      </c>
      <c r="HB373" s="150" t="str">
        <f aca="false">IF(AND(ISNUMBER(HB68),ISNUMBER(HB$320),HB$320&lt;&gt;0),HB68*HB$320/HB$15,"")</f>
        <v/>
      </c>
      <c r="HC373" s="150" t="str">
        <f aca="false">IF(AND(ISNUMBER(HC68),ISNUMBER(HC$320),HC$320&lt;&gt;0),HC68*HC$320/HC$15,"")</f>
        <v/>
      </c>
      <c r="HD373" s="150" t="str">
        <f aca="false">IF(AND(ISNUMBER(HD68),ISNUMBER(HD$320),HD$320&lt;&gt;0),HD68*HD$320/HD$15,"")</f>
        <v/>
      </c>
      <c r="HE373" s="150" t="str">
        <f aca="false">IF(AND(ISNUMBER(HE68),ISNUMBER(HE$320),HE$320&lt;&gt;0),HE68*HE$320/HE$15,"")</f>
        <v/>
      </c>
      <c r="HF373" s="150" t="str">
        <f aca="false">IF(AND(ISNUMBER(HF68),ISNUMBER(HF$320),HF$320&lt;&gt;0),HF68*HF$320/HF$15,"")</f>
        <v/>
      </c>
      <c r="HG373" s="150" t="str">
        <f aca="false">IF(AND(ISNUMBER(HG68),ISNUMBER(HG$320),HG$320&lt;&gt;0),HG68*HG$320/HG$15,"")</f>
        <v/>
      </c>
      <c r="HH373" s="150" t="str">
        <f aca="false">IF(AND(ISNUMBER(HH68),ISNUMBER(HH$320),HH$320&lt;&gt;0),HH68*HH$320/HH$15,"")</f>
        <v/>
      </c>
      <c r="HI373" s="150" t="str">
        <f aca="false">IF(AND(ISNUMBER(HI68),ISNUMBER(HI$320),HI$320&lt;&gt;0),HI68*HI$320/HI$15,"")</f>
        <v/>
      </c>
      <c r="HJ373" s="150" t="str">
        <f aca="false">IF(AND(ISNUMBER(HJ68),ISNUMBER(HJ$320),HJ$320&lt;&gt;0),HJ68*HJ$320/HJ$15,"")</f>
        <v/>
      </c>
      <c r="HK373" s="150" t="str">
        <f aca="false">IF(AND(ISNUMBER(HK68),ISNUMBER(HK$320),HK$320&lt;&gt;0),HK68*HK$320/HK$15,"")</f>
        <v/>
      </c>
      <c r="HL373" s="150" t="str">
        <f aca="false">IF(AND(ISNUMBER(HL68),ISNUMBER(HL$320),HL$320&lt;&gt;0),HL68*HL$320/HL$15,"")</f>
        <v/>
      </c>
      <c r="HM373" s="150" t="str">
        <f aca="false">IF(AND(ISNUMBER(HM68),ISNUMBER(HM$320),HM$320&lt;&gt;0),HM68*HM$320/HM$15,"")</f>
        <v/>
      </c>
      <c r="HN373" s="150" t="str">
        <f aca="false">IF(AND(ISNUMBER(HN68),ISNUMBER(HN$320),HN$320&lt;&gt;0),HN68*HN$320/HN$15,"")</f>
        <v/>
      </c>
      <c r="HO373" s="150" t="str">
        <f aca="false">IF(AND(ISNUMBER(HO68),ISNUMBER(HO$320),HO$320&lt;&gt;0),HO68*HO$320/HO$15,"")</f>
        <v/>
      </c>
      <c r="HP373" s="150" t="str">
        <f aca="false">IF(AND(ISNUMBER(HP68),ISNUMBER(HP$320),HP$320&lt;&gt;0),HP68*HP$320/HP$15,"")</f>
        <v/>
      </c>
      <c r="HQ373" s="150" t="str">
        <f aca="false">IF(AND(ISNUMBER(HQ68),ISNUMBER(HQ$320),HQ$320&lt;&gt;0),HQ68*HQ$320/HQ$15,"")</f>
        <v/>
      </c>
      <c r="HR373" s="150" t="str">
        <f aca="false">IF(AND(ISNUMBER(HR68),ISNUMBER(HR$320),HR$320&lt;&gt;0),HR68*HR$320/HR$15,"")</f>
        <v/>
      </c>
      <c r="HS373" s="150" t="str">
        <f aca="false">IF(AND(ISNUMBER(HS68),ISNUMBER(HS$320),HS$320&lt;&gt;0),HS68*HS$320/HS$15,"")</f>
        <v/>
      </c>
      <c r="HT373" s="150" t="str">
        <f aca="false">IF(AND(ISNUMBER(HT68),ISNUMBER(HT$320),HT$320&lt;&gt;0),HT68*HT$320/HT$15,"")</f>
        <v/>
      </c>
      <c r="HU373" s="150" t="str">
        <f aca="false">IF(AND(ISNUMBER(HU68),ISNUMBER(HU$320),HU$320&lt;&gt;0),HU68*HU$320/HU$15,"")</f>
        <v/>
      </c>
      <c r="HV373" s="150" t="str">
        <f aca="false">IF(AND(ISNUMBER(HV68),ISNUMBER(HV$320),HV$320&lt;&gt;0),HV68*HV$320/HV$15,"")</f>
        <v/>
      </c>
      <c r="HW373" s="150" t="str">
        <f aca="false">IF(AND(ISNUMBER(HW68),ISNUMBER(HW$320),HW$320&lt;&gt;0),HW68*HW$320/HW$15,"")</f>
        <v/>
      </c>
      <c r="HX373" s="150" t="str">
        <f aca="false">IF(AND(ISNUMBER(HX68),ISNUMBER(HX$320),HX$320&lt;&gt;0),HX68*HX$320/HX$15,"")</f>
        <v/>
      </c>
      <c r="HY373" s="150" t="str">
        <f aca="false">IF(AND(ISNUMBER(HY68),ISNUMBER(HY$320),HY$320&lt;&gt;0),HY68*HY$320/HY$15,"")</f>
        <v/>
      </c>
      <c r="HZ373" s="150" t="str">
        <f aca="false">IF(AND(ISNUMBER(HZ68),ISNUMBER(HZ$320),HZ$320&lt;&gt;0),HZ68*HZ$320/HZ$15,"")</f>
        <v/>
      </c>
      <c r="IA373" s="150" t="str">
        <f aca="false">IF(AND(ISNUMBER(IA68),ISNUMBER(IA$320),IA$320&lt;&gt;0),IA68*IA$320/IA$15,"")</f>
        <v/>
      </c>
      <c r="IB373" s="150" t="str">
        <f aca="false">IF(AND(ISNUMBER(IB68),ISNUMBER(IB$320),IB$320&lt;&gt;0),IB68*IB$320/IB$15,"")</f>
        <v/>
      </c>
      <c r="IC373" s="150" t="str">
        <f aca="false">IF(AND(ISNUMBER(IC68),ISNUMBER(IC$320),IC$320&lt;&gt;0),IC68*IC$320/IC$15,"")</f>
        <v/>
      </c>
      <c r="ID373" s="572" t="str">
        <f aca="false">IF(AND(ISNUMBER(ID68),ISNUMBER(ID$320),ID$320&lt;&gt;0),ID68*ID$320/ID$15,"")</f>
        <v/>
      </c>
    </row>
    <row r="374" customFormat="false" ht="12.75" hidden="false" customHeight="false" outlineLevel="0" collapsed="false">
      <c r="I374" s="735"/>
      <c r="J374" s="727"/>
      <c r="K374" s="195"/>
      <c r="L374" s="195"/>
      <c r="M374" s="729"/>
      <c r="P374" s="727"/>
      <c r="S374" s="1"/>
      <c r="T374" s="727"/>
      <c r="U374" s="195"/>
      <c r="V374" s="195"/>
      <c r="W374" s="195"/>
      <c r="X374" s="195"/>
      <c r="Y374" s="195"/>
      <c r="Z374" s="195"/>
      <c r="AA374" s="195"/>
      <c r="AB374" s="195"/>
      <c r="AC374" s="195"/>
      <c r="AD374" s="195"/>
      <c r="AE374" s="195"/>
      <c r="AF374" s="195"/>
      <c r="AG374" s="195"/>
      <c r="AH374" s="195"/>
      <c r="AI374" s="195"/>
      <c r="AJ374" s="195"/>
      <c r="AK374" s="195"/>
      <c r="AL374" s="195"/>
      <c r="AM374" s="195"/>
      <c r="AN374" s="532"/>
      <c r="AO374" s="532"/>
      <c r="AP374" s="240"/>
      <c r="AQ374" s="532"/>
      <c r="AR374" s="240"/>
      <c r="AS374" s="240"/>
      <c r="AT374" s="240"/>
      <c r="AU374" s="730"/>
      <c r="AV374" s="730"/>
      <c r="AW374" s="730"/>
      <c r="AX374" s="730"/>
      <c r="AY374" s="468"/>
      <c r="AZ374" s="468"/>
      <c r="BA374" s="240"/>
      <c r="BB374" s="240"/>
      <c r="BC374" s="240"/>
      <c r="BD374" s="240"/>
      <c r="BE374" s="672"/>
      <c r="BF374" s="672"/>
      <c r="BG374" s="672"/>
      <c r="BH374" s="731"/>
      <c r="BI374" s="672"/>
      <c r="BJ374" s="240"/>
      <c r="BK374" s="736"/>
      <c r="BL374" s="737"/>
      <c r="BM374" s="240"/>
      <c r="BN374" s="240"/>
      <c r="BO374" s="240"/>
      <c r="BP374" s="240"/>
      <c r="BQ374" s="240"/>
      <c r="BR374" s="240"/>
      <c r="BS374" s="240"/>
      <c r="BT374" s="240"/>
      <c r="BU374" s="240"/>
      <c r="BV374" s="240"/>
      <c r="BW374" s="240"/>
      <c r="BX374" s="240"/>
      <c r="BY374" s="240"/>
      <c r="BZ374" s="240"/>
      <c r="CA374" s="240"/>
      <c r="CB374" s="672"/>
      <c r="CC374" s="672"/>
      <c r="CD374" s="672"/>
      <c r="CE374" s="672"/>
      <c r="CF374" s="672"/>
      <c r="CG374" s="672"/>
      <c r="CH374" s="240"/>
      <c r="CI374" s="240"/>
      <c r="CJ374" s="240"/>
      <c r="CK374" s="240"/>
      <c r="CL374" s="240"/>
      <c r="CM374" s="240"/>
      <c r="CN374" s="240"/>
      <c r="CO374" s="240"/>
      <c r="CP374" s="240"/>
      <c r="CQ374" s="240"/>
      <c r="CR374" s="240"/>
      <c r="CS374" s="240"/>
      <c r="CT374" s="240"/>
      <c r="CU374" s="240"/>
      <c r="CV374" s="240"/>
      <c r="CW374" s="240"/>
      <c r="CX374" s="240"/>
      <c r="CY374" s="240"/>
      <c r="CZ374" s="240"/>
      <c r="DA374" s="240"/>
      <c r="DB374" s="240"/>
      <c r="DC374" s="240"/>
      <c r="DD374" s="240"/>
      <c r="DE374" s="240"/>
      <c r="DF374" s="240"/>
      <c r="DG374" s="733"/>
      <c r="DH374" s="478"/>
      <c r="DI374" s="195"/>
      <c r="DJ374" s="3"/>
      <c r="DK374" s="478"/>
      <c r="DL374" s="4"/>
      <c r="DM374" s="4"/>
      <c r="DN374" s="4"/>
      <c r="DO374" s="4"/>
      <c r="DP374" s="4"/>
      <c r="DQ374" s="4"/>
      <c r="DS374" s="195"/>
      <c r="DT374" s="195"/>
      <c r="DU374" s="195"/>
      <c r="DV374" s="195"/>
      <c r="DW374" s="195"/>
      <c r="DX374" s="195"/>
      <c r="DY374" s="195"/>
      <c r="DZ374" s="195"/>
      <c r="EA374" s="195"/>
      <c r="EB374" s="195"/>
      <c r="EC374" s="195"/>
      <c r="ED374" s="195"/>
      <c r="EE374" s="195"/>
      <c r="EF374" s="195"/>
      <c r="EG374" s="195"/>
      <c r="EL374" s="1"/>
      <c r="EM374" s="195"/>
      <c r="EN374" s="240"/>
      <c r="EO374" s="240"/>
      <c r="EP374" s="195"/>
      <c r="EQ374" s="240"/>
      <c r="ER374" s="195"/>
      <c r="ES374" s="195"/>
      <c r="ET374" s="195"/>
      <c r="EU374" s="672"/>
      <c r="FJ374" s="571" t="n">
        <v>50</v>
      </c>
      <c r="FK374" s="150" t="str">
        <f aca="false">IF(AND(ISNUMBER(FK69),ISNUMBER(FK$320),FK$320&lt;&gt;0),FK69*FK$320/FK$15,"")</f>
        <v/>
      </c>
      <c r="FL374" s="150" t="str">
        <f aca="false">IF(AND(ISNUMBER(FL69),ISNUMBER(FL$320),FL$320&lt;&gt;0),FL69*FL$320/FL$15,"")</f>
        <v/>
      </c>
      <c r="FM374" s="150" t="n">
        <f aca="false">IF(AND(ISNUMBER(FM69),ISNUMBER(FM$320),FM$320&lt;&gt;0),FM69*FM$320/FM$15,"")</f>
        <v>0.00254926773355786</v>
      </c>
      <c r="FN374" s="150" t="n">
        <f aca="false">IF(AND(ISNUMBER(FN69),ISNUMBER(FN$320),FN$320&lt;&gt;0),FN69*FN$320/FN$15,"")</f>
        <v>0.00214599928920211</v>
      </c>
      <c r="FO374" s="150" t="n">
        <f aca="false">IF(AND(ISNUMBER(FO69),ISNUMBER(FO$320),FO$320&lt;&gt;0),FO69*FO$320/FO$15,"")</f>
        <v>0.00223259148796456</v>
      </c>
      <c r="FP374" s="150" t="n">
        <f aca="false">IF(AND(ISNUMBER(FP69),ISNUMBER(FP$320),FP$320&lt;&gt;0),FP69*FP$320/FP$15,"")</f>
        <v>0.00123725193692829</v>
      </c>
      <c r="FQ374" s="150" t="str">
        <f aca="false">IF(AND(ISNUMBER(FQ69),ISNUMBER(FQ$320),FQ$320&lt;&gt;0),FQ69*FQ$320/FQ$15,"")</f>
        <v/>
      </c>
      <c r="FR374" s="150" t="str">
        <f aca="false">IF(AND(ISNUMBER(FR69),ISNUMBER(FR$320),FR$320&lt;&gt;0),FR69*FR$320/FR$15,"")</f>
        <v/>
      </c>
      <c r="FS374" s="150" t="str">
        <f aca="false">IF(AND(ISNUMBER(FS69),ISNUMBER(FS$320),FS$320&lt;&gt;0),FS69*FS$320/FS$15,"")</f>
        <v/>
      </c>
      <c r="FT374" s="150" t="str">
        <f aca="false">IF(AND(ISNUMBER(FT69),ISNUMBER(FT$320),FT$320&lt;&gt;0),FT69*FT$320/FT$15,"")</f>
        <v/>
      </c>
      <c r="FU374" s="150" t="str">
        <f aca="false">IF(AND(ISNUMBER(FU69),ISNUMBER(FU$320),FU$320&lt;&gt;0),FU69*FU$320/FU$15,"")</f>
        <v/>
      </c>
      <c r="FV374" s="150" t="str">
        <f aca="false">IF(AND(ISNUMBER(FV69),ISNUMBER(FV$320),FV$320&lt;&gt;0),FV69*FV$320/FV$15,"")</f>
        <v/>
      </c>
      <c r="FW374" s="150" t="str">
        <f aca="false">IF(AND(ISNUMBER(FW69),ISNUMBER(FW$320),FW$320&lt;&gt;0),FW69*FW$320/FW$15,"")</f>
        <v/>
      </c>
      <c r="FX374" s="150" t="str">
        <f aca="false">IF(AND(ISNUMBER(FX69),ISNUMBER(FX$320),FX$320&lt;&gt;0),FX69*FX$320/FX$15,"")</f>
        <v/>
      </c>
      <c r="FY374" s="150" t="str">
        <f aca="false">IF(AND(ISNUMBER(FY69),ISNUMBER(FY$320),FY$320&lt;&gt;0),FY69*FY$320/FY$15,"")</f>
        <v/>
      </c>
      <c r="FZ374" s="150" t="str">
        <f aca="false">IF(AND(ISNUMBER(FZ69),ISNUMBER(FZ$320),FZ$320&lt;&gt;0),FZ69*FZ$320/FZ$15,"")</f>
        <v/>
      </c>
      <c r="GA374" s="150" t="str">
        <f aca="false">IF(AND(ISNUMBER(GA69),ISNUMBER(GA$320),GA$320&lt;&gt;0),GA69*GA$320/GA$15,"")</f>
        <v/>
      </c>
      <c r="GB374" s="150" t="str">
        <f aca="false">IF(AND(ISNUMBER(GB69),ISNUMBER(GB$320),GB$320&lt;&gt;0),GB69*GB$320/GB$15,"")</f>
        <v/>
      </c>
      <c r="GC374" s="150" t="str">
        <f aca="false">IF(AND(ISNUMBER(GC69),ISNUMBER(GC$320),GC$320&lt;&gt;0),GC69*GC$320/GC$15,"")</f>
        <v/>
      </c>
      <c r="GD374" s="150" t="str">
        <f aca="false">IF(AND(ISNUMBER(GD69),ISNUMBER(GD$320),GD$320&lt;&gt;0),GD69*GD$320/GD$15,"")</f>
        <v/>
      </c>
      <c r="GE374" s="150" t="str">
        <f aca="false">IF(AND(ISNUMBER(GE69),ISNUMBER(GE$320),GE$320&lt;&gt;0),GE69*GE$320/GE$15,"")</f>
        <v/>
      </c>
      <c r="GF374" s="150" t="str">
        <f aca="false">IF(AND(ISNUMBER(GF69),ISNUMBER(GF$320),GF$320&lt;&gt;0),GF69*GF$320/GF$15,"")</f>
        <v/>
      </c>
      <c r="GG374" s="150" t="str">
        <f aca="false">IF(AND(ISNUMBER(GG69),ISNUMBER(GG$320),GG$320&lt;&gt;0),GG69*GG$320/GG$15,"")</f>
        <v/>
      </c>
      <c r="GH374" s="150" t="str">
        <f aca="false">IF(AND(ISNUMBER(GH69),ISNUMBER(GH$320),GH$320&lt;&gt;0),GH69*GH$320/GH$15,"")</f>
        <v/>
      </c>
      <c r="GI374" s="150" t="str">
        <f aca="false">IF(AND(ISNUMBER(GI69),ISNUMBER(GI$320),GI$320&lt;&gt;0),GI69*GI$320/GI$15,"")</f>
        <v/>
      </c>
      <c r="GJ374" s="150" t="str">
        <f aca="false">IF(AND(ISNUMBER(GJ69),ISNUMBER(GJ$320),GJ$320&lt;&gt;0),GJ69*GJ$320/GJ$15,"")</f>
        <v/>
      </c>
      <c r="GK374" s="150" t="str">
        <f aca="false">IF(AND(ISNUMBER(GK69),ISNUMBER(GK$320),GK$320&lt;&gt;0),GK69*GK$320/GK$15,"")</f>
        <v/>
      </c>
      <c r="GL374" s="150" t="str">
        <f aca="false">IF(AND(ISNUMBER(GL69),ISNUMBER(GL$320),GL$320&lt;&gt;0),GL69*GL$320/GL$15,"")</f>
        <v/>
      </c>
      <c r="GM374" s="150" t="str">
        <f aca="false">IF(AND(ISNUMBER(GM69),ISNUMBER(GM$320),GM$320&lt;&gt;0),GM69*GM$320/GM$15,"")</f>
        <v/>
      </c>
      <c r="GN374" s="150" t="str">
        <f aca="false">IF(AND(ISNUMBER(GN69),ISNUMBER(GN$320),GN$320&lt;&gt;0),GN69*GN$320/GN$15,"")</f>
        <v/>
      </c>
      <c r="GO374" s="150" t="str">
        <f aca="false">IF(AND(ISNUMBER(GO69),ISNUMBER(GO$320),GO$320&lt;&gt;0),GO69*GO$320/GO$15,"")</f>
        <v/>
      </c>
      <c r="GP374" s="150" t="str">
        <f aca="false">IF(AND(ISNUMBER(GP69),ISNUMBER(GP$320),GP$320&lt;&gt;0),GP69*GP$320/GP$15,"")</f>
        <v/>
      </c>
      <c r="GQ374" s="150" t="str">
        <f aca="false">IF(AND(ISNUMBER(GQ69),ISNUMBER(GQ$320),GQ$320&lt;&gt;0),GQ69*GQ$320/GQ$15,"")</f>
        <v/>
      </c>
      <c r="GR374" s="150" t="str">
        <f aca="false">IF(AND(ISNUMBER(GR69),ISNUMBER(GR$320),GR$320&lt;&gt;0),GR69*GR$320/GR$15,"")</f>
        <v/>
      </c>
      <c r="GS374" s="150" t="str">
        <f aca="false">IF(AND(ISNUMBER(GS69),ISNUMBER(GS$320),GS$320&lt;&gt;0),GS69*GS$320/GS$15,"")</f>
        <v/>
      </c>
      <c r="GT374" s="150" t="str">
        <f aca="false">IF(AND(ISNUMBER(GT69),ISNUMBER(GT$320),GT$320&lt;&gt;0),GT69*GT$320/GT$15,"")</f>
        <v/>
      </c>
      <c r="GU374" s="150" t="str">
        <f aca="false">IF(AND(ISNUMBER(GU69),ISNUMBER(GU$320),GU$320&lt;&gt;0),GU69*GU$320/GU$15,"")</f>
        <v/>
      </c>
      <c r="GV374" s="150" t="str">
        <f aca="false">IF(AND(ISNUMBER(GV69),ISNUMBER(GV$320),GV$320&lt;&gt;0),GV69*GV$320/GV$15,"")</f>
        <v/>
      </c>
      <c r="GW374" s="150" t="str">
        <f aca="false">IF(AND(ISNUMBER(GW69),ISNUMBER(GW$320),GW$320&lt;&gt;0),GW69*GW$320/GW$15,"")</f>
        <v/>
      </c>
      <c r="GX374" s="150" t="str">
        <f aca="false">IF(AND(ISNUMBER(GX69),ISNUMBER(GX$320),GX$320&lt;&gt;0),GX69*GX$320/GX$15,"")</f>
        <v/>
      </c>
      <c r="GY374" s="150" t="str">
        <f aca="false">IF(AND(ISNUMBER(GY69),ISNUMBER(GY$320),GY$320&lt;&gt;0),GY69*GY$320/GY$15,"")</f>
        <v/>
      </c>
      <c r="GZ374" s="150" t="str">
        <f aca="false">IF(AND(ISNUMBER(GZ69),ISNUMBER(GZ$320),GZ$320&lt;&gt;0),GZ69*GZ$320/GZ$15,"")</f>
        <v/>
      </c>
      <c r="HA374" s="150" t="str">
        <f aca="false">IF(AND(ISNUMBER(HA69),ISNUMBER(HA$320),HA$320&lt;&gt;0),HA69*HA$320/HA$15,"")</f>
        <v/>
      </c>
      <c r="HB374" s="150" t="str">
        <f aca="false">IF(AND(ISNUMBER(HB69),ISNUMBER(HB$320),HB$320&lt;&gt;0),HB69*HB$320/HB$15,"")</f>
        <v/>
      </c>
      <c r="HC374" s="150" t="str">
        <f aca="false">IF(AND(ISNUMBER(HC69),ISNUMBER(HC$320),HC$320&lt;&gt;0),HC69*HC$320/HC$15,"")</f>
        <v/>
      </c>
      <c r="HD374" s="150" t="str">
        <f aca="false">IF(AND(ISNUMBER(HD69),ISNUMBER(HD$320),HD$320&lt;&gt;0),HD69*HD$320/HD$15,"")</f>
        <v/>
      </c>
      <c r="HE374" s="150" t="str">
        <f aca="false">IF(AND(ISNUMBER(HE69),ISNUMBER(HE$320),HE$320&lt;&gt;0),HE69*HE$320/HE$15,"")</f>
        <v/>
      </c>
      <c r="HF374" s="150" t="str">
        <f aca="false">IF(AND(ISNUMBER(HF69),ISNUMBER(HF$320),HF$320&lt;&gt;0),HF69*HF$320/HF$15,"")</f>
        <v/>
      </c>
      <c r="HG374" s="150" t="str">
        <f aca="false">IF(AND(ISNUMBER(HG69),ISNUMBER(HG$320),HG$320&lt;&gt;0),HG69*HG$320/HG$15,"")</f>
        <v/>
      </c>
      <c r="HH374" s="150" t="str">
        <f aca="false">IF(AND(ISNUMBER(HH69),ISNUMBER(HH$320),HH$320&lt;&gt;0),HH69*HH$320/HH$15,"")</f>
        <v/>
      </c>
      <c r="HI374" s="150" t="str">
        <f aca="false">IF(AND(ISNUMBER(HI69),ISNUMBER(HI$320),HI$320&lt;&gt;0),HI69*HI$320/HI$15,"")</f>
        <v/>
      </c>
      <c r="HJ374" s="150" t="str">
        <f aca="false">IF(AND(ISNUMBER(HJ69),ISNUMBER(HJ$320),HJ$320&lt;&gt;0),HJ69*HJ$320/HJ$15,"")</f>
        <v/>
      </c>
      <c r="HK374" s="150" t="str">
        <f aca="false">IF(AND(ISNUMBER(HK69),ISNUMBER(HK$320),HK$320&lt;&gt;0),HK69*HK$320/HK$15,"")</f>
        <v/>
      </c>
      <c r="HL374" s="150" t="str">
        <f aca="false">IF(AND(ISNUMBER(HL69),ISNUMBER(HL$320),HL$320&lt;&gt;0),HL69*HL$320/HL$15,"")</f>
        <v/>
      </c>
      <c r="HM374" s="150" t="str">
        <f aca="false">IF(AND(ISNUMBER(HM69),ISNUMBER(HM$320),HM$320&lt;&gt;0),HM69*HM$320/HM$15,"")</f>
        <v/>
      </c>
      <c r="HN374" s="150" t="str">
        <f aca="false">IF(AND(ISNUMBER(HN69),ISNUMBER(HN$320),HN$320&lt;&gt;0),HN69*HN$320/HN$15,"")</f>
        <v/>
      </c>
      <c r="HO374" s="150" t="str">
        <f aca="false">IF(AND(ISNUMBER(HO69),ISNUMBER(HO$320),HO$320&lt;&gt;0),HO69*HO$320/HO$15,"")</f>
        <v/>
      </c>
      <c r="HP374" s="150" t="str">
        <f aca="false">IF(AND(ISNUMBER(HP69),ISNUMBER(HP$320),HP$320&lt;&gt;0),HP69*HP$320/HP$15,"")</f>
        <v/>
      </c>
      <c r="HQ374" s="150" t="str">
        <f aca="false">IF(AND(ISNUMBER(HQ69),ISNUMBER(HQ$320),HQ$320&lt;&gt;0),HQ69*HQ$320/HQ$15,"")</f>
        <v/>
      </c>
      <c r="HR374" s="150" t="str">
        <f aca="false">IF(AND(ISNUMBER(HR69),ISNUMBER(HR$320),HR$320&lt;&gt;0),HR69*HR$320/HR$15,"")</f>
        <v/>
      </c>
      <c r="HS374" s="150" t="str">
        <f aca="false">IF(AND(ISNUMBER(HS69),ISNUMBER(HS$320),HS$320&lt;&gt;0),HS69*HS$320/HS$15,"")</f>
        <v/>
      </c>
      <c r="HT374" s="150" t="str">
        <f aca="false">IF(AND(ISNUMBER(HT69),ISNUMBER(HT$320),HT$320&lt;&gt;0),HT69*HT$320/HT$15,"")</f>
        <v/>
      </c>
      <c r="HU374" s="150" t="str">
        <f aca="false">IF(AND(ISNUMBER(HU69),ISNUMBER(HU$320),HU$320&lt;&gt;0),HU69*HU$320/HU$15,"")</f>
        <v/>
      </c>
      <c r="HV374" s="150" t="str">
        <f aca="false">IF(AND(ISNUMBER(HV69),ISNUMBER(HV$320),HV$320&lt;&gt;0),HV69*HV$320/HV$15,"")</f>
        <v/>
      </c>
      <c r="HW374" s="150" t="str">
        <f aca="false">IF(AND(ISNUMBER(HW69),ISNUMBER(HW$320),HW$320&lt;&gt;0),HW69*HW$320/HW$15,"")</f>
        <v/>
      </c>
      <c r="HX374" s="150" t="str">
        <f aca="false">IF(AND(ISNUMBER(HX69),ISNUMBER(HX$320),HX$320&lt;&gt;0),HX69*HX$320/HX$15,"")</f>
        <v/>
      </c>
      <c r="HY374" s="150" t="str">
        <f aca="false">IF(AND(ISNUMBER(HY69),ISNUMBER(HY$320),HY$320&lt;&gt;0),HY69*HY$320/HY$15,"")</f>
        <v/>
      </c>
      <c r="HZ374" s="150" t="str">
        <f aca="false">IF(AND(ISNUMBER(HZ69),ISNUMBER(HZ$320),HZ$320&lt;&gt;0),HZ69*HZ$320/HZ$15,"")</f>
        <v/>
      </c>
      <c r="IA374" s="150" t="str">
        <f aca="false">IF(AND(ISNUMBER(IA69),ISNUMBER(IA$320),IA$320&lt;&gt;0),IA69*IA$320/IA$15,"")</f>
        <v/>
      </c>
      <c r="IB374" s="150" t="str">
        <f aca="false">IF(AND(ISNUMBER(IB69),ISNUMBER(IB$320),IB$320&lt;&gt;0),IB69*IB$320/IB$15,"")</f>
        <v/>
      </c>
      <c r="IC374" s="150" t="str">
        <f aca="false">IF(AND(ISNUMBER(IC69),ISNUMBER(IC$320),IC$320&lt;&gt;0),IC69*IC$320/IC$15,"")</f>
        <v/>
      </c>
      <c r="ID374" s="572" t="str">
        <f aca="false">IF(AND(ISNUMBER(ID69),ISNUMBER(ID$320),ID$320&lt;&gt;0),ID69*ID$320/ID$15,"")</f>
        <v/>
      </c>
    </row>
    <row r="375" customFormat="false" ht="12.75" hidden="false" customHeight="false" outlineLevel="0" collapsed="false">
      <c r="I375" s="735"/>
      <c r="J375" s="727"/>
      <c r="K375" s="195"/>
      <c r="L375" s="195"/>
      <c r="M375" s="729"/>
      <c r="P375" s="727"/>
      <c r="S375" s="1"/>
      <c r="T375" s="727"/>
      <c r="U375" s="195"/>
      <c r="V375" s="195"/>
      <c r="W375" s="195"/>
      <c r="X375" s="195"/>
      <c r="Y375" s="195"/>
      <c r="Z375" s="195"/>
      <c r="AA375" s="195"/>
      <c r="AB375" s="195"/>
      <c r="AC375" s="195"/>
      <c r="AD375" s="195"/>
      <c r="AE375" s="195"/>
      <c r="AF375" s="195"/>
      <c r="AG375" s="195"/>
      <c r="AH375" s="195"/>
      <c r="AI375" s="195"/>
      <c r="AJ375" s="195"/>
      <c r="AK375" s="195"/>
      <c r="AL375" s="195"/>
      <c r="AM375" s="195"/>
      <c r="AN375" s="532"/>
      <c r="AO375" s="532"/>
      <c r="AP375" s="240"/>
      <c r="AQ375" s="532"/>
      <c r="AR375" s="240"/>
      <c r="AS375" s="240"/>
      <c r="AT375" s="240"/>
      <c r="AU375" s="730"/>
      <c r="AV375" s="730"/>
      <c r="AW375" s="730"/>
      <c r="AX375" s="730"/>
      <c r="AY375" s="468"/>
      <c r="AZ375" s="468"/>
      <c r="BA375" s="240"/>
      <c r="BB375" s="240"/>
      <c r="BC375" s="240"/>
      <c r="BD375" s="240"/>
      <c r="BE375" s="672"/>
      <c r="BF375" s="672"/>
      <c r="BG375" s="672"/>
      <c r="BH375" s="731"/>
      <c r="BI375" s="672"/>
      <c r="BJ375" s="240"/>
      <c r="BK375" s="736"/>
      <c r="BL375" s="737"/>
      <c r="BM375" s="240"/>
      <c r="BN375" s="240"/>
      <c r="BO375" s="240"/>
      <c r="BP375" s="240"/>
      <c r="BQ375" s="240"/>
      <c r="BR375" s="240"/>
      <c r="BS375" s="240"/>
      <c r="BT375" s="240"/>
      <c r="BU375" s="240"/>
      <c r="BV375" s="240"/>
      <c r="BW375" s="240"/>
      <c r="BX375" s="240"/>
      <c r="BY375" s="240"/>
      <c r="BZ375" s="240"/>
      <c r="CA375" s="240"/>
      <c r="CB375" s="672"/>
      <c r="CC375" s="672"/>
      <c r="CD375" s="672"/>
      <c r="CE375" s="672"/>
      <c r="CF375" s="672"/>
      <c r="CG375" s="672"/>
      <c r="CH375" s="240"/>
      <c r="CI375" s="240"/>
      <c r="CJ375" s="240"/>
      <c r="CK375" s="240"/>
      <c r="CL375" s="240"/>
      <c r="CM375" s="240"/>
      <c r="CN375" s="240"/>
      <c r="CO375" s="240"/>
      <c r="CP375" s="240"/>
      <c r="CQ375" s="240"/>
      <c r="CR375" s="240"/>
      <c r="CS375" s="240"/>
      <c r="CT375" s="240"/>
      <c r="CU375" s="240"/>
      <c r="CV375" s="240"/>
      <c r="CW375" s="240"/>
      <c r="CX375" s="240"/>
      <c r="CY375" s="240"/>
      <c r="CZ375" s="240"/>
      <c r="DA375" s="240"/>
      <c r="DB375" s="240"/>
      <c r="DC375" s="240"/>
      <c r="DD375" s="240"/>
      <c r="DE375" s="240"/>
      <c r="DF375" s="240"/>
      <c r="DG375" s="733"/>
      <c r="DH375" s="478"/>
      <c r="DI375" s="195"/>
      <c r="DJ375" s="3"/>
      <c r="DK375" s="478"/>
      <c r="DL375" s="4"/>
      <c r="DM375" s="4"/>
      <c r="DN375" s="4"/>
      <c r="DO375" s="4"/>
      <c r="DP375" s="4"/>
      <c r="DQ375" s="4"/>
      <c r="DS375" s="195"/>
      <c r="DT375" s="195"/>
      <c r="DU375" s="195"/>
      <c r="DV375" s="195"/>
      <c r="DW375" s="195"/>
      <c r="DX375" s="195"/>
      <c r="DY375" s="195"/>
      <c r="DZ375" s="195"/>
      <c r="EA375" s="195"/>
      <c r="EB375" s="195"/>
      <c r="EC375" s="195"/>
      <c r="ED375" s="195"/>
      <c r="EE375" s="195"/>
      <c r="EF375" s="195"/>
      <c r="EG375" s="195"/>
      <c r="EL375" s="1"/>
      <c r="EM375" s="195"/>
      <c r="EN375" s="240"/>
      <c r="EO375" s="240"/>
      <c r="EP375" s="195"/>
      <c r="EQ375" s="240"/>
      <c r="ER375" s="195"/>
      <c r="ES375" s="195"/>
      <c r="ET375" s="195"/>
      <c r="EU375" s="672"/>
      <c r="FJ375" s="571" t="n">
        <v>51</v>
      </c>
      <c r="FK375" s="150" t="str">
        <f aca="false">IF(AND(ISNUMBER(FK70),ISNUMBER(FK$320),FK$320&lt;&gt;0),FK70*FK$320/FK$15,"")</f>
        <v/>
      </c>
      <c r="FL375" s="150" t="str">
        <f aca="false">IF(AND(ISNUMBER(FL70),ISNUMBER(FL$320),FL$320&lt;&gt;0),FL70*FL$320/FL$15,"")</f>
        <v/>
      </c>
      <c r="FM375" s="150" t="n">
        <f aca="false">IF(AND(ISNUMBER(FM70),ISNUMBER(FM$320),FM$320&lt;&gt;0),FM70*FM$320/FM$15,"")</f>
        <v>0.00254890437105049</v>
      </c>
      <c r="FN375" s="150" t="n">
        <f aca="false">IF(AND(ISNUMBER(FN70),ISNUMBER(FN$320),FN$320&lt;&gt;0),FN70*FN$320/FN$15,"")</f>
        <v>0.00214564153221561</v>
      </c>
      <c r="FO375" s="150" t="n">
        <f aca="false">IF(AND(ISNUMBER(FO70),ISNUMBER(FO$320),FO$320&lt;&gt;0),FO70*FO$320/FO$15,"")</f>
        <v>0.00223215617490156</v>
      </c>
      <c r="FP375" s="150" t="n">
        <f aca="false">IF(AND(ISNUMBER(FP70),ISNUMBER(FP$320),FP$320&lt;&gt;0),FP70*FP$320/FP$15,"")</f>
        <v>0.00123696978406437</v>
      </c>
      <c r="FQ375" s="150" t="str">
        <f aca="false">IF(AND(ISNUMBER(FQ70),ISNUMBER(FQ$320),FQ$320&lt;&gt;0),FQ70*FQ$320/FQ$15,"")</f>
        <v/>
      </c>
      <c r="FR375" s="150" t="str">
        <f aca="false">IF(AND(ISNUMBER(FR70),ISNUMBER(FR$320),FR$320&lt;&gt;0),FR70*FR$320/FR$15,"")</f>
        <v/>
      </c>
      <c r="FS375" s="150" t="str">
        <f aca="false">IF(AND(ISNUMBER(FS70),ISNUMBER(FS$320),FS$320&lt;&gt;0),FS70*FS$320/FS$15,"")</f>
        <v/>
      </c>
      <c r="FT375" s="150" t="str">
        <f aca="false">IF(AND(ISNUMBER(FT70),ISNUMBER(FT$320),FT$320&lt;&gt;0),FT70*FT$320/FT$15,"")</f>
        <v/>
      </c>
      <c r="FU375" s="150" t="str">
        <f aca="false">IF(AND(ISNUMBER(FU70),ISNUMBER(FU$320),FU$320&lt;&gt;0),FU70*FU$320/FU$15,"")</f>
        <v/>
      </c>
      <c r="FV375" s="150" t="str">
        <f aca="false">IF(AND(ISNUMBER(FV70),ISNUMBER(FV$320),FV$320&lt;&gt;0),FV70*FV$320/FV$15,"")</f>
        <v/>
      </c>
      <c r="FW375" s="150" t="str">
        <f aca="false">IF(AND(ISNUMBER(FW70),ISNUMBER(FW$320),FW$320&lt;&gt;0),FW70*FW$320/FW$15,"")</f>
        <v/>
      </c>
      <c r="FX375" s="150" t="str">
        <f aca="false">IF(AND(ISNUMBER(FX70),ISNUMBER(FX$320),FX$320&lt;&gt;0),FX70*FX$320/FX$15,"")</f>
        <v/>
      </c>
      <c r="FY375" s="150" t="str">
        <f aca="false">IF(AND(ISNUMBER(FY70),ISNUMBER(FY$320),FY$320&lt;&gt;0),FY70*FY$320/FY$15,"")</f>
        <v/>
      </c>
      <c r="FZ375" s="150" t="str">
        <f aca="false">IF(AND(ISNUMBER(FZ70),ISNUMBER(FZ$320),FZ$320&lt;&gt;0),FZ70*FZ$320/FZ$15,"")</f>
        <v/>
      </c>
      <c r="GA375" s="150" t="str">
        <f aca="false">IF(AND(ISNUMBER(GA70),ISNUMBER(GA$320),GA$320&lt;&gt;0),GA70*GA$320/GA$15,"")</f>
        <v/>
      </c>
      <c r="GB375" s="150" t="str">
        <f aca="false">IF(AND(ISNUMBER(GB70),ISNUMBER(GB$320),GB$320&lt;&gt;0),GB70*GB$320/GB$15,"")</f>
        <v/>
      </c>
      <c r="GC375" s="150" t="str">
        <f aca="false">IF(AND(ISNUMBER(GC70),ISNUMBER(GC$320),GC$320&lt;&gt;0),GC70*GC$320/GC$15,"")</f>
        <v/>
      </c>
      <c r="GD375" s="150" t="str">
        <f aca="false">IF(AND(ISNUMBER(GD70),ISNUMBER(GD$320),GD$320&lt;&gt;0),GD70*GD$320/GD$15,"")</f>
        <v/>
      </c>
      <c r="GE375" s="150" t="str">
        <f aca="false">IF(AND(ISNUMBER(GE70),ISNUMBER(GE$320),GE$320&lt;&gt;0),GE70*GE$320/GE$15,"")</f>
        <v/>
      </c>
      <c r="GF375" s="150" t="str">
        <f aca="false">IF(AND(ISNUMBER(GF70),ISNUMBER(GF$320),GF$320&lt;&gt;0),GF70*GF$320/GF$15,"")</f>
        <v/>
      </c>
      <c r="GG375" s="150" t="str">
        <f aca="false">IF(AND(ISNUMBER(GG70),ISNUMBER(GG$320),GG$320&lt;&gt;0),GG70*GG$320/GG$15,"")</f>
        <v/>
      </c>
      <c r="GH375" s="150" t="str">
        <f aca="false">IF(AND(ISNUMBER(GH70),ISNUMBER(GH$320),GH$320&lt;&gt;0),GH70*GH$320/GH$15,"")</f>
        <v/>
      </c>
      <c r="GI375" s="150" t="str">
        <f aca="false">IF(AND(ISNUMBER(GI70),ISNUMBER(GI$320),GI$320&lt;&gt;0),GI70*GI$320/GI$15,"")</f>
        <v/>
      </c>
      <c r="GJ375" s="150" t="str">
        <f aca="false">IF(AND(ISNUMBER(GJ70),ISNUMBER(GJ$320),GJ$320&lt;&gt;0),GJ70*GJ$320/GJ$15,"")</f>
        <v/>
      </c>
      <c r="GK375" s="150" t="str">
        <f aca="false">IF(AND(ISNUMBER(GK70),ISNUMBER(GK$320),GK$320&lt;&gt;0),GK70*GK$320/GK$15,"")</f>
        <v/>
      </c>
      <c r="GL375" s="150" t="str">
        <f aca="false">IF(AND(ISNUMBER(GL70),ISNUMBER(GL$320),GL$320&lt;&gt;0),GL70*GL$320/GL$15,"")</f>
        <v/>
      </c>
      <c r="GM375" s="150" t="str">
        <f aca="false">IF(AND(ISNUMBER(GM70),ISNUMBER(GM$320),GM$320&lt;&gt;0),GM70*GM$320/GM$15,"")</f>
        <v/>
      </c>
      <c r="GN375" s="150" t="str">
        <f aca="false">IF(AND(ISNUMBER(GN70),ISNUMBER(GN$320),GN$320&lt;&gt;0),GN70*GN$320/GN$15,"")</f>
        <v/>
      </c>
      <c r="GO375" s="150" t="str">
        <f aca="false">IF(AND(ISNUMBER(GO70),ISNUMBER(GO$320),GO$320&lt;&gt;0),GO70*GO$320/GO$15,"")</f>
        <v/>
      </c>
      <c r="GP375" s="150" t="str">
        <f aca="false">IF(AND(ISNUMBER(GP70),ISNUMBER(GP$320),GP$320&lt;&gt;0),GP70*GP$320/GP$15,"")</f>
        <v/>
      </c>
      <c r="GQ375" s="150" t="str">
        <f aca="false">IF(AND(ISNUMBER(GQ70),ISNUMBER(GQ$320),GQ$320&lt;&gt;0),GQ70*GQ$320/GQ$15,"")</f>
        <v/>
      </c>
      <c r="GR375" s="150" t="str">
        <f aca="false">IF(AND(ISNUMBER(GR70),ISNUMBER(GR$320),GR$320&lt;&gt;0),GR70*GR$320/GR$15,"")</f>
        <v/>
      </c>
      <c r="GS375" s="150" t="str">
        <f aca="false">IF(AND(ISNUMBER(GS70),ISNUMBER(GS$320),GS$320&lt;&gt;0),GS70*GS$320/GS$15,"")</f>
        <v/>
      </c>
      <c r="GT375" s="150" t="str">
        <f aca="false">IF(AND(ISNUMBER(GT70),ISNUMBER(GT$320),GT$320&lt;&gt;0),GT70*GT$320/GT$15,"")</f>
        <v/>
      </c>
      <c r="GU375" s="150" t="str">
        <f aca="false">IF(AND(ISNUMBER(GU70),ISNUMBER(GU$320),GU$320&lt;&gt;0),GU70*GU$320/GU$15,"")</f>
        <v/>
      </c>
      <c r="GV375" s="150" t="str">
        <f aca="false">IF(AND(ISNUMBER(GV70),ISNUMBER(GV$320),GV$320&lt;&gt;0),GV70*GV$320/GV$15,"")</f>
        <v/>
      </c>
      <c r="GW375" s="150" t="str">
        <f aca="false">IF(AND(ISNUMBER(GW70),ISNUMBER(GW$320),GW$320&lt;&gt;0),GW70*GW$320/GW$15,"")</f>
        <v/>
      </c>
      <c r="GX375" s="150" t="str">
        <f aca="false">IF(AND(ISNUMBER(GX70),ISNUMBER(GX$320),GX$320&lt;&gt;0),GX70*GX$320/GX$15,"")</f>
        <v/>
      </c>
      <c r="GY375" s="150" t="str">
        <f aca="false">IF(AND(ISNUMBER(GY70),ISNUMBER(GY$320),GY$320&lt;&gt;0),GY70*GY$320/GY$15,"")</f>
        <v/>
      </c>
      <c r="GZ375" s="150" t="str">
        <f aca="false">IF(AND(ISNUMBER(GZ70),ISNUMBER(GZ$320),GZ$320&lt;&gt;0),GZ70*GZ$320/GZ$15,"")</f>
        <v/>
      </c>
      <c r="HA375" s="150" t="str">
        <f aca="false">IF(AND(ISNUMBER(HA70),ISNUMBER(HA$320),HA$320&lt;&gt;0),HA70*HA$320/HA$15,"")</f>
        <v/>
      </c>
      <c r="HB375" s="150" t="str">
        <f aca="false">IF(AND(ISNUMBER(HB70),ISNUMBER(HB$320),HB$320&lt;&gt;0),HB70*HB$320/HB$15,"")</f>
        <v/>
      </c>
      <c r="HC375" s="150" t="str">
        <f aca="false">IF(AND(ISNUMBER(HC70),ISNUMBER(HC$320),HC$320&lt;&gt;0),HC70*HC$320/HC$15,"")</f>
        <v/>
      </c>
      <c r="HD375" s="150" t="str">
        <f aca="false">IF(AND(ISNUMBER(HD70),ISNUMBER(HD$320),HD$320&lt;&gt;0),HD70*HD$320/HD$15,"")</f>
        <v/>
      </c>
      <c r="HE375" s="150" t="str">
        <f aca="false">IF(AND(ISNUMBER(HE70),ISNUMBER(HE$320),HE$320&lt;&gt;0),HE70*HE$320/HE$15,"")</f>
        <v/>
      </c>
      <c r="HF375" s="150" t="str">
        <f aca="false">IF(AND(ISNUMBER(HF70),ISNUMBER(HF$320),HF$320&lt;&gt;0),HF70*HF$320/HF$15,"")</f>
        <v/>
      </c>
      <c r="HG375" s="150" t="str">
        <f aca="false">IF(AND(ISNUMBER(HG70),ISNUMBER(HG$320),HG$320&lt;&gt;0),HG70*HG$320/HG$15,"")</f>
        <v/>
      </c>
      <c r="HH375" s="150" t="str">
        <f aca="false">IF(AND(ISNUMBER(HH70),ISNUMBER(HH$320),HH$320&lt;&gt;0),HH70*HH$320/HH$15,"")</f>
        <v/>
      </c>
      <c r="HI375" s="150" t="str">
        <f aca="false">IF(AND(ISNUMBER(HI70),ISNUMBER(HI$320),HI$320&lt;&gt;0),HI70*HI$320/HI$15,"")</f>
        <v/>
      </c>
      <c r="HJ375" s="150" t="str">
        <f aca="false">IF(AND(ISNUMBER(HJ70),ISNUMBER(HJ$320),HJ$320&lt;&gt;0),HJ70*HJ$320/HJ$15,"")</f>
        <v/>
      </c>
      <c r="HK375" s="150" t="str">
        <f aca="false">IF(AND(ISNUMBER(HK70),ISNUMBER(HK$320),HK$320&lt;&gt;0),HK70*HK$320/HK$15,"")</f>
        <v/>
      </c>
      <c r="HL375" s="150" t="str">
        <f aca="false">IF(AND(ISNUMBER(HL70),ISNUMBER(HL$320),HL$320&lt;&gt;0),HL70*HL$320/HL$15,"")</f>
        <v/>
      </c>
      <c r="HM375" s="150" t="str">
        <f aca="false">IF(AND(ISNUMBER(HM70),ISNUMBER(HM$320),HM$320&lt;&gt;0),HM70*HM$320/HM$15,"")</f>
        <v/>
      </c>
      <c r="HN375" s="150" t="str">
        <f aca="false">IF(AND(ISNUMBER(HN70),ISNUMBER(HN$320),HN$320&lt;&gt;0),HN70*HN$320/HN$15,"")</f>
        <v/>
      </c>
      <c r="HO375" s="150" t="str">
        <f aca="false">IF(AND(ISNUMBER(HO70),ISNUMBER(HO$320),HO$320&lt;&gt;0),HO70*HO$320/HO$15,"")</f>
        <v/>
      </c>
      <c r="HP375" s="150" t="str">
        <f aca="false">IF(AND(ISNUMBER(HP70),ISNUMBER(HP$320),HP$320&lt;&gt;0),HP70*HP$320/HP$15,"")</f>
        <v/>
      </c>
      <c r="HQ375" s="150" t="str">
        <f aca="false">IF(AND(ISNUMBER(HQ70),ISNUMBER(HQ$320),HQ$320&lt;&gt;0),HQ70*HQ$320/HQ$15,"")</f>
        <v/>
      </c>
      <c r="HR375" s="150" t="str">
        <f aca="false">IF(AND(ISNUMBER(HR70),ISNUMBER(HR$320),HR$320&lt;&gt;0),HR70*HR$320/HR$15,"")</f>
        <v/>
      </c>
      <c r="HS375" s="150" t="str">
        <f aca="false">IF(AND(ISNUMBER(HS70),ISNUMBER(HS$320),HS$320&lt;&gt;0),HS70*HS$320/HS$15,"")</f>
        <v/>
      </c>
      <c r="HT375" s="150" t="str">
        <f aca="false">IF(AND(ISNUMBER(HT70),ISNUMBER(HT$320),HT$320&lt;&gt;0),HT70*HT$320/HT$15,"")</f>
        <v/>
      </c>
      <c r="HU375" s="150" t="str">
        <f aca="false">IF(AND(ISNUMBER(HU70),ISNUMBER(HU$320),HU$320&lt;&gt;0),HU70*HU$320/HU$15,"")</f>
        <v/>
      </c>
      <c r="HV375" s="150" t="str">
        <f aca="false">IF(AND(ISNUMBER(HV70),ISNUMBER(HV$320),HV$320&lt;&gt;0),HV70*HV$320/HV$15,"")</f>
        <v/>
      </c>
      <c r="HW375" s="150" t="str">
        <f aca="false">IF(AND(ISNUMBER(HW70),ISNUMBER(HW$320),HW$320&lt;&gt;0),HW70*HW$320/HW$15,"")</f>
        <v/>
      </c>
      <c r="HX375" s="150" t="str">
        <f aca="false">IF(AND(ISNUMBER(HX70),ISNUMBER(HX$320),HX$320&lt;&gt;0),HX70*HX$320/HX$15,"")</f>
        <v/>
      </c>
      <c r="HY375" s="150" t="str">
        <f aca="false">IF(AND(ISNUMBER(HY70),ISNUMBER(HY$320),HY$320&lt;&gt;0),HY70*HY$320/HY$15,"")</f>
        <v/>
      </c>
      <c r="HZ375" s="150" t="str">
        <f aca="false">IF(AND(ISNUMBER(HZ70),ISNUMBER(HZ$320),HZ$320&lt;&gt;0),HZ70*HZ$320/HZ$15,"")</f>
        <v/>
      </c>
      <c r="IA375" s="150" t="str">
        <f aca="false">IF(AND(ISNUMBER(IA70),ISNUMBER(IA$320),IA$320&lt;&gt;0),IA70*IA$320/IA$15,"")</f>
        <v/>
      </c>
      <c r="IB375" s="150" t="str">
        <f aca="false">IF(AND(ISNUMBER(IB70),ISNUMBER(IB$320),IB$320&lt;&gt;0),IB70*IB$320/IB$15,"")</f>
        <v/>
      </c>
      <c r="IC375" s="150" t="str">
        <f aca="false">IF(AND(ISNUMBER(IC70),ISNUMBER(IC$320),IC$320&lt;&gt;0),IC70*IC$320/IC$15,"")</f>
        <v/>
      </c>
      <c r="ID375" s="572" t="str">
        <f aca="false">IF(AND(ISNUMBER(ID70),ISNUMBER(ID$320),ID$320&lt;&gt;0),ID70*ID$320/ID$15,"")</f>
        <v/>
      </c>
    </row>
    <row r="376" customFormat="false" ht="12.75" hidden="false" customHeight="false" outlineLevel="0" collapsed="false">
      <c r="I376" s="735"/>
      <c r="J376" s="727"/>
      <c r="K376" s="195"/>
      <c r="L376" s="195"/>
      <c r="M376" s="729"/>
      <c r="P376" s="727"/>
      <c r="S376" s="1"/>
      <c r="T376" s="727"/>
      <c r="U376" s="195"/>
      <c r="V376" s="195"/>
      <c r="W376" s="195"/>
      <c r="X376" s="195"/>
      <c r="Y376" s="195"/>
      <c r="Z376" s="195"/>
      <c r="AA376" s="195"/>
      <c r="AB376" s="195"/>
      <c r="AC376" s="195"/>
      <c r="AD376" s="195"/>
      <c r="AE376" s="195"/>
      <c r="AF376" s="195"/>
      <c r="AG376" s="195"/>
      <c r="AH376" s="195"/>
      <c r="AI376" s="195"/>
      <c r="AJ376" s="195"/>
      <c r="AK376" s="195"/>
      <c r="AL376" s="195"/>
      <c r="AM376" s="195"/>
      <c r="AN376" s="532"/>
      <c r="AO376" s="532"/>
      <c r="AP376" s="240"/>
      <c r="AQ376" s="532"/>
      <c r="AR376" s="240"/>
      <c r="AS376" s="240"/>
      <c r="AT376" s="240"/>
      <c r="AU376" s="730"/>
      <c r="AV376" s="730"/>
      <c r="AW376" s="730"/>
      <c r="AX376" s="730"/>
      <c r="AY376" s="468"/>
      <c r="AZ376" s="468"/>
      <c r="BA376" s="240"/>
      <c r="BB376" s="240"/>
      <c r="BC376" s="240"/>
      <c r="BD376" s="240"/>
      <c r="BE376" s="672"/>
      <c r="BF376" s="672"/>
      <c r="BG376" s="672"/>
      <c r="BH376" s="731"/>
      <c r="BI376" s="672"/>
      <c r="BJ376" s="240"/>
      <c r="BK376" s="736"/>
      <c r="BL376" s="737"/>
      <c r="BM376" s="240"/>
      <c r="BN376" s="240"/>
      <c r="BO376" s="240"/>
      <c r="BP376" s="240"/>
      <c r="BQ376" s="240"/>
      <c r="BR376" s="240"/>
      <c r="BS376" s="240"/>
      <c r="BT376" s="240"/>
      <c r="BU376" s="240"/>
      <c r="BV376" s="240"/>
      <c r="BW376" s="240"/>
      <c r="BX376" s="240"/>
      <c r="BY376" s="240"/>
      <c r="BZ376" s="240"/>
      <c r="CA376" s="240"/>
      <c r="CB376" s="672"/>
      <c r="CC376" s="672"/>
      <c r="CD376" s="672"/>
      <c r="CE376" s="672"/>
      <c r="CF376" s="672"/>
      <c r="CG376" s="672"/>
      <c r="CH376" s="240"/>
      <c r="CI376" s="240"/>
      <c r="CJ376" s="240"/>
      <c r="CK376" s="240"/>
      <c r="CL376" s="240"/>
      <c r="CM376" s="240"/>
      <c r="CN376" s="240"/>
      <c r="CO376" s="240"/>
      <c r="CP376" s="240"/>
      <c r="CQ376" s="240"/>
      <c r="CR376" s="240"/>
      <c r="CS376" s="240"/>
      <c r="CT376" s="240"/>
      <c r="CU376" s="240"/>
      <c r="CV376" s="240"/>
      <c r="CW376" s="240"/>
      <c r="CX376" s="240"/>
      <c r="CY376" s="240"/>
      <c r="CZ376" s="240"/>
      <c r="DA376" s="240"/>
      <c r="DB376" s="240"/>
      <c r="DC376" s="240"/>
      <c r="DD376" s="240"/>
      <c r="DE376" s="240"/>
      <c r="DF376" s="240"/>
      <c r="DG376" s="733"/>
      <c r="DH376" s="478"/>
      <c r="DI376" s="195"/>
      <c r="DJ376" s="3"/>
      <c r="DK376" s="478"/>
      <c r="DL376" s="4"/>
      <c r="DM376" s="4"/>
      <c r="DN376" s="4"/>
      <c r="DO376" s="4"/>
      <c r="DP376" s="4"/>
      <c r="DQ376" s="4"/>
      <c r="DS376" s="195"/>
      <c r="DT376" s="195"/>
      <c r="DU376" s="195"/>
      <c r="DV376" s="195"/>
      <c r="DW376" s="195"/>
      <c r="DX376" s="195"/>
      <c r="DY376" s="195"/>
      <c r="DZ376" s="195"/>
      <c r="EA376" s="195"/>
      <c r="EB376" s="195"/>
      <c r="EC376" s="195"/>
      <c r="ED376" s="195"/>
      <c r="EE376" s="195"/>
      <c r="EF376" s="195"/>
      <c r="EG376" s="195"/>
      <c r="EL376" s="1"/>
      <c r="EM376" s="195"/>
      <c r="EN376" s="240"/>
      <c r="EO376" s="240"/>
      <c r="EP376" s="195"/>
      <c r="EQ376" s="240"/>
      <c r="ER376" s="195"/>
      <c r="ES376" s="195"/>
      <c r="ET376" s="195"/>
      <c r="EU376" s="672"/>
      <c r="FJ376" s="571" t="n">
        <v>52</v>
      </c>
      <c r="FK376" s="150" t="str">
        <f aca="false">IF(AND(ISNUMBER(FK71),ISNUMBER(FK$320),FK$320&lt;&gt;0),FK71*FK$320/FK$15,"")</f>
        <v/>
      </c>
      <c r="FL376" s="150" t="str">
        <f aca="false">IF(AND(ISNUMBER(FL71),ISNUMBER(FL$320),FL$320&lt;&gt;0),FL71*FL$320/FL$15,"")</f>
        <v/>
      </c>
      <c r="FM376" s="150" t="n">
        <f aca="false">IF(AND(ISNUMBER(FM71),ISNUMBER(FM$320),FM$320&lt;&gt;0),FM71*FM$320/FM$15,"")</f>
        <v>0.00254859374038907</v>
      </c>
      <c r="FN376" s="150" t="n">
        <f aca="false">IF(AND(ISNUMBER(FN71),ISNUMBER(FN$320),FN$320&lt;&gt;0),FN71*FN$320/FN$15,"")</f>
        <v>0.00214533570098541</v>
      </c>
      <c r="FO376" s="150" t="n">
        <f aca="false">IF(AND(ISNUMBER(FO71),ISNUMBER(FO$320),FO$320&lt;&gt;0),FO71*FO$320/FO$15,"")</f>
        <v>0.00223178405480322</v>
      </c>
      <c r="FP376" s="150" t="n">
        <f aca="false">IF(AND(ISNUMBER(FP71),ISNUMBER(FP$320),FP$320&lt;&gt;0),FP71*FP$320/FP$15,"")</f>
        <v>0.00123672859838018</v>
      </c>
      <c r="FQ376" s="150" t="str">
        <f aca="false">IF(AND(ISNUMBER(FQ71),ISNUMBER(FQ$320),FQ$320&lt;&gt;0),FQ71*FQ$320/FQ$15,"")</f>
        <v/>
      </c>
      <c r="FR376" s="150" t="str">
        <f aca="false">IF(AND(ISNUMBER(FR71),ISNUMBER(FR$320),FR$320&lt;&gt;0),FR71*FR$320/FR$15,"")</f>
        <v/>
      </c>
      <c r="FS376" s="150" t="str">
        <f aca="false">IF(AND(ISNUMBER(FS71),ISNUMBER(FS$320),FS$320&lt;&gt;0),FS71*FS$320/FS$15,"")</f>
        <v/>
      </c>
      <c r="FT376" s="150" t="str">
        <f aca="false">IF(AND(ISNUMBER(FT71),ISNUMBER(FT$320),FT$320&lt;&gt;0),FT71*FT$320/FT$15,"")</f>
        <v/>
      </c>
      <c r="FU376" s="150" t="str">
        <f aca="false">IF(AND(ISNUMBER(FU71),ISNUMBER(FU$320),FU$320&lt;&gt;0),FU71*FU$320/FU$15,"")</f>
        <v/>
      </c>
      <c r="FV376" s="150" t="str">
        <f aca="false">IF(AND(ISNUMBER(FV71),ISNUMBER(FV$320),FV$320&lt;&gt;0),FV71*FV$320/FV$15,"")</f>
        <v/>
      </c>
      <c r="FW376" s="150" t="str">
        <f aca="false">IF(AND(ISNUMBER(FW71),ISNUMBER(FW$320),FW$320&lt;&gt;0),FW71*FW$320/FW$15,"")</f>
        <v/>
      </c>
      <c r="FX376" s="150" t="str">
        <f aca="false">IF(AND(ISNUMBER(FX71),ISNUMBER(FX$320),FX$320&lt;&gt;0),FX71*FX$320/FX$15,"")</f>
        <v/>
      </c>
      <c r="FY376" s="150" t="str">
        <f aca="false">IF(AND(ISNUMBER(FY71),ISNUMBER(FY$320),FY$320&lt;&gt;0),FY71*FY$320/FY$15,"")</f>
        <v/>
      </c>
      <c r="FZ376" s="150" t="str">
        <f aca="false">IF(AND(ISNUMBER(FZ71),ISNUMBER(FZ$320),FZ$320&lt;&gt;0),FZ71*FZ$320/FZ$15,"")</f>
        <v/>
      </c>
      <c r="GA376" s="150" t="str">
        <f aca="false">IF(AND(ISNUMBER(GA71),ISNUMBER(GA$320),GA$320&lt;&gt;0),GA71*GA$320/GA$15,"")</f>
        <v/>
      </c>
      <c r="GB376" s="150" t="str">
        <f aca="false">IF(AND(ISNUMBER(GB71),ISNUMBER(GB$320),GB$320&lt;&gt;0),GB71*GB$320/GB$15,"")</f>
        <v/>
      </c>
      <c r="GC376" s="150" t="str">
        <f aca="false">IF(AND(ISNUMBER(GC71),ISNUMBER(GC$320),GC$320&lt;&gt;0),GC71*GC$320/GC$15,"")</f>
        <v/>
      </c>
      <c r="GD376" s="150" t="str">
        <f aca="false">IF(AND(ISNUMBER(GD71),ISNUMBER(GD$320),GD$320&lt;&gt;0),GD71*GD$320/GD$15,"")</f>
        <v/>
      </c>
      <c r="GE376" s="150" t="str">
        <f aca="false">IF(AND(ISNUMBER(GE71),ISNUMBER(GE$320),GE$320&lt;&gt;0),GE71*GE$320/GE$15,"")</f>
        <v/>
      </c>
      <c r="GF376" s="150" t="str">
        <f aca="false">IF(AND(ISNUMBER(GF71),ISNUMBER(GF$320),GF$320&lt;&gt;0),GF71*GF$320/GF$15,"")</f>
        <v/>
      </c>
      <c r="GG376" s="150" t="str">
        <f aca="false">IF(AND(ISNUMBER(GG71),ISNUMBER(GG$320),GG$320&lt;&gt;0),GG71*GG$320/GG$15,"")</f>
        <v/>
      </c>
      <c r="GH376" s="150" t="str">
        <f aca="false">IF(AND(ISNUMBER(GH71),ISNUMBER(GH$320),GH$320&lt;&gt;0),GH71*GH$320/GH$15,"")</f>
        <v/>
      </c>
      <c r="GI376" s="150" t="str">
        <f aca="false">IF(AND(ISNUMBER(GI71),ISNUMBER(GI$320),GI$320&lt;&gt;0),GI71*GI$320/GI$15,"")</f>
        <v/>
      </c>
      <c r="GJ376" s="150" t="str">
        <f aca="false">IF(AND(ISNUMBER(GJ71),ISNUMBER(GJ$320),GJ$320&lt;&gt;0),GJ71*GJ$320/GJ$15,"")</f>
        <v/>
      </c>
      <c r="GK376" s="150" t="str">
        <f aca="false">IF(AND(ISNUMBER(GK71),ISNUMBER(GK$320),GK$320&lt;&gt;0),GK71*GK$320/GK$15,"")</f>
        <v/>
      </c>
      <c r="GL376" s="150" t="str">
        <f aca="false">IF(AND(ISNUMBER(GL71),ISNUMBER(GL$320),GL$320&lt;&gt;0),GL71*GL$320/GL$15,"")</f>
        <v/>
      </c>
      <c r="GM376" s="150" t="str">
        <f aca="false">IF(AND(ISNUMBER(GM71),ISNUMBER(GM$320),GM$320&lt;&gt;0),GM71*GM$320/GM$15,"")</f>
        <v/>
      </c>
      <c r="GN376" s="150" t="str">
        <f aca="false">IF(AND(ISNUMBER(GN71),ISNUMBER(GN$320),GN$320&lt;&gt;0),GN71*GN$320/GN$15,"")</f>
        <v/>
      </c>
      <c r="GO376" s="150" t="str">
        <f aca="false">IF(AND(ISNUMBER(GO71),ISNUMBER(GO$320),GO$320&lt;&gt;0),GO71*GO$320/GO$15,"")</f>
        <v/>
      </c>
      <c r="GP376" s="150" t="str">
        <f aca="false">IF(AND(ISNUMBER(GP71),ISNUMBER(GP$320),GP$320&lt;&gt;0),GP71*GP$320/GP$15,"")</f>
        <v/>
      </c>
      <c r="GQ376" s="150" t="str">
        <f aca="false">IF(AND(ISNUMBER(GQ71),ISNUMBER(GQ$320),GQ$320&lt;&gt;0),GQ71*GQ$320/GQ$15,"")</f>
        <v/>
      </c>
      <c r="GR376" s="150" t="str">
        <f aca="false">IF(AND(ISNUMBER(GR71),ISNUMBER(GR$320),GR$320&lt;&gt;0),GR71*GR$320/GR$15,"")</f>
        <v/>
      </c>
      <c r="GS376" s="150" t="str">
        <f aca="false">IF(AND(ISNUMBER(GS71),ISNUMBER(GS$320),GS$320&lt;&gt;0),GS71*GS$320/GS$15,"")</f>
        <v/>
      </c>
      <c r="GT376" s="150" t="str">
        <f aca="false">IF(AND(ISNUMBER(GT71),ISNUMBER(GT$320),GT$320&lt;&gt;0),GT71*GT$320/GT$15,"")</f>
        <v/>
      </c>
      <c r="GU376" s="150" t="str">
        <f aca="false">IF(AND(ISNUMBER(GU71),ISNUMBER(GU$320),GU$320&lt;&gt;0),GU71*GU$320/GU$15,"")</f>
        <v/>
      </c>
      <c r="GV376" s="150" t="str">
        <f aca="false">IF(AND(ISNUMBER(GV71),ISNUMBER(GV$320),GV$320&lt;&gt;0),GV71*GV$320/GV$15,"")</f>
        <v/>
      </c>
      <c r="GW376" s="150" t="str">
        <f aca="false">IF(AND(ISNUMBER(GW71),ISNUMBER(GW$320),GW$320&lt;&gt;0),GW71*GW$320/GW$15,"")</f>
        <v/>
      </c>
      <c r="GX376" s="150" t="str">
        <f aca="false">IF(AND(ISNUMBER(GX71),ISNUMBER(GX$320),GX$320&lt;&gt;0),GX71*GX$320/GX$15,"")</f>
        <v/>
      </c>
      <c r="GY376" s="150" t="str">
        <f aca="false">IF(AND(ISNUMBER(GY71),ISNUMBER(GY$320),GY$320&lt;&gt;0),GY71*GY$320/GY$15,"")</f>
        <v/>
      </c>
      <c r="GZ376" s="150" t="str">
        <f aca="false">IF(AND(ISNUMBER(GZ71),ISNUMBER(GZ$320),GZ$320&lt;&gt;0),GZ71*GZ$320/GZ$15,"")</f>
        <v/>
      </c>
      <c r="HA376" s="150" t="str">
        <f aca="false">IF(AND(ISNUMBER(HA71),ISNUMBER(HA$320),HA$320&lt;&gt;0),HA71*HA$320/HA$15,"")</f>
        <v/>
      </c>
      <c r="HB376" s="150" t="str">
        <f aca="false">IF(AND(ISNUMBER(HB71),ISNUMBER(HB$320),HB$320&lt;&gt;0),HB71*HB$320/HB$15,"")</f>
        <v/>
      </c>
      <c r="HC376" s="150" t="str">
        <f aca="false">IF(AND(ISNUMBER(HC71),ISNUMBER(HC$320),HC$320&lt;&gt;0),HC71*HC$320/HC$15,"")</f>
        <v/>
      </c>
      <c r="HD376" s="150" t="str">
        <f aca="false">IF(AND(ISNUMBER(HD71),ISNUMBER(HD$320),HD$320&lt;&gt;0),HD71*HD$320/HD$15,"")</f>
        <v/>
      </c>
      <c r="HE376" s="150" t="str">
        <f aca="false">IF(AND(ISNUMBER(HE71),ISNUMBER(HE$320),HE$320&lt;&gt;0),HE71*HE$320/HE$15,"")</f>
        <v/>
      </c>
      <c r="HF376" s="150" t="str">
        <f aca="false">IF(AND(ISNUMBER(HF71),ISNUMBER(HF$320),HF$320&lt;&gt;0),HF71*HF$320/HF$15,"")</f>
        <v/>
      </c>
      <c r="HG376" s="150" t="str">
        <f aca="false">IF(AND(ISNUMBER(HG71),ISNUMBER(HG$320),HG$320&lt;&gt;0),HG71*HG$320/HG$15,"")</f>
        <v/>
      </c>
      <c r="HH376" s="150" t="str">
        <f aca="false">IF(AND(ISNUMBER(HH71),ISNUMBER(HH$320),HH$320&lt;&gt;0),HH71*HH$320/HH$15,"")</f>
        <v/>
      </c>
      <c r="HI376" s="150" t="str">
        <f aca="false">IF(AND(ISNUMBER(HI71),ISNUMBER(HI$320),HI$320&lt;&gt;0),HI71*HI$320/HI$15,"")</f>
        <v/>
      </c>
      <c r="HJ376" s="150" t="str">
        <f aca="false">IF(AND(ISNUMBER(HJ71),ISNUMBER(HJ$320),HJ$320&lt;&gt;0),HJ71*HJ$320/HJ$15,"")</f>
        <v/>
      </c>
      <c r="HK376" s="150" t="str">
        <f aca="false">IF(AND(ISNUMBER(HK71),ISNUMBER(HK$320),HK$320&lt;&gt;0),HK71*HK$320/HK$15,"")</f>
        <v/>
      </c>
      <c r="HL376" s="150" t="str">
        <f aca="false">IF(AND(ISNUMBER(HL71),ISNUMBER(HL$320),HL$320&lt;&gt;0),HL71*HL$320/HL$15,"")</f>
        <v/>
      </c>
      <c r="HM376" s="150" t="str">
        <f aca="false">IF(AND(ISNUMBER(HM71),ISNUMBER(HM$320),HM$320&lt;&gt;0),HM71*HM$320/HM$15,"")</f>
        <v/>
      </c>
      <c r="HN376" s="150" t="str">
        <f aca="false">IF(AND(ISNUMBER(HN71),ISNUMBER(HN$320),HN$320&lt;&gt;0),HN71*HN$320/HN$15,"")</f>
        <v/>
      </c>
      <c r="HO376" s="150" t="str">
        <f aca="false">IF(AND(ISNUMBER(HO71),ISNUMBER(HO$320),HO$320&lt;&gt;0),HO71*HO$320/HO$15,"")</f>
        <v/>
      </c>
      <c r="HP376" s="150" t="str">
        <f aca="false">IF(AND(ISNUMBER(HP71),ISNUMBER(HP$320),HP$320&lt;&gt;0),HP71*HP$320/HP$15,"")</f>
        <v/>
      </c>
      <c r="HQ376" s="150" t="str">
        <f aca="false">IF(AND(ISNUMBER(HQ71),ISNUMBER(HQ$320),HQ$320&lt;&gt;0),HQ71*HQ$320/HQ$15,"")</f>
        <v/>
      </c>
      <c r="HR376" s="150" t="str">
        <f aca="false">IF(AND(ISNUMBER(HR71),ISNUMBER(HR$320),HR$320&lt;&gt;0),HR71*HR$320/HR$15,"")</f>
        <v/>
      </c>
      <c r="HS376" s="150" t="str">
        <f aca="false">IF(AND(ISNUMBER(HS71),ISNUMBER(HS$320),HS$320&lt;&gt;0),HS71*HS$320/HS$15,"")</f>
        <v/>
      </c>
      <c r="HT376" s="150" t="str">
        <f aca="false">IF(AND(ISNUMBER(HT71),ISNUMBER(HT$320),HT$320&lt;&gt;0),HT71*HT$320/HT$15,"")</f>
        <v/>
      </c>
      <c r="HU376" s="150" t="str">
        <f aca="false">IF(AND(ISNUMBER(HU71),ISNUMBER(HU$320),HU$320&lt;&gt;0),HU71*HU$320/HU$15,"")</f>
        <v/>
      </c>
      <c r="HV376" s="150" t="str">
        <f aca="false">IF(AND(ISNUMBER(HV71),ISNUMBER(HV$320),HV$320&lt;&gt;0),HV71*HV$320/HV$15,"")</f>
        <v/>
      </c>
      <c r="HW376" s="150" t="str">
        <f aca="false">IF(AND(ISNUMBER(HW71),ISNUMBER(HW$320),HW$320&lt;&gt;0),HW71*HW$320/HW$15,"")</f>
        <v/>
      </c>
      <c r="HX376" s="150" t="str">
        <f aca="false">IF(AND(ISNUMBER(HX71),ISNUMBER(HX$320),HX$320&lt;&gt;0),HX71*HX$320/HX$15,"")</f>
        <v/>
      </c>
      <c r="HY376" s="150" t="str">
        <f aca="false">IF(AND(ISNUMBER(HY71),ISNUMBER(HY$320),HY$320&lt;&gt;0),HY71*HY$320/HY$15,"")</f>
        <v/>
      </c>
      <c r="HZ376" s="150" t="str">
        <f aca="false">IF(AND(ISNUMBER(HZ71),ISNUMBER(HZ$320),HZ$320&lt;&gt;0),HZ71*HZ$320/HZ$15,"")</f>
        <v/>
      </c>
      <c r="IA376" s="150" t="str">
        <f aca="false">IF(AND(ISNUMBER(IA71),ISNUMBER(IA$320),IA$320&lt;&gt;0),IA71*IA$320/IA$15,"")</f>
        <v/>
      </c>
      <c r="IB376" s="150" t="str">
        <f aca="false">IF(AND(ISNUMBER(IB71),ISNUMBER(IB$320),IB$320&lt;&gt;0),IB71*IB$320/IB$15,"")</f>
        <v/>
      </c>
      <c r="IC376" s="150" t="str">
        <f aca="false">IF(AND(ISNUMBER(IC71),ISNUMBER(IC$320),IC$320&lt;&gt;0),IC71*IC$320/IC$15,"")</f>
        <v/>
      </c>
      <c r="ID376" s="572" t="str">
        <f aca="false">IF(AND(ISNUMBER(ID71),ISNUMBER(ID$320),ID$320&lt;&gt;0),ID71*ID$320/ID$15,"")</f>
        <v/>
      </c>
    </row>
    <row r="377" customFormat="false" ht="12.75" hidden="false" customHeight="false" outlineLevel="0" collapsed="false">
      <c r="I377" s="735"/>
      <c r="J377" s="727"/>
      <c r="K377" s="195"/>
      <c r="L377" s="195"/>
      <c r="M377" s="729"/>
      <c r="P377" s="727"/>
      <c r="S377" s="1"/>
      <c r="T377" s="727"/>
      <c r="U377" s="195"/>
      <c r="V377" s="195"/>
      <c r="W377" s="195"/>
      <c r="X377" s="195"/>
      <c r="Y377" s="195"/>
      <c r="Z377" s="195"/>
      <c r="AA377" s="195"/>
      <c r="AB377" s="195"/>
      <c r="AC377" s="195"/>
      <c r="AD377" s="195"/>
      <c r="AE377" s="195"/>
      <c r="AF377" s="195"/>
      <c r="AG377" s="195"/>
      <c r="AH377" s="195"/>
      <c r="AI377" s="195"/>
      <c r="AJ377" s="195"/>
      <c r="AK377" s="195"/>
      <c r="AL377" s="195"/>
      <c r="AM377" s="195"/>
      <c r="AN377" s="532"/>
      <c r="AO377" s="532"/>
      <c r="AP377" s="240"/>
      <c r="AQ377" s="532"/>
      <c r="AR377" s="240"/>
      <c r="AS377" s="240"/>
      <c r="AT377" s="240"/>
      <c r="AU377" s="730"/>
      <c r="AV377" s="730"/>
      <c r="AW377" s="730"/>
      <c r="AX377" s="730"/>
      <c r="AY377" s="468"/>
      <c r="AZ377" s="468"/>
      <c r="BA377" s="240"/>
      <c r="BB377" s="240"/>
      <c r="BC377" s="240"/>
      <c r="BD377" s="240"/>
      <c r="BE377" s="672"/>
      <c r="BF377" s="672"/>
      <c r="BG377" s="672"/>
      <c r="BH377" s="731"/>
      <c r="BI377" s="672"/>
      <c r="BJ377" s="240"/>
      <c r="BK377" s="736"/>
      <c r="BL377" s="737"/>
      <c r="BM377" s="240"/>
      <c r="BN377" s="240"/>
      <c r="BO377" s="240"/>
      <c r="BP377" s="240"/>
      <c r="BQ377" s="240"/>
      <c r="BR377" s="240"/>
      <c r="BS377" s="240"/>
      <c r="BT377" s="240"/>
      <c r="BU377" s="240"/>
      <c r="BV377" s="240"/>
      <c r="BW377" s="240"/>
      <c r="BX377" s="240"/>
      <c r="BY377" s="240"/>
      <c r="BZ377" s="240"/>
      <c r="CA377" s="240"/>
      <c r="CB377" s="672"/>
      <c r="CC377" s="672"/>
      <c r="CD377" s="672"/>
      <c r="CE377" s="672"/>
      <c r="CF377" s="672"/>
      <c r="CG377" s="672"/>
      <c r="CH377" s="240"/>
      <c r="CI377" s="240"/>
      <c r="CJ377" s="240"/>
      <c r="CK377" s="240"/>
      <c r="CL377" s="240"/>
      <c r="CM377" s="240"/>
      <c r="CN377" s="240"/>
      <c r="CO377" s="240"/>
      <c r="CP377" s="240"/>
      <c r="CQ377" s="240"/>
      <c r="CR377" s="240"/>
      <c r="CS377" s="240"/>
      <c r="CT377" s="240"/>
      <c r="CU377" s="240"/>
      <c r="CV377" s="240"/>
      <c r="CW377" s="240"/>
      <c r="CX377" s="240"/>
      <c r="CY377" s="240"/>
      <c r="CZ377" s="240"/>
      <c r="DA377" s="240"/>
      <c r="DB377" s="240"/>
      <c r="DC377" s="240"/>
      <c r="DD377" s="240"/>
      <c r="DE377" s="240"/>
      <c r="DF377" s="240"/>
      <c r="DG377" s="733"/>
      <c r="DH377" s="478"/>
      <c r="DI377" s="195"/>
      <c r="DJ377" s="3"/>
      <c r="DK377" s="478"/>
      <c r="DL377" s="4"/>
      <c r="DM377" s="4"/>
      <c r="DN377" s="4"/>
      <c r="DO377" s="4"/>
      <c r="DP377" s="4"/>
      <c r="DQ377" s="4"/>
      <c r="DS377" s="195"/>
      <c r="DT377" s="195"/>
      <c r="DU377" s="195"/>
      <c r="DV377" s="195"/>
      <c r="DW377" s="195"/>
      <c r="DX377" s="195"/>
      <c r="DY377" s="195"/>
      <c r="DZ377" s="195"/>
      <c r="EA377" s="195"/>
      <c r="EB377" s="195"/>
      <c r="EC377" s="195"/>
      <c r="ED377" s="195"/>
      <c r="EE377" s="195"/>
      <c r="EF377" s="195"/>
      <c r="EG377" s="195"/>
      <c r="EL377" s="1"/>
      <c r="EM377" s="195"/>
      <c r="EN377" s="240"/>
      <c r="EO377" s="240"/>
      <c r="EP377" s="195"/>
      <c r="EQ377" s="240"/>
      <c r="ER377" s="195"/>
      <c r="ES377" s="195"/>
      <c r="ET377" s="195"/>
      <c r="EU377" s="672"/>
      <c r="FJ377" s="571" t="n">
        <v>53</v>
      </c>
      <c r="FK377" s="150" t="str">
        <f aca="false">IF(AND(ISNUMBER(FK72),ISNUMBER(FK$320),FK$320&lt;&gt;0),FK72*FK$320/FK$15,"")</f>
        <v/>
      </c>
      <c r="FL377" s="150" t="str">
        <f aca="false">IF(AND(ISNUMBER(FL72),ISNUMBER(FL$320),FL$320&lt;&gt;0),FL72*FL$320/FL$15,"")</f>
        <v/>
      </c>
      <c r="FM377" s="150" t="n">
        <f aca="false">IF(AND(ISNUMBER(FM72),ISNUMBER(FM$320),FM$320&lt;&gt;0),FM72*FM$320/FM$15,"")</f>
        <v>0.00254832818354045</v>
      </c>
      <c r="FN377" s="150" t="n">
        <f aca="false">IF(AND(ISNUMBER(FN72),ISNUMBER(FN$320),FN$320&lt;&gt;0),FN72*FN$320/FN$15,"")</f>
        <v>0.00214507425255472</v>
      </c>
      <c r="FO377" s="150" t="n">
        <f aca="false">IF(AND(ISNUMBER(FO72),ISNUMBER(FO$320),FO$320&lt;&gt;0),FO72*FO$320/FO$15,"")</f>
        <v>0.00223146594515965</v>
      </c>
      <c r="FP377" s="150" t="n">
        <f aca="false">IF(AND(ISNUMBER(FP72),ISNUMBER(FP$320),FP$320&lt;&gt;0),FP72*FP$320/FP$15,"")</f>
        <v>0.00123652242482798</v>
      </c>
      <c r="FQ377" s="150" t="str">
        <f aca="false">IF(AND(ISNUMBER(FQ72),ISNUMBER(FQ$320),FQ$320&lt;&gt;0),FQ72*FQ$320/FQ$15,"")</f>
        <v/>
      </c>
      <c r="FR377" s="150" t="str">
        <f aca="false">IF(AND(ISNUMBER(FR72),ISNUMBER(FR$320),FR$320&lt;&gt;0),FR72*FR$320/FR$15,"")</f>
        <v/>
      </c>
      <c r="FS377" s="150" t="str">
        <f aca="false">IF(AND(ISNUMBER(FS72),ISNUMBER(FS$320),FS$320&lt;&gt;0),FS72*FS$320/FS$15,"")</f>
        <v/>
      </c>
      <c r="FT377" s="150" t="str">
        <f aca="false">IF(AND(ISNUMBER(FT72),ISNUMBER(FT$320),FT$320&lt;&gt;0),FT72*FT$320/FT$15,"")</f>
        <v/>
      </c>
      <c r="FU377" s="150" t="str">
        <f aca="false">IF(AND(ISNUMBER(FU72),ISNUMBER(FU$320),FU$320&lt;&gt;0),FU72*FU$320/FU$15,"")</f>
        <v/>
      </c>
      <c r="FV377" s="150" t="str">
        <f aca="false">IF(AND(ISNUMBER(FV72),ISNUMBER(FV$320),FV$320&lt;&gt;0),FV72*FV$320/FV$15,"")</f>
        <v/>
      </c>
      <c r="FW377" s="150" t="str">
        <f aca="false">IF(AND(ISNUMBER(FW72),ISNUMBER(FW$320),FW$320&lt;&gt;0),FW72*FW$320/FW$15,"")</f>
        <v/>
      </c>
      <c r="FX377" s="150" t="str">
        <f aca="false">IF(AND(ISNUMBER(FX72),ISNUMBER(FX$320),FX$320&lt;&gt;0),FX72*FX$320/FX$15,"")</f>
        <v/>
      </c>
      <c r="FY377" s="150" t="str">
        <f aca="false">IF(AND(ISNUMBER(FY72),ISNUMBER(FY$320),FY$320&lt;&gt;0),FY72*FY$320/FY$15,"")</f>
        <v/>
      </c>
      <c r="FZ377" s="150" t="str">
        <f aca="false">IF(AND(ISNUMBER(FZ72),ISNUMBER(FZ$320),FZ$320&lt;&gt;0),FZ72*FZ$320/FZ$15,"")</f>
        <v/>
      </c>
      <c r="GA377" s="150" t="str">
        <f aca="false">IF(AND(ISNUMBER(GA72),ISNUMBER(GA$320),GA$320&lt;&gt;0),GA72*GA$320/GA$15,"")</f>
        <v/>
      </c>
      <c r="GB377" s="150" t="str">
        <f aca="false">IF(AND(ISNUMBER(GB72),ISNUMBER(GB$320),GB$320&lt;&gt;0),GB72*GB$320/GB$15,"")</f>
        <v/>
      </c>
      <c r="GC377" s="150" t="str">
        <f aca="false">IF(AND(ISNUMBER(GC72),ISNUMBER(GC$320),GC$320&lt;&gt;0),GC72*GC$320/GC$15,"")</f>
        <v/>
      </c>
      <c r="GD377" s="150" t="str">
        <f aca="false">IF(AND(ISNUMBER(GD72),ISNUMBER(GD$320),GD$320&lt;&gt;0),GD72*GD$320/GD$15,"")</f>
        <v/>
      </c>
      <c r="GE377" s="150" t="str">
        <f aca="false">IF(AND(ISNUMBER(GE72),ISNUMBER(GE$320),GE$320&lt;&gt;0),GE72*GE$320/GE$15,"")</f>
        <v/>
      </c>
      <c r="GF377" s="150" t="str">
        <f aca="false">IF(AND(ISNUMBER(GF72),ISNUMBER(GF$320),GF$320&lt;&gt;0),GF72*GF$320/GF$15,"")</f>
        <v/>
      </c>
      <c r="GG377" s="150" t="str">
        <f aca="false">IF(AND(ISNUMBER(GG72),ISNUMBER(GG$320),GG$320&lt;&gt;0),GG72*GG$320/GG$15,"")</f>
        <v/>
      </c>
      <c r="GH377" s="150" t="str">
        <f aca="false">IF(AND(ISNUMBER(GH72),ISNUMBER(GH$320),GH$320&lt;&gt;0),GH72*GH$320/GH$15,"")</f>
        <v/>
      </c>
      <c r="GI377" s="150" t="str">
        <f aca="false">IF(AND(ISNUMBER(GI72),ISNUMBER(GI$320),GI$320&lt;&gt;0),GI72*GI$320/GI$15,"")</f>
        <v/>
      </c>
      <c r="GJ377" s="150" t="str">
        <f aca="false">IF(AND(ISNUMBER(GJ72),ISNUMBER(GJ$320),GJ$320&lt;&gt;0),GJ72*GJ$320/GJ$15,"")</f>
        <v/>
      </c>
      <c r="GK377" s="150" t="str">
        <f aca="false">IF(AND(ISNUMBER(GK72),ISNUMBER(GK$320),GK$320&lt;&gt;0),GK72*GK$320/GK$15,"")</f>
        <v/>
      </c>
      <c r="GL377" s="150" t="str">
        <f aca="false">IF(AND(ISNUMBER(GL72),ISNUMBER(GL$320),GL$320&lt;&gt;0),GL72*GL$320/GL$15,"")</f>
        <v/>
      </c>
      <c r="GM377" s="150" t="str">
        <f aca="false">IF(AND(ISNUMBER(GM72),ISNUMBER(GM$320),GM$320&lt;&gt;0),GM72*GM$320/GM$15,"")</f>
        <v/>
      </c>
      <c r="GN377" s="150" t="str">
        <f aca="false">IF(AND(ISNUMBER(GN72),ISNUMBER(GN$320),GN$320&lt;&gt;0),GN72*GN$320/GN$15,"")</f>
        <v/>
      </c>
      <c r="GO377" s="150" t="str">
        <f aca="false">IF(AND(ISNUMBER(GO72),ISNUMBER(GO$320),GO$320&lt;&gt;0),GO72*GO$320/GO$15,"")</f>
        <v/>
      </c>
      <c r="GP377" s="150" t="str">
        <f aca="false">IF(AND(ISNUMBER(GP72),ISNUMBER(GP$320),GP$320&lt;&gt;0),GP72*GP$320/GP$15,"")</f>
        <v/>
      </c>
      <c r="GQ377" s="150" t="str">
        <f aca="false">IF(AND(ISNUMBER(GQ72),ISNUMBER(GQ$320),GQ$320&lt;&gt;0),GQ72*GQ$320/GQ$15,"")</f>
        <v/>
      </c>
      <c r="GR377" s="150" t="str">
        <f aca="false">IF(AND(ISNUMBER(GR72),ISNUMBER(GR$320),GR$320&lt;&gt;0),GR72*GR$320/GR$15,"")</f>
        <v/>
      </c>
      <c r="GS377" s="150" t="str">
        <f aca="false">IF(AND(ISNUMBER(GS72),ISNUMBER(GS$320),GS$320&lt;&gt;0),GS72*GS$320/GS$15,"")</f>
        <v/>
      </c>
      <c r="GT377" s="150" t="str">
        <f aca="false">IF(AND(ISNUMBER(GT72),ISNUMBER(GT$320),GT$320&lt;&gt;0),GT72*GT$320/GT$15,"")</f>
        <v/>
      </c>
      <c r="GU377" s="150" t="str">
        <f aca="false">IF(AND(ISNUMBER(GU72),ISNUMBER(GU$320),GU$320&lt;&gt;0),GU72*GU$320/GU$15,"")</f>
        <v/>
      </c>
      <c r="GV377" s="150" t="str">
        <f aca="false">IF(AND(ISNUMBER(GV72),ISNUMBER(GV$320),GV$320&lt;&gt;0),GV72*GV$320/GV$15,"")</f>
        <v/>
      </c>
      <c r="GW377" s="150" t="str">
        <f aca="false">IF(AND(ISNUMBER(GW72),ISNUMBER(GW$320),GW$320&lt;&gt;0),GW72*GW$320/GW$15,"")</f>
        <v/>
      </c>
      <c r="GX377" s="150" t="str">
        <f aca="false">IF(AND(ISNUMBER(GX72),ISNUMBER(GX$320),GX$320&lt;&gt;0),GX72*GX$320/GX$15,"")</f>
        <v/>
      </c>
      <c r="GY377" s="150" t="str">
        <f aca="false">IF(AND(ISNUMBER(GY72),ISNUMBER(GY$320),GY$320&lt;&gt;0),GY72*GY$320/GY$15,"")</f>
        <v/>
      </c>
      <c r="GZ377" s="150" t="str">
        <f aca="false">IF(AND(ISNUMBER(GZ72),ISNUMBER(GZ$320),GZ$320&lt;&gt;0),GZ72*GZ$320/GZ$15,"")</f>
        <v/>
      </c>
      <c r="HA377" s="150" t="str">
        <f aca="false">IF(AND(ISNUMBER(HA72),ISNUMBER(HA$320),HA$320&lt;&gt;0),HA72*HA$320/HA$15,"")</f>
        <v/>
      </c>
      <c r="HB377" s="150" t="str">
        <f aca="false">IF(AND(ISNUMBER(HB72),ISNUMBER(HB$320),HB$320&lt;&gt;0),HB72*HB$320/HB$15,"")</f>
        <v/>
      </c>
      <c r="HC377" s="150" t="str">
        <f aca="false">IF(AND(ISNUMBER(HC72),ISNUMBER(HC$320),HC$320&lt;&gt;0),HC72*HC$320/HC$15,"")</f>
        <v/>
      </c>
      <c r="HD377" s="150" t="str">
        <f aca="false">IF(AND(ISNUMBER(HD72),ISNUMBER(HD$320),HD$320&lt;&gt;0),HD72*HD$320/HD$15,"")</f>
        <v/>
      </c>
      <c r="HE377" s="150" t="str">
        <f aca="false">IF(AND(ISNUMBER(HE72),ISNUMBER(HE$320),HE$320&lt;&gt;0),HE72*HE$320/HE$15,"")</f>
        <v/>
      </c>
      <c r="HF377" s="150" t="str">
        <f aca="false">IF(AND(ISNUMBER(HF72),ISNUMBER(HF$320),HF$320&lt;&gt;0),HF72*HF$320/HF$15,"")</f>
        <v/>
      </c>
      <c r="HG377" s="150" t="str">
        <f aca="false">IF(AND(ISNUMBER(HG72),ISNUMBER(HG$320),HG$320&lt;&gt;0),HG72*HG$320/HG$15,"")</f>
        <v/>
      </c>
      <c r="HH377" s="150" t="str">
        <f aca="false">IF(AND(ISNUMBER(HH72),ISNUMBER(HH$320),HH$320&lt;&gt;0),HH72*HH$320/HH$15,"")</f>
        <v/>
      </c>
      <c r="HI377" s="150" t="str">
        <f aca="false">IF(AND(ISNUMBER(HI72),ISNUMBER(HI$320),HI$320&lt;&gt;0),HI72*HI$320/HI$15,"")</f>
        <v/>
      </c>
      <c r="HJ377" s="150" t="str">
        <f aca="false">IF(AND(ISNUMBER(HJ72),ISNUMBER(HJ$320),HJ$320&lt;&gt;0),HJ72*HJ$320/HJ$15,"")</f>
        <v/>
      </c>
      <c r="HK377" s="150" t="str">
        <f aca="false">IF(AND(ISNUMBER(HK72),ISNUMBER(HK$320),HK$320&lt;&gt;0),HK72*HK$320/HK$15,"")</f>
        <v/>
      </c>
      <c r="HL377" s="150" t="str">
        <f aca="false">IF(AND(ISNUMBER(HL72),ISNUMBER(HL$320),HL$320&lt;&gt;0),HL72*HL$320/HL$15,"")</f>
        <v/>
      </c>
      <c r="HM377" s="150" t="str">
        <f aca="false">IF(AND(ISNUMBER(HM72),ISNUMBER(HM$320),HM$320&lt;&gt;0),HM72*HM$320/HM$15,"")</f>
        <v/>
      </c>
      <c r="HN377" s="150" t="str">
        <f aca="false">IF(AND(ISNUMBER(HN72),ISNUMBER(HN$320),HN$320&lt;&gt;0),HN72*HN$320/HN$15,"")</f>
        <v/>
      </c>
      <c r="HO377" s="150" t="str">
        <f aca="false">IF(AND(ISNUMBER(HO72),ISNUMBER(HO$320),HO$320&lt;&gt;0),HO72*HO$320/HO$15,"")</f>
        <v/>
      </c>
      <c r="HP377" s="150" t="str">
        <f aca="false">IF(AND(ISNUMBER(HP72),ISNUMBER(HP$320),HP$320&lt;&gt;0),HP72*HP$320/HP$15,"")</f>
        <v/>
      </c>
      <c r="HQ377" s="150" t="str">
        <f aca="false">IF(AND(ISNUMBER(HQ72),ISNUMBER(HQ$320),HQ$320&lt;&gt;0),HQ72*HQ$320/HQ$15,"")</f>
        <v/>
      </c>
      <c r="HR377" s="150" t="str">
        <f aca="false">IF(AND(ISNUMBER(HR72),ISNUMBER(HR$320),HR$320&lt;&gt;0),HR72*HR$320/HR$15,"")</f>
        <v/>
      </c>
      <c r="HS377" s="150" t="str">
        <f aca="false">IF(AND(ISNUMBER(HS72),ISNUMBER(HS$320),HS$320&lt;&gt;0),HS72*HS$320/HS$15,"")</f>
        <v/>
      </c>
      <c r="HT377" s="150" t="str">
        <f aca="false">IF(AND(ISNUMBER(HT72),ISNUMBER(HT$320),HT$320&lt;&gt;0),HT72*HT$320/HT$15,"")</f>
        <v/>
      </c>
      <c r="HU377" s="150" t="str">
        <f aca="false">IF(AND(ISNUMBER(HU72),ISNUMBER(HU$320),HU$320&lt;&gt;0),HU72*HU$320/HU$15,"")</f>
        <v/>
      </c>
      <c r="HV377" s="150" t="str">
        <f aca="false">IF(AND(ISNUMBER(HV72),ISNUMBER(HV$320),HV$320&lt;&gt;0),HV72*HV$320/HV$15,"")</f>
        <v/>
      </c>
      <c r="HW377" s="150" t="str">
        <f aca="false">IF(AND(ISNUMBER(HW72),ISNUMBER(HW$320),HW$320&lt;&gt;0),HW72*HW$320/HW$15,"")</f>
        <v/>
      </c>
      <c r="HX377" s="150" t="str">
        <f aca="false">IF(AND(ISNUMBER(HX72),ISNUMBER(HX$320),HX$320&lt;&gt;0),HX72*HX$320/HX$15,"")</f>
        <v/>
      </c>
      <c r="HY377" s="150" t="str">
        <f aca="false">IF(AND(ISNUMBER(HY72),ISNUMBER(HY$320),HY$320&lt;&gt;0),HY72*HY$320/HY$15,"")</f>
        <v/>
      </c>
      <c r="HZ377" s="150" t="str">
        <f aca="false">IF(AND(ISNUMBER(HZ72),ISNUMBER(HZ$320),HZ$320&lt;&gt;0),HZ72*HZ$320/HZ$15,"")</f>
        <v/>
      </c>
      <c r="IA377" s="150" t="str">
        <f aca="false">IF(AND(ISNUMBER(IA72),ISNUMBER(IA$320),IA$320&lt;&gt;0),IA72*IA$320/IA$15,"")</f>
        <v/>
      </c>
      <c r="IB377" s="150" t="str">
        <f aca="false">IF(AND(ISNUMBER(IB72),ISNUMBER(IB$320),IB$320&lt;&gt;0),IB72*IB$320/IB$15,"")</f>
        <v/>
      </c>
      <c r="IC377" s="150" t="str">
        <f aca="false">IF(AND(ISNUMBER(IC72),ISNUMBER(IC$320),IC$320&lt;&gt;0),IC72*IC$320/IC$15,"")</f>
        <v/>
      </c>
      <c r="ID377" s="572" t="str">
        <f aca="false">IF(AND(ISNUMBER(ID72),ISNUMBER(ID$320),ID$320&lt;&gt;0),ID72*ID$320/ID$15,"")</f>
        <v/>
      </c>
    </row>
    <row r="378" customFormat="false" ht="12.75" hidden="false" customHeight="false" outlineLevel="0" collapsed="false">
      <c r="I378" s="735"/>
      <c r="J378" s="727"/>
      <c r="K378" s="195"/>
      <c r="L378" s="195"/>
      <c r="M378" s="729"/>
      <c r="P378" s="727"/>
      <c r="S378" s="1"/>
      <c r="T378" s="727"/>
      <c r="U378" s="195"/>
      <c r="V378" s="195"/>
      <c r="W378" s="195"/>
      <c r="X378" s="195"/>
      <c r="Y378" s="195"/>
      <c r="Z378" s="195"/>
      <c r="AA378" s="195"/>
      <c r="AB378" s="195"/>
      <c r="AC378" s="195"/>
      <c r="AD378" s="195"/>
      <c r="AE378" s="195"/>
      <c r="AF378" s="195"/>
      <c r="AG378" s="195"/>
      <c r="AH378" s="195"/>
      <c r="AI378" s="195"/>
      <c r="AJ378" s="195"/>
      <c r="AK378" s="195"/>
      <c r="AL378" s="195"/>
      <c r="AM378" s="195"/>
      <c r="AN378" s="532"/>
      <c r="AO378" s="532"/>
      <c r="AP378" s="240"/>
      <c r="AQ378" s="532"/>
      <c r="AR378" s="240"/>
      <c r="AS378" s="240"/>
      <c r="AT378" s="240"/>
      <c r="AU378" s="730"/>
      <c r="AV378" s="730"/>
      <c r="AW378" s="730"/>
      <c r="AX378" s="730"/>
      <c r="AY378" s="468"/>
      <c r="AZ378" s="468"/>
      <c r="BA378" s="240"/>
      <c r="BB378" s="240"/>
      <c r="BC378" s="240"/>
      <c r="BD378" s="240"/>
      <c r="BE378" s="672"/>
      <c r="BF378" s="672"/>
      <c r="BG378" s="672"/>
      <c r="BH378" s="731"/>
      <c r="BI378" s="672"/>
      <c r="BJ378" s="240"/>
      <c r="BK378" s="736"/>
      <c r="BL378" s="737"/>
      <c r="BM378" s="240"/>
      <c r="BN378" s="240"/>
      <c r="BO378" s="240"/>
      <c r="BP378" s="240"/>
      <c r="BQ378" s="240"/>
      <c r="BR378" s="240"/>
      <c r="BS378" s="240"/>
      <c r="BT378" s="240"/>
      <c r="BU378" s="240"/>
      <c r="BV378" s="240"/>
      <c r="BW378" s="240"/>
      <c r="BX378" s="240"/>
      <c r="BY378" s="240"/>
      <c r="BZ378" s="240"/>
      <c r="CA378" s="240"/>
      <c r="CB378" s="672"/>
      <c r="CC378" s="672"/>
      <c r="CD378" s="672"/>
      <c r="CE378" s="672"/>
      <c r="CF378" s="672"/>
      <c r="CG378" s="672"/>
      <c r="CH378" s="240"/>
      <c r="CI378" s="240"/>
      <c r="CJ378" s="240"/>
      <c r="CK378" s="240"/>
      <c r="CL378" s="240"/>
      <c r="CM378" s="240"/>
      <c r="CN378" s="240"/>
      <c r="CO378" s="240"/>
      <c r="CP378" s="240"/>
      <c r="CQ378" s="240"/>
      <c r="CR378" s="240"/>
      <c r="CS378" s="240"/>
      <c r="CT378" s="240"/>
      <c r="CU378" s="240"/>
      <c r="CV378" s="240"/>
      <c r="CW378" s="240"/>
      <c r="CX378" s="240"/>
      <c r="CY378" s="240"/>
      <c r="CZ378" s="240"/>
      <c r="DA378" s="240"/>
      <c r="DB378" s="240"/>
      <c r="DC378" s="240"/>
      <c r="DD378" s="240"/>
      <c r="DE378" s="240"/>
      <c r="DF378" s="240"/>
      <c r="DG378" s="733"/>
      <c r="DH378" s="478"/>
      <c r="DI378" s="195"/>
      <c r="DJ378" s="3"/>
      <c r="DK378" s="478"/>
      <c r="DL378" s="4"/>
      <c r="DM378" s="4"/>
      <c r="DN378" s="4"/>
      <c r="DO378" s="4"/>
      <c r="DP378" s="4"/>
      <c r="DQ378" s="4"/>
      <c r="DS378" s="195"/>
      <c r="DT378" s="195"/>
      <c r="DU378" s="195"/>
      <c r="DV378" s="195"/>
      <c r="DW378" s="195"/>
      <c r="DX378" s="195"/>
      <c r="DY378" s="195"/>
      <c r="DZ378" s="195"/>
      <c r="EA378" s="195"/>
      <c r="EB378" s="195"/>
      <c r="EC378" s="195"/>
      <c r="ED378" s="195"/>
      <c r="EE378" s="195"/>
      <c r="EF378" s="195"/>
      <c r="EG378" s="195"/>
      <c r="EL378" s="1"/>
      <c r="EM378" s="195"/>
      <c r="EN378" s="240"/>
      <c r="EO378" s="240"/>
      <c r="EP378" s="195"/>
      <c r="EQ378" s="240"/>
      <c r="ER378" s="195"/>
      <c r="ES378" s="195"/>
      <c r="ET378" s="195"/>
      <c r="EU378" s="672"/>
      <c r="FJ378" s="571" t="n">
        <v>54</v>
      </c>
      <c r="FK378" s="150" t="str">
        <f aca="false">IF(AND(ISNUMBER(FK73),ISNUMBER(FK$320),FK$320&lt;&gt;0),FK73*FK$320/FK$15,"")</f>
        <v/>
      </c>
      <c r="FL378" s="150" t="str">
        <f aca="false">IF(AND(ISNUMBER(FL73),ISNUMBER(FL$320),FL$320&lt;&gt;0),FL73*FL$320/FL$15,"")</f>
        <v/>
      </c>
      <c r="FM378" s="150" t="n">
        <f aca="false">IF(AND(ISNUMBER(FM73),ISNUMBER(FM$320),FM$320&lt;&gt;0),FM73*FM$320/FM$15,"")</f>
        <v>0.00254810115609302</v>
      </c>
      <c r="FN378" s="150" t="n">
        <f aca="false">IF(AND(ISNUMBER(FN73),ISNUMBER(FN$320),FN$320&lt;&gt;0),FN73*FN$320/FN$15,"")</f>
        <v>0.00214485074138873</v>
      </c>
      <c r="FO378" s="150" t="n">
        <f aca="false">IF(AND(ISNUMBER(FO73),ISNUMBER(FO$320),FO$320&lt;&gt;0),FO73*FO$320/FO$15,"")</f>
        <v>0.00223119400018189</v>
      </c>
      <c r="FP378" s="150" t="n">
        <f aca="false">IF(AND(ISNUMBER(FP73),ISNUMBER(FP$320),FP$320&lt;&gt;0),FP73*FP$320/FP$15,"")</f>
        <v>0.00123634617582801</v>
      </c>
      <c r="FQ378" s="150" t="str">
        <f aca="false">IF(AND(ISNUMBER(FQ73),ISNUMBER(FQ$320),FQ$320&lt;&gt;0),FQ73*FQ$320/FQ$15,"")</f>
        <v/>
      </c>
      <c r="FR378" s="150" t="str">
        <f aca="false">IF(AND(ISNUMBER(FR73),ISNUMBER(FR$320),FR$320&lt;&gt;0),FR73*FR$320/FR$15,"")</f>
        <v/>
      </c>
      <c r="FS378" s="150" t="str">
        <f aca="false">IF(AND(ISNUMBER(FS73),ISNUMBER(FS$320),FS$320&lt;&gt;0),FS73*FS$320/FS$15,"")</f>
        <v/>
      </c>
      <c r="FT378" s="150" t="str">
        <f aca="false">IF(AND(ISNUMBER(FT73),ISNUMBER(FT$320),FT$320&lt;&gt;0),FT73*FT$320/FT$15,"")</f>
        <v/>
      </c>
      <c r="FU378" s="150" t="str">
        <f aca="false">IF(AND(ISNUMBER(FU73),ISNUMBER(FU$320),FU$320&lt;&gt;0),FU73*FU$320/FU$15,"")</f>
        <v/>
      </c>
      <c r="FV378" s="150" t="str">
        <f aca="false">IF(AND(ISNUMBER(FV73),ISNUMBER(FV$320),FV$320&lt;&gt;0),FV73*FV$320/FV$15,"")</f>
        <v/>
      </c>
      <c r="FW378" s="150" t="str">
        <f aca="false">IF(AND(ISNUMBER(FW73),ISNUMBER(FW$320),FW$320&lt;&gt;0),FW73*FW$320/FW$15,"")</f>
        <v/>
      </c>
      <c r="FX378" s="150" t="str">
        <f aca="false">IF(AND(ISNUMBER(FX73),ISNUMBER(FX$320),FX$320&lt;&gt;0),FX73*FX$320/FX$15,"")</f>
        <v/>
      </c>
      <c r="FY378" s="150" t="str">
        <f aca="false">IF(AND(ISNUMBER(FY73),ISNUMBER(FY$320),FY$320&lt;&gt;0),FY73*FY$320/FY$15,"")</f>
        <v/>
      </c>
      <c r="FZ378" s="150" t="str">
        <f aca="false">IF(AND(ISNUMBER(FZ73),ISNUMBER(FZ$320),FZ$320&lt;&gt;0),FZ73*FZ$320/FZ$15,"")</f>
        <v/>
      </c>
      <c r="GA378" s="150" t="str">
        <f aca="false">IF(AND(ISNUMBER(GA73),ISNUMBER(GA$320),GA$320&lt;&gt;0),GA73*GA$320/GA$15,"")</f>
        <v/>
      </c>
      <c r="GB378" s="150" t="str">
        <f aca="false">IF(AND(ISNUMBER(GB73),ISNUMBER(GB$320),GB$320&lt;&gt;0),GB73*GB$320/GB$15,"")</f>
        <v/>
      </c>
      <c r="GC378" s="150" t="str">
        <f aca="false">IF(AND(ISNUMBER(GC73),ISNUMBER(GC$320),GC$320&lt;&gt;0),GC73*GC$320/GC$15,"")</f>
        <v/>
      </c>
      <c r="GD378" s="150" t="str">
        <f aca="false">IF(AND(ISNUMBER(GD73),ISNUMBER(GD$320),GD$320&lt;&gt;0),GD73*GD$320/GD$15,"")</f>
        <v/>
      </c>
      <c r="GE378" s="150" t="str">
        <f aca="false">IF(AND(ISNUMBER(GE73),ISNUMBER(GE$320),GE$320&lt;&gt;0),GE73*GE$320/GE$15,"")</f>
        <v/>
      </c>
      <c r="GF378" s="150" t="str">
        <f aca="false">IF(AND(ISNUMBER(GF73),ISNUMBER(GF$320),GF$320&lt;&gt;0),GF73*GF$320/GF$15,"")</f>
        <v/>
      </c>
      <c r="GG378" s="150" t="str">
        <f aca="false">IF(AND(ISNUMBER(GG73),ISNUMBER(GG$320),GG$320&lt;&gt;0),GG73*GG$320/GG$15,"")</f>
        <v/>
      </c>
      <c r="GH378" s="150" t="str">
        <f aca="false">IF(AND(ISNUMBER(GH73),ISNUMBER(GH$320),GH$320&lt;&gt;0),GH73*GH$320/GH$15,"")</f>
        <v/>
      </c>
      <c r="GI378" s="150" t="str">
        <f aca="false">IF(AND(ISNUMBER(GI73),ISNUMBER(GI$320),GI$320&lt;&gt;0),GI73*GI$320/GI$15,"")</f>
        <v/>
      </c>
      <c r="GJ378" s="150" t="str">
        <f aca="false">IF(AND(ISNUMBER(GJ73),ISNUMBER(GJ$320),GJ$320&lt;&gt;0),GJ73*GJ$320/GJ$15,"")</f>
        <v/>
      </c>
      <c r="GK378" s="150" t="str">
        <f aca="false">IF(AND(ISNUMBER(GK73),ISNUMBER(GK$320),GK$320&lt;&gt;0),GK73*GK$320/GK$15,"")</f>
        <v/>
      </c>
      <c r="GL378" s="150" t="str">
        <f aca="false">IF(AND(ISNUMBER(GL73),ISNUMBER(GL$320),GL$320&lt;&gt;0),GL73*GL$320/GL$15,"")</f>
        <v/>
      </c>
      <c r="GM378" s="150" t="str">
        <f aca="false">IF(AND(ISNUMBER(GM73),ISNUMBER(GM$320),GM$320&lt;&gt;0),GM73*GM$320/GM$15,"")</f>
        <v/>
      </c>
      <c r="GN378" s="150" t="str">
        <f aca="false">IF(AND(ISNUMBER(GN73),ISNUMBER(GN$320),GN$320&lt;&gt;0),GN73*GN$320/GN$15,"")</f>
        <v/>
      </c>
      <c r="GO378" s="150" t="str">
        <f aca="false">IF(AND(ISNUMBER(GO73),ISNUMBER(GO$320),GO$320&lt;&gt;0),GO73*GO$320/GO$15,"")</f>
        <v/>
      </c>
      <c r="GP378" s="150" t="str">
        <f aca="false">IF(AND(ISNUMBER(GP73),ISNUMBER(GP$320),GP$320&lt;&gt;0),GP73*GP$320/GP$15,"")</f>
        <v/>
      </c>
      <c r="GQ378" s="150" t="str">
        <f aca="false">IF(AND(ISNUMBER(GQ73),ISNUMBER(GQ$320),GQ$320&lt;&gt;0),GQ73*GQ$320/GQ$15,"")</f>
        <v/>
      </c>
      <c r="GR378" s="150" t="str">
        <f aca="false">IF(AND(ISNUMBER(GR73),ISNUMBER(GR$320),GR$320&lt;&gt;0),GR73*GR$320/GR$15,"")</f>
        <v/>
      </c>
      <c r="GS378" s="150" t="str">
        <f aca="false">IF(AND(ISNUMBER(GS73),ISNUMBER(GS$320),GS$320&lt;&gt;0),GS73*GS$320/GS$15,"")</f>
        <v/>
      </c>
      <c r="GT378" s="150" t="str">
        <f aca="false">IF(AND(ISNUMBER(GT73),ISNUMBER(GT$320),GT$320&lt;&gt;0),GT73*GT$320/GT$15,"")</f>
        <v/>
      </c>
      <c r="GU378" s="150" t="str">
        <f aca="false">IF(AND(ISNUMBER(GU73),ISNUMBER(GU$320),GU$320&lt;&gt;0),GU73*GU$320/GU$15,"")</f>
        <v/>
      </c>
      <c r="GV378" s="150" t="str">
        <f aca="false">IF(AND(ISNUMBER(GV73),ISNUMBER(GV$320),GV$320&lt;&gt;0),GV73*GV$320/GV$15,"")</f>
        <v/>
      </c>
      <c r="GW378" s="150" t="str">
        <f aca="false">IF(AND(ISNUMBER(GW73),ISNUMBER(GW$320),GW$320&lt;&gt;0),GW73*GW$320/GW$15,"")</f>
        <v/>
      </c>
      <c r="GX378" s="150" t="str">
        <f aca="false">IF(AND(ISNUMBER(GX73),ISNUMBER(GX$320),GX$320&lt;&gt;0),GX73*GX$320/GX$15,"")</f>
        <v/>
      </c>
      <c r="GY378" s="150" t="str">
        <f aca="false">IF(AND(ISNUMBER(GY73),ISNUMBER(GY$320),GY$320&lt;&gt;0),GY73*GY$320/GY$15,"")</f>
        <v/>
      </c>
      <c r="GZ378" s="150" t="str">
        <f aca="false">IF(AND(ISNUMBER(GZ73),ISNUMBER(GZ$320),GZ$320&lt;&gt;0),GZ73*GZ$320/GZ$15,"")</f>
        <v/>
      </c>
      <c r="HA378" s="150" t="str">
        <f aca="false">IF(AND(ISNUMBER(HA73),ISNUMBER(HA$320),HA$320&lt;&gt;0),HA73*HA$320/HA$15,"")</f>
        <v/>
      </c>
      <c r="HB378" s="150" t="str">
        <f aca="false">IF(AND(ISNUMBER(HB73),ISNUMBER(HB$320),HB$320&lt;&gt;0),HB73*HB$320/HB$15,"")</f>
        <v/>
      </c>
      <c r="HC378" s="150" t="str">
        <f aca="false">IF(AND(ISNUMBER(HC73),ISNUMBER(HC$320),HC$320&lt;&gt;0),HC73*HC$320/HC$15,"")</f>
        <v/>
      </c>
      <c r="HD378" s="150" t="str">
        <f aca="false">IF(AND(ISNUMBER(HD73),ISNUMBER(HD$320),HD$320&lt;&gt;0),HD73*HD$320/HD$15,"")</f>
        <v/>
      </c>
      <c r="HE378" s="150" t="str">
        <f aca="false">IF(AND(ISNUMBER(HE73),ISNUMBER(HE$320),HE$320&lt;&gt;0),HE73*HE$320/HE$15,"")</f>
        <v/>
      </c>
      <c r="HF378" s="150" t="str">
        <f aca="false">IF(AND(ISNUMBER(HF73),ISNUMBER(HF$320),HF$320&lt;&gt;0),HF73*HF$320/HF$15,"")</f>
        <v/>
      </c>
      <c r="HG378" s="150" t="str">
        <f aca="false">IF(AND(ISNUMBER(HG73),ISNUMBER(HG$320),HG$320&lt;&gt;0),HG73*HG$320/HG$15,"")</f>
        <v/>
      </c>
      <c r="HH378" s="150" t="str">
        <f aca="false">IF(AND(ISNUMBER(HH73),ISNUMBER(HH$320),HH$320&lt;&gt;0),HH73*HH$320/HH$15,"")</f>
        <v/>
      </c>
      <c r="HI378" s="150" t="str">
        <f aca="false">IF(AND(ISNUMBER(HI73),ISNUMBER(HI$320),HI$320&lt;&gt;0),HI73*HI$320/HI$15,"")</f>
        <v/>
      </c>
      <c r="HJ378" s="150" t="str">
        <f aca="false">IF(AND(ISNUMBER(HJ73),ISNUMBER(HJ$320),HJ$320&lt;&gt;0),HJ73*HJ$320/HJ$15,"")</f>
        <v/>
      </c>
      <c r="HK378" s="150" t="str">
        <f aca="false">IF(AND(ISNUMBER(HK73),ISNUMBER(HK$320),HK$320&lt;&gt;0),HK73*HK$320/HK$15,"")</f>
        <v/>
      </c>
      <c r="HL378" s="150" t="str">
        <f aca="false">IF(AND(ISNUMBER(HL73),ISNUMBER(HL$320),HL$320&lt;&gt;0),HL73*HL$320/HL$15,"")</f>
        <v/>
      </c>
      <c r="HM378" s="150" t="str">
        <f aca="false">IF(AND(ISNUMBER(HM73),ISNUMBER(HM$320),HM$320&lt;&gt;0),HM73*HM$320/HM$15,"")</f>
        <v/>
      </c>
      <c r="HN378" s="150" t="str">
        <f aca="false">IF(AND(ISNUMBER(HN73),ISNUMBER(HN$320),HN$320&lt;&gt;0),HN73*HN$320/HN$15,"")</f>
        <v/>
      </c>
      <c r="HO378" s="150" t="str">
        <f aca="false">IF(AND(ISNUMBER(HO73),ISNUMBER(HO$320),HO$320&lt;&gt;0),HO73*HO$320/HO$15,"")</f>
        <v/>
      </c>
      <c r="HP378" s="150" t="str">
        <f aca="false">IF(AND(ISNUMBER(HP73),ISNUMBER(HP$320),HP$320&lt;&gt;0),HP73*HP$320/HP$15,"")</f>
        <v/>
      </c>
      <c r="HQ378" s="150" t="str">
        <f aca="false">IF(AND(ISNUMBER(HQ73),ISNUMBER(HQ$320),HQ$320&lt;&gt;0),HQ73*HQ$320/HQ$15,"")</f>
        <v/>
      </c>
      <c r="HR378" s="150" t="str">
        <f aca="false">IF(AND(ISNUMBER(HR73),ISNUMBER(HR$320),HR$320&lt;&gt;0),HR73*HR$320/HR$15,"")</f>
        <v/>
      </c>
      <c r="HS378" s="150" t="str">
        <f aca="false">IF(AND(ISNUMBER(HS73),ISNUMBER(HS$320),HS$320&lt;&gt;0),HS73*HS$320/HS$15,"")</f>
        <v/>
      </c>
      <c r="HT378" s="150" t="str">
        <f aca="false">IF(AND(ISNUMBER(HT73),ISNUMBER(HT$320),HT$320&lt;&gt;0),HT73*HT$320/HT$15,"")</f>
        <v/>
      </c>
      <c r="HU378" s="150" t="str">
        <f aca="false">IF(AND(ISNUMBER(HU73),ISNUMBER(HU$320),HU$320&lt;&gt;0),HU73*HU$320/HU$15,"")</f>
        <v/>
      </c>
      <c r="HV378" s="150" t="str">
        <f aca="false">IF(AND(ISNUMBER(HV73),ISNUMBER(HV$320),HV$320&lt;&gt;0),HV73*HV$320/HV$15,"")</f>
        <v/>
      </c>
      <c r="HW378" s="150" t="str">
        <f aca="false">IF(AND(ISNUMBER(HW73),ISNUMBER(HW$320),HW$320&lt;&gt;0),HW73*HW$320/HW$15,"")</f>
        <v/>
      </c>
      <c r="HX378" s="150" t="str">
        <f aca="false">IF(AND(ISNUMBER(HX73),ISNUMBER(HX$320),HX$320&lt;&gt;0),HX73*HX$320/HX$15,"")</f>
        <v/>
      </c>
      <c r="HY378" s="150" t="str">
        <f aca="false">IF(AND(ISNUMBER(HY73),ISNUMBER(HY$320),HY$320&lt;&gt;0),HY73*HY$320/HY$15,"")</f>
        <v/>
      </c>
      <c r="HZ378" s="150" t="str">
        <f aca="false">IF(AND(ISNUMBER(HZ73),ISNUMBER(HZ$320),HZ$320&lt;&gt;0),HZ73*HZ$320/HZ$15,"")</f>
        <v/>
      </c>
      <c r="IA378" s="150" t="str">
        <f aca="false">IF(AND(ISNUMBER(IA73),ISNUMBER(IA$320),IA$320&lt;&gt;0),IA73*IA$320/IA$15,"")</f>
        <v/>
      </c>
      <c r="IB378" s="150" t="str">
        <f aca="false">IF(AND(ISNUMBER(IB73),ISNUMBER(IB$320),IB$320&lt;&gt;0),IB73*IB$320/IB$15,"")</f>
        <v/>
      </c>
      <c r="IC378" s="150" t="str">
        <f aca="false">IF(AND(ISNUMBER(IC73),ISNUMBER(IC$320),IC$320&lt;&gt;0),IC73*IC$320/IC$15,"")</f>
        <v/>
      </c>
      <c r="ID378" s="572" t="str">
        <f aca="false">IF(AND(ISNUMBER(ID73),ISNUMBER(ID$320),ID$320&lt;&gt;0),ID73*ID$320/ID$15,"")</f>
        <v/>
      </c>
    </row>
    <row r="379" customFormat="false" ht="12.75" hidden="false" customHeight="false" outlineLevel="0" collapsed="false">
      <c r="I379" s="735"/>
      <c r="J379" s="727"/>
      <c r="K379" s="195"/>
      <c r="L379" s="195"/>
      <c r="M379" s="729"/>
      <c r="P379" s="727"/>
      <c r="S379" s="1"/>
      <c r="T379" s="727"/>
      <c r="U379" s="195"/>
      <c r="V379" s="195"/>
      <c r="W379" s="195"/>
      <c r="X379" s="195"/>
      <c r="Y379" s="195"/>
      <c r="Z379" s="195"/>
      <c r="AA379" s="195"/>
      <c r="AB379" s="195"/>
      <c r="AC379" s="195"/>
      <c r="AD379" s="195"/>
      <c r="AE379" s="195"/>
      <c r="AF379" s="195"/>
      <c r="AG379" s="195"/>
      <c r="AH379" s="195"/>
      <c r="AI379" s="195"/>
      <c r="AJ379" s="195"/>
      <c r="AK379" s="195"/>
      <c r="AL379" s="195"/>
      <c r="AM379" s="195"/>
      <c r="AN379" s="532"/>
      <c r="AO379" s="532"/>
      <c r="AP379" s="240"/>
      <c r="AQ379" s="532"/>
      <c r="AR379" s="240"/>
      <c r="AS379" s="240"/>
      <c r="AT379" s="240"/>
      <c r="AU379" s="730"/>
      <c r="AV379" s="730"/>
      <c r="AW379" s="730"/>
      <c r="AX379" s="730"/>
      <c r="AY379" s="468"/>
      <c r="AZ379" s="468"/>
      <c r="BA379" s="240"/>
      <c r="BB379" s="240"/>
      <c r="BC379" s="240"/>
      <c r="BD379" s="240"/>
      <c r="BE379" s="672"/>
      <c r="BF379" s="672"/>
      <c r="BG379" s="672"/>
      <c r="BH379" s="731"/>
      <c r="BI379" s="672"/>
      <c r="BJ379" s="240"/>
      <c r="BK379" s="736"/>
      <c r="BL379" s="737"/>
      <c r="BM379" s="240"/>
      <c r="BN379" s="240"/>
      <c r="BO379" s="240"/>
      <c r="BP379" s="240"/>
      <c r="BQ379" s="240"/>
      <c r="BR379" s="240"/>
      <c r="BS379" s="240"/>
      <c r="BT379" s="240"/>
      <c r="BU379" s="240"/>
      <c r="BV379" s="240"/>
      <c r="BW379" s="240"/>
      <c r="BX379" s="240"/>
      <c r="BY379" s="240"/>
      <c r="BZ379" s="240"/>
      <c r="CA379" s="240"/>
      <c r="CB379" s="672"/>
      <c r="CC379" s="672"/>
      <c r="CD379" s="672"/>
      <c r="CE379" s="672"/>
      <c r="CF379" s="672"/>
      <c r="CG379" s="672"/>
      <c r="CH379" s="240"/>
      <c r="CI379" s="240"/>
      <c r="CJ379" s="240"/>
      <c r="CK379" s="240"/>
      <c r="CL379" s="240"/>
      <c r="CM379" s="240"/>
      <c r="CN379" s="240"/>
      <c r="CO379" s="240"/>
      <c r="CP379" s="240"/>
      <c r="CQ379" s="240"/>
      <c r="CR379" s="240"/>
      <c r="CS379" s="240"/>
      <c r="CT379" s="240"/>
      <c r="CU379" s="240"/>
      <c r="CV379" s="240"/>
      <c r="CW379" s="240"/>
      <c r="CX379" s="240"/>
      <c r="CY379" s="240"/>
      <c r="CZ379" s="240"/>
      <c r="DA379" s="240"/>
      <c r="DB379" s="240"/>
      <c r="DC379" s="240"/>
      <c r="DD379" s="240"/>
      <c r="DE379" s="240"/>
      <c r="DF379" s="240"/>
      <c r="DG379" s="733"/>
      <c r="DH379" s="478"/>
      <c r="DI379" s="195"/>
      <c r="DJ379" s="3"/>
      <c r="DK379" s="478"/>
      <c r="DL379" s="4"/>
      <c r="DM379" s="4"/>
      <c r="DN379" s="4"/>
      <c r="DO379" s="4"/>
      <c r="DP379" s="4"/>
      <c r="DQ379" s="4"/>
      <c r="DS379" s="195"/>
      <c r="DT379" s="195"/>
      <c r="DU379" s="195"/>
      <c r="DV379" s="195"/>
      <c r="DW379" s="195"/>
      <c r="DX379" s="195"/>
      <c r="DY379" s="195"/>
      <c r="DZ379" s="195"/>
      <c r="EA379" s="195"/>
      <c r="EB379" s="195"/>
      <c r="EC379" s="195"/>
      <c r="ED379" s="195"/>
      <c r="EE379" s="195"/>
      <c r="EF379" s="195"/>
      <c r="EG379" s="195"/>
      <c r="EL379" s="1"/>
      <c r="EM379" s="195"/>
      <c r="EN379" s="240"/>
      <c r="EO379" s="240"/>
      <c r="EP379" s="195"/>
      <c r="EQ379" s="240"/>
      <c r="ER379" s="195"/>
      <c r="ES379" s="195"/>
      <c r="ET379" s="195"/>
      <c r="EU379" s="672"/>
      <c r="FJ379" s="571" t="n">
        <v>55</v>
      </c>
      <c r="FK379" s="150" t="str">
        <f aca="false">IF(AND(ISNUMBER(FK74),ISNUMBER(FK$320),FK$320&lt;&gt;0),FK74*FK$320/FK$15,"")</f>
        <v/>
      </c>
      <c r="FL379" s="150" t="str">
        <f aca="false">IF(AND(ISNUMBER(FL74),ISNUMBER(FL$320),FL$320&lt;&gt;0),FL74*FL$320/FL$15,"")</f>
        <v/>
      </c>
      <c r="FM379" s="150" t="n">
        <f aca="false">IF(AND(ISNUMBER(FM74),ISNUMBER(FM$320),FM$320&lt;&gt;0),FM74*FM$320/FM$15,"")</f>
        <v>0.00254790706491836</v>
      </c>
      <c r="FN379" s="150" t="n">
        <f aca="false">IF(AND(ISNUMBER(FN74),ISNUMBER(FN$320),FN$320&lt;&gt;0),FN74*FN$320/FN$15,"")</f>
        <v>0.00214465965925415</v>
      </c>
      <c r="FO379" s="150" t="n">
        <f aca="false">IF(AND(ISNUMBER(FO74),ISNUMBER(FO$320),FO$320&lt;&gt;0),FO74*FO$320/FO$15,"")</f>
        <v>0.00223096151556187</v>
      </c>
      <c r="FP379" s="150" t="n">
        <f aca="false">IF(AND(ISNUMBER(FP74),ISNUMBER(FP$320),FP$320&lt;&gt;0),FP74*FP$320/FP$15,"")</f>
        <v>0.00123619550441219</v>
      </c>
      <c r="FQ379" s="150" t="str">
        <f aca="false">IF(AND(ISNUMBER(FQ74),ISNUMBER(FQ$320),FQ$320&lt;&gt;0),FQ74*FQ$320/FQ$15,"")</f>
        <v/>
      </c>
      <c r="FR379" s="150" t="str">
        <f aca="false">IF(AND(ISNUMBER(FR74),ISNUMBER(FR$320),FR$320&lt;&gt;0),FR74*FR$320/FR$15,"")</f>
        <v/>
      </c>
      <c r="FS379" s="150" t="str">
        <f aca="false">IF(AND(ISNUMBER(FS74),ISNUMBER(FS$320),FS$320&lt;&gt;0),FS74*FS$320/FS$15,"")</f>
        <v/>
      </c>
      <c r="FT379" s="150" t="str">
        <f aca="false">IF(AND(ISNUMBER(FT74),ISNUMBER(FT$320),FT$320&lt;&gt;0),FT74*FT$320/FT$15,"")</f>
        <v/>
      </c>
      <c r="FU379" s="150" t="str">
        <f aca="false">IF(AND(ISNUMBER(FU74),ISNUMBER(FU$320),FU$320&lt;&gt;0),FU74*FU$320/FU$15,"")</f>
        <v/>
      </c>
      <c r="FV379" s="150" t="str">
        <f aca="false">IF(AND(ISNUMBER(FV74),ISNUMBER(FV$320),FV$320&lt;&gt;0),FV74*FV$320/FV$15,"")</f>
        <v/>
      </c>
      <c r="FW379" s="150" t="str">
        <f aca="false">IF(AND(ISNUMBER(FW74),ISNUMBER(FW$320),FW$320&lt;&gt;0),FW74*FW$320/FW$15,"")</f>
        <v/>
      </c>
      <c r="FX379" s="150" t="str">
        <f aca="false">IF(AND(ISNUMBER(FX74),ISNUMBER(FX$320),FX$320&lt;&gt;0),FX74*FX$320/FX$15,"")</f>
        <v/>
      </c>
      <c r="FY379" s="150" t="str">
        <f aca="false">IF(AND(ISNUMBER(FY74),ISNUMBER(FY$320),FY$320&lt;&gt;0),FY74*FY$320/FY$15,"")</f>
        <v/>
      </c>
      <c r="FZ379" s="150" t="str">
        <f aca="false">IF(AND(ISNUMBER(FZ74),ISNUMBER(FZ$320),FZ$320&lt;&gt;0),FZ74*FZ$320/FZ$15,"")</f>
        <v/>
      </c>
      <c r="GA379" s="150" t="str">
        <f aca="false">IF(AND(ISNUMBER(GA74),ISNUMBER(GA$320),GA$320&lt;&gt;0),GA74*GA$320/GA$15,"")</f>
        <v/>
      </c>
      <c r="GB379" s="150" t="str">
        <f aca="false">IF(AND(ISNUMBER(GB74),ISNUMBER(GB$320),GB$320&lt;&gt;0),GB74*GB$320/GB$15,"")</f>
        <v/>
      </c>
      <c r="GC379" s="150" t="str">
        <f aca="false">IF(AND(ISNUMBER(GC74),ISNUMBER(GC$320),GC$320&lt;&gt;0),GC74*GC$320/GC$15,"")</f>
        <v/>
      </c>
      <c r="GD379" s="150" t="str">
        <f aca="false">IF(AND(ISNUMBER(GD74),ISNUMBER(GD$320),GD$320&lt;&gt;0),GD74*GD$320/GD$15,"")</f>
        <v/>
      </c>
      <c r="GE379" s="150" t="str">
        <f aca="false">IF(AND(ISNUMBER(GE74),ISNUMBER(GE$320),GE$320&lt;&gt;0),GE74*GE$320/GE$15,"")</f>
        <v/>
      </c>
      <c r="GF379" s="150" t="str">
        <f aca="false">IF(AND(ISNUMBER(GF74),ISNUMBER(GF$320),GF$320&lt;&gt;0),GF74*GF$320/GF$15,"")</f>
        <v/>
      </c>
      <c r="GG379" s="150" t="str">
        <f aca="false">IF(AND(ISNUMBER(GG74),ISNUMBER(GG$320),GG$320&lt;&gt;0),GG74*GG$320/GG$15,"")</f>
        <v/>
      </c>
      <c r="GH379" s="150" t="str">
        <f aca="false">IF(AND(ISNUMBER(GH74),ISNUMBER(GH$320),GH$320&lt;&gt;0),GH74*GH$320/GH$15,"")</f>
        <v/>
      </c>
      <c r="GI379" s="150" t="str">
        <f aca="false">IF(AND(ISNUMBER(GI74),ISNUMBER(GI$320),GI$320&lt;&gt;0),GI74*GI$320/GI$15,"")</f>
        <v/>
      </c>
      <c r="GJ379" s="150" t="str">
        <f aca="false">IF(AND(ISNUMBER(GJ74),ISNUMBER(GJ$320),GJ$320&lt;&gt;0),GJ74*GJ$320/GJ$15,"")</f>
        <v/>
      </c>
      <c r="GK379" s="150" t="str">
        <f aca="false">IF(AND(ISNUMBER(GK74),ISNUMBER(GK$320),GK$320&lt;&gt;0),GK74*GK$320/GK$15,"")</f>
        <v/>
      </c>
      <c r="GL379" s="150" t="str">
        <f aca="false">IF(AND(ISNUMBER(GL74),ISNUMBER(GL$320),GL$320&lt;&gt;0),GL74*GL$320/GL$15,"")</f>
        <v/>
      </c>
      <c r="GM379" s="150" t="str">
        <f aca="false">IF(AND(ISNUMBER(GM74),ISNUMBER(GM$320),GM$320&lt;&gt;0),GM74*GM$320/GM$15,"")</f>
        <v/>
      </c>
      <c r="GN379" s="150" t="str">
        <f aca="false">IF(AND(ISNUMBER(GN74),ISNUMBER(GN$320),GN$320&lt;&gt;0),GN74*GN$320/GN$15,"")</f>
        <v/>
      </c>
      <c r="GO379" s="150" t="str">
        <f aca="false">IF(AND(ISNUMBER(GO74),ISNUMBER(GO$320),GO$320&lt;&gt;0),GO74*GO$320/GO$15,"")</f>
        <v/>
      </c>
      <c r="GP379" s="150" t="str">
        <f aca="false">IF(AND(ISNUMBER(GP74),ISNUMBER(GP$320),GP$320&lt;&gt;0),GP74*GP$320/GP$15,"")</f>
        <v/>
      </c>
      <c r="GQ379" s="150" t="str">
        <f aca="false">IF(AND(ISNUMBER(GQ74),ISNUMBER(GQ$320),GQ$320&lt;&gt;0),GQ74*GQ$320/GQ$15,"")</f>
        <v/>
      </c>
      <c r="GR379" s="150" t="str">
        <f aca="false">IF(AND(ISNUMBER(GR74),ISNUMBER(GR$320),GR$320&lt;&gt;0),GR74*GR$320/GR$15,"")</f>
        <v/>
      </c>
      <c r="GS379" s="150" t="str">
        <f aca="false">IF(AND(ISNUMBER(GS74),ISNUMBER(GS$320),GS$320&lt;&gt;0),GS74*GS$320/GS$15,"")</f>
        <v/>
      </c>
      <c r="GT379" s="150" t="str">
        <f aca="false">IF(AND(ISNUMBER(GT74),ISNUMBER(GT$320),GT$320&lt;&gt;0),GT74*GT$320/GT$15,"")</f>
        <v/>
      </c>
      <c r="GU379" s="150" t="str">
        <f aca="false">IF(AND(ISNUMBER(GU74),ISNUMBER(GU$320),GU$320&lt;&gt;0),GU74*GU$320/GU$15,"")</f>
        <v/>
      </c>
      <c r="GV379" s="150" t="str">
        <f aca="false">IF(AND(ISNUMBER(GV74),ISNUMBER(GV$320),GV$320&lt;&gt;0),GV74*GV$320/GV$15,"")</f>
        <v/>
      </c>
      <c r="GW379" s="150" t="str">
        <f aca="false">IF(AND(ISNUMBER(GW74),ISNUMBER(GW$320),GW$320&lt;&gt;0),GW74*GW$320/GW$15,"")</f>
        <v/>
      </c>
      <c r="GX379" s="150" t="str">
        <f aca="false">IF(AND(ISNUMBER(GX74),ISNUMBER(GX$320),GX$320&lt;&gt;0),GX74*GX$320/GX$15,"")</f>
        <v/>
      </c>
      <c r="GY379" s="150" t="str">
        <f aca="false">IF(AND(ISNUMBER(GY74),ISNUMBER(GY$320),GY$320&lt;&gt;0),GY74*GY$320/GY$15,"")</f>
        <v/>
      </c>
      <c r="GZ379" s="150" t="str">
        <f aca="false">IF(AND(ISNUMBER(GZ74),ISNUMBER(GZ$320),GZ$320&lt;&gt;0),GZ74*GZ$320/GZ$15,"")</f>
        <v/>
      </c>
      <c r="HA379" s="150" t="str">
        <f aca="false">IF(AND(ISNUMBER(HA74),ISNUMBER(HA$320),HA$320&lt;&gt;0),HA74*HA$320/HA$15,"")</f>
        <v/>
      </c>
      <c r="HB379" s="150" t="str">
        <f aca="false">IF(AND(ISNUMBER(HB74),ISNUMBER(HB$320),HB$320&lt;&gt;0),HB74*HB$320/HB$15,"")</f>
        <v/>
      </c>
      <c r="HC379" s="150" t="str">
        <f aca="false">IF(AND(ISNUMBER(HC74),ISNUMBER(HC$320),HC$320&lt;&gt;0),HC74*HC$320/HC$15,"")</f>
        <v/>
      </c>
      <c r="HD379" s="150" t="str">
        <f aca="false">IF(AND(ISNUMBER(HD74),ISNUMBER(HD$320),HD$320&lt;&gt;0),HD74*HD$320/HD$15,"")</f>
        <v/>
      </c>
      <c r="HE379" s="150" t="str">
        <f aca="false">IF(AND(ISNUMBER(HE74),ISNUMBER(HE$320),HE$320&lt;&gt;0),HE74*HE$320/HE$15,"")</f>
        <v/>
      </c>
      <c r="HF379" s="150" t="str">
        <f aca="false">IF(AND(ISNUMBER(HF74),ISNUMBER(HF$320),HF$320&lt;&gt;0),HF74*HF$320/HF$15,"")</f>
        <v/>
      </c>
      <c r="HG379" s="150" t="str">
        <f aca="false">IF(AND(ISNUMBER(HG74),ISNUMBER(HG$320),HG$320&lt;&gt;0),HG74*HG$320/HG$15,"")</f>
        <v/>
      </c>
      <c r="HH379" s="150" t="str">
        <f aca="false">IF(AND(ISNUMBER(HH74),ISNUMBER(HH$320),HH$320&lt;&gt;0),HH74*HH$320/HH$15,"")</f>
        <v/>
      </c>
      <c r="HI379" s="150" t="str">
        <f aca="false">IF(AND(ISNUMBER(HI74),ISNUMBER(HI$320),HI$320&lt;&gt;0),HI74*HI$320/HI$15,"")</f>
        <v/>
      </c>
      <c r="HJ379" s="150" t="str">
        <f aca="false">IF(AND(ISNUMBER(HJ74),ISNUMBER(HJ$320),HJ$320&lt;&gt;0),HJ74*HJ$320/HJ$15,"")</f>
        <v/>
      </c>
      <c r="HK379" s="150" t="str">
        <f aca="false">IF(AND(ISNUMBER(HK74),ISNUMBER(HK$320),HK$320&lt;&gt;0),HK74*HK$320/HK$15,"")</f>
        <v/>
      </c>
      <c r="HL379" s="150" t="str">
        <f aca="false">IF(AND(ISNUMBER(HL74),ISNUMBER(HL$320),HL$320&lt;&gt;0),HL74*HL$320/HL$15,"")</f>
        <v/>
      </c>
      <c r="HM379" s="150" t="str">
        <f aca="false">IF(AND(ISNUMBER(HM74),ISNUMBER(HM$320),HM$320&lt;&gt;0),HM74*HM$320/HM$15,"")</f>
        <v/>
      </c>
      <c r="HN379" s="150" t="str">
        <f aca="false">IF(AND(ISNUMBER(HN74),ISNUMBER(HN$320),HN$320&lt;&gt;0),HN74*HN$320/HN$15,"")</f>
        <v/>
      </c>
      <c r="HO379" s="150" t="str">
        <f aca="false">IF(AND(ISNUMBER(HO74),ISNUMBER(HO$320),HO$320&lt;&gt;0),HO74*HO$320/HO$15,"")</f>
        <v/>
      </c>
      <c r="HP379" s="150" t="str">
        <f aca="false">IF(AND(ISNUMBER(HP74),ISNUMBER(HP$320),HP$320&lt;&gt;0),HP74*HP$320/HP$15,"")</f>
        <v/>
      </c>
      <c r="HQ379" s="150" t="str">
        <f aca="false">IF(AND(ISNUMBER(HQ74),ISNUMBER(HQ$320),HQ$320&lt;&gt;0),HQ74*HQ$320/HQ$15,"")</f>
        <v/>
      </c>
      <c r="HR379" s="150" t="str">
        <f aca="false">IF(AND(ISNUMBER(HR74),ISNUMBER(HR$320),HR$320&lt;&gt;0),HR74*HR$320/HR$15,"")</f>
        <v/>
      </c>
      <c r="HS379" s="150" t="str">
        <f aca="false">IF(AND(ISNUMBER(HS74),ISNUMBER(HS$320),HS$320&lt;&gt;0),HS74*HS$320/HS$15,"")</f>
        <v/>
      </c>
      <c r="HT379" s="150" t="str">
        <f aca="false">IF(AND(ISNUMBER(HT74),ISNUMBER(HT$320),HT$320&lt;&gt;0),HT74*HT$320/HT$15,"")</f>
        <v/>
      </c>
      <c r="HU379" s="150" t="str">
        <f aca="false">IF(AND(ISNUMBER(HU74),ISNUMBER(HU$320),HU$320&lt;&gt;0),HU74*HU$320/HU$15,"")</f>
        <v/>
      </c>
      <c r="HV379" s="150" t="str">
        <f aca="false">IF(AND(ISNUMBER(HV74),ISNUMBER(HV$320),HV$320&lt;&gt;0),HV74*HV$320/HV$15,"")</f>
        <v/>
      </c>
      <c r="HW379" s="150" t="str">
        <f aca="false">IF(AND(ISNUMBER(HW74),ISNUMBER(HW$320),HW$320&lt;&gt;0),HW74*HW$320/HW$15,"")</f>
        <v/>
      </c>
      <c r="HX379" s="150" t="str">
        <f aca="false">IF(AND(ISNUMBER(HX74),ISNUMBER(HX$320),HX$320&lt;&gt;0),HX74*HX$320/HX$15,"")</f>
        <v/>
      </c>
      <c r="HY379" s="150" t="str">
        <f aca="false">IF(AND(ISNUMBER(HY74),ISNUMBER(HY$320),HY$320&lt;&gt;0),HY74*HY$320/HY$15,"")</f>
        <v/>
      </c>
      <c r="HZ379" s="150" t="str">
        <f aca="false">IF(AND(ISNUMBER(HZ74),ISNUMBER(HZ$320),HZ$320&lt;&gt;0),HZ74*HZ$320/HZ$15,"")</f>
        <v/>
      </c>
      <c r="IA379" s="150" t="str">
        <f aca="false">IF(AND(ISNUMBER(IA74),ISNUMBER(IA$320),IA$320&lt;&gt;0),IA74*IA$320/IA$15,"")</f>
        <v/>
      </c>
      <c r="IB379" s="150" t="str">
        <f aca="false">IF(AND(ISNUMBER(IB74),ISNUMBER(IB$320),IB$320&lt;&gt;0),IB74*IB$320/IB$15,"")</f>
        <v/>
      </c>
      <c r="IC379" s="150" t="str">
        <f aca="false">IF(AND(ISNUMBER(IC74),ISNUMBER(IC$320),IC$320&lt;&gt;0),IC74*IC$320/IC$15,"")</f>
        <v/>
      </c>
      <c r="ID379" s="572" t="str">
        <f aca="false">IF(AND(ISNUMBER(ID74),ISNUMBER(ID$320),ID$320&lt;&gt;0),ID74*ID$320/ID$15,"")</f>
        <v/>
      </c>
    </row>
    <row r="380" customFormat="false" ht="12.75" hidden="false" customHeight="false" outlineLevel="0" collapsed="false">
      <c r="I380" s="735"/>
      <c r="J380" s="727"/>
      <c r="K380" s="195"/>
      <c r="L380" s="195"/>
      <c r="M380" s="729"/>
      <c r="P380" s="727"/>
      <c r="S380" s="1"/>
      <c r="T380" s="727"/>
      <c r="U380" s="195"/>
      <c r="V380" s="195"/>
      <c r="W380" s="195"/>
      <c r="X380" s="195"/>
      <c r="Y380" s="195"/>
      <c r="Z380" s="195"/>
      <c r="AA380" s="195"/>
      <c r="AB380" s="195"/>
      <c r="AC380" s="195"/>
      <c r="AD380" s="195"/>
      <c r="AE380" s="195"/>
      <c r="AF380" s="195"/>
      <c r="AG380" s="195"/>
      <c r="AH380" s="195"/>
      <c r="AI380" s="195"/>
      <c r="AJ380" s="195"/>
      <c r="AK380" s="195"/>
      <c r="AL380" s="195"/>
      <c r="AM380" s="195"/>
      <c r="AN380" s="532"/>
      <c r="AO380" s="532"/>
      <c r="AP380" s="240"/>
      <c r="AQ380" s="532"/>
      <c r="AR380" s="240"/>
      <c r="AS380" s="240"/>
      <c r="AT380" s="240"/>
      <c r="AU380" s="730"/>
      <c r="AV380" s="730"/>
      <c r="AW380" s="730"/>
      <c r="AX380" s="730"/>
      <c r="AY380" s="468"/>
      <c r="AZ380" s="468"/>
      <c r="BA380" s="240"/>
      <c r="BB380" s="240"/>
      <c r="BC380" s="240"/>
      <c r="BD380" s="240"/>
      <c r="BE380" s="672"/>
      <c r="BF380" s="672"/>
      <c r="BG380" s="672"/>
      <c r="BH380" s="731"/>
      <c r="BI380" s="672"/>
      <c r="BJ380" s="240"/>
      <c r="BK380" s="736"/>
      <c r="BL380" s="737"/>
      <c r="BM380" s="240"/>
      <c r="BN380" s="240"/>
      <c r="BO380" s="240"/>
      <c r="BP380" s="240"/>
      <c r="BQ380" s="240"/>
      <c r="BR380" s="240"/>
      <c r="BS380" s="240"/>
      <c r="BT380" s="240"/>
      <c r="BU380" s="240"/>
      <c r="BV380" s="240"/>
      <c r="BW380" s="240"/>
      <c r="BX380" s="240"/>
      <c r="BY380" s="240"/>
      <c r="BZ380" s="240"/>
      <c r="CA380" s="240"/>
      <c r="CB380" s="672"/>
      <c r="CC380" s="672"/>
      <c r="CD380" s="672"/>
      <c r="CE380" s="672"/>
      <c r="CF380" s="672"/>
      <c r="CG380" s="672"/>
      <c r="CH380" s="240"/>
      <c r="CI380" s="240"/>
      <c r="CJ380" s="240"/>
      <c r="CK380" s="240"/>
      <c r="CL380" s="240"/>
      <c r="CM380" s="240"/>
      <c r="CN380" s="240"/>
      <c r="CO380" s="240"/>
      <c r="CP380" s="240"/>
      <c r="CQ380" s="240"/>
      <c r="CR380" s="240"/>
      <c r="CS380" s="240"/>
      <c r="CT380" s="240"/>
      <c r="CU380" s="240"/>
      <c r="CV380" s="240"/>
      <c r="CW380" s="240"/>
      <c r="CX380" s="240"/>
      <c r="CY380" s="240"/>
      <c r="CZ380" s="240"/>
      <c r="DA380" s="240"/>
      <c r="DB380" s="240"/>
      <c r="DC380" s="240"/>
      <c r="DD380" s="240"/>
      <c r="DE380" s="240"/>
      <c r="DF380" s="240"/>
      <c r="DG380" s="733"/>
      <c r="DH380" s="478"/>
      <c r="DI380" s="195"/>
      <c r="DJ380" s="3"/>
      <c r="DK380" s="478"/>
      <c r="DL380" s="4"/>
      <c r="DM380" s="4"/>
      <c r="DN380" s="4"/>
      <c r="DO380" s="4"/>
      <c r="DP380" s="4"/>
      <c r="DQ380" s="4"/>
      <c r="DS380" s="195"/>
      <c r="DT380" s="195"/>
      <c r="DU380" s="195"/>
      <c r="DV380" s="195"/>
      <c r="DW380" s="195"/>
      <c r="DX380" s="195"/>
      <c r="DY380" s="195"/>
      <c r="DZ380" s="195"/>
      <c r="EA380" s="195"/>
      <c r="EB380" s="195"/>
      <c r="EC380" s="195"/>
      <c r="ED380" s="195"/>
      <c r="EE380" s="195"/>
      <c r="EF380" s="195"/>
      <c r="EG380" s="195"/>
      <c r="EL380" s="1"/>
      <c r="EM380" s="195"/>
      <c r="EN380" s="240"/>
      <c r="EO380" s="240"/>
      <c r="EP380" s="195"/>
      <c r="EQ380" s="240"/>
      <c r="ER380" s="195"/>
      <c r="ES380" s="195"/>
      <c r="ET380" s="195"/>
      <c r="EU380" s="672"/>
      <c r="FJ380" s="571" t="n">
        <v>56</v>
      </c>
      <c r="FK380" s="150" t="str">
        <f aca="false">IF(AND(ISNUMBER(FK75),ISNUMBER(FK$320),FK$320&lt;&gt;0),FK75*FK$320/FK$15,"")</f>
        <v/>
      </c>
      <c r="FL380" s="150" t="str">
        <f aca="false">IF(AND(ISNUMBER(FL75),ISNUMBER(FL$320),FL$320&lt;&gt;0),FL75*FL$320/FL$15,"")</f>
        <v/>
      </c>
      <c r="FM380" s="150" t="n">
        <f aca="false">IF(AND(ISNUMBER(FM75),ISNUMBER(FM$320),FM$320&lt;&gt;0),FM75*FM$320/FM$15,"")</f>
        <v>0.00254774112960443</v>
      </c>
      <c r="FN380" s="150" t="n">
        <f aca="false">IF(AND(ISNUMBER(FN75),ISNUMBER(FN$320),FN$320&lt;&gt;0),FN75*FN$320/FN$15,"")</f>
        <v>0.00214449629858398</v>
      </c>
      <c r="FO380" s="150" t="n">
        <f aca="false">IF(AND(ISNUMBER(FO75),ISNUMBER(FO$320),FO$320&lt;&gt;0),FO75*FO$320/FO$15,"")</f>
        <v>0.00223076276192352</v>
      </c>
      <c r="FP380" s="150" t="n">
        <f aca="false">IF(AND(ISNUMBER(FP75),ISNUMBER(FP$320),FP$320&lt;&gt;0),FP75*FP$320/FP$15,"")</f>
        <v>0.00123606669605125</v>
      </c>
      <c r="FQ380" s="150" t="str">
        <f aca="false">IF(AND(ISNUMBER(FQ75),ISNUMBER(FQ$320),FQ$320&lt;&gt;0),FQ75*FQ$320/FQ$15,"")</f>
        <v/>
      </c>
      <c r="FR380" s="150" t="str">
        <f aca="false">IF(AND(ISNUMBER(FR75),ISNUMBER(FR$320),FR$320&lt;&gt;0),FR75*FR$320/FR$15,"")</f>
        <v/>
      </c>
      <c r="FS380" s="150" t="str">
        <f aca="false">IF(AND(ISNUMBER(FS75),ISNUMBER(FS$320),FS$320&lt;&gt;0),FS75*FS$320/FS$15,"")</f>
        <v/>
      </c>
      <c r="FT380" s="150" t="str">
        <f aca="false">IF(AND(ISNUMBER(FT75),ISNUMBER(FT$320),FT$320&lt;&gt;0),FT75*FT$320/FT$15,"")</f>
        <v/>
      </c>
      <c r="FU380" s="150" t="str">
        <f aca="false">IF(AND(ISNUMBER(FU75),ISNUMBER(FU$320),FU$320&lt;&gt;0),FU75*FU$320/FU$15,"")</f>
        <v/>
      </c>
      <c r="FV380" s="150" t="str">
        <f aca="false">IF(AND(ISNUMBER(FV75),ISNUMBER(FV$320),FV$320&lt;&gt;0),FV75*FV$320/FV$15,"")</f>
        <v/>
      </c>
      <c r="FW380" s="150" t="str">
        <f aca="false">IF(AND(ISNUMBER(FW75),ISNUMBER(FW$320),FW$320&lt;&gt;0),FW75*FW$320/FW$15,"")</f>
        <v/>
      </c>
      <c r="FX380" s="150" t="str">
        <f aca="false">IF(AND(ISNUMBER(FX75),ISNUMBER(FX$320),FX$320&lt;&gt;0),FX75*FX$320/FX$15,"")</f>
        <v/>
      </c>
      <c r="FY380" s="150" t="str">
        <f aca="false">IF(AND(ISNUMBER(FY75),ISNUMBER(FY$320),FY$320&lt;&gt;0),FY75*FY$320/FY$15,"")</f>
        <v/>
      </c>
      <c r="FZ380" s="150" t="str">
        <f aca="false">IF(AND(ISNUMBER(FZ75),ISNUMBER(FZ$320),FZ$320&lt;&gt;0),FZ75*FZ$320/FZ$15,"")</f>
        <v/>
      </c>
      <c r="GA380" s="150" t="str">
        <f aca="false">IF(AND(ISNUMBER(GA75),ISNUMBER(GA$320),GA$320&lt;&gt;0),GA75*GA$320/GA$15,"")</f>
        <v/>
      </c>
      <c r="GB380" s="150" t="str">
        <f aca="false">IF(AND(ISNUMBER(GB75),ISNUMBER(GB$320),GB$320&lt;&gt;0),GB75*GB$320/GB$15,"")</f>
        <v/>
      </c>
      <c r="GC380" s="150" t="str">
        <f aca="false">IF(AND(ISNUMBER(GC75),ISNUMBER(GC$320),GC$320&lt;&gt;0),GC75*GC$320/GC$15,"")</f>
        <v/>
      </c>
      <c r="GD380" s="150" t="str">
        <f aca="false">IF(AND(ISNUMBER(GD75),ISNUMBER(GD$320),GD$320&lt;&gt;0),GD75*GD$320/GD$15,"")</f>
        <v/>
      </c>
      <c r="GE380" s="150" t="str">
        <f aca="false">IF(AND(ISNUMBER(GE75),ISNUMBER(GE$320),GE$320&lt;&gt;0),GE75*GE$320/GE$15,"")</f>
        <v/>
      </c>
      <c r="GF380" s="150" t="str">
        <f aca="false">IF(AND(ISNUMBER(GF75),ISNUMBER(GF$320),GF$320&lt;&gt;0),GF75*GF$320/GF$15,"")</f>
        <v/>
      </c>
      <c r="GG380" s="150" t="str">
        <f aca="false">IF(AND(ISNUMBER(GG75),ISNUMBER(GG$320),GG$320&lt;&gt;0),GG75*GG$320/GG$15,"")</f>
        <v/>
      </c>
      <c r="GH380" s="150" t="str">
        <f aca="false">IF(AND(ISNUMBER(GH75),ISNUMBER(GH$320),GH$320&lt;&gt;0),GH75*GH$320/GH$15,"")</f>
        <v/>
      </c>
      <c r="GI380" s="150" t="str">
        <f aca="false">IF(AND(ISNUMBER(GI75),ISNUMBER(GI$320),GI$320&lt;&gt;0),GI75*GI$320/GI$15,"")</f>
        <v/>
      </c>
      <c r="GJ380" s="150" t="str">
        <f aca="false">IF(AND(ISNUMBER(GJ75),ISNUMBER(GJ$320),GJ$320&lt;&gt;0),GJ75*GJ$320/GJ$15,"")</f>
        <v/>
      </c>
      <c r="GK380" s="150" t="str">
        <f aca="false">IF(AND(ISNUMBER(GK75),ISNUMBER(GK$320),GK$320&lt;&gt;0),GK75*GK$320/GK$15,"")</f>
        <v/>
      </c>
      <c r="GL380" s="150" t="str">
        <f aca="false">IF(AND(ISNUMBER(GL75),ISNUMBER(GL$320),GL$320&lt;&gt;0),GL75*GL$320/GL$15,"")</f>
        <v/>
      </c>
      <c r="GM380" s="150" t="str">
        <f aca="false">IF(AND(ISNUMBER(GM75),ISNUMBER(GM$320),GM$320&lt;&gt;0),GM75*GM$320/GM$15,"")</f>
        <v/>
      </c>
      <c r="GN380" s="150" t="str">
        <f aca="false">IF(AND(ISNUMBER(GN75),ISNUMBER(GN$320),GN$320&lt;&gt;0),GN75*GN$320/GN$15,"")</f>
        <v/>
      </c>
      <c r="GO380" s="150" t="str">
        <f aca="false">IF(AND(ISNUMBER(GO75),ISNUMBER(GO$320),GO$320&lt;&gt;0),GO75*GO$320/GO$15,"")</f>
        <v/>
      </c>
      <c r="GP380" s="150" t="str">
        <f aca="false">IF(AND(ISNUMBER(GP75),ISNUMBER(GP$320),GP$320&lt;&gt;0),GP75*GP$320/GP$15,"")</f>
        <v/>
      </c>
      <c r="GQ380" s="150" t="str">
        <f aca="false">IF(AND(ISNUMBER(GQ75),ISNUMBER(GQ$320),GQ$320&lt;&gt;0),GQ75*GQ$320/GQ$15,"")</f>
        <v/>
      </c>
      <c r="GR380" s="150" t="str">
        <f aca="false">IF(AND(ISNUMBER(GR75),ISNUMBER(GR$320),GR$320&lt;&gt;0),GR75*GR$320/GR$15,"")</f>
        <v/>
      </c>
      <c r="GS380" s="150" t="str">
        <f aca="false">IF(AND(ISNUMBER(GS75),ISNUMBER(GS$320),GS$320&lt;&gt;0),GS75*GS$320/GS$15,"")</f>
        <v/>
      </c>
      <c r="GT380" s="150" t="str">
        <f aca="false">IF(AND(ISNUMBER(GT75),ISNUMBER(GT$320),GT$320&lt;&gt;0),GT75*GT$320/GT$15,"")</f>
        <v/>
      </c>
      <c r="GU380" s="150" t="str">
        <f aca="false">IF(AND(ISNUMBER(GU75),ISNUMBER(GU$320),GU$320&lt;&gt;0),GU75*GU$320/GU$15,"")</f>
        <v/>
      </c>
      <c r="GV380" s="150" t="str">
        <f aca="false">IF(AND(ISNUMBER(GV75),ISNUMBER(GV$320),GV$320&lt;&gt;0),GV75*GV$320/GV$15,"")</f>
        <v/>
      </c>
      <c r="GW380" s="150" t="str">
        <f aca="false">IF(AND(ISNUMBER(GW75),ISNUMBER(GW$320),GW$320&lt;&gt;0),GW75*GW$320/GW$15,"")</f>
        <v/>
      </c>
      <c r="GX380" s="150" t="str">
        <f aca="false">IF(AND(ISNUMBER(GX75),ISNUMBER(GX$320),GX$320&lt;&gt;0),GX75*GX$320/GX$15,"")</f>
        <v/>
      </c>
      <c r="GY380" s="150" t="str">
        <f aca="false">IF(AND(ISNUMBER(GY75),ISNUMBER(GY$320),GY$320&lt;&gt;0),GY75*GY$320/GY$15,"")</f>
        <v/>
      </c>
      <c r="GZ380" s="150" t="str">
        <f aca="false">IF(AND(ISNUMBER(GZ75),ISNUMBER(GZ$320),GZ$320&lt;&gt;0),GZ75*GZ$320/GZ$15,"")</f>
        <v/>
      </c>
      <c r="HA380" s="150" t="str">
        <f aca="false">IF(AND(ISNUMBER(HA75),ISNUMBER(HA$320),HA$320&lt;&gt;0),HA75*HA$320/HA$15,"")</f>
        <v/>
      </c>
      <c r="HB380" s="150" t="str">
        <f aca="false">IF(AND(ISNUMBER(HB75),ISNUMBER(HB$320),HB$320&lt;&gt;0),HB75*HB$320/HB$15,"")</f>
        <v/>
      </c>
      <c r="HC380" s="150" t="str">
        <f aca="false">IF(AND(ISNUMBER(HC75),ISNUMBER(HC$320),HC$320&lt;&gt;0),HC75*HC$320/HC$15,"")</f>
        <v/>
      </c>
      <c r="HD380" s="150" t="str">
        <f aca="false">IF(AND(ISNUMBER(HD75),ISNUMBER(HD$320),HD$320&lt;&gt;0),HD75*HD$320/HD$15,"")</f>
        <v/>
      </c>
      <c r="HE380" s="150" t="str">
        <f aca="false">IF(AND(ISNUMBER(HE75),ISNUMBER(HE$320),HE$320&lt;&gt;0),HE75*HE$320/HE$15,"")</f>
        <v/>
      </c>
      <c r="HF380" s="150" t="str">
        <f aca="false">IF(AND(ISNUMBER(HF75),ISNUMBER(HF$320),HF$320&lt;&gt;0),HF75*HF$320/HF$15,"")</f>
        <v/>
      </c>
      <c r="HG380" s="150" t="str">
        <f aca="false">IF(AND(ISNUMBER(HG75),ISNUMBER(HG$320),HG$320&lt;&gt;0),HG75*HG$320/HG$15,"")</f>
        <v/>
      </c>
      <c r="HH380" s="150" t="str">
        <f aca="false">IF(AND(ISNUMBER(HH75),ISNUMBER(HH$320),HH$320&lt;&gt;0),HH75*HH$320/HH$15,"")</f>
        <v/>
      </c>
      <c r="HI380" s="150" t="str">
        <f aca="false">IF(AND(ISNUMBER(HI75),ISNUMBER(HI$320),HI$320&lt;&gt;0),HI75*HI$320/HI$15,"")</f>
        <v/>
      </c>
      <c r="HJ380" s="150" t="str">
        <f aca="false">IF(AND(ISNUMBER(HJ75),ISNUMBER(HJ$320),HJ$320&lt;&gt;0),HJ75*HJ$320/HJ$15,"")</f>
        <v/>
      </c>
      <c r="HK380" s="150" t="str">
        <f aca="false">IF(AND(ISNUMBER(HK75),ISNUMBER(HK$320),HK$320&lt;&gt;0),HK75*HK$320/HK$15,"")</f>
        <v/>
      </c>
      <c r="HL380" s="150" t="str">
        <f aca="false">IF(AND(ISNUMBER(HL75),ISNUMBER(HL$320),HL$320&lt;&gt;0),HL75*HL$320/HL$15,"")</f>
        <v/>
      </c>
      <c r="HM380" s="150" t="str">
        <f aca="false">IF(AND(ISNUMBER(HM75),ISNUMBER(HM$320),HM$320&lt;&gt;0),HM75*HM$320/HM$15,"")</f>
        <v/>
      </c>
      <c r="HN380" s="150" t="str">
        <f aca="false">IF(AND(ISNUMBER(HN75),ISNUMBER(HN$320),HN$320&lt;&gt;0),HN75*HN$320/HN$15,"")</f>
        <v/>
      </c>
      <c r="HO380" s="150" t="str">
        <f aca="false">IF(AND(ISNUMBER(HO75),ISNUMBER(HO$320),HO$320&lt;&gt;0),HO75*HO$320/HO$15,"")</f>
        <v/>
      </c>
      <c r="HP380" s="150" t="str">
        <f aca="false">IF(AND(ISNUMBER(HP75),ISNUMBER(HP$320),HP$320&lt;&gt;0),HP75*HP$320/HP$15,"")</f>
        <v/>
      </c>
      <c r="HQ380" s="150" t="str">
        <f aca="false">IF(AND(ISNUMBER(HQ75),ISNUMBER(HQ$320),HQ$320&lt;&gt;0),HQ75*HQ$320/HQ$15,"")</f>
        <v/>
      </c>
      <c r="HR380" s="150" t="str">
        <f aca="false">IF(AND(ISNUMBER(HR75),ISNUMBER(HR$320),HR$320&lt;&gt;0),HR75*HR$320/HR$15,"")</f>
        <v/>
      </c>
      <c r="HS380" s="150" t="str">
        <f aca="false">IF(AND(ISNUMBER(HS75),ISNUMBER(HS$320),HS$320&lt;&gt;0),HS75*HS$320/HS$15,"")</f>
        <v/>
      </c>
      <c r="HT380" s="150" t="str">
        <f aca="false">IF(AND(ISNUMBER(HT75),ISNUMBER(HT$320),HT$320&lt;&gt;0),HT75*HT$320/HT$15,"")</f>
        <v/>
      </c>
      <c r="HU380" s="150" t="str">
        <f aca="false">IF(AND(ISNUMBER(HU75),ISNUMBER(HU$320),HU$320&lt;&gt;0),HU75*HU$320/HU$15,"")</f>
        <v/>
      </c>
      <c r="HV380" s="150" t="str">
        <f aca="false">IF(AND(ISNUMBER(HV75),ISNUMBER(HV$320),HV$320&lt;&gt;0),HV75*HV$320/HV$15,"")</f>
        <v/>
      </c>
      <c r="HW380" s="150" t="str">
        <f aca="false">IF(AND(ISNUMBER(HW75),ISNUMBER(HW$320),HW$320&lt;&gt;0),HW75*HW$320/HW$15,"")</f>
        <v/>
      </c>
      <c r="HX380" s="150" t="str">
        <f aca="false">IF(AND(ISNUMBER(HX75),ISNUMBER(HX$320),HX$320&lt;&gt;0),HX75*HX$320/HX$15,"")</f>
        <v/>
      </c>
      <c r="HY380" s="150" t="str">
        <f aca="false">IF(AND(ISNUMBER(HY75),ISNUMBER(HY$320),HY$320&lt;&gt;0),HY75*HY$320/HY$15,"")</f>
        <v/>
      </c>
      <c r="HZ380" s="150" t="str">
        <f aca="false">IF(AND(ISNUMBER(HZ75),ISNUMBER(HZ$320),HZ$320&lt;&gt;0),HZ75*HZ$320/HZ$15,"")</f>
        <v/>
      </c>
      <c r="IA380" s="150" t="str">
        <f aca="false">IF(AND(ISNUMBER(IA75),ISNUMBER(IA$320),IA$320&lt;&gt;0),IA75*IA$320/IA$15,"")</f>
        <v/>
      </c>
      <c r="IB380" s="150" t="str">
        <f aca="false">IF(AND(ISNUMBER(IB75),ISNUMBER(IB$320),IB$320&lt;&gt;0),IB75*IB$320/IB$15,"")</f>
        <v/>
      </c>
      <c r="IC380" s="150" t="str">
        <f aca="false">IF(AND(ISNUMBER(IC75),ISNUMBER(IC$320),IC$320&lt;&gt;0),IC75*IC$320/IC$15,"")</f>
        <v/>
      </c>
      <c r="ID380" s="572" t="str">
        <f aca="false">IF(AND(ISNUMBER(ID75),ISNUMBER(ID$320),ID$320&lt;&gt;0),ID75*ID$320/ID$15,"")</f>
        <v/>
      </c>
    </row>
    <row r="381" customFormat="false" ht="12.75" hidden="false" customHeight="false" outlineLevel="0" collapsed="false">
      <c r="I381" s="735"/>
      <c r="J381" s="727"/>
      <c r="K381" s="195"/>
      <c r="L381" s="195"/>
      <c r="M381" s="729"/>
      <c r="P381" s="727"/>
      <c r="S381" s="1"/>
      <c r="T381" s="727"/>
      <c r="U381" s="195"/>
      <c r="V381" s="195"/>
      <c r="W381" s="195"/>
      <c r="X381" s="195"/>
      <c r="Y381" s="195"/>
      <c r="Z381" s="195"/>
      <c r="AA381" s="195"/>
      <c r="AB381" s="195"/>
      <c r="AC381" s="195"/>
      <c r="AD381" s="195"/>
      <c r="AE381" s="195"/>
      <c r="AF381" s="195"/>
      <c r="AG381" s="195"/>
      <c r="AH381" s="195"/>
      <c r="AI381" s="195"/>
      <c r="AJ381" s="195"/>
      <c r="AK381" s="195"/>
      <c r="AL381" s="195"/>
      <c r="AM381" s="195"/>
      <c r="AN381" s="532"/>
      <c r="AO381" s="532"/>
      <c r="AP381" s="240"/>
      <c r="AQ381" s="532"/>
      <c r="AR381" s="240"/>
      <c r="AS381" s="240"/>
      <c r="AT381" s="240"/>
      <c r="AU381" s="730"/>
      <c r="AV381" s="730"/>
      <c r="AW381" s="730"/>
      <c r="AX381" s="730"/>
      <c r="AY381" s="468"/>
      <c r="AZ381" s="468"/>
      <c r="BA381" s="240"/>
      <c r="BB381" s="240"/>
      <c r="BC381" s="240"/>
      <c r="BD381" s="240"/>
      <c r="BE381" s="672"/>
      <c r="BF381" s="672"/>
      <c r="BG381" s="672"/>
      <c r="BH381" s="731"/>
      <c r="BI381" s="672"/>
      <c r="BJ381" s="240"/>
      <c r="BK381" s="736"/>
      <c r="BL381" s="737"/>
      <c r="BM381" s="240"/>
      <c r="BN381" s="240"/>
      <c r="BO381" s="240"/>
      <c r="BP381" s="240"/>
      <c r="BQ381" s="240"/>
      <c r="BR381" s="240"/>
      <c r="BS381" s="240"/>
      <c r="BT381" s="240"/>
      <c r="BU381" s="240"/>
      <c r="BV381" s="240"/>
      <c r="BW381" s="240"/>
      <c r="BX381" s="240"/>
      <c r="BY381" s="240"/>
      <c r="BZ381" s="240"/>
      <c r="CA381" s="240"/>
      <c r="CB381" s="672"/>
      <c r="CC381" s="672"/>
      <c r="CD381" s="672"/>
      <c r="CE381" s="672"/>
      <c r="CF381" s="672"/>
      <c r="CG381" s="672"/>
      <c r="CH381" s="240"/>
      <c r="CI381" s="240"/>
      <c r="CJ381" s="240"/>
      <c r="CK381" s="240"/>
      <c r="CL381" s="240"/>
      <c r="CM381" s="240"/>
      <c r="CN381" s="240"/>
      <c r="CO381" s="240"/>
      <c r="CP381" s="240"/>
      <c r="CQ381" s="240"/>
      <c r="CR381" s="240"/>
      <c r="CS381" s="240"/>
      <c r="CT381" s="240"/>
      <c r="CU381" s="240"/>
      <c r="CV381" s="240"/>
      <c r="CW381" s="240"/>
      <c r="CX381" s="240"/>
      <c r="CY381" s="240"/>
      <c r="CZ381" s="240"/>
      <c r="DA381" s="240"/>
      <c r="DB381" s="240"/>
      <c r="DC381" s="240"/>
      <c r="DD381" s="240"/>
      <c r="DE381" s="240"/>
      <c r="DF381" s="240"/>
      <c r="DG381" s="733"/>
      <c r="DH381" s="478"/>
      <c r="DI381" s="195"/>
      <c r="DJ381" s="3"/>
      <c r="DK381" s="478"/>
      <c r="DL381" s="4"/>
      <c r="DM381" s="4"/>
      <c r="DN381" s="4"/>
      <c r="DO381" s="4"/>
      <c r="DP381" s="4"/>
      <c r="DQ381" s="4"/>
      <c r="DS381" s="195"/>
      <c r="DT381" s="195"/>
      <c r="DU381" s="195"/>
      <c r="DV381" s="195"/>
      <c r="DW381" s="195"/>
      <c r="DX381" s="195"/>
      <c r="DY381" s="195"/>
      <c r="DZ381" s="195"/>
      <c r="EA381" s="195"/>
      <c r="EB381" s="195"/>
      <c r="EC381" s="195"/>
      <c r="ED381" s="195"/>
      <c r="EE381" s="195"/>
      <c r="EF381" s="195"/>
      <c r="EG381" s="195"/>
      <c r="EL381" s="1"/>
      <c r="EM381" s="195"/>
      <c r="EN381" s="240"/>
      <c r="EO381" s="240"/>
      <c r="EP381" s="195"/>
      <c r="EQ381" s="240"/>
      <c r="ER381" s="195"/>
      <c r="ES381" s="195"/>
      <c r="ET381" s="195"/>
      <c r="EU381" s="672"/>
      <c r="FJ381" s="571" t="n">
        <v>57</v>
      </c>
      <c r="FK381" s="150" t="str">
        <f aca="false">IF(AND(ISNUMBER(FK76),ISNUMBER(FK$320),FK$320&lt;&gt;0),FK76*FK$320/FK$15,"")</f>
        <v/>
      </c>
      <c r="FL381" s="150" t="str">
        <f aca="false">IF(AND(ISNUMBER(FL76),ISNUMBER(FL$320),FL$320&lt;&gt;0),FL76*FL$320/FL$15,"")</f>
        <v/>
      </c>
      <c r="FM381" s="150" t="n">
        <f aca="false">IF(AND(ISNUMBER(FM76),ISNUMBER(FM$320),FM$320&lt;&gt;0),FM76*FM$320/FM$15,"")</f>
        <v>0.00254759926415076</v>
      </c>
      <c r="FN381" s="150" t="n">
        <f aca="false">IF(AND(ISNUMBER(FN76),ISNUMBER(FN$320),FN$320&lt;&gt;0),FN76*FN$320/FN$15,"")</f>
        <v>0.00214435663585003</v>
      </c>
      <c r="FO381" s="150" t="n">
        <f aca="false">IF(AND(ISNUMBER(FO76),ISNUMBER(FO$320),FO$320&lt;&gt;0),FO76*FO$320/FO$15,"")</f>
        <v>0.00223059284270197</v>
      </c>
      <c r="FP381" s="150" t="n">
        <f aca="false">IF(AND(ISNUMBER(FP76),ISNUMBER(FP$320),FP$320&lt;&gt;0),FP76*FP$320/FP$15,"")</f>
        <v>0.00123595657637802</v>
      </c>
      <c r="FQ381" s="150" t="str">
        <f aca="false">IF(AND(ISNUMBER(FQ76),ISNUMBER(FQ$320),FQ$320&lt;&gt;0),FQ76*FQ$320/FQ$15,"")</f>
        <v/>
      </c>
      <c r="FR381" s="150" t="str">
        <f aca="false">IF(AND(ISNUMBER(FR76),ISNUMBER(FR$320),FR$320&lt;&gt;0),FR76*FR$320/FR$15,"")</f>
        <v/>
      </c>
      <c r="FS381" s="150" t="str">
        <f aca="false">IF(AND(ISNUMBER(FS76),ISNUMBER(FS$320),FS$320&lt;&gt;0),FS76*FS$320/FS$15,"")</f>
        <v/>
      </c>
      <c r="FT381" s="150" t="str">
        <f aca="false">IF(AND(ISNUMBER(FT76),ISNUMBER(FT$320),FT$320&lt;&gt;0),FT76*FT$320/FT$15,"")</f>
        <v/>
      </c>
      <c r="FU381" s="150" t="str">
        <f aca="false">IF(AND(ISNUMBER(FU76),ISNUMBER(FU$320),FU$320&lt;&gt;0),FU76*FU$320/FU$15,"")</f>
        <v/>
      </c>
      <c r="FV381" s="150" t="str">
        <f aca="false">IF(AND(ISNUMBER(FV76),ISNUMBER(FV$320),FV$320&lt;&gt;0),FV76*FV$320/FV$15,"")</f>
        <v/>
      </c>
      <c r="FW381" s="150" t="str">
        <f aca="false">IF(AND(ISNUMBER(FW76),ISNUMBER(FW$320),FW$320&lt;&gt;0),FW76*FW$320/FW$15,"")</f>
        <v/>
      </c>
      <c r="FX381" s="150" t="str">
        <f aca="false">IF(AND(ISNUMBER(FX76),ISNUMBER(FX$320),FX$320&lt;&gt;0),FX76*FX$320/FX$15,"")</f>
        <v/>
      </c>
      <c r="FY381" s="150" t="str">
        <f aca="false">IF(AND(ISNUMBER(FY76),ISNUMBER(FY$320),FY$320&lt;&gt;0),FY76*FY$320/FY$15,"")</f>
        <v/>
      </c>
      <c r="FZ381" s="150" t="str">
        <f aca="false">IF(AND(ISNUMBER(FZ76),ISNUMBER(FZ$320),FZ$320&lt;&gt;0),FZ76*FZ$320/FZ$15,"")</f>
        <v/>
      </c>
      <c r="GA381" s="150" t="str">
        <f aca="false">IF(AND(ISNUMBER(GA76),ISNUMBER(GA$320),GA$320&lt;&gt;0),GA76*GA$320/GA$15,"")</f>
        <v/>
      </c>
      <c r="GB381" s="150" t="str">
        <f aca="false">IF(AND(ISNUMBER(GB76),ISNUMBER(GB$320),GB$320&lt;&gt;0),GB76*GB$320/GB$15,"")</f>
        <v/>
      </c>
      <c r="GC381" s="150" t="str">
        <f aca="false">IF(AND(ISNUMBER(GC76),ISNUMBER(GC$320),GC$320&lt;&gt;0),GC76*GC$320/GC$15,"")</f>
        <v/>
      </c>
      <c r="GD381" s="150" t="str">
        <f aca="false">IF(AND(ISNUMBER(GD76),ISNUMBER(GD$320),GD$320&lt;&gt;0),GD76*GD$320/GD$15,"")</f>
        <v/>
      </c>
      <c r="GE381" s="150" t="str">
        <f aca="false">IF(AND(ISNUMBER(GE76),ISNUMBER(GE$320),GE$320&lt;&gt;0),GE76*GE$320/GE$15,"")</f>
        <v/>
      </c>
      <c r="GF381" s="150" t="str">
        <f aca="false">IF(AND(ISNUMBER(GF76),ISNUMBER(GF$320),GF$320&lt;&gt;0),GF76*GF$320/GF$15,"")</f>
        <v/>
      </c>
      <c r="GG381" s="150" t="str">
        <f aca="false">IF(AND(ISNUMBER(GG76),ISNUMBER(GG$320),GG$320&lt;&gt;0),GG76*GG$320/GG$15,"")</f>
        <v/>
      </c>
      <c r="GH381" s="150" t="str">
        <f aca="false">IF(AND(ISNUMBER(GH76),ISNUMBER(GH$320),GH$320&lt;&gt;0),GH76*GH$320/GH$15,"")</f>
        <v/>
      </c>
      <c r="GI381" s="150" t="str">
        <f aca="false">IF(AND(ISNUMBER(GI76),ISNUMBER(GI$320),GI$320&lt;&gt;0),GI76*GI$320/GI$15,"")</f>
        <v/>
      </c>
      <c r="GJ381" s="150" t="str">
        <f aca="false">IF(AND(ISNUMBER(GJ76),ISNUMBER(GJ$320),GJ$320&lt;&gt;0),GJ76*GJ$320/GJ$15,"")</f>
        <v/>
      </c>
      <c r="GK381" s="150" t="str">
        <f aca="false">IF(AND(ISNUMBER(GK76),ISNUMBER(GK$320),GK$320&lt;&gt;0),GK76*GK$320/GK$15,"")</f>
        <v/>
      </c>
      <c r="GL381" s="150" t="str">
        <f aca="false">IF(AND(ISNUMBER(GL76),ISNUMBER(GL$320),GL$320&lt;&gt;0),GL76*GL$320/GL$15,"")</f>
        <v/>
      </c>
      <c r="GM381" s="150" t="str">
        <f aca="false">IF(AND(ISNUMBER(GM76),ISNUMBER(GM$320),GM$320&lt;&gt;0),GM76*GM$320/GM$15,"")</f>
        <v/>
      </c>
      <c r="GN381" s="150" t="str">
        <f aca="false">IF(AND(ISNUMBER(GN76),ISNUMBER(GN$320),GN$320&lt;&gt;0),GN76*GN$320/GN$15,"")</f>
        <v/>
      </c>
      <c r="GO381" s="150" t="str">
        <f aca="false">IF(AND(ISNUMBER(GO76),ISNUMBER(GO$320),GO$320&lt;&gt;0),GO76*GO$320/GO$15,"")</f>
        <v/>
      </c>
      <c r="GP381" s="150" t="str">
        <f aca="false">IF(AND(ISNUMBER(GP76),ISNUMBER(GP$320),GP$320&lt;&gt;0),GP76*GP$320/GP$15,"")</f>
        <v/>
      </c>
      <c r="GQ381" s="150" t="str">
        <f aca="false">IF(AND(ISNUMBER(GQ76),ISNUMBER(GQ$320),GQ$320&lt;&gt;0),GQ76*GQ$320/GQ$15,"")</f>
        <v/>
      </c>
      <c r="GR381" s="150" t="str">
        <f aca="false">IF(AND(ISNUMBER(GR76),ISNUMBER(GR$320),GR$320&lt;&gt;0),GR76*GR$320/GR$15,"")</f>
        <v/>
      </c>
      <c r="GS381" s="150" t="str">
        <f aca="false">IF(AND(ISNUMBER(GS76),ISNUMBER(GS$320),GS$320&lt;&gt;0),GS76*GS$320/GS$15,"")</f>
        <v/>
      </c>
      <c r="GT381" s="150" t="str">
        <f aca="false">IF(AND(ISNUMBER(GT76),ISNUMBER(GT$320),GT$320&lt;&gt;0),GT76*GT$320/GT$15,"")</f>
        <v/>
      </c>
      <c r="GU381" s="150" t="str">
        <f aca="false">IF(AND(ISNUMBER(GU76),ISNUMBER(GU$320),GU$320&lt;&gt;0),GU76*GU$320/GU$15,"")</f>
        <v/>
      </c>
      <c r="GV381" s="150" t="str">
        <f aca="false">IF(AND(ISNUMBER(GV76),ISNUMBER(GV$320),GV$320&lt;&gt;0),GV76*GV$320/GV$15,"")</f>
        <v/>
      </c>
      <c r="GW381" s="150" t="str">
        <f aca="false">IF(AND(ISNUMBER(GW76),ISNUMBER(GW$320),GW$320&lt;&gt;0),GW76*GW$320/GW$15,"")</f>
        <v/>
      </c>
      <c r="GX381" s="150" t="str">
        <f aca="false">IF(AND(ISNUMBER(GX76),ISNUMBER(GX$320),GX$320&lt;&gt;0),GX76*GX$320/GX$15,"")</f>
        <v/>
      </c>
      <c r="GY381" s="150" t="str">
        <f aca="false">IF(AND(ISNUMBER(GY76),ISNUMBER(GY$320),GY$320&lt;&gt;0),GY76*GY$320/GY$15,"")</f>
        <v/>
      </c>
      <c r="GZ381" s="150" t="str">
        <f aca="false">IF(AND(ISNUMBER(GZ76),ISNUMBER(GZ$320),GZ$320&lt;&gt;0),GZ76*GZ$320/GZ$15,"")</f>
        <v/>
      </c>
      <c r="HA381" s="150" t="str">
        <f aca="false">IF(AND(ISNUMBER(HA76),ISNUMBER(HA$320),HA$320&lt;&gt;0),HA76*HA$320/HA$15,"")</f>
        <v/>
      </c>
      <c r="HB381" s="150" t="str">
        <f aca="false">IF(AND(ISNUMBER(HB76),ISNUMBER(HB$320),HB$320&lt;&gt;0),HB76*HB$320/HB$15,"")</f>
        <v/>
      </c>
      <c r="HC381" s="150" t="str">
        <f aca="false">IF(AND(ISNUMBER(HC76),ISNUMBER(HC$320),HC$320&lt;&gt;0),HC76*HC$320/HC$15,"")</f>
        <v/>
      </c>
      <c r="HD381" s="150" t="str">
        <f aca="false">IF(AND(ISNUMBER(HD76),ISNUMBER(HD$320),HD$320&lt;&gt;0),HD76*HD$320/HD$15,"")</f>
        <v/>
      </c>
      <c r="HE381" s="150" t="str">
        <f aca="false">IF(AND(ISNUMBER(HE76),ISNUMBER(HE$320),HE$320&lt;&gt;0),HE76*HE$320/HE$15,"")</f>
        <v/>
      </c>
      <c r="HF381" s="150" t="str">
        <f aca="false">IF(AND(ISNUMBER(HF76),ISNUMBER(HF$320),HF$320&lt;&gt;0),HF76*HF$320/HF$15,"")</f>
        <v/>
      </c>
      <c r="HG381" s="150" t="str">
        <f aca="false">IF(AND(ISNUMBER(HG76),ISNUMBER(HG$320),HG$320&lt;&gt;0),HG76*HG$320/HG$15,"")</f>
        <v/>
      </c>
      <c r="HH381" s="150" t="str">
        <f aca="false">IF(AND(ISNUMBER(HH76),ISNUMBER(HH$320),HH$320&lt;&gt;0),HH76*HH$320/HH$15,"")</f>
        <v/>
      </c>
      <c r="HI381" s="150" t="str">
        <f aca="false">IF(AND(ISNUMBER(HI76),ISNUMBER(HI$320),HI$320&lt;&gt;0),HI76*HI$320/HI$15,"")</f>
        <v/>
      </c>
      <c r="HJ381" s="150" t="str">
        <f aca="false">IF(AND(ISNUMBER(HJ76),ISNUMBER(HJ$320),HJ$320&lt;&gt;0),HJ76*HJ$320/HJ$15,"")</f>
        <v/>
      </c>
      <c r="HK381" s="150" t="str">
        <f aca="false">IF(AND(ISNUMBER(HK76),ISNUMBER(HK$320),HK$320&lt;&gt;0),HK76*HK$320/HK$15,"")</f>
        <v/>
      </c>
      <c r="HL381" s="150" t="str">
        <f aca="false">IF(AND(ISNUMBER(HL76),ISNUMBER(HL$320),HL$320&lt;&gt;0),HL76*HL$320/HL$15,"")</f>
        <v/>
      </c>
      <c r="HM381" s="150" t="str">
        <f aca="false">IF(AND(ISNUMBER(HM76),ISNUMBER(HM$320),HM$320&lt;&gt;0),HM76*HM$320/HM$15,"")</f>
        <v/>
      </c>
      <c r="HN381" s="150" t="str">
        <f aca="false">IF(AND(ISNUMBER(HN76),ISNUMBER(HN$320),HN$320&lt;&gt;0),HN76*HN$320/HN$15,"")</f>
        <v/>
      </c>
      <c r="HO381" s="150" t="str">
        <f aca="false">IF(AND(ISNUMBER(HO76),ISNUMBER(HO$320),HO$320&lt;&gt;0),HO76*HO$320/HO$15,"")</f>
        <v/>
      </c>
      <c r="HP381" s="150" t="str">
        <f aca="false">IF(AND(ISNUMBER(HP76),ISNUMBER(HP$320),HP$320&lt;&gt;0),HP76*HP$320/HP$15,"")</f>
        <v/>
      </c>
      <c r="HQ381" s="150" t="str">
        <f aca="false">IF(AND(ISNUMBER(HQ76),ISNUMBER(HQ$320),HQ$320&lt;&gt;0),HQ76*HQ$320/HQ$15,"")</f>
        <v/>
      </c>
      <c r="HR381" s="150" t="str">
        <f aca="false">IF(AND(ISNUMBER(HR76),ISNUMBER(HR$320),HR$320&lt;&gt;0),HR76*HR$320/HR$15,"")</f>
        <v/>
      </c>
      <c r="HS381" s="150" t="str">
        <f aca="false">IF(AND(ISNUMBER(HS76),ISNUMBER(HS$320),HS$320&lt;&gt;0),HS76*HS$320/HS$15,"")</f>
        <v/>
      </c>
      <c r="HT381" s="150" t="str">
        <f aca="false">IF(AND(ISNUMBER(HT76),ISNUMBER(HT$320),HT$320&lt;&gt;0),HT76*HT$320/HT$15,"")</f>
        <v/>
      </c>
      <c r="HU381" s="150" t="str">
        <f aca="false">IF(AND(ISNUMBER(HU76),ISNUMBER(HU$320),HU$320&lt;&gt;0),HU76*HU$320/HU$15,"")</f>
        <v/>
      </c>
      <c r="HV381" s="150" t="str">
        <f aca="false">IF(AND(ISNUMBER(HV76),ISNUMBER(HV$320),HV$320&lt;&gt;0),HV76*HV$320/HV$15,"")</f>
        <v/>
      </c>
      <c r="HW381" s="150" t="str">
        <f aca="false">IF(AND(ISNUMBER(HW76),ISNUMBER(HW$320),HW$320&lt;&gt;0),HW76*HW$320/HW$15,"")</f>
        <v/>
      </c>
      <c r="HX381" s="150" t="str">
        <f aca="false">IF(AND(ISNUMBER(HX76),ISNUMBER(HX$320),HX$320&lt;&gt;0),HX76*HX$320/HX$15,"")</f>
        <v/>
      </c>
      <c r="HY381" s="150" t="str">
        <f aca="false">IF(AND(ISNUMBER(HY76),ISNUMBER(HY$320),HY$320&lt;&gt;0),HY76*HY$320/HY$15,"")</f>
        <v/>
      </c>
      <c r="HZ381" s="150" t="str">
        <f aca="false">IF(AND(ISNUMBER(HZ76),ISNUMBER(HZ$320),HZ$320&lt;&gt;0),HZ76*HZ$320/HZ$15,"")</f>
        <v/>
      </c>
      <c r="IA381" s="150" t="str">
        <f aca="false">IF(AND(ISNUMBER(IA76),ISNUMBER(IA$320),IA$320&lt;&gt;0),IA76*IA$320/IA$15,"")</f>
        <v/>
      </c>
      <c r="IB381" s="150" t="str">
        <f aca="false">IF(AND(ISNUMBER(IB76),ISNUMBER(IB$320),IB$320&lt;&gt;0),IB76*IB$320/IB$15,"")</f>
        <v/>
      </c>
      <c r="IC381" s="150" t="str">
        <f aca="false">IF(AND(ISNUMBER(IC76),ISNUMBER(IC$320),IC$320&lt;&gt;0),IC76*IC$320/IC$15,"")</f>
        <v/>
      </c>
      <c r="ID381" s="572" t="str">
        <f aca="false">IF(AND(ISNUMBER(ID76),ISNUMBER(ID$320),ID$320&lt;&gt;0),ID76*ID$320/ID$15,"")</f>
        <v/>
      </c>
    </row>
    <row r="382" customFormat="false" ht="12.75" hidden="false" customHeight="false" outlineLevel="0" collapsed="false">
      <c r="I382" s="735"/>
      <c r="J382" s="727"/>
      <c r="K382" s="195"/>
      <c r="L382" s="195"/>
      <c r="M382" s="729"/>
      <c r="P382" s="727"/>
      <c r="S382" s="1"/>
      <c r="T382" s="727"/>
      <c r="U382" s="195"/>
      <c r="V382" s="195"/>
      <c r="W382" s="195"/>
      <c r="X382" s="195"/>
      <c r="Y382" s="195"/>
      <c r="Z382" s="195"/>
      <c r="AA382" s="195"/>
      <c r="AB382" s="195"/>
      <c r="AC382" s="195"/>
      <c r="AD382" s="195"/>
      <c r="AE382" s="195"/>
      <c r="AF382" s="195"/>
      <c r="AG382" s="195"/>
      <c r="AH382" s="195"/>
      <c r="AI382" s="195"/>
      <c r="AJ382" s="195"/>
      <c r="AK382" s="195"/>
      <c r="AL382" s="195"/>
      <c r="AM382" s="195"/>
      <c r="AN382" s="532"/>
      <c r="AO382" s="532"/>
      <c r="AP382" s="240"/>
      <c r="AQ382" s="532"/>
      <c r="AR382" s="240"/>
      <c r="AS382" s="240"/>
      <c r="AT382" s="240"/>
      <c r="AU382" s="730"/>
      <c r="AV382" s="730"/>
      <c r="AW382" s="730"/>
      <c r="AX382" s="730"/>
      <c r="AY382" s="468"/>
      <c r="AZ382" s="468"/>
      <c r="BA382" s="240"/>
      <c r="BB382" s="240"/>
      <c r="BC382" s="240"/>
      <c r="BD382" s="240"/>
      <c r="BE382" s="672"/>
      <c r="BF382" s="672"/>
      <c r="BG382" s="672"/>
      <c r="BH382" s="731"/>
      <c r="BI382" s="672"/>
      <c r="BJ382" s="240"/>
      <c r="BK382" s="736"/>
      <c r="BL382" s="737"/>
      <c r="BM382" s="240"/>
      <c r="BN382" s="240"/>
      <c r="BO382" s="240"/>
      <c r="BP382" s="240"/>
      <c r="BQ382" s="240"/>
      <c r="BR382" s="240"/>
      <c r="BS382" s="240"/>
      <c r="BT382" s="240"/>
      <c r="BU382" s="240"/>
      <c r="BV382" s="240"/>
      <c r="BW382" s="240"/>
      <c r="BX382" s="240"/>
      <c r="BY382" s="240"/>
      <c r="BZ382" s="240"/>
      <c r="CA382" s="240"/>
      <c r="CB382" s="672"/>
      <c r="CC382" s="672"/>
      <c r="CD382" s="672"/>
      <c r="CE382" s="672"/>
      <c r="CF382" s="672"/>
      <c r="CG382" s="672"/>
      <c r="CH382" s="240"/>
      <c r="CI382" s="240"/>
      <c r="CJ382" s="240"/>
      <c r="CK382" s="240"/>
      <c r="CL382" s="240"/>
      <c r="CM382" s="240"/>
      <c r="CN382" s="240"/>
      <c r="CO382" s="240"/>
      <c r="CP382" s="240"/>
      <c r="CQ382" s="240"/>
      <c r="CR382" s="240"/>
      <c r="CS382" s="240"/>
      <c r="CT382" s="240"/>
      <c r="CU382" s="240"/>
      <c r="CV382" s="240"/>
      <c r="CW382" s="240"/>
      <c r="CX382" s="240"/>
      <c r="CY382" s="240"/>
      <c r="CZ382" s="240"/>
      <c r="DA382" s="240"/>
      <c r="DB382" s="240"/>
      <c r="DC382" s="240"/>
      <c r="DD382" s="240"/>
      <c r="DE382" s="240"/>
      <c r="DF382" s="240"/>
      <c r="DG382" s="733"/>
      <c r="DH382" s="478"/>
      <c r="DI382" s="195"/>
      <c r="DJ382" s="3"/>
      <c r="DK382" s="478"/>
      <c r="DL382" s="4"/>
      <c r="DM382" s="4"/>
      <c r="DN382" s="4"/>
      <c r="DO382" s="4"/>
      <c r="DP382" s="4"/>
      <c r="DQ382" s="4"/>
      <c r="DS382" s="195"/>
      <c r="DT382" s="195"/>
      <c r="DU382" s="195"/>
      <c r="DV382" s="195"/>
      <c r="DW382" s="195"/>
      <c r="DX382" s="195"/>
      <c r="DY382" s="195"/>
      <c r="DZ382" s="195"/>
      <c r="EA382" s="195"/>
      <c r="EB382" s="195"/>
      <c r="EC382" s="195"/>
      <c r="ED382" s="195"/>
      <c r="EE382" s="195"/>
      <c r="EF382" s="195"/>
      <c r="EG382" s="195"/>
      <c r="EL382" s="1"/>
      <c r="EM382" s="195"/>
      <c r="EN382" s="240"/>
      <c r="EO382" s="240"/>
      <c r="EP382" s="195"/>
      <c r="EQ382" s="240"/>
      <c r="ER382" s="195"/>
      <c r="ES382" s="195"/>
      <c r="ET382" s="195"/>
      <c r="EU382" s="672"/>
      <c r="FJ382" s="571" t="n">
        <v>58</v>
      </c>
      <c r="FK382" s="150" t="str">
        <f aca="false">IF(AND(ISNUMBER(FK77),ISNUMBER(FK$320),FK$320&lt;&gt;0),FK77*FK$320/FK$15,"")</f>
        <v/>
      </c>
      <c r="FL382" s="150" t="str">
        <f aca="false">IF(AND(ISNUMBER(FL77),ISNUMBER(FL$320),FL$320&lt;&gt;0),FL77*FL$320/FL$15,"")</f>
        <v/>
      </c>
      <c r="FM382" s="150" t="n">
        <f aca="false">IF(AND(ISNUMBER(FM77),ISNUMBER(FM$320),FM$320&lt;&gt;0),FM77*FM$320/FM$15,"")</f>
        <v>0.00254747797594193</v>
      </c>
      <c r="FN382" s="150" t="n">
        <f aca="false">IF(AND(ISNUMBER(FN77),ISNUMBER(FN$320),FN$320&lt;&gt;0),FN77*FN$320/FN$15,"")</f>
        <v>0.00214423723198932</v>
      </c>
      <c r="FO382" s="150" t="n">
        <f aca="false">IF(AND(ISNUMBER(FO77),ISNUMBER(FO$320),FO$320&lt;&gt;0),FO77*FO$320/FO$15,"")</f>
        <v>0.00223044757283373</v>
      </c>
      <c r="FP382" s="150" t="n">
        <f aca="false">IF(AND(ISNUMBER(FP77),ISNUMBER(FP$320),FP$320&lt;&gt;0),FP77*FP$320/FP$15,"")</f>
        <v>0.00123586243244532</v>
      </c>
      <c r="FQ382" s="150" t="str">
        <f aca="false">IF(AND(ISNUMBER(FQ77),ISNUMBER(FQ$320),FQ$320&lt;&gt;0),FQ77*FQ$320/FQ$15,"")</f>
        <v/>
      </c>
      <c r="FR382" s="150" t="str">
        <f aca="false">IF(AND(ISNUMBER(FR77),ISNUMBER(FR$320),FR$320&lt;&gt;0),FR77*FR$320/FR$15,"")</f>
        <v/>
      </c>
      <c r="FS382" s="150" t="str">
        <f aca="false">IF(AND(ISNUMBER(FS77),ISNUMBER(FS$320),FS$320&lt;&gt;0),FS77*FS$320/FS$15,"")</f>
        <v/>
      </c>
      <c r="FT382" s="150" t="str">
        <f aca="false">IF(AND(ISNUMBER(FT77),ISNUMBER(FT$320),FT$320&lt;&gt;0),FT77*FT$320/FT$15,"")</f>
        <v/>
      </c>
      <c r="FU382" s="150" t="str">
        <f aca="false">IF(AND(ISNUMBER(FU77),ISNUMBER(FU$320),FU$320&lt;&gt;0),FU77*FU$320/FU$15,"")</f>
        <v/>
      </c>
      <c r="FV382" s="150" t="str">
        <f aca="false">IF(AND(ISNUMBER(FV77),ISNUMBER(FV$320),FV$320&lt;&gt;0),FV77*FV$320/FV$15,"")</f>
        <v/>
      </c>
      <c r="FW382" s="150" t="str">
        <f aca="false">IF(AND(ISNUMBER(FW77),ISNUMBER(FW$320),FW$320&lt;&gt;0),FW77*FW$320/FW$15,"")</f>
        <v/>
      </c>
      <c r="FX382" s="150" t="str">
        <f aca="false">IF(AND(ISNUMBER(FX77),ISNUMBER(FX$320),FX$320&lt;&gt;0),FX77*FX$320/FX$15,"")</f>
        <v/>
      </c>
      <c r="FY382" s="150" t="str">
        <f aca="false">IF(AND(ISNUMBER(FY77),ISNUMBER(FY$320),FY$320&lt;&gt;0),FY77*FY$320/FY$15,"")</f>
        <v/>
      </c>
      <c r="FZ382" s="150" t="str">
        <f aca="false">IF(AND(ISNUMBER(FZ77),ISNUMBER(FZ$320),FZ$320&lt;&gt;0),FZ77*FZ$320/FZ$15,"")</f>
        <v/>
      </c>
      <c r="GA382" s="150" t="str">
        <f aca="false">IF(AND(ISNUMBER(GA77),ISNUMBER(GA$320),GA$320&lt;&gt;0),GA77*GA$320/GA$15,"")</f>
        <v/>
      </c>
      <c r="GB382" s="150" t="str">
        <f aca="false">IF(AND(ISNUMBER(GB77),ISNUMBER(GB$320),GB$320&lt;&gt;0),GB77*GB$320/GB$15,"")</f>
        <v/>
      </c>
      <c r="GC382" s="150" t="str">
        <f aca="false">IF(AND(ISNUMBER(GC77),ISNUMBER(GC$320),GC$320&lt;&gt;0),GC77*GC$320/GC$15,"")</f>
        <v/>
      </c>
      <c r="GD382" s="150" t="str">
        <f aca="false">IF(AND(ISNUMBER(GD77),ISNUMBER(GD$320),GD$320&lt;&gt;0),GD77*GD$320/GD$15,"")</f>
        <v/>
      </c>
      <c r="GE382" s="150" t="str">
        <f aca="false">IF(AND(ISNUMBER(GE77),ISNUMBER(GE$320),GE$320&lt;&gt;0),GE77*GE$320/GE$15,"")</f>
        <v/>
      </c>
      <c r="GF382" s="150" t="str">
        <f aca="false">IF(AND(ISNUMBER(GF77),ISNUMBER(GF$320),GF$320&lt;&gt;0),GF77*GF$320/GF$15,"")</f>
        <v/>
      </c>
      <c r="GG382" s="150" t="str">
        <f aca="false">IF(AND(ISNUMBER(GG77),ISNUMBER(GG$320),GG$320&lt;&gt;0),GG77*GG$320/GG$15,"")</f>
        <v/>
      </c>
      <c r="GH382" s="150" t="str">
        <f aca="false">IF(AND(ISNUMBER(GH77),ISNUMBER(GH$320),GH$320&lt;&gt;0),GH77*GH$320/GH$15,"")</f>
        <v/>
      </c>
      <c r="GI382" s="150" t="str">
        <f aca="false">IF(AND(ISNUMBER(GI77),ISNUMBER(GI$320),GI$320&lt;&gt;0),GI77*GI$320/GI$15,"")</f>
        <v/>
      </c>
      <c r="GJ382" s="150" t="str">
        <f aca="false">IF(AND(ISNUMBER(GJ77),ISNUMBER(GJ$320),GJ$320&lt;&gt;0),GJ77*GJ$320/GJ$15,"")</f>
        <v/>
      </c>
      <c r="GK382" s="150" t="str">
        <f aca="false">IF(AND(ISNUMBER(GK77),ISNUMBER(GK$320),GK$320&lt;&gt;0),GK77*GK$320/GK$15,"")</f>
        <v/>
      </c>
      <c r="GL382" s="150" t="str">
        <f aca="false">IF(AND(ISNUMBER(GL77),ISNUMBER(GL$320),GL$320&lt;&gt;0),GL77*GL$320/GL$15,"")</f>
        <v/>
      </c>
      <c r="GM382" s="150" t="str">
        <f aca="false">IF(AND(ISNUMBER(GM77),ISNUMBER(GM$320),GM$320&lt;&gt;0),GM77*GM$320/GM$15,"")</f>
        <v/>
      </c>
      <c r="GN382" s="150" t="str">
        <f aca="false">IF(AND(ISNUMBER(GN77),ISNUMBER(GN$320),GN$320&lt;&gt;0),GN77*GN$320/GN$15,"")</f>
        <v/>
      </c>
      <c r="GO382" s="150" t="str">
        <f aca="false">IF(AND(ISNUMBER(GO77),ISNUMBER(GO$320),GO$320&lt;&gt;0),GO77*GO$320/GO$15,"")</f>
        <v/>
      </c>
      <c r="GP382" s="150" t="str">
        <f aca="false">IF(AND(ISNUMBER(GP77),ISNUMBER(GP$320),GP$320&lt;&gt;0),GP77*GP$320/GP$15,"")</f>
        <v/>
      </c>
      <c r="GQ382" s="150" t="str">
        <f aca="false">IF(AND(ISNUMBER(GQ77),ISNUMBER(GQ$320),GQ$320&lt;&gt;0),GQ77*GQ$320/GQ$15,"")</f>
        <v/>
      </c>
      <c r="GR382" s="150" t="str">
        <f aca="false">IF(AND(ISNUMBER(GR77),ISNUMBER(GR$320),GR$320&lt;&gt;0),GR77*GR$320/GR$15,"")</f>
        <v/>
      </c>
      <c r="GS382" s="150" t="str">
        <f aca="false">IF(AND(ISNUMBER(GS77),ISNUMBER(GS$320),GS$320&lt;&gt;0),GS77*GS$320/GS$15,"")</f>
        <v/>
      </c>
      <c r="GT382" s="150" t="str">
        <f aca="false">IF(AND(ISNUMBER(GT77),ISNUMBER(GT$320),GT$320&lt;&gt;0),GT77*GT$320/GT$15,"")</f>
        <v/>
      </c>
      <c r="GU382" s="150" t="str">
        <f aca="false">IF(AND(ISNUMBER(GU77),ISNUMBER(GU$320),GU$320&lt;&gt;0),GU77*GU$320/GU$15,"")</f>
        <v/>
      </c>
      <c r="GV382" s="150" t="str">
        <f aca="false">IF(AND(ISNUMBER(GV77),ISNUMBER(GV$320),GV$320&lt;&gt;0),GV77*GV$320/GV$15,"")</f>
        <v/>
      </c>
      <c r="GW382" s="150" t="str">
        <f aca="false">IF(AND(ISNUMBER(GW77),ISNUMBER(GW$320),GW$320&lt;&gt;0),GW77*GW$320/GW$15,"")</f>
        <v/>
      </c>
      <c r="GX382" s="150" t="str">
        <f aca="false">IF(AND(ISNUMBER(GX77),ISNUMBER(GX$320),GX$320&lt;&gt;0),GX77*GX$320/GX$15,"")</f>
        <v/>
      </c>
      <c r="GY382" s="150" t="str">
        <f aca="false">IF(AND(ISNUMBER(GY77),ISNUMBER(GY$320),GY$320&lt;&gt;0),GY77*GY$320/GY$15,"")</f>
        <v/>
      </c>
      <c r="GZ382" s="150" t="str">
        <f aca="false">IF(AND(ISNUMBER(GZ77),ISNUMBER(GZ$320),GZ$320&lt;&gt;0),GZ77*GZ$320/GZ$15,"")</f>
        <v/>
      </c>
      <c r="HA382" s="150" t="str">
        <f aca="false">IF(AND(ISNUMBER(HA77),ISNUMBER(HA$320),HA$320&lt;&gt;0),HA77*HA$320/HA$15,"")</f>
        <v/>
      </c>
      <c r="HB382" s="150" t="str">
        <f aca="false">IF(AND(ISNUMBER(HB77),ISNUMBER(HB$320),HB$320&lt;&gt;0),HB77*HB$320/HB$15,"")</f>
        <v/>
      </c>
      <c r="HC382" s="150" t="str">
        <f aca="false">IF(AND(ISNUMBER(HC77),ISNUMBER(HC$320),HC$320&lt;&gt;0),HC77*HC$320/HC$15,"")</f>
        <v/>
      </c>
      <c r="HD382" s="150" t="str">
        <f aca="false">IF(AND(ISNUMBER(HD77),ISNUMBER(HD$320),HD$320&lt;&gt;0),HD77*HD$320/HD$15,"")</f>
        <v/>
      </c>
      <c r="HE382" s="150" t="str">
        <f aca="false">IF(AND(ISNUMBER(HE77),ISNUMBER(HE$320),HE$320&lt;&gt;0),HE77*HE$320/HE$15,"")</f>
        <v/>
      </c>
      <c r="HF382" s="150" t="str">
        <f aca="false">IF(AND(ISNUMBER(HF77),ISNUMBER(HF$320),HF$320&lt;&gt;0),HF77*HF$320/HF$15,"")</f>
        <v/>
      </c>
      <c r="HG382" s="150" t="str">
        <f aca="false">IF(AND(ISNUMBER(HG77),ISNUMBER(HG$320),HG$320&lt;&gt;0),HG77*HG$320/HG$15,"")</f>
        <v/>
      </c>
      <c r="HH382" s="150" t="str">
        <f aca="false">IF(AND(ISNUMBER(HH77),ISNUMBER(HH$320),HH$320&lt;&gt;0),HH77*HH$320/HH$15,"")</f>
        <v/>
      </c>
      <c r="HI382" s="150" t="str">
        <f aca="false">IF(AND(ISNUMBER(HI77),ISNUMBER(HI$320),HI$320&lt;&gt;0),HI77*HI$320/HI$15,"")</f>
        <v/>
      </c>
      <c r="HJ382" s="150" t="str">
        <f aca="false">IF(AND(ISNUMBER(HJ77),ISNUMBER(HJ$320),HJ$320&lt;&gt;0),HJ77*HJ$320/HJ$15,"")</f>
        <v/>
      </c>
      <c r="HK382" s="150" t="str">
        <f aca="false">IF(AND(ISNUMBER(HK77),ISNUMBER(HK$320),HK$320&lt;&gt;0),HK77*HK$320/HK$15,"")</f>
        <v/>
      </c>
      <c r="HL382" s="150" t="str">
        <f aca="false">IF(AND(ISNUMBER(HL77),ISNUMBER(HL$320),HL$320&lt;&gt;0),HL77*HL$320/HL$15,"")</f>
        <v/>
      </c>
      <c r="HM382" s="150" t="str">
        <f aca="false">IF(AND(ISNUMBER(HM77),ISNUMBER(HM$320),HM$320&lt;&gt;0),HM77*HM$320/HM$15,"")</f>
        <v/>
      </c>
      <c r="HN382" s="150" t="str">
        <f aca="false">IF(AND(ISNUMBER(HN77),ISNUMBER(HN$320),HN$320&lt;&gt;0),HN77*HN$320/HN$15,"")</f>
        <v/>
      </c>
      <c r="HO382" s="150" t="str">
        <f aca="false">IF(AND(ISNUMBER(HO77),ISNUMBER(HO$320),HO$320&lt;&gt;0),HO77*HO$320/HO$15,"")</f>
        <v/>
      </c>
      <c r="HP382" s="150" t="str">
        <f aca="false">IF(AND(ISNUMBER(HP77),ISNUMBER(HP$320),HP$320&lt;&gt;0),HP77*HP$320/HP$15,"")</f>
        <v/>
      </c>
      <c r="HQ382" s="150" t="str">
        <f aca="false">IF(AND(ISNUMBER(HQ77),ISNUMBER(HQ$320),HQ$320&lt;&gt;0),HQ77*HQ$320/HQ$15,"")</f>
        <v/>
      </c>
      <c r="HR382" s="150" t="str">
        <f aca="false">IF(AND(ISNUMBER(HR77),ISNUMBER(HR$320),HR$320&lt;&gt;0),HR77*HR$320/HR$15,"")</f>
        <v/>
      </c>
      <c r="HS382" s="150" t="str">
        <f aca="false">IF(AND(ISNUMBER(HS77),ISNUMBER(HS$320),HS$320&lt;&gt;0),HS77*HS$320/HS$15,"")</f>
        <v/>
      </c>
      <c r="HT382" s="150" t="str">
        <f aca="false">IF(AND(ISNUMBER(HT77),ISNUMBER(HT$320),HT$320&lt;&gt;0),HT77*HT$320/HT$15,"")</f>
        <v/>
      </c>
      <c r="HU382" s="150" t="str">
        <f aca="false">IF(AND(ISNUMBER(HU77),ISNUMBER(HU$320),HU$320&lt;&gt;0),HU77*HU$320/HU$15,"")</f>
        <v/>
      </c>
      <c r="HV382" s="150" t="str">
        <f aca="false">IF(AND(ISNUMBER(HV77),ISNUMBER(HV$320),HV$320&lt;&gt;0),HV77*HV$320/HV$15,"")</f>
        <v/>
      </c>
      <c r="HW382" s="150" t="str">
        <f aca="false">IF(AND(ISNUMBER(HW77),ISNUMBER(HW$320),HW$320&lt;&gt;0),HW77*HW$320/HW$15,"")</f>
        <v/>
      </c>
      <c r="HX382" s="150" t="str">
        <f aca="false">IF(AND(ISNUMBER(HX77),ISNUMBER(HX$320),HX$320&lt;&gt;0),HX77*HX$320/HX$15,"")</f>
        <v/>
      </c>
      <c r="HY382" s="150" t="str">
        <f aca="false">IF(AND(ISNUMBER(HY77),ISNUMBER(HY$320),HY$320&lt;&gt;0),HY77*HY$320/HY$15,"")</f>
        <v/>
      </c>
      <c r="HZ382" s="150" t="str">
        <f aca="false">IF(AND(ISNUMBER(HZ77),ISNUMBER(HZ$320),HZ$320&lt;&gt;0),HZ77*HZ$320/HZ$15,"")</f>
        <v/>
      </c>
      <c r="IA382" s="150" t="str">
        <f aca="false">IF(AND(ISNUMBER(IA77),ISNUMBER(IA$320),IA$320&lt;&gt;0),IA77*IA$320/IA$15,"")</f>
        <v/>
      </c>
      <c r="IB382" s="150" t="str">
        <f aca="false">IF(AND(ISNUMBER(IB77),ISNUMBER(IB$320),IB$320&lt;&gt;0),IB77*IB$320/IB$15,"")</f>
        <v/>
      </c>
      <c r="IC382" s="150" t="str">
        <f aca="false">IF(AND(ISNUMBER(IC77),ISNUMBER(IC$320),IC$320&lt;&gt;0),IC77*IC$320/IC$15,"")</f>
        <v/>
      </c>
      <c r="ID382" s="572" t="str">
        <f aca="false">IF(AND(ISNUMBER(ID77),ISNUMBER(ID$320),ID$320&lt;&gt;0),ID77*ID$320/ID$15,"")</f>
        <v/>
      </c>
    </row>
    <row r="383" customFormat="false" ht="12.75" hidden="false" customHeight="false" outlineLevel="0" collapsed="false">
      <c r="I383" s="735"/>
      <c r="J383" s="727"/>
      <c r="K383" s="195"/>
      <c r="L383" s="195"/>
      <c r="M383" s="729"/>
      <c r="P383" s="727"/>
      <c r="S383" s="1"/>
      <c r="T383" s="727"/>
      <c r="U383" s="195"/>
      <c r="V383" s="195"/>
      <c r="W383" s="195"/>
      <c r="X383" s="195"/>
      <c r="Y383" s="195"/>
      <c r="Z383" s="195"/>
      <c r="AA383" s="195"/>
      <c r="AB383" s="195"/>
      <c r="AC383" s="195"/>
      <c r="AD383" s="195"/>
      <c r="AE383" s="195"/>
      <c r="AF383" s="195"/>
      <c r="AG383" s="195"/>
      <c r="AH383" s="195"/>
      <c r="AI383" s="195"/>
      <c r="AJ383" s="195"/>
      <c r="AK383" s="195"/>
      <c r="AL383" s="195"/>
      <c r="AM383" s="195"/>
      <c r="AN383" s="532"/>
      <c r="AO383" s="532"/>
      <c r="AP383" s="240"/>
      <c r="AQ383" s="532"/>
      <c r="AR383" s="240"/>
      <c r="AS383" s="240"/>
      <c r="AT383" s="240"/>
      <c r="AU383" s="730"/>
      <c r="AV383" s="730"/>
      <c r="AW383" s="730"/>
      <c r="AX383" s="730"/>
      <c r="AY383" s="468"/>
      <c r="AZ383" s="468"/>
      <c r="BA383" s="240"/>
      <c r="BB383" s="240"/>
      <c r="BC383" s="240"/>
      <c r="BD383" s="240"/>
      <c r="BE383" s="672"/>
      <c r="BF383" s="672"/>
      <c r="BG383" s="672"/>
      <c r="BH383" s="731"/>
      <c r="BI383" s="672"/>
      <c r="BJ383" s="240"/>
      <c r="BK383" s="736"/>
      <c r="BL383" s="737"/>
      <c r="BM383" s="240"/>
      <c r="BN383" s="240"/>
      <c r="BO383" s="240"/>
      <c r="BP383" s="240"/>
      <c r="BQ383" s="240"/>
      <c r="BR383" s="240"/>
      <c r="BS383" s="240"/>
      <c r="BT383" s="240"/>
      <c r="BU383" s="240"/>
      <c r="BV383" s="240"/>
      <c r="BW383" s="240"/>
      <c r="BX383" s="240"/>
      <c r="BY383" s="240"/>
      <c r="BZ383" s="240"/>
      <c r="CA383" s="240"/>
      <c r="CB383" s="672"/>
      <c r="CC383" s="672"/>
      <c r="CD383" s="672"/>
      <c r="CE383" s="672"/>
      <c r="CF383" s="672"/>
      <c r="CG383" s="672"/>
      <c r="CH383" s="240"/>
      <c r="CI383" s="240"/>
      <c r="CJ383" s="240"/>
      <c r="CK383" s="240"/>
      <c r="CL383" s="240"/>
      <c r="CM383" s="240"/>
      <c r="CN383" s="240"/>
      <c r="CO383" s="240"/>
      <c r="CP383" s="240"/>
      <c r="CQ383" s="240"/>
      <c r="CR383" s="240"/>
      <c r="CS383" s="240"/>
      <c r="CT383" s="240"/>
      <c r="CU383" s="240"/>
      <c r="CV383" s="240"/>
      <c r="CW383" s="240"/>
      <c r="CX383" s="240"/>
      <c r="CY383" s="240"/>
      <c r="CZ383" s="240"/>
      <c r="DA383" s="240"/>
      <c r="DB383" s="240"/>
      <c r="DC383" s="240"/>
      <c r="DD383" s="240"/>
      <c r="DE383" s="240"/>
      <c r="DF383" s="240"/>
      <c r="DG383" s="733"/>
      <c r="DH383" s="478"/>
      <c r="DI383" s="195"/>
      <c r="DJ383" s="3"/>
      <c r="DK383" s="478"/>
      <c r="DL383" s="4"/>
      <c r="DM383" s="4"/>
      <c r="DN383" s="4"/>
      <c r="DO383" s="4"/>
      <c r="DP383" s="4"/>
      <c r="DQ383" s="4"/>
      <c r="DS383" s="195"/>
      <c r="DT383" s="195"/>
      <c r="DU383" s="195"/>
      <c r="DV383" s="195"/>
      <c r="DW383" s="195"/>
      <c r="DX383" s="195"/>
      <c r="DY383" s="195"/>
      <c r="DZ383" s="195"/>
      <c r="EA383" s="195"/>
      <c r="EB383" s="195"/>
      <c r="EC383" s="195"/>
      <c r="ED383" s="195"/>
      <c r="EE383" s="195"/>
      <c r="EF383" s="195"/>
      <c r="EG383" s="195"/>
      <c r="EL383" s="1"/>
      <c r="EM383" s="195"/>
      <c r="EN383" s="240"/>
      <c r="EO383" s="240"/>
      <c r="EP383" s="195"/>
      <c r="EQ383" s="240"/>
      <c r="ER383" s="195"/>
      <c r="ES383" s="195"/>
      <c r="ET383" s="195"/>
      <c r="EU383" s="672"/>
      <c r="FJ383" s="571" t="n">
        <v>59</v>
      </c>
      <c r="FK383" s="150" t="str">
        <f aca="false">IF(AND(ISNUMBER(FK78),ISNUMBER(FK$320),FK$320&lt;&gt;0),FK78*FK$320/FK$15,"")</f>
        <v/>
      </c>
      <c r="FL383" s="150" t="str">
        <f aca="false">IF(AND(ISNUMBER(FL78),ISNUMBER(FL$320),FL$320&lt;&gt;0),FL78*FL$320/FL$15,"")</f>
        <v/>
      </c>
      <c r="FM383" s="150" t="n">
        <f aca="false">IF(AND(ISNUMBER(FM78),ISNUMBER(FM$320),FM$320&lt;&gt;0),FM78*FM$320/FM$15,"")</f>
        <v>0.00254737427946048</v>
      </c>
      <c r="FN383" s="150" t="n">
        <f aca="false">IF(AND(ISNUMBER(FN78),ISNUMBER(FN$320),FN$320&lt;&gt;0),FN78*FN$320/FN$15,"")</f>
        <v>0.00214413514737309</v>
      </c>
      <c r="FO383" s="150" t="n">
        <f aca="false">IF(AND(ISNUMBER(FO78),ISNUMBER(FO$320),FO$320&lt;&gt;0),FO78*FO$320/FO$15,"")</f>
        <v>0.00223032337518543</v>
      </c>
      <c r="FP383" s="150" t="n">
        <f aca="false">IF(AND(ISNUMBER(FP78),ISNUMBER(FP$320),FP$320&lt;&gt;0),FP78*FP$320/FP$15,"")</f>
        <v>0.00123578194551409</v>
      </c>
      <c r="FQ383" s="150" t="str">
        <f aca="false">IF(AND(ISNUMBER(FQ78),ISNUMBER(FQ$320),FQ$320&lt;&gt;0),FQ78*FQ$320/FQ$15,"")</f>
        <v/>
      </c>
      <c r="FR383" s="150" t="str">
        <f aca="false">IF(AND(ISNUMBER(FR78),ISNUMBER(FR$320),FR$320&lt;&gt;0),FR78*FR$320/FR$15,"")</f>
        <v/>
      </c>
      <c r="FS383" s="150" t="str">
        <f aca="false">IF(AND(ISNUMBER(FS78),ISNUMBER(FS$320),FS$320&lt;&gt;0),FS78*FS$320/FS$15,"")</f>
        <v/>
      </c>
      <c r="FT383" s="150" t="str">
        <f aca="false">IF(AND(ISNUMBER(FT78),ISNUMBER(FT$320),FT$320&lt;&gt;0),FT78*FT$320/FT$15,"")</f>
        <v/>
      </c>
      <c r="FU383" s="150" t="str">
        <f aca="false">IF(AND(ISNUMBER(FU78),ISNUMBER(FU$320),FU$320&lt;&gt;0),FU78*FU$320/FU$15,"")</f>
        <v/>
      </c>
      <c r="FV383" s="150" t="str">
        <f aca="false">IF(AND(ISNUMBER(FV78),ISNUMBER(FV$320),FV$320&lt;&gt;0),FV78*FV$320/FV$15,"")</f>
        <v/>
      </c>
      <c r="FW383" s="150" t="str">
        <f aca="false">IF(AND(ISNUMBER(FW78),ISNUMBER(FW$320),FW$320&lt;&gt;0),FW78*FW$320/FW$15,"")</f>
        <v/>
      </c>
      <c r="FX383" s="150" t="str">
        <f aca="false">IF(AND(ISNUMBER(FX78),ISNUMBER(FX$320),FX$320&lt;&gt;0),FX78*FX$320/FX$15,"")</f>
        <v/>
      </c>
      <c r="FY383" s="150" t="str">
        <f aca="false">IF(AND(ISNUMBER(FY78),ISNUMBER(FY$320),FY$320&lt;&gt;0),FY78*FY$320/FY$15,"")</f>
        <v/>
      </c>
      <c r="FZ383" s="150" t="str">
        <f aca="false">IF(AND(ISNUMBER(FZ78),ISNUMBER(FZ$320),FZ$320&lt;&gt;0),FZ78*FZ$320/FZ$15,"")</f>
        <v/>
      </c>
      <c r="GA383" s="150" t="str">
        <f aca="false">IF(AND(ISNUMBER(GA78),ISNUMBER(GA$320),GA$320&lt;&gt;0),GA78*GA$320/GA$15,"")</f>
        <v/>
      </c>
      <c r="GB383" s="150" t="str">
        <f aca="false">IF(AND(ISNUMBER(GB78),ISNUMBER(GB$320),GB$320&lt;&gt;0),GB78*GB$320/GB$15,"")</f>
        <v/>
      </c>
      <c r="GC383" s="150" t="str">
        <f aca="false">IF(AND(ISNUMBER(GC78),ISNUMBER(GC$320),GC$320&lt;&gt;0),GC78*GC$320/GC$15,"")</f>
        <v/>
      </c>
      <c r="GD383" s="150" t="str">
        <f aca="false">IF(AND(ISNUMBER(GD78),ISNUMBER(GD$320),GD$320&lt;&gt;0),GD78*GD$320/GD$15,"")</f>
        <v/>
      </c>
      <c r="GE383" s="150" t="str">
        <f aca="false">IF(AND(ISNUMBER(GE78),ISNUMBER(GE$320),GE$320&lt;&gt;0),GE78*GE$320/GE$15,"")</f>
        <v/>
      </c>
      <c r="GF383" s="150" t="str">
        <f aca="false">IF(AND(ISNUMBER(GF78),ISNUMBER(GF$320),GF$320&lt;&gt;0),GF78*GF$320/GF$15,"")</f>
        <v/>
      </c>
      <c r="GG383" s="150" t="str">
        <f aca="false">IF(AND(ISNUMBER(GG78),ISNUMBER(GG$320),GG$320&lt;&gt;0),GG78*GG$320/GG$15,"")</f>
        <v/>
      </c>
      <c r="GH383" s="150" t="str">
        <f aca="false">IF(AND(ISNUMBER(GH78),ISNUMBER(GH$320),GH$320&lt;&gt;0),GH78*GH$320/GH$15,"")</f>
        <v/>
      </c>
      <c r="GI383" s="150" t="str">
        <f aca="false">IF(AND(ISNUMBER(GI78),ISNUMBER(GI$320),GI$320&lt;&gt;0),GI78*GI$320/GI$15,"")</f>
        <v/>
      </c>
      <c r="GJ383" s="150" t="str">
        <f aca="false">IF(AND(ISNUMBER(GJ78),ISNUMBER(GJ$320),GJ$320&lt;&gt;0),GJ78*GJ$320/GJ$15,"")</f>
        <v/>
      </c>
      <c r="GK383" s="150" t="str">
        <f aca="false">IF(AND(ISNUMBER(GK78),ISNUMBER(GK$320),GK$320&lt;&gt;0),GK78*GK$320/GK$15,"")</f>
        <v/>
      </c>
      <c r="GL383" s="150" t="str">
        <f aca="false">IF(AND(ISNUMBER(GL78),ISNUMBER(GL$320),GL$320&lt;&gt;0),GL78*GL$320/GL$15,"")</f>
        <v/>
      </c>
      <c r="GM383" s="150" t="str">
        <f aca="false">IF(AND(ISNUMBER(GM78),ISNUMBER(GM$320),GM$320&lt;&gt;0),GM78*GM$320/GM$15,"")</f>
        <v/>
      </c>
      <c r="GN383" s="150" t="str">
        <f aca="false">IF(AND(ISNUMBER(GN78),ISNUMBER(GN$320),GN$320&lt;&gt;0),GN78*GN$320/GN$15,"")</f>
        <v/>
      </c>
      <c r="GO383" s="150" t="str">
        <f aca="false">IF(AND(ISNUMBER(GO78),ISNUMBER(GO$320),GO$320&lt;&gt;0),GO78*GO$320/GO$15,"")</f>
        <v/>
      </c>
      <c r="GP383" s="150" t="str">
        <f aca="false">IF(AND(ISNUMBER(GP78),ISNUMBER(GP$320),GP$320&lt;&gt;0),GP78*GP$320/GP$15,"")</f>
        <v/>
      </c>
      <c r="GQ383" s="150" t="str">
        <f aca="false">IF(AND(ISNUMBER(GQ78),ISNUMBER(GQ$320),GQ$320&lt;&gt;0),GQ78*GQ$320/GQ$15,"")</f>
        <v/>
      </c>
      <c r="GR383" s="150" t="str">
        <f aca="false">IF(AND(ISNUMBER(GR78),ISNUMBER(GR$320),GR$320&lt;&gt;0),GR78*GR$320/GR$15,"")</f>
        <v/>
      </c>
      <c r="GS383" s="150" t="str">
        <f aca="false">IF(AND(ISNUMBER(GS78),ISNUMBER(GS$320),GS$320&lt;&gt;0),GS78*GS$320/GS$15,"")</f>
        <v/>
      </c>
      <c r="GT383" s="150" t="str">
        <f aca="false">IF(AND(ISNUMBER(GT78),ISNUMBER(GT$320),GT$320&lt;&gt;0),GT78*GT$320/GT$15,"")</f>
        <v/>
      </c>
      <c r="GU383" s="150" t="str">
        <f aca="false">IF(AND(ISNUMBER(GU78),ISNUMBER(GU$320),GU$320&lt;&gt;0),GU78*GU$320/GU$15,"")</f>
        <v/>
      </c>
      <c r="GV383" s="150" t="str">
        <f aca="false">IF(AND(ISNUMBER(GV78),ISNUMBER(GV$320),GV$320&lt;&gt;0),GV78*GV$320/GV$15,"")</f>
        <v/>
      </c>
      <c r="GW383" s="150" t="str">
        <f aca="false">IF(AND(ISNUMBER(GW78),ISNUMBER(GW$320),GW$320&lt;&gt;0),GW78*GW$320/GW$15,"")</f>
        <v/>
      </c>
      <c r="GX383" s="150" t="str">
        <f aca="false">IF(AND(ISNUMBER(GX78),ISNUMBER(GX$320),GX$320&lt;&gt;0),GX78*GX$320/GX$15,"")</f>
        <v/>
      </c>
      <c r="GY383" s="150" t="str">
        <f aca="false">IF(AND(ISNUMBER(GY78),ISNUMBER(GY$320),GY$320&lt;&gt;0),GY78*GY$320/GY$15,"")</f>
        <v/>
      </c>
      <c r="GZ383" s="150" t="str">
        <f aca="false">IF(AND(ISNUMBER(GZ78),ISNUMBER(GZ$320),GZ$320&lt;&gt;0),GZ78*GZ$320/GZ$15,"")</f>
        <v/>
      </c>
      <c r="HA383" s="150" t="str">
        <f aca="false">IF(AND(ISNUMBER(HA78),ISNUMBER(HA$320),HA$320&lt;&gt;0),HA78*HA$320/HA$15,"")</f>
        <v/>
      </c>
      <c r="HB383" s="150" t="str">
        <f aca="false">IF(AND(ISNUMBER(HB78),ISNUMBER(HB$320),HB$320&lt;&gt;0),HB78*HB$320/HB$15,"")</f>
        <v/>
      </c>
      <c r="HC383" s="150" t="str">
        <f aca="false">IF(AND(ISNUMBER(HC78),ISNUMBER(HC$320),HC$320&lt;&gt;0),HC78*HC$320/HC$15,"")</f>
        <v/>
      </c>
      <c r="HD383" s="150" t="str">
        <f aca="false">IF(AND(ISNUMBER(HD78),ISNUMBER(HD$320),HD$320&lt;&gt;0),HD78*HD$320/HD$15,"")</f>
        <v/>
      </c>
      <c r="HE383" s="150" t="str">
        <f aca="false">IF(AND(ISNUMBER(HE78),ISNUMBER(HE$320),HE$320&lt;&gt;0),HE78*HE$320/HE$15,"")</f>
        <v/>
      </c>
      <c r="HF383" s="150" t="str">
        <f aca="false">IF(AND(ISNUMBER(HF78),ISNUMBER(HF$320),HF$320&lt;&gt;0),HF78*HF$320/HF$15,"")</f>
        <v/>
      </c>
      <c r="HG383" s="150" t="str">
        <f aca="false">IF(AND(ISNUMBER(HG78),ISNUMBER(HG$320),HG$320&lt;&gt;0),HG78*HG$320/HG$15,"")</f>
        <v/>
      </c>
      <c r="HH383" s="150" t="str">
        <f aca="false">IF(AND(ISNUMBER(HH78),ISNUMBER(HH$320),HH$320&lt;&gt;0),HH78*HH$320/HH$15,"")</f>
        <v/>
      </c>
      <c r="HI383" s="150" t="str">
        <f aca="false">IF(AND(ISNUMBER(HI78),ISNUMBER(HI$320),HI$320&lt;&gt;0),HI78*HI$320/HI$15,"")</f>
        <v/>
      </c>
      <c r="HJ383" s="150" t="str">
        <f aca="false">IF(AND(ISNUMBER(HJ78),ISNUMBER(HJ$320),HJ$320&lt;&gt;0),HJ78*HJ$320/HJ$15,"")</f>
        <v/>
      </c>
      <c r="HK383" s="150" t="str">
        <f aca="false">IF(AND(ISNUMBER(HK78),ISNUMBER(HK$320),HK$320&lt;&gt;0),HK78*HK$320/HK$15,"")</f>
        <v/>
      </c>
      <c r="HL383" s="150" t="str">
        <f aca="false">IF(AND(ISNUMBER(HL78),ISNUMBER(HL$320),HL$320&lt;&gt;0),HL78*HL$320/HL$15,"")</f>
        <v/>
      </c>
      <c r="HM383" s="150" t="str">
        <f aca="false">IF(AND(ISNUMBER(HM78),ISNUMBER(HM$320),HM$320&lt;&gt;0),HM78*HM$320/HM$15,"")</f>
        <v/>
      </c>
      <c r="HN383" s="150" t="str">
        <f aca="false">IF(AND(ISNUMBER(HN78),ISNUMBER(HN$320),HN$320&lt;&gt;0),HN78*HN$320/HN$15,"")</f>
        <v/>
      </c>
      <c r="HO383" s="150" t="str">
        <f aca="false">IF(AND(ISNUMBER(HO78),ISNUMBER(HO$320),HO$320&lt;&gt;0),HO78*HO$320/HO$15,"")</f>
        <v/>
      </c>
      <c r="HP383" s="150" t="str">
        <f aca="false">IF(AND(ISNUMBER(HP78),ISNUMBER(HP$320),HP$320&lt;&gt;0),HP78*HP$320/HP$15,"")</f>
        <v/>
      </c>
      <c r="HQ383" s="150" t="str">
        <f aca="false">IF(AND(ISNUMBER(HQ78),ISNUMBER(HQ$320),HQ$320&lt;&gt;0),HQ78*HQ$320/HQ$15,"")</f>
        <v/>
      </c>
      <c r="HR383" s="150" t="str">
        <f aca="false">IF(AND(ISNUMBER(HR78),ISNUMBER(HR$320),HR$320&lt;&gt;0),HR78*HR$320/HR$15,"")</f>
        <v/>
      </c>
      <c r="HS383" s="150" t="str">
        <f aca="false">IF(AND(ISNUMBER(HS78),ISNUMBER(HS$320),HS$320&lt;&gt;0),HS78*HS$320/HS$15,"")</f>
        <v/>
      </c>
      <c r="HT383" s="150" t="str">
        <f aca="false">IF(AND(ISNUMBER(HT78),ISNUMBER(HT$320),HT$320&lt;&gt;0),HT78*HT$320/HT$15,"")</f>
        <v/>
      </c>
      <c r="HU383" s="150" t="str">
        <f aca="false">IF(AND(ISNUMBER(HU78),ISNUMBER(HU$320),HU$320&lt;&gt;0),HU78*HU$320/HU$15,"")</f>
        <v/>
      </c>
      <c r="HV383" s="150" t="str">
        <f aca="false">IF(AND(ISNUMBER(HV78),ISNUMBER(HV$320),HV$320&lt;&gt;0),HV78*HV$320/HV$15,"")</f>
        <v/>
      </c>
      <c r="HW383" s="150" t="str">
        <f aca="false">IF(AND(ISNUMBER(HW78),ISNUMBER(HW$320),HW$320&lt;&gt;0),HW78*HW$320/HW$15,"")</f>
        <v/>
      </c>
      <c r="HX383" s="150" t="str">
        <f aca="false">IF(AND(ISNUMBER(HX78),ISNUMBER(HX$320),HX$320&lt;&gt;0),HX78*HX$320/HX$15,"")</f>
        <v/>
      </c>
      <c r="HY383" s="150" t="str">
        <f aca="false">IF(AND(ISNUMBER(HY78),ISNUMBER(HY$320),HY$320&lt;&gt;0),HY78*HY$320/HY$15,"")</f>
        <v/>
      </c>
      <c r="HZ383" s="150" t="str">
        <f aca="false">IF(AND(ISNUMBER(HZ78),ISNUMBER(HZ$320),HZ$320&lt;&gt;0),HZ78*HZ$320/HZ$15,"")</f>
        <v/>
      </c>
      <c r="IA383" s="150" t="str">
        <f aca="false">IF(AND(ISNUMBER(IA78),ISNUMBER(IA$320),IA$320&lt;&gt;0),IA78*IA$320/IA$15,"")</f>
        <v/>
      </c>
      <c r="IB383" s="150" t="str">
        <f aca="false">IF(AND(ISNUMBER(IB78),ISNUMBER(IB$320),IB$320&lt;&gt;0),IB78*IB$320/IB$15,"")</f>
        <v/>
      </c>
      <c r="IC383" s="150" t="str">
        <f aca="false">IF(AND(ISNUMBER(IC78),ISNUMBER(IC$320),IC$320&lt;&gt;0),IC78*IC$320/IC$15,"")</f>
        <v/>
      </c>
      <c r="ID383" s="572" t="str">
        <f aca="false">IF(AND(ISNUMBER(ID78),ISNUMBER(ID$320),ID$320&lt;&gt;0),ID78*ID$320/ID$15,"")</f>
        <v/>
      </c>
    </row>
    <row r="384" customFormat="false" ht="12.75" hidden="false" customHeight="false" outlineLevel="0" collapsed="false">
      <c r="I384" s="735"/>
      <c r="J384" s="727"/>
      <c r="K384" s="195"/>
      <c r="L384" s="195"/>
      <c r="M384" s="729"/>
      <c r="P384" s="727"/>
      <c r="S384" s="1"/>
      <c r="T384" s="727"/>
      <c r="U384" s="195"/>
      <c r="V384" s="195"/>
      <c r="W384" s="195"/>
      <c r="X384" s="195"/>
      <c r="Y384" s="195"/>
      <c r="Z384" s="195"/>
      <c r="AA384" s="195"/>
      <c r="AB384" s="195"/>
      <c r="AC384" s="195"/>
      <c r="AD384" s="195"/>
      <c r="AE384" s="195"/>
      <c r="AF384" s="195"/>
      <c r="AG384" s="195"/>
      <c r="AH384" s="195"/>
      <c r="AI384" s="195"/>
      <c r="AJ384" s="195"/>
      <c r="AK384" s="195"/>
      <c r="AL384" s="195"/>
      <c r="AM384" s="195"/>
      <c r="AN384" s="532"/>
      <c r="AO384" s="532"/>
      <c r="AP384" s="240"/>
      <c r="AQ384" s="532"/>
      <c r="AR384" s="240"/>
      <c r="AS384" s="240"/>
      <c r="AT384" s="240"/>
      <c r="AU384" s="730"/>
      <c r="AV384" s="730"/>
      <c r="AW384" s="730"/>
      <c r="AX384" s="730"/>
      <c r="AY384" s="468"/>
      <c r="AZ384" s="468"/>
      <c r="BA384" s="240"/>
      <c r="BB384" s="240"/>
      <c r="BC384" s="240"/>
      <c r="BD384" s="240"/>
      <c r="BE384" s="672"/>
      <c r="BF384" s="672"/>
      <c r="BG384" s="672"/>
      <c r="BH384" s="731"/>
      <c r="BI384" s="672"/>
      <c r="BJ384" s="240"/>
      <c r="BK384" s="736"/>
      <c r="BL384" s="737"/>
      <c r="BM384" s="240"/>
      <c r="BN384" s="240"/>
      <c r="BO384" s="240"/>
      <c r="BP384" s="240"/>
      <c r="BQ384" s="240"/>
      <c r="BR384" s="240"/>
      <c r="BS384" s="240"/>
      <c r="BT384" s="240"/>
      <c r="BU384" s="240"/>
      <c r="BV384" s="240"/>
      <c r="BW384" s="240"/>
      <c r="BX384" s="240"/>
      <c r="BY384" s="240"/>
      <c r="BZ384" s="240"/>
      <c r="CA384" s="240"/>
      <c r="CB384" s="672"/>
      <c r="CC384" s="672"/>
      <c r="CD384" s="672"/>
      <c r="CE384" s="672"/>
      <c r="CF384" s="672"/>
      <c r="CG384" s="672"/>
      <c r="CH384" s="240"/>
      <c r="CI384" s="240"/>
      <c r="CJ384" s="240"/>
      <c r="CK384" s="240"/>
      <c r="CL384" s="240"/>
      <c r="CM384" s="240"/>
      <c r="CN384" s="240"/>
      <c r="CO384" s="240"/>
      <c r="CP384" s="240"/>
      <c r="CQ384" s="240"/>
      <c r="CR384" s="240"/>
      <c r="CS384" s="240"/>
      <c r="CT384" s="240"/>
      <c r="CU384" s="240"/>
      <c r="CV384" s="240"/>
      <c r="CW384" s="240"/>
      <c r="CX384" s="240"/>
      <c r="CY384" s="240"/>
      <c r="CZ384" s="240"/>
      <c r="DA384" s="240"/>
      <c r="DB384" s="240"/>
      <c r="DC384" s="240"/>
      <c r="DD384" s="240"/>
      <c r="DE384" s="240"/>
      <c r="DF384" s="240"/>
      <c r="DG384" s="733"/>
      <c r="DH384" s="478"/>
      <c r="DI384" s="195"/>
      <c r="DJ384" s="3"/>
      <c r="DK384" s="478"/>
      <c r="DL384" s="4"/>
      <c r="DM384" s="4"/>
      <c r="DN384" s="4"/>
      <c r="DO384" s="4"/>
      <c r="DP384" s="4"/>
      <c r="DQ384" s="4"/>
      <c r="DS384" s="195"/>
      <c r="DT384" s="195"/>
      <c r="DU384" s="195"/>
      <c r="DV384" s="195"/>
      <c r="DW384" s="195"/>
      <c r="DX384" s="195"/>
      <c r="DY384" s="195"/>
      <c r="DZ384" s="195"/>
      <c r="EA384" s="195"/>
      <c r="EB384" s="195"/>
      <c r="EC384" s="195"/>
      <c r="ED384" s="195"/>
      <c r="EE384" s="195"/>
      <c r="EF384" s="195"/>
      <c r="EG384" s="195"/>
      <c r="EL384" s="1"/>
      <c r="EM384" s="195"/>
      <c r="EN384" s="240"/>
      <c r="EO384" s="240"/>
      <c r="EP384" s="195"/>
      <c r="EQ384" s="240"/>
      <c r="ER384" s="195"/>
      <c r="ES384" s="195"/>
      <c r="ET384" s="195"/>
      <c r="EU384" s="672"/>
      <c r="FJ384" s="571" t="n">
        <v>60</v>
      </c>
      <c r="FK384" s="150" t="str">
        <f aca="false">IF(AND(ISNUMBER(FK79),ISNUMBER(FK$320),FK$320&lt;&gt;0),FK79*FK$320/FK$15,"")</f>
        <v/>
      </c>
      <c r="FL384" s="150" t="str">
        <f aca="false">IF(AND(ISNUMBER(FL79),ISNUMBER(FL$320),FL$320&lt;&gt;0),FL79*FL$320/FL$15,"")</f>
        <v/>
      </c>
      <c r="FM384" s="150" t="n">
        <f aca="false">IF(AND(ISNUMBER(FM79),ISNUMBER(FM$320),FM$320&lt;&gt;0),FM79*FM$320/FM$15,"")</f>
        <v>0.00254728562257781</v>
      </c>
      <c r="FN384" s="150" t="n">
        <f aca="false">IF(AND(ISNUMBER(FN79),ISNUMBER(FN$320),FN$320&lt;&gt;0),FN79*FN$320/FN$15,"")</f>
        <v>0.00214404786918163</v>
      </c>
      <c r="FO384" s="150" t="n">
        <f aca="false">IF(AND(ISNUMBER(FO79),ISNUMBER(FO$320),FO$320&lt;&gt;0),FO79*FO$320/FO$15,"")</f>
        <v>0.00223021719210903</v>
      </c>
      <c r="FP384" s="150" t="n">
        <f aca="false">IF(AND(ISNUMBER(FP79),ISNUMBER(FP$320),FP$320&lt;&gt;0),FP79*FP$320/FP$15,"")</f>
        <v>0.00123571313366964</v>
      </c>
      <c r="FQ384" s="150" t="str">
        <f aca="false">IF(AND(ISNUMBER(FQ79),ISNUMBER(FQ$320),FQ$320&lt;&gt;0),FQ79*FQ$320/FQ$15,"")</f>
        <v/>
      </c>
      <c r="FR384" s="150" t="str">
        <f aca="false">IF(AND(ISNUMBER(FR79),ISNUMBER(FR$320),FR$320&lt;&gt;0),FR79*FR$320/FR$15,"")</f>
        <v/>
      </c>
      <c r="FS384" s="150" t="str">
        <f aca="false">IF(AND(ISNUMBER(FS79),ISNUMBER(FS$320),FS$320&lt;&gt;0),FS79*FS$320/FS$15,"")</f>
        <v/>
      </c>
      <c r="FT384" s="150" t="str">
        <f aca="false">IF(AND(ISNUMBER(FT79),ISNUMBER(FT$320),FT$320&lt;&gt;0),FT79*FT$320/FT$15,"")</f>
        <v/>
      </c>
      <c r="FU384" s="150" t="str">
        <f aca="false">IF(AND(ISNUMBER(FU79),ISNUMBER(FU$320),FU$320&lt;&gt;0),FU79*FU$320/FU$15,"")</f>
        <v/>
      </c>
      <c r="FV384" s="150" t="str">
        <f aca="false">IF(AND(ISNUMBER(FV79),ISNUMBER(FV$320),FV$320&lt;&gt;0),FV79*FV$320/FV$15,"")</f>
        <v/>
      </c>
      <c r="FW384" s="150" t="str">
        <f aca="false">IF(AND(ISNUMBER(FW79),ISNUMBER(FW$320),FW$320&lt;&gt;0),FW79*FW$320/FW$15,"")</f>
        <v/>
      </c>
      <c r="FX384" s="150" t="str">
        <f aca="false">IF(AND(ISNUMBER(FX79),ISNUMBER(FX$320),FX$320&lt;&gt;0),FX79*FX$320/FX$15,"")</f>
        <v/>
      </c>
      <c r="FY384" s="150" t="str">
        <f aca="false">IF(AND(ISNUMBER(FY79),ISNUMBER(FY$320),FY$320&lt;&gt;0),FY79*FY$320/FY$15,"")</f>
        <v/>
      </c>
      <c r="FZ384" s="150" t="str">
        <f aca="false">IF(AND(ISNUMBER(FZ79),ISNUMBER(FZ$320),FZ$320&lt;&gt;0),FZ79*FZ$320/FZ$15,"")</f>
        <v/>
      </c>
      <c r="GA384" s="150" t="str">
        <f aca="false">IF(AND(ISNUMBER(GA79),ISNUMBER(GA$320),GA$320&lt;&gt;0),GA79*GA$320/GA$15,"")</f>
        <v/>
      </c>
      <c r="GB384" s="150" t="str">
        <f aca="false">IF(AND(ISNUMBER(GB79),ISNUMBER(GB$320),GB$320&lt;&gt;0),GB79*GB$320/GB$15,"")</f>
        <v/>
      </c>
      <c r="GC384" s="150" t="str">
        <f aca="false">IF(AND(ISNUMBER(GC79),ISNUMBER(GC$320),GC$320&lt;&gt;0),GC79*GC$320/GC$15,"")</f>
        <v/>
      </c>
      <c r="GD384" s="150" t="str">
        <f aca="false">IF(AND(ISNUMBER(GD79),ISNUMBER(GD$320),GD$320&lt;&gt;0),GD79*GD$320/GD$15,"")</f>
        <v/>
      </c>
      <c r="GE384" s="150" t="str">
        <f aca="false">IF(AND(ISNUMBER(GE79),ISNUMBER(GE$320),GE$320&lt;&gt;0),GE79*GE$320/GE$15,"")</f>
        <v/>
      </c>
      <c r="GF384" s="150" t="str">
        <f aca="false">IF(AND(ISNUMBER(GF79),ISNUMBER(GF$320),GF$320&lt;&gt;0),GF79*GF$320/GF$15,"")</f>
        <v/>
      </c>
      <c r="GG384" s="150" t="str">
        <f aca="false">IF(AND(ISNUMBER(GG79),ISNUMBER(GG$320),GG$320&lt;&gt;0),GG79*GG$320/GG$15,"")</f>
        <v/>
      </c>
      <c r="GH384" s="150" t="str">
        <f aca="false">IF(AND(ISNUMBER(GH79),ISNUMBER(GH$320),GH$320&lt;&gt;0),GH79*GH$320/GH$15,"")</f>
        <v/>
      </c>
      <c r="GI384" s="150" t="str">
        <f aca="false">IF(AND(ISNUMBER(GI79),ISNUMBER(GI$320),GI$320&lt;&gt;0),GI79*GI$320/GI$15,"")</f>
        <v/>
      </c>
      <c r="GJ384" s="150" t="str">
        <f aca="false">IF(AND(ISNUMBER(GJ79),ISNUMBER(GJ$320),GJ$320&lt;&gt;0),GJ79*GJ$320/GJ$15,"")</f>
        <v/>
      </c>
      <c r="GK384" s="150" t="str">
        <f aca="false">IF(AND(ISNUMBER(GK79),ISNUMBER(GK$320),GK$320&lt;&gt;0),GK79*GK$320/GK$15,"")</f>
        <v/>
      </c>
      <c r="GL384" s="150" t="str">
        <f aca="false">IF(AND(ISNUMBER(GL79),ISNUMBER(GL$320),GL$320&lt;&gt;0),GL79*GL$320/GL$15,"")</f>
        <v/>
      </c>
      <c r="GM384" s="150" t="str">
        <f aca="false">IF(AND(ISNUMBER(GM79),ISNUMBER(GM$320),GM$320&lt;&gt;0),GM79*GM$320/GM$15,"")</f>
        <v/>
      </c>
      <c r="GN384" s="150" t="str">
        <f aca="false">IF(AND(ISNUMBER(GN79),ISNUMBER(GN$320),GN$320&lt;&gt;0),GN79*GN$320/GN$15,"")</f>
        <v/>
      </c>
      <c r="GO384" s="150" t="str">
        <f aca="false">IF(AND(ISNUMBER(GO79),ISNUMBER(GO$320),GO$320&lt;&gt;0),GO79*GO$320/GO$15,"")</f>
        <v/>
      </c>
      <c r="GP384" s="150" t="str">
        <f aca="false">IF(AND(ISNUMBER(GP79),ISNUMBER(GP$320),GP$320&lt;&gt;0),GP79*GP$320/GP$15,"")</f>
        <v/>
      </c>
      <c r="GQ384" s="150" t="str">
        <f aca="false">IF(AND(ISNUMBER(GQ79),ISNUMBER(GQ$320),GQ$320&lt;&gt;0),GQ79*GQ$320/GQ$15,"")</f>
        <v/>
      </c>
      <c r="GR384" s="150" t="str">
        <f aca="false">IF(AND(ISNUMBER(GR79),ISNUMBER(GR$320),GR$320&lt;&gt;0),GR79*GR$320/GR$15,"")</f>
        <v/>
      </c>
      <c r="GS384" s="150" t="str">
        <f aca="false">IF(AND(ISNUMBER(GS79),ISNUMBER(GS$320),GS$320&lt;&gt;0),GS79*GS$320/GS$15,"")</f>
        <v/>
      </c>
      <c r="GT384" s="150" t="str">
        <f aca="false">IF(AND(ISNUMBER(GT79),ISNUMBER(GT$320),GT$320&lt;&gt;0),GT79*GT$320/GT$15,"")</f>
        <v/>
      </c>
      <c r="GU384" s="150" t="str">
        <f aca="false">IF(AND(ISNUMBER(GU79),ISNUMBER(GU$320),GU$320&lt;&gt;0),GU79*GU$320/GU$15,"")</f>
        <v/>
      </c>
      <c r="GV384" s="150" t="str">
        <f aca="false">IF(AND(ISNUMBER(GV79),ISNUMBER(GV$320),GV$320&lt;&gt;0),GV79*GV$320/GV$15,"")</f>
        <v/>
      </c>
      <c r="GW384" s="150" t="str">
        <f aca="false">IF(AND(ISNUMBER(GW79),ISNUMBER(GW$320),GW$320&lt;&gt;0),GW79*GW$320/GW$15,"")</f>
        <v/>
      </c>
      <c r="GX384" s="150" t="str">
        <f aca="false">IF(AND(ISNUMBER(GX79),ISNUMBER(GX$320),GX$320&lt;&gt;0),GX79*GX$320/GX$15,"")</f>
        <v/>
      </c>
      <c r="GY384" s="150" t="str">
        <f aca="false">IF(AND(ISNUMBER(GY79),ISNUMBER(GY$320),GY$320&lt;&gt;0),GY79*GY$320/GY$15,"")</f>
        <v/>
      </c>
      <c r="GZ384" s="150" t="str">
        <f aca="false">IF(AND(ISNUMBER(GZ79),ISNUMBER(GZ$320),GZ$320&lt;&gt;0),GZ79*GZ$320/GZ$15,"")</f>
        <v/>
      </c>
      <c r="HA384" s="150" t="str">
        <f aca="false">IF(AND(ISNUMBER(HA79),ISNUMBER(HA$320),HA$320&lt;&gt;0),HA79*HA$320/HA$15,"")</f>
        <v/>
      </c>
      <c r="HB384" s="150" t="str">
        <f aca="false">IF(AND(ISNUMBER(HB79),ISNUMBER(HB$320),HB$320&lt;&gt;0),HB79*HB$320/HB$15,"")</f>
        <v/>
      </c>
      <c r="HC384" s="150" t="str">
        <f aca="false">IF(AND(ISNUMBER(HC79),ISNUMBER(HC$320),HC$320&lt;&gt;0),HC79*HC$320/HC$15,"")</f>
        <v/>
      </c>
      <c r="HD384" s="150" t="str">
        <f aca="false">IF(AND(ISNUMBER(HD79),ISNUMBER(HD$320),HD$320&lt;&gt;0),HD79*HD$320/HD$15,"")</f>
        <v/>
      </c>
      <c r="HE384" s="150" t="str">
        <f aca="false">IF(AND(ISNUMBER(HE79),ISNUMBER(HE$320),HE$320&lt;&gt;0),HE79*HE$320/HE$15,"")</f>
        <v/>
      </c>
      <c r="HF384" s="150" t="str">
        <f aca="false">IF(AND(ISNUMBER(HF79),ISNUMBER(HF$320),HF$320&lt;&gt;0),HF79*HF$320/HF$15,"")</f>
        <v/>
      </c>
      <c r="HG384" s="150" t="str">
        <f aca="false">IF(AND(ISNUMBER(HG79),ISNUMBER(HG$320),HG$320&lt;&gt;0),HG79*HG$320/HG$15,"")</f>
        <v/>
      </c>
      <c r="HH384" s="150" t="str">
        <f aca="false">IF(AND(ISNUMBER(HH79),ISNUMBER(HH$320),HH$320&lt;&gt;0),HH79*HH$320/HH$15,"")</f>
        <v/>
      </c>
      <c r="HI384" s="150" t="str">
        <f aca="false">IF(AND(ISNUMBER(HI79),ISNUMBER(HI$320),HI$320&lt;&gt;0),HI79*HI$320/HI$15,"")</f>
        <v/>
      </c>
      <c r="HJ384" s="150" t="str">
        <f aca="false">IF(AND(ISNUMBER(HJ79),ISNUMBER(HJ$320),HJ$320&lt;&gt;0),HJ79*HJ$320/HJ$15,"")</f>
        <v/>
      </c>
      <c r="HK384" s="150" t="str">
        <f aca="false">IF(AND(ISNUMBER(HK79),ISNUMBER(HK$320),HK$320&lt;&gt;0),HK79*HK$320/HK$15,"")</f>
        <v/>
      </c>
      <c r="HL384" s="150" t="str">
        <f aca="false">IF(AND(ISNUMBER(HL79),ISNUMBER(HL$320),HL$320&lt;&gt;0),HL79*HL$320/HL$15,"")</f>
        <v/>
      </c>
      <c r="HM384" s="150" t="str">
        <f aca="false">IF(AND(ISNUMBER(HM79),ISNUMBER(HM$320),HM$320&lt;&gt;0),HM79*HM$320/HM$15,"")</f>
        <v/>
      </c>
      <c r="HN384" s="150" t="str">
        <f aca="false">IF(AND(ISNUMBER(HN79),ISNUMBER(HN$320),HN$320&lt;&gt;0),HN79*HN$320/HN$15,"")</f>
        <v/>
      </c>
      <c r="HO384" s="150" t="str">
        <f aca="false">IF(AND(ISNUMBER(HO79),ISNUMBER(HO$320),HO$320&lt;&gt;0),HO79*HO$320/HO$15,"")</f>
        <v/>
      </c>
      <c r="HP384" s="150" t="str">
        <f aca="false">IF(AND(ISNUMBER(HP79),ISNUMBER(HP$320),HP$320&lt;&gt;0),HP79*HP$320/HP$15,"")</f>
        <v/>
      </c>
      <c r="HQ384" s="150" t="str">
        <f aca="false">IF(AND(ISNUMBER(HQ79),ISNUMBER(HQ$320),HQ$320&lt;&gt;0),HQ79*HQ$320/HQ$15,"")</f>
        <v/>
      </c>
      <c r="HR384" s="150" t="str">
        <f aca="false">IF(AND(ISNUMBER(HR79),ISNUMBER(HR$320),HR$320&lt;&gt;0),HR79*HR$320/HR$15,"")</f>
        <v/>
      </c>
      <c r="HS384" s="150" t="str">
        <f aca="false">IF(AND(ISNUMBER(HS79),ISNUMBER(HS$320),HS$320&lt;&gt;0),HS79*HS$320/HS$15,"")</f>
        <v/>
      </c>
      <c r="HT384" s="150" t="str">
        <f aca="false">IF(AND(ISNUMBER(HT79),ISNUMBER(HT$320),HT$320&lt;&gt;0),HT79*HT$320/HT$15,"")</f>
        <v/>
      </c>
      <c r="HU384" s="150" t="str">
        <f aca="false">IF(AND(ISNUMBER(HU79),ISNUMBER(HU$320),HU$320&lt;&gt;0),HU79*HU$320/HU$15,"")</f>
        <v/>
      </c>
      <c r="HV384" s="150" t="str">
        <f aca="false">IF(AND(ISNUMBER(HV79),ISNUMBER(HV$320),HV$320&lt;&gt;0),HV79*HV$320/HV$15,"")</f>
        <v/>
      </c>
      <c r="HW384" s="150" t="str">
        <f aca="false">IF(AND(ISNUMBER(HW79),ISNUMBER(HW$320),HW$320&lt;&gt;0),HW79*HW$320/HW$15,"")</f>
        <v/>
      </c>
      <c r="HX384" s="150" t="str">
        <f aca="false">IF(AND(ISNUMBER(HX79),ISNUMBER(HX$320),HX$320&lt;&gt;0),HX79*HX$320/HX$15,"")</f>
        <v/>
      </c>
      <c r="HY384" s="150" t="str">
        <f aca="false">IF(AND(ISNUMBER(HY79),ISNUMBER(HY$320),HY$320&lt;&gt;0),HY79*HY$320/HY$15,"")</f>
        <v/>
      </c>
      <c r="HZ384" s="150" t="str">
        <f aca="false">IF(AND(ISNUMBER(HZ79),ISNUMBER(HZ$320),HZ$320&lt;&gt;0),HZ79*HZ$320/HZ$15,"")</f>
        <v/>
      </c>
      <c r="IA384" s="150" t="str">
        <f aca="false">IF(AND(ISNUMBER(IA79),ISNUMBER(IA$320),IA$320&lt;&gt;0),IA79*IA$320/IA$15,"")</f>
        <v/>
      </c>
      <c r="IB384" s="150" t="str">
        <f aca="false">IF(AND(ISNUMBER(IB79),ISNUMBER(IB$320),IB$320&lt;&gt;0),IB79*IB$320/IB$15,"")</f>
        <v/>
      </c>
      <c r="IC384" s="150" t="str">
        <f aca="false">IF(AND(ISNUMBER(IC79),ISNUMBER(IC$320),IC$320&lt;&gt;0),IC79*IC$320/IC$15,"")</f>
        <v/>
      </c>
      <c r="ID384" s="572" t="str">
        <f aca="false">IF(AND(ISNUMBER(ID79),ISNUMBER(ID$320),ID$320&lt;&gt;0),ID79*ID$320/ID$15,"")</f>
        <v/>
      </c>
    </row>
    <row r="385" customFormat="false" ht="12.75" hidden="false" customHeight="false" outlineLevel="0" collapsed="false">
      <c r="I385" s="735"/>
      <c r="J385" s="727"/>
      <c r="K385" s="195"/>
      <c r="L385" s="195"/>
      <c r="M385" s="729"/>
      <c r="P385" s="727"/>
      <c r="S385" s="1"/>
      <c r="T385" s="727"/>
      <c r="U385" s="195"/>
      <c r="V385" s="195"/>
      <c r="W385" s="195"/>
      <c r="X385" s="195"/>
      <c r="Y385" s="195"/>
      <c r="Z385" s="195"/>
      <c r="AA385" s="195"/>
      <c r="AB385" s="195"/>
      <c r="AC385" s="195"/>
      <c r="AD385" s="195"/>
      <c r="AE385" s="195"/>
      <c r="AF385" s="195"/>
      <c r="AG385" s="195"/>
      <c r="AH385" s="195"/>
      <c r="AI385" s="195"/>
      <c r="AJ385" s="195"/>
      <c r="AK385" s="195"/>
      <c r="AL385" s="195"/>
      <c r="AM385" s="195"/>
      <c r="AN385" s="532"/>
      <c r="AO385" s="532"/>
      <c r="AP385" s="240"/>
      <c r="AQ385" s="532"/>
      <c r="AR385" s="240"/>
      <c r="AS385" s="240"/>
      <c r="AT385" s="240"/>
      <c r="AU385" s="730"/>
      <c r="AV385" s="730"/>
      <c r="AW385" s="730"/>
      <c r="AX385" s="730"/>
      <c r="AY385" s="468"/>
      <c r="AZ385" s="468"/>
      <c r="BA385" s="240"/>
      <c r="BB385" s="240"/>
      <c r="BC385" s="240"/>
      <c r="BD385" s="240"/>
      <c r="BE385" s="672"/>
      <c r="BF385" s="672"/>
      <c r="BG385" s="672"/>
      <c r="BH385" s="731"/>
      <c r="BI385" s="672"/>
      <c r="BJ385" s="240"/>
      <c r="BK385" s="736"/>
      <c r="BL385" s="737"/>
      <c r="BM385" s="240"/>
      <c r="BN385" s="240"/>
      <c r="BO385" s="240"/>
      <c r="BP385" s="240"/>
      <c r="BQ385" s="240"/>
      <c r="BR385" s="240"/>
      <c r="BS385" s="240"/>
      <c r="BT385" s="240"/>
      <c r="BU385" s="240"/>
      <c r="BV385" s="240"/>
      <c r="BW385" s="240"/>
      <c r="BX385" s="240"/>
      <c r="BY385" s="240"/>
      <c r="BZ385" s="240"/>
      <c r="CA385" s="240"/>
      <c r="CB385" s="672"/>
      <c r="CC385" s="672"/>
      <c r="CD385" s="672"/>
      <c r="CE385" s="672"/>
      <c r="CF385" s="672"/>
      <c r="CG385" s="672"/>
      <c r="CH385" s="240"/>
      <c r="CI385" s="240"/>
      <c r="CJ385" s="240"/>
      <c r="CK385" s="240"/>
      <c r="CL385" s="240"/>
      <c r="CM385" s="240"/>
      <c r="CN385" s="240"/>
      <c r="CO385" s="240"/>
      <c r="CP385" s="240"/>
      <c r="CQ385" s="240"/>
      <c r="CR385" s="240"/>
      <c r="CS385" s="240"/>
      <c r="CT385" s="240"/>
      <c r="CU385" s="240"/>
      <c r="CV385" s="240"/>
      <c r="CW385" s="240"/>
      <c r="CX385" s="240"/>
      <c r="CY385" s="240"/>
      <c r="CZ385" s="240"/>
      <c r="DA385" s="240"/>
      <c r="DB385" s="240"/>
      <c r="DC385" s="240"/>
      <c r="DD385" s="240"/>
      <c r="DE385" s="240"/>
      <c r="DF385" s="240"/>
      <c r="DG385" s="733"/>
      <c r="DH385" s="478"/>
      <c r="DI385" s="195"/>
      <c r="DJ385" s="3"/>
      <c r="DK385" s="478"/>
      <c r="DL385" s="4"/>
      <c r="DM385" s="4"/>
      <c r="DN385" s="4"/>
      <c r="DO385" s="4"/>
      <c r="DP385" s="4"/>
      <c r="DQ385" s="4"/>
      <c r="DS385" s="195"/>
      <c r="DT385" s="195"/>
      <c r="DU385" s="195"/>
      <c r="DV385" s="195"/>
      <c r="DW385" s="195"/>
      <c r="DX385" s="195"/>
      <c r="DY385" s="195"/>
      <c r="DZ385" s="195"/>
      <c r="EA385" s="195"/>
      <c r="EB385" s="195"/>
      <c r="EC385" s="195"/>
      <c r="ED385" s="195"/>
      <c r="EE385" s="195"/>
      <c r="EF385" s="195"/>
      <c r="EG385" s="195"/>
      <c r="EL385" s="1"/>
      <c r="EM385" s="195"/>
      <c r="EN385" s="240"/>
      <c r="EO385" s="240"/>
      <c r="EP385" s="195"/>
      <c r="EQ385" s="240"/>
      <c r="ER385" s="195"/>
      <c r="ES385" s="195"/>
      <c r="ET385" s="195"/>
      <c r="EU385" s="672"/>
      <c r="FJ385" s="571" t="n">
        <v>61</v>
      </c>
      <c r="FK385" s="150" t="str">
        <f aca="false">IF(AND(ISNUMBER(FK80),ISNUMBER(FK$320),FK$320&lt;&gt;0),FK80*FK$320/FK$15,"")</f>
        <v/>
      </c>
      <c r="FL385" s="150" t="str">
        <f aca="false">IF(AND(ISNUMBER(FL80),ISNUMBER(FL$320),FL$320&lt;&gt;0),FL80*FL$320/FL$15,"")</f>
        <v/>
      </c>
      <c r="FM385" s="150" t="n">
        <f aca="false">IF(AND(ISNUMBER(FM80),ISNUMBER(FM$320),FM$320&lt;&gt;0),FM80*FM$320/FM$15,"")</f>
        <v>0.00254720982358128</v>
      </c>
      <c r="FN385" s="150" t="n">
        <f aca="false">IF(AND(ISNUMBER(FN80),ISNUMBER(FN$320),FN$320&lt;&gt;0),FN80*FN$320/FN$15,"")</f>
        <v>0.00214397324936549</v>
      </c>
      <c r="FO385" s="150" t="n">
        <f aca="false">IF(AND(ISNUMBER(FO80),ISNUMBER(FO$320),FO$320&lt;&gt;0),FO80*FO$320/FO$15,"")</f>
        <v>0.00223012640990095</v>
      </c>
      <c r="FP385" s="150" t="n">
        <f aca="false">IF(AND(ISNUMBER(FP80),ISNUMBER(FP$320),FP$320&lt;&gt;0),FP80*FP$320/FP$15,"")</f>
        <v>0.00123565430281868</v>
      </c>
      <c r="FQ385" s="150" t="str">
        <f aca="false">IF(AND(ISNUMBER(FQ80),ISNUMBER(FQ$320),FQ$320&lt;&gt;0),FQ80*FQ$320/FQ$15,"")</f>
        <v/>
      </c>
      <c r="FR385" s="150" t="str">
        <f aca="false">IF(AND(ISNUMBER(FR80),ISNUMBER(FR$320),FR$320&lt;&gt;0),FR80*FR$320/FR$15,"")</f>
        <v/>
      </c>
      <c r="FS385" s="150" t="str">
        <f aca="false">IF(AND(ISNUMBER(FS80),ISNUMBER(FS$320),FS$320&lt;&gt;0),FS80*FS$320/FS$15,"")</f>
        <v/>
      </c>
      <c r="FT385" s="150" t="str">
        <f aca="false">IF(AND(ISNUMBER(FT80),ISNUMBER(FT$320),FT$320&lt;&gt;0),FT80*FT$320/FT$15,"")</f>
        <v/>
      </c>
      <c r="FU385" s="150" t="str">
        <f aca="false">IF(AND(ISNUMBER(FU80),ISNUMBER(FU$320),FU$320&lt;&gt;0),FU80*FU$320/FU$15,"")</f>
        <v/>
      </c>
      <c r="FV385" s="150" t="str">
        <f aca="false">IF(AND(ISNUMBER(FV80),ISNUMBER(FV$320),FV$320&lt;&gt;0),FV80*FV$320/FV$15,"")</f>
        <v/>
      </c>
      <c r="FW385" s="150" t="str">
        <f aca="false">IF(AND(ISNUMBER(FW80),ISNUMBER(FW$320),FW$320&lt;&gt;0),FW80*FW$320/FW$15,"")</f>
        <v/>
      </c>
      <c r="FX385" s="150" t="str">
        <f aca="false">IF(AND(ISNUMBER(FX80),ISNUMBER(FX$320),FX$320&lt;&gt;0),FX80*FX$320/FX$15,"")</f>
        <v/>
      </c>
      <c r="FY385" s="150" t="str">
        <f aca="false">IF(AND(ISNUMBER(FY80),ISNUMBER(FY$320),FY$320&lt;&gt;0),FY80*FY$320/FY$15,"")</f>
        <v/>
      </c>
      <c r="FZ385" s="150" t="str">
        <f aca="false">IF(AND(ISNUMBER(FZ80),ISNUMBER(FZ$320),FZ$320&lt;&gt;0),FZ80*FZ$320/FZ$15,"")</f>
        <v/>
      </c>
      <c r="GA385" s="150" t="str">
        <f aca="false">IF(AND(ISNUMBER(GA80),ISNUMBER(GA$320),GA$320&lt;&gt;0),GA80*GA$320/GA$15,"")</f>
        <v/>
      </c>
      <c r="GB385" s="150" t="str">
        <f aca="false">IF(AND(ISNUMBER(GB80),ISNUMBER(GB$320),GB$320&lt;&gt;0),GB80*GB$320/GB$15,"")</f>
        <v/>
      </c>
      <c r="GC385" s="150" t="str">
        <f aca="false">IF(AND(ISNUMBER(GC80),ISNUMBER(GC$320),GC$320&lt;&gt;0),GC80*GC$320/GC$15,"")</f>
        <v/>
      </c>
      <c r="GD385" s="150" t="str">
        <f aca="false">IF(AND(ISNUMBER(GD80),ISNUMBER(GD$320),GD$320&lt;&gt;0),GD80*GD$320/GD$15,"")</f>
        <v/>
      </c>
      <c r="GE385" s="150" t="str">
        <f aca="false">IF(AND(ISNUMBER(GE80),ISNUMBER(GE$320),GE$320&lt;&gt;0),GE80*GE$320/GE$15,"")</f>
        <v/>
      </c>
      <c r="GF385" s="150" t="str">
        <f aca="false">IF(AND(ISNUMBER(GF80),ISNUMBER(GF$320),GF$320&lt;&gt;0),GF80*GF$320/GF$15,"")</f>
        <v/>
      </c>
      <c r="GG385" s="150" t="str">
        <f aca="false">IF(AND(ISNUMBER(GG80),ISNUMBER(GG$320),GG$320&lt;&gt;0),GG80*GG$320/GG$15,"")</f>
        <v/>
      </c>
      <c r="GH385" s="150" t="str">
        <f aca="false">IF(AND(ISNUMBER(GH80),ISNUMBER(GH$320),GH$320&lt;&gt;0),GH80*GH$320/GH$15,"")</f>
        <v/>
      </c>
      <c r="GI385" s="150" t="str">
        <f aca="false">IF(AND(ISNUMBER(GI80),ISNUMBER(GI$320),GI$320&lt;&gt;0),GI80*GI$320/GI$15,"")</f>
        <v/>
      </c>
      <c r="GJ385" s="150" t="str">
        <f aca="false">IF(AND(ISNUMBER(GJ80),ISNUMBER(GJ$320),GJ$320&lt;&gt;0),GJ80*GJ$320/GJ$15,"")</f>
        <v/>
      </c>
      <c r="GK385" s="150" t="str">
        <f aca="false">IF(AND(ISNUMBER(GK80),ISNUMBER(GK$320),GK$320&lt;&gt;0),GK80*GK$320/GK$15,"")</f>
        <v/>
      </c>
      <c r="GL385" s="150" t="str">
        <f aca="false">IF(AND(ISNUMBER(GL80),ISNUMBER(GL$320),GL$320&lt;&gt;0),GL80*GL$320/GL$15,"")</f>
        <v/>
      </c>
      <c r="GM385" s="150" t="str">
        <f aca="false">IF(AND(ISNUMBER(GM80),ISNUMBER(GM$320),GM$320&lt;&gt;0),GM80*GM$320/GM$15,"")</f>
        <v/>
      </c>
      <c r="GN385" s="150" t="str">
        <f aca="false">IF(AND(ISNUMBER(GN80),ISNUMBER(GN$320),GN$320&lt;&gt;0),GN80*GN$320/GN$15,"")</f>
        <v/>
      </c>
      <c r="GO385" s="150" t="str">
        <f aca="false">IF(AND(ISNUMBER(GO80),ISNUMBER(GO$320),GO$320&lt;&gt;0),GO80*GO$320/GO$15,"")</f>
        <v/>
      </c>
      <c r="GP385" s="150" t="str">
        <f aca="false">IF(AND(ISNUMBER(GP80),ISNUMBER(GP$320),GP$320&lt;&gt;0),GP80*GP$320/GP$15,"")</f>
        <v/>
      </c>
      <c r="GQ385" s="150" t="str">
        <f aca="false">IF(AND(ISNUMBER(GQ80),ISNUMBER(GQ$320),GQ$320&lt;&gt;0),GQ80*GQ$320/GQ$15,"")</f>
        <v/>
      </c>
      <c r="GR385" s="150" t="str">
        <f aca="false">IF(AND(ISNUMBER(GR80),ISNUMBER(GR$320),GR$320&lt;&gt;0),GR80*GR$320/GR$15,"")</f>
        <v/>
      </c>
      <c r="GS385" s="150" t="str">
        <f aca="false">IF(AND(ISNUMBER(GS80),ISNUMBER(GS$320),GS$320&lt;&gt;0),GS80*GS$320/GS$15,"")</f>
        <v/>
      </c>
      <c r="GT385" s="150" t="str">
        <f aca="false">IF(AND(ISNUMBER(GT80),ISNUMBER(GT$320),GT$320&lt;&gt;0),GT80*GT$320/GT$15,"")</f>
        <v/>
      </c>
      <c r="GU385" s="150" t="str">
        <f aca="false">IF(AND(ISNUMBER(GU80),ISNUMBER(GU$320),GU$320&lt;&gt;0),GU80*GU$320/GU$15,"")</f>
        <v/>
      </c>
      <c r="GV385" s="150" t="str">
        <f aca="false">IF(AND(ISNUMBER(GV80),ISNUMBER(GV$320),GV$320&lt;&gt;0),GV80*GV$320/GV$15,"")</f>
        <v/>
      </c>
      <c r="GW385" s="150" t="str">
        <f aca="false">IF(AND(ISNUMBER(GW80),ISNUMBER(GW$320),GW$320&lt;&gt;0),GW80*GW$320/GW$15,"")</f>
        <v/>
      </c>
      <c r="GX385" s="150" t="str">
        <f aca="false">IF(AND(ISNUMBER(GX80),ISNUMBER(GX$320),GX$320&lt;&gt;0),GX80*GX$320/GX$15,"")</f>
        <v/>
      </c>
      <c r="GY385" s="150" t="str">
        <f aca="false">IF(AND(ISNUMBER(GY80),ISNUMBER(GY$320),GY$320&lt;&gt;0),GY80*GY$320/GY$15,"")</f>
        <v/>
      </c>
      <c r="GZ385" s="150" t="str">
        <f aca="false">IF(AND(ISNUMBER(GZ80),ISNUMBER(GZ$320),GZ$320&lt;&gt;0),GZ80*GZ$320/GZ$15,"")</f>
        <v/>
      </c>
      <c r="HA385" s="150" t="str">
        <f aca="false">IF(AND(ISNUMBER(HA80),ISNUMBER(HA$320),HA$320&lt;&gt;0),HA80*HA$320/HA$15,"")</f>
        <v/>
      </c>
      <c r="HB385" s="150" t="str">
        <f aca="false">IF(AND(ISNUMBER(HB80),ISNUMBER(HB$320),HB$320&lt;&gt;0),HB80*HB$320/HB$15,"")</f>
        <v/>
      </c>
      <c r="HC385" s="150" t="str">
        <f aca="false">IF(AND(ISNUMBER(HC80),ISNUMBER(HC$320),HC$320&lt;&gt;0),HC80*HC$320/HC$15,"")</f>
        <v/>
      </c>
      <c r="HD385" s="150" t="str">
        <f aca="false">IF(AND(ISNUMBER(HD80),ISNUMBER(HD$320),HD$320&lt;&gt;0),HD80*HD$320/HD$15,"")</f>
        <v/>
      </c>
      <c r="HE385" s="150" t="str">
        <f aca="false">IF(AND(ISNUMBER(HE80),ISNUMBER(HE$320),HE$320&lt;&gt;0),HE80*HE$320/HE$15,"")</f>
        <v/>
      </c>
      <c r="HF385" s="150" t="str">
        <f aca="false">IF(AND(ISNUMBER(HF80),ISNUMBER(HF$320),HF$320&lt;&gt;0),HF80*HF$320/HF$15,"")</f>
        <v/>
      </c>
      <c r="HG385" s="150" t="str">
        <f aca="false">IF(AND(ISNUMBER(HG80),ISNUMBER(HG$320),HG$320&lt;&gt;0),HG80*HG$320/HG$15,"")</f>
        <v/>
      </c>
      <c r="HH385" s="150" t="str">
        <f aca="false">IF(AND(ISNUMBER(HH80),ISNUMBER(HH$320),HH$320&lt;&gt;0),HH80*HH$320/HH$15,"")</f>
        <v/>
      </c>
      <c r="HI385" s="150" t="str">
        <f aca="false">IF(AND(ISNUMBER(HI80),ISNUMBER(HI$320),HI$320&lt;&gt;0),HI80*HI$320/HI$15,"")</f>
        <v/>
      </c>
      <c r="HJ385" s="150" t="str">
        <f aca="false">IF(AND(ISNUMBER(HJ80),ISNUMBER(HJ$320),HJ$320&lt;&gt;0),HJ80*HJ$320/HJ$15,"")</f>
        <v/>
      </c>
      <c r="HK385" s="150" t="str">
        <f aca="false">IF(AND(ISNUMBER(HK80),ISNUMBER(HK$320),HK$320&lt;&gt;0),HK80*HK$320/HK$15,"")</f>
        <v/>
      </c>
      <c r="HL385" s="150" t="str">
        <f aca="false">IF(AND(ISNUMBER(HL80),ISNUMBER(HL$320),HL$320&lt;&gt;0),HL80*HL$320/HL$15,"")</f>
        <v/>
      </c>
      <c r="HM385" s="150" t="str">
        <f aca="false">IF(AND(ISNUMBER(HM80),ISNUMBER(HM$320),HM$320&lt;&gt;0),HM80*HM$320/HM$15,"")</f>
        <v/>
      </c>
      <c r="HN385" s="150" t="str">
        <f aca="false">IF(AND(ISNUMBER(HN80),ISNUMBER(HN$320),HN$320&lt;&gt;0),HN80*HN$320/HN$15,"")</f>
        <v/>
      </c>
      <c r="HO385" s="150" t="str">
        <f aca="false">IF(AND(ISNUMBER(HO80),ISNUMBER(HO$320),HO$320&lt;&gt;0),HO80*HO$320/HO$15,"")</f>
        <v/>
      </c>
      <c r="HP385" s="150" t="str">
        <f aca="false">IF(AND(ISNUMBER(HP80),ISNUMBER(HP$320),HP$320&lt;&gt;0),HP80*HP$320/HP$15,"")</f>
        <v/>
      </c>
      <c r="HQ385" s="150" t="str">
        <f aca="false">IF(AND(ISNUMBER(HQ80),ISNUMBER(HQ$320),HQ$320&lt;&gt;0),HQ80*HQ$320/HQ$15,"")</f>
        <v/>
      </c>
      <c r="HR385" s="150" t="str">
        <f aca="false">IF(AND(ISNUMBER(HR80),ISNUMBER(HR$320),HR$320&lt;&gt;0),HR80*HR$320/HR$15,"")</f>
        <v/>
      </c>
      <c r="HS385" s="150" t="str">
        <f aca="false">IF(AND(ISNUMBER(HS80),ISNUMBER(HS$320),HS$320&lt;&gt;0),HS80*HS$320/HS$15,"")</f>
        <v/>
      </c>
      <c r="HT385" s="150" t="str">
        <f aca="false">IF(AND(ISNUMBER(HT80),ISNUMBER(HT$320),HT$320&lt;&gt;0),HT80*HT$320/HT$15,"")</f>
        <v/>
      </c>
      <c r="HU385" s="150" t="str">
        <f aca="false">IF(AND(ISNUMBER(HU80),ISNUMBER(HU$320),HU$320&lt;&gt;0),HU80*HU$320/HU$15,"")</f>
        <v/>
      </c>
      <c r="HV385" s="150" t="str">
        <f aca="false">IF(AND(ISNUMBER(HV80),ISNUMBER(HV$320),HV$320&lt;&gt;0),HV80*HV$320/HV$15,"")</f>
        <v/>
      </c>
      <c r="HW385" s="150" t="str">
        <f aca="false">IF(AND(ISNUMBER(HW80),ISNUMBER(HW$320),HW$320&lt;&gt;0),HW80*HW$320/HW$15,"")</f>
        <v/>
      </c>
      <c r="HX385" s="150" t="str">
        <f aca="false">IF(AND(ISNUMBER(HX80),ISNUMBER(HX$320),HX$320&lt;&gt;0),HX80*HX$320/HX$15,"")</f>
        <v/>
      </c>
      <c r="HY385" s="150" t="str">
        <f aca="false">IF(AND(ISNUMBER(HY80),ISNUMBER(HY$320),HY$320&lt;&gt;0),HY80*HY$320/HY$15,"")</f>
        <v/>
      </c>
      <c r="HZ385" s="150" t="str">
        <f aca="false">IF(AND(ISNUMBER(HZ80),ISNUMBER(HZ$320),HZ$320&lt;&gt;0),HZ80*HZ$320/HZ$15,"")</f>
        <v/>
      </c>
      <c r="IA385" s="150" t="str">
        <f aca="false">IF(AND(ISNUMBER(IA80),ISNUMBER(IA$320),IA$320&lt;&gt;0),IA80*IA$320/IA$15,"")</f>
        <v/>
      </c>
      <c r="IB385" s="150" t="str">
        <f aca="false">IF(AND(ISNUMBER(IB80),ISNUMBER(IB$320),IB$320&lt;&gt;0),IB80*IB$320/IB$15,"")</f>
        <v/>
      </c>
      <c r="IC385" s="150" t="str">
        <f aca="false">IF(AND(ISNUMBER(IC80),ISNUMBER(IC$320),IC$320&lt;&gt;0),IC80*IC$320/IC$15,"")</f>
        <v/>
      </c>
      <c r="ID385" s="572" t="str">
        <f aca="false">IF(AND(ISNUMBER(ID80),ISNUMBER(ID$320),ID$320&lt;&gt;0),ID80*ID$320/ID$15,"")</f>
        <v/>
      </c>
    </row>
    <row r="386" customFormat="false" ht="12.75" hidden="false" customHeight="false" outlineLevel="0" collapsed="false">
      <c r="I386" s="735"/>
      <c r="J386" s="727"/>
      <c r="K386" s="195"/>
      <c r="L386" s="195"/>
      <c r="M386" s="729"/>
      <c r="P386" s="727"/>
      <c r="S386" s="1"/>
      <c r="T386" s="727"/>
      <c r="U386" s="195"/>
      <c r="V386" s="195"/>
      <c r="W386" s="195"/>
      <c r="X386" s="195"/>
      <c r="Y386" s="195"/>
      <c r="Z386" s="195"/>
      <c r="AA386" s="195"/>
      <c r="AB386" s="195"/>
      <c r="AC386" s="195"/>
      <c r="AD386" s="195"/>
      <c r="AE386" s="195"/>
      <c r="AF386" s="195"/>
      <c r="AG386" s="195"/>
      <c r="AH386" s="195"/>
      <c r="AI386" s="195"/>
      <c r="AJ386" s="195"/>
      <c r="AK386" s="195"/>
      <c r="AL386" s="195"/>
      <c r="AM386" s="195"/>
      <c r="AN386" s="532"/>
      <c r="AO386" s="532"/>
      <c r="AP386" s="240"/>
      <c r="AQ386" s="532"/>
      <c r="AR386" s="240"/>
      <c r="AS386" s="240"/>
      <c r="AT386" s="240"/>
      <c r="AU386" s="730"/>
      <c r="AV386" s="730"/>
      <c r="AW386" s="730"/>
      <c r="AX386" s="730"/>
      <c r="AY386" s="468"/>
      <c r="AZ386" s="468"/>
      <c r="BA386" s="240"/>
      <c r="BB386" s="240"/>
      <c r="BC386" s="240"/>
      <c r="BD386" s="240"/>
      <c r="BE386" s="672"/>
      <c r="BF386" s="672"/>
      <c r="BG386" s="672"/>
      <c r="BH386" s="731"/>
      <c r="BI386" s="672"/>
      <c r="BJ386" s="240"/>
      <c r="BK386" s="736"/>
      <c r="BL386" s="737"/>
      <c r="BM386" s="240"/>
      <c r="BN386" s="240"/>
      <c r="BO386" s="240"/>
      <c r="BP386" s="240"/>
      <c r="BQ386" s="240"/>
      <c r="BR386" s="240"/>
      <c r="BS386" s="240"/>
      <c r="BT386" s="240"/>
      <c r="BU386" s="240"/>
      <c r="BV386" s="240"/>
      <c r="BW386" s="240"/>
      <c r="BX386" s="240"/>
      <c r="BY386" s="240"/>
      <c r="BZ386" s="240"/>
      <c r="CA386" s="240"/>
      <c r="CB386" s="672"/>
      <c r="CC386" s="672"/>
      <c r="CD386" s="672"/>
      <c r="CE386" s="672"/>
      <c r="CF386" s="672"/>
      <c r="CG386" s="672"/>
      <c r="CH386" s="240"/>
      <c r="CI386" s="240"/>
      <c r="CJ386" s="240"/>
      <c r="CK386" s="240"/>
      <c r="CL386" s="240"/>
      <c r="CM386" s="240"/>
      <c r="CN386" s="240"/>
      <c r="CO386" s="240"/>
      <c r="CP386" s="240"/>
      <c r="CQ386" s="240"/>
      <c r="CR386" s="240"/>
      <c r="CS386" s="240"/>
      <c r="CT386" s="240"/>
      <c r="CU386" s="240"/>
      <c r="CV386" s="240"/>
      <c r="CW386" s="240"/>
      <c r="CX386" s="240"/>
      <c r="CY386" s="240"/>
      <c r="CZ386" s="240"/>
      <c r="DA386" s="240"/>
      <c r="DB386" s="240"/>
      <c r="DC386" s="240"/>
      <c r="DD386" s="240"/>
      <c r="DE386" s="240"/>
      <c r="DF386" s="240"/>
      <c r="DG386" s="733"/>
      <c r="DH386" s="478"/>
      <c r="DI386" s="195"/>
      <c r="DJ386" s="3"/>
      <c r="DK386" s="478"/>
      <c r="DL386" s="4"/>
      <c r="DM386" s="4"/>
      <c r="DN386" s="4"/>
      <c r="DO386" s="4"/>
      <c r="DP386" s="4"/>
      <c r="DQ386" s="4"/>
      <c r="DS386" s="195"/>
      <c r="DT386" s="195"/>
      <c r="DU386" s="195"/>
      <c r="DV386" s="195"/>
      <c r="DW386" s="195"/>
      <c r="DX386" s="195"/>
      <c r="DY386" s="195"/>
      <c r="DZ386" s="195"/>
      <c r="EA386" s="195"/>
      <c r="EB386" s="195"/>
      <c r="EC386" s="195"/>
      <c r="ED386" s="195"/>
      <c r="EE386" s="195"/>
      <c r="EF386" s="195"/>
      <c r="EG386" s="195"/>
      <c r="EL386" s="1"/>
      <c r="EM386" s="195"/>
      <c r="EN386" s="240"/>
      <c r="EO386" s="240"/>
      <c r="EP386" s="195"/>
      <c r="EQ386" s="240"/>
      <c r="ER386" s="195"/>
      <c r="ES386" s="195"/>
      <c r="ET386" s="195"/>
      <c r="EU386" s="672"/>
      <c r="FJ386" s="571" t="n">
        <v>62</v>
      </c>
      <c r="FK386" s="150" t="str">
        <f aca="false">IF(AND(ISNUMBER(FK81),ISNUMBER(FK$320),FK$320&lt;&gt;0),FK81*FK$320/FK$15,"")</f>
        <v/>
      </c>
      <c r="FL386" s="150" t="str">
        <f aca="false">IF(AND(ISNUMBER(FL81),ISNUMBER(FL$320),FL$320&lt;&gt;0),FL81*FL$320/FL$15,"")</f>
        <v/>
      </c>
      <c r="FM386" s="150" t="n">
        <f aca="false">IF(AND(ISNUMBER(FM81),ISNUMBER(FM$320),FM$320&lt;&gt;0),FM81*FM$320/FM$15,"")</f>
        <v>0.00254714501736772</v>
      </c>
      <c r="FN386" s="150" t="n">
        <f aca="false">IF(AND(ISNUMBER(FN81),ISNUMBER(FN$320),FN$320&lt;&gt;0),FN81*FN$320/FN$15,"")</f>
        <v>0.00214390945164314</v>
      </c>
      <c r="FO386" s="150" t="n">
        <f aca="false">IF(AND(ISNUMBER(FO81),ISNUMBER(FO$320),FO$320&lt;&gt;0),FO81*FO$320/FO$15,"")</f>
        <v>0.00223004879427256</v>
      </c>
      <c r="FP386" s="150" t="n">
        <f aca="false">IF(AND(ISNUMBER(FP81),ISNUMBER(FP$320),FP$320&lt;&gt;0),FP81*FP$320/FP$15,"")</f>
        <v>0.00123560400483585</v>
      </c>
      <c r="FQ386" s="150" t="str">
        <f aca="false">IF(AND(ISNUMBER(FQ81),ISNUMBER(FQ$320),FQ$320&lt;&gt;0),FQ81*FQ$320/FQ$15,"")</f>
        <v/>
      </c>
      <c r="FR386" s="150" t="str">
        <f aca="false">IF(AND(ISNUMBER(FR81),ISNUMBER(FR$320),FR$320&lt;&gt;0),FR81*FR$320/FR$15,"")</f>
        <v/>
      </c>
      <c r="FS386" s="150" t="str">
        <f aca="false">IF(AND(ISNUMBER(FS81),ISNUMBER(FS$320),FS$320&lt;&gt;0),FS81*FS$320/FS$15,"")</f>
        <v/>
      </c>
      <c r="FT386" s="150" t="str">
        <f aca="false">IF(AND(ISNUMBER(FT81),ISNUMBER(FT$320),FT$320&lt;&gt;0),FT81*FT$320/FT$15,"")</f>
        <v/>
      </c>
      <c r="FU386" s="150" t="str">
        <f aca="false">IF(AND(ISNUMBER(FU81),ISNUMBER(FU$320),FU$320&lt;&gt;0),FU81*FU$320/FU$15,"")</f>
        <v/>
      </c>
      <c r="FV386" s="150" t="str">
        <f aca="false">IF(AND(ISNUMBER(FV81),ISNUMBER(FV$320),FV$320&lt;&gt;0),FV81*FV$320/FV$15,"")</f>
        <v/>
      </c>
      <c r="FW386" s="150" t="str">
        <f aca="false">IF(AND(ISNUMBER(FW81),ISNUMBER(FW$320),FW$320&lt;&gt;0),FW81*FW$320/FW$15,"")</f>
        <v/>
      </c>
      <c r="FX386" s="150" t="str">
        <f aca="false">IF(AND(ISNUMBER(FX81),ISNUMBER(FX$320),FX$320&lt;&gt;0),FX81*FX$320/FX$15,"")</f>
        <v/>
      </c>
      <c r="FY386" s="150" t="str">
        <f aca="false">IF(AND(ISNUMBER(FY81),ISNUMBER(FY$320),FY$320&lt;&gt;0),FY81*FY$320/FY$15,"")</f>
        <v/>
      </c>
      <c r="FZ386" s="150" t="str">
        <f aca="false">IF(AND(ISNUMBER(FZ81),ISNUMBER(FZ$320),FZ$320&lt;&gt;0),FZ81*FZ$320/FZ$15,"")</f>
        <v/>
      </c>
      <c r="GA386" s="150" t="str">
        <f aca="false">IF(AND(ISNUMBER(GA81),ISNUMBER(GA$320),GA$320&lt;&gt;0),GA81*GA$320/GA$15,"")</f>
        <v/>
      </c>
      <c r="GB386" s="150" t="str">
        <f aca="false">IF(AND(ISNUMBER(GB81),ISNUMBER(GB$320),GB$320&lt;&gt;0),GB81*GB$320/GB$15,"")</f>
        <v/>
      </c>
      <c r="GC386" s="150" t="str">
        <f aca="false">IF(AND(ISNUMBER(GC81),ISNUMBER(GC$320),GC$320&lt;&gt;0),GC81*GC$320/GC$15,"")</f>
        <v/>
      </c>
      <c r="GD386" s="150" t="str">
        <f aca="false">IF(AND(ISNUMBER(GD81),ISNUMBER(GD$320),GD$320&lt;&gt;0),GD81*GD$320/GD$15,"")</f>
        <v/>
      </c>
      <c r="GE386" s="150" t="str">
        <f aca="false">IF(AND(ISNUMBER(GE81),ISNUMBER(GE$320),GE$320&lt;&gt;0),GE81*GE$320/GE$15,"")</f>
        <v/>
      </c>
      <c r="GF386" s="150" t="str">
        <f aca="false">IF(AND(ISNUMBER(GF81),ISNUMBER(GF$320),GF$320&lt;&gt;0),GF81*GF$320/GF$15,"")</f>
        <v/>
      </c>
      <c r="GG386" s="150" t="str">
        <f aca="false">IF(AND(ISNUMBER(GG81),ISNUMBER(GG$320),GG$320&lt;&gt;0),GG81*GG$320/GG$15,"")</f>
        <v/>
      </c>
      <c r="GH386" s="150" t="str">
        <f aca="false">IF(AND(ISNUMBER(GH81),ISNUMBER(GH$320),GH$320&lt;&gt;0),GH81*GH$320/GH$15,"")</f>
        <v/>
      </c>
      <c r="GI386" s="150" t="str">
        <f aca="false">IF(AND(ISNUMBER(GI81),ISNUMBER(GI$320),GI$320&lt;&gt;0),GI81*GI$320/GI$15,"")</f>
        <v/>
      </c>
      <c r="GJ386" s="150" t="str">
        <f aca="false">IF(AND(ISNUMBER(GJ81),ISNUMBER(GJ$320),GJ$320&lt;&gt;0),GJ81*GJ$320/GJ$15,"")</f>
        <v/>
      </c>
      <c r="GK386" s="150" t="str">
        <f aca="false">IF(AND(ISNUMBER(GK81),ISNUMBER(GK$320),GK$320&lt;&gt;0),GK81*GK$320/GK$15,"")</f>
        <v/>
      </c>
      <c r="GL386" s="150" t="str">
        <f aca="false">IF(AND(ISNUMBER(GL81),ISNUMBER(GL$320),GL$320&lt;&gt;0),GL81*GL$320/GL$15,"")</f>
        <v/>
      </c>
      <c r="GM386" s="150" t="str">
        <f aca="false">IF(AND(ISNUMBER(GM81),ISNUMBER(GM$320),GM$320&lt;&gt;0),GM81*GM$320/GM$15,"")</f>
        <v/>
      </c>
      <c r="GN386" s="150" t="str">
        <f aca="false">IF(AND(ISNUMBER(GN81),ISNUMBER(GN$320),GN$320&lt;&gt;0),GN81*GN$320/GN$15,"")</f>
        <v/>
      </c>
      <c r="GO386" s="150" t="str">
        <f aca="false">IF(AND(ISNUMBER(GO81),ISNUMBER(GO$320),GO$320&lt;&gt;0),GO81*GO$320/GO$15,"")</f>
        <v/>
      </c>
      <c r="GP386" s="150" t="str">
        <f aca="false">IF(AND(ISNUMBER(GP81),ISNUMBER(GP$320),GP$320&lt;&gt;0),GP81*GP$320/GP$15,"")</f>
        <v/>
      </c>
      <c r="GQ386" s="150" t="str">
        <f aca="false">IF(AND(ISNUMBER(GQ81),ISNUMBER(GQ$320),GQ$320&lt;&gt;0),GQ81*GQ$320/GQ$15,"")</f>
        <v/>
      </c>
      <c r="GR386" s="150" t="str">
        <f aca="false">IF(AND(ISNUMBER(GR81),ISNUMBER(GR$320),GR$320&lt;&gt;0),GR81*GR$320/GR$15,"")</f>
        <v/>
      </c>
      <c r="GS386" s="150" t="str">
        <f aca="false">IF(AND(ISNUMBER(GS81),ISNUMBER(GS$320),GS$320&lt;&gt;0),GS81*GS$320/GS$15,"")</f>
        <v/>
      </c>
      <c r="GT386" s="150" t="str">
        <f aca="false">IF(AND(ISNUMBER(GT81),ISNUMBER(GT$320),GT$320&lt;&gt;0),GT81*GT$320/GT$15,"")</f>
        <v/>
      </c>
      <c r="GU386" s="150" t="str">
        <f aca="false">IF(AND(ISNUMBER(GU81),ISNUMBER(GU$320),GU$320&lt;&gt;0),GU81*GU$320/GU$15,"")</f>
        <v/>
      </c>
      <c r="GV386" s="150" t="str">
        <f aca="false">IF(AND(ISNUMBER(GV81),ISNUMBER(GV$320),GV$320&lt;&gt;0),GV81*GV$320/GV$15,"")</f>
        <v/>
      </c>
      <c r="GW386" s="150" t="str">
        <f aca="false">IF(AND(ISNUMBER(GW81),ISNUMBER(GW$320),GW$320&lt;&gt;0),GW81*GW$320/GW$15,"")</f>
        <v/>
      </c>
      <c r="GX386" s="150" t="str">
        <f aca="false">IF(AND(ISNUMBER(GX81),ISNUMBER(GX$320),GX$320&lt;&gt;0),GX81*GX$320/GX$15,"")</f>
        <v/>
      </c>
      <c r="GY386" s="150" t="str">
        <f aca="false">IF(AND(ISNUMBER(GY81),ISNUMBER(GY$320),GY$320&lt;&gt;0),GY81*GY$320/GY$15,"")</f>
        <v/>
      </c>
      <c r="GZ386" s="150" t="str">
        <f aca="false">IF(AND(ISNUMBER(GZ81),ISNUMBER(GZ$320),GZ$320&lt;&gt;0),GZ81*GZ$320/GZ$15,"")</f>
        <v/>
      </c>
      <c r="HA386" s="150" t="str">
        <f aca="false">IF(AND(ISNUMBER(HA81),ISNUMBER(HA$320),HA$320&lt;&gt;0),HA81*HA$320/HA$15,"")</f>
        <v/>
      </c>
      <c r="HB386" s="150" t="str">
        <f aca="false">IF(AND(ISNUMBER(HB81),ISNUMBER(HB$320),HB$320&lt;&gt;0),HB81*HB$320/HB$15,"")</f>
        <v/>
      </c>
      <c r="HC386" s="150" t="str">
        <f aca="false">IF(AND(ISNUMBER(HC81),ISNUMBER(HC$320),HC$320&lt;&gt;0),HC81*HC$320/HC$15,"")</f>
        <v/>
      </c>
      <c r="HD386" s="150" t="str">
        <f aca="false">IF(AND(ISNUMBER(HD81),ISNUMBER(HD$320),HD$320&lt;&gt;0),HD81*HD$320/HD$15,"")</f>
        <v/>
      </c>
      <c r="HE386" s="150" t="str">
        <f aca="false">IF(AND(ISNUMBER(HE81),ISNUMBER(HE$320),HE$320&lt;&gt;0),HE81*HE$320/HE$15,"")</f>
        <v/>
      </c>
      <c r="HF386" s="150" t="str">
        <f aca="false">IF(AND(ISNUMBER(HF81),ISNUMBER(HF$320),HF$320&lt;&gt;0),HF81*HF$320/HF$15,"")</f>
        <v/>
      </c>
      <c r="HG386" s="150" t="str">
        <f aca="false">IF(AND(ISNUMBER(HG81),ISNUMBER(HG$320),HG$320&lt;&gt;0),HG81*HG$320/HG$15,"")</f>
        <v/>
      </c>
      <c r="HH386" s="150" t="str">
        <f aca="false">IF(AND(ISNUMBER(HH81),ISNUMBER(HH$320),HH$320&lt;&gt;0),HH81*HH$320/HH$15,"")</f>
        <v/>
      </c>
      <c r="HI386" s="150" t="str">
        <f aca="false">IF(AND(ISNUMBER(HI81),ISNUMBER(HI$320),HI$320&lt;&gt;0),HI81*HI$320/HI$15,"")</f>
        <v/>
      </c>
      <c r="HJ386" s="150" t="str">
        <f aca="false">IF(AND(ISNUMBER(HJ81),ISNUMBER(HJ$320),HJ$320&lt;&gt;0),HJ81*HJ$320/HJ$15,"")</f>
        <v/>
      </c>
      <c r="HK386" s="150" t="str">
        <f aca="false">IF(AND(ISNUMBER(HK81),ISNUMBER(HK$320),HK$320&lt;&gt;0),HK81*HK$320/HK$15,"")</f>
        <v/>
      </c>
      <c r="HL386" s="150" t="str">
        <f aca="false">IF(AND(ISNUMBER(HL81),ISNUMBER(HL$320),HL$320&lt;&gt;0),HL81*HL$320/HL$15,"")</f>
        <v/>
      </c>
      <c r="HM386" s="150" t="str">
        <f aca="false">IF(AND(ISNUMBER(HM81),ISNUMBER(HM$320),HM$320&lt;&gt;0),HM81*HM$320/HM$15,"")</f>
        <v/>
      </c>
      <c r="HN386" s="150" t="str">
        <f aca="false">IF(AND(ISNUMBER(HN81),ISNUMBER(HN$320),HN$320&lt;&gt;0),HN81*HN$320/HN$15,"")</f>
        <v/>
      </c>
      <c r="HO386" s="150" t="str">
        <f aca="false">IF(AND(ISNUMBER(HO81),ISNUMBER(HO$320),HO$320&lt;&gt;0),HO81*HO$320/HO$15,"")</f>
        <v/>
      </c>
      <c r="HP386" s="150" t="str">
        <f aca="false">IF(AND(ISNUMBER(HP81),ISNUMBER(HP$320),HP$320&lt;&gt;0),HP81*HP$320/HP$15,"")</f>
        <v/>
      </c>
      <c r="HQ386" s="150" t="str">
        <f aca="false">IF(AND(ISNUMBER(HQ81),ISNUMBER(HQ$320),HQ$320&lt;&gt;0),HQ81*HQ$320/HQ$15,"")</f>
        <v/>
      </c>
      <c r="HR386" s="150" t="str">
        <f aca="false">IF(AND(ISNUMBER(HR81),ISNUMBER(HR$320),HR$320&lt;&gt;0),HR81*HR$320/HR$15,"")</f>
        <v/>
      </c>
      <c r="HS386" s="150" t="str">
        <f aca="false">IF(AND(ISNUMBER(HS81),ISNUMBER(HS$320),HS$320&lt;&gt;0),HS81*HS$320/HS$15,"")</f>
        <v/>
      </c>
      <c r="HT386" s="150" t="str">
        <f aca="false">IF(AND(ISNUMBER(HT81),ISNUMBER(HT$320),HT$320&lt;&gt;0),HT81*HT$320/HT$15,"")</f>
        <v/>
      </c>
      <c r="HU386" s="150" t="str">
        <f aca="false">IF(AND(ISNUMBER(HU81),ISNUMBER(HU$320),HU$320&lt;&gt;0),HU81*HU$320/HU$15,"")</f>
        <v/>
      </c>
      <c r="HV386" s="150" t="str">
        <f aca="false">IF(AND(ISNUMBER(HV81),ISNUMBER(HV$320),HV$320&lt;&gt;0),HV81*HV$320/HV$15,"")</f>
        <v/>
      </c>
      <c r="HW386" s="150" t="str">
        <f aca="false">IF(AND(ISNUMBER(HW81),ISNUMBER(HW$320),HW$320&lt;&gt;0),HW81*HW$320/HW$15,"")</f>
        <v/>
      </c>
      <c r="HX386" s="150" t="str">
        <f aca="false">IF(AND(ISNUMBER(HX81),ISNUMBER(HX$320),HX$320&lt;&gt;0),HX81*HX$320/HX$15,"")</f>
        <v/>
      </c>
      <c r="HY386" s="150" t="str">
        <f aca="false">IF(AND(ISNUMBER(HY81),ISNUMBER(HY$320),HY$320&lt;&gt;0),HY81*HY$320/HY$15,"")</f>
        <v/>
      </c>
      <c r="HZ386" s="150" t="str">
        <f aca="false">IF(AND(ISNUMBER(HZ81),ISNUMBER(HZ$320),HZ$320&lt;&gt;0),HZ81*HZ$320/HZ$15,"")</f>
        <v/>
      </c>
      <c r="IA386" s="150" t="str">
        <f aca="false">IF(AND(ISNUMBER(IA81),ISNUMBER(IA$320),IA$320&lt;&gt;0),IA81*IA$320/IA$15,"")</f>
        <v/>
      </c>
      <c r="IB386" s="150" t="str">
        <f aca="false">IF(AND(ISNUMBER(IB81),ISNUMBER(IB$320),IB$320&lt;&gt;0),IB81*IB$320/IB$15,"")</f>
        <v/>
      </c>
      <c r="IC386" s="150" t="str">
        <f aca="false">IF(AND(ISNUMBER(IC81),ISNUMBER(IC$320),IC$320&lt;&gt;0),IC81*IC$320/IC$15,"")</f>
        <v/>
      </c>
      <c r="ID386" s="572" t="str">
        <f aca="false">IF(AND(ISNUMBER(ID81),ISNUMBER(ID$320),ID$320&lt;&gt;0),ID81*ID$320/ID$15,"")</f>
        <v/>
      </c>
    </row>
    <row r="387" customFormat="false" ht="12.75" hidden="false" customHeight="false" outlineLevel="0" collapsed="false">
      <c r="I387" s="735"/>
      <c r="J387" s="727"/>
      <c r="K387" s="195"/>
      <c r="L387" s="195"/>
      <c r="M387" s="729"/>
      <c r="P387" s="727"/>
      <c r="S387" s="1"/>
      <c r="T387" s="727"/>
      <c r="U387" s="195"/>
      <c r="V387" s="195"/>
      <c r="W387" s="195"/>
      <c r="X387" s="195"/>
      <c r="Y387" s="195"/>
      <c r="Z387" s="195"/>
      <c r="AA387" s="195"/>
      <c r="AB387" s="195"/>
      <c r="AC387" s="195"/>
      <c r="AD387" s="195"/>
      <c r="AE387" s="195"/>
      <c r="AF387" s="195"/>
      <c r="AG387" s="195"/>
      <c r="AH387" s="195"/>
      <c r="AI387" s="195"/>
      <c r="AJ387" s="195"/>
      <c r="AK387" s="195"/>
      <c r="AL387" s="195"/>
      <c r="AM387" s="195"/>
      <c r="AN387" s="532"/>
      <c r="AO387" s="532"/>
      <c r="AP387" s="240"/>
      <c r="AQ387" s="532"/>
      <c r="AR387" s="240"/>
      <c r="AS387" s="240"/>
      <c r="AT387" s="240"/>
      <c r="AU387" s="730"/>
      <c r="AV387" s="730"/>
      <c r="AW387" s="730"/>
      <c r="AX387" s="730"/>
      <c r="AY387" s="468"/>
      <c r="AZ387" s="468"/>
      <c r="BA387" s="240"/>
      <c r="BB387" s="240"/>
      <c r="BC387" s="240"/>
      <c r="BD387" s="240"/>
      <c r="BE387" s="672"/>
      <c r="BF387" s="672"/>
      <c r="BG387" s="672"/>
      <c r="BH387" s="731"/>
      <c r="BI387" s="672"/>
      <c r="BJ387" s="240"/>
      <c r="BK387" s="736"/>
      <c r="BL387" s="737"/>
      <c r="BM387" s="240"/>
      <c r="BN387" s="240"/>
      <c r="BO387" s="240"/>
      <c r="BP387" s="240"/>
      <c r="BQ387" s="240"/>
      <c r="BR387" s="240"/>
      <c r="BS387" s="240"/>
      <c r="BT387" s="240"/>
      <c r="BU387" s="240"/>
      <c r="BV387" s="240"/>
      <c r="BW387" s="240"/>
      <c r="BX387" s="240"/>
      <c r="BY387" s="240"/>
      <c r="BZ387" s="240"/>
      <c r="CA387" s="240"/>
      <c r="CB387" s="672"/>
      <c r="CC387" s="672"/>
      <c r="CD387" s="672"/>
      <c r="CE387" s="672"/>
      <c r="CF387" s="672"/>
      <c r="CG387" s="672"/>
      <c r="CH387" s="240"/>
      <c r="CI387" s="240"/>
      <c r="CJ387" s="240"/>
      <c r="CK387" s="240"/>
      <c r="CL387" s="240"/>
      <c r="CM387" s="240"/>
      <c r="CN387" s="240"/>
      <c r="CO387" s="240"/>
      <c r="CP387" s="240"/>
      <c r="CQ387" s="240"/>
      <c r="CR387" s="240"/>
      <c r="CS387" s="240"/>
      <c r="CT387" s="240"/>
      <c r="CU387" s="240"/>
      <c r="CV387" s="240"/>
      <c r="CW387" s="240"/>
      <c r="CX387" s="240"/>
      <c r="CY387" s="240"/>
      <c r="CZ387" s="240"/>
      <c r="DA387" s="240"/>
      <c r="DB387" s="240"/>
      <c r="DC387" s="240"/>
      <c r="DD387" s="240"/>
      <c r="DE387" s="240"/>
      <c r="DF387" s="240"/>
      <c r="DG387" s="733"/>
      <c r="DH387" s="478"/>
      <c r="DI387" s="195"/>
      <c r="DJ387" s="3"/>
      <c r="DK387" s="478"/>
      <c r="DL387" s="4"/>
      <c r="DM387" s="4"/>
      <c r="DN387" s="4"/>
      <c r="DO387" s="4"/>
      <c r="DP387" s="4"/>
      <c r="DQ387" s="4"/>
      <c r="DS387" s="195"/>
      <c r="DT387" s="195"/>
      <c r="DU387" s="195"/>
      <c r="DV387" s="195"/>
      <c r="DW387" s="195"/>
      <c r="DX387" s="195"/>
      <c r="DY387" s="195"/>
      <c r="DZ387" s="195"/>
      <c r="EA387" s="195"/>
      <c r="EB387" s="195"/>
      <c r="EC387" s="195"/>
      <c r="ED387" s="195"/>
      <c r="EE387" s="195"/>
      <c r="EF387" s="195"/>
      <c r="EG387" s="195"/>
      <c r="EL387" s="1"/>
      <c r="EM387" s="195"/>
      <c r="EN387" s="240"/>
      <c r="EO387" s="240"/>
      <c r="EP387" s="195"/>
      <c r="EQ387" s="240"/>
      <c r="ER387" s="195"/>
      <c r="ES387" s="195"/>
      <c r="ET387" s="195"/>
      <c r="EU387" s="672"/>
      <c r="FJ387" s="571" t="n">
        <v>63</v>
      </c>
      <c r="FK387" s="150" t="str">
        <f aca="false">IF(AND(ISNUMBER(FK82),ISNUMBER(FK$320),FK$320&lt;&gt;0),FK82*FK$320/FK$15,"")</f>
        <v/>
      </c>
      <c r="FL387" s="150" t="str">
        <f aca="false">IF(AND(ISNUMBER(FL82),ISNUMBER(FL$320),FL$320&lt;&gt;0),FL82*FL$320/FL$15,"")</f>
        <v/>
      </c>
      <c r="FM387" s="150" t="n">
        <f aca="false">IF(AND(ISNUMBER(FM82),ISNUMBER(FM$320),FM$320&lt;&gt;0),FM82*FM$320/FM$15,"")</f>
        <v>0.00254708960946485</v>
      </c>
      <c r="FN387" s="150" t="n">
        <f aca="false">IF(AND(ISNUMBER(FN82),ISNUMBER(FN$320),FN$320&lt;&gt;0),FN82*FN$320/FN$15,"")</f>
        <v>0.00214385490621367</v>
      </c>
      <c r="FO387" s="150" t="n">
        <f aca="false">IF(AND(ISNUMBER(FO82),ISNUMBER(FO$320),FO$320&lt;&gt;0),FO82*FO$320/FO$15,"")</f>
        <v>0.00222998243521987</v>
      </c>
      <c r="FP387" s="150" t="n">
        <f aca="false">IF(AND(ISNUMBER(FP82),ISNUMBER(FP$320),FP$320&lt;&gt;0),FP82*FP$320/FP$15,"")</f>
        <v>0.00123556100181106</v>
      </c>
      <c r="FQ387" s="150" t="str">
        <f aca="false">IF(AND(ISNUMBER(FQ82),ISNUMBER(FQ$320),FQ$320&lt;&gt;0),FQ82*FQ$320/FQ$15,"")</f>
        <v/>
      </c>
      <c r="FR387" s="150" t="str">
        <f aca="false">IF(AND(ISNUMBER(FR82),ISNUMBER(FR$320),FR$320&lt;&gt;0),FR82*FR$320/FR$15,"")</f>
        <v/>
      </c>
      <c r="FS387" s="150" t="str">
        <f aca="false">IF(AND(ISNUMBER(FS82),ISNUMBER(FS$320),FS$320&lt;&gt;0),FS82*FS$320/FS$15,"")</f>
        <v/>
      </c>
      <c r="FT387" s="150" t="str">
        <f aca="false">IF(AND(ISNUMBER(FT82),ISNUMBER(FT$320),FT$320&lt;&gt;0),FT82*FT$320/FT$15,"")</f>
        <v/>
      </c>
      <c r="FU387" s="150" t="str">
        <f aca="false">IF(AND(ISNUMBER(FU82),ISNUMBER(FU$320),FU$320&lt;&gt;0),FU82*FU$320/FU$15,"")</f>
        <v/>
      </c>
      <c r="FV387" s="150" t="str">
        <f aca="false">IF(AND(ISNUMBER(FV82),ISNUMBER(FV$320),FV$320&lt;&gt;0),FV82*FV$320/FV$15,"")</f>
        <v/>
      </c>
      <c r="FW387" s="150" t="str">
        <f aca="false">IF(AND(ISNUMBER(FW82),ISNUMBER(FW$320),FW$320&lt;&gt;0),FW82*FW$320/FW$15,"")</f>
        <v/>
      </c>
      <c r="FX387" s="150" t="str">
        <f aca="false">IF(AND(ISNUMBER(FX82),ISNUMBER(FX$320),FX$320&lt;&gt;0),FX82*FX$320/FX$15,"")</f>
        <v/>
      </c>
      <c r="FY387" s="150" t="str">
        <f aca="false">IF(AND(ISNUMBER(FY82),ISNUMBER(FY$320),FY$320&lt;&gt;0),FY82*FY$320/FY$15,"")</f>
        <v/>
      </c>
      <c r="FZ387" s="150" t="str">
        <f aca="false">IF(AND(ISNUMBER(FZ82),ISNUMBER(FZ$320),FZ$320&lt;&gt;0),FZ82*FZ$320/FZ$15,"")</f>
        <v/>
      </c>
      <c r="GA387" s="150" t="str">
        <f aca="false">IF(AND(ISNUMBER(GA82),ISNUMBER(GA$320),GA$320&lt;&gt;0),GA82*GA$320/GA$15,"")</f>
        <v/>
      </c>
      <c r="GB387" s="150" t="str">
        <f aca="false">IF(AND(ISNUMBER(GB82),ISNUMBER(GB$320),GB$320&lt;&gt;0),GB82*GB$320/GB$15,"")</f>
        <v/>
      </c>
      <c r="GC387" s="150" t="str">
        <f aca="false">IF(AND(ISNUMBER(GC82),ISNUMBER(GC$320),GC$320&lt;&gt;0),GC82*GC$320/GC$15,"")</f>
        <v/>
      </c>
      <c r="GD387" s="150" t="str">
        <f aca="false">IF(AND(ISNUMBER(GD82),ISNUMBER(GD$320),GD$320&lt;&gt;0),GD82*GD$320/GD$15,"")</f>
        <v/>
      </c>
      <c r="GE387" s="150" t="str">
        <f aca="false">IF(AND(ISNUMBER(GE82),ISNUMBER(GE$320),GE$320&lt;&gt;0),GE82*GE$320/GE$15,"")</f>
        <v/>
      </c>
      <c r="GF387" s="150" t="str">
        <f aca="false">IF(AND(ISNUMBER(GF82),ISNUMBER(GF$320),GF$320&lt;&gt;0),GF82*GF$320/GF$15,"")</f>
        <v/>
      </c>
      <c r="GG387" s="150" t="str">
        <f aca="false">IF(AND(ISNUMBER(GG82),ISNUMBER(GG$320),GG$320&lt;&gt;0),GG82*GG$320/GG$15,"")</f>
        <v/>
      </c>
      <c r="GH387" s="150" t="str">
        <f aca="false">IF(AND(ISNUMBER(GH82),ISNUMBER(GH$320),GH$320&lt;&gt;0),GH82*GH$320/GH$15,"")</f>
        <v/>
      </c>
      <c r="GI387" s="150" t="str">
        <f aca="false">IF(AND(ISNUMBER(GI82),ISNUMBER(GI$320),GI$320&lt;&gt;0),GI82*GI$320/GI$15,"")</f>
        <v/>
      </c>
      <c r="GJ387" s="150" t="str">
        <f aca="false">IF(AND(ISNUMBER(GJ82),ISNUMBER(GJ$320),GJ$320&lt;&gt;0),GJ82*GJ$320/GJ$15,"")</f>
        <v/>
      </c>
      <c r="GK387" s="150" t="str">
        <f aca="false">IF(AND(ISNUMBER(GK82),ISNUMBER(GK$320),GK$320&lt;&gt;0),GK82*GK$320/GK$15,"")</f>
        <v/>
      </c>
      <c r="GL387" s="150" t="str">
        <f aca="false">IF(AND(ISNUMBER(GL82),ISNUMBER(GL$320),GL$320&lt;&gt;0),GL82*GL$320/GL$15,"")</f>
        <v/>
      </c>
      <c r="GM387" s="150" t="str">
        <f aca="false">IF(AND(ISNUMBER(GM82),ISNUMBER(GM$320),GM$320&lt;&gt;0),GM82*GM$320/GM$15,"")</f>
        <v/>
      </c>
      <c r="GN387" s="150" t="str">
        <f aca="false">IF(AND(ISNUMBER(GN82),ISNUMBER(GN$320),GN$320&lt;&gt;0),GN82*GN$320/GN$15,"")</f>
        <v/>
      </c>
      <c r="GO387" s="150" t="str">
        <f aca="false">IF(AND(ISNUMBER(GO82),ISNUMBER(GO$320),GO$320&lt;&gt;0),GO82*GO$320/GO$15,"")</f>
        <v/>
      </c>
      <c r="GP387" s="150" t="str">
        <f aca="false">IF(AND(ISNUMBER(GP82),ISNUMBER(GP$320),GP$320&lt;&gt;0),GP82*GP$320/GP$15,"")</f>
        <v/>
      </c>
      <c r="GQ387" s="150" t="str">
        <f aca="false">IF(AND(ISNUMBER(GQ82),ISNUMBER(GQ$320),GQ$320&lt;&gt;0),GQ82*GQ$320/GQ$15,"")</f>
        <v/>
      </c>
      <c r="GR387" s="150" t="str">
        <f aca="false">IF(AND(ISNUMBER(GR82),ISNUMBER(GR$320),GR$320&lt;&gt;0),GR82*GR$320/GR$15,"")</f>
        <v/>
      </c>
      <c r="GS387" s="150" t="str">
        <f aca="false">IF(AND(ISNUMBER(GS82),ISNUMBER(GS$320),GS$320&lt;&gt;0),GS82*GS$320/GS$15,"")</f>
        <v/>
      </c>
      <c r="GT387" s="150" t="str">
        <f aca="false">IF(AND(ISNUMBER(GT82),ISNUMBER(GT$320),GT$320&lt;&gt;0),GT82*GT$320/GT$15,"")</f>
        <v/>
      </c>
      <c r="GU387" s="150" t="str">
        <f aca="false">IF(AND(ISNUMBER(GU82),ISNUMBER(GU$320),GU$320&lt;&gt;0),GU82*GU$320/GU$15,"")</f>
        <v/>
      </c>
      <c r="GV387" s="150" t="str">
        <f aca="false">IF(AND(ISNUMBER(GV82),ISNUMBER(GV$320),GV$320&lt;&gt;0),GV82*GV$320/GV$15,"")</f>
        <v/>
      </c>
      <c r="GW387" s="150" t="str">
        <f aca="false">IF(AND(ISNUMBER(GW82),ISNUMBER(GW$320),GW$320&lt;&gt;0),GW82*GW$320/GW$15,"")</f>
        <v/>
      </c>
      <c r="GX387" s="150" t="str">
        <f aca="false">IF(AND(ISNUMBER(GX82),ISNUMBER(GX$320),GX$320&lt;&gt;0),GX82*GX$320/GX$15,"")</f>
        <v/>
      </c>
      <c r="GY387" s="150" t="str">
        <f aca="false">IF(AND(ISNUMBER(GY82),ISNUMBER(GY$320),GY$320&lt;&gt;0),GY82*GY$320/GY$15,"")</f>
        <v/>
      </c>
      <c r="GZ387" s="150" t="str">
        <f aca="false">IF(AND(ISNUMBER(GZ82),ISNUMBER(GZ$320),GZ$320&lt;&gt;0),GZ82*GZ$320/GZ$15,"")</f>
        <v/>
      </c>
      <c r="HA387" s="150" t="str">
        <f aca="false">IF(AND(ISNUMBER(HA82),ISNUMBER(HA$320),HA$320&lt;&gt;0),HA82*HA$320/HA$15,"")</f>
        <v/>
      </c>
      <c r="HB387" s="150" t="str">
        <f aca="false">IF(AND(ISNUMBER(HB82),ISNUMBER(HB$320),HB$320&lt;&gt;0),HB82*HB$320/HB$15,"")</f>
        <v/>
      </c>
      <c r="HC387" s="150" t="str">
        <f aca="false">IF(AND(ISNUMBER(HC82),ISNUMBER(HC$320),HC$320&lt;&gt;0),HC82*HC$320/HC$15,"")</f>
        <v/>
      </c>
      <c r="HD387" s="150" t="str">
        <f aca="false">IF(AND(ISNUMBER(HD82),ISNUMBER(HD$320),HD$320&lt;&gt;0),HD82*HD$320/HD$15,"")</f>
        <v/>
      </c>
      <c r="HE387" s="150" t="str">
        <f aca="false">IF(AND(ISNUMBER(HE82),ISNUMBER(HE$320),HE$320&lt;&gt;0),HE82*HE$320/HE$15,"")</f>
        <v/>
      </c>
      <c r="HF387" s="150" t="str">
        <f aca="false">IF(AND(ISNUMBER(HF82),ISNUMBER(HF$320),HF$320&lt;&gt;0),HF82*HF$320/HF$15,"")</f>
        <v/>
      </c>
      <c r="HG387" s="150" t="str">
        <f aca="false">IF(AND(ISNUMBER(HG82),ISNUMBER(HG$320),HG$320&lt;&gt;0),HG82*HG$320/HG$15,"")</f>
        <v/>
      </c>
      <c r="HH387" s="150" t="str">
        <f aca="false">IF(AND(ISNUMBER(HH82),ISNUMBER(HH$320),HH$320&lt;&gt;0),HH82*HH$320/HH$15,"")</f>
        <v/>
      </c>
      <c r="HI387" s="150" t="str">
        <f aca="false">IF(AND(ISNUMBER(HI82),ISNUMBER(HI$320),HI$320&lt;&gt;0),HI82*HI$320/HI$15,"")</f>
        <v/>
      </c>
      <c r="HJ387" s="150" t="str">
        <f aca="false">IF(AND(ISNUMBER(HJ82),ISNUMBER(HJ$320),HJ$320&lt;&gt;0),HJ82*HJ$320/HJ$15,"")</f>
        <v/>
      </c>
      <c r="HK387" s="150" t="str">
        <f aca="false">IF(AND(ISNUMBER(HK82),ISNUMBER(HK$320),HK$320&lt;&gt;0),HK82*HK$320/HK$15,"")</f>
        <v/>
      </c>
      <c r="HL387" s="150" t="str">
        <f aca="false">IF(AND(ISNUMBER(HL82),ISNUMBER(HL$320),HL$320&lt;&gt;0),HL82*HL$320/HL$15,"")</f>
        <v/>
      </c>
      <c r="HM387" s="150" t="str">
        <f aca="false">IF(AND(ISNUMBER(HM82),ISNUMBER(HM$320),HM$320&lt;&gt;0),HM82*HM$320/HM$15,"")</f>
        <v/>
      </c>
      <c r="HN387" s="150" t="str">
        <f aca="false">IF(AND(ISNUMBER(HN82),ISNUMBER(HN$320),HN$320&lt;&gt;0),HN82*HN$320/HN$15,"")</f>
        <v/>
      </c>
      <c r="HO387" s="150" t="str">
        <f aca="false">IF(AND(ISNUMBER(HO82),ISNUMBER(HO$320),HO$320&lt;&gt;0),HO82*HO$320/HO$15,"")</f>
        <v/>
      </c>
      <c r="HP387" s="150" t="str">
        <f aca="false">IF(AND(ISNUMBER(HP82),ISNUMBER(HP$320),HP$320&lt;&gt;0),HP82*HP$320/HP$15,"")</f>
        <v/>
      </c>
      <c r="HQ387" s="150" t="str">
        <f aca="false">IF(AND(ISNUMBER(HQ82),ISNUMBER(HQ$320),HQ$320&lt;&gt;0),HQ82*HQ$320/HQ$15,"")</f>
        <v/>
      </c>
      <c r="HR387" s="150" t="str">
        <f aca="false">IF(AND(ISNUMBER(HR82),ISNUMBER(HR$320),HR$320&lt;&gt;0),HR82*HR$320/HR$15,"")</f>
        <v/>
      </c>
      <c r="HS387" s="150" t="str">
        <f aca="false">IF(AND(ISNUMBER(HS82),ISNUMBER(HS$320),HS$320&lt;&gt;0),HS82*HS$320/HS$15,"")</f>
        <v/>
      </c>
      <c r="HT387" s="150" t="str">
        <f aca="false">IF(AND(ISNUMBER(HT82),ISNUMBER(HT$320),HT$320&lt;&gt;0),HT82*HT$320/HT$15,"")</f>
        <v/>
      </c>
      <c r="HU387" s="150" t="str">
        <f aca="false">IF(AND(ISNUMBER(HU82),ISNUMBER(HU$320),HU$320&lt;&gt;0),HU82*HU$320/HU$15,"")</f>
        <v/>
      </c>
      <c r="HV387" s="150" t="str">
        <f aca="false">IF(AND(ISNUMBER(HV82),ISNUMBER(HV$320),HV$320&lt;&gt;0),HV82*HV$320/HV$15,"")</f>
        <v/>
      </c>
      <c r="HW387" s="150" t="str">
        <f aca="false">IF(AND(ISNUMBER(HW82),ISNUMBER(HW$320),HW$320&lt;&gt;0),HW82*HW$320/HW$15,"")</f>
        <v/>
      </c>
      <c r="HX387" s="150" t="str">
        <f aca="false">IF(AND(ISNUMBER(HX82),ISNUMBER(HX$320),HX$320&lt;&gt;0),HX82*HX$320/HX$15,"")</f>
        <v/>
      </c>
      <c r="HY387" s="150" t="str">
        <f aca="false">IF(AND(ISNUMBER(HY82),ISNUMBER(HY$320),HY$320&lt;&gt;0),HY82*HY$320/HY$15,"")</f>
        <v/>
      </c>
      <c r="HZ387" s="150" t="str">
        <f aca="false">IF(AND(ISNUMBER(HZ82),ISNUMBER(HZ$320),HZ$320&lt;&gt;0),HZ82*HZ$320/HZ$15,"")</f>
        <v/>
      </c>
      <c r="IA387" s="150" t="str">
        <f aca="false">IF(AND(ISNUMBER(IA82),ISNUMBER(IA$320),IA$320&lt;&gt;0),IA82*IA$320/IA$15,"")</f>
        <v/>
      </c>
      <c r="IB387" s="150" t="str">
        <f aca="false">IF(AND(ISNUMBER(IB82),ISNUMBER(IB$320),IB$320&lt;&gt;0),IB82*IB$320/IB$15,"")</f>
        <v/>
      </c>
      <c r="IC387" s="150" t="str">
        <f aca="false">IF(AND(ISNUMBER(IC82),ISNUMBER(IC$320),IC$320&lt;&gt;0),IC82*IC$320/IC$15,"")</f>
        <v/>
      </c>
      <c r="ID387" s="572" t="str">
        <f aca="false">IF(AND(ISNUMBER(ID82),ISNUMBER(ID$320),ID$320&lt;&gt;0),ID82*ID$320/ID$15,"")</f>
        <v/>
      </c>
    </row>
    <row r="388" customFormat="false" ht="12.75" hidden="false" customHeight="false" outlineLevel="0" collapsed="false">
      <c r="I388" s="735"/>
      <c r="J388" s="727"/>
      <c r="K388" s="195"/>
      <c r="L388" s="195"/>
      <c r="M388" s="729"/>
      <c r="P388" s="727"/>
      <c r="S388" s="1"/>
      <c r="T388" s="727"/>
      <c r="U388" s="195"/>
      <c r="V388" s="195"/>
      <c r="W388" s="195"/>
      <c r="X388" s="195"/>
      <c r="Y388" s="195"/>
      <c r="Z388" s="195"/>
      <c r="AA388" s="195"/>
      <c r="AB388" s="195"/>
      <c r="AC388" s="195"/>
      <c r="AD388" s="195"/>
      <c r="AE388" s="195"/>
      <c r="AF388" s="195"/>
      <c r="AG388" s="195"/>
      <c r="AH388" s="195"/>
      <c r="AI388" s="195"/>
      <c r="AJ388" s="195"/>
      <c r="AK388" s="195"/>
      <c r="AL388" s="195"/>
      <c r="AM388" s="195"/>
      <c r="AN388" s="532"/>
      <c r="AO388" s="532"/>
      <c r="AP388" s="240"/>
      <c r="AQ388" s="532"/>
      <c r="AR388" s="240"/>
      <c r="AS388" s="240"/>
      <c r="AT388" s="240"/>
      <c r="AU388" s="730"/>
      <c r="AV388" s="730"/>
      <c r="AW388" s="730"/>
      <c r="AX388" s="730"/>
      <c r="AY388" s="468"/>
      <c r="AZ388" s="468"/>
      <c r="BA388" s="240"/>
      <c r="BB388" s="240"/>
      <c r="BC388" s="240"/>
      <c r="BD388" s="240"/>
      <c r="BE388" s="672"/>
      <c r="BF388" s="672"/>
      <c r="BG388" s="672"/>
      <c r="BH388" s="731"/>
      <c r="BI388" s="672"/>
      <c r="BJ388" s="240"/>
      <c r="BK388" s="736"/>
      <c r="BL388" s="737"/>
      <c r="BM388" s="240"/>
      <c r="BN388" s="240"/>
      <c r="BO388" s="240"/>
      <c r="BP388" s="240"/>
      <c r="BQ388" s="240"/>
      <c r="BR388" s="240"/>
      <c r="BS388" s="240"/>
      <c r="BT388" s="240"/>
      <c r="BU388" s="240"/>
      <c r="BV388" s="240"/>
      <c r="BW388" s="240"/>
      <c r="BX388" s="240"/>
      <c r="BY388" s="240"/>
      <c r="BZ388" s="240"/>
      <c r="CA388" s="240"/>
      <c r="CB388" s="672"/>
      <c r="CC388" s="672"/>
      <c r="CD388" s="672"/>
      <c r="CE388" s="672"/>
      <c r="CF388" s="672"/>
      <c r="CG388" s="672"/>
      <c r="CH388" s="240"/>
      <c r="CI388" s="240"/>
      <c r="CJ388" s="240"/>
      <c r="CK388" s="240"/>
      <c r="CL388" s="240"/>
      <c r="CM388" s="240"/>
      <c r="CN388" s="240"/>
      <c r="CO388" s="240"/>
      <c r="CP388" s="240"/>
      <c r="CQ388" s="240"/>
      <c r="CR388" s="240"/>
      <c r="CS388" s="240"/>
      <c r="CT388" s="240"/>
      <c r="CU388" s="240"/>
      <c r="CV388" s="240"/>
      <c r="CW388" s="240"/>
      <c r="CX388" s="240"/>
      <c r="CY388" s="240"/>
      <c r="CZ388" s="240"/>
      <c r="DA388" s="240"/>
      <c r="DB388" s="240"/>
      <c r="DC388" s="240"/>
      <c r="DD388" s="240"/>
      <c r="DE388" s="240"/>
      <c r="DF388" s="240"/>
      <c r="DG388" s="733"/>
      <c r="DH388" s="478"/>
      <c r="DI388" s="195"/>
      <c r="DJ388" s="3"/>
      <c r="DK388" s="478"/>
      <c r="DL388" s="4"/>
      <c r="DM388" s="4"/>
      <c r="DN388" s="4"/>
      <c r="DO388" s="4"/>
      <c r="DP388" s="4"/>
      <c r="DQ388" s="4"/>
      <c r="DS388" s="195"/>
      <c r="DT388" s="195"/>
      <c r="DU388" s="195"/>
      <c r="DV388" s="195"/>
      <c r="DW388" s="195"/>
      <c r="DX388" s="195"/>
      <c r="DY388" s="195"/>
      <c r="DZ388" s="195"/>
      <c r="EA388" s="195"/>
      <c r="EB388" s="195"/>
      <c r="EC388" s="195"/>
      <c r="ED388" s="195"/>
      <c r="EE388" s="195"/>
      <c r="EF388" s="195"/>
      <c r="EG388" s="195"/>
      <c r="EL388" s="1"/>
      <c r="EM388" s="195"/>
      <c r="EN388" s="240"/>
      <c r="EO388" s="240"/>
      <c r="EP388" s="195"/>
      <c r="EQ388" s="240"/>
      <c r="ER388" s="195"/>
      <c r="ES388" s="195"/>
      <c r="ET388" s="195"/>
      <c r="EU388" s="672"/>
      <c r="FJ388" s="571" t="n">
        <v>64</v>
      </c>
      <c r="FK388" s="150" t="str">
        <f aca="false">IF(AND(ISNUMBER(FK83),ISNUMBER(FK$320),FK$320&lt;&gt;0),FK83*FK$320/FK$15,"")</f>
        <v/>
      </c>
      <c r="FL388" s="150" t="str">
        <f aca="false">IF(AND(ISNUMBER(FL83),ISNUMBER(FL$320),FL$320&lt;&gt;0),FL83*FL$320/FL$15,"")</f>
        <v/>
      </c>
      <c r="FM388" s="150" t="n">
        <f aca="false">IF(AND(ISNUMBER(FM83),ISNUMBER(FM$320),FM$320&lt;&gt;0),FM83*FM$320/FM$15,"")</f>
        <v>0.00254704223673842</v>
      </c>
      <c r="FN388" s="150" t="n">
        <f aca="false">IF(AND(ISNUMBER(FN83),ISNUMBER(FN$320),FN$320&lt;&gt;0),FN83*FN$320/FN$15,"")</f>
        <v>0.002143808271058</v>
      </c>
      <c r="FO388" s="150" t="n">
        <f aca="false">IF(AND(ISNUMBER(FO83),ISNUMBER(FO$320),FO$320&lt;&gt;0),FO83*FO$320/FO$15,"")</f>
        <v>0.00222992569991813</v>
      </c>
      <c r="FP388" s="150" t="n">
        <f aca="false">IF(AND(ISNUMBER(FP83),ISNUMBER(FP$320),FP$320&lt;&gt;0),FP83*FP$320/FP$15,"")</f>
        <v>0.0012355242355045</v>
      </c>
      <c r="FQ388" s="150" t="str">
        <f aca="false">IF(AND(ISNUMBER(FQ83),ISNUMBER(FQ$320),FQ$320&lt;&gt;0),FQ83*FQ$320/FQ$15,"")</f>
        <v/>
      </c>
      <c r="FR388" s="150" t="str">
        <f aca="false">IF(AND(ISNUMBER(FR83),ISNUMBER(FR$320),FR$320&lt;&gt;0),FR83*FR$320/FR$15,"")</f>
        <v/>
      </c>
      <c r="FS388" s="150" t="str">
        <f aca="false">IF(AND(ISNUMBER(FS83),ISNUMBER(FS$320),FS$320&lt;&gt;0),FS83*FS$320/FS$15,"")</f>
        <v/>
      </c>
      <c r="FT388" s="150" t="str">
        <f aca="false">IF(AND(ISNUMBER(FT83),ISNUMBER(FT$320),FT$320&lt;&gt;0),FT83*FT$320/FT$15,"")</f>
        <v/>
      </c>
      <c r="FU388" s="150" t="str">
        <f aca="false">IF(AND(ISNUMBER(FU83),ISNUMBER(FU$320),FU$320&lt;&gt;0),FU83*FU$320/FU$15,"")</f>
        <v/>
      </c>
      <c r="FV388" s="150" t="str">
        <f aca="false">IF(AND(ISNUMBER(FV83),ISNUMBER(FV$320),FV$320&lt;&gt;0),FV83*FV$320/FV$15,"")</f>
        <v/>
      </c>
      <c r="FW388" s="150" t="str">
        <f aca="false">IF(AND(ISNUMBER(FW83),ISNUMBER(FW$320),FW$320&lt;&gt;0),FW83*FW$320/FW$15,"")</f>
        <v/>
      </c>
      <c r="FX388" s="150" t="str">
        <f aca="false">IF(AND(ISNUMBER(FX83),ISNUMBER(FX$320),FX$320&lt;&gt;0),FX83*FX$320/FX$15,"")</f>
        <v/>
      </c>
      <c r="FY388" s="150" t="str">
        <f aca="false">IF(AND(ISNUMBER(FY83),ISNUMBER(FY$320),FY$320&lt;&gt;0),FY83*FY$320/FY$15,"")</f>
        <v/>
      </c>
      <c r="FZ388" s="150" t="str">
        <f aca="false">IF(AND(ISNUMBER(FZ83),ISNUMBER(FZ$320),FZ$320&lt;&gt;0),FZ83*FZ$320/FZ$15,"")</f>
        <v/>
      </c>
      <c r="GA388" s="150" t="str">
        <f aca="false">IF(AND(ISNUMBER(GA83),ISNUMBER(GA$320),GA$320&lt;&gt;0),GA83*GA$320/GA$15,"")</f>
        <v/>
      </c>
      <c r="GB388" s="150" t="str">
        <f aca="false">IF(AND(ISNUMBER(GB83),ISNUMBER(GB$320),GB$320&lt;&gt;0),GB83*GB$320/GB$15,"")</f>
        <v/>
      </c>
      <c r="GC388" s="150" t="str">
        <f aca="false">IF(AND(ISNUMBER(GC83),ISNUMBER(GC$320),GC$320&lt;&gt;0),GC83*GC$320/GC$15,"")</f>
        <v/>
      </c>
      <c r="GD388" s="150" t="str">
        <f aca="false">IF(AND(ISNUMBER(GD83),ISNUMBER(GD$320),GD$320&lt;&gt;0),GD83*GD$320/GD$15,"")</f>
        <v/>
      </c>
      <c r="GE388" s="150" t="str">
        <f aca="false">IF(AND(ISNUMBER(GE83),ISNUMBER(GE$320),GE$320&lt;&gt;0),GE83*GE$320/GE$15,"")</f>
        <v/>
      </c>
      <c r="GF388" s="150" t="str">
        <f aca="false">IF(AND(ISNUMBER(GF83),ISNUMBER(GF$320),GF$320&lt;&gt;0),GF83*GF$320/GF$15,"")</f>
        <v/>
      </c>
      <c r="GG388" s="150" t="str">
        <f aca="false">IF(AND(ISNUMBER(GG83),ISNUMBER(GG$320),GG$320&lt;&gt;0),GG83*GG$320/GG$15,"")</f>
        <v/>
      </c>
      <c r="GH388" s="150" t="str">
        <f aca="false">IF(AND(ISNUMBER(GH83),ISNUMBER(GH$320),GH$320&lt;&gt;0),GH83*GH$320/GH$15,"")</f>
        <v/>
      </c>
      <c r="GI388" s="150" t="str">
        <f aca="false">IF(AND(ISNUMBER(GI83),ISNUMBER(GI$320),GI$320&lt;&gt;0),GI83*GI$320/GI$15,"")</f>
        <v/>
      </c>
      <c r="GJ388" s="150" t="str">
        <f aca="false">IF(AND(ISNUMBER(GJ83),ISNUMBER(GJ$320),GJ$320&lt;&gt;0),GJ83*GJ$320/GJ$15,"")</f>
        <v/>
      </c>
      <c r="GK388" s="150" t="str">
        <f aca="false">IF(AND(ISNUMBER(GK83),ISNUMBER(GK$320),GK$320&lt;&gt;0),GK83*GK$320/GK$15,"")</f>
        <v/>
      </c>
      <c r="GL388" s="150" t="str">
        <f aca="false">IF(AND(ISNUMBER(GL83),ISNUMBER(GL$320),GL$320&lt;&gt;0),GL83*GL$320/GL$15,"")</f>
        <v/>
      </c>
      <c r="GM388" s="150" t="str">
        <f aca="false">IF(AND(ISNUMBER(GM83),ISNUMBER(GM$320),GM$320&lt;&gt;0),GM83*GM$320/GM$15,"")</f>
        <v/>
      </c>
      <c r="GN388" s="150" t="str">
        <f aca="false">IF(AND(ISNUMBER(GN83),ISNUMBER(GN$320),GN$320&lt;&gt;0),GN83*GN$320/GN$15,"")</f>
        <v/>
      </c>
      <c r="GO388" s="150" t="str">
        <f aca="false">IF(AND(ISNUMBER(GO83),ISNUMBER(GO$320),GO$320&lt;&gt;0),GO83*GO$320/GO$15,"")</f>
        <v/>
      </c>
      <c r="GP388" s="150" t="str">
        <f aca="false">IF(AND(ISNUMBER(GP83),ISNUMBER(GP$320),GP$320&lt;&gt;0),GP83*GP$320/GP$15,"")</f>
        <v/>
      </c>
      <c r="GQ388" s="150" t="str">
        <f aca="false">IF(AND(ISNUMBER(GQ83),ISNUMBER(GQ$320),GQ$320&lt;&gt;0),GQ83*GQ$320/GQ$15,"")</f>
        <v/>
      </c>
      <c r="GR388" s="150" t="str">
        <f aca="false">IF(AND(ISNUMBER(GR83),ISNUMBER(GR$320),GR$320&lt;&gt;0),GR83*GR$320/GR$15,"")</f>
        <v/>
      </c>
      <c r="GS388" s="150" t="str">
        <f aca="false">IF(AND(ISNUMBER(GS83),ISNUMBER(GS$320),GS$320&lt;&gt;0),GS83*GS$320/GS$15,"")</f>
        <v/>
      </c>
      <c r="GT388" s="150" t="str">
        <f aca="false">IF(AND(ISNUMBER(GT83),ISNUMBER(GT$320),GT$320&lt;&gt;0),GT83*GT$320/GT$15,"")</f>
        <v/>
      </c>
      <c r="GU388" s="150" t="str">
        <f aca="false">IF(AND(ISNUMBER(GU83),ISNUMBER(GU$320),GU$320&lt;&gt;0),GU83*GU$320/GU$15,"")</f>
        <v/>
      </c>
      <c r="GV388" s="150" t="str">
        <f aca="false">IF(AND(ISNUMBER(GV83),ISNUMBER(GV$320),GV$320&lt;&gt;0),GV83*GV$320/GV$15,"")</f>
        <v/>
      </c>
      <c r="GW388" s="150" t="str">
        <f aca="false">IF(AND(ISNUMBER(GW83),ISNUMBER(GW$320),GW$320&lt;&gt;0),GW83*GW$320/GW$15,"")</f>
        <v/>
      </c>
      <c r="GX388" s="150" t="str">
        <f aca="false">IF(AND(ISNUMBER(GX83),ISNUMBER(GX$320),GX$320&lt;&gt;0),GX83*GX$320/GX$15,"")</f>
        <v/>
      </c>
      <c r="GY388" s="150" t="str">
        <f aca="false">IF(AND(ISNUMBER(GY83),ISNUMBER(GY$320),GY$320&lt;&gt;0),GY83*GY$320/GY$15,"")</f>
        <v/>
      </c>
      <c r="GZ388" s="150" t="str">
        <f aca="false">IF(AND(ISNUMBER(GZ83),ISNUMBER(GZ$320),GZ$320&lt;&gt;0),GZ83*GZ$320/GZ$15,"")</f>
        <v/>
      </c>
      <c r="HA388" s="150" t="str">
        <f aca="false">IF(AND(ISNUMBER(HA83),ISNUMBER(HA$320),HA$320&lt;&gt;0),HA83*HA$320/HA$15,"")</f>
        <v/>
      </c>
      <c r="HB388" s="150" t="str">
        <f aca="false">IF(AND(ISNUMBER(HB83),ISNUMBER(HB$320),HB$320&lt;&gt;0),HB83*HB$320/HB$15,"")</f>
        <v/>
      </c>
      <c r="HC388" s="150" t="str">
        <f aca="false">IF(AND(ISNUMBER(HC83),ISNUMBER(HC$320),HC$320&lt;&gt;0),HC83*HC$320/HC$15,"")</f>
        <v/>
      </c>
      <c r="HD388" s="150" t="str">
        <f aca="false">IF(AND(ISNUMBER(HD83),ISNUMBER(HD$320),HD$320&lt;&gt;0),HD83*HD$320/HD$15,"")</f>
        <v/>
      </c>
      <c r="HE388" s="150" t="str">
        <f aca="false">IF(AND(ISNUMBER(HE83),ISNUMBER(HE$320),HE$320&lt;&gt;0),HE83*HE$320/HE$15,"")</f>
        <v/>
      </c>
      <c r="HF388" s="150" t="str">
        <f aca="false">IF(AND(ISNUMBER(HF83),ISNUMBER(HF$320),HF$320&lt;&gt;0),HF83*HF$320/HF$15,"")</f>
        <v/>
      </c>
      <c r="HG388" s="150" t="str">
        <f aca="false">IF(AND(ISNUMBER(HG83),ISNUMBER(HG$320),HG$320&lt;&gt;0),HG83*HG$320/HG$15,"")</f>
        <v/>
      </c>
      <c r="HH388" s="150" t="str">
        <f aca="false">IF(AND(ISNUMBER(HH83),ISNUMBER(HH$320),HH$320&lt;&gt;0),HH83*HH$320/HH$15,"")</f>
        <v/>
      </c>
      <c r="HI388" s="150" t="str">
        <f aca="false">IF(AND(ISNUMBER(HI83),ISNUMBER(HI$320),HI$320&lt;&gt;0),HI83*HI$320/HI$15,"")</f>
        <v/>
      </c>
      <c r="HJ388" s="150" t="str">
        <f aca="false">IF(AND(ISNUMBER(HJ83),ISNUMBER(HJ$320),HJ$320&lt;&gt;0),HJ83*HJ$320/HJ$15,"")</f>
        <v/>
      </c>
      <c r="HK388" s="150" t="str">
        <f aca="false">IF(AND(ISNUMBER(HK83),ISNUMBER(HK$320),HK$320&lt;&gt;0),HK83*HK$320/HK$15,"")</f>
        <v/>
      </c>
      <c r="HL388" s="150" t="str">
        <f aca="false">IF(AND(ISNUMBER(HL83),ISNUMBER(HL$320),HL$320&lt;&gt;0),HL83*HL$320/HL$15,"")</f>
        <v/>
      </c>
      <c r="HM388" s="150" t="str">
        <f aca="false">IF(AND(ISNUMBER(HM83),ISNUMBER(HM$320),HM$320&lt;&gt;0),HM83*HM$320/HM$15,"")</f>
        <v/>
      </c>
      <c r="HN388" s="150" t="str">
        <f aca="false">IF(AND(ISNUMBER(HN83),ISNUMBER(HN$320),HN$320&lt;&gt;0),HN83*HN$320/HN$15,"")</f>
        <v/>
      </c>
      <c r="HO388" s="150" t="str">
        <f aca="false">IF(AND(ISNUMBER(HO83),ISNUMBER(HO$320),HO$320&lt;&gt;0),HO83*HO$320/HO$15,"")</f>
        <v/>
      </c>
      <c r="HP388" s="150" t="str">
        <f aca="false">IF(AND(ISNUMBER(HP83),ISNUMBER(HP$320),HP$320&lt;&gt;0),HP83*HP$320/HP$15,"")</f>
        <v/>
      </c>
      <c r="HQ388" s="150" t="str">
        <f aca="false">IF(AND(ISNUMBER(HQ83),ISNUMBER(HQ$320),HQ$320&lt;&gt;0),HQ83*HQ$320/HQ$15,"")</f>
        <v/>
      </c>
      <c r="HR388" s="150" t="str">
        <f aca="false">IF(AND(ISNUMBER(HR83),ISNUMBER(HR$320),HR$320&lt;&gt;0),HR83*HR$320/HR$15,"")</f>
        <v/>
      </c>
      <c r="HS388" s="150" t="str">
        <f aca="false">IF(AND(ISNUMBER(HS83),ISNUMBER(HS$320),HS$320&lt;&gt;0),HS83*HS$320/HS$15,"")</f>
        <v/>
      </c>
      <c r="HT388" s="150" t="str">
        <f aca="false">IF(AND(ISNUMBER(HT83),ISNUMBER(HT$320),HT$320&lt;&gt;0),HT83*HT$320/HT$15,"")</f>
        <v/>
      </c>
      <c r="HU388" s="150" t="str">
        <f aca="false">IF(AND(ISNUMBER(HU83),ISNUMBER(HU$320),HU$320&lt;&gt;0),HU83*HU$320/HU$15,"")</f>
        <v/>
      </c>
      <c r="HV388" s="150" t="str">
        <f aca="false">IF(AND(ISNUMBER(HV83),ISNUMBER(HV$320),HV$320&lt;&gt;0),HV83*HV$320/HV$15,"")</f>
        <v/>
      </c>
      <c r="HW388" s="150" t="str">
        <f aca="false">IF(AND(ISNUMBER(HW83),ISNUMBER(HW$320),HW$320&lt;&gt;0),HW83*HW$320/HW$15,"")</f>
        <v/>
      </c>
      <c r="HX388" s="150" t="str">
        <f aca="false">IF(AND(ISNUMBER(HX83),ISNUMBER(HX$320),HX$320&lt;&gt;0),HX83*HX$320/HX$15,"")</f>
        <v/>
      </c>
      <c r="HY388" s="150" t="str">
        <f aca="false">IF(AND(ISNUMBER(HY83),ISNUMBER(HY$320),HY$320&lt;&gt;0),HY83*HY$320/HY$15,"")</f>
        <v/>
      </c>
      <c r="HZ388" s="150" t="str">
        <f aca="false">IF(AND(ISNUMBER(HZ83),ISNUMBER(HZ$320),HZ$320&lt;&gt;0),HZ83*HZ$320/HZ$15,"")</f>
        <v/>
      </c>
      <c r="IA388" s="150" t="str">
        <f aca="false">IF(AND(ISNUMBER(IA83),ISNUMBER(IA$320),IA$320&lt;&gt;0),IA83*IA$320/IA$15,"")</f>
        <v/>
      </c>
      <c r="IB388" s="150" t="str">
        <f aca="false">IF(AND(ISNUMBER(IB83),ISNUMBER(IB$320),IB$320&lt;&gt;0),IB83*IB$320/IB$15,"")</f>
        <v/>
      </c>
      <c r="IC388" s="150" t="str">
        <f aca="false">IF(AND(ISNUMBER(IC83),ISNUMBER(IC$320),IC$320&lt;&gt;0),IC83*IC$320/IC$15,"")</f>
        <v/>
      </c>
      <c r="ID388" s="572" t="str">
        <f aca="false">IF(AND(ISNUMBER(ID83),ISNUMBER(ID$320),ID$320&lt;&gt;0),ID83*ID$320/ID$15,"")</f>
        <v/>
      </c>
    </row>
    <row r="389" customFormat="false" ht="12.75" hidden="false" customHeight="false" outlineLevel="0" collapsed="false">
      <c r="I389" s="735"/>
      <c r="J389" s="727"/>
      <c r="K389" s="195"/>
      <c r="L389" s="195"/>
      <c r="M389" s="729"/>
      <c r="P389" s="727"/>
      <c r="S389" s="1"/>
      <c r="T389" s="727"/>
      <c r="U389" s="195"/>
      <c r="V389" s="195"/>
      <c r="W389" s="195"/>
      <c r="X389" s="195"/>
      <c r="Y389" s="195"/>
      <c r="Z389" s="195"/>
      <c r="AA389" s="195"/>
      <c r="AB389" s="195"/>
      <c r="AC389" s="195"/>
      <c r="AD389" s="195"/>
      <c r="AE389" s="195"/>
      <c r="AF389" s="195"/>
      <c r="AG389" s="195"/>
      <c r="AH389" s="195"/>
      <c r="AI389" s="195"/>
      <c r="AJ389" s="195"/>
      <c r="AK389" s="195"/>
      <c r="AL389" s="195"/>
      <c r="AM389" s="195"/>
      <c r="AN389" s="532"/>
      <c r="AO389" s="532"/>
      <c r="AP389" s="240"/>
      <c r="AQ389" s="532"/>
      <c r="AR389" s="240"/>
      <c r="AS389" s="240"/>
      <c r="AT389" s="240"/>
      <c r="AU389" s="730"/>
      <c r="AV389" s="730"/>
      <c r="AW389" s="730"/>
      <c r="AX389" s="730"/>
      <c r="AY389" s="468"/>
      <c r="AZ389" s="468"/>
      <c r="BA389" s="240"/>
      <c r="BB389" s="240"/>
      <c r="BC389" s="240"/>
      <c r="BD389" s="240"/>
      <c r="BE389" s="672"/>
      <c r="BF389" s="672"/>
      <c r="BG389" s="672"/>
      <c r="BH389" s="731"/>
      <c r="BI389" s="672"/>
      <c r="BJ389" s="240"/>
      <c r="BK389" s="736"/>
      <c r="BL389" s="737"/>
      <c r="BM389" s="240"/>
      <c r="BN389" s="240"/>
      <c r="BO389" s="240"/>
      <c r="BP389" s="240"/>
      <c r="BQ389" s="240"/>
      <c r="BR389" s="240"/>
      <c r="BS389" s="240"/>
      <c r="BT389" s="240"/>
      <c r="BU389" s="240"/>
      <c r="BV389" s="240"/>
      <c r="BW389" s="240"/>
      <c r="BX389" s="240"/>
      <c r="BY389" s="240"/>
      <c r="BZ389" s="240"/>
      <c r="CA389" s="240"/>
      <c r="CB389" s="672"/>
      <c r="CC389" s="672"/>
      <c r="CD389" s="672"/>
      <c r="CE389" s="672"/>
      <c r="CF389" s="672"/>
      <c r="CG389" s="672"/>
      <c r="CH389" s="240"/>
      <c r="CI389" s="240"/>
      <c r="CJ389" s="240"/>
      <c r="CK389" s="240"/>
      <c r="CL389" s="240"/>
      <c r="CM389" s="240"/>
      <c r="CN389" s="240"/>
      <c r="CO389" s="240"/>
      <c r="CP389" s="240"/>
      <c r="CQ389" s="240"/>
      <c r="CR389" s="240"/>
      <c r="CS389" s="240"/>
      <c r="CT389" s="240"/>
      <c r="CU389" s="240"/>
      <c r="CV389" s="240"/>
      <c r="CW389" s="240"/>
      <c r="CX389" s="240"/>
      <c r="CY389" s="240"/>
      <c r="CZ389" s="240"/>
      <c r="DA389" s="240"/>
      <c r="DB389" s="240"/>
      <c r="DC389" s="240"/>
      <c r="DD389" s="240"/>
      <c r="DE389" s="240"/>
      <c r="DF389" s="240"/>
      <c r="DG389" s="733"/>
      <c r="DH389" s="478"/>
      <c r="DI389" s="195"/>
      <c r="DJ389" s="3"/>
      <c r="DK389" s="478"/>
      <c r="DL389" s="4"/>
      <c r="DM389" s="4"/>
      <c r="DN389" s="4"/>
      <c r="DO389" s="4"/>
      <c r="DP389" s="4"/>
      <c r="DQ389" s="4"/>
      <c r="DS389" s="195"/>
      <c r="DT389" s="195"/>
      <c r="DU389" s="195"/>
      <c r="DV389" s="195"/>
      <c r="DW389" s="195"/>
      <c r="DX389" s="195"/>
      <c r="DY389" s="195"/>
      <c r="DZ389" s="195"/>
      <c r="EA389" s="195"/>
      <c r="EB389" s="195"/>
      <c r="EC389" s="195"/>
      <c r="ED389" s="195"/>
      <c r="EE389" s="195"/>
      <c r="EF389" s="195"/>
      <c r="EG389" s="195"/>
      <c r="EL389" s="1"/>
      <c r="EM389" s="195"/>
      <c r="EN389" s="240"/>
      <c r="EO389" s="240"/>
      <c r="EP389" s="195"/>
      <c r="EQ389" s="240"/>
      <c r="ER389" s="195"/>
      <c r="ES389" s="195"/>
      <c r="ET389" s="195"/>
      <c r="EU389" s="672"/>
      <c r="FJ389" s="571" t="n">
        <v>65</v>
      </c>
      <c r="FK389" s="150" t="str">
        <f aca="false">IF(AND(ISNUMBER(FK84),ISNUMBER(FK$320),FK$320&lt;&gt;0),FK84*FK$320/FK$15,"")</f>
        <v/>
      </c>
      <c r="FL389" s="150" t="str">
        <f aca="false">IF(AND(ISNUMBER(FL84),ISNUMBER(FL$320),FL$320&lt;&gt;0),FL84*FL$320/FL$15,"")</f>
        <v/>
      </c>
      <c r="FM389" s="150" t="n">
        <f aca="false">IF(AND(ISNUMBER(FM84),ISNUMBER(FM$320),FM$320&lt;&gt;0),FM84*FM$320/FM$15,"")</f>
        <v>0.00254700173381064</v>
      </c>
      <c r="FN389" s="150" t="n">
        <f aca="false">IF(AND(ISNUMBER(FN84),ISNUMBER(FN$320),FN$320&lt;&gt;0),FN84*FN$320/FN$15,"")</f>
        <v>0.00214376839886726</v>
      </c>
      <c r="FO389" s="150" t="n">
        <f aca="false">IF(AND(ISNUMBER(FO84),ISNUMBER(FO$320),FO$320&lt;&gt;0),FO84*FO$320/FO$15,"")</f>
        <v>0.00222987719246931</v>
      </c>
      <c r="FP389" s="150" t="n">
        <f aca="false">IF(AND(ISNUMBER(FP84),ISNUMBER(FP$320),FP$320&lt;&gt;0),FP84*FP$320/FP$15,"")</f>
        <v>0.0012354928012478</v>
      </c>
      <c r="FQ389" s="150" t="str">
        <f aca="false">IF(AND(ISNUMBER(FQ84),ISNUMBER(FQ$320),FQ$320&lt;&gt;0),FQ84*FQ$320/FQ$15,"")</f>
        <v/>
      </c>
      <c r="FR389" s="150" t="str">
        <f aca="false">IF(AND(ISNUMBER(FR84),ISNUMBER(FR$320),FR$320&lt;&gt;0),FR84*FR$320/FR$15,"")</f>
        <v/>
      </c>
      <c r="FS389" s="150" t="str">
        <f aca="false">IF(AND(ISNUMBER(FS84),ISNUMBER(FS$320),FS$320&lt;&gt;0),FS84*FS$320/FS$15,"")</f>
        <v/>
      </c>
      <c r="FT389" s="150" t="str">
        <f aca="false">IF(AND(ISNUMBER(FT84),ISNUMBER(FT$320),FT$320&lt;&gt;0),FT84*FT$320/FT$15,"")</f>
        <v/>
      </c>
      <c r="FU389" s="150" t="str">
        <f aca="false">IF(AND(ISNUMBER(FU84),ISNUMBER(FU$320),FU$320&lt;&gt;0),FU84*FU$320/FU$15,"")</f>
        <v/>
      </c>
      <c r="FV389" s="150" t="str">
        <f aca="false">IF(AND(ISNUMBER(FV84),ISNUMBER(FV$320),FV$320&lt;&gt;0),FV84*FV$320/FV$15,"")</f>
        <v/>
      </c>
      <c r="FW389" s="150" t="str">
        <f aca="false">IF(AND(ISNUMBER(FW84),ISNUMBER(FW$320),FW$320&lt;&gt;0),FW84*FW$320/FW$15,"")</f>
        <v/>
      </c>
      <c r="FX389" s="150" t="str">
        <f aca="false">IF(AND(ISNUMBER(FX84),ISNUMBER(FX$320),FX$320&lt;&gt;0),FX84*FX$320/FX$15,"")</f>
        <v/>
      </c>
      <c r="FY389" s="150" t="str">
        <f aca="false">IF(AND(ISNUMBER(FY84),ISNUMBER(FY$320),FY$320&lt;&gt;0),FY84*FY$320/FY$15,"")</f>
        <v/>
      </c>
      <c r="FZ389" s="150" t="str">
        <f aca="false">IF(AND(ISNUMBER(FZ84),ISNUMBER(FZ$320),FZ$320&lt;&gt;0),FZ84*FZ$320/FZ$15,"")</f>
        <v/>
      </c>
      <c r="GA389" s="150" t="str">
        <f aca="false">IF(AND(ISNUMBER(GA84),ISNUMBER(GA$320),GA$320&lt;&gt;0),GA84*GA$320/GA$15,"")</f>
        <v/>
      </c>
      <c r="GB389" s="150" t="str">
        <f aca="false">IF(AND(ISNUMBER(GB84),ISNUMBER(GB$320),GB$320&lt;&gt;0),GB84*GB$320/GB$15,"")</f>
        <v/>
      </c>
      <c r="GC389" s="150" t="str">
        <f aca="false">IF(AND(ISNUMBER(GC84),ISNUMBER(GC$320),GC$320&lt;&gt;0),GC84*GC$320/GC$15,"")</f>
        <v/>
      </c>
      <c r="GD389" s="150" t="str">
        <f aca="false">IF(AND(ISNUMBER(GD84),ISNUMBER(GD$320),GD$320&lt;&gt;0),GD84*GD$320/GD$15,"")</f>
        <v/>
      </c>
      <c r="GE389" s="150" t="str">
        <f aca="false">IF(AND(ISNUMBER(GE84),ISNUMBER(GE$320),GE$320&lt;&gt;0),GE84*GE$320/GE$15,"")</f>
        <v/>
      </c>
      <c r="GF389" s="150" t="str">
        <f aca="false">IF(AND(ISNUMBER(GF84),ISNUMBER(GF$320),GF$320&lt;&gt;0),GF84*GF$320/GF$15,"")</f>
        <v/>
      </c>
      <c r="GG389" s="150" t="str">
        <f aca="false">IF(AND(ISNUMBER(GG84),ISNUMBER(GG$320),GG$320&lt;&gt;0),GG84*GG$320/GG$15,"")</f>
        <v/>
      </c>
      <c r="GH389" s="150" t="str">
        <f aca="false">IF(AND(ISNUMBER(GH84),ISNUMBER(GH$320),GH$320&lt;&gt;0),GH84*GH$320/GH$15,"")</f>
        <v/>
      </c>
      <c r="GI389" s="150" t="str">
        <f aca="false">IF(AND(ISNUMBER(GI84),ISNUMBER(GI$320),GI$320&lt;&gt;0),GI84*GI$320/GI$15,"")</f>
        <v/>
      </c>
      <c r="GJ389" s="150" t="str">
        <f aca="false">IF(AND(ISNUMBER(GJ84),ISNUMBER(GJ$320),GJ$320&lt;&gt;0),GJ84*GJ$320/GJ$15,"")</f>
        <v/>
      </c>
      <c r="GK389" s="150" t="str">
        <f aca="false">IF(AND(ISNUMBER(GK84),ISNUMBER(GK$320),GK$320&lt;&gt;0),GK84*GK$320/GK$15,"")</f>
        <v/>
      </c>
      <c r="GL389" s="150" t="str">
        <f aca="false">IF(AND(ISNUMBER(GL84),ISNUMBER(GL$320),GL$320&lt;&gt;0),GL84*GL$320/GL$15,"")</f>
        <v/>
      </c>
      <c r="GM389" s="150" t="str">
        <f aca="false">IF(AND(ISNUMBER(GM84),ISNUMBER(GM$320),GM$320&lt;&gt;0),GM84*GM$320/GM$15,"")</f>
        <v/>
      </c>
      <c r="GN389" s="150" t="str">
        <f aca="false">IF(AND(ISNUMBER(GN84),ISNUMBER(GN$320),GN$320&lt;&gt;0),GN84*GN$320/GN$15,"")</f>
        <v/>
      </c>
      <c r="GO389" s="150" t="str">
        <f aca="false">IF(AND(ISNUMBER(GO84),ISNUMBER(GO$320),GO$320&lt;&gt;0),GO84*GO$320/GO$15,"")</f>
        <v/>
      </c>
      <c r="GP389" s="150" t="str">
        <f aca="false">IF(AND(ISNUMBER(GP84),ISNUMBER(GP$320),GP$320&lt;&gt;0),GP84*GP$320/GP$15,"")</f>
        <v/>
      </c>
      <c r="GQ389" s="150" t="str">
        <f aca="false">IF(AND(ISNUMBER(GQ84),ISNUMBER(GQ$320),GQ$320&lt;&gt;0),GQ84*GQ$320/GQ$15,"")</f>
        <v/>
      </c>
      <c r="GR389" s="150" t="str">
        <f aca="false">IF(AND(ISNUMBER(GR84),ISNUMBER(GR$320),GR$320&lt;&gt;0),GR84*GR$320/GR$15,"")</f>
        <v/>
      </c>
      <c r="GS389" s="150" t="str">
        <f aca="false">IF(AND(ISNUMBER(GS84),ISNUMBER(GS$320),GS$320&lt;&gt;0),GS84*GS$320/GS$15,"")</f>
        <v/>
      </c>
      <c r="GT389" s="150" t="str">
        <f aca="false">IF(AND(ISNUMBER(GT84),ISNUMBER(GT$320),GT$320&lt;&gt;0),GT84*GT$320/GT$15,"")</f>
        <v/>
      </c>
      <c r="GU389" s="150" t="str">
        <f aca="false">IF(AND(ISNUMBER(GU84),ISNUMBER(GU$320),GU$320&lt;&gt;0),GU84*GU$320/GU$15,"")</f>
        <v/>
      </c>
      <c r="GV389" s="150" t="str">
        <f aca="false">IF(AND(ISNUMBER(GV84),ISNUMBER(GV$320),GV$320&lt;&gt;0),GV84*GV$320/GV$15,"")</f>
        <v/>
      </c>
      <c r="GW389" s="150" t="str">
        <f aca="false">IF(AND(ISNUMBER(GW84),ISNUMBER(GW$320),GW$320&lt;&gt;0),GW84*GW$320/GW$15,"")</f>
        <v/>
      </c>
      <c r="GX389" s="150" t="str">
        <f aca="false">IF(AND(ISNUMBER(GX84),ISNUMBER(GX$320),GX$320&lt;&gt;0),GX84*GX$320/GX$15,"")</f>
        <v/>
      </c>
      <c r="GY389" s="150" t="str">
        <f aca="false">IF(AND(ISNUMBER(GY84),ISNUMBER(GY$320),GY$320&lt;&gt;0),GY84*GY$320/GY$15,"")</f>
        <v/>
      </c>
      <c r="GZ389" s="150" t="str">
        <f aca="false">IF(AND(ISNUMBER(GZ84),ISNUMBER(GZ$320),GZ$320&lt;&gt;0),GZ84*GZ$320/GZ$15,"")</f>
        <v/>
      </c>
      <c r="HA389" s="150" t="str">
        <f aca="false">IF(AND(ISNUMBER(HA84),ISNUMBER(HA$320),HA$320&lt;&gt;0),HA84*HA$320/HA$15,"")</f>
        <v/>
      </c>
      <c r="HB389" s="150" t="str">
        <f aca="false">IF(AND(ISNUMBER(HB84),ISNUMBER(HB$320),HB$320&lt;&gt;0),HB84*HB$320/HB$15,"")</f>
        <v/>
      </c>
      <c r="HC389" s="150" t="str">
        <f aca="false">IF(AND(ISNUMBER(HC84),ISNUMBER(HC$320),HC$320&lt;&gt;0),HC84*HC$320/HC$15,"")</f>
        <v/>
      </c>
      <c r="HD389" s="150" t="str">
        <f aca="false">IF(AND(ISNUMBER(HD84),ISNUMBER(HD$320),HD$320&lt;&gt;0),HD84*HD$320/HD$15,"")</f>
        <v/>
      </c>
      <c r="HE389" s="150" t="str">
        <f aca="false">IF(AND(ISNUMBER(HE84),ISNUMBER(HE$320),HE$320&lt;&gt;0),HE84*HE$320/HE$15,"")</f>
        <v/>
      </c>
      <c r="HF389" s="150" t="str">
        <f aca="false">IF(AND(ISNUMBER(HF84),ISNUMBER(HF$320),HF$320&lt;&gt;0),HF84*HF$320/HF$15,"")</f>
        <v/>
      </c>
      <c r="HG389" s="150" t="str">
        <f aca="false">IF(AND(ISNUMBER(HG84),ISNUMBER(HG$320),HG$320&lt;&gt;0),HG84*HG$320/HG$15,"")</f>
        <v/>
      </c>
      <c r="HH389" s="150" t="str">
        <f aca="false">IF(AND(ISNUMBER(HH84),ISNUMBER(HH$320),HH$320&lt;&gt;0),HH84*HH$320/HH$15,"")</f>
        <v/>
      </c>
      <c r="HI389" s="150" t="str">
        <f aca="false">IF(AND(ISNUMBER(HI84),ISNUMBER(HI$320),HI$320&lt;&gt;0),HI84*HI$320/HI$15,"")</f>
        <v/>
      </c>
      <c r="HJ389" s="150" t="str">
        <f aca="false">IF(AND(ISNUMBER(HJ84),ISNUMBER(HJ$320),HJ$320&lt;&gt;0),HJ84*HJ$320/HJ$15,"")</f>
        <v/>
      </c>
      <c r="HK389" s="150" t="str">
        <f aca="false">IF(AND(ISNUMBER(HK84),ISNUMBER(HK$320),HK$320&lt;&gt;0),HK84*HK$320/HK$15,"")</f>
        <v/>
      </c>
      <c r="HL389" s="150" t="str">
        <f aca="false">IF(AND(ISNUMBER(HL84),ISNUMBER(HL$320),HL$320&lt;&gt;0),HL84*HL$320/HL$15,"")</f>
        <v/>
      </c>
      <c r="HM389" s="150" t="str">
        <f aca="false">IF(AND(ISNUMBER(HM84),ISNUMBER(HM$320),HM$320&lt;&gt;0),HM84*HM$320/HM$15,"")</f>
        <v/>
      </c>
      <c r="HN389" s="150" t="str">
        <f aca="false">IF(AND(ISNUMBER(HN84),ISNUMBER(HN$320),HN$320&lt;&gt;0),HN84*HN$320/HN$15,"")</f>
        <v/>
      </c>
      <c r="HO389" s="150" t="str">
        <f aca="false">IF(AND(ISNUMBER(HO84),ISNUMBER(HO$320),HO$320&lt;&gt;0),HO84*HO$320/HO$15,"")</f>
        <v/>
      </c>
      <c r="HP389" s="150" t="str">
        <f aca="false">IF(AND(ISNUMBER(HP84),ISNUMBER(HP$320),HP$320&lt;&gt;0),HP84*HP$320/HP$15,"")</f>
        <v/>
      </c>
      <c r="HQ389" s="150" t="str">
        <f aca="false">IF(AND(ISNUMBER(HQ84),ISNUMBER(HQ$320),HQ$320&lt;&gt;0),HQ84*HQ$320/HQ$15,"")</f>
        <v/>
      </c>
      <c r="HR389" s="150" t="str">
        <f aca="false">IF(AND(ISNUMBER(HR84),ISNUMBER(HR$320),HR$320&lt;&gt;0),HR84*HR$320/HR$15,"")</f>
        <v/>
      </c>
      <c r="HS389" s="150" t="str">
        <f aca="false">IF(AND(ISNUMBER(HS84),ISNUMBER(HS$320),HS$320&lt;&gt;0),HS84*HS$320/HS$15,"")</f>
        <v/>
      </c>
      <c r="HT389" s="150" t="str">
        <f aca="false">IF(AND(ISNUMBER(HT84),ISNUMBER(HT$320),HT$320&lt;&gt;0),HT84*HT$320/HT$15,"")</f>
        <v/>
      </c>
      <c r="HU389" s="150" t="str">
        <f aca="false">IF(AND(ISNUMBER(HU84),ISNUMBER(HU$320),HU$320&lt;&gt;0),HU84*HU$320/HU$15,"")</f>
        <v/>
      </c>
      <c r="HV389" s="150" t="str">
        <f aca="false">IF(AND(ISNUMBER(HV84),ISNUMBER(HV$320),HV$320&lt;&gt;0),HV84*HV$320/HV$15,"")</f>
        <v/>
      </c>
      <c r="HW389" s="150" t="str">
        <f aca="false">IF(AND(ISNUMBER(HW84),ISNUMBER(HW$320),HW$320&lt;&gt;0),HW84*HW$320/HW$15,"")</f>
        <v/>
      </c>
      <c r="HX389" s="150" t="str">
        <f aca="false">IF(AND(ISNUMBER(HX84),ISNUMBER(HX$320),HX$320&lt;&gt;0),HX84*HX$320/HX$15,"")</f>
        <v/>
      </c>
      <c r="HY389" s="150" t="str">
        <f aca="false">IF(AND(ISNUMBER(HY84),ISNUMBER(HY$320),HY$320&lt;&gt;0),HY84*HY$320/HY$15,"")</f>
        <v/>
      </c>
      <c r="HZ389" s="150" t="str">
        <f aca="false">IF(AND(ISNUMBER(HZ84),ISNUMBER(HZ$320),HZ$320&lt;&gt;0),HZ84*HZ$320/HZ$15,"")</f>
        <v/>
      </c>
      <c r="IA389" s="150" t="str">
        <f aca="false">IF(AND(ISNUMBER(IA84),ISNUMBER(IA$320),IA$320&lt;&gt;0),IA84*IA$320/IA$15,"")</f>
        <v/>
      </c>
      <c r="IB389" s="150" t="str">
        <f aca="false">IF(AND(ISNUMBER(IB84),ISNUMBER(IB$320),IB$320&lt;&gt;0),IB84*IB$320/IB$15,"")</f>
        <v/>
      </c>
      <c r="IC389" s="150" t="str">
        <f aca="false">IF(AND(ISNUMBER(IC84),ISNUMBER(IC$320),IC$320&lt;&gt;0),IC84*IC$320/IC$15,"")</f>
        <v/>
      </c>
      <c r="ID389" s="572" t="str">
        <f aca="false">IF(AND(ISNUMBER(ID84),ISNUMBER(ID$320),ID$320&lt;&gt;0),ID84*ID$320/ID$15,"")</f>
        <v/>
      </c>
    </row>
    <row r="390" customFormat="false" ht="12.75" hidden="false" customHeight="false" outlineLevel="0" collapsed="false">
      <c r="I390" s="735"/>
      <c r="J390" s="727"/>
      <c r="K390" s="195"/>
      <c r="L390" s="195"/>
      <c r="M390" s="729"/>
      <c r="P390" s="727"/>
      <c r="S390" s="1"/>
      <c r="T390" s="727"/>
      <c r="U390" s="195"/>
      <c r="V390" s="195"/>
      <c r="W390" s="195"/>
      <c r="X390" s="195"/>
      <c r="Y390" s="195"/>
      <c r="Z390" s="195"/>
      <c r="AA390" s="195"/>
      <c r="AB390" s="195"/>
      <c r="AC390" s="195"/>
      <c r="AD390" s="195"/>
      <c r="AE390" s="195"/>
      <c r="AF390" s="195"/>
      <c r="AG390" s="195"/>
      <c r="AH390" s="195"/>
      <c r="AI390" s="195"/>
      <c r="AJ390" s="195"/>
      <c r="AK390" s="195"/>
      <c r="AL390" s="195"/>
      <c r="AM390" s="195"/>
      <c r="AN390" s="532"/>
      <c r="AO390" s="532"/>
      <c r="AP390" s="240"/>
      <c r="AQ390" s="532"/>
      <c r="AR390" s="240"/>
      <c r="AS390" s="240"/>
      <c r="AT390" s="240"/>
      <c r="AU390" s="730"/>
      <c r="AV390" s="730"/>
      <c r="AW390" s="730"/>
      <c r="AX390" s="730"/>
      <c r="AY390" s="468"/>
      <c r="AZ390" s="468"/>
      <c r="BA390" s="240"/>
      <c r="BB390" s="240"/>
      <c r="BC390" s="240"/>
      <c r="BD390" s="240"/>
      <c r="BE390" s="672"/>
      <c r="BF390" s="672"/>
      <c r="BG390" s="672"/>
      <c r="BH390" s="731"/>
      <c r="BI390" s="672"/>
      <c r="BJ390" s="240"/>
      <c r="BK390" s="736"/>
      <c r="BL390" s="737"/>
      <c r="BM390" s="240"/>
      <c r="BN390" s="240"/>
      <c r="BO390" s="240"/>
      <c r="BP390" s="240"/>
      <c r="BQ390" s="240"/>
      <c r="BR390" s="240"/>
      <c r="BS390" s="240"/>
      <c r="BT390" s="240"/>
      <c r="BU390" s="240"/>
      <c r="BV390" s="240"/>
      <c r="BW390" s="240"/>
      <c r="BX390" s="240"/>
      <c r="BY390" s="240"/>
      <c r="BZ390" s="240"/>
      <c r="CA390" s="240"/>
      <c r="CB390" s="672"/>
      <c r="CC390" s="672"/>
      <c r="CD390" s="672"/>
      <c r="CE390" s="672"/>
      <c r="CF390" s="672"/>
      <c r="CG390" s="672"/>
      <c r="CH390" s="240"/>
      <c r="CI390" s="240"/>
      <c r="CJ390" s="240"/>
      <c r="CK390" s="240"/>
      <c r="CL390" s="240"/>
      <c r="CM390" s="240"/>
      <c r="CN390" s="240"/>
      <c r="CO390" s="240"/>
      <c r="CP390" s="240"/>
      <c r="CQ390" s="240"/>
      <c r="CR390" s="240"/>
      <c r="CS390" s="240"/>
      <c r="CT390" s="240"/>
      <c r="CU390" s="240"/>
      <c r="CV390" s="240"/>
      <c r="CW390" s="240"/>
      <c r="CX390" s="240"/>
      <c r="CY390" s="240"/>
      <c r="CZ390" s="240"/>
      <c r="DA390" s="240"/>
      <c r="DB390" s="240"/>
      <c r="DC390" s="240"/>
      <c r="DD390" s="240"/>
      <c r="DE390" s="240"/>
      <c r="DF390" s="240"/>
      <c r="DG390" s="733"/>
      <c r="DH390" s="478"/>
      <c r="DI390" s="195"/>
      <c r="DJ390" s="3"/>
      <c r="DK390" s="478"/>
      <c r="DL390" s="4"/>
      <c r="DM390" s="4"/>
      <c r="DN390" s="4"/>
      <c r="DO390" s="4"/>
      <c r="DP390" s="4"/>
      <c r="DQ390" s="4"/>
      <c r="DS390" s="195"/>
      <c r="DT390" s="195"/>
      <c r="DU390" s="195"/>
      <c r="DV390" s="195"/>
      <c r="DW390" s="195"/>
      <c r="DX390" s="195"/>
      <c r="DY390" s="195"/>
      <c r="DZ390" s="195"/>
      <c r="EA390" s="195"/>
      <c r="EB390" s="195"/>
      <c r="EC390" s="195"/>
      <c r="ED390" s="195"/>
      <c r="EE390" s="195"/>
      <c r="EF390" s="195"/>
      <c r="EG390" s="195"/>
      <c r="EL390" s="1"/>
      <c r="EM390" s="195"/>
      <c r="EN390" s="240"/>
      <c r="EO390" s="240"/>
      <c r="EP390" s="195"/>
      <c r="EQ390" s="240"/>
      <c r="ER390" s="195"/>
      <c r="ES390" s="195"/>
      <c r="ET390" s="195"/>
      <c r="EU390" s="672"/>
      <c r="FJ390" s="571" t="n">
        <v>66</v>
      </c>
      <c r="FK390" s="150" t="str">
        <f aca="false">IF(AND(ISNUMBER(FK85),ISNUMBER(FK$320),FK$320&lt;&gt;0),FK85*FK$320/FK$15,"")</f>
        <v/>
      </c>
      <c r="FL390" s="150" t="str">
        <f aca="false">IF(AND(ISNUMBER(FL85),ISNUMBER(FL$320),FL$320&lt;&gt;0),FL85*FL$320/FL$15,"")</f>
        <v/>
      </c>
      <c r="FM390" s="150" t="n">
        <f aca="false">IF(AND(ISNUMBER(FM85),ISNUMBER(FM$320),FM$320&lt;&gt;0),FM85*FM$320/FM$15,"")</f>
        <v>0.00254696710435807</v>
      </c>
      <c r="FN390" s="150" t="n">
        <f aca="false">IF(AND(ISNUMBER(FN85),ISNUMBER(FN$320),FN$320&lt;&gt;0),FN85*FN$320/FN$15,"")</f>
        <v>0.00214373430877822</v>
      </c>
      <c r="FO390" s="150" t="n">
        <f aca="false">IF(AND(ISNUMBER(FO85),ISNUMBER(FO$320),FO$320&lt;&gt;0),FO85*FO$320/FO$15,"")</f>
        <v>0.00222983571950274</v>
      </c>
      <c r="FP390" s="150" t="n">
        <f aca="false">IF(AND(ISNUMBER(FP85),ISNUMBER(FP$320),FP$320&lt;&gt;0),FP85*FP$320/FP$15,"")</f>
        <v>0.00123546592564211</v>
      </c>
      <c r="FQ390" s="150" t="str">
        <f aca="false">IF(AND(ISNUMBER(FQ85),ISNUMBER(FQ$320),FQ$320&lt;&gt;0),FQ85*FQ$320/FQ$15,"")</f>
        <v/>
      </c>
      <c r="FR390" s="150" t="str">
        <f aca="false">IF(AND(ISNUMBER(FR85),ISNUMBER(FR$320),FR$320&lt;&gt;0),FR85*FR$320/FR$15,"")</f>
        <v/>
      </c>
      <c r="FS390" s="150" t="str">
        <f aca="false">IF(AND(ISNUMBER(FS85),ISNUMBER(FS$320),FS$320&lt;&gt;0),FS85*FS$320/FS$15,"")</f>
        <v/>
      </c>
      <c r="FT390" s="150" t="str">
        <f aca="false">IF(AND(ISNUMBER(FT85),ISNUMBER(FT$320),FT$320&lt;&gt;0),FT85*FT$320/FT$15,"")</f>
        <v/>
      </c>
      <c r="FU390" s="150" t="str">
        <f aca="false">IF(AND(ISNUMBER(FU85),ISNUMBER(FU$320),FU$320&lt;&gt;0),FU85*FU$320/FU$15,"")</f>
        <v/>
      </c>
      <c r="FV390" s="150" t="str">
        <f aca="false">IF(AND(ISNUMBER(FV85),ISNUMBER(FV$320),FV$320&lt;&gt;0),FV85*FV$320/FV$15,"")</f>
        <v/>
      </c>
      <c r="FW390" s="150" t="str">
        <f aca="false">IF(AND(ISNUMBER(FW85),ISNUMBER(FW$320),FW$320&lt;&gt;0),FW85*FW$320/FW$15,"")</f>
        <v/>
      </c>
      <c r="FX390" s="150" t="str">
        <f aca="false">IF(AND(ISNUMBER(FX85),ISNUMBER(FX$320),FX$320&lt;&gt;0),FX85*FX$320/FX$15,"")</f>
        <v/>
      </c>
      <c r="FY390" s="150" t="str">
        <f aca="false">IF(AND(ISNUMBER(FY85),ISNUMBER(FY$320),FY$320&lt;&gt;0),FY85*FY$320/FY$15,"")</f>
        <v/>
      </c>
      <c r="FZ390" s="150" t="str">
        <f aca="false">IF(AND(ISNUMBER(FZ85),ISNUMBER(FZ$320),FZ$320&lt;&gt;0),FZ85*FZ$320/FZ$15,"")</f>
        <v/>
      </c>
      <c r="GA390" s="150" t="str">
        <f aca="false">IF(AND(ISNUMBER(GA85),ISNUMBER(GA$320),GA$320&lt;&gt;0),GA85*GA$320/GA$15,"")</f>
        <v/>
      </c>
      <c r="GB390" s="150" t="str">
        <f aca="false">IF(AND(ISNUMBER(GB85),ISNUMBER(GB$320),GB$320&lt;&gt;0),GB85*GB$320/GB$15,"")</f>
        <v/>
      </c>
      <c r="GC390" s="150" t="str">
        <f aca="false">IF(AND(ISNUMBER(GC85),ISNUMBER(GC$320),GC$320&lt;&gt;0),GC85*GC$320/GC$15,"")</f>
        <v/>
      </c>
      <c r="GD390" s="150" t="str">
        <f aca="false">IF(AND(ISNUMBER(GD85),ISNUMBER(GD$320),GD$320&lt;&gt;0),GD85*GD$320/GD$15,"")</f>
        <v/>
      </c>
      <c r="GE390" s="150" t="str">
        <f aca="false">IF(AND(ISNUMBER(GE85),ISNUMBER(GE$320),GE$320&lt;&gt;0),GE85*GE$320/GE$15,"")</f>
        <v/>
      </c>
      <c r="GF390" s="150" t="str">
        <f aca="false">IF(AND(ISNUMBER(GF85),ISNUMBER(GF$320),GF$320&lt;&gt;0),GF85*GF$320/GF$15,"")</f>
        <v/>
      </c>
      <c r="GG390" s="150" t="str">
        <f aca="false">IF(AND(ISNUMBER(GG85),ISNUMBER(GG$320),GG$320&lt;&gt;0),GG85*GG$320/GG$15,"")</f>
        <v/>
      </c>
      <c r="GH390" s="150" t="str">
        <f aca="false">IF(AND(ISNUMBER(GH85),ISNUMBER(GH$320),GH$320&lt;&gt;0),GH85*GH$320/GH$15,"")</f>
        <v/>
      </c>
      <c r="GI390" s="150" t="str">
        <f aca="false">IF(AND(ISNUMBER(GI85),ISNUMBER(GI$320),GI$320&lt;&gt;0),GI85*GI$320/GI$15,"")</f>
        <v/>
      </c>
      <c r="GJ390" s="150" t="str">
        <f aca="false">IF(AND(ISNUMBER(GJ85),ISNUMBER(GJ$320),GJ$320&lt;&gt;0),GJ85*GJ$320/GJ$15,"")</f>
        <v/>
      </c>
      <c r="GK390" s="150" t="str">
        <f aca="false">IF(AND(ISNUMBER(GK85),ISNUMBER(GK$320),GK$320&lt;&gt;0),GK85*GK$320/GK$15,"")</f>
        <v/>
      </c>
      <c r="GL390" s="150" t="str">
        <f aca="false">IF(AND(ISNUMBER(GL85),ISNUMBER(GL$320),GL$320&lt;&gt;0),GL85*GL$320/GL$15,"")</f>
        <v/>
      </c>
      <c r="GM390" s="150" t="str">
        <f aca="false">IF(AND(ISNUMBER(GM85),ISNUMBER(GM$320),GM$320&lt;&gt;0),GM85*GM$320/GM$15,"")</f>
        <v/>
      </c>
      <c r="GN390" s="150" t="str">
        <f aca="false">IF(AND(ISNUMBER(GN85),ISNUMBER(GN$320),GN$320&lt;&gt;0),GN85*GN$320/GN$15,"")</f>
        <v/>
      </c>
      <c r="GO390" s="150" t="str">
        <f aca="false">IF(AND(ISNUMBER(GO85),ISNUMBER(GO$320),GO$320&lt;&gt;0),GO85*GO$320/GO$15,"")</f>
        <v/>
      </c>
      <c r="GP390" s="150" t="str">
        <f aca="false">IF(AND(ISNUMBER(GP85),ISNUMBER(GP$320),GP$320&lt;&gt;0),GP85*GP$320/GP$15,"")</f>
        <v/>
      </c>
      <c r="GQ390" s="150" t="str">
        <f aca="false">IF(AND(ISNUMBER(GQ85),ISNUMBER(GQ$320),GQ$320&lt;&gt;0),GQ85*GQ$320/GQ$15,"")</f>
        <v/>
      </c>
      <c r="GR390" s="150" t="str">
        <f aca="false">IF(AND(ISNUMBER(GR85),ISNUMBER(GR$320),GR$320&lt;&gt;0),GR85*GR$320/GR$15,"")</f>
        <v/>
      </c>
      <c r="GS390" s="150" t="str">
        <f aca="false">IF(AND(ISNUMBER(GS85),ISNUMBER(GS$320),GS$320&lt;&gt;0),GS85*GS$320/GS$15,"")</f>
        <v/>
      </c>
      <c r="GT390" s="150" t="str">
        <f aca="false">IF(AND(ISNUMBER(GT85),ISNUMBER(GT$320),GT$320&lt;&gt;0),GT85*GT$320/GT$15,"")</f>
        <v/>
      </c>
      <c r="GU390" s="150" t="str">
        <f aca="false">IF(AND(ISNUMBER(GU85),ISNUMBER(GU$320),GU$320&lt;&gt;0),GU85*GU$320/GU$15,"")</f>
        <v/>
      </c>
      <c r="GV390" s="150" t="str">
        <f aca="false">IF(AND(ISNUMBER(GV85),ISNUMBER(GV$320),GV$320&lt;&gt;0),GV85*GV$320/GV$15,"")</f>
        <v/>
      </c>
      <c r="GW390" s="150" t="str">
        <f aca="false">IF(AND(ISNUMBER(GW85),ISNUMBER(GW$320),GW$320&lt;&gt;0),GW85*GW$320/GW$15,"")</f>
        <v/>
      </c>
      <c r="GX390" s="150" t="str">
        <f aca="false">IF(AND(ISNUMBER(GX85),ISNUMBER(GX$320),GX$320&lt;&gt;0),GX85*GX$320/GX$15,"")</f>
        <v/>
      </c>
      <c r="GY390" s="150" t="str">
        <f aca="false">IF(AND(ISNUMBER(GY85),ISNUMBER(GY$320),GY$320&lt;&gt;0),GY85*GY$320/GY$15,"")</f>
        <v/>
      </c>
      <c r="GZ390" s="150" t="str">
        <f aca="false">IF(AND(ISNUMBER(GZ85),ISNUMBER(GZ$320),GZ$320&lt;&gt;0),GZ85*GZ$320/GZ$15,"")</f>
        <v/>
      </c>
      <c r="HA390" s="150" t="str">
        <f aca="false">IF(AND(ISNUMBER(HA85),ISNUMBER(HA$320),HA$320&lt;&gt;0),HA85*HA$320/HA$15,"")</f>
        <v/>
      </c>
      <c r="HB390" s="150" t="str">
        <f aca="false">IF(AND(ISNUMBER(HB85),ISNUMBER(HB$320),HB$320&lt;&gt;0),HB85*HB$320/HB$15,"")</f>
        <v/>
      </c>
      <c r="HC390" s="150" t="str">
        <f aca="false">IF(AND(ISNUMBER(HC85),ISNUMBER(HC$320),HC$320&lt;&gt;0),HC85*HC$320/HC$15,"")</f>
        <v/>
      </c>
      <c r="HD390" s="150" t="str">
        <f aca="false">IF(AND(ISNUMBER(HD85),ISNUMBER(HD$320),HD$320&lt;&gt;0),HD85*HD$320/HD$15,"")</f>
        <v/>
      </c>
      <c r="HE390" s="150" t="str">
        <f aca="false">IF(AND(ISNUMBER(HE85),ISNUMBER(HE$320),HE$320&lt;&gt;0),HE85*HE$320/HE$15,"")</f>
        <v/>
      </c>
      <c r="HF390" s="150" t="str">
        <f aca="false">IF(AND(ISNUMBER(HF85),ISNUMBER(HF$320),HF$320&lt;&gt;0),HF85*HF$320/HF$15,"")</f>
        <v/>
      </c>
      <c r="HG390" s="150" t="str">
        <f aca="false">IF(AND(ISNUMBER(HG85),ISNUMBER(HG$320),HG$320&lt;&gt;0),HG85*HG$320/HG$15,"")</f>
        <v/>
      </c>
      <c r="HH390" s="150" t="str">
        <f aca="false">IF(AND(ISNUMBER(HH85),ISNUMBER(HH$320),HH$320&lt;&gt;0),HH85*HH$320/HH$15,"")</f>
        <v/>
      </c>
      <c r="HI390" s="150" t="str">
        <f aca="false">IF(AND(ISNUMBER(HI85),ISNUMBER(HI$320),HI$320&lt;&gt;0),HI85*HI$320/HI$15,"")</f>
        <v/>
      </c>
      <c r="HJ390" s="150" t="str">
        <f aca="false">IF(AND(ISNUMBER(HJ85),ISNUMBER(HJ$320),HJ$320&lt;&gt;0),HJ85*HJ$320/HJ$15,"")</f>
        <v/>
      </c>
      <c r="HK390" s="150" t="str">
        <f aca="false">IF(AND(ISNUMBER(HK85),ISNUMBER(HK$320),HK$320&lt;&gt;0),HK85*HK$320/HK$15,"")</f>
        <v/>
      </c>
      <c r="HL390" s="150" t="str">
        <f aca="false">IF(AND(ISNUMBER(HL85),ISNUMBER(HL$320),HL$320&lt;&gt;0),HL85*HL$320/HL$15,"")</f>
        <v/>
      </c>
      <c r="HM390" s="150" t="str">
        <f aca="false">IF(AND(ISNUMBER(HM85),ISNUMBER(HM$320),HM$320&lt;&gt;0),HM85*HM$320/HM$15,"")</f>
        <v/>
      </c>
      <c r="HN390" s="150" t="str">
        <f aca="false">IF(AND(ISNUMBER(HN85),ISNUMBER(HN$320),HN$320&lt;&gt;0),HN85*HN$320/HN$15,"")</f>
        <v/>
      </c>
      <c r="HO390" s="150" t="str">
        <f aca="false">IF(AND(ISNUMBER(HO85),ISNUMBER(HO$320),HO$320&lt;&gt;0),HO85*HO$320/HO$15,"")</f>
        <v/>
      </c>
      <c r="HP390" s="150" t="str">
        <f aca="false">IF(AND(ISNUMBER(HP85),ISNUMBER(HP$320),HP$320&lt;&gt;0),HP85*HP$320/HP$15,"")</f>
        <v/>
      </c>
      <c r="HQ390" s="150" t="str">
        <f aca="false">IF(AND(ISNUMBER(HQ85),ISNUMBER(HQ$320),HQ$320&lt;&gt;0),HQ85*HQ$320/HQ$15,"")</f>
        <v/>
      </c>
      <c r="HR390" s="150" t="str">
        <f aca="false">IF(AND(ISNUMBER(HR85),ISNUMBER(HR$320),HR$320&lt;&gt;0),HR85*HR$320/HR$15,"")</f>
        <v/>
      </c>
      <c r="HS390" s="150" t="str">
        <f aca="false">IF(AND(ISNUMBER(HS85),ISNUMBER(HS$320),HS$320&lt;&gt;0),HS85*HS$320/HS$15,"")</f>
        <v/>
      </c>
      <c r="HT390" s="150" t="str">
        <f aca="false">IF(AND(ISNUMBER(HT85),ISNUMBER(HT$320),HT$320&lt;&gt;0),HT85*HT$320/HT$15,"")</f>
        <v/>
      </c>
      <c r="HU390" s="150" t="str">
        <f aca="false">IF(AND(ISNUMBER(HU85),ISNUMBER(HU$320),HU$320&lt;&gt;0),HU85*HU$320/HU$15,"")</f>
        <v/>
      </c>
      <c r="HV390" s="150" t="str">
        <f aca="false">IF(AND(ISNUMBER(HV85),ISNUMBER(HV$320),HV$320&lt;&gt;0),HV85*HV$320/HV$15,"")</f>
        <v/>
      </c>
      <c r="HW390" s="150" t="str">
        <f aca="false">IF(AND(ISNUMBER(HW85),ISNUMBER(HW$320),HW$320&lt;&gt;0),HW85*HW$320/HW$15,"")</f>
        <v/>
      </c>
      <c r="HX390" s="150" t="str">
        <f aca="false">IF(AND(ISNUMBER(HX85),ISNUMBER(HX$320),HX$320&lt;&gt;0),HX85*HX$320/HX$15,"")</f>
        <v/>
      </c>
      <c r="HY390" s="150" t="str">
        <f aca="false">IF(AND(ISNUMBER(HY85),ISNUMBER(HY$320),HY$320&lt;&gt;0),HY85*HY$320/HY$15,"")</f>
        <v/>
      </c>
      <c r="HZ390" s="150" t="str">
        <f aca="false">IF(AND(ISNUMBER(HZ85),ISNUMBER(HZ$320),HZ$320&lt;&gt;0),HZ85*HZ$320/HZ$15,"")</f>
        <v/>
      </c>
      <c r="IA390" s="150" t="str">
        <f aca="false">IF(AND(ISNUMBER(IA85),ISNUMBER(IA$320),IA$320&lt;&gt;0),IA85*IA$320/IA$15,"")</f>
        <v/>
      </c>
      <c r="IB390" s="150" t="str">
        <f aca="false">IF(AND(ISNUMBER(IB85),ISNUMBER(IB$320),IB$320&lt;&gt;0),IB85*IB$320/IB$15,"")</f>
        <v/>
      </c>
      <c r="IC390" s="150" t="str">
        <f aca="false">IF(AND(ISNUMBER(IC85),ISNUMBER(IC$320),IC$320&lt;&gt;0),IC85*IC$320/IC$15,"")</f>
        <v/>
      </c>
      <c r="ID390" s="572" t="str">
        <f aca="false">IF(AND(ISNUMBER(ID85),ISNUMBER(ID$320),ID$320&lt;&gt;0),ID85*ID$320/ID$15,"")</f>
        <v/>
      </c>
    </row>
    <row r="391" customFormat="false" ht="12.75" hidden="false" customHeight="false" outlineLevel="0" collapsed="false">
      <c r="I391" s="735"/>
      <c r="J391" s="727"/>
      <c r="K391" s="195"/>
      <c r="L391" s="195"/>
      <c r="M391" s="729"/>
      <c r="P391" s="727"/>
      <c r="S391" s="1"/>
      <c r="T391" s="727"/>
      <c r="U391" s="195"/>
      <c r="V391" s="195"/>
      <c r="W391" s="195"/>
      <c r="X391" s="195"/>
      <c r="Y391" s="195"/>
      <c r="Z391" s="195"/>
      <c r="AA391" s="195"/>
      <c r="AB391" s="195"/>
      <c r="AC391" s="195"/>
      <c r="AD391" s="195"/>
      <c r="AE391" s="195"/>
      <c r="AF391" s="195"/>
      <c r="AG391" s="195"/>
      <c r="AH391" s="195"/>
      <c r="AI391" s="195"/>
      <c r="AJ391" s="195"/>
      <c r="AK391" s="195"/>
      <c r="AL391" s="195"/>
      <c r="AM391" s="195"/>
      <c r="AN391" s="532"/>
      <c r="AO391" s="532"/>
      <c r="AP391" s="240"/>
      <c r="AQ391" s="532"/>
      <c r="AR391" s="240"/>
      <c r="AS391" s="240"/>
      <c r="AT391" s="240"/>
      <c r="AU391" s="730"/>
      <c r="AV391" s="730"/>
      <c r="AW391" s="730"/>
      <c r="AX391" s="730"/>
      <c r="AY391" s="468"/>
      <c r="AZ391" s="468"/>
      <c r="BA391" s="240"/>
      <c r="BB391" s="240"/>
      <c r="BC391" s="240"/>
      <c r="BD391" s="240"/>
      <c r="BE391" s="672"/>
      <c r="BF391" s="672"/>
      <c r="BG391" s="672"/>
      <c r="BH391" s="731"/>
      <c r="BI391" s="672"/>
      <c r="BJ391" s="240"/>
      <c r="BK391" s="736"/>
      <c r="BL391" s="737"/>
      <c r="BM391" s="240"/>
      <c r="BN391" s="240"/>
      <c r="BO391" s="240"/>
      <c r="BP391" s="240"/>
      <c r="BQ391" s="240"/>
      <c r="BR391" s="240"/>
      <c r="BS391" s="240"/>
      <c r="BT391" s="240"/>
      <c r="BU391" s="240"/>
      <c r="BV391" s="240"/>
      <c r="BW391" s="240"/>
      <c r="BX391" s="240"/>
      <c r="BY391" s="240"/>
      <c r="BZ391" s="240"/>
      <c r="CA391" s="240"/>
      <c r="CB391" s="672"/>
      <c r="CC391" s="672"/>
      <c r="CD391" s="672"/>
      <c r="CE391" s="672"/>
      <c r="CF391" s="672"/>
      <c r="CG391" s="672"/>
      <c r="CH391" s="240"/>
      <c r="CI391" s="240"/>
      <c r="CJ391" s="240"/>
      <c r="CK391" s="240"/>
      <c r="CL391" s="240"/>
      <c r="CM391" s="240"/>
      <c r="CN391" s="240"/>
      <c r="CO391" s="240"/>
      <c r="CP391" s="240"/>
      <c r="CQ391" s="240"/>
      <c r="CR391" s="240"/>
      <c r="CS391" s="240"/>
      <c r="CT391" s="240"/>
      <c r="CU391" s="240"/>
      <c r="CV391" s="240"/>
      <c r="CW391" s="240"/>
      <c r="CX391" s="240"/>
      <c r="CY391" s="240"/>
      <c r="CZ391" s="240"/>
      <c r="DA391" s="240"/>
      <c r="DB391" s="240"/>
      <c r="DC391" s="240"/>
      <c r="DD391" s="240"/>
      <c r="DE391" s="240"/>
      <c r="DF391" s="240"/>
      <c r="DG391" s="733"/>
      <c r="DH391" s="478"/>
      <c r="DI391" s="195"/>
      <c r="DJ391" s="3"/>
      <c r="DK391" s="478"/>
      <c r="DL391" s="4"/>
      <c r="DM391" s="4"/>
      <c r="DN391" s="4"/>
      <c r="DO391" s="4"/>
      <c r="DP391" s="4"/>
      <c r="DQ391" s="4"/>
      <c r="DS391" s="195"/>
      <c r="DT391" s="195"/>
      <c r="DU391" s="195"/>
      <c r="DV391" s="195"/>
      <c r="DW391" s="195"/>
      <c r="DX391" s="195"/>
      <c r="DY391" s="195"/>
      <c r="DZ391" s="195"/>
      <c r="EA391" s="195"/>
      <c r="EB391" s="195"/>
      <c r="EC391" s="195"/>
      <c r="ED391" s="195"/>
      <c r="EE391" s="195"/>
      <c r="EF391" s="195"/>
      <c r="EG391" s="195"/>
      <c r="EL391" s="1"/>
      <c r="EM391" s="195"/>
      <c r="EN391" s="240"/>
      <c r="EO391" s="240"/>
      <c r="EP391" s="195"/>
      <c r="EQ391" s="240"/>
      <c r="ER391" s="195"/>
      <c r="ES391" s="195"/>
      <c r="ET391" s="195"/>
      <c r="EU391" s="672"/>
      <c r="FJ391" s="571" t="n">
        <v>67</v>
      </c>
      <c r="FK391" s="150" t="str">
        <f aca="false">IF(AND(ISNUMBER(FK86),ISNUMBER(FK$320),FK$320&lt;&gt;0),FK86*FK$320/FK$15,"")</f>
        <v/>
      </c>
      <c r="FL391" s="150" t="str">
        <f aca="false">IF(AND(ISNUMBER(FL86),ISNUMBER(FL$320),FL$320&lt;&gt;0),FL86*FL$320/FL$15,"")</f>
        <v/>
      </c>
      <c r="FM391" s="150" t="n">
        <f aca="false">IF(AND(ISNUMBER(FM86),ISNUMBER(FM$320),FM$320&lt;&gt;0),FM86*FM$320/FM$15,"")</f>
        <v>0.00254693749657869</v>
      </c>
      <c r="FN391" s="150" t="n">
        <f aca="false">IF(AND(ISNUMBER(FN86),ISNUMBER(FN$320),FN$320&lt;&gt;0),FN86*FN$320/FN$15,"")</f>
        <v>0.00214370516221558</v>
      </c>
      <c r="FO391" s="150" t="n">
        <f aca="false">IF(AND(ISNUMBER(FO86),ISNUMBER(FO$320),FO$320&lt;&gt;0),FO86*FO$320/FO$15,"")</f>
        <v>0.00222980026077583</v>
      </c>
      <c r="FP391" s="150" t="n">
        <f aca="false">IF(AND(ISNUMBER(FP86),ISNUMBER(FP$320),FP$320&lt;&gt;0),FP86*FP$320/FP$15,"")</f>
        <v>0.0012354429474991</v>
      </c>
      <c r="FQ391" s="150" t="str">
        <f aca="false">IF(AND(ISNUMBER(FQ86),ISNUMBER(FQ$320),FQ$320&lt;&gt;0),FQ86*FQ$320/FQ$15,"")</f>
        <v/>
      </c>
      <c r="FR391" s="150" t="str">
        <f aca="false">IF(AND(ISNUMBER(FR86),ISNUMBER(FR$320),FR$320&lt;&gt;0),FR86*FR$320/FR$15,"")</f>
        <v/>
      </c>
      <c r="FS391" s="150" t="str">
        <f aca="false">IF(AND(ISNUMBER(FS86),ISNUMBER(FS$320),FS$320&lt;&gt;0),FS86*FS$320/FS$15,"")</f>
        <v/>
      </c>
      <c r="FT391" s="150" t="str">
        <f aca="false">IF(AND(ISNUMBER(FT86),ISNUMBER(FT$320),FT$320&lt;&gt;0),FT86*FT$320/FT$15,"")</f>
        <v/>
      </c>
      <c r="FU391" s="150" t="str">
        <f aca="false">IF(AND(ISNUMBER(FU86),ISNUMBER(FU$320),FU$320&lt;&gt;0),FU86*FU$320/FU$15,"")</f>
        <v/>
      </c>
      <c r="FV391" s="150" t="str">
        <f aca="false">IF(AND(ISNUMBER(FV86),ISNUMBER(FV$320),FV$320&lt;&gt;0),FV86*FV$320/FV$15,"")</f>
        <v/>
      </c>
      <c r="FW391" s="150" t="str">
        <f aca="false">IF(AND(ISNUMBER(FW86),ISNUMBER(FW$320),FW$320&lt;&gt;0),FW86*FW$320/FW$15,"")</f>
        <v/>
      </c>
      <c r="FX391" s="150" t="str">
        <f aca="false">IF(AND(ISNUMBER(FX86),ISNUMBER(FX$320),FX$320&lt;&gt;0),FX86*FX$320/FX$15,"")</f>
        <v/>
      </c>
      <c r="FY391" s="150" t="str">
        <f aca="false">IF(AND(ISNUMBER(FY86),ISNUMBER(FY$320),FY$320&lt;&gt;0),FY86*FY$320/FY$15,"")</f>
        <v/>
      </c>
      <c r="FZ391" s="150" t="str">
        <f aca="false">IF(AND(ISNUMBER(FZ86),ISNUMBER(FZ$320),FZ$320&lt;&gt;0),FZ86*FZ$320/FZ$15,"")</f>
        <v/>
      </c>
      <c r="GA391" s="150" t="str">
        <f aca="false">IF(AND(ISNUMBER(GA86),ISNUMBER(GA$320),GA$320&lt;&gt;0),GA86*GA$320/GA$15,"")</f>
        <v/>
      </c>
      <c r="GB391" s="150" t="str">
        <f aca="false">IF(AND(ISNUMBER(GB86),ISNUMBER(GB$320),GB$320&lt;&gt;0),GB86*GB$320/GB$15,"")</f>
        <v/>
      </c>
      <c r="GC391" s="150" t="str">
        <f aca="false">IF(AND(ISNUMBER(GC86),ISNUMBER(GC$320),GC$320&lt;&gt;0),GC86*GC$320/GC$15,"")</f>
        <v/>
      </c>
      <c r="GD391" s="150" t="str">
        <f aca="false">IF(AND(ISNUMBER(GD86),ISNUMBER(GD$320),GD$320&lt;&gt;0),GD86*GD$320/GD$15,"")</f>
        <v/>
      </c>
      <c r="GE391" s="150" t="str">
        <f aca="false">IF(AND(ISNUMBER(GE86),ISNUMBER(GE$320),GE$320&lt;&gt;0),GE86*GE$320/GE$15,"")</f>
        <v/>
      </c>
      <c r="GF391" s="150" t="str">
        <f aca="false">IF(AND(ISNUMBER(GF86),ISNUMBER(GF$320),GF$320&lt;&gt;0),GF86*GF$320/GF$15,"")</f>
        <v/>
      </c>
      <c r="GG391" s="150" t="str">
        <f aca="false">IF(AND(ISNUMBER(GG86),ISNUMBER(GG$320),GG$320&lt;&gt;0),GG86*GG$320/GG$15,"")</f>
        <v/>
      </c>
      <c r="GH391" s="150" t="str">
        <f aca="false">IF(AND(ISNUMBER(GH86),ISNUMBER(GH$320),GH$320&lt;&gt;0),GH86*GH$320/GH$15,"")</f>
        <v/>
      </c>
      <c r="GI391" s="150" t="str">
        <f aca="false">IF(AND(ISNUMBER(GI86),ISNUMBER(GI$320),GI$320&lt;&gt;0),GI86*GI$320/GI$15,"")</f>
        <v/>
      </c>
      <c r="GJ391" s="150" t="str">
        <f aca="false">IF(AND(ISNUMBER(GJ86),ISNUMBER(GJ$320),GJ$320&lt;&gt;0),GJ86*GJ$320/GJ$15,"")</f>
        <v/>
      </c>
      <c r="GK391" s="150" t="str">
        <f aca="false">IF(AND(ISNUMBER(GK86),ISNUMBER(GK$320),GK$320&lt;&gt;0),GK86*GK$320/GK$15,"")</f>
        <v/>
      </c>
      <c r="GL391" s="150" t="str">
        <f aca="false">IF(AND(ISNUMBER(GL86),ISNUMBER(GL$320),GL$320&lt;&gt;0),GL86*GL$320/GL$15,"")</f>
        <v/>
      </c>
      <c r="GM391" s="150" t="str">
        <f aca="false">IF(AND(ISNUMBER(GM86),ISNUMBER(GM$320),GM$320&lt;&gt;0),GM86*GM$320/GM$15,"")</f>
        <v/>
      </c>
      <c r="GN391" s="150" t="str">
        <f aca="false">IF(AND(ISNUMBER(GN86),ISNUMBER(GN$320),GN$320&lt;&gt;0),GN86*GN$320/GN$15,"")</f>
        <v/>
      </c>
      <c r="GO391" s="150" t="str">
        <f aca="false">IF(AND(ISNUMBER(GO86),ISNUMBER(GO$320),GO$320&lt;&gt;0),GO86*GO$320/GO$15,"")</f>
        <v/>
      </c>
      <c r="GP391" s="150" t="str">
        <f aca="false">IF(AND(ISNUMBER(GP86),ISNUMBER(GP$320),GP$320&lt;&gt;0),GP86*GP$320/GP$15,"")</f>
        <v/>
      </c>
      <c r="GQ391" s="150" t="str">
        <f aca="false">IF(AND(ISNUMBER(GQ86),ISNUMBER(GQ$320),GQ$320&lt;&gt;0),GQ86*GQ$320/GQ$15,"")</f>
        <v/>
      </c>
      <c r="GR391" s="150" t="str">
        <f aca="false">IF(AND(ISNUMBER(GR86),ISNUMBER(GR$320),GR$320&lt;&gt;0),GR86*GR$320/GR$15,"")</f>
        <v/>
      </c>
      <c r="GS391" s="150" t="str">
        <f aca="false">IF(AND(ISNUMBER(GS86),ISNUMBER(GS$320),GS$320&lt;&gt;0),GS86*GS$320/GS$15,"")</f>
        <v/>
      </c>
      <c r="GT391" s="150" t="str">
        <f aca="false">IF(AND(ISNUMBER(GT86),ISNUMBER(GT$320),GT$320&lt;&gt;0),GT86*GT$320/GT$15,"")</f>
        <v/>
      </c>
      <c r="GU391" s="150" t="str">
        <f aca="false">IF(AND(ISNUMBER(GU86),ISNUMBER(GU$320),GU$320&lt;&gt;0),GU86*GU$320/GU$15,"")</f>
        <v/>
      </c>
      <c r="GV391" s="150" t="str">
        <f aca="false">IF(AND(ISNUMBER(GV86),ISNUMBER(GV$320),GV$320&lt;&gt;0),GV86*GV$320/GV$15,"")</f>
        <v/>
      </c>
      <c r="GW391" s="150" t="str">
        <f aca="false">IF(AND(ISNUMBER(GW86),ISNUMBER(GW$320),GW$320&lt;&gt;0),GW86*GW$320/GW$15,"")</f>
        <v/>
      </c>
      <c r="GX391" s="150" t="str">
        <f aca="false">IF(AND(ISNUMBER(GX86),ISNUMBER(GX$320),GX$320&lt;&gt;0),GX86*GX$320/GX$15,"")</f>
        <v/>
      </c>
      <c r="GY391" s="150" t="str">
        <f aca="false">IF(AND(ISNUMBER(GY86),ISNUMBER(GY$320),GY$320&lt;&gt;0),GY86*GY$320/GY$15,"")</f>
        <v/>
      </c>
      <c r="GZ391" s="150" t="str">
        <f aca="false">IF(AND(ISNUMBER(GZ86),ISNUMBER(GZ$320),GZ$320&lt;&gt;0),GZ86*GZ$320/GZ$15,"")</f>
        <v/>
      </c>
      <c r="HA391" s="150" t="str">
        <f aca="false">IF(AND(ISNUMBER(HA86),ISNUMBER(HA$320),HA$320&lt;&gt;0),HA86*HA$320/HA$15,"")</f>
        <v/>
      </c>
      <c r="HB391" s="150" t="str">
        <f aca="false">IF(AND(ISNUMBER(HB86),ISNUMBER(HB$320),HB$320&lt;&gt;0),HB86*HB$320/HB$15,"")</f>
        <v/>
      </c>
      <c r="HC391" s="150" t="str">
        <f aca="false">IF(AND(ISNUMBER(HC86),ISNUMBER(HC$320),HC$320&lt;&gt;0),HC86*HC$320/HC$15,"")</f>
        <v/>
      </c>
      <c r="HD391" s="150" t="str">
        <f aca="false">IF(AND(ISNUMBER(HD86),ISNUMBER(HD$320),HD$320&lt;&gt;0),HD86*HD$320/HD$15,"")</f>
        <v/>
      </c>
      <c r="HE391" s="150" t="str">
        <f aca="false">IF(AND(ISNUMBER(HE86),ISNUMBER(HE$320),HE$320&lt;&gt;0),HE86*HE$320/HE$15,"")</f>
        <v/>
      </c>
      <c r="HF391" s="150" t="str">
        <f aca="false">IF(AND(ISNUMBER(HF86),ISNUMBER(HF$320),HF$320&lt;&gt;0),HF86*HF$320/HF$15,"")</f>
        <v/>
      </c>
      <c r="HG391" s="150" t="str">
        <f aca="false">IF(AND(ISNUMBER(HG86),ISNUMBER(HG$320),HG$320&lt;&gt;0),HG86*HG$320/HG$15,"")</f>
        <v/>
      </c>
      <c r="HH391" s="150" t="str">
        <f aca="false">IF(AND(ISNUMBER(HH86),ISNUMBER(HH$320),HH$320&lt;&gt;0),HH86*HH$320/HH$15,"")</f>
        <v/>
      </c>
      <c r="HI391" s="150" t="str">
        <f aca="false">IF(AND(ISNUMBER(HI86),ISNUMBER(HI$320),HI$320&lt;&gt;0),HI86*HI$320/HI$15,"")</f>
        <v/>
      </c>
      <c r="HJ391" s="150" t="str">
        <f aca="false">IF(AND(ISNUMBER(HJ86),ISNUMBER(HJ$320),HJ$320&lt;&gt;0),HJ86*HJ$320/HJ$15,"")</f>
        <v/>
      </c>
      <c r="HK391" s="150" t="str">
        <f aca="false">IF(AND(ISNUMBER(HK86),ISNUMBER(HK$320),HK$320&lt;&gt;0),HK86*HK$320/HK$15,"")</f>
        <v/>
      </c>
      <c r="HL391" s="150" t="str">
        <f aca="false">IF(AND(ISNUMBER(HL86),ISNUMBER(HL$320),HL$320&lt;&gt;0),HL86*HL$320/HL$15,"")</f>
        <v/>
      </c>
      <c r="HM391" s="150" t="str">
        <f aca="false">IF(AND(ISNUMBER(HM86),ISNUMBER(HM$320),HM$320&lt;&gt;0),HM86*HM$320/HM$15,"")</f>
        <v/>
      </c>
      <c r="HN391" s="150" t="str">
        <f aca="false">IF(AND(ISNUMBER(HN86),ISNUMBER(HN$320),HN$320&lt;&gt;0),HN86*HN$320/HN$15,"")</f>
        <v/>
      </c>
      <c r="HO391" s="150" t="str">
        <f aca="false">IF(AND(ISNUMBER(HO86),ISNUMBER(HO$320),HO$320&lt;&gt;0),HO86*HO$320/HO$15,"")</f>
        <v/>
      </c>
      <c r="HP391" s="150" t="str">
        <f aca="false">IF(AND(ISNUMBER(HP86),ISNUMBER(HP$320),HP$320&lt;&gt;0),HP86*HP$320/HP$15,"")</f>
        <v/>
      </c>
      <c r="HQ391" s="150" t="str">
        <f aca="false">IF(AND(ISNUMBER(HQ86),ISNUMBER(HQ$320),HQ$320&lt;&gt;0),HQ86*HQ$320/HQ$15,"")</f>
        <v/>
      </c>
      <c r="HR391" s="150" t="str">
        <f aca="false">IF(AND(ISNUMBER(HR86),ISNUMBER(HR$320),HR$320&lt;&gt;0),HR86*HR$320/HR$15,"")</f>
        <v/>
      </c>
      <c r="HS391" s="150" t="str">
        <f aca="false">IF(AND(ISNUMBER(HS86),ISNUMBER(HS$320),HS$320&lt;&gt;0),HS86*HS$320/HS$15,"")</f>
        <v/>
      </c>
      <c r="HT391" s="150" t="str">
        <f aca="false">IF(AND(ISNUMBER(HT86),ISNUMBER(HT$320),HT$320&lt;&gt;0),HT86*HT$320/HT$15,"")</f>
        <v/>
      </c>
      <c r="HU391" s="150" t="str">
        <f aca="false">IF(AND(ISNUMBER(HU86),ISNUMBER(HU$320),HU$320&lt;&gt;0),HU86*HU$320/HU$15,"")</f>
        <v/>
      </c>
      <c r="HV391" s="150" t="str">
        <f aca="false">IF(AND(ISNUMBER(HV86),ISNUMBER(HV$320),HV$320&lt;&gt;0),HV86*HV$320/HV$15,"")</f>
        <v/>
      </c>
      <c r="HW391" s="150" t="str">
        <f aca="false">IF(AND(ISNUMBER(HW86),ISNUMBER(HW$320),HW$320&lt;&gt;0),HW86*HW$320/HW$15,"")</f>
        <v/>
      </c>
      <c r="HX391" s="150" t="str">
        <f aca="false">IF(AND(ISNUMBER(HX86),ISNUMBER(HX$320),HX$320&lt;&gt;0),HX86*HX$320/HX$15,"")</f>
        <v/>
      </c>
      <c r="HY391" s="150" t="str">
        <f aca="false">IF(AND(ISNUMBER(HY86),ISNUMBER(HY$320),HY$320&lt;&gt;0),HY86*HY$320/HY$15,"")</f>
        <v/>
      </c>
      <c r="HZ391" s="150" t="str">
        <f aca="false">IF(AND(ISNUMBER(HZ86),ISNUMBER(HZ$320),HZ$320&lt;&gt;0),HZ86*HZ$320/HZ$15,"")</f>
        <v/>
      </c>
      <c r="IA391" s="150" t="str">
        <f aca="false">IF(AND(ISNUMBER(IA86),ISNUMBER(IA$320),IA$320&lt;&gt;0),IA86*IA$320/IA$15,"")</f>
        <v/>
      </c>
      <c r="IB391" s="150" t="str">
        <f aca="false">IF(AND(ISNUMBER(IB86),ISNUMBER(IB$320),IB$320&lt;&gt;0),IB86*IB$320/IB$15,"")</f>
        <v/>
      </c>
      <c r="IC391" s="150" t="str">
        <f aca="false">IF(AND(ISNUMBER(IC86),ISNUMBER(IC$320),IC$320&lt;&gt;0),IC86*IC$320/IC$15,"")</f>
        <v/>
      </c>
      <c r="ID391" s="572" t="str">
        <f aca="false">IF(AND(ISNUMBER(ID86),ISNUMBER(ID$320),ID$320&lt;&gt;0),ID86*ID$320/ID$15,"")</f>
        <v/>
      </c>
    </row>
    <row r="392" customFormat="false" ht="12.75" hidden="false" customHeight="false" outlineLevel="0" collapsed="false">
      <c r="I392" s="735"/>
      <c r="J392" s="727"/>
      <c r="K392" s="195"/>
      <c r="L392" s="195"/>
      <c r="M392" s="729"/>
      <c r="P392" s="727"/>
      <c r="S392" s="1"/>
      <c r="T392" s="727"/>
      <c r="U392" s="195"/>
      <c r="V392" s="195"/>
      <c r="W392" s="195"/>
      <c r="X392" s="195"/>
      <c r="Y392" s="195"/>
      <c r="Z392" s="195"/>
      <c r="AA392" s="195"/>
      <c r="AB392" s="195"/>
      <c r="AC392" s="195"/>
      <c r="AD392" s="195"/>
      <c r="AE392" s="195"/>
      <c r="AF392" s="195"/>
      <c r="AG392" s="195"/>
      <c r="AH392" s="195"/>
      <c r="AI392" s="195"/>
      <c r="AJ392" s="195"/>
      <c r="AK392" s="195"/>
      <c r="AL392" s="195"/>
      <c r="AM392" s="195"/>
      <c r="AN392" s="532"/>
      <c r="AO392" s="532"/>
      <c r="AP392" s="240"/>
      <c r="AQ392" s="532"/>
      <c r="AR392" s="240"/>
      <c r="AS392" s="240"/>
      <c r="AT392" s="240"/>
      <c r="AU392" s="730"/>
      <c r="AV392" s="730"/>
      <c r="AW392" s="730"/>
      <c r="AX392" s="730"/>
      <c r="AY392" s="468"/>
      <c r="AZ392" s="468"/>
      <c r="BA392" s="240"/>
      <c r="BB392" s="240"/>
      <c r="BC392" s="240"/>
      <c r="BD392" s="240"/>
      <c r="BE392" s="672"/>
      <c r="BF392" s="672"/>
      <c r="BG392" s="672"/>
      <c r="BH392" s="731"/>
      <c r="BI392" s="672"/>
      <c r="BJ392" s="240"/>
      <c r="BK392" s="736"/>
      <c r="BL392" s="737"/>
      <c r="BM392" s="240"/>
      <c r="BN392" s="240"/>
      <c r="BO392" s="240"/>
      <c r="BP392" s="240"/>
      <c r="BQ392" s="240"/>
      <c r="BR392" s="240"/>
      <c r="BS392" s="240"/>
      <c r="BT392" s="240"/>
      <c r="BU392" s="240"/>
      <c r="BV392" s="240"/>
      <c r="BW392" s="240"/>
      <c r="BX392" s="240"/>
      <c r="BY392" s="240"/>
      <c r="BZ392" s="240"/>
      <c r="CA392" s="240"/>
      <c r="CB392" s="672"/>
      <c r="CC392" s="672"/>
      <c r="CD392" s="672"/>
      <c r="CE392" s="672"/>
      <c r="CF392" s="672"/>
      <c r="CG392" s="672"/>
      <c r="CH392" s="240"/>
      <c r="CI392" s="240"/>
      <c r="CJ392" s="240"/>
      <c r="CK392" s="240"/>
      <c r="CL392" s="240"/>
      <c r="CM392" s="240"/>
      <c r="CN392" s="240"/>
      <c r="CO392" s="240"/>
      <c r="CP392" s="240"/>
      <c r="CQ392" s="240"/>
      <c r="CR392" s="240"/>
      <c r="CS392" s="240"/>
      <c r="CT392" s="240"/>
      <c r="CU392" s="240"/>
      <c r="CV392" s="240"/>
      <c r="CW392" s="240"/>
      <c r="CX392" s="240"/>
      <c r="CY392" s="240"/>
      <c r="CZ392" s="240"/>
      <c r="DA392" s="240"/>
      <c r="DB392" s="240"/>
      <c r="DC392" s="240"/>
      <c r="DD392" s="240"/>
      <c r="DE392" s="240"/>
      <c r="DF392" s="240"/>
      <c r="DG392" s="733"/>
      <c r="DH392" s="478"/>
      <c r="DI392" s="195"/>
      <c r="DJ392" s="3"/>
      <c r="DK392" s="478"/>
      <c r="DL392" s="4"/>
      <c r="DM392" s="4"/>
      <c r="DN392" s="4"/>
      <c r="DO392" s="4"/>
      <c r="DP392" s="4"/>
      <c r="DQ392" s="4"/>
      <c r="DS392" s="195"/>
      <c r="DT392" s="195"/>
      <c r="DU392" s="195"/>
      <c r="DV392" s="195"/>
      <c r="DW392" s="195"/>
      <c r="DX392" s="195"/>
      <c r="DY392" s="195"/>
      <c r="DZ392" s="195"/>
      <c r="EA392" s="195"/>
      <c r="EB392" s="195"/>
      <c r="EC392" s="195"/>
      <c r="ED392" s="195"/>
      <c r="EE392" s="195"/>
      <c r="EF392" s="195"/>
      <c r="EG392" s="195"/>
      <c r="EL392" s="1"/>
      <c r="EM392" s="195"/>
      <c r="EN392" s="240"/>
      <c r="EO392" s="240"/>
      <c r="EP392" s="195"/>
      <c r="EQ392" s="240"/>
      <c r="ER392" s="195"/>
      <c r="ES392" s="195"/>
      <c r="ET392" s="195"/>
      <c r="EU392" s="672"/>
      <c r="FJ392" s="571" t="n">
        <v>68</v>
      </c>
      <c r="FK392" s="150" t="str">
        <f aca="false">IF(AND(ISNUMBER(FK87),ISNUMBER(FK$320),FK$320&lt;&gt;0),FK87*FK$320/FK$15,"")</f>
        <v/>
      </c>
      <c r="FL392" s="150" t="str">
        <f aca="false">IF(AND(ISNUMBER(FL87),ISNUMBER(FL$320),FL$320&lt;&gt;0),FL87*FL$320/FL$15,"")</f>
        <v/>
      </c>
      <c r="FM392" s="150" t="n">
        <f aca="false">IF(AND(ISNUMBER(FM87),ISNUMBER(FM$320),FM$320&lt;&gt;0),FM87*FM$320/FM$15,"")</f>
        <v>0.00254691218222159</v>
      </c>
      <c r="FN392" s="150" t="n">
        <f aca="false">IF(AND(ISNUMBER(FN87),ISNUMBER(FN$320),FN$320&lt;&gt;0),FN87*FN$320/FN$15,"")</f>
        <v>0.00214368024224335</v>
      </c>
      <c r="FO392" s="150" t="n">
        <f aca="false">IF(AND(ISNUMBER(FO87),ISNUMBER(FO$320),FO$320&lt;&gt;0),FO87*FO$320/FO$15,"")</f>
        <v>0.00222976994404642</v>
      </c>
      <c r="FP392" s="150" t="n">
        <f aca="false">IF(AND(ISNUMBER(FP87),ISNUMBER(FP$320),FP$320&lt;&gt;0),FP87*FP$320/FP$15,"")</f>
        <v>0.00123542330155222</v>
      </c>
      <c r="FQ392" s="150" t="str">
        <f aca="false">IF(AND(ISNUMBER(FQ87),ISNUMBER(FQ$320),FQ$320&lt;&gt;0),FQ87*FQ$320/FQ$15,"")</f>
        <v/>
      </c>
      <c r="FR392" s="150" t="str">
        <f aca="false">IF(AND(ISNUMBER(FR87),ISNUMBER(FR$320),FR$320&lt;&gt;0),FR87*FR$320/FR$15,"")</f>
        <v/>
      </c>
      <c r="FS392" s="150" t="str">
        <f aca="false">IF(AND(ISNUMBER(FS87),ISNUMBER(FS$320),FS$320&lt;&gt;0),FS87*FS$320/FS$15,"")</f>
        <v/>
      </c>
      <c r="FT392" s="150" t="str">
        <f aca="false">IF(AND(ISNUMBER(FT87),ISNUMBER(FT$320),FT$320&lt;&gt;0),FT87*FT$320/FT$15,"")</f>
        <v/>
      </c>
      <c r="FU392" s="150" t="str">
        <f aca="false">IF(AND(ISNUMBER(FU87),ISNUMBER(FU$320),FU$320&lt;&gt;0),FU87*FU$320/FU$15,"")</f>
        <v/>
      </c>
      <c r="FV392" s="150" t="str">
        <f aca="false">IF(AND(ISNUMBER(FV87),ISNUMBER(FV$320),FV$320&lt;&gt;0),FV87*FV$320/FV$15,"")</f>
        <v/>
      </c>
      <c r="FW392" s="150" t="str">
        <f aca="false">IF(AND(ISNUMBER(FW87),ISNUMBER(FW$320),FW$320&lt;&gt;0),FW87*FW$320/FW$15,"")</f>
        <v/>
      </c>
      <c r="FX392" s="150" t="str">
        <f aca="false">IF(AND(ISNUMBER(FX87),ISNUMBER(FX$320),FX$320&lt;&gt;0),FX87*FX$320/FX$15,"")</f>
        <v/>
      </c>
      <c r="FY392" s="150" t="str">
        <f aca="false">IF(AND(ISNUMBER(FY87),ISNUMBER(FY$320),FY$320&lt;&gt;0),FY87*FY$320/FY$15,"")</f>
        <v/>
      </c>
      <c r="FZ392" s="150" t="str">
        <f aca="false">IF(AND(ISNUMBER(FZ87),ISNUMBER(FZ$320),FZ$320&lt;&gt;0),FZ87*FZ$320/FZ$15,"")</f>
        <v/>
      </c>
      <c r="GA392" s="150" t="str">
        <f aca="false">IF(AND(ISNUMBER(GA87),ISNUMBER(GA$320),GA$320&lt;&gt;0),GA87*GA$320/GA$15,"")</f>
        <v/>
      </c>
      <c r="GB392" s="150" t="str">
        <f aca="false">IF(AND(ISNUMBER(GB87),ISNUMBER(GB$320),GB$320&lt;&gt;0),GB87*GB$320/GB$15,"")</f>
        <v/>
      </c>
      <c r="GC392" s="150" t="str">
        <f aca="false">IF(AND(ISNUMBER(GC87),ISNUMBER(GC$320),GC$320&lt;&gt;0),GC87*GC$320/GC$15,"")</f>
        <v/>
      </c>
      <c r="GD392" s="150" t="str">
        <f aca="false">IF(AND(ISNUMBER(GD87),ISNUMBER(GD$320),GD$320&lt;&gt;0),GD87*GD$320/GD$15,"")</f>
        <v/>
      </c>
      <c r="GE392" s="150" t="str">
        <f aca="false">IF(AND(ISNUMBER(GE87),ISNUMBER(GE$320),GE$320&lt;&gt;0),GE87*GE$320/GE$15,"")</f>
        <v/>
      </c>
      <c r="GF392" s="150" t="str">
        <f aca="false">IF(AND(ISNUMBER(GF87),ISNUMBER(GF$320),GF$320&lt;&gt;0),GF87*GF$320/GF$15,"")</f>
        <v/>
      </c>
      <c r="GG392" s="150" t="str">
        <f aca="false">IF(AND(ISNUMBER(GG87),ISNUMBER(GG$320),GG$320&lt;&gt;0),GG87*GG$320/GG$15,"")</f>
        <v/>
      </c>
      <c r="GH392" s="150" t="str">
        <f aca="false">IF(AND(ISNUMBER(GH87),ISNUMBER(GH$320),GH$320&lt;&gt;0),GH87*GH$320/GH$15,"")</f>
        <v/>
      </c>
      <c r="GI392" s="150" t="str">
        <f aca="false">IF(AND(ISNUMBER(GI87),ISNUMBER(GI$320),GI$320&lt;&gt;0),GI87*GI$320/GI$15,"")</f>
        <v/>
      </c>
      <c r="GJ392" s="150" t="str">
        <f aca="false">IF(AND(ISNUMBER(GJ87),ISNUMBER(GJ$320),GJ$320&lt;&gt;0),GJ87*GJ$320/GJ$15,"")</f>
        <v/>
      </c>
      <c r="GK392" s="150" t="str">
        <f aca="false">IF(AND(ISNUMBER(GK87),ISNUMBER(GK$320),GK$320&lt;&gt;0),GK87*GK$320/GK$15,"")</f>
        <v/>
      </c>
      <c r="GL392" s="150" t="str">
        <f aca="false">IF(AND(ISNUMBER(GL87),ISNUMBER(GL$320),GL$320&lt;&gt;0),GL87*GL$320/GL$15,"")</f>
        <v/>
      </c>
      <c r="GM392" s="150" t="str">
        <f aca="false">IF(AND(ISNUMBER(GM87),ISNUMBER(GM$320),GM$320&lt;&gt;0),GM87*GM$320/GM$15,"")</f>
        <v/>
      </c>
      <c r="GN392" s="150" t="str">
        <f aca="false">IF(AND(ISNUMBER(GN87),ISNUMBER(GN$320),GN$320&lt;&gt;0),GN87*GN$320/GN$15,"")</f>
        <v/>
      </c>
      <c r="GO392" s="150" t="str">
        <f aca="false">IF(AND(ISNUMBER(GO87),ISNUMBER(GO$320),GO$320&lt;&gt;0),GO87*GO$320/GO$15,"")</f>
        <v/>
      </c>
      <c r="GP392" s="150" t="str">
        <f aca="false">IF(AND(ISNUMBER(GP87),ISNUMBER(GP$320),GP$320&lt;&gt;0),GP87*GP$320/GP$15,"")</f>
        <v/>
      </c>
      <c r="GQ392" s="150" t="str">
        <f aca="false">IF(AND(ISNUMBER(GQ87),ISNUMBER(GQ$320),GQ$320&lt;&gt;0),GQ87*GQ$320/GQ$15,"")</f>
        <v/>
      </c>
      <c r="GR392" s="150" t="str">
        <f aca="false">IF(AND(ISNUMBER(GR87),ISNUMBER(GR$320),GR$320&lt;&gt;0),GR87*GR$320/GR$15,"")</f>
        <v/>
      </c>
      <c r="GS392" s="150" t="str">
        <f aca="false">IF(AND(ISNUMBER(GS87),ISNUMBER(GS$320),GS$320&lt;&gt;0),GS87*GS$320/GS$15,"")</f>
        <v/>
      </c>
      <c r="GT392" s="150" t="str">
        <f aca="false">IF(AND(ISNUMBER(GT87),ISNUMBER(GT$320),GT$320&lt;&gt;0),GT87*GT$320/GT$15,"")</f>
        <v/>
      </c>
      <c r="GU392" s="150" t="str">
        <f aca="false">IF(AND(ISNUMBER(GU87),ISNUMBER(GU$320),GU$320&lt;&gt;0),GU87*GU$320/GU$15,"")</f>
        <v/>
      </c>
      <c r="GV392" s="150" t="str">
        <f aca="false">IF(AND(ISNUMBER(GV87),ISNUMBER(GV$320),GV$320&lt;&gt;0),GV87*GV$320/GV$15,"")</f>
        <v/>
      </c>
      <c r="GW392" s="150" t="str">
        <f aca="false">IF(AND(ISNUMBER(GW87),ISNUMBER(GW$320),GW$320&lt;&gt;0),GW87*GW$320/GW$15,"")</f>
        <v/>
      </c>
      <c r="GX392" s="150" t="str">
        <f aca="false">IF(AND(ISNUMBER(GX87),ISNUMBER(GX$320),GX$320&lt;&gt;0),GX87*GX$320/GX$15,"")</f>
        <v/>
      </c>
      <c r="GY392" s="150" t="str">
        <f aca="false">IF(AND(ISNUMBER(GY87),ISNUMBER(GY$320),GY$320&lt;&gt;0),GY87*GY$320/GY$15,"")</f>
        <v/>
      </c>
      <c r="GZ392" s="150" t="str">
        <f aca="false">IF(AND(ISNUMBER(GZ87),ISNUMBER(GZ$320),GZ$320&lt;&gt;0),GZ87*GZ$320/GZ$15,"")</f>
        <v/>
      </c>
      <c r="HA392" s="150" t="str">
        <f aca="false">IF(AND(ISNUMBER(HA87),ISNUMBER(HA$320),HA$320&lt;&gt;0),HA87*HA$320/HA$15,"")</f>
        <v/>
      </c>
      <c r="HB392" s="150" t="str">
        <f aca="false">IF(AND(ISNUMBER(HB87),ISNUMBER(HB$320),HB$320&lt;&gt;0),HB87*HB$320/HB$15,"")</f>
        <v/>
      </c>
      <c r="HC392" s="150" t="str">
        <f aca="false">IF(AND(ISNUMBER(HC87),ISNUMBER(HC$320),HC$320&lt;&gt;0),HC87*HC$320/HC$15,"")</f>
        <v/>
      </c>
      <c r="HD392" s="150" t="str">
        <f aca="false">IF(AND(ISNUMBER(HD87),ISNUMBER(HD$320),HD$320&lt;&gt;0),HD87*HD$320/HD$15,"")</f>
        <v/>
      </c>
      <c r="HE392" s="150" t="str">
        <f aca="false">IF(AND(ISNUMBER(HE87),ISNUMBER(HE$320),HE$320&lt;&gt;0),HE87*HE$320/HE$15,"")</f>
        <v/>
      </c>
      <c r="HF392" s="150" t="str">
        <f aca="false">IF(AND(ISNUMBER(HF87),ISNUMBER(HF$320),HF$320&lt;&gt;0),HF87*HF$320/HF$15,"")</f>
        <v/>
      </c>
      <c r="HG392" s="150" t="str">
        <f aca="false">IF(AND(ISNUMBER(HG87),ISNUMBER(HG$320),HG$320&lt;&gt;0),HG87*HG$320/HG$15,"")</f>
        <v/>
      </c>
      <c r="HH392" s="150" t="str">
        <f aca="false">IF(AND(ISNUMBER(HH87),ISNUMBER(HH$320),HH$320&lt;&gt;0),HH87*HH$320/HH$15,"")</f>
        <v/>
      </c>
      <c r="HI392" s="150" t="str">
        <f aca="false">IF(AND(ISNUMBER(HI87),ISNUMBER(HI$320),HI$320&lt;&gt;0),HI87*HI$320/HI$15,"")</f>
        <v/>
      </c>
      <c r="HJ392" s="150" t="str">
        <f aca="false">IF(AND(ISNUMBER(HJ87),ISNUMBER(HJ$320),HJ$320&lt;&gt;0),HJ87*HJ$320/HJ$15,"")</f>
        <v/>
      </c>
      <c r="HK392" s="150" t="str">
        <f aca="false">IF(AND(ISNUMBER(HK87),ISNUMBER(HK$320),HK$320&lt;&gt;0),HK87*HK$320/HK$15,"")</f>
        <v/>
      </c>
      <c r="HL392" s="150" t="str">
        <f aca="false">IF(AND(ISNUMBER(HL87),ISNUMBER(HL$320),HL$320&lt;&gt;0),HL87*HL$320/HL$15,"")</f>
        <v/>
      </c>
      <c r="HM392" s="150" t="str">
        <f aca="false">IF(AND(ISNUMBER(HM87),ISNUMBER(HM$320),HM$320&lt;&gt;0),HM87*HM$320/HM$15,"")</f>
        <v/>
      </c>
      <c r="HN392" s="150" t="str">
        <f aca="false">IF(AND(ISNUMBER(HN87),ISNUMBER(HN$320),HN$320&lt;&gt;0),HN87*HN$320/HN$15,"")</f>
        <v/>
      </c>
      <c r="HO392" s="150" t="str">
        <f aca="false">IF(AND(ISNUMBER(HO87),ISNUMBER(HO$320),HO$320&lt;&gt;0),HO87*HO$320/HO$15,"")</f>
        <v/>
      </c>
      <c r="HP392" s="150" t="str">
        <f aca="false">IF(AND(ISNUMBER(HP87),ISNUMBER(HP$320),HP$320&lt;&gt;0),HP87*HP$320/HP$15,"")</f>
        <v/>
      </c>
      <c r="HQ392" s="150" t="str">
        <f aca="false">IF(AND(ISNUMBER(HQ87),ISNUMBER(HQ$320),HQ$320&lt;&gt;0),HQ87*HQ$320/HQ$15,"")</f>
        <v/>
      </c>
      <c r="HR392" s="150" t="str">
        <f aca="false">IF(AND(ISNUMBER(HR87),ISNUMBER(HR$320),HR$320&lt;&gt;0),HR87*HR$320/HR$15,"")</f>
        <v/>
      </c>
      <c r="HS392" s="150" t="str">
        <f aca="false">IF(AND(ISNUMBER(HS87),ISNUMBER(HS$320),HS$320&lt;&gt;0),HS87*HS$320/HS$15,"")</f>
        <v/>
      </c>
      <c r="HT392" s="150" t="str">
        <f aca="false">IF(AND(ISNUMBER(HT87),ISNUMBER(HT$320),HT$320&lt;&gt;0),HT87*HT$320/HT$15,"")</f>
        <v/>
      </c>
      <c r="HU392" s="150" t="str">
        <f aca="false">IF(AND(ISNUMBER(HU87),ISNUMBER(HU$320),HU$320&lt;&gt;0),HU87*HU$320/HU$15,"")</f>
        <v/>
      </c>
      <c r="HV392" s="150" t="str">
        <f aca="false">IF(AND(ISNUMBER(HV87),ISNUMBER(HV$320),HV$320&lt;&gt;0),HV87*HV$320/HV$15,"")</f>
        <v/>
      </c>
      <c r="HW392" s="150" t="str">
        <f aca="false">IF(AND(ISNUMBER(HW87),ISNUMBER(HW$320),HW$320&lt;&gt;0),HW87*HW$320/HW$15,"")</f>
        <v/>
      </c>
      <c r="HX392" s="150" t="str">
        <f aca="false">IF(AND(ISNUMBER(HX87),ISNUMBER(HX$320),HX$320&lt;&gt;0),HX87*HX$320/HX$15,"")</f>
        <v/>
      </c>
      <c r="HY392" s="150" t="str">
        <f aca="false">IF(AND(ISNUMBER(HY87),ISNUMBER(HY$320),HY$320&lt;&gt;0),HY87*HY$320/HY$15,"")</f>
        <v/>
      </c>
      <c r="HZ392" s="150" t="str">
        <f aca="false">IF(AND(ISNUMBER(HZ87),ISNUMBER(HZ$320),HZ$320&lt;&gt;0),HZ87*HZ$320/HZ$15,"")</f>
        <v/>
      </c>
      <c r="IA392" s="150" t="str">
        <f aca="false">IF(AND(ISNUMBER(IA87),ISNUMBER(IA$320),IA$320&lt;&gt;0),IA87*IA$320/IA$15,"")</f>
        <v/>
      </c>
      <c r="IB392" s="150" t="str">
        <f aca="false">IF(AND(ISNUMBER(IB87),ISNUMBER(IB$320),IB$320&lt;&gt;0),IB87*IB$320/IB$15,"")</f>
        <v/>
      </c>
      <c r="IC392" s="150" t="str">
        <f aca="false">IF(AND(ISNUMBER(IC87),ISNUMBER(IC$320),IC$320&lt;&gt;0),IC87*IC$320/IC$15,"")</f>
        <v/>
      </c>
      <c r="ID392" s="572" t="str">
        <f aca="false">IF(AND(ISNUMBER(ID87),ISNUMBER(ID$320),ID$320&lt;&gt;0),ID87*ID$320/ID$15,"")</f>
        <v/>
      </c>
    </row>
    <row r="393" customFormat="false" ht="12.75" hidden="false" customHeight="false" outlineLevel="0" collapsed="false">
      <c r="I393" s="735"/>
      <c r="J393" s="727"/>
      <c r="K393" s="195"/>
      <c r="L393" s="195"/>
      <c r="M393" s="729"/>
      <c r="P393" s="727"/>
      <c r="S393" s="1"/>
      <c r="T393" s="727"/>
      <c r="U393" s="195"/>
      <c r="V393" s="195"/>
      <c r="W393" s="195"/>
      <c r="X393" s="195"/>
      <c r="Y393" s="195"/>
      <c r="Z393" s="195"/>
      <c r="AA393" s="195"/>
      <c r="AB393" s="195"/>
      <c r="AC393" s="195"/>
      <c r="AD393" s="195"/>
      <c r="AE393" s="195"/>
      <c r="AF393" s="195"/>
      <c r="AG393" s="195"/>
      <c r="AH393" s="195"/>
      <c r="AI393" s="195"/>
      <c r="AJ393" s="195"/>
      <c r="AK393" s="195"/>
      <c r="AL393" s="195"/>
      <c r="AM393" s="195"/>
      <c r="AN393" s="532"/>
      <c r="AO393" s="532"/>
      <c r="AP393" s="240"/>
      <c r="AQ393" s="532"/>
      <c r="AR393" s="240"/>
      <c r="AS393" s="240"/>
      <c r="AT393" s="240"/>
      <c r="AU393" s="730"/>
      <c r="AV393" s="730"/>
      <c r="AW393" s="730"/>
      <c r="AX393" s="730"/>
      <c r="AY393" s="468"/>
      <c r="AZ393" s="468"/>
      <c r="BA393" s="240"/>
      <c r="BB393" s="240"/>
      <c r="BC393" s="240"/>
      <c r="BD393" s="240"/>
      <c r="BE393" s="672"/>
      <c r="BF393" s="672"/>
      <c r="BG393" s="672"/>
      <c r="BH393" s="731"/>
      <c r="BI393" s="672"/>
      <c r="BJ393" s="240"/>
      <c r="BK393" s="736"/>
      <c r="BL393" s="737"/>
      <c r="BM393" s="240"/>
      <c r="BN393" s="240"/>
      <c r="BO393" s="240"/>
      <c r="BP393" s="240"/>
      <c r="BQ393" s="240"/>
      <c r="BR393" s="240"/>
      <c r="BS393" s="240"/>
      <c r="BT393" s="240"/>
      <c r="BU393" s="240"/>
      <c r="BV393" s="240"/>
      <c r="BW393" s="240"/>
      <c r="BX393" s="240"/>
      <c r="BY393" s="240"/>
      <c r="BZ393" s="240"/>
      <c r="CA393" s="240"/>
      <c r="CB393" s="672"/>
      <c r="CC393" s="672"/>
      <c r="CD393" s="672"/>
      <c r="CE393" s="672"/>
      <c r="CF393" s="672"/>
      <c r="CG393" s="672"/>
      <c r="CH393" s="240"/>
      <c r="CI393" s="240"/>
      <c r="CJ393" s="240"/>
      <c r="CK393" s="240"/>
      <c r="CL393" s="240"/>
      <c r="CM393" s="240"/>
      <c r="CN393" s="240"/>
      <c r="CO393" s="240"/>
      <c r="CP393" s="240"/>
      <c r="CQ393" s="240"/>
      <c r="CR393" s="240"/>
      <c r="CS393" s="240"/>
      <c r="CT393" s="240"/>
      <c r="CU393" s="240"/>
      <c r="CV393" s="240"/>
      <c r="CW393" s="240"/>
      <c r="CX393" s="240"/>
      <c r="CY393" s="240"/>
      <c r="CZ393" s="240"/>
      <c r="DA393" s="240"/>
      <c r="DB393" s="240"/>
      <c r="DC393" s="240"/>
      <c r="DD393" s="240"/>
      <c r="DE393" s="240"/>
      <c r="DF393" s="240"/>
      <c r="DG393" s="733"/>
      <c r="DH393" s="478"/>
      <c r="DI393" s="195"/>
      <c r="DJ393" s="3"/>
      <c r="DK393" s="478"/>
      <c r="DL393" s="4"/>
      <c r="DM393" s="4"/>
      <c r="DN393" s="4"/>
      <c r="DO393" s="4"/>
      <c r="DP393" s="4"/>
      <c r="DQ393" s="4"/>
      <c r="DS393" s="195"/>
      <c r="DT393" s="195"/>
      <c r="DU393" s="195"/>
      <c r="DV393" s="195"/>
      <c r="DW393" s="195"/>
      <c r="DX393" s="195"/>
      <c r="DY393" s="195"/>
      <c r="DZ393" s="195"/>
      <c r="EA393" s="195"/>
      <c r="EB393" s="195"/>
      <c r="EC393" s="195"/>
      <c r="ED393" s="195"/>
      <c r="EE393" s="195"/>
      <c r="EF393" s="195"/>
      <c r="EG393" s="195"/>
      <c r="EL393" s="1"/>
      <c r="EM393" s="195"/>
      <c r="EN393" s="240"/>
      <c r="EO393" s="240"/>
      <c r="EP393" s="195"/>
      <c r="EQ393" s="240"/>
      <c r="ER393" s="195"/>
      <c r="ES393" s="195"/>
      <c r="ET393" s="195"/>
      <c r="EU393" s="672"/>
      <c r="FJ393" s="571" t="n">
        <v>69</v>
      </c>
      <c r="FK393" s="150" t="str">
        <f aca="false">IF(AND(ISNUMBER(FK88),ISNUMBER(FK$320),FK$320&lt;&gt;0),FK88*FK$320/FK$15,"")</f>
        <v/>
      </c>
      <c r="FL393" s="150" t="str">
        <f aca="false">IF(AND(ISNUMBER(FL88),ISNUMBER(FL$320),FL$320&lt;&gt;0),FL88*FL$320/FL$15,"")</f>
        <v/>
      </c>
      <c r="FM393" s="150" t="n">
        <f aca="false">IF(AND(ISNUMBER(FM88),ISNUMBER(FM$320),FM$320&lt;&gt;0),FM88*FM$320/FM$15,"")</f>
        <v>0.00254689053866139</v>
      </c>
      <c r="FN393" s="150" t="n">
        <f aca="false">IF(AND(ISNUMBER(FN88),ISNUMBER(FN$320),FN$320&lt;&gt;0),FN88*FN$320/FN$15,"")</f>
        <v>0.00214365893591478</v>
      </c>
      <c r="FO393" s="150" t="n">
        <f aca="false">IF(AND(ISNUMBER(FO88),ISNUMBER(FO$320),FO$320&lt;&gt;0),FO88*FO$320/FO$15,"")</f>
        <v>0.0022297440235952</v>
      </c>
      <c r="FP393" s="150" t="n">
        <f aca="false">IF(AND(ISNUMBER(FP88),ISNUMBER(FP$320),FP$320&lt;&gt;0),FP88*FP$320/FP$15,"")</f>
        <v>0.00123540650453475</v>
      </c>
      <c r="FQ393" s="150" t="str">
        <f aca="false">IF(AND(ISNUMBER(FQ88),ISNUMBER(FQ$320),FQ$320&lt;&gt;0),FQ88*FQ$320/FQ$15,"")</f>
        <v/>
      </c>
      <c r="FR393" s="150" t="str">
        <f aca="false">IF(AND(ISNUMBER(FR88),ISNUMBER(FR$320),FR$320&lt;&gt;0),FR88*FR$320/FR$15,"")</f>
        <v/>
      </c>
      <c r="FS393" s="150" t="str">
        <f aca="false">IF(AND(ISNUMBER(FS88),ISNUMBER(FS$320),FS$320&lt;&gt;0),FS88*FS$320/FS$15,"")</f>
        <v/>
      </c>
      <c r="FT393" s="150" t="str">
        <f aca="false">IF(AND(ISNUMBER(FT88),ISNUMBER(FT$320),FT$320&lt;&gt;0),FT88*FT$320/FT$15,"")</f>
        <v/>
      </c>
      <c r="FU393" s="150" t="str">
        <f aca="false">IF(AND(ISNUMBER(FU88),ISNUMBER(FU$320),FU$320&lt;&gt;0),FU88*FU$320/FU$15,"")</f>
        <v/>
      </c>
      <c r="FV393" s="150" t="str">
        <f aca="false">IF(AND(ISNUMBER(FV88),ISNUMBER(FV$320),FV$320&lt;&gt;0),FV88*FV$320/FV$15,"")</f>
        <v/>
      </c>
      <c r="FW393" s="150" t="str">
        <f aca="false">IF(AND(ISNUMBER(FW88),ISNUMBER(FW$320),FW$320&lt;&gt;0),FW88*FW$320/FW$15,"")</f>
        <v/>
      </c>
      <c r="FX393" s="150" t="str">
        <f aca="false">IF(AND(ISNUMBER(FX88),ISNUMBER(FX$320),FX$320&lt;&gt;0),FX88*FX$320/FX$15,"")</f>
        <v/>
      </c>
      <c r="FY393" s="150" t="str">
        <f aca="false">IF(AND(ISNUMBER(FY88),ISNUMBER(FY$320),FY$320&lt;&gt;0),FY88*FY$320/FY$15,"")</f>
        <v/>
      </c>
      <c r="FZ393" s="150" t="str">
        <f aca="false">IF(AND(ISNUMBER(FZ88),ISNUMBER(FZ$320),FZ$320&lt;&gt;0),FZ88*FZ$320/FZ$15,"")</f>
        <v/>
      </c>
      <c r="GA393" s="150" t="str">
        <f aca="false">IF(AND(ISNUMBER(GA88),ISNUMBER(GA$320),GA$320&lt;&gt;0),GA88*GA$320/GA$15,"")</f>
        <v/>
      </c>
      <c r="GB393" s="150" t="str">
        <f aca="false">IF(AND(ISNUMBER(GB88),ISNUMBER(GB$320),GB$320&lt;&gt;0),GB88*GB$320/GB$15,"")</f>
        <v/>
      </c>
      <c r="GC393" s="150" t="str">
        <f aca="false">IF(AND(ISNUMBER(GC88),ISNUMBER(GC$320),GC$320&lt;&gt;0),GC88*GC$320/GC$15,"")</f>
        <v/>
      </c>
      <c r="GD393" s="150" t="str">
        <f aca="false">IF(AND(ISNUMBER(GD88),ISNUMBER(GD$320),GD$320&lt;&gt;0),GD88*GD$320/GD$15,"")</f>
        <v/>
      </c>
      <c r="GE393" s="150" t="str">
        <f aca="false">IF(AND(ISNUMBER(GE88),ISNUMBER(GE$320),GE$320&lt;&gt;0),GE88*GE$320/GE$15,"")</f>
        <v/>
      </c>
      <c r="GF393" s="150" t="str">
        <f aca="false">IF(AND(ISNUMBER(GF88),ISNUMBER(GF$320),GF$320&lt;&gt;0),GF88*GF$320/GF$15,"")</f>
        <v/>
      </c>
      <c r="GG393" s="150" t="str">
        <f aca="false">IF(AND(ISNUMBER(GG88),ISNUMBER(GG$320),GG$320&lt;&gt;0),GG88*GG$320/GG$15,"")</f>
        <v/>
      </c>
      <c r="GH393" s="150" t="str">
        <f aca="false">IF(AND(ISNUMBER(GH88),ISNUMBER(GH$320),GH$320&lt;&gt;0),GH88*GH$320/GH$15,"")</f>
        <v/>
      </c>
      <c r="GI393" s="150" t="str">
        <f aca="false">IF(AND(ISNUMBER(GI88),ISNUMBER(GI$320),GI$320&lt;&gt;0),GI88*GI$320/GI$15,"")</f>
        <v/>
      </c>
      <c r="GJ393" s="150" t="str">
        <f aca="false">IF(AND(ISNUMBER(GJ88),ISNUMBER(GJ$320),GJ$320&lt;&gt;0),GJ88*GJ$320/GJ$15,"")</f>
        <v/>
      </c>
      <c r="GK393" s="150" t="str">
        <f aca="false">IF(AND(ISNUMBER(GK88),ISNUMBER(GK$320),GK$320&lt;&gt;0),GK88*GK$320/GK$15,"")</f>
        <v/>
      </c>
      <c r="GL393" s="150" t="str">
        <f aca="false">IF(AND(ISNUMBER(GL88),ISNUMBER(GL$320),GL$320&lt;&gt;0),GL88*GL$320/GL$15,"")</f>
        <v/>
      </c>
      <c r="GM393" s="150" t="str">
        <f aca="false">IF(AND(ISNUMBER(GM88),ISNUMBER(GM$320),GM$320&lt;&gt;0),GM88*GM$320/GM$15,"")</f>
        <v/>
      </c>
      <c r="GN393" s="150" t="str">
        <f aca="false">IF(AND(ISNUMBER(GN88),ISNUMBER(GN$320),GN$320&lt;&gt;0),GN88*GN$320/GN$15,"")</f>
        <v/>
      </c>
      <c r="GO393" s="150" t="str">
        <f aca="false">IF(AND(ISNUMBER(GO88),ISNUMBER(GO$320),GO$320&lt;&gt;0),GO88*GO$320/GO$15,"")</f>
        <v/>
      </c>
      <c r="GP393" s="150" t="str">
        <f aca="false">IF(AND(ISNUMBER(GP88),ISNUMBER(GP$320),GP$320&lt;&gt;0),GP88*GP$320/GP$15,"")</f>
        <v/>
      </c>
      <c r="GQ393" s="150" t="str">
        <f aca="false">IF(AND(ISNUMBER(GQ88),ISNUMBER(GQ$320),GQ$320&lt;&gt;0),GQ88*GQ$320/GQ$15,"")</f>
        <v/>
      </c>
      <c r="GR393" s="150" t="str">
        <f aca="false">IF(AND(ISNUMBER(GR88),ISNUMBER(GR$320),GR$320&lt;&gt;0),GR88*GR$320/GR$15,"")</f>
        <v/>
      </c>
      <c r="GS393" s="150" t="str">
        <f aca="false">IF(AND(ISNUMBER(GS88),ISNUMBER(GS$320),GS$320&lt;&gt;0),GS88*GS$320/GS$15,"")</f>
        <v/>
      </c>
      <c r="GT393" s="150" t="str">
        <f aca="false">IF(AND(ISNUMBER(GT88),ISNUMBER(GT$320),GT$320&lt;&gt;0),GT88*GT$320/GT$15,"")</f>
        <v/>
      </c>
      <c r="GU393" s="150" t="str">
        <f aca="false">IF(AND(ISNUMBER(GU88),ISNUMBER(GU$320),GU$320&lt;&gt;0),GU88*GU$320/GU$15,"")</f>
        <v/>
      </c>
      <c r="GV393" s="150" t="str">
        <f aca="false">IF(AND(ISNUMBER(GV88),ISNUMBER(GV$320),GV$320&lt;&gt;0),GV88*GV$320/GV$15,"")</f>
        <v/>
      </c>
      <c r="GW393" s="150" t="str">
        <f aca="false">IF(AND(ISNUMBER(GW88),ISNUMBER(GW$320),GW$320&lt;&gt;0),GW88*GW$320/GW$15,"")</f>
        <v/>
      </c>
      <c r="GX393" s="150" t="str">
        <f aca="false">IF(AND(ISNUMBER(GX88),ISNUMBER(GX$320),GX$320&lt;&gt;0),GX88*GX$320/GX$15,"")</f>
        <v/>
      </c>
      <c r="GY393" s="150" t="str">
        <f aca="false">IF(AND(ISNUMBER(GY88),ISNUMBER(GY$320),GY$320&lt;&gt;0),GY88*GY$320/GY$15,"")</f>
        <v/>
      </c>
      <c r="GZ393" s="150" t="str">
        <f aca="false">IF(AND(ISNUMBER(GZ88),ISNUMBER(GZ$320),GZ$320&lt;&gt;0),GZ88*GZ$320/GZ$15,"")</f>
        <v/>
      </c>
      <c r="HA393" s="150" t="str">
        <f aca="false">IF(AND(ISNUMBER(HA88),ISNUMBER(HA$320),HA$320&lt;&gt;0),HA88*HA$320/HA$15,"")</f>
        <v/>
      </c>
      <c r="HB393" s="150" t="str">
        <f aca="false">IF(AND(ISNUMBER(HB88),ISNUMBER(HB$320),HB$320&lt;&gt;0),HB88*HB$320/HB$15,"")</f>
        <v/>
      </c>
      <c r="HC393" s="150" t="str">
        <f aca="false">IF(AND(ISNUMBER(HC88),ISNUMBER(HC$320),HC$320&lt;&gt;0),HC88*HC$320/HC$15,"")</f>
        <v/>
      </c>
      <c r="HD393" s="150" t="str">
        <f aca="false">IF(AND(ISNUMBER(HD88),ISNUMBER(HD$320),HD$320&lt;&gt;0),HD88*HD$320/HD$15,"")</f>
        <v/>
      </c>
      <c r="HE393" s="150" t="str">
        <f aca="false">IF(AND(ISNUMBER(HE88),ISNUMBER(HE$320),HE$320&lt;&gt;0),HE88*HE$320/HE$15,"")</f>
        <v/>
      </c>
      <c r="HF393" s="150" t="str">
        <f aca="false">IF(AND(ISNUMBER(HF88),ISNUMBER(HF$320),HF$320&lt;&gt;0),HF88*HF$320/HF$15,"")</f>
        <v/>
      </c>
      <c r="HG393" s="150" t="str">
        <f aca="false">IF(AND(ISNUMBER(HG88),ISNUMBER(HG$320),HG$320&lt;&gt;0),HG88*HG$320/HG$15,"")</f>
        <v/>
      </c>
      <c r="HH393" s="150" t="str">
        <f aca="false">IF(AND(ISNUMBER(HH88),ISNUMBER(HH$320),HH$320&lt;&gt;0),HH88*HH$320/HH$15,"")</f>
        <v/>
      </c>
      <c r="HI393" s="150" t="str">
        <f aca="false">IF(AND(ISNUMBER(HI88),ISNUMBER(HI$320),HI$320&lt;&gt;0),HI88*HI$320/HI$15,"")</f>
        <v/>
      </c>
      <c r="HJ393" s="150" t="str">
        <f aca="false">IF(AND(ISNUMBER(HJ88),ISNUMBER(HJ$320),HJ$320&lt;&gt;0),HJ88*HJ$320/HJ$15,"")</f>
        <v/>
      </c>
      <c r="HK393" s="150" t="str">
        <f aca="false">IF(AND(ISNUMBER(HK88),ISNUMBER(HK$320),HK$320&lt;&gt;0),HK88*HK$320/HK$15,"")</f>
        <v/>
      </c>
      <c r="HL393" s="150" t="str">
        <f aca="false">IF(AND(ISNUMBER(HL88),ISNUMBER(HL$320),HL$320&lt;&gt;0),HL88*HL$320/HL$15,"")</f>
        <v/>
      </c>
      <c r="HM393" s="150" t="str">
        <f aca="false">IF(AND(ISNUMBER(HM88),ISNUMBER(HM$320),HM$320&lt;&gt;0),HM88*HM$320/HM$15,"")</f>
        <v/>
      </c>
      <c r="HN393" s="150" t="str">
        <f aca="false">IF(AND(ISNUMBER(HN88),ISNUMBER(HN$320),HN$320&lt;&gt;0),HN88*HN$320/HN$15,"")</f>
        <v/>
      </c>
      <c r="HO393" s="150" t="str">
        <f aca="false">IF(AND(ISNUMBER(HO88),ISNUMBER(HO$320),HO$320&lt;&gt;0),HO88*HO$320/HO$15,"")</f>
        <v/>
      </c>
      <c r="HP393" s="150" t="str">
        <f aca="false">IF(AND(ISNUMBER(HP88),ISNUMBER(HP$320),HP$320&lt;&gt;0),HP88*HP$320/HP$15,"")</f>
        <v/>
      </c>
      <c r="HQ393" s="150" t="str">
        <f aca="false">IF(AND(ISNUMBER(HQ88),ISNUMBER(HQ$320),HQ$320&lt;&gt;0),HQ88*HQ$320/HQ$15,"")</f>
        <v/>
      </c>
      <c r="HR393" s="150" t="str">
        <f aca="false">IF(AND(ISNUMBER(HR88),ISNUMBER(HR$320),HR$320&lt;&gt;0),HR88*HR$320/HR$15,"")</f>
        <v/>
      </c>
      <c r="HS393" s="150" t="str">
        <f aca="false">IF(AND(ISNUMBER(HS88),ISNUMBER(HS$320),HS$320&lt;&gt;0),HS88*HS$320/HS$15,"")</f>
        <v/>
      </c>
      <c r="HT393" s="150" t="str">
        <f aca="false">IF(AND(ISNUMBER(HT88),ISNUMBER(HT$320),HT$320&lt;&gt;0),HT88*HT$320/HT$15,"")</f>
        <v/>
      </c>
      <c r="HU393" s="150" t="str">
        <f aca="false">IF(AND(ISNUMBER(HU88),ISNUMBER(HU$320),HU$320&lt;&gt;0),HU88*HU$320/HU$15,"")</f>
        <v/>
      </c>
      <c r="HV393" s="150" t="str">
        <f aca="false">IF(AND(ISNUMBER(HV88),ISNUMBER(HV$320),HV$320&lt;&gt;0),HV88*HV$320/HV$15,"")</f>
        <v/>
      </c>
      <c r="HW393" s="150" t="str">
        <f aca="false">IF(AND(ISNUMBER(HW88),ISNUMBER(HW$320),HW$320&lt;&gt;0),HW88*HW$320/HW$15,"")</f>
        <v/>
      </c>
      <c r="HX393" s="150" t="str">
        <f aca="false">IF(AND(ISNUMBER(HX88),ISNUMBER(HX$320),HX$320&lt;&gt;0),HX88*HX$320/HX$15,"")</f>
        <v/>
      </c>
      <c r="HY393" s="150" t="str">
        <f aca="false">IF(AND(ISNUMBER(HY88),ISNUMBER(HY$320),HY$320&lt;&gt;0),HY88*HY$320/HY$15,"")</f>
        <v/>
      </c>
      <c r="HZ393" s="150" t="str">
        <f aca="false">IF(AND(ISNUMBER(HZ88),ISNUMBER(HZ$320),HZ$320&lt;&gt;0),HZ88*HZ$320/HZ$15,"")</f>
        <v/>
      </c>
      <c r="IA393" s="150" t="str">
        <f aca="false">IF(AND(ISNUMBER(IA88),ISNUMBER(IA$320),IA$320&lt;&gt;0),IA88*IA$320/IA$15,"")</f>
        <v/>
      </c>
      <c r="IB393" s="150" t="str">
        <f aca="false">IF(AND(ISNUMBER(IB88),ISNUMBER(IB$320),IB$320&lt;&gt;0),IB88*IB$320/IB$15,"")</f>
        <v/>
      </c>
      <c r="IC393" s="150" t="str">
        <f aca="false">IF(AND(ISNUMBER(IC88),ISNUMBER(IC$320),IC$320&lt;&gt;0),IC88*IC$320/IC$15,"")</f>
        <v/>
      </c>
      <c r="ID393" s="572" t="str">
        <f aca="false">IF(AND(ISNUMBER(ID88),ISNUMBER(ID$320),ID$320&lt;&gt;0),ID88*ID$320/ID$15,"")</f>
        <v/>
      </c>
    </row>
    <row r="394" customFormat="false" ht="12.75" hidden="false" customHeight="false" outlineLevel="0" collapsed="false">
      <c r="I394" s="735"/>
      <c r="J394" s="727"/>
      <c r="K394" s="195"/>
      <c r="L394" s="195"/>
      <c r="M394" s="729"/>
      <c r="P394" s="727"/>
      <c r="S394" s="1"/>
      <c r="T394" s="727"/>
      <c r="U394" s="195"/>
      <c r="V394" s="195"/>
      <c r="W394" s="195"/>
      <c r="X394" s="195"/>
      <c r="Y394" s="195"/>
      <c r="Z394" s="195"/>
      <c r="AA394" s="195"/>
      <c r="AB394" s="195"/>
      <c r="AC394" s="195"/>
      <c r="AD394" s="195"/>
      <c r="AE394" s="195"/>
      <c r="AF394" s="195"/>
      <c r="AG394" s="195"/>
      <c r="AH394" s="195"/>
      <c r="AI394" s="195"/>
      <c r="AJ394" s="195"/>
      <c r="AK394" s="195"/>
      <c r="AL394" s="195"/>
      <c r="AM394" s="195"/>
      <c r="AN394" s="532"/>
      <c r="AO394" s="532"/>
      <c r="AP394" s="240"/>
      <c r="AQ394" s="532"/>
      <c r="AR394" s="240"/>
      <c r="AS394" s="240"/>
      <c r="AT394" s="240"/>
      <c r="AU394" s="730"/>
      <c r="AV394" s="730"/>
      <c r="AW394" s="730"/>
      <c r="AX394" s="730"/>
      <c r="AY394" s="468"/>
      <c r="AZ394" s="468"/>
      <c r="BA394" s="240"/>
      <c r="BB394" s="240"/>
      <c r="BC394" s="240"/>
      <c r="BD394" s="240"/>
      <c r="BE394" s="672"/>
      <c r="BF394" s="672"/>
      <c r="BG394" s="672"/>
      <c r="BH394" s="731"/>
      <c r="BI394" s="672"/>
      <c r="BJ394" s="240"/>
      <c r="BK394" s="736"/>
      <c r="BL394" s="737"/>
      <c r="BM394" s="240"/>
      <c r="BN394" s="240"/>
      <c r="BO394" s="240"/>
      <c r="BP394" s="240"/>
      <c r="BQ394" s="240"/>
      <c r="BR394" s="240"/>
      <c r="BS394" s="240"/>
      <c r="BT394" s="240"/>
      <c r="BU394" s="240"/>
      <c r="BV394" s="240"/>
      <c r="BW394" s="240"/>
      <c r="BX394" s="240"/>
      <c r="BY394" s="240"/>
      <c r="BZ394" s="240"/>
      <c r="CA394" s="240"/>
      <c r="CB394" s="672"/>
      <c r="CC394" s="672"/>
      <c r="CD394" s="672"/>
      <c r="CE394" s="672"/>
      <c r="CF394" s="672"/>
      <c r="CG394" s="672"/>
      <c r="CH394" s="240"/>
      <c r="CI394" s="240"/>
      <c r="CJ394" s="240"/>
      <c r="CK394" s="240"/>
      <c r="CL394" s="240"/>
      <c r="CM394" s="240"/>
      <c r="CN394" s="240"/>
      <c r="CO394" s="240"/>
      <c r="CP394" s="240"/>
      <c r="CQ394" s="240"/>
      <c r="CR394" s="240"/>
      <c r="CS394" s="240"/>
      <c r="CT394" s="240"/>
      <c r="CU394" s="240"/>
      <c r="CV394" s="240"/>
      <c r="CW394" s="240"/>
      <c r="CX394" s="240"/>
      <c r="CY394" s="240"/>
      <c r="CZ394" s="240"/>
      <c r="DA394" s="240"/>
      <c r="DB394" s="240"/>
      <c r="DC394" s="240"/>
      <c r="DD394" s="240"/>
      <c r="DE394" s="240"/>
      <c r="DF394" s="240"/>
      <c r="DG394" s="733"/>
      <c r="DH394" s="478"/>
      <c r="DI394" s="195"/>
      <c r="DJ394" s="3"/>
      <c r="DK394" s="478"/>
      <c r="DL394" s="4"/>
      <c r="DM394" s="4"/>
      <c r="DN394" s="4"/>
      <c r="DO394" s="4"/>
      <c r="DP394" s="4"/>
      <c r="DQ394" s="4"/>
      <c r="DS394" s="195"/>
      <c r="DT394" s="195"/>
      <c r="DU394" s="195"/>
      <c r="DV394" s="195"/>
      <c r="DW394" s="195"/>
      <c r="DX394" s="195"/>
      <c r="DY394" s="195"/>
      <c r="DZ394" s="195"/>
      <c r="EA394" s="195"/>
      <c r="EB394" s="195"/>
      <c r="EC394" s="195"/>
      <c r="ED394" s="195"/>
      <c r="EE394" s="195"/>
      <c r="EF394" s="195"/>
      <c r="EG394" s="195"/>
      <c r="EL394" s="1"/>
      <c r="EM394" s="195"/>
      <c r="EN394" s="240"/>
      <c r="EO394" s="240"/>
      <c r="EP394" s="195"/>
      <c r="EQ394" s="240"/>
      <c r="ER394" s="195"/>
      <c r="ES394" s="195"/>
      <c r="ET394" s="195"/>
      <c r="EU394" s="672"/>
      <c r="FJ394" s="571" t="n">
        <v>70</v>
      </c>
      <c r="FK394" s="150" t="str">
        <f aca="false">IF(AND(ISNUMBER(FK89),ISNUMBER(FK$320),FK$320&lt;&gt;0),FK89*FK$320/FK$15,"")</f>
        <v/>
      </c>
      <c r="FL394" s="150" t="str">
        <f aca="false">IF(AND(ISNUMBER(FL89),ISNUMBER(FL$320),FL$320&lt;&gt;0),FL89*FL$320/FL$15,"")</f>
        <v/>
      </c>
      <c r="FM394" s="150" t="n">
        <f aca="false">IF(AND(ISNUMBER(FM89),ISNUMBER(FM$320),FM$320&lt;&gt;0),FM89*FM$320/FM$15,"")</f>
        <v>0.00254687203357467</v>
      </c>
      <c r="FN394" s="150" t="n">
        <f aca="false">IF(AND(ISNUMBER(FN89),ISNUMBER(FN$320),FN$320&lt;&gt;0),FN89*FN$320/FN$15,"")</f>
        <v>0.00214364071918491</v>
      </c>
      <c r="FO394" s="150" t="n">
        <f aca="false">IF(AND(ISNUMBER(FO89),ISNUMBER(FO$320),FO$320&lt;&gt;0),FO89*FO$320/FO$15,"")</f>
        <v>0.00222972186186703</v>
      </c>
      <c r="FP394" s="150" t="n">
        <f aca="false">IF(AND(ISNUMBER(FP89),ISNUMBER(FP$320),FP$320&lt;&gt;0),FP89*FP$320/FP$15,"")</f>
        <v>0.00123539214328007</v>
      </c>
      <c r="FQ394" s="150" t="str">
        <f aca="false">IF(AND(ISNUMBER(FQ89),ISNUMBER(FQ$320),FQ$320&lt;&gt;0),FQ89*FQ$320/FQ$15,"")</f>
        <v/>
      </c>
      <c r="FR394" s="150" t="str">
        <f aca="false">IF(AND(ISNUMBER(FR89),ISNUMBER(FR$320),FR$320&lt;&gt;0),FR89*FR$320/FR$15,"")</f>
        <v/>
      </c>
      <c r="FS394" s="150" t="str">
        <f aca="false">IF(AND(ISNUMBER(FS89),ISNUMBER(FS$320),FS$320&lt;&gt;0),FS89*FS$320/FS$15,"")</f>
        <v/>
      </c>
      <c r="FT394" s="150" t="str">
        <f aca="false">IF(AND(ISNUMBER(FT89),ISNUMBER(FT$320),FT$320&lt;&gt;0),FT89*FT$320/FT$15,"")</f>
        <v/>
      </c>
      <c r="FU394" s="150" t="str">
        <f aca="false">IF(AND(ISNUMBER(FU89),ISNUMBER(FU$320),FU$320&lt;&gt;0),FU89*FU$320/FU$15,"")</f>
        <v/>
      </c>
      <c r="FV394" s="150" t="str">
        <f aca="false">IF(AND(ISNUMBER(FV89),ISNUMBER(FV$320),FV$320&lt;&gt;0),FV89*FV$320/FV$15,"")</f>
        <v/>
      </c>
      <c r="FW394" s="150" t="str">
        <f aca="false">IF(AND(ISNUMBER(FW89),ISNUMBER(FW$320),FW$320&lt;&gt;0),FW89*FW$320/FW$15,"")</f>
        <v/>
      </c>
      <c r="FX394" s="150" t="str">
        <f aca="false">IF(AND(ISNUMBER(FX89),ISNUMBER(FX$320),FX$320&lt;&gt;0),FX89*FX$320/FX$15,"")</f>
        <v/>
      </c>
      <c r="FY394" s="150" t="str">
        <f aca="false">IF(AND(ISNUMBER(FY89),ISNUMBER(FY$320),FY$320&lt;&gt;0),FY89*FY$320/FY$15,"")</f>
        <v/>
      </c>
      <c r="FZ394" s="150" t="str">
        <f aca="false">IF(AND(ISNUMBER(FZ89),ISNUMBER(FZ$320),FZ$320&lt;&gt;0),FZ89*FZ$320/FZ$15,"")</f>
        <v/>
      </c>
      <c r="GA394" s="150" t="str">
        <f aca="false">IF(AND(ISNUMBER(GA89),ISNUMBER(GA$320),GA$320&lt;&gt;0),GA89*GA$320/GA$15,"")</f>
        <v/>
      </c>
      <c r="GB394" s="150" t="str">
        <f aca="false">IF(AND(ISNUMBER(GB89),ISNUMBER(GB$320),GB$320&lt;&gt;0),GB89*GB$320/GB$15,"")</f>
        <v/>
      </c>
      <c r="GC394" s="150" t="str">
        <f aca="false">IF(AND(ISNUMBER(GC89),ISNUMBER(GC$320),GC$320&lt;&gt;0),GC89*GC$320/GC$15,"")</f>
        <v/>
      </c>
      <c r="GD394" s="150" t="str">
        <f aca="false">IF(AND(ISNUMBER(GD89),ISNUMBER(GD$320),GD$320&lt;&gt;0),GD89*GD$320/GD$15,"")</f>
        <v/>
      </c>
      <c r="GE394" s="150" t="str">
        <f aca="false">IF(AND(ISNUMBER(GE89),ISNUMBER(GE$320),GE$320&lt;&gt;0),GE89*GE$320/GE$15,"")</f>
        <v/>
      </c>
      <c r="GF394" s="150" t="str">
        <f aca="false">IF(AND(ISNUMBER(GF89),ISNUMBER(GF$320),GF$320&lt;&gt;0),GF89*GF$320/GF$15,"")</f>
        <v/>
      </c>
      <c r="GG394" s="150" t="str">
        <f aca="false">IF(AND(ISNUMBER(GG89),ISNUMBER(GG$320),GG$320&lt;&gt;0),GG89*GG$320/GG$15,"")</f>
        <v/>
      </c>
      <c r="GH394" s="150" t="str">
        <f aca="false">IF(AND(ISNUMBER(GH89),ISNUMBER(GH$320),GH$320&lt;&gt;0),GH89*GH$320/GH$15,"")</f>
        <v/>
      </c>
      <c r="GI394" s="150" t="str">
        <f aca="false">IF(AND(ISNUMBER(GI89),ISNUMBER(GI$320),GI$320&lt;&gt;0),GI89*GI$320/GI$15,"")</f>
        <v/>
      </c>
      <c r="GJ394" s="150" t="str">
        <f aca="false">IF(AND(ISNUMBER(GJ89),ISNUMBER(GJ$320),GJ$320&lt;&gt;0),GJ89*GJ$320/GJ$15,"")</f>
        <v/>
      </c>
      <c r="GK394" s="150" t="str">
        <f aca="false">IF(AND(ISNUMBER(GK89),ISNUMBER(GK$320),GK$320&lt;&gt;0),GK89*GK$320/GK$15,"")</f>
        <v/>
      </c>
      <c r="GL394" s="150" t="str">
        <f aca="false">IF(AND(ISNUMBER(GL89),ISNUMBER(GL$320),GL$320&lt;&gt;0),GL89*GL$320/GL$15,"")</f>
        <v/>
      </c>
      <c r="GM394" s="150" t="str">
        <f aca="false">IF(AND(ISNUMBER(GM89),ISNUMBER(GM$320),GM$320&lt;&gt;0),GM89*GM$320/GM$15,"")</f>
        <v/>
      </c>
      <c r="GN394" s="150" t="str">
        <f aca="false">IF(AND(ISNUMBER(GN89),ISNUMBER(GN$320),GN$320&lt;&gt;0),GN89*GN$320/GN$15,"")</f>
        <v/>
      </c>
      <c r="GO394" s="150" t="str">
        <f aca="false">IF(AND(ISNUMBER(GO89),ISNUMBER(GO$320),GO$320&lt;&gt;0),GO89*GO$320/GO$15,"")</f>
        <v/>
      </c>
      <c r="GP394" s="150" t="str">
        <f aca="false">IF(AND(ISNUMBER(GP89),ISNUMBER(GP$320),GP$320&lt;&gt;0),GP89*GP$320/GP$15,"")</f>
        <v/>
      </c>
      <c r="GQ394" s="150" t="str">
        <f aca="false">IF(AND(ISNUMBER(GQ89),ISNUMBER(GQ$320),GQ$320&lt;&gt;0),GQ89*GQ$320/GQ$15,"")</f>
        <v/>
      </c>
      <c r="GR394" s="150" t="str">
        <f aca="false">IF(AND(ISNUMBER(GR89),ISNUMBER(GR$320),GR$320&lt;&gt;0),GR89*GR$320/GR$15,"")</f>
        <v/>
      </c>
      <c r="GS394" s="150" t="str">
        <f aca="false">IF(AND(ISNUMBER(GS89),ISNUMBER(GS$320),GS$320&lt;&gt;0),GS89*GS$320/GS$15,"")</f>
        <v/>
      </c>
      <c r="GT394" s="150" t="str">
        <f aca="false">IF(AND(ISNUMBER(GT89),ISNUMBER(GT$320),GT$320&lt;&gt;0),GT89*GT$320/GT$15,"")</f>
        <v/>
      </c>
      <c r="GU394" s="150" t="str">
        <f aca="false">IF(AND(ISNUMBER(GU89),ISNUMBER(GU$320),GU$320&lt;&gt;0),GU89*GU$320/GU$15,"")</f>
        <v/>
      </c>
      <c r="GV394" s="150" t="str">
        <f aca="false">IF(AND(ISNUMBER(GV89),ISNUMBER(GV$320),GV$320&lt;&gt;0),GV89*GV$320/GV$15,"")</f>
        <v/>
      </c>
      <c r="GW394" s="150" t="str">
        <f aca="false">IF(AND(ISNUMBER(GW89),ISNUMBER(GW$320),GW$320&lt;&gt;0),GW89*GW$320/GW$15,"")</f>
        <v/>
      </c>
      <c r="GX394" s="150" t="str">
        <f aca="false">IF(AND(ISNUMBER(GX89),ISNUMBER(GX$320),GX$320&lt;&gt;0),GX89*GX$320/GX$15,"")</f>
        <v/>
      </c>
      <c r="GY394" s="150" t="str">
        <f aca="false">IF(AND(ISNUMBER(GY89),ISNUMBER(GY$320),GY$320&lt;&gt;0),GY89*GY$320/GY$15,"")</f>
        <v/>
      </c>
      <c r="GZ394" s="150" t="str">
        <f aca="false">IF(AND(ISNUMBER(GZ89),ISNUMBER(GZ$320),GZ$320&lt;&gt;0),GZ89*GZ$320/GZ$15,"")</f>
        <v/>
      </c>
      <c r="HA394" s="150" t="str">
        <f aca="false">IF(AND(ISNUMBER(HA89),ISNUMBER(HA$320),HA$320&lt;&gt;0),HA89*HA$320/HA$15,"")</f>
        <v/>
      </c>
      <c r="HB394" s="150" t="str">
        <f aca="false">IF(AND(ISNUMBER(HB89),ISNUMBER(HB$320),HB$320&lt;&gt;0),HB89*HB$320/HB$15,"")</f>
        <v/>
      </c>
      <c r="HC394" s="150" t="str">
        <f aca="false">IF(AND(ISNUMBER(HC89),ISNUMBER(HC$320),HC$320&lt;&gt;0),HC89*HC$320/HC$15,"")</f>
        <v/>
      </c>
      <c r="HD394" s="150" t="str">
        <f aca="false">IF(AND(ISNUMBER(HD89),ISNUMBER(HD$320),HD$320&lt;&gt;0),HD89*HD$320/HD$15,"")</f>
        <v/>
      </c>
      <c r="HE394" s="150" t="str">
        <f aca="false">IF(AND(ISNUMBER(HE89),ISNUMBER(HE$320),HE$320&lt;&gt;0),HE89*HE$320/HE$15,"")</f>
        <v/>
      </c>
      <c r="HF394" s="150" t="str">
        <f aca="false">IF(AND(ISNUMBER(HF89),ISNUMBER(HF$320),HF$320&lt;&gt;0),HF89*HF$320/HF$15,"")</f>
        <v/>
      </c>
      <c r="HG394" s="150" t="str">
        <f aca="false">IF(AND(ISNUMBER(HG89),ISNUMBER(HG$320),HG$320&lt;&gt;0),HG89*HG$320/HG$15,"")</f>
        <v/>
      </c>
      <c r="HH394" s="150" t="str">
        <f aca="false">IF(AND(ISNUMBER(HH89),ISNUMBER(HH$320),HH$320&lt;&gt;0),HH89*HH$320/HH$15,"")</f>
        <v/>
      </c>
      <c r="HI394" s="150" t="str">
        <f aca="false">IF(AND(ISNUMBER(HI89),ISNUMBER(HI$320),HI$320&lt;&gt;0),HI89*HI$320/HI$15,"")</f>
        <v/>
      </c>
      <c r="HJ394" s="150" t="str">
        <f aca="false">IF(AND(ISNUMBER(HJ89),ISNUMBER(HJ$320),HJ$320&lt;&gt;0),HJ89*HJ$320/HJ$15,"")</f>
        <v/>
      </c>
      <c r="HK394" s="150" t="str">
        <f aca="false">IF(AND(ISNUMBER(HK89),ISNUMBER(HK$320),HK$320&lt;&gt;0),HK89*HK$320/HK$15,"")</f>
        <v/>
      </c>
      <c r="HL394" s="150" t="str">
        <f aca="false">IF(AND(ISNUMBER(HL89),ISNUMBER(HL$320),HL$320&lt;&gt;0),HL89*HL$320/HL$15,"")</f>
        <v/>
      </c>
      <c r="HM394" s="150" t="str">
        <f aca="false">IF(AND(ISNUMBER(HM89),ISNUMBER(HM$320),HM$320&lt;&gt;0),HM89*HM$320/HM$15,"")</f>
        <v/>
      </c>
      <c r="HN394" s="150" t="str">
        <f aca="false">IF(AND(ISNUMBER(HN89),ISNUMBER(HN$320),HN$320&lt;&gt;0),HN89*HN$320/HN$15,"")</f>
        <v/>
      </c>
      <c r="HO394" s="150" t="str">
        <f aca="false">IF(AND(ISNUMBER(HO89),ISNUMBER(HO$320),HO$320&lt;&gt;0),HO89*HO$320/HO$15,"")</f>
        <v/>
      </c>
      <c r="HP394" s="150" t="str">
        <f aca="false">IF(AND(ISNUMBER(HP89),ISNUMBER(HP$320),HP$320&lt;&gt;0),HP89*HP$320/HP$15,"")</f>
        <v/>
      </c>
      <c r="HQ394" s="150" t="str">
        <f aca="false">IF(AND(ISNUMBER(HQ89),ISNUMBER(HQ$320),HQ$320&lt;&gt;0),HQ89*HQ$320/HQ$15,"")</f>
        <v/>
      </c>
      <c r="HR394" s="150" t="str">
        <f aca="false">IF(AND(ISNUMBER(HR89),ISNUMBER(HR$320),HR$320&lt;&gt;0),HR89*HR$320/HR$15,"")</f>
        <v/>
      </c>
      <c r="HS394" s="150" t="str">
        <f aca="false">IF(AND(ISNUMBER(HS89),ISNUMBER(HS$320),HS$320&lt;&gt;0),HS89*HS$320/HS$15,"")</f>
        <v/>
      </c>
      <c r="HT394" s="150" t="str">
        <f aca="false">IF(AND(ISNUMBER(HT89),ISNUMBER(HT$320),HT$320&lt;&gt;0),HT89*HT$320/HT$15,"")</f>
        <v/>
      </c>
      <c r="HU394" s="150" t="str">
        <f aca="false">IF(AND(ISNUMBER(HU89),ISNUMBER(HU$320),HU$320&lt;&gt;0),HU89*HU$320/HU$15,"")</f>
        <v/>
      </c>
      <c r="HV394" s="150" t="str">
        <f aca="false">IF(AND(ISNUMBER(HV89),ISNUMBER(HV$320),HV$320&lt;&gt;0),HV89*HV$320/HV$15,"")</f>
        <v/>
      </c>
      <c r="HW394" s="150" t="str">
        <f aca="false">IF(AND(ISNUMBER(HW89),ISNUMBER(HW$320),HW$320&lt;&gt;0),HW89*HW$320/HW$15,"")</f>
        <v/>
      </c>
      <c r="HX394" s="150" t="str">
        <f aca="false">IF(AND(ISNUMBER(HX89),ISNUMBER(HX$320),HX$320&lt;&gt;0),HX89*HX$320/HX$15,"")</f>
        <v/>
      </c>
      <c r="HY394" s="150" t="str">
        <f aca="false">IF(AND(ISNUMBER(HY89),ISNUMBER(HY$320),HY$320&lt;&gt;0),HY89*HY$320/HY$15,"")</f>
        <v/>
      </c>
      <c r="HZ394" s="150" t="str">
        <f aca="false">IF(AND(ISNUMBER(HZ89),ISNUMBER(HZ$320),HZ$320&lt;&gt;0),HZ89*HZ$320/HZ$15,"")</f>
        <v/>
      </c>
      <c r="IA394" s="150" t="str">
        <f aca="false">IF(AND(ISNUMBER(IA89),ISNUMBER(IA$320),IA$320&lt;&gt;0),IA89*IA$320/IA$15,"")</f>
        <v/>
      </c>
      <c r="IB394" s="150" t="str">
        <f aca="false">IF(AND(ISNUMBER(IB89),ISNUMBER(IB$320),IB$320&lt;&gt;0),IB89*IB$320/IB$15,"")</f>
        <v/>
      </c>
      <c r="IC394" s="150" t="str">
        <f aca="false">IF(AND(ISNUMBER(IC89),ISNUMBER(IC$320),IC$320&lt;&gt;0),IC89*IC$320/IC$15,"")</f>
        <v/>
      </c>
      <c r="ID394" s="572" t="str">
        <f aca="false">IF(AND(ISNUMBER(ID89),ISNUMBER(ID$320),ID$320&lt;&gt;0),ID89*ID$320/ID$15,"")</f>
        <v/>
      </c>
    </row>
    <row r="395" customFormat="false" ht="12.75" hidden="false" customHeight="false" outlineLevel="0" collapsed="false">
      <c r="I395" s="735"/>
      <c r="J395" s="727"/>
      <c r="K395" s="195"/>
      <c r="L395" s="195"/>
      <c r="M395" s="729"/>
      <c r="P395" s="727"/>
      <c r="S395" s="1"/>
      <c r="T395" s="727"/>
      <c r="U395" s="195"/>
      <c r="V395" s="195"/>
      <c r="W395" s="195"/>
      <c r="X395" s="195"/>
      <c r="Y395" s="195"/>
      <c r="Z395" s="195"/>
      <c r="AA395" s="195"/>
      <c r="AB395" s="195"/>
      <c r="AC395" s="195"/>
      <c r="AD395" s="195"/>
      <c r="AE395" s="195"/>
      <c r="AF395" s="195"/>
      <c r="AG395" s="195"/>
      <c r="AH395" s="195"/>
      <c r="AI395" s="195"/>
      <c r="AJ395" s="195"/>
      <c r="AK395" s="195"/>
      <c r="AL395" s="195"/>
      <c r="AM395" s="195"/>
      <c r="AN395" s="532"/>
      <c r="AO395" s="532"/>
      <c r="AP395" s="240"/>
      <c r="AQ395" s="532"/>
      <c r="AR395" s="240"/>
      <c r="AS395" s="240"/>
      <c r="AT395" s="240"/>
      <c r="AU395" s="730"/>
      <c r="AV395" s="730"/>
      <c r="AW395" s="730"/>
      <c r="AX395" s="730"/>
      <c r="AY395" s="468"/>
      <c r="AZ395" s="468"/>
      <c r="BA395" s="240"/>
      <c r="BB395" s="240"/>
      <c r="BC395" s="240"/>
      <c r="BD395" s="240"/>
      <c r="BE395" s="672"/>
      <c r="BF395" s="672"/>
      <c r="BG395" s="672"/>
      <c r="BH395" s="731"/>
      <c r="BI395" s="672"/>
      <c r="BJ395" s="240"/>
      <c r="BK395" s="736"/>
      <c r="BL395" s="737"/>
      <c r="BM395" s="240"/>
      <c r="BN395" s="240"/>
      <c r="BO395" s="240"/>
      <c r="BP395" s="240"/>
      <c r="BQ395" s="240"/>
      <c r="BR395" s="240"/>
      <c r="BS395" s="240"/>
      <c r="BT395" s="240"/>
      <c r="BU395" s="240"/>
      <c r="BV395" s="240"/>
      <c r="BW395" s="240"/>
      <c r="BX395" s="240"/>
      <c r="BY395" s="240"/>
      <c r="BZ395" s="240"/>
      <c r="CA395" s="240"/>
      <c r="CB395" s="672"/>
      <c r="CC395" s="672"/>
      <c r="CD395" s="672"/>
      <c r="CE395" s="672"/>
      <c r="CF395" s="672"/>
      <c r="CG395" s="672"/>
      <c r="CH395" s="240"/>
      <c r="CI395" s="240"/>
      <c r="CJ395" s="240"/>
      <c r="CK395" s="240"/>
      <c r="CL395" s="240"/>
      <c r="CM395" s="240"/>
      <c r="CN395" s="240"/>
      <c r="CO395" s="240"/>
      <c r="CP395" s="240"/>
      <c r="CQ395" s="240"/>
      <c r="CR395" s="240"/>
      <c r="CS395" s="240"/>
      <c r="CT395" s="240"/>
      <c r="CU395" s="240"/>
      <c r="CV395" s="240"/>
      <c r="CW395" s="240"/>
      <c r="CX395" s="240"/>
      <c r="CY395" s="240"/>
      <c r="CZ395" s="240"/>
      <c r="DA395" s="240"/>
      <c r="DB395" s="240"/>
      <c r="DC395" s="240"/>
      <c r="DD395" s="240"/>
      <c r="DE395" s="240"/>
      <c r="DF395" s="240"/>
      <c r="DG395" s="733"/>
      <c r="DH395" s="478"/>
      <c r="DI395" s="195"/>
      <c r="DJ395" s="3"/>
      <c r="DK395" s="478"/>
      <c r="DL395" s="4"/>
      <c r="DM395" s="4"/>
      <c r="DN395" s="4"/>
      <c r="DO395" s="4"/>
      <c r="DP395" s="4"/>
      <c r="DQ395" s="4"/>
      <c r="DS395" s="195"/>
      <c r="DT395" s="195"/>
      <c r="DU395" s="195"/>
      <c r="DV395" s="195"/>
      <c r="DW395" s="195"/>
      <c r="DX395" s="195"/>
      <c r="DY395" s="195"/>
      <c r="DZ395" s="195"/>
      <c r="EA395" s="195"/>
      <c r="EB395" s="195"/>
      <c r="EC395" s="195"/>
      <c r="ED395" s="195"/>
      <c r="EE395" s="195"/>
      <c r="EF395" s="195"/>
      <c r="EG395" s="195"/>
      <c r="EL395" s="1"/>
      <c r="EM395" s="195"/>
      <c r="EN395" s="240"/>
      <c r="EO395" s="240"/>
      <c r="EP395" s="195"/>
      <c r="EQ395" s="240"/>
      <c r="ER395" s="195"/>
      <c r="ES395" s="195"/>
      <c r="ET395" s="195"/>
      <c r="EU395" s="672"/>
      <c r="FJ395" s="571" t="n">
        <v>71</v>
      </c>
      <c r="FK395" s="150" t="str">
        <f aca="false">IF(AND(ISNUMBER(FK90),ISNUMBER(FK$320),FK$320&lt;&gt;0),FK90*FK$320/FK$15,"")</f>
        <v/>
      </c>
      <c r="FL395" s="150" t="str">
        <f aca="false">IF(AND(ISNUMBER(FL90),ISNUMBER(FL$320),FL$320&lt;&gt;0),FL90*FL$320/FL$15,"")</f>
        <v/>
      </c>
      <c r="FM395" s="150" t="n">
        <f aca="false">IF(AND(ISNUMBER(FM90),ISNUMBER(FM$320),FM$320&lt;&gt;0),FM90*FM$320/FM$15,"")</f>
        <v>0.00254685621184049</v>
      </c>
      <c r="FN395" s="150" t="n">
        <f aca="false">IF(AND(ISNUMBER(FN90),ISNUMBER(FN$320),FN$320&lt;&gt;0),FN90*FN$320/FN$15,"")</f>
        <v>0.00214362514401322</v>
      </c>
      <c r="FO395" s="150" t="n">
        <f aca="false">IF(AND(ISNUMBER(FO90),ISNUMBER(FO$320),FO$320&lt;&gt;0),FO90*FO$320/FO$15,"")</f>
        <v>0.00222970291377778</v>
      </c>
      <c r="FP395" s="150" t="n">
        <f aca="false">IF(AND(ISNUMBER(FP90),ISNUMBER(FP$320),FP$320&lt;&gt;0),FP90*FP$320/FP$15,"")</f>
        <v>0.00123537986455006</v>
      </c>
      <c r="FQ395" s="150" t="str">
        <f aca="false">IF(AND(ISNUMBER(FQ90),ISNUMBER(FQ$320),FQ$320&lt;&gt;0),FQ90*FQ$320/FQ$15,"")</f>
        <v/>
      </c>
      <c r="FR395" s="150" t="str">
        <f aca="false">IF(AND(ISNUMBER(FR90),ISNUMBER(FR$320),FR$320&lt;&gt;0),FR90*FR$320/FR$15,"")</f>
        <v/>
      </c>
      <c r="FS395" s="150" t="str">
        <f aca="false">IF(AND(ISNUMBER(FS90),ISNUMBER(FS$320),FS$320&lt;&gt;0),FS90*FS$320/FS$15,"")</f>
        <v/>
      </c>
      <c r="FT395" s="150" t="str">
        <f aca="false">IF(AND(ISNUMBER(FT90),ISNUMBER(FT$320),FT$320&lt;&gt;0),FT90*FT$320/FT$15,"")</f>
        <v/>
      </c>
      <c r="FU395" s="150" t="str">
        <f aca="false">IF(AND(ISNUMBER(FU90),ISNUMBER(FU$320),FU$320&lt;&gt;0),FU90*FU$320/FU$15,"")</f>
        <v/>
      </c>
      <c r="FV395" s="150" t="str">
        <f aca="false">IF(AND(ISNUMBER(FV90),ISNUMBER(FV$320),FV$320&lt;&gt;0),FV90*FV$320/FV$15,"")</f>
        <v/>
      </c>
      <c r="FW395" s="150" t="str">
        <f aca="false">IF(AND(ISNUMBER(FW90),ISNUMBER(FW$320),FW$320&lt;&gt;0),FW90*FW$320/FW$15,"")</f>
        <v/>
      </c>
      <c r="FX395" s="150" t="str">
        <f aca="false">IF(AND(ISNUMBER(FX90),ISNUMBER(FX$320),FX$320&lt;&gt;0),FX90*FX$320/FX$15,"")</f>
        <v/>
      </c>
      <c r="FY395" s="150" t="str">
        <f aca="false">IF(AND(ISNUMBER(FY90),ISNUMBER(FY$320),FY$320&lt;&gt;0),FY90*FY$320/FY$15,"")</f>
        <v/>
      </c>
      <c r="FZ395" s="150" t="str">
        <f aca="false">IF(AND(ISNUMBER(FZ90),ISNUMBER(FZ$320),FZ$320&lt;&gt;0),FZ90*FZ$320/FZ$15,"")</f>
        <v/>
      </c>
      <c r="GA395" s="150" t="str">
        <f aca="false">IF(AND(ISNUMBER(GA90),ISNUMBER(GA$320),GA$320&lt;&gt;0),GA90*GA$320/GA$15,"")</f>
        <v/>
      </c>
      <c r="GB395" s="150" t="str">
        <f aca="false">IF(AND(ISNUMBER(GB90),ISNUMBER(GB$320),GB$320&lt;&gt;0),GB90*GB$320/GB$15,"")</f>
        <v/>
      </c>
      <c r="GC395" s="150" t="str">
        <f aca="false">IF(AND(ISNUMBER(GC90),ISNUMBER(GC$320),GC$320&lt;&gt;0),GC90*GC$320/GC$15,"")</f>
        <v/>
      </c>
      <c r="GD395" s="150" t="str">
        <f aca="false">IF(AND(ISNUMBER(GD90),ISNUMBER(GD$320),GD$320&lt;&gt;0),GD90*GD$320/GD$15,"")</f>
        <v/>
      </c>
      <c r="GE395" s="150" t="str">
        <f aca="false">IF(AND(ISNUMBER(GE90),ISNUMBER(GE$320),GE$320&lt;&gt;0),GE90*GE$320/GE$15,"")</f>
        <v/>
      </c>
      <c r="GF395" s="150" t="str">
        <f aca="false">IF(AND(ISNUMBER(GF90),ISNUMBER(GF$320),GF$320&lt;&gt;0),GF90*GF$320/GF$15,"")</f>
        <v/>
      </c>
      <c r="GG395" s="150" t="str">
        <f aca="false">IF(AND(ISNUMBER(GG90),ISNUMBER(GG$320),GG$320&lt;&gt;0),GG90*GG$320/GG$15,"")</f>
        <v/>
      </c>
      <c r="GH395" s="150" t="str">
        <f aca="false">IF(AND(ISNUMBER(GH90),ISNUMBER(GH$320),GH$320&lt;&gt;0),GH90*GH$320/GH$15,"")</f>
        <v/>
      </c>
      <c r="GI395" s="150" t="str">
        <f aca="false">IF(AND(ISNUMBER(GI90),ISNUMBER(GI$320),GI$320&lt;&gt;0),GI90*GI$320/GI$15,"")</f>
        <v/>
      </c>
      <c r="GJ395" s="150" t="str">
        <f aca="false">IF(AND(ISNUMBER(GJ90),ISNUMBER(GJ$320),GJ$320&lt;&gt;0),GJ90*GJ$320/GJ$15,"")</f>
        <v/>
      </c>
      <c r="GK395" s="150" t="str">
        <f aca="false">IF(AND(ISNUMBER(GK90),ISNUMBER(GK$320),GK$320&lt;&gt;0),GK90*GK$320/GK$15,"")</f>
        <v/>
      </c>
      <c r="GL395" s="150" t="str">
        <f aca="false">IF(AND(ISNUMBER(GL90),ISNUMBER(GL$320),GL$320&lt;&gt;0),GL90*GL$320/GL$15,"")</f>
        <v/>
      </c>
      <c r="GM395" s="150" t="str">
        <f aca="false">IF(AND(ISNUMBER(GM90),ISNUMBER(GM$320),GM$320&lt;&gt;0),GM90*GM$320/GM$15,"")</f>
        <v/>
      </c>
      <c r="GN395" s="150" t="str">
        <f aca="false">IF(AND(ISNUMBER(GN90),ISNUMBER(GN$320),GN$320&lt;&gt;0),GN90*GN$320/GN$15,"")</f>
        <v/>
      </c>
      <c r="GO395" s="150" t="str">
        <f aca="false">IF(AND(ISNUMBER(GO90),ISNUMBER(GO$320),GO$320&lt;&gt;0),GO90*GO$320/GO$15,"")</f>
        <v/>
      </c>
      <c r="GP395" s="150" t="str">
        <f aca="false">IF(AND(ISNUMBER(GP90),ISNUMBER(GP$320),GP$320&lt;&gt;0),GP90*GP$320/GP$15,"")</f>
        <v/>
      </c>
      <c r="GQ395" s="150" t="str">
        <f aca="false">IF(AND(ISNUMBER(GQ90),ISNUMBER(GQ$320),GQ$320&lt;&gt;0),GQ90*GQ$320/GQ$15,"")</f>
        <v/>
      </c>
      <c r="GR395" s="150" t="str">
        <f aca="false">IF(AND(ISNUMBER(GR90),ISNUMBER(GR$320),GR$320&lt;&gt;0),GR90*GR$320/GR$15,"")</f>
        <v/>
      </c>
      <c r="GS395" s="150" t="str">
        <f aca="false">IF(AND(ISNUMBER(GS90),ISNUMBER(GS$320),GS$320&lt;&gt;0),GS90*GS$320/GS$15,"")</f>
        <v/>
      </c>
      <c r="GT395" s="150" t="str">
        <f aca="false">IF(AND(ISNUMBER(GT90),ISNUMBER(GT$320),GT$320&lt;&gt;0),GT90*GT$320/GT$15,"")</f>
        <v/>
      </c>
      <c r="GU395" s="150" t="str">
        <f aca="false">IF(AND(ISNUMBER(GU90),ISNUMBER(GU$320),GU$320&lt;&gt;0),GU90*GU$320/GU$15,"")</f>
        <v/>
      </c>
      <c r="GV395" s="150" t="str">
        <f aca="false">IF(AND(ISNUMBER(GV90),ISNUMBER(GV$320),GV$320&lt;&gt;0),GV90*GV$320/GV$15,"")</f>
        <v/>
      </c>
      <c r="GW395" s="150" t="str">
        <f aca="false">IF(AND(ISNUMBER(GW90),ISNUMBER(GW$320),GW$320&lt;&gt;0),GW90*GW$320/GW$15,"")</f>
        <v/>
      </c>
      <c r="GX395" s="150" t="str">
        <f aca="false">IF(AND(ISNUMBER(GX90),ISNUMBER(GX$320),GX$320&lt;&gt;0),GX90*GX$320/GX$15,"")</f>
        <v/>
      </c>
      <c r="GY395" s="150" t="str">
        <f aca="false">IF(AND(ISNUMBER(GY90),ISNUMBER(GY$320),GY$320&lt;&gt;0),GY90*GY$320/GY$15,"")</f>
        <v/>
      </c>
      <c r="GZ395" s="150" t="str">
        <f aca="false">IF(AND(ISNUMBER(GZ90),ISNUMBER(GZ$320),GZ$320&lt;&gt;0),GZ90*GZ$320/GZ$15,"")</f>
        <v/>
      </c>
      <c r="HA395" s="150" t="str">
        <f aca="false">IF(AND(ISNUMBER(HA90),ISNUMBER(HA$320),HA$320&lt;&gt;0),HA90*HA$320/HA$15,"")</f>
        <v/>
      </c>
      <c r="HB395" s="150" t="str">
        <f aca="false">IF(AND(ISNUMBER(HB90),ISNUMBER(HB$320),HB$320&lt;&gt;0),HB90*HB$320/HB$15,"")</f>
        <v/>
      </c>
      <c r="HC395" s="150" t="str">
        <f aca="false">IF(AND(ISNUMBER(HC90),ISNUMBER(HC$320),HC$320&lt;&gt;0),HC90*HC$320/HC$15,"")</f>
        <v/>
      </c>
      <c r="HD395" s="150" t="str">
        <f aca="false">IF(AND(ISNUMBER(HD90),ISNUMBER(HD$320),HD$320&lt;&gt;0),HD90*HD$320/HD$15,"")</f>
        <v/>
      </c>
      <c r="HE395" s="150" t="str">
        <f aca="false">IF(AND(ISNUMBER(HE90),ISNUMBER(HE$320),HE$320&lt;&gt;0),HE90*HE$320/HE$15,"")</f>
        <v/>
      </c>
      <c r="HF395" s="150" t="str">
        <f aca="false">IF(AND(ISNUMBER(HF90),ISNUMBER(HF$320),HF$320&lt;&gt;0),HF90*HF$320/HF$15,"")</f>
        <v/>
      </c>
      <c r="HG395" s="150" t="str">
        <f aca="false">IF(AND(ISNUMBER(HG90),ISNUMBER(HG$320),HG$320&lt;&gt;0),HG90*HG$320/HG$15,"")</f>
        <v/>
      </c>
      <c r="HH395" s="150" t="str">
        <f aca="false">IF(AND(ISNUMBER(HH90),ISNUMBER(HH$320),HH$320&lt;&gt;0),HH90*HH$320/HH$15,"")</f>
        <v/>
      </c>
      <c r="HI395" s="150" t="str">
        <f aca="false">IF(AND(ISNUMBER(HI90),ISNUMBER(HI$320),HI$320&lt;&gt;0),HI90*HI$320/HI$15,"")</f>
        <v/>
      </c>
      <c r="HJ395" s="150" t="str">
        <f aca="false">IF(AND(ISNUMBER(HJ90),ISNUMBER(HJ$320),HJ$320&lt;&gt;0),HJ90*HJ$320/HJ$15,"")</f>
        <v/>
      </c>
      <c r="HK395" s="150" t="str">
        <f aca="false">IF(AND(ISNUMBER(HK90),ISNUMBER(HK$320),HK$320&lt;&gt;0),HK90*HK$320/HK$15,"")</f>
        <v/>
      </c>
      <c r="HL395" s="150" t="str">
        <f aca="false">IF(AND(ISNUMBER(HL90),ISNUMBER(HL$320),HL$320&lt;&gt;0),HL90*HL$320/HL$15,"")</f>
        <v/>
      </c>
      <c r="HM395" s="150" t="str">
        <f aca="false">IF(AND(ISNUMBER(HM90),ISNUMBER(HM$320),HM$320&lt;&gt;0),HM90*HM$320/HM$15,"")</f>
        <v/>
      </c>
      <c r="HN395" s="150" t="str">
        <f aca="false">IF(AND(ISNUMBER(HN90),ISNUMBER(HN$320),HN$320&lt;&gt;0),HN90*HN$320/HN$15,"")</f>
        <v/>
      </c>
      <c r="HO395" s="150" t="str">
        <f aca="false">IF(AND(ISNUMBER(HO90),ISNUMBER(HO$320),HO$320&lt;&gt;0),HO90*HO$320/HO$15,"")</f>
        <v/>
      </c>
      <c r="HP395" s="150" t="str">
        <f aca="false">IF(AND(ISNUMBER(HP90),ISNUMBER(HP$320),HP$320&lt;&gt;0),HP90*HP$320/HP$15,"")</f>
        <v/>
      </c>
      <c r="HQ395" s="150" t="str">
        <f aca="false">IF(AND(ISNUMBER(HQ90),ISNUMBER(HQ$320),HQ$320&lt;&gt;0),HQ90*HQ$320/HQ$15,"")</f>
        <v/>
      </c>
      <c r="HR395" s="150" t="str">
        <f aca="false">IF(AND(ISNUMBER(HR90),ISNUMBER(HR$320),HR$320&lt;&gt;0),HR90*HR$320/HR$15,"")</f>
        <v/>
      </c>
      <c r="HS395" s="150" t="str">
        <f aca="false">IF(AND(ISNUMBER(HS90),ISNUMBER(HS$320),HS$320&lt;&gt;0),HS90*HS$320/HS$15,"")</f>
        <v/>
      </c>
      <c r="HT395" s="150" t="str">
        <f aca="false">IF(AND(ISNUMBER(HT90),ISNUMBER(HT$320),HT$320&lt;&gt;0),HT90*HT$320/HT$15,"")</f>
        <v/>
      </c>
      <c r="HU395" s="150" t="str">
        <f aca="false">IF(AND(ISNUMBER(HU90),ISNUMBER(HU$320),HU$320&lt;&gt;0),HU90*HU$320/HU$15,"")</f>
        <v/>
      </c>
      <c r="HV395" s="150" t="str">
        <f aca="false">IF(AND(ISNUMBER(HV90),ISNUMBER(HV$320),HV$320&lt;&gt;0),HV90*HV$320/HV$15,"")</f>
        <v/>
      </c>
      <c r="HW395" s="150" t="str">
        <f aca="false">IF(AND(ISNUMBER(HW90),ISNUMBER(HW$320),HW$320&lt;&gt;0),HW90*HW$320/HW$15,"")</f>
        <v/>
      </c>
      <c r="HX395" s="150" t="str">
        <f aca="false">IF(AND(ISNUMBER(HX90),ISNUMBER(HX$320),HX$320&lt;&gt;0),HX90*HX$320/HX$15,"")</f>
        <v/>
      </c>
      <c r="HY395" s="150" t="str">
        <f aca="false">IF(AND(ISNUMBER(HY90),ISNUMBER(HY$320),HY$320&lt;&gt;0),HY90*HY$320/HY$15,"")</f>
        <v/>
      </c>
      <c r="HZ395" s="150" t="str">
        <f aca="false">IF(AND(ISNUMBER(HZ90),ISNUMBER(HZ$320),HZ$320&lt;&gt;0),HZ90*HZ$320/HZ$15,"")</f>
        <v/>
      </c>
      <c r="IA395" s="150" t="str">
        <f aca="false">IF(AND(ISNUMBER(IA90),ISNUMBER(IA$320),IA$320&lt;&gt;0),IA90*IA$320/IA$15,"")</f>
        <v/>
      </c>
      <c r="IB395" s="150" t="str">
        <f aca="false">IF(AND(ISNUMBER(IB90),ISNUMBER(IB$320),IB$320&lt;&gt;0),IB90*IB$320/IB$15,"")</f>
        <v/>
      </c>
      <c r="IC395" s="150" t="str">
        <f aca="false">IF(AND(ISNUMBER(IC90),ISNUMBER(IC$320),IC$320&lt;&gt;0),IC90*IC$320/IC$15,"")</f>
        <v/>
      </c>
      <c r="ID395" s="572" t="str">
        <f aca="false">IF(AND(ISNUMBER(ID90),ISNUMBER(ID$320),ID$320&lt;&gt;0),ID90*ID$320/ID$15,"")</f>
        <v/>
      </c>
    </row>
    <row r="396" customFormat="false" ht="12.75" hidden="false" customHeight="false" outlineLevel="0" collapsed="false">
      <c r="I396" s="735"/>
      <c r="J396" s="727"/>
      <c r="K396" s="195"/>
      <c r="L396" s="195"/>
      <c r="M396" s="729"/>
      <c r="P396" s="727"/>
      <c r="S396" s="1"/>
      <c r="T396" s="727"/>
      <c r="U396" s="195"/>
      <c r="V396" s="195"/>
      <c r="W396" s="195"/>
      <c r="X396" s="195"/>
      <c r="Y396" s="195"/>
      <c r="Z396" s="195"/>
      <c r="AA396" s="195"/>
      <c r="AB396" s="195"/>
      <c r="AC396" s="195"/>
      <c r="AD396" s="195"/>
      <c r="AE396" s="195"/>
      <c r="AF396" s="195"/>
      <c r="AG396" s="195"/>
      <c r="AH396" s="195"/>
      <c r="AI396" s="195"/>
      <c r="AJ396" s="195"/>
      <c r="AK396" s="195"/>
      <c r="AL396" s="195"/>
      <c r="AM396" s="195"/>
      <c r="AN396" s="532"/>
      <c r="AO396" s="532"/>
      <c r="AP396" s="240"/>
      <c r="AQ396" s="532"/>
      <c r="AR396" s="240"/>
      <c r="AS396" s="240"/>
      <c r="AT396" s="240"/>
      <c r="AU396" s="730"/>
      <c r="AV396" s="730"/>
      <c r="AW396" s="730"/>
      <c r="AX396" s="730"/>
      <c r="AY396" s="468"/>
      <c r="AZ396" s="468"/>
      <c r="BA396" s="240"/>
      <c r="BB396" s="240"/>
      <c r="BC396" s="240"/>
      <c r="BD396" s="240"/>
      <c r="BE396" s="672"/>
      <c r="BF396" s="672"/>
      <c r="BG396" s="672"/>
      <c r="BH396" s="731"/>
      <c r="BI396" s="672"/>
      <c r="BJ396" s="240"/>
      <c r="BK396" s="736"/>
      <c r="BL396" s="737"/>
      <c r="BM396" s="240"/>
      <c r="BN396" s="240"/>
      <c r="BO396" s="240"/>
      <c r="BP396" s="240"/>
      <c r="BQ396" s="240"/>
      <c r="BR396" s="240"/>
      <c r="BS396" s="240"/>
      <c r="BT396" s="240"/>
      <c r="BU396" s="240"/>
      <c r="BV396" s="240"/>
      <c r="BW396" s="240"/>
      <c r="BX396" s="240"/>
      <c r="BY396" s="240"/>
      <c r="BZ396" s="240"/>
      <c r="CA396" s="240"/>
      <c r="CB396" s="672"/>
      <c r="CC396" s="672"/>
      <c r="CD396" s="672"/>
      <c r="CE396" s="672"/>
      <c r="CF396" s="672"/>
      <c r="CG396" s="672"/>
      <c r="CH396" s="240"/>
      <c r="CI396" s="240"/>
      <c r="CJ396" s="240"/>
      <c r="CK396" s="240"/>
      <c r="CL396" s="240"/>
      <c r="CM396" s="240"/>
      <c r="CN396" s="240"/>
      <c r="CO396" s="240"/>
      <c r="CP396" s="240"/>
      <c r="CQ396" s="240"/>
      <c r="CR396" s="240"/>
      <c r="CS396" s="240"/>
      <c r="CT396" s="240"/>
      <c r="CU396" s="240"/>
      <c r="CV396" s="240"/>
      <c r="CW396" s="240"/>
      <c r="CX396" s="240"/>
      <c r="CY396" s="240"/>
      <c r="CZ396" s="240"/>
      <c r="DA396" s="240"/>
      <c r="DB396" s="240"/>
      <c r="DC396" s="240"/>
      <c r="DD396" s="240"/>
      <c r="DE396" s="240"/>
      <c r="DF396" s="240"/>
      <c r="DG396" s="733"/>
      <c r="DH396" s="478"/>
      <c r="DI396" s="195"/>
      <c r="DJ396" s="3"/>
      <c r="DK396" s="478"/>
      <c r="DL396" s="4"/>
      <c r="DM396" s="4"/>
      <c r="DN396" s="4"/>
      <c r="DO396" s="4"/>
      <c r="DP396" s="4"/>
      <c r="DQ396" s="4"/>
      <c r="DS396" s="195"/>
      <c r="DT396" s="195"/>
      <c r="DU396" s="195"/>
      <c r="DV396" s="195"/>
      <c r="DW396" s="195"/>
      <c r="DX396" s="195"/>
      <c r="DY396" s="195"/>
      <c r="DZ396" s="195"/>
      <c r="EA396" s="195"/>
      <c r="EB396" s="195"/>
      <c r="EC396" s="195"/>
      <c r="ED396" s="195"/>
      <c r="EE396" s="195"/>
      <c r="EF396" s="195"/>
      <c r="EG396" s="195"/>
      <c r="EL396" s="1"/>
      <c r="EM396" s="195"/>
      <c r="EN396" s="240"/>
      <c r="EO396" s="240"/>
      <c r="EP396" s="195"/>
      <c r="EQ396" s="240"/>
      <c r="ER396" s="195"/>
      <c r="ES396" s="195"/>
      <c r="ET396" s="195"/>
      <c r="EU396" s="672"/>
      <c r="FJ396" s="668" t="n">
        <v>72</v>
      </c>
      <c r="FK396" s="669" t="str">
        <f aca="false">IF(AND(ISNUMBER(FK91),ISNUMBER(FK$320),FK$320&lt;&gt;0),FK91*FK$320/FK$15,"")</f>
        <v/>
      </c>
      <c r="FL396" s="669" t="str">
        <f aca="false">IF(AND(ISNUMBER(FL91),ISNUMBER(FL$320),FL$320&lt;&gt;0),FL91*FL$320/FL$15,"")</f>
        <v/>
      </c>
      <c r="FM396" s="669" t="n">
        <f aca="false">IF(AND(ISNUMBER(FM91),ISNUMBER(FM$320),FM$320&lt;&gt;0),FM91*FM$320/FM$15,"")</f>
        <v>0.0025468426843418</v>
      </c>
      <c r="FN396" s="669" t="n">
        <f aca="false">IF(AND(ISNUMBER(FN91),ISNUMBER(FN$320),FN$320&lt;&gt;0),FN91*FN$320/FN$15,"")</f>
        <v>0.00214361182733819</v>
      </c>
      <c r="FO396" s="669" t="n">
        <f aca="false">IF(AND(ISNUMBER(FO91),ISNUMBER(FO$320),FO$320&lt;&gt;0),FO91*FO$320/FO$15,"")</f>
        <v>0.00222968671329914</v>
      </c>
      <c r="FP396" s="669" t="n">
        <f aca="false">IF(AND(ISNUMBER(FP91),ISNUMBER(FP$320),FP$320&lt;&gt;0),FP91*FP$320/FP$15,"")</f>
        <v>0.00123536936634025</v>
      </c>
      <c r="FQ396" s="669" t="str">
        <f aca="false">IF(AND(ISNUMBER(FQ91),ISNUMBER(FQ$320),FQ$320&lt;&gt;0),FQ91*FQ$320/FQ$15,"")</f>
        <v/>
      </c>
      <c r="FR396" s="669" t="str">
        <f aca="false">IF(AND(ISNUMBER(FR91),ISNUMBER(FR$320),FR$320&lt;&gt;0),FR91*FR$320/FR$15,"")</f>
        <v/>
      </c>
      <c r="FS396" s="669" t="str">
        <f aca="false">IF(AND(ISNUMBER(FS91),ISNUMBER(FS$320),FS$320&lt;&gt;0),FS91*FS$320/FS$15,"")</f>
        <v/>
      </c>
      <c r="FT396" s="669" t="str">
        <f aca="false">IF(AND(ISNUMBER(FT91),ISNUMBER(FT$320),FT$320&lt;&gt;0),FT91*FT$320/FT$15,"")</f>
        <v/>
      </c>
      <c r="FU396" s="669" t="str">
        <f aca="false">IF(AND(ISNUMBER(FU91),ISNUMBER(FU$320),FU$320&lt;&gt;0),FU91*FU$320/FU$15,"")</f>
        <v/>
      </c>
      <c r="FV396" s="669" t="str">
        <f aca="false">IF(AND(ISNUMBER(FV91),ISNUMBER(FV$320),FV$320&lt;&gt;0),FV91*FV$320/FV$15,"")</f>
        <v/>
      </c>
      <c r="FW396" s="669" t="str">
        <f aca="false">IF(AND(ISNUMBER(FW91),ISNUMBER(FW$320),FW$320&lt;&gt;0),FW91*FW$320/FW$15,"")</f>
        <v/>
      </c>
      <c r="FX396" s="669" t="str">
        <f aca="false">IF(AND(ISNUMBER(FX91),ISNUMBER(FX$320),FX$320&lt;&gt;0),FX91*FX$320/FX$15,"")</f>
        <v/>
      </c>
      <c r="FY396" s="669" t="str">
        <f aca="false">IF(AND(ISNUMBER(FY91),ISNUMBER(FY$320),FY$320&lt;&gt;0),FY91*FY$320/FY$15,"")</f>
        <v/>
      </c>
      <c r="FZ396" s="669" t="str">
        <f aca="false">IF(AND(ISNUMBER(FZ91),ISNUMBER(FZ$320),FZ$320&lt;&gt;0),FZ91*FZ$320/FZ$15,"")</f>
        <v/>
      </c>
      <c r="GA396" s="669" t="str">
        <f aca="false">IF(AND(ISNUMBER(GA91),ISNUMBER(GA$320),GA$320&lt;&gt;0),GA91*GA$320/GA$15,"")</f>
        <v/>
      </c>
      <c r="GB396" s="669" t="str">
        <f aca="false">IF(AND(ISNUMBER(GB91),ISNUMBER(GB$320),GB$320&lt;&gt;0),GB91*GB$320/GB$15,"")</f>
        <v/>
      </c>
      <c r="GC396" s="669" t="str">
        <f aca="false">IF(AND(ISNUMBER(GC91),ISNUMBER(GC$320),GC$320&lt;&gt;0),GC91*GC$320/GC$15,"")</f>
        <v/>
      </c>
      <c r="GD396" s="669" t="str">
        <f aca="false">IF(AND(ISNUMBER(GD91),ISNUMBER(GD$320),GD$320&lt;&gt;0),GD91*GD$320/GD$15,"")</f>
        <v/>
      </c>
      <c r="GE396" s="669" t="str">
        <f aca="false">IF(AND(ISNUMBER(GE91),ISNUMBER(GE$320),GE$320&lt;&gt;0),GE91*GE$320/GE$15,"")</f>
        <v/>
      </c>
      <c r="GF396" s="669" t="str">
        <f aca="false">IF(AND(ISNUMBER(GF91),ISNUMBER(GF$320),GF$320&lt;&gt;0),GF91*GF$320/GF$15,"")</f>
        <v/>
      </c>
      <c r="GG396" s="669" t="str">
        <f aca="false">IF(AND(ISNUMBER(GG91),ISNUMBER(GG$320),GG$320&lt;&gt;0),GG91*GG$320/GG$15,"")</f>
        <v/>
      </c>
      <c r="GH396" s="669" t="str">
        <f aca="false">IF(AND(ISNUMBER(GH91),ISNUMBER(GH$320),GH$320&lt;&gt;0),GH91*GH$320/GH$15,"")</f>
        <v/>
      </c>
      <c r="GI396" s="669" t="str">
        <f aca="false">IF(AND(ISNUMBER(GI91),ISNUMBER(GI$320),GI$320&lt;&gt;0),GI91*GI$320/GI$15,"")</f>
        <v/>
      </c>
      <c r="GJ396" s="669" t="str">
        <f aca="false">IF(AND(ISNUMBER(GJ91),ISNUMBER(GJ$320),GJ$320&lt;&gt;0),GJ91*GJ$320/GJ$15,"")</f>
        <v/>
      </c>
      <c r="GK396" s="669" t="str">
        <f aca="false">IF(AND(ISNUMBER(GK91),ISNUMBER(GK$320),GK$320&lt;&gt;0),GK91*GK$320/GK$15,"")</f>
        <v/>
      </c>
      <c r="GL396" s="669" t="str">
        <f aca="false">IF(AND(ISNUMBER(GL91),ISNUMBER(GL$320),GL$320&lt;&gt;0),GL91*GL$320/GL$15,"")</f>
        <v/>
      </c>
      <c r="GM396" s="669" t="str">
        <f aca="false">IF(AND(ISNUMBER(GM91),ISNUMBER(GM$320),GM$320&lt;&gt;0),GM91*GM$320/GM$15,"")</f>
        <v/>
      </c>
      <c r="GN396" s="669" t="str">
        <f aca="false">IF(AND(ISNUMBER(GN91),ISNUMBER(GN$320),GN$320&lt;&gt;0),GN91*GN$320/GN$15,"")</f>
        <v/>
      </c>
      <c r="GO396" s="669" t="str">
        <f aca="false">IF(AND(ISNUMBER(GO91),ISNUMBER(GO$320),GO$320&lt;&gt;0),GO91*GO$320/GO$15,"")</f>
        <v/>
      </c>
      <c r="GP396" s="669" t="str">
        <f aca="false">IF(AND(ISNUMBER(GP91),ISNUMBER(GP$320),GP$320&lt;&gt;0),GP91*GP$320/GP$15,"")</f>
        <v/>
      </c>
      <c r="GQ396" s="669" t="str">
        <f aca="false">IF(AND(ISNUMBER(GQ91),ISNUMBER(GQ$320),GQ$320&lt;&gt;0),GQ91*GQ$320/GQ$15,"")</f>
        <v/>
      </c>
      <c r="GR396" s="669" t="str">
        <f aca="false">IF(AND(ISNUMBER(GR91),ISNUMBER(GR$320),GR$320&lt;&gt;0),GR91*GR$320/GR$15,"")</f>
        <v/>
      </c>
      <c r="GS396" s="669" t="str">
        <f aca="false">IF(AND(ISNUMBER(GS91),ISNUMBER(GS$320),GS$320&lt;&gt;0),GS91*GS$320/GS$15,"")</f>
        <v/>
      </c>
      <c r="GT396" s="669" t="str">
        <f aca="false">IF(AND(ISNUMBER(GT91),ISNUMBER(GT$320),GT$320&lt;&gt;0),GT91*GT$320/GT$15,"")</f>
        <v/>
      </c>
      <c r="GU396" s="669" t="str">
        <f aca="false">IF(AND(ISNUMBER(GU91),ISNUMBER(GU$320),GU$320&lt;&gt;0),GU91*GU$320/GU$15,"")</f>
        <v/>
      </c>
      <c r="GV396" s="669" t="str">
        <f aca="false">IF(AND(ISNUMBER(GV91),ISNUMBER(GV$320),GV$320&lt;&gt;0),GV91*GV$320/GV$15,"")</f>
        <v/>
      </c>
      <c r="GW396" s="669" t="str">
        <f aca="false">IF(AND(ISNUMBER(GW91),ISNUMBER(GW$320),GW$320&lt;&gt;0),GW91*GW$320/GW$15,"")</f>
        <v/>
      </c>
      <c r="GX396" s="669" t="str">
        <f aca="false">IF(AND(ISNUMBER(GX91),ISNUMBER(GX$320),GX$320&lt;&gt;0),GX91*GX$320/GX$15,"")</f>
        <v/>
      </c>
      <c r="GY396" s="669" t="str">
        <f aca="false">IF(AND(ISNUMBER(GY91),ISNUMBER(GY$320),GY$320&lt;&gt;0),GY91*GY$320/GY$15,"")</f>
        <v/>
      </c>
      <c r="GZ396" s="669" t="str">
        <f aca="false">IF(AND(ISNUMBER(GZ91),ISNUMBER(GZ$320),GZ$320&lt;&gt;0),GZ91*GZ$320/GZ$15,"")</f>
        <v/>
      </c>
      <c r="HA396" s="669" t="str">
        <f aca="false">IF(AND(ISNUMBER(HA91),ISNUMBER(HA$320),HA$320&lt;&gt;0),HA91*HA$320/HA$15,"")</f>
        <v/>
      </c>
      <c r="HB396" s="669" t="str">
        <f aca="false">IF(AND(ISNUMBER(HB91),ISNUMBER(HB$320),HB$320&lt;&gt;0),HB91*HB$320/HB$15,"")</f>
        <v/>
      </c>
      <c r="HC396" s="669" t="str">
        <f aca="false">IF(AND(ISNUMBER(HC91),ISNUMBER(HC$320),HC$320&lt;&gt;0),HC91*HC$320/HC$15,"")</f>
        <v/>
      </c>
      <c r="HD396" s="669" t="str">
        <f aca="false">IF(AND(ISNUMBER(HD91),ISNUMBER(HD$320),HD$320&lt;&gt;0),HD91*HD$320/HD$15,"")</f>
        <v/>
      </c>
      <c r="HE396" s="669" t="str">
        <f aca="false">IF(AND(ISNUMBER(HE91),ISNUMBER(HE$320),HE$320&lt;&gt;0),HE91*HE$320/HE$15,"")</f>
        <v/>
      </c>
      <c r="HF396" s="669" t="str">
        <f aca="false">IF(AND(ISNUMBER(HF91),ISNUMBER(HF$320),HF$320&lt;&gt;0),HF91*HF$320/HF$15,"")</f>
        <v/>
      </c>
      <c r="HG396" s="669" t="str">
        <f aca="false">IF(AND(ISNUMBER(HG91),ISNUMBER(HG$320),HG$320&lt;&gt;0),HG91*HG$320/HG$15,"")</f>
        <v/>
      </c>
      <c r="HH396" s="669" t="str">
        <f aca="false">IF(AND(ISNUMBER(HH91),ISNUMBER(HH$320),HH$320&lt;&gt;0),HH91*HH$320/HH$15,"")</f>
        <v/>
      </c>
      <c r="HI396" s="669" t="str">
        <f aca="false">IF(AND(ISNUMBER(HI91),ISNUMBER(HI$320),HI$320&lt;&gt;0),HI91*HI$320/HI$15,"")</f>
        <v/>
      </c>
      <c r="HJ396" s="669" t="str">
        <f aca="false">IF(AND(ISNUMBER(HJ91),ISNUMBER(HJ$320),HJ$320&lt;&gt;0),HJ91*HJ$320/HJ$15,"")</f>
        <v/>
      </c>
      <c r="HK396" s="669" t="str">
        <f aca="false">IF(AND(ISNUMBER(HK91),ISNUMBER(HK$320),HK$320&lt;&gt;0),HK91*HK$320/HK$15,"")</f>
        <v/>
      </c>
      <c r="HL396" s="669" t="str">
        <f aca="false">IF(AND(ISNUMBER(HL91),ISNUMBER(HL$320),HL$320&lt;&gt;0),HL91*HL$320/HL$15,"")</f>
        <v/>
      </c>
      <c r="HM396" s="669" t="str">
        <f aca="false">IF(AND(ISNUMBER(HM91),ISNUMBER(HM$320),HM$320&lt;&gt;0),HM91*HM$320/HM$15,"")</f>
        <v/>
      </c>
      <c r="HN396" s="669" t="str">
        <f aca="false">IF(AND(ISNUMBER(HN91),ISNUMBER(HN$320),HN$320&lt;&gt;0),HN91*HN$320/HN$15,"")</f>
        <v/>
      </c>
      <c r="HO396" s="669" t="str">
        <f aca="false">IF(AND(ISNUMBER(HO91),ISNUMBER(HO$320),HO$320&lt;&gt;0),HO91*HO$320/HO$15,"")</f>
        <v/>
      </c>
      <c r="HP396" s="669" t="str">
        <f aca="false">IF(AND(ISNUMBER(HP91),ISNUMBER(HP$320),HP$320&lt;&gt;0),HP91*HP$320/HP$15,"")</f>
        <v/>
      </c>
      <c r="HQ396" s="669" t="str">
        <f aca="false">IF(AND(ISNUMBER(HQ91),ISNUMBER(HQ$320),HQ$320&lt;&gt;0),HQ91*HQ$320/HQ$15,"")</f>
        <v/>
      </c>
      <c r="HR396" s="669" t="str">
        <f aca="false">IF(AND(ISNUMBER(HR91),ISNUMBER(HR$320),HR$320&lt;&gt;0),HR91*HR$320/HR$15,"")</f>
        <v/>
      </c>
      <c r="HS396" s="669" t="str">
        <f aca="false">IF(AND(ISNUMBER(HS91),ISNUMBER(HS$320),HS$320&lt;&gt;0),HS91*HS$320/HS$15,"")</f>
        <v/>
      </c>
      <c r="HT396" s="669" t="str">
        <f aca="false">IF(AND(ISNUMBER(HT91),ISNUMBER(HT$320),HT$320&lt;&gt;0),HT91*HT$320/HT$15,"")</f>
        <v/>
      </c>
      <c r="HU396" s="669" t="str">
        <f aca="false">IF(AND(ISNUMBER(HU91),ISNUMBER(HU$320),HU$320&lt;&gt;0),HU91*HU$320/HU$15,"")</f>
        <v/>
      </c>
      <c r="HV396" s="669" t="str">
        <f aca="false">IF(AND(ISNUMBER(HV91),ISNUMBER(HV$320),HV$320&lt;&gt;0),HV91*HV$320/HV$15,"")</f>
        <v/>
      </c>
      <c r="HW396" s="669" t="str">
        <f aca="false">IF(AND(ISNUMBER(HW91),ISNUMBER(HW$320),HW$320&lt;&gt;0),HW91*HW$320/HW$15,"")</f>
        <v/>
      </c>
      <c r="HX396" s="669" t="str">
        <f aca="false">IF(AND(ISNUMBER(HX91),ISNUMBER(HX$320),HX$320&lt;&gt;0),HX91*HX$320/HX$15,"")</f>
        <v/>
      </c>
      <c r="HY396" s="669" t="str">
        <f aca="false">IF(AND(ISNUMBER(HY91),ISNUMBER(HY$320),HY$320&lt;&gt;0),HY91*HY$320/HY$15,"")</f>
        <v/>
      </c>
      <c r="HZ396" s="669" t="str">
        <f aca="false">IF(AND(ISNUMBER(HZ91),ISNUMBER(HZ$320),HZ$320&lt;&gt;0),HZ91*HZ$320/HZ$15,"")</f>
        <v/>
      </c>
      <c r="IA396" s="669" t="str">
        <f aca="false">IF(AND(ISNUMBER(IA91),ISNUMBER(IA$320),IA$320&lt;&gt;0),IA91*IA$320/IA$15,"")</f>
        <v/>
      </c>
      <c r="IB396" s="669" t="str">
        <f aca="false">IF(AND(ISNUMBER(IB91),ISNUMBER(IB$320),IB$320&lt;&gt;0),IB91*IB$320/IB$15,"")</f>
        <v/>
      </c>
      <c r="IC396" s="669" t="str">
        <f aca="false">IF(AND(ISNUMBER(IC91),ISNUMBER(IC$320),IC$320&lt;&gt;0),IC91*IC$320/IC$15,"")</f>
        <v/>
      </c>
      <c r="ID396" s="670" t="str">
        <f aca="false">IF(AND(ISNUMBER(ID91),ISNUMBER(ID$320),ID$320&lt;&gt;0),ID91*ID$320/ID$15,"")</f>
        <v/>
      </c>
    </row>
    <row r="397" customFormat="false" ht="12.75" hidden="false" customHeight="false" outlineLevel="0" collapsed="false">
      <c r="I397" s="735"/>
      <c r="J397" s="727"/>
      <c r="K397" s="195"/>
      <c r="L397" s="195"/>
      <c r="M397" s="729"/>
      <c r="P397" s="727"/>
      <c r="S397" s="1"/>
      <c r="T397" s="727"/>
      <c r="U397" s="195"/>
      <c r="V397" s="195"/>
      <c r="W397" s="195"/>
      <c r="X397" s="195"/>
      <c r="Y397" s="195"/>
      <c r="Z397" s="195"/>
      <c r="AA397" s="195"/>
      <c r="AB397" s="195"/>
      <c r="AC397" s="195"/>
      <c r="AD397" s="195"/>
      <c r="AE397" s="195"/>
      <c r="AF397" s="195"/>
      <c r="AG397" s="195"/>
      <c r="AH397" s="195"/>
      <c r="AI397" s="195"/>
      <c r="AJ397" s="195"/>
      <c r="AK397" s="195"/>
      <c r="AL397" s="195"/>
      <c r="AM397" s="195"/>
      <c r="AN397" s="532"/>
      <c r="AO397" s="532"/>
      <c r="AP397" s="240"/>
      <c r="AQ397" s="532"/>
      <c r="AR397" s="240"/>
      <c r="AS397" s="240"/>
      <c r="AT397" s="240"/>
      <c r="AU397" s="730"/>
      <c r="AV397" s="730"/>
      <c r="AW397" s="730"/>
      <c r="AX397" s="730"/>
      <c r="AY397" s="468"/>
      <c r="AZ397" s="468"/>
      <c r="BA397" s="240"/>
      <c r="BB397" s="240"/>
      <c r="BC397" s="240"/>
      <c r="BD397" s="240"/>
      <c r="BE397" s="672"/>
      <c r="BF397" s="672"/>
      <c r="BG397" s="672"/>
      <c r="BH397" s="731"/>
      <c r="BI397" s="672"/>
      <c r="BJ397" s="240"/>
      <c r="BK397" s="736"/>
      <c r="BL397" s="737"/>
      <c r="BM397" s="240"/>
      <c r="BN397" s="240"/>
      <c r="BO397" s="240"/>
      <c r="BP397" s="240"/>
      <c r="BQ397" s="240"/>
      <c r="BR397" s="240"/>
      <c r="BS397" s="240"/>
      <c r="BT397" s="240"/>
      <c r="BU397" s="240"/>
      <c r="BV397" s="240"/>
      <c r="BW397" s="240"/>
      <c r="BX397" s="240"/>
      <c r="BY397" s="240"/>
      <c r="BZ397" s="240"/>
      <c r="CA397" s="240"/>
      <c r="CB397" s="672"/>
      <c r="CC397" s="672"/>
      <c r="CD397" s="672"/>
      <c r="CE397" s="672"/>
      <c r="CF397" s="672"/>
      <c r="CG397" s="672"/>
      <c r="CH397" s="240"/>
      <c r="CI397" s="240"/>
      <c r="CJ397" s="240"/>
      <c r="CK397" s="240"/>
      <c r="CL397" s="240"/>
      <c r="CM397" s="240"/>
      <c r="CN397" s="240"/>
      <c r="CO397" s="240"/>
      <c r="CP397" s="240"/>
      <c r="CQ397" s="240"/>
      <c r="CR397" s="240"/>
      <c r="CS397" s="240"/>
      <c r="CT397" s="240"/>
      <c r="CU397" s="240"/>
      <c r="CV397" s="240"/>
      <c r="CW397" s="240"/>
      <c r="CX397" s="240"/>
      <c r="CY397" s="240"/>
      <c r="CZ397" s="240"/>
      <c r="DA397" s="240"/>
      <c r="DB397" s="240"/>
      <c r="DC397" s="240"/>
      <c r="DD397" s="240"/>
      <c r="DE397" s="240"/>
      <c r="DF397" s="240"/>
      <c r="DG397" s="733"/>
      <c r="DH397" s="478"/>
      <c r="DI397" s="195"/>
      <c r="DJ397" s="3"/>
      <c r="DK397" s="478"/>
      <c r="DL397" s="4"/>
      <c r="DM397" s="4"/>
      <c r="DN397" s="4"/>
      <c r="DO397" s="4"/>
      <c r="DP397" s="4"/>
      <c r="DQ397" s="4"/>
      <c r="DS397" s="195"/>
      <c r="DT397" s="195"/>
      <c r="DU397" s="195"/>
      <c r="DV397" s="195"/>
      <c r="DW397" s="195"/>
      <c r="DX397" s="195"/>
      <c r="DY397" s="195"/>
      <c r="DZ397" s="195"/>
      <c r="EA397" s="195"/>
      <c r="EB397" s="195"/>
      <c r="EC397" s="195"/>
      <c r="ED397" s="195"/>
      <c r="EE397" s="195"/>
      <c r="EF397" s="195"/>
      <c r="EG397" s="195"/>
      <c r="EL397" s="1"/>
      <c r="EM397" s="195"/>
      <c r="EN397" s="240"/>
      <c r="EO397" s="240"/>
      <c r="EP397" s="195"/>
      <c r="EQ397" s="240"/>
      <c r="ER397" s="195"/>
      <c r="ES397" s="195"/>
      <c r="ET397" s="195"/>
      <c r="EU397" s="672"/>
    </row>
    <row r="398" customFormat="false" ht="12.75" hidden="false" customHeight="false" outlineLevel="0" collapsed="false">
      <c r="I398" s="735"/>
      <c r="J398" s="727"/>
      <c r="K398" s="195"/>
      <c r="L398" s="195"/>
      <c r="M398" s="729"/>
      <c r="P398" s="727"/>
      <c r="S398" s="1"/>
      <c r="T398" s="727"/>
      <c r="U398" s="195"/>
      <c r="V398" s="195"/>
      <c r="W398" s="195"/>
      <c r="X398" s="195"/>
      <c r="Y398" s="195"/>
      <c r="Z398" s="195"/>
      <c r="AA398" s="195"/>
      <c r="AB398" s="195"/>
      <c r="AC398" s="195"/>
      <c r="AD398" s="195"/>
      <c r="AE398" s="195"/>
      <c r="AF398" s="195"/>
      <c r="AG398" s="195"/>
      <c r="AH398" s="195"/>
      <c r="AI398" s="195"/>
      <c r="AJ398" s="195"/>
      <c r="AK398" s="195"/>
      <c r="AL398" s="195"/>
      <c r="AM398" s="195"/>
      <c r="AN398" s="532"/>
      <c r="AO398" s="532"/>
      <c r="AP398" s="240"/>
      <c r="AQ398" s="532"/>
      <c r="AR398" s="240"/>
      <c r="AS398" s="240"/>
      <c r="AT398" s="240"/>
      <c r="AU398" s="730"/>
      <c r="AV398" s="730"/>
      <c r="AW398" s="730"/>
      <c r="AX398" s="730"/>
      <c r="AY398" s="468"/>
      <c r="AZ398" s="468"/>
      <c r="BA398" s="240"/>
      <c r="BB398" s="240"/>
      <c r="BC398" s="240"/>
      <c r="BD398" s="240"/>
      <c r="BE398" s="672"/>
      <c r="BF398" s="672"/>
      <c r="BG398" s="672"/>
      <c r="BH398" s="731"/>
      <c r="BI398" s="672"/>
      <c r="BJ398" s="240"/>
      <c r="BK398" s="736"/>
      <c r="BL398" s="737"/>
      <c r="BM398" s="240"/>
      <c r="BN398" s="240"/>
      <c r="BO398" s="240"/>
      <c r="BP398" s="240"/>
      <c r="BQ398" s="240"/>
      <c r="BR398" s="240"/>
      <c r="BS398" s="240"/>
      <c r="BT398" s="240"/>
      <c r="BU398" s="240"/>
      <c r="BV398" s="240"/>
      <c r="BW398" s="240"/>
      <c r="BX398" s="240"/>
      <c r="BY398" s="240"/>
      <c r="BZ398" s="240"/>
      <c r="CA398" s="240"/>
      <c r="CB398" s="672"/>
      <c r="CC398" s="672"/>
      <c r="CD398" s="672"/>
      <c r="CE398" s="672"/>
      <c r="CF398" s="672"/>
      <c r="CG398" s="672"/>
      <c r="CH398" s="240"/>
      <c r="CI398" s="240"/>
      <c r="CJ398" s="240"/>
      <c r="CK398" s="240"/>
      <c r="CL398" s="240"/>
      <c r="CM398" s="240"/>
      <c r="CN398" s="240"/>
      <c r="CO398" s="240"/>
      <c r="CP398" s="240"/>
      <c r="CQ398" s="240"/>
      <c r="CR398" s="240"/>
      <c r="CS398" s="240"/>
      <c r="CT398" s="240"/>
      <c r="CU398" s="240"/>
      <c r="CV398" s="240"/>
      <c r="CW398" s="240"/>
      <c r="CX398" s="240"/>
      <c r="CY398" s="240"/>
      <c r="CZ398" s="240"/>
      <c r="DA398" s="240"/>
      <c r="DB398" s="240"/>
      <c r="DC398" s="240"/>
      <c r="DD398" s="240"/>
      <c r="DE398" s="240"/>
      <c r="DF398" s="240"/>
      <c r="DG398" s="733"/>
      <c r="DH398" s="478"/>
      <c r="DI398" s="195"/>
      <c r="DJ398" s="3"/>
      <c r="DK398" s="478"/>
      <c r="DL398" s="4"/>
      <c r="DM398" s="4"/>
      <c r="DN398" s="4"/>
      <c r="DO398" s="4"/>
      <c r="DP398" s="4"/>
      <c r="DQ398" s="4"/>
      <c r="DS398" s="195"/>
      <c r="DT398" s="195"/>
      <c r="DU398" s="195"/>
      <c r="DV398" s="195"/>
      <c r="DW398" s="195"/>
      <c r="DX398" s="195"/>
      <c r="DY398" s="195"/>
      <c r="DZ398" s="195"/>
      <c r="EA398" s="195"/>
      <c r="EB398" s="195"/>
      <c r="EC398" s="195"/>
      <c r="ED398" s="195"/>
      <c r="EE398" s="195"/>
      <c r="EF398" s="195"/>
      <c r="EG398" s="195"/>
      <c r="EL398" s="1"/>
      <c r="EM398" s="195"/>
      <c r="EN398" s="240"/>
      <c r="EO398" s="240"/>
      <c r="EP398" s="195"/>
      <c r="EQ398" s="240"/>
      <c r="ER398" s="195"/>
      <c r="ES398" s="195"/>
      <c r="ET398" s="195"/>
      <c r="EU398" s="672"/>
    </row>
    <row r="399" customFormat="false" ht="12.75" hidden="false" customHeight="false" outlineLevel="0" collapsed="false">
      <c r="I399" s="735"/>
      <c r="J399" s="727"/>
      <c r="K399" s="195"/>
      <c r="L399" s="195"/>
      <c r="M399" s="729"/>
      <c r="P399" s="727"/>
      <c r="S399" s="1"/>
      <c r="T399" s="727"/>
      <c r="U399" s="195"/>
      <c r="V399" s="195"/>
      <c r="W399" s="195"/>
      <c r="X399" s="195"/>
      <c r="Y399" s="195"/>
      <c r="Z399" s="195"/>
      <c r="AA399" s="195"/>
      <c r="AB399" s="195"/>
      <c r="AC399" s="195"/>
      <c r="AD399" s="195"/>
      <c r="AE399" s="195"/>
      <c r="AF399" s="195"/>
      <c r="AG399" s="195"/>
      <c r="AH399" s="195"/>
      <c r="AI399" s="195"/>
      <c r="AJ399" s="195"/>
      <c r="AK399" s="195"/>
      <c r="AL399" s="195"/>
      <c r="AM399" s="195"/>
      <c r="AN399" s="532"/>
      <c r="AO399" s="532"/>
      <c r="AP399" s="240"/>
      <c r="AQ399" s="532"/>
      <c r="AR399" s="240"/>
      <c r="AS399" s="240"/>
      <c r="AT399" s="240"/>
      <c r="AU399" s="730"/>
      <c r="AV399" s="730"/>
      <c r="AW399" s="730"/>
      <c r="AX399" s="730"/>
      <c r="AY399" s="468"/>
      <c r="AZ399" s="468"/>
      <c r="BA399" s="240"/>
      <c r="BB399" s="240"/>
      <c r="BC399" s="240"/>
      <c r="BD399" s="240"/>
      <c r="BE399" s="672"/>
      <c r="BF399" s="672"/>
      <c r="BG399" s="672"/>
      <c r="BH399" s="731"/>
      <c r="BI399" s="672"/>
      <c r="BJ399" s="240"/>
      <c r="BK399" s="736"/>
      <c r="BL399" s="737"/>
      <c r="BM399" s="240"/>
      <c r="BN399" s="240"/>
      <c r="BO399" s="240"/>
      <c r="BP399" s="240"/>
      <c r="BQ399" s="240"/>
      <c r="BR399" s="240"/>
      <c r="BS399" s="240"/>
      <c r="BT399" s="240"/>
      <c r="BU399" s="240"/>
      <c r="BV399" s="240"/>
      <c r="BW399" s="240"/>
      <c r="BX399" s="240"/>
      <c r="BY399" s="240"/>
      <c r="BZ399" s="240"/>
      <c r="CA399" s="240"/>
      <c r="CB399" s="672"/>
      <c r="CC399" s="672"/>
      <c r="CD399" s="672"/>
      <c r="CE399" s="672"/>
      <c r="CF399" s="672"/>
      <c r="CG399" s="672"/>
      <c r="CH399" s="240"/>
      <c r="CI399" s="240"/>
      <c r="CJ399" s="240"/>
      <c r="CK399" s="240"/>
      <c r="CL399" s="240"/>
      <c r="CM399" s="240"/>
      <c r="CN399" s="240"/>
      <c r="CO399" s="240"/>
      <c r="CP399" s="240"/>
      <c r="CQ399" s="240"/>
      <c r="CR399" s="240"/>
      <c r="CS399" s="240"/>
      <c r="CT399" s="240"/>
      <c r="CU399" s="240"/>
      <c r="CV399" s="240"/>
      <c r="CW399" s="240"/>
      <c r="CX399" s="240"/>
      <c r="CY399" s="240"/>
      <c r="CZ399" s="240"/>
      <c r="DA399" s="240"/>
      <c r="DB399" s="240"/>
      <c r="DC399" s="240"/>
      <c r="DD399" s="240"/>
      <c r="DE399" s="240"/>
      <c r="DF399" s="240"/>
      <c r="DG399" s="733"/>
      <c r="DH399" s="478"/>
      <c r="DI399" s="195"/>
      <c r="DJ399" s="3"/>
      <c r="DK399" s="478"/>
      <c r="DL399" s="4"/>
      <c r="DM399" s="4"/>
      <c r="DN399" s="4"/>
      <c r="DO399" s="4"/>
      <c r="DP399" s="4"/>
      <c r="DQ399" s="4"/>
      <c r="DS399" s="195"/>
      <c r="DT399" s="195"/>
      <c r="DU399" s="195"/>
      <c r="DV399" s="195"/>
      <c r="DW399" s="195"/>
      <c r="DX399" s="195"/>
      <c r="DY399" s="195"/>
      <c r="DZ399" s="195"/>
      <c r="EA399" s="195"/>
      <c r="EB399" s="195"/>
      <c r="EC399" s="195"/>
      <c r="ED399" s="195"/>
      <c r="EE399" s="195"/>
      <c r="EF399" s="195"/>
      <c r="EG399" s="195"/>
      <c r="EL399" s="1"/>
      <c r="EM399" s="195"/>
      <c r="EN399" s="240"/>
      <c r="EO399" s="240"/>
      <c r="EP399" s="195"/>
      <c r="EQ399" s="240"/>
      <c r="ER399" s="195"/>
      <c r="ES399" s="195"/>
      <c r="ET399" s="195"/>
      <c r="EU399" s="672"/>
    </row>
    <row r="400" customFormat="false" ht="12.75" hidden="false" customHeight="false" outlineLevel="0" collapsed="false">
      <c r="I400" s="735"/>
      <c r="J400" s="727"/>
      <c r="K400" s="195"/>
      <c r="L400" s="195"/>
      <c r="M400" s="729"/>
      <c r="P400" s="727"/>
      <c r="S400" s="1"/>
      <c r="T400" s="727"/>
      <c r="U400" s="195"/>
      <c r="V400" s="195"/>
      <c r="W400" s="195"/>
      <c r="X400" s="195"/>
      <c r="Y400" s="195"/>
      <c r="Z400" s="195"/>
      <c r="AA400" s="195"/>
      <c r="AB400" s="195"/>
      <c r="AC400" s="195"/>
      <c r="AD400" s="195"/>
      <c r="AE400" s="195"/>
      <c r="AF400" s="195"/>
      <c r="AG400" s="195"/>
      <c r="AH400" s="195"/>
      <c r="AI400" s="195"/>
      <c r="AJ400" s="195"/>
      <c r="AK400" s="195"/>
      <c r="AL400" s="195"/>
      <c r="AM400" s="195"/>
      <c r="AN400" s="532"/>
      <c r="AO400" s="532"/>
      <c r="AP400" s="240"/>
      <c r="AQ400" s="532"/>
      <c r="AR400" s="240"/>
      <c r="AS400" s="240"/>
      <c r="AT400" s="240"/>
      <c r="AU400" s="730"/>
      <c r="AV400" s="730"/>
      <c r="AW400" s="730"/>
      <c r="AX400" s="730"/>
      <c r="AY400" s="468"/>
      <c r="AZ400" s="468"/>
      <c r="BA400" s="240"/>
      <c r="BB400" s="240"/>
      <c r="BC400" s="240"/>
      <c r="BD400" s="240"/>
      <c r="BE400" s="672"/>
      <c r="BF400" s="672"/>
      <c r="BG400" s="672"/>
      <c r="BH400" s="731"/>
      <c r="BI400" s="672"/>
      <c r="BJ400" s="240"/>
      <c r="BK400" s="736"/>
      <c r="BL400" s="737"/>
      <c r="BM400" s="240"/>
      <c r="BN400" s="240"/>
      <c r="BO400" s="240"/>
      <c r="BP400" s="240"/>
      <c r="BQ400" s="240"/>
      <c r="BR400" s="240"/>
      <c r="BS400" s="240"/>
      <c r="BT400" s="240"/>
      <c r="BU400" s="240"/>
      <c r="BV400" s="240"/>
      <c r="BW400" s="240"/>
      <c r="BX400" s="240"/>
      <c r="BY400" s="240"/>
      <c r="BZ400" s="240"/>
      <c r="CA400" s="240"/>
      <c r="CB400" s="672"/>
      <c r="CC400" s="672"/>
      <c r="CD400" s="672"/>
      <c r="CE400" s="672"/>
      <c r="CF400" s="672"/>
      <c r="CG400" s="672"/>
      <c r="CH400" s="240"/>
      <c r="CI400" s="240"/>
      <c r="CJ400" s="240"/>
      <c r="CK400" s="240"/>
      <c r="CL400" s="240"/>
      <c r="CM400" s="240"/>
      <c r="CN400" s="240"/>
      <c r="CO400" s="240"/>
      <c r="CP400" s="240"/>
      <c r="CQ400" s="240"/>
      <c r="CR400" s="240"/>
      <c r="CS400" s="240"/>
      <c r="CT400" s="240"/>
      <c r="CU400" s="240"/>
      <c r="CV400" s="240"/>
      <c r="CW400" s="240"/>
      <c r="CX400" s="240"/>
      <c r="CY400" s="240"/>
      <c r="CZ400" s="240"/>
      <c r="DA400" s="240"/>
      <c r="DB400" s="240"/>
      <c r="DC400" s="240"/>
      <c r="DD400" s="240"/>
      <c r="DE400" s="240"/>
      <c r="DF400" s="240"/>
      <c r="DG400" s="733"/>
      <c r="DH400" s="478"/>
      <c r="DI400" s="195"/>
      <c r="DJ400" s="3"/>
      <c r="DK400" s="478"/>
      <c r="DL400" s="4"/>
      <c r="DM400" s="4"/>
      <c r="DN400" s="4"/>
      <c r="DO400" s="4"/>
      <c r="DP400" s="4"/>
      <c r="DQ400" s="4"/>
      <c r="DS400" s="195"/>
      <c r="DT400" s="195"/>
      <c r="DU400" s="195"/>
      <c r="DV400" s="195"/>
      <c r="DW400" s="195"/>
      <c r="DX400" s="195"/>
      <c r="DY400" s="195"/>
      <c r="DZ400" s="195"/>
      <c r="EA400" s="195"/>
      <c r="EB400" s="195"/>
      <c r="EC400" s="195"/>
      <c r="ED400" s="195"/>
      <c r="EE400" s="195"/>
      <c r="EF400" s="195"/>
      <c r="EG400" s="195"/>
      <c r="EL400" s="1"/>
      <c r="EM400" s="195"/>
      <c r="EN400" s="240"/>
      <c r="EO400" s="240"/>
      <c r="EP400" s="195"/>
      <c r="EQ400" s="240"/>
      <c r="ER400" s="195"/>
      <c r="ES400" s="195"/>
      <c r="ET400" s="195"/>
      <c r="EU400" s="672"/>
    </row>
    <row r="401" customFormat="false" ht="12.75" hidden="false" customHeight="false" outlineLevel="0" collapsed="false">
      <c r="I401" s="735"/>
      <c r="J401" s="727"/>
      <c r="K401" s="195"/>
      <c r="L401" s="195"/>
      <c r="M401" s="729"/>
      <c r="P401" s="727"/>
      <c r="S401" s="1"/>
      <c r="T401" s="727"/>
      <c r="U401" s="195"/>
      <c r="V401" s="195"/>
      <c r="W401" s="195"/>
      <c r="X401" s="195"/>
      <c r="Y401" s="195"/>
      <c r="Z401" s="195"/>
      <c r="AA401" s="195"/>
      <c r="AB401" s="195"/>
      <c r="AC401" s="195"/>
      <c r="AD401" s="195"/>
      <c r="AE401" s="195"/>
      <c r="AF401" s="195"/>
      <c r="AG401" s="195"/>
      <c r="AH401" s="195"/>
      <c r="AI401" s="195"/>
      <c r="AJ401" s="195"/>
      <c r="AK401" s="195"/>
      <c r="AL401" s="195"/>
      <c r="AM401" s="195"/>
      <c r="AN401" s="532"/>
      <c r="AO401" s="532"/>
      <c r="AP401" s="240"/>
      <c r="AQ401" s="532"/>
      <c r="AR401" s="240"/>
      <c r="AS401" s="240"/>
      <c r="AT401" s="240"/>
      <c r="AU401" s="730"/>
      <c r="AV401" s="730"/>
      <c r="AW401" s="730"/>
      <c r="AX401" s="730"/>
      <c r="AY401" s="468"/>
      <c r="AZ401" s="468"/>
      <c r="BA401" s="240"/>
      <c r="BB401" s="240"/>
      <c r="BC401" s="240"/>
      <c r="BD401" s="240"/>
      <c r="BE401" s="672"/>
      <c r="BF401" s="672"/>
      <c r="BG401" s="672"/>
      <c r="BH401" s="731"/>
      <c r="BI401" s="672"/>
      <c r="BJ401" s="240"/>
      <c r="BK401" s="736"/>
      <c r="BL401" s="737"/>
      <c r="BM401" s="240"/>
      <c r="BN401" s="240"/>
      <c r="BO401" s="240"/>
      <c r="BP401" s="240"/>
      <c r="BQ401" s="240"/>
      <c r="BR401" s="240"/>
      <c r="BS401" s="240"/>
      <c r="BT401" s="240"/>
      <c r="BU401" s="240"/>
      <c r="BV401" s="240"/>
      <c r="BW401" s="240"/>
      <c r="BX401" s="240"/>
      <c r="BY401" s="240"/>
      <c r="BZ401" s="240"/>
      <c r="CA401" s="240"/>
      <c r="CB401" s="672"/>
      <c r="CC401" s="672"/>
      <c r="CD401" s="672"/>
      <c r="CE401" s="672"/>
      <c r="CF401" s="672"/>
      <c r="CG401" s="672"/>
      <c r="CH401" s="240"/>
      <c r="CI401" s="240"/>
      <c r="CJ401" s="240"/>
      <c r="CK401" s="240"/>
      <c r="CL401" s="240"/>
      <c r="CM401" s="240"/>
      <c r="CN401" s="240"/>
      <c r="CO401" s="240"/>
      <c r="CP401" s="240"/>
      <c r="CQ401" s="240"/>
      <c r="CR401" s="240"/>
      <c r="CS401" s="240"/>
      <c r="CT401" s="240"/>
      <c r="CU401" s="240"/>
      <c r="CV401" s="240"/>
      <c r="CW401" s="240"/>
      <c r="CX401" s="240"/>
      <c r="CY401" s="240"/>
      <c r="CZ401" s="240"/>
      <c r="DA401" s="240"/>
      <c r="DB401" s="240"/>
      <c r="DC401" s="240"/>
      <c r="DD401" s="240"/>
      <c r="DE401" s="240"/>
      <c r="DF401" s="240"/>
      <c r="DG401" s="733"/>
      <c r="DH401" s="478"/>
      <c r="DI401" s="195"/>
      <c r="DJ401" s="3"/>
      <c r="DK401" s="478"/>
      <c r="DL401" s="4"/>
      <c r="DM401" s="4"/>
      <c r="DN401" s="4"/>
      <c r="DO401" s="4"/>
      <c r="DP401" s="4"/>
      <c r="DQ401" s="4"/>
      <c r="DS401" s="195"/>
      <c r="DT401" s="195"/>
      <c r="DU401" s="195"/>
      <c r="DV401" s="195"/>
      <c r="DW401" s="195"/>
      <c r="DX401" s="195"/>
      <c r="DY401" s="195"/>
      <c r="DZ401" s="195"/>
      <c r="EA401" s="195"/>
      <c r="EB401" s="195"/>
      <c r="EC401" s="195"/>
      <c r="ED401" s="195"/>
      <c r="EE401" s="195"/>
      <c r="EF401" s="195"/>
      <c r="EG401" s="195"/>
      <c r="EL401" s="1"/>
      <c r="EM401" s="195"/>
      <c r="EN401" s="240"/>
      <c r="EO401" s="240"/>
      <c r="EP401" s="195"/>
      <c r="EQ401" s="240"/>
      <c r="ER401" s="195"/>
      <c r="ES401" s="195"/>
      <c r="ET401" s="195"/>
      <c r="EU401" s="672"/>
    </row>
    <row r="402" customFormat="false" ht="12.75" hidden="false" customHeight="false" outlineLevel="0" collapsed="false">
      <c r="I402" s="735"/>
      <c r="J402" s="727"/>
      <c r="K402" s="195"/>
      <c r="L402" s="195"/>
      <c r="M402" s="729"/>
      <c r="P402" s="727"/>
      <c r="S402" s="1"/>
      <c r="T402" s="727"/>
      <c r="U402" s="195"/>
      <c r="V402" s="195"/>
      <c r="W402" s="195"/>
      <c r="X402" s="195"/>
      <c r="Y402" s="195"/>
      <c r="Z402" s="195"/>
      <c r="AA402" s="195"/>
      <c r="AB402" s="195"/>
      <c r="AC402" s="195"/>
      <c r="AD402" s="195"/>
      <c r="AE402" s="195"/>
      <c r="AF402" s="195"/>
      <c r="AG402" s="195"/>
      <c r="AH402" s="195"/>
      <c r="AI402" s="195"/>
      <c r="AJ402" s="195"/>
      <c r="AK402" s="195"/>
      <c r="AL402" s="195"/>
      <c r="AM402" s="195"/>
      <c r="AN402" s="532"/>
      <c r="AO402" s="532"/>
      <c r="AP402" s="240"/>
      <c r="AQ402" s="532"/>
      <c r="AR402" s="240"/>
      <c r="AS402" s="240"/>
      <c r="AT402" s="240"/>
      <c r="AU402" s="730"/>
      <c r="AV402" s="730"/>
      <c r="AW402" s="730"/>
      <c r="AX402" s="730"/>
      <c r="AY402" s="468"/>
      <c r="AZ402" s="468"/>
      <c r="BA402" s="240"/>
      <c r="BB402" s="240"/>
      <c r="BC402" s="240"/>
      <c r="BD402" s="240"/>
      <c r="BE402" s="672"/>
      <c r="BF402" s="672"/>
      <c r="BG402" s="672"/>
      <c r="BH402" s="731"/>
      <c r="BI402" s="672"/>
      <c r="BJ402" s="240"/>
      <c r="BK402" s="736"/>
      <c r="BL402" s="737"/>
      <c r="BM402" s="240"/>
      <c r="BN402" s="240"/>
      <c r="BO402" s="240"/>
      <c r="BP402" s="240"/>
      <c r="BQ402" s="240"/>
      <c r="BR402" s="240"/>
      <c r="BS402" s="240"/>
      <c r="BT402" s="240"/>
      <c r="BU402" s="240"/>
      <c r="BV402" s="240"/>
      <c r="BW402" s="240"/>
      <c r="BX402" s="240"/>
      <c r="BY402" s="240"/>
      <c r="BZ402" s="240"/>
      <c r="CA402" s="240"/>
      <c r="CB402" s="672"/>
      <c r="CC402" s="672"/>
      <c r="CD402" s="672"/>
      <c r="CE402" s="672"/>
      <c r="CF402" s="672"/>
      <c r="CG402" s="672"/>
      <c r="CH402" s="240"/>
      <c r="CI402" s="240"/>
      <c r="CJ402" s="240"/>
      <c r="CK402" s="240"/>
      <c r="CL402" s="240"/>
      <c r="CM402" s="240"/>
      <c r="CN402" s="240"/>
      <c r="CO402" s="240"/>
      <c r="CP402" s="240"/>
      <c r="CQ402" s="240"/>
      <c r="CR402" s="240"/>
      <c r="CS402" s="240"/>
      <c r="CT402" s="240"/>
      <c r="CU402" s="240"/>
      <c r="CV402" s="240"/>
      <c r="CW402" s="240"/>
      <c r="CX402" s="240"/>
      <c r="CY402" s="240"/>
      <c r="CZ402" s="240"/>
      <c r="DA402" s="240"/>
      <c r="DB402" s="240"/>
      <c r="DC402" s="240"/>
      <c r="DD402" s="240"/>
      <c r="DE402" s="240"/>
      <c r="DF402" s="240"/>
      <c r="DG402" s="733"/>
      <c r="DH402" s="478"/>
      <c r="DI402" s="195"/>
      <c r="DJ402" s="3"/>
      <c r="DK402" s="478"/>
      <c r="DL402" s="4"/>
      <c r="DM402" s="4"/>
      <c r="DN402" s="4"/>
      <c r="DO402" s="4"/>
      <c r="DP402" s="4"/>
      <c r="DQ402" s="4"/>
      <c r="DS402" s="195"/>
      <c r="DT402" s="195"/>
      <c r="DU402" s="195"/>
      <c r="DV402" s="195"/>
      <c r="DW402" s="195"/>
      <c r="DX402" s="195"/>
      <c r="DY402" s="195"/>
      <c r="DZ402" s="195"/>
      <c r="EA402" s="195"/>
      <c r="EB402" s="195"/>
      <c r="EC402" s="195"/>
      <c r="ED402" s="195"/>
      <c r="EE402" s="195"/>
      <c r="EF402" s="195"/>
      <c r="EG402" s="195"/>
      <c r="EL402" s="1"/>
      <c r="EM402" s="195"/>
      <c r="EN402" s="240"/>
      <c r="EO402" s="240"/>
      <c r="EP402" s="195"/>
      <c r="EQ402" s="240"/>
      <c r="ER402" s="195"/>
      <c r="ES402" s="195"/>
      <c r="ET402" s="195"/>
      <c r="EU402" s="672"/>
    </row>
    <row r="403" customFormat="false" ht="12.75" hidden="false" customHeight="false" outlineLevel="0" collapsed="false">
      <c r="I403" s="735"/>
      <c r="J403" s="727"/>
      <c r="K403" s="195"/>
      <c r="L403" s="195"/>
      <c r="M403" s="729"/>
      <c r="P403" s="727"/>
      <c r="S403" s="1"/>
      <c r="T403" s="727"/>
      <c r="U403" s="195"/>
      <c r="V403" s="195"/>
      <c r="W403" s="195"/>
      <c r="X403" s="195"/>
      <c r="Y403" s="195"/>
      <c r="Z403" s="195"/>
      <c r="AA403" s="195"/>
      <c r="AB403" s="195"/>
      <c r="AC403" s="195"/>
      <c r="AD403" s="195"/>
      <c r="AE403" s="195"/>
      <c r="AF403" s="195"/>
      <c r="AG403" s="195"/>
      <c r="AH403" s="195"/>
      <c r="AI403" s="195"/>
      <c r="AJ403" s="195"/>
      <c r="AK403" s="195"/>
      <c r="AL403" s="195"/>
      <c r="AM403" s="195"/>
      <c r="AN403" s="532"/>
      <c r="AO403" s="532"/>
      <c r="AP403" s="240"/>
      <c r="AQ403" s="532"/>
      <c r="AR403" s="240"/>
      <c r="AS403" s="240"/>
      <c r="AT403" s="240"/>
      <c r="AU403" s="730"/>
      <c r="AV403" s="730"/>
      <c r="AW403" s="730"/>
      <c r="AX403" s="730"/>
      <c r="AY403" s="468"/>
      <c r="AZ403" s="468"/>
      <c r="BA403" s="240"/>
      <c r="BB403" s="240"/>
      <c r="BC403" s="240"/>
      <c r="BD403" s="240"/>
      <c r="BE403" s="672"/>
      <c r="BF403" s="672"/>
      <c r="BG403" s="672"/>
      <c r="BH403" s="731"/>
      <c r="BI403" s="672"/>
      <c r="BJ403" s="240"/>
      <c r="BK403" s="736"/>
      <c r="BL403" s="737"/>
      <c r="BM403" s="240"/>
      <c r="BN403" s="240"/>
      <c r="BO403" s="240"/>
      <c r="BP403" s="240"/>
      <c r="BQ403" s="240"/>
      <c r="BR403" s="240"/>
      <c r="BS403" s="240"/>
      <c r="BT403" s="240"/>
      <c r="BU403" s="240"/>
      <c r="BV403" s="240"/>
      <c r="BW403" s="240"/>
      <c r="BX403" s="240"/>
      <c r="BY403" s="240"/>
      <c r="BZ403" s="240"/>
      <c r="CA403" s="240"/>
      <c r="CB403" s="672"/>
      <c r="CC403" s="672"/>
      <c r="CD403" s="672"/>
      <c r="CE403" s="672"/>
      <c r="CF403" s="672"/>
      <c r="CG403" s="672"/>
      <c r="CH403" s="240"/>
      <c r="CI403" s="240"/>
      <c r="CJ403" s="240"/>
      <c r="CK403" s="240"/>
      <c r="CL403" s="240"/>
      <c r="CM403" s="240"/>
      <c r="CN403" s="240"/>
      <c r="CO403" s="240"/>
      <c r="CP403" s="240"/>
      <c r="CQ403" s="240"/>
      <c r="CR403" s="240"/>
      <c r="CS403" s="240"/>
      <c r="CT403" s="240"/>
      <c r="CU403" s="240"/>
      <c r="CV403" s="240"/>
      <c r="CW403" s="240"/>
      <c r="CX403" s="240"/>
      <c r="CY403" s="240"/>
      <c r="CZ403" s="240"/>
      <c r="DA403" s="240"/>
      <c r="DB403" s="240"/>
      <c r="DC403" s="240"/>
      <c r="DD403" s="240"/>
      <c r="DE403" s="240"/>
      <c r="DF403" s="240"/>
      <c r="DG403" s="733"/>
      <c r="DH403" s="478"/>
      <c r="DI403" s="195"/>
      <c r="DJ403" s="3"/>
      <c r="DK403" s="478"/>
      <c r="DL403" s="4"/>
      <c r="DM403" s="4"/>
      <c r="DN403" s="4"/>
      <c r="DO403" s="4"/>
      <c r="DP403" s="4"/>
      <c r="DQ403" s="4"/>
      <c r="DS403" s="195"/>
      <c r="DT403" s="195"/>
      <c r="DU403" s="195"/>
      <c r="DV403" s="195"/>
      <c r="DW403" s="195"/>
      <c r="DX403" s="195"/>
      <c r="DY403" s="195"/>
      <c r="DZ403" s="195"/>
      <c r="EA403" s="195"/>
      <c r="EB403" s="195"/>
      <c r="EC403" s="195"/>
      <c r="ED403" s="195"/>
      <c r="EE403" s="195"/>
      <c r="EF403" s="195"/>
      <c r="EG403" s="195"/>
      <c r="EL403" s="1"/>
      <c r="EM403" s="195"/>
      <c r="EN403" s="240"/>
      <c r="EO403" s="240"/>
      <c r="EP403" s="195"/>
      <c r="EQ403" s="240"/>
      <c r="ER403" s="195"/>
      <c r="ES403" s="195"/>
      <c r="ET403" s="195"/>
      <c r="EU403" s="672"/>
    </row>
    <row r="404" customFormat="false" ht="12.75" hidden="false" customHeight="false" outlineLevel="0" collapsed="false">
      <c r="I404" s="735"/>
      <c r="J404" s="727"/>
      <c r="K404" s="195"/>
      <c r="L404" s="195"/>
      <c r="M404" s="729"/>
      <c r="P404" s="727"/>
      <c r="S404" s="1"/>
      <c r="T404" s="727"/>
      <c r="U404" s="195"/>
      <c r="V404" s="195"/>
      <c r="W404" s="195"/>
      <c r="X404" s="195"/>
      <c r="Y404" s="195"/>
      <c r="Z404" s="195"/>
      <c r="AA404" s="195"/>
      <c r="AB404" s="195"/>
      <c r="AC404" s="195"/>
      <c r="AD404" s="195"/>
      <c r="AE404" s="195"/>
      <c r="AF404" s="195"/>
      <c r="AG404" s="195"/>
      <c r="AH404" s="195"/>
      <c r="AI404" s="195"/>
      <c r="AJ404" s="195"/>
      <c r="AK404" s="195"/>
      <c r="AL404" s="195"/>
      <c r="AM404" s="195"/>
      <c r="AN404" s="532"/>
      <c r="AO404" s="532"/>
      <c r="AP404" s="240"/>
      <c r="AQ404" s="532"/>
      <c r="AR404" s="240"/>
      <c r="AS404" s="240"/>
      <c r="AT404" s="240"/>
      <c r="AU404" s="730"/>
      <c r="AV404" s="730"/>
      <c r="AW404" s="730"/>
      <c r="AX404" s="730"/>
      <c r="AY404" s="468"/>
      <c r="AZ404" s="468"/>
      <c r="BA404" s="240"/>
      <c r="BB404" s="240"/>
      <c r="BC404" s="240"/>
      <c r="BD404" s="240"/>
      <c r="BE404" s="672"/>
      <c r="BF404" s="672"/>
      <c r="BG404" s="672"/>
      <c r="BH404" s="731"/>
      <c r="BI404" s="672"/>
      <c r="BJ404" s="240"/>
      <c r="BK404" s="736"/>
      <c r="BL404" s="737"/>
      <c r="BM404" s="240"/>
      <c r="BN404" s="240"/>
      <c r="BO404" s="240"/>
      <c r="BP404" s="240"/>
      <c r="BQ404" s="240"/>
      <c r="BR404" s="240"/>
      <c r="BS404" s="240"/>
      <c r="BT404" s="240"/>
      <c r="BU404" s="240"/>
      <c r="BV404" s="240"/>
      <c r="BW404" s="240"/>
      <c r="BX404" s="240"/>
      <c r="BY404" s="240"/>
      <c r="BZ404" s="240"/>
      <c r="CA404" s="240"/>
      <c r="CB404" s="672"/>
      <c r="CC404" s="672"/>
      <c r="CD404" s="672"/>
      <c r="CE404" s="672"/>
      <c r="CF404" s="672"/>
      <c r="CG404" s="672"/>
      <c r="CH404" s="240"/>
      <c r="CI404" s="240"/>
      <c r="CJ404" s="240"/>
      <c r="CK404" s="240"/>
      <c r="CL404" s="240"/>
      <c r="CM404" s="240"/>
      <c r="CN404" s="240"/>
      <c r="CO404" s="240"/>
      <c r="CP404" s="240"/>
      <c r="CQ404" s="240"/>
      <c r="CR404" s="240"/>
      <c r="CS404" s="240"/>
      <c r="CT404" s="240"/>
      <c r="CU404" s="240"/>
      <c r="CV404" s="240"/>
      <c r="CW404" s="240"/>
      <c r="CX404" s="240"/>
      <c r="CY404" s="240"/>
      <c r="CZ404" s="240"/>
      <c r="DA404" s="240"/>
      <c r="DB404" s="240"/>
      <c r="DC404" s="240"/>
      <c r="DD404" s="240"/>
      <c r="DE404" s="240"/>
      <c r="DF404" s="240"/>
      <c r="DG404" s="733"/>
      <c r="DH404" s="478"/>
      <c r="DI404" s="195"/>
      <c r="DJ404" s="3"/>
      <c r="DK404" s="478"/>
      <c r="DL404" s="4"/>
      <c r="DM404" s="4"/>
      <c r="DN404" s="4"/>
      <c r="DO404" s="4"/>
      <c r="DP404" s="4"/>
      <c r="DQ404" s="4"/>
      <c r="DS404" s="195"/>
      <c r="DT404" s="195"/>
      <c r="DU404" s="195"/>
      <c r="DV404" s="195"/>
      <c r="DW404" s="195"/>
      <c r="DX404" s="195"/>
      <c r="DY404" s="195"/>
      <c r="DZ404" s="195"/>
      <c r="EA404" s="195"/>
      <c r="EB404" s="195"/>
      <c r="EC404" s="195"/>
      <c r="ED404" s="195"/>
      <c r="EE404" s="195"/>
      <c r="EF404" s="195"/>
      <c r="EG404" s="195"/>
      <c r="EL404" s="1"/>
      <c r="EM404" s="195"/>
      <c r="EN404" s="240"/>
      <c r="EO404" s="240"/>
      <c r="EP404" s="195"/>
      <c r="EQ404" s="240"/>
      <c r="ER404" s="195"/>
      <c r="ES404" s="195"/>
      <c r="ET404" s="195"/>
      <c r="EU404" s="672"/>
    </row>
    <row r="405" customFormat="false" ht="12.75" hidden="false" customHeight="false" outlineLevel="0" collapsed="false">
      <c r="I405" s="735"/>
      <c r="J405" s="727"/>
      <c r="K405" s="195"/>
      <c r="L405" s="195"/>
      <c r="M405" s="729"/>
      <c r="P405" s="727"/>
      <c r="S405" s="1"/>
      <c r="T405" s="727"/>
      <c r="U405" s="195"/>
      <c r="V405" s="195"/>
      <c r="W405" s="195"/>
      <c r="X405" s="195"/>
      <c r="Y405" s="195"/>
      <c r="Z405" s="195"/>
      <c r="AA405" s="195"/>
      <c r="AB405" s="195"/>
      <c r="AC405" s="195"/>
      <c r="AD405" s="195"/>
      <c r="AE405" s="195"/>
      <c r="AF405" s="195"/>
      <c r="AG405" s="195"/>
      <c r="AH405" s="195"/>
      <c r="AI405" s="195"/>
      <c r="AJ405" s="195"/>
      <c r="AK405" s="195"/>
      <c r="AL405" s="195"/>
      <c r="AM405" s="195"/>
      <c r="AN405" s="532"/>
      <c r="AO405" s="532"/>
      <c r="AP405" s="240"/>
      <c r="AQ405" s="532"/>
      <c r="AR405" s="240"/>
      <c r="AS405" s="240"/>
      <c r="AT405" s="240"/>
      <c r="AU405" s="730"/>
      <c r="AV405" s="730"/>
      <c r="AW405" s="730"/>
      <c r="AX405" s="730"/>
      <c r="AY405" s="468"/>
      <c r="AZ405" s="468"/>
      <c r="BA405" s="240"/>
      <c r="BB405" s="240"/>
      <c r="BC405" s="240"/>
      <c r="BD405" s="240"/>
      <c r="BE405" s="672"/>
      <c r="BF405" s="672"/>
      <c r="BG405" s="672"/>
      <c r="BH405" s="731"/>
      <c r="BI405" s="672"/>
      <c r="BJ405" s="240"/>
      <c r="BK405" s="736"/>
      <c r="BL405" s="737"/>
      <c r="BM405" s="240"/>
      <c r="BN405" s="240"/>
      <c r="BO405" s="240"/>
      <c r="BP405" s="240"/>
      <c r="BQ405" s="240"/>
      <c r="BR405" s="240"/>
      <c r="BS405" s="240"/>
      <c r="BT405" s="240"/>
      <c r="BU405" s="240"/>
      <c r="BV405" s="240"/>
      <c r="BW405" s="240"/>
      <c r="BX405" s="240"/>
      <c r="BY405" s="240"/>
      <c r="BZ405" s="240"/>
      <c r="CA405" s="240"/>
      <c r="CB405" s="672"/>
      <c r="CC405" s="672"/>
      <c r="CD405" s="672"/>
      <c r="CE405" s="672"/>
      <c r="CF405" s="672"/>
      <c r="CG405" s="672"/>
      <c r="CH405" s="240"/>
      <c r="CI405" s="240"/>
      <c r="CJ405" s="240"/>
      <c r="CK405" s="240"/>
      <c r="CL405" s="240"/>
      <c r="CM405" s="240"/>
      <c r="CN405" s="240"/>
      <c r="CO405" s="240"/>
      <c r="CP405" s="240"/>
      <c r="CQ405" s="240"/>
      <c r="CR405" s="240"/>
      <c r="CS405" s="240"/>
      <c r="CT405" s="240"/>
      <c r="CU405" s="240"/>
      <c r="CV405" s="240"/>
      <c r="CW405" s="240"/>
      <c r="CX405" s="240"/>
      <c r="CY405" s="240"/>
      <c r="CZ405" s="240"/>
      <c r="DA405" s="240"/>
      <c r="DB405" s="240"/>
      <c r="DC405" s="240"/>
      <c r="DD405" s="240"/>
      <c r="DE405" s="240"/>
      <c r="DF405" s="240"/>
      <c r="DG405" s="733"/>
      <c r="DH405" s="478"/>
      <c r="DI405" s="195"/>
      <c r="DJ405" s="3"/>
      <c r="DK405" s="478"/>
      <c r="DL405" s="4"/>
      <c r="DM405" s="4"/>
      <c r="DN405" s="4"/>
      <c r="DO405" s="4"/>
      <c r="DP405" s="4"/>
      <c r="DQ405" s="4"/>
      <c r="DS405" s="195"/>
      <c r="DT405" s="195"/>
      <c r="DU405" s="195"/>
      <c r="DV405" s="195"/>
      <c r="DW405" s="195"/>
      <c r="DX405" s="195"/>
      <c r="DY405" s="195"/>
      <c r="DZ405" s="195"/>
      <c r="EA405" s="195"/>
      <c r="EB405" s="195"/>
      <c r="EC405" s="195"/>
      <c r="ED405" s="195"/>
      <c r="EE405" s="195"/>
      <c r="EF405" s="195"/>
      <c r="EG405" s="195"/>
      <c r="EL405" s="1"/>
      <c r="EM405" s="195"/>
      <c r="EN405" s="240"/>
      <c r="EO405" s="240"/>
      <c r="EP405" s="195"/>
      <c r="EQ405" s="240"/>
      <c r="ER405" s="195"/>
      <c r="ES405" s="195"/>
      <c r="ET405" s="195"/>
      <c r="EU405" s="672"/>
    </row>
    <row r="406" customFormat="false" ht="12.75" hidden="false" customHeight="false" outlineLevel="0" collapsed="false">
      <c r="I406" s="735"/>
      <c r="J406" s="727"/>
      <c r="K406" s="195"/>
      <c r="L406" s="195"/>
      <c r="M406" s="729"/>
      <c r="P406" s="727"/>
      <c r="S406" s="1"/>
      <c r="T406" s="727"/>
      <c r="U406" s="195"/>
      <c r="V406" s="195"/>
      <c r="W406" s="195"/>
      <c r="X406" s="195"/>
      <c r="Y406" s="195"/>
      <c r="Z406" s="195"/>
      <c r="AA406" s="195"/>
      <c r="AB406" s="195"/>
      <c r="AC406" s="195"/>
      <c r="AD406" s="195"/>
      <c r="AE406" s="195"/>
      <c r="AF406" s="195"/>
      <c r="AG406" s="195"/>
      <c r="AH406" s="195"/>
      <c r="AI406" s="195"/>
      <c r="AJ406" s="195"/>
      <c r="AK406" s="195"/>
      <c r="AL406" s="195"/>
      <c r="AM406" s="195"/>
      <c r="AN406" s="532"/>
      <c r="AO406" s="532"/>
      <c r="AP406" s="240"/>
      <c r="AQ406" s="532"/>
      <c r="AR406" s="240"/>
      <c r="AS406" s="240"/>
      <c r="AT406" s="240"/>
      <c r="AU406" s="730"/>
      <c r="AV406" s="730"/>
      <c r="AW406" s="730"/>
      <c r="AX406" s="730"/>
      <c r="AY406" s="468"/>
      <c r="AZ406" s="468"/>
      <c r="BA406" s="240"/>
      <c r="BB406" s="240"/>
      <c r="BC406" s="240"/>
      <c r="BD406" s="240"/>
      <c r="BE406" s="672"/>
      <c r="BF406" s="672"/>
      <c r="BG406" s="672"/>
      <c r="BH406" s="731"/>
      <c r="BI406" s="672"/>
      <c r="BJ406" s="240"/>
      <c r="BK406" s="736"/>
      <c r="BL406" s="737"/>
      <c r="BM406" s="240"/>
      <c r="BN406" s="240"/>
      <c r="BO406" s="240"/>
      <c r="BP406" s="240"/>
      <c r="BQ406" s="240"/>
      <c r="BR406" s="240"/>
      <c r="BS406" s="240"/>
      <c r="BT406" s="240"/>
      <c r="BU406" s="240"/>
      <c r="BV406" s="240"/>
      <c r="BW406" s="240"/>
      <c r="BX406" s="240"/>
      <c r="BY406" s="240"/>
      <c r="BZ406" s="240"/>
      <c r="CA406" s="240"/>
      <c r="CB406" s="672"/>
      <c r="CC406" s="672"/>
      <c r="CD406" s="672"/>
      <c r="CE406" s="672"/>
      <c r="CF406" s="672"/>
      <c r="CG406" s="672"/>
      <c r="CH406" s="240"/>
      <c r="CI406" s="240"/>
      <c r="CJ406" s="240"/>
      <c r="CK406" s="240"/>
      <c r="CL406" s="240"/>
      <c r="CM406" s="240"/>
      <c r="CN406" s="240"/>
      <c r="CO406" s="240"/>
      <c r="CP406" s="240"/>
      <c r="CQ406" s="240"/>
      <c r="CR406" s="240"/>
      <c r="CS406" s="240"/>
      <c r="CT406" s="240"/>
      <c r="CU406" s="240"/>
      <c r="CV406" s="240"/>
      <c r="CW406" s="240"/>
      <c r="CX406" s="240"/>
      <c r="CY406" s="240"/>
      <c r="CZ406" s="240"/>
      <c r="DA406" s="240"/>
      <c r="DB406" s="240"/>
      <c r="DC406" s="240"/>
      <c r="DD406" s="240"/>
      <c r="DE406" s="240"/>
      <c r="DF406" s="240"/>
      <c r="DG406" s="733"/>
      <c r="DH406" s="478"/>
      <c r="DI406" s="195"/>
      <c r="DJ406" s="3"/>
      <c r="DK406" s="478"/>
      <c r="DL406" s="4"/>
      <c r="DM406" s="4"/>
      <c r="DN406" s="4"/>
      <c r="DO406" s="4"/>
      <c r="DP406" s="4"/>
      <c r="DQ406" s="4"/>
      <c r="DS406" s="195"/>
      <c r="DT406" s="195"/>
      <c r="DU406" s="195"/>
      <c r="DV406" s="195"/>
      <c r="DW406" s="195"/>
      <c r="DX406" s="195"/>
      <c r="DY406" s="195"/>
      <c r="DZ406" s="195"/>
      <c r="EA406" s="195"/>
      <c r="EB406" s="195"/>
      <c r="EC406" s="195"/>
      <c r="ED406" s="195"/>
      <c r="EE406" s="195"/>
      <c r="EF406" s="195"/>
      <c r="EG406" s="195"/>
      <c r="EL406" s="1"/>
      <c r="EM406" s="195"/>
      <c r="EN406" s="240"/>
      <c r="EO406" s="240"/>
      <c r="EP406" s="195"/>
      <c r="EQ406" s="240"/>
      <c r="ER406" s="195"/>
      <c r="ES406" s="195"/>
      <c r="ET406" s="195"/>
      <c r="EU406" s="672"/>
    </row>
    <row r="407" customFormat="false" ht="12.75" hidden="false" customHeight="false" outlineLevel="0" collapsed="false">
      <c r="I407" s="735"/>
      <c r="J407" s="727"/>
      <c r="K407" s="195"/>
      <c r="L407" s="195"/>
      <c r="M407" s="729"/>
      <c r="P407" s="727"/>
      <c r="S407" s="1"/>
      <c r="T407" s="727"/>
      <c r="U407" s="195"/>
      <c r="V407" s="195"/>
      <c r="W407" s="195"/>
      <c r="X407" s="195"/>
      <c r="Y407" s="195"/>
      <c r="Z407" s="195"/>
      <c r="AA407" s="195"/>
      <c r="AB407" s="195"/>
      <c r="AC407" s="195"/>
      <c r="AD407" s="195"/>
      <c r="AE407" s="195"/>
      <c r="AF407" s="195"/>
      <c r="AG407" s="195"/>
      <c r="AH407" s="195"/>
      <c r="AI407" s="195"/>
      <c r="AJ407" s="195"/>
      <c r="AK407" s="195"/>
      <c r="AL407" s="195"/>
      <c r="AM407" s="195"/>
      <c r="AN407" s="532"/>
      <c r="AO407" s="532"/>
      <c r="AP407" s="240"/>
      <c r="AQ407" s="532"/>
      <c r="AR407" s="240"/>
      <c r="AS407" s="240"/>
      <c r="AT407" s="240"/>
      <c r="AU407" s="730"/>
      <c r="AV407" s="730"/>
      <c r="AW407" s="730"/>
      <c r="AX407" s="730"/>
      <c r="AY407" s="468"/>
      <c r="AZ407" s="468"/>
      <c r="BA407" s="240"/>
      <c r="BB407" s="240"/>
      <c r="BC407" s="240"/>
      <c r="BD407" s="240"/>
      <c r="BE407" s="672"/>
      <c r="BF407" s="672"/>
      <c r="BG407" s="672"/>
      <c r="BH407" s="731"/>
      <c r="BI407" s="672"/>
      <c r="BJ407" s="240"/>
      <c r="BK407" s="736"/>
      <c r="BL407" s="737"/>
      <c r="BM407" s="240"/>
      <c r="BN407" s="240"/>
      <c r="BO407" s="240"/>
      <c r="BP407" s="240"/>
      <c r="BQ407" s="240"/>
      <c r="BR407" s="240"/>
      <c r="BS407" s="240"/>
      <c r="BT407" s="240"/>
      <c r="BU407" s="240"/>
      <c r="BV407" s="240"/>
      <c r="BW407" s="240"/>
      <c r="BX407" s="240"/>
      <c r="BY407" s="240"/>
      <c r="BZ407" s="240"/>
      <c r="CA407" s="240"/>
      <c r="CB407" s="672"/>
      <c r="CC407" s="672"/>
      <c r="CD407" s="672"/>
      <c r="CE407" s="672"/>
      <c r="CF407" s="672"/>
      <c r="CG407" s="672"/>
      <c r="CH407" s="240"/>
      <c r="CI407" s="240"/>
      <c r="CJ407" s="240"/>
      <c r="CK407" s="240"/>
      <c r="CL407" s="240"/>
      <c r="CM407" s="240"/>
      <c r="CN407" s="240"/>
      <c r="CO407" s="240"/>
      <c r="CP407" s="240"/>
      <c r="CQ407" s="240"/>
      <c r="CR407" s="240"/>
      <c r="CS407" s="240"/>
      <c r="CT407" s="240"/>
      <c r="CU407" s="240"/>
      <c r="CV407" s="240"/>
      <c r="CW407" s="240"/>
      <c r="CX407" s="240"/>
      <c r="CY407" s="240"/>
      <c r="CZ407" s="240"/>
      <c r="DA407" s="240"/>
      <c r="DB407" s="240"/>
      <c r="DC407" s="240"/>
      <c r="DD407" s="240"/>
      <c r="DE407" s="240"/>
      <c r="DF407" s="240"/>
      <c r="DG407" s="733"/>
      <c r="DH407" s="478"/>
      <c r="DI407" s="195"/>
      <c r="DJ407" s="3"/>
      <c r="DK407" s="478"/>
      <c r="DL407" s="4"/>
      <c r="DM407" s="4"/>
      <c r="DN407" s="4"/>
      <c r="DO407" s="4"/>
      <c r="DP407" s="4"/>
      <c r="DQ407" s="4"/>
      <c r="DS407" s="195"/>
      <c r="DT407" s="195"/>
      <c r="DU407" s="195"/>
      <c r="DV407" s="195"/>
      <c r="DW407" s="195"/>
      <c r="DX407" s="195"/>
      <c r="DY407" s="195"/>
      <c r="DZ407" s="195"/>
      <c r="EA407" s="195"/>
      <c r="EB407" s="195"/>
      <c r="EC407" s="195"/>
      <c r="ED407" s="195"/>
      <c r="EE407" s="195"/>
      <c r="EF407" s="195"/>
      <c r="EG407" s="195"/>
      <c r="EL407" s="1"/>
      <c r="EM407" s="195"/>
      <c r="EN407" s="240"/>
      <c r="EO407" s="240"/>
      <c r="EP407" s="195"/>
      <c r="EQ407" s="240"/>
      <c r="ER407" s="195"/>
      <c r="ES407" s="195"/>
      <c r="ET407" s="195"/>
      <c r="EU407" s="672"/>
    </row>
    <row r="408" customFormat="false" ht="12.75" hidden="false" customHeight="false" outlineLevel="0" collapsed="false">
      <c r="I408" s="735"/>
      <c r="J408" s="727"/>
      <c r="K408" s="195"/>
      <c r="L408" s="195"/>
      <c r="M408" s="729"/>
      <c r="P408" s="727"/>
      <c r="S408" s="1"/>
      <c r="T408" s="727"/>
      <c r="U408" s="195"/>
      <c r="V408" s="195"/>
      <c r="W408" s="195"/>
      <c r="X408" s="195"/>
      <c r="Y408" s="195"/>
      <c r="Z408" s="195"/>
      <c r="AA408" s="195"/>
      <c r="AB408" s="195"/>
      <c r="AC408" s="195"/>
      <c r="AD408" s="195"/>
      <c r="AE408" s="195"/>
      <c r="AF408" s="195"/>
      <c r="AG408" s="195"/>
      <c r="AH408" s="195"/>
      <c r="AI408" s="195"/>
      <c r="AJ408" s="195"/>
      <c r="AK408" s="195"/>
      <c r="AL408" s="195"/>
      <c r="AM408" s="195"/>
      <c r="AN408" s="532"/>
      <c r="AO408" s="532"/>
      <c r="AP408" s="240"/>
      <c r="AQ408" s="532"/>
      <c r="AR408" s="240"/>
      <c r="AS408" s="240"/>
      <c r="AT408" s="240"/>
      <c r="AU408" s="730"/>
      <c r="AV408" s="730"/>
      <c r="AW408" s="730"/>
      <c r="AX408" s="730"/>
      <c r="AY408" s="468"/>
      <c r="AZ408" s="468"/>
      <c r="BA408" s="240"/>
      <c r="BB408" s="240"/>
      <c r="BC408" s="240"/>
      <c r="BD408" s="240"/>
      <c r="BE408" s="672"/>
      <c r="BF408" s="672"/>
      <c r="BG408" s="672"/>
      <c r="BH408" s="731"/>
      <c r="BI408" s="672"/>
      <c r="BJ408" s="240"/>
      <c r="BK408" s="736"/>
      <c r="BL408" s="737"/>
      <c r="BM408" s="240"/>
      <c r="BN408" s="240"/>
      <c r="BO408" s="240"/>
      <c r="BP408" s="240"/>
      <c r="BQ408" s="240"/>
      <c r="BR408" s="240"/>
      <c r="BS408" s="240"/>
      <c r="BT408" s="240"/>
      <c r="BU408" s="240"/>
      <c r="BV408" s="240"/>
      <c r="BW408" s="240"/>
      <c r="BX408" s="240"/>
      <c r="BY408" s="240"/>
      <c r="BZ408" s="240"/>
      <c r="CA408" s="240"/>
      <c r="CB408" s="672"/>
      <c r="CC408" s="672"/>
      <c r="CD408" s="672"/>
      <c r="CE408" s="672"/>
      <c r="CF408" s="672"/>
      <c r="CG408" s="672"/>
      <c r="CH408" s="240"/>
      <c r="CI408" s="240"/>
      <c r="CJ408" s="240"/>
      <c r="CK408" s="240"/>
      <c r="CL408" s="240"/>
      <c r="CM408" s="240"/>
      <c r="CN408" s="240"/>
      <c r="CO408" s="240"/>
      <c r="CP408" s="240"/>
      <c r="CQ408" s="240"/>
      <c r="CR408" s="240"/>
      <c r="CS408" s="240"/>
      <c r="CT408" s="240"/>
      <c r="CU408" s="240"/>
      <c r="CV408" s="240"/>
      <c r="CW408" s="240"/>
      <c r="CX408" s="240"/>
      <c r="CY408" s="240"/>
      <c r="CZ408" s="240"/>
      <c r="DA408" s="240"/>
      <c r="DB408" s="240"/>
      <c r="DC408" s="240"/>
      <c r="DD408" s="240"/>
      <c r="DE408" s="240"/>
      <c r="DF408" s="240"/>
      <c r="DG408" s="733"/>
      <c r="DH408" s="478"/>
      <c r="DI408" s="195"/>
      <c r="DJ408" s="3"/>
      <c r="DK408" s="478"/>
      <c r="DL408" s="4"/>
      <c r="DM408" s="4"/>
      <c r="DN408" s="4"/>
      <c r="DO408" s="4"/>
      <c r="DP408" s="4"/>
      <c r="DQ408" s="4"/>
      <c r="DS408" s="195"/>
      <c r="DT408" s="195"/>
      <c r="DU408" s="195"/>
      <c r="DV408" s="195"/>
      <c r="DW408" s="195"/>
      <c r="DX408" s="195"/>
      <c r="DY408" s="195"/>
      <c r="DZ408" s="195"/>
      <c r="EA408" s="195"/>
      <c r="EB408" s="195"/>
      <c r="EC408" s="195"/>
      <c r="ED408" s="195"/>
      <c r="EE408" s="195"/>
      <c r="EF408" s="195"/>
      <c r="EG408" s="195"/>
      <c r="EL408" s="1"/>
      <c r="EM408" s="195"/>
      <c r="EN408" s="240"/>
      <c r="EO408" s="240"/>
      <c r="EP408" s="195"/>
      <c r="EQ408" s="240"/>
      <c r="ER408" s="195"/>
      <c r="ES408" s="195"/>
      <c r="ET408" s="195"/>
      <c r="EU408" s="672"/>
    </row>
    <row r="409" customFormat="false" ht="12.75" hidden="false" customHeight="false" outlineLevel="0" collapsed="false">
      <c r="I409" s="735"/>
      <c r="J409" s="727"/>
      <c r="K409" s="195"/>
      <c r="L409" s="195"/>
      <c r="M409" s="729"/>
      <c r="P409" s="727"/>
      <c r="S409" s="1"/>
      <c r="T409" s="727"/>
      <c r="U409" s="195"/>
      <c r="V409" s="195"/>
      <c r="W409" s="195"/>
      <c r="X409" s="195"/>
      <c r="Y409" s="195"/>
      <c r="Z409" s="195"/>
      <c r="AA409" s="195"/>
      <c r="AB409" s="195"/>
      <c r="AC409" s="195"/>
      <c r="AD409" s="195"/>
      <c r="AE409" s="195"/>
      <c r="AF409" s="195"/>
      <c r="AG409" s="195"/>
      <c r="AH409" s="195"/>
      <c r="AI409" s="195"/>
      <c r="AJ409" s="195"/>
      <c r="AK409" s="195"/>
      <c r="AL409" s="195"/>
      <c r="AM409" s="195"/>
      <c r="AN409" s="532"/>
      <c r="AO409" s="532"/>
      <c r="AP409" s="240"/>
      <c r="AQ409" s="532"/>
      <c r="AR409" s="240"/>
      <c r="AS409" s="240"/>
      <c r="AT409" s="240"/>
      <c r="AU409" s="730"/>
      <c r="AV409" s="730"/>
      <c r="AW409" s="730"/>
      <c r="AX409" s="730"/>
      <c r="AY409" s="468"/>
      <c r="AZ409" s="468"/>
      <c r="BA409" s="240"/>
      <c r="BB409" s="240"/>
      <c r="BC409" s="240"/>
      <c r="BD409" s="240"/>
      <c r="BE409" s="672"/>
      <c r="BF409" s="672"/>
      <c r="BG409" s="672"/>
      <c r="BH409" s="731"/>
      <c r="BI409" s="672"/>
      <c r="BJ409" s="240"/>
      <c r="BK409" s="736"/>
      <c r="BL409" s="737"/>
      <c r="BM409" s="240"/>
      <c r="BN409" s="240"/>
      <c r="BO409" s="240"/>
      <c r="BP409" s="240"/>
      <c r="BQ409" s="240"/>
      <c r="BR409" s="240"/>
      <c r="BS409" s="240"/>
      <c r="BT409" s="240"/>
      <c r="BU409" s="240"/>
      <c r="BV409" s="240"/>
      <c r="BW409" s="240"/>
      <c r="BX409" s="240"/>
      <c r="BY409" s="240"/>
      <c r="BZ409" s="240"/>
      <c r="CA409" s="240"/>
      <c r="CB409" s="672"/>
      <c r="CC409" s="672"/>
      <c r="CD409" s="672"/>
      <c r="CE409" s="672"/>
      <c r="CF409" s="672"/>
      <c r="CG409" s="672"/>
      <c r="CH409" s="240"/>
      <c r="CI409" s="240"/>
      <c r="CJ409" s="240"/>
      <c r="CK409" s="240"/>
      <c r="CL409" s="240"/>
      <c r="CM409" s="240"/>
      <c r="CN409" s="240"/>
      <c r="CO409" s="240"/>
      <c r="CP409" s="240"/>
      <c r="CQ409" s="240"/>
      <c r="CR409" s="240"/>
      <c r="CS409" s="240"/>
      <c r="CT409" s="240"/>
      <c r="CU409" s="240"/>
      <c r="CV409" s="240"/>
      <c r="CW409" s="240"/>
      <c r="CX409" s="240"/>
      <c r="CY409" s="240"/>
      <c r="CZ409" s="240"/>
      <c r="DA409" s="240"/>
      <c r="DB409" s="240"/>
      <c r="DC409" s="240"/>
      <c r="DD409" s="240"/>
      <c r="DE409" s="240"/>
      <c r="DF409" s="240"/>
      <c r="DG409" s="733"/>
      <c r="DH409" s="478"/>
      <c r="DI409" s="195"/>
      <c r="DJ409" s="3"/>
      <c r="DK409" s="478"/>
      <c r="DL409" s="4"/>
      <c r="DM409" s="4"/>
      <c r="DN409" s="4"/>
      <c r="DO409" s="4"/>
      <c r="DP409" s="4"/>
      <c r="DQ409" s="4"/>
      <c r="DS409" s="195"/>
      <c r="DT409" s="195"/>
      <c r="DU409" s="195"/>
      <c r="DV409" s="195"/>
      <c r="DW409" s="195"/>
      <c r="DX409" s="195"/>
      <c r="DY409" s="195"/>
      <c r="DZ409" s="195"/>
      <c r="EA409" s="195"/>
      <c r="EB409" s="195"/>
      <c r="EC409" s="195"/>
      <c r="ED409" s="195"/>
      <c r="EE409" s="195"/>
      <c r="EF409" s="195"/>
      <c r="EG409" s="195"/>
      <c r="EL409" s="1"/>
      <c r="EM409" s="195"/>
      <c r="EN409" s="240"/>
      <c r="EO409" s="240"/>
      <c r="EP409" s="195"/>
      <c r="EQ409" s="240"/>
      <c r="ER409" s="195"/>
      <c r="ES409" s="195"/>
      <c r="ET409" s="195"/>
      <c r="EU409" s="672"/>
    </row>
    <row r="410" customFormat="false" ht="12.75" hidden="false" customHeight="false" outlineLevel="0" collapsed="false">
      <c r="I410" s="735"/>
      <c r="J410" s="727"/>
      <c r="K410" s="195"/>
      <c r="L410" s="195"/>
      <c r="M410" s="729"/>
      <c r="P410" s="727"/>
      <c r="S410" s="1"/>
      <c r="T410" s="727"/>
      <c r="U410" s="195"/>
      <c r="V410" s="195"/>
      <c r="W410" s="195"/>
      <c r="X410" s="195"/>
      <c r="Y410" s="195"/>
      <c r="Z410" s="195"/>
      <c r="AA410" s="195"/>
      <c r="AB410" s="195"/>
      <c r="AC410" s="195"/>
      <c r="AD410" s="195"/>
      <c r="AE410" s="195"/>
      <c r="AF410" s="195"/>
      <c r="AG410" s="195"/>
      <c r="AH410" s="195"/>
      <c r="AI410" s="195"/>
      <c r="AJ410" s="195"/>
      <c r="AK410" s="195"/>
      <c r="AL410" s="195"/>
      <c r="AM410" s="195"/>
      <c r="AN410" s="532"/>
      <c r="AO410" s="532"/>
      <c r="AP410" s="240"/>
      <c r="AQ410" s="532"/>
      <c r="AR410" s="240"/>
      <c r="AS410" s="240"/>
      <c r="AT410" s="240"/>
      <c r="AU410" s="730"/>
      <c r="AV410" s="730"/>
      <c r="AW410" s="730"/>
      <c r="AX410" s="730"/>
      <c r="AY410" s="468"/>
      <c r="AZ410" s="468"/>
      <c r="BA410" s="240"/>
      <c r="BB410" s="240"/>
      <c r="BC410" s="240"/>
      <c r="BD410" s="240"/>
      <c r="BE410" s="672"/>
      <c r="BF410" s="672"/>
      <c r="BG410" s="672"/>
      <c r="BH410" s="731"/>
      <c r="BI410" s="672"/>
      <c r="BJ410" s="240"/>
      <c r="BK410" s="736"/>
      <c r="BL410" s="737"/>
      <c r="BM410" s="240"/>
      <c r="BN410" s="240"/>
      <c r="BO410" s="240"/>
      <c r="BP410" s="240"/>
      <c r="BQ410" s="240"/>
      <c r="BR410" s="240"/>
      <c r="BS410" s="240"/>
      <c r="BT410" s="240"/>
      <c r="BU410" s="240"/>
      <c r="BV410" s="240"/>
      <c r="BW410" s="240"/>
      <c r="BX410" s="240"/>
      <c r="BY410" s="240"/>
      <c r="BZ410" s="240"/>
      <c r="CA410" s="240"/>
      <c r="CB410" s="672"/>
      <c r="CC410" s="672"/>
      <c r="CD410" s="672"/>
      <c r="CE410" s="672"/>
      <c r="CF410" s="672"/>
      <c r="CG410" s="672"/>
      <c r="CH410" s="240"/>
      <c r="CI410" s="240"/>
      <c r="CJ410" s="240"/>
      <c r="CK410" s="240"/>
      <c r="CL410" s="240"/>
      <c r="CM410" s="240"/>
      <c r="CN410" s="240"/>
      <c r="CO410" s="240"/>
      <c r="CP410" s="240"/>
      <c r="CQ410" s="240"/>
      <c r="CR410" s="240"/>
      <c r="CS410" s="240"/>
      <c r="CT410" s="240"/>
      <c r="CU410" s="240"/>
      <c r="CV410" s="240"/>
      <c r="CW410" s="240"/>
      <c r="CX410" s="240"/>
      <c r="CY410" s="240"/>
      <c r="CZ410" s="240"/>
      <c r="DA410" s="240"/>
      <c r="DB410" s="240"/>
      <c r="DC410" s="240"/>
      <c r="DD410" s="240"/>
      <c r="DE410" s="240"/>
      <c r="DF410" s="240"/>
      <c r="DG410" s="733"/>
      <c r="DH410" s="478"/>
      <c r="DI410" s="195"/>
      <c r="DJ410" s="3"/>
      <c r="DK410" s="478"/>
      <c r="DL410" s="4"/>
      <c r="DM410" s="4"/>
      <c r="DN410" s="4"/>
      <c r="DO410" s="4"/>
      <c r="DP410" s="4"/>
      <c r="DQ410" s="4"/>
      <c r="DS410" s="195"/>
      <c r="DT410" s="195"/>
      <c r="DU410" s="195"/>
      <c r="DV410" s="195"/>
      <c r="DW410" s="195"/>
      <c r="DX410" s="195"/>
      <c r="DY410" s="195"/>
      <c r="DZ410" s="195"/>
      <c r="EA410" s="195"/>
      <c r="EB410" s="195"/>
      <c r="EC410" s="195"/>
      <c r="ED410" s="195"/>
      <c r="EE410" s="195"/>
      <c r="EF410" s="195"/>
      <c r="EG410" s="195"/>
      <c r="EL410" s="1"/>
      <c r="EM410" s="195"/>
      <c r="EN410" s="240"/>
      <c r="EO410" s="240"/>
      <c r="EP410" s="195"/>
      <c r="EQ410" s="240"/>
      <c r="ER410" s="195"/>
      <c r="ES410" s="195"/>
      <c r="ET410" s="195"/>
      <c r="EU410" s="672"/>
    </row>
    <row r="411" customFormat="false" ht="12.75" hidden="false" customHeight="false" outlineLevel="0" collapsed="false">
      <c r="I411" s="735"/>
      <c r="J411" s="727"/>
      <c r="K411" s="195"/>
      <c r="L411" s="195"/>
      <c r="M411" s="729"/>
      <c r="P411" s="727"/>
      <c r="S411" s="1"/>
      <c r="T411" s="727"/>
      <c r="U411" s="195"/>
      <c r="V411" s="195"/>
      <c r="W411" s="195"/>
      <c r="X411" s="195"/>
      <c r="Y411" s="195"/>
      <c r="Z411" s="195"/>
      <c r="AA411" s="195"/>
      <c r="AB411" s="195"/>
      <c r="AC411" s="195"/>
      <c r="AD411" s="195"/>
      <c r="AE411" s="195"/>
      <c r="AF411" s="195"/>
      <c r="AG411" s="195"/>
      <c r="AH411" s="195"/>
      <c r="AI411" s="195"/>
      <c r="AJ411" s="195"/>
      <c r="AK411" s="195"/>
      <c r="AL411" s="195"/>
      <c r="AM411" s="195"/>
      <c r="AN411" s="532"/>
      <c r="AO411" s="532"/>
      <c r="AP411" s="240"/>
      <c r="AQ411" s="532"/>
      <c r="AR411" s="240"/>
      <c r="AS411" s="240"/>
      <c r="AT411" s="240"/>
      <c r="AU411" s="730"/>
      <c r="AV411" s="730"/>
      <c r="AW411" s="730"/>
      <c r="AX411" s="730"/>
      <c r="AY411" s="468"/>
      <c r="AZ411" s="468"/>
      <c r="BA411" s="240"/>
      <c r="BB411" s="240"/>
      <c r="BC411" s="240"/>
      <c r="BD411" s="240"/>
      <c r="BE411" s="672"/>
      <c r="BF411" s="672"/>
      <c r="BG411" s="672"/>
      <c r="BH411" s="731"/>
      <c r="BI411" s="672"/>
      <c r="BJ411" s="240"/>
      <c r="BK411" s="736"/>
      <c r="BL411" s="737"/>
      <c r="BM411" s="240"/>
      <c r="BN411" s="240"/>
      <c r="BO411" s="240"/>
      <c r="BP411" s="240"/>
      <c r="BQ411" s="240"/>
      <c r="BR411" s="240"/>
      <c r="BS411" s="240"/>
      <c r="BT411" s="240"/>
      <c r="BU411" s="240"/>
      <c r="BV411" s="240"/>
      <c r="BW411" s="240"/>
      <c r="BX411" s="240"/>
      <c r="BY411" s="240"/>
      <c r="BZ411" s="240"/>
      <c r="CA411" s="240"/>
      <c r="CB411" s="672"/>
      <c r="CC411" s="672"/>
      <c r="CD411" s="672"/>
      <c r="CE411" s="672"/>
      <c r="CF411" s="672"/>
      <c r="CG411" s="672"/>
      <c r="CH411" s="240"/>
      <c r="CI411" s="240"/>
      <c r="CJ411" s="240"/>
      <c r="CK411" s="240"/>
      <c r="CL411" s="240"/>
      <c r="CM411" s="240"/>
      <c r="CN411" s="240"/>
      <c r="CO411" s="240"/>
      <c r="CP411" s="240"/>
      <c r="CQ411" s="240"/>
      <c r="CR411" s="240"/>
      <c r="CS411" s="240"/>
      <c r="CT411" s="240"/>
      <c r="CU411" s="240"/>
      <c r="CV411" s="240"/>
      <c r="CW411" s="240"/>
      <c r="CX411" s="240"/>
      <c r="CY411" s="240"/>
      <c r="CZ411" s="240"/>
      <c r="DA411" s="240"/>
      <c r="DB411" s="240"/>
      <c r="DC411" s="240"/>
      <c r="DD411" s="240"/>
      <c r="DE411" s="240"/>
      <c r="DF411" s="240"/>
      <c r="DG411" s="733"/>
      <c r="DH411" s="478"/>
      <c r="DI411" s="195"/>
      <c r="DJ411" s="3"/>
      <c r="DK411" s="478"/>
      <c r="DL411" s="4"/>
      <c r="DM411" s="4"/>
      <c r="DN411" s="4"/>
      <c r="DO411" s="4"/>
      <c r="DP411" s="4"/>
      <c r="DQ411" s="4"/>
      <c r="DS411" s="195"/>
      <c r="DT411" s="195"/>
      <c r="DU411" s="195"/>
      <c r="DV411" s="195"/>
      <c r="DW411" s="195"/>
      <c r="DX411" s="195"/>
      <c r="DY411" s="195"/>
      <c r="DZ411" s="195"/>
      <c r="EA411" s="195"/>
      <c r="EB411" s="195"/>
      <c r="EC411" s="195"/>
      <c r="ED411" s="195"/>
      <c r="EE411" s="195"/>
      <c r="EF411" s="195"/>
      <c r="EG411" s="195"/>
      <c r="EL411" s="1"/>
      <c r="EM411" s="195"/>
      <c r="EN411" s="240"/>
      <c r="EO411" s="240"/>
      <c r="EP411" s="195"/>
      <c r="EQ411" s="240"/>
      <c r="ER411" s="195"/>
      <c r="ES411" s="195"/>
      <c r="ET411" s="195"/>
      <c r="EU411" s="672"/>
    </row>
    <row r="412" customFormat="false" ht="12.75" hidden="false" customHeight="false" outlineLevel="0" collapsed="false">
      <c r="I412" s="735"/>
      <c r="J412" s="727"/>
      <c r="K412" s="195"/>
      <c r="L412" s="195"/>
      <c r="M412" s="729"/>
      <c r="P412" s="727"/>
      <c r="S412" s="1"/>
      <c r="T412" s="727"/>
      <c r="U412" s="195"/>
      <c r="V412" s="195"/>
      <c r="W412" s="195"/>
      <c r="X412" s="195"/>
      <c r="Y412" s="195"/>
      <c r="Z412" s="195"/>
      <c r="AA412" s="195"/>
      <c r="AB412" s="195"/>
      <c r="AC412" s="195"/>
      <c r="AD412" s="195"/>
      <c r="AE412" s="195"/>
      <c r="AF412" s="195"/>
      <c r="AG412" s="195"/>
      <c r="AH412" s="195"/>
      <c r="AI412" s="195"/>
      <c r="AJ412" s="195"/>
      <c r="AK412" s="195"/>
      <c r="AL412" s="195"/>
      <c r="AM412" s="195"/>
      <c r="AN412" s="532"/>
      <c r="AO412" s="532"/>
      <c r="AP412" s="240"/>
      <c r="AQ412" s="532"/>
      <c r="AR412" s="240"/>
      <c r="AS412" s="240"/>
      <c r="AT412" s="240"/>
      <c r="AU412" s="730"/>
      <c r="AV412" s="730"/>
      <c r="AW412" s="730"/>
      <c r="AX412" s="730"/>
      <c r="AY412" s="468"/>
      <c r="AZ412" s="468"/>
      <c r="BA412" s="240"/>
      <c r="BB412" s="240"/>
      <c r="BC412" s="240"/>
      <c r="BD412" s="240"/>
      <c r="BE412" s="672"/>
      <c r="BF412" s="672"/>
      <c r="BG412" s="672"/>
      <c r="BH412" s="731"/>
      <c r="BI412" s="672"/>
      <c r="BJ412" s="240"/>
      <c r="BK412" s="736"/>
      <c r="BL412" s="737"/>
      <c r="BM412" s="240"/>
      <c r="BN412" s="240"/>
      <c r="BO412" s="240"/>
      <c r="BP412" s="240"/>
      <c r="BQ412" s="240"/>
      <c r="BR412" s="240"/>
      <c r="BS412" s="240"/>
      <c r="BT412" s="240"/>
      <c r="BU412" s="240"/>
      <c r="BV412" s="240"/>
      <c r="BW412" s="240"/>
      <c r="BX412" s="240"/>
      <c r="BY412" s="240"/>
      <c r="BZ412" s="240"/>
      <c r="CA412" s="240"/>
      <c r="CB412" s="672"/>
      <c r="CC412" s="672"/>
      <c r="CD412" s="672"/>
      <c r="CE412" s="672"/>
      <c r="CF412" s="672"/>
      <c r="CG412" s="672"/>
      <c r="CH412" s="240"/>
      <c r="CI412" s="240"/>
      <c r="CJ412" s="240"/>
      <c r="CK412" s="240"/>
      <c r="CL412" s="240"/>
      <c r="CM412" s="240"/>
      <c r="CN412" s="240"/>
      <c r="CO412" s="240"/>
      <c r="CP412" s="240"/>
      <c r="CQ412" s="240"/>
      <c r="CR412" s="240"/>
      <c r="CS412" s="240"/>
      <c r="CT412" s="240"/>
      <c r="CU412" s="240"/>
      <c r="CV412" s="240"/>
      <c r="CW412" s="240"/>
      <c r="CX412" s="240"/>
      <c r="CY412" s="240"/>
      <c r="CZ412" s="240"/>
      <c r="DA412" s="240"/>
      <c r="DB412" s="240"/>
      <c r="DC412" s="240"/>
      <c r="DD412" s="240"/>
      <c r="DE412" s="240"/>
      <c r="DF412" s="240"/>
      <c r="DG412" s="733"/>
      <c r="DH412" s="478"/>
      <c r="DI412" s="195"/>
      <c r="DJ412" s="3"/>
      <c r="DK412" s="478"/>
      <c r="DL412" s="4"/>
      <c r="DM412" s="4"/>
      <c r="DN412" s="4"/>
      <c r="DO412" s="4"/>
      <c r="DP412" s="4"/>
      <c r="DQ412" s="4"/>
      <c r="DS412" s="195"/>
      <c r="DT412" s="195"/>
      <c r="DU412" s="195"/>
      <c r="DV412" s="195"/>
      <c r="DW412" s="195"/>
      <c r="DX412" s="195"/>
      <c r="DY412" s="195"/>
      <c r="DZ412" s="195"/>
      <c r="EA412" s="195"/>
      <c r="EB412" s="195"/>
      <c r="EC412" s="195"/>
      <c r="ED412" s="195"/>
      <c r="EE412" s="195"/>
      <c r="EF412" s="195"/>
      <c r="EG412" s="195"/>
      <c r="EL412" s="1"/>
      <c r="EM412" s="195"/>
      <c r="EN412" s="240"/>
      <c r="EO412" s="240"/>
      <c r="EP412" s="195"/>
      <c r="EQ412" s="240"/>
      <c r="ER412" s="195"/>
      <c r="ES412" s="195"/>
      <c r="ET412" s="195"/>
      <c r="EU412" s="672"/>
    </row>
    <row r="413" customFormat="false" ht="12.75" hidden="false" customHeight="false" outlineLevel="0" collapsed="false">
      <c r="I413" s="735"/>
      <c r="J413" s="727"/>
      <c r="K413" s="195"/>
      <c r="L413" s="195"/>
      <c r="M413" s="729"/>
      <c r="P413" s="727"/>
      <c r="S413" s="1"/>
      <c r="T413" s="727"/>
      <c r="U413" s="195"/>
      <c r="V413" s="195"/>
      <c r="W413" s="195"/>
      <c r="X413" s="195"/>
      <c r="Y413" s="195"/>
      <c r="Z413" s="195"/>
      <c r="AA413" s="195"/>
      <c r="AB413" s="195"/>
      <c r="AC413" s="195"/>
      <c r="AD413" s="195"/>
      <c r="AE413" s="195"/>
      <c r="AF413" s="195"/>
      <c r="AG413" s="195"/>
      <c r="AH413" s="195"/>
      <c r="AI413" s="195"/>
      <c r="AJ413" s="195"/>
      <c r="AK413" s="195"/>
      <c r="AL413" s="195"/>
      <c r="AM413" s="195"/>
      <c r="AN413" s="532"/>
      <c r="AO413" s="532"/>
      <c r="AP413" s="240"/>
      <c r="AQ413" s="532"/>
      <c r="AR413" s="240"/>
      <c r="AS413" s="240"/>
      <c r="AT413" s="240"/>
      <c r="AU413" s="730"/>
      <c r="AV413" s="730"/>
      <c r="AW413" s="730"/>
      <c r="AX413" s="730"/>
      <c r="AY413" s="468"/>
      <c r="AZ413" s="468"/>
      <c r="BA413" s="240"/>
      <c r="BB413" s="240"/>
      <c r="BC413" s="240"/>
      <c r="BD413" s="240"/>
      <c r="BE413" s="672"/>
      <c r="BF413" s="672"/>
      <c r="BG413" s="672"/>
      <c r="BH413" s="731"/>
      <c r="BI413" s="672"/>
      <c r="BJ413" s="240"/>
      <c r="BK413" s="736"/>
      <c r="BL413" s="737"/>
      <c r="BM413" s="240"/>
      <c r="BN413" s="240"/>
      <c r="BO413" s="240"/>
      <c r="BP413" s="240"/>
      <c r="BQ413" s="240"/>
      <c r="BR413" s="240"/>
      <c r="BS413" s="240"/>
      <c r="BT413" s="240"/>
      <c r="BU413" s="240"/>
      <c r="BV413" s="240"/>
      <c r="BW413" s="240"/>
      <c r="BX413" s="240"/>
      <c r="BY413" s="240"/>
      <c r="BZ413" s="240"/>
      <c r="CA413" s="240"/>
      <c r="CB413" s="672"/>
      <c r="CC413" s="672"/>
      <c r="CD413" s="672"/>
      <c r="CE413" s="672"/>
      <c r="CF413" s="672"/>
      <c r="CG413" s="672"/>
      <c r="CH413" s="240"/>
      <c r="CI413" s="240"/>
      <c r="CJ413" s="240"/>
      <c r="CK413" s="240"/>
      <c r="CL413" s="240"/>
      <c r="CM413" s="240"/>
      <c r="CN413" s="240"/>
      <c r="CO413" s="240"/>
      <c r="CP413" s="240"/>
      <c r="CQ413" s="240"/>
      <c r="CR413" s="240"/>
      <c r="CS413" s="240"/>
      <c r="CT413" s="240"/>
      <c r="CU413" s="240"/>
      <c r="CV413" s="240"/>
      <c r="CW413" s="240"/>
      <c r="CX413" s="240"/>
      <c r="CY413" s="240"/>
      <c r="CZ413" s="240"/>
      <c r="DA413" s="240"/>
      <c r="DB413" s="240"/>
      <c r="DC413" s="240"/>
      <c r="DD413" s="240"/>
      <c r="DE413" s="240"/>
      <c r="DF413" s="240"/>
      <c r="DG413" s="733"/>
      <c r="DH413" s="478"/>
      <c r="DI413" s="195"/>
      <c r="DJ413" s="3"/>
      <c r="DK413" s="478"/>
      <c r="DL413" s="4"/>
      <c r="DM413" s="4"/>
      <c r="DN413" s="4"/>
      <c r="DO413" s="4"/>
      <c r="DP413" s="4"/>
      <c r="DQ413" s="4"/>
      <c r="DS413" s="195"/>
      <c r="DT413" s="195"/>
      <c r="DU413" s="195"/>
      <c r="DV413" s="195"/>
      <c r="DW413" s="195"/>
      <c r="DX413" s="195"/>
      <c r="DY413" s="195"/>
      <c r="DZ413" s="195"/>
      <c r="EA413" s="195"/>
      <c r="EB413" s="195"/>
      <c r="EC413" s="195"/>
      <c r="ED413" s="195"/>
      <c r="EE413" s="195"/>
      <c r="EF413" s="195"/>
      <c r="EG413" s="195"/>
      <c r="EL413" s="1"/>
      <c r="EM413" s="195"/>
      <c r="EN413" s="240"/>
      <c r="EO413" s="240"/>
      <c r="EP413" s="195"/>
      <c r="EQ413" s="240"/>
      <c r="ER413" s="195"/>
      <c r="ES413" s="195"/>
      <c r="ET413" s="195"/>
      <c r="EU413" s="672"/>
    </row>
    <row r="414" customFormat="false" ht="12.75" hidden="false" customHeight="false" outlineLevel="0" collapsed="false">
      <c r="I414" s="735"/>
      <c r="J414" s="727"/>
      <c r="K414" s="195"/>
      <c r="L414" s="195"/>
      <c r="M414" s="729"/>
      <c r="P414" s="727"/>
      <c r="S414" s="1"/>
      <c r="T414" s="727"/>
      <c r="U414" s="195"/>
      <c r="V414" s="195"/>
      <c r="W414" s="195"/>
      <c r="X414" s="195"/>
      <c r="Y414" s="195"/>
      <c r="Z414" s="195"/>
      <c r="AA414" s="195"/>
      <c r="AB414" s="195"/>
      <c r="AC414" s="195"/>
      <c r="AD414" s="195"/>
      <c r="AE414" s="195"/>
      <c r="AF414" s="195"/>
      <c r="AG414" s="195"/>
      <c r="AH414" s="195"/>
      <c r="AI414" s="195"/>
      <c r="AJ414" s="195"/>
      <c r="AK414" s="195"/>
      <c r="AL414" s="195"/>
      <c r="AM414" s="195"/>
      <c r="AN414" s="532"/>
      <c r="AO414" s="532"/>
      <c r="AP414" s="240"/>
      <c r="AQ414" s="532"/>
      <c r="AR414" s="240"/>
      <c r="AS414" s="240"/>
      <c r="AT414" s="240"/>
      <c r="AU414" s="730"/>
      <c r="AV414" s="730"/>
      <c r="AW414" s="730"/>
      <c r="AX414" s="730"/>
      <c r="AY414" s="468"/>
      <c r="AZ414" s="468"/>
      <c r="BA414" s="240"/>
      <c r="BB414" s="240"/>
      <c r="BC414" s="240"/>
      <c r="BD414" s="240"/>
      <c r="BE414" s="672"/>
      <c r="BF414" s="672"/>
      <c r="BG414" s="672"/>
      <c r="BH414" s="731"/>
      <c r="BI414" s="672"/>
      <c r="BJ414" s="240"/>
      <c r="BK414" s="736"/>
      <c r="BL414" s="737"/>
      <c r="BM414" s="240"/>
      <c r="BN414" s="240"/>
      <c r="BO414" s="240"/>
      <c r="BP414" s="240"/>
      <c r="BQ414" s="240"/>
      <c r="BR414" s="240"/>
      <c r="BS414" s="240"/>
      <c r="BT414" s="240"/>
      <c r="BU414" s="240"/>
      <c r="BV414" s="240"/>
      <c r="BW414" s="240"/>
      <c r="BX414" s="240"/>
      <c r="BY414" s="240"/>
      <c r="BZ414" s="240"/>
      <c r="CA414" s="240"/>
      <c r="CB414" s="672"/>
      <c r="CC414" s="672"/>
      <c r="CD414" s="672"/>
      <c r="CE414" s="672"/>
      <c r="CF414" s="672"/>
      <c r="CG414" s="672"/>
      <c r="CH414" s="240"/>
      <c r="CI414" s="240"/>
      <c r="CJ414" s="240"/>
      <c r="CK414" s="240"/>
      <c r="CL414" s="240"/>
      <c r="CM414" s="240"/>
      <c r="CN414" s="240"/>
      <c r="CO414" s="240"/>
      <c r="CP414" s="240"/>
      <c r="CQ414" s="240"/>
      <c r="CR414" s="240"/>
      <c r="CS414" s="240"/>
      <c r="CT414" s="240"/>
      <c r="CU414" s="240"/>
      <c r="CV414" s="240"/>
      <c r="CW414" s="240"/>
      <c r="CX414" s="240"/>
      <c r="CY414" s="240"/>
      <c r="CZ414" s="240"/>
      <c r="DA414" s="240"/>
      <c r="DB414" s="240"/>
      <c r="DC414" s="240"/>
      <c r="DD414" s="240"/>
      <c r="DE414" s="240"/>
      <c r="DF414" s="240"/>
      <c r="DG414" s="733"/>
      <c r="DH414" s="478"/>
      <c r="DI414" s="195"/>
      <c r="DJ414" s="3"/>
      <c r="DK414" s="478"/>
      <c r="DL414" s="4"/>
      <c r="DM414" s="4"/>
      <c r="DN414" s="4"/>
      <c r="DO414" s="4"/>
      <c r="DP414" s="4"/>
      <c r="DQ414" s="4"/>
      <c r="DS414" s="195"/>
      <c r="DT414" s="195"/>
      <c r="DU414" s="195"/>
      <c r="DV414" s="195"/>
      <c r="DW414" s="195"/>
      <c r="DX414" s="195"/>
      <c r="DY414" s="195"/>
      <c r="DZ414" s="195"/>
      <c r="EA414" s="195"/>
      <c r="EB414" s="195"/>
      <c r="EC414" s="195"/>
      <c r="ED414" s="195"/>
      <c r="EE414" s="195"/>
      <c r="EF414" s="195"/>
      <c r="EG414" s="195"/>
      <c r="EL414" s="1"/>
      <c r="EM414" s="195"/>
      <c r="EN414" s="240"/>
      <c r="EO414" s="240"/>
      <c r="EP414" s="195"/>
      <c r="EQ414" s="240"/>
      <c r="ER414" s="195"/>
      <c r="ES414" s="195"/>
      <c r="ET414" s="195"/>
      <c r="EU414" s="672"/>
    </row>
    <row r="415" customFormat="false" ht="12.75" hidden="false" customHeight="false" outlineLevel="0" collapsed="false">
      <c r="I415" s="735"/>
      <c r="J415" s="727"/>
      <c r="K415" s="195"/>
      <c r="L415" s="195"/>
      <c r="M415" s="729"/>
      <c r="P415" s="727"/>
      <c r="S415" s="1"/>
      <c r="T415" s="727"/>
      <c r="U415" s="195"/>
      <c r="V415" s="195"/>
      <c r="W415" s="195"/>
      <c r="X415" s="195"/>
      <c r="Y415" s="195"/>
      <c r="Z415" s="195"/>
      <c r="AA415" s="195"/>
      <c r="AB415" s="195"/>
      <c r="AC415" s="195"/>
      <c r="AD415" s="195"/>
      <c r="AE415" s="195"/>
      <c r="AF415" s="195"/>
      <c r="AG415" s="195"/>
      <c r="AH415" s="195"/>
      <c r="AI415" s="195"/>
      <c r="AJ415" s="195"/>
      <c r="AK415" s="195"/>
      <c r="AL415" s="195"/>
      <c r="AM415" s="195"/>
      <c r="AN415" s="532"/>
      <c r="AO415" s="532"/>
      <c r="AP415" s="240"/>
      <c r="AQ415" s="532"/>
      <c r="AR415" s="240"/>
      <c r="AS415" s="240"/>
      <c r="AT415" s="240"/>
      <c r="AU415" s="730"/>
      <c r="AV415" s="730"/>
      <c r="AW415" s="730"/>
      <c r="AX415" s="730"/>
      <c r="AY415" s="468"/>
      <c r="AZ415" s="468"/>
      <c r="BA415" s="240"/>
      <c r="BB415" s="240"/>
      <c r="BC415" s="240"/>
      <c r="BD415" s="240"/>
      <c r="BE415" s="672"/>
      <c r="BF415" s="672"/>
      <c r="BG415" s="672"/>
      <c r="BH415" s="731"/>
      <c r="BI415" s="672"/>
      <c r="BJ415" s="240"/>
      <c r="BK415" s="736"/>
      <c r="BL415" s="737"/>
      <c r="BM415" s="240"/>
      <c r="BN415" s="240"/>
      <c r="BO415" s="240"/>
      <c r="BP415" s="240"/>
      <c r="BQ415" s="240"/>
      <c r="BR415" s="240"/>
      <c r="BS415" s="240"/>
      <c r="BT415" s="240"/>
      <c r="BU415" s="240"/>
      <c r="BV415" s="240"/>
      <c r="BW415" s="240"/>
      <c r="BX415" s="240"/>
      <c r="BY415" s="240"/>
      <c r="BZ415" s="240"/>
      <c r="CA415" s="240"/>
      <c r="CB415" s="672"/>
      <c r="CC415" s="672"/>
      <c r="CD415" s="672"/>
      <c r="CE415" s="672"/>
      <c r="CF415" s="672"/>
      <c r="CG415" s="672"/>
      <c r="CH415" s="240"/>
      <c r="CI415" s="240"/>
      <c r="CJ415" s="240"/>
      <c r="CK415" s="240"/>
      <c r="CL415" s="240"/>
      <c r="CM415" s="240"/>
      <c r="CN415" s="240"/>
      <c r="CO415" s="240"/>
      <c r="CP415" s="240"/>
      <c r="CQ415" s="240"/>
      <c r="CR415" s="240"/>
      <c r="CS415" s="240"/>
      <c r="CT415" s="240"/>
      <c r="CU415" s="240"/>
      <c r="CV415" s="240"/>
      <c r="CW415" s="240"/>
      <c r="CX415" s="240"/>
      <c r="CY415" s="240"/>
      <c r="CZ415" s="240"/>
      <c r="DA415" s="240"/>
      <c r="DB415" s="240"/>
      <c r="DC415" s="240"/>
      <c r="DD415" s="240"/>
      <c r="DE415" s="240"/>
      <c r="DF415" s="240"/>
      <c r="DG415" s="733"/>
      <c r="DH415" s="478"/>
      <c r="DI415" s="195"/>
      <c r="DJ415" s="3"/>
      <c r="DK415" s="478"/>
      <c r="DL415" s="4"/>
      <c r="DM415" s="4"/>
      <c r="DN415" s="4"/>
      <c r="DO415" s="4"/>
      <c r="DP415" s="4"/>
      <c r="DQ415" s="4"/>
      <c r="DS415" s="195"/>
      <c r="DT415" s="195"/>
      <c r="DU415" s="195"/>
      <c r="DV415" s="195"/>
      <c r="DW415" s="195"/>
      <c r="DX415" s="195"/>
      <c r="DY415" s="195"/>
      <c r="DZ415" s="195"/>
      <c r="EA415" s="195"/>
      <c r="EB415" s="195"/>
      <c r="EC415" s="195"/>
      <c r="ED415" s="195"/>
      <c r="EE415" s="195"/>
      <c r="EF415" s="195"/>
      <c r="EG415" s="195"/>
      <c r="EL415" s="1"/>
      <c r="EM415" s="195"/>
      <c r="EN415" s="240"/>
      <c r="EO415" s="240"/>
      <c r="EP415" s="195"/>
      <c r="EQ415" s="240"/>
      <c r="ER415" s="195"/>
      <c r="ES415" s="195"/>
      <c r="ET415" s="195"/>
      <c r="EU415" s="672"/>
    </row>
    <row r="416" customFormat="false" ht="12.75" hidden="false" customHeight="false" outlineLevel="0" collapsed="false">
      <c r="I416" s="735"/>
      <c r="J416" s="727"/>
      <c r="K416" s="195"/>
      <c r="L416" s="195"/>
      <c r="M416" s="729"/>
      <c r="P416" s="727"/>
      <c r="S416" s="1"/>
      <c r="T416" s="727"/>
      <c r="U416" s="195"/>
      <c r="V416" s="195"/>
      <c r="W416" s="195"/>
      <c r="X416" s="195"/>
      <c r="Y416" s="195"/>
      <c r="Z416" s="195"/>
      <c r="AA416" s="195"/>
      <c r="AB416" s="195"/>
      <c r="AC416" s="195"/>
      <c r="AD416" s="195"/>
      <c r="AE416" s="195"/>
      <c r="AF416" s="195"/>
      <c r="AG416" s="195"/>
      <c r="AH416" s="195"/>
      <c r="AI416" s="195"/>
      <c r="AJ416" s="195"/>
      <c r="AK416" s="195"/>
      <c r="AL416" s="195"/>
      <c r="AM416" s="195"/>
      <c r="AN416" s="532"/>
      <c r="AO416" s="532"/>
      <c r="AP416" s="240"/>
      <c r="AQ416" s="532"/>
      <c r="AR416" s="240"/>
      <c r="AS416" s="240"/>
      <c r="AT416" s="240"/>
      <c r="AU416" s="730"/>
      <c r="AV416" s="730"/>
      <c r="AW416" s="730"/>
      <c r="AX416" s="730"/>
      <c r="AY416" s="468"/>
      <c r="AZ416" s="468"/>
      <c r="BA416" s="240"/>
      <c r="BB416" s="240"/>
      <c r="BC416" s="240"/>
      <c r="BD416" s="240"/>
      <c r="BE416" s="672"/>
      <c r="BF416" s="672"/>
      <c r="BG416" s="672"/>
      <c r="BH416" s="731"/>
      <c r="BI416" s="672"/>
      <c r="BJ416" s="240"/>
      <c r="BK416" s="736"/>
      <c r="BL416" s="737"/>
      <c r="BM416" s="240"/>
      <c r="BN416" s="240"/>
      <c r="BO416" s="240"/>
      <c r="BP416" s="240"/>
      <c r="BQ416" s="240"/>
      <c r="BR416" s="240"/>
      <c r="BS416" s="240"/>
      <c r="BT416" s="240"/>
      <c r="BU416" s="240"/>
      <c r="BV416" s="240"/>
      <c r="BW416" s="240"/>
      <c r="BX416" s="240"/>
      <c r="BY416" s="240"/>
      <c r="BZ416" s="240"/>
      <c r="CA416" s="240"/>
      <c r="CB416" s="672"/>
      <c r="CC416" s="672"/>
      <c r="CD416" s="672"/>
      <c r="CE416" s="672"/>
      <c r="CF416" s="672"/>
      <c r="CG416" s="672"/>
      <c r="CH416" s="240"/>
      <c r="CI416" s="240"/>
      <c r="CJ416" s="240"/>
      <c r="CK416" s="240"/>
      <c r="CL416" s="240"/>
      <c r="CM416" s="240"/>
      <c r="CN416" s="240"/>
      <c r="CO416" s="240"/>
      <c r="CP416" s="240"/>
      <c r="CQ416" s="240"/>
      <c r="CR416" s="240"/>
      <c r="CS416" s="240"/>
      <c r="CT416" s="240"/>
      <c r="CU416" s="240"/>
      <c r="CV416" s="240"/>
      <c r="CW416" s="240"/>
      <c r="CX416" s="240"/>
      <c r="CY416" s="240"/>
      <c r="CZ416" s="240"/>
      <c r="DA416" s="240"/>
      <c r="DB416" s="240"/>
      <c r="DC416" s="240"/>
      <c r="DD416" s="240"/>
      <c r="DE416" s="240"/>
      <c r="DF416" s="240"/>
      <c r="DG416" s="733"/>
      <c r="DH416" s="478"/>
      <c r="DI416" s="195"/>
      <c r="DJ416" s="3"/>
      <c r="DK416" s="478"/>
      <c r="DL416" s="4"/>
      <c r="DM416" s="4"/>
      <c r="DN416" s="4"/>
      <c r="DO416" s="4"/>
      <c r="DP416" s="4"/>
      <c r="DQ416" s="4"/>
      <c r="DS416" s="195"/>
      <c r="DT416" s="195"/>
      <c r="DU416" s="195"/>
      <c r="DV416" s="195"/>
      <c r="DW416" s="195"/>
      <c r="DX416" s="195"/>
      <c r="DY416" s="195"/>
      <c r="DZ416" s="195"/>
      <c r="EA416" s="195"/>
      <c r="EB416" s="195"/>
      <c r="EC416" s="195"/>
      <c r="ED416" s="195"/>
      <c r="EE416" s="195"/>
      <c r="EF416" s="195"/>
      <c r="EG416" s="195"/>
      <c r="EL416" s="1"/>
      <c r="EM416" s="195"/>
      <c r="EN416" s="240"/>
      <c r="EO416" s="240"/>
      <c r="EP416" s="195"/>
      <c r="EQ416" s="240"/>
      <c r="ER416" s="195"/>
      <c r="ES416" s="195"/>
      <c r="ET416" s="195"/>
      <c r="EU416" s="672"/>
    </row>
    <row r="417" customFormat="false" ht="12.75" hidden="false" customHeight="false" outlineLevel="0" collapsed="false">
      <c r="I417" s="735"/>
      <c r="J417" s="727"/>
      <c r="K417" s="195"/>
      <c r="L417" s="195"/>
      <c r="M417" s="729"/>
      <c r="P417" s="727"/>
      <c r="S417" s="1"/>
      <c r="T417" s="727"/>
      <c r="U417" s="195"/>
      <c r="V417" s="195"/>
      <c r="W417" s="195"/>
      <c r="X417" s="195"/>
      <c r="Y417" s="195"/>
      <c r="Z417" s="195"/>
      <c r="AA417" s="195"/>
      <c r="AB417" s="195"/>
      <c r="AC417" s="195"/>
      <c r="AD417" s="195"/>
      <c r="AE417" s="195"/>
      <c r="AF417" s="195"/>
      <c r="AG417" s="195"/>
      <c r="AH417" s="195"/>
      <c r="AI417" s="195"/>
      <c r="AJ417" s="195"/>
      <c r="AK417" s="195"/>
      <c r="AL417" s="195"/>
      <c r="AM417" s="195"/>
      <c r="AN417" s="532"/>
      <c r="AO417" s="532"/>
      <c r="AP417" s="240"/>
      <c r="AQ417" s="532"/>
      <c r="AR417" s="240"/>
      <c r="AS417" s="240"/>
      <c r="AT417" s="240"/>
      <c r="AU417" s="730"/>
      <c r="AV417" s="730"/>
      <c r="AW417" s="730"/>
      <c r="AX417" s="730"/>
      <c r="AY417" s="468"/>
      <c r="AZ417" s="468"/>
      <c r="BA417" s="240"/>
      <c r="BB417" s="240"/>
      <c r="BC417" s="240"/>
      <c r="BD417" s="240"/>
      <c r="BE417" s="672"/>
      <c r="BF417" s="672"/>
      <c r="BG417" s="672"/>
      <c r="BH417" s="731"/>
      <c r="BI417" s="672"/>
      <c r="BJ417" s="240"/>
      <c r="BK417" s="736"/>
      <c r="BL417" s="737"/>
      <c r="BM417" s="240"/>
      <c r="BN417" s="240"/>
      <c r="BO417" s="240"/>
      <c r="BP417" s="240"/>
      <c r="BQ417" s="240"/>
      <c r="BR417" s="240"/>
      <c r="BS417" s="240"/>
      <c r="BT417" s="240"/>
      <c r="BU417" s="240"/>
      <c r="BV417" s="240"/>
      <c r="BW417" s="240"/>
      <c r="BX417" s="240"/>
      <c r="BY417" s="240"/>
      <c r="BZ417" s="240"/>
      <c r="CA417" s="240"/>
      <c r="CB417" s="672"/>
      <c r="CC417" s="672"/>
      <c r="CD417" s="672"/>
      <c r="CE417" s="672"/>
      <c r="CF417" s="672"/>
      <c r="CG417" s="672"/>
      <c r="CH417" s="240"/>
      <c r="CI417" s="240"/>
      <c r="CJ417" s="240"/>
      <c r="CK417" s="240"/>
      <c r="CL417" s="240"/>
      <c r="CM417" s="240"/>
      <c r="CN417" s="240"/>
      <c r="CO417" s="240"/>
      <c r="CP417" s="240"/>
      <c r="CQ417" s="240"/>
      <c r="CR417" s="240"/>
      <c r="CS417" s="240"/>
      <c r="CT417" s="240"/>
      <c r="CU417" s="240"/>
      <c r="CV417" s="240"/>
      <c r="CW417" s="240"/>
      <c r="CX417" s="240"/>
      <c r="CY417" s="240"/>
      <c r="CZ417" s="240"/>
      <c r="DA417" s="240"/>
      <c r="DB417" s="240"/>
      <c r="DC417" s="240"/>
      <c r="DD417" s="240"/>
      <c r="DE417" s="240"/>
      <c r="DF417" s="240"/>
      <c r="DG417" s="733"/>
      <c r="DH417" s="478"/>
      <c r="DI417" s="195"/>
      <c r="DJ417" s="3"/>
      <c r="DK417" s="478"/>
      <c r="DL417" s="4"/>
      <c r="DM417" s="4"/>
      <c r="DN417" s="4"/>
      <c r="DO417" s="4"/>
      <c r="DP417" s="4"/>
      <c r="DQ417" s="4"/>
      <c r="DS417" s="195"/>
      <c r="DT417" s="195"/>
      <c r="DU417" s="195"/>
      <c r="DV417" s="195"/>
      <c r="DW417" s="195"/>
      <c r="DX417" s="195"/>
      <c r="DY417" s="195"/>
      <c r="DZ417" s="195"/>
      <c r="EA417" s="195"/>
      <c r="EB417" s="195"/>
      <c r="EC417" s="195"/>
      <c r="ED417" s="195"/>
      <c r="EE417" s="195"/>
      <c r="EF417" s="195"/>
      <c r="EG417" s="195"/>
      <c r="EL417" s="1"/>
      <c r="EM417" s="195"/>
      <c r="EN417" s="240"/>
      <c r="EO417" s="240"/>
      <c r="EP417" s="195"/>
      <c r="EQ417" s="240"/>
      <c r="ER417" s="195"/>
      <c r="ES417" s="195"/>
      <c r="ET417" s="195"/>
      <c r="EU417" s="672"/>
    </row>
    <row r="418" customFormat="false" ht="12.75" hidden="false" customHeight="false" outlineLevel="0" collapsed="false">
      <c r="I418" s="735"/>
      <c r="J418" s="727"/>
      <c r="K418" s="195"/>
      <c r="L418" s="195"/>
      <c r="M418" s="729"/>
      <c r="P418" s="727"/>
      <c r="S418" s="1"/>
      <c r="T418" s="727"/>
      <c r="U418" s="195"/>
      <c r="V418" s="195"/>
      <c r="W418" s="195"/>
      <c r="X418" s="195"/>
      <c r="Y418" s="195"/>
      <c r="Z418" s="195"/>
      <c r="AA418" s="195"/>
      <c r="AB418" s="195"/>
      <c r="AC418" s="195"/>
      <c r="AD418" s="195"/>
      <c r="AE418" s="195"/>
      <c r="AF418" s="195"/>
      <c r="AG418" s="195"/>
      <c r="AH418" s="195"/>
      <c r="AI418" s="195"/>
      <c r="AJ418" s="195"/>
      <c r="AK418" s="195"/>
      <c r="AL418" s="195"/>
      <c r="AM418" s="195"/>
      <c r="AN418" s="532"/>
      <c r="AO418" s="532"/>
      <c r="AP418" s="240"/>
      <c r="AQ418" s="532"/>
      <c r="AR418" s="240"/>
      <c r="AS418" s="240"/>
      <c r="AT418" s="240"/>
      <c r="AU418" s="730"/>
      <c r="AV418" s="730"/>
      <c r="AW418" s="730"/>
      <c r="AX418" s="730"/>
      <c r="AY418" s="468"/>
      <c r="AZ418" s="468"/>
      <c r="BA418" s="240"/>
      <c r="BB418" s="240"/>
      <c r="BC418" s="240"/>
      <c r="BD418" s="240"/>
      <c r="BE418" s="672"/>
      <c r="BF418" s="672"/>
      <c r="BG418" s="672"/>
      <c r="BH418" s="731"/>
      <c r="BI418" s="672"/>
      <c r="BJ418" s="240"/>
      <c r="BK418" s="736"/>
      <c r="BL418" s="737"/>
      <c r="BM418" s="240"/>
      <c r="BN418" s="240"/>
      <c r="BO418" s="240"/>
      <c r="BP418" s="240"/>
      <c r="BQ418" s="240"/>
      <c r="BR418" s="240"/>
      <c r="BS418" s="240"/>
      <c r="BT418" s="240"/>
      <c r="BU418" s="240"/>
      <c r="BV418" s="240"/>
      <c r="BW418" s="240"/>
      <c r="BX418" s="240"/>
      <c r="BY418" s="240"/>
      <c r="BZ418" s="240"/>
      <c r="CA418" s="240"/>
      <c r="CB418" s="672"/>
      <c r="CC418" s="672"/>
      <c r="CD418" s="672"/>
      <c r="CE418" s="672"/>
      <c r="CF418" s="672"/>
      <c r="CG418" s="672"/>
      <c r="CH418" s="240"/>
      <c r="CI418" s="240"/>
      <c r="CJ418" s="240"/>
      <c r="CK418" s="240"/>
      <c r="CL418" s="240"/>
      <c r="CM418" s="240"/>
      <c r="CN418" s="240"/>
      <c r="CO418" s="240"/>
      <c r="CP418" s="240"/>
      <c r="CQ418" s="240"/>
      <c r="CR418" s="240"/>
      <c r="CS418" s="240"/>
      <c r="CT418" s="240"/>
      <c r="CU418" s="240"/>
      <c r="CV418" s="240"/>
      <c r="CW418" s="240"/>
      <c r="CX418" s="240"/>
      <c r="CY418" s="240"/>
      <c r="CZ418" s="240"/>
      <c r="DA418" s="240"/>
      <c r="DB418" s="240"/>
      <c r="DC418" s="240"/>
      <c r="DD418" s="240"/>
      <c r="DE418" s="240"/>
      <c r="DF418" s="240"/>
      <c r="DG418" s="733"/>
      <c r="DH418" s="478"/>
      <c r="DI418" s="195"/>
      <c r="DJ418" s="3"/>
      <c r="DK418" s="478"/>
      <c r="DL418" s="4"/>
      <c r="DM418" s="4"/>
      <c r="DN418" s="4"/>
      <c r="DO418" s="4"/>
      <c r="DP418" s="4"/>
      <c r="DQ418" s="4"/>
      <c r="DS418" s="195"/>
      <c r="DT418" s="195"/>
      <c r="DU418" s="195"/>
      <c r="DV418" s="195"/>
      <c r="DW418" s="195"/>
      <c r="DX418" s="195"/>
      <c r="DY418" s="195"/>
      <c r="DZ418" s="195"/>
      <c r="EA418" s="195"/>
      <c r="EB418" s="195"/>
      <c r="EC418" s="195"/>
      <c r="ED418" s="195"/>
      <c r="EE418" s="195"/>
      <c r="EF418" s="195"/>
      <c r="EG418" s="195"/>
      <c r="EL418" s="1"/>
      <c r="EM418" s="195"/>
      <c r="EN418" s="240"/>
      <c r="EO418" s="240"/>
      <c r="EP418" s="195"/>
      <c r="EQ418" s="240"/>
      <c r="ER418" s="195"/>
      <c r="ES418" s="195"/>
      <c r="ET418" s="195"/>
      <c r="EU418" s="672"/>
    </row>
    <row r="419" customFormat="false" ht="12.75" hidden="false" customHeight="false" outlineLevel="0" collapsed="false">
      <c r="I419" s="735"/>
      <c r="J419" s="727"/>
      <c r="K419" s="195"/>
      <c r="L419" s="195"/>
      <c r="M419" s="729"/>
      <c r="P419" s="727"/>
      <c r="S419" s="1"/>
      <c r="T419" s="727"/>
      <c r="U419" s="195"/>
      <c r="V419" s="195"/>
      <c r="W419" s="195"/>
      <c r="X419" s="195"/>
      <c r="Y419" s="195"/>
      <c r="Z419" s="195"/>
      <c r="AA419" s="195"/>
      <c r="AB419" s="195"/>
      <c r="AC419" s="195"/>
      <c r="AD419" s="195"/>
      <c r="AE419" s="195"/>
      <c r="AF419" s="195"/>
      <c r="AG419" s="195"/>
      <c r="AH419" s="195"/>
      <c r="AI419" s="195"/>
      <c r="AJ419" s="195"/>
      <c r="AK419" s="195"/>
      <c r="AL419" s="195"/>
      <c r="AM419" s="195"/>
      <c r="AN419" s="532"/>
      <c r="AO419" s="532"/>
      <c r="AP419" s="240"/>
      <c r="AQ419" s="532"/>
      <c r="AR419" s="240"/>
      <c r="AS419" s="240"/>
      <c r="AT419" s="240"/>
      <c r="AU419" s="730"/>
      <c r="AV419" s="730"/>
      <c r="AW419" s="730"/>
      <c r="AX419" s="730"/>
      <c r="AY419" s="468"/>
      <c r="AZ419" s="468"/>
      <c r="BA419" s="240"/>
      <c r="BB419" s="240"/>
      <c r="BC419" s="240"/>
      <c r="BD419" s="240"/>
      <c r="BE419" s="672"/>
      <c r="BF419" s="672"/>
      <c r="BG419" s="672"/>
      <c r="BH419" s="731"/>
      <c r="BI419" s="672"/>
      <c r="BJ419" s="240"/>
      <c r="BK419" s="736"/>
      <c r="BL419" s="737"/>
      <c r="BM419" s="240"/>
      <c r="BN419" s="240"/>
      <c r="BO419" s="240"/>
      <c r="BP419" s="240"/>
      <c r="BQ419" s="240"/>
      <c r="BR419" s="240"/>
      <c r="BS419" s="240"/>
      <c r="BT419" s="240"/>
      <c r="BU419" s="240"/>
      <c r="BV419" s="240"/>
      <c r="BW419" s="240"/>
      <c r="BX419" s="240"/>
      <c r="BY419" s="240"/>
      <c r="BZ419" s="240"/>
      <c r="CA419" s="240"/>
      <c r="CB419" s="672"/>
      <c r="CC419" s="672"/>
      <c r="CD419" s="672"/>
      <c r="CE419" s="672"/>
      <c r="CF419" s="672"/>
      <c r="CG419" s="672"/>
      <c r="CH419" s="240"/>
      <c r="CI419" s="240"/>
      <c r="CJ419" s="240"/>
      <c r="CK419" s="240"/>
      <c r="CL419" s="240"/>
      <c r="CM419" s="240"/>
      <c r="CN419" s="240"/>
      <c r="CO419" s="240"/>
      <c r="CP419" s="240"/>
      <c r="CQ419" s="240"/>
      <c r="CR419" s="240"/>
      <c r="CS419" s="240"/>
      <c r="CT419" s="240"/>
      <c r="CU419" s="240"/>
      <c r="CV419" s="240"/>
      <c r="CW419" s="240"/>
      <c r="CX419" s="240"/>
      <c r="CY419" s="240"/>
      <c r="CZ419" s="240"/>
      <c r="DA419" s="240"/>
      <c r="DB419" s="240"/>
      <c r="DC419" s="240"/>
      <c r="DD419" s="240"/>
      <c r="DE419" s="240"/>
      <c r="DF419" s="240"/>
      <c r="DG419" s="733"/>
      <c r="DH419" s="478"/>
      <c r="DI419" s="195"/>
      <c r="DJ419" s="3"/>
      <c r="DK419" s="478"/>
      <c r="DL419" s="4"/>
      <c r="DM419" s="4"/>
      <c r="DN419" s="4"/>
      <c r="DO419" s="4"/>
      <c r="DP419" s="4"/>
      <c r="DQ419" s="4"/>
      <c r="DS419" s="195"/>
      <c r="DT419" s="195"/>
      <c r="DU419" s="195"/>
      <c r="DV419" s="195"/>
      <c r="DW419" s="195"/>
      <c r="DX419" s="195"/>
      <c r="DY419" s="195"/>
      <c r="DZ419" s="195"/>
      <c r="EA419" s="195"/>
      <c r="EB419" s="195"/>
      <c r="EC419" s="195"/>
      <c r="ED419" s="195"/>
      <c r="EE419" s="195"/>
      <c r="EF419" s="195"/>
      <c r="EG419" s="195"/>
      <c r="EL419" s="1"/>
      <c r="EM419" s="195"/>
      <c r="EN419" s="240"/>
      <c r="EO419" s="240"/>
      <c r="EP419" s="195"/>
      <c r="EQ419" s="240"/>
      <c r="ER419" s="195"/>
      <c r="ES419" s="195"/>
      <c r="ET419" s="195"/>
      <c r="EU419" s="672"/>
    </row>
    <row r="420" customFormat="false" ht="12.75" hidden="false" customHeight="false" outlineLevel="0" collapsed="false">
      <c r="I420" s="735"/>
      <c r="J420" s="727"/>
      <c r="K420" s="195"/>
      <c r="L420" s="195"/>
      <c r="M420" s="729"/>
      <c r="P420" s="727"/>
      <c r="S420" s="1"/>
      <c r="T420" s="727"/>
      <c r="U420" s="195"/>
      <c r="V420" s="195"/>
      <c r="W420" s="195"/>
      <c r="X420" s="195"/>
      <c r="Y420" s="195"/>
      <c r="Z420" s="195"/>
      <c r="AA420" s="195"/>
      <c r="AB420" s="195"/>
      <c r="AC420" s="195"/>
      <c r="AD420" s="195"/>
      <c r="AE420" s="195"/>
      <c r="AF420" s="195"/>
      <c r="AG420" s="195"/>
      <c r="AH420" s="195"/>
      <c r="AI420" s="195"/>
      <c r="AJ420" s="195"/>
      <c r="AK420" s="195"/>
      <c r="AL420" s="195"/>
      <c r="AM420" s="195"/>
      <c r="AN420" s="532"/>
      <c r="AO420" s="532"/>
      <c r="AP420" s="240"/>
      <c r="AQ420" s="532"/>
      <c r="AR420" s="240"/>
      <c r="AS420" s="240"/>
      <c r="AT420" s="240"/>
      <c r="AU420" s="730"/>
      <c r="AV420" s="730"/>
      <c r="AW420" s="730"/>
      <c r="AX420" s="730"/>
      <c r="AY420" s="468"/>
      <c r="AZ420" s="468"/>
      <c r="BA420" s="240"/>
      <c r="BB420" s="240"/>
      <c r="BC420" s="240"/>
      <c r="BD420" s="240"/>
      <c r="BE420" s="672"/>
      <c r="BF420" s="672"/>
      <c r="BG420" s="672"/>
      <c r="BH420" s="731"/>
      <c r="BI420" s="672"/>
      <c r="BJ420" s="240"/>
      <c r="BK420" s="736"/>
      <c r="BL420" s="737"/>
      <c r="BM420" s="240"/>
      <c r="BN420" s="240"/>
      <c r="BO420" s="240"/>
      <c r="BP420" s="240"/>
      <c r="BQ420" s="240"/>
      <c r="BR420" s="240"/>
      <c r="BS420" s="240"/>
      <c r="BT420" s="240"/>
      <c r="BU420" s="240"/>
      <c r="BV420" s="240"/>
      <c r="BW420" s="240"/>
      <c r="BX420" s="240"/>
      <c r="BY420" s="240"/>
      <c r="BZ420" s="240"/>
      <c r="CA420" s="240"/>
      <c r="CB420" s="672"/>
      <c r="CC420" s="672"/>
      <c r="CD420" s="672"/>
      <c r="CE420" s="672"/>
      <c r="CF420" s="672"/>
      <c r="CG420" s="672"/>
      <c r="CH420" s="240"/>
      <c r="CI420" s="240"/>
      <c r="CJ420" s="240"/>
      <c r="CK420" s="240"/>
      <c r="CL420" s="240"/>
      <c r="CM420" s="240"/>
      <c r="CN420" s="240"/>
      <c r="CO420" s="240"/>
      <c r="CP420" s="240"/>
      <c r="CQ420" s="240"/>
      <c r="CR420" s="240"/>
      <c r="CS420" s="240"/>
      <c r="CT420" s="240"/>
      <c r="CU420" s="240"/>
      <c r="CV420" s="240"/>
      <c r="CW420" s="240"/>
      <c r="CX420" s="240"/>
      <c r="CY420" s="240"/>
      <c r="CZ420" s="240"/>
      <c r="DA420" s="240"/>
      <c r="DB420" s="240"/>
      <c r="DC420" s="240"/>
      <c r="DD420" s="240"/>
      <c r="DE420" s="240"/>
      <c r="DF420" s="240"/>
      <c r="DG420" s="733"/>
      <c r="DH420" s="478"/>
      <c r="DI420" s="195"/>
      <c r="DJ420" s="3"/>
      <c r="DK420" s="478"/>
      <c r="DL420" s="4"/>
      <c r="DM420" s="4"/>
      <c r="DN420" s="4"/>
      <c r="DO420" s="4"/>
      <c r="DP420" s="4"/>
      <c r="DQ420" s="4"/>
      <c r="DS420" s="195"/>
      <c r="DT420" s="195"/>
      <c r="DU420" s="195"/>
      <c r="DV420" s="195"/>
      <c r="DW420" s="195"/>
      <c r="DX420" s="195"/>
      <c r="DY420" s="195"/>
      <c r="DZ420" s="195"/>
      <c r="EA420" s="195"/>
      <c r="EB420" s="195"/>
      <c r="EC420" s="195"/>
      <c r="ED420" s="195"/>
      <c r="EE420" s="195"/>
      <c r="EF420" s="195"/>
      <c r="EG420" s="195"/>
      <c r="EL420" s="1"/>
      <c r="EM420" s="195"/>
      <c r="EN420" s="240"/>
      <c r="EO420" s="240"/>
      <c r="EP420" s="195"/>
      <c r="EQ420" s="240"/>
      <c r="ER420" s="195"/>
      <c r="ES420" s="195"/>
      <c r="ET420" s="195"/>
      <c r="EU420" s="672"/>
    </row>
    <row r="421" customFormat="false" ht="12.75" hidden="false" customHeight="false" outlineLevel="0" collapsed="false">
      <c r="I421" s="735"/>
      <c r="J421" s="727"/>
      <c r="K421" s="195"/>
      <c r="L421" s="195"/>
      <c r="M421" s="729"/>
      <c r="P421" s="727"/>
      <c r="S421" s="1"/>
      <c r="T421" s="727"/>
      <c r="U421" s="195"/>
      <c r="V421" s="195"/>
      <c r="W421" s="195"/>
      <c r="X421" s="195"/>
      <c r="Y421" s="195"/>
      <c r="Z421" s="195"/>
      <c r="AA421" s="195"/>
      <c r="AB421" s="195"/>
      <c r="AC421" s="195"/>
      <c r="AD421" s="195"/>
      <c r="AE421" s="195"/>
      <c r="AF421" s="195"/>
      <c r="AG421" s="195"/>
      <c r="AH421" s="195"/>
      <c r="AI421" s="195"/>
      <c r="AJ421" s="195"/>
      <c r="AK421" s="195"/>
      <c r="AL421" s="195"/>
      <c r="AM421" s="195"/>
      <c r="AN421" s="532"/>
      <c r="AO421" s="532"/>
      <c r="AP421" s="240"/>
      <c r="AQ421" s="532"/>
      <c r="AR421" s="240"/>
      <c r="AS421" s="240"/>
      <c r="AT421" s="240"/>
      <c r="AU421" s="730"/>
      <c r="AV421" s="730"/>
      <c r="AW421" s="730"/>
      <c r="AX421" s="730"/>
      <c r="AY421" s="468"/>
      <c r="AZ421" s="468"/>
      <c r="BA421" s="240"/>
      <c r="BB421" s="240"/>
      <c r="BC421" s="240"/>
      <c r="BD421" s="240"/>
      <c r="BE421" s="672"/>
      <c r="BF421" s="672"/>
      <c r="BG421" s="672"/>
      <c r="BH421" s="731"/>
      <c r="BI421" s="672"/>
      <c r="BJ421" s="240"/>
      <c r="BK421" s="736"/>
      <c r="BL421" s="737"/>
      <c r="BM421" s="240"/>
      <c r="BN421" s="240"/>
      <c r="BO421" s="240"/>
      <c r="BP421" s="240"/>
      <c r="BQ421" s="240"/>
      <c r="BR421" s="240"/>
      <c r="BS421" s="240"/>
      <c r="BT421" s="240"/>
      <c r="BU421" s="240"/>
      <c r="BV421" s="240"/>
      <c r="BW421" s="240"/>
      <c r="BX421" s="240"/>
      <c r="BY421" s="240"/>
      <c r="BZ421" s="240"/>
      <c r="CA421" s="240"/>
      <c r="CB421" s="672"/>
      <c r="CC421" s="672"/>
      <c r="CD421" s="672"/>
      <c r="CE421" s="672"/>
      <c r="CF421" s="672"/>
      <c r="CG421" s="672"/>
      <c r="CH421" s="240"/>
      <c r="CI421" s="240"/>
      <c r="CJ421" s="240"/>
      <c r="CK421" s="240"/>
      <c r="CL421" s="240"/>
      <c r="CM421" s="240"/>
      <c r="CN421" s="240"/>
      <c r="CO421" s="240"/>
      <c r="CP421" s="240"/>
      <c r="CQ421" s="240"/>
      <c r="CR421" s="240"/>
      <c r="CS421" s="240"/>
      <c r="CT421" s="240"/>
      <c r="CU421" s="240"/>
      <c r="CV421" s="240"/>
      <c r="CW421" s="240"/>
      <c r="CX421" s="240"/>
      <c r="CY421" s="240"/>
      <c r="CZ421" s="240"/>
      <c r="DA421" s="240"/>
      <c r="DB421" s="240"/>
      <c r="DC421" s="240"/>
      <c r="DD421" s="240"/>
      <c r="DE421" s="240"/>
      <c r="DF421" s="240"/>
      <c r="DG421" s="733"/>
      <c r="DH421" s="478"/>
      <c r="DI421" s="195"/>
      <c r="DJ421" s="3"/>
      <c r="DK421" s="478"/>
      <c r="DL421" s="4"/>
      <c r="DM421" s="4"/>
      <c r="DN421" s="4"/>
      <c r="DO421" s="4"/>
      <c r="DP421" s="4"/>
      <c r="DQ421" s="4"/>
      <c r="DS421" s="195"/>
      <c r="DT421" s="195"/>
      <c r="DU421" s="195"/>
      <c r="DV421" s="195"/>
      <c r="DW421" s="195"/>
      <c r="DX421" s="195"/>
      <c r="DY421" s="195"/>
      <c r="DZ421" s="195"/>
      <c r="EA421" s="195"/>
      <c r="EB421" s="195"/>
      <c r="EC421" s="195"/>
      <c r="ED421" s="195"/>
      <c r="EE421" s="195"/>
      <c r="EF421" s="195"/>
      <c r="EG421" s="195"/>
      <c r="EL421" s="1"/>
      <c r="EM421" s="195"/>
      <c r="EN421" s="240"/>
      <c r="EO421" s="240"/>
      <c r="EP421" s="195"/>
      <c r="EQ421" s="240"/>
      <c r="ER421" s="195"/>
      <c r="ES421" s="195"/>
      <c r="ET421" s="195"/>
      <c r="EU421" s="672"/>
    </row>
    <row r="422" customFormat="false" ht="12.75" hidden="false" customHeight="false" outlineLevel="0" collapsed="false">
      <c r="I422" s="735"/>
      <c r="J422" s="727"/>
      <c r="K422" s="195"/>
      <c r="L422" s="195"/>
      <c r="M422" s="729"/>
      <c r="P422" s="727"/>
      <c r="S422" s="1"/>
      <c r="T422" s="727"/>
      <c r="U422" s="195"/>
      <c r="V422" s="195"/>
      <c r="W422" s="195"/>
      <c r="X422" s="195"/>
      <c r="Y422" s="195"/>
      <c r="Z422" s="195"/>
      <c r="AA422" s="195"/>
      <c r="AB422" s="195"/>
      <c r="AC422" s="195"/>
      <c r="AD422" s="195"/>
      <c r="AE422" s="195"/>
      <c r="AF422" s="195"/>
      <c r="AG422" s="195"/>
      <c r="AH422" s="195"/>
      <c r="AI422" s="195"/>
      <c r="AJ422" s="195"/>
      <c r="AK422" s="195"/>
      <c r="AL422" s="195"/>
      <c r="AM422" s="195"/>
      <c r="AN422" s="532"/>
      <c r="AO422" s="532"/>
      <c r="AP422" s="240"/>
      <c r="AQ422" s="532"/>
      <c r="AR422" s="240"/>
      <c r="AS422" s="240"/>
      <c r="AT422" s="240"/>
      <c r="AU422" s="730"/>
      <c r="AV422" s="730"/>
      <c r="AW422" s="730"/>
      <c r="AX422" s="730"/>
      <c r="AY422" s="468"/>
      <c r="AZ422" s="468"/>
      <c r="BA422" s="240"/>
      <c r="BB422" s="240"/>
      <c r="BC422" s="240"/>
      <c r="BD422" s="240"/>
      <c r="BE422" s="672"/>
      <c r="BF422" s="672"/>
      <c r="BG422" s="672"/>
      <c r="BH422" s="731"/>
      <c r="BI422" s="672"/>
      <c r="BJ422" s="240"/>
      <c r="BK422" s="736"/>
      <c r="BL422" s="737"/>
      <c r="BM422" s="240"/>
      <c r="BN422" s="240"/>
      <c r="BO422" s="240"/>
      <c r="BP422" s="240"/>
      <c r="BQ422" s="240"/>
      <c r="BR422" s="240"/>
      <c r="BS422" s="240"/>
      <c r="BT422" s="240"/>
      <c r="BU422" s="240"/>
      <c r="BV422" s="240"/>
      <c r="BW422" s="240"/>
      <c r="BX422" s="240"/>
      <c r="BY422" s="240"/>
      <c r="BZ422" s="240"/>
      <c r="CA422" s="240"/>
      <c r="CB422" s="672"/>
      <c r="CC422" s="672"/>
      <c r="CD422" s="672"/>
      <c r="CE422" s="672"/>
      <c r="CF422" s="672"/>
      <c r="CG422" s="672"/>
      <c r="CH422" s="240"/>
      <c r="CI422" s="240"/>
      <c r="CJ422" s="240"/>
      <c r="CK422" s="240"/>
      <c r="CL422" s="240"/>
      <c r="CM422" s="240"/>
      <c r="CN422" s="240"/>
      <c r="CO422" s="240"/>
      <c r="CP422" s="240"/>
      <c r="CQ422" s="240"/>
      <c r="CR422" s="240"/>
      <c r="CS422" s="240"/>
      <c r="CT422" s="240"/>
      <c r="CU422" s="240"/>
      <c r="CV422" s="240"/>
      <c r="CW422" s="240"/>
      <c r="CX422" s="240"/>
      <c r="CY422" s="240"/>
      <c r="CZ422" s="240"/>
      <c r="DA422" s="240"/>
      <c r="DB422" s="240"/>
      <c r="DC422" s="240"/>
      <c r="DD422" s="240"/>
      <c r="DE422" s="240"/>
      <c r="DF422" s="240"/>
      <c r="DG422" s="733"/>
      <c r="DH422" s="478"/>
      <c r="DI422" s="195"/>
      <c r="DJ422" s="3"/>
      <c r="DK422" s="478"/>
      <c r="DL422" s="4"/>
      <c r="DM422" s="4"/>
      <c r="DN422" s="4"/>
      <c r="DO422" s="4"/>
      <c r="DP422" s="4"/>
      <c r="DQ422" s="4"/>
      <c r="DS422" s="195"/>
      <c r="DT422" s="195"/>
      <c r="DU422" s="195"/>
      <c r="DV422" s="195"/>
      <c r="DW422" s="195"/>
      <c r="DX422" s="195"/>
      <c r="DY422" s="195"/>
      <c r="DZ422" s="195"/>
      <c r="EA422" s="195"/>
      <c r="EB422" s="195"/>
      <c r="EC422" s="195"/>
      <c r="ED422" s="195"/>
      <c r="EE422" s="195"/>
      <c r="EF422" s="195"/>
      <c r="EG422" s="195"/>
      <c r="EL422" s="1"/>
      <c r="EM422" s="195"/>
      <c r="EN422" s="240"/>
      <c r="EO422" s="240"/>
      <c r="EP422" s="195"/>
      <c r="EQ422" s="240"/>
      <c r="ER422" s="195"/>
      <c r="ES422" s="195"/>
      <c r="ET422" s="195"/>
      <c r="EU422" s="672"/>
    </row>
    <row r="423" customFormat="false" ht="12.75" hidden="false" customHeight="false" outlineLevel="0" collapsed="false">
      <c r="I423" s="735"/>
      <c r="J423" s="727"/>
      <c r="K423" s="195"/>
      <c r="L423" s="195"/>
      <c r="M423" s="729"/>
      <c r="P423" s="727"/>
      <c r="S423" s="1"/>
      <c r="T423" s="727"/>
      <c r="U423" s="195"/>
      <c r="V423" s="195"/>
      <c r="W423" s="195"/>
      <c r="X423" s="195"/>
      <c r="Y423" s="195"/>
      <c r="Z423" s="195"/>
      <c r="AA423" s="195"/>
      <c r="AB423" s="195"/>
      <c r="AC423" s="195"/>
      <c r="AD423" s="195"/>
      <c r="AE423" s="195"/>
      <c r="AF423" s="195"/>
      <c r="AG423" s="195"/>
      <c r="AH423" s="195"/>
      <c r="AI423" s="195"/>
      <c r="AJ423" s="195"/>
      <c r="AK423" s="195"/>
      <c r="AL423" s="195"/>
      <c r="AM423" s="195"/>
      <c r="AN423" s="532"/>
      <c r="AO423" s="532"/>
      <c r="AP423" s="240"/>
      <c r="AQ423" s="532"/>
      <c r="AR423" s="240"/>
      <c r="AS423" s="240"/>
      <c r="AT423" s="240"/>
      <c r="AU423" s="730"/>
      <c r="AV423" s="730"/>
      <c r="AW423" s="730"/>
      <c r="AX423" s="730"/>
      <c r="AY423" s="468"/>
      <c r="AZ423" s="468"/>
      <c r="BA423" s="240"/>
      <c r="BB423" s="240"/>
      <c r="BC423" s="240"/>
      <c r="BD423" s="240"/>
      <c r="BE423" s="672"/>
      <c r="BF423" s="672"/>
      <c r="BG423" s="672"/>
      <c r="BH423" s="731"/>
      <c r="BI423" s="672"/>
      <c r="BJ423" s="240"/>
      <c r="BK423" s="736"/>
      <c r="BL423" s="737"/>
      <c r="BM423" s="240"/>
      <c r="BN423" s="240"/>
      <c r="BO423" s="240"/>
      <c r="BP423" s="240"/>
      <c r="BQ423" s="240"/>
      <c r="BR423" s="240"/>
      <c r="BS423" s="240"/>
      <c r="BT423" s="240"/>
      <c r="BU423" s="240"/>
      <c r="BV423" s="240"/>
      <c r="BW423" s="240"/>
      <c r="BX423" s="240"/>
      <c r="BY423" s="240"/>
      <c r="BZ423" s="240"/>
      <c r="CA423" s="240"/>
      <c r="CB423" s="672"/>
      <c r="CC423" s="672"/>
      <c r="CD423" s="672"/>
      <c r="CE423" s="672"/>
      <c r="CF423" s="672"/>
      <c r="CG423" s="672"/>
      <c r="CH423" s="240"/>
      <c r="CI423" s="240"/>
      <c r="CJ423" s="240"/>
      <c r="CK423" s="240"/>
      <c r="CL423" s="240"/>
      <c r="CM423" s="240"/>
      <c r="CN423" s="240"/>
      <c r="CO423" s="240"/>
      <c r="CP423" s="240"/>
      <c r="CQ423" s="240"/>
      <c r="CR423" s="240"/>
      <c r="CS423" s="240"/>
      <c r="CT423" s="240"/>
      <c r="CU423" s="240"/>
      <c r="CV423" s="240"/>
      <c r="CW423" s="240"/>
      <c r="CX423" s="240"/>
      <c r="CY423" s="240"/>
      <c r="CZ423" s="240"/>
      <c r="DA423" s="240"/>
      <c r="DB423" s="240"/>
      <c r="DC423" s="240"/>
      <c r="DD423" s="240"/>
      <c r="DE423" s="240"/>
      <c r="DF423" s="240"/>
      <c r="DG423" s="733"/>
      <c r="DH423" s="478"/>
      <c r="DI423" s="195"/>
      <c r="DJ423" s="3"/>
      <c r="DK423" s="478"/>
      <c r="DL423" s="4"/>
      <c r="DM423" s="4"/>
      <c r="DN423" s="4"/>
      <c r="DO423" s="4"/>
      <c r="DP423" s="4"/>
      <c r="DQ423" s="4"/>
      <c r="DS423" s="195"/>
      <c r="DT423" s="195"/>
      <c r="DU423" s="195"/>
      <c r="DV423" s="195"/>
      <c r="DW423" s="195"/>
      <c r="DX423" s="195"/>
      <c r="DY423" s="195"/>
      <c r="DZ423" s="195"/>
      <c r="EA423" s="195"/>
      <c r="EB423" s="195"/>
      <c r="EC423" s="195"/>
      <c r="ED423" s="195"/>
      <c r="EE423" s="195"/>
      <c r="EF423" s="195"/>
      <c r="EG423" s="195"/>
      <c r="EL423" s="1"/>
      <c r="EM423" s="195"/>
      <c r="EN423" s="240"/>
      <c r="EO423" s="240"/>
      <c r="EP423" s="195"/>
      <c r="EQ423" s="240"/>
      <c r="ER423" s="195"/>
      <c r="ES423" s="195"/>
      <c r="ET423" s="195"/>
      <c r="EU423" s="672"/>
    </row>
    <row r="424" customFormat="false" ht="12.75" hidden="false" customHeight="false" outlineLevel="0" collapsed="false">
      <c r="I424" s="735"/>
      <c r="J424" s="727"/>
      <c r="K424" s="195"/>
      <c r="L424" s="195"/>
      <c r="M424" s="729"/>
      <c r="P424" s="727"/>
      <c r="S424" s="1"/>
      <c r="T424" s="727"/>
      <c r="U424" s="195"/>
      <c r="V424" s="195"/>
      <c r="W424" s="195"/>
      <c r="X424" s="195"/>
      <c r="Y424" s="195"/>
      <c r="Z424" s="195"/>
      <c r="AA424" s="195"/>
      <c r="AB424" s="195"/>
      <c r="AC424" s="195"/>
      <c r="AD424" s="195"/>
      <c r="AE424" s="195"/>
      <c r="AF424" s="195"/>
      <c r="AG424" s="195"/>
      <c r="AH424" s="195"/>
      <c r="AI424" s="195"/>
      <c r="AJ424" s="195"/>
      <c r="AK424" s="195"/>
      <c r="AL424" s="195"/>
      <c r="AM424" s="195"/>
      <c r="AN424" s="532"/>
      <c r="AO424" s="532"/>
      <c r="AP424" s="240"/>
      <c r="AQ424" s="532"/>
      <c r="AR424" s="240"/>
      <c r="AS424" s="240"/>
      <c r="AT424" s="240"/>
      <c r="AU424" s="730"/>
      <c r="AV424" s="730"/>
      <c r="AW424" s="730"/>
      <c r="AX424" s="730"/>
      <c r="AY424" s="468"/>
      <c r="AZ424" s="468"/>
      <c r="BA424" s="240"/>
      <c r="BB424" s="240"/>
      <c r="BC424" s="240"/>
      <c r="BD424" s="240"/>
      <c r="BE424" s="672"/>
      <c r="BF424" s="672"/>
      <c r="BG424" s="672"/>
      <c r="BH424" s="731"/>
      <c r="BI424" s="672"/>
      <c r="BJ424" s="240"/>
      <c r="BK424" s="736"/>
      <c r="BL424" s="737"/>
      <c r="BM424" s="240"/>
      <c r="BN424" s="240"/>
      <c r="BO424" s="240"/>
      <c r="BP424" s="240"/>
      <c r="BQ424" s="240"/>
      <c r="BR424" s="240"/>
      <c r="BS424" s="240"/>
      <c r="BT424" s="240"/>
      <c r="BU424" s="240"/>
      <c r="BV424" s="240"/>
      <c r="BW424" s="240"/>
      <c r="BX424" s="240"/>
      <c r="BY424" s="240"/>
      <c r="BZ424" s="240"/>
      <c r="CA424" s="240"/>
      <c r="CB424" s="672"/>
      <c r="CC424" s="672"/>
      <c r="CD424" s="672"/>
      <c r="CE424" s="672"/>
      <c r="CF424" s="672"/>
      <c r="CG424" s="672"/>
      <c r="CH424" s="240"/>
      <c r="CI424" s="240"/>
      <c r="CJ424" s="240"/>
      <c r="CK424" s="240"/>
      <c r="CL424" s="240"/>
      <c r="CM424" s="240"/>
      <c r="CN424" s="240"/>
      <c r="CO424" s="240"/>
      <c r="CP424" s="240"/>
      <c r="CQ424" s="240"/>
      <c r="CR424" s="240"/>
      <c r="CS424" s="240"/>
      <c r="CT424" s="240"/>
      <c r="CU424" s="240"/>
      <c r="CV424" s="240"/>
      <c r="CW424" s="240"/>
      <c r="CX424" s="240"/>
      <c r="CY424" s="240"/>
      <c r="CZ424" s="240"/>
      <c r="DA424" s="240"/>
      <c r="DB424" s="240"/>
      <c r="DC424" s="240"/>
      <c r="DD424" s="240"/>
      <c r="DE424" s="240"/>
      <c r="DF424" s="240"/>
      <c r="DG424" s="733"/>
      <c r="DH424" s="478"/>
      <c r="DI424" s="195"/>
      <c r="DJ424" s="3"/>
      <c r="DK424" s="478"/>
      <c r="DL424" s="4"/>
      <c r="DM424" s="4"/>
      <c r="DN424" s="4"/>
      <c r="DO424" s="4"/>
      <c r="DP424" s="4"/>
      <c r="DQ424" s="4"/>
      <c r="DS424" s="195"/>
      <c r="DT424" s="195"/>
      <c r="DU424" s="195"/>
      <c r="DV424" s="195"/>
      <c r="DW424" s="195"/>
      <c r="DX424" s="195"/>
      <c r="DY424" s="195"/>
      <c r="DZ424" s="195"/>
      <c r="EA424" s="195"/>
      <c r="EB424" s="195"/>
      <c r="EC424" s="195"/>
      <c r="ED424" s="195"/>
      <c r="EE424" s="195"/>
      <c r="EF424" s="195"/>
      <c r="EG424" s="195"/>
      <c r="EL424" s="1"/>
      <c r="EM424" s="195"/>
      <c r="EN424" s="240"/>
      <c r="EO424" s="240"/>
      <c r="EP424" s="195"/>
      <c r="EQ424" s="240"/>
      <c r="ER424" s="195"/>
      <c r="ES424" s="195"/>
      <c r="ET424" s="195"/>
      <c r="EU424" s="672"/>
    </row>
    <row r="425" customFormat="false" ht="12.75" hidden="false" customHeight="false" outlineLevel="0" collapsed="false">
      <c r="I425" s="735"/>
      <c r="J425" s="727"/>
      <c r="K425" s="195"/>
      <c r="L425" s="195"/>
      <c r="M425" s="729"/>
      <c r="P425" s="727"/>
      <c r="S425" s="1"/>
      <c r="T425" s="727"/>
      <c r="U425" s="195"/>
      <c r="V425" s="195"/>
      <c r="W425" s="195"/>
      <c r="X425" s="195"/>
      <c r="Y425" s="195"/>
      <c r="Z425" s="195"/>
      <c r="AA425" s="195"/>
      <c r="AB425" s="195"/>
      <c r="AC425" s="195"/>
      <c r="AD425" s="195"/>
      <c r="AE425" s="195"/>
      <c r="AF425" s="195"/>
      <c r="AG425" s="195"/>
      <c r="AH425" s="195"/>
      <c r="AI425" s="195"/>
      <c r="AJ425" s="195"/>
      <c r="AK425" s="195"/>
      <c r="AL425" s="195"/>
      <c r="AM425" s="195"/>
      <c r="AN425" s="532"/>
      <c r="AO425" s="532"/>
      <c r="AP425" s="240"/>
      <c r="AQ425" s="532"/>
      <c r="AR425" s="240"/>
      <c r="AS425" s="240"/>
      <c r="AT425" s="240"/>
      <c r="AU425" s="730"/>
      <c r="AV425" s="730"/>
      <c r="AW425" s="730"/>
      <c r="AX425" s="730"/>
      <c r="AY425" s="468"/>
      <c r="AZ425" s="468"/>
      <c r="BA425" s="240"/>
      <c r="BB425" s="240"/>
      <c r="BC425" s="240"/>
      <c r="BD425" s="240"/>
      <c r="BE425" s="672"/>
      <c r="BF425" s="672"/>
      <c r="BG425" s="672"/>
      <c r="BH425" s="731"/>
      <c r="BI425" s="672"/>
      <c r="BJ425" s="240"/>
      <c r="BK425" s="736"/>
      <c r="BL425" s="737"/>
      <c r="BM425" s="240"/>
      <c r="BN425" s="240"/>
      <c r="BO425" s="240"/>
      <c r="BP425" s="240"/>
      <c r="BQ425" s="240"/>
      <c r="BR425" s="240"/>
      <c r="BS425" s="240"/>
      <c r="BT425" s="240"/>
      <c r="BU425" s="240"/>
      <c r="BV425" s="240"/>
      <c r="BW425" s="240"/>
      <c r="BX425" s="240"/>
      <c r="BY425" s="240"/>
      <c r="BZ425" s="240"/>
      <c r="CA425" s="240"/>
      <c r="CB425" s="672"/>
      <c r="CC425" s="672"/>
      <c r="CD425" s="672"/>
      <c r="CE425" s="672"/>
      <c r="CF425" s="672"/>
      <c r="CG425" s="672"/>
      <c r="CH425" s="240"/>
      <c r="CI425" s="240"/>
      <c r="CJ425" s="240"/>
      <c r="CK425" s="240"/>
      <c r="CL425" s="240"/>
      <c r="CM425" s="240"/>
      <c r="CN425" s="240"/>
      <c r="CO425" s="240"/>
      <c r="CP425" s="240"/>
      <c r="CQ425" s="240"/>
      <c r="CR425" s="240"/>
      <c r="CS425" s="240"/>
      <c r="CT425" s="240"/>
      <c r="CU425" s="240"/>
      <c r="CV425" s="240"/>
      <c r="CW425" s="240"/>
      <c r="CX425" s="240"/>
      <c r="CY425" s="240"/>
      <c r="CZ425" s="240"/>
      <c r="DA425" s="240"/>
      <c r="DB425" s="240"/>
      <c r="DC425" s="240"/>
      <c r="DD425" s="240"/>
      <c r="DE425" s="240"/>
      <c r="DF425" s="240"/>
      <c r="DG425" s="733"/>
      <c r="DH425" s="478"/>
      <c r="DI425" s="195"/>
      <c r="DJ425" s="3"/>
      <c r="DK425" s="478"/>
      <c r="DL425" s="4"/>
      <c r="DM425" s="4"/>
      <c r="DN425" s="4"/>
      <c r="DO425" s="4"/>
      <c r="DP425" s="4"/>
      <c r="DQ425" s="4"/>
      <c r="DS425" s="195"/>
      <c r="DT425" s="195"/>
      <c r="DU425" s="195"/>
      <c r="DV425" s="195"/>
      <c r="DW425" s="195"/>
      <c r="DX425" s="195"/>
      <c r="DY425" s="195"/>
      <c r="DZ425" s="195"/>
      <c r="EA425" s="195"/>
      <c r="EB425" s="195"/>
      <c r="EC425" s="195"/>
      <c r="ED425" s="195"/>
      <c r="EE425" s="195"/>
      <c r="EF425" s="195"/>
      <c r="EG425" s="195"/>
      <c r="EL425" s="1"/>
      <c r="EM425" s="195"/>
      <c r="EN425" s="240"/>
      <c r="EO425" s="240"/>
      <c r="EP425" s="195"/>
      <c r="EQ425" s="240"/>
      <c r="ER425" s="195"/>
      <c r="ES425" s="195"/>
      <c r="ET425" s="195"/>
      <c r="EU425" s="672"/>
    </row>
    <row r="426" customFormat="false" ht="12.75" hidden="false" customHeight="false" outlineLevel="0" collapsed="false">
      <c r="I426" s="735"/>
      <c r="J426" s="727"/>
      <c r="K426" s="195"/>
      <c r="L426" s="195"/>
      <c r="M426" s="729"/>
      <c r="P426" s="727"/>
      <c r="S426" s="1"/>
      <c r="T426" s="727"/>
      <c r="U426" s="195"/>
      <c r="V426" s="195"/>
      <c r="W426" s="195"/>
      <c r="X426" s="195"/>
      <c r="Y426" s="195"/>
      <c r="Z426" s="195"/>
      <c r="AA426" s="195"/>
      <c r="AB426" s="195"/>
      <c r="AC426" s="195"/>
      <c r="AD426" s="195"/>
      <c r="AE426" s="195"/>
      <c r="AF426" s="195"/>
      <c r="AG426" s="195"/>
      <c r="AH426" s="195"/>
      <c r="AI426" s="195"/>
      <c r="AJ426" s="195"/>
      <c r="AK426" s="195"/>
      <c r="AL426" s="195"/>
      <c r="AM426" s="195"/>
      <c r="AN426" s="532"/>
      <c r="AO426" s="532"/>
      <c r="AP426" s="240"/>
      <c r="AQ426" s="532"/>
      <c r="AR426" s="240"/>
      <c r="AS426" s="240"/>
      <c r="AT426" s="240"/>
      <c r="AU426" s="730"/>
      <c r="AV426" s="730"/>
      <c r="AW426" s="730"/>
      <c r="AX426" s="730"/>
      <c r="AY426" s="468"/>
      <c r="AZ426" s="468"/>
      <c r="BA426" s="240"/>
      <c r="BB426" s="240"/>
      <c r="BC426" s="240"/>
      <c r="BD426" s="240"/>
      <c r="BE426" s="672"/>
      <c r="BF426" s="672"/>
      <c r="BG426" s="672"/>
      <c r="BH426" s="731"/>
      <c r="BI426" s="672"/>
      <c r="BJ426" s="240"/>
      <c r="BK426" s="736"/>
      <c r="BL426" s="737"/>
      <c r="BM426" s="240"/>
      <c r="BN426" s="240"/>
      <c r="BO426" s="240"/>
      <c r="BP426" s="240"/>
      <c r="BQ426" s="240"/>
      <c r="BR426" s="240"/>
      <c r="BS426" s="240"/>
      <c r="BT426" s="240"/>
      <c r="BU426" s="240"/>
      <c r="BV426" s="240"/>
      <c r="BW426" s="240"/>
      <c r="BX426" s="240"/>
      <c r="BY426" s="240"/>
      <c r="BZ426" s="240"/>
      <c r="CA426" s="240"/>
      <c r="CB426" s="672"/>
      <c r="CC426" s="672"/>
      <c r="CD426" s="672"/>
      <c r="CE426" s="672"/>
      <c r="CF426" s="672"/>
      <c r="CG426" s="672"/>
      <c r="CH426" s="240"/>
      <c r="CI426" s="240"/>
      <c r="CJ426" s="240"/>
      <c r="CK426" s="240"/>
      <c r="CL426" s="240"/>
      <c r="CM426" s="240"/>
      <c r="CN426" s="240"/>
      <c r="CO426" s="240"/>
      <c r="CP426" s="240"/>
      <c r="CQ426" s="240"/>
      <c r="CR426" s="240"/>
      <c r="CS426" s="240"/>
      <c r="CT426" s="240"/>
      <c r="CU426" s="240"/>
      <c r="CV426" s="240"/>
      <c r="CW426" s="240"/>
      <c r="CX426" s="240"/>
      <c r="CY426" s="240"/>
      <c r="CZ426" s="240"/>
      <c r="DA426" s="240"/>
      <c r="DB426" s="240"/>
      <c r="DC426" s="240"/>
      <c r="DD426" s="240"/>
      <c r="DE426" s="240"/>
      <c r="DF426" s="240"/>
      <c r="DG426" s="733"/>
      <c r="DH426" s="478"/>
      <c r="DI426" s="195"/>
      <c r="DJ426" s="3"/>
      <c r="DK426" s="478"/>
      <c r="DL426" s="4"/>
      <c r="DM426" s="4"/>
      <c r="DN426" s="4"/>
      <c r="DO426" s="4"/>
      <c r="DP426" s="4"/>
      <c r="DQ426" s="4"/>
      <c r="DS426" s="195"/>
      <c r="DT426" s="195"/>
      <c r="DU426" s="195"/>
      <c r="DV426" s="195"/>
      <c r="DW426" s="195"/>
      <c r="DX426" s="195"/>
      <c r="DY426" s="195"/>
      <c r="DZ426" s="195"/>
      <c r="EA426" s="195"/>
      <c r="EB426" s="195"/>
      <c r="EC426" s="195"/>
      <c r="ED426" s="195"/>
      <c r="EE426" s="195"/>
      <c r="EF426" s="195"/>
      <c r="EG426" s="195"/>
      <c r="EL426" s="1"/>
      <c r="EM426" s="195"/>
      <c r="EN426" s="240"/>
      <c r="EO426" s="240"/>
      <c r="EP426" s="195"/>
      <c r="EQ426" s="240"/>
      <c r="ER426" s="195"/>
      <c r="ES426" s="195"/>
      <c r="ET426" s="195"/>
      <c r="EU426" s="672"/>
    </row>
    <row r="427" customFormat="false" ht="12.75" hidden="false" customHeight="false" outlineLevel="0" collapsed="false">
      <c r="I427" s="735"/>
      <c r="J427" s="727"/>
      <c r="K427" s="195"/>
      <c r="L427" s="195"/>
      <c r="M427" s="729"/>
      <c r="P427" s="727"/>
      <c r="S427" s="1"/>
      <c r="T427" s="727"/>
      <c r="U427" s="195"/>
      <c r="V427" s="195"/>
      <c r="W427" s="195"/>
      <c r="X427" s="195"/>
      <c r="Y427" s="195"/>
      <c r="Z427" s="195"/>
      <c r="AA427" s="195"/>
      <c r="AB427" s="195"/>
      <c r="AC427" s="195"/>
      <c r="AD427" s="195"/>
      <c r="AE427" s="195"/>
      <c r="AF427" s="195"/>
      <c r="AG427" s="195"/>
      <c r="AH427" s="195"/>
      <c r="AI427" s="195"/>
      <c r="AJ427" s="195"/>
      <c r="AK427" s="195"/>
      <c r="AL427" s="195"/>
      <c r="AM427" s="195"/>
      <c r="AN427" s="532"/>
      <c r="AO427" s="532"/>
      <c r="AP427" s="240"/>
      <c r="AQ427" s="532"/>
      <c r="AR427" s="240"/>
      <c r="AS427" s="240"/>
      <c r="AT427" s="240"/>
      <c r="AU427" s="730"/>
      <c r="AV427" s="730"/>
      <c r="AW427" s="730"/>
      <c r="AX427" s="730"/>
      <c r="AY427" s="468"/>
      <c r="AZ427" s="468"/>
      <c r="BA427" s="240"/>
      <c r="BB427" s="240"/>
      <c r="BC427" s="240"/>
      <c r="BD427" s="240"/>
      <c r="BE427" s="672"/>
      <c r="BF427" s="672"/>
      <c r="BG427" s="672"/>
      <c r="BH427" s="731"/>
      <c r="BI427" s="672"/>
      <c r="BJ427" s="240"/>
      <c r="BK427" s="736"/>
      <c r="BL427" s="737"/>
      <c r="BM427" s="240"/>
      <c r="BN427" s="240"/>
      <c r="BO427" s="240"/>
      <c r="BP427" s="240"/>
      <c r="BQ427" s="240"/>
      <c r="BR427" s="240"/>
      <c r="BS427" s="240"/>
      <c r="BT427" s="240"/>
      <c r="BU427" s="240"/>
      <c r="BV427" s="240"/>
      <c r="BW427" s="240"/>
      <c r="BX427" s="240"/>
      <c r="BY427" s="240"/>
      <c r="BZ427" s="240"/>
      <c r="CA427" s="240"/>
      <c r="CB427" s="672"/>
      <c r="CC427" s="672"/>
      <c r="CD427" s="672"/>
      <c r="CE427" s="672"/>
      <c r="CF427" s="672"/>
      <c r="CG427" s="672"/>
      <c r="CH427" s="240"/>
      <c r="CI427" s="240"/>
      <c r="CJ427" s="240"/>
      <c r="CK427" s="240"/>
      <c r="CL427" s="240"/>
      <c r="CM427" s="240"/>
      <c r="CN427" s="240"/>
      <c r="CO427" s="240"/>
      <c r="CP427" s="240"/>
      <c r="CQ427" s="240"/>
      <c r="CR427" s="240"/>
      <c r="CS427" s="240"/>
      <c r="CT427" s="240"/>
      <c r="CU427" s="240"/>
      <c r="CV427" s="240"/>
      <c r="CW427" s="240"/>
      <c r="CX427" s="240"/>
      <c r="CY427" s="240"/>
      <c r="CZ427" s="240"/>
      <c r="DA427" s="240"/>
      <c r="DB427" s="240"/>
      <c r="DC427" s="240"/>
      <c r="DD427" s="240"/>
      <c r="DE427" s="240"/>
      <c r="DF427" s="240"/>
      <c r="DG427" s="733"/>
      <c r="DH427" s="478"/>
      <c r="DI427" s="195"/>
      <c r="DJ427" s="3"/>
      <c r="DK427" s="478"/>
      <c r="DL427" s="4"/>
      <c r="DM427" s="4"/>
      <c r="DN427" s="4"/>
      <c r="DO427" s="4"/>
      <c r="DP427" s="4"/>
      <c r="DQ427" s="4"/>
      <c r="DS427" s="195"/>
      <c r="DT427" s="195"/>
      <c r="DU427" s="195"/>
      <c r="DV427" s="195"/>
      <c r="DW427" s="195"/>
      <c r="DX427" s="195"/>
      <c r="DY427" s="195"/>
      <c r="DZ427" s="195"/>
      <c r="EA427" s="195"/>
      <c r="EB427" s="195"/>
      <c r="EC427" s="195"/>
      <c r="ED427" s="195"/>
      <c r="EE427" s="195"/>
      <c r="EF427" s="195"/>
      <c r="EG427" s="195"/>
      <c r="EL427" s="1"/>
      <c r="EM427" s="195"/>
      <c r="EN427" s="240"/>
      <c r="EO427" s="240"/>
      <c r="EP427" s="195"/>
      <c r="EQ427" s="240"/>
      <c r="ER427" s="195"/>
      <c r="ES427" s="195"/>
      <c r="ET427" s="195"/>
      <c r="EU427" s="672"/>
    </row>
    <row r="428" customFormat="false" ht="12.75" hidden="false" customHeight="false" outlineLevel="0" collapsed="false">
      <c r="I428" s="735"/>
      <c r="J428" s="727"/>
      <c r="K428" s="195"/>
      <c r="L428" s="195"/>
      <c r="M428" s="729"/>
      <c r="P428" s="727"/>
      <c r="S428" s="1"/>
      <c r="T428" s="727"/>
      <c r="U428" s="195"/>
      <c r="V428" s="195"/>
      <c r="W428" s="195"/>
      <c r="X428" s="195"/>
      <c r="Y428" s="195"/>
      <c r="Z428" s="195"/>
      <c r="AA428" s="195"/>
      <c r="AB428" s="195"/>
      <c r="AC428" s="195"/>
      <c r="AD428" s="195"/>
      <c r="AE428" s="195"/>
      <c r="AF428" s="195"/>
      <c r="AG428" s="195"/>
      <c r="AH428" s="195"/>
      <c r="AI428" s="195"/>
      <c r="AJ428" s="195"/>
      <c r="AK428" s="195"/>
      <c r="AL428" s="195"/>
      <c r="AM428" s="195"/>
      <c r="AN428" s="532"/>
      <c r="AO428" s="532"/>
      <c r="AP428" s="240"/>
      <c r="AQ428" s="532"/>
      <c r="AR428" s="240"/>
      <c r="AS428" s="240"/>
      <c r="AT428" s="240"/>
      <c r="AU428" s="730"/>
      <c r="AV428" s="730"/>
      <c r="AW428" s="730"/>
      <c r="AX428" s="730"/>
      <c r="AY428" s="468"/>
      <c r="AZ428" s="468"/>
      <c r="BA428" s="240"/>
      <c r="BB428" s="240"/>
      <c r="BC428" s="240"/>
      <c r="BD428" s="240"/>
      <c r="BE428" s="672"/>
      <c r="BF428" s="672"/>
      <c r="BG428" s="672"/>
      <c r="BH428" s="731"/>
      <c r="BI428" s="672"/>
      <c r="BJ428" s="240"/>
      <c r="BK428" s="736"/>
      <c r="BL428" s="737"/>
      <c r="BM428" s="240"/>
      <c r="BN428" s="240"/>
      <c r="BO428" s="240"/>
      <c r="BP428" s="240"/>
      <c r="BQ428" s="240"/>
      <c r="BR428" s="240"/>
      <c r="BS428" s="240"/>
      <c r="BT428" s="240"/>
      <c r="BU428" s="240"/>
      <c r="BV428" s="240"/>
      <c r="BW428" s="240"/>
      <c r="BX428" s="240"/>
      <c r="BY428" s="240"/>
      <c r="BZ428" s="240"/>
      <c r="CA428" s="240"/>
      <c r="CB428" s="672"/>
      <c r="CC428" s="672"/>
      <c r="CD428" s="672"/>
      <c r="CE428" s="672"/>
      <c r="CF428" s="672"/>
      <c r="CG428" s="672"/>
      <c r="CH428" s="240"/>
      <c r="CI428" s="240"/>
      <c r="CJ428" s="240"/>
      <c r="CK428" s="240"/>
      <c r="CL428" s="240"/>
      <c r="CM428" s="240"/>
      <c r="CN428" s="240"/>
      <c r="CO428" s="240"/>
      <c r="CP428" s="240"/>
      <c r="CQ428" s="240"/>
      <c r="CR428" s="240"/>
      <c r="CS428" s="240"/>
      <c r="CT428" s="240"/>
      <c r="CU428" s="240"/>
      <c r="CV428" s="240"/>
      <c r="CW428" s="240"/>
      <c r="CX428" s="240"/>
      <c r="CY428" s="240"/>
      <c r="CZ428" s="240"/>
      <c r="DA428" s="240"/>
      <c r="DB428" s="240"/>
      <c r="DC428" s="240"/>
      <c r="DD428" s="240"/>
      <c r="DE428" s="240"/>
      <c r="DF428" s="240"/>
      <c r="DG428" s="733"/>
      <c r="DH428" s="478"/>
      <c r="DI428" s="195"/>
      <c r="DJ428" s="3"/>
      <c r="DK428" s="478"/>
      <c r="DL428" s="4"/>
      <c r="DM428" s="4"/>
      <c r="DN428" s="4"/>
      <c r="DO428" s="4"/>
      <c r="DP428" s="4"/>
      <c r="DQ428" s="4"/>
      <c r="DS428" s="195"/>
      <c r="DT428" s="195"/>
      <c r="DU428" s="195"/>
      <c r="DV428" s="195"/>
      <c r="DW428" s="195"/>
      <c r="DX428" s="195"/>
      <c r="DY428" s="195"/>
      <c r="DZ428" s="195"/>
      <c r="EA428" s="195"/>
      <c r="EB428" s="195"/>
      <c r="EC428" s="195"/>
      <c r="ED428" s="195"/>
      <c r="EE428" s="195"/>
      <c r="EF428" s="195"/>
      <c r="EG428" s="195"/>
      <c r="EL428" s="1"/>
      <c r="EM428" s="195"/>
      <c r="EN428" s="240"/>
      <c r="EO428" s="240"/>
      <c r="EP428" s="195"/>
      <c r="EQ428" s="240"/>
      <c r="ER428" s="195"/>
      <c r="ES428" s="195"/>
      <c r="ET428" s="195"/>
      <c r="EU428" s="672"/>
    </row>
    <row r="429" customFormat="false" ht="12.75" hidden="false" customHeight="false" outlineLevel="0" collapsed="false">
      <c r="I429" s="735"/>
      <c r="J429" s="727"/>
      <c r="K429" s="195"/>
      <c r="L429" s="195"/>
      <c r="M429" s="729"/>
      <c r="P429" s="727"/>
      <c r="S429" s="1"/>
      <c r="T429" s="727"/>
      <c r="U429" s="195"/>
      <c r="V429" s="195"/>
      <c r="W429" s="195"/>
      <c r="X429" s="195"/>
      <c r="Y429" s="195"/>
      <c r="Z429" s="195"/>
      <c r="AA429" s="195"/>
      <c r="AB429" s="195"/>
      <c r="AC429" s="195"/>
      <c r="AD429" s="195"/>
      <c r="AE429" s="195"/>
      <c r="AF429" s="195"/>
      <c r="AG429" s="195"/>
      <c r="AH429" s="195"/>
      <c r="AI429" s="195"/>
      <c r="AJ429" s="195"/>
      <c r="AK429" s="195"/>
      <c r="AL429" s="195"/>
      <c r="AM429" s="195"/>
      <c r="AN429" s="532"/>
      <c r="AO429" s="532"/>
      <c r="AP429" s="240"/>
      <c r="AQ429" s="532"/>
      <c r="AR429" s="240"/>
      <c r="AS429" s="240"/>
      <c r="AT429" s="240"/>
      <c r="AU429" s="730"/>
      <c r="AV429" s="730"/>
      <c r="AW429" s="730"/>
      <c r="AX429" s="730"/>
      <c r="AY429" s="468"/>
      <c r="AZ429" s="468"/>
      <c r="BA429" s="240"/>
      <c r="BB429" s="240"/>
      <c r="BC429" s="240"/>
      <c r="BD429" s="240"/>
      <c r="BE429" s="672"/>
      <c r="BF429" s="672"/>
      <c r="BG429" s="672"/>
      <c r="BH429" s="731"/>
      <c r="BI429" s="672"/>
      <c r="BJ429" s="240"/>
      <c r="BK429" s="736"/>
      <c r="BL429" s="737"/>
      <c r="BM429" s="240"/>
      <c r="BN429" s="240"/>
      <c r="BO429" s="240"/>
      <c r="BP429" s="240"/>
      <c r="BQ429" s="240"/>
      <c r="BR429" s="240"/>
      <c r="BS429" s="240"/>
      <c r="BT429" s="240"/>
      <c r="BU429" s="240"/>
      <c r="BV429" s="240"/>
      <c r="BW429" s="240"/>
      <c r="BX429" s="240"/>
      <c r="BY429" s="240"/>
      <c r="BZ429" s="240"/>
      <c r="CA429" s="240"/>
      <c r="CB429" s="672"/>
      <c r="CC429" s="672"/>
      <c r="CD429" s="672"/>
      <c r="CE429" s="672"/>
      <c r="CF429" s="672"/>
      <c r="CG429" s="672"/>
      <c r="CH429" s="240"/>
      <c r="CI429" s="240"/>
      <c r="CJ429" s="240"/>
      <c r="CK429" s="240"/>
      <c r="CL429" s="240"/>
      <c r="CM429" s="240"/>
      <c r="CN429" s="240"/>
      <c r="CO429" s="240"/>
      <c r="CP429" s="240"/>
      <c r="CQ429" s="240"/>
      <c r="CR429" s="240"/>
      <c r="CS429" s="240"/>
      <c r="CT429" s="240"/>
      <c r="CU429" s="240"/>
      <c r="CV429" s="240"/>
      <c r="CW429" s="240"/>
      <c r="CX429" s="240"/>
      <c r="CY429" s="240"/>
      <c r="CZ429" s="240"/>
      <c r="DA429" s="240"/>
      <c r="DB429" s="240"/>
      <c r="DC429" s="240"/>
      <c r="DD429" s="240"/>
      <c r="DE429" s="240"/>
      <c r="DF429" s="240"/>
      <c r="DG429" s="733"/>
      <c r="DH429" s="478"/>
      <c r="DI429" s="195"/>
      <c r="DJ429" s="3"/>
      <c r="DK429" s="478"/>
      <c r="DL429" s="4"/>
      <c r="DM429" s="4"/>
      <c r="DN429" s="4"/>
      <c r="DO429" s="4"/>
      <c r="DP429" s="4"/>
      <c r="DQ429" s="4"/>
      <c r="DS429" s="195"/>
      <c r="DT429" s="195"/>
      <c r="DU429" s="195"/>
      <c r="DV429" s="195"/>
      <c r="DW429" s="195"/>
      <c r="DX429" s="195"/>
      <c r="DY429" s="195"/>
      <c r="DZ429" s="195"/>
      <c r="EA429" s="195"/>
      <c r="EB429" s="195"/>
      <c r="EC429" s="195"/>
      <c r="ED429" s="195"/>
      <c r="EE429" s="195"/>
      <c r="EF429" s="195"/>
      <c r="EG429" s="195"/>
      <c r="EL429" s="1"/>
      <c r="EM429" s="195"/>
      <c r="EN429" s="240"/>
      <c r="EO429" s="240"/>
      <c r="EP429" s="195"/>
      <c r="EQ429" s="240"/>
      <c r="ER429" s="195"/>
      <c r="ES429" s="195"/>
      <c r="ET429" s="195"/>
      <c r="EU429" s="672"/>
    </row>
    <row r="430" customFormat="false" ht="12.75" hidden="false" customHeight="false" outlineLevel="0" collapsed="false">
      <c r="I430" s="735"/>
      <c r="J430" s="727"/>
      <c r="K430" s="195"/>
      <c r="L430" s="195"/>
      <c r="M430" s="729"/>
      <c r="P430" s="727"/>
      <c r="S430" s="1"/>
      <c r="T430" s="727"/>
      <c r="U430" s="195"/>
      <c r="V430" s="195"/>
      <c r="W430" s="195"/>
      <c r="X430" s="195"/>
      <c r="Y430" s="195"/>
      <c r="Z430" s="195"/>
      <c r="AA430" s="195"/>
      <c r="AB430" s="195"/>
      <c r="AC430" s="195"/>
      <c r="AD430" s="195"/>
      <c r="AE430" s="195"/>
      <c r="AF430" s="195"/>
      <c r="AG430" s="195"/>
      <c r="AH430" s="195"/>
      <c r="AI430" s="195"/>
      <c r="AJ430" s="195"/>
      <c r="AK430" s="195"/>
      <c r="AL430" s="195"/>
      <c r="AM430" s="195"/>
      <c r="AN430" s="532"/>
      <c r="AO430" s="532"/>
      <c r="AP430" s="240"/>
      <c r="AQ430" s="532"/>
      <c r="AR430" s="240"/>
      <c r="AS430" s="240"/>
      <c r="AT430" s="240"/>
      <c r="AU430" s="730"/>
      <c r="AV430" s="730"/>
      <c r="AW430" s="730"/>
      <c r="AX430" s="730"/>
      <c r="AY430" s="468"/>
      <c r="AZ430" s="468"/>
      <c r="BA430" s="240"/>
      <c r="BB430" s="240"/>
      <c r="BC430" s="240"/>
      <c r="BD430" s="240"/>
      <c r="BE430" s="672"/>
      <c r="BF430" s="672"/>
      <c r="BG430" s="672"/>
      <c r="BH430" s="731"/>
      <c r="BI430" s="672"/>
      <c r="BJ430" s="240"/>
      <c r="BK430" s="736"/>
      <c r="BL430" s="737"/>
      <c r="BM430" s="240"/>
      <c r="BN430" s="240"/>
      <c r="BO430" s="240"/>
      <c r="BP430" s="240"/>
      <c r="BQ430" s="240"/>
      <c r="BR430" s="240"/>
      <c r="BS430" s="240"/>
      <c r="BT430" s="240"/>
      <c r="BU430" s="240"/>
      <c r="BV430" s="240"/>
      <c r="BW430" s="240"/>
      <c r="BX430" s="240"/>
      <c r="BY430" s="240"/>
      <c r="BZ430" s="240"/>
      <c r="CA430" s="240"/>
      <c r="CB430" s="672"/>
      <c r="CC430" s="672"/>
      <c r="CD430" s="672"/>
      <c r="CE430" s="672"/>
      <c r="CF430" s="672"/>
      <c r="CG430" s="672"/>
      <c r="CH430" s="240"/>
      <c r="CI430" s="240"/>
      <c r="CJ430" s="240"/>
      <c r="CK430" s="240"/>
      <c r="CL430" s="240"/>
      <c r="CM430" s="240"/>
      <c r="CN430" s="240"/>
      <c r="CO430" s="240"/>
      <c r="CP430" s="240"/>
      <c r="CQ430" s="240"/>
      <c r="CR430" s="240"/>
      <c r="CS430" s="240"/>
      <c r="CT430" s="240"/>
      <c r="CU430" s="240"/>
      <c r="CV430" s="240"/>
      <c r="CW430" s="240"/>
      <c r="CX430" s="240"/>
      <c r="CY430" s="240"/>
      <c r="CZ430" s="240"/>
      <c r="DA430" s="240"/>
      <c r="DB430" s="240"/>
      <c r="DC430" s="240"/>
      <c r="DD430" s="240"/>
      <c r="DE430" s="240"/>
      <c r="DF430" s="240"/>
      <c r="DG430" s="733"/>
      <c r="DH430" s="478"/>
      <c r="DI430" s="195"/>
      <c r="DJ430" s="3"/>
      <c r="DK430" s="478"/>
      <c r="DL430" s="4"/>
      <c r="DM430" s="4"/>
      <c r="DN430" s="4"/>
      <c r="DO430" s="4"/>
      <c r="DP430" s="4"/>
      <c r="DQ430" s="4"/>
      <c r="DS430" s="195"/>
      <c r="DT430" s="195"/>
      <c r="DU430" s="195"/>
      <c r="DV430" s="195"/>
      <c r="DW430" s="195"/>
      <c r="DX430" s="195"/>
      <c r="DY430" s="195"/>
      <c r="DZ430" s="195"/>
      <c r="EA430" s="195"/>
      <c r="EB430" s="195"/>
      <c r="EC430" s="195"/>
      <c r="ED430" s="195"/>
      <c r="EE430" s="195"/>
      <c r="EF430" s="195"/>
      <c r="EG430" s="195"/>
      <c r="EL430" s="1"/>
      <c r="EM430" s="195"/>
      <c r="EN430" s="240"/>
      <c r="EO430" s="240"/>
      <c r="EP430" s="195"/>
      <c r="EQ430" s="240"/>
      <c r="ER430" s="195"/>
      <c r="ES430" s="195"/>
      <c r="ET430" s="195"/>
      <c r="EU430" s="672"/>
    </row>
    <row r="431" customFormat="false" ht="12.75" hidden="false" customHeight="false" outlineLevel="0" collapsed="false">
      <c r="I431" s="735"/>
      <c r="J431" s="727"/>
      <c r="K431" s="195"/>
      <c r="L431" s="195"/>
      <c r="M431" s="729"/>
      <c r="P431" s="727"/>
      <c r="S431" s="1"/>
      <c r="T431" s="727"/>
      <c r="U431" s="195"/>
      <c r="V431" s="195"/>
      <c r="W431" s="195"/>
      <c r="X431" s="195"/>
      <c r="Y431" s="195"/>
      <c r="Z431" s="195"/>
      <c r="AA431" s="195"/>
      <c r="AB431" s="195"/>
      <c r="AC431" s="195"/>
      <c r="AD431" s="195"/>
      <c r="AE431" s="195"/>
      <c r="AF431" s="195"/>
      <c r="AG431" s="195"/>
      <c r="AH431" s="195"/>
      <c r="AI431" s="195"/>
      <c r="AJ431" s="195"/>
      <c r="AK431" s="195"/>
      <c r="AL431" s="195"/>
      <c r="AM431" s="195"/>
      <c r="AN431" s="532"/>
      <c r="AO431" s="532"/>
      <c r="AP431" s="240"/>
      <c r="AQ431" s="532"/>
      <c r="AR431" s="240"/>
      <c r="AS431" s="240"/>
      <c r="AT431" s="240"/>
      <c r="AU431" s="730"/>
      <c r="AV431" s="730"/>
      <c r="AW431" s="730"/>
      <c r="AX431" s="730"/>
      <c r="AY431" s="468"/>
      <c r="AZ431" s="468"/>
      <c r="BA431" s="240"/>
      <c r="BB431" s="240"/>
      <c r="BC431" s="240"/>
      <c r="BD431" s="240"/>
      <c r="BE431" s="672"/>
      <c r="BF431" s="672"/>
      <c r="BG431" s="672"/>
      <c r="BH431" s="731"/>
      <c r="BI431" s="672"/>
      <c r="BJ431" s="240"/>
      <c r="BK431" s="736"/>
      <c r="BL431" s="737"/>
      <c r="BM431" s="240"/>
      <c r="BN431" s="240"/>
      <c r="BO431" s="240"/>
      <c r="BP431" s="240"/>
      <c r="BQ431" s="240"/>
      <c r="BR431" s="240"/>
      <c r="BS431" s="240"/>
      <c r="BT431" s="240"/>
      <c r="BU431" s="240"/>
      <c r="BV431" s="240"/>
      <c r="BW431" s="240"/>
      <c r="BX431" s="240"/>
      <c r="BY431" s="240"/>
      <c r="BZ431" s="240"/>
      <c r="CA431" s="240"/>
      <c r="CB431" s="672"/>
      <c r="CC431" s="672"/>
      <c r="CD431" s="672"/>
      <c r="CE431" s="672"/>
      <c r="CF431" s="672"/>
      <c r="CG431" s="672"/>
      <c r="CH431" s="240"/>
      <c r="CI431" s="240"/>
      <c r="CJ431" s="240"/>
      <c r="CK431" s="240"/>
      <c r="CL431" s="240"/>
      <c r="CM431" s="240"/>
      <c r="CN431" s="240"/>
      <c r="CO431" s="240"/>
      <c r="CP431" s="240"/>
      <c r="CQ431" s="240"/>
      <c r="CR431" s="240"/>
      <c r="CS431" s="240"/>
      <c r="CT431" s="240"/>
      <c r="CU431" s="240"/>
      <c r="CV431" s="240"/>
      <c r="CW431" s="240"/>
      <c r="CX431" s="240"/>
      <c r="CY431" s="240"/>
      <c r="CZ431" s="240"/>
      <c r="DA431" s="240"/>
      <c r="DB431" s="240"/>
      <c r="DC431" s="240"/>
      <c r="DD431" s="240"/>
      <c r="DE431" s="240"/>
      <c r="DF431" s="240"/>
      <c r="DG431" s="733"/>
      <c r="DH431" s="478"/>
      <c r="DI431" s="195"/>
      <c r="DJ431" s="3"/>
      <c r="DK431" s="478"/>
      <c r="DL431" s="4"/>
      <c r="DM431" s="4"/>
      <c r="DN431" s="4"/>
      <c r="DO431" s="4"/>
      <c r="DP431" s="4"/>
      <c r="DQ431" s="4"/>
      <c r="DS431" s="195"/>
      <c r="DT431" s="195"/>
      <c r="DU431" s="195"/>
      <c r="DV431" s="195"/>
      <c r="DW431" s="195"/>
      <c r="DX431" s="195"/>
      <c r="DY431" s="195"/>
      <c r="DZ431" s="195"/>
      <c r="EA431" s="195"/>
      <c r="EB431" s="195"/>
      <c r="EC431" s="195"/>
      <c r="ED431" s="195"/>
      <c r="EE431" s="195"/>
      <c r="EF431" s="195"/>
      <c r="EG431" s="195"/>
      <c r="EL431" s="1"/>
      <c r="EM431" s="195"/>
      <c r="EN431" s="240"/>
      <c r="EO431" s="240"/>
      <c r="EP431" s="195"/>
      <c r="EQ431" s="240"/>
      <c r="ER431" s="195"/>
      <c r="ES431" s="195"/>
      <c r="ET431" s="195"/>
      <c r="EU431" s="672"/>
    </row>
    <row r="432" customFormat="false" ht="12.75" hidden="false" customHeight="false" outlineLevel="0" collapsed="false">
      <c r="I432" s="735"/>
      <c r="J432" s="727"/>
      <c r="K432" s="195"/>
      <c r="L432" s="195"/>
      <c r="M432" s="729"/>
      <c r="P432" s="727"/>
      <c r="S432" s="1"/>
      <c r="T432" s="727"/>
      <c r="U432" s="195"/>
      <c r="V432" s="195"/>
      <c r="W432" s="195"/>
      <c r="X432" s="195"/>
      <c r="Y432" s="195"/>
      <c r="Z432" s="195"/>
      <c r="AA432" s="195"/>
      <c r="AB432" s="195"/>
      <c r="AC432" s="195"/>
      <c r="AD432" s="195"/>
      <c r="AE432" s="195"/>
      <c r="AF432" s="195"/>
      <c r="AG432" s="195"/>
      <c r="AH432" s="195"/>
      <c r="AI432" s="195"/>
      <c r="AJ432" s="195"/>
      <c r="AK432" s="195"/>
      <c r="AL432" s="195"/>
      <c r="AM432" s="195"/>
      <c r="AN432" s="532"/>
      <c r="AO432" s="532"/>
      <c r="AP432" s="240"/>
      <c r="AQ432" s="532"/>
      <c r="AR432" s="240"/>
      <c r="AS432" s="240"/>
      <c r="AT432" s="240"/>
      <c r="AU432" s="730"/>
      <c r="AV432" s="730"/>
      <c r="AW432" s="730"/>
      <c r="AX432" s="730"/>
      <c r="AY432" s="468"/>
      <c r="AZ432" s="468"/>
      <c r="BA432" s="240"/>
      <c r="BB432" s="240"/>
      <c r="BC432" s="240"/>
      <c r="BD432" s="240"/>
      <c r="BE432" s="672"/>
      <c r="BF432" s="672"/>
      <c r="BG432" s="672"/>
      <c r="BH432" s="731"/>
      <c r="BI432" s="672"/>
      <c r="BJ432" s="240"/>
      <c r="BK432" s="736"/>
      <c r="BL432" s="737"/>
      <c r="BM432" s="240"/>
      <c r="BN432" s="240"/>
      <c r="BO432" s="240"/>
      <c r="BP432" s="240"/>
      <c r="BQ432" s="240"/>
      <c r="BR432" s="240"/>
      <c r="BS432" s="240"/>
      <c r="BT432" s="240"/>
      <c r="BU432" s="240"/>
      <c r="BV432" s="240"/>
      <c r="BW432" s="240"/>
      <c r="BX432" s="240"/>
      <c r="BY432" s="240"/>
      <c r="BZ432" s="240"/>
      <c r="CA432" s="240"/>
      <c r="CB432" s="672"/>
      <c r="CC432" s="672"/>
      <c r="CD432" s="672"/>
      <c r="CE432" s="672"/>
      <c r="CF432" s="672"/>
      <c r="CG432" s="672"/>
      <c r="CH432" s="240"/>
      <c r="CI432" s="240"/>
      <c r="CJ432" s="240"/>
      <c r="CK432" s="240"/>
      <c r="CL432" s="240"/>
      <c r="CM432" s="240"/>
      <c r="CN432" s="240"/>
      <c r="CO432" s="240"/>
      <c r="CP432" s="240"/>
      <c r="CQ432" s="240"/>
      <c r="CR432" s="240"/>
      <c r="CS432" s="240"/>
      <c r="CT432" s="240"/>
      <c r="CU432" s="240"/>
      <c r="CV432" s="240"/>
      <c r="CW432" s="240"/>
      <c r="CX432" s="240"/>
      <c r="CY432" s="240"/>
      <c r="CZ432" s="240"/>
      <c r="DA432" s="240"/>
      <c r="DB432" s="240"/>
      <c r="DC432" s="240"/>
      <c r="DD432" s="240"/>
      <c r="DE432" s="240"/>
      <c r="DF432" s="240"/>
      <c r="DG432" s="733"/>
      <c r="DH432" s="478"/>
      <c r="DI432" s="195"/>
      <c r="DJ432" s="3"/>
      <c r="DK432" s="478"/>
      <c r="DL432" s="4"/>
      <c r="DM432" s="4"/>
      <c r="DN432" s="4"/>
      <c r="DO432" s="4"/>
      <c r="DP432" s="4"/>
      <c r="DQ432" s="4"/>
      <c r="DS432" s="195"/>
      <c r="DT432" s="195"/>
      <c r="DU432" s="195"/>
      <c r="DV432" s="195"/>
      <c r="DW432" s="195"/>
      <c r="DX432" s="195"/>
      <c r="DY432" s="195"/>
      <c r="DZ432" s="195"/>
      <c r="EA432" s="195"/>
      <c r="EB432" s="195"/>
      <c r="EC432" s="195"/>
      <c r="ED432" s="195"/>
      <c r="EE432" s="195"/>
      <c r="EF432" s="195"/>
      <c r="EG432" s="195"/>
      <c r="EL432" s="1"/>
      <c r="EM432" s="195"/>
      <c r="EN432" s="240"/>
      <c r="EO432" s="240"/>
      <c r="EP432" s="195"/>
      <c r="EQ432" s="240"/>
      <c r="ER432" s="195"/>
      <c r="ES432" s="195"/>
      <c r="ET432" s="195"/>
      <c r="EU432" s="672"/>
    </row>
    <row r="433" customFormat="false" ht="12.75" hidden="false" customHeight="false" outlineLevel="0" collapsed="false">
      <c r="I433" s="735"/>
      <c r="J433" s="727"/>
      <c r="K433" s="195"/>
      <c r="L433" s="195"/>
      <c r="M433" s="729"/>
      <c r="P433" s="727"/>
      <c r="S433" s="1"/>
      <c r="T433" s="727"/>
      <c r="U433" s="195"/>
      <c r="V433" s="195"/>
      <c r="W433" s="195"/>
      <c r="X433" s="195"/>
      <c r="Y433" s="195"/>
      <c r="Z433" s="195"/>
      <c r="AA433" s="195"/>
      <c r="AB433" s="195"/>
      <c r="AC433" s="195"/>
      <c r="AD433" s="195"/>
      <c r="AE433" s="195"/>
      <c r="AF433" s="195"/>
      <c r="AG433" s="195"/>
      <c r="AH433" s="195"/>
      <c r="AI433" s="195"/>
      <c r="AJ433" s="195"/>
      <c r="AK433" s="195"/>
      <c r="AL433" s="195"/>
      <c r="AM433" s="195"/>
      <c r="AN433" s="532"/>
      <c r="AO433" s="532"/>
      <c r="AP433" s="240"/>
      <c r="AQ433" s="532"/>
      <c r="AR433" s="240"/>
      <c r="AS433" s="240"/>
      <c r="AT433" s="240"/>
      <c r="AU433" s="730"/>
      <c r="AV433" s="730"/>
      <c r="AW433" s="730"/>
      <c r="AX433" s="730"/>
      <c r="AY433" s="468"/>
      <c r="AZ433" s="468"/>
      <c r="BA433" s="240"/>
      <c r="BB433" s="240"/>
      <c r="BC433" s="240"/>
      <c r="BD433" s="240"/>
      <c r="BE433" s="672"/>
      <c r="BF433" s="672"/>
      <c r="BG433" s="672"/>
      <c r="BH433" s="731"/>
      <c r="BI433" s="672"/>
      <c r="BJ433" s="240"/>
      <c r="BK433" s="736"/>
      <c r="BL433" s="737"/>
      <c r="BM433" s="240"/>
      <c r="BN433" s="240"/>
      <c r="BO433" s="240"/>
      <c r="BP433" s="240"/>
      <c r="BQ433" s="240"/>
      <c r="BR433" s="240"/>
      <c r="BS433" s="240"/>
      <c r="BT433" s="240"/>
      <c r="BU433" s="240"/>
      <c r="BV433" s="240"/>
      <c r="BW433" s="240"/>
      <c r="BX433" s="240"/>
      <c r="BY433" s="240"/>
      <c r="BZ433" s="240"/>
      <c r="CA433" s="240"/>
      <c r="CB433" s="672"/>
      <c r="CC433" s="672"/>
      <c r="CD433" s="672"/>
      <c r="CE433" s="672"/>
      <c r="CF433" s="672"/>
      <c r="CG433" s="672"/>
      <c r="CH433" s="240"/>
      <c r="CI433" s="240"/>
      <c r="CJ433" s="240"/>
      <c r="CK433" s="240"/>
      <c r="CL433" s="240"/>
      <c r="CM433" s="240"/>
      <c r="CN433" s="240"/>
      <c r="CO433" s="240"/>
      <c r="CP433" s="240"/>
      <c r="CQ433" s="240"/>
      <c r="CR433" s="240"/>
      <c r="CS433" s="240"/>
      <c r="CT433" s="240"/>
      <c r="CU433" s="240"/>
      <c r="CV433" s="240"/>
      <c r="CW433" s="240"/>
      <c r="CX433" s="240"/>
      <c r="CY433" s="240"/>
      <c r="CZ433" s="240"/>
      <c r="DA433" s="240"/>
      <c r="DB433" s="240"/>
      <c r="DC433" s="240"/>
      <c r="DD433" s="240"/>
      <c r="DE433" s="240"/>
      <c r="DF433" s="240"/>
      <c r="DG433" s="733"/>
      <c r="DH433" s="478"/>
      <c r="DI433" s="195"/>
      <c r="DJ433" s="3"/>
      <c r="DK433" s="478"/>
      <c r="DL433" s="4"/>
      <c r="DM433" s="4"/>
      <c r="DN433" s="4"/>
      <c r="DO433" s="4"/>
      <c r="DP433" s="4"/>
      <c r="DQ433" s="4"/>
      <c r="DS433" s="195"/>
      <c r="DT433" s="195"/>
      <c r="DU433" s="195"/>
      <c r="DV433" s="195"/>
      <c r="DW433" s="195"/>
      <c r="DX433" s="195"/>
      <c r="DY433" s="195"/>
      <c r="DZ433" s="195"/>
      <c r="EA433" s="195"/>
      <c r="EB433" s="195"/>
      <c r="EC433" s="195"/>
      <c r="ED433" s="195"/>
      <c r="EE433" s="195"/>
      <c r="EF433" s="195"/>
      <c r="EG433" s="195"/>
      <c r="EL433" s="1"/>
      <c r="EM433" s="195"/>
      <c r="EN433" s="240"/>
      <c r="EO433" s="240"/>
      <c r="EP433" s="195"/>
      <c r="EQ433" s="240"/>
      <c r="ER433" s="195"/>
      <c r="ES433" s="195"/>
      <c r="ET433" s="195"/>
      <c r="EU433" s="672"/>
    </row>
    <row r="434" customFormat="false" ht="12.75" hidden="false" customHeight="false" outlineLevel="0" collapsed="false">
      <c r="I434" s="735"/>
      <c r="J434" s="727"/>
      <c r="K434" s="195"/>
      <c r="L434" s="195"/>
      <c r="M434" s="729"/>
      <c r="P434" s="727"/>
      <c r="S434" s="1"/>
      <c r="T434" s="727"/>
      <c r="U434" s="195"/>
      <c r="V434" s="195"/>
      <c r="W434" s="195"/>
      <c r="X434" s="195"/>
      <c r="Y434" s="195"/>
      <c r="Z434" s="195"/>
      <c r="AA434" s="195"/>
      <c r="AB434" s="195"/>
      <c r="AC434" s="195"/>
      <c r="AD434" s="195"/>
      <c r="AE434" s="195"/>
      <c r="AF434" s="195"/>
      <c r="AG434" s="195"/>
      <c r="AH434" s="195"/>
      <c r="AI434" s="195"/>
      <c r="AJ434" s="195"/>
      <c r="AK434" s="195"/>
      <c r="AL434" s="195"/>
      <c r="AM434" s="195"/>
      <c r="AN434" s="532"/>
      <c r="AO434" s="532"/>
      <c r="AP434" s="240"/>
      <c r="AQ434" s="532"/>
      <c r="AR434" s="240"/>
      <c r="AS434" s="240"/>
      <c r="AT434" s="240"/>
      <c r="AU434" s="730"/>
      <c r="AV434" s="730"/>
      <c r="AW434" s="730"/>
      <c r="AX434" s="730"/>
      <c r="AY434" s="468"/>
      <c r="AZ434" s="468"/>
      <c r="BA434" s="240"/>
      <c r="BB434" s="240"/>
      <c r="BC434" s="240"/>
      <c r="BD434" s="240"/>
      <c r="BE434" s="672"/>
      <c r="BF434" s="672"/>
      <c r="BG434" s="672"/>
      <c r="BH434" s="731"/>
      <c r="BI434" s="672"/>
      <c r="BJ434" s="240"/>
      <c r="BK434" s="736"/>
      <c r="BL434" s="737"/>
      <c r="BM434" s="240"/>
      <c r="BN434" s="240"/>
      <c r="BO434" s="240"/>
      <c r="BP434" s="240"/>
      <c r="BQ434" s="240"/>
      <c r="BR434" s="240"/>
      <c r="BS434" s="240"/>
      <c r="BT434" s="240"/>
      <c r="BU434" s="240"/>
      <c r="BV434" s="240"/>
      <c r="BW434" s="240"/>
      <c r="BX434" s="240"/>
      <c r="BY434" s="240"/>
      <c r="BZ434" s="240"/>
      <c r="CA434" s="240"/>
      <c r="CB434" s="672"/>
      <c r="CC434" s="672"/>
      <c r="CD434" s="672"/>
      <c r="CE434" s="672"/>
      <c r="CF434" s="672"/>
      <c r="CG434" s="672"/>
      <c r="CH434" s="240"/>
      <c r="CI434" s="240"/>
      <c r="CJ434" s="240"/>
      <c r="CK434" s="240"/>
      <c r="CL434" s="240"/>
      <c r="CM434" s="240"/>
      <c r="CN434" s="240"/>
      <c r="CO434" s="240"/>
      <c r="CP434" s="240"/>
      <c r="CQ434" s="240"/>
      <c r="CR434" s="240"/>
      <c r="CS434" s="240"/>
      <c r="CT434" s="240"/>
      <c r="CU434" s="240"/>
      <c r="CV434" s="240"/>
      <c r="CW434" s="240"/>
      <c r="CX434" s="240"/>
      <c r="CY434" s="240"/>
      <c r="CZ434" s="240"/>
      <c r="DA434" s="240"/>
      <c r="DB434" s="240"/>
      <c r="DC434" s="240"/>
      <c r="DD434" s="240"/>
      <c r="DE434" s="240"/>
      <c r="DF434" s="240"/>
      <c r="DG434" s="733"/>
      <c r="DH434" s="478"/>
      <c r="DI434" s="195"/>
      <c r="DJ434" s="3"/>
      <c r="DK434" s="478"/>
      <c r="DL434" s="4"/>
      <c r="DM434" s="4"/>
      <c r="DN434" s="4"/>
      <c r="DO434" s="4"/>
      <c r="DP434" s="4"/>
      <c r="DQ434" s="4"/>
      <c r="DS434" s="195"/>
      <c r="DT434" s="195"/>
      <c r="DU434" s="195"/>
      <c r="DV434" s="195"/>
      <c r="DW434" s="195"/>
      <c r="DX434" s="195"/>
      <c r="DY434" s="195"/>
      <c r="DZ434" s="195"/>
      <c r="EA434" s="195"/>
      <c r="EB434" s="195"/>
      <c r="EC434" s="195"/>
      <c r="ED434" s="195"/>
      <c r="EE434" s="195"/>
      <c r="EF434" s="195"/>
      <c r="EG434" s="195"/>
      <c r="EL434" s="1"/>
      <c r="EM434" s="195"/>
      <c r="EN434" s="240"/>
      <c r="EO434" s="240"/>
      <c r="EP434" s="195"/>
      <c r="EQ434" s="240"/>
      <c r="ER434" s="195"/>
      <c r="ES434" s="195"/>
      <c r="ET434" s="195"/>
      <c r="EU434" s="672"/>
    </row>
    <row r="435" customFormat="false" ht="12.75" hidden="false" customHeight="false" outlineLevel="0" collapsed="false">
      <c r="I435" s="735"/>
      <c r="J435" s="727"/>
      <c r="K435" s="195"/>
      <c r="L435" s="195"/>
      <c r="M435" s="729"/>
      <c r="P435" s="727"/>
      <c r="S435" s="1"/>
      <c r="T435" s="727"/>
      <c r="U435" s="195"/>
      <c r="V435" s="195"/>
      <c r="W435" s="195"/>
      <c r="X435" s="195"/>
      <c r="Y435" s="195"/>
      <c r="Z435" s="195"/>
      <c r="AA435" s="195"/>
      <c r="AB435" s="195"/>
      <c r="AC435" s="195"/>
      <c r="AD435" s="195"/>
      <c r="AE435" s="195"/>
      <c r="AF435" s="195"/>
      <c r="AG435" s="195"/>
      <c r="AH435" s="195"/>
      <c r="AI435" s="195"/>
      <c r="AJ435" s="195"/>
      <c r="AK435" s="195"/>
      <c r="AL435" s="195"/>
      <c r="AM435" s="195"/>
      <c r="AN435" s="532"/>
      <c r="AO435" s="532"/>
      <c r="AP435" s="240"/>
      <c r="AQ435" s="532"/>
      <c r="AR435" s="240"/>
      <c r="AS435" s="240"/>
      <c r="AT435" s="240"/>
      <c r="AU435" s="730"/>
      <c r="AV435" s="730"/>
      <c r="AW435" s="730"/>
      <c r="AX435" s="730"/>
      <c r="AY435" s="468"/>
      <c r="AZ435" s="468"/>
      <c r="BA435" s="240"/>
      <c r="BB435" s="240"/>
      <c r="BC435" s="240"/>
      <c r="BD435" s="240"/>
      <c r="BE435" s="672"/>
      <c r="BF435" s="672"/>
      <c r="BG435" s="672"/>
      <c r="BH435" s="731"/>
      <c r="BI435" s="672"/>
      <c r="BJ435" s="240"/>
      <c r="BK435" s="736"/>
      <c r="BL435" s="737"/>
      <c r="BM435" s="240"/>
      <c r="BN435" s="240"/>
      <c r="BO435" s="240"/>
      <c r="BP435" s="240"/>
      <c r="BQ435" s="240"/>
      <c r="BR435" s="240"/>
      <c r="BS435" s="240"/>
      <c r="BT435" s="240"/>
      <c r="BU435" s="240"/>
      <c r="BV435" s="240"/>
      <c r="BW435" s="240"/>
      <c r="BX435" s="240"/>
      <c r="BY435" s="240"/>
      <c r="BZ435" s="240"/>
      <c r="CA435" s="240"/>
      <c r="CB435" s="672"/>
      <c r="CC435" s="672"/>
      <c r="CD435" s="672"/>
      <c r="CE435" s="672"/>
      <c r="CF435" s="672"/>
      <c r="CG435" s="672"/>
      <c r="CH435" s="240"/>
      <c r="CI435" s="240"/>
      <c r="CJ435" s="240"/>
      <c r="CK435" s="240"/>
      <c r="CL435" s="240"/>
      <c r="CM435" s="240"/>
      <c r="CN435" s="240"/>
      <c r="CO435" s="240"/>
      <c r="CP435" s="240"/>
      <c r="CQ435" s="240"/>
      <c r="CR435" s="240"/>
      <c r="CS435" s="240"/>
      <c r="CT435" s="240"/>
      <c r="CU435" s="240"/>
      <c r="CV435" s="240"/>
      <c r="CW435" s="240"/>
      <c r="CX435" s="240"/>
      <c r="CY435" s="240"/>
      <c r="CZ435" s="240"/>
      <c r="DA435" s="240"/>
      <c r="DB435" s="240"/>
      <c r="DC435" s="240"/>
      <c r="DD435" s="240"/>
      <c r="DE435" s="240"/>
      <c r="DF435" s="240"/>
      <c r="DG435" s="733"/>
      <c r="DH435" s="478"/>
      <c r="DI435" s="195"/>
      <c r="DJ435" s="3"/>
      <c r="DK435" s="478"/>
      <c r="DL435" s="4"/>
      <c r="DM435" s="4"/>
      <c r="DN435" s="4"/>
      <c r="DO435" s="4"/>
      <c r="DP435" s="4"/>
      <c r="DQ435" s="4"/>
      <c r="DS435" s="195"/>
      <c r="DT435" s="195"/>
      <c r="DU435" s="195"/>
      <c r="DV435" s="195"/>
      <c r="DW435" s="195"/>
      <c r="DX435" s="195"/>
      <c r="DY435" s="195"/>
      <c r="DZ435" s="195"/>
      <c r="EA435" s="195"/>
      <c r="EB435" s="195"/>
      <c r="EC435" s="195"/>
      <c r="ED435" s="195"/>
      <c r="EE435" s="195"/>
      <c r="EF435" s="195"/>
      <c r="EG435" s="195"/>
      <c r="EL435" s="1"/>
      <c r="EM435" s="195"/>
      <c r="EN435" s="240"/>
      <c r="EO435" s="240"/>
      <c r="EP435" s="195"/>
      <c r="EQ435" s="240"/>
      <c r="ER435" s="195"/>
      <c r="ES435" s="195"/>
      <c r="ET435" s="195"/>
      <c r="EU435" s="672"/>
    </row>
    <row r="436" customFormat="false" ht="12.75" hidden="false" customHeight="false" outlineLevel="0" collapsed="false">
      <c r="I436" s="735"/>
      <c r="J436" s="727"/>
      <c r="K436" s="195"/>
      <c r="L436" s="195"/>
      <c r="M436" s="729"/>
      <c r="P436" s="727"/>
      <c r="S436" s="1"/>
      <c r="T436" s="727"/>
      <c r="U436" s="195"/>
      <c r="V436" s="195"/>
      <c r="W436" s="195"/>
      <c r="X436" s="195"/>
      <c r="Y436" s="195"/>
      <c r="Z436" s="195"/>
      <c r="AA436" s="195"/>
      <c r="AB436" s="195"/>
      <c r="AC436" s="195"/>
      <c r="AD436" s="195"/>
      <c r="AE436" s="195"/>
      <c r="AF436" s="195"/>
      <c r="AG436" s="195"/>
      <c r="AH436" s="195"/>
      <c r="AI436" s="195"/>
      <c r="AJ436" s="195"/>
      <c r="AK436" s="195"/>
      <c r="AL436" s="195"/>
      <c r="AM436" s="195"/>
      <c r="AN436" s="532"/>
      <c r="AO436" s="532"/>
      <c r="AP436" s="240"/>
      <c r="AQ436" s="532"/>
      <c r="AR436" s="240"/>
      <c r="AS436" s="240"/>
      <c r="AT436" s="240"/>
      <c r="AU436" s="730"/>
      <c r="AV436" s="730"/>
      <c r="AW436" s="730"/>
      <c r="AX436" s="730"/>
      <c r="AY436" s="468"/>
      <c r="AZ436" s="468"/>
      <c r="BA436" s="240"/>
      <c r="BB436" s="240"/>
      <c r="BC436" s="240"/>
      <c r="BD436" s="240"/>
      <c r="BE436" s="672"/>
      <c r="BF436" s="672"/>
      <c r="BG436" s="672"/>
      <c r="BH436" s="731"/>
      <c r="BI436" s="672"/>
      <c r="BJ436" s="240"/>
      <c r="BK436" s="736"/>
      <c r="BL436" s="737"/>
      <c r="BM436" s="240"/>
      <c r="BN436" s="240"/>
      <c r="BO436" s="240"/>
      <c r="BP436" s="240"/>
      <c r="BQ436" s="240"/>
      <c r="BR436" s="240"/>
      <c r="BS436" s="240"/>
      <c r="BT436" s="240"/>
      <c r="BU436" s="240"/>
      <c r="BV436" s="240"/>
      <c r="BW436" s="240"/>
      <c r="BX436" s="240"/>
      <c r="BY436" s="240"/>
      <c r="BZ436" s="240"/>
      <c r="CA436" s="240"/>
      <c r="CB436" s="672"/>
      <c r="CC436" s="672"/>
      <c r="CD436" s="672"/>
      <c r="CE436" s="672"/>
      <c r="CF436" s="672"/>
      <c r="CG436" s="672"/>
      <c r="CH436" s="240"/>
      <c r="CI436" s="240"/>
      <c r="CJ436" s="240"/>
      <c r="CK436" s="240"/>
      <c r="CL436" s="240"/>
      <c r="CM436" s="240"/>
      <c r="CN436" s="240"/>
      <c r="CO436" s="240"/>
      <c r="CP436" s="240"/>
      <c r="CQ436" s="240"/>
      <c r="CR436" s="240"/>
      <c r="CS436" s="240"/>
      <c r="CT436" s="240"/>
      <c r="CU436" s="240"/>
      <c r="CV436" s="240"/>
      <c r="CW436" s="240"/>
      <c r="CX436" s="240"/>
      <c r="CY436" s="240"/>
      <c r="CZ436" s="240"/>
      <c r="DA436" s="240"/>
      <c r="DB436" s="240"/>
      <c r="DC436" s="240"/>
      <c r="DD436" s="240"/>
      <c r="DE436" s="240"/>
      <c r="DF436" s="240"/>
      <c r="DG436" s="733"/>
      <c r="DH436" s="478"/>
      <c r="DI436" s="195"/>
      <c r="DJ436" s="3"/>
      <c r="DK436" s="478"/>
      <c r="DL436" s="4"/>
      <c r="DM436" s="4"/>
      <c r="DN436" s="4"/>
      <c r="DO436" s="4"/>
      <c r="DP436" s="4"/>
      <c r="DQ436" s="4"/>
      <c r="DS436" s="195"/>
      <c r="DT436" s="195"/>
      <c r="DU436" s="195"/>
      <c r="DV436" s="195"/>
      <c r="DW436" s="195"/>
      <c r="DX436" s="195"/>
      <c r="DY436" s="195"/>
      <c r="DZ436" s="195"/>
      <c r="EA436" s="195"/>
      <c r="EB436" s="195"/>
      <c r="EC436" s="195"/>
      <c r="ED436" s="195"/>
      <c r="EE436" s="195"/>
      <c r="EF436" s="195"/>
      <c r="EG436" s="195"/>
      <c r="EL436" s="1"/>
      <c r="EM436" s="195"/>
      <c r="EN436" s="240"/>
      <c r="EO436" s="240"/>
      <c r="EP436" s="195"/>
      <c r="EQ436" s="240"/>
      <c r="ER436" s="195"/>
      <c r="ES436" s="195"/>
      <c r="ET436" s="195"/>
      <c r="EU436" s="672"/>
    </row>
    <row r="437" customFormat="false" ht="12.75" hidden="false" customHeight="false" outlineLevel="0" collapsed="false">
      <c r="I437" s="735"/>
      <c r="J437" s="727"/>
      <c r="K437" s="195"/>
      <c r="L437" s="195"/>
      <c r="M437" s="729"/>
      <c r="P437" s="727"/>
      <c r="S437" s="1"/>
      <c r="T437" s="727"/>
      <c r="U437" s="195"/>
      <c r="V437" s="195"/>
      <c r="W437" s="195"/>
      <c r="X437" s="195"/>
      <c r="Y437" s="195"/>
      <c r="Z437" s="195"/>
      <c r="AA437" s="195"/>
      <c r="AB437" s="195"/>
      <c r="AC437" s="195"/>
      <c r="AD437" s="195"/>
      <c r="AE437" s="195"/>
      <c r="AF437" s="195"/>
      <c r="AG437" s="195"/>
      <c r="AH437" s="195"/>
      <c r="AI437" s="195"/>
      <c r="AJ437" s="195"/>
      <c r="AK437" s="195"/>
      <c r="AL437" s="195"/>
      <c r="AM437" s="195"/>
      <c r="AN437" s="532"/>
      <c r="AO437" s="532"/>
      <c r="AP437" s="240"/>
      <c r="AQ437" s="532"/>
      <c r="AR437" s="240"/>
      <c r="AS437" s="240"/>
      <c r="AT437" s="240"/>
      <c r="AU437" s="730"/>
      <c r="AV437" s="730"/>
      <c r="AW437" s="730"/>
      <c r="AX437" s="730"/>
      <c r="AY437" s="468"/>
      <c r="AZ437" s="468"/>
      <c r="BA437" s="240"/>
      <c r="BB437" s="240"/>
      <c r="BC437" s="240"/>
      <c r="BD437" s="240"/>
      <c r="BE437" s="672"/>
      <c r="BF437" s="672"/>
      <c r="BG437" s="672"/>
      <c r="BH437" s="731"/>
      <c r="BI437" s="672"/>
      <c r="BJ437" s="240"/>
      <c r="BK437" s="736"/>
      <c r="BL437" s="737"/>
      <c r="BM437" s="240"/>
      <c r="BN437" s="240"/>
      <c r="BO437" s="240"/>
      <c r="BP437" s="240"/>
      <c r="BQ437" s="240"/>
      <c r="BR437" s="240"/>
      <c r="BS437" s="240"/>
      <c r="BT437" s="240"/>
      <c r="BU437" s="240"/>
      <c r="BV437" s="240"/>
      <c r="BW437" s="240"/>
      <c r="BX437" s="240"/>
      <c r="BY437" s="240"/>
      <c r="BZ437" s="240"/>
      <c r="CA437" s="240"/>
      <c r="CB437" s="672"/>
      <c r="CC437" s="672"/>
      <c r="CD437" s="672"/>
      <c r="CE437" s="672"/>
      <c r="CF437" s="672"/>
      <c r="CG437" s="672"/>
      <c r="CH437" s="240"/>
      <c r="CI437" s="240"/>
      <c r="CJ437" s="240"/>
      <c r="CK437" s="240"/>
      <c r="CL437" s="240"/>
      <c r="CM437" s="240"/>
      <c r="CN437" s="240"/>
      <c r="CO437" s="240"/>
      <c r="CP437" s="240"/>
      <c r="CQ437" s="240"/>
      <c r="CR437" s="240"/>
      <c r="CS437" s="240"/>
      <c r="CT437" s="240"/>
      <c r="CU437" s="240"/>
      <c r="CV437" s="240"/>
      <c r="CW437" s="240"/>
      <c r="CX437" s="240"/>
      <c r="CY437" s="240"/>
      <c r="CZ437" s="240"/>
      <c r="DA437" s="240"/>
      <c r="DB437" s="240"/>
      <c r="DC437" s="240"/>
      <c r="DD437" s="240"/>
      <c r="DE437" s="240"/>
      <c r="DF437" s="240"/>
      <c r="DG437" s="733"/>
      <c r="DH437" s="478"/>
      <c r="DI437" s="195"/>
      <c r="DJ437" s="3"/>
      <c r="DK437" s="478"/>
      <c r="DL437" s="4"/>
      <c r="DM437" s="4"/>
      <c r="DN437" s="4"/>
      <c r="DO437" s="4"/>
      <c r="DP437" s="4"/>
      <c r="DQ437" s="4"/>
      <c r="DS437" s="195"/>
      <c r="DT437" s="195"/>
      <c r="DU437" s="195"/>
      <c r="DV437" s="195"/>
      <c r="DW437" s="195"/>
      <c r="DX437" s="195"/>
      <c r="DY437" s="195"/>
      <c r="DZ437" s="195"/>
      <c r="EA437" s="195"/>
      <c r="EB437" s="195"/>
      <c r="EC437" s="195"/>
      <c r="ED437" s="195"/>
      <c r="EE437" s="195"/>
      <c r="EF437" s="195"/>
      <c r="EG437" s="195"/>
      <c r="EL437" s="1"/>
      <c r="EM437" s="195"/>
      <c r="EN437" s="240"/>
      <c r="EO437" s="240"/>
      <c r="EP437" s="195"/>
      <c r="EQ437" s="240"/>
      <c r="ER437" s="195"/>
      <c r="ES437" s="195"/>
      <c r="ET437" s="195"/>
      <c r="EU437" s="672"/>
    </row>
    <row r="438" customFormat="false" ht="12.75" hidden="false" customHeight="false" outlineLevel="0" collapsed="false">
      <c r="I438" s="735"/>
      <c r="J438" s="727"/>
      <c r="K438" s="195"/>
      <c r="L438" s="195"/>
      <c r="M438" s="729"/>
      <c r="P438" s="727"/>
      <c r="S438" s="1"/>
      <c r="T438" s="727"/>
      <c r="U438" s="195"/>
      <c r="V438" s="195"/>
      <c r="W438" s="195"/>
      <c r="X438" s="195"/>
      <c r="Y438" s="195"/>
      <c r="Z438" s="195"/>
      <c r="AA438" s="195"/>
      <c r="AB438" s="195"/>
      <c r="AC438" s="195"/>
      <c r="AD438" s="195"/>
      <c r="AE438" s="195"/>
      <c r="AF438" s="195"/>
      <c r="AG438" s="195"/>
      <c r="AH438" s="195"/>
      <c r="AI438" s="195"/>
      <c r="AJ438" s="195"/>
      <c r="AK438" s="195"/>
      <c r="AL438" s="195"/>
      <c r="AM438" s="195"/>
      <c r="AN438" s="532"/>
      <c r="AO438" s="532"/>
      <c r="AP438" s="240"/>
      <c r="AQ438" s="532"/>
      <c r="AR438" s="240"/>
      <c r="AS438" s="240"/>
      <c r="AT438" s="240"/>
      <c r="AU438" s="730"/>
      <c r="AV438" s="730"/>
      <c r="AW438" s="730"/>
      <c r="AX438" s="730"/>
      <c r="AY438" s="468"/>
      <c r="AZ438" s="468"/>
      <c r="BA438" s="240"/>
      <c r="BB438" s="240"/>
      <c r="BC438" s="240"/>
      <c r="BD438" s="240"/>
      <c r="BE438" s="672"/>
      <c r="BF438" s="672"/>
      <c r="BG438" s="672"/>
      <c r="BH438" s="731"/>
      <c r="BI438" s="672"/>
      <c r="BJ438" s="240"/>
      <c r="BK438" s="736"/>
      <c r="BL438" s="737"/>
      <c r="BM438" s="240"/>
      <c r="BN438" s="240"/>
      <c r="BO438" s="240"/>
      <c r="BP438" s="240"/>
      <c r="BQ438" s="240"/>
      <c r="BR438" s="240"/>
      <c r="BS438" s="240"/>
      <c r="BT438" s="240"/>
      <c r="BU438" s="240"/>
      <c r="BV438" s="240"/>
      <c r="BW438" s="240"/>
      <c r="BX438" s="240"/>
      <c r="BY438" s="240"/>
      <c r="BZ438" s="240"/>
      <c r="CA438" s="240"/>
      <c r="CB438" s="672"/>
      <c r="CC438" s="672"/>
      <c r="CD438" s="672"/>
      <c r="CE438" s="672"/>
      <c r="CF438" s="672"/>
      <c r="CG438" s="672"/>
      <c r="CH438" s="240"/>
      <c r="CI438" s="240"/>
      <c r="CJ438" s="240"/>
      <c r="CK438" s="240"/>
      <c r="CL438" s="240"/>
      <c r="CM438" s="240"/>
      <c r="CN438" s="240"/>
      <c r="CO438" s="240"/>
      <c r="CP438" s="240"/>
      <c r="CQ438" s="240"/>
      <c r="CR438" s="240"/>
      <c r="CS438" s="240"/>
      <c r="CT438" s="240"/>
      <c r="CU438" s="240"/>
      <c r="CV438" s="240"/>
      <c r="CW438" s="240"/>
      <c r="CX438" s="240"/>
      <c r="CY438" s="240"/>
      <c r="CZ438" s="240"/>
      <c r="DA438" s="240"/>
      <c r="DB438" s="240"/>
      <c r="DC438" s="240"/>
      <c r="DD438" s="240"/>
      <c r="DE438" s="240"/>
      <c r="DF438" s="240"/>
      <c r="DG438" s="733"/>
      <c r="DH438" s="478"/>
      <c r="DI438" s="195"/>
      <c r="DJ438" s="3"/>
      <c r="DK438" s="478"/>
      <c r="DL438" s="4"/>
      <c r="DM438" s="4"/>
      <c r="DN438" s="4"/>
      <c r="DO438" s="4"/>
      <c r="DP438" s="4"/>
      <c r="DQ438" s="4"/>
      <c r="DS438" s="195"/>
      <c r="DT438" s="195"/>
      <c r="DU438" s="195"/>
      <c r="DV438" s="195"/>
      <c r="DW438" s="195"/>
      <c r="DX438" s="195"/>
      <c r="DY438" s="195"/>
      <c r="DZ438" s="195"/>
      <c r="EA438" s="195"/>
      <c r="EB438" s="195"/>
      <c r="EC438" s="195"/>
      <c r="ED438" s="195"/>
      <c r="EE438" s="195"/>
      <c r="EF438" s="195"/>
      <c r="EG438" s="195"/>
      <c r="EL438" s="1"/>
      <c r="EM438" s="195"/>
      <c r="EN438" s="240"/>
      <c r="EO438" s="240"/>
      <c r="EP438" s="195"/>
      <c r="EQ438" s="240"/>
      <c r="ER438" s="195"/>
      <c r="ES438" s="195"/>
      <c r="ET438" s="195"/>
      <c r="EU438" s="672"/>
    </row>
    <row r="439" customFormat="false" ht="12.75" hidden="false" customHeight="false" outlineLevel="0" collapsed="false">
      <c r="I439" s="735"/>
      <c r="J439" s="727"/>
      <c r="K439" s="195"/>
      <c r="L439" s="195"/>
      <c r="M439" s="729"/>
      <c r="P439" s="727"/>
      <c r="S439" s="1"/>
      <c r="T439" s="727"/>
      <c r="U439" s="195"/>
      <c r="V439" s="195"/>
      <c r="W439" s="195"/>
      <c r="X439" s="195"/>
      <c r="Y439" s="195"/>
      <c r="Z439" s="195"/>
      <c r="AA439" s="195"/>
      <c r="AB439" s="195"/>
      <c r="AC439" s="195"/>
      <c r="AD439" s="195"/>
      <c r="AE439" s="195"/>
      <c r="AF439" s="195"/>
      <c r="AG439" s="195"/>
      <c r="AH439" s="195"/>
      <c r="AI439" s="195"/>
      <c r="AJ439" s="195"/>
      <c r="AK439" s="195"/>
      <c r="AL439" s="195"/>
      <c r="AM439" s="195"/>
      <c r="AN439" s="532"/>
      <c r="AO439" s="532"/>
      <c r="AP439" s="240"/>
      <c r="AQ439" s="532"/>
      <c r="AR439" s="240"/>
      <c r="AS439" s="240"/>
      <c r="AT439" s="240"/>
      <c r="AU439" s="730"/>
      <c r="AV439" s="730"/>
      <c r="AW439" s="730"/>
      <c r="AX439" s="730"/>
      <c r="AY439" s="468"/>
      <c r="AZ439" s="468"/>
      <c r="BA439" s="240"/>
      <c r="BB439" s="240"/>
      <c r="BC439" s="240"/>
      <c r="BD439" s="240"/>
      <c r="BE439" s="672"/>
      <c r="BF439" s="672"/>
      <c r="BG439" s="672"/>
      <c r="BH439" s="731"/>
      <c r="BI439" s="672"/>
      <c r="BJ439" s="240"/>
      <c r="BK439" s="736"/>
      <c r="BL439" s="737"/>
      <c r="BM439" s="240"/>
      <c r="BN439" s="240"/>
      <c r="BO439" s="240"/>
      <c r="BP439" s="240"/>
      <c r="BQ439" s="240"/>
      <c r="BR439" s="240"/>
      <c r="BS439" s="240"/>
      <c r="BT439" s="240"/>
      <c r="BU439" s="240"/>
      <c r="BV439" s="240"/>
      <c r="BW439" s="240"/>
      <c r="BX439" s="240"/>
      <c r="BY439" s="240"/>
      <c r="BZ439" s="240"/>
      <c r="CA439" s="240"/>
      <c r="CB439" s="672"/>
      <c r="CC439" s="672"/>
      <c r="CD439" s="672"/>
      <c r="CE439" s="672"/>
      <c r="CF439" s="672"/>
      <c r="CG439" s="672"/>
      <c r="CH439" s="240"/>
      <c r="CI439" s="240"/>
      <c r="CJ439" s="240"/>
      <c r="CK439" s="240"/>
      <c r="CL439" s="240"/>
      <c r="CM439" s="240"/>
      <c r="CN439" s="240"/>
      <c r="CO439" s="240"/>
      <c r="CP439" s="240"/>
      <c r="CQ439" s="240"/>
      <c r="CR439" s="240"/>
      <c r="CS439" s="240"/>
      <c r="CT439" s="240"/>
      <c r="CU439" s="240"/>
      <c r="CV439" s="240"/>
      <c r="CW439" s="240"/>
      <c r="CX439" s="240"/>
      <c r="CY439" s="240"/>
      <c r="CZ439" s="240"/>
      <c r="DA439" s="240"/>
      <c r="DB439" s="240"/>
      <c r="DC439" s="240"/>
      <c r="DD439" s="240"/>
      <c r="DE439" s="240"/>
      <c r="DF439" s="240"/>
      <c r="DG439" s="733"/>
      <c r="DH439" s="478"/>
      <c r="DI439" s="195"/>
      <c r="DJ439" s="3"/>
      <c r="DK439" s="478"/>
      <c r="DL439" s="4"/>
      <c r="DM439" s="4"/>
      <c r="DN439" s="4"/>
      <c r="DO439" s="4"/>
      <c r="DP439" s="4"/>
      <c r="DQ439" s="4"/>
      <c r="DS439" s="195"/>
      <c r="DT439" s="195"/>
      <c r="DU439" s="195"/>
      <c r="DV439" s="195"/>
      <c r="DW439" s="195"/>
      <c r="DX439" s="195"/>
      <c r="DY439" s="195"/>
      <c r="DZ439" s="195"/>
      <c r="EA439" s="195"/>
      <c r="EB439" s="195"/>
      <c r="EC439" s="195"/>
      <c r="ED439" s="195"/>
      <c r="EE439" s="195"/>
      <c r="EF439" s="195"/>
      <c r="EG439" s="195"/>
      <c r="EL439" s="1"/>
      <c r="EM439" s="195"/>
      <c r="EN439" s="240"/>
      <c r="EO439" s="240"/>
      <c r="EP439" s="195"/>
      <c r="EQ439" s="240"/>
      <c r="ER439" s="195"/>
      <c r="ES439" s="195"/>
      <c r="ET439" s="195"/>
      <c r="EU439" s="672"/>
    </row>
    <row r="440" customFormat="false" ht="12.75" hidden="false" customHeight="false" outlineLevel="0" collapsed="false">
      <c r="I440" s="735"/>
      <c r="J440" s="727"/>
      <c r="K440" s="195"/>
      <c r="L440" s="195"/>
      <c r="M440" s="729"/>
      <c r="P440" s="727"/>
      <c r="S440" s="1"/>
      <c r="T440" s="727"/>
      <c r="U440" s="195"/>
      <c r="V440" s="195"/>
      <c r="W440" s="195"/>
      <c r="X440" s="195"/>
      <c r="Y440" s="195"/>
      <c r="Z440" s="195"/>
      <c r="AA440" s="195"/>
      <c r="AB440" s="195"/>
      <c r="AC440" s="195"/>
      <c r="AD440" s="195"/>
      <c r="AE440" s="195"/>
      <c r="AF440" s="195"/>
      <c r="AG440" s="195"/>
      <c r="AH440" s="195"/>
      <c r="AI440" s="195"/>
      <c r="AJ440" s="195"/>
      <c r="AK440" s="195"/>
      <c r="AL440" s="195"/>
      <c r="AM440" s="195"/>
      <c r="AN440" s="532"/>
      <c r="AO440" s="532"/>
      <c r="AP440" s="240"/>
      <c r="AQ440" s="532"/>
      <c r="AR440" s="240"/>
      <c r="AS440" s="240"/>
      <c r="AT440" s="240"/>
      <c r="AU440" s="730"/>
      <c r="AV440" s="730"/>
      <c r="AW440" s="730"/>
      <c r="AX440" s="730"/>
      <c r="AY440" s="468"/>
      <c r="AZ440" s="468"/>
      <c r="BA440" s="240"/>
      <c r="BB440" s="240"/>
      <c r="BC440" s="240"/>
      <c r="BD440" s="240"/>
      <c r="BE440" s="672"/>
      <c r="BF440" s="672"/>
      <c r="BG440" s="672"/>
      <c r="BH440" s="731"/>
      <c r="BI440" s="672"/>
      <c r="BJ440" s="240"/>
      <c r="BK440" s="736"/>
      <c r="BL440" s="737"/>
      <c r="BM440" s="240"/>
      <c r="BN440" s="240"/>
      <c r="BO440" s="240"/>
      <c r="BP440" s="240"/>
      <c r="BQ440" s="240"/>
      <c r="BR440" s="240"/>
      <c r="BS440" s="240"/>
      <c r="BT440" s="240"/>
      <c r="BU440" s="240"/>
      <c r="BV440" s="240"/>
      <c r="BW440" s="240"/>
      <c r="BX440" s="240"/>
      <c r="BY440" s="240"/>
      <c r="BZ440" s="240"/>
      <c r="CA440" s="240"/>
      <c r="CB440" s="672"/>
      <c r="CC440" s="672"/>
      <c r="CD440" s="672"/>
      <c r="CE440" s="672"/>
      <c r="CF440" s="672"/>
      <c r="CG440" s="672"/>
      <c r="CH440" s="240"/>
      <c r="CI440" s="240"/>
      <c r="CJ440" s="240"/>
      <c r="CK440" s="240"/>
      <c r="CL440" s="240"/>
      <c r="CM440" s="240"/>
      <c r="CN440" s="240"/>
      <c r="CO440" s="240"/>
      <c r="CP440" s="240"/>
      <c r="CQ440" s="240"/>
      <c r="CR440" s="240"/>
      <c r="CS440" s="240"/>
      <c r="CT440" s="240"/>
      <c r="CU440" s="240"/>
      <c r="CV440" s="240"/>
      <c r="CW440" s="240"/>
      <c r="CX440" s="240"/>
      <c r="CY440" s="240"/>
      <c r="CZ440" s="240"/>
      <c r="DA440" s="240"/>
      <c r="DB440" s="240"/>
      <c r="DC440" s="240"/>
      <c r="DD440" s="240"/>
      <c r="DE440" s="240"/>
      <c r="DF440" s="240"/>
      <c r="DG440" s="733"/>
      <c r="DH440" s="478"/>
      <c r="DI440" s="195"/>
      <c r="DJ440" s="3"/>
      <c r="DK440" s="478"/>
      <c r="DL440" s="4"/>
      <c r="DM440" s="4"/>
      <c r="DN440" s="4"/>
      <c r="DO440" s="4"/>
      <c r="DP440" s="4"/>
      <c r="DQ440" s="4"/>
      <c r="DS440" s="195"/>
      <c r="DT440" s="195"/>
      <c r="DU440" s="195"/>
      <c r="DV440" s="195"/>
      <c r="DW440" s="195"/>
      <c r="DX440" s="195"/>
      <c r="DY440" s="195"/>
      <c r="DZ440" s="195"/>
      <c r="EA440" s="195"/>
      <c r="EB440" s="195"/>
      <c r="EC440" s="195"/>
      <c r="ED440" s="195"/>
      <c r="EE440" s="195"/>
      <c r="EF440" s="195"/>
      <c r="EG440" s="195"/>
      <c r="EL440" s="1"/>
      <c r="EM440" s="195"/>
      <c r="EN440" s="240"/>
      <c r="EO440" s="240"/>
      <c r="EP440" s="195"/>
      <c r="EQ440" s="240"/>
      <c r="ER440" s="195"/>
      <c r="ES440" s="195"/>
      <c r="ET440" s="195"/>
      <c r="EU440" s="672"/>
    </row>
    <row r="441" customFormat="false" ht="12.75" hidden="false" customHeight="false" outlineLevel="0" collapsed="false">
      <c r="I441" s="735"/>
      <c r="J441" s="727"/>
      <c r="K441" s="195"/>
      <c r="L441" s="195"/>
      <c r="M441" s="729"/>
      <c r="P441" s="727"/>
      <c r="S441" s="1"/>
      <c r="T441" s="727"/>
      <c r="U441" s="195"/>
      <c r="V441" s="195"/>
      <c r="W441" s="195"/>
      <c r="X441" s="195"/>
      <c r="Y441" s="195"/>
      <c r="Z441" s="195"/>
      <c r="AA441" s="195"/>
      <c r="AB441" s="195"/>
      <c r="AC441" s="195"/>
      <c r="AD441" s="195"/>
      <c r="AE441" s="195"/>
      <c r="AF441" s="195"/>
      <c r="AG441" s="195"/>
      <c r="AH441" s="195"/>
      <c r="AI441" s="195"/>
      <c r="AJ441" s="195"/>
      <c r="AK441" s="195"/>
      <c r="AL441" s="195"/>
      <c r="AM441" s="195"/>
      <c r="AN441" s="532"/>
      <c r="AO441" s="532"/>
      <c r="AP441" s="532"/>
      <c r="AQ441" s="532"/>
      <c r="AR441" s="532"/>
      <c r="AS441" s="195"/>
      <c r="AT441" s="240"/>
      <c r="AU441" s="240"/>
      <c r="AV441" s="240"/>
      <c r="AW441" s="730"/>
      <c r="AX441" s="730"/>
      <c r="AY441" s="730"/>
      <c r="AZ441" s="730"/>
      <c r="BA441" s="468"/>
      <c r="BB441" s="468"/>
      <c r="BC441" s="240"/>
      <c r="BD441" s="240"/>
      <c r="BE441" s="240"/>
      <c r="BF441" s="240"/>
      <c r="BG441" s="672"/>
      <c r="BH441" s="672"/>
      <c r="BI441" s="731"/>
      <c r="BJ441" s="672"/>
      <c r="BK441" s="672"/>
      <c r="BL441" s="240"/>
      <c r="BM441" s="736"/>
      <c r="BN441" s="737"/>
      <c r="BO441" s="240"/>
      <c r="BP441" s="240"/>
      <c r="BQ441" s="240"/>
      <c r="BR441" s="240"/>
      <c r="BS441" s="240"/>
      <c r="BT441" s="240"/>
      <c r="BU441" s="240"/>
      <c r="BV441" s="240"/>
      <c r="BW441" s="240"/>
      <c r="BX441" s="240"/>
      <c r="BY441" s="240"/>
      <c r="BZ441" s="240"/>
      <c r="CA441" s="240"/>
      <c r="CB441" s="240"/>
      <c r="CC441" s="240"/>
      <c r="CD441" s="672"/>
      <c r="CE441" s="672"/>
      <c r="CF441" s="672"/>
      <c r="CG441" s="672"/>
      <c r="CH441" s="672"/>
      <c r="CI441" s="672"/>
      <c r="CJ441" s="240"/>
      <c r="CK441" s="240"/>
      <c r="CL441" s="240"/>
      <c r="CM441" s="240"/>
      <c r="CN441" s="240"/>
      <c r="CO441" s="240"/>
      <c r="CP441" s="240"/>
      <c r="CQ441" s="240"/>
      <c r="CR441" s="240"/>
      <c r="CS441" s="240"/>
      <c r="CT441" s="240"/>
      <c r="CU441" s="240"/>
      <c r="CV441" s="240"/>
      <c r="CW441" s="240"/>
      <c r="CX441" s="240"/>
      <c r="CY441" s="240"/>
      <c r="CZ441" s="240"/>
      <c r="DA441" s="240"/>
      <c r="DB441" s="240"/>
      <c r="DC441" s="240"/>
      <c r="DD441" s="240"/>
      <c r="DE441" s="240"/>
      <c r="DF441" s="240"/>
      <c r="DG441" s="240"/>
      <c r="DH441" s="478"/>
      <c r="DI441" s="733"/>
      <c r="DJ441" s="733"/>
      <c r="DK441" s="478"/>
      <c r="DL441" s="3"/>
      <c r="DM441" s="4"/>
      <c r="DN441" s="4"/>
      <c r="DO441" s="4"/>
      <c r="DP441" s="4"/>
      <c r="DQ441" s="4"/>
      <c r="DR441" s="4"/>
      <c r="DS441" s="4"/>
      <c r="DU441" s="195"/>
      <c r="DV441" s="195"/>
      <c r="DW441" s="195"/>
      <c r="DX441" s="195"/>
      <c r="DY441" s="195"/>
      <c r="DZ441" s="195"/>
      <c r="EA441" s="195"/>
      <c r="EB441" s="195"/>
      <c r="EC441" s="195"/>
      <c r="ED441" s="195"/>
      <c r="EE441" s="195"/>
      <c r="EF441" s="195"/>
      <c r="EG441" s="195"/>
      <c r="EL441" s="1"/>
      <c r="EM441" s="195"/>
      <c r="EN441" s="240"/>
      <c r="EO441" s="731"/>
      <c r="EP441" s="195"/>
      <c r="EQ441" s="240"/>
      <c r="ER441" s="195"/>
      <c r="ES441" s="195"/>
      <c r="ET441" s="195"/>
      <c r="EU441" s="672"/>
    </row>
    <row r="442" customFormat="false" ht="12.75" hidden="false" customHeight="false" outlineLevel="0" collapsed="false">
      <c r="I442" s="735"/>
      <c r="J442" s="727"/>
      <c r="K442" s="195"/>
      <c r="L442" s="195"/>
      <c r="M442" s="729"/>
      <c r="P442" s="727"/>
      <c r="S442" s="1"/>
      <c r="T442" s="727"/>
      <c r="U442" s="195"/>
      <c r="V442" s="195"/>
      <c r="W442" s="195"/>
      <c r="X442" s="195"/>
      <c r="Y442" s="195"/>
      <c r="Z442" s="195"/>
      <c r="AA442" s="195"/>
      <c r="AB442" s="195"/>
      <c r="AC442" s="195"/>
      <c r="AD442" s="195"/>
      <c r="AE442" s="195"/>
      <c r="AF442" s="195"/>
      <c r="AG442" s="195"/>
      <c r="AH442" s="195"/>
      <c r="AI442" s="195"/>
      <c r="AJ442" s="195"/>
      <c r="AK442" s="195"/>
      <c r="AL442" s="195"/>
      <c r="AM442" s="195"/>
      <c r="AN442" s="532"/>
      <c r="AO442" s="532"/>
      <c r="AP442" s="532"/>
      <c r="AQ442" s="532"/>
      <c r="AR442" s="532"/>
      <c r="AS442" s="195"/>
      <c r="AT442" s="240"/>
      <c r="AU442" s="240"/>
      <c r="AV442" s="240"/>
      <c r="AW442" s="730"/>
      <c r="AX442" s="730"/>
      <c r="AY442" s="730"/>
      <c r="AZ442" s="730"/>
      <c r="BA442" s="468"/>
      <c r="BB442" s="468"/>
      <c r="BC442" s="240"/>
      <c r="BD442" s="240"/>
      <c r="BE442" s="240"/>
      <c r="BF442" s="240"/>
      <c r="BG442" s="672"/>
      <c r="BH442" s="672"/>
      <c r="BI442" s="731"/>
      <c r="BJ442" s="672"/>
      <c r="BK442" s="672"/>
      <c r="BL442" s="240"/>
      <c r="BM442" s="736"/>
      <c r="BN442" s="737"/>
      <c r="BO442" s="240"/>
      <c r="BP442" s="240"/>
      <c r="BQ442" s="240"/>
      <c r="BR442" s="240"/>
      <c r="BS442" s="240"/>
      <c r="BT442" s="240"/>
      <c r="BU442" s="240"/>
      <c r="BV442" s="240"/>
      <c r="BW442" s="240"/>
      <c r="BX442" s="240"/>
      <c r="BY442" s="240"/>
      <c r="BZ442" s="240"/>
      <c r="CA442" s="240"/>
      <c r="CB442" s="240"/>
      <c r="CC442" s="240"/>
      <c r="CD442" s="672"/>
      <c r="CE442" s="672"/>
      <c r="CF442" s="672"/>
      <c r="CG442" s="672"/>
      <c r="CH442" s="672"/>
      <c r="CI442" s="672"/>
      <c r="CJ442" s="240"/>
      <c r="CK442" s="240"/>
      <c r="CL442" s="240"/>
      <c r="CM442" s="240"/>
      <c r="CN442" s="240"/>
      <c r="CO442" s="240"/>
      <c r="CP442" s="240"/>
      <c r="CQ442" s="240"/>
      <c r="CR442" s="240"/>
      <c r="CS442" s="240"/>
      <c r="CT442" s="240"/>
      <c r="CU442" s="240"/>
      <c r="CV442" s="240"/>
      <c r="CW442" s="240"/>
      <c r="CX442" s="240"/>
      <c r="CY442" s="240"/>
      <c r="CZ442" s="240"/>
      <c r="DA442" s="240"/>
      <c r="DB442" s="240"/>
      <c r="DC442" s="240"/>
      <c r="DD442" s="240"/>
      <c r="DE442" s="240"/>
      <c r="DF442" s="240"/>
      <c r="DG442" s="240"/>
      <c r="DH442" s="478"/>
      <c r="DI442" s="733"/>
      <c r="DJ442" s="733"/>
      <c r="DK442" s="478"/>
      <c r="DL442" s="3"/>
      <c r="DM442" s="4"/>
      <c r="DN442" s="4"/>
      <c r="DO442" s="4"/>
      <c r="DP442" s="4"/>
      <c r="DQ442" s="4"/>
      <c r="DR442" s="4"/>
      <c r="DS442" s="4"/>
      <c r="DU442" s="195"/>
      <c r="DV442" s="195"/>
      <c r="DW442" s="195"/>
      <c r="DX442" s="195"/>
      <c r="DY442" s="195"/>
      <c r="DZ442" s="195"/>
      <c r="EA442" s="195"/>
      <c r="EB442" s="195"/>
      <c r="EC442" s="195"/>
      <c r="ED442" s="195"/>
      <c r="EE442" s="195"/>
      <c r="EF442" s="195"/>
      <c r="EG442" s="195"/>
      <c r="EL442" s="1"/>
      <c r="EM442" s="195"/>
      <c r="EN442" s="240"/>
      <c r="EO442" s="731"/>
      <c r="EP442" s="195"/>
      <c r="EQ442" s="240"/>
      <c r="ER442" s="195"/>
      <c r="ES442" s="195"/>
      <c r="ET442" s="195"/>
      <c r="EU442" s="672"/>
    </row>
    <row r="443" customFormat="false" ht="12.75" hidden="false" customHeight="false" outlineLevel="0" collapsed="false">
      <c r="I443" s="735"/>
      <c r="J443" s="727"/>
      <c r="K443" s="195"/>
      <c r="L443" s="195"/>
      <c r="M443" s="729"/>
      <c r="P443" s="727"/>
      <c r="S443" s="1"/>
      <c r="T443" s="727"/>
      <c r="U443" s="195"/>
      <c r="V443" s="195"/>
      <c r="W443" s="195"/>
      <c r="X443" s="195"/>
      <c r="Y443" s="195"/>
      <c r="Z443" s="195"/>
      <c r="AA443" s="195"/>
      <c r="AB443" s="195"/>
      <c r="AC443" s="195"/>
      <c r="AD443" s="195"/>
      <c r="AE443" s="195"/>
      <c r="AF443" s="195"/>
      <c r="AG443" s="195"/>
      <c r="AH443" s="195"/>
      <c r="AI443" s="195"/>
      <c r="AJ443" s="195"/>
      <c r="AK443" s="195"/>
      <c r="AL443" s="195"/>
      <c r="AM443" s="195"/>
      <c r="AN443" s="532"/>
      <c r="AO443" s="532"/>
      <c r="AP443" s="532"/>
      <c r="AQ443" s="532"/>
      <c r="AR443" s="532"/>
      <c r="AS443" s="195"/>
      <c r="AT443" s="240"/>
      <c r="AU443" s="240"/>
      <c r="AV443" s="240"/>
      <c r="AW443" s="730"/>
      <c r="AX443" s="730"/>
      <c r="AY443" s="730"/>
      <c r="AZ443" s="730"/>
      <c r="BA443" s="468"/>
      <c r="BB443" s="468"/>
      <c r="BC443" s="240"/>
      <c r="BD443" s="240"/>
      <c r="BE443" s="240"/>
      <c r="BF443" s="240"/>
      <c r="BG443" s="672"/>
      <c r="BH443" s="672"/>
      <c r="BI443" s="731"/>
      <c r="BJ443" s="672"/>
      <c r="BK443" s="672"/>
      <c r="BL443" s="240"/>
      <c r="BM443" s="736"/>
      <c r="BN443" s="737"/>
      <c r="BO443" s="240"/>
      <c r="BP443" s="240"/>
      <c r="BQ443" s="240"/>
      <c r="BR443" s="240"/>
      <c r="BS443" s="240"/>
      <c r="BT443" s="240"/>
      <c r="BU443" s="240"/>
      <c r="BV443" s="240"/>
      <c r="BW443" s="240"/>
      <c r="BX443" s="240"/>
      <c r="BY443" s="240"/>
      <c r="BZ443" s="240"/>
      <c r="CA443" s="240"/>
      <c r="CB443" s="240"/>
      <c r="CC443" s="240"/>
      <c r="CD443" s="672"/>
      <c r="CE443" s="672"/>
      <c r="CF443" s="672"/>
      <c r="CG443" s="672"/>
      <c r="CH443" s="672"/>
      <c r="CI443" s="672"/>
      <c r="CJ443" s="240"/>
      <c r="CK443" s="240"/>
      <c r="CL443" s="240"/>
      <c r="CM443" s="240"/>
      <c r="CN443" s="240"/>
      <c r="CO443" s="240"/>
      <c r="CP443" s="240"/>
      <c r="CQ443" s="240"/>
      <c r="CR443" s="240"/>
      <c r="CS443" s="240"/>
      <c r="CT443" s="240"/>
      <c r="CU443" s="240"/>
      <c r="CV443" s="240"/>
      <c r="CW443" s="240"/>
      <c r="CX443" s="240"/>
      <c r="CY443" s="240"/>
      <c r="CZ443" s="240"/>
      <c r="DA443" s="240"/>
      <c r="DB443" s="240"/>
      <c r="DC443" s="240"/>
      <c r="DD443" s="240"/>
      <c r="DE443" s="240"/>
      <c r="DF443" s="240"/>
      <c r="DG443" s="240"/>
      <c r="DH443" s="478"/>
      <c r="DI443" s="733"/>
      <c r="DJ443" s="733"/>
      <c r="DK443" s="478"/>
      <c r="DL443" s="3"/>
      <c r="DM443" s="4"/>
      <c r="DN443" s="4"/>
      <c r="DO443" s="4"/>
      <c r="DP443" s="4"/>
      <c r="DQ443" s="4"/>
      <c r="DR443" s="4"/>
      <c r="DS443" s="4"/>
      <c r="DU443" s="195"/>
      <c r="DV443" s="195"/>
      <c r="DW443" s="195"/>
      <c r="DX443" s="195"/>
      <c r="DY443" s="195"/>
      <c r="DZ443" s="195"/>
      <c r="EA443" s="195"/>
      <c r="EB443" s="195"/>
      <c r="EC443" s="195"/>
      <c r="ED443" s="195"/>
      <c r="EE443" s="195"/>
      <c r="EF443" s="195"/>
      <c r="EG443" s="195"/>
      <c r="EL443" s="1"/>
      <c r="EM443" s="195"/>
      <c r="EN443" s="240"/>
      <c r="EO443" s="731"/>
      <c r="EP443" s="195"/>
      <c r="EQ443" s="240"/>
      <c r="ER443" s="195"/>
      <c r="ES443" s="195"/>
      <c r="ET443" s="195"/>
      <c r="EU443" s="672"/>
    </row>
    <row r="444" customFormat="false" ht="12.75" hidden="false" customHeight="false" outlineLevel="0" collapsed="false">
      <c r="I444" s="735"/>
      <c r="J444" s="727"/>
      <c r="K444" s="195"/>
      <c r="L444" s="195"/>
      <c r="M444" s="729"/>
      <c r="P444" s="727"/>
      <c r="S444" s="1"/>
      <c r="T444" s="727"/>
      <c r="U444" s="195"/>
      <c r="V444" s="195"/>
      <c r="W444" s="195"/>
      <c r="X444" s="195"/>
      <c r="Y444" s="195"/>
      <c r="Z444" s="195"/>
      <c r="AA444" s="195"/>
      <c r="AB444" s="195"/>
      <c r="AC444" s="195"/>
      <c r="AD444" s="195"/>
      <c r="AE444" s="195"/>
      <c r="AF444" s="195"/>
      <c r="AG444" s="195"/>
      <c r="AH444" s="195"/>
      <c r="AI444" s="195"/>
      <c r="AJ444" s="195"/>
      <c r="AK444" s="195"/>
      <c r="AL444" s="195"/>
      <c r="AM444" s="195"/>
      <c r="AN444" s="532"/>
      <c r="AO444" s="532"/>
      <c r="AP444" s="532"/>
      <c r="AQ444" s="532"/>
      <c r="AR444" s="532"/>
      <c r="AS444" s="195"/>
      <c r="AT444" s="240"/>
      <c r="AU444" s="240"/>
      <c r="AV444" s="240"/>
      <c r="AW444" s="730"/>
      <c r="AX444" s="730"/>
      <c r="AY444" s="730"/>
      <c r="AZ444" s="730"/>
      <c r="BA444" s="468"/>
      <c r="BB444" s="468"/>
      <c r="BC444" s="240"/>
      <c r="BD444" s="240"/>
      <c r="BE444" s="240"/>
      <c r="BF444" s="240"/>
      <c r="BG444" s="672"/>
      <c r="BH444" s="672"/>
      <c r="BI444" s="731"/>
      <c r="BJ444" s="672"/>
      <c r="BK444" s="672"/>
      <c r="BL444" s="240"/>
      <c r="BM444" s="736"/>
      <c r="BN444" s="737"/>
      <c r="BO444" s="240"/>
      <c r="BP444" s="240"/>
      <c r="BQ444" s="240"/>
      <c r="BR444" s="240"/>
      <c r="BS444" s="240"/>
      <c r="BT444" s="240"/>
      <c r="BU444" s="240"/>
      <c r="BV444" s="240"/>
      <c r="BW444" s="240"/>
      <c r="BX444" s="240"/>
      <c r="BY444" s="240"/>
      <c r="BZ444" s="240"/>
      <c r="CA444" s="240"/>
      <c r="CB444" s="240"/>
      <c r="CC444" s="240"/>
      <c r="CD444" s="672"/>
      <c r="CE444" s="672"/>
      <c r="CF444" s="672"/>
      <c r="CG444" s="672"/>
      <c r="CH444" s="672"/>
      <c r="CI444" s="672"/>
      <c r="CJ444" s="240"/>
      <c r="CK444" s="240"/>
      <c r="CL444" s="240"/>
      <c r="CM444" s="240"/>
      <c r="CN444" s="240"/>
      <c r="CO444" s="240"/>
      <c r="CP444" s="240"/>
      <c r="CQ444" s="240"/>
      <c r="CR444" s="240"/>
      <c r="CS444" s="240"/>
      <c r="CT444" s="240"/>
      <c r="CU444" s="240"/>
      <c r="CV444" s="240"/>
      <c r="CW444" s="240"/>
      <c r="CX444" s="240"/>
      <c r="CY444" s="240"/>
      <c r="CZ444" s="240"/>
      <c r="DA444" s="240"/>
      <c r="DB444" s="240"/>
      <c r="DC444" s="240"/>
      <c r="DD444" s="240"/>
      <c r="DE444" s="240"/>
      <c r="DF444" s="240"/>
      <c r="DG444" s="240"/>
      <c r="DH444" s="478"/>
      <c r="DI444" s="733"/>
      <c r="DJ444" s="733"/>
      <c r="DK444" s="478"/>
      <c r="DL444" s="3"/>
      <c r="DM444" s="4"/>
      <c r="DN444" s="4"/>
      <c r="DO444" s="4"/>
      <c r="DP444" s="4"/>
      <c r="DQ444" s="4"/>
      <c r="DR444" s="4"/>
      <c r="DS444" s="4"/>
      <c r="DU444" s="195"/>
      <c r="DV444" s="195"/>
      <c r="DW444" s="195"/>
      <c r="DX444" s="195"/>
      <c r="DY444" s="195"/>
      <c r="DZ444" s="195"/>
      <c r="EA444" s="195"/>
      <c r="EB444" s="195"/>
      <c r="EC444" s="195"/>
      <c r="ED444" s="195"/>
      <c r="EE444" s="195"/>
      <c r="EF444" s="195"/>
      <c r="EG444" s="195"/>
      <c r="EL444" s="1"/>
      <c r="EM444" s="195"/>
      <c r="EN444" s="240"/>
      <c r="EO444" s="731"/>
      <c r="EP444" s="195"/>
      <c r="EQ444" s="240"/>
      <c r="ER444" s="195"/>
      <c r="ES444" s="195"/>
      <c r="ET444" s="195"/>
      <c r="EU444" s="672"/>
    </row>
    <row r="445" customFormat="false" ht="12.75" hidden="false" customHeight="false" outlineLevel="0" collapsed="false">
      <c r="I445" s="735"/>
      <c r="J445" s="727"/>
      <c r="K445" s="195"/>
      <c r="L445" s="195"/>
      <c r="M445" s="729"/>
      <c r="P445" s="727"/>
      <c r="S445" s="1"/>
      <c r="T445" s="727"/>
      <c r="U445" s="195"/>
      <c r="V445" s="195"/>
      <c r="W445" s="195"/>
      <c r="X445" s="195"/>
      <c r="Y445" s="195"/>
      <c r="Z445" s="195"/>
      <c r="AA445" s="195"/>
      <c r="AB445" s="195"/>
      <c r="AC445" s="195"/>
      <c r="AD445" s="195"/>
      <c r="AE445" s="195"/>
      <c r="AF445" s="195"/>
      <c r="AG445" s="195"/>
      <c r="AH445" s="195"/>
      <c r="AI445" s="195"/>
      <c r="AJ445" s="195"/>
      <c r="AK445" s="195"/>
      <c r="AL445" s="195"/>
      <c r="AM445" s="195"/>
      <c r="AN445" s="532"/>
      <c r="AO445" s="532"/>
      <c r="AP445" s="532"/>
      <c r="AQ445" s="532"/>
      <c r="AR445" s="532"/>
      <c r="AS445" s="195"/>
      <c r="AT445" s="240"/>
      <c r="AU445" s="240"/>
      <c r="AV445" s="240"/>
      <c r="AW445" s="730"/>
      <c r="AX445" s="730"/>
      <c r="AY445" s="730"/>
      <c r="AZ445" s="730"/>
      <c r="BA445" s="468"/>
      <c r="BB445" s="468"/>
      <c r="BC445" s="240"/>
      <c r="BD445" s="240"/>
      <c r="BE445" s="240"/>
      <c r="BF445" s="240"/>
      <c r="BG445" s="672"/>
      <c r="BH445" s="672"/>
      <c r="BI445" s="731"/>
      <c r="BJ445" s="672"/>
      <c r="BK445" s="672"/>
      <c r="BL445" s="240"/>
      <c r="BM445" s="736"/>
      <c r="BN445" s="737"/>
      <c r="BO445" s="240"/>
      <c r="BP445" s="240"/>
      <c r="BQ445" s="240"/>
      <c r="BR445" s="240"/>
      <c r="BS445" s="240"/>
      <c r="BT445" s="240"/>
      <c r="BU445" s="240"/>
      <c r="BV445" s="240"/>
      <c r="BW445" s="240"/>
      <c r="BX445" s="240"/>
      <c r="BY445" s="240"/>
      <c r="BZ445" s="240"/>
      <c r="CA445" s="240"/>
      <c r="CB445" s="240"/>
      <c r="CC445" s="240"/>
      <c r="CD445" s="672"/>
      <c r="CE445" s="672"/>
      <c r="CF445" s="672"/>
      <c r="CG445" s="672"/>
      <c r="CH445" s="672"/>
      <c r="CI445" s="672"/>
      <c r="CJ445" s="240"/>
      <c r="CK445" s="240"/>
      <c r="CL445" s="240"/>
      <c r="CM445" s="240"/>
      <c r="CN445" s="240"/>
      <c r="CO445" s="240"/>
      <c r="CP445" s="240"/>
      <c r="CQ445" s="240"/>
      <c r="CR445" s="240"/>
      <c r="CS445" s="240"/>
      <c r="CT445" s="240"/>
      <c r="CU445" s="240"/>
      <c r="CV445" s="240"/>
      <c r="CW445" s="240"/>
      <c r="CX445" s="240"/>
      <c r="CY445" s="240"/>
      <c r="CZ445" s="240"/>
      <c r="DA445" s="240"/>
      <c r="DB445" s="240"/>
      <c r="DC445" s="240"/>
      <c r="DD445" s="240"/>
      <c r="DE445" s="240"/>
      <c r="DF445" s="240"/>
      <c r="DG445" s="240"/>
      <c r="DH445" s="478"/>
      <c r="DI445" s="733"/>
      <c r="DJ445" s="733"/>
      <c r="DK445" s="478"/>
      <c r="DL445" s="3"/>
      <c r="DM445" s="4"/>
      <c r="DN445" s="4"/>
      <c r="DO445" s="4"/>
      <c r="DP445" s="4"/>
      <c r="DQ445" s="4"/>
      <c r="DR445" s="4"/>
      <c r="DS445" s="4"/>
      <c r="DU445" s="195"/>
      <c r="DV445" s="195"/>
      <c r="DW445" s="195"/>
      <c r="DX445" s="195"/>
      <c r="DY445" s="195"/>
      <c r="DZ445" s="195"/>
      <c r="EA445" s="195"/>
      <c r="EB445" s="195"/>
      <c r="EC445" s="195"/>
      <c r="ED445" s="195"/>
      <c r="EE445" s="195"/>
      <c r="EF445" s="195"/>
      <c r="EG445" s="195"/>
      <c r="EL445" s="1"/>
      <c r="EM445" s="195"/>
      <c r="EN445" s="240"/>
      <c r="EO445" s="731"/>
      <c r="EP445" s="195"/>
      <c r="EQ445" s="240"/>
      <c r="ER445" s="195"/>
      <c r="ES445" s="195"/>
      <c r="ET445" s="195"/>
      <c r="EU445" s="672"/>
    </row>
    <row r="446" customFormat="false" ht="12.75" hidden="false" customHeight="false" outlineLevel="0" collapsed="false">
      <c r="I446" s="735"/>
      <c r="J446" s="727"/>
      <c r="K446" s="195"/>
      <c r="L446" s="195"/>
      <c r="M446" s="729"/>
      <c r="P446" s="727"/>
      <c r="S446" s="1"/>
      <c r="T446" s="727"/>
      <c r="U446" s="195"/>
      <c r="V446" s="195"/>
      <c r="W446" s="195"/>
      <c r="X446" s="195"/>
      <c r="Y446" s="195"/>
      <c r="Z446" s="195"/>
      <c r="AA446" s="195"/>
      <c r="AB446" s="195"/>
      <c r="AC446" s="195"/>
      <c r="AD446" s="195"/>
      <c r="AE446" s="195"/>
      <c r="AF446" s="195"/>
      <c r="AG446" s="195"/>
      <c r="AH446" s="195"/>
      <c r="AI446" s="195"/>
      <c r="AJ446" s="195"/>
      <c r="AK446" s="195"/>
      <c r="AL446" s="195"/>
      <c r="AM446" s="195"/>
      <c r="AN446" s="532"/>
      <c r="AO446" s="532"/>
      <c r="AP446" s="532"/>
      <c r="AQ446" s="532"/>
      <c r="AR446" s="532"/>
      <c r="AS446" s="195"/>
      <c r="AT446" s="240"/>
      <c r="AU446" s="240"/>
      <c r="AV446" s="240"/>
      <c r="AW446" s="730"/>
      <c r="AX446" s="730"/>
      <c r="AY446" s="730"/>
      <c r="AZ446" s="730"/>
      <c r="BA446" s="468"/>
      <c r="BB446" s="468"/>
      <c r="BC446" s="240"/>
      <c r="BD446" s="240"/>
      <c r="BE446" s="240"/>
      <c r="BF446" s="240"/>
      <c r="BG446" s="672"/>
      <c r="BH446" s="672"/>
      <c r="BI446" s="731"/>
      <c r="BJ446" s="672"/>
      <c r="BK446" s="672"/>
      <c r="BL446" s="240"/>
      <c r="BM446" s="736"/>
      <c r="BN446" s="737"/>
      <c r="BO446" s="240"/>
      <c r="BP446" s="240"/>
      <c r="BQ446" s="240"/>
      <c r="BR446" s="240"/>
      <c r="BS446" s="240"/>
      <c r="BT446" s="240"/>
      <c r="BU446" s="240"/>
      <c r="BV446" s="240"/>
      <c r="BW446" s="240"/>
      <c r="BX446" s="240"/>
      <c r="BY446" s="240"/>
      <c r="BZ446" s="240"/>
      <c r="CA446" s="240"/>
      <c r="CB446" s="240"/>
      <c r="CC446" s="240"/>
      <c r="CD446" s="672"/>
      <c r="CE446" s="672"/>
      <c r="CF446" s="672"/>
      <c r="CG446" s="672"/>
      <c r="CH446" s="672"/>
      <c r="CI446" s="672"/>
      <c r="CJ446" s="240"/>
      <c r="CK446" s="240"/>
      <c r="CL446" s="240"/>
      <c r="CM446" s="240"/>
      <c r="CN446" s="240"/>
      <c r="CO446" s="240"/>
      <c r="CP446" s="240"/>
      <c r="CQ446" s="240"/>
      <c r="CR446" s="240"/>
      <c r="CS446" s="240"/>
      <c r="CT446" s="240"/>
      <c r="CU446" s="240"/>
      <c r="CV446" s="240"/>
      <c r="CW446" s="240"/>
      <c r="CX446" s="240"/>
      <c r="CY446" s="240"/>
      <c r="CZ446" s="240"/>
      <c r="DA446" s="240"/>
      <c r="DB446" s="240"/>
      <c r="DC446" s="240"/>
      <c r="DD446" s="240"/>
      <c r="DE446" s="240"/>
      <c r="DF446" s="240"/>
      <c r="DG446" s="240"/>
      <c r="DH446" s="478"/>
      <c r="DI446" s="733"/>
      <c r="DJ446" s="733"/>
      <c r="DK446" s="478"/>
      <c r="DL446" s="3"/>
      <c r="DM446" s="4"/>
      <c r="DN446" s="4"/>
      <c r="DO446" s="4"/>
      <c r="DP446" s="4"/>
      <c r="DQ446" s="4"/>
      <c r="DR446" s="4"/>
      <c r="DS446" s="4"/>
      <c r="DU446" s="195"/>
      <c r="DV446" s="195"/>
      <c r="DW446" s="195"/>
      <c r="DX446" s="195"/>
      <c r="DY446" s="195"/>
      <c r="DZ446" s="195"/>
      <c r="EA446" s="195"/>
      <c r="EB446" s="195"/>
      <c r="EC446" s="195"/>
      <c r="ED446" s="195"/>
      <c r="EE446" s="195"/>
      <c r="EF446" s="195"/>
      <c r="EG446" s="195"/>
      <c r="EL446" s="1"/>
      <c r="EM446" s="195"/>
      <c r="EN446" s="240"/>
      <c r="EO446" s="731"/>
      <c r="EP446" s="195"/>
      <c r="EQ446" s="240"/>
      <c r="ER446" s="195"/>
      <c r="ES446" s="195"/>
      <c r="ET446" s="195"/>
      <c r="EU446" s="672"/>
    </row>
    <row r="447" customFormat="false" ht="12.75" hidden="false" customHeight="false" outlineLevel="0" collapsed="false">
      <c r="I447" s="735"/>
      <c r="J447" s="727"/>
      <c r="K447" s="195"/>
      <c r="L447" s="195"/>
      <c r="M447" s="729"/>
      <c r="P447" s="727"/>
      <c r="S447" s="1"/>
      <c r="T447" s="727"/>
      <c r="U447" s="195"/>
      <c r="V447" s="195"/>
      <c r="W447" s="195"/>
      <c r="X447" s="195"/>
      <c r="Y447" s="195"/>
      <c r="Z447" s="195"/>
      <c r="AA447" s="195"/>
      <c r="AB447" s="195"/>
      <c r="AC447" s="195"/>
      <c r="AD447" s="195"/>
      <c r="AE447" s="195"/>
      <c r="AF447" s="195"/>
      <c r="AG447" s="195"/>
      <c r="AH447" s="195"/>
      <c r="AI447" s="195"/>
      <c r="AJ447" s="195"/>
      <c r="AK447" s="195"/>
      <c r="AL447" s="195"/>
      <c r="AM447" s="195"/>
      <c r="AN447" s="532"/>
      <c r="AO447" s="532"/>
      <c r="AP447" s="532"/>
      <c r="AQ447" s="532"/>
      <c r="AR447" s="532"/>
      <c r="AS447" s="195"/>
      <c r="AT447" s="240"/>
      <c r="AU447" s="240"/>
      <c r="AV447" s="240"/>
      <c r="AW447" s="730"/>
      <c r="AX447" s="730"/>
      <c r="AY447" s="730"/>
      <c r="AZ447" s="730"/>
      <c r="BA447" s="468"/>
      <c r="BB447" s="468"/>
      <c r="BC447" s="240"/>
      <c r="BD447" s="240"/>
      <c r="BE447" s="240"/>
      <c r="BF447" s="240"/>
      <c r="BG447" s="672"/>
      <c r="BH447" s="672"/>
      <c r="BI447" s="731"/>
      <c r="BJ447" s="672"/>
      <c r="BK447" s="672"/>
      <c r="BL447" s="240"/>
      <c r="BM447" s="736"/>
      <c r="BN447" s="737"/>
      <c r="BO447" s="240"/>
      <c r="BP447" s="240"/>
      <c r="BQ447" s="240"/>
      <c r="BR447" s="240"/>
      <c r="BS447" s="240"/>
      <c r="BT447" s="240"/>
      <c r="BU447" s="240"/>
      <c r="BV447" s="240"/>
      <c r="BW447" s="240"/>
      <c r="BX447" s="240"/>
      <c r="BY447" s="240"/>
      <c r="BZ447" s="240"/>
      <c r="CA447" s="240"/>
      <c r="CB447" s="240"/>
      <c r="CC447" s="240"/>
      <c r="CD447" s="672"/>
      <c r="CE447" s="672"/>
      <c r="CF447" s="672"/>
      <c r="CG447" s="672"/>
      <c r="CH447" s="672"/>
      <c r="CI447" s="672"/>
      <c r="CJ447" s="240"/>
      <c r="CK447" s="240"/>
      <c r="CL447" s="240"/>
      <c r="CM447" s="240"/>
      <c r="CN447" s="240"/>
      <c r="CO447" s="240"/>
      <c r="CP447" s="240"/>
      <c r="CQ447" s="240"/>
      <c r="CR447" s="240"/>
      <c r="CS447" s="240"/>
      <c r="CT447" s="240"/>
      <c r="CU447" s="240"/>
      <c r="CV447" s="240"/>
      <c r="CW447" s="240"/>
      <c r="CX447" s="240"/>
      <c r="CY447" s="240"/>
      <c r="CZ447" s="240"/>
      <c r="DA447" s="240"/>
      <c r="DB447" s="240"/>
      <c r="DC447" s="240"/>
      <c r="DD447" s="240"/>
      <c r="DE447" s="240"/>
      <c r="DF447" s="240"/>
      <c r="DG447" s="240"/>
      <c r="DH447" s="478"/>
      <c r="DI447" s="733"/>
      <c r="DJ447" s="733"/>
      <c r="DK447" s="478"/>
      <c r="DL447" s="3"/>
      <c r="DM447" s="4"/>
      <c r="DN447" s="4"/>
      <c r="DO447" s="4"/>
      <c r="DP447" s="4"/>
      <c r="DQ447" s="4"/>
      <c r="DR447" s="4"/>
      <c r="DS447" s="4"/>
      <c r="DU447" s="195"/>
      <c r="DV447" s="195"/>
      <c r="DW447" s="195"/>
      <c r="DX447" s="195"/>
      <c r="DY447" s="195"/>
      <c r="DZ447" s="195"/>
      <c r="EA447" s="195"/>
      <c r="EB447" s="195"/>
      <c r="EC447" s="195"/>
      <c r="ED447" s="195"/>
      <c r="EE447" s="195"/>
      <c r="EF447" s="195"/>
      <c r="EG447" s="195"/>
      <c r="EL447" s="1"/>
      <c r="EM447" s="195"/>
      <c r="EN447" s="240"/>
      <c r="EO447" s="731"/>
      <c r="EP447" s="195"/>
      <c r="EQ447" s="240"/>
      <c r="ER447" s="195"/>
      <c r="ES447" s="195"/>
      <c r="ET447" s="195"/>
      <c r="EU447" s="672"/>
    </row>
    <row r="448" customFormat="false" ht="12.75" hidden="false" customHeight="false" outlineLevel="0" collapsed="false">
      <c r="I448" s="735"/>
      <c r="J448" s="727"/>
      <c r="K448" s="195"/>
      <c r="L448" s="195"/>
      <c r="M448" s="729"/>
      <c r="P448" s="727"/>
      <c r="S448" s="1"/>
      <c r="T448" s="727"/>
      <c r="U448" s="195"/>
      <c r="V448" s="195"/>
      <c r="W448" s="195"/>
      <c r="X448" s="195"/>
      <c r="Y448" s="195"/>
      <c r="Z448" s="195"/>
      <c r="AA448" s="195"/>
      <c r="AB448" s="195"/>
      <c r="AC448" s="195"/>
      <c r="AD448" s="195"/>
      <c r="AE448" s="195"/>
      <c r="AF448" s="195"/>
      <c r="AG448" s="195"/>
      <c r="AH448" s="195"/>
      <c r="AI448" s="195"/>
      <c r="AJ448" s="195"/>
      <c r="AK448" s="195"/>
      <c r="AL448" s="195"/>
      <c r="AM448" s="195"/>
      <c r="AN448" s="532"/>
      <c r="AO448" s="532"/>
      <c r="AP448" s="532"/>
      <c r="AQ448" s="532"/>
      <c r="AR448" s="532"/>
      <c r="AS448" s="195"/>
      <c r="AT448" s="240"/>
      <c r="AU448" s="240"/>
      <c r="AV448" s="240"/>
      <c r="AW448" s="730"/>
      <c r="AX448" s="730"/>
      <c r="AY448" s="730"/>
      <c r="AZ448" s="730"/>
      <c r="BA448" s="468"/>
      <c r="BB448" s="468"/>
      <c r="BC448" s="240"/>
      <c r="BD448" s="240"/>
      <c r="BE448" s="240"/>
      <c r="BF448" s="240"/>
      <c r="BG448" s="672"/>
      <c r="BH448" s="672"/>
      <c r="BI448" s="731"/>
      <c r="BJ448" s="672"/>
      <c r="BK448" s="672"/>
      <c r="BL448" s="240"/>
      <c r="BM448" s="736"/>
      <c r="BN448" s="737"/>
      <c r="BO448" s="240"/>
      <c r="BP448" s="240"/>
      <c r="BQ448" s="240"/>
      <c r="BR448" s="240"/>
      <c r="BS448" s="240"/>
      <c r="BT448" s="240"/>
      <c r="BU448" s="240"/>
      <c r="BV448" s="240"/>
      <c r="BW448" s="240"/>
      <c r="BX448" s="240"/>
      <c r="BY448" s="240"/>
      <c r="BZ448" s="240"/>
      <c r="CA448" s="240"/>
      <c r="CB448" s="240"/>
      <c r="CC448" s="240"/>
      <c r="CD448" s="672"/>
      <c r="CE448" s="672"/>
      <c r="CF448" s="672"/>
      <c r="CG448" s="672"/>
      <c r="CH448" s="672"/>
      <c r="CI448" s="672"/>
      <c r="CJ448" s="240"/>
      <c r="CK448" s="240"/>
      <c r="CL448" s="240"/>
      <c r="CM448" s="240"/>
      <c r="CN448" s="240"/>
      <c r="CO448" s="240"/>
      <c r="CP448" s="240"/>
      <c r="CQ448" s="240"/>
      <c r="CR448" s="240"/>
      <c r="CS448" s="240"/>
      <c r="CT448" s="240"/>
      <c r="CU448" s="240"/>
      <c r="CV448" s="240"/>
      <c r="CW448" s="240"/>
      <c r="CX448" s="240"/>
      <c r="CY448" s="240"/>
      <c r="CZ448" s="240"/>
      <c r="DA448" s="240"/>
      <c r="DB448" s="240"/>
      <c r="DC448" s="240"/>
      <c r="DD448" s="240"/>
      <c r="DE448" s="240"/>
      <c r="DF448" s="240"/>
      <c r="DG448" s="240"/>
      <c r="DH448" s="478"/>
      <c r="DI448" s="733"/>
      <c r="DJ448" s="733"/>
      <c r="DK448" s="478"/>
      <c r="DL448" s="3"/>
      <c r="DM448" s="4"/>
      <c r="DN448" s="4"/>
      <c r="DO448" s="4"/>
      <c r="DP448" s="4"/>
      <c r="DQ448" s="4"/>
      <c r="DR448" s="4"/>
      <c r="DS448" s="4"/>
      <c r="DU448" s="195"/>
      <c r="DV448" s="195"/>
      <c r="DW448" s="195"/>
      <c r="DX448" s="195"/>
      <c r="DY448" s="195"/>
      <c r="DZ448" s="195"/>
      <c r="EA448" s="195"/>
      <c r="EB448" s="195"/>
      <c r="EC448" s="195"/>
      <c r="ED448" s="195"/>
      <c r="EE448" s="195"/>
      <c r="EF448" s="195"/>
      <c r="EG448" s="195"/>
      <c r="EL448" s="1"/>
      <c r="EM448" s="195"/>
      <c r="EN448" s="240"/>
      <c r="EO448" s="731"/>
      <c r="EP448" s="195"/>
      <c r="EQ448" s="240"/>
      <c r="ER448" s="195"/>
      <c r="ES448" s="195"/>
      <c r="ET448" s="195"/>
      <c r="EU448" s="672"/>
    </row>
    <row r="449" customFormat="false" ht="12.75" hidden="false" customHeight="false" outlineLevel="0" collapsed="false">
      <c r="I449" s="735"/>
      <c r="J449" s="727"/>
      <c r="K449" s="195"/>
      <c r="L449" s="195"/>
      <c r="M449" s="729"/>
      <c r="P449" s="727"/>
      <c r="S449" s="1"/>
      <c r="T449" s="727"/>
      <c r="U449" s="195"/>
      <c r="V449" s="195"/>
      <c r="W449" s="195"/>
      <c r="X449" s="195"/>
      <c r="Y449" s="195"/>
      <c r="Z449" s="195"/>
      <c r="AA449" s="195"/>
      <c r="AB449" s="195"/>
      <c r="AC449" s="195"/>
      <c r="AD449" s="195"/>
      <c r="AE449" s="195"/>
      <c r="AF449" s="195"/>
      <c r="AG449" s="195"/>
      <c r="AH449" s="195"/>
      <c r="AI449" s="195"/>
      <c r="AJ449" s="195"/>
      <c r="AK449" s="195"/>
      <c r="AL449" s="195"/>
      <c r="AM449" s="195"/>
      <c r="AN449" s="532"/>
      <c r="AO449" s="532"/>
      <c r="AP449" s="532"/>
      <c r="AQ449" s="532"/>
      <c r="AR449" s="532"/>
      <c r="AS449" s="195"/>
      <c r="AT449" s="240"/>
      <c r="AU449" s="240"/>
      <c r="AV449" s="240"/>
      <c r="AW449" s="730"/>
      <c r="AX449" s="730"/>
      <c r="AY449" s="730"/>
      <c r="AZ449" s="730"/>
      <c r="BA449" s="468"/>
      <c r="BB449" s="468"/>
      <c r="BC449" s="240"/>
      <c r="BD449" s="240"/>
      <c r="BE449" s="240"/>
      <c r="BF449" s="240"/>
      <c r="BG449" s="672"/>
      <c r="BH449" s="672"/>
      <c r="BI449" s="731"/>
      <c r="BJ449" s="672"/>
      <c r="BK449" s="672"/>
      <c r="BL449" s="240"/>
      <c r="BM449" s="736"/>
      <c r="BN449" s="737"/>
      <c r="BO449" s="240"/>
      <c r="BP449" s="240"/>
      <c r="BQ449" s="240"/>
      <c r="BR449" s="240"/>
      <c r="BS449" s="240"/>
      <c r="BT449" s="240"/>
      <c r="BU449" s="240"/>
      <c r="BV449" s="240"/>
      <c r="BW449" s="240"/>
      <c r="BX449" s="240"/>
      <c r="BY449" s="240"/>
      <c r="BZ449" s="240"/>
      <c r="CA449" s="240"/>
      <c r="CB449" s="240"/>
      <c r="CC449" s="240"/>
      <c r="CD449" s="672"/>
      <c r="CE449" s="672"/>
      <c r="CF449" s="672"/>
      <c r="CG449" s="672"/>
      <c r="CH449" s="672"/>
      <c r="CI449" s="672"/>
      <c r="CJ449" s="240"/>
      <c r="CK449" s="240"/>
      <c r="CL449" s="240"/>
      <c r="CM449" s="240"/>
      <c r="CN449" s="240"/>
      <c r="CO449" s="240"/>
      <c r="CP449" s="240"/>
      <c r="CQ449" s="240"/>
      <c r="CR449" s="240"/>
      <c r="CS449" s="240"/>
      <c r="CT449" s="240"/>
      <c r="CU449" s="240"/>
      <c r="CV449" s="240"/>
      <c r="CW449" s="240"/>
      <c r="CX449" s="240"/>
      <c r="CY449" s="240"/>
      <c r="CZ449" s="240"/>
      <c r="DA449" s="240"/>
      <c r="DB449" s="240"/>
      <c r="DC449" s="240"/>
      <c r="DD449" s="240"/>
      <c r="DE449" s="240"/>
      <c r="DF449" s="240"/>
      <c r="DG449" s="240"/>
      <c r="DH449" s="478"/>
      <c r="DI449" s="733"/>
      <c r="DJ449" s="733"/>
      <c r="DK449" s="478"/>
      <c r="DL449" s="3"/>
      <c r="DM449" s="4"/>
      <c r="DN449" s="4"/>
      <c r="DO449" s="4"/>
      <c r="DP449" s="4"/>
      <c r="DQ449" s="4"/>
      <c r="DR449" s="4"/>
      <c r="DS449" s="4"/>
      <c r="DU449" s="195"/>
      <c r="DV449" s="195"/>
      <c r="DW449" s="195"/>
      <c r="DX449" s="195"/>
      <c r="DY449" s="195"/>
      <c r="DZ449" s="195"/>
      <c r="EA449" s="195"/>
      <c r="EB449" s="195"/>
      <c r="EC449" s="195"/>
      <c r="ED449" s="195"/>
      <c r="EE449" s="195"/>
      <c r="EF449" s="195"/>
      <c r="EG449" s="195"/>
      <c r="EL449" s="1"/>
      <c r="EM449" s="195"/>
      <c r="EN449" s="240"/>
      <c r="EO449" s="731"/>
      <c r="EP449" s="195"/>
      <c r="EQ449" s="240"/>
      <c r="ER449" s="195"/>
      <c r="ES449" s="195"/>
      <c r="ET449" s="195"/>
      <c r="EU449" s="672"/>
    </row>
    <row r="450" customFormat="false" ht="12.75" hidden="false" customHeight="false" outlineLevel="0" collapsed="false">
      <c r="I450" s="735"/>
      <c r="J450" s="727"/>
      <c r="K450" s="195"/>
      <c r="L450" s="195"/>
      <c r="M450" s="729"/>
      <c r="P450" s="727"/>
      <c r="S450" s="1"/>
      <c r="T450" s="727"/>
      <c r="U450" s="195"/>
      <c r="V450" s="195"/>
      <c r="W450" s="195"/>
      <c r="X450" s="195"/>
      <c r="Y450" s="195"/>
      <c r="Z450" s="195"/>
      <c r="AA450" s="195"/>
      <c r="AB450" s="195"/>
      <c r="AC450" s="195"/>
      <c r="AD450" s="195"/>
      <c r="AE450" s="195"/>
      <c r="AF450" s="195"/>
      <c r="AG450" s="195"/>
      <c r="AH450" s="195"/>
      <c r="AI450" s="195"/>
      <c r="AJ450" s="195"/>
      <c r="AK450" s="195"/>
      <c r="AL450" s="195"/>
      <c r="AM450" s="195"/>
      <c r="AN450" s="532"/>
      <c r="AO450" s="532"/>
      <c r="AP450" s="532"/>
      <c r="AQ450" s="532"/>
      <c r="AR450" s="532"/>
      <c r="AS450" s="195"/>
      <c r="AT450" s="240"/>
      <c r="AU450" s="240"/>
      <c r="AV450" s="240"/>
      <c r="AW450" s="730"/>
      <c r="AX450" s="730"/>
      <c r="AY450" s="730"/>
      <c r="AZ450" s="730"/>
      <c r="BA450" s="468"/>
      <c r="BB450" s="468"/>
      <c r="BC450" s="240"/>
      <c r="BD450" s="240"/>
      <c r="BE450" s="240"/>
      <c r="BF450" s="240"/>
      <c r="BG450" s="672"/>
      <c r="BH450" s="672"/>
      <c r="BI450" s="731"/>
      <c r="BJ450" s="672"/>
      <c r="BK450" s="672"/>
      <c r="BL450" s="240"/>
      <c r="BM450" s="736"/>
      <c r="BN450" s="737"/>
      <c r="BO450" s="240"/>
      <c r="BP450" s="240"/>
      <c r="BQ450" s="240"/>
      <c r="BR450" s="240"/>
      <c r="BS450" s="240"/>
      <c r="BT450" s="240"/>
      <c r="BU450" s="240"/>
      <c r="BV450" s="240"/>
      <c r="BW450" s="240"/>
      <c r="BX450" s="240"/>
      <c r="BY450" s="240"/>
      <c r="BZ450" s="240"/>
      <c r="CA450" s="240"/>
      <c r="CB450" s="240"/>
      <c r="CC450" s="240"/>
      <c r="CD450" s="672"/>
      <c r="CE450" s="672"/>
      <c r="CF450" s="672"/>
      <c r="CG450" s="672"/>
      <c r="CH450" s="672"/>
      <c r="CI450" s="672"/>
      <c r="CJ450" s="240"/>
      <c r="CK450" s="240"/>
      <c r="CL450" s="240"/>
      <c r="CM450" s="240"/>
      <c r="CN450" s="240"/>
      <c r="CO450" s="240"/>
      <c r="CP450" s="240"/>
      <c r="CQ450" s="240"/>
      <c r="CR450" s="240"/>
      <c r="CS450" s="240"/>
      <c r="CT450" s="240"/>
      <c r="CU450" s="240"/>
      <c r="CV450" s="240"/>
      <c r="CW450" s="240"/>
      <c r="CX450" s="240"/>
      <c r="CY450" s="240"/>
      <c r="CZ450" s="240"/>
      <c r="DA450" s="240"/>
      <c r="DB450" s="240"/>
      <c r="DC450" s="240"/>
      <c r="DD450" s="240"/>
      <c r="DE450" s="240"/>
      <c r="DF450" s="240"/>
      <c r="DG450" s="240"/>
      <c r="DH450" s="478"/>
      <c r="DI450" s="733"/>
      <c r="DJ450" s="733"/>
      <c r="DK450" s="478"/>
      <c r="DL450" s="3"/>
      <c r="DM450" s="4"/>
      <c r="DN450" s="4"/>
      <c r="DO450" s="4"/>
      <c r="DP450" s="4"/>
      <c r="DQ450" s="4"/>
      <c r="DR450" s="4"/>
      <c r="DS450" s="4"/>
      <c r="DU450" s="195"/>
      <c r="DV450" s="195"/>
      <c r="DW450" s="195"/>
      <c r="DX450" s="195"/>
      <c r="DY450" s="195"/>
      <c r="DZ450" s="195"/>
      <c r="EA450" s="195"/>
      <c r="EB450" s="195"/>
      <c r="EC450" s="195"/>
      <c r="ED450" s="195"/>
      <c r="EE450" s="195"/>
      <c r="EF450" s="195"/>
      <c r="EG450" s="195"/>
      <c r="EL450" s="1"/>
      <c r="EM450" s="195"/>
      <c r="EN450" s="240"/>
      <c r="EO450" s="731"/>
      <c r="EP450" s="195"/>
      <c r="EQ450" s="240"/>
      <c r="ER450" s="195"/>
      <c r="ES450" s="195"/>
      <c r="ET450" s="195"/>
      <c r="EU450" s="672"/>
    </row>
    <row r="451" customFormat="false" ht="12.75" hidden="false" customHeight="false" outlineLevel="0" collapsed="false">
      <c r="I451" s="735"/>
      <c r="J451" s="727"/>
      <c r="K451" s="195"/>
      <c r="L451" s="195"/>
      <c r="M451" s="729"/>
      <c r="P451" s="727"/>
      <c r="S451" s="1"/>
      <c r="T451" s="727"/>
      <c r="U451" s="195"/>
      <c r="V451" s="195"/>
      <c r="W451" s="195"/>
      <c r="X451" s="195"/>
      <c r="Y451" s="195"/>
      <c r="Z451" s="195"/>
      <c r="AA451" s="195"/>
      <c r="AB451" s="195"/>
      <c r="AC451" s="195"/>
      <c r="AD451" s="195"/>
      <c r="AE451" s="195"/>
      <c r="AF451" s="195"/>
      <c r="AG451" s="195"/>
      <c r="AH451" s="195"/>
      <c r="AI451" s="195"/>
      <c r="AJ451" s="195"/>
      <c r="AK451" s="195"/>
      <c r="AL451" s="195"/>
      <c r="AM451" s="195"/>
      <c r="AN451" s="532"/>
      <c r="AO451" s="532"/>
      <c r="AP451" s="532"/>
      <c r="AQ451" s="532"/>
      <c r="AR451" s="532"/>
      <c r="AS451" s="195"/>
      <c r="AT451" s="240"/>
      <c r="AU451" s="240"/>
      <c r="AV451" s="240"/>
      <c r="AW451" s="730"/>
      <c r="AX451" s="730"/>
      <c r="AY451" s="730"/>
      <c r="AZ451" s="730"/>
      <c r="BA451" s="468"/>
      <c r="BB451" s="468"/>
      <c r="BC451" s="240"/>
      <c r="BD451" s="240"/>
      <c r="BE451" s="240"/>
      <c r="BF451" s="240"/>
      <c r="BG451" s="672"/>
      <c r="BH451" s="672"/>
      <c r="BI451" s="731"/>
      <c r="BJ451" s="672"/>
      <c r="BK451" s="672"/>
      <c r="BL451" s="240"/>
      <c r="BM451" s="736"/>
      <c r="BN451" s="737"/>
      <c r="BO451" s="240"/>
      <c r="BP451" s="240"/>
      <c r="BQ451" s="240"/>
      <c r="BR451" s="240"/>
      <c r="BS451" s="240"/>
      <c r="BT451" s="240"/>
      <c r="BU451" s="240"/>
      <c r="BV451" s="240"/>
      <c r="BW451" s="240"/>
      <c r="BX451" s="240"/>
      <c r="BY451" s="240"/>
      <c r="BZ451" s="240"/>
      <c r="CA451" s="240"/>
      <c r="CB451" s="240"/>
      <c r="CC451" s="240"/>
      <c r="CD451" s="672"/>
      <c r="CE451" s="672"/>
      <c r="CF451" s="672"/>
      <c r="CG451" s="672"/>
      <c r="CH451" s="672"/>
      <c r="CI451" s="672"/>
      <c r="CJ451" s="240"/>
      <c r="CK451" s="240"/>
      <c r="CL451" s="240"/>
      <c r="CM451" s="240"/>
      <c r="CN451" s="240"/>
      <c r="CO451" s="240"/>
      <c r="CP451" s="240"/>
      <c r="CQ451" s="240"/>
      <c r="CR451" s="240"/>
      <c r="CS451" s="240"/>
      <c r="CT451" s="240"/>
      <c r="CU451" s="240"/>
      <c r="CV451" s="240"/>
      <c r="CW451" s="240"/>
      <c r="CX451" s="240"/>
      <c r="CY451" s="240"/>
      <c r="CZ451" s="240"/>
      <c r="DA451" s="240"/>
      <c r="DB451" s="240"/>
      <c r="DC451" s="240"/>
      <c r="DD451" s="240"/>
      <c r="DE451" s="240"/>
      <c r="DF451" s="240"/>
      <c r="DG451" s="240"/>
      <c r="DH451" s="478"/>
      <c r="DI451" s="733"/>
      <c r="DJ451" s="733"/>
      <c r="DK451" s="478"/>
      <c r="DL451" s="3"/>
      <c r="DM451" s="4"/>
      <c r="DN451" s="4"/>
      <c r="DO451" s="4"/>
      <c r="DP451" s="4"/>
      <c r="DQ451" s="4"/>
      <c r="DR451" s="4"/>
      <c r="DS451" s="4"/>
      <c r="DU451" s="195"/>
      <c r="DV451" s="195"/>
      <c r="DW451" s="195"/>
      <c r="DX451" s="195"/>
      <c r="DY451" s="195"/>
      <c r="DZ451" s="195"/>
      <c r="EA451" s="195"/>
      <c r="EB451" s="195"/>
      <c r="EC451" s="195"/>
      <c r="ED451" s="195"/>
      <c r="EE451" s="195"/>
      <c r="EF451" s="195"/>
      <c r="EG451" s="195"/>
      <c r="EL451" s="1"/>
      <c r="EM451" s="195"/>
      <c r="EN451" s="240"/>
      <c r="EO451" s="731"/>
      <c r="EP451" s="195"/>
      <c r="EQ451" s="240"/>
      <c r="ER451" s="195"/>
      <c r="ES451" s="195"/>
      <c r="ET451" s="195"/>
      <c r="EU451" s="672"/>
    </row>
    <row r="452" customFormat="false" ht="12.75" hidden="false" customHeight="false" outlineLevel="0" collapsed="false">
      <c r="I452" s="735"/>
      <c r="J452" s="727"/>
      <c r="K452" s="195"/>
      <c r="L452" s="195"/>
      <c r="M452" s="729"/>
      <c r="P452" s="727"/>
      <c r="S452" s="1"/>
      <c r="T452" s="727"/>
      <c r="U452" s="195"/>
      <c r="V452" s="195"/>
      <c r="W452" s="195"/>
      <c r="X452" s="195"/>
      <c r="Y452" s="195"/>
      <c r="Z452" s="195"/>
      <c r="AA452" s="195"/>
      <c r="AB452" s="195"/>
      <c r="AC452" s="195"/>
      <c r="AD452" s="195"/>
      <c r="AE452" s="195"/>
      <c r="AF452" s="195"/>
      <c r="AG452" s="195"/>
      <c r="AH452" s="195"/>
      <c r="AI452" s="195"/>
      <c r="AJ452" s="195"/>
      <c r="AK452" s="195"/>
      <c r="AL452" s="195"/>
      <c r="AM452" s="195"/>
      <c r="AN452" s="532"/>
      <c r="AO452" s="532"/>
      <c r="AP452" s="532"/>
      <c r="AQ452" s="532"/>
      <c r="AR452" s="532"/>
      <c r="AS452" s="195"/>
      <c r="AT452" s="240"/>
      <c r="AU452" s="240"/>
      <c r="AV452" s="240"/>
      <c r="AW452" s="730"/>
      <c r="AX452" s="730"/>
      <c r="AY452" s="730"/>
      <c r="AZ452" s="730"/>
      <c r="BA452" s="468"/>
      <c r="BB452" s="468"/>
      <c r="BC452" s="240"/>
      <c r="BD452" s="240"/>
      <c r="BE452" s="240"/>
      <c r="BF452" s="240"/>
      <c r="BG452" s="672"/>
      <c r="BH452" s="672"/>
      <c r="BI452" s="731"/>
      <c r="BJ452" s="672"/>
      <c r="BK452" s="672"/>
      <c r="BL452" s="240"/>
      <c r="BM452" s="736"/>
      <c r="BN452" s="737"/>
      <c r="BO452" s="240"/>
      <c r="BP452" s="240"/>
      <c r="BQ452" s="240"/>
      <c r="BR452" s="240"/>
      <c r="BS452" s="240"/>
      <c r="BT452" s="240"/>
      <c r="BU452" s="240"/>
      <c r="BV452" s="240"/>
      <c r="BW452" s="240"/>
      <c r="BX452" s="240"/>
      <c r="BY452" s="240"/>
      <c r="BZ452" s="240"/>
      <c r="CA452" s="240"/>
      <c r="CB452" s="240"/>
      <c r="CC452" s="240"/>
      <c r="CD452" s="672"/>
      <c r="CE452" s="672"/>
      <c r="CF452" s="672"/>
      <c r="CG452" s="672"/>
      <c r="CH452" s="672"/>
      <c r="CI452" s="672"/>
      <c r="CJ452" s="240"/>
      <c r="CK452" s="240"/>
      <c r="CL452" s="240"/>
      <c r="CM452" s="240"/>
      <c r="CN452" s="240"/>
      <c r="CO452" s="240"/>
      <c r="CP452" s="240"/>
      <c r="CQ452" s="240"/>
      <c r="CR452" s="240"/>
      <c r="CS452" s="240"/>
      <c r="CT452" s="240"/>
      <c r="CU452" s="240"/>
      <c r="CV452" s="240"/>
      <c r="CW452" s="240"/>
      <c r="CX452" s="240"/>
      <c r="CY452" s="240"/>
      <c r="CZ452" s="240"/>
      <c r="DA452" s="240"/>
      <c r="DB452" s="240"/>
      <c r="DC452" s="240"/>
      <c r="DD452" s="240"/>
      <c r="DE452" s="240"/>
      <c r="DF452" s="240"/>
      <c r="DG452" s="240"/>
      <c r="DH452" s="478"/>
      <c r="DI452" s="733"/>
      <c r="DJ452" s="733"/>
      <c r="DK452" s="478"/>
      <c r="DL452" s="3"/>
      <c r="DM452" s="4"/>
      <c r="DN452" s="4"/>
      <c r="DO452" s="4"/>
      <c r="DP452" s="4"/>
      <c r="DQ452" s="4"/>
      <c r="DR452" s="4"/>
      <c r="DS452" s="4"/>
      <c r="DU452" s="195"/>
      <c r="DV452" s="195"/>
      <c r="DW452" s="195"/>
      <c r="DX452" s="195"/>
      <c r="DY452" s="195"/>
      <c r="DZ452" s="195"/>
      <c r="EA452" s="195"/>
      <c r="EB452" s="195"/>
      <c r="EC452" s="195"/>
      <c r="ED452" s="195"/>
      <c r="EE452" s="195"/>
      <c r="EF452" s="195"/>
      <c r="EG452" s="195"/>
      <c r="EL452" s="1"/>
      <c r="EM452" s="195"/>
      <c r="EN452" s="240"/>
      <c r="EO452" s="731"/>
      <c r="EP452" s="195"/>
      <c r="EQ452" s="240"/>
      <c r="ER452" s="195"/>
      <c r="ES452" s="195"/>
      <c r="ET452" s="195"/>
      <c r="EU452" s="672"/>
    </row>
    <row r="453" customFormat="false" ht="12.75" hidden="false" customHeight="false" outlineLevel="0" collapsed="false">
      <c r="I453" s="735"/>
      <c r="J453" s="727"/>
      <c r="K453" s="195"/>
      <c r="L453" s="195"/>
      <c r="M453" s="729"/>
      <c r="P453" s="727"/>
      <c r="S453" s="1"/>
      <c r="T453" s="727"/>
      <c r="U453" s="195"/>
      <c r="V453" s="195"/>
      <c r="W453" s="195"/>
      <c r="X453" s="195"/>
      <c r="Y453" s="195"/>
      <c r="Z453" s="195"/>
      <c r="AA453" s="195"/>
      <c r="AB453" s="195"/>
      <c r="AC453" s="195"/>
      <c r="AD453" s="195"/>
      <c r="AE453" s="195"/>
      <c r="AF453" s="195"/>
      <c r="AG453" s="195"/>
      <c r="AH453" s="195"/>
      <c r="AI453" s="195"/>
      <c r="AJ453" s="195"/>
      <c r="AK453" s="195"/>
      <c r="AL453" s="195"/>
      <c r="AM453" s="195"/>
      <c r="AN453" s="532"/>
      <c r="AO453" s="532"/>
      <c r="AP453" s="532"/>
      <c r="AQ453" s="532"/>
      <c r="AR453" s="532"/>
      <c r="AS453" s="195"/>
      <c r="AT453" s="240"/>
      <c r="AU453" s="240"/>
      <c r="AV453" s="240"/>
      <c r="AW453" s="730"/>
      <c r="AX453" s="730"/>
      <c r="AY453" s="730"/>
      <c r="AZ453" s="730"/>
      <c r="BA453" s="468"/>
      <c r="BB453" s="468"/>
      <c r="BC453" s="240"/>
      <c r="BD453" s="240"/>
      <c r="BE453" s="240"/>
      <c r="BF453" s="240"/>
      <c r="BG453" s="672"/>
      <c r="BH453" s="672"/>
      <c r="BI453" s="731"/>
      <c r="BJ453" s="672"/>
      <c r="BK453" s="672"/>
      <c r="BL453" s="240"/>
      <c r="BM453" s="736"/>
      <c r="BN453" s="737"/>
      <c r="BO453" s="240"/>
      <c r="BP453" s="240"/>
      <c r="BQ453" s="240"/>
      <c r="BR453" s="240"/>
      <c r="BS453" s="240"/>
      <c r="BT453" s="240"/>
      <c r="BU453" s="240"/>
      <c r="BV453" s="240"/>
      <c r="BW453" s="240"/>
      <c r="BX453" s="240"/>
      <c r="BY453" s="240"/>
      <c r="BZ453" s="240"/>
      <c r="CA453" s="240"/>
      <c r="CB453" s="240"/>
      <c r="CC453" s="240"/>
      <c r="CD453" s="672"/>
      <c r="CE453" s="672"/>
      <c r="CF453" s="672"/>
      <c r="CG453" s="672"/>
      <c r="CH453" s="672"/>
      <c r="CI453" s="672"/>
      <c r="CJ453" s="240"/>
      <c r="CK453" s="240"/>
      <c r="CL453" s="240"/>
      <c r="CM453" s="240"/>
      <c r="CN453" s="240"/>
      <c r="CO453" s="240"/>
      <c r="CP453" s="240"/>
      <c r="CQ453" s="240"/>
      <c r="CR453" s="240"/>
      <c r="CS453" s="240"/>
      <c r="CT453" s="240"/>
      <c r="CU453" s="240"/>
      <c r="CV453" s="240"/>
      <c r="CW453" s="240"/>
      <c r="CX453" s="240"/>
      <c r="CY453" s="240"/>
      <c r="CZ453" s="240"/>
      <c r="DA453" s="240"/>
      <c r="DB453" s="240"/>
      <c r="DC453" s="240"/>
      <c r="DD453" s="240"/>
      <c r="DE453" s="240"/>
      <c r="DF453" s="240"/>
      <c r="DG453" s="240"/>
      <c r="DH453" s="478"/>
      <c r="DI453" s="733"/>
      <c r="DJ453" s="733"/>
      <c r="DK453" s="478"/>
      <c r="DL453" s="3"/>
      <c r="DM453" s="4"/>
      <c r="DN453" s="4"/>
      <c r="DO453" s="4"/>
      <c r="DP453" s="4"/>
      <c r="DQ453" s="4"/>
      <c r="DR453" s="4"/>
      <c r="DS453" s="4"/>
      <c r="DU453" s="195"/>
      <c r="DV453" s="195"/>
      <c r="DW453" s="195"/>
      <c r="DX453" s="195"/>
      <c r="DY453" s="195"/>
      <c r="DZ453" s="195"/>
      <c r="EA453" s="195"/>
      <c r="EB453" s="195"/>
      <c r="EC453" s="195"/>
      <c r="ED453" s="195"/>
      <c r="EE453" s="195"/>
      <c r="EF453" s="195"/>
      <c r="EG453" s="195"/>
      <c r="EL453" s="1"/>
      <c r="EM453" s="195"/>
      <c r="EN453" s="240"/>
      <c r="EO453" s="731"/>
      <c r="EP453" s="195"/>
      <c r="EQ453" s="240"/>
      <c r="ER453" s="195"/>
      <c r="ES453" s="195"/>
      <c r="ET453" s="195"/>
      <c r="EU453" s="672"/>
    </row>
    <row r="454" customFormat="false" ht="12.75" hidden="false" customHeight="false" outlineLevel="0" collapsed="false">
      <c r="I454" s="735"/>
      <c r="J454" s="727"/>
      <c r="K454" s="195"/>
      <c r="L454" s="195"/>
      <c r="M454" s="729"/>
      <c r="P454" s="727"/>
      <c r="S454" s="1"/>
      <c r="T454" s="727"/>
      <c r="U454" s="195"/>
      <c r="V454" s="195"/>
      <c r="W454" s="195"/>
      <c r="X454" s="195"/>
      <c r="Y454" s="195"/>
      <c r="Z454" s="195"/>
      <c r="AA454" s="195"/>
      <c r="AB454" s="195"/>
      <c r="AC454" s="195"/>
      <c r="AD454" s="195"/>
      <c r="AE454" s="195"/>
      <c r="AF454" s="195"/>
      <c r="AG454" s="195"/>
      <c r="AH454" s="195"/>
      <c r="AI454" s="195"/>
      <c r="AJ454" s="195"/>
      <c r="AK454" s="195"/>
      <c r="AL454" s="195"/>
      <c r="AM454" s="195"/>
      <c r="AN454" s="532"/>
      <c r="AO454" s="532"/>
      <c r="AP454" s="532"/>
      <c r="AQ454" s="532"/>
      <c r="AR454" s="532"/>
      <c r="AS454" s="195"/>
      <c r="AT454" s="240"/>
      <c r="AU454" s="240"/>
      <c r="AV454" s="240"/>
      <c r="AW454" s="730"/>
      <c r="AX454" s="730"/>
      <c r="AY454" s="730"/>
      <c r="AZ454" s="730"/>
      <c r="BA454" s="468"/>
      <c r="BB454" s="468"/>
      <c r="BC454" s="240"/>
      <c r="BD454" s="240"/>
      <c r="BE454" s="240"/>
      <c r="BF454" s="240"/>
      <c r="BG454" s="672"/>
      <c r="BH454" s="672"/>
      <c r="BI454" s="731"/>
      <c r="BJ454" s="672"/>
      <c r="BK454" s="672"/>
      <c r="BL454" s="240"/>
      <c r="BM454" s="736"/>
      <c r="BN454" s="737"/>
      <c r="BO454" s="240"/>
      <c r="BP454" s="240"/>
      <c r="BQ454" s="240"/>
      <c r="BR454" s="240"/>
      <c r="BS454" s="240"/>
      <c r="BT454" s="240"/>
      <c r="BU454" s="240"/>
      <c r="BV454" s="240"/>
      <c r="BW454" s="240"/>
      <c r="BX454" s="240"/>
      <c r="BY454" s="240"/>
      <c r="BZ454" s="240"/>
      <c r="CA454" s="240"/>
      <c r="CB454" s="240"/>
      <c r="CC454" s="240"/>
      <c r="CD454" s="672"/>
      <c r="CE454" s="672"/>
      <c r="CF454" s="672"/>
      <c r="CG454" s="672"/>
      <c r="CH454" s="672"/>
      <c r="CI454" s="672"/>
      <c r="CJ454" s="240"/>
      <c r="CK454" s="240"/>
      <c r="CL454" s="240"/>
      <c r="CM454" s="240"/>
      <c r="CN454" s="240"/>
      <c r="CO454" s="240"/>
      <c r="CP454" s="240"/>
      <c r="CQ454" s="240"/>
      <c r="CR454" s="240"/>
      <c r="CS454" s="240"/>
      <c r="CT454" s="240"/>
      <c r="CU454" s="240"/>
      <c r="CV454" s="240"/>
      <c r="CW454" s="240"/>
      <c r="CX454" s="240"/>
      <c r="CY454" s="240"/>
      <c r="CZ454" s="240"/>
      <c r="DA454" s="240"/>
      <c r="DB454" s="240"/>
      <c r="DC454" s="240"/>
      <c r="DD454" s="240"/>
      <c r="DE454" s="240"/>
      <c r="DF454" s="240"/>
      <c r="DG454" s="240"/>
      <c r="DH454" s="478"/>
      <c r="DI454" s="733"/>
      <c r="DJ454" s="733"/>
      <c r="DK454" s="478"/>
      <c r="DL454" s="3"/>
      <c r="DM454" s="4"/>
      <c r="DN454" s="4"/>
      <c r="DO454" s="4"/>
      <c r="DP454" s="4"/>
      <c r="DQ454" s="4"/>
      <c r="DR454" s="4"/>
      <c r="DS454" s="4"/>
      <c r="DU454" s="195"/>
      <c r="DV454" s="195"/>
      <c r="DW454" s="195"/>
      <c r="DX454" s="195"/>
      <c r="DY454" s="195"/>
      <c r="DZ454" s="195"/>
      <c r="EA454" s="195"/>
      <c r="EB454" s="195"/>
      <c r="EC454" s="195"/>
      <c r="ED454" s="195"/>
      <c r="EE454" s="195"/>
      <c r="EF454" s="195"/>
      <c r="EG454" s="195"/>
      <c r="EL454" s="1"/>
      <c r="EM454" s="195"/>
      <c r="EN454" s="240"/>
      <c r="EO454" s="731"/>
      <c r="EP454" s="195"/>
      <c r="EQ454" s="240"/>
      <c r="ER454" s="195"/>
      <c r="ES454" s="195"/>
      <c r="ET454" s="195"/>
      <c r="EU454" s="672"/>
    </row>
    <row r="455" customFormat="false" ht="12.75" hidden="false" customHeight="false" outlineLevel="0" collapsed="false">
      <c r="I455" s="735"/>
      <c r="J455" s="727"/>
      <c r="K455" s="195"/>
      <c r="L455" s="195"/>
      <c r="M455" s="729"/>
      <c r="P455" s="727"/>
      <c r="S455" s="1"/>
      <c r="T455" s="727"/>
      <c r="U455" s="195"/>
      <c r="V455" s="195"/>
      <c r="W455" s="195"/>
      <c r="X455" s="195"/>
      <c r="Y455" s="195"/>
      <c r="Z455" s="195"/>
      <c r="AA455" s="195"/>
      <c r="AB455" s="195"/>
      <c r="AC455" s="195"/>
      <c r="AD455" s="195"/>
      <c r="AE455" s="195"/>
      <c r="AF455" s="195"/>
      <c r="AG455" s="195"/>
      <c r="AH455" s="195"/>
      <c r="AI455" s="195"/>
      <c r="AJ455" s="195"/>
      <c r="AK455" s="195"/>
      <c r="AL455" s="195"/>
      <c r="AM455" s="195"/>
      <c r="AN455" s="532"/>
      <c r="AO455" s="532"/>
      <c r="AP455" s="532"/>
      <c r="AQ455" s="532"/>
      <c r="AR455" s="532"/>
      <c r="AS455" s="195"/>
      <c r="AT455" s="240"/>
      <c r="AU455" s="240"/>
      <c r="AV455" s="240"/>
      <c r="AW455" s="730"/>
      <c r="AX455" s="730"/>
      <c r="AY455" s="730"/>
      <c r="AZ455" s="730"/>
      <c r="BA455" s="468"/>
      <c r="BB455" s="468"/>
      <c r="BC455" s="240"/>
      <c r="BD455" s="240"/>
      <c r="BE455" s="240"/>
      <c r="BF455" s="240"/>
      <c r="BG455" s="672"/>
      <c r="BH455" s="672"/>
      <c r="BI455" s="731"/>
      <c r="BJ455" s="672"/>
      <c r="BK455" s="672"/>
      <c r="BL455" s="240"/>
      <c r="BM455" s="736"/>
      <c r="BN455" s="737"/>
      <c r="BO455" s="240"/>
      <c r="BP455" s="240"/>
      <c r="BQ455" s="240"/>
      <c r="BR455" s="240"/>
      <c r="BS455" s="240"/>
      <c r="BT455" s="240"/>
      <c r="BU455" s="240"/>
      <c r="BV455" s="240"/>
      <c r="BW455" s="240"/>
      <c r="BX455" s="240"/>
      <c r="BY455" s="240"/>
      <c r="BZ455" s="240"/>
      <c r="CA455" s="240"/>
      <c r="CB455" s="240"/>
      <c r="CC455" s="240"/>
      <c r="CD455" s="672"/>
      <c r="CE455" s="672"/>
      <c r="CF455" s="672"/>
      <c r="CG455" s="672"/>
      <c r="CH455" s="672"/>
      <c r="CI455" s="672"/>
      <c r="CJ455" s="240"/>
      <c r="CK455" s="240"/>
      <c r="CL455" s="240"/>
      <c r="CM455" s="240"/>
      <c r="CN455" s="240"/>
      <c r="CO455" s="240"/>
      <c r="CP455" s="240"/>
      <c r="CQ455" s="240"/>
      <c r="CR455" s="240"/>
      <c r="CS455" s="240"/>
      <c r="CT455" s="240"/>
      <c r="CU455" s="240"/>
      <c r="CV455" s="240"/>
      <c r="CW455" s="240"/>
      <c r="CX455" s="240"/>
      <c r="CY455" s="240"/>
      <c r="CZ455" s="240"/>
      <c r="DA455" s="240"/>
      <c r="DB455" s="240"/>
      <c r="DC455" s="240"/>
      <c r="DD455" s="240"/>
      <c r="DE455" s="240"/>
      <c r="DF455" s="240"/>
      <c r="DG455" s="240"/>
      <c r="DH455" s="478"/>
      <c r="DI455" s="733"/>
      <c r="DJ455" s="733"/>
      <c r="DK455" s="478"/>
      <c r="DL455" s="3"/>
      <c r="DM455" s="4"/>
      <c r="DN455" s="4"/>
      <c r="DO455" s="4"/>
      <c r="DP455" s="4"/>
      <c r="DQ455" s="4"/>
      <c r="DR455" s="4"/>
      <c r="DS455" s="4"/>
      <c r="DU455" s="195"/>
      <c r="DV455" s="195"/>
      <c r="DW455" s="195"/>
      <c r="DX455" s="195"/>
      <c r="DY455" s="195"/>
      <c r="DZ455" s="195"/>
      <c r="EA455" s="195"/>
      <c r="EB455" s="195"/>
      <c r="EC455" s="195"/>
      <c r="ED455" s="195"/>
      <c r="EE455" s="195"/>
      <c r="EF455" s="195"/>
      <c r="EG455" s="195"/>
      <c r="EL455" s="1"/>
      <c r="EM455" s="195"/>
      <c r="EN455" s="240"/>
      <c r="EO455" s="731"/>
      <c r="EP455" s="195"/>
      <c r="EQ455" s="240"/>
      <c r="ER455" s="195"/>
      <c r="ES455" s="195"/>
      <c r="ET455" s="195"/>
      <c r="EU455" s="672"/>
    </row>
    <row r="456" customFormat="false" ht="12.75" hidden="false" customHeight="false" outlineLevel="0" collapsed="false">
      <c r="I456" s="735"/>
      <c r="J456" s="727"/>
      <c r="K456" s="195"/>
      <c r="L456" s="195"/>
      <c r="M456" s="729"/>
      <c r="P456" s="727"/>
      <c r="S456" s="1"/>
      <c r="T456" s="727"/>
      <c r="U456" s="195"/>
      <c r="V456" s="195"/>
      <c r="W456" s="195"/>
      <c r="X456" s="195"/>
      <c r="Y456" s="195"/>
      <c r="Z456" s="195"/>
      <c r="AA456" s="195"/>
      <c r="AB456" s="195"/>
      <c r="AC456" s="195"/>
      <c r="AD456" s="195"/>
      <c r="AE456" s="195"/>
      <c r="AF456" s="195"/>
      <c r="AG456" s="195"/>
      <c r="AH456" s="195"/>
      <c r="AI456" s="195"/>
      <c r="AJ456" s="195"/>
      <c r="AK456" s="195"/>
      <c r="AL456" s="195"/>
      <c r="AM456" s="195"/>
      <c r="AN456" s="532"/>
      <c r="AO456" s="532"/>
      <c r="AP456" s="532"/>
      <c r="AQ456" s="532"/>
      <c r="AR456" s="532"/>
      <c r="AS456" s="195"/>
      <c r="AT456" s="240"/>
      <c r="AU456" s="240"/>
      <c r="AV456" s="240"/>
      <c r="AW456" s="730"/>
      <c r="AX456" s="730"/>
      <c r="AY456" s="730"/>
      <c r="AZ456" s="730"/>
      <c r="BA456" s="468"/>
      <c r="BB456" s="468"/>
      <c r="BC456" s="240"/>
      <c r="BD456" s="240"/>
      <c r="BE456" s="240"/>
      <c r="BF456" s="240"/>
      <c r="BG456" s="672"/>
      <c r="BH456" s="672"/>
      <c r="BI456" s="731"/>
      <c r="BJ456" s="672"/>
      <c r="BK456" s="672"/>
      <c r="BL456" s="240"/>
      <c r="BM456" s="736"/>
      <c r="BN456" s="737"/>
      <c r="BO456" s="240"/>
      <c r="BP456" s="240"/>
      <c r="BQ456" s="240"/>
      <c r="BR456" s="240"/>
      <c r="BS456" s="240"/>
      <c r="BT456" s="240"/>
      <c r="BU456" s="240"/>
      <c r="BV456" s="240"/>
      <c r="BW456" s="240"/>
      <c r="BX456" s="240"/>
      <c r="BY456" s="240"/>
      <c r="BZ456" s="240"/>
      <c r="CA456" s="240"/>
      <c r="CB456" s="240"/>
      <c r="CC456" s="240"/>
      <c r="CD456" s="672"/>
      <c r="CE456" s="672"/>
      <c r="CF456" s="672"/>
      <c r="CG456" s="672"/>
      <c r="CH456" s="672"/>
      <c r="CI456" s="672"/>
      <c r="CJ456" s="240"/>
      <c r="CK456" s="240"/>
      <c r="CL456" s="240"/>
      <c r="CM456" s="240"/>
      <c r="CN456" s="240"/>
      <c r="CO456" s="240"/>
      <c r="CP456" s="240"/>
      <c r="CQ456" s="240"/>
      <c r="CR456" s="240"/>
      <c r="CS456" s="240"/>
      <c r="CT456" s="240"/>
      <c r="CU456" s="240"/>
      <c r="CV456" s="240"/>
      <c r="CW456" s="240"/>
      <c r="CX456" s="240"/>
      <c r="CY456" s="240"/>
      <c r="CZ456" s="240"/>
      <c r="DA456" s="240"/>
      <c r="DB456" s="240"/>
      <c r="DC456" s="240"/>
      <c r="DD456" s="240"/>
      <c r="DE456" s="240"/>
      <c r="DF456" s="240"/>
      <c r="DG456" s="240"/>
      <c r="DH456" s="478"/>
      <c r="DI456" s="733"/>
      <c r="DJ456" s="733"/>
      <c r="DK456" s="478"/>
      <c r="DL456" s="3"/>
      <c r="DM456" s="4"/>
      <c r="DN456" s="4"/>
      <c r="DO456" s="4"/>
      <c r="DP456" s="4"/>
      <c r="DQ456" s="4"/>
      <c r="DR456" s="4"/>
      <c r="DS456" s="4"/>
      <c r="DU456" s="195"/>
      <c r="DV456" s="195"/>
      <c r="DW456" s="195"/>
      <c r="DX456" s="195"/>
      <c r="DY456" s="195"/>
      <c r="DZ456" s="195"/>
      <c r="EA456" s="195"/>
      <c r="EB456" s="195"/>
      <c r="EC456" s="195"/>
      <c r="ED456" s="195"/>
      <c r="EE456" s="195"/>
      <c r="EF456" s="195"/>
      <c r="EG456" s="195"/>
      <c r="EL456" s="1"/>
      <c r="EM456" s="195"/>
      <c r="EN456" s="240"/>
      <c r="EO456" s="731"/>
      <c r="EP456" s="195"/>
      <c r="EQ456" s="240"/>
      <c r="ER456" s="195"/>
      <c r="ES456" s="195"/>
      <c r="ET456" s="195"/>
      <c r="EU456" s="672"/>
    </row>
    <row r="457" customFormat="false" ht="12.75" hidden="false" customHeight="false" outlineLevel="0" collapsed="false">
      <c r="I457" s="735"/>
      <c r="J457" s="727"/>
      <c r="K457" s="195"/>
      <c r="L457" s="195"/>
      <c r="M457" s="729"/>
      <c r="P457" s="727"/>
      <c r="S457" s="1"/>
      <c r="T457" s="727"/>
      <c r="U457" s="195"/>
      <c r="V457" s="195"/>
      <c r="W457" s="195"/>
      <c r="X457" s="195"/>
      <c r="Y457" s="195"/>
      <c r="Z457" s="195"/>
      <c r="AA457" s="195"/>
      <c r="AB457" s="195"/>
      <c r="AC457" s="195"/>
      <c r="AD457" s="195"/>
      <c r="AE457" s="195"/>
      <c r="AF457" s="195"/>
      <c r="AG457" s="195"/>
      <c r="AH457" s="195"/>
      <c r="AI457" s="195"/>
      <c r="AJ457" s="195"/>
      <c r="AK457" s="195"/>
      <c r="AL457" s="195"/>
      <c r="AM457" s="195"/>
      <c r="AN457" s="532"/>
      <c r="AO457" s="532"/>
      <c r="AP457" s="532"/>
      <c r="AQ457" s="532"/>
      <c r="AR457" s="532"/>
      <c r="AS457" s="195"/>
      <c r="AT457" s="240"/>
      <c r="AU457" s="240"/>
      <c r="AV457" s="240"/>
      <c r="AW457" s="730"/>
      <c r="AX457" s="730"/>
      <c r="AY457" s="730"/>
      <c r="AZ457" s="730"/>
      <c r="BA457" s="468"/>
      <c r="BB457" s="468"/>
      <c r="BC457" s="240"/>
      <c r="BD457" s="240"/>
      <c r="BE457" s="240"/>
      <c r="BF457" s="240"/>
      <c r="BG457" s="672"/>
      <c r="BH457" s="672"/>
      <c r="BI457" s="731"/>
      <c r="BJ457" s="672"/>
      <c r="BK457" s="672"/>
      <c r="BL457" s="240"/>
      <c r="BM457" s="736"/>
      <c r="BN457" s="737"/>
      <c r="BO457" s="240"/>
      <c r="BP457" s="240"/>
      <c r="BQ457" s="240"/>
      <c r="BR457" s="240"/>
      <c r="BS457" s="240"/>
      <c r="BT457" s="240"/>
      <c r="BU457" s="240"/>
      <c r="BV457" s="240"/>
      <c r="BW457" s="240"/>
      <c r="BX457" s="240"/>
      <c r="BY457" s="240"/>
      <c r="BZ457" s="240"/>
      <c r="CA457" s="240"/>
      <c r="CB457" s="240"/>
      <c r="CC457" s="240"/>
      <c r="CD457" s="672"/>
      <c r="CE457" s="672"/>
      <c r="CF457" s="672"/>
      <c r="CG457" s="672"/>
      <c r="CH457" s="672"/>
      <c r="CI457" s="672"/>
      <c r="CJ457" s="240"/>
      <c r="CK457" s="240"/>
      <c r="CL457" s="240"/>
      <c r="CM457" s="240"/>
      <c r="CN457" s="240"/>
      <c r="CO457" s="240"/>
      <c r="CP457" s="240"/>
      <c r="CQ457" s="240"/>
      <c r="CR457" s="240"/>
      <c r="CS457" s="240"/>
      <c r="CT457" s="240"/>
      <c r="CU457" s="240"/>
      <c r="CV457" s="240"/>
      <c r="CW457" s="240"/>
      <c r="CX457" s="240"/>
      <c r="CY457" s="240"/>
      <c r="CZ457" s="240"/>
      <c r="DA457" s="240"/>
      <c r="DB457" s="240"/>
      <c r="DC457" s="240"/>
      <c r="DD457" s="240"/>
      <c r="DE457" s="240"/>
      <c r="DF457" s="240"/>
      <c r="DG457" s="240"/>
      <c r="DH457" s="478"/>
      <c r="DI457" s="733"/>
      <c r="DJ457" s="733"/>
      <c r="DK457" s="478"/>
      <c r="DL457" s="3"/>
      <c r="DM457" s="4"/>
      <c r="DN457" s="4"/>
      <c r="DO457" s="4"/>
      <c r="DP457" s="4"/>
      <c r="DQ457" s="4"/>
      <c r="DR457" s="4"/>
      <c r="DS457" s="4"/>
      <c r="DU457" s="195"/>
      <c r="DV457" s="195"/>
      <c r="DW457" s="195"/>
      <c r="DX457" s="195"/>
      <c r="DY457" s="195"/>
      <c r="DZ457" s="195"/>
      <c r="EA457" s="195"/>
      <c r="EB457" s="195"/>
      <c r="EC457" s="195"/>
      <c r="ED457" s="195"/>
      <c r="EE457" s="195"/>
      <c r="EF457" s="195"/>
      <c r="EG457" s="195"/>
      <c r="EL457" s="1"/>
      <c r="EM457" s="195"/>
      <c r="EN457" s="240"/>
      <c r="EO457" s="731"/>
      <c r="EP457" s="195"/>
      <c r="EQ457" s="240"/>
      <c r="ER457" s="195"/>
      <c r="ES457" s="195"/>
      <c r="ET457" s="195"/>
      <c r="EU457" s="672"/>
    </row>
    <row r="458" customFormat="false" ht="12.75" hidden="false" customHeight="false" outlineLevel="0" collapsed="false">
      <c r="I458" s="735"/>
      <c r="J458" s="727"/>
      <c r="K458" s="195"/>
      <c r="L458" s="195"/>
      <c r="M458" s="729"/>
      <c r="P458" s="727"/>
      <c r="S458" s="1"/>
      <c r="T458" s="727"/>
      <c r="U458" s="195"/>
      <c r="V458" s="195"/>
      <c r="W458" s="195"/>
      <c r="X458" s="195"/>
      <c r="Y458" s="195"/>
      <c r="Z458" s="195"/>
      <c r="AA458" s="195"/>
      <c r="AB458" s="195"/>
      <c r="AC458" s="195"/>
      <c r="AD458" s="195"/>
      <c r="AE458" s="195"/>
      <c r="AF458" s="195"/>
      <c r="AG458" s="195"/>
      <c r="AH458" s="195"/>
      <c r="AI458" s="195"/>
      <c r="AJ458" s="195"/>
      <c r="AK458" s="195"/>
      <c r="AL458" s="195"/>
      <c r="AM458" s="195"/>
      <c r="AN458" s="532"/>
      <c r="AO458" s="532"/>
      <c r="AP458" s="532"/>
      <c r="AQ458" s="532"/>
      <c r="AR458" s="532"/>
      <c r="AS458" s="195"/>
      <c r="AT458" s="240"/>
      <c r="AU458" s="240"/>
      <c r="AV458" s="240"/>
      <c r="AW458" s="730"/>
      <c r="AX458" s="730"/>
      <c r="AY458" s="730"/>
      <c r="AZ458" s="730"/>
      <c r="BA458" s="468"/>
      <c r="BB458" s="468"/>
      <c r="BC458" s="240"/>
      <c r="BD458" s="240"/>
      <c r="BE458" s="240"/>
      <c r="BF458" s="240"/>
      <c r="BG458" s="672"/>
      <c r="BH458" s="672"/>
      <c r="BI458" s="731"/>
      <c r="BJ458" s="672"/>
      <c r="BK458" s="672"/>
      <c r="BL458" s="240"/>
      <c r="BM458" s="736"/>
      <c r="BN458" s="737"/>
      <c r="BO458" s="240"/>
      <c r="BP458" s="240"/>
      <c r="BQ458" s="240"/>
      <c r="BR458" s="240"/>
      <c r="BS458" s="240"/>
      <c r="BT458" s="240"/>
      <c r="BU458" s="240"/>
      <c r="BV458" s="240"/>
      <c r="BW458" s="240"/>
      <c r="BX458" s="240"/>
      <c r="BY458" s="240"/>
      <c r="BZ458" s="240"/>
      <c r="CA458" s="240"/>
      <c r="CB458" s="240"/>
      <c r="CC458" s="240"/>
      <c r="CD458" s="672"/>
      <c r="CE458" s="672"/>
      <c r="CF458" s="672"/>
      <c r="CG458" s="672"/>
      <c r="CH458" s="672"/>
      <c r="CI458" s="672"/>
      <c r="CJ458" s="240"/>
      <c r="CK458" s="240"/>
      <c r="CL458" s="240"/>
      <c r="CM458" s="240"/>
      <c r="CN458" s="240"/>
      <c r="CO458" s="240"/>
      <c r="CP458" s="240"/>
      <c r="CQ458" s="240"/>
      <c r="CR458" s="240"/>
      <c r="CS458" s="240"/>
      <c r="CT458" s="240"/>
      <c r="CU458" s="240"/>
      <c r="CV458" s="240"/>
      <c r="CW458" s="240"/>
      <c r="CX458" s="240"/>
      <c r="CY458" s="240"/>
      <c r="CZ458" s="240"/>
      <c r="DA458" s="240"/>
      <c r="DB458" s="240"/>
      <c r="DC458" s="240"/>
      <c r="DD458" s="240"/>
      <c r="DE458" s="240"/>
      <c r="DF458" s="240"/>
      <c r="DG458" s="240"/>
      <c r="DH458" s="478"/>
      <c r="DI458" s="733"/>
      <c r="DJ458" s="733"/>
      <c r="DK458" s="478"/>
      <c r="DL458" s="3"/>
      <c r="DM458" s="4"/>
      <c r="DN458" s="4"/>
      <c r="DO458" s="4"/>
      <c r="DP458" s="4"/>
      <c r="DQ458" s="4"/>
      <c r="DR458" s="4"/>
      <c r="DS458" s="4"/>
      <c r="DU458" s="195"/>
      <c r="DV458" s="195"/>
      <c r="DW458" s="195"/>
      <c r="DX458" s="195"/>
      <c r="DY458" s="195"/>
      <c r="DZ458" s="195"/>
      <c r="EA458" s="195"/>
      <c r="EB458" s="195"/>
      <c r="EC458" s="195"/>
      <c r="ED458" s="195"/>
      <c r="EE458" s="195"/>
      <c r="EF458" s="195"/>
      <c r="EG458" s="195"/>
      <c r="EL458" s="1"/>
      <c r="EM458" s="195"/>
      <c r="EN458" s="240"/>
      <c r="EO458" s="731"/>
      <c r="EP458" s="195"/>
      <c r="EQ458" s="240"/>
      <c r="ER458" s="195"/>
      <c r="ES458" s="195"/>
      <c r="ET458" s="195"/>
      <c r="EU458" s="672"/>
    </row>
    <row r="459" customFormat="false" ht="12.75" hidden="false" customHeight="false" outlineLevel="0" collapsed="false">
      <c r="I459" s="735"/>
      <c r="J459" s="727"/>
      <c r="K459" s="195"/>
      <c r="L459" s="195"/>
      <c r="M459" s="729"/>
      <c r="P459" s="727"/>
      <c r="S459" s="1"/>
      <c r="T459" s="727"/>
      <c r="U459" s="195"/>
      <c r="V459" s="195"/>
      <c r="W459" s="195"/>
      <c r="X459" s="195"/>
      <c r="Y459" s="195"/>
      <c r="Z459" s="195"/>
      <c r="AA459" s="195"/>
      <c r="AB459" s="195"/>
      <c r="AC459" s="195"/>
      <c r="AD459" s="195"/>
      <c r="AE459" s="195"/>
      <c r="AF459" s="195"/>
      <c r="AG459" s="195"/>
      <c r="AH459" s="195"/>
      <c r="AI459" s="195"/>
      <c r="AJ459" s="195"/>
      <c r="AK459" s="195"/>
      <c r="AL459" s="195"/>
      <c r="AM459" s="195"/>
      <c r="AN459" s="532"/>
      <c r="AO459" s="532"/>
      <c r="AP459" s="532"/>
      <c r="AQ459" s="532"/>
      <c r="AR459" s="532"/>
      <c r="AS459" s="195"/>
      <c r="AT459" s="240"/>
      <c r="AU459" s="240"/>
      <c r="AV459" s="240"/>
      <c r="AW459" s="730"/>
      <c r="AX459" s="730"/>
      <c r="AY459" s="730"/>
      <c r="AZ459" s="730"/>
      <c r="BA459" s="468"/>
      <c r="BB459" s="468"/>
      <c r="BC459" s="240"/>
      <c r="BD459" s="240"/>
      <c r="BE459" s="240"/>
      <c r="BF459" s="240"/>
      <c r="BG459" s="672"/>
      <c r="BH459" s="672"/>
      <c r="BI459" s="731"/>
      <c r="BJ459" s="672"/>
      <c r="BK459" s="672"/>
      <c r="BL459" s="240"/>
      <c r="BM459" s="736"/>
      <c r="BN459" s="737"/>
      <c r="BO459" s="240"/>
      <c r="BP459" s="240"/>
      <c r="BQ459" s="240"/>
      <c r="BR459" s="240"/>
      <c r="BS459" s="240"/>
      <c r="BT459" s="240"/>
      <c r="BU459" s="240"/>
      <c r="BV459" s="240"/>
      <c r="BW459" s="240"/>
      <c r="BX459" s="240"/>
      <c r="BY459" s="240"/>
      <c r="BZ459" s="240"/>
      <c r="CA459" s="240"/>
      <c r="CB459" s="240"/>
      <c r="CC459" s="240"/>
      <c r="CD459" s="672"/>
      <c r="CE459" s="672"/>
      <c r="CF459" s="672"/>
      <c r="CG459" s="672"/>
      <c r="CH459" s="672"/>
      <c r="CI459" s="672"/>
      <c r="CJ459" s="240"/>
      <c r="CK459" s="240"/>
      <c r="CL459" s="240"/>
      <c r="CM459" s="240"/>
      <c r="CN459" s="240"/>
      <c r="CO459" s="240"/>
      <c r="CP459" s="240"/>
      <c r="CQ459" s="240"/>
      <c r="CR459" s="240"/>
      <c r="CS459" s="240"/>
      <c r="CT459" s="240"/>
      <c r="CU459" s="240"/>
      <c r="CV459" s="240"/>
      <c r="CW459" s="240"/>
      <c r="CX459" s="240"/>
      <c r="CY459" s="240"/>
      <c r="CZ459" s="240"/>
      <c r="DA459" s="240"/>
      <c r="DB459" s="240"/>
      <c r="DC459" s="240"/>
      <c r="DD459" s="240"/>
      <c r="DE459" s="240"/>
      <c r="DF459" s="240"/>
      <c r="DG459" s="240"/>
      <c r="DH459" s="478"/>
      <c r="DI459" s="733"/>
      <c r="DJ459" s="733"/>
      <c r="DK459" s="478"/>
      <c r="DL459" s="3"/>
      <c r="DM459" s="4"/>
      <c r="DN459" s="4"/>
      <c r="DO459" s="4"/>
      <c r="DP459" s="4"/>
      <c r="DQ459" s="4"/>
      <c r="DR459" s="4"/>
      <c r="DS459" s="4"/>
      <c r="DU459" s="195"/>
      <c r="DV459" s="195"/>
      <c r="DW459" s="195"/>
      <c r="DX459" s="195"/>
      <c r="DY459" s="195"/>
      <c r="DZ459" s="195"/>
      <c r="EA459" s="195"/>
      <c r="EB459" s="195"/>
      <c r="EC459" s="195"/>
      <c r="ED459" s="195"/>
      <c r="EE459" s="195"/>
      <c r="EF459" s="195"/>
      <c r="EG459" s="195"/>
      <c r="EL459" s="1"/>
      <c r="EM459" s="195"/>
      <c r="EN459" s="240"/>
      <c r="EO459" s="731"/>
      <c r="EP459" s="195"/>
      <c r="EQ459" s="240"/>
      <c r="ER459" s="195"/>
      <c r="ES459" s="195"/>
      <c r="ET459" s="195"/>
      <c r="EU459" s="672"/>
    </row>
    <row r="460" customFormat="false" ht="12.75" hidden="false" customHeight="false" outlineLevel="0" collapsed="false">
      <c r="I460" s="735"/>
      <c r="J460" s="727"/>
      <c r="K460" s="195"/>
      <c r="L460" s="195"/>
      <c r="M460" s="729"/>
      <c r="P460" s="727"/>
      <c r="S460" s="1"/>
      <c r="T460" s="727"/>
      <c r="U460" s="195"/>
      <c r="V460" s="195"/>
      <c r="W460" s="195"/>
      <c r="X460" s="195"/>
      <c r="Y460" s="195"/>
      <c r="Z460" s="195"/>
      <c r="AA460" s="195"/>
      <c r="AB460" s="195"/>
      <c r="AC460" s="195"/>
      <c r="AD460" s="195"/>
      <c r="AE460" s="195"/>
      <c r="AF460" s="195"/>
      <c r="AG460" s="195"/>
      <c r="AH460" s="195"/>
      <c r="AI460" s="195"/>
      <c r="AJ460" s="195"/>
      <c r="AK460" s="195"/>
      <c r="AL460" s="195"/>
      <c r="AM460" s="195"/>
      <c r="AN460" s="532"/>
      <c r="AO460" s="532"/>
      <c r="AP460" s="532"/>
      <c r="AQ460" s="532"/>
      <c r="AR460" s="532"/>
      <c r="AS460" s="195"/>
      <c r="AT460" s="240"/>
      <c r="AU460" s="240"/>
      <c r="AV460" s="240"/>
      <c r="AW460" s="730"/>
      <c r="AX460" s="730"/>
      <c r="AY460" s="730"/>
      <c r="AZ460" s="730"/>
      <c r="BA460" s="468"/>
      <c r="BB460" s="468"/>
      <c r="BC460" s="240"/>
      <c r="BD460" s="240"/>
      <c r="BE460" s="240"/>
      <c r="BF460" s="240"/>
      <c r="BG460" s="672"/>
      <c r="BH460" s="672"/>
      <c r="BI460" s="731"/>
      <c r="BJ460" s="672"/>
      <c r="BK460" s="672"/>
      <c r="BL460" s="240"/>
      <c r="BM460" s="736"/>
      <c r="BN460" s="737"/>
      <c r="BO460" s="240"/>
      <c r="BP460" s="240"/>
      <c r="BQ460" s="240"/>
      <c r="BR460" s="240"/>
      <c r="BS460" s="240"/>
      <c r="BT460" s="240"/>
      <c r="BU460" s="240"/>
      <c r="BV460" s="240"/>
      <c r="BW460" s="240"/>
      <c r="BX460" s="240"/>
      <c r="BY460" s="240"/>
      <c r="BZ460" s="240"/>
      <c r="CA460" s="240"/>
      <c r="CB460" s="240"/>
      <c r="CC460" s="240"/>
      <c r="CD460" s="672"/>
      <c r="CE460" s="672"/>
      <c r="CF460" s="672"/>
      <c r="CG460" s="672"/>
      <c r="CH460" s="672"/>
      <c r="CI460" s="672"/>
      <c r="CJ460" s="240"/>
      <c r="CK460" s="240"/>
      <c r="CL460" s="240"/>
      <c r="CM460" s="240"/>
      <c r="CN460" s="240"/>
      <c r="CO460" s="240"/>
      <c r="CP460" s="240"/>
      <c r="CQ460" s="240"/>
      <c r="CR460" s="240"/>
      <c r="CS460" s="240"/>
      <c r="CT460" s="240"/>
      <c r="CU460" s="240"/>
      <c r="CV460" s="240"/>
      <c r="CW460" s="240"/>
      <c r="CX460" s="240"/>
      <c r="CY460" s="240"/>
      <c r="CZ460" s="240"/>
      <c r="DA460" s="240"/>
      <c r="DB460" s="240"/>
      <c r="DC460" s="240"/>
      <c r="DD460" s="240"/>
      <c r="DE460" s="240"/>
      <c r="DF460" s="240"/>
      <c r="DG460" s="240"/>
      <c r="DH460" s="478"/>
      <c r="DI460" s="733"/>
      <c r="DJ460" s="733"/>
      <c r="DK460" s="478"/>
      <c r="DL460" s="3"/>
      <c r="DM460" s="4"/>
      <c r="DN460" s="4"/>
      <c r="DO460" s="4"/>
      <c r="DP460" s="4"/>
      <c r="DQ460" s="4"/>
      <c r="DR460" s="4"/>
      <c r="DS460" s="4"/>
      <c r="DU460" s="195"/>
      <c r="DV460" s="195"/>
      <c r="DW460" s="195"/>
      <c r="DX460" s="195"/>
      <c r="DY460" s="195"/>
      <c r="DZ460" s="195"/>
      <c r="EA460" s="195"/>
      <c r="EB460" s="195"/>
      <c r="EC460" s="195"/>
      <c r="ED460" s="195"/>
      <c r="EE460" s="195"/>
      <c r="EF460" s="195"/>
      <c r="EG460" s="195"/>
      <c r="EL460" s="1"/>
      <c r="EM460" s="195"/>
      <c r="EN460" s="240"/>
      <c r="EO460" s="731"/>
      <c r="EP460" s="195"/>
      <c r="EQ460" s="240"/>
      <c r="ER460" s="195"/>
      <c r="ES460" s="195"/>
      <c r="ET460" s="195"/>
      <c r="EU460" s="672"/>
    </row>
    <row r="461" customFormat="false" ht="12.75" hidden="false" customHeight="false" outlineLevel="0" collapsed="false">
      <c r="I461" s="735"/>
      <c r="J461" s="727"/>
      <c r="K461" s="195"/>
      <c r="L461" s="195"/>
      <c r="M461" s="729"/>
      <c r="P461" s="727"/>
      <c r="S461" s="1"/>
      <c r="T461" s="727"/>
      <c r="U461" s="195"/>
      <c r="V461" s="195"/>
      <c r="W461" s="195"/>
      <c r="X461" s="195"/>
      <c r="Y461" s="195"/>
      <c r="Z461" s="195"/>
      <c r="AA461" s="195"/>
      <c r="AB461" s="195"/>
      <c r="AC461" s="195"/>
      <c r="AD461" s="195"/>
      <c r="AE461" s="195"/>
      <c r="AF461" s="195"/>
      <c r="AG461" s="195"/>
      <c r="AH461" s="195"/>
      <c r="AI461" s="195"/>
      <c r="AJ461" s="195"/>
      <c r="AK461" s="195"/>
      <c r="AL461" s="195"/>
      <c r="AM461" s="195"/>
      <c r="AN461" s="532"/>
      <c r="AO461" s="532"/>
      <c r="AP461" s="532"/>
      <c r="AQ461" s="532"/>
      <c r="AR461" s="532"/>
      <c r="AS461" s="195"/>
      <c r="AT461" s="240"/>
      <c r="AU461" s="240"/>
      <c r="AV461" s="240"/>
      <c r="AW461" s="730"/>
      <c r="AX461" s="730"/>
      <c r="AY461" s="730"/>
      <c r="AZ461" s="730"/>
      <c r="BA461" s="468"/>
      <c r="BB461" s="468"/>
      <c r="BC461" s="240"/>
      <c r="BD461" s="240"/>
      <c r="BE461" s="240"/>
      <c r="BF461" s="240"/>
      <c r="BG461" s="672"/>
      <c r="BH461" s="672"/>
      <c r="BI461" s="731"/>
      <c r="BJ461" s="672"/>
      <c r="BK461" s="672"/>
      <c r="BL461" s="240"/>
      <c r="BM461" s="736"/>
      <c r="BN461" s="737"/>
      <c r="BO461" s="240"/>
      <c r="BP461" s="240"/>
      <c r="BQ461" s="240"/>
      <c r="BR461" s="240"/>
      <c r="BS461" s="240"/>
      <c r="BT461" s="240"/>
      <c r="BU461" s="240"/>
      <c r="BV461" s="240"/>
      <c r="BW461" s="240"/>
      <c r="BX461" s="240"/>
      <c r="BY461" s="240"/>
      <c r="BZ461" s="240"/>
      <c r="CA461" s="240"/>
      <c r="CB461" s="240"/>
      <c r="CC461" s="240"/>
      <c r="CD461" s="672"/>
      <c r="CE461" s="672"/>
      <c r="CF461" s="672"/>
      <c r="CG461" s="672"/>
      <c r="CH461" s="672"/>
      <c r="CI461" s="672"/>
      <c r="CJ461" s="240"/>
      <c r="CK461" s="240"/>
      <c r="CL461" s="240"/>
      <c r="CM461" s="240"/>
      <c r="CN461" s="240"/>
      <c r="CO461" s="240"/>
      <c r="CP461" s="240"/>
      <c r="CQ461" s="240"/>
      <c r="CR461" s="240"/>
      <c r="CS461" s="240"/>
      <c r="CT461" s="240"/>
      <c r="CU461" s="240"/>
      <c r="CV461" s="240"/>
      <c r="CW461" s="240"/>
      <c r="CX461" s="240"/>
      <c r="CY461" s="240"/>
      <c r="CZ461" s="240"/>
      <c r="DA461" s="240"/>
      <c r="DB461" s="240"/>
      <c r="DC461" s="240"/>
      <c r="DD461" s="240"/>
      <c r="DE461" s="240"/>
      <c r="DF461" s="240"/>
      <c r="DG461" s="240"/>
      <c r="DH461" s="478"/>
      <c r="DI461" s="733"/>
      <c r="DJ461" s="733"/>
      <c r="DK461" s="478"/>
      <c r="DL461" s="3"/>
      <c r="DM461" s="4"/>
      <c r="DN461" s="4"/>
      <c r="DO461" s="4"/>
      <c r="DP461" s="4"/>
      <c r="DQ461" s="4"/>
      <c r="DR461" s="4"/>
      <c r="DS461" s="4"/>
      <c r="DU461" s="195"/>
      <c r="DV461" s="195"/>
      <c r="DW461" s="195"/>
      <c r="DX461" s="195"/>
      <c r="DY461" s="195"/>
      <c r="DZ461" s="195"/>
      <c r="EA461" s="195"/>
      <c r="EB461" s="195"/>
      <c r="EC461" s="195"/>
      <c r="ED461" s="195"/>
      <c r="EE461" s="195"/>
      <c r="EF461" s="195"/>
      <c r="EG461" s="195"/>
      <c r="EL461" s="1"/>
      <c r="EM461" s="195"/>
      <c r="EN461" s="240"/>
      <c r="EO461" s="731"/>
      <c r="EP461" s="195"/>
      <c r="EQ461" s="240"/>
      <c r="ER461" s="195"/>
      <c r="ES461" s="195"/>
      <c r="ET461" s="195"/>
      <c r="EU461" s="672"/>
    </row>
    <row r="462" customFormat="false" ht="12.75" hidden="false" customHeight="false" outlineLevel="0" collapsed="false">
      <c r="I462" s="735"/>
      <c r="J462" s="727"/>
      <c r="K462" s="195"/>
      <c r="L462" s="195"/>
      <c r="M462" s="729"/>
      <c r="P462" s="727"/>
      <c r="S462" s="1"/>
      <c r="T462" s="727"/>
      <c r="U462" s="195"/>
      <c r="V462" s="195"/>
      <c r="W462" s="195"/>
      <c r="X462" s="195"/>
      <c r="Y462" s="195"/>
      <c r="Z462" s="195"/>
      <c r="AA462" s="195"/>
      <c r="AB462" s="195"/>
      <c r="AC462" s="195"/>
      <c r="AD462" s="195"/>
      <c r="AE462" s="195"/>
      <c r="AF462" s="195"/>
      <c r="AG462" s="195"/>
      <c r="AH462" s="195"/>
      <c r="AI462" s="195"/>
      <c r="AJ462" s="195"/>
      <c r="AK462" s="195"/>
      <c r="AL462" s="195"/>
      <c r="AM462" s="195"/>
      <c r="AN462" s="532"/>
      <c r="AO462" s="532"/>
      <c r="AP462" s="532"/>
      <c r="AQ462" s="532"/>
      <c r="AR462" s="532"/>
      <c r="AS462" s="195"/>
      <c r="AT462" s="240"/>
      <c r="AU462" s="240"/>
      <c r="AV462" s="240"/>
      <c r="AW462" s="730"/>
      <c r="AX462" s="730"/>
      <c r="AY462" s="730"/>
      <c r="AZ462" s="730"/>
      <c r="BA462" s="468"/>
      <c r="BB462" s="468"/>
      <c r="BC462" s="240"/>
      <c r="BD462" s="240"/>
      <c r="BE462" s="240"/>
      <c r="BF462" s="240"/>
      <c r="BG462" s="672"/>
      <c r="BH462" s="672"/>
      <c r="BI462" s="731"/>
      <c r="BJ462" s="672"/>
      <c r="BK462" s="672"/>
      <c r="BL462" s="240"/>
      <c r="BM462" s="736"/>
      <c r="BN462" s="737"/>
      <c r="BO462" s="240"/>
      <c r="BP462" s="240"/>
      <c r="BQ462" s="240"/>
      <c r="BR462" s="240"/>
      <c r="BS462" s="240"/>
      <c r="BT462" s="240"/>
      <c r="BU462" s="240"/>
      <c r="BV462" s="240"/>
      <c r="BW462" s="240"/>
      <c r="BX462" s="240"/>
      <c r="BY462" s="240"/>
      <c r="BZ462" s="240"/>
      <c r="CA462" s="240"/>
      <c r="CB462" s="240"/>
      <c r="CC462" s="240"/>
      <c r="CD462" s="672"/>
      <c r="CE462" s="672"/>
      <c r="CF462" s="672"/>
      <c r="CG462" s="672"/>
      <c r="CH462" s="672"/>
      <c r="CI462" s="672"/>
      <c r="CJ462" s="240"/>
      <c r="CK462" s="240"/>
      <c r="CL462" s="240"/>
      <c r="CM462" s="240"/>
      <c r="CN462" s="240"/>
      <c r="CO462" s="240"/>
      <c r="CP462" s="240"/>
      <c r="CQ462" s="240"/>
      <c r="CR462" s="240"/>
      <c r="CS462" s="240"/>
      <c r="CT462" s="240"/>
      <c r="CU462" s="240"/>
      <c r="CV462" s="240"/>
      <c r="CW462" s="240"/>
      <c r="CX462" s="240"/>
      <c r="CY462" s="240"/>
      <c r="CZ462" s="240"/>
      <c r="DA462" s="240"/>
      <c r="DB462" s="240"/>
      <c r="DC462" s="240"/>
      <c r="DD462" s="240"/>
      <c r="DE462" s="240"/>
      <c r="DF462" s="240"/>
      <c r="DG462" s="240"/>
      <c r="DH462" s="478"/>
      <c r="DI462" s="733"/>
      <c r="DJ462" s="733"/>
      <c r="DK462" s="478"/>
      <c r="DL462" s="3"/>
      <c r="DM462" s="4"/>
      <c r="DN462" s="4"/>
      <c r="DO462" s="4"/>
      <c r="DP462" s="4"/>
      <c r="DQ462" s="4"/>
      <c r="DR462" s="4"/>
      <c r="DS462" s="4"/>
      <c r="DU462" s="195"/>
      <c r="DV462" s="195"/>
      <c r="DW462" s="195"/>
      <c r="DX462" s="195"/>
      <c r="DY462" s="195"/>
      <c r="DZ462" s="195"/>
      <c r="EA462" s="195"/>
      <c r="EB462" s="195"/>
      <c r="EC462" s="195"/>
      <c r="ED462" s="195"/>
      <c r="EE462" s="195"/>
      <c r="EF462" s="195"/>
      <c r="EG462" s="195"/>
      <c r="EL462" s="1"/>
      <c r="EM462" s="195"/>
      <c r="EN462" s="240"/>
      <c r="EO462" s="731"/>
      <c r="EP462" s="195"/>
      <c r="EQ462" s="240"/>
      <c r="ER462" s="195"/>
      <c r="ES462" s="195"/>
      <c r="ET462" s="195"/>
      <c r="EU462" s="672"/>
    </row>
    <row r="463" customFormat="false" ht="12.75" hidden="false" customHeight="false" outlineLevel="0" collapsed="false">
      <c r="I463" s="735"/>
      <c r="J463" s="727"/>
      <c r="K463" s="195"/>
      <c r="L463" s="195"/>
      <c r="M463" s="729"/>
      <c r="P463" s="727"/>
      <c r="S463" s="1"/>
      <c r="T463" s="727"/>
      <c r="U463" s="195"/>
      <c r="V463" s="195"/>
      <c r="W463" s="195"/>
      <c r="X463" s="195"/>
      <c r="Y463" s="195"/>
      <c r="Z463" s="195"/>
      <c r="AA463" s="195"/>
      <c r="AB463" s="195"/>
      <c r="AC463" s="195"/>
      <c r="AD463" s="195"/>
      <c r="AE463" s="195"/>
      <c r="AF463" s="195"/>
      <c r="AG463" s="195"/>
      <c r="AH463" s="195"/>
      <c r="AI463" s="195"/>
      <c r="AJ463" s="195"/>
      <c r="AK463" s="195"/>
      <c r="AL463" s="195"/>
      <c r="AM463" s="195"/>
      <c r="AN463" s="532"/>
      <c r="AO463" s="532"/>
      <c r="AP463" s="532"/>
      <c r="AQ463" s="532"/>
      <c r="AR463" s="532"/>
      <c r="AS463" s="195"/>
      <c r="AT463" s="240"/>
      <c r="AU463" s="240"/>
      <c r="AV463" s="240"/>
      <c r="AW463" s="730"/>
      <c r="AX463" s="730"/>
      <c r="AY463" s="730"/>
      <c r="AZ463" s="730"/>
      <c r="BA463" s="468"/>
      <c r="BB463" s="468"/>
      <c r="BC463" s="240"/>
      <c r="BD463" s="240"/>
      <c r="BE463" s="240"/>
      <c r="BF463" s="240"/>
      <c r="BG463" s="672"/>
      <c r="BH463" s="672"/>
      <c r="BI463" s="731"/>
      <c r="BJ463" s="672"/>
      <c r="BK463" s="672"/>
      <c r="BL463" s="240"/>
      <c r="BM463" s="736"/>
      <c r="BN463" s="737"/>
      <c r="BO463" s="240"/>
      <c r="BP463" s="240"/>
      <c r="BQ463" s="240"/>
      <c r="BR463" s="240"/>
      <c r="BS463" s="240"/>
      <c r="BT463" s="240"/>
      <c r="BU463" s="240"/>
      <c r="BV463" s="240"/>
      <c r="BW463" s="240"/>
      <c r="BX463" s="240"/>
      <c r="BY463" s="240"/>
      <c r="BZ463" s="240"/>
      <c r="CA463" s="240"/>
      <c r="CB463" s="240"/>
      <c r="CC463" s="240"/>
      <c r="CD463" s="672"/>
      <c r="CE463" s="672"/>
      <c r="CF463" s="672"/>
      <c r="CG463" s="672"/>
      <c r="CH463" s="672"/>
      <c r="CI463" s="672"/>
      <c r="CJ463" s="240"/>
      <c r="CK463" s="240"/>
      <c r="CL463" s="240"/>
      <c r="CM463" s="240"/>
      <c r="CN463" s="240"/>
      <c r="CO463" s="240"/>
      <c r="CP463" s="240"/>
      <c r="CQ463" s="240"/>
      <c r="CR463" s="240"/>
      <c r="CS463" s="240"/>
      <c r="CT463" s="240"/>
      <c r="CU463" s="240"/>
      <c r="CV463" s="240"/>
      <c r="CW463" s="240"/>
      <c r="CX463" s="240"/>
      <c r="CY463" s="240"/>
      <c r="CZ463" s="240"/>
      <c r="DA463" s="240"/>
      <c r="DB463" s="240"/>
      <c r="DC463" s="240"/>
      <c r="DD463" s="240"/>
      <c r="DE463" s="240"/>
      <c r="DF463" s="240"/>
      <c r="DG463" s="240"/>
      <c r="DH463" s="478"/>
      <c r="DI463" s="733"/>
      <c r="DJ463" s="733"/>
      <c r="DK463" s="478"/>
      <c r="DL463" s="3"/>
      <c r="DM463" s="4"/>
      <c r="DN463" s="4"/>
      <c r="DO463" s="4"/>
      <c r="DP463" s="4"/>
      <c r="DQ463" s="4"/>
      <c r="DR463" s="4"/>
      <c r="DS463" s="4"/>
      <c r="DU463" s="195"/>
      <c r="DV463" s="195"/>
      <c r="DW463" s="195"/>
      <c r="DX463" s="195"/>
      <c r="DY463" s="195"/>
      <c r="DZ463" s="195"/>
      <c r="EA463" s="195"/>
      <c r="EB463" s="195"/>
      <c r="EC463" s="195"/>
      <c r="ED463" s="195"/>
      <c r="EE463" s="195"/>
      <c r="EF463" s="195"/>
      <c r="EG463" s="195"/>
      <c r="EL463" s="1"/>
      <c r="EM463" s="195"/>
      <c r="EN463" s="240"/>
      <c r="EO463" s="731"/>
      <c r="EP463" s="195"/>
      <c r="EQ463" s="240"/>
      <c r="ER463" s="195"/>
      <c r="ES463" s="195"/>
      <c r="ET463" s="195"/>
      <c r="EU463" s="672"/>
    </row>
    <row r="464" customFormat="false" ht="12.75" hidden="false" customHeight="false" outlineLevel="0" collapsed="false">
      <c r="I464" s="735"/>
      <c r="J464" s="727"/>
      <c r="K464" s="195"/>
      <c r="L464" s="195"/>
      <c r="M464" s="729"/>
      <c r="P464" s="727"/>
      <c r="S464" s="1"/>
      <c r="T464" s="727"/>
      <c r="U464" s="195"/>
      <c r="V464" s="195"/>
      <c r="W464" s="195"/>
      <c r="X464" s="195"/>
      <c r="Y464" s="195"/>
      <c r="Z464" s="195"/>
      <c r="AA464" s="195"/>
      <c r="AB464" s="195"/>
      <c r="AC464" s="195"/>
      <c r="AD464" s="195"/>
      <c r="AE464" s="195"/>
      <c r="AF464" s="195"/>
      <c r="AG464" s="195"/>
      <c r="AH464" s="195"/>
      <c r="AI464" s="195"/>
      <c r="AJ464" s="195"/>
      <c r="AK464" s="195"/>
      <c r="AL464" s="195"/>
      <c r="AM464" s="195"/>
      <c r="AN464" s="532"/>
      <c r="AO464" s="532"/>
      <c r="AP464" s="532"/>
      <c r="AQ464" s="532"/>
      <c r="AR464" s="532"/>
      <c r="AS464" s="195"/>
      <c r="AT464" s="240"/>
      <c r="AU464" s="240"/>
      <c r="AV464" s="240"/>
      <c r="AW464" s="730"/>
      <c r="AX464" s="730"/>
      <c r="AY464" s="730"/>
      <c r="AZ464" s="730"/>
      <c r="BA464" s="468"/>
      <c r="BB464" s="468"/>
      <c r="BC464" s="240"/>
      <c r="BD464" s="240"/>
      <c r="BE464" s="240"/>
      <c r="BF464" s="240"/>
      <c r="BG464" s="672"/>
      <c r="BH464" s="672"/>
      <c r="BI464" s="731"/>
      <c r="BJ464" s="672"/>
      <c r="BK464" s="672"/>
      <c r="BL464" s="240"/>
      <c r="BM464" s="736"/>
      <c r="BN464" s="737"/>
      <c r="BO464" s="240"/>
      <c r="BP464" s="240"/>
      <c r="BQ464" s="240"/>
      <c r="BR464" s="240"/>
      <c r="BS464" s="240"/>
      <c r="BT464" s="240"/>
      <c r="BU464" s="240"/>
      <c r="BV464" s="240"/>
      <c r="BW464" s="240"/>
      <c r="BX464" s="240"/>
      <c r="BY464" s="240"/>
      <c r="BZ464" s="240"/>
      <c r="CA464" s="240"/>
      <c r="CB464" s="240"/>
      <c r="CC464" s="240"/>
      <c r="CD464" s="672"/>
      <c r="CE464" s="672"/>
      <c r="CF464" s="672"/>
      <c r="CG464" s="672"/>
      <c r="CH464" s="672"/>
      <c r="CI464" s="672"/>
      <c r="CJ464" s="240"/>
      <c r="CK464" s="240"/>
      <c r="CL464" s="240"/>
      <c r="CM464" s="240"/>
      <c r="CN464" s="240"/>
      <c r="CO464" s="240"/>
      <c r="CP464" s="240"/>
      <c r="CQ464" s="240"/>
      <c r="CR464" s="240"/>
      <c r="CS464" s="240"/>
      <c r="CT464" s="240"/>
      <c r="CU464" s="240"/>
      <c r="CV464" s="240"/>
      <c r="CW464" s="240"/>
      <c r="CX464" s="240"/>
      <c r="CY464" s="240"/>
      <c r="CZ464" s="240"/>
      <c r="DA464" s="240"/>
      <c r="DB464" s="240"/>
      <c r="DC464" s="240"/>
      <c r="DD464" s="240"/>
      <c r="DE464" s="240"/>
      <c r="DF464" s="240"/>
      <c r="DG464" s="240"/>
      <c r="DH464" s="478"/>
      <c r="DI464" s="733"/>
      <c r="DJ464" s="733"/>
      <c r="DK464" s="478"/>
      <c r="DL464" s="3"/>
      <c r="DM464" s="4"/>
      <c r="DN464" s="4"/>
      <c r="DO464" s="4"/>
      <c r="DP464" s="4"/>
      <c r="DQ464" s="4"/>
      <c r="DR464" s="4"/>
      <c r="DS464" s="4"/>
      <c r="DU464" s="195"/>
      <c r="DV464" s="195"/>
      <c r="DW464" s="195"/>
      <c r="DX464" s="195"/>
      <c r="DY464" s="195"/>
      <c r="DZ464" s="195"/>
      <c r="EA464" s="195"/>
      <c r="EB464" s="195"/>
      <c r="EC464" s="195"/>
      <c r="ED464" s="195"/>
      <c r="EE464" s="195"/>
      <c r="EF464" s="195"/>
      <c r="EG464" s="195"/>
      <c r="EL464" s="1"/>
      <c r="EM464" s="195"/>
      <c r="EN464" s="240"/>
      <c r="EO464" s="731"/>
      <c r="EP464" s="195"/>
      <c r="EQ464" s="240"/>
      <c r="ER464" s="195"/>
      <c r="ES464" s="195"/>
      <c r="ET464" s="195"/>
      <c r="EU464" s="672"/>
    </row>
    <row r="465" customFormat="false" ht="12.75" hidden="false" customHeight="false" outlineLevel="0" collapsed="false">
      <c r="I465" s="735"/>
      <c r="J465" s="727"/>
      <c r="K465" s="195"/>
      <c r="L465" s="195"/>
      <c r="M465" s="729"/>
      <c r="P465" s="727"/>
      <c r="S465" s="1"/>
      <c r="T465" s="727"/>
      <c r="U465" s="195"/>
      <c r="V465" s="195"/>
      <c r="W465" s="195"/>
      <c r="X465" s="195"/>
      <c r="Y465" s="195"/>
      <c r="Z465" s="195"/>
      <c r="AA465" s="195"/>
      <c r="AB465" s="195"/>
      <c r="AC465" s="195"/>
      <c r="AD465" s="195"/>
      <c r="AE465" s="195"/>
      <c r="AF465" s="195"/>
      <c r="AG465" s="195"/>
      <c r="AH465" s="195"/>
      <c r="AI465" s="195"/>
      <c r="AJ465" s="195"/>
      <c r="AK465" s="195"/>
      <c r="AL465" s="195"/>
      <c r="AM465" s="195"/>
      <c r="AN465" s="532"/>
      <c r="AO465" s="532"/>
      <c r="AP465" s="532"/>
      <c r="AQ465" s="532"/>
      <c r="AR465" s="532"/>
      <c r="AS465" s="195"/>
      <c r="AT465" s="240"/>
      <c r="AU465" s="240"/>
      <c r="AV465" s="240"/>
      <c r="AW465" s="730"/>
      <c r="AX465" s="730"/>
      <c r="AY465" s="730"/>
      <c r="AZ465" s="730"/>
      <c r="BA465" s="468"/>
      <c r="BB465" s="468"/>
      <c r="BC465" s="240"/>
      <c r="BD465" s="240"/>
      <c r="BE465" s="240"/>
      <c r="BF465" s="240"/>
      <c r="BG465" s="672"/>
      <c r="BH465" s="672"/>
      <c r="BI465" s="731"/>
      <c r="BJ465" s="672"/>
      <c r="BK465" s="672"/>
      <c r="BL465" s="240"/>
      <c r="BM465" s="736"/>
      <c r="BN465" s="737"/>
      <c r="BO465" s="240"/>
      <c r="BP465" s="240"/>
      <c r="BQ465" s="240"/>
      <c r="BR465" s="240"/>
      <c r="BS465" s="240"/>
      <c r="BT465" s="240"/>
      <c r="BU465" s="240"/>
      <c r="BV465" s="240"/>
      <c r="BW465" s="240"/>
      <c r="BX465" s="240"/>
      <c r="BY465" s="240"/>
      <c r="BZ465" s="240"/>
      <c r="CA465" s="240"/>
      <c r="CB465" s="240"/>
      <c r="CC465" s="240"/>
      <c r="CD465" s="672"/>
      <c r="CE465" s="672"/>
      <c r="CF465" s="672"/>
      <c r="CG465" s="672"/>
      <c r="CH465" s="672"/>
      <c r="CI465" s="672"/>
      <c r="CJ465" s="240"/>
      <c r="CK465" s="240"/>
      <c r="CL465" s="240"/>
      <c r="CM465" s="240"/>
      <c r="CN465" s="240"/>
      <c r="CO465" s="240"/>
      <c r="CP465" s="240"/>
      <c r="CQ465" s="240"/>
      <c r="CR465" s="240"/>
      <c r="CS465" s="240"/>
      <c r="CT465" s="240"/>
      <c r="CU465" s="240"/>
      <c r="CV465" s="240"/>
      <c r="CW465" s="240"/>
      <c r="CX465" s="240"/>
      <c r="CY465" s="240"/>
      <c r="CZ465" s="240"/>
      <c r="DA465" s="240"/>
      <c r="DB465" s="240"/>
      <c r="DC465" s="240"/>
      <c r="DD465" s="240"/>
      <c r="DE465" s="240"/>
      <c r="DF465" s="240"/>
      <c r="DG465" s="240"/>
      <c r="DH465" s="478"/>
      <c r="DI465" s="733"/>
      <c r="DJ465" s="733"/>
      <c r="DK465" s="478"/>
      <c r="DL465" s="3"/>
      <c r="DM465" s="4"/>
      <c r="DN465" s="4"/>
      <c r="DO465" s="4"/>
      <c r="DP465" s="4"/>
      <c r="DQ465" s="4"/>
      <c r="DR465" s="4"/>
      <c r="DS465" s="4"/>
      <c r="DU465" s="195"/>
      <c r="DV465" s="195"/>
      <c r="DW465" s="195"/>
      <c r="DX465" s="195"/>
      <c r="DY465" s="195"/>
      <c r="DZ465" s="195"/>
      <c r="EA465" s="195"/>
      <c r="EB465" s="195"/>
      <c r="EC465" s="195"/>
      <c r="ED465" s="195"/>
      <c r="EE465" s="195"/>
      <c r="EF465" s="195"/>
      <c r="EG465" s="195"/>
      <c r="EL465" s="1"/>
      <c r="EM465" s="195"/>
      <c r="EN465" s="240"/>
      <c r="EO465" s="731"/>
      <c r="EP465" s="195"/>
      <c r="EQ465" s="240"/>
      <c r="ER465" s="195"/>
      <c r="ES465" s="195"/>
      <c r="ET465" s="195"/>
      <c r="EU465" s="672"/>
    </row>
    <row r="466" customFormat="false" ht="12.75" hidden="false" customHeight="false" outlineLevel="0" collapsed="false">
      <c r="I466" s="735"/>
      <c r="J466" s="727"/>
      <c r="K466" s="195"/>
      <c r="L466" s="195"/>
      <c r="M466" s="729"/>
      <c r="P466" s="727"/>
      <c r="S466" s="1"/>
      <c r="T466" s="727"/>
      <c r="U466" s="195"/>
      <c r="V466" s="195"/>
      <c r="W466" s="195"/>
      <c r="X466" s="195"/>
      <c r="Y466" s="195"/>
      <c r="Z466" s="195"/>
      <c r="AA466" s="195"/>
      <c r="AB466" s="195"/>
      <c r="AC466" s="195"/>
      <c r="AD466" s="195"/>
      <c r="AE466" s="195"/>
      <c r="AF466" s="195"/>
      <c r="AG466" s="195"/>
      <c r="AH466" s="195"/>
      <c r="AI466" s="195"/>
      <c r="AJ466" s="195"/>
      <c r="AK466" s="195"/>
      <c r="AL466" s="195"/>
      <c r="AM466" s="195"/>
      <c r="AN466" s="532"/>
      <c r="AO466" s="532"/>
      <c r="AP466" s="532"/>
      <c r="AQ466" s="532"/>
      <c r="AR466" s="532"/>
      <c r="AS466" s="195"/>
      <c r="AT466" s="240"/>
      <c r="AU466" s="240"/>
      <c r="AV466" s="240"/>
      <c r="AW466" s="730"/>
      <c r="AX466" s="730"/>
      <c r="AY466" s="730"/>
      <c r="AZ466" s="730"/>
      <c r="BA466" s="468"/>
      <c r="BB466" s="468"/>
      <c r="BC466" s="240"/>
      <c r="BD466" s="240"/>
      <c r="BE466" s="240"/>
      <c r="BF466" s="240"/>
      <c r="BG466" s="672"/>
      <c r="BH466" s="672"/>
      <c r="BI466" s="731"/>
      <c r="BJ466" s="672"/>
      <c r="BK466" s="672"/>
      <c r="BL466" s="240"/>
      <c r="BM466" s="736"/>
      <c r="BN466" s="737"/>
      <c r="BO466" s="240"/>
      <c r="BP466" s="240"/>
      <c r="BQ466" s="240"/>
      <c r="BR466" s="240"/>
      <c r="BS466" s="240"/>
      <c r="BT466" s="240"/>
      <c r="BU466" s="240"/>
      <c r="BV466" s="240"/>
      <c r="BW466" s="240"/>
      <c r="BX466" s="240"/>
      <c r="BY466" s="240"/>
      <c r="BZ466" s="240"/>
      <c r="CA466" s="240"/>
      <c r="CB466" s="240"/>
      <c r="CC466" s="240"/>
      <c r="CD466" s="672"/>
      <c r="CE466" s="672"/>
      <c r="CF466" s="672"/>
      <c r="CG466" s="672"/>
      <c r="CH466" s="672"/>
      <c r="CI466" s="672"/>
      <c r="CJ466" s="240"/>
      <c r="CK466" s="240"/>
      <c r="CL466" s="240"/>
      <c r="CM466" s="240"/>
      <c r="CN466" s="240"/>
      <c r="CO466" s="240"/>
      <c r="CP466" s="240"/>
      <c r="CQ466" s="240"/>
      <c r="CR466" s="240"/>
      <c r="CS466" s="240"/>
      <c r="CT466" s="240"/>
      <c r="CU466" s="240"/>
      <c r="CV466" s="240"/>
      <c r="CW466" s="240"/>
      <c r="CX466" s="240"/>
      <c r="CY466" s="240"/>
      <c r="CZ466" s="240"/>
      <c r="DA466" s="240"/>
      <c r="DB466" s="240"/>
      <c r="DC466" s="240"/>
      <c r="DD466" s="240"/>
      <c r="DE466" s="240"/>
      <c r="DF466" s="240"/>
      <c r="DG466" s="240"/>
      <c r="DH466" s="478"/>
      <c r="DI466" s="733"/>
      <c r="DJ466" s="733"/>
      <c r="DK466" s="478"/>
      <c r="DL466" s="3"/>
      <c r="DM466" s="4"/>
      <c r="DN466" s="4"/>
      <c r="DO466" s="4"/>
      <c r="DP466" s="4"/>
      <c r="DQ466" s="4"/>
      <c r="DR466" s="4"/>
      <c r="DS466" s="4"/>
      <c r="DU466" s="195"/>
      <c r="DV466" s="195"/>
      <c r="DW466" s="195"/>
      <c r="DX466" s="195"/>
      <c r="DY466" s="195"/>
      <c r="DZ466" s="195"/>
      <c r="EA466" s="195"/>
      <c r="EB466" s="195"/>
      <c r="EC466" s="195"/>
      <c r="ED466" s="195"/>
      <c r="EE466" s="195"/>
      <c r="EF466" s="195"/>
      <c r="EG466" s="195"/>
      <c r="EL466" s="1"/>
      <c r="EM466" s="195"/>
      <c r="EN466" s="240"/>
      <c r="EO466" s="731"/>
      <c r="EP466" s="195"/>
      <c r="EQ466" s="240"/>
      <c r="ER466" s="195"/>
      <c r="ES466" s="195"/>
      <c r="ET466" s="195"/>
      <c r="EU466" s="672"/>
    </row>
    <row r="467" customFormat="false" ht="12.75" hidden="false" customHeight="false" outlineLevel="0" collapsed="false">
      <c r="I467" s="735"/>
      <c r="J467" s="727"/>
      <c r="K467" s="195"/>
      <c r="L467" s="195"/>
      <c r="M467" s="729"/>
      <c r="P467" s="727"/>
      <c r="S467" s="1"/>
      <c r="T467" s="727"/>
      <c r="U467" s="195"/>
      <c r="V467" s="195"/>
      <c r="W467" s="195"/>
      <c r="X467" s="195"/>
      <c r="Y467" s="195"/>
      <c r="Z467" s="195"/>
      <c r="AA467" s="195"/>
      <c r="AB467" s="195"/>
      <c r="AC467" s="195"/>
      <c r="AD467" s="195"/>
      <c r="AE467" s="195"/>
      <c r="AF467" s="195"/>
      <c r="AG467" s="195"/>
      <c r="AH467" s="195"/>
      <c r="AI467" s="195"/>
      <c r="AJ467" s="195"/>
      <c r="AK467" s="195"/>
      <c r="AL467" s="195"/>
      <c r="AM467" s="195"/>
      <c r="AN467" s="532"/>
      <c r="AO467" s="532"/>
      <c r="AP467" s="532"/>
      <c r="AQ467" s="532"/>
      <c r="AR467" s="532"/>
      <c r="AS467" s="195"/>
      <c r="AT467" s="240"/>
      <c r="AU467" s="240"/>
      <c r="AV467" s="240"/>
      <c r="AW467" s="730"/>
      <c r="AX467" s="730"/>
      <c r="AY467" s="730"/>
      <c r="AZ467" s="730"/>
      <c r="BA467" s="468"/>
      <c r="BB467" s="468"/>
      <c r="BC467" s="240"/>
      <c r="BD467" s="240"/>
      <c r="BE467" s="240"/>
      <c r="BF467" s="240"/>
      <c r="BG467" s="672"/>
      <c r="BH467" s="672"/>
      <c r="BI467" s="731"/>
      <c r="BJ467" s="672"/>
      <c r="BK467" s="672"/>
      <c r="BL467" s="240"/>
      <c r="BM467" s="736"/>
      <c r="BN467" s="737"/>
      <c r="BO467" s="240"/>
      <c r="BP467" s="240"/>
      <c r="BQ467" s="240"/>
      <c r="BR467" s="240"/>
      <c r="BS467" s="240"/>
      <c r="BT467" s="240"/>
      <c r="BU467" s="240"/>
      <c r="BV467" s="240"/>
      <c r="BW467" s="240"/>
      <c r="BX467" s="240"/>
      <c r="BY467" s="240"/>
      <c r="BZ467" s="240"/>
      <c r="CA467" s="240"/>
      <c r="CB467" s="240"/>
      <c r="CC467" s="240"/>
      <c r="CD467" s="672"/>
      <c r="CE467" s="672"/>
      <c r="CF467" s="672"/>
      <c r="CG467" s="672"/>
      <c r="CH467" s="672"/>
      <c r="CI467" s="672"/>
      <c r="CJ467" s="240"/>
      <c r="CK467" s="240"/>
      <c r="CL467" s="240"/>
      <c r="CM467" s="240"/>
      <c r="CN467" s="240"/>
      <c r="CO467" s="240"/>
      <c r="CP467" s="240"/>
      <c r="CQ467" s="240"/>
      <c r="CR467" s="240"/>
      <c r="CS467" s="240"/>
      <c r="CT467" s="240"/>
      <c r="CU467" s="240"/>
      <c r="CV467" s="240"/>
      <c r="CW467" s="240"/>
      <c r="CX467" s="240"/>
      <c r="CY467" s="240"/>
      <c r="CZ467" s="240"/>
      <c r="DA467" s="240"/>
      <c r="DB467" s="240"/>
      <c r="DC467" s="240"/>
      <c r="DD467" s="240"/>
      <c r="DE467" s="240"/>
      <c r="DF467" s="240"/>
      <c r="DG467" s="240"/>
      <c r="DH467" s="478"/>
      <c r="DI467" s="733"/>
      <c r="DJ467" s="733"/>
      <c r="DK467" s="478"/>
      <c r="DL467" s="3"/>
      <c r="DM467" s="4"/>
      <c r="DN467" s="4"/>
      <c r="DO467" s="4"/>
      <c r="DP467" s="4"/>
      <c r="DQ467" s="4"/>
      <c r="DR467" s="4"/>
      <c r="DS467" s="4"/>
      <c r="DU467" s="195"/>
      <c r="DV467" s="195"/>
      <c r="DW467" s="195"/>
      <c r="DX467" s="195"/>
      <c r="DY467" s="195"/>
      <c r="DZ467" s="195"/>
      <c r="EA467" s="195"/>
      <c r="EB467" s="195"/>
      <c r="EC467" s="195"/>
      <c r="ED467" s="195"/>
      <c r="EE467" s="195"/>
      <c r="EF467" s="195"/>
      <c r="EG467" s="195"/>
      <c r="EL467" s="1"/>
      <c r="EM467" s="195"/>
      <c r="EN467" s="240"/>
      <c r="EO467" s="731"/>
      <c r="EP467" s="195"/>
      <c r="EQ467" s="240"/>
      <c r="ER467" s="195"/>
      <c r="ES467" s="195"/>
      <c r="ET467" s="195"/>
      <c r="EU467" s="672"/>
    </row>
    <row r="468" customFormat="false" ht="12.75" hidden="false" customHeight="false" outlineLevel="0" collapsed="false">
      <c r="I468" s="735"/>
      <c r="J468" s="727"/>
      <c r="K468" s="195"/>
      <c r="L468" s="195"/>
      <c r="M468" s="729"/>
      <c r="P468" s="727"/>
      <c r="S468" s="1"/>
      <c r="T468" s="727"/>
      <c r="U468" s="195"/>
      <c r="V468" s="195"/>
      <c r="W468" s="195"/>
      <c r="X468" s="195"/>
      <c r="Y468" s="195"/>
      <c r="Z468" s="195"/>
      <c r="AA468" s="195"/>
      <c r="AB468" s="195"/>
      <c r="AC468" s="195"/>
      <c r="AD468" s="195"/>
      <c r="AE468" s="195"/>
      <c r="AF468" s="195"/>
      <c r="AG468" s="195"/>
      <c r="AH468" s="195"/>
      <c r="AI468" s="195"/>
      <c r="AJ468" s="195"/>
      <c r="AK468" s="195"/>
      <c r="AL468" s="195"/>
      <c r="AM468" s="195"/>
      <c r="AN468" s="532"/>
      <c r="AO468" s="532"/>
      <c r="AP468" s="532"/>
      <c r="AQ468" s="532"/>
      <c r="AR468" s="532"/>
      <c r="AS468" s="195"/>
      <c r="AT468" s="240"/>
      <c r="AU468" s="240"/>
      <c r="AV468" s="240"/>
      <c r="AW468" s="730"/>
      <c r="AX468" s="730"/>
      <c r="AY468" s="730"/>
      <c r="AZ468" s="730"/>
      <c r="BA468" s="468"/>
      <c r="BB468" s="468"/>
      <c r="BC468" s="240"/>
      <c r="BD468" s="240"/>
      <c r="BE468" s="240"/>
      <c r="BF468" s="240"/>
      <c r="BG468" s="672"/>
      <c r="BH468" s="672"/>
      <c r="BI468" s="731"/>
      <c r="BJ468" s="672"/>
      <c r="BK468" s="672"/>
      <c r="BL468" s="240"/>
      <c r="BM468" s="736"/>
      <c r="BN468" s="737"/>
      <c r="BO468" s="240"/>
      <c r="BP468" s="240"/>
      <c r="BQ468" s="240"/>
      <c r="BR468" s="240"/>
      <c r="BS468" s="240"/>
      <c r="BT468" s="240"/>
      <c r="BU468" s="240"/>
      <c r="BV468" s="240"/>
      <c r="BW468" s="240"/>
      <c r="BX468" s="240"/>
      <c r="BY468" s="240"/>
      <c r="BZ468" s="240"/>
      <c r="CA468" s="240"/>
      <c r="CB468" s="240"/>
      <c r="CC468" s="240"/>
      <c r="CD468" s="672"/>
      <c r="CE468" s="672"/>
      <c r="CF468" s="672"/>
      <c r="CG468" s="672"/>
      <c r="CH468" s="672"/>
      <c r="CI468" s="672"/>
      <c r="CJ468" s="240"/>
      <c r="CK468" s="240"/>
      <c r="CL468" s="240"/>
      <c r="CM468" s="240"/>
      <c r="CN468" s="240"/>
      <c r="CO468" s="240"/>
      <c r="CP468" s="240"/>
      <c r="CQ468" s="240"/>
      <c r="CR468" s="240"/>
      <c r="CS468" s="240"/>
      <c r="CT468" s="240"/>
      <c r="CU468" s="240"/>
      <c r="CV468" s="240"/>
      <c r="CW468" s="240"/>
      <c r="CX468" s="240"/>
      <c r="CY468" s="240"/>
      <c r="CZ468" s="240"/>
      <c r="DA468" s="240"/>
      <c r="DB468" s="240"/>
      <c r="DC468" s="240"/>
      <c r="DD468" s="240"/>
      <c r="DE468" s="240"/>
      <c r="DF468" s="240"/>
      <c r="DG468" s="240"/>
      <c r="DH468" s="478"/>
      <c r="DI468" s="733"/>
      <c r="DJ468" s="733"/>
      <c r="DK468" s="478"/>
      <c r="DL468" s="3"/>
      <c r="DM468" s="4"/>
      <c r="DN468" s="4"/>
      <c r="DO468" s="4"/>
      <c r="DP468" s="4"/>
      <c r="DQ468" s="4"/>
      <c r="DR468" s="4"/>
      <c r="DS468" s="4"/>
      <c r="DU468" s="195"/>
      <c r="DV468" s="195"/>
      <c r="DW468" s="195"/>
      <c r="DX468" s="195"/>
      <c r="DY468" s="195"/>
      <c r="DZ468" s="195"/>
      <c r="EA468" s="195"/>
      <c r="EB468" s="195"/>
      <c r="EC468" s="195"/>
      <c r="ED468" s="195"/>
      <c r="EE468" s="195"/>
      <c r="EF468" s="195"/>
      <c r="EG468" s="195"/>
      <c r="EL468" s="1"/>
      <c r="EM468" s="195"/>
      <c r="EN468" s="240"/>
      <c r="EO468" s="731"/>
      <c r="EP468" s="195"/>
      <c r="EQ468" s="240"/>
      <c r="ER468" s="195"/>
      <c r="ES468" s="195"/>
      <c r="ET468" s="195"/>
      <c r="EU468" s="672"/>
    </row>
    <row r="469" customFormat="false" ht="12.75" hidden="false" customHeight="false" outlineLevel="0" collapsed="false">
      <c r="I469" s="735"/>
      <c r="J469" s="727"/>
      <c r="K469" s="195"/>
      <c r="L469" s="195"/>
      <c r="M469" s="729"/>
      <c r="P469" s="727"/>
      <c r="S469" s="1"/>
      <c r="T469" s="727"/>
      <c r="U469" s="195"/>
      <c r="V469" s="195"/>
      <c r="W469" s="195"/>
      <c r="X469" s="195"/>
      <c r="Y469" s="195"/>
      <c r="Z469" s="195"/>
      <c r="AA469" s="195"/>
      <c r="AB469" s="195"/>
      <c r="AC469" s="195"/>
      <c r="AD469" s="195"/>
      <c r="AE469" s="195"/>
      <c r="AF469" s="195"/>
      <c r="AG469" s="195"/>
      <c r="AH469" s="195"/>
      <c r="AI469" s="195"/>
      <c r="AJ469" s="195"/>
      <c r="AK469" s="195"/>
      <c r="AL469" s="195"/>
      <c r="AM469" s="195"/>
      <c r="AN469" s="532"/>
      <c r="AO469" s="532"/>
      <c r="AP469" s="532"/>
      <c r="AQ469" s="532"/>
      <c r="AR469" s="532"/>
      <c r="AS469" s="195"/>
      <c r="AT469" s="240"/>
      <c r="AU469" s="240"/>
      <c r="AV469" s="240"/>
      <c r="AW469" s="730"/>
      <c r="AX469" s="730"/>
      <c r="AY469" s="730"/>
      <c r="AZ469" s="730"/>
      <c r="BA469" s="468"/>
      <c r="BB469" s="468"/>
      <c r="BC469" s="240"/>
      <c r="BD469" s="240"/>
      <c r="BE469" s="240"/>
      <c r="BF469" s="240"/>
      <c r="BG469" s="672"/>
      <c r="BH469" s="672"/>
      <c r="BI469" s="731"/>
      <c r="BJ469" s="672"/>
      <c r="BK469" s="672"/>
      <c r="BL469" s="240"/>
      <c r="BM469" s="736"/>
      <c r="BN469" s="737"/>
      <c r="BO469" s="240"/>
      <c r="BP469" s="240"/>
      <c r="BQ469" s="240"/>
      <c r="BR469" s="240"/>
      <c r="BS469" s="240"/>
      <c r="BT469" s="240"/>
      <c r="BU469" s="240"/>
      <c r="BV469" s="240"/>
      <c r="BW469" s="240"/>
      <c r="BX469" s="240"/>
      <c r="BY469" s="240"/>
      <c r="BZ469" s="240"/>
      <c r="CA469" s="240"/>
      <c r="CB469" s="240"/>
      <c r="CC469" s="240"/>
      <c r="CD469" s="672"/>
      <c r="CE469" s="672"/>
      <c r="CF469" s="672"/>
      <c r="CG469" s="672"/>
      <c r="CH469" s="672"/>
      <c r="CI469" s="672"/>
      <c r="CJ469" s="240"/>
      <c r="CK469" s="240"/>
      <c r="CL469" s="240"/>
      <c r="CM469" s="240"/>
      <c r="CN469" s="240"/>
      <c r="CO469" s="240"/>
      <c r="CP469" s="240"/>
      <c r="CQ469" s="240"/>
      <c r="CR469" s="240"/>
      <c r="CS469" s="240"/>
      <c r="CT469" s="240"/>
      <c r="CU469" s="240"/>
      <c r="CV469" s="240"/>
      <c r="CW469" s="240"/>
      <c r="CX469" s="240"/>
      <c r="CY469" s="240"/>
      <c r="CZ469" s="240"/>
      <c r="DA469" s="240"/>
      <c r="DB469" s="240"/>
      <c r="DC469" s="240"/>
      <c r="DD469" s="240"/>
      <c r="DE469" s="240"/>
      <c r="DF469" s="240"/>
      <c r="DG469" s="240"/>
      <c r="DH469" s="478"/>
      <c r="DI469" s="733"/>
      <c r="DJ469" s="733"/>
      <c r="DK469" s="478"/>
      <c r="DL469" s="3"/>
      <c r="DM469" s="4"/>
      <c r="DN469" s="4"/>
      <c r="DO469" s="4"/>
      <c r="DP469" s="4"/>
      <c r="DQ469" s="4"/>
      <c r="DR469" s="4"/>
      <c r="DS469" s="4"/>
      <c r="DU469" s="195"/>
      <c r="DV469" s="195"/>
      <c r="DW469" s="195"/>
      <c r="DX469" s="195"/>
      <c r="DY469" s="195"/>
      <c r="DZ469" s="195"/>
      <c r="EA469" s="195"/>
      <c r="EB469" s="195"/>
      <c r="EC469" s="195"/>
      <c r="ED469" s="195"/>
      <c r="EE469" s="195"/>
      <c r="EF469" s="195"/>
      <c r="EG469" s="195"/>
      <c r="EL469" s="1"/>
      <c r="EM469" s="195"/>
      <c r="EN469" s="240"/>
      <c r="EO469" s="731"/>
      <c r="EP469" s="195"/>
      <c r="EQ469" s="240"/>
      <c r="ER469" s="195"/>
      <c r="ES469" s="195"/>
      <c r="ET469" s="195"/>
      <c r="EU469" s="672"/>
    </row>
    <row r="470" customFormat="false" ht="12.75" hidden="false" customHeight="false" outlineLevel="0" collapsed="false">
      <c r="I470" s="735"/>
      <c r="J470" s="727"/>
      <c r="K470" s="195"/>
      <c r="L470" s="195"/>
      <c r="M470" s="729"/>
      <c r="P470" s="727"/>
      <c r="S470" s="1"/>
      <c r="T470" s="727"/>
      <c r="U470" s="195"/>
      <c r="V470" s="195"/>
      <c r="W470" s="195"/>
      <c r="X470" s="195"/>
      <c r="Y470" s="195"/>
      <c r="Z470" s="195"/>
      <c r="AA470" s="195"/>
      <c r="AB470" s="195"/>
      <c r="AC470" s="195"/>
      <c r="AD470" s="195"/>
      <c r="AE470" s="195"/>
      <c r="AF470" s="195"/>
      <c r="AG470" s="195"/>
      <c r="AH470" s="195"/>
      <c r="AI470" s="195"/>
      <c r="AJ470" s="195"/>
      <c r="AK470" s="195"/>
      <c r="AL470" s="195"/>
      <c r="AM470" s="195"/>
      <c r="AN470" s="532"/>
      <c r="AO470" s="532"/>
      <c r="AP470" s="532"/>
      <c r="AQ470" s="532"/>
      <c r="AR470" s="532"/>
      <c r="AS470" s="195"/>
      <c r="AT470" s="240"/>
      <c r="AU470" s="240"/>
      <c r="AV470" s="240"/>
      <c r="AW470" s="730"/>
      <c r="AX470" s="730"/>
      <c r="AY470" s="730"/>
      <c r="AZ470" s="730"/>
      <c r="BA470" s="468"/>
      <c r="BB470" s="468"/>
      <c r="BC470" s="240"/>
      <c r="BD470" s="240"/>
      <c r="BE470" s="240"/>
      <c r="BF470" s="240"/>
      <c r="BG470" s="672"/>
      <c r="BH470" s="672"/>
      <c r="BI470" s="731"/>
      <c r="BJ470" s="672"/>
      <c r="BK470" s="672"/>
      <c r="BL470" s="240"/>
      <c r="BM470" s="736"/>
      <c r="BN470" s="737"/>
      <c r="BO470" s="240"/>
      <c r="BP470" s="240"/>
      <c r="BQ470" s="240"/>
      <c r="BR470" s="240"/>
      <c r="BS470" s="240"/>
      <c r="BT470" s="240"/>
      <c r="BU470" s="240"/>
      <c r="BV470" s="240"/>
      <c r="BW470" s="240"/>
      <c r="BX470" s="240"/>
      <c r="BY470" s="240"/>
      <c r="BZ470" s="240"/>
      <c r="CA470" s="240"/>
      <c r="CB470" s="240"/>
      <c r="CC470" s="240"/>
      <c r="CD470" s="672"/>
      <c r="CE470" s="672"/>
      <c r="CF470" s="672"/>
      <c r="CG470" s="672"/>
      <c r="CH470" s="672"/>
      <c r="CI470" s="672"/>
      <c r="CJ470" s="240"/>
      <c r="CK470" s="240"/>
      <c r="CL470" s="240"/>
      <c r="CM470" s="240"/>
      <c r="CN470" s="240"/>
      <c r="CO470" s="240"/>
      <c r="CP470" s="240"/>
      <c r="CQ470" s="240"/>
      <c r="CR470" s="240"/>
      <c r="CS470" s="240"/>
      <c r="CT470" s="240"/>
      <c r="CU470" s="240"/>
      <c r="CV470" s="240"/>
      <c r="CW470" s="240"/>
      <c r="CX470" s="240"/>
      <c r="CY470" s="240"/>
      <c r="CZ470" s="240"/>
      <c r="DA470" s="240"/>
      <c r="DB470" s="240"/>
      <c r="DC470" s="240"/>
      <c r="DD470" s="240"/>
      <c r="DE470" s="240"/>
      <c r="DF470" s="240"/>
      <c r="DG470" s="240"/>
      <c r="DH470" s="478"/>
      <c r="DI470" s="733"/>
      <c r="DJ470" s="733"/>
      <c r="DK470" s="478"/>
      <c r="DL470" s="3"/>
      <c r="DM470" s="4"/>
      <c r="DN470" s="4"/>
      <c r="DO470" s="4"/>
      <c r="DP470" s="4"/>
      <c r="DQ470" s="4"/>
      <c r="DR470" s="4"/>
      <c r="DS470" s="4"/>
      <c r="DU470" s="195"/>
      <c r="DV470" s="195"/>
      <c r="DW470" s="195"/>
      <c r="DX470" s="195"/>
      <c r="DY470" s="195"/>
      <c r="DZ470" s="195"/>
      <c r="EA470" s="195"/>
      <c r="EB470" s="195"/>
      <c r="EC470" s="195"/>
      <c r="ED470" s="195"/>
      <c r="EE470" s="195"/>
      <c r="EF470" s="195"/>
      <c r="EG470" s="195"/>
      <c r="EL470" s="1"/>
      <c r="EM470" s="195"/>
      <c r="EN470" s="240"/>
      <c r="EO470" s="731"/>
      <c r="EP470" s="195"/>
      <c r="EQ470" s="240"/>
      <c r="ER470" s="195"/>
      <c r="ES470" s="195"/>
      <c r="ET470" s="195"/>
      <c r="EU470" s="672"/>
    </row>
    <row r="471" customFormat="false" ht="12.75" hidden="false" customHeight="false" outlineLevel="0" collapsed="false">
      <c r="I471" s="735"/>
      <c r="J471" s="727"/>
      <c r="K471" s="195"/>
      <c r="L471" s="195"/>
      <c r="M471" s="729"/>
      <c r="P471" s="727"/>
      <c r="S471" s="1"/>
      <c r="T471" s="727"/>
      <c r="U471" s="195"/>
      <c r="V471" s="195"/>
      <c r="W471" s="195"/>
      <c r="X471" s="195"/>
      <c r="Y471" s="195"/>
      <c r="Z471" s="195"/>
      <c r="AA471" s="195"/>
      <c r="AB471" s="195"/>
      <c r="AC471" s="195"/>
      <c r="AD471" s="195"/>
      <c r="AE471" s="195"/>
      <c r="AF471" s="195"/>
      <c r="AG471" s="195"/>
      <c r="AH471" s="195"/>
      <c r="AI471" s="195"/>
      <c r="AJ471" s="195"/>
      <c r="AK471" s="195"/>
      <c r="AL471" s="195"/>
      <c r="AM471" s="195"/>
      <c r="AN471" s="532"/>
      <c r="AO471" s="532"/>
      <c r="AP471" s="532"/>
      <c r="AQ471" s="532"/>
      <c r="AR471" s="532"/>
      <c r="AS471" s="195"/>
      <c r="AT471" s="240"/>
      <c r="AU471" s="240"/>
      <c r="AV471" s="240"/>
      <c r="AW471" s="730"/>
      <c r="AX471" s="730"/>
      <c r="AY471" s="730"/>
      <c r="AZ471" s="730"/>
      <c r="BA471" s="468"/>
      <c r="BB471" s="468"/>
      <c r="BC471" s="240"/>
      <c r="BD471" s="240"/>
      <c r="BE471" s="240"/>
      <c r="BF471" s="240"/>
      <c r="BG471" s="672"/>
      <c r="BH471" s="672"/>
      <c r="BI471" s="731"/>
      <c r="BJ471" s="672"/>
      <c r="BK471" s="672"/>
      <c r="BL471" s="240"/>
      <c r="BM471" s="736"/>
      <c r="BN471" s="737"/>
      <c r="BO471" s="240"/>
      <c r="BP471" s="240"/>
      <c r="BQ471" s="240"/>
      <c r="BR471" s="240"/>
      <c r="BS471" s="240"/>
      <c r="BT471" s="240"/>
      <c r="BU471" s="240"/>
      <c r="BV471" s="240"/>
      <c r="BW471" s="240"/>
      <c r="BX471" s="240"/>
      <c r="BY471" s="240"/>
      <c r="BZ471" s="240"/>
      <c r="CA471" s="240"/>
      <c r="CB471" s="240"/>
      <c r="CC471" s="240"/>
      <c r="CD471" s="672"/>
      <c r="CE471" s="672"/>
      <c r="CF471" s="672"/>
      <c r="CG471" s="672"/>
      <c r="CH471" s="672"/>
      <c r="CI471" s="672"/>
      <c r="CJ471" s="240"/>
      <c r="CK471" s="240"/>
      <c r="CL471" s="240"/>
      <c r="CM471" s="240"/>
      <c r="CN471" s="240"/>
      <c r="CO471" s="240"/>
      <c r="CP471" s="240"/>
      <c r="CQ471" s="240"/>
      <c r="CR471" s="240"/>
      <c r="CS471" s="240"/>
      <c r="CT471" s="240"/>
      <c r="CU471" s="240"/>
      <c r="CV471" s="240"/>
      <c r="CW471" s="240"/>
      <c r="CX471" s="240"/>
      <c r="CY471" s="240"/>
      <c r="CZ471" s="240"/>
      <c r="DA471" s="240"/>
      <c r="DB471" s="240"/>
      <c r="DC471" s="240"/>
      <c r="DD471" s="240"/>
      <c r="DE471" s="240"/>
      <c r="DF471" s="240"/>
      <c r="DG471" s="240"/>
      <c r="DH471" s="478"/>
      <c r="DI471" s="733"/>
      <c r="DJ471" s="733"/>
      <c r="DK471" s="478"/>
      <c r="DL471" s="3"/>
      <c r="DM471" s="4"/>
      <c r="DN471" s="4"/>
      <c r="DO471" s="4"/>
      <c r="DP471" s="4"/>
      <c r="DQ471" s="4"/>
      <c r="DR471" s="4"/>
      <c r="DS471" s="4"/>
      <c r="DU471" s="195"/>
      <c r="DV471" s="195"/>
      <c r="DW471" s="195"/>
      <c r="DX471" s="195"/>
      <c r="DY471" s="195"/>
      <c r="DZ471" s="195"/>
      <c r="EA471" s="195"/>
      <c r="EB471" s="195"/>
      <c r="EC471" s="195"/>
      <c r="ED471" s="195"/>
      <c r="EE471" s="195"/>
      <c r="EF471" s="195"/>
      <c r="EG471" s="195"/>
      <c r="EL471" s="1"/>
      <c r="EM471" s="195"/>
      <c r="EN471" s="240"/>
      <c r="EO471" s="731"/>
      <c r="EP471" s="195"/>
      <c r="EQ471" s="240"/>
      <c r="ER471" s="195"/>
      <c r="ES471" s="195"/>
      <c r="ET471" s="195"/>
      <c r="EU471" s="672"/>
    </row>
    <row r="472" customFormat="false" ht="12.75" hidden="false" customHeight="false" outlineLevel="0" collapsed="false">
      <c r="I472" s="735"/>
      <c r="J472" s="727"/>
      <c r="K472" s="195"/>
      <c r="L472" s="195"/>
      <c r="M472" s="729"/>
      <c r="P472" s="727"/>
      <c r="S472" s="1"/>
      <c r="T472" s="727"/>
      <c r="U472" s="195"/>
      <c r="V472" s="195"/>
      <c r="W472" s="195"/>
      <c r="X472" s="195"/>
      <c r="Y472" s="195"/>
      <c r="Z472" s="195"/>
      <c r="AA472" s="195"/>
      <c r="AB472" s="195"/>
      <c r="AC472" s="195"/>
      <c r="AD472" s="195"/>
      <c r="AE472" s="195"/>
      <c r="AF472" s="195"/>
      <c r="AG472" s="195"/>
      <c r="AH472" s="195"/>
      <c r="AI472" s="195"/>
      <c r="AJ472" s="195"/>
      <c r="AK472" s="195"/>
      <c r="AL472" s="195"/>
      <c r="AM472" s="195"/>
      <c r="AN472" s="532"/>
      <c r="AO472" s="532"/>
      <c r="AP472" s="532"/>
      <c r="AQ472" s="532"/>
      <c r="AR472" s="532"/>
      <c r="AS472" s="195"/>
      <c r="AT472" s="240"/>
      <c r="AU472" s="240"/>
      <c r="AV472" s="240"/>
      <c r="AW472" s="730"/>
      <c r="AX472" s="730"/>
      <c r="AY472" s="730"/>
      <c r="AZ472" s="730"/>
      <c r="BA472" s="468"/>
      <c r="BB472" s="468"/>
      <c r="BC472" s="240"/>
      <c r="BD472" s="240"/>
      <c r="BE472" s="240"/>
      <c r="BF472" s="240"/>
      <c r="BG472" s="672"/>
      <c r="BH472" s="672"/>
      <c r="BI472" s="731"/>
      <c r="BJ472" s="672"/>
      <c r="BK472" s="672"/>
      <c r="BL472" s="240"/>
      <c r="BM472" s="736"/>
      <c r="BN472" s="737"/>
      <c r="BO472" s="240"/>
      <c r="BP472" s="240"/>
      <c r="BQ472" s="240"/>
      <c r="BR472" s="240"/>
      <c r="BS472" s="240"/>
      <c r="BT472" s="240"/>
      <c r="BU472" s="240"/>
      <c r="BV472" s="240"/>
      <c r="BW472" s="240"/>
      <c r="BX472" s="240"/>
      <c r="BY472" s="240"/>
      <c r="BZ472" s="240"/>
      <c r="CA472" s="240"/>
      <c r="CB472" s="240"/>
      <c r="CC472" s="240"/>
      <c r="CD472" s="672"/>
      <c r="CE472" s="672"/>
      <c r="CF472" s="672"/>
      <c r="CG472" s="672"/>
      <c r="CH472" s="672"/>
      <c r="CI472" s="672"/>
      <c r="CJ472" s="240"/>
      <c r="CK472" s="240"/>
      <c r="CL472" s="240"/>
      <c r="CM472" s="240"/>
      <c r="CN472" s="240"/>
      <c r="CO472" s="240"/>
      <c r="CP472" s="240"/>
      <c r="CQ472" s="240"/>
      <c r="CR472" s="240"/>
      <c r="CS472" s="240"/>
      <c r="CT472" s="240"/>
      <c r="CU472" s="240"/>
      <c r="CV472" s="240"/>
      <c r="CW472" s="240"/>
      <c r="CX472" s="240"/>
      <c r="CY472" s="240"/>
      <c r="CZ472" s="240"/>
      <c r="DA472" s="240"/>
      <c r="DB472" s="240"/>
      <c r="DC472" s="240"/>
      <c r="DD472" s="240"/>
      <c r="DE472" s="240"/>
      <c r="DF472" s="240"/>
      <c r="DG472" s="240"/>
      <c r="DH472" s="478"/>
      <c r="DI472" s="733"/>
      <c r="DJ472" s="733"/>
      <c r="DK472" s="478"/>
      <c r="DL472" s="3"/>
      <c r="DM472" s="4"/>
      <c r="DN472" s="4"/>
      <c r="DO472" s="4"/>
      <c r="DP472" s="4"/>
      <c r="DQ472" s="4"/>
      <c r="DR472" s="4"/>
      <c r="DS472" s="4"/>
      <c r="DU472" s="195"/>
      <c r="DV472" s="195"/>
      <c r="DW472" s="195"/>
      <c r="DX472" s="195"/>
      <c r="DY472" s="195"/>
      <c r="DZ472" s="195"/>
      <c r="EA472" s="195"/>
      <c r="EB472" s="195"/>
      <c r="EC472" s="195"/>
      <c r="ED472" s="195"/>
      <c r="EE472" s="195"/>
      <c r="EF472" s="195"/>
      <c r="EG472" s="195"/>
      <c r="EL472" s="1"/>
      <c r="EM472" s="195"/>
      <c r="EN472" s="240"/>
      <c r="EO472" s="731"/>
      <c r="EP472" s="195"/>
      <c r="EQ472" s="240"/>
      <c r="ER472" s="195"/>
      <c r="ES472" s="195"/>
      <c r="ET472" s="195"/>
      <c r="EU472" s="672"/>
    </row>
    <row r="473" customFormat="false" ht="12.75" hidden="false" customHeight="false" outlineLevel="0" collapsed="false">
      <c r="I473" s="735"/>
      <c r="J473" s="727"/>
      <c r="K473" s="195"/>
      <c r="L473" s="195"/>
      <c r="M473" s="729"/>
      <c r="P473" s="727"/>
      <c r="S473" s="1"/>
      <c r="T473" s="727"/>
      <c r="U473" s="195"/>
      <c r="V473" s="195"/>
      <c r="W473" s="195"/>
      <c r="X473" s="195"/>
      <c r="Y473" s="195"/>
      <c r="Z473" s="195"/>
      <c r="AA473" s="195"/>
      <c r="AB473" s="195"/>
      <c r="AC473" s="195"/>
      <c r="AD473" s="195"/>
      <c r="AE473" s="195"/>
      <c r="AF473" s="195"/>
      <c r="AG473" s="195"/>
      <c r="AH473" s="195"/>
      <c r="AI473" s="195"/>
      <c r="AJ473" s="195"/>
      <c r="AK473" s="195"/>
      <c r="AL473" s="195"/>
      <c r="AM473" s="195"/>
      <c r="AN473" s="532"/>
      <c r="AO473" s="532"/>
      <c r="AP473" s="532"/>
      <c r="AQ473" s="532"/>
      <c r="AR473" s="532"/>
      <c r="AS473" s="195"/>
      <c r="AT473" s="240"/>
      <c r="AU473" s="240"/>
      <c r="AV473" s="240"/>
      <c r="AW473" s="730"/>
      <c r="AX473" s="730"/>
      <c r="AY473" s="730"/>
      <c r="AZ473" s="730"/>
      <c r="BA473" s="468"/>
      <c r="BB473" s="468"/>
      <c r="BC473" s="240"/>
      <c r="BD473" s="240"/>
      <c r="BE473" s="240"/>
      <c r="BF473" s="240"/>
      <c r="BG473" s="672"/>
      <c r="BH473" s="672"/>
      <c r="BI473" s="731"/>
      <c r="BJ473" s="672"/>
      <c r="BK473" s="672"/>
      <c r="BL473" s="240"/>
      <c r="BM473" s="736"/>
      <c r="BN473" s="737"/>
      <c r="BO473" s="240"/>
      <c r="BP473" s="240"/>
      <c r="BQ473" s="240"/>
      <c r="BR473" s="240"/>
      <c r="BS473" s="240"/>
      <c r="BT473" s="240"/>
      <c r="BU473" s="240"/>
      <c r="BV473" s="240"/>
      <c r="BW473" s="240"/>
      <c r="BX473" s="240"/>
      <c r="BY473" s="240"/>
      <c r="BZ473" s="240"/>
      <c r="CA473" s="240"/>
      <c r="CB473" s="240"/>
      <c r="CC473" s="240"/>
      <c r="CD473" s="672"/>
      <c r="CE473" s="672"/>
      <c r="CF473" s="672"/>
      <c r="CG473" s="672"/>
      <c r="CH473" s="672"/>
      <c r="CI473" s="672"/>
      <c r="CJ473" s="240"/>
      <c r="CK473" s="240"/>
      <c r="CL473" s="240"/>
      <c r="CM473" s="240"/>
      <c r="CN473" s="240"/>
      <c r="CO473" s="240"/>
      <c r="CP473" s="240"/>
      <c r="CQ473" s="240"/>
      <c r="CR473" s="240"/>
      <c r="CS473" s="240"/>
      <c r="CT473" s="240"/>
      <c r="CU473" s="240"/>
      <c r="CV473" s="240"/>
      <c r="CW473" s="240"/>
      <c r="CX473" s="240"/>
      <c r="CY473" s="240"/>
      <c r="CZ473" s="240"/>
      <c r="DA473" s="240"/>
      <c r="DB473" s="240"/>
      <c r="DC473" s="240"/>
      <c r="DD473" s="240"/>
      <c r="DE473" s="240"/>
      <c r="DF473" s="240"/>
      <c r="DG473" s="240"/>
      <c r="DH473" s="478"/>
      <c r="DI473" s="733"/>
      <c r="DJ473" s="733"/>
      <c r="DK473" s="478"/>
      <c r="DL473" s="3"/>
      <c r="DM473" s="4"/>
      <c r="DN473" s="4"/>
      <c r="DO473" s="4"/>
      <c r="DP473" s="4"/>
      <c r="DQ473" s="4"/>
      <c r="DR473" s="4"/>
      <c r="DS473" s="4"/>
      <c r="DU473" s="195"/>
      <c r="DV473" s="195"/>
      <c r="DW473" s="195"/>
      <c r="DX473" s="195"/>
      <c r="DY473" s="195"/>
      <c r="DZ473" s="195"/>
      <c r="EA473" s="195"/>
      <c r="EB473" s="195"/>
      <c r="EC473" s="195"/>
      <c r="ED473" s="195"/>
      <c r="EE473" s="195"/>
      <c r="EF473" s="195"/>
      <c r="EG473" s="195"/>
      <c r="EL473" s="1"/>
      <c r="EM473" s="195"/>
      <c r="EN473" s="240"/>
      <c r="EO473" s="731"/>
      <c r="EP473" s="195"/>
      <c r="EQ473" s="240"/>
      <c r="ER473" s="195"/>
      <c r="ES473" s="195"/>
      <c r="ET473" s="195"/>
      <c r="EU473" s="672"/>
    </row>
    <row r="474" customFormat="false" ht="12.75" hidden="false" customHeight="false" outlineLevel="0" collapsed="false">
      <c r="I474" s="735"/>
      <c r="J474" s="727"/>
      <c r="K474" s="195"/>
      <c r="L474" s="195"/>
      <c r="M474" s="729"/>
      <c r="P474" s="727"/>
      <c r="S474" s="1"/>
      <c r="T474" s="727"/>
      <c r="U474" s="195"/>
      <c r="V474" s="195"/>
      <c r="W474" s="195"/>
      <c r="X474" s="195"/>
      <c r="Y474" s="195"/>
      <c r="Z474" s="195"/>
      <c r="AA474" s="195"/>
      <c r="AB474" s="195"/>
      <c r="AC474" s="195"/>
      <c r="AD474" s="195"/>
      <c r="AE474" s="195"/>
      <c r="AF474" s="195"/>
      <c r="AG474" s="195"/>
      <c r="AH474" s="195"/>
      <c r="AI474" s="195"/>
      <c r="AJ474" s="195"/>
      <c r="AK474" s="195"/>
      <c r="AL474" s="195"/>
      <c r="AM474" s="195"/>
      <c r="AN474" s="532"/>
      <c r="AO474" s="532"/>
      <c r="AP474" s="532"/>
      <c r="AQ474" s="532"/>
      <c r="AR474" s="532"/>
      <c r="AS474" s="195"/>
      <c r="AT474" s="240"/>
      <c r="AU474" s="240"/>
      <c r="AV474" s="240"/>
      <c r="AW474" s="730"/>
      <c r="AX474" s="730"/>
      <c r="AY474" s="730"/>
      <c r="AZ474" s="730"/>
      <c r="BA474" s="468"/>
      <c r="BB474" s="468"/>
      <c r="BC474" s="240"/>
      <c r="BD474" s="240"/>
      <c r="BE474" s="240"/>
      <c r="BF474" s="240"/>
      <c r="BG474" s="672"/>
      <c r="BH474" s="672"/>
      <c r="BI474" s="731"/>
      <c r="BJ474" s="672"/>
      <c r="BK474" s="672"/>
      <c r="BL474" s="240"/>
      <c r="BM474" s="736"/>
      <c r="BN474" s="737"/>
      <c r="BO474" s="240"/>
      <c r="BP474" s="240"/>
      <c r="BQ474" s="240"/>
      <c r="BR474" s="240"/>
      <c r="BS474" s="240"/>
      <c r="BT474" s="240"/>
      <c r="BU474" s="240"/>
      <c r="BV474" s="240"/>
      <c r="BW474" s="240"/>
      <c r="BX474" s="240"/>
      <c r="BY474" s="240"/>
      <c r="BZ474" s="240"/>
      <c r="CA474" s="240"/>
      <c r="CB474" s="240"/>
      <c r="CC474" s="240"/>
      <c r="CD474" s="672"/>
      <c r="CE474" s="672"/>
      <c r="CF474" s="672"/>
      <c r="CG474" s="672"/>
      <c r="CH474" s="672"/>
      <c r="CI474" s="672"/>
      <c r="CJ474" s="240"/>
      <c r="CK474" s="240"/>
      <c r="CL474" s="240"/>
      <c r="CM474" s="240"/>
      <c r="CN474" s="240"/>
      <c r="CO474" s="240"/>
      <c r="CP474" s="240"/>
      <c r="CQ474" s="240"/>
      <c r="CR474" s="240"/>
      <c r="CS474" s="240"/>
      <c r="CT474" s="240"/>
      <c r="CU474" s="240"/>
      <c r="CV474" s="240"/>
      <c r="CW474" s="240"/>
      <c r="CX474" s="240"/>
      <c r="CY474" s="240"/>
      <c r="CZ474" s="240"/>
      <c r="DA474" s="240"/>
      <c r="DB474" s="240"/>
      <c r="DC474" s="240"/>
      <c r="DD474" s="240"/>
      <c r="DE474" s="240"/>
      <c r="DF474" s="240"/>
      <c r="DG474" s="240"/>
      <c r="DH474" s="478"/>
      <c r="DI474" s="733"/>
      <c r="DJ474" s="733"/>
      <c r="DK474" s="478"/>
      <c r="DL474" s="3"/>
      <c r="DM474" s="4"/>
      <c r="DN474" s="4"/>
      <c r="DO474" s="4"/>
      <c r="DP474" s="4"/>
      <c r="DQ474" s="4"/>
      <c r="DR474" s="4"/>
      <c r="DS474" s="4"/>
      <c r="DU474" s="195"/>
      <c r="DV474" s="195"/>
      <c r="DW474" s="195"/>
      <c r="DX474" s="195"/>
      <c r="DY474" s="195"/>
      <c r="DZ474" s="195"/>
      <c r="EA474" s="195"/>
      <c r="EB474" s="195"/>
      <c r="EC474" s="195"/>
      <c r="ED474" s="195"/>
      <c r="EE474" s="195"/>
      <c r="EF474" s="195"/>
      <c r="EG474" s="195"/>
      <c r="EL474" s="1"/>
      <c r="EM474" s="195"/>
      <c r="EN474" s="240"/>
      <c r="EO474" s="731"/>
      <c r="EP474" s="195"/>
      <c r="EQ474" s="240"/>
      <c r="ER474" s="195"/>
      <c r="ES474" s="195"/>
      <c r="ET474" s="195"/>
      <c r="EU474" s="672"/>
    </row>
    <row r="475" customFormat="false" ht="12.75" hidden="false" customHeight="false" outlineLevel="0" collapsed="false">
      <c r="I475" s="735"/>
      <c r="J475" s="727"/>
      <c r="K475" s="195"/>
      <c r="L475" s="195"/>
      <c r="M475" s="729"/>
      <c r="P475" s="727"/>
      <c r="S475" s="1"/>
      <c r="T475" s="727"/>
      <c r="U475" s="195"/>
      <c r="V475" s="195"/>
      <c r="W475" s="195"/>
      <c r="X475" s="195"/>
      <c r="Y475" s="195"/>
      <c r="Z475" s="195"/>
      <c r="AA475" s="195"/>
      <c r="AB475" s="195"/>
      <c r="AC475" s="195"/>
      <c r="AD475" s="195"/>
      <c r="AE475" s="195"/>
      <c r="AF475" s="195"/>
      <c r="AG475" s="195"/>
      <c r="AH475" s="195"/>
      <c r="AI475" s="195"/>
      <c r="AJ475" s="195"/>
      <c r="AK475" s="195"/>
      <c r="AL475" s="195"/>
      <c r="AM475" s="195"/>
      <c r="AN475" s="532"/>
      <c r="AO475" s="532"/>
      <c r="AP475" s="532"/>
      <c r="AQ475" s="532"/>
      <c r="AR475" s="532"/>
      <c r="AS475" s="195"/>
      <c r="AT475" s="240"/>
      <c r="AU475" s="240"/>
      <c r="AV475" s="240"/>
      <c r="AW475" s="730"/>
      <c r="AX475" s="730"/>
      <c r="AY475" s="730"/>
      <c r="AZ475" s="730"/>
      <c r="BA475" s="468"/>
      <c r="BB475" s="468"/>
      <c r="BC475" s="240"/>
      <c r="BD475" s="240"/>
      <c r="BE475" s="240"/>
      <c r="BF475" s="240"/>
      <c r="BG475" s="672"/>
      <c r="BH475" s="672"/>
      <c r="BI475" s="731"/>
      <c r="BJ475" s="672"/>
      <c r="BK475" s="672"/>
      <c r="BL475" s="240"/>
      <c r="BM475" s="736"/>
      <c r="BN475" s="737"/>
      <c r="BO475" s="240"/>
      <c r="BP475" s="240"/>
      <c r="BQ475" s="240"/>
      <c r="BR475" s="240"/>
      <c r="BS475" s="240"/>
      <c r="BT475" s="240"/>
      <c r="BU475" s="240"/>
      <c r="BV475" s="240"/>
      <c r="BW475" s="240"/>
      <c r="BX475" s="240"/>
      <c r="BY475" s="240"/>
      <c r="BZ475" s="240"/>
      <c r="CA475" s="240"/>
      <c r="CB475" s="240"/>
      <c r="CC475" s="240"/>
      <c r="CD475" s="672"/>
      <c r="CE475" s="672"/>
      <c r="CF475" s="672"/>
      <c r="CG475" s="672"/>
      <c r="CH475" s="672"/>
      <c r="CI475" s="672"/>
      <c r="CJ475" s="240"/>
      <c r="CK475" s="240"/>
      <c r="CL475" s="240"/>
      <c r="CM475" s="240"/>
      <c r="CN475" s="240"/>
      <c r="CO475" s="240"/>
      <c r="CP475" s="240"/>
      <c r="CQ475" s="240"/>
      <c r="CR475" s="240"/>
      <c r="CS475" s="240"/>
      <c r="CT475" s="240"/>
      <c r="CU475" s="240"/>
      <c r="CV475" s="240"/>
      <c r="CW475" s="240"/>
      <c r="CX475" s="240"/>
      <c r="CY475" s="240"/>
      <c r="CZ475" s="240"/>
      <c r="DA475" s="240"/>
      <c r="DB475" s="240"/>
      <c r="DC475" s="240"/>
      <c r="DD475" s="240"/>
      <c r="DE475" s="240"/>
      <c r="DF475" s="240"/>
      <c r="DG475" s="240"/>
      <c r="DH475" s="478"/>
      <c r="DI475" s="733"/>
      <c r="DJ475" s="733"/>
      <c r="DK475" s="478"/>
      <c r="DL475" s="3"/>
      <c r="DM475" s="4"/>
      <c r="DN475" s="4"/>
      <c r="DO475" s="4"/>
      <c r="DP475" s="4"/>
      <c r="DQ475" s="4"/>
      <c r="DR475" s="4"/>
      <c r="DS475" s="4"/>
      <c r="DU475" s="195"/>
      <c r="DV475" s="195"/>
      <c r="DW475" s="195"/>
      <c r="DX475" s="195"/>
      <c r="DY475" s="195"/>
      <c r="DZ475" s="195"/>
      <c r="EA475" s="195"/>
      <c r="EB475" s="195"/>
      <c r="EC475" s="195"/>
      <c r="ED475" s="195"/>
      <c r="EE475" s="195"/>
      <c r="EF475" s="195"/>
      <c r="EG475" s="195"/>
      <c r="EL475" s="1"/>
      <c r="EM475" s="195"/>
      <c r="EN475" s="240"/>
      <c r="EO475" s="731"/>
      <c r="EP475" s="195"/>
      <c r="EQ475" s="240"/>
      <c r="ER475" s="195"/>
      <c r="ES475" s="195"/>
      <c r="ET475" s="195"/>
      <c r="EU475" s="672"/>
    </row>
    <row r="476" customFormat="false" ht="12.75" hidden="false" customHeight="false" outlineLevel="0" collapsed="false">
      <c r="I476" s="735"/>
      <c r="J476" s="727"/>
      <c r="K476" s="195"/>
      <c r="L476" s="195"/>
      <c r="M476" s="729"/>
      <c r="P476" s="727"/>
      <c r="S476" s="1"/>
      <c r="T476" s="727"/>
      <c r="U476" s="195"/>
      <c r="V476" s="195"/>
      <c r="W476" s="195"/>
      <c r="X476" s="195"/>
      <c r="Y476" s="195"/>
      <c r="Z476" s="195"/>
      <c r="AA476" s="195"/>
      <c r="AB476" s="195"/>
      <c r="AC476" s="195"/>
      <c r="AD476" s="195"/>
      <c r="AE476" s="195"/>
      <c r="AF476" s="195"/>
      <c r="AG476" s="195"/>
      <c r="AH476" s="195"/>
      <c r="AI476" s="195"/>
      <c r="AJ476" s="195"/>
      <c r="AK476" s="195"/>
      <c r="AL476" s="195"/>
      <c r="AM476" s="195"/>
      <c r="AN476" s="532"/>
      <c r="AO476" s="532"/>
      <c r="AP476" s="532"/>
      <c r="AQ476" s="532"/>
      <c r="AR476" s="532"/>
      <c r="AS476" s="195"/>
      <c r="AT476" s="240"/>
      <c r="AU476" s="240"/>
      <c r="AV476" s="240"/>
      <c r="AW476" s="730"/>
      <c r="AX476" s="730"/>
      <c r="AY476" s="730"/>
      <c r="AZ476" s="730"/>
      <c r="BA476" s="468"/>
      <c r="BB476" s="468"/>
      <c r="BC476" s="240"/>
      <c r="BD476" s="240"/>
      <c r="BE476" s="240"/>
      <c r="BF476" s="240"/>
      <c r="BG476" s="672"/>
      <c r="BH476" s="672"/>
      <c r="BI476" s="731"/>
      <c r="BJ476" s="672"/>
      <c r="BK476" s="672"/>
      <c r="BL476" s="240"/>
      <c r="BM476" s="736"/>
      <c r="BN476" s="737"/>
      <c r="BO476" s="240"/>
      <c r="BP476" s="240"/>
      <c r="BQ476" s="240"/>
      <c r="BR476" s="240"/>
      <c r="BS476" s="240"/>
      <c r="BT476" s="240"/>
      <c r="BU476" s="240"/>
      <c r="BV476" s="240"/>
      <c r="BW476" s="240"/>
      <c r="BX476" s="240"/>
      <c r="BY476" s="240"/>
      <c r="BZ476" s="240"/>
      <c r="CA476" s="240"/>
      <c r="CB476" s="240"/>
      <c r="CC476" s="240"/>
      <c r="CD476" s="672"/>
      <c r="CE476" s="672"/>
      <c r="CF476" s="672"/>
      <c r="CG476" s="672"/>
      <c r="CH476" s="672"/>
      <c r="CI476" s="672"/>
      <c r="CJ476" s="240"/>
      <c r="CK476" s="240"/>
      <c r="CL476" s="240"/>
      <c r="CM476" s="240"/>
      <c r="CN476" s="240"/>
      <c r="CO476" s="240"/>
      <c r="CP476" s="240"/>
      <c r="CQ476" s="240"/>
      <c r="CR476" s="240"/>
      <c r="CS476" s="240"/>
      <c r="CT476" s="240"/>
      <c r="CU476" s="240"/>
      <c r="CV476" s="240"/>
      <c r="CW476" s="240"/>
      <c r="CX476" s="240"/>
      <c r="CY476" s="240"/>
      <c r="CZ476" s="240"/>
      <c r="DA476" s="240"/>
      <c r="DB476" s="240"/>
      <c r="DC476" s="240"/>
      <c r="DD476" s="240"/>
      <c r="DE476" s="240"/>
      <c r="DF476" s="240"/>
      <c r="DG476" s="240"/>
      <c r="DH476" s="478"/>
      <c r="DI476" s="733"/>
      <c r="DJ476" s="733"/>
      <c r="DK476" s="478"/>
      <c r="DL476" s="3"/>
      <c r="DM476" s="4"/>
      <c r="DN476" s="4"/>
      <c r="DO476" s="4"/>
      <c r="DP476" s="4"/>
      <c r="DQ476" s="4"/>
      <c r="DR476" s="4"/>
      <c r="DS476" s="4"/>
      <c r="DU476" s="195"/>
      <c r="DV476" s="195"/>
      <c r="DW476" s="195"/>
      <c r="DX476" s="195"/>
      <c r="DY476" s="195"/>
      <c r="DZ476" s="195"/>
      <c r="EA476" s="195"/>
      <c r="EB476" s="195"/>
      <c r="EC476" s="195"/>
      <c r="ED476" s="195"/>
      <c r="EE476" s="195"/>
      <c r="EF476" s="195"/>
      <c r="EG476" s="195"/>
      <c r="EL476" s="1"/>
      <c r="EM476" s="195"/>
      <c r="EN476" s="240"/>
      <c r="EO476" s="731"/>
      <c r="EP476" s="195"/>
      <c r="EQ476" s="240"/>
      <c r="ER476" s="195"/>
      <c r="ES476" s="195"/>
      <c r="ET476" s="195"/>
      <c r="EU476" s="672"/>
    </row>
    <row r="477" customFormat="false" ht="12.75" hidden="false" customHeight="false" outlineLevel="0" collapsed="false">
      <c r="I477" s="735"/>
      <c r="J477" s="727"/>
      <c r="K477" s="195"/>
      <c r="L477" s="195"/>
      <c r="M477" s="729"/>
      <c r="P477" s="727"/>
      <c r="S477" s="1"/>
      <c r="T477" s="727"/>
      <c r="U477" s="195"/>
      <c r="V477" s="195"/>
      <c r="W477" s="195"/>
      <c r="X477" s="195"/>
      <c r="Y477" s="195"/>
      <c r="Z477" s="195"/>
      <c r="AA477" s="195"/>
      <c r="AB477" s="195"/>
      <c r="AC477" s="195"/>
      <c r="AD477" s="195"/>
      <c r="AE477" s="195"/>
      <c r="AF477" s="195"/>
      <c r="AG477" s="195"/>
      <c r="AH477" s="195"/>
      <c r="AI477" s="195"/>
      <c r="AJ477" s="195"/>
      <c r="AK477" s="195"/>
      <c r="AL477" s="195"/>
      <c r="AM477" s="195"/>
      <c r="AN477" s="532"/>
      <c r="AO477" s="532"/>
      <c r="AP477" s="532"/>
      <c r="AQ477" s="532"/>
      <c r="AR477" s="532"/>
      <c r="AS477" s="195"/>
      <c r="AT477" s="240"/>
      <c r="AU477" s="240"/>
      <c r="AV477" s="240"/>
      <c r="AW477" s="730"/>
      <c r="AX477" s="730"/>
      <c r="AY477" s="730"/>
      <c r="AZ477" s="730"/>
      <c r="BA477" s="468"/>
      <c r="BB477" s="468"/>
      <c r="BC477" s="240"/>
      <c r="BD477" s="240"/>
      <c r="BE477" s="240"/>
      <c r="BF477" s="240"/>
      <c r="BG477" s="672"/>
      <c r="BH477" s="672"/>
      <c r="BI477" s="731"/>
      <c r="BJ477" s="672"/>
      <c r="BK477" s="672"/>
      <c r="BL477" s="240"/>
      <c r="BM477" s="736"/>
      <c r="BN477" s="737"/>
      <c r="BO477" s="240"/>
      <c r="BP477" s="240"/>
      <c r="BQ477" s="240"/>
      <c r="BR477" s="240"/>
      <c r="BS477" s="240"/>
      <c r="BT477" s="240"/>
      <c r="BU477" s="240"/>
      <c r="BV477" s="240"/>
      <c r="BW477" s="240"/>
      <c r="BX477" s="240"/>
      <c r="BY477" s="240"/>
      <c r="BZ477" s="240"/>
      <c r="CA477" s="240"/>
      <c r="CB477" s="240"/>
      <c r="CC477" s="240"/>
      <c r="CD477" s="672"/>
      <c r="CE477" s="672"/>
      <c r="CF477" s="672"/>
      <c r="CG477" s="672"/>
      <c r="CH477" s="672"/>
      <c r="CI477" s="672"/>
      <c r="CJ477" s="240"/>
      <c r="CK477" s="240"/>
      <c r="CL477" s="240"/>
      <c r="CM477" s="240"/>
      <c r="CN477" s="240"/>
      <c r="CO477" s="240"/>
      <c r="CP477" s="240"/>
      <c r="CQ477" s="240"/>
      <c r="CR477" s="240"/>
      <c r="CS477" s="240"/>
      <c r="CT477" s="240"/>
      <c r="CU477" s="240"/>
      <c r="CV477" s="240"/>
      <c r="CW477" s="240"/>
      <c r="CX477" s="240"/>
      <c r="CY477" s="240"/>
      <c r="CZ477" s="240"/>
      <c r="DA477" s="240"/>
      <c r="DB477" s="240"/>
      <c r="DC477" s="240"/>
      <c r="DD477" s="240"/>
      <c r="DE477" s="240"/>
      <c r="DF477" s="240"/>
      <c r="DG477" s="240"/>
      <c r="DH477" s="478"/>
      <c r="DI477" s="733"/>
      <c r="DJ477" s="733"/>
      <c r="DK477" s="478"/>
      <c r="DL477" s="3"/>
      <c r="DM477" s="4"/>
      <c r="DN477" s="4"/>
      <c r="DO477" s="4"/>
      <c r="DP477" s="4"/>
      <c r="DQ477" s="4"/>
      <c r="DR477" s="4"/>
      <c r="DS477" s="4"/>
      <c r="DU477" s="195"/>
      <c r="DV477" s="195"/>
      <c r="DW477" s="195"/>
      <c r="DX477" s="195"/>
      <c r="DY477" s="195"/>
      <c r="DZ477" s="195"/>
      <c r="EA477" s="195"/>
      <c r="EB477" s="195"/>
      <c r="EC477" s="195"/>
      <c r="ED477" s="195"/>
      <c r="EE477" s="195"/>
      <c r="EF477" s="195"/>
      <c r="EG477" s="195"/>
      <c r="EL477" s="1"/>
      <c r="EM477" s="195"/>
      <c r="EN477" s="240"/>
      <c r="EO477" s="731"/>
      <c r="EP477" s="195"/>
      <c r="EQ477" s="240"/>
      <c r="ER477" s="195"/>
      <c r="ES477" s="195"/>
      <c r="ET477" s="195"/>
      <c r="EU477" s="672"/>
    </row>
    <row r="478" customFormat="false" ht="12.75" hidden="false" customHeight="false" outlineLevel="0" collapsed="false">
      <c r="I478" s="735"/>
      <c r="J478" s="727"/>
      <c r="K478" s="195"/>
      <c r="L478" s="195"/>
      <c r="M478" s="729"/>
      <c r="P478" s="727"/>
      <c r="S478" s="1"/>
      <c r="T478" s="727"/>
      <c r="U478" s="195"/>
      <c r="V478" s="195"/>
      <c r="W478" s="195"/>
      <c r="X478" s="195"/>
      <c r="Y478" s="195"/>
      <c r="Z478" s="195"/>
      <c r="AA478" s="195"/>
      <c r="AB478" s="195"/>
      <c r="AC478" s="195"/>
      <c r="AD478" s="195"/>
      <c r="AE478" s="195"/>
      <c r="AF478" s="195"/>
      <c r="AG478" s="195"/>
      <c r="AH478" s="195"/>
      <c r="AI478" s="195"/>
      <c r="AJ478" s="195"/>
      <c r="AK478" s="195"/>
      <c r="AL478" s="195"/>
      <c r="AM478" s="195"/>
      <c r="AN478" s="532"/>
      <c r="AO478" s="532"/>
      <c r="AP478" s="532"/>
      <c r="AQ478" s="532"/>
      <c r="AR478" s="532"/>
      <c r="AS478" s="195"/>
      <c r="AT478" s="240"/>
      <c r="AU478" s="240"/>
      <c r="AV478" s="240"/>
      <c r="AW478" s="730"/>
      <c r="AX478" s="730"/>
      <c r="AY478" s="730"/>
      <c r="AZ478" s="730"/>
      <c r="BA478" s="468"/>
      <c r="BB478" s="468"/>
      <c r="BC478" s="240"/>
      <c r="BD478" s="240"/>
      <c r="BE478" s="240"/>
      <c r="BF478" s="240"/>
      <c r="BG478" s="672"/>
      <c r="BH478" s="672"/>
      <c r="BI478" s="731"/>
      <c r="BJ478" s="672"/>
      <c r="BK478" s="672"/>
      <c r="BL478" s="240"/>
      <c r="BM478" s="736"/>
      <c r="BN478" s="737"/>
      <c r="BO478" s="240"/>
      <c r="BP478" s="240"/>
      <c r="BQ478" s="240"/>
      <c r="BR478" s="240"/>
      <c r="BS478" s="240"/>
      <c r="BT478" s="240"/>
      <c r="BU478" s="240"/>
      <c r="BV478" s="240"/>
      <c r="BW478" s="240"/>
      <c r="BX478" s="240"/>
      <c r="BY478" s="240"/>
      <c r="BZ478" s="240"/>
      <c r="CA478" s="240"/>
      <c r="CB478" s="240"/>
      <c r="CC478" s="240"/>
      <c r="CD478" s="672"/>
      <c r="CE478" s="672"/>
      <c r="CF478" s="672"/>
      <c r="CG478" s="672"/>
      <c r="CH478" s="672"/>
      <c r="CI478" s="672"/>
      <c r="CJ478" s="240"/>
      <c r="CK478" s="240"/>
      <c r="CL478" s="240"/>
      <c r="CM478" s="240"/>
      <c r="CN478" s="240"/>
      <c r="CO478" s="240"/>
      <c r="CP478" s="240"/>
      <c r="CQ478" s="240"/>
      <c r="CR478" s="240"/>
      <c r="CS478" s="240"/>
      <c r="CT478" s="240"/>
      <c r="CU478" s="240"/>
      <c r="CV478" s="240"/>
      <c r="CW478" s="240"/>
      <c r="CX478" s="240"/>
      <c r="CY478" s="240"/>
      <c r="CZ478" s="240"/>
      <c r="DA478" s="240"/>
      <c r="DB478" s="240"/>
      <c r="DC478" s="240"/>
      <c r="DD478" s="240"/>
      <c r="DE478" s="240"/>
      <c r="DF478" s="240"/>
      <c r="DG478" s="240"/>
      <c r="DH478" s="478"/>
      <c r="DI478" s="733"/>
      <c r="DJ478" s="733"/>
      <c r="DK478" s="478"/>
      <c r="DL478" s="3"/>
      <c r="DM478" s="4"/>
      <c r="DN478" s="4"/>
      <c r="DO478" s="4"/>
      <c r="DP478" s="4"/>
      <c r="DQ478" s="4"/>
      <c r="DR478" s="4"/>
      <c r="DS478" s="4"/>
      <c r="DU478" s="195"/>
      <c r="DV478" s="195"/>
      <c r="DW478" s="195"/>
      <c r="DX478" s="195"/>
      <c r="DY478" s="195"/>
      <c r="DZ478" s="195"/>
      <c r="EA478" s="195"/>
      <c r="EB478" s="195"/>
      <c r="EC478" s="195"/>
      <c r="ED478" s="195"/>
      <c r="EE478" s="195"/>
      <c r="EF478" s="195"/>
      <c r="EG478" s="195"/>
      <c r="EL478" s="1"/>
      <c r="EM478" s="195"/>
      <c r="EN478" s="240"/>
      <c r="EO478" s="731"/>
      <c r="EP478" s="195"/>
      <c r="EQ478" s="240"/>
      <c r="ER478" s="195"/>
      <c r="ES478" s="195"/>
      <c r="ET478" s="195"/>
      <c r="EU478" s="672"/>
    </row>
    <row r="479" customFormat="false" ht="12.75" hidden="false" customHeight="false" outlineLevel="0" collapsed="false">
      <c r="I479" s="735"/>
      <c r="J479" s="727"/>
      <c r="K479" s="195"/>
      <c r="L479" s="195"/>
      <c r="M479" s="729"/>
      <c r="P479" s="727"/>
      <c r="S479" s="1"/>
      <c r="T479" s="727"/>
      <c r="U479" s="195"/>
      <c r="V479" s="195"/>
      <c r="W479" s="195"/>
      <c r="X479" s="195"/>
      <c r="Y479" s="195"/>
      <c r="Z479" s="195"/>
      <c r="AA479" s="195"/>
      <c r="AB479" s="195"/>
      <c r="AC479" s="195"/>
      <c r="AD479" s="195"/>
      <c r="AE479" s="195"/>
      <c r="AF479" s="195"/>
      <c r="AG479" s="195"/>
      <c r="AH479" s="195"/>
      <c r="AI479" s="195"/>
      <c r="AJ479" s="195"/>
      <c r="AK479" s="195"/>
      <c r="AL479" s="195"/>
      <c r="AM479" s="195"/>
      <c r="AN479" s="532"/>
      <c r="AO479" s="532"/>
      <c r="AP479" s="532"/>
      <c r="AQ479" s="532"/>
      <c r="AR479" s="532"/>
      <c r="AS479" s="195"/>
      <c r="AT479" s="240"/>
      <c r="AU479" s="240"/>
      <c r="AV479" s="240"/>
      <c r="AW479" s="730"/>
      <c r="AX479" s="730"/>
      <c r="AY479" s="730"/>
      <c r="AZ479" s="730"/>
      <c r="BA479" s="468"/>
      <c r="BB479" s="468"/>
      <c r="BC479" s="240"/>
      <c r="BD479" s="240"/>
      <c r="BE479" s="240"/>
      <c r="BF479" s="240"/>
      <c r="BG479" s="672"/>
      <c r="BH479" s="672"/>
      <c r="BI479" s="731"/>
      <c r="BJ479" s="672"/>
      <c r="BK479" s="672"/>
      <c r="BL479" s="240"/>
      <c r="BM479" s="736"/>
      <c r="BN479" s="737"/>
      <c r="BO479" s="240"/>
      <c r="BP479" s="240"/>
      <c r="BQ479" s="240"/>
      <c r="BR479" s="240"/>
      <c r="BS479" s="240"/>
      <c r="BT479" s="240"/>
      <c r="BU479" s="240"/>
      <c r="BV479" s="240"/>
      <c r="BW479" s="240"/>
      <c r="BX479" s="240"/>
      <c r="BY479" s="240"/>
      <c r="BZ479" s="240"/>
      <c r="CA479" s="240"/>
      <c r="CB479" s="240"/>
      <c r="CC479" s="240"/>
      <c r="CD479" s="672"/>
      <c r="CE479" s="672"/>
      <c r="CF479" s="672"/>
      <c r="CG479" s="672"/>
      <c r="CH479" s="672"/>
      <c r="CI479" s="672"/>
      <c r="CJ479" s="240"/>
      <c r="CK479" s="240"/>
      <c r="CL479" s="240"/>
      <c r="CM479" s="240"/>
      <c r="CN479" s="240"/>
      <c r="CO479" s="240"/>
      <c r="CP479" s="240"/>
      <c r="CQ479" s="240"/>
      <c r="CR479" s="240"/>
      <c r="CS479" s="240"/>
      <c r="CT479" s="240"/>
      <c r="CU479" s="240"/>
      <c r="CV479" s="240"/>
      <c r="CW479" s="240"/>
      <c r="CX479" s="240"/>
      <c r="CY479" s="240"/>
      <c r="CZ479" s="240"/>
      <c r="DA479" s="240"/>
      <c r="DB479" s="240"/>
      <c r="DC479" s="240"/>
      <c r="DD479" s="240"/>
      <c r="DE479" s="240"/>
      <c r="DF479" s="240"/>
      <c r="DG479" s="240"/>
      <c r="DH479" s="478"/>
      <c r="DI479" s="733"/>
      <c r="DJ479" s="733"/>
      <c r="DK479" s="478"/>
      <c r="DL479" s="3"/>
      <c r="DM479" s="4"/>
      <c r="DN479" s="4"/>
      <c r="DO479" s="4"/>
      <c r="DP479" s="4"/>
      <c r="DQ479" s="4"/>
      <c r="DR479" s="4"/>
      <c r="DS479" s="4"/>
      <c r="DU479" s="195"/>
      <c r="DV479" s="195"/>
      <c r="DW479" s="195"/>
      <c r="DX479" s="195"/>
      <c r="DY479" s="195"/>
      <c r="DZ479" s="195"/>
      <c r="EA479" s="195"/>
      <c r="EB479" s="195"/>
      <c r="EC479" s="195"/>
      <c r="ED479" s="195"/>
      <c r="EE479" s="195"/>
      <c r="EF479" s="195"/>
      <c r="EG479" s="195"/>
      <c r="EL479" s="1"/>
      <c r="EM479" s="195"/>
      <c r="EN479" s="240"/>
      <c r="EO479" s="731"/>
      <c r="EP479" s="195"/>
      <c r="EQ479" s="240"/>
      <c r="ER479" s="195"/>
      <c r="ES479" s="195"/>
      <c r="ET479" s="195"/>
      <c r="EU479" s="672"/>
    </row>
    <row r="480" customFormat="false" ht="12.75" hidden="false" customHeight="false" outlineLevel="0" collapsed="false">
      <c r="I480" s="735"/>
      <c r="J480" s="727"/>
      <c r="K480" s="195"/>
      <c r="L480" s="195"/>
      <c r="M480" s="729"/>
      <c r="P480" s="727"/>
      <c r="S480" s="1"/>
      <c r="T480" s="727"/>
      <c r="U480" s="195"/>
      <c r="V480" s="195"/>
      <c r="W480" s="195"/>
      <c r="X480" s="195"/>
      <c r="Y480" s="195"/>
      <c r="Z480" s="195"/>
      <c r="AA480" s="195"/>
      <c r="AB480" s="195"/>
      <c r="AC480" s="195"/>
      <c r="AD480" s="195"/>
      <c r="AE480" s="195"/>
      <c r="AF480" s="195"/>
      <c r="AG480" s="195"/>
      <c r="AH480" s="195"/>
      <c r="AI480" s="195"/>
      <c r="AJ480" s="195"/>
      <c r="AK480" s="195"/>
      <c r="AL480" s="195"/>
      <c r="AM480" s="195"/>
      <c r="AN480" s="532"/>
      <c r="AO480" s="532"/>
      <c r="AP480" s="532"/>
      <c r="AQ480" s="532"/>
      <c r="AR480" s="532"/>
      <c r="AS480" s="195"/>
      <c r="AT480" s="240"/>
      <c r="AU480" s="240"/>
      <c r="AV480" s="240"/>
      <c r="AW480" s="730"/>
      <c r="AX480" s="730"/>
      <c r="AY480" s="730"/>
      <c r="AZ480" s="730"/>
      <c r="BA480" s="468"/>
      <c r="BB480" s="468"/>
      <c r="BC480" s="240"/>
      <c r="BD480" s="240"/>
      <c r="BE480" s="240"/>
      <c r="BF480" s="240"/>
      <c r="BG480" s="672"/>
      <c r="BH480" s="672"/>
      <c r="BI480" s="731"/>
      <c r="BJ480" s="672"/>
      <c r="BK480" s="672"/>
      <c r="BL480" s="240"/>
      <c r="BM480" s="736"/>
      <c r="BN480" s="737"/>
      <c r="BO480" s="240"/>
      <c r="BP480" s="240"/>
      <c r="BQ480" s="240"/>
      <c r="BR480" s="240"/>
      <c r="BS480" s="240"/>
      <c r="BT480" s="240"/>
      <c r="BU480" s="240"/>
      <c r="BV480" s="240"/>
      <c r="BW480" s="240"/>
      <c r="BX480" s="240"/>
      <c r="BY480" s="240"/>
      <c r="BZ480" s="240"/>
      <c r="CA480" s="240"/>
      <c r="CB480" s="240"/>
      <c r="CC480" s="240"/>
      <c r="CD480" s="672"/>
      <c r="CE480" s="672"/>
      <c r="CF480" s="672"/>
      <c r="CG480" s="672"/>
      <c r="CH480" s="672"/>
      <c r="CI480" s="672"/>
      <c r="CJ480" s="240"/>
      <c r="CK480" s="240"/>
      <c r="CL480" s="240"/>
      <c r="CM480" s="240"/>
      <c r="CN480" s="240"/>
      <c r="CO480" s="240"/>
      <c r="CP480" s="240"/>
      <c r="CQ480" s="240"/>
      <c r="CR480" s="240"/>
      <c r="CS480" s="240"/>
      <c r="CT480" s="240"/>
      <c r="CU480" s="240"/>
      <c r="CV480" s="240"/>
      <c r="CW480" s="240"/>
      <c r="CX480" s="240"/>
      <c r="CY480" s="240"/>
      <c r="CZ480" s="240"/>
      <c r="DA480" s="240"/>
      <c r="DB480" s="240"/>
      <c r="DC480" s="240"/>
      <c r="DD480" s="240"/>
      <c r="DE480" s="240"/>
      <c r="DF480" s="240"/>
      <c r="DG480" s="240"/>
      <c r="DH480" s="478"/>
      <c r="DI480" s="733"/>
      <c r="DJ480" s="733"/>
      <c r="DK480" s="478"/>
      <c r="DL480" s="3"/>
      <c r="DM480" s="4"/>
      <c r="DN480" s="4"/>
      <c r="DO480" s="4"/>
      <c r="DP480" s="4"/>
      <c r="DQ480" s="4"/>
      <c r="DR480" s="4"/>
      <c r="DS480" s="4"/>
      <c r="DU480" s="195"/>
      <c r="DV480" s="195"/>
      <c r="DW480" s="195"/>
      <c r="DX480" s="195"/>
      <c r="DY480" s="195"/>
      <c r="DZ480" s="195"/>
      <c r="EA480" s="195"/>
      <c r="EB480" s="195"/>
      <c r="EC480" s="195"/>
      <c r="ED480" s="195"/>
      <c r="EE480" s="195"/>
      <c r="EF480" s="195"/>
      <c r="EG480" s="195"/>
      <c r="EL480" s="1"/>
      <c r="EM480" s="195"/>
      <c r="EN480" s="240"/>
      <c r="EO480" s="731"/>
      <c r="EP480" s="195"/>
      <c r="EQ480" s="240"/>
      <c r="ER480" s="195"/>
      <c r="ES480" s="195"/>
      <c r="ET480" s="195"/>
      <c r="EU480" s="672"/>
    </row>
    <row r="481" customFormat="false" ht="12.75" hidden="false" customHeight="false" outlineLevel="0" collapsed="false">
      <c r="I481" s="735"/>
      <c r="J481" s="727"/>
      <c r="K481" s="195"/>
      <c r="L481" s="195"/>
      <c r="M481" s="729"/>
      <c r="P481" s="727"/>
      <c r="S481" s="1"/>
      <c r="T481" s="727"/>
      <c r="U481" s="195"/>
      <c r="V481" s="195"/>
      <c r="W481" s="195"/>
      <c r="X481" s="195"/>
      <c r="Y481" s="195"/>
      <c r="Z481" s="195"/>
      <c r="AA481" s="195"/>
      <c r="AB481" s="195"/>
      <c r="AC481" s="195"/>
      <c r="AD481" s="195"/>
      <c r="AE481" s="195"/>
      <c r="AF481" s="195"/>
      <c r="AG481" s="195"/>
      <c r="AH481" s="195"/>
      <c r="AI481" s="195"/>
      <c r="AJ481" s="195"/>
      <c r="AK481" s="195"/>
      <c r="AL481" s="195"/>
      <c r="AM481" s="195"/>
      <c r="AN481" s="532"/>
      <c r="AO481" s="532"/>
      <c r="AP481" s="532"/>
      <c r="AQ481" s="532"/>
      <c r="AR481" s="532"/>
      <c r="AS481" s="195"/>
      <c r="AT481" s="240"/>
      <c r="AU481" s="240"/>
      <c r="AV481" s="240"/>
      <c r="AW481" s="730"/>
      <c r="AX481" s="730"/>
      <c r="AY481" s="730"/>
      <c r="AZ481" s="730"/>
      <c r="BA481" s="468"/>
      <c r="BB481" s="468"/>
      <c r="BC481" s="240"/>
      <c r="BD481" s="240"/>
      <c r="BE481" s="240"/>
      <c r="BF481" s="240"/>
      <c r="BG481" s="672"/>
      <c r="BH481" s="672"/>
      <c r="BI481" s="731"/>
      <c r="BJ481" s="672"/>
      <c r="BK481" s="672"/>
      <c r="BL481" s="240"/>
      <c r="BM481" s="736"/>
      <c r="BN481" s="737"/>
      <c r="BO481" s="240"/>
      <c r="BP481" s="240"/>
      <c r="BQ481" s="240"/>
      <c r="BR481" s="240"/>
      <c r="BS481" s="240"/>
      <c r="BT481" s="240"/>
      <c r="BU481" s="240"/>
      <c r="BV481" s="240"/>
      <c r="BW481" s="240"/>
      <c r="BX481" s="240"/>
      <c r="BY481" s="240"/>
      <c r="BZ481" s="240"/>
      <c r="CA481" s="240"/>
      <c r="CB481" s="240"/>
      <c r="CC481" s="240"/>
      <c r="CD481" s="672"/>
      <c r="CE481" s="672"/>
      <c r="CF481" s="672"/>
      <c r="CG481" s="672"/>
      <c r="CH481" s="672"/>
      <c r="CI481" s="672"/>
      <c r="CJ481" s="240"/>
      <c r="CK481" s="240"/>
      <c r="CL481" s="240"/>
      <c r="CM481" s="240"/>
      <c r="CN481" s="240"/>
      <c r="CO481" s="240"/>
      <c r="CP481" s="240"/>
      <c r="CQ481" s="240"/>
      <c r="CR481" s="240"/>
      <c r="CS481" s="240"/>
      <c r="CT481" s="240"/>
      <c r="CU481" s="240"/>
      <c r="CV481" s="240"/>
      <c r="CW481" s="240"/>
      <c r="CX481" s="240"/>
      <c r="CY481" s="240"/>
      <c r="CZ481" s="240"/>
      <c r="DA481" s="240"/>
      <c r="DB481" s="240"/>
      <c r="DC481" s="240"/>
      <c r="DD481" s="240"/>
      <c r="DE481" s="240"/>
      <c r="DF481" s="240"/>
      <c r="DG481" s="240"/>
      <c r="DH481" s="478"/>
      <c r="DI481" s="733"/>
      <c r="DJ481" s="733"/>
      <c r="DK481" s="478"/>
      <c r="DL481" s="3"/>
      <c r="DM481" s="4"/>
      <c r="DN481" s="4"/>
      <c r="DO481" s="4"/>
      <c r="DP481" s="4"/>
      <c r="DQ481" s="4"/>
      <c r="DR481" s="4"/>
      <c r="DS481" s="4"/>
      <c r="DU481" s="195"/>
      <c r="DV481" s="195"/>
      <c r="DW481" s="195"/>
      <c r="DX481" s="195"/>
      <c r="DY481" s="195"/>
      <c r="DZ481" s="195"/>
      <c r="EA481" s="195"/>
      <c r="EB481" s="195"/>
      <c r="EC481" s="195"/>
      <c r="ED481" s="195"/>
      <c r="EE481" s="195"/>
      <c r="EF481" s="195"/>
      <c r="EG481" s="195"/>
      <c r="EL481" s="1"/>
      <c r="EM481" s="195"/>
      <c r="EN481" s="240"/>
      <c r="EO481" s="731"/>
      <c r="EP481" s="195"/>
      <c r="EQ481" s="240"/>
      <c r="ER481" s="195"/>
      <c r="ES481" s="195"/>
      <c r="ET481" s="195"/>
      <c r="EU481" s="672"/>
    </row>
    <row r="482" customFormat="false" ht="12.75" hidden="false" customHeight="false" outlineLevel="0" collapsed="false">
      <c r="I482" s="735"/>
      <c r="J482" s="727"/>
      <c r="K482" s="195"/>
      <c r="L482" s="195"/>
      <c r="M482" s="729"/>
      <c r="P482" s="727"/>
      <c r="S482" s="1"/>
      <c r="T482" s="727"/>
      <c r="U482" s="195"/>
      <c r="V482" s="195"/>
      <c r="W482" s="195"/>
      <c r="X482" s="195"/>
      <c r="Y482" s="195"/>
      <c r="Z482" s="195"/>
      <c r="AA482" s="195"/>
      <c r="AB482" s="195"/>
      <c r="AC482" s="195"/>
      <c r="AD482" s="195"/>
      <c r="AE482" s="195"/>
      <c r="AF482" s="195"/>
      <c r="AG482" s="195"/>
      <c r="AH482" s="195"/>
      <c r="AI482" s="195"/>
      <c r="AJ482" s="195"/>
      <c r="AK482" s="195"/>
      <c r="AL482" s="195"/>
      <c r="AM482" s="195"/>
      <c r="AN482" s="532"/>
      <c r="AO482" s="532"/>
      <c r="AP482" s="532"/>
      <c r="AQ482" s="532"/>
      <c r="AR482" s="532"/>
      <c r="AS482" s="195"/>
      <c r="AT482" s="240"/>
      <c r="AU482" s="240"/>
      <c r="AV482" s="240"/>
      <c r="AW482" s="730"/>
      <c r="AX482" s="730"/>
      <c r="AY482" s="730"/>
      <c r="AZ482" s="730"/>
      <c r="BA482" s="468"/>
      <c r="BB482" s="468"/>
      <c r="BC482" s="240"/>
      <c r="BD482" s="240"/>
      <c r="BE482" s="240"/>
      <c r="BF482" s="240"/>
      <c r="BG482" s="672"/>
      <c r="BH482" s="672"/>
      <c r="BI482" s="731"/>
      <c r="BJ482" s="672"/>
      <c r="BK482" s="672"/>
      <c r="BL482" s="240"/>
      <c r="BM482" s="736"/>
      <c r="BN482" s="737"/>
      <c r="BO482" s="240"/>
      <c r="BP482" s="240"/>
      <c r="BQ482" s="240"/>
      <c r="BR482" s="240"/>
      <c r="BS482" s="240"/>
      <c r="BT482" s="240"/>
      <c r="BU482" s="240"/>
      <c r="BV482" s="240"/>
      <c r="BW482" s="240"/>
      <c r="BX482" s="240"/>
      <c r="BY482" s="240"/>
      <c r="BZ482" s="240"/>
      <c r="CA482" s="240"/>
      <c r="CB482" s="240"/>
      <c r="CC482" s="240"/>
      <c r="CD482" s="672"/>
      <c r="CE482" s="672"/>
      <c r="CF482" s="672"/>
      <c r="CG482" s="672"/>
      <c r="CH482" s="672"/>
      <c r="CI482" s="672"/>
      <c r="CJ482" s="240"/>
      <c r="CK482" s="240"/>
      <c r="CL482" s="240"/>
      <c r="CM482" s="240"/>
      <c r="CN482" s="240"/>
      <c r="CO482" s="240"/>
      <c r="CP482" s="240"/>
      <c r="CQ482" s="240"/>
      <c r="CR482" s="240"/>
      <c r="CS482" s="240"/>
      <c r="CT482" s="240"/>
      <c r="CU482" s="240"/>
      <c r="CV482" s="240"/>
      <c r="CW482" s="240"/>
      <c r="CX482" s="240"/>
      <c r="CY482" s="240"/>
      <c r="CZ482" s="240"/>
      <c r="DA482" s="240"/>
      <c r="DB482" s="240"/>
      <c r="DC482" s="240"/>
      <c r="DD482" s="240"/>
      <c r="DE482" s="240"/>
      <c r="DF482" s="240"/>
      <c r="DG482" s="240"/>
      <c r="DH482" s="478"/>
      <c r="DI482" s="733"/>
      <c r="DJ482" s="733"/>
      <c r="DK482" s="478"/>
      <c r="DL482" s="3"/>
      <c r="DM482" s="4"/>
      <c r="DN482" s="4"/>
      <c r="DO482" s="4"/>
      <c r="DP482" s="4"/>
      <c r="DQ482" s="4"/>
      <c r="DR482" s="4"/>
      <c r="DS482" s="4"/>
      <c r="DU482" s="195"/>
      <c r="DV482" s="195"/>
      <c r="DW482" s="195"/>
      <c r="DX482" s="195"/>
      <c r="DY482" s="195"/>
      <c r="DZ482" s="195"/>
      <c r="EA482" s="195"/>
      <c r="EB482" s="195"/>
      <c r="EC482" s="195"/>
      <c r="ED482" s="195"/>
      <c r="EE482" s="195"/>
      <c r="EF482" s="195"/>
      <c r="EG482" s="195"/>
      <c r="EL482" s="1"/>
      <c r="EM482" s="195"/>
      <c r="EN482" s="240"/>
      <c r="EO482" s="731"/>
      <c r="EP482" s="195"/>
      <c r="EQ482" s="240"/>
      <c r="ER482" s="195"/>
      <c r="ES482" s="195"/>
      <c r="ET482" s="195"/>
      <c r="EU482" s="672"/>
    </row>
    <row r="483" customFormat="false" ht="12.75" hidden="false" customHeight="false" outlineLevel="0" collapsed="false">
      <c r="I483" s="735"/>
      <c r="J483" s="727"/>
      <c r="K483" s="195"/>
      <c r="L483" s="195"/>
      <c r="M483" s="729"/>
      <c r="P483" s="727"/>
      <c r="S483" s="1"/>
      <c r="T483" s="727"/>
      <c r="U483" s="195"/>
      <c r="V483" s="195"/>
      <c r="W483" s="195"/>
      <c r="X483" s="195"/>
      <c r="Y483" s="195"/>
      <c r="Z483" s="195"/>
      <c r="AA483" s="195"/>
      <c r="AB483" s="195"/>
      <c r="AC483" s="195"/>
      <c r="AD483" s="195"/>
      <c r="AE483" s="195"/>
      <c r="AF483" s="195"/>
      <c r="AG483" s="195"/>
      <c r="AH483" s="195"/>
      <c r="AI483" s="195"/>
      <c r="AJ483" s="195"/>
      <c r="AK483" s="195"/>
      <c r="AL483" s="195"/>
      <c r="AM483" s="195"/>
      <c r="AN483" s="532"/>
      <c r="AO483" s="532"/>
      <c r="AP483" s="532"/>
      <c r="AQ483" s="532"/>
      <c r="AR483" s="532"/>
      <c r="AS483" s="195"/>
      <c r="AT483" s="240"/>
      <c r="AU483" s="240"/>
      <c r="AV483" s="240"/>
      <c r="AW483" s="730"/>
      <c r="AX483" s="730"/>
      <c r="AY483" s="730"/>
      <c r="AZ483" s="730"/>
      <c r="BA483" s="468"/>
      <c r="BB483" s="468"/>
      <c r="BC483" s="240"/>
      <c r="BD483" s="240"/>
      <c r="BE483" s="240"/>
      <c r="BF483" s="240"/>
      <c r="BG483" s="672"/>
      <c r="BH483" s="672"/>
      <c r="BI483" s="731"/>
      <c r="BJ483" s="672"/>
      <c r="BK483" s="672"/>
      <c r="BL483" s="240"/>
      <c r="BM483" s="736"/>
      <c r="BN483" s="737"/>
      <c r="BO483" s="240"/>
      <c r="BP483" s="240"/>
      <c r="BQ483" s="240"/>
      <c r="BR483" s="240"/>
      <c r="BS483" s="240"/>
      <c r="BT483" s="240"/>
      <c r="BU483" s="240"/>
      <c r="BV483" s="240"/>
      <c r="BW483" s="240"/>
      <c r="BX483" s="240"/>
      <c r="BY483" s="240"/>
      <c r="BZ483" s="240"/>
      <c r="CA483" s="240"/>
      <c r="CB483" s="240"/>
      <c r="CC483" s="240"/>
      <c r="CD483" s="672"/>
      <c r="CE483" s="672"/>
      <c r="CF483" s="672"/>
      <c r="CG483" s="672"/>
      <c r="CH483" s="672"/>
      <c r="CI483" s="672"/>
      <c r="CJ483" s="240"/>
      <c r="CK483" s="240"/>
      <c r="CL483" s="240"/>
      <c r="CM483" s="240"/>
      <c r="CN483" s="240"/>
      <c r="CO483" s="240"/>
      <c r="CP483" s="240"/>
      <c r="CQ483" s="240"/>
      <c r="CR483" s="240"/>
      <c r="CS483" s="240"/>
      <c r="CT483" s="240"/>
      <c r="CU483" s="240"/>
      <c r="CV483" s="240"/>
      <c r="CW483" s="240"/>
      <c r="CX483" s="240"/>
      <c r="CY483" s="240"/>
      <c r="CZ483" s="240"/>
      <c r="DA483" s="240"/>
      <c r="DB483" s="240"/>
      <c r="DC483" s="240"/>
      <c r="DD483" s="240"/>
      <c r="DE483" s="240"/>
      <c r="DF483" s="240"/>
      <c r="DG483" s="240"/>
      <c r="DH483" s="478"/>
      <c r="DI483" s="733"/>
      <c r="DJ483" s="733"/>
      <c r="DK483" s="478"/>
      <c r="DL483" s="3"/>
      <c r="DM483" s="4"/>
      <c r="DN483" s="4"/>
      <c r="DO483" s="4"/>
      <c r="DP483" s="4"/>
      <c r="DQ483" s="4"/>
      <c r="DR483" s="4"/>
      <c r="DS483" s="4"/>
      <c r="DU483" s="195"/>
      <c r="DV483" s="195"/>
      <c r="DW483" s="195"/>
      <c r="DX483" s="195"/>
      <c r="DY483" s="195"/>
      <c r="DZ483" s="195"/>
      <c r="EA483" s="195"/>
      <c r="EB483" s="195"/>
      <c r="EC483" s="195"/>
      <c r="ED483" s="195"/>
      <c r="EE483" s="195"/>
      <c r="EF483" s="195"/>
      <c r="EG483" s="195"/>
      <c r="EL483" s="1"/>
      <c r="EM483" s="195"/>
      <c r="EN483" s="240"/>
      <c r="EO483" s="731"/>
      <c r="EP483" s="195"/>
      <c r="EQ483" s="240"/>
      <c r="ER483" s="195"/>
      <c r="ES483" s="195"/>
      <c r="ET483" s="195"/>
      <c r="EU483" s="672"/>
    </row>
    <row r="484" customFormat="false" ht="12.75" hidden="false" customHeight="false" outlineLevel="0" collapsed="false">
      <c r="I484" s="735"/>
      <c r="J484" s="727"/>
      <c r="K484" s="195"/>
      <c r="L484" s="195"/>
      <c r="M484" s="729"/>
      <c r="P484" s="727"/>
      <c r="S484" s="1"/>
      <c r="T484" s="727"/>
      <c r="U484" s="195"/>
      <c r="V484" s="195"/>
      <c r="W484" s="195"/>
      <c r="X484" s="195"/>
      <c r="Y484" s="195"/>
      <c r="Z484" s="195"/>
      <c r="AA484" s="195"/>
      <c r="AB484" s="195"/>
      <c r="AC484" s="195"/>
      <c r="AD484" s="195"/>
      <c r="AE484" s="195"/>
      <c r="AF484" s="195"/>
      <c r="AG484" s="195"/>
      <c r="AH484" s="195"/>
      <c r="AI484" s="195"/>
      <c r="AJ484" s="195"/>
      <c r="AK484" s="195"/>
      <c r="AL484" s="195"/>
      <c r="AM484" s="195"/>
      <c r="AN484" s="532"/>
      <c r="AO484" s="532"/>
      <c r="AP484" s="195"/>
      <c r="AQ484" s="532"/>
      <c r="AR484" s="195"/>
      <c r="AS484" s="240"/>
      <c r="AT484" s="240"/>
      <c r="AU484" s="240"/>
      <c r="AV484" s="730"/>
      <c r="AW484" s="730"/>
      <c r="AX484" s="730"/>
      <c r="AY484" s="730"/>
      <c r="AZ484" s="468"/>
      <c r="BA484" s="468"/>
      <c r="BB484" s="240"/>
      <c r="BC484" s="240"/>
      <c r="BD484" s="240"/>
      <c r="BE484" s="240"/>
      <c r="BF484" s="672"/>
      <c r="BG484" s="672"/>
      <c r="BH484" s="672"/>
      <c r="BI484" s="672"/>
      <c r="BJ484" s="672"/>
      <c r="BK484" s="240"/>
      <c r="BL484" s="736"/>
      <c r="BM484" s="737"/>
      <c r="BN484" s="240"/>
      <c r="BO484" s="240"/>
      <c r="BP484" s="240"/>
      <c r="BQ484" s="240"/>
      <c r="BR484" s="240"/>
      <c r="BS484" s="240"/>
      <c r="BT484" s="240"/>
      <c r="BU484" s="240"/>
      <c r="BV484" s="240"/>
      <c r="BW484" s="240"/>
      <c r="BX484" s="240"/>
      <c r="BY484" s="240"/>
      <c r="BZ484" s="240"/>
      <c r="CA484" s="240"/>
      <c r="CB484" s="240"/>
      <c r="CC484" s="672"/>
      <c r="CD484" s="672"/>
      <c r="CE484" s="672"/>
      <c r="CF484" s="672"/>
      <c r="CG484" s="672"/>
      <c r="CH484" s="672"/>
      <c r="CI484" s="240"/>
      <c r="CJ484" s="240"/>
      <c r="CK484" s="240"/>
      <c r="CL484" s="240"/>
      <c r="CM484" s="240"/>
      <c r="CN484" s="240"/>
      <c r="CO484" s="240"/>
      <c r="CP484" s="240"/>
      <c r="CQ484" s="240"/>
      <c r="CR484" s="240"/>
      <c r="CS484" s="240"/>
      <c r="CT484" s="240"/>
      <c r="CU484" s="240"/>
      <c r="CV484" s="240"/>
      <c r="CW484" s="240"/>
      <c r="CX484" s="240"/>
      <c r="CY484" s="240"/>
      <c r="CZ484" s="240"/>
      <c r="DA484" s="240"/>
      <c r="DB484" s="240"/>
      <c r="DC484" s="240"/>
      <c r="DD484" s="240"/>
      <c r="DE484" s="240"/>
      <c r="DF484" s="240"/>
      <c r="DG484" s="240"/>
      <c r="DH484" s="478"/>
      <c r="DI484" s="733"/>
      <c r="DJ484" s="195"/>
      <c r="DK484" s="478"/>
      <c r="DL484" s="4"/>
      <c r="DM484" s="4"/>
      <c r="DN484" s="4"/>
      <c r="DO484" s="4"/>
      <c r="DP484" s="4"/>
      <c r="DQ484" s="4"/>
      <c r="DR484" s="4"/>
      <c r="DT484" s="195"/>
      <c r="DU484" s="195"/>
      <c r="DV484" s="195"/>
      <c r="DW484" s="195"/>
      <c r="DX484" s="195"/>
      <c r="DY484" s="195"/>
      <c r="DZ484" s="195"/>
      <c r="EA484" s="195"/>
      <c r="EB484" s="195"/>
      <c r="EC484" s="195"/>
      <c r="ED484" s="195"/>
      <c r="EE484" s="195"/>
      <c r="EF484" s="195"/>
      <c r="EG484" s="195"/>
      <c r="EL484" s="1"/>
      <c r="EM484" s="195"/>
      <c r="EN484" s="731"/>
      <c r="EO484" s="240"/>
      <c r="EP484" s="195"/>
      <c r="EQ484" s="240"/>
      <c r="ER484" s="195"/>
      <c r="ES484" s="195"/>
      <c r="ET484" s="195"/>
      <c r="EU484" s="731"/>
    </row>
    <row r="485" customFormat="false" ht="12.75" hidden="false" customHeight="false" outlineLevel="0" collapsed="false">
      <c r="I485" s="735"/>
      <c r="J485" s="727"/>
      <c r="K485" s="195"/>
      <c r="L485" s="195"/>
      <c r="M485" s="729"/>
      <c r="P485" s="727"/>
      <c r="S485" s="1"/>
      <c r="T485" s="727"/>
      <c r="U485" s="195"/>
      <c r="V485" s="195"/>
      <c r="W485" s="195"/>
      <c r="X485" s="195"/>
      <c r="Y485" s="195"/>
      <c r="Z485" s="195"/>
      <c r="AA485" s="195"/>
      <c r="AB485" s="195"/>
      <c r="AC485" s="195"/>
      <c r="AD485" s="195"/>
      <c r="AE485" s="195"/>
      <c r="AF485" s="195"/>
      <c r="AG485" s="195"/>
      <c r="AH485" s="195"/>
      <c r="AI485" s="195"/>
      <c r="AJ485" s="195"/>
      <c r="AK485" s="195"/>
      <c r="AL485" s="195"/>
      <c r="AM485" s="195"/>
      <c r="AN485" s="532"/>
      <c r="AO485" s="532"/>
      <c r="AP485" s="195"/>
      <c r="AQ485" s="532"/>
      <c r="AR485" s="195"/>
      <c r="AS485" s="240"/>
      <c r="AT485" s="240"/>
      <c r="AU485" s="240"/>
      <c r="AV485" s="730"/>
      <c r="AW485" s="730"/>
      <c r="AX485" s="730"/>
      <c r="AY485" s="730"/>
      <c r="AZ485" s="468"/>
      <c r="BA485" s="468"/>
      <c r="BB485" s="240"/>
      <c r="BC485" s="240"/>
      <c r="BD485" s="240"/>
      <c r="BE485" s="240"/>
      <c r="BF485" s="672"/>
      <c r="BG485" s="672"/>
      <c r="BH485" s="672"/>
      <c r="BI485" s="672"/>
      <c r="BJ485" s="672"/>
      <c r="BK485" s="240"/>
      <c r="BL485" s="736"/>
      <c r="BM485" s="737"/>
      <c r="BN485" s="240"/>
      <c r="BO485" s="240"/>
      <c r="BP485" s="240"/>
      <c r="BQ485" s="240"/>
      <c r="BR485" s="240"/>
      <c r="BS485" s="240"/>
      <c r="BT485" s="240"/>
      <c r="BU485" s="240"/>
      <c r="BV485" s="240"/>
      <c r="BW485" s="240"/>
      <c r="BX485" s="240"/>
      <c r="BY485" s="240"/>
      <c r="BZ485" s="240"/>
      <c r="CA485" s="240"/>
      <c r="CB485" s="240"/>
      <c r="CC485" s="672"/>
      <c r="CD485" s="672"/>
      <c r="CE485" s="672"/>
      <c r="CF485" s="672"/>
      <c r="CG485" s="672"/>
      <c r="CH485" s="672"/>
      <c r="CI485" s="240"/>
      <c r="CJ485" s="240"/>
      <c r="CK485" s="240"/>
      <c r="CL485" s="240"/>
      <c r="CM485" s="240"/>
      <c r="CN485" s="240"/>
      <c r="CO485" s="240"/>
      <c r="CP485" s="240"/>
      <c r="CQ485" s="240"/>
      <c r="CR485" s="240"/>
      <c r="CS485" s="240"/>
      <c r="CT485" s="240"/>
      <c r="CU485" s="240"/>
      <c r="CV485" s="240"/>
      <c r="CW485" s="240"/>
      <c r="CX485" s="240"/>
      <c r="CY485" s="240"/>
      <c r="CZ485" s="240"/>
      <c r="DA485" s="240"/>
      <c r="DB485" s="240"/>
      <c r="DC485" s="240"/>
      <c r="DD485" s="240"/>
      <c r="DE485" s="240"/>
      <c r="DF485" s="240"/>
      <c r="DG485" s="240"/>
      <c r="DH485" s="478"/>
      <c r="DI485" s="733"/>
      <c r="DJ485" s="195"/>
      <c r="DK485" s="478"/>
      <c r="DL485" s="4"/>
      <c r="DM485" s="4"/>
      <c r="DN485" s="4"/>
      <c r="DO485" s="4"/>
      <c r="DP485" s="4"/>
      <c r="DQ485" s="4"/>
      <c r="DR485" s="4"/>
      <c r="DT485" s="195"/>
      <c r="DU485" s="195"/>
      <c r="DV485" s="195"/>
      <c r="DW485" s="195"/>
      <c r="DX485" s="195"/>
      <c r="DY485" s="195"/>
      <c r="DZ485" s="195"/>
      <c r="EA485" s="195"/>
      <c r="EB485" s="195"/>
      <c r="EC485" s="195"/>
      <c r="ED485" s="195"/>
      <c r="EE485" s="195"/>
      <c r="EF485" s="195"/>
      <c r="EG485" s="195"/>
      <c r="EL485" s="1"/>
      <c r="EM485" s="195"/>
      <c r="EN485" s="731"/>
      <c r="EO485" s="240"/>
      <c r="EP485" s="195"/>
      <c r="EQ485" s="240"/>
      <c r="ER485" s="195"/>
      <c r="ES485" s="195"/>
      <c r="ET485" s="195"/>
      <c r="EU485" s="731"/>
    </row>
    <row r="486" customFormat="false" ht="12.75" hidden="false" customHeight="false" outlineLevel="0" collapsed="false">
      <c r="I486" s="735"/>
      <c r="J486" s="727"/>
      <c r="K486" s="195"/>
      <c r="L486" s="195"/>
      <c r="M486" s="729"/>
      <c r="P486" s="727"/>
      <c r="S486" s="1"/>
      <c r="T486" s="727"/>
      <c r="U486" s="195"/>
      <c r="V486" s="195"/>
      <c r="W486" s="195"/>
      <c r="X486" s="195"/>
      <c r="Y486" s="195"/>
      <c r="Z486" s="195"/>
      <c r="AA486" s="195"/>
      <c r="AB486" s="195"/>
      <c r="AC486" s="195"/>
      <c r="AD486" s="195"/>
      <c r="AE486" s="195"/>
      <c r="AF486" s="195"/>
      <c r="AG486" s="195"/>
      <c r="AH486" s="195"/>
      <c r="AI486" s="195"/>
      <c r="AJ486" s="195"/>
      <c r="AK486" s="195"/>
      <c r="AL486" s="195"/>
      <c r="AM486" s="195"/>
      <c r="AN486" s="532"/>
      <c r="AO486" s="532"/>
      <c r="AP486" s="195"/>
      <c r="AQ486" s="532"/>
      <c r="AR486" s="195"/>
      <c r="AS486" s="240"/>
      <c r="AT486" s="240"/>
      <c r="AU486" s="240"/>
      <c r="AV486" s="730"/>
      <c r="AW486" s="730"/>
      <c r="AX486" s="730"/>
      <c r="AY486" s="730"/>
      <c r="AZ486" s="468"/>
      <c r="BA486" s="468"/>
      <c r="BB486" s="240"/>
      <c r="BC486" s="240"/>
      <c r="BD486" s="240"/>
      <c r="BE486" s="240"/>
      <c r="BF486" s="672"/>
      <c r="BG486" s="672"/>
      <c r="BH486" s="672"/>
      <c r="BI486" s="672"/>
      <c r="BJ486" s="672"/>
      <c r="BK486" s="240"/>
      <c r="BL486" s="736"/>
      <c r="BM486" s="737"/>
      <c r="BN486" s="240"/>
      <c r="BO486" s="240"/>
      <c r="BP486" s="240"/>
      <c r="BQ486" s="240"/>
      <c r="BR486" s="240"/>
      <c r="BS486" s="240"/>
      <c r="BT486" s="240"/>
      <c r="BU486" s="240"/>
      <c r="BV486" s="240"/>
      <c r="BW486" s="240"/>
      <c r="BX486" s="240"/>
      <c r="BY486" s="240"/>
      <c r="BZ486" s="240"/>
      <c r="CA486" s="240"/>
      <c r="CB486" s="240"/>
      <c r="CC486" s="672"/>
      <c r="CD486" s="672"/>
      <c r="CE486" s="672"/>
      <c r="CF486" s="672"/>
      <c r="CG486" s="672"/>
      <c r="CH486" s="672"/>
      <c r="CI486" s="240"/>
      <c r="CJ486" s="240"/>
      <c r="CK486" s="240"/>
      <c r="CL486" s="240"/>
      <c r="CM486" s="240"/>
      <c r="CN486" s="240"/>
      <c r="CO486" s="240"/>
      <c r="CP486" s="240"/>
      <c r="CQ486" s="240"/>
      <c r="CR486" s="240"/>
      <c r="CS486" s="240"/>
      <c r="CT486" s="240"/>
      <c r="CU486" s="240"/>
      <c r="CV486" s="240"/>
      <c r="CW486" s="240"/>
      <c r="CX486" s="240"/>
      <c r="CY486" s="240"/>
      <c r="CZ486" s="240"/>
      <c r="DA486" s="240"/>
      <c r="DB486" s="240"/>
      <c r="DC486" s="240"/>
      <c r="DD486" s="240"/>
      <c r="DE486" s="240"/>
      <c r="DF486" s="240"/>
      <c r="DG486" s="240"/>
      <c r="DH486" s="478"/>
      <c r="DI486" s="733"/>
      <c r="DJ486" s="195"/>
      <c r="DK486" s="478"/>
      <c r="DL486" s="4"/>
      <c r="DM486" s="4"/>
      <c r="DN486" s="4"/>
      <c r="DO486" s="4"/>
      <c r="DP486" s="4"/>
      <c r="DQ486" s="4"/>
      <c r="DR486" s="4"/>
      <c r="DT486" s="195"/>
      <c r="DU486" s="195"/>
      <c r="DV486" s="195"/>
      <c r="DW486" s="195"/>
      <c r="DX486" s="195"/>
      <c r="DY486" s="195"/>
      <c r="DZ486" s="195"/>
      <c r="EA486" s="195"/>
      <c r="EB486" s="195"/>
      <c r="EC486" s="195"/>
      <c r="ED486" s="195"/>
      <c r="EE486" s="195"/>
      <c r="EF486" s="195"/>
      <c r="EG486" s="195"/>
      <c r="EL486" s="1"/>
      <c r="EM486" s="195"/>
      <c r="EN486" s="731"/>
      <c r="EO486" s="240"/>
      <c r="EP486" s="195"/>
      <c r="EQ486" s="240"/>
      <c r="ER486" s="195"/>
      <c r="ES486" s="195"/>
      <c r="ET486" s="195"/>
      <c r="EU486" s="731"/>
    </row>
    <row r="487" customFormat="false" ht="12.75" hidden="false" customHeight="false" outlineLevel="0" collapsed="false">
      <c r="I487" s="735"/>
      <c r="J487" s="727"/>
      <c r="K487" s="195"/>
      <c r="L487" s="195"/>
      <c r="M487" s="729"/>
      <c r="P487" s="727"/>
      <c r="S487" s="1"/>
      <c r="T487" s="727"/>
      <c r="U487" s="195"/>
      <c r="V487" s="195"/>
      <c r="W487" s="195"/>
      <c r="X487" s="195"/>
      <c r="Y487" s="195"/>
      <c r="Z487" s="195"/>
      <c r="AA487" s="195"/>
      <c r="AB487" s="195"/>
      <c r="AC487" s="195"/>
      <c r="AD487" s="195"/>
      <c r="AE487" s="195"/>
      <c r="AF487" s="195"/>
      <c r="AG487" s="195"/>
      <c r="AH487" s="195"/>
      <c r="AI487" s="195"/>
      <c r="AJ487" s="195"/>
      <c r="AK487" s="195"/>
      <c r="AL487" s="195"/>
      <c r="AM487" s="195"/>
      <c r="AN487" s="532"/>
      <c r="AO487" s="532"/>
      <c r="AP487" s="195"/>
      <c r="AQ487" s="532"/>
      <c r="AR487" s="195"/>
      <c r="AS487" s="240"/>
      <c r="AT487" s="240"/>
      <c r="AU487" s="240"/>
      <c r="AV487" s="730"/>
      <c r="AW487" s="730"/>
      <c r="AX487" s="730"/>
      <c r="AY487" s="730"/>
      <c r="AZ487" s="468"/>
      <c r="BA487" s="468"/>
      <c r="BB487" s="240"/>
      <c r="BC487" s="240"/>
      <c r="BD487" s="240"/>
      <c r="BE487" s="240"/>
      <c r="BF487" s="672"/>
      <c r="BG487" s="672"/>
      <c r="BH487" s="672"/>
      <c r="BI487" s="672"/>
      <c r="BJ487" s="672"/>
      <c r="BK487" s="240"/>
      <c r="BL487" s="736"/>
      <c r="BM487" s="737"/>
      <c r="BN487" s="240"/>
      <c r="BO487" s="240"/>
      <c r="BP487" s="240"/>
      <c r="BQ487" s="240"/>
      <c r="BR487" s="240"/>
      <c r="BS487" s="240"/>
      <c r="BT487" s="240"/>
      <c r="BU487" s="240"/>
      <c r="BV487" s="240"/>
      <c r="BW487" s="240"/>
      <c r="BX487" s="240"/>
      <c r="BY487" s="240"/>
      <c r="BZ487" s="240"/>
      <c r="CA487" s="240"/>
      <c r="CB487" s="240"/>
      <c r="CC487" s="672"/>
      <c r="CD487" s="672"/>
      <c r="CE487" s="672"/>
      <c r="CF487" s="672"/>
      <c r="CG487" s="672"/>
      <c r="CH487" s="672"/>
      <c r="CI487" s="240"/>
      <c r="CJ487" s="240"/>
      <c r="CK487" s="240"/>
      <c r="CL487" s="240"/>
      <c r="CM487" s="240"/>
      <c r="CN487" s="240"/>
      <c r="CO487" s="240"/>
      <c r="CP487" s="240"/>
      <c r="CQ487" s="240"/>
      <c r="CR487" s="240"/>
      <c r="CS487" s="240"/>
      <c r="CT487" s="240"/>
      <c r="CU487" s="240"/>
      <c r="CV487" s="240"/>
      <c r="CW487" s="240"/>
      <c r="CX487" s="240"/>
      <c r="CY487" s="240"/>
      <c r="CZ487" s="240"/>
      <c r="DA487" s="240"/>
      <c r="DB487" s="240"/>
      <c r="DC487" s="240"/>
      <c r="DD487" s="240"/>
      <c r="DE487" s="240"/>
      <c r="DF487" s="240"/>
      <c r="DG487" s="240"/>
      <c r="DH487" s="478"/>
      <c r="DI487" s="733"/>
      <c r="DJ487" s="195"/>
      <c r="DK487" s="478"/>
      <c r="DL487" s="4"/>
      <c r="DM487" s="4"/>
      <c r="DN487" s="4"/>
      <c r="DO487" s="4"/>
      <c r="DP487" s="4"/>
      <c r="DQ487" s="4"/>
      <c r="DR487" s="4"/>
      <c r="DT487" s="195"/>
      <c r="DU487" s="195"/>
      <c r="DV487" s="195"/>
      <c r="DW487" s="195"/>
      <c r="DX487" s="195"/>
      <c r="DY487" s="195"/>
      <c r="DZ487" s="195"/>
      <c r="EA487" s="195"/>
      <c r="EB487" s="195"/>
      <c r="EC487" s="195"/>
      <c r="ED487" s="195"/>
      <c r="EE487" s="195"/>
      <c r="EF487" s="195"/>
      <c r="EG487" s="195"/>
      <c r="EL487" s="1"/>
      <c r="EM487" s="195"/>
      <c r="EN487" s="731"/>
      <c r="EO487" s="240"/>
      <c r="EP487" s="195"/>
      <c r="EQ487" s="240"/>
      <c r="ER487" s="195"/>
      <c r="ES487" s="195"/>
      <c r="ET487" s="195"/>
      <c r="EU487" s="731"/>
    </row>
    <row r="488" customFormat="false" ht="12.75" hidden="false" customHeight="false" outlineLevel="0" collapsed="false">
      <c r="I488" s="735"/>
      <c r="J488" s="727"/>
      <c r="K488" s="195"/>
      <c r="L488" s="195"/>
      <c r="M488" s="729"/>
      <c r="P488" s="727"/>
      <c r="S488" s="1"/>
      <c r="T488" s="727"/>
      <c r="U488" s="195"/>
      <c r="V488" s="195"/>
      <c r="W488" s="195"/>
      <c r="X488" s="195"/>
      <c r="Y488" s="195"/>
      <c r="Z488" s="195"/>
      <c r="AA488" s="195"/>
      <c r="AB488" s="195"/>
      <c r="AC488" s="195"/>
      <c r="AD488" s="195"/>
      <c r="AE488" s="195"/>
      <c r="AF488" s="195"/>
      <c r="AG488" s="195"/>
      <c r="AH488" s="195"/>
      <c r="AI488" s="195"/>
      <c r="AJ488" s="195"/>
      <c r="AK488" s="195"/>
      <c r="AL488" s="195"/>
      <c r="AM488" s="195"/>
      <c r="AN488" s="532"/>
      <c r="AO488" s="532"/>
      <c r="AP488" s="195"/>
      <c r="AQ488" s="532"/>
      <c r="AR488" s="195"/>
      <c r="AS488" s="240"/>
      <c r="AT488" s="240"/>
      <c r="AU488" s="240"/>
      <c r="AV488" s="730"/>
      <c r="AW488" s="730"/>
      <c r="AX488" s="730"/>
      <c r="AY488" s="730"/>
      <c r="AZ488" s="468"/>
      <c r="BA488" s="468"/>
      <c r="BB488" s="240"/>
      <c r="BC488" s="240"/>
      <c r="BD488" s="240"/>
      <c r="BE488" s="240"/>
      <c r="BF488" s="672"/>
      <c r="BG488" s="672"/>
      <c r="BH488" s="672"/>
      <c r="BI488" s="672"/>
      <c r="BJ488" s="672"/>
      <c r="BK488" s="240"/>
      <c r="BL488" s="736"/>
      <c r="BM488" s="737"/>
      <c r="BN488" s="240"/>
      <c r="BO488" s="240"/>
      <c r="BP488" s="240"/>
      <c r="BQ488" s="240"/>
      <c r="BR488" s="240"/>
      <c r="BS488" s="240"/>
      <c r="BT488" s="240"/>
      <c r="BU488" s="240"/>
      <c r="BV488" s="240"/>
      <c r="BW488" s="240"/>
      <c r="BX488" s="240"/>
      <c r="BY488" s="240"/>
      <c r="BZ488" s="240"/>
      <c r="CA488" s="240"/>
      <c r="CB488" s="240"/>
      <c r="CC488" s="672"/>
      <c r="CD488" s="672"/>
      <c r="CE488" s="672"/>
      <c r="CF488" s="672"/>
      <c r="CG488" s="672"/>
      <c r="CH488" s="672"/>
      <c r="CI488" s="240"/>
      <c r="CJ488" s="240"/>
      <c r="CK488" s="240"/>
      <c r="CL488" s="240"/>
      <c r="CM488" s="240"/>
      <c r="CN488" s="240"/>
      <c r="CO488" s="240"/>
      <c r="CP488" s="240"/>
      <c r="CQ488" s="240"/>
      <c r="CR488" s="240"/>
      <c r="CS488" s="240"/>
      <c r="CT488" s="240"/>
      <c r="CU488" s="240"/>
      <c r="CV488" s="240"/>
      <c r="CW488" s="240"/>
      <c r="CX488" s="240"/>
      <c r="CY488" s="240"/>
      <c r="CZ488" s="240"/>
      <c r="DA488" s="240"/>
      <c r="DB488" s="240"/>
      <c r="DC488" s="240"/>
      <c r="DD488" s="240"/>
      <c r="DE488" s="240"/>
      <c r="DF488" s="240"/>
      <c r="DG488" s="240"/>
      <c r="DH488" s="478"/>
      <c r="DI488" s="733"/>
      <c r="DJ488" s="195"/>
      <c r="DK488" s="478"/>
      <c r="DL488" s="4"/>
      <c r="DM488" s="4"/>
      <c r="DN488" s="4"/>
      <c r="DO488" s="4"/>
      <c r="DP488" s="4"/>
      <c r="DQ488" s="4"/>
      <c r="DR488" s="4"/>
      <c r="DT488" s="195"/>
      <c r="DU488" s="195"/>
      <c r="DV488" s="195"/>
      <c r="DW488" s="195"/>
      <c r="DX488" s="195"/>
      <c r="DY488" s="195"/>
      <c r="DZ488" s="195"/>
      <c r="EA488" s="195"/>
      <c r="EB488" s="195"/>
      <c r="EC488" s="195"/>
      <c r="ED488" s="195"/>
      <c r="EE488" s="195"/>
      <c r="EF488" s="195"/>
      <c r="EG488" s="195"/>
      <c r="EL488" s="1"/>
      <c r="EM488" s="195"/>
      <c r="EN488" s="731"/>
      <c r="EO488" s="240"/>
      <c r="EP488" s="195"/>
      <c r="EQ488" s="240"/>
      <c r="ER488" s="195"/>
      <c r="ES488" s="195"/>
      <c r="ET488" s="195"/>
      <c r="EU488" s="731"/>
    </row>
    <row r="489" customFormat="false" ht="12.75" hidden="false" customHeight="false" outlineLevel="0" collapsed="false">
      <c r="I489" s="735"/>
      <c r="J489" s="727"/>
      <c r="K489" s="195"/>
      <c r="L489" s="195"/>
      <c r="M489" s="729"/>
      <c r="P489" s="727"/>
      <c r="S489" s="1"/>
      <c r="T489" s="727"/>
      <c r="U489" s="195"/>
      <c r="V489" s="195"/>
      <c r="W489" s="195"/>
      <c r="X489" s="195"/>
      <c r="Y489" s="195"/>
      <c r="Z489" s="195"/>
      <c r="AA489" s="195"/>
      <c r="AB489" s="195"/>
      <c r="AC489" s="195"/>
      <c r="AD489" s="195"/>
      <c r="AE489" s="195"/>
      <c r="AF489" s="195"/>
      <c r="AG489" s="195"/>
      <c r="AH489" s="195"/>
      <c r="AI489" s="195"/>
      <c r="AJ489" s="195"/>
      <c r="AK489" s="195"/>
      <c r="AL489" s="195"/>
      <c r="AM489" s="195"/>
      <c r="AN489" s="532"/>
      <c r="AO489" s="532"/>
      <c r="AP489" s="195"/>
      <c r="AQ489" s="532"/>
      <c r="AR489" s="195"/>
      <c r="AS489" s="240"/>
      <c r="AT489" s="240"/>
      <c r="AU489" s="240"/>
      <c r="AV489" s="730"/>
      <c r="AW489" s="730"/>
      <c r="AX489" s="730"/>
      <c r="AY489" s="730"/>
      <c r="AZ489" s="468"/>
      <c r="BA489" s="468"/>
      <c r="BB489" s="240"/>
      <c r="BC489" s="240"/>
      <c r="BD489" s="240"/>
      <c r="BE489" s="240"/>
      <c r="BF489" s="672"/>
      <c r="BG489" s="672"/>
      <c r="BH489" s="672"/>
      <c r="BI489" s="672"/>
      <c r="BJ489" s="672"/>
      <c r="BK489" s="240"/>
      <c r="BL489" s="736"/>
      <c r="BM489" s="737"/>
      <c r="BN489" s="240"/>
      <c r="BO489" s="240"/>
      <c r="BP489" s="240"/>
      <c r="BQ489" s="240"/>
      <c r="BR489" s="240"/>
      <c r="BS489" s="240"/>
      <c r="BT489" s="240"/>
      <c r="BU489" s="240"/>
      <c r="BV489" s="240"/>
      <c r="BW489" s="240"/>
      <c r="BX489" s="240"/>
      <c r="BY489" s="240"/>
      <c r="BZ489" s="240"/>
      <c r="CA489" s="240"/>
      <c r="CB489" s="240"/>
      <c r="CC489" s="672"/>
      <c r="CD489" s="672"/>
      <c r="CE489" s="672"/>
      <c r="CF489" s="672"/>
      <c r="CG489" s="672"/>
      <c r="CH489" s="672"/>
      <c r="CI489" s="240"/>
      <c r="CJ489" s="240"/>
      <c r="CK489" s="240"/>
      <c r="CL489" s="240"/>
      <c r="CM489" s="240"/>
      <c r="CN489" s="240"/>
      <c r="CO489" s="240"/>
      <c r="CP489" s="240"/>
      <c r="CQ489" s="240"/>
      <c r="CR489" s="240"/>
      <c r="CS489" s="240"/>
      <c r="CT489" s="240"/>
      <c r="CU489" s="240"/>
      <c r="CV489" s="240"/>
      <c r="CW489" s="240"/>
      <c r="CX489" s="240"/>
      <c r="CY489" s="240"/>
      <c r="CZ489" s="240"/>
      <c r="DA489" s="240"/>
      <c r="DB489" s="240"/>
      <c r="DC489" s="240"/>
      <c r="DD489" s="240"/>
      <c r="DE489" s="240"/>
      <c r="DF489" s="240"/>
      <c r="DG489" s="240"/>
      <c r="DH489" s="478"/>
      <c r="DI489" s="733"/>
      <c r="DJ489" s="195"/>
      <c r="DK489" s="478"/>
      <c r="DL489" s="4"/>
      <c r="DM489" s="4"/>
      <c r="DN489" s="4"/>
      <c r="DO489" s="4"/>
      <c r="DP489" s="4"/>
      <c r="DQ489" s="4"/>
      <c r="DR489" s="4"/>
      <c r="DT489" s="195"/>
      <c r="DU489" s="195"/>
      <c r="DV489" s="195"/>
      <c r="DW489" s="195"/>
      <c r="DX489" s="195"/>
      <c r="DY489" s="195"/>
      <c r="DZ489" s="195"/>
      <c r="EA489" s="195"/>
      <c r="EB489" s="195"/>
      <c r="EC489" s="195"/>
      <c r="ED489" s="195"/>
      <c r="EE489" s="195"/>
      <c r="EF489" s="195"/>
      <c r="EG489" s="195"/>
      <c r="EL489" s="1"/>
      <c r="EM489" s="195"/>
      <c r="EN489" s="731"/>
      <c r="EO489" s="240"/>
      <c r="EP489" s="195"/>
      <c r="EQ489" s="240"/>
      <c r="ER489" s="195"/>
      <c r="ES489" s="195"/>
      <c r="ET489" s="195"/>
      <c r="EU489" s="731"/>
    </row>
    <row r="490" customFormat="false" ht="12.75" hidden="false" customHeight="false" outlineLevel="0" collapsed="false">
      <c r="I490" s="735"/>
      <c r="J490" s="727"/>
      <c r="K490" s="195"/>
      <c r="L490" s="195"/>
      <c r="M490" s="729"/>
      <c r="P490" s="727"/>
      <c r="S490" s="1"/>
      <c r="T490" s="727"/>
      <c r="U490" s="195"/>
      <c r="V490" s="195"/>
      <c r="W490" s="195"/>
      <c r="X490" s="195"/>
      <c r="Y490" s="195"/>
      <c r="Z490" s="195"/>
      <c r="AA490" s="195"/>
      <c r="AB490" s="195"/>
      <c r="AC490" s="195"/>
      <c r="AD490" s="195"/>
      <c r="AE490" s="195"/>
      <c r="AF490" s="195"/>
      <c r="AG490" s="195"/>
      <c r="AH490" s="195"/>
      <c r="AI490" s="195"/>
      <c r="AJ490" s="195"/>
      <c r="AK490" s="195"/>
      <c r="AL490" s="195"/>
      <c r="AM490" s="195"/>
      <c r="AN490" s="532"/>
      <c r="AO490" s="532"/>
      <c r="AP490" s="195"/>
      <c r="AQ490" s="532"/>
      <c r="AR490" s="195"/>
      <c r="AS490" s="240"/>
      <c r="AT490" s="240"/>
      <c r="AU490" s="240"/>
      <c r="AV490" s="730"/>
      <c r="AW490" s="730"/>
      <c r="AX490" s="730"/>
      <c r="AY490" s="730"/>
      <c r="AZ490" s="468"/>
      <c r="BA490" s="468"/>
      <c r="BB490" s="240"/>
      <c r="BC490" s="240"/>
      <c r="BD490" s="240"/>
      <c r="BE490" s="240"/>
      <c r="BF490" s="672"/>
      <c r="BG490" s="672"/>
      <c r="BH490" s="672"/>
      <c r="BI490" s="672"/>
      <c r="BJ490" s="672"/>
      <c r="BK490" s="240"/>
      <c r="BL490" s="736"/>
      <c r="BM490" s="737"/>
      <c r="BN490" s="240"/>
      <c r="BO490" s="240"/>
      <c r="BP490" s="240"/>
      <c r="BQ490" s="240"/>
      <c r="BR490" s="240"/>
      <c r="BS490" s="240"/>
      <c r="BT490" s="240"/>
      <c r="BU490" s="240"/>
      <c r="BV490" s="240"/>
      <c r="BW490" s="240"/>
      <c r="BX490" s="240"/>
      <c r="BY490" s="240"/>
      <c r="BZ490" s="240"/>
      <c r="CA490" s="240"/>
      <c r="CB490" s="240"/>
      <c r="CC490" s="672"/>
      <c r="CD490" s="672"/>
      <c r="CE490" s="672"/>
      <c r="CF490" s="672"/>
      <c r="CG490" s="672"/>
      <c r="CH490" s="672"/>
      <c r="CI490" s="240"/>
      <c r="CJ490" s="240"/>
      <c r="CK490" s="240"/>
      <c r="CL490" s="240"/>
      <c r="CM490" s="240"/>
      <c r="CN490" s="240"/>
      <c r="CO490" s="240"/>
      <c r="CP490" s="240"/>
      <c r="CQ490" s="240"/>
      <c r="CR490" s="240"/>
      <c r="CS490" s="240"/>
      <c r="CT490" s="240"/>
      <c r="CU490" s="240"/>
      <c r="CV490" s="240"/>
      <c r="CW490" s="240"/>
      <c r="CX490" s="240"/>
      <c r="CY490" s="240"/>
      <c r="CZ490" s="240"/>
      <c r="DA490" s="240"/>
      <c r="DB490" s="240"/>
      <c r="DC490" s="240"/>
      <c r="DD490" s="240"/>
      <c r="DE490" s="240"/>
      <c r="DF490" s="240"/>
      <c r="DG490" s="240"/>
      <c r="DH490" s="478"/>
      <c r="DI490" s="733"/>
      <c r="DJ490" s="195"/>
      <c r="DK490" s="478"/>
      <c r="DL490" s="4"/>
      <c r="DM490" s="4"/>
      <c r="DN490" s="4"/>
      <c r="DO490" s="4"/>
      <c r="DP490" s="4"/>
      <c r="DQ490" s="4"/>
      <c r="DR490" s="4"/>
      <c r="DT490" s="195"/>
      <c r="DU490" s="195"/>
      <c r="DV490" s="195"/>
      <c r="DW490" s="195"/>
      <c r="DX490" s="195"/>
      <c r="DY490" s="195"/>
      <c r="DZ490" s="195"/>
      <c r="EA490" s="195"/>
      <c r="EB490" s="195"/>
      <c r="EC490" s="195"/>
      <c r="ED490" s="195"/>
      <c r="EE490" s="195"/>
      <c r="EF490" s="195"/>
      <c r="EG490" s="195"/>
      <c r="EL490" s="1"/>
      <c r="EM490" s="195"/>
      <c r="EN490" s="731"/>
      <c r="EO490" s="240"/>
      <c r="EP490" s="195"/>
      <c r="EQ490" s="240"/>
      <c r="ER490" s="195"/>
      <c r="ES490" s="195"/>
      <c r="ET490" s="195"/>
      <c r="EU490" s="731"/>
    </row>
    <row r="491" customFormat="false" ht="12.75" hidden="false" customHeight="false" outlineLevel="0" collapsed="false">
      <c r="I491" s="735"/>
      <c r="J491" s="727"/>
      <c r="K491" s="195"/>
      <c r="L491" s="195"/>
      <c r="M491" s="729"/>
      <c r="P491" s="727"/>
      <c r="S491" s="1"/>
      <c r="T491" s="727"/>
      <c r="U491" s="195"/>
      <c r="V491" s="195"/>
      <c r="W491" s="195"/>
      <c r="X491" s="195"/>
      <c r="Y491" s="195"/>
      <c r="Z491" s="195"/>
      <c r="AA491" s="195"/>
      <c r="AB491" s="195"/>
      <c r="AC491" s="195"/>
      <c r="AD491" s="195"/>
      <c r="AE491" s="195"/>
      <c r="AF491" s="195"/>
      <c r="AG491" s="195"/>
      <c r="AH491" s="195"/>
      <c r="AI491" s="195"/>
      <c r="AJ491" s="195"/>
      <c r="AK491" s="195"/>
      <c r="AL491" s="195"/>
      <c r="AM491" s="195"/>
      <c r="AN491" s="532"/>
      <c r="AO491" s="532"/>
      <c r="AP491" s="195"/>
      <c r="AQ491" s="532"/>
      <c r="AR491" s="195"/>
      <c r="AS491" s="240"/>
      <c r="AT491" s="240"/>
      <c r="AU491" s="240"/>
      <c r="AV491" s="730"/>
      <c r="AW491" s="730"/>
      <c r="AX491" s="730"/>
      <c r="AY491" s="730"/>
      <c r="AZ491" s="468"/>
      <c r="BA491" s="468"/>
      <c r="BB491" s="240"/>
      <c r="BC491" s="240"/>
      <c r="BD491" s="240"/>
      <c r="BE491" s="240"/>
      <c r="BF491" s="672"/>
      <c r="BG491" s="672"/>
      <c r="BH491" s="672"/>
      <c r="BI491" s="672"/>
      <c r="BJ491" s="672"/>
      <c r="BK491" s="240"/>
      <c r="BL491" s="736"/>
      <c r="BM491" s="737"/>
      <c r="BN491" s="240"/>
      <c r="BO491" s="240"/>
      <c r="BP491" s="240"/>
      <c r="BQ491" s="240"/>
      <c r="BR491" s="240"/>
      <c r="BS491" s="240"/>
      <c r="BT491" s="240"/>
      <c r="BU491" s="240"/>
      <c r="BV491" s="240"/>
      <c r="BW491" s="240"/>
      <c r="BX491" s="240"/>
      <c r="BY491" s="240"/>
      <c r="BZ491" s="240"/>
      <c r="CA491" s="240"/>
      <c r="CB491" s="240"/>
      <c r="CC491" s="672"/>
      <c r="CD491" s="672"/>
      <c r="CE491" s="672"/>
      <c r="CF491" s="672"/>
      <c r="CG491" s="672"/>
      <c r="CH491" s="672"/>
      <c r="CI491" s="240"/>
      <c r="CJ491" s="240"/>
      <c r="CK491" s="240"/>
      <c r="CL491" s="240"/>
      <c r="CM491" s="240"/>
      <c r="CN491" s="240"/>
      <c r="CO491" s="240"/>
      <c r="CP491" s="240"/>
      <c r="CQ491" s="240"/>
      <c r="CR491" s="240"/>
      <c r="CS491" s="240"/>
      <c r="CT491" s="240"/>
      <c r="CU491" s="240"/>
      <c r="CV491" s="240"/>
      <c r="CW491" s="240"/>
      <c r="CX491" s="240"/>
      <c r="CY491" s="240"/>
      <c r="CZ491" s="240"/>
      <c r="DA491" s="240"/>
      <c r="DB491" s="240"/>
      <c r="DC491" s="240"/>
      <c r="DD491" s="240"/>
      <c r="DE491" s="240"/>
      <c r="DF491" s="240"/>
      <c r="DG491" s="240"/>
      <c r="DH491" s="478"/>
      <c r="DI491" s="733"/>
      <c r="DJ491" s="195"/>
      <c r="DK491" s="478"/>
      <c r="DL491" s="4"/>
      <c r="DM491" s="4"/>
      <c r="DN491" s="4"/>
      <c r="DO491" s="4"/>
      <c r="DP491" s="4"/>
      <c r="DQ491" s="4"/>
      <c r="DR491" s="4"/>
      <c r="DT491" s="195"/>
      <c r="DU491" s="195"/>
      <c r="DV491" s="195"/>
      <c r="DW491" s="195"/>
      <c r="DX491" s="195"/>
      <c r="DY491" s="195"/>
      <c r="DZ491" s="195"/>
      <c r="EA491" s="195"/>
      <c r="EB491" s="195"/>
      <c r="EC491" s="195"/>
      <c r="ED491" s="195"/>
      <c r="EE491" s="195"/>
      <c r="EF491" s="195"/>
      <c r="EG491" s="195"/>
      <c r="EL491" s="1"/>
      <c r="EM491" s="195"/>
      <c r="EN491" s="731"/>
      <c r="EO491" s="240"/>
      <c r="EP491" s="195"/>
      <c r="EQ491" s="240"/>
      <c r="ER491" s="195"/>
      <c r="ES491" s="195"/>
      <c r="ET491" s="195"/>
      <c r="EU491" s="731"/>
    </row>
    <row r="492" customFormat="false" ht="12.75" hidden="false" customHeight="false" outlineLevel="0" collapsed="false">
      <c r="I492" s="735"/>
      <c r="J492" s="727"/>
      <c r="K492" s="195"/>
      <c r="L492" s="195"/>
      <c r="M492" s="729"/>
      <c r="P492" s="727"/>
      <c r="S492" s="1"/>
      <c r="T492" s="727"/>
      <c r="U492" s="195"/>
      <c r="V492" s="195"/>
      <c r="W492" s="195"/>
      <c r="X492" s="195"/>
      <c r="Y492" s="195"/>
      <c r="Z492" s="195"/>
      <c r="AA492" s="195"/>
      <c r="AB492" s="195"/>
      <c r="AC492" s="195"/>
      <c r="AD492" s="195"/>
      <c r="AE492" s="195"/>
      <c r="AF492" s="195"/>
      <c r="AG492" s="195"/>
      <c r="AH492" s="195"/>
      <c r="AI492" s="195"/>
      <c r="AJ492" s="195"/>
      <c r="AK492" s="195"/>
      <c r="AL492" s="195"/>
      <c r="AM492" s="195"/>
      <c r="AN492" s="532"/>
      <c r="AO492" s="532"/>
      <c r="AP492" s="195"/>
      <c r="AQ492" s="532"/>
      <c r="AR492" s="195"/>
      <c r="AS492" s="240"/>
      <c r="AT492" s="240"/>
      <c r="AU492" s="240"/>
      <c r="AV492" s="730"/>
      <c r="AW492" s="730"/>
      <c r="AX492" s="730"/>
      <c r="AY492" s="730"/>
      <c r="AZ492" s="468"/>
      <c r="BA492" s="468"/>
      <c r="BB492" s="240"/>
      <c r="BC492" s="240"/>
      <c r="BD492" s="240"/>
      <c r="BE492" s="240"/>
      <c r="BF492" s="672"/>
      <c r="BG492" s="672"/>
      <c r="BH492" s="672"/>
      <c r="BI492" s="672"/>
      <c r="BJ492" s="672"/>
      <c r="BK492" s="240"/>
      <c r="BL492" s="736"/>
      <c r="BM492" s="737"/>
      <c r="BN492" s="240"/>
      <c r="BO492" s="240"/>
      <c r="BP492" s="240"/>
      <c r="BQ492" s="240"/>
      <c r="BR492" s="240"/>
      <c r="BS492" s="240"/>
      <c r="BT492" s="240"/>
      <c r="BU492" s="240"/>
      <c r="BV492" s="240"/>
      <c r="BW492" s="240"/>
      <c r="BX492" s="240"/>
      <c r="BY492" s="240"/>
      <c r="BZ492" s="240"/>
      <c r="CA492" s="240"/>
      <c r="CB492" s="240"/>
      <c r="CC492" s="672"/>
      <c r="CD492" s="672"/>
      <c r="CE492" s="672"/>
      <c r="CF492" s="672"/>
      <c r="CG492" s="672"/>
      <c r="CH492" s="672"/>
      <c r="CI492" s="240"/>
      <c r="CJ492" s="240"/>
      <c r="CK492" s="240"/>
      <c r="CL492" s="240"/>
      <c r="CM492" s="240"/>
      <c r="CN492" s="240"/>
      <c r="CO492" s="240"/>
      <c r="CP492" s="240"/>
      <c r="CQ492" s="240"/>
      <c r="CR492" s="240"/>
      <c r="CS492" s="240"/>
      <c r="CT492" s="240"/>
      <c r="CU492" s="240"/>
      <c r="CV492" s="240"/>
      <c r="CW492" s="240"/>
      <c r="CX492" s="240"/>
      <c r="CY492" s="240"/>
      <c r="CZ492" s="240"/>
      <c r="DA492" s="240"/>
      <c r="DB492" s="240"/>
      <c r="DC492" s="240"/>
      <c r="DD492" s="240"/>
      <c r="DE492" s="240"/>
      <c r="DF492" s="240"/>
      <c r="DG492" s="240"/>
      <c r="DH492" s="478"/>
      <c r="DI492" s="733"/>
      <c r="DJ492" s="195"/>
      <c r="DK492" s="478"/>
      <c r="DL492" s="4"/>
      <c r="DM492" s="4"/>
      <c r="DN492" s="4"/>
      <c r="DO492" s="4"/>
      <c r="DP492" s="4"/>
      <c r="DQ492" s="4"/>
      <c r="DR492" s="4"/>
      <c r="DT492" s="195"/>
      <c r="DU492" s="195"/>
      <c r="DV492" s="195"/>
      <c r="DW492" s="195"/>
      <c r="DX492" s="195"/>
      <c r="DY492" s="195"/>
      <c r="DZ492" s="195"/>
      <c r="EA492" s="195"/>
      <c r="EB492" s="195"/>
      <c r="EC492" s="195"/>
      <c r="ED492" s="195"/>
      <c r="EE492" s="195"/>
      <c r="EF492" s="195"/>
      <c r="EG492" s="195"/>
      <c r="EL492" s="1"/>
      <c r="EM492" s="195"/>
      <c r="EN492" s="731"/>
      <c r="EO492" s="240"/>
      <c r="EP492" s="195"/>
      <c r="EQ492" s="240"/>
      <c r="ER492" s="195"/>
      <c r="ES492" s="195"/>
      <c r="ET492" s="195"/>
      <c r="EU492" s="731"/>
    </row>
    <row r="493" customFormat="false" ht="12.75" hidden="false" customHeight="false" outlineLevel="0" collapsed="false">
      <c r="I493" s="735"/>
      <c r="J493" s="727"/>
      <c r="K493" s="195"/>
      <c r="L493" s="195"/>
      <c r="M493" s="729"/>
      <c r="P493" s="727"/>
      <c r="S493" s="1"/>
      <c r="T493" s="727"/>
      <c r="U493" s="195"/>
      <c r="V493" s="195"/>
      <c r="W493" s="195"/>
      <c r="X493" s="195"/>
      <c r="Y493" s="195"/>
      <c r="Z493" s="195"/>
      <c r="AA493" s="195"/>
      <c r="AB493" s="195"/>
      <c r="AC493" s="195"/>
      <c r="AD493" s="195"/>
      <c r="AE493" s="195"/>
      <c r="AF493" s="195"/>
      <c r="AG493" s="195"/>
      <c r="AH493" s="195"/>
      <c r="AI493" s="195"/>
      <c r="AJ493" s="195"/>
      <c r="AK493" s="195"/>
      <c r="AL493" s="195"/>
      <c r="AM493" s="195"/>
      <c r="AN493" s="532"/>
      <c r="AO493" s="532"/>
      <c r="AP493" s="195"/>
      <c r="AQ493" s="532"/>
      <c r="AR493" s="195"/>
      <c r="AS493" s="240"/>
      <c r="AT493" s="240"/>
      <c r="AU493" s="240"/>
      <c r="AV493" s="730"/>
      <c r="AW493" s="730"/>
      <c r="AX493" s="730"/>
      <c r="AY493" s="730"/>
      <c r="AZ493" s="468"/>
      <c r="BA493" s="468"/>
      <c r="BB493" s="240"/>
      <c r="BC493" s="240"/>
      <c r="BD493" s="240"/>
      <c r="BE493" s="240"/>
      <c r="BF493" s="672"/>
      <c r="BG493" s="672"/>
      <c r="BH493" s="672"/>
      <c r="BI493" s="672"/>
      <c r="BJ493" s="672"/>
      <c r="BK493" s="240"/>
      <c r="BL493" s="736"/>
      <c r="BM493" s="737"/>
      <c r="BN493" s="240"/>
      <c r="BO493" s="240"/>
      <c r="BP493" s="240"/>
      <c r="BQ493" s="240"/>
      <c r="BR493" s="240"/>
      <c r="BS493" s="240"/>
      <c r="BT493" s="240"/>
      <c r="BU493" s="240"/>
      <c r="BV493" s="240"/>
      <c r="BW493" s="240"/>
      <c r="BX493" s="240"/>
      <c r="BY493" s="240"/>
      <c r="BZ493" s="240"/>
      <c r="CA493" s="240"/>
      <c r="CB493" s="240"/>
      <c r="CC493" s="672"/>
      <c r="CD493" s="672"/>
      <c r="CE493" s="672"/>
      <c r="CF493" s="672"/>
      <c r="CG493" s="672"/>
      <c r="CH493" s="672"/>
      <c r="CI493" s="240"/>
      <c r="CJ493" s="240"/>
      <c r="CK493" s="240"/>
      <c r="CL493" s="240"/>
      <c r="CM493" s="240"/>
      <c r="CN493" s="240"/>
      <c r="CO493" s="240"/>
      <c r="CP493" s="240"/>
      <c r="CQ493" s="240"/>
      <c r="CR493" s="240"/>
      <c r="CS493" s="240"/>
      <c r="CT493" s="240"/>
      <c r="CU493" s="240"/>
      <c r="CV493" s="240"/>
      <c r="CW493" s="240"/>
      <c r="CX493" s="240"/>
      <c r="CY493" s="240"/>
      <c r="CZ493" s="240"/>
      <c r="DA493" s="240"/>
      <c r="DB493" s="240"/>
      <c r="DC493" s="240"/>
      <c r="DD493" s="240"/>
      <c r="DE493" s="240"/>
      <c r="DF493" s="240"/>
      <c r="DG493" s="240"/>
      <c r="DH493" s="478"/>
      <c r="DI493" s="733"/>
      <c r="DJ493" s="195"/>
      <c r="DK493" s="478"/>
      <c r="DL493" s="4"/>
      <c r="DM493" s="4"/>
      <c r="DN493" s="4"/>
      <c r="DO493" s="4"/>
      <c r="DP493" s="4"/>
      <c r="DQ493" s="4"/>
      <c r="DR493" s="4"/>
      <c r="DT493" s="195"/>
      <c r="DU493" s="195"/>
      <c r="DV493" s="195"/>
      <c r="DW493" s="195"/>
      <c r="DX493" s="195"/>
      <c r="DY493" s="195"/>
      <c r="DZ493" s="195"/>
      <c r="EA493" s="195"/>
      <c r="EB493" s="195"/>
      <c r="EC493" s="195"/>
      <c r="ED493" s="195"/>
      <c r="EE493" s="195"/>
      <c r="EF493" s="195"/>
      <c r="EG493" s="195"/>
      <c r="EL493" s="1"/>
      <c r="EM493" s="195"/>
      <c r="EN493" s="731"/>
      <c r="EO493" s="240"/>
      <c r="EP493" s="195"/>
      <c r="EQ493" s="240"/>
      <c r="ER493" s="195"/>
      <c r="ES493" s="195"/>
      <c r="ET493" s="195"/>
      <c r="EU493" s="731"/>
    </row>
    <row r="494" customFormat="false" ht="12.75" hidden="false" customHeight="false" outlineLevel="0" collapsed="false">
      <c r="I494" s="735"/>
      <c r="J494" s="727"/>
      <c r="K494" s="195"/>
      <c r="L494" s="195"/>
      <c r="M494" s="729"/>
      <c r="P494" s="727"/>
      <c r="S494" s="1"/>
      <c r="T494" s="727"/>
      <c r="U494" s="195"/>
      <c r="V494" s="195"/>
      <c r="W494" s="195"/>
      <c r="X494" s="195"/>
      <c r="Y494" s="195"/>
      <c r="Z494" s="195"/>
      <c r="AA494" s="195"/>
      <c r="AB494" s="195"/>
      <c r="AC494" s="195"/>
      <c r="AD494" s="195"/>
      <c r="AE494" s="195"/>
      <c r="AF494" s="195"/>
      <c r="AG494" s="195"/>
      <c r="AH494" s="195"/>
      <c r="AI494" s="195"/>
      <c r="AJ494" s="195"/>
      <c r="AK494" s="195"/>
      <c r="AL494" s="195"/>
      <c r="AM494" s="195"/>
      <c r="AN494" s="532"/>
      <c r="AO494" s="532"/>
      <c r="AP494" s="195"/>
      <c r="AQ494" s="532"/>
      <c r="AR494" s="195"/>
      <c r="AS494" s="240"/>
      <c r="AT494" s="240"/>
      <c r="AU494" s="240"/>
      <c r="AV494" s="730"/>
      <c r="AW494" s="730"/>
      <c r="AX494" s="730"/>
      <c r="AY494" s="730"/>
      <c r="AZ494" s="468"/>
      <c r="BA494" s="468"/>
      <c r="BB494" s="240"/>
      <c r="BC494" s="240"/>
      <c r="BD494" s="240"/>
      <c r="BE494" s="240"/>
      <c r="BF494" s="672"/>
      <c r="BG494" s="672"/>
      <c r="BH494" s="672"/>
      <c r="BI494" s="672"/>
      <c r="BJ494" s="672"/>
      <c r="BK494" s="240"/>
      <c r="BL494" s="736"/>
      <c r="BM494" s="737"/>
      <c r="BN494" s="240"/>
      <c r="BO494" s="240"/>
      <c r="BP494" s="240"/>
      <c r="BQ494" s="240"/>
      <c r="BR494" s="240"/>
      <c r="BS494" s="240"/>
      <c r="BT494" s="240"/>
      <c r="BU494" s="240"/>
      <c r="BV494" s="240"/>
      <c r="BW494" s="240"/>
      <c r="BX494" s="240"/>
      <c r="BY494" s="240"/>
      <c r="BZ494" s="240"/>
      <c r="CA494" s="240"/>
      <c r="CB494" s="240"/>
      <c r="CC494" s="672"/>
      <c r="CD494" s="672"/>
      <c r="CE494" s="672"/>
      <c r="CF494" s="672"/>
      <c r="CG494" s="672"/>
      <c r="CH494" s="672"/>
      <c r="CI494" s="240"/>
      <c r="CJ494" s="240"/>
      <c r="CK494" s="240"/>
      <c r="CL494" s="240"/>
      <c r="CM494" s="240"/>
      <c r="CN494" s="240"/>
      <c r="CO494" s="240"/>
      <c r="CP494" s="240"/>
      <c r="CQ494" s="240"/>
      <c r="CR494" s="240"/>
      <c r="CS494" s="240"/>
      <c r="CT494" s="240"/>
      <c r="CU494" s="240"/>
      <c r="CV494" s="240"/>
      <c r="CW494" s="240"/>
      <c r="CX494" s="240"/>
      <c r="CY494" s="240"/>
      <c r="CZ494" s="240"/>
      <c r="DA494" s="240"/>
      <c r="DB494" s="240"/>
      <c r="DC494" s="240"/>
      <c r="DD494" s="240"/>
      <c r="DE494" s="240"/>
      <c r="DF494" s="240"/>
      <c r="DG494" s="240"/>
      <c r="DH494" s="478"/>
      <c r="DI494" s="733"/>
      <c r="DJ494" s="195"/>
      <c r="DK494" s="478"/>
      <c r="DL494" s="4"/>
      <c r="DM494" s="4"/>
      <c r="DN494" s="4"/>
      <c r="DO494" s="4"/>
      <c r="DP494" s="4"/>
      <c r="DQ494" s="4"/>
      <c r="DR494" s="4"/>
      <c r="DT494" s="195"/>
      <c r="DU494" s="195"/>
      <c r="DV494" s="195"/>
      <c r="DW494" s="195"/>
      <c r="DX494" s="195"/>
      <c r="DY494" s="195"/>
      <c r="DZ494" s="195"/>
      <c r="EA494" s="195"/>
      <c r="EB494" s="195"/>
      <c r="EC494" s="195"/>
      <c r="ED494" s="195"/>
      <c r="EE494" s="195"/>
      <c r="EF494" s="195"/>
      <c r="EG494" s="195"/>
      <c r="EL494" s="1"/>
      <c r="EM494" s="195"/>
      <c r="EN494" s="731"/>
      <c r="EO494" s="240"/>
      <c r="EP494" s="195"/>
      <c r="EQ494" s="240"/>
      <c r="ER494" s="195"/>
      <c r="ES494" s="195"/>
      <c r="ET494" s="195"/>
      <c r="EU494" s="731"/>
    </row>
    <row r="495" customFormat="false" ht="12.75" hidden="false" customHeight="false" outlineLevel="0" collapsed="false">
      <c r="I495" s="735"/>
      <c r="J495" s="727"/>
      <c r="K495" s="195"/>
      <c r="L495" s="195"/>
      <c r="M495" s="729"/>
      <c r="P495" s="727"/>
      <c r="S495" s="1"/>
      <c r="T495" s="727"/>
      <c r="U495" s="195"/>
      <c r="V495" s="195"/>
      <c r="W495" s="195"/>
      <c r="X495" s="195"/>
      <c r="Y495" s="195"/>
      <c r="Z495" s="195"/>
      <c r="AA495" s="195"/>
      <c r="AB495" s="195"/>
      <c r="AC495" s="195"/>
      <c r="AD495" s="195"/>
      <c r="AE495" s="195"/>
      <c r="AF495" s="195"/>
      <c r="AG495" s="195"/>
      <c r="AH495" s="195"/>
      <c r="AI495" s="195"/>
      <c r="AJ495" s="195"/>
      <c r="AK495" s="195"/>
      <c r="AL495" s="195"/>
      <c r="AM495" s="195"/>
      <c r="AN495" s="532"/>
      <c r="AO495" s="532"/>
      <c r="AP495" s="195"/>
      <c r="AQ495" s="532"/>
      <c r="AR495" s="195"/>
      <c r="AS495" s="240"/>
      <c r="AT495" s="240"/>
      <c r="AU495" s="240"/>
      <c r="AV495" s="730"/>
      <c r="AW495" s="730"/>
      <c r="AX495" s="730"/>
      <c r="AY495" s="730"/>
      <c r="AZ495" s="468"/>
      <c r="BA495" s="468"/>
      <c r="BB495" s="240"/>
      <c r="BC495" s="240"/>
      <c r="BD495" s="240"/>
      <c r="BE495" s="240"/>
      <c r="BF495" s="672"/>
      <c r="BG495" s="672"/>
      <c r="BH495" s="672"/>
      <c r="BI495" s="672"/>
      <c r="BJ495" s="672"/>
      <c r="BK495" s="240"/>
      <c r="BL495" s="736"/>
      <c r="BM495" s="737"/>
      <c r="BN495" s="240"/>
      <c r="BO495" s="240"/>
      <c r="BP495" s="240"/>
      <c r="BQ495" s="240"/>
      <c r="BR495" s="240"/>
      <c r="BS495" s="240"/>
      <c r="BT495" s="240"/>
      <c r="BU495" s="240"/>
      <c r="BV495" s="240"/>
      <c r="BW495" s="240"/>
      <c r="BX495" s="240"/>
      <c r="BY495" s="240"/>
      <c r="BZ495" s="240"/>
      <c r="CA495" s="240"/>
      <c r="CB495" s="240"/>
      <c r="CC495" s="672"/>
      <c r="CD495" s="672"/>
      <c r="CE495" s="672"/>
      <c r="CF495" s="672"/>
      <c r="CG495" s="672"/>
      <c r="CH495" s="672"/>
      <c r="CI495" s="240"/>
      <c r="CJ495" s="240"/>
      <c r="CK495" s="240"/>
      <c r="CL495" s="240"/>
      <c r="CM495" s="240"/>
      <c r="CN495" s="240"/>
      <c r="CO495" s="240"/>
      <c r="CP495" s="240"/>
      <c r="CQ495" s="240"/>
      <c r="CR495" s="240"/>
      <c r="CS495" s="240"/>
      <c r="CT495" s="240"/>
      <c r="CU495" s="240"/>
      <c r="CV495" s="240"/>
      <c r="CW495" s="240"/>
      <c r="CX495" s="240"/>
      <c r="CY495" s="240"/>
      <c r="CZ495" s="240"/>
      <c r="DA495" s="240"/>
      <c r="DB495" s="240"/>
      <c r="DC495" s="240"/>
      <c r="DD495" s="240"/>
      <c r="DE495" s="240"/>
      <c r="DF495" s="240"/>
      <c r="DG495" s="240"/>
      <c r="DH495" s="478"/>
      <c r="DI495" s="733"/>
      <c r="DJ495" s="195"/>
      <c r="DK495" s="478"/>
      <c r="DL495" s="4"/>
      <c r="DM495" s="4"/>
      <c r="DN495" s="4"/>
      <c r="DO495" s="4"/>
      <c r="DP495" s="4"/>
      <c r="DQ495" s="4"/>
      <c r="DR495" s="4"/>
      <c r="DT495" s="195"/>
      <c r="DU495" s="195"/>
      <c r="DV495" s="195"/>
      <c r="DW495" s="195"/>
      <c r="DX495" s="195"/>
      <c r="DY495" s="195"/>
      <c r="DZ495" s="195"/>
      <c r="EA495" s="195"/>
      <c r="EB495" s="195"/>
      <c r="EC495" s="195"/>
      <c r="ED495" s="195"/>
      <c r="EE495" s="195"/>
      <c r="EF495" s="195"/>
      <c r="EG495" s="195"/>
      <c r="EL495" s="1"/>
      <c r="EM495" s="195"/>
      <c r="EN495" s="731"/>
      <c r="EO495" s="240"/>
      <c r="EP495" s="195"/>
      <c r="EQ495" s="240"/>
      <c r="ER495" s="195"/>
      <c r="ES495" s="195"/>
      <c r="ET495" s="195"/>
      <c r="EU495" s="731"/>
    </row>
    <row r="496" customFormat="false" ht="12.75" hidden="false" customHeight="false" outlineLevel="0" collapsed="false">
      <c r="I496" s="735"/>
      <c r="J496" s="727"/>
      <c r="K496" s="195"/>
      <c r="L496" s="195"/>
      <c r="M496" s="729"/>
      <c r="P496" s="727"/>
      <c r="S496" s="1"/>
      <c r="T496" s="727"/>
      <c r="U496" s="195"/>
      <c r="V496" s="195"/>
      <c r="W496" s="195"/>
      <c r="X496" s="195"/>
      <c r="Y496" s="195"/>
      <c r="Z496" s="195"/>
      <c r="AA496" s="195"/>
      <c r="AB496" s="195"/>
      <c r="AC496" s="195"/>
      <c r="AD496" s="195"/>
      <c r="AE496" s="195"/>
      <c r="AF496" s="195"/>
      <c r="AG496" s="195"/>
      <c r="AH496" s="195"/>
      <c r="AI496" s="195"/>
      <c r="AJ496" s="195"/>
      <c r="AK496" s="195"/>
      <c r="AL496" s="195"/>
      <c r="AM496" s="195"/>
      <c r="AN496" s="532"/>
      <c r="AO496" s="532"/>
      <c r="AP496" s="195"/>
      <c r="AQ496" s="532"/>
      <c r="AR496" s="195"/>
      <c r="AS496" s="240"/>
      <c r="AT496" s="240"/>
      <c r="AU496" s="240"/>
      <c r="AV496" s="730"/>
      <c r="AW496" s="730"/>
      <c r="AX496" s="730"/>
      <c r="AY496" s="730"/>
      <c r="AZ496" s="468"/>
      <c r="BA496" s="468"/>
      <c r="BB496" s="240"/>
      <c r="BC496" s="240"/>
      <c r="BD496" s="240"/>
      <c r="BE496" s="240"/>
      <c r="BF496" s="672"/>
      <c r="BG496" s="672"/>
      <c r="BH496" s="672"/>
      <c r="BI496" s="672"/>
      <c r="BJ496" s="672"/>
      <c r="BK496" s="240"/>
      <c r="BL496" s="736"/>
      <c r="BM496" s="737"/>
      <c r="BN496" s="240"/>
      <c r="BO496" s="240"/>
      <c r="BP496" s="240"/>
      <c r="BQ496" s="240"/>
      <c r="BR496" s="240"/>
      <c r="BS496" s="240"/>
      <c r="BT496" s="240"/>
      <c r="BU496" s="240"/>
      <c r="BV496" s="240"/>
      <c r="BW496" s="240"/>
      <c r="BX496" s="240"/>
      <c r="BY496" s="240"/>
      <c r="BZ496" s="240"/>
      <c r="CA496" s="240"/>
      <c r="CB496" s="240"/>
      <c r="CC496" s="672"/>
      <c r="CD496" s="672"/>
      <c r="CE496" s="672"/>
      <c r="CF496" s="672"/>
      <c r="CG496" s="672"/>
      <c r="CH496" s="672"/>
      <c r="CI496" s="240"/>
      <c r="CJ496" s="240"/>
      <c r="CK496" s="240"/>
      <c r="CL496" s="240"/>
      <c r="CM496" s="240"/>
      <c r="CN496" s="240"/>
      <c r="CO496" s="240"/>
      <c r="CP496" s="240"/>
      <c r="CQ496" s="240"/>
      <c r="CR496" s="240"/>
      <c r="CS496" s="240"/>
      <c r="CT496" s="240"/>
      <c r="CU496" s="240"/>
      <c r="CV496" s="240"/>
      <c r="CW496" s="240"/>
      <c r="CX496" s="240"/>
      <c r="CY496" s="240"/>
      <c r="CZ496" s="240"/>
      <c r="DA496" s="240"/>
      <c r="DB496" s="240"/>
      <c r="DC496" s="240"/>
      <c r="DD496" s="240"/>
      <c r="DE496" s="240"/>
      <c r="DF496" s="240"/>
      <c r="DG496" s="240"/>
      <c r="DH496" s="478"/>
      <c r="DI496" s="733"/>
      <c r="DJ496" s="195"/>
      <c r="DK496" s="478"/>
      <c r="DL496" s="4"/>
      <c r="DM496" s="4"/>
      <c r="DN496" s="4"/>
      <c r="DO496" s="4"/>
      <c r="DP496" s="4"/>
      <c r="DQ496" s="4"/>
      <c r="DR496" s="4"/>
      <c r="DT496" s="195"/>
      <c r="DU496" s="195"/>
      <c r="DV496" s="195"/>
      <c r="DW496" s="195"/>
      <c r="DX496" s="195"/>
      <c r="DY496" s="195"/>
      <c r="DZ496" s="195"/>
      <c r="EA496" s="195"/>
      <c r="EB496" s="195"/>
      <c r="EC496" s="195"/>
      <c r="ED496" s="195"/>
      <c r="EE496" s="195"/>
      <c r="EF496" s="195"/>
      <c r="EG496" s="195"/>
      <c r="EL496" s="1"/>
      <c r="EM496" s="195"/>
      <c r="EN496" s="731"/>
      <c r="EO496" s="240"/>
      <c r="EP496" s="195"/>
      <c r="EQ496" s="240"/>
      <c r="ER496" s="195"/>
      <c r="ES496" s="195"/>
      <c r="ET496" s="195"/>
      <c r="EU496" s="731"/>
    </row>
    <row r="497" customFormat="false" ht="12.75" hidden="false" customHeight="false" outlineLevel="0" collapsed="false">
      <c r="I497" s="735"/>
      <c r="J497" s="727"/>
      <c r="K497" s="195"/>
      <c r="L497" s="195"/>
      <c r="M497" s="729"/>
      <c r="P497" s="727"/>
      <c r="S497" s="1"/>
      <c r="T497" s="727"/>
      <c r="U497" s="195"/>
      <c r="V497" s="195"/>
      <c r="W497" s="195"/>
      <c r="X497" s="195"/>
      <c r="Y497" s="195"/>
      <c r="Z497" s="195"/>
      <c r="AA497" s="195"/>
      <c r="AB497" s="195"/>
      <c r="AC497" s="195"/>
      <c r="AD497" s="195"/>
      <c r="AE497" s="195"/>
      <c r="AF497" s="195"/>
      <c r="AG497" s="195"/>
      <c r="AH497" s="195"/>
      <c r="AI497" s="195"/>
      <c r="AJ497" s="195"/>
      <c r="AK497" s="195"/>
      <c r="AL497" s="195"/>
      <c r="AM497" s="195"/>
      <c r="AN497" s="532"/>
      <c r="AO497" s="532"/>
      <c r="AP497" s="195"/>
      <c r="AQ497" s="532"/>
      <c r="AR497" s="195"/>
      <c r="AS497" s="240"/>
      <c r="AT497" s="240"/>
      <c r="AU497" s="240"/>
      <c r="AV497" s="730"/>
      <c r="AW497" s="730"/>
      <c r="AX497" s="730"/>
      <c r="AY497" s="730"/>
      <c r="AZ497" s="468"/>
      <c r="BA497" s="468"/>
      <c r="BB497" s="240"/>
      <c r="BC497" s="240"/>
      <c r="BD497" s="240"/>
      <c r="BE497" s="240"/>
      <c r="BF497" s="672"/>
      <c r="BG497" s="672"/>
      <c r="BH497" s="672"/>
      <c r="BI497" s="672"/>
      <c r="BJ497" s="672"/>
      <c r="BK497" s="240"/>
      <c r="BL497" s="736"/>
      <c r="BM497" s="737"/>
      <c r="BN497" s="240"/>
      <c r="BO497" s="240"/>
      <c r="BP497" s="240"/>
      <c r="BQ497" s="240"/>
      <c r="BR497" s="240"/>
      <c r="BS497" s="240"/>
      <c r="BT497" s="240"/>
      <c r="BU497" s="240"/>
      <c r="BV497" s="240"/>
      <c r="BW497" s="240"/>
      <c r="BX497" s="240"/>
      <c r="BY497" s="240"/>
      <c r="BZ497" s="240"/>
      <c r="CA497" s="240"/>
      <c r="CB497" s="240"/>
      <c r="CC497" s="672"/>
      <c r="CD497" s="672"/>
      <c r="CE497" s="672"/>
      <c r="CF497" s="672"/>
      <c r="CG497" s="672"/>
      <c r="CH497" s="672"/>
      <c r="CI497" s="240"/>
      <c r="CJ497" s="240"/>
      <c r="CK497" s="240"/>
      <c r="CL497" s="240"/>
      <c r="CM497" s="240"/>
      <c r="CN497" s="240"/>
      <c r="CO497" s="240"/>
      <c r="CP497" s="240"/>
      <c r="CQ497" s="240"/>
      <c r="CR497" s="240"/>
      <c r="CS497" s="240"/>
      <c r="CT497" s="240"/>
      <c r="CU497" s="240"/>
      <c r="CV497" s="240"/>
      <c r="CW497" s="240"/>
      <c r="CX497" s="240"/>
      <c r="CY497" s="240"/>
      <c r="CZ497" s="240"/>
      <c r="DA497" s="240"/>
      <c r="DB497" s="240"/>
      <c r="DC497" s="240"/>
      <c r="DD497" s="240"/>
      <c r="DE497" s="240"/>
      <c r="DF497" s="240"/>
      <c r="DG497" s="240"/>
      <c r="DH497" s="478"/>
      <c r="DI497" s="733"/>
      <c r="DJ497" s="195"/>
      <c r="DK497" s="478"/>
      <c r="DL497" s="4"/>
      <c r="DM497" s="4"/>
      <c r="DN497" s="4"/>
      <c r="DO497" s="4"/>
      <c r="DP497" s="4"/>
      <c r="DQ497" s="4"/>
      <c r="DR497" s="4"/>
      <c r="DT497" s="195"/>
      <c r="DU497" s="195"/>
      <c r="DV497" s="195"/>
      <c r="DW497" s="195"/>
      <c r="DX497" s="195"/>
      <c r="DY497" s="195"/>
      <c r="DZ497" s="195"/>
      <c r="EA497" s="195"/>
      <c r="EB497" s="195"/>
      <c r="EC497" s="195"/>
      <c r="ED497" s="195"/>
      <c r="EE497" s="195"/>
      <c r="EF497" s="195"/>
      <c r="EG497" s="195"/>
      <c r="EL497" s="1"/>
      <c r="EM497" s="195"/>
      <c r="EN497" s="731"/>
      <c r="EO497" s="240"/>
      <c r="EP497" s="195"/>
      <c r="EQ497" s="240"/>
      <c r="ER497" s="195"/>
      <c r="ES497" s="195"/>
      <c r="ET497" s="195"/>
      <c r="EU497" s="731"/>
    </row>
    <row r="498" customFormat="false" ht="12.75" hidden="false" customHeight="false" outlineLevel="0" collapsed="false">
      <c r="I498" s="735"/>
      <c r="J498" s="727"/>
      <c r="K498" s="195"/>
      <c r="L498" s="195"/>
      <c r="M498" s="729"/>
      <c r="P498" s="727"/>
      <c r="S498" s="1"/>
      <c r="T498" s="727"/>
      <c r="U498" s="195"/>
      <c r="V498" s="195"/>
      <c r="W498" s="195"/>
      <c r="X498" s="195"/>
      <c r="Y498" s="195"/>
      <c r="Z498" s="195"/>
      <c r="AA498" s="195"/>
      <c r="AB498" s="195"/>
      <c r="AC498" s="195"/>
      <c r="AD498" s="195"/>
      <c r="AE498" s="195"/>
      <c r="AF498" s="195"/>
      <c r="AG498" s="195"/>
      <c r="AH498" s="195"/>
      <c r="AI498" s="195"/>
      <c r="AJ498" s="195"/>
      <c r="AK498" s="195"/>
      <c r="AL498" s="195"/>
      <c r="AM498" s="195"/>
      <c r="AN498" s="532"/>
      <c r="AO498" s="532"/>
      <c r="AP498" s="240"/>
      <c r="AQ498" s="532"/>
      <c r="AR498" s="240"/>
      <c r="AS498" s="240"/>
      <c r="AT498" s="240"/>
      <c r="AU498" s="240"/>
      <c r="AV498" s="730"/>
      <c r="AW498" s="730"/>
      <c r="AX498" s="730"/>
      <c r="AY498" s="468"/>
      <c r="AZ498" s="468"/>
      <c r="BA498" s="240"/>
      <c r="BB498" s="240"/>
      <c r="BC498" s="240"/>
      <c r="BD498" s="240"/>
      <c r="BE498" s="240"/>
      <c r="BF498" s="672"/>
      <c r="BG498" s="672"/>
      <c r="BH498" s="731"/>
      <c r="BI498" s="672"/>
      <c r="BJ498" s="240"/>
      <c r="BK498" s="736"/>
      <c r="BL498" s="737"/>
      <c r="BM498" s="240"/>
      <c r="BN498" s="240"/>
      <c r="BO498" s="240"/>
      <c r="BP498" s="240"/>
      <c r="BQ498" s="240"/>
      <c r="BR498" s="240"/>
      <c r="BS498" s="240"/>
      <c r="BT498" s="240"/>
      <c r="BU498" s="240"/>
      <c r="BV498" s="240"/>
      <c r="BW498" s="240"/>
      <c r="BX498" s="240"/>
      <c r="BY498" s="240"/>
      <c r="BZ498" s="240"/>
      <c r="CA498" s="240"/>
      <c r="CB498" s="672"/>
      <c r="CC498" s="672"/>
      <c r="CD498" s="672"/>
      <c r="CE498" s="672"/>
      <c r="CF498" s="672"/>
      <c r="CG498" s="672"/>
      <c r="CH498" s="240"/>
      <c r="CI498" s="240"/>
      <c r="CJ498" s="240"/>
      <c r="CK498" s="240"/>
      <c r="CL498" s="240"/>
      <c r="CM498" s="240"/>
      <c r="CN498" s="240"/>
      <c r="CO498" s="240"/>
      <c r="CP498" s="240"/>
      <c r="CQ498" s="240"/>
      <c r="CR498" s="240"/>
      <c r="CS498" s="240"/>
      <c r="CT498" s="240"/>
      <c r="CU498" s="240"/>
      <c r="CV498" s="240"/>
      <c r="CW498" s="240"/>
      <c r="CX498" s="240"/>
      <c r="CY498" s="240"/>
      <c r="CZ498" s="240"/>
      <c r="DA498" s="240"/>
      <c r="DB498" s="240"/>
      <c r="DC498" s="240"/>
      <c r="DD498" s="240"/>
      <c r="DE498" s="240"/>
      <c r="DF498" s="240"/>
      <c r="DG498" s="733"/>
      <c r="DH498" s="478"/>
      <c r="DI498" s="195"/>
      <c r="DJ498" s="1"/>
      <c r="DK498" s="478"/>
      <c r="DL498" s="4"/>
      <c r="DM498" s="4"/>
      <c r="DN498" s="4"/>
      <c r="DO498" s="4"/>
      <c r="DP498" s="4"/>
      <c r="DQ498" s="4"/>
      <c r="DR498" s="4"/>
      <c r="DT498" s="195"/>
      <c r="DU498" s="195"/>
      <c r="DV498" s="195"/>
      <c r="DW498" s="195"/>
      <c r="DX498" s="195"/>
      <c r="DY498" s="195"/>
      <c r="DZ498" s="195"/>
      <c r="EA498" s="195"/>
      <c r="EB498" s="195"/>
      <c r="EC498" s="195"/>
      <c r="ED498" s="195"/>
      <c r="EE498" s="195"/>
      <c r="EF498" s="195"/>
      <c r="EG498" s="195"/>
      <c r="EL498" s="1"/>
      <c r="EM498" s="195"/>
      <c r="EN498" s="731"/>
      <c r="EO498" s="240"/>
      <c r="EP498" s="195"/>
      <c r="EQ498" s="240"/>
      <c r="ER498" s="195"/>
      <c r="ES498" s="195"/>
      <c r="ET498" s="195"/>
      <c r="EU498" s="731"/>
    </row>
    <row r="499" customFormat="false" ht="12.75" hidden="false" customHeight="false" outlineLevel="0" collapsed="false">
      <c r="I499" s="735"/>
      <c r="J499" s="727"/>
      <c r="K499" s="195"/>
      <c r="L499" s="195"/>
      <c r="M499" s="729"/>
      <c r="P499" s="727"/>
      <c r="S499" s="1"/>
      <c r="T499" s="727"/>
      <c r="U499" s="195"/>
      <c r="V499" s="195"/>
      <c r="W499" s="195"/>
      <c r="X499" s="195"/>
      <c r="Y499" s="195"/>
      <c r="Z499" s="195"/>
      <c r="AA499" s="195"/>
      <c r="AB499" s="195"/>
      <c r="AC499" s="195"/>
      <c r="AD499" s="195"/>
      <c r="AE499" s="195"/>
      <c r="AF499" s="195"/>
      <c r="AG499" s="195"/>
      <c r="AH499" s="195"/>
      <c r="AI499" s="195"/>
      <c r="AJ499" s="195"/>
      <c r="AK499" s="195"/>
      <c r="AL499" s="195"/>
      <c r="AM499" s="195"/>
      <c r="AN499" s="532"/>
      <c r="AO499" s="532"/>
      <c r="AP499" s="240"/>
      <c r="AQ499" s="532"/>
      <c r="AR499" s="240"/>
      <c r="AS499" s="240"/>
      <c r="AT499" s="240"/>
      <c r="AU499" s="240"/>
      <c r="AV499" s="730"/>
      <c r="AW499" s="730"/>
      <c r="AX499" s="730"/>
      <c r="AY499" s="468"/>
      <c r="AZ499" s="468"/>
      <c r="BA499" s="240"/>
      <c r="BB499" s="240"/>
      <c r="BC499" s="240"/>
      <c r="BD499" s="240"/>
      <c r="BE499" s="240"/>
      <c r="BF499" s="672"/>
      <c r="BG499" s="672"/>
      <c r="BH499" s="731"/>
      <c r="BI499" s="672"/>
      <c r="BJ499" s="240"/>
      <c r="BK499" s="736"/>
      <c r="BL499" s="737"/>
      <c r="BM499" s="240"/>
      <c r="BN499" s="240"/>
      <c r="BO499" s="240"/>
      <c r="BP499" s="240"/>
      <c r="BQ499" s="240"/>
      <c r="BR499" s="240"/>
      <c r="BS499" s="240"/>
      <c r="BT499" s="240"/>
      <c r="BU499" s="240"/>
      <c r="BV499" s="240"/>
      <c r="BW499" s="240"/>
      <c r="BX499" s="240"/>
      <c r="BY499" s="240"/>
      <c r="BZ499" s="240"/>
      <c r="CA499" s="240"/>
      <c r="CB499" s="672"/>
      <c r="CC499" s="672"/>
      <c r="CD499" s="672"/>
      <c r="CE499" s="672"/>
      <c r="CF499" s="672"/>
      <c r="CG499" s="672"/>
      <c r="CH499" s="240"/>
      <c r="CI499" s="240"/>
      <c r="CJ499" s="240"/>
      <c r="CK499" s="240"/>
      <c r="CL499" s="240"/>
      <c r="CM499" s="240"/>
      <c r="CN499" s="240"/>
      <c r="CO499" s="240"/>
      <c r="CP499" s="240"/>
      <c r="CQ499" s="240"/>
      <c r="CR499" s="240"/>
      <c r="CS499" s="240"/>
      <c r="CT499" s="240"/>
      <c r="CU499" s="240"/>
      <c r="CV499" s="240"/>
      <c r="CW499" s="240"/>
      <c r="CX499" s="240"/>
      <c r="CY499" s="240"/>
      <c r="CZ499" s="240"/>
      <c r="DA499" s="240"/>
      <c r="DB499" s="240"/>
      <c r="DC499" s="240"/>
      <c r="DD499" s="240"/>
      <c r="DE499" s="240"/>
      <c r="DF499" s="240"/>
      <c r="DG499" s="733"/>
      <c r="DH499" s="478"/>
      <c r="DI499" s="195"/>
      <c r="DJ499" s="1"/>
      <c r="DK499" s="478"/>
      <c r="DL499" s="4"/>
      <c r="DM499" s="4"/>
      <c r="DN499" s="4"/>
      <c r="DO499" s="4"/>
      <c r="DP499" s="4"/>
      <c r="DQ499" s="4"/>
      <c r="DR499" s="4"/>
      <c r="DT499" s="195"/>
      <c r="DU499" s="195"/>
      <c r="DV499" s="195"/>
      <c r="DW499" s="195"/>
      <c r="DX499" s="195"/>
      <c r="DY499" s="195"/>
      <c r="DZ499" s="195"/>
      <c r="EA499" s="195"/>
      <c r="EB499" s="195"/>
      <c r="EC499" s="195"/>
      <c r="ED499" s="195"/>
      <c r="EE499" s="195"/>
      <c r="EF499" s="195"/>
      <c r="EG499" s="195"/>
      <c r="EL499" s="1"/>
      <c r="EM499" s="195"/>
      <c r="EN499" s="731"/>
      <c r="EO499" s="240"/>
      <c r="EP499" s="195"/>
      <c r="EQ499" s="240"/>
      <c r="ER499" s="195"/>
      <c r="ES499" s="195"/>
      <c r="ET499" s="195"/>
      <c r="EU499" s="731"/>
    </row>
    <row r="500" customFormat="false" ht="12.75" hidden="false" customHeight="false" outlineLevel="0" collapsed="false">
      <c r="I500" s="735"/>
      <c r="J500" s="727"/>
      <c r="K500" s="195"/>
      <c r="L500" s="195"/>
      <c r="M500" s="729"/>
      <c r="P500" s="727"/>
      <c r="S500" s="1"/>
      <c r="T500" s="727"/>
      <c r="U500" s="195"/>
      <c r="V500" s="195"/>
      <c r="W500" s="195"/>
      <c r="X500" s="195"/>
      <c r="Y500" s="195"/>
      <c r="Z500" s="195"/>
      <c r="AA500" s="195"/>
      <c r="AB500" s="195"/>
      <c r="AC500" s="195"/>
      <c r="AD500" s="195"/>
      <c r="AE500" s="195"/>
      <c r="AF500" s="195"/>
      <c r="AG500" s="195"/>
      <c r="AH500" s="195"/>
      <c r="AI500" s="195"/>
      <c r="AJ500" s="195"/>
      <c r="AK500" s="195"/>
      <c r="AL500" s="195"/>
      <c r="AM500" s="195"/>
      <c r="AN500" s="532"/>
      <c r="AO500" s="532"/>
      <c r="AP500" s="240"/>
      <c r="AQ500" s="532"/>
      <c r="AR500" s="240"/>
      <c r="AS500" s="240"/>
      <c r="AT500" s="240"/>
      <c r="AU500" s="240"/>
      <c r="AV500" s="730"/>
      <c r="AW500" s="730"/>
      <c r="AX500" s="730"/>
      <c r="AY500" s="468"/>
      <c r="AZ500" s="468"/>
      <c r="BA500" s="240"/>
      <c r="BB500" s="240"/>
      <c r="BC500" s="240"/>
      <c r="BD500" s="240"/>
      <c r="BE500" s="240"/>
      <c r="BF500" s="672"/>
      <c r="BG500" s="672"/>
      <c r="BH500" s="731"/>
      <c r="BI500" s="672"/>
      <c r="BJ500" s="240"/>
      <c r="BK500" s="736"/>
      <c r="BL500" s="737"/>
      <c r="BM500" s="240"/>
      <c r="BN500" s="240"/>
      <c r="BO500" s="240"/>
      <c r="BP500" s="240"/>
      <c r="BQ500" s="240"/>
      <c r="BR500" s="240"/>
      <c r="BS500" s="240"/>
      <c r="BT500" s="240"/>
      <c r="BU500" s="240"/>
      <c r="BV500" s="240"/>
      <c r="BW500" s="240"/>
      <c r="BX500" s="240"/>
      <c r="BY500" s="240"/>
      <c r="BZ500" s="240"/>
      <c r="CA500" s="240"/>
      <c r="CB500" s="672"/>
      <c r="CC500" s="672"/>
      <c r="CD500" s="672"/>
      <c r="CE500" s="672"/>
      <c r="CF500" s="672"/>
      <c r="CG500" s="672"/>
      <c r="CH500" s="240"/>
      <c r="CI500" s="240"/>
      <c r="CJ500" s="240"/>
      <c r="CK500" s="240"/>
      <c r="CL500" s="240"/>
      <c r="CM500" s="240"/>
      <c r="CN500" s="240"/>
      <c r="CO500" s="240"/>
      <c r="CP500" s="240"/>
      <c r="CQ500" s="240"/>
      <c r="CR500" s="240"/>
      <c r="CS500" s="240"/>
      <c r="CT500" s="240"/>
      <c r="CU500" s="240"/>
      <c r="CV500" s="240"/>
      <c r="CW500" s="240"/>
      <c r="CX500" s="240"/>
      <c r="CY500" s="240"/>
      <c r="CZ500" s="240"/>
      <c r="DA500" s="240"/>
      <c r="DB500" s="240"/>
      <c r="DC500" s="240"/>
      <c r="DD500" s="240"/>
      <c r="DE500" s="240"/>
      <c r="DF500" s="240"/>
      <c r="DG500" s="733"/>
      <c r="DH500" s="478"/>
      <c r="DI500" s="195"/>
      <c r="DJ500" s="1"/>
      <c r="DK500" s="478"/>
      <c r="DL500" s="4"/>
      <c r="DM500" s="4"/>
      <c r="DN500" s="4"/>
      <c r="DO500" s="4"/>
      <c r="DP500" s="4"/>
      <c r="DQ500" s="4"/>
      <c r="DR500" s="4"/>
      <c r="DT500" s="195"/>
      <c r="DU500" s="195"/>
      <c r="DV500" s="195"/>
      <c r="DW500" s="195"/>
      <c r="DX500" s="195"/>
      <c r="DY500" s="195"/>
      <c r="DZ500" s="195"/>
      <c r="EA500" s="195"/>
      <c r="EB500" s="195"/>
      <c r="EC500" s="195"/>
      <c r="ED500" s="195"/>
      <c r="EE500" s="195"/>
      <c r="EF500" s="195"/>
      <c r="EG500" s="195"/>
      <c r="EL500" s="1"/>
      <c r="EM500" s="195"/>
      <c r="EN500" s="731"/>
      <c r="EO500" s="240"/>
      <c r="EP500" s="195"/>
      <c r="EQ500" s="240"/>
      <c r="ER500" s="195"/>
      <c r="ES500" s="195"/>
      <c r="ET500" s="195"/>
      <c r="EU500" s="731"/>
    </row>
    <row r="501" customFormat="false" ht="12.75" hidden="false" customHeight="false" outlineLevel="0" collapsed="false">
      <c r="I501" s="735"/>
      <c r="J501" s="727"/>
      <c r="K501" s="195"/>
      <c r="L501" s="195"/>
      <c r="M501" s="729"/>
      <c r="P501" s="727"/>
      <c r="S501" s="1"/>
      <c r="T501" s="727"/>
      <c r="U501" s="195"/>
      <c r="V501" s="195"/>
      <c r="W501" s="195"/>
      <c r="X501" s="195"/>
      <c r="Y501" s="195"/>
      <c r="Z501" s="195"/>
      <c r="AA501" s="195"/>
      <c r="AB501" s="195"/>
      <c r="AC501" s="195"/>
      <c r="AD501" s="195"/>
      <c r="AE501" s="195"/>
      <c r="AF501" s="195"/>
      <c r="AG501" s="195"/>
      <c r="AH501" s="195"/>
      <c r="AI501" s="195"/>
      <c r="AJ501" s="195"/>
      <c r="AK501" s="195"/>
      <c r="AL501" s="195"/>
      <c r="AM501" s="195"/>
      <c r="AN501" s="532"/>
      <c r="AO501" s="532"/>
      <c r="AP501" s="240"/>
      <c r="AQ501" s="532"/>
      <c r="AR501" s="240"/>
      <c r="AS501" s="240"/>
      <c r="AT501" s="240"/>
      <c r="AU501" s="240"/>
      <c r="AV501" s="730"/>
      <c r="AW501" s="730"/>
      <c r="AX501" s="730"/>
      <c r="AY501" s="468"/>
      <c r="AZ501" s="468"/>
      <c r="BA501" s="240"/>
      <c r="BB501" s="240"/>
      <c r="BC501" s="240"/>
      <c r="BD501" s="240"/>
      <c r="BE501" s="240"/>
      <c r="BF501" s="672"/>
      <c r="BG501" s="672"/>
      <c r="BH501" s="731"/>
      <c r="BI501" s="672"/>
      <c r="BJ501" s="240"/>
      <c r="BK501" s="736"/>
      <c r="BL501" s="737"/>
      <c r="BM501" s="240"/>
      <c r="BN501" s="240"/>
      <c r="BO501" s="240"/>
      <c r="BP501" s="240"/>
      <c r="BQ501" s="240"/>
      <c r="BR501" s="240"/>
      <c r="BS501" s="240"/>
      <c r="BT501" s="240"/>
      <c r="BU501" s="240"/>
      <c r="BV501" s="240"/>
      <c r="BW501" s="240"/>
      <c r="BX501" s="240"/>
      <c r="BY501" s="240"/>
      <c r="BZ501" s="240"/>
      <c r="CA501" s="240"/>
      <c r="CB501" s="672"/>
      <c r="CC501" s="672"/>
      <c r="CD501" s="672"/>
      <c r="CE501" s="672"/>
      <c r="CF501" s="672"/>
      <c r="CG501" s="672"/>
      <c r="CH501" s="240"/>
      <c r="CI501" s="240"/>
      <c r="CJ501" s="240"/>
      <c r="CK501" s="240"/>
      <c r="CL501" s="240"/>
      <c r="CM501" s="240"/>
      <c r="CN501" s="240"/>
      <c r="CO501" s="240"/>
      <c r="CP501" s="240"/>
      <c r="CQ501" s="240"/>
      <c r="CR501" s="240"/>
      <c r="CS501" s="240"/>
      <c r="CT501" s="240"/>
      <c r="CU501" s="240"/>
      <c r="CV501" s="240"/>
      <c r="CW501" s="240"/>
      <c r="CX501" s="240"/>
      <c r="CY501" s="240"/>
      <c r="CZ501" s="240"/>
      <c r="DA501" s="240"/>
      <c r="DB501" s="240"/>
      <c r="DC501" s="240"/>
      <c r="DD501" s="240"/>
      <c r="DE501" s="240"/>
      <c r="DF501" s="240"/>
      <c r="DG501" s="733"/>
      <c r="DH501" s="478"/>
      <c r="DI501" s="195"/>
      <c r="DJ501" s="1"/>
      <c r="DK501" s="478"/>
      <c r="DL501" s="4"/>
      <c r="DM501" s="4"/>
      <c r="DN501" s="4"/>
      <c r="DO501" s="4"/>
      <c r="DP501" s="4"/>
      <c r="DQ501" s="4"/>
      <c r="DR501" s="4"/>
      <c r="DT501" s="195"/>
      <c r="DU501" s="195"/>
      <c r="DV501" s="195"/>
      <c r="DW501" s="195"/>
      <c r="DX501" s="195"/>
      <c r="DY501" s="195"/>
      <c r="DZ501" s="195"/>
      <c r="EA501" s="195"/>
      <c r="EB501" s="195"/>
      <c r="EC501" s="195"/>
      <c r="ED501" s="195"/>
      <c r="EE501" s="195"/>
      <c r="EF501" s="195"/>
      <c r="EG501" s="195"/>
      <c r="EL501" s="1"/>
      <c r="EM501" s="195"/>
      <c r="EN501" s="731"/>
      <c r="EO501" s="240"/>
      <c r="EP501" s="195"/>
      <c r="EQ501" s="240"/>
      <c r="ER501" s="195"/>
      <c r="ES501" s="195"/>
      <c r="ET501" s="195"/>
      <c r="EU501" s="731"/>
    </row>
    <row r="502" customFormat="false" ht="12.75" hidden="false" customHeight="false" outlineLevel="0" collapsed="false">
      <c r="I502" s="735"/>
      <c r="J502" s="727"/>
      <c r="K502" s="195"/>
      <c r="L502" s="195"/>
      <c r="M502" s="729"/>
      <c r="P502" s="727"/>
      <c r="S502" s="1"/>
      <c r="T502" s="727"/>
      <c r="U502" s="195"/>
      <c r="V502" s="195"/>
      <c r="W502" s="195"/>
      <c r="X502" s="195"/>
      <c r="Y502" s="195"/>
      <c r="Z502" s="195"/>
      <c r="AA502" s="195"/>
      <c r="AB502" s="195"/>
      <c r="AC502" s="195"/>
      <c r="AD502" s="195"/>
      <c r="AE502" s="195"/>
      <c r="AF502" s="195"/>
      <c r="AG502" s="195"/>
      <c r="AH502" s="195"/>
      <c r="AI502" s="195"/>
      <c r="AJ502" s="195"/>
      <c r="AK502" s="195"/>
      <c r="AL502" s="195"/>
      <c r="AM502" s="195"/>
      <c r="AN502" s="532"/>
      <c r="AO502" s="532"/>
      <c r="AP502" s="240"/>
      <c r="AQ502" s="532"/>
      <c r="AR502" s="240"/>
      <c r="AS502" s="240"/>
      <c r="AT502" s="240"/>
      <c r="AU502" s="240"/>
      <c r="AV502" s="730"/>
      <c r="AW502" s="730"/>
      <c r="AX502" s="730"/>
      <c r="AY502" s="468"/>
      <c r="AZ502" s="468"/>
      <c r="BA502" s="240"/>
      <c r="BB502" s="240"/>
      <c r="BC502" s="240"/>
      <c r="BD502" s="240"/>
      <c r="BE502" s="240"/>
      <c r="BF502" s="672"/>
      <c r="BG502" s="672"/>
      <c r="BH502" s="731"/>
      <c r="BI502" s="672"/>
      <c r="BJ502" s="240"/>
      <c r="BK502" s="736"/>
      <c r="BL502" s="737"/>
      <c r="BM502" s="240"/>
      <c r="BN502" s="240"/>
      <c r="BO502" s="240"/>
      <c r="BP502" s="240"/>
      <c r="BQ502" s="240"/>
      <c r="BR502" s="240"/>
      <c r="BS502" s="240"/>
      <c r="BT502" s="240"/>
      <c r="BU502" s="240"/>
      <c r="BV502" s="240"/>
      <c r="BW502" s="240"/>
      <c r="BX502" s="240"/>
      <c r="BY502" s="240"/>
      <c r="BZ502" s="240"/>
      <c r="CA502" s="240"/>
      <c r="CB502" s="672"/>
      <c r="CC502" s="672"/>
      <c r="CD502" s="672"/>
      <c r="CE502" s="672"/>
      <c r="CF502" s="672"/>
      <c r="CG502" s="672"/>
      <c r="CH502" s="240"/>
      <c r="CI502" s="240"/>
      <c r="CJ502" s="240"/>
      <c r="CK502" s="240"/>
      <c r="CL502" s="240"/>
      <c r="CM502" s="240"/>
      <c r="CN502" s="240"/>
      <c r="CO502" s="240"/>
      <c r="CP502" s="240"/>
      <c r="CQ502" s="240"/>
      <c r="CR502" s="240"/>
      <c r="CS502" s="240"/>
      <c r="CT502" s="240"/>
      <c r="CU502" s="240"/>
      <c r="CV502" s="240"/>
      <c r="CW502" s="240"/>
      <c r="CX502" s="240"/>
      <c r="CY502" s="240"/>
      <c r="CZ502" s="240"/>
      <c r="DA502" s="240"/>
      <c r="DB502" s="240"/>
      <c r="DC502" s="240"/>
      <c r="DD502" s="240"/>
      <c r="DE502" s="240"/>
      <c r="DF502" s="240"/>
      <c r="DG502" s="733"/>
      <c r="DH502" s="478"/>
      <c r="DI502" s="195"/>
      <c r="DJ502" s="1"/>
      <c r="DK502" s="478"/>
      <c r="DL502" s="4"/>
      <c r="DM502" s="4"/>
      <c r="DN502" s="4"/>
      <c r="DO502" s="4"/>
      <c r="DP502" s="4"/>
      <c r="DQ502" s="4"/>
      <c r="DR502" s="4"/>
      <c r="DT502" s="195"/>
      <c r="DU502" s="195"/>
      <c r="DV502" s="195"/>
      <c r="DW502" s="195"/>
      <c r="DX502" s="195"/>
      <c r="DY502" s="195"/>
      <c r="DZ502" s="195"/>
      <c r="EA502" s="195"/>
      <c r="EB502" s="195"/>
      <c r="EC502" s="195"/>
      <c r="ED502" s="195"/>
      <c r="EE502" s="195"/>
      <c r="EF502" s="195"/>
      <c r="EG502" s="195"/>
      <c r="EL502" s="1"/>
      <c r="EM502" s="195"/>
      <c r="EN502" s="731"/>
      <c r="EO502" s="240"/>
      <c r="EP502" s="195"/>
      <c r="EQ502" s="240"/>
      <c r="ER502" s="195"/>
      <c r="ES502" s="195"/>
      <c r="ET502" s="195"/>
      <c r="EU502" s="731"/>
    </row>
    <row r="503" customFormat="false" ht="12.75" hidden="false" customHeight="false" outlineLevel="0" collapsed="false">
      <c r="I503" s="735"/>
      <c r="J503" s="727"/>
      <c r="K503" s="195"/>
      <c r="L503" s="195"/>
      <c r="M503" s="729"/>
      <c r="P503" s="727"/>
      <c r="S503" s="1"/>
      <c r="T503" s="727"/>
      <c r="U503" s="195"/>
      <c r="V503" s="195"/>
      <c r="W503" s="195"/>
      <c r="X503" s="195"/>
      <c r="Y503" s="195"/>
      <c r="Z503" s="195"/>
      <c r="AA503" s="195"/>
      <c r="AB503" s="195"/>
      <c r="AC503" s="195"/>
      <c r="AD503" s="195"/>
      <c r="AE503" s="195"/>
      <c r="AF503" s="195"/>
      <c r="AG503" s="195"/>
      <c r="AH503" s="195"/>
      <c r="AI503" s="195"/>
      <c r="AJ503" s="195"/>
      <c r="AK503" s="195"/>
      <c r="AL503" s="195"/>
      <c r="AM503" s="195"/>
      <c r="AN503" s="532"/>
      <c r="AO503" s="532"/>
      <c r="AP503" s="240"/>
      <c r="AQ503" s="532"/>
      <c r="AR503" s="240"/>
      <c r="AS503" s="240"/>
      <c r="AT503" s="240"/>
      <c r="AU503" s="240"/>
      <c r="AV503" s="730"/>
      <c r="AW503" s="730"/>
      <c r="AX503" s="730"/>
      <c r="AY503" s="468"/>
      <c r="AZ503" s="468"/>
      <c r="BA503" s="240"/>
      <c r="BB503" s="240"/>
      <c r="BC503" s="240"/>
      <c r="BD503" s="240"/>
      <c r="BE503" s="240"/>
      <c r="BF503" s="672"/>
      <c r="BG503" s="672"/>
      <c r="BH503" s="731"/>
      <c r="BI503" s="672"/>
      <c r="BJ503" s="240"/>
      <c r="BK503" s="736"/>
      <c r="BL503" s="737"/>
      <c r="BM503" s="240"/>
      <c r="BN503" s="240"/>
      <c r="BO503" s="240"/>
      <c r="BP503" s="240"/>
      <c r="BQ503" s="240"/>
      <c r="BR503" s="240"/>
      <c r="BS503" s="240"/>
      <c r="BT503" s="240"/>
      <c r="BU503" s="240"/>
      <c r="BV503" s="240"/>
      <c r="BW503" s="240"/>
      <c r="BX503" s="240"/>
      <c r="BY503" s="240"/>
      <c r="BZ503" s="240"/>
      <c r="CA503" s="240"/>
      <c r="CB503" s="672"/>
      <c r="CC503" s="672"/>
      <c r="CD503" s="672"/>
      <c r="CE503" s="672"/>
      <c r="CF503" s="672"/>
      <c r="CG503" s="672"/>
      <c r="CH503" s="240"/>
      <c r="CI503" s="240"/>
      <c r="CJ503" s="240"/>
      <c r="CK503" s="240"/>
      <c r="CL503" s="240"/>
      <c r="CM503" s="240"/>
      <c r="CN503" s="240"/>
      <c r="CO503" s="240"/>
      <c r="CP503" s="240"/>
      <c r="CQ503" s="240"/>
      <c r="CR503" s="240"/>
      <c r="CS503" s="240"/>
      <c r="CT503" s="240"/>
      <c r="CU503" s="240"/>
      <c r="CV503" s="240"/>
      <c r="CW503" s="240"/>
      <c r="CX503" s="240"/>
      <c r="CY503" s="240"/>
      <c r="CZ503" s="240"/>
      <c r="DA503" s="240"/>
      <c r="DB503" s="240"/>
      <c r="DC503" s="240"/>
      <c r="DD503" s="240"/>
      <c r="DE503" s="240"/>
      <c r="DF503" s="240"/>
      <c r="DG503" s="733"/>
      <c r="DH503" s="478"/>
      <c r="DI503" s="195"/>
      <c r="DJ503" s="1"/>
      <c r="DK503" s="478"/>
      <c r="DL503" s="4"/>
      <c r="DM503" s="4"/>
      <c r="DN503" s="4"/>
      <c r="DO503" s="4"/>
      <c r="DP503" s="4"/>
      <c r="DQ503" s="4"/>
      <c r="DR503" s="4"/>
      <c r="DT503" s="195"/>
      <c r="DU503" s="195"/>
      <c r="DV503" s="195"/>
      <c r="DW503" s="195"/>
      <c r="DX503" s="195"/>
      <c r="DY503" s="195"/>
      <c r="DZ503" s="195"/>
      <c r="EA503" s="195"/>
      <c r="EB503" s="195"/>
      <c r="EC503" s="195"/>
      <c r="ED503" s="195"/>
      <c r="EE503" s="195"/>
      <c r="EF503" s="195"/>
      <c r="EG503" s="195"/>
      <c r="EL503" s="1"/>
      <c r="EM503" s="195"/>
      <c r="EN503" s="731"/>
      <c r="EO503" s="240"/>
      <c r="EP503" s="195"/>
      <c r="EQ503" s="240"/>
      <c r="ER503" s="195"/>
      <c r="ES503" s="195"/>
      <c r="ET503" s="195"/>
      <c r="EU503" s="731"/>
    </row>
    <row r="504" customFormat="false" ht="12.75" hidden="false" customHeight="false" outlineLevel="0" collapsed="false">
      <c r="I504" s="735"/>
      <c r="J504" s="727"/>
      <c r="K504" s="195"/>
      <c r="L504" s="195"/>
      <c r="M504" s="729"/>
      <c r="P504" s="727"/>
      <c r="S504" s="1"/>
      <c r="T504" s="727"/>
      <c r="U504" s="195"/>
      <c r="V504" s="195"/>
      <c r="W504" s="195"/>
      <c r="X504" s="195"/>
      <c r="Y504" s="195"/>
      <c r="Z504" s="195"/>
      <c r="AA504" s="195"/>
      <c r="AB504" s="195"/>
      <c r="AC504" s="195"/>
      <c r="AD504" s="195"/>
      <c r="AE504" s="195"/>
      <c r="AF504" s="195"/>
      <c r="AG504" s="195"/>
      <c r="AH504" s="195"/>
      <c r="AI504" s="195"/>
      <c r="AJ504" s="195"/>
      <c r="AK504" s="195"/>
      <c r="AL504" s="195"/>
      <c r="AM504" s="195"/>
      <c r="AN504" s="532"/>
      <c r="AO504" s="532"/>
      <c r="AP504" s="240"/>
      <c r="AQ504" s="532"/>
      <c r="AR504" s="240"/>
      <c r="AS504" s="240"/>
      <c r="AT504" s="240"/>
      <c r="AU504" s="240"/>
      <c r="AV504" s="730"/>
      <c r="AW504" s="730"/>
      <c r="AX504" s="730"/>
      <c r="AY504" s="468"/>
      <c r="AZ504" s="468"/>
      <c r="BA504" s="240"/>
      <c r="BB504" s="240"/>
      <c r="BC504" s="240"/>
      <c r="BD504" s="240"/>
      <c r="BE504" s="240"/>
      <c r="BF504" s="672"/>
      <c r="BG504" s="672"/>
      <c r="BH504" s="731"/>
      <c r="BI504" s="672"/>
      <c r="BJ504" s="240"/>
      <c r="BK504" s="736"/>
      <c r="BL504" s="737"/>
      <c r="BM504" s="240"/>
      <c r="BN504" s="240"/>
      <c r="BO504" s="240"/>
      <c r="BP504" s="240"/>
      <c r="BQ504" s="240"/>
      <c r="BR504" s="240"/>
      <c r="BS504" s="240"/>
      <c r="BT504" s="240"/>
      <c r="BU504" s="240"/>
      <c r="BV504" s="240"/>
      <c r="BW504" s="240"/>
      <c r="BX504" s="240"/>
      <c r="BY504" s="240"/>
      <c r="BZ504" s="240"/>
      <c r="CA504" s="240"/>
      <c r="CB504" s="672"/>
      <c r="CC504" s="672"/>
      <c r="CD504" s="672"/>
      <c r="CE504" s="672"/>
      <c r="CF504" s="672"/>
      <c r="CG504" s="672"/>
      <c r="CH504" s="240"/>
      <c r="CI504" s="240"/>
      <c r="CJ504" s="240"/>
      <c r="CK504" s="240"/>
      <c r="CL504" s="240"/>
      <c r="CM504" s="240"/>
      <c r="CN504" s="240"/>
      <c r="CO504" s="240"/>
      <c r="CP504" s="240"/>
      <c r="CQ504" s="240"/>
      <c r="CR504" s="240"/>
      <c r="CS504" s="240"/>
      <c r="CT504" s="240"/>
      <c r="CU504" s="240"/>
      <c r="CV504" s="240"/>
      <c r="CW504" s="240"/>
      <c r="CX504" s="240"/>
      <c r="CY504" s="240"/>
      <c r="CZ504" s="240"/>
      <c r="DA504" s="240"/>
      <c r="DB504" s="240"/>
      <c r="DC504" s="240"/>
      <c r="DD504" s="240"/>
      <c r="DE504" s="240"/>
      <c r="DF504" s="240"/>
      <c r="DG504" s="733"/>
      <c r="DH504" s="478"/>
      <c r="DI504" s="195"/>
      <c r="DJ504" s="1"/>
      <c r="DK504" s="478"/>
      <c r="DL504" s="4"/>
      <c r="DM504" s="4"/>
      <c r="DN504" s="4"/>
      <c r="DO504" s="4"/>
      <c r="DP504" s="4"/>
      <c r="DQ504" s="4"/>
      <c r="DR504" s="4"/>
      <c r="DT504" s="195"/>
      <c r="DU504" s="195"/>
      <c r="DV504" s="195"/>
      <c r="DW504" s="195"/>
      <c r="DX504" s="195"/>
      <c r="DY504" s="195"/>
      <c r="DZ504" s="195"/>
      <c r="EA504" s="195"/>
      <c r="EB504" s="195"/>
      <c r="EC504" s="195"/>
      <c r="ED504" s="195"/>
      <c r="EE504" s="195"/>
      <c r="EF504" s="195"/>
      <c r="EG504" s="195"/>
      <c r="EL504" s="1"/>
      <c r="EM504" s="195"/>
      <c r="EN504" s="731"/>
      <c r="EO504" s="240"/>
      <c r="EP504" s="195"/>
      <c r="EQ504" s="240"/>
      <c r="ER504" s="195"/>
      <c r="ES504" s="195"/>
      <c r="ET504" s="195"/>
      <c r="EU504" s="731"/>
    </row>
    <row r="505" customFormat="false" ht="12.75" hidden="false" customHeight="false" outlineLevel="0" collapsed="false">
      <c r="I505" s="735"/>
      <c r="J505" s="727"/>
      <c r="K505" s="195"/>
      <c r="L505" s="195"/>
      <c r="M505" s="729"/>
      <c r="P505" s="727"/>
      <c r="S505" s="1"/>
      <c r="T505" s="727"/>
      <c r="U505" s="195"/>
      <c r="V505" s="195"/>
      <c r="W505" s="195"/>
      <c r="X505" s="195"/>
      <c r="Y505" s="195"/>
      <c r="Z505" s="195"/>
      <c r="AA505" s="195"/>
      <c r="AB505" s="195"/>
      <c r="AC505" s="195"/>
      <c r="AD505" s="195"/>
      <c r="AE505" s="195"/>
      <c r="AF505" s="195"/>
      <c r="AG505" s="195"/>
      <c r="AH505" s="195"/>
      <c r="AI505" s="195"/>
      <c r="AJ505" s="195"/>
      <c r="AK505" s="195"/>
      <c r="AL505" s="195"/>
      <c r="AM505" s="195"/>
      <c r="AN505" s="532"/>
      <c r="AO505" s="532"/>
      <c r="AP505" s="240"/>
      <c r="AQ505" s="532"/>
      <c r="AR505" s="240"/>
      <c r="AS505" s="240"/>
      <c r="AT505" s="240"/>
      <c r="AU505" s="240"/>
      <c r="AV505" s="730"/>
      <c r="AW505" s="730"/>
      <c r="AX505" s="730"/>
      <c r="AY505" s="468"/>
      <c r="AZ505" s="468"/>
      <c r="BA505" s="240"/>
      <c r="BB505" s="240"/>
      <c r="BC505" s="240"/>
      <c r="BD505" s="240"/>
      <c r="BE505" s="240"/>
      <c r="BF505" s="672"/>
      <c r="BG505" s="672"/>
      <c r="BH505" s="731"/>
      <c r="BI505" s="672"/>
      <c r="BJ505" s="240"/>
      <c r="BK505" s="736"/>
      <c r="BL505" s="737"/>
      <c r="BM505" s="240"/>
      <c r="BN505" s="240"/>
      <c r="BO505" s="240"/>
      <c r="BP505" s="240"/>
      <c r="BQ505" s="240"/>
      <c r="BR505" s="240"/>
      <c r="BS505" s="240"/>
      <c r="BT505" s="240"/>
      <c r="BU505" s="240"/>
      <c r="BV505" s="240"/>
      <c r="BW505" s="240"/>
      <c r="BX505" s="240"/>
      <c r="BY505" s="240"/>
      <c r="BZ505" s="240"/>
      <c r="CA505" s="240"/>
      <c r="CB505" s="672"/>
      <c r="CC505" s="672"/>
      <c r="CD505" s="672"/>
      <c r="CE505" s="672"/>
      <c r="CF505" s="672"/>
      <c r="CG505" s="672"/>
      <c r="CH505" s="240"/>
      <c r="CI505" s="240"/>
      <c r="CJ505" s="240"/>
      <c r="CK505" s="240"/>
      <c r="CL505" s="240"/>
      <c r="CM505" s="240"/>
      <c r="CN505" s="240"/>
      <c r="CO505" s="240"/>
      <c r="CP505" s="240"/>
      <c r="CQ505" s="240"/>
      <c r="CR505" s="240"/>
      <c r="CS505" s="240"/>
      <c r="CT505" s="240"/>
      <c r="CU505" s="240"/>
      <c r="CV505" s="240"/>
      <c r="CW505" s="240"/>
      <c r="CX505" s="240"/>
      <c r="CY505" s="240"/>
      <c r="CZ505" s="240"/>
      <c r="DA505" s="240"/>
      <c r="DB505" s="240"/>
      <c r="DC505" s="240"/>
      <c r="DD505" s="240"/>
      <c r="DE505" s="240"/>
      <c r="DF505" s="240"/>
      <c r="DG505" s="733"/>
      <c r="DH505" s="478"/>
      <c r="DI505" s="195"/>
      <c r="DJ505" s="1"/>
      <c r="DK505" s="478"/>
      <c r="DL505" s="4"/>
      <c r="DM505" s="4"/>
      <c r="DN505" s="4"/>
      <c r="DO505" s="4"/>
      <c r="DP505" s="4"/>
      <c r="DQ505" s="4"/>
      <c r="DR505" s="4"/>
      <c r="DT505" s="195"/>
      <c r="DU505" s="195"/>
      <c r="DV505" s="195"/>
      <c r="DW505" s="195"/>
      <c r="DX505" s="195"/>
      <c r="DY505" s="195"/>
      <c r="DZ505" s="195"/>
      <c r="EA505" s="195"/>
      <c r="EB505" s="195"/>
      <c r="EC505" s="195"/>
      <c r="ED505" s="195"/>
      <c r="EE505" s="195"/>
      <c r="EF505" s="195"/>
      <c r="EG505" s="195"/>
      <c r="EL505" s="1"/>
      <c r="EM505" s="195"/>
      <c r="EN505" s="731"/>
      <c r="EO505" s="240"/>
      <c r="EP505" s="195"/>
      <c r="EQ505" s="240"/>
      <c r="ER505" s="195"/>
      <c r="ES505" s="195"/>
      <c r="ET505" s="195"/>
      <c r="EU505" s="731"/>
    </row>
    <row r="506" customFormat="false" ht="12.75" hidden="false" customHeight="false" outlineLevel="0" collapsed="false">
      <c r="I506" s="735"/>
      <c r="J506" s="727"/>
      <c r="K506" s="195"/>
      <c r="L506" s="195"/>
      <c r="M506" s="729"/>
      <c r="P506" s="727"/>
      <c r="S506" s="1"/>
      <c r="T506" s="727"/>
      <c r="U506" s="195"/>
      <c r="V506" s="195"/>
      <c r="W506" s="195"/>
      <c r="X506" s="195"/>
      <c r="Y506" s="195"/>
      <c r="Z506" s="195"/>
      <c r="AA506" s="195"/>
      <c r="AB506" s="195"/>
      <c r="AC506" s="195"/>
      <c r="AD506" s="195"/>
      <c r="AE506" s="195"/>
      <c r="AF506" s="195"/>
      <c r="AG506" s="195"/>
      <c r="AH506" s="195"/>
      <c r="AI506" s="195"/>
      <c r="AJ506" s="195"/>
      <c r="AK506" s="195"/>
      <c r="AL506" s="195"/>
      <c r="AM506" s="195"/>
      <c r="AN506" s="532"/>
      <c r="AO506" s="532"/>
      <c r="AP506" s="240"/>
      <c r="AQ506" s="532"/>
      <c r="AR506" s="240"/>
      <c r="AS506" s="240"/>
      <c r="AT506" s="240"/>
      <c r="AU506" s="240"/>
      <c r="AV506" s="730"/>
      <c r="AW506" s="730"/>
      <c r="AX506" s="730"/>
      <c r="AY506" s="468"/>
      <c r="AZ506" s="468"/>
      <c r="BA506" s="240"/>
      <c r="BB506" s="240"/>
      <c r="BC506" s="240"/>
      <c r="BD506" s="240"/>
      <c r="BE506" s="240"/>
      <c r="BF506" s="672"/>
      <c r="BG506" s="672"/>
      <c r="BH506" s="731"/>
      <c r="BI506" s="672"/>
      <c r="BJ506" s="240"/>
      <c r="BK506" s="736"/>
      <c r="BL506" s="737"/>
      <c r="BM506" s="240"/>
      <c r="BN506" s="240"/>
      <c r="BO506" s="240"/>
      <c r="BP506" s="240"/>
      <c r="BQ506" s="240"/>
      <c r="BR506" s="240"/>
      <c r="BS506" s="240"/>
      <c r="BT506" s="240"/>
      <c r="BU506" s="240"/>
      <c r="BV506" s="240"/>
      <c r="BW506" s="240"/>
      <c r="BX506" s="240"/>
      <c r="BY506" s="240"/>
      <c r="BZ506" s="240"/>
      <c r="CA506" s="240"/>
      <c r="CB506" s="672"/>
      <c r="CC506" s="672"/>
      <c r="CD506" s="672"/>
      <c r="CE506" s="672"/>
      <c r="CF506" s="672"/>
      <c r="CG506" s="672"/>
      <c r="CH506" s="240"/>
      <c r="CI506" s="240"/>
      <c r="CJ506" s="240"/>
      <c r="CK506" s="240"/>
      <c r="CL506" s="240"/>
      <c r="CM506" s="240"/>
      <c r="CN506" s="240"/>
      <c r="CO506" s="240"/>
      <c r="CP506" s="240"/>
      <c r="CQ506" s="240"/>
      <c r="CR506" s="240"/>
      <c r="CS506" s="240"/>
      <c r="CT506" s="240"/>
      <c r="CU506" s="240"/>
      <c r="CV506" s="240"/>
      <c r="CW506" s="240"/>
      <c r="CX506" s="240"/>
      <c r="CY506" s="240"/>
      <c r="CZ506" s="240"/>
      <c r="DA506" s="240"/>
      <c r="DB506" s="240"/>
      <c r="DC506" s="240"/>
      <c r="DD506" s="240"/>
      <c r="DE506" s="240"/>
      <c r="DF506" s="240"/>
      <c r="DG506" s="733"/>
      <c r="DH506" s="478"/>
      <c r="DI506" s="195"/>
      <c r="DJ506" s="1"/>
      <c r="DK506" s="478"/>
      <c r="DL506" s="4"/>
      <c r="DM506" s="4"/>
      <c r="DN506" s="4"/>
      <c r="DO506" s="4"/>
      <c r="DP506" s="4"/>
      <c r="DQ506" s="4"/>
      <c r="DR506" s="4"/>
      <c r="DT506" s="195"/>
      <c r="DU506" s="195"/>
      <c r="DV506" s="195"/>
      <c r="DW506" s="195"/>
      <c r="DX506" s="195"/>
      <c r="DY506" s="195"/>
      <c r="DZ506" s="195"/>
      <c r="EA506" s="195"/>
      <c r="EB506" s="195"/>
      <c r="EC506" s="195"/>
      <c r="ED506" s="195"/>
      <c r="EE506" s="195"/>
      <c r="EF506" s="195"/>
      <c r="EG506" s="195"/>
      <c r="EL506" s="1"/>
      <c r="EM506" s="195"/>
      <c r="EN506" s="731"/>
      <c r="EO506" s="240"/>
      <c r="EP506" s="195"/>
      <c r="EQ506" s="240"/>
      <c r="ER506" s="195"/>
      <c r="ES506" s="195"/>
      <c r="ET506" s="195"/>
      <c r="EU506" s="731"/>
    </row>
    <row r="507" customFormat="false" ht="12.75" hidden="false" customHeight="false" outlineLevel="0" collapsed="false">
      <c r="I507" s="735"/>
      <c r="J507" s="727"/>
      <c r="K507" s="195"/>
      <c r="L507" s="195"/>
      <c r="M507" s="729"/>
      <c r="P507" s="727"/>
      <c r="S507" s="1"/>
      <c r="T507" s="727"/>
      <c r="U507" s="195"/>
      <c r="V507" s="195"/>
      <c r="W507" s="195"/>
      <c r="X507" s="195"/>
      <c r="Y507" s="195"/>
      <c r="Z507" s="195"/>
      <c r="AA507" s="195"/>
      <c r="AB507" s="195"/>
      <c r="AC507" s="195"/>
      <c r="AD507" s="195"/>
      <c r="AE507" s="195"/>
      <c r="AF507" s="195"/>
      <c r="AG507" s="195"/>
      <c r="AH507" s="195"/>
      <c r="AI507" s="195"/>
      <c r="AJ507" s="195"/>
      <c r="AK507" s="195"/>
      <c r="AL507" s="195"/>
      <c r="AM507" s="195"/>
      <c r="AN507" s="532"/>
      <c r="AO507" s="532"/>
      <c r="AP507" s="240"/>
      <c r="AQ507" s="532"/>
      <c r="AR507" s="240"/>
      <c r="AS507" s="240"/>
      <c r="AT507" s="240"/>
      <c r="AU507" s="240"/>
      <c r="AV507" s="730"/>
      <c r="AW507" s="730"/>
      <c r="AX507" s="730"/>
      <c r="AY507" s="468"/>
      <c r="AZ507" s="468"/>
      <c r="BA507" s="240"/>
      <c r="BB507" s="240"/>
      <c r="BC507" s="240"/>
      <c r="BD507" s="240"/>
      <c r="BE507" s="240"/>
      <c r="BF507" s="672"/>
      <c r="BG507" s="672"/>
      <c r="BH507" s="731"/>
      <c r="BI507" s="672"/>
      <c r="BJ507" s="240"/>
      <c r="BK507" s="736"/>
      <c r="BL507" s="737"/>
      <c r="BM507" s="240"/>
      <c r="BN507" s="240"/>
      <c r="BO507" s="240"/>
      <c r="BP507" s="240"/>
      <c r="BQ507" s="240"/>
      <c r="BR507" s="240"/>
      <c r="BS507" s="240"/>
      <c r="BT507" s="240"/>
      <c r="BU507" s="240"/>
      <c r="BV507" s="240"/>
      <c r="BW507" s="240"/>
      <c r="BX507" s="240"/>
      <c r="BY507" s="240"/>
      <c r="BZ507" s="240"/>
      <c r="CA507" s="240"/>
      <c r="CB507" s="672"/>
      <c r="CC507" s="672"/>
      <c r="CD507" s="672"/>
      <c r="CE507" s="672"/>
      <c r="CF507" s="672"/>
      <c r="CG507" s="672"/>
      <c r="CH507" s="240"/>
      <c r="CI507" s="240"/>
      <c r="CJ507" s="240"/>
      <c r="CK507" s="240"/>
      <c r="CL507" s="240"/>
      <c r="CM507" s="240"/>
      <c r="CN507" s="240"/>
      <c r="CO507" s="240"/>
      <c r="CP507" s="240"/>
      <c r="CQ507" s="240"/>
      <c r="CR507" s="240"/>
      <c r="CS507" s="240"/>
      <c r="CT507" s="240"/>
      <c r="CU507" s="240"/>
      <c r="CV507" s="240"/>
      <c r="CW507" s="240"/>
      <c r="CX507" s="240"/>
      <c r="CY507" s="240"/>
      <c r="CZ507" s="240"/>
      <c r="DA507" s="240"/>
      <c r="DB507" s="240"/>
      <c r="DC507" s="240"/>
      <c r="DD507" s="240"/>
      <c r="DE507" s="240"/>
      <c r="DF507" s="240"/>
      <c r="DG507" s="733"/>
      <c r="DH507" s="478"/>
      <c r="DI507" s="195"/>
      <c r="DJ507" s="1"/>
      <c r="DK507" s="478"/>
      <c r="DL507" s="4"/>
      <c r="DM507" s="4"/>
      <c r="DN507" s="4"/>
      <c r="DO507" s="4"/>
      <c r="DP507" s="4"/>
      <c r="DQ507" s="4"/>
      <c r="DR507" s="4"/>
      <c r="DT507" s="195"/>
      <c r="DU507" s="195"/>
      <c r="DV507" s="195"/>
      <c r="DW507" s="195"/>
      <c r="DX507" s="195"/>
      <c r="DY507" s="195"/>
      <c r="DZ507" s="195"/>
      <c r="EA507" s="195"/>
      <c r="EB507" s="195"/>
      <c r="EC507" s="195"/>
      <c r="ED507" s="195"/>
      <c r="EE507" s="195"/>
      <c r="EF507" s="195"/>
      <c r="EG507" s="195"/>
      <c r="EL507" s="1"/>
      <c r="EM507" s="195"/>
      <c r="EN507" s="731"/>
      <c r="EO507" s="240"/>
      <c r="EP507" s="195"/>
      <c r="EQ507" s="240"/>
      <c r="ER507" s="195"/>
      <c r="ES507" s="195"/>
      <c r="ET507" s="195"/>
      <c r="EU507" s="731"/>
    </row>
    <row r="508" customFormat="false" ht="12.75" hidden="false" customHeight="false" outlineLevel="0" collapsed="false">
      <c r="I508" s="735"/>
      <c r="J508" s="727"/>
      <c r="K508" s="195"/>
      <c r="L508" s="195"/>
      <c r="M508" s="729"/>
      <c r="P508" s="727"/>
      <c r="S508" s="1"/>
      <c r="T508" s="727"/>
      <c r="U508" s="195"/>
      <c r="V508" s="195"/>
      <c r="W508" s="195"/>
      <c r="X508" s="195"/>
      <c r="Y508" s="195"/>
      <c r="Z508" s="195"/>
      <c r="AA508" s="195"/>
      <c r="AB508" s="195"/>
      <c r="AC508" s="195"/>
      <c r="AD508" s="195"/>
      <c r="AE508" s="195"/>
      <c r="AF508" s="195"/>
      <c r="AG508" s="195"/>
      <c r="AH508" s="195"/>
      <c r="AI508" s="195"/>
      <c r="AJ508" s="195"/>
      <c r="AK508" s="195"/>
      <c r="AL508" s="195"/>
      <c r="AM508" s="195"/>
      <c r="AN508" s="532"/>
      <c r="AO508" s="532"/>
      <c r="AP508" s="240"/>
      <c r="AQ508" s="532"/>
      <c r="AR508" s="240"/>
      <c r="AS508" s="240"/>
      <c r="AT508" s="240"/>
      <c r="AU508" s="240"/>
      <c r="AV508" s="730"/>
      <c r="AW508" s="730"/>
      <c r="AX508" s="730"/>
      <c r="AY508" s="468"/>
      <c r="AZ508" s="468"/>
      <c r="BA508" s="240"/>
      <c r="BB508" s="240"/>
      <c r="BC508" s="240"/>
      <c r="BD508" s="240"/>
      <c r="BE508" s="240"/>
      <c r="BF508" s="672"/>
      <c r="BG508" s="672"/>
      <c r="BH508" s="731"/>
      <c r="BI508" s="672"/>
      <c r="BJ508" s="240"/>
      <c r="BK508" s="736"/>
      <c r="BL508" s="737"/>
      <c r="BM508" s="240"/>
      <c r="BN508" s="240"/>
      <c r="BO508" s="240"/>
      <c r="BP508" s="240"/>
      <c r="BQ508" s="240"/>
      <c r="BR508" s="240"/>
      <c r="BS508" s="240"/>
      <c r="BT508" s="240"/>
      <c r="BU508" s="240"/>
      <c r="BV508" s="240"/>
      <c r="BW508" s="240"/>
      <c r="BX508" s="240"/>
      <c r="BY508" s="240"/>
      <c r="BZ508" s="240"/>
      <c r="CA508" s="240"/>
      <c r="CB508" s="672"/>
      <c r="CC508" s="672"/>
      <c r="CD508" s="672"/>
      <c r="CE508" s="672"/>
      <c r="CF508" s="672"/>
      <c r="CG508" s="672"/>
      <c r="CH508" s="240"/>
      <c r="CI508" s="240"/>
      <c r="CJ508" s="240"/>
      <c r="CK508" s="240"/>
      <c r="CL508" s="240"/>
      <c r="CM508" s="240"/>
      <c r="CN508" s="240"/>
      <c r="CO508" s="240"/>
      <c r="CP508" s="240"/>
      <c r="CQ508" s="240"/>
      <c r="CR508" s="240"/>
      <c r="CS508" s="240"/>
      <c r="CT508" s="240"/>
      <c r="CU508" s="240"/>
      <c r="CV508" s="240"/>
      <c r="CW508" s="240"/>
      <c r="CX508" s="240"/>
      <c r="CY508" s="240"/>
      <c r="CZ508" s="240"/>
      <c r="DA508" s="240"/>
      <c r="DB508" s="240"/>
      <c r="DC508" s="240"/>
      <c r="DD508" s="240"/>
      <c r="DE508" s="240"/>
      <c r="DF508" s="240"/>
      <c r="DG508" s="733"/>
      <c r="DH508" s="478"/>
      <c r="DI508" s="195"/>
      <c r="DJ508" s="1"/>
      <c r="DK508" s="478"/>
      <c r="DL508" s="4"/>
      <c r="DM508" s="4"/>
      <c r="DN508" s="4"/>
      <c r="DO508" s="4"/>
      <c r="DP508" s="4"/>
      <c r="DQ508" s="4"/>
      <c r="DR508" s="4"/>
      <c r="DT508" s="195"/>
      <c r="DU508" s="195"/>
      <c r="DV508" s="195"/>
      <c r="DW508" s="195"/>
      <c r="DX508" s="195"/>
      <c r="DY508" s="195"/>
      <c r="DZ508" s="195"/>
      <c r="EA508" s="195"/>
      <c r="EB508" s="195"/>
      <c r="EC508" s="195"/>
      <c r="ED508" s="195"/>
      <c r="EE508" s="195"/>
      <c r="EF508" s="195"/>
      <c r="EG508" s="195"/>
      <c r="EL508" s="1"/>
      <c r="EM508" s="195"/>
      <c r="EN508" s="731"/>
      <c r="EO508" s="240"/>
      <c r="EP508" s="195"/>
      <c r="EQ508" s="240"/>
      <c r="ER508" s="195"/>
      <c r="ES508" s="195"/>
      <c r="ET508" s="195"/>
      <c r="EU508" s="731"/>
    </row>
    <row r="509" customFormat="false" ht="12.75" hidden="false" customHeight="false" outlineLevel="0" collapsed="false">
      <c r="I509" s="735"/>
      <c r="J509" s="727"/>
      <c r="K509" s="195"/>
      <c r="L509" s="195"/>
      <c r="M509" s="729"/>
      <c r="P509" s="727"/>
      <c r="S509" s="1"/>
      <c r="T509" s="727"/>
      <c r="U509" s="195"/>
      <c r="V509" s="195"/>
      <c r="W509" s="195"/>
      <c r="X509" s="195"/>
      <c r="Y509" s="195"/>
      <c r="Z509" s="195"/>
      <c r="AA509" s="195"/>
      <c r="AB509" s="195"/>
      <c r="AC509" s="195"/>
      <c r="AD509" s="195"/>
      <c r="AE509" s="195"/>
      <c r="AF509" s="195"/>
      <c r="AG509" s="195"/>
      <c r="AH509" s="195"/>
      <c r="AI509" s="195"/>
      <c r="AJ509" s="195"/>
      <c r="AK509" s="195"/>
      <c r="AL509" s="195"/>
      <c r="AM509" s="195"/>
      <c r="AN509" s="532"/>
      <c r="AO509" s="532"/>
      <c r="AP509" s="240"/>
      <c r="AQ509" s="532"/>
      <c r="AR509" s="240"/>
      <c r="AS509" s="240"/>
      <c r="AT509" s="240"/>
      <c r="AU509" s="240"/>
      <c r="AV509" s="730"/>
      <c r="AW509" s="730"/>
      <c r="AX509" s="730"/>
      <c r="AY509" s="468"/>
      <c r="AZ509" s="468"/>
      <c r="BA509" s="240"/>
      <c r="BB509" s="240"/>
      <c r="BC509" s="240"/>
      <c r="BD509" s="240"/>
      <c r="BE509" s="240"/>
      <c r="BF509" s="672"/>
      <c r="BG509" s="672"/>
      <c r="BH509" s="731"/>
      <c r="BI509" s="672"/>
      <c r="BJ509" s="240"/>
      <c r="BK509" s="736"/>
      <c r="BL509" s="737"/>
      <c r="BM509" s="240"/>
      <c r="BN509" s="240"/>
      <c r="BO509" s="240"/>
      <c r="BP509" s="240"/>
      <c r="BQ509" s="240"/>
      <c r="BR509" s="240"/>
      <c r="BS509" s="240"/>
      <c r="BT509" s="240"/>
      <c r="BU509" s="240"/>
      <c r="BV509" s="240"/>
      <c r="BW509" s="240"/>
      <c r="BX509" s="240"/>
      <c r="BY509" s="240"/>
      <c r="BZ509" s="240"/>
      <c r="CA509" s="240"/>
      <c r="CB509" s="672"/>
      <c r="CC509" s="672"/>
      <c r="CD509" s="672"/>
      <c r="CE509" s="672"/>
      <c r="CF509" s="672"/>
      <c r="CG509" s="672"/>
      <c r="CH509" s="240"/>
      <c r="CI509" s="240"/>
      <c r="CJ509" s="240"/>
      <c r="CK509" s="240"/>
      <c r="CL509" s="240"/>
      <c r="CM509" s="240"/>
      <c r="CN509" s="240"/>
      <c r="CO509" s="240"/>
      <c r="CP509" s="240"/>
      <c r="CQ509" s="240"/>
      <c r="CR509" s="240"/>
      <c r="CS509" s="240"/>
      <c r="CT509" s="240"/>
      <c r="CU509" s="240"/>
      <c r="CV509" s="240"/>
      <c r="CW509" s="240"/>
      <c r="CX509" s="240"/>
      <c r="CY509" s="240"/>
      <c r="CZ509" s="240"/>
      <c r="DA509" s="240"/>
      <c r="DB509" s="240"/>
      <c r="DC509" s="240"/>
      <c r="DD509" s="240"/>
      <c r="DE509" s="240"/>
      <c r="DF509" s="240"/>
      <c r="DG509" s="733"/>
      <c r="DH509" s="478"/>
      <c r="DI509" s="195"/>
      <c r="DJ509" s="1"/>
      <c r="DK509" s="478"/>
      <c r="DL509" s="4"/>
      <c r="DM509" s="4"/>
      <c r="DN509" s="4"/>
      <c r="DO509" s="4"/>
      <c r="DP509" s="4"/>
      <c r="DQ509" s="4"/>
      <c r="DR509" s="4"/>
      <c r="DT509" s="195"/>
      <c r="DU509" s="195"/>
      <c r="DV509" s="195"/>
      <c r="DW509" s="195"/>
      <c r="DX509" s="195"/>
      <c r="DY509" s="195"/>
      <c r="DZ509" s="195"/>
      <c r="EA509" s="195"/>
      <c r="EB509" s="195"/>
      <c r="EC509" s="195"/>
      <c r="ED509" s="195"/>
      <c r="EE509" s="195"/>
      <c r="EF509" s="195"/>
      <c r="EG509" s="195"/>
      <c r="EL509" s="1"/>
      <c r="EM509" s="195"/>
      <c r="EN509" s="731"/>
      <c r="EO509" s="240"/>
      <c r="EP509" s="195"/>
      <c r="EQ509" s="240"/>
      <c r="ER509" s="195"/>
      <c r="ES509" s="195"/>
      <c r="ET509" s="195"/>
      <c r="EU509" s="731"/>
    </row>
    <row r="510" customFormat="false" ht="12.75" hidden="false" customHeight="false" outlineLevel="0" collapsed="false">
      <c r="I510" s="735"/>
      <c r="J510" s="727"/>
      <c r="K510" s="195"/>
      <c r="L510" s="195"/>
      <c r="M510" s="729"/>
      <c r="P510" s="727"/>
      <c r="S510" s="1"/>
      <c r="T510" s="727"/>
      <c r="U510" s="195"/>
      <c r="V510" s="195"/>
      <c r="W510" s="195"/>
      <c r="X510" s="195"/>
      <c r="Y510" s="195"/>
      <c r="Z510" s="195"/>
      <c r="AA510" s="195"/>
      <c r="AB510" s="195"/>
      <c r="AC510" s="195"/>
      <c r="AD510" s="195"/>
      <c r="AE510" s="195"/>
      <c r="AF510" s="195"/>
      <c r="AG510" s="195"/>
      <c r="AH510" s="195"/>
      <c r="AI510" s="195"/>
      <c r="AJ510" s="195"/>
      <c r="AK510" s="195"/>
      <c r="AL510" s="195"/>
      <c r="AM510" s="195"/>
      <c r="AN510" s="532"/>
      <c r="AO510" s="532"/>
      <c r="AP510" s="240"/>
      <c r="AQ510" s="532"/>
      <c r="AR510" s="240"/>
      <c r="AS510" s="240"/>
      <c r="AT510" s="240"/>
      <c r="AU510" s="240"/>
      <c r="AV510" s="730"/>
      <c r="AW510" s="730"/>
      <c r="AX510" s="730"/>
      <c r="AY510" s="468"/>
      <c r="AZ510" s="468"/>
      <c r="BA510" s="240"/>
      <c r="BB510" s="240"/>
      <c r="BC510" s="240"/>
      <c r="BD510" s="240"/>
      <c r="BE510" s="240"/>
      <c r="BF510" s="672"/>
      <c r="BG510" s="672"/>
      <c r="BH510" s="731"/>
      <c r="BI510" s="672"/>
      <c r="BJ510" s="240"/>
      <c r="BK510" s="736"/>
      <c r="BL510" s="737"/>
      <c r="BM510" s="240"/>
      <c r="BN510" s="240"/>
      <c r="BO510" s="240"/>
      <c r="BP510" s="240"/>
      <c r="BQ510" s="240"/>
      <c r="BR510" s="240"/>
      <c r="BS510" s="240"/>
      <c r="BT510" s="240"/>
      <c r="BU510" s="240"/>
      <c r="BV510" s="240"/>
      <c r="BW510" s="240"/>
      <c r="BX510" s="240"/>
      <c r="BY510" s="240"/>
      <c r="BZ510" s="240"/>
      <c r="CA510" s="240"/>
      <c r="CB510" s="672"/>
      <c r="CC510" s="672"/>
      <c r="CD510" s="672"/>
      <c r="CE510" s="672"/>
      <c r="CF510" s="672"/>
      <c r="CG510" s="672"/>
      <c r="CH510" s="240"/>
      <c r="CI510" s="240"/>
      <c r="CJ510" s="240"/>
      <c r="CK510" s="240"/>
      <c r="CL510" s="240"/>
      <c r="CM510" s="240"/>
      <c r="CN510" s="240"/>
      <c r="CO510" s="240"/>
      <c r="CP510" s="240"/>
      <c r="CQ510" s="240"/>
      <c r="CR510" s="240"/>
      <c r="CS510" s="240"/>
      <c r="CT510" s="240"/>
      <c r="CU510" s="240"/>
      <c r="CV510" s="240"/>
      <c r="CW510" s="240"/>
      <c r="CX510" s="240"/>
      <c r="CY510" s="240"/>
      <c r="CZ510" s="240"/>
      <c r="DA510" s="240"/>
      <c r="DB510" s="240"/>
      <c r="DC510" s="240"/>
      <c r="DD510" s="240"/>
      <c r="DE510" s="240"/>
      <c r="DF510" s="240"/>
      <c r="DG510" s="733"/>
      <c r="DH510" s="478"/>
      <c r="DI510" s="195"/>
      <c r="DJ510" s="1"/>
      <c r="DK510" s="478"/>
      <c r="DL510" s="4"/>
      <c r="DM510" s="4"/>
      <c r="DN510" s="4"/>
      <c r="DO510" s="4"/>
      <c r="DP510" s="4"/>
      <c r="DQ510" s="4"/>
      <c r="DR510" s="4"/>
      <c r="DT510" s="195"/>
      <c r="DU510" s="195"/>
      <c r="DV510" s="195"/>
      <c r="DW510" s="195"/>
      <c r="DX510" s="195"/>
      <c r="DY510" s="195"/>
      <c r="DZ510" s="195"/>
      <c r="EA510" s="195"/>
      <c r="EB510" s="195"/>
      <c r="EC510" s="195"/>
      <c r="ED510" s="195"/>
      <c r="EE510" s="195"/>
      <c r="EF510" s="195"/>
      <c r="EG510" s="195"/>
      <c r="EL510" s="1"/>
      <c r="EM510" s="195"/>
      <c r="EN510" s="731"/>
      <c r="EO510" s="240"/>
      <c r="EP510" s="195"/>
      <c r="EQ510" s="240"/>
      <c r="ER510" s="195"/>
      <c r="ES510" s="195"/>
      <c r="ET510" s="195"/>
      <c r="EU510" s="731"/>
    </row>
    <row r="511" customFormat="false" ht="12.75" hidden="false" customHeight="false" outlineLevel="0" collapsed="false">
      <c r="I511" s="735"/>
      <c r="J511" s="727"/>
      <c r="K511" s="195"/>
      <c r="L511" s="195"/>
      <c r="M511" s="729"/>
      <c r="P511" s="727"/>
      <c r="S511" s="1"/>
      <c r="T511" s="727"/>
      <c r="U511" s="195"/>
      <c r="V511" s="195"/>
      <c r="W511" s="195"/>
      <c r="X511" s="195"/>
      <c r="Y511" s="195"/>
      <c r="Z511" s="195"/>
      <c r="AA511" s="195"/>
      <c r="AB511" s="195"/>
      <c r="AC511" s="195"/>
      <c r="AD511" s="195"/>
      <c r="AE511" s="195"/>
      <c r="AF511" s="195"/>
      <c r="AG511" s="195"/>
      <c r="AH511" s="195"/>
      <c r="AI511" s="195"/>
      <c r="AJ511" s="195"/>
      <c r="AK511" s="195"/>
      <c r="AL511" s="195"/>
      <c r="AM511" s="195"/>
      <c r="AN511" s="532"/>
      <c r="AO511" s="532"/>
      <c r="AP511" s="240"/>
      <c r="AQ511" s="532"/>
      <c r="AR511" s="240"/>
      <c r="AS511" s="240"/>
      <c r="AT511" s="240"/>
      <c r="AU511" s="240"/>
      <c r="AV511" s="730"/>
      <c r="AW511" s="730"/>
      <c r="AX511" s="730"/>
      <c r="AY511" s="468"/>
      <c r="AZ511" s="468"/>
      <c r="BA511" s="240"/>
      <c r="BB511" s="240"/>
      <c r="BC511" s="240"/>
      <c r="BD511" s="240"/>
      <c r="BE511" s="240"/>
      <c r="BF511" s="672"/>
      <c r="BG511" s="672"/>
      <c r="BH511" s="731"/>
      <c r="BI511" s="672"/>
      <c r="BJ511" s="240"/>
      <c r="BK511" s="736"/>
      <c r="BL511" s="737"/>
      <c r="BM511" s="240"/>
      <c r="BN511" s="240"/>
      <c r="BO511" s="240"/>
      <c r="BP511" s="240"/>
      <c r="BQ511" s="240"/>
      <c r="BR511" s="240"/>
      <c r="BS511" s="240"/>
      <c r="BT511" s="240"/>
      <c r="BU511" s="240"/>
      <c r="BV511" s="240"/>
      <c r="BW511" s="240"/>
      <c r="BX511" s="240"/>
      <c r="BY511" s="240"/>
      <c r="BZ511" s="240"/>
      <c r="CA511" s="240"/>
      <c r="CB511" s="672"/>
      <c r="CC511" s="672"/>
      <c r="CD511" s="672"/>
      <c r="CE511" s="672"/>
      <c r="CF511" s="672"/>
      <c r="CG511" s="672"/>
      <c r="CH511" s="240"/>
      <c r="CI511" s="240"/>
      <c r="CJ511" s="240"/>
      <c r="CK511" s="240"/>
      <c r="CL511" s="240"/>
      <c r="CM511" s="240"/>
      <c r="CN511" s="240"/>
      <c r="CO511" s="240"/>
      <c r="CP511" s="240"/>
      <c r="CQ511" s="240"/>
      <c r="CR511" s="240"/>
      <c r="CS511" s="240"/>
      <c r="CT511" s="240"/>
      <c r="CU511" s="240"/>
      <c r="CV511" s="240"/>
      <c r="CW511" s="240"/>
      <c r="CX511" s="240"/>
      <c r="CY511" s="240"/>
      <c r="CZ511" s="240"/>
      <c r="DA511" s="240"/>
      <c r="DB511" s="240"/>
      <c r="DC511" s="240"/>
      <c r="DD511" s="240"/>
      <c r="DE511" s="240"/>
      <c r="DF511" s="240"/>
      <c r="DG511" s="733"/>
      <c r="DH511" s="478"/>
      <c r="DI511" s="195"/>
      <c r="DJ511" s="1"/>
      <c r="DK511" s="478"/>
      <c r="DL511" s="4"/>
      <c r="DM511" s="4"/>
      <c r="DN511" s="4"/>
      <c r="DO511" s="4"/>
      <c r="DP511" s="4"/>
      <c r="DQ511" s="4"/>
      <c r="DR511" s="4"/>
      <c r="DT511" s="195"/>
      <c r="DU511" s="195"/>
      <c r="DV511" s="195"/>
      <c r="DW511" s="195"/>
      <c r="DX511" s="195"/>
      <c r="DY511" s="195"/>
      <c r="DZ511" s="195"/>
      <c r="EA511" s="195"/>
      <c r="EB511" s="195"/>
      <c r="EC511" s="195"/>
      <c r="ED511" s="195"/>
      <c r="EE511" s="195"/>
      <c r="EF511" s="195"/>
      <c r="EG511" s="195"/>
      <c r="EL511" s="1"/>
      <c r="EM511" s="195"/>
      <c r="EN511" s="731"/>
      <c r="EO511" s="240"/>
      <c r="EP511" s="195"/>
      <c r="EQ511" s="240"/>
      <c r="ER511" s="195"/>
      <c r="ES511" s="195"/>
      <c r="ET511" s="195"/>
      <c r="EU511" s="731"/>
    </row>
    <row r="512" customFormat="false" ht="12.75" hidden="false" customHeight="false" outlineLevel="0" collapsed="false">
      <c r="I512" s="735"/>
      <c r="J512" s="727"/>
      <c r="K512" s="195"/>
      <c r="L512" s="195"/>
      <c r="M512" s="729"/>
      <c r="P512" s="727"/>
      <c r="S512" s="1"/>
      <c r="T512" s="727"/>
      <c r="U512" s="195"/>
      <c r="V512" s="195"/>
      <c r="W512" s="195"/>
      <c r="X512" s="195"/>
      <c r="Y512" s="195"/>
      <c r="Z512" s="195"/>
      <c r="AA512" s="195"/>
      <c r="AB512" s="195"/>
      <c r="AC512" s="195"/>
      <c r="AD512" s="195"/>
      <c r="AE512" s="195"/>
      <c r="AF512" s="195"/>
      <c r="AG512" s="195"/>
      <c r="AH512" s="195"/>
      <c r="AI512" s="195"/>
      <c r="AJ512" s="195"/>
      <c r="AK512" s="195"/>
      <c r="AL512" s="195"/>
      <c r="AM512" s="195"/>
      <c r="AN512" s="532"/>
      <c r="AO512" s="532"/>
      <c r="AP512" s="240"/>
      <c r="AQ512" s="532"/>
      <c r="AR512" s="240"/>
      <c r="AS512" s="240"/>
      <c r="AT512" s="240"/>
      <c r="AU512" s="240"/>
      <c r="AV512" s="730"/>
      <c r="AW512" s="730"/>
      <c r="AX512" s="730"/>
      <c r="AY512" s="468"/>
      <c r="AZ512" s="468"/>
      <c r="BA512" s="240"/>
      <c r="BB512" s="240"/>
      <c r="BC512" s="240"/>
      <c r="BD512" s="240"/>
      <c r="BE512" s="240"/>
      <c r="BF512" s="672"/>
      <c r="BG512" s="672"/>
      <c r="BH512" s="731"/>
      <c r="BI512" s="672"/>
      <c r="BJ512" s="240"/>
      <c r="BK512" s="736"/>
      <c r="BL512" s="737"/>
      <c r="BM512" s="240"/>
      <c r="BN512" s="240"/>
      <c r="BO512" s="240"/>
      <c r="BP512" s="240"/>
      <c r="BQ512" s="240"/>
      <c r="BR512" s="240"/>
      <c r="BS512" s="240"/>
      <c r="BT512" s="240"/>
      <c r="BU512" s="240"/>
      <c r="BV512" s="240"/>
      <c r="BW512" s="240"/>
      <c r="BX512" s="240"/>
      <c r="BY512" s="240"/>
      <c r="BZ512" s="240"/>
      <c r="CA512" s="240"/>
      <c r="CB512" s="672"/>
      <c r="CC512" s="672"/>
      <c r="CD512" s="672"/>
      <c r="CE512" s="672"/>
      <c r="CF512" s="672"/>
      <c r="CG512" s="672"/>
      <c r="CH512" s="240"/>
      <c r="CI512" s="240"/>
      <c r="CJ512" s="240"/>
      <c r="CK512" s="240"/>
      <c r="CL512" s="240"/>
      <c r="CM512" s="240"/>
      <c r="CN512" s="240"/>
      <c r="CO512" s="240"/>
      <c r="CP512" s="240"/>
      <c r="CQ512" s="240"/>
      <c r="CR512" s="240"/>
      <c r="CS512" s="240"/>
      <c r="CT512" s="240"/>
      <c r="CU512" s="240"/>
      <c r="CV512" s="240"/>
      <c r="CW512" s="240"/>
      <c r="CX512" s="240"/>
      <c r="CY512" s="240"/>
      <c r="CZ512" s="240"/>
      <c r="DA512" s="240"/>
      <c r="DB512" s="240"/>
      <c r="DC512" s="240"/>
      <c r="DD512" s="240"/>
      <c r="DE512" s="240"/>
      <c r="DF512" s="240"/>
      <c r="DG512" s="733"/>
      <c r="DH512" s="478"/>
      <c r="DI512" s="195"/>
      <c r="DJ512" s="1"/>
      <c r="DK512" s="478"/>
      <c r="DL512" s="4"/>
      <c r="DM512" s="4"/>
      <c r="DN512" s="4"/>
      <c r="DO512" s="4"/>
      <c r="DP512" s="4"/>
      <c r="DQ512" s="4"/>
      <c r="DR512" s="4"/>
      <c r="DT512" s="195"/>
      <c r="DU512" s="195"/>
      <c r="DV512" s="195"/>
      <c r="DW512" s="195"/>
      <c r="DX512" s="195"/>
      <c r="DY512" s="195"/>
      <c r="DZ512" s="195"/>
      <c r="EA512" s="195"/>
      <c r="EB512" s="195"/>
      <c r="EC512" s="195"/>
      <c r="ED512" s="195"/>
      <c r="EE512" s="195"/>
      <c r="EF512" s="195"/>
      <c r="EG512" s="195"/>
      <c r="EL512" s="1"/>
      <c r="EM512" s="195"/>
      <c r="EN512" s="731"/>
      <c r="EO512" s="240"/>
      <c r="EP512" s="195"/>
      <c r="EQ512" s="240"/>
      <c r="ER512" s="195"/>
      <c r="ES512" s="195"/>
      <c r="ET512" s="195"/>
      <c r="EU512" s="731"/>
    </row>
    <row r="513" customFormat="false" ht="12.75" hidden="false" customHeight="false" outlineLevel="0" collapsed="false">
      <c r="I513" s="735"/>
      <c r="J513" s="727"/>
      <c r="K513" s="195"/>
      <c r="L513" s="195"/>
      <c r="M513" s="729"/>
      <c r="P513" s="727"/>
      <c r="S513" s="1"/>
      <c r="T513" s="727"/>
      <c r="U513" s="195"/>
      <c r="V513" s="195"/>
      <c r="W513" s="195"/>
      <c r="X513" s="195"/>
      <c r="Y513" s="195"/>
      <c r="Z513" s="195"/>
      <c r="AA513" s="195"/>
      <c r="AB513" s="195"/>
      <c r="AC513" s="195"/>
      <c r="AD513" s="195"/>
      <c r="AE513" s="195"/>
      <c r="AF513" s="195"/>
      <c r="AG513" s="195"/>
      <c r="AH513" s="195"/>
      <c r="AI513" s="195"/>
      <c r="AJ513" s="195"/>
      <c r="AK513" s="195"/>
      <c r="AL513" s="195"/>
      <c r="AM513" s="195"/>
      <c r="AN513" s="532"/>
      <c r="AO513" s="532"/>
      <c r="AP513" s="240"/>
      <c r="AQ513" s="532"/>
      <c r="AR513" s="240"/>
      <c r="AS513" s="240"/>
      <c r="AT513" s="240"/>
      <c r="AU513" s="240"/>
      <c r="AV513" s="730"/>
      <c r="AW513" s="730"/>
      <c r="AX513" s="730"/>
      <c r="AY513" s="468"/>
      <c r="AZ513" s="468"/>
      <c r="BA513" s="240"/>
      <c r="BB513" s="240"/>
      <c r="BC513" s="240"/>
      <c r="BD513" s="240"/>
      <c r="BE513" s="240"/>
      <c r="BF513" s="672"/>
      <c r="BG513" s="672"/>
      <c r="BH513" s="731"/>
      <c r="BI513" s="672"/>
      <c r="BJ513" s="240"/>
      <c r="BK513" s="736"/>
      <c r="BL513" s="737"/>
      <c r="BM513" s="240"/>
      <c r="BN513" s="240"/>
      <c r="BO513" s="240"/>
      <c r="BP513" s="240"/>
      <c r="BQ513" s="240"/>
      <c r="BR513" s="240"/>
      <c r="BS513" s="240"/>
      <c r="BT513" s="240"/>
      <c r="BU513" s="240"/>
      <c r="BV513" s="240"/>
      <c r="BW513" s="240"/>
      <c r="BX513" s="240"/>
      <c r="BY513" s="240"/>
      <c r="BZ513" s="240"/>
      <c r="CA513" s="240"/>
      <c r="CB513" s="672"/>
      <c r="CC513" s="672"/>
      <c r="CD513" s="672"/>
      <c r="CE513" s="672"/>
      <c r="CF513" s="672"/>
      <c r="CG513" s="672"/>
      <c r="CH513" s="240"/>
      <c r="CI513" s="240"/>
      <c r="CJ513" s="240"/>
      <c r="CK513" s="240"/>
      <c r="CL513" s="240"/>
      <c r="CM513" s="240"/>
      <c r="CN513" s="240"/>
      <c r="CO513" s="240"/>
      <c r="CP513" s="240"/>
      <c r="CQ513" s="240"/>
      <c r="CR513" s="240"/>
      <c r="CS513" s="240"/>
      <c r="CT513" s="240"/>
      <c r="CU513" s="240"/>
      <c r="CV513" s="240"/>
      <c r="CW513" s="240"/>
      <c r="CX513" s="240"/>
      <c r="CY513" s="240"/>
      <c r="CZ513" s="240"/>
      <c r="DA513" s="240"/>
      <c r="DB513" s="240"/>
      <c r="DC513" s="240"/>
      <c r="DD513" s="240"/>
      <c r="DE513" s="240"/>
      <c r="DF513" s="240"/>
      <c r="DG513" s="733"/>
      <c r="DH513" s="478"/>
      <c r="DI513" s="195"/>
      <c r="DJ513" s="1"/>
      <c r="DK513" s="478"/>
      <c r="DL513" s="4"/>
      <c r="DM513" s="4"/>
      <c r="DN513" s="4"/>
      <c r="DO513" s="4"/>
      <c r="DP513" s="4"/>
      <c r="DQ513" s="4"/>
      <c r="DR513" s="4"/>
      <c r="DT513" s="195"/>
      <c r="DU513" s="195"/>
      <c r="DV513" s="195"/>
      <c r="DW513" s="195"/>
      <c r="DX513" s="195"/>
      <c r="DY513" s="195"/>
      <c r="DZ513" s="195"/>
      <c r="EA513" s="195"/>
      <c r="EB513" s="195"/>
      <c r="EC513" s="195"/>
      <c r="ED513" s="195"/>
      <c r="EE513" s="195"/>
      <c r="EF513" s="195"/>
      <c r="EG513" s="195"/>
      <c r="EL513" s="1"/>
      <c r="EM513" s="195"/>
      <c r="EN513" s="731"/>
      <c r="EO513" s="240"/>
      <c r="EP513" s="195"/>
      <c r="EQ513" s="240"/>
      <c r="ER513" s="195"/>
      <c r="ES513" s="195"/>
      <c r="ET513" s="195"/>
      <c r="EU513" s="731"/>
    </row>
    <row r="514" customFormat="false" ht="12.75" hidden="false" customHeight="false" outlineLevel="0" collapsed="false">
      <c r="I514" s="735"/>
      <c r="J514" s="727"/>
      <c r="K514" s="195"/>
      <c r="L514" s="195"/>
      <c r="M514" s="729"/>
      <c r="P514" s="727"/>
      <c r="S514" s="1"/>
      <c r="T514" s="727"/>
      <c r="U514" s="195"/>
      <c r="V514" s="195"/>
      <c r="W514" s="195"/>
      <c r="X514" s="195"/>
      <c r="Y514" s="195"/>
      <c r="Z514" s="195"/>
      <c r="AA514" s="195"/>
      <c r="AB514" s="195"/>
      <c r="AC514" s="195"/>
      <c r="AD514" s="195"/>
      <c r="AE514" s="195"/>
      <c r="AF514" s="195"/>
      <c r="AG514" s="195"/>
      <c r="AH514" s="195"/>
      <c r="AI514" s="195"/>
      <c r="AJ514" s="195"/>
      <c r="AK514" s="195"/>
      <c r="AL514" s="195"/>
      <c r="AM514" s="195"/>
      <c r="AN514" s="532"/>
      <c r="AO514" s="532"/>
      <c r="AP514" s="240"/>
      <c r="AQ514" s="532"/>
      <c r="AR514" s="240"/>
      <c r="AS514" s="240"/>
      <c r="AT514" s="240"/>
      <c r="AU514" s="240"/>
      <c r="AV514" s="730"/>
      <c r="AW514" s="730"/>
      <c r="AX514" s="730"/>
      <c r="AY514" s="468"/>
      <c r="AZ514" s="468"/>
      <c r="BA514" s="240"/>
      <c r="BB514" s="240"/>
      <c r="BC514" s="240"/>
      <c r="BD514" s="240"/>
      <c r="BE514" s="240"/>
      <c r="BF514" s="672"/>
      <c r="BG514" s="672"/>
      <c r="BH514" s="731"/>
      <c r="BI514" s="672"/>
      <c r="BJ514" s="240"/>
      <c r="BK514" s="736"/>
      <c r="BL514" s="737"/>
      <c r="BM514" s="240"/>
      <c r="BN514" s="240"/>
      <c r="BO514" s="240"/>
      <c r="BP514" s="240"/>
      <c r="BQ514" s="240"/>
      <c r="BR514" s="240"/>
      <c r="BS514" s="240"/>
      <c r="BT514" s="240"/>
      <c r="BU514" s="240"/>
      <c r="BV514" s="240"/>
      <c r="BW514" s="240"/>
      <c r="BX514" s="240"/>
      <c r="BY514" s="240"/>
      <c r="BZ514" s="240"/>
      <c r="CA514" s="240"/>
      <c r="CB514" s="672"/>
      <c r="CC514" s="672"/>
      <c r="CD514" s="672"/>
      <c r="CE514" s="672"/>
      <c r="CF514" s="672"/>
      <c r="CG514" s="672"/>
      <c r="CH514" s="240"/>
      <c r="CI514" s="240"/>
      <c r="CJ514" s="240"/>
      <c r="CK514" s="240"/>
      <c r="CL514" s="240"/>
      <c r="CM514" s="240"/>
      <c r="CN514" s="240"/>
      <c r="CO514" s="240"/>
      <c r="CP514" s="240"/>
      <c r="CQ514" s="240"/>
      <c r="CR514" s="240"/>
      <c r="CS514" s="240"/>
      <c r="CT514" s="240"/>
      <c r="CU514" s="240"/>
      <c r="CV514" s="240"/>
      <c r="CW514" s="240"/>
      <c r="CX514" s="240"/>
      <c r="CY514" s="240"/>
      <c r="CZ514" s="240"/>
      <c r="DA514" s="240"/>
      <c r="DB514" s="240"/>
      <c r="DC514" s="240"/>
      <c r="DD514" s="240"/>
      <c r="DE514" s="240"/>
      <c r="DF514" s="240"/>
      <c r="DG514" s="733"/>
      <c r="DH514" s="478"/>
      <c r="DI514" s="195"/>
      <c r="DJ514" s="1"/>
      <c r="DK514" s="478"/>
      <c r="DL514" s="4"/>
      <c r="DM514" s="4"/>
      <c r="DN514" s="4"/>
      <c r="DO514" s="4"/>
      <c r="DP514" s="4"/>
      <c r="DQ514" s="4"/>
      <c r="DR514" s="4"/>
      <c r="DT514" s="195"/>
      <c r="DU514" s="195"/>
      <c r="DV514" s="195"/>
      <c r="DW514" s="195"/>
      <c r="DX514" s="195"/>
      <c r="DY514" s="195"/>
      <c r="DZ514" s="195"/>
      <c r="EA514" s="195"/>
      <c r="EB514" s="195"/>
      <c r="EC514" s="195"/>
      <c r="ED514" s="195"/>
      <c r="EE514" s="195"/>
      <c r="EF514" s="195"/>
      <c r="EG514" s="195"/>
      <c r="EL514" s="1"/>
      <c r="EM514" s="195"/>
      <c r="EN514" s="731"/>
      <c r="EO514" s="240"/>
      <c r="EP514" s="195"/>
      <c r="EQ514" s="240"/>
      <c r="ER514" s="195"/>
      <c r="ES514" s="195"/>
      <c r="ET514" s="195"/>
      <c r="EU514" s="731"/>
    </row>
    <row r="515" customFormat="false" ht="12.75" hidden="false" customHeight="false" outlineLevel="0" collapsed="false">
      <c r="I515" s="735"/>
      <c r="J515" s="727"/>
      <c r="K515" s="195"/>
      <c r="L515" s="195"/>
      <c r="M515" s="729"/>
      <c r="P515" s="727"/>
      <c r="S515" s="1"/>
      <c r="T515" s="727"/>
      <c r="U515" s="195"/>
      <c r="V515" s="195"/>
      <c r="W515" s="195"/>
      <c r="X515" s="195"/>
      <c r="Y515" s="195"/>
      <c r="Z515" s="195"/>
      <c r="AA515" s="195"/>
      <c r="AB515" s="195"/>
      <c r="AC515" s="195"/>
      <c r="AD515" s="195"/>
      <c r="AE515" s="195"/>
      <c r="AF515" s="195"/>
      <c r="AG515" s="195"/>
      <c r="AH515" s="195"/>
      <c r="AI515" s="195"/>
      <c r="AJ515" s="195"/>
      <c r="AK515" s="195"/>
      <c r="AL515" s="195"/>
      <c r="AM515" s="195"/>
      <c r="AN515" s="532"/>
      <c r="AO515" s="532"/>
      <c r="AP515" s="240"/>
      <c r="AQ515" s="532"/>
      <c r="AR515" s="240"/>
      <c r="AS515" s="240"/>
      <c r="AT515" s="240"/>
      <c r="AU515" s="240"/>
      <c r="AV515" s="730"/>
      <c r="AW515" s="730"/>
      <c r="AX515" s="730"/>
      <c r="AY515" s="468"/>
      <c r="AZ515" s="468"/>
      <c r="BA515" s="240"/>
      <c r="BB515" s="240"/>
      <c r="BC515" s="240"/>
      <c r="BD515" s="240"/>
      <c r="BE515" s="240"/>
      <c r="BF515" s="672"/>
      <c r="BG515" s="672"/>
      <c r="BH515" s="731"/>
      <c r="BI515" s="672"/>
      <c r="BJ515" s="240"/>
      <c r="BK515" s="736"/>
      <c r="BL515" s="737"/>
      <c r="BM515" s="240"/>
      <c r="BN515" s="240"/>
      <c r="BO515" s="240"/>
      <c r="BP515" s="240"/>
      <c r="BQ515" s="240"/>
      <c r="BR515" s="240"/>
      <c r="BS515" s="240"/>
      <c r="BT515" s="240"/>
      <c r="BU515" s="240"/>
      <c r="BV515" s="240"/>
      <c r="BW515" s="240"/>
      <c r="BX515" s="240"/>
      <c r="BY515" s="240"/>
      <c r="BZ515" s="240"/>
      <c r="CA515" s="240"/>
      <c r="CB515" s="672"/>
      <c r="CC515" s="672"/>
      <c r="CD515" s="672"/>
      <c r="CE515" s="672"/>
      <c r="CF515" s="672"/>
      <c r="CG515" s="672"/>
      <c r="CH515" s="240"/>
      <c r="CI515" s="240"/>
      <c r="CJ515" s="240"/>
      <c r="CK515" s="240"/>
      <c r="CL515" s="240"/>
      <c r="CM515" s="240"/>
      <c r="CN515" s="240"/>
      <c r="CO515" s="240"/>
      <c r="CP515" s="240"/>
      <c r="CQ515" s="240"/>
      <c r="CR515" s="240"/>
      <c r="CS515" s="240"/>
      <c r="CT515" s="240"/>
      <c r="CU515" s="240"/>
      <c r="CV515" s="240"/>
      <c r="CW515" s="240"/>
      <c r="CX515" s="240"/>
      <c r="CY515" s="240"/>
      <c r="CZ515" s="240"/>
      <c r="DA515" s="240"/>
      <c r="DB515" s="240"/>
      <c r="DC515" s="240"/>
      <c r="DD515" s="240"/>
      <c r="DE515" s="240"/>
      <c r="DF515" s="240"/>
      <c r="DG515" s="733"/>
      <c r="DH515" s="478"/>
      <c r="DI515" s="195"/>
      <c r="DJ515" s="1"/>
      <c r="DK515" s="478"/>
      <c r="DL515" s="4"/>
      <c r="DM515" s="4"/>
      <c r="DN515" s="4"/>
      <c r="DO515" s="4"/>
      <c r="DP515" s="4"/>
      <c r="DQ515" s="4"/>
      <c r="DR515" s="4"/>
      <c r="DT515" s="195"/>
      <c r="DU515" s="195"/>
      <c r="DV515" s="195"/>
      <c r="DW515" s="195"/>
      <c r="DX515" s="195"/>
      <c r="DY515" s="195"/>
      <c r="DZ515" s="195"/>
      <c r="EA515" s="195"/>
      <c r="EB515" s="195"/>
      <c r="EC515" s="195"/>
      <c r="ED515" s="195"/>
      <c r="EE515" s="195"/>
      <c r="EF515" s="195"/>
      <c r="EG515" s="195"/>
      <c r="EL515" s="1"/>
      <c r="EM515" s="195"/>
      <c r="EN515" s="731"/>
      <c r="EO515" s="240"/>
      <c r="EP515" s="195"/>
      <c r="EQ515" s="240"/>
      <c r="ER515" s="195"/>
      <c r="ES515" s="195"/>
      <c r="ET515" s="195"/>
      <c r="EU515" s="731"/>
    </row>
    <row r="516" customFormat="false" ht="12.75" hidden="false" customHeight="false" outlineLevel="0" collapsed="false">
      <c r="I516" s="735"/>
      <c r="J516" s="727"/>
      <c r="K516" s="195"/>
      <c r="L516" s="195"/>
      <c r="M516" s="729"/>
      <c r="P516" s="727"/>
      <c r="S516" s="1"/>
      <c r="T516" s="727"/>
      <c r="U516" s="195"/>
      <c r="V516" s="195"/>
      <c r="W516" s="195"/>
      <c r="X516" s="195"/>
      <c r="Y516" s="195"/>
      <c r="Z516" s="195"/>
      <c r="AA516" s="195"/>
      <c r="AB516" s="195"/>
      <c r="AC516" s="195"/>
      <c r="AD516" s="195"/>
      <c r="AE516" s="195"/>
      <c r="AF516" s="195"/>
      <c r="AG516" s="195"/>
      <c r="AH516" s="195"/>
      <c r="AI516" s="195"/>
      <c r="AJ516" s="195"/>
      <c r="AK516" s="195"/>
      <c r="AL516" s="195"/>
      <c r="AM516" s="195"/>
      <c r="AN516" s="532"/>
      <c r="AO516" s="532"/>
      <c r="AP516" s="240"/>
      <c r="AQ516" s="532"/>
      <c r="AR516" s="240"/>
      <c r="AS516" s="240"/>
      <c r="AT516" s="240"/>
      <c r="AU516" s="240"/>
      <c r="AV516" s="730"/>
      <c r="AW516" s="730"/>
      <c r="AX516" s="730"/>
      <c r="AY516" s="468"/>
      <c r="AZ516" s="468"/>
      <c r="BA516" s="240"/>
      <c r="BB516" s="240"/>
      <c r="BC516" s="240"/>
      <c r="BD516" s="240"/>
      <c r="BE516" s="240"/>
      <c r="BF516" s="672"/>
      <c r="BG516" s="672"/>
      <c r="BH516" s="731"/>
      <c r="BI516" s="672"/>
      <c r="BJ516" s="240"/>
      <c r="BK516" s="736"/>
      <c r="BL516" s="737"/>
      <c r="BM516" s="240"/>
      <c r="BN516" s="240"/>
      <c r="BO516" s="240"/>
      <c r="BP516" s="240"/>
      <c r="BQ516" s="240"/>
      <c r="BR516" s="240"/>
      <c r="BS516" s="240"/>
      <c r="BT516" s="240"/>
      <c r="BU516" s="240"/>
      <c r="BV516" s="240"/>
      <c r="BW516" s="240"/>
      <c r="BX516" s="240"/>
      <c r="BY516" s="240"/>
      <c r="BZ516" s="240"/>
      <c r="CA516" s="240"/>
      <c r="CB516" s="672"/>
      <c r="CC516" s="672"/>
      <c r="CD516" s="672"/>
      <c r="CE516" s="672"/>
      <c r="CF516" s="672"/>
      <c r="CG516" s="672"/>
      <c r="CH516" s="240"/>
      <c r="CI516" s="240"/>
      <c r="CJ516" s="240"/>
      <c r="CK516" s="240"/>
      <c r="CL516" s="240"/>
      <c r="CM516" s="240"/>
      <c r="CN516" s="240"/>
      <c r="CO516" s="240"/>
      <c r="CP516" s="240"/>
      <c r="CQ516" s="240"/>
      <c r="CR516" s="240"/>
      <c r="CS516" s="240"/>
      <c r="CT516" s="240"/>
      <c r="CU516" s="240"/>
      <c r="CV516" s="240"/>
      <c r="CW516" s="240"/>
      <c r="CX516" s="240"/>
      <c r="CY516" s="240"/>
      <c r="CZ516" s="240"/>
      <c r="DA516" s="240"/>
      <c r="DB516" s="240"/>
      <c r="DC516" s="240"/>
      <c r="DD516" s="240"/>
      <c r="DE516" s="240"/>
      <c r="DF516" s="240"/>
      <c r="DG516" s="733"/>
      <c r="DH516" s="478"/>
      <c r="DI516" s="195"/>
      <c r="DJ516" s="1"/>
      <c r="DK516" s="478"/>
      <c r="DL516" s="4"/>
      <c r="DM516" s="4"/>
      <c r="DN516" s="4"/>
      <c r="DO516" s="4"/>
      <c r="DP516" s="4"/>
      <c r="DQ516" s="4"/>
      <c r="DR516" s="4"/>
      <c r="DT516" s="195"/>
      <c r="DU516" s="195"/>
      <c r="DV516" s="195"/>
      <c r="DW516" s="195"/>
      <c r="DX516" s="195"/>
      <c r="DY516" s="195"/>
      <c r="DZ516" s="195"/>
      <c r="EA516" s="195"/>
      <c r="EB516" s="195"/>
      <c r="EC516" s="195"/>
      <c r="ED516" s="195"/>
      <c r="EE516" s="195"/>
      <c r="EF516" s="195"/>
      <c r="EG516" s="195"/>
      <c r="EL516" s="1"/>
      <c r="EM516" s="195"/>
      <c r="EN516" s="731"/>
      <c r="EO516" s="240"/>
      <c r="EP516" s="195"/>
      <c r="EQ516" s="240"/>
      <c r="ER516" s="195"/>
      <c r="ES516" s="195"/>
      <c r="ET516" s="195"/>
      <c r="EU516" s="731"/>
    </row>
    <row r="517" customFormat="false" ht="12.75" hidden="false" customHeight="false" outlineLevel="0" collapsed="false">
      <c r="I517" s="735"/>
      <c r="J517" s="727"/>
      <c r="K517" s="195"/>
      <c r="L517" s="195"/>
      <c r="M517" s="729"/>
      <c r="P517" s="727"/>
      <c r="S517" s="1"/>
      <c r="T517" s="727"/>
      <c r="U517" s="195"/>
      <c r="V517" s="195"/>
      <c r="W517" s="195"/>
      <c r="X517" s="195"/>
      <c r="Y517" s="195"/>
      <c r="Z517" s="195"/>
      <c r="AA517" s="195"/>
      <c r="AB517" s="195"/>
      <c r="AC517" s="195"/>
      <c r="AD517" s="195"/>
      <c r="AE517" s="195"/>
      <c r="AF517" s="195"/>
      <c r="AG517" s="195"/>
      <c r="AH517" s="195"/>
      <c r="AI517" s="195"/>
      <c r="AJ517" s="195"/>
      <c r="AK517" s="195"/>
      <c r="AL517" s="195"/>
      <c r="AM517" s="195"/>
      <c r="AN517" s="532"/>
      <c r="AO517" s="532"/>
      <c r="AP517" s="240"/>
      <c r="AQ517" s="532"/>
      <c r="AR517" s="240"/>
      <c r="AS517" s="240"/>
      <c r="AT517" s="240"/>
      <c r="AU517" s="240"/>
      <c r="AV517" s="730"/>
      <c r="AW517" s="730"/>
      <c r="AX517" s="730"/>
      <c r="AY517" s="468"/>
      <c r="AZ517" s="468"/>
      <c r="BA517" s="240"/>
      <c r="BB517" s="240"/>
      <c r="BC517" s="240"/>
      <c r="BD517" s="240"/>
      <c r="BE517" s="240"/>
      <c r="BF517" s="672"/>
      <c r="BG517" s="672"/>
      <c r="BH517" s="731"/>
      <c r="BI517" s="672"/>
      <c r="BJ517" s="240"/>
      <c r="BK517" s="736"/>
      <c r="BL517" s="737"/>
      <c r="BM517" s="240"/>
      <c r="BN517" s="240"/>
      <c r="BO517" s="240"/>
      <c r="BP517" s="240"/>
      <c r="BQ517" s="240"/>
      <c r="BR517" s="240"/>
      <c r="BS517" s="240"/>
      <c r="BT517" s="240"/>
      <c r="BU517" s="240"/>
      <c r="BV517" s="240"/>
      <c r="BW517" s="240"/>
      <c r="BX517" s="240"/>
      <c r="BY517" s="240"/>
      <c r="BZ517" s="240"/>
      <c r="CA517" s="240"/>
      <c r="CB517" s="672"/>
      <c r="CC517" s="672"/>
      <c r="CD517" s="672"/>
      <c r="CE517" s="672"/>
      <c r="CF517" s="672"/>
      <c r="CG517" s="672"/>
      <c r="CH517" s="240"/>
      <c r="CI517" s="240"/>
      <c r="CJ517" s="240"/>
      <c r="CK517" s="240"/>
      <c r="CL517" s="240"/>
      <c r="CM517" s="240"/>
      <c r="CN517" s="240"/>
      <c r="CO517" s="240"/>
      <c r="CP517" s="240"/>
      <c r="CQ517" s="240"/>
      <c r="CR517" s="240"/>
      <c r="CS517" s="240"/>
      <c r="CT517" s="240"/>
      <c r="CU517" s="240"/>
      <c r="CV517" s="240"/>
      <c r="CW517" s="240"/>
      <c r="CX517" s="240"/>
      <c r="CY517" s="240"/>
      <c r="CZ517" s="240"/>
      <c r="DA517" s="240"/>
      <c r="DB517" s="240"/>
      <c r="DC517" s="240"/>
      <c r="DD517" s="240"/>
      <c r="DE517" s="240"/>
      <c r="DF517" s="240"/>
      <c r="DG517" s="733"/>
      <c r="DH517" s="478"/>
      <c r="DI517" s="195"/>
      <c r="DJ517" s="1"/>
      <c r="DK517" s="478"/>
      <c r="DL517" s="4"/>
      <c r="DM517" s="4"/>
      <c r="DN517" s="4"/>
      <c r="DO517" s="4"/>
      <c r="DP517" s="4"/>
      <c r="DQ517" s="4"/>
      <c r="DR517" s="4"/>
      <c r="DT517" s="195"/>
      <c r="DU517" s="195"/>
      <c r="DV517" s="195"/>
      <c r="DW517" s="195"/>
      <c r="DX517" s="195"/>
      <c r="DY517" s="195"/>
      <c r="DZ517" s="195"/>
      <c r="EA517" s="195"/>
      <c r="EB517" s="195"/>
      <c r="EC517" s="195"/>
      <c r="ED517" s="195"/>
      <c r="EE517" s="195"/>
      <c r="EF517" s="195"/>
      <c r="EG517" s="195"/>
      <c r="EL517" s="1"/>
      <c r="EM517" s="195"/>
      <c r="EN517" s="731"/>
      <c r="EO517" s="240"/>
      <c r="EP517" s="195"/>
      <c r="EQ517" s="240"/>
      <c r="ER517" s="195"/>
      <c r="ES517" s="195"/>
      <c r="ET517" s="195"/>
      <c r="EU517" s="731"/>
    </row>
    <row r="518" customFormat="false" ht="12.75" hidden="false" customHeight="false" outlineLevel="0" collapsed="false">
      <c r="I518" s="735"/>
      <c r="J518" s="727"/>
      <c r="K518" s="195"/>
      <c r="L518" s="195"/>
      <c r="M518" s="729"/>
      <c r="P518" s="727"/>
      <c r="S518" s="1"/>
      <c r="T518" s="727"/>
      <c r="U518" s="195"/>
      <c r="V518" s="195"/>
      <c r="W518" s="195"/>
      <c r="X518" s="195"/>
      <c r="Y518" s="195"/>
      <c r="Z518" s="195"/>
      <c r="AA518" s="195"/>
      <c r="AB518" s="195"/>
      <c r="AC518" s="195"/>
      <c r="AD518" s="195"/>
      <c r="AE518" s="195"/>
      <c r="AF518" s="195"/>
      <c r="AG518" s="195"/>
      <c r="AH518" s="195"/>
      <c r="AI518" s="195"/>
      <c r="AJ518" s="195"/>
      <c r="AK518" s="195"/>
      <c r="AL518" s="195"/>
      <c r="AM518" s="195"/>
      <c r="AN518" s="532"/>
      <c r="AO518" s="532"/>
      <c r="AP518" s="240"/>
      <c r="AQ518" s="532"/>
      <c r="AR518" s="240"/>
      <c r="AS518" s="240"/>
      <c r="AT518" s="240"/>
      <c r="AU518" s="240"/>
      <c r="AV518" s="730"/>
      <c r="AW518" s="730"/>
      <c r="AX518" s="730"/>
      <c r="AY518" s="468"/>
      <c r="AZ518" s="468"/>
      <c r="BA518" s="240"/>
      <c r="BB518" s="240"/>
      <c r="BC518" s="240"/>
      <c r="BD518" s="240"/>
      <c r="BE518" s="240"/>
      <c r="BF518" s="672"/>
      <c r="BG518" s="672"/>
      <c r="BH518" s="731"/>
      <c r="BI518" s="672"/>
      <c r="BJ518" s="240"/>
      <c r="BK518" s="736"/>
      <c r="BL518" s="737"/>
      <c r="BM518" s="240"/>
      <c r="BN518" s="240"/>
      <c r="BO518" s="240"/>
      <c r="BP518" s="240"/>
      <c r="BQ518" s="240"/>
      <c r="BR518" s="240"/>
      <c r="BS518" s="240"/>
      <c r="BT518" s="240"/>
      <c r="BU518" s="240"/>
      <c r="BV518" s="240"/>
      <c r="BW518" s="240"/>
      <c r="BX518" s="240"/>
      <c r="BY518" s="240"/>
      <c r="BZ518" s="240"/>
      <c r="CA518" s="240"/>
      <c r="CB518" s="672"/>
      <c r="CC518" s="672"/>
      <c r="CD518" s="672"/>
      <c r="CE518" s="672"/>
      <c r="CF518" s="672"/>
      <c r="CG518" s="672"/>
      <c r="CH518" s="240"/>
      <c r="CI518" s="240"/>
      <c r="CJ518" s="240"/>
      <c r="CK518" s="240"/>
      <c r="CL518" s="240"/>
      <c r="CM518" s="240"/>
      <c r="CN518" s="240"/>
      <c r="CO518" s="240"/>
      <c r="CP518" s="240"/>
      <c r="CQ518" s="240"/>
      <c r="CR518" s="240"/>
      <c r="CS518" s="240"/>
      <c r="CT518" s="240"/>
      <c r="CU518" s="240"/>
      <c r="CV518" s="240"/>
      <c r="CW518" s="240"/>
      <c r="CX518" s="240"/>
      <c r="CY518" s="240"/>
      <c r="CZ518" s="240"/>
      <c r="DA518" s="240"/>
      <c r="DB518" s="240"/>
      <c r="DC518" s="240"/>
      <c r="DD518" s="240"/>
      <c r="DE518" s="240"/>
      <c r="DF518" s="240"/>
      <c r="DG518" s="733"/>
      <c r="DH518" s="478"/>
      <c r="DI518" s="195"/>
      <c r="DJ518" s="1"/>
      <c r="DK518" s="478"/>
      <c r="DL518" s="4"/>
      <c r="DM518" s="4"/>
      <c r="DN518" s="4"/>
      <c r="DO518" s="4"/>
      <c r="DP518" s="4"/>
      <c r="DQ518" s="4"/>
      <c r="DR518" s="4"/>
      <c r="DT518" s="195"/>
      <c r="DU518" s="195"/>
      <c r="DV518" s="195"/>
      <c r="DW518" s="195"/>
      <c r="DX518" s="195"/>
      <c r="DY518" s="195"/>
      <c r="DZ518" s="195"/>
      <c r="EA518" s="195"/>
      <c r="EB518" s="195"/>
      <c r="EC518" s="195"/>
      <c r="ED518" s="195"/>
      <c r="EE518" s="195"/>
      <c r="EF518" s="195"/>
      <c r="EG518" s="195"/>
      <c r="EL518" s="1"/>
      <c r="EM518" s="195"/>
      <c r="EN518" s="731"/>
      <c r="EO518" s="240"/>
      <c r="EP518" s="195"/>
      <c r="EQ518" s="240"/>
      <c r="ER518" s="195"/>
      <c r="ES518" s="195"/>
      <c r="ET518" s="195"/>
      <c r="EU518" s="731"/>
    </row>
    <row r="519" customFormat="false" ht="12.75" hidden="false" customHeight="false" outlineLevel="0" collapsed="false">
      <c r="I519" s="735"/>
      <c r="J519" s="727"/>
      <c r="K519" s="195"/>
      <c r="L519" s="195"/>
      <c r="M519" s="729"/>
      <c r="P519" s="727"/>
      <c r="S519" s="1"/>
      <c r="T519" s="727"/>
      <c r="U519" s="195"/>
      <c r="V519" s="195"/>
      <c r="W519" s="195"/>
      <c r="X519" s="195"/>
      <c r="Y519" s="195"/>
      <c r="Z519" s="195"/>
      <c r="AA519" s="195"/>
      <c r="AB519" s="195"/>
      <c r="AC519" s="195"/>
      <c r="AD519" s="195"/>
      <c r="AE519" s="195"/>
      <c r="AF519" s="195"/>
      <c r="AG519" s="195"/>
      <c r="AH519" s="195"/>
      <c r="AI519" s="195"/>
      <c r="AJ519" s="195"/>
      <c r="AK519" s="195"/>
      <c r="AL519" s="195"/>
      <c r="AM519" s="195"/>
      <c r="AN519" s="532"/>
      <c r="AO519" s="532"/>
      <c r="AP519" s="240"/>
      <c r="AQ519" s="532"/>
      <c r="AR519" s="240"/>
      <c r="AS519" s="240"/>
      <c r="AT519" s="240"/>
      <c r="AU519" s="240"/>
      <c r="AV519" s="730"/>
      <c r="AW519" s="730"/>
      <c r="AX519" s="730"/>
      <c r="AY519" s="468"/>
      <c r="AZ519" s="468"/>
      <c r="BA519" s="240"/>
      <c r="BB519" s="240"/>
      <c r="BC519" s="240"/>
      <c r="BD519" s="240"/>
      <c r="BE519" s="240"/>
      <c r="BF519" s="672"/>
      <c r="BG519" s="672"/>
      <c r="BH519" s="731"/>
      <c r="BI519" s="672"/>
      <c r="BJ519" s="240"/>
      <c r="BK519" s="736"/>
      <c r="BL519" s="732"/>
      <c r="BM519" s="240"/>
      <c r="BN519" s="240"/>
      <c r="BO519" s="240"/>
      <c r="BP519" s="240"/>
      <c r="BQ519" s="240"/>
      <c r="BR519" s="240"/>
      <c r="BS519" s="240"/>
      <c r="BT519" s="240"/>
      <c r="BU519" s="240"/>
      <c r="BV519" s="240"/>
      <c r="BW519" s="240"/>
      <c r="BX519" s="240"/>
      <c r="BY519" s="240"/>
      <c r="BZ519" s="240"/>
      <c r="CA519" s="240"/>
      <c r="CB519" s="672"/>
      <c r="CC519" s="672"/>
      <c r="CD519" s="672"/>
      <c r="CE519" s="672"/>
      <c r="CF519" s="672"/>
      <c r="CG519" s="672"/>
      <c r="CH519" s="240"/>
      <c r="CI519" s="240"/>
      <c r="CJ519" s="240"/>
      <c r="CK519" s="240"/>
      <c r="CL519" s="240"/>
      <c r="CM519" s="240"/>
      <c r="CN519" s="240"/>
      <c r="CO519" s="240"/>
      <c r="CP519" s="240"/>
      <c r="CQ519" s="240"/>
      <c r="CR519" s="240"/>
      <c r="CS519" s="240"/>
      <c r="CT519" s="240"/>
      <c r="CU519" s="240"/>
      <c r="CV519" s="240"/>
      <c r="CW519" s="240"/>
      <c r="CX519" s="240"/>
      <c r="CY519" s="240"/>
      <c r="CZ519" s="240"/>
      <c r="DA519" s="240"/>
      <c r="DB519" s="240"/>
      <c r="DC519" s="240"/>
      <c r="DD519" s="240"/>
      <c r="DE519" s="240"/>
      <c r="DF519" s="240"/>
      <c r="DG519" s="728"/>
      <c r="DH519" s="728"/>
      <c r="DI519" s="195"/>
      <c r="DJ519" s="1"/>
      <c r="DK519" s="3"/>
      <c r="DL519" s="4"/>
      <c r="DM519" s="4"/>
      <c r="DN519" s="4"/>
      <c r="DO519" s="4"/>
      <c r="DP519" s="4"/>
      <c r="DQ519" s="4"/>
      <c r="DR519" s="4"/>
      <c r="DT519" s="195"/>
      <c r="DU519" s="195"/>
      <c r="DV519" s="195"/>
      <c r="DW519" s="195"/>
      <c r="DX519" s="195"/>
      <c r="DY519" s="195"/>
      <c r="DZ519" s="195"/>
      <c r="EA519" s="195"/>
      <c r="EB519" s="195"/>
      <c r="EC519" s="195"/>
      <c r="ED519" s="195"/>
      <c r="EE519" s="195"/>
      <c r="EF519" s="195"/>
      <c r="EG519" s="195"/>
      <c r="EL519" s="1"/>
      <c r="EM519" s="195"/>
      <c r="EN519" s="731"/>
      <c r="EO519" s="240"/>
      <c r="EP519" s="195"/>
      <c r="EQ519" s="240"/>
      <c r="ER519" s="195"/>
      <c r="ES519" s="195"/>
      <c r="ET519" s="195"/>
      <c r="EU519" s="731"/>
    </row>
    <row r="520" customFormat="false" ht="12.75" hidden="false" customHeight="false" outlineLevel="0" collapsed="false">
      <c r="I520" s="735"/>
      <c r="J520" s="728"/>
      <c r="K520" s="195"/>
      <c r="L520" s="195"/>
      <c r="S520" s="1"/>
      <c r="T520" s="195"/>
      <c r="U520" s="195"/>
      <c r="V520" s="195"/>
      <c r="W520" s="195"/>
      <c r="X520" s="195"/>
      <c r="Y520" s="195"/>
      <c r="Z520" s="195"/>
      <c r="AA520" s="195"/>
      <c r="AB520" s="195"/>
      <c r="AC520" s="195"/>
      <c r="AD520" s="195"/>
      <c r="AE520" s="195"/>
      <c r="AF520" s="195"/>
      <c r="AG520" s="195"/>
      <c r="AH520" s="195"/>
      <c r="AI520" s="195"/>
      <c r="AJ520" s="195"/>
      <c r="AK520" s="195"/>
      <c r="AL520" s="195"/>
      <c r="AM520" s="195"/>
      <c r="AN520" s="195"/>
      <c r="AO520" s="195"/>
      <c r="AP520" s="240"/>
      <c r="AQ520" s="195"/>
      <c r="AR520" s="240"/>
      <c r="AS520" s="240"/>
      <c r="AT520" s="240"/>
      <c r="AU520" s="240"/>
      <c r="AV520" s="730"/>
      <c r="AW520" s="730"/>
      <c r="AX520" s="730"/>
      <c r="AY520" s="468"/>
      <c r="AZ520" s="468"/>
      <c r="BA520" s="240"/>
      <c r="BB520" s="240"/>
      <c r="BC520" s="240"/>
      <c r="BD520" s="240"/>
      <c r="BE520" s="240"/>
      <c r="BF520" s="672"/>
      <c r="BG520" s="672"/>
      <c r="BH520" s="731"/>
      <c r="BI520" s="672"/>
      <c r="BJ520" s="240"/>
      <c r="BK520" s="736"/>
      <c r="BL520" s="732"/>
      <c r="BM520" s="240"/>
      <c r="BN520" s="240"/>
      <c r="BO520" s="240"/>
      <c r="BP520" s="240"/>
      <c r="BQ520" s="240"/>
      <c r="BR520" s="240"/>
      <c r="BS520" s="240"/>
      <c r="BT520" s="240"/>
      <c r="BU520" s="240"/>
      <c r="BV520" s="240"/>
      <c r="BW520" s="240"/>
      <c r="BX520" s="240"/>
      <c r="BY520" s="240"/>
      <c r="BZ520" s="240"/>
      <c r="CA520" s="240"/>
      <c r="CB520" s="672"/>
      <c r="CC520" s="672"/>
      <c r="CD520" s="672"/>
      <c r="CE520" s="672"/>
      <c r="CF520" s="672"/>
      <c r="CG520" s="672"/>
      <c r="CH520" s="240"/>
      <c r="CI520" s="240"/>
      <c r="CJ520" s="240"/>
      <c r="CK520" s="240"/>
      <c r="CL520" s="240"/>
      <c r="CM520" s="240"/>
      <c r="CN520" s="240"/>
      <c r="CO520" s="240"/>
      <c r="CP520" s="240"/>
      <c r="CQ520" s="240"/>
      <c r="CR520" s="240"/>
      <c r="CS520" s="240"/>
      <c r="CT520" s="240"/>
      <c r="CU520" s="240"/>
      <c r="CV520" s="240"/>
      <c r="CW520" s="240"/>
      <c r="CX520" s="240"/>
      <c r="CY520" s="240"/>
      <c r="CZ520" s="240"/>
      <c r="DA520" s="240"/>
      <c r="DB520" s="240"/>
      <c r="DC520" s="240"/>
      <c r="DD520" s="240"/>
      <c r="DE520" s="240"/>
      <c r="DF520" s="240"/>
      <c r="DG520" s="728"/>
      <c r="DH520" s="728"/>
      <c r="DI520" s="195"/>
      <c r="DJ520" s="1"/>
      <c r="DK520" s="3"/>
      <c r="DL520" s="4"/>
      <c r="DM520" s="4"/>
      <c r="DN520" s="4"/>
      <c r="DO520" s="4"/>
      <c r="DP520" s="4"/>
      <c r="DQ520" s="4"/>
      <c r="DR520" s="4"/>
      <c r="DT520" s="195"/>
      <c r="DU520" s="195"/>
      <c r="DV520" s="195"/>
      <c r="DW520" s="195"/>
      <c r="DX520" s="195"/>
      <c r="DY520" s="195"/>
      <c r="DZ520" s="195"/>
      <c r="EA520" s="195"/>
      <c r="EB520" s="195"/>
      <c r="EC520" s="195"/>
      <c r="ED520" s="195"/>
      <c r="EE520" s="195"/>
      <c r="EF520" s="195"/>
      <c r="EG520" s="195"/>
      <c r="EL520" s="1"/>
      <c r="EM520" s="195"/>
      <c r="EN520" s="731"/>
      <c r="EO520" s="240"/>
      <c r="EP520" s="195"/>
      <c r="EQ520" s="240"/>
      <c r="ER520" s="195"/>
      <c r="ES520" s="195"/>
      <c r="ET520" s="195"/>
      <c r="EU520" s="731"/>
    </row>
    <row r="521" customFormat="false" ht="12.75" hidden="false" customHeight="false" outlineLevel="0" collapsed="false">
      <c r="I521" s="735"/>
      <c r="J521" s="728"/>
      <c r="K521" s="195"/>
      <c r="L521" s="195"/>
      <c r="S521" s="1"/>
      <c r="T521" s="195"/>
      <c r="U521" s="195"/>
      <c r="V521" s="195"/>
      <c r="W521" s="195"/>
      <c r="X521" s="195"/>
      <c r="Y521" s="195"/>
      <c r="Z521" s="195"/>
      <c r="AA521" s="195"/>
      <c r="AB521" s="195"/>
      <c r="AC521" s="195"/>
      <c r="AD521" s="195"/>
      <c r="AE521" s="195"/>
      <c r="AF521" s="195"/>
      <c r="AG521" s="195"/>
      <c r="AH521" s="195"/>
      <c r="AI521" s="195"/>
      <c r="AJ521" s="195"/>
      <c r="AK521" s="195"/>
      <c r="AL521" s="195"/>
      <c r="AM521" s="195"/>
      <c r="AN521" s="195"/>
      <c r="AO521" s="195"/>
      <c r="AP521" s="240"/>
      <c r="AQ521" s="195"/>
      <c r="AR521" s="240"/>
      <c r="AS521" s="240"/>
      <c r="AT521" s="240"/>
      <c r="AU521" s="240"/>
      <c r="AV521" s="730"/>
      <c r="AW521" s="730"/>
      <c r="AX521" s="730"/>
      <c r="AY521" s="468"/>
      <c r="AZ521" s="468"/>
      <c r="BA521" s="240"/>
      <c r="BB521" s="240"/>
      <c r="BC521" s="240"/>
      <c r="BD521" s="240"/>
      <c r="BE521" s="240"/>
      <c r="BF521" s="672"/>
      <c r="BG521" s="672"/>
      <c r="BH521" s="731"/>
      <c r="BI521" s="672"/>
      <c r="BJ521" s="240"/>
      <c r="BK521" s="736"/>
      <c r="BL521" s="732"/>
      <c r="BM521" s="240"/>
      <c r="BN521" s="240"/>
      <c r="BO521" s="240"/>
      <c r="BP521" s="240"/>
      <c r="BQ521" s="240"/>
      <c r="BR521" s="240"/>
      <c r="BS521" s="240"/>
      <c r="BT521" s="240"/>
      <c r="BU521" s="240"/>
      <c r="BV521" s="240"/>
      <c r="BW521" s="240"/>
      <c r="BX521" s="240"/>
      <c r="BY521" s="240"/>
      <c r="BZ521" s="240"/>
      <c r="CA521" s="240"/>
      <c r="CB521" s="672"/>
      <c r="CC521" s="672"/>
      <c r="CD521" s="672"/>
      <c r="CE521" s="672"/>
      <c r="CF521" s="672"/>
      <c r="CG521" s="672"/>
      <c r="CH521" s="240"/>
      <c r="CI521" s="240"/>
      <c r="CJ521" s="240"/>
      <c r="CK521" s="240"/>
      <c r="CL521" s="240"/>
      <c r="CM521" s="240"/>
      <c r="CN521" s="240"/>
      <c r="CO521" s="240"/>
      <c r="CP521" s="240"/>
      <c r="CQ521" s="240"/>
      <c r="CR521" s="240"/>
      <c r="CS521" s="240"/>
      <c r="CT521" s="240"/>
      <c r="CU521" s="240"/>
      <c r="CV521" s="240"/>
      <c r="CW521" s="240"/>
      <c r="CX521" s="240"/>
      <c r="CY521" s="240"/>
      <c r="CZ521" s="240"/>
      <c r="DA521" s="240"/>
      <c r="DB521" s="240"/>
      <c r="DC521" s="240"/>
      <c r="DD521" s="240"/>
      <c r="DE521" s="240"/>
      <c r="DF521" s="240"/>
      <c r="DG521" s="728"/>
      <c r="DH521" s="728"/>
      <c r="DI521" s="195"/>
      <c r="DJ521" s="1"/>
      <c r="DK521" s="3"/>
      <c r="DL521" s="4"/>
      <c r="DM521" s="4"/>
      <c r="DN521" s="4"/>
      <c r="DO521" s="4"/>
      <c r="DP521" s="4"/>
      <c r="DQ521" s="4"/>
      <c r="DR521" s="4"/>
      <c r="DT521" s="195"/>
      <c r="DU521" s="195"/>
      <c r="DV521" s="195"/>
      <c r="DW521" s="195"/>
      <c r="DX521" s="195"/>
      <c r="DY521" s="195"/>
      <c r="DZ521" s="195"/>
      <c r="EA521" s="195"/>
      <c r="EB521" s="195"/>
      <c r="EC521" s="195"/>
      <c r="ED521" s="195"/>
      <c r="EE521" s="195"/>
      <c r="EF521" s="195"/>
      <c r="EG521" s="195"/>
      <c r="EL521" s="1"/>
      <c r="EM521" s="195"/>
      <c r="EN521" s="731"/>
      <c r="EO521" s="240"/>
      <c r="EP521" s="195"/>
      <c r="EQ521" s="240"/>
      <c r="ER521" s="195"/>
      <c r="ES521" s="195"/>
      <c r="ET521" s="195"/>
      <c r="EU521" s="731"/>
    </row>
    <row r="522" customFormat="false" ht="12.75" hidden="false" customHeight="false" outlineLevel="0" collapsed="false">
      <c r="I522" s="735"/>
      <c r="J522" s="728"/>
      <c r="K522" s="195"/>
      <c r="L522" s="195"/>
      <c r="S522" s="1"/>
      <c r="T522" s="195"/>
      <c r="U522" s="195"/>
      <c r="V522" s="195"/>
      <c r="W522" s="195"/>
      <c r="X522" s="195"/>
      <c r="Y522" s="195"/>
      <c r="Z522" s="195"/>
      <c r="AA522" s="195"/>
      <c r="AB522" s="195"/>
      <c r="AC522" s="195"/>
      <c r="AD522" s="195"/>
      <c r="AE522" s="195"/>
      <c r="AF522" s="195"/>
      <c r="AG522" s="195"/>
      <c r="AH522" s="195"/>
      <c r="AI522" s="195"/>
      <c r="AJ522" s="195"/>
      <c r="AK522" s="195"/>
      <c r="AL522" s="195"/>
      <c r="AM522" s="195"/>
      <c r="AN522" s="195"/>
      <c r="AO522" s="195"/>
      <c r="AP522" s="240"/>
      <c r="AQ522" s="195"/>
      <c r="AR522" s="240"/>
      <c r="AS522" s="240"/>
      <c r="AT522" s="240"/>
      <c r="AU522" s="240"/>
      <c r="AV522" s="730"/>
      <c r="AW522" s="730"/>
      <c r="AX522" s="730"/>
      <c r="AY522" s="468"/>
      <c r="AZ522" s="468"/>
      <c r="BA522" s="240"/>
      <c r="BB522" s="240"/>
      <c r="BC522" s="240"/>
      <c r="BD522" s="240"/>
      <c r="BE522" s="240"/>
      <c r="BF522" s="672"/>
      <c r="BG522" s="672"/>
      <c r="BH522" s="731"/>
      <c r="BI522" s="672"/>
      <c r="BJ522" s="240"/>
      <c r="BK522" s="736"/>
      <c r="BL522" s="732"/>
      <c r="BM522" s="240"/>
      <c r="BN522" s="240"/>
      <c r="BO522" s="240"/>
      <c r="BP522" s="240"/>
      <c r="BQ522" s="240"/>
      <c r="BR522" s="240"/>
      <c r="BS522" s="240"/>
      <c r="BT522" s="240"/>
      <c r="BU522" s="240"/>
      <c r="BV522" s="240"/>
      <c r="BW522" s="240"/>
      <c r="BX522" s="240"/>
      <c r="BY522" s="240"/>
      <c r="BZ522" s="240"/>
      <c r="CA522" s="240"/>
      <c r="CB522" s="672"/>
      <c r="CC522" s="672"/>
      <c r="CD522" s="672"/>
      <c r="CE522" s="672"/>
      <c r="CF522" s="672"/>
      <c r="CG522" s="672"/>
      <c r="CH522" s="240"/>
      <c r="CI522" s="240"/>
      <c r="CJ522" s="240"/>
      <c r="CK522" s="240"/>
      <c r="CL522" s="240"/>
      <c r="CM522" s="240"/>
      <c r="CN522" s="240"/>
      <c r="CO522" s="240"/>
      <c r="CP522" s="240"/>
      <c r="CQ522" s="240"/>
      <c r="CR522" s="240"/>
      <c r="CS522" s="240"/>
      <c r="CT522" s="240"/>
      <c r="CU522" s="240"/>
      <c r="CV522" s="240"/>
      <c r="CW522" s="240"/>
      <c r="CX522" s="240"/>
      <c r="CY522" s="240"/>
      <c r="CZ522" s="240"/>
      <c r="DA522" s="240"/>
      <c r="DB522" s="240"/>
      <c r="DC522" s="240"/>
      <c r="DD522" s="240"/>
      <c r="DE522" s="240"/>
      <c r="DF522" s="240"/>
      <c r="DG522" s="728"/>
      <c r="DH522" s="728"/>
      <c r="DI522" s="195"/>
      <c r="DJ522" s="1"/>
      <c r="DK522" s="3"/>
      <c r="DL522" s="4"/>
      <c r="DM522" s="4"/>
      <c r="DN522" s="4"/>
      <c r="DO522" s="4"/>
      <c r="DP522" s="4"/>
      <c r="DQ522" s="4"/>
      <c r="DR522" s="4"/>
      <c r="DT522" s="195"/>
      <c r="DU522" s="195"/>
      <c r="DV522" s="195"/>
      <c r="DW522" s="195"/>
      <c r="DX522" s="195"/>
      <c r="DY522" s="195"/>
      <c r="DZ522" s="195"/>
      <c r="EA522" s="195"/>
      <c r="EB522" s="195"/>
      <c r="EC522" s="195"/>
      <c r="ED522" s="195"/>
      <c r="EE522" s="195"/>
      <c r="EF522" s="195"/>
      <c r="EG522" s="195"/>
      <c r="EL522" s="1"/>
      <c r="EM522" s="195"/>
      <c r="EN522" s="731"/>
      <c r="EO522" s="240"/>
      <c r="EP522" s="195"/>
      <c r="EQ522" s="240"/>
      <c r="ER522" s="195"/>
      <c r="ES522" s="195"/>
      <c r="ET522" s="195"/>
      <c r="EU522" s="731"/>
    </row>
    <row r="523" customFormat="false" ht="12.75" hidden="false" customHeight="false" outlineLevel="0" collapsed="false">
      <c r="I523" s="735"/>
      <c r="J523" s="728"/>
      <c r="K523" s="195"/>
      <c r="L523" s="195"/>
      <c r="S523" s="1"/>
      <c r="T523" s="195"/>
      <c r="U523" s="195"/>
      <c r="V523" s="195"/>
      <c r="W523" s="195"/>
      <c r="X523" s="195"/>
      <c r="Y523" s="195"/>
      <c r="Z523" s="195"/>
      <c r="AA523" s="195"/>
      <c r="AB523" s="195"/>
      <c r="AC523" s="195"/>
      <c r="AD523" s="195"/>
      <c r="AE523" s="195"/>
      <c r="AF523" s="195"/>
      <c r="AG523" s="195"/>
      <c r="AH523" s="195"/>
      <c r="AI523" s="195"/>
      <c r="AJ523" s="195"/>
      <c r="AK523" s="195"/>
      <c r="AL523" s="195"/>
      <c r="AM523" s="195"/>
      <c r="AN523" s="195"/>
      <c r="AO523" s="195"/>
      <c r="AP523" s="240"/>
      <c r="AQ523" s="195"/>
      <c r="AR523" s="240"/>
      <c r="AS523" s="240"/>
      <c r="AT523" s="240"/>
      <c r="AU523" s="240"/>
      <c r="AV523" s="730"/>
      <c r="AW523" s="730"/>
      <c r="AX523" s="730"/>
      <c r="AY523" s="468"/>
      <c r="AZ523" s="468"/>
      <c r="BA523" s="240"/>
      <c r="BB523" s="240"/>
      <c r="BC523" s="240"/>
      <c r="BD523" s="240"/>
      <c r="BE523" s="240"/>
      <c r="BF523" s="672"/>
      <c r="BG523" s="672"/>
      <c r="BH523" s="731"/>
      <c r="BI523" s="672"/>
      <c r="BJ523" s="240"/>
      <c r="BK523" s="736"/>
      <c r="BL523" s="732"/>
      <c r="BM523" s="240"/>
      <c r="BN523" s="240"/>
      <c r="BO523" s="240"/>
      <c r="BP523" s="240"/>
      <c r="BQ523" s="240"/>
      <c r="BR523" s="240"/>
      <c r="BS523" s="240"/>
      <c r="BT523" s="240"/>
      <c r="BU523" s="240"/>
      <c r="BV523" s="240"/>
      <c r="BW523" s="240"/>
      <c r="BX523" s="240"/>
      <c r="BY523" s="240"/>
      <c r="BZ523" s="240"/>
      <c r="CA523" s="240"/>
      <c r="CB523" s="672"/>
      <c r="CC523" s="672"/>
      <c r="CD523" s="672"/>
      <c r="CE523" s="672"/>
      <c r="CF523" s="672"/>
      <c r="CG523" s="672"/>
      <c r="CH523" s="240"/>
      <c r="CI523" s="240"/>
      <c r="CJ523" s="240"/>
      <c r="CK523" s="240"/>
      <c r="CL523" s="240"/>
      <c r="CM523" s="240"/>
      <c r="CN523" s="240"/>
      <c r="CO523" s="240"/>
      <c r="CP523" s="240"/>
      <c r="CQ523" s="240"/>
      <c r="CR523" s="240"/>
      <c r="CS523" s="240"/>
      <c r="CT523" s="240"/>
      <c r="CU523" s="240"/>
      <c r="CV523" s="240"/>
      <c r="CW523" s="240"/>
      <c r="CX523" s="240"/>
      <c r="CY523" s="240"/>
      <c r="CZ523" s="240"/>
      <c r="DA523" s="240"/>
      <c r="DB523" s="240"/>
      <c r="DC523" s="240"/>
      <c r="DD523" s="240"/>
      <c r="DE523" s="240"/>
      <c r="DF523" s="240"/>
      <c r="DG523" s="728"/>
      <c r="DH523" s="728"/>
      <c r="DI523" s="195"/>
      <c r="DJ523" s="1"/>
      <c r="DK523" s="3"/>
      <c r="DL523" s="4"/>
      <c r="DM523" s="4"/>
      <c r="DN523" s="4"/>
      <c r="DO523" s="4"/>
      <c r="DP523" s="4"/>
      <c r="DQ523" s="4"/>
      <c r="DR523" s="4"/>
      <c r="DT523" s="195"/>
      <c r="DU523" s="195"/>
      <c r="DV523" s="195"/>
      <c r="DW523" s="195"/>
      <c r="DX523" s="195"/>
      <c r="DY523" s="195"/>
      <c r="DZ523" s="195"/>
      <c r="EA523" s="195"/>
      <c r="EB523" s="195"/>
      <c r="EC523" s="195"/>
      <c r="ED523" s="195"/>
      <c r="EE523" s="195"/>
      <c r="EF523" s="195"/>
      <c r="EG523" s="195"/>
      <c r="EL523" s="1"/>
      <c r="EM523" s="195"/>
      <c r="EN523" s="731"/>
      <c r="EO523" s="240"/>
      <c r="EP523" s="195"/>
      <c r="EQ523" s="240"/>
      <c r="ER523" s="195"/>
      <c r="ES523" s="195"/>
      <c r="ET523" s="195"/>
      <c r="EU523" s="731"/>
    </row>
    <row r="524" customFormat="false" ht="12.75" hidden="false" customHeight="false" outlineLevel="0" collapsed="false">
      <c r="I524" s="735"/>
      <c r="J524" s="728"/>
      <c r="K524" s="195"/>
      <c r="L524" s="195"/>
      <c r="S524" s="1"/>
      <c r="T524" s="195"/>
      <c r="U524" s="195"/>
      <c r="V524" s="195"/>
      <c r="W524" s="195"/>
      <c r="X524" s="195"/>
      <c r="Y524" s="195"/>
      <c r="Z524" s="195"/>
      <c r="AA524" s="195"/>
      <c r="AB524" s="195"/>
      <c r="AC524" s="195"/>
      <c r="AD524" s="195"/>
      <c r="AE524" s="195"/>
      <c r="AF524" s="195"/>
      <c r="AG524" s="195"/>
      <c r="AH524" s="195"/>
      <c r="AI524" s="195"/>
      <c r="AJ524" s="195"/>
      <c r="AK524" s="195"/>
      <c r="AL524" s="195"/>
      <c r="AM524" s="195"/>
      <c r="AN524" s="195"/>
      <c r="AO524" s="195"/>
      <c r="AP524" s="240"/>
      <c r="AQ524" s="195"/>
      <c r="AR524" s="240"/>
      <c r="AS524" s="240"/>
      <c r="AT524" s="240"/>
      <c r="AU524" s="240"/>
      <c r="AV524" s="730"/>
      <c r="AW524" s="730"/>
      <c r="AX524" s="730"/>
      <c r="AY524" s="468"/>
      <c r="AZ524" s="468"/>
      <c r="BA524" s="240"/>
      <c r="BB524" s="240"/>
      <c r="BC524" s="240"/>
      <c r="BD524" s="240"/>
      <c r="BE524" s="240"/>
      <c r="BF524" s="672"/>
      <c r="BG524" s="672"/>
      <c r="BH524" s="731"/>
      <c r="BI524" s="672"/>
      <c r="BJ524" s="240"/>
      <c r="BK524" s="736"/>
      <c r="BL524" s="732"/>
      <c r="BM524" s="240"/>
      <c r="BN524" s="240"/>
      <c r="BO524" s="240"/>
      <c r="BP524" s="240"/>
      <c r="BQ524" s="240"/>
      <c r="BR524" s="240"/>
      <c r="BS524" s="240"/>
      <c r="BT524" s="240"/>
      <c r="BU524" s="240"/>
      <c r="BV524" s="240"/>
      <c r="BW524" s="240"/>
      <c r="BX524" s="240"/>
      <c r="BY524" s="240"/>
      <c r="BZ524" s="240"/>
      <c r="CA524" s="240"/>
      <c r="CB524" s="672"/>
      <c r="CC524" s="672"/>
      <c r="CD524" s="672"/>
      <c r="CE524" s="672"/>
      <c r="CF524" s="672"/>
      <c r="CG524" s="672"/>
      <c r="CH524" s="240"/>
      <c r="CI524" s="240"/>
      <c r="CJ524" s="240"/>
      <c r="CK524" s="240"/>
      <c r="CL524" s="240"/>
      <c r="CM524" s="240"/>
      <c r="CN524" s="240"/>
      <c r="CO524" s="240"/>
      <c r="CP524" s="240"/>
      <c r="CQ524" s="240"/>
      <c r="CR524" s="240"/>
      <c r="CS524" s="240"/>
      <c r="CT524" s="240"/>
      <c r="CU524" s="240"/>
      <c r="CV524" s="240"/>
      <c r="CW524" s="240"/>
      <c r="CX524" s="240"/>
      <c r="CY524" s="240"/>
      <c r="CZ524" s="240"/>
      <c r="DA524" s="240"/>
      <c r="DB524" s="240"/>
      <c r="DC524" s="240"/>
      <c r="DD524" s="240"/>
      <c r="DE524" s="240"/>
      <c r="DF524" s="240"/>
      <c r="DG524" s="728"/>
      <c r="DH524" s="728"/>
      <c r="DI524" s="195"/>
      <c r="DJ524" s="1"/>
      <c r="DK524" s="3"/>
      <c r="DL524" s="4"/>
      <c r="DM524" s="4"/>
      <c r="DN524" s="4"/>
      <c r="DO524" s="4"/>
      <c r="DP524" s="4"/>
      <c r="DQ524" s="4"/>
      <c r="DR524" s="4"/>
      <c r="DT524" s="195"/>
      <c r="DU524" s="195"/>
      <c r="DV524" s="195"/>
      <c r="DW524" s="195"/>
      <c r="DX524" s="195"/>
      <c r="DY524" s="195"/>
      <c r="DZ524" s="195"/>
      <c r="EA524" s="195"/>
      <c r="EB524" s="195"/>
      <c r="EC524" s="195"/>
      <c r="ED524" s="195"/>
      <c r="EE524" s="195"/>
      <c r="EF524" s="195"/>
      <c r="EG524" s="195"/>
      <c r="EL524" s="1"/>
      <c r="EM524" s="195"/>
      <c r="EN524" s="731"/>
      <c r="EO524" s="240"/>
      <c r="EP524" s="195"/>
      <c r="EQ524" s="240"/>
      <c r="ER524" s="195"/>
      <c r="ES524" s="195"/>
      <c r="ET524" s="195"/>
      <c r="EU524" s="731"/>
    </row>
    <row r="525" customFormat="false" ht="12.75" hidden="false" customHeight="false" outlineLevel="0" collapsed="false">
      <c r="I525" s="735"/>
      <c r="J525" s="728"/>
      <c r="K525" s="195"/>
      <c r="L525" s="195"/>
      <c r="S525" s="1"/>
      <c r="T525" s="195"/>
      <c r="U525" s="195"/>
      <c r="V525" s="195"/>
      <c r="W525" s="195"/>
      <c r="X525" s="195"/>
      <c r="Y525" s="195"/>
      <c r="Z525" s="195"/>
      <c r="AA525" s="195"/>
      <c r="AB525" s="195"/>
      <c r="AC525" s="195"/>
      <c r="AD525" s="195"/>
      <c r="AE525" s="195"/>
      <c r="AF525" s="195"/>
      <c r="AG525" s="195"/>
      <c r="AH525" s="195"/>
      <c r="AI525" s="195"/>
      <c r="AJ525" s="195"/>
      <c r="AK525" s="195"/>
      <c r="AL525" s="195"/>
      <c r="AM525" s="195"/>
      <c r="AN525" s="195"/>
      <c r="AO525" s="195"/>
      <c r="AP525" s="240"/>
      <c r="AQ525" s="195"/>
      <c r="AR525" s="240"/>
      <c r="AS525" s="240"/>
      <c r="AT525" s="240"/>
      <c r="AU525" s="240"/>
      <c r="AV525" s="730"/>
      <c r="AW525" s="730"/>
      <c r="AX525" s="730"/>
      <c r="AY525" s="468"/>
      <c r="AZ525" s="468"/>
      <c r="BA525" s="240"/>
      <c r="BB525" s="240"/>
      <c r="BC525" s="240"/>
      <c r="BD525" s="240"/>
      <c r="BE525" s="240"/>
      <c r="BF525" s="672"/>
      <c r="BG525" s="672"/>
      <c r="BH525" s="731"/>
      <c r="BI525" s="672"/>
      <c r="BJ525" s="240"/>
      <c r="BK525" s="736"/>
      <c r="BL525" s="732"/>
      <c r="BM525" s="240"/>
      <c r="BN525" s="240"/>
      <c r="BO525" s="240"/>
      <c r="BP525" s="240"/>
      <c r="BQ525" s="240"/>
      <c r="BR525" s="240"/>
      <c r="BS525" s="240"/>
      <c r="BT525" s="240"/>
      <c r="BU525" s="240"/>
      <c r="BV525" s="240"/>
      <c r="BW525" s="240"/>
      <c r="BX525" s="240"/>
      <c r="BY525" s="240"/>
      <c r="BZ525" s="240"/>
      <c r="CA525" s="240"/>
      <c r="CB525" s="672"/>
      <c r="CC525" s="672"/>
      <c r="CD525" s="672"/>
      <c r="CE525" s="672"/>
      <c r="CF525" s="672"/>
      <c r="CG525" s="672"/>
      <c r="CH525" s="240"/>
      <c r="CI525" s="240"/>
      <c r="CJ525" s="240"/>
      <c r="CK525" s="240"/>
      <c r="CL525" s="240"/>
      <c r="CM525" s="240"/>
      <c r="CN525" s="240"/>
      <c r="CO525" s="240"/>
      <c r="CP525" s="240"/>
      <c r="CQ525" s="240"/>
      <c r="CR525" s="240"/>
      <c r="CS525" s="240"/>
      <c r="CT525" s="240"/>
      <c r="CU525" s="240"/>
      <c r="CV525" s="240"/>
      <c r="CW525" s="240"/>
      <c r="CX525" s="240"/>
      <c r="CY525" s="240"/>
      <c r="CZ525" s="240"/>
      <c r="DA525" s="240"/>
      <c r="DB525" s="240"/>
      <c r="DC525" s="240"/>
      <c r="DD525" s="240"/>
      <c r="DE525" s="240"/>
      <c r="DF525" s="240"/>
      <c r="DG525" s="728"/>
      <c r="DH525" s="728"/>
      <c r="DI525" s="195"/>
      <c r="DJ525" s="1"/>
      <c r="DK525" s="3"/>
      <c r="DL525" s="4"/>
      <c r="DM525" s="4"/>
      <c r="DN525" s="4"/>
      <c r="DO525" s="4"/>
      <c r="DP525" s="4"/>
      <c r="DQ525" s="4"/>
      <c r="DR525" s="4"/>
      <c r="DT525" s="195"/>
      <c r="DU525" s="195"/>
      <c r="DV525" s="195"/>
      <c r="DW525" s="195"/>
      <c r="DX525" s="195"/>
      <c r="DY525" s="195"/>
      <c r="DZ525" s="195"/>
      <c r="EA525" s="195"/>
      <c r="EB525" s="195"/>
      <c r="EC525" s="195"/>
      <c r="ED525" s="195"/>
      <c r="EE525" s="195"/>
      <c r="EF525" s="195"/>
      <c r="EG525" s="195"/>
      <c r="EL525" s="1"/>
      <c r="EM525" s="195"/>
      <c r="EN525" s="731"/>
      <c r="EO525" s="240"/>
      <c r="EP525" s="195"/>
      <c r="EQ525" s="240"/>
      <c r="ER525" s="195"/>
      <c r="ES525" s="195"/>
      <c r="ET525" s="195"/>
      <c r="EU525" s="731"/>
    </row>
    <row r="526" customFormat="false" ht="12.75" hidden="false" customHeight="false" outlineLevel="0" collapsed="false">
      <c r="I526" s="735"/>
      <c r="J526" s="728"/>
      <c r="K526" s="195"/>
      <c r="L526" s="195"/>
      <c r="S526" s="1"/>
      <c r="T526" s="195"/>
      <c r="U526" s="195"/>
      <c r="V526" s="195"/>
      <c r="W526" s="195"/>
      <c r="X526" s="195"/>
      <c r="Y526" s="195"/>
      <c r="Z526" s="195"/>
      <c r="AA526" s="195"/>
      <c r="AB526" s="195"/>
      <c r="AC526" s="195"/>
      <c r="AD526" s="195"/>
      <c r="AE526" s="195"/>
      <c r="AF526" s="195"/>
      <c r="AG526" s="195"/>
      <c r="AH526" s="195"/>
      <c r="AI526" s="195"/>
      <c r="AJ526" s="195"/>
      <c r="AK526" s="195"/>
      <c r="AL526" s="195"/>
      <c r="AM526" s="195"/>
      <c r="AN526" s="195"/>
      <c r="AO526" s="195"/>
      <c r="AP526" s="240"/>
      <c r="AQ526" s="195"/>
      <c r="AR526" s="240"/>
      <c r="AS526" s="240"/>
      <c r="AT526" s="240"/>
      <c r="AU526" s="240"/>
      <c r="AV526" s="730"/>
      <c r="AW526" s="730"/>
      <c r="AX526" s="730"/>
      <c r="AY526" s="468"/>
      <c r="AZ526" s="468"/>
      <c r="BA526" s="240"/>
      <c r="BB526" s="240"/>
      <c r="BC526" s="240"/>
      <c r="BD526" s="240"/>
      <c r="BE526" s="240"/>
      <c r="BF526" s="672"/>
      <c r="BG526" s="672"/>
      <c r="BH526" s="731"/>
      <c r="BI526" s="672"/>
      <c r="BJ526" s="240"/>
      <c r="BK526" s="736"/>
      <c r="BL526" s="732"/>
      <c r="BM526" s="240"/>
      <c r="BN526" s="240"/>
      <c r="BO526" s="240"/>
      <c r="BP526" s="240"/>
      <c r="BQ526" s="240"/>
      <c r="BR526" s="240"/>
      <c r="BS526" s="240"/>
      <c r="BT526" s="240"/>
      <c r="BU526" s="240"/>
      <c r="BV526" s="240"/>
      <c r="BW526" s="240"/>
      <c r="BX526" s="240"/>
      <c r="BY526" s="240"/>
      <c r="BZ526" s="240"/>
      <c r="CA526" s="240"/>
      <c r="CB526" s="672"/>
      <c r="CC526" s="672"/>
      <c r="CD526" s="672"/>
      <c r="CE526" s="672"/>
      <c r="CF526" s="672"/>
      <c r="CG526" s="672"/>
      <c r="CH526" s="240"/>
      <c r="CI526" s="240"/>
      <c r="CJ526" s="240"/>
      <c r="CK526" s="240"/>
      <c r="CL526" s="240"/>
      <c r="CM526" s="240"/>
      <c r="CN526" s="240"/>
      <c r="CO526" s="240"/>
      <c r="CP526" s="240"/>
      <c r="CQ526" s="240"/>
      <c r="CR526" s="240"/>
      <c r="CS526" s="240"/>
      <c r="CT526" s="240"/>
      <c r="CU526" s="240"/>
      <c r="CV526" s="240"/>
      <c r="CW526" s="240"/>
      <c r="CX526" s="240"/>
      <c r="CY526" s="240"/>
      <c r="CZ526" s="240"/>
      <c r="DA526" s="240"/>
      <c r="DB526" s="240"/>
      <c r="DC526" s="240"/>
      <c r="DD526" s="240"/>
      <c r="DE526" s="240"/>
      <c r="DF526" s="240"/>
      <c r="DG526" s="728"/>
      <c r="DH526" s="728"/>
      <c r="DI526" s="195"/>
      <c r="DJ526" s="1"/>
      <c r="DK526" s="3"/>
      <c r="DL526" s="4"/>
      <c r="DM526" s="4"/>
      <c r="DN526" s="4"/>
      <c r="DO526" s="4"/>
      <c r="DP526" s="4"/>
      <c r="DQ526" s="4"/>
      <c r="DR526" s="4"/>
      <c r="DT526" s="195"/>
      <c r="DU526" s="195"/>
      <c r="DV526" s="195"/>
      <c r="DW526" s="195"/>
      <c r="DX526" s="195"/>
      <c r="DY526" s="195"/>
      <c r="DZ526" s="195"/>
      <c r="EA526" s="195"/>
      <c r="EB526" s="195"/>
      <c r="EC526" s="195"/>
      <c r="ED526" s="195"/>
      <c r="EE526" s="195"/>
      <c r="EF526" s="195"/>
      <c r="EG526" s="195"/>
      <c r="EL526" s="1"/>
      <c r="EM526" s="195"/>
      <c r="EN526" s="731"/>
      <c r="EO526" s="240"/>
      <c r="EP526" s="195"/>
      <c r="EQ526" s="240"/>
      <c r="ER526" s="195"/>
      <c r="ES526" s="195"/>
      <c r="ET526" s="195"/>
      <c r="EU526" s="731"/>
    </row>
    <row r="527" customFormat="false" ht="12.75" hidden="false" customHeight="false" outlineLevel="0" collapsed="false">
      <c r="I527" s="735"/>
      <c r="J527" s="728"/>
      <c r="K527" s="195"/>
      <c r="L527" s="195"/>
      <c r="S527" s="1"/>
      <c r="T527" s="195"/>
      <c r="U527" s="195"/>
      <c r="V527" s="195"/>
      <c r="W527" s="195"/>
      <c r="X527" s="195"/>
      <c r="Y527" s="195"/>
      <c r="Z527" s="195"/>
      <c r="AA527" s="195"/>
      <c r="AB527" s="195"/>
      <c r="AC527" s="195"/>
      <c r="AD527" s="195"/>
      <c r="AE527" s="195"/>
      <c r="AF527" s="195"/>
      <c r="AG527" s="195"/>
      <c r="AH527" s="195"/>
      <c r="AI527" s="195"/>
      <c r="AJ527" s="195"/>
      <c r="AK527" s="195"/>
      <c r="AL527" s="195"/>
      <c r="AM527" s="195"/>
      <c r="AN527" s="195"/>
      <c r="AO527" s="195"/>
      <c r="AP527" s="240"/>
      <c r="AQ527" s="195"/>
      <c r="AR527" s="240"/>
      <c r="AS527" s="240"/>
      <c r="AT527" s="240"/>
      <c r="AU527" s="240"/>
      <c r="AV527" s="730"/>
      <c r="AW527" s="730"/>
      <c r="AX527" s="730"/>
      <c r="AY527" s="468"/>
      <c r="AZ527" s="468"/>
      <c r="BA527" s="240"/>
      <c r="BB527" s="240"/>
      <c r="BC527" s="240"/>
      <c r="BD527" s="240"/>
      <c r="BE527" s="240"/>
      <c r="BF527" s="672"/>
      <c r="BG527" s="672"/>
      <c r="BH527" s="731"/>
      <c r="BI527" s="672"/>
      <c r="BJ527" s="240"/>
      <c r="BK527" s="736"/>
      <c r="BL527" s="732"/>
      <c r="BM527" s="240"/>
      <c r="BN527" s="240"/>
      <c r="BO527" s="240"/>
      <c r="BP527" s="240"/>
      <c r="BQ527" s="240"/>
      <c r="BR527" s="240"/>
      <c r="BS527" s="240"/>
      <c r="BT527" s="240"/>
      <c r="BU527" s="240"/>
      <c r="BV527" s="240"/>
      <c r="BW527" s="240"/>
      <c r="BX527" s="240"/>
      <c r="BY527" s="240"/>
      <c r="BZ527" s="240"/>
      <c r="CA527" s="240"/>
      <c r="CB527" s="672"/>
      <c r="CC527" s="672"/>
      <c r="CD527" s="672"/>
      <c r="CE527" s="672"/>
      <c r="CF527" s="672"/>
      <c r="CG527" s="672"/>
      <c r="CH527" s="240"/>
      <c r="CI527" s="240"/>
      <c r="CJ527" s="240"/>
      <c r="CK527" s="240"/>
      <c r="CL527" s="240"/>
      <c r="CM527" s="240"/>
      <c r="CN527" s="240"/>
      <c r="CO527" s="240"/>
      <c r="CP527" s="240"/>
      <c r="CQ527" s="240"/>
      <c r="CR527" s="240"/>
      <c r="CS527" s="240"/>
      <c r="CT527" s="240"/>
      <c r="CU527" s="240"/>
      <c r="CV527" s="240"/>
      <c r="CW527" s="240"/>
      <c r="CX527" s="240"/>
      <c r="CY527" s="240"/>
      <c r="CZ527" s="240"/>
      <c r="DA527" s="240"/>
      <c r="DB527" s="240"/>
      <c r="DC527" s="240"/>
      <c r="DD527" s="240"/>
      <c r="DE527" s="240"/>
      <c r="DF527" s="240"/>
      <c r="DG527" s="728"/>
      <c r="DH527" s="728"/>
      <c r="DI527" s="195"/>
      <c r="DJ527" s="1"/>
      <c r="DK527" s="3"/>
      <c r="DL527" s="4"/>
      <c r="DM527" s="4"/>
      <c r="DN527" s="4"/>
      <c r="DO527" s="4"/>
      <c r="DP527" s="4"/>
      <c r="DQ527" s="4"/>
      <c r="DR527" s="4"/>
      <c r="DT527" s="195"/>
      <c r="DU527" s="195"/>
      <c r="DV527" s="195"/>
      <c r="DW527" s="195"/>
      <c r="DX527" s="195"/>
      <c r="DY527" s="195"/>
      <c r="DZ527" s="195"/>
      <c r="EA527" s="195"/>
      <c r="EB527" s="195"/>
      <c r="EC527" s="195"/>
      <c r="ED527" s="195"/>
      <c r="EE527" s="195"/>
      <c r="EF527" s="195"/>
      <c r="EG527" s="195"/>
      <c r="EL527" s="1"/>
      <c r="EM527" s="195"/>
      <c r="EN527" s="731"/>
      <c r="EO527" s="240"/>
      <c r="EP527" s="195"/>
      <c r="EQ527" s="240"/>
      <c r="ER527" s="195"/>
      <c r="ES527" s="195"/>
      <c r="ET527" s="195"/>
      <c r="EU527" s="731"/>
    </row>
    <row r="528" customFormat="false" ht="12.75" hidden="false" customHeight="false" outlineLevel="0" collapsed="false">
      <c r="I528" s="735"/>
      <c r="J528" s="728"/>
      <c r="K528" s="195"/>
      <c r="L528" s="195"/>
      <c r="S528" s="1"/>
      <c r="T528" s="195"/>
      <c r="U528" s="195"/>
      <c r="V528" s="195"/>
      <c r="W528" s="195"/>
      <c r="X528" s="195"/>
      <c r="Y528" s="195"/>
      <c r="Z528" s="195"/>
      <c r="AA528" s="195"/>
      <c r="AB528" s="195"/>
      <c r="AC528" s="195"/>
      <c r="AD528" s="195"/>
      <c r="AE528" s="195"/>
      <c r="AF528" s="195"/>
      <c r="AG528" s="195"/>
      <c r="AH528" s="195"/>
      <c r="AI528" s="195"/>
      <c r="AJ528" s="195"/>
      <c r="AK528" s="195"/>
      <c r="AL528" s="195"/>
      <c r="AM528" s="195"/>
      <c r="AN528" s="195"/>
      <c r="AO528" s="195"/>
      <c r="AP528" s="240"/>
      <c r="AQ528" s="195"/>
      <c r="AR528" s="240"/>
      <c r="AS528" s="240"/>
      <c r="AT528" s="240"/>
      <c r="AU528" s="240"/>
      <c r="AV528" s="730"/>
      <c r="AW528" s="730"/>
      <c r="AX528" s="730"/>
      <c r="AY528" s="468"/>
      <c r="AZ528" s="468"/>
      <c r="BA528" s="240"/>
      <c r="BB528" s="240"/>
      <c r="BC528" s="240"/>
      <c r="BD528" s="240"/>
      <c r="BE528" s="240"/>
      <c r="BF528" s="672"/>
      <c r="BG528" s="672"/>
      <c r="BH528" s="731"/>
      <c r="BI528" s="672"/>
      <c r="BJ528" s="240"/>
      <c r="BK528" s="736"/>
      <c r="BL528" s="732"/>
      <c r="BM528" s="240"/>
      <c r="BN528" s="240"/>
      <c r="BO528" s="240"/>
      <c r="BP528" s="240"/>
      <c r="BQ528" s="240"/>
      <c r="BR528" s="240"/>
      <c r="BS528" s="240"/>
      <c r="BT528" s="240"/>
      <c r="BU528" s="240"/>
      <c r="BV528" s="240"/>
      <c r="BW528" s="240"/>
      <c r="BX528" s="240"/>
      <c r="BY528" s="240"/>
      <c r="BZ528" s="240"/>
      <c r="CA528" s="240"/>
      <c r="CB528" s="672"/>
      <c r="CC528" s="672"/>
      <c r="CD528" s="672"/>
      <c r="CE528" s="672"/>
      <c r="CF528" s="672"/>
      <c r="CG528" s="672"/>
      <c r="CH528" s="240"/>
      <c r="CI528" s="240"/>
      <c r="CJ528" s="240"/>
      <c r="CK528" s="240"/>
      <c r="CL528" s="240"/>
      <c r="CM528" s="240"/>
      <c r="CN528" s="240"/>
      <c r="CO528" s="240"/>
      <c r="CP528" s="240"/>
      <c r="CQ528" s="240"/>
      <c r="CR528" s="240"/>
      <c r="CS528" s="240"/>
      <c r="CT528" s="240"/>
      <c r="CU528" s="240"/>
      <c r="CV528" s="240"/>
      <c r="CW528" s="240"/>
      <c r="CX528" s="240"/>
      <c r="CY528" s="240"/>
      <c r="CZ528" s="240"/>
      <c r="DA528" s="240"/>
      <c r="DB528" s="240"/>
      <c r="DC528" s="240"/>
      <c r="DD528" s="240"/>
      <c r="DE528" s="240"/>
      <c r="DF528" s="240"/>
      <c r="DG528" s="728"/>
      <c r="DH528" s="728"/>
      <c r="DI528" s="195"/>
      <c r="DJ528" s="1"/>
      <c r="DK528" s="3"/>
      <c r="DL528" s="4"/>
      <c r="DM528" s="4"/>
      <c r="DN528" s="4"/>
      <c r="DO528" s="4"/>
      <c r="DP528" s="4"/>
      <c r="DQ528" s="4"/>
      <c r="DR528" s="4"/>
      <c r="DT528" s="195"/>
      <c r="DU528" s="195"/>
      <c r="DV528" s="195"/>
      <c r="DW528" s="195"/>
      <c r="DX528" s="195"/>
      <c r="DY528" s="195"/>
      <c r="DZ528" s="195"/>
      <c r="EA528" s="195"/>
      <c r="EB528" s="195"/>
      <c r="EC528" s="195"/>
      <c r="ED528" s="195"/>
      <c r="EE528" s="195"/>
      <c r="EF528" s="195"/>
      <c r="EG528" s="195"/>
      <c r="EL528" s="1"/>
      <c r="EM528" s="195"/>
      <c r="EN528" s="731"/>
      <c r="EO528" s="240"/>
      <c r="EP528" s="195"/>
      <c r="EQ528" s="240"/>
      <c r="ER528" s="195"/>
      <c r="ES528" s="195"/>
      <c r="ET528" s="195"/>
      <c r="EU528" s="731"/>
    </row>
    <row r="529" customFormat="false" ht="12.75" hidden="false" customHeight="false" outlineLevel="0" collapsed="false">
      <c r="I529" s="735"/>
      <c r="J529" s="728"/>
      <c r="K529" s="195"/>
      <c r="L529" s="195"/>
      <c r="S529" s="1"/>
      <c r="T529" s="195"/>
      <c r="U529" s="195"/>
      <c r="V529" s="195"/>
      <c r="W529" s="195"/>
      <c r="X529" s="195"/>
      <c r="Y529" s="195"/>
      <c r="Z529" s="195"/>
      <c r="AA529" s="195"/>
      <c r="AB529" s="195"/>
      <c r="AC529" s="195"/>
      <c r="AD529" s="195"/>
      <c r="AE529" s="195"/>
      <c r="AF529" s="195"/>
      <c r="AG529" s="195"/>
      <c r="AH529" s="195"/>
      <c r="AI529" s="195"/>
      <c r="AJ529" s="195"/>
      <c r="AK529" s="195"/>
      <c r="AL529" s="195"/>
      <c r="AM529" s="195"/>
      <c r="AN529" s="195"/>
      <c r="AO529" s="195"/>
      <c r="AP529" s="240"/>
      <c r="AQ529" s="195"/>
      <c r="AR529" s="240"/>
      <c r="AS529" s="240"/>
      <c r="AT529" s="240"/>
      <c r="AU529" s="240"/>
      <c r="AV529" s="730"/>
      <c r="AW529" s="730"/>
      <c r="AX529" s="730"/>
      <c r="AY529" s="468"/>
      <c r="AZ529" s="468"/>
      <c r="BA529" s="240"/>
      <c r="BB529" s="240"/>
      <c r="BC529" s="240"/>
      <c r="BD529" s="240"/>
      <c r="BE529" s="240"/>
      <c r="BF529" s="672"/>
      <c r="BG529" s="672"/>
      <c r="BH529" s="731"/>
      <c r="BI529" s="672"/>
      <c r="BJ529" s="240"/>
      <c r="BK529" s="736"/>
      <c r="BL529" s="732"/>
      <c r="BM529" s="240"/>
      <c r="BN529" s="240"/>
      <c r="BO529" s="240"/>
      <c r="BP529" s="240"/>
      <c r="BQ529" s="240"/>
      <c r="BR529" s="240"/>
      <c r="BS529" s="240"/>
      <c r="BT529" s="240"/>
      <c r="BU529" s="240"/>
      <c r="BV529" s="240"/>
      <c r="BW529" s="240"/>
      <c r="BX529" s="240"/>
      <c r="BY529" s="240"/>
      <c r="BZ529" s="240"/>
      <c r="CA529" s="240"/>
      <c r="CB529" s="672"/>
      <c r="CC529" s="672"/>
      <c r="CD529" s="672"/>
      <c r="CE529" s="672"/>
      <c r="CF529" s="672"/>
      <c r="CG529" s="672"/>
      <c r="CH529" s="240"/>
      <c r="CI529" s="240"/>
      <c r="CJ529" s="240"/>
      <c r="CK529" s="240"/>
      <c r="CL529" s="240"/>
      <c r="CM529" s="240"/>
      <c r="CN529" s="240"/>
      <c r="CO529" s="240"/>
      <c r="CP529" s="240"/>
      <c r="CQ529" s="240"/>
      <c r="CR529" s="240"/>
      <c r="CS529" s="240"/>
      <c r="CT529" s="240"/>
      <c r="CU529" s="240"/>
      <c r="CV529" s="240"/>
      <c r="CW529" s="240"/>
      <c r="CX529" s="240"/>
      <c r="CY529" s="240"/>
      <c r="CZ529" s="240"/>
      <c r="DA529" s="240"/>
      <c r="DB529" s="240"/>
      <c r="DC529" s="240"/>
      <c r="DD529" s="240"/>
      <c r="DE529" s="240"/>
      <c r="DF529" s="240"/>
      <c r="DG529" s="728"/>
      <c r="DH529" s="728"/>
      <c r="DI529" s="195"/>
      <c r="DJ529" s="1"/>
      <c r="DK529" s="3"/>
      <c r="DL529" s="4"/>
      <c r="DM529" s="4"/>
      <c r="DN529" s="4"/>
      <c r="DO529" s="4"/>
      <c r="DP529" s="4"/>
      <c r="DQ529" s="4"/>
      <c r="DR529" s="4"/>
      <c r="DT529" s="195"/>
      <c r="DU529" s="195"/>
      <c r="DV529" s="195"/>
      <c r="DW529" s="195"/>
      <c r="DX529" s="195"/>
      <c r="DY529" s="195"/>
      <c r="DZ529" s="195"/>
      <c r="EA529" s="195"/>
      <c r="EB529" s="195"/>
      <c r="EC529" s="195"/>
      <c r="ED529" s="195"/>
      <c r="EE529" s="195"/>
      <c r="EF529" s="195"/>
      <c r="EG529" s="195"/>
      <c r="EL529" s="1"/>
      <c r="EM529" s="195"/>
      <c r="EN529" s="731"/>
      <c r="EO529" s="240"/>
      <c r="EP529" s="195"/>
      <c r="EQ529" s="240"/>
      <c r="ER529" s="195"/>
      <c r="ES529" s="195"/>
      <c r="ET529" s="195"/>
      <c r="EU529" s="731"/>
    </row>
    <row r="530" customFormat="false" ht="12.75" hidden="false" customHeight="false" outlineLevel="0" collapsed="false">
      <c r="I530" s="735"/>
      <c r="J530" s="728"/>
      <c r="K530" s="195"/>
      <c r="L530" s="195"/>
      <c r="S530" s="1"/>
      <c r="T530" s="195"/>
      <c r="U530" s="195"/>
      <c r="V530" s="195"/>
      <c r="W530" s="195"/>
      <c r="X530" s="195"/>
      <c r="Y530" s="195"/>
      <c r="Z530" s="195"/>
      <c r="AA530" s="195"/>
      <c r="AB530" s="195"/>
      <c r="AC530" s="195"/>
      <c r="AD530" s="195"/>
      <c r="AE530" s="195"/>
      <c r="AF530" s="195"/>
      <c r="AG530" s="195"/>
      <c r="AH530" s="195"/>
      <c r="AI530" s="195"/>
      <c r="AJ530" s="195"/>
      <c r="AK530" s="195"/>
      <c r="AL530" s="195"/>
      <c r="AM530" s="195"/>
      <c r="AN530" s="195"/>
      <c r="AO530" s="195"/>
      <c r="AP530" s="240"/>
      <c r="AQ530" s="195"/>
      <c r="AR530" s="240"/>
      <c r="AS530" s="240"/>
      <c r="AT530" s="240"/>
      <c r="AU530" s="240"/>
      <c r="AV530" s="730"/>
      <c r="AW530" s="730"/>
      <c r="AX530" s="730"/>
      <c r="AY530" s="468"/>
      <c r="AZ530" s="468"/>
      <c r="BA530" s="240"/>
      <c r="BB530" s="240"/>
      <c r="BC530" s="240"/>
      <c r="BD530" s="240"/>
      <c r="BE530" s="240"/>
      <c r="BF530" s="672"/>
      <c r="BG530" s="672"/>
      <c r="BH530" s="731"/>
      <c r="BI530" s="672"/>
      <c r="BJ530" s="240"/>
      <c r="BK530" s="736"/>
      <c r="BL530" s="732"/>
      <c r="BM530" s="240"/>
      <c r="BN530" s="240"/>
      <c r="BO530" s="240"/>
      <c r="BP530" s="240"/>
      <c r="BQ530" s="240"/>
      <c r="BR530" s="240"/>
      <c r="BS530" s="240"/>
      <c r="BT530" s="240"/>
      <c r="BU530" s="240"/>
      <c r="BV530" s="240"/>
      <c r="BW530" s="240"/>
      <c r="BX530" s="240"/>
      <c r="BY530" s="240"/>
      <c r="BZ530" s="240"/>
      <c r="CA530" s="240"/>
      <c r="CB530" s="672"/>
      <c r="CC530" s="672"/>
      <c r="CD530" s="672"/>
      <c r="CE530" s="672"/>
      <c r="CF530" s="672"/>
      <c r="CG530" s="672"/>
      <c r="CH530" s="240"/>
      <c r="CI530" s="240"/>
      <c r="CJ530" s="240"/>
      <c r="CK530" s="240"/>
      <c r="CL530" s="240"/>
      <c r="CM530" s="240"/>
      <c r="CN530" s="240"/>
      <c r="CO530" s="240"/>
      <c r="CP530" s="240"/>
      <c r="CQ530" s="240"/>
      <c r="CR530" s="240"/>
      <c r="CS530" s="240"/>
      <c r="CT530" s="240"/>
      <c r="CU530" s="240"/>
      <c r="CV530" s="240"/>
      <c r="CW530" s="240"/>
      <c r="CX530" s="240"/>
      <c r="CY530" s="240"/>
      <c r="CZ530" s="240"/>
      <c r="DA530" s="240"/>
      <c r="DB530" s="240"/>
      <c r="DC530" s="240"/>
      <c r="DD530" s="240"/>
      <c r="DE530" s="240"/>
      <c r="DF530" s="240"/>
      <c r="DG530" s="728"/>
      <c r="DH530" s="728"/>
      <c r="DI530" s="195"/>
      <c r="DJ530" s="1"/>
      <c r="DK530" s="3"/>
      <c r="DL530" s="4"/>
      <c r="DM530" s="4"/>
      <c r="DN530" s="4"/>
      <c r="DO530" s="4"/>
      <c r="DP530" s="4"/>
      <c r="DQ530" s="4"/>
      <c r="DR530" s="4"/>
      <c r="DT530" s="195"/>
      <c r="DU530" s="195"/>
      <c r="DV530" s="195"/>
      <c r="DW530" s="195"/>
      <c r="DX530" s="195"/>
      <c r="DY530" s="195"/>
      <c r="DZ530" s="195"/>
      <c r="EA530" s="195"/>
      <c r="EB530" s="195"/>
      <c r="EC530" s="195"/>
      <c r="ED530" s="195"/>
      <c r="EE530" s="195"/>
      <c r="EF530" s="195"/>
      <c r="EG530" s="195"/>
      <c r="EL530" s="1"/>
      <c r="EM530" s="195"/>
      <c r="EN530" s="731"/>
      <c r="EO530" s="240"/>
      <c r="EP530" s="195"/>
      <c r="EQ530" s="240"/>
      <c r="ER530" s="195"/>
      <c r="ES530" s="195"/>
      <c r="ET530" s="195"/>
      <c r="EU530" s="731"/>
    </row>
    <row r="531" customFormat="false" ht="12.75" hidden="false" customHeight="false" outlineLevel="0" collapsed="false">
      <c r="I531" s="735"/>
      <c r="J531" s="728"/>
      <c r="K531" s="195"/>
      <c r="L531" s="195"/>
      <c r="S531" s="1"/>
      <c r="T531" s="195"/>
      <c r="U531" s="195"/>
      <c r="V531" s="195"/>
      <c r="W531" s="195"/>
      <c r="X531" s="195"/>
      <c r="Y531" s="195"/>
      <c r="Z531" s="195"/>
      <c r="AA531" s="195"/>
      <c r="AB531" s="195"/>
      <c r="AC531" s="195"/>
      <c r="AD531" s="195"/>
      <c r="AE531" s="195"/>
      <c r="AF531" s="195"/>
      <c r="AG531" s="195"/>
      <c r="AH531" s="195"/>
      <c r="AI531" s="195"/>
      <c r="AJ531" s="195"/>
      <c r="AK531" s="195"/>
      <c r="AL531" s="195"/>
      <c r="AM531" s="195"/>
      <c r="AN531" s="195"/>
      <c r="AO531" s="195"/>
      <c r="AP531" s="240"/>
      <c r="AQ531" s="195"/>
      <c r="AR531" s="240"/>
      <c r="AS531" s="240"/>
      <c r="AT531" s="240"/>
      <c r="AU531" s="240"/>
      <c r="AV531" s="730"/>
      <c r="AW531" s="730"/>
      <c r="AX531" s="730"/>
      <c r="AY531" s="468"/>
      <c r="AZ531" s="468"/>
      <c r="BA531" s="240"/>
      <c r="BB531" s="240"/>
      <c r="BC531" s="240"/>
      <c r="BD531" s="240"/>
      <c r="BE531" s="240"/>
      <c r="BF531" s="672"/>
      <c r="BG531" s="672"/>
      <c r="BH531" s="731"/>
      <c r="BI531" s="672"/>
      <c r="BJ531" s="240"/>
      <c r="BK531" s="736"/>
      <c r="BL531" s="732"/>
      <c r="BM531" s="240"/>
      <c r="BN531" s="240"/>
      <c r="BO531" s="240"/>
      <c r="BP531" s="240"/>
      <c r="BQ531" s="240"/>
      <c r="BR531" s="240"/>
      <c r="BS531" s="240"/>
      <c r="BT531" s="240"/>
      <c r="BU531" s="240"/>
      <c r="BV531" s="240"/>
      <c r="BW531" s="240"/>
      <c r="BX531" s="240"/>
      <c r="BY531" s="240"/>
      <c r="BZ531" s="240"/>
      <c r="CA531" s="240"/>
      <c r="CB531" s="672"/>
      <c r="CC531" s="672"/>
      <c r="CD531" s="672"/>
      <c r="CE531" s="672"/>
      <c r="CF531" s="672"/>
      <c r="CG531" s="672"/>
      <c r="CH531" s="240"/>
      <c r="CI531" s="240"/>
      <c r="CJ531" s="240"/>
      <c r="CK531" s="240"/>
      <c r="CL531" s="240"/>
      <c r="CM531" s="240"/>
      <c r="CN531" s="240"/>
      <c r="CO531" s="240"/>
      <c r="CP531" s="240"/>
      <c r="CQ531" s="240"/>
      <c r="CR531" s="240"/>
      <c r="CS531" s="240"/>
      <c r="CT531" s="240"/>
      <c r="CU531" s="240"/>
      <c r="CV531" s="240"/>
      <c r="CW531" s="240"/>
      <c r="CX531" s="240"/>
      <c r="CY531" s="240"/>
      <c r="CZ531" s="240"/>
      <c r="DA531" s="240"/>
      <c r="DB531" s="240"/>
      <c r="DC531" s="240"/>
      <c r="DD531" s="240"/>
      <c r="DE531" s="240"/>
      <c r="DF531" s="240"/>
      <c r="DG531" s="728"/>
      <c r="DH531" s="728"/>
      <c r="DI531" s="195"/>
      <c r="DJ531" s="1"/>
      <c r="DK531" s="3"/>
      <c r="DL531" s="4"/>
      <c r="DM531" s="4"/>
      <c r="DN531" s="4"/>
      <c r="DO531" s="4"/>
      <c r="DP531" s="4"/>
      <c r="DQ531" s="4"/>
      <c r="DR531" s="4"/>
      <c r="DT531" s="195"/>
      <c r="DU531" s="195"/>
      <c r="DV531" s="195"/>
      <c r="DW531" s="195"/>
      <c r="DX531" s="195"/>
      <c r="DY531" s="195"/>
      <c r="DZ531" s="195"/>
      <c r="EA531" s="195"/>
      <c r="EB531" s="195"/>
      <c r="EC531" s="195"/>
      <c r="ED531" s="195"/>
      <c r="EE531" s="195"/>
      <c r="EF531" s="195"/>
      <c r="EG531" s="195"/>
      <c r="EL531" s="1"/>
      <c r="EM531" s="195"/>
      <c r="EN531" s="731"/>
      <c r="EO531" s="240"/>
      <c r="EP531" s="195"/>
      <c r="EQ531" s="240"/>
      <c r="ER531" s="195"/>
      <c r="ES531" s="195"/>
      <c r="ET531" s="195"/>
      <c r="EU531" s="731"/>
    </row>
    <row r="532" customFormat="false" ht="12.75" hidden="false" customHeight="false" outlineLevel="0" collapsed="false">
      <c r="I532" s="735"/>
      <c r="J532" s="728"/>
      <c r="K532" s="195"/>
      <c r="L532" s="195"/>
      <c r="S532" s="1"/>
      <c r="T532" s="195"/>
      <c r="U532" s="195"/>
      <c r="V532" s="195"/>
      <c r="W532" s="195"/>
      <c r="X532" s="195"/>
      <c r="Y532" s="195"/>
      <c r="Z532" s="195"/>
      <c r="AA532" s="195"/>
      <c r="AB532" s="195"/>
      <c r="AC532" s="195"/>
      <c r="AD532" s="195"/>
      <c r="AE532" s="195"/>
      <c r="AF532" s="195"/>
      <c r="AG532" s="195"/>
      <c r="AH532" s="195"/>
      <c r="AI532" s="195"/>
      <c r="AJ532" s="195"/>
      <c r="AK532" s="195"/>
      <c r="AL532" s="195"/>
      <c r="AM532" s="195"/>
      <c r="AN532" s="195"/>
      <c r="AO532" s="195"/>
      <c r="AP532" s="240"/>
      <c r="AQ532" s="195"/>
      <c r="AR532" s="240"/>
      <c r="AS532" s="240"/>
      <c r="AT532" s="240"/>
      <c r="AU532" s="240"/>
      <c r="AV532" s="730"/>
      <c r="AW532" s="730"/>
      <c r="AX532" s="730"/>
      <c r="AY532" s="468"/>
      <c r="AZ532" s="468"/>
      <c r="BA532" s="240"/>
      <c r="BB532" s="240"/>
      <c r="BC532" s="240"/>
      <c r="BD532" s="240"/>
      <c r="BE532" s="240"/>
      <c r="BF532" s="672"/>
      <c r="BG532" s="672"/>
      <c r="BH532" s="731"/>
      <c r="BI532" s="672"/>
      <c r="BJ532" s="240"/>
      <c r="BK532" s="736"/>
      <c r="BL532" s="732"/>
      <c r="BM532" s="240"/>
      <c r="BN532" s="240"/>
      <c r="BO532" s="240"/>
      <c r="BP532" s="240"/>
      <c r="BQ532" s="240"/>
      <c r="BR532" s="240"/>
      <c r="BS532" s="240"/>
      <c r="BT532" s="240"/>
      <c r="BU532" s="240"/>
      <c r="BV532" s="240"/>
      <c r="BW532" s="240"/>
      <c r="BX532" s="240"/>
      <c r="BY532" s="240"/>
      <c r="BZ532" s="240"/>
      <c r="CA532" s="240"/>
      <c r="CB532" s="672"/>
      <c r="CC532" s="672"/>
      <c r="CD532" s="672"/>
      <c r="CE532" s="672"/>
      <c r="CF532" s="672"/>
      <c r="CG532" s="672"/>
      <c r="CH532" s="240"/>
      <c r="CI532" s="240"/>
      <c r="CJ532" s="240"/>
      <c r="CK532" s="240"/>
      <c r="CL532" s="240"/>
      <c r="CM532" s="240"/>
      <c r="CN532" s="240"/>
      <c r="CO532" s="240"/>
      <c r="CP532" s="240"/>
      <c r="CQ532" s="240"/>
      <c r="CR532" s="240"/>
      <c r="CS532" s="240"/>
      <c r="CT532" s="240"/>
      <c r="CU532" s="240"/>
      <c r="CV532" s="240"/>
      <c r="CW532" s="240"/>
      <c r="CX532" s="240"/>
      <c r="CY532" s="240"/>
      <c r="CZ532" s="240"/>
      <c r="DA532" s="240"/>
      <c r="DB532" s="240"/>
      <c r="DC532" s="240"/>
      <c r="DD532" s="240"/>
      <c r="DE532" s="240"/>
      <c r="DF532" s="240"/>
      <c r="DG532" s="728"/>
      <c r="DH532" s="728"/>
      <c r="DI532" s="195"/>
      <c r="DJ532" s="1"/>
      <c r="DK532" s="3"/>
      <c r="DL532" s="4"/>
      <c r="DM532" s="4"/>
      <c r="DN532" s="4"/>
      <c r="DO532" s="4"/>
      <c r="DP532" s="4"/>
      <c r="DQ532" s="4"/>
      <c r="DR532" s="4"/>
      <c r="DT532" s="195"/>
      <c r="DU532" s="195"/>
      <c r="DV532" s="195"/>
      <c r="DW532" s="195"/>
      <c r="DX532" s="195"/>
      <c r="DY532" s="195"/>
      <c r="DZ532" s="195"/>
      <c r="EA532" s="195"/>
      <c r="EB532" s="195"/>
      <c r="EC532" s="195"/>
      <c r="ED532" s="195"/>
      <c r="EE532" s="195"/>
      <c r="EF532" s="195"/>
      <c r="EG532" s="195"/>
      <c r="EL532" s="1"/>
      <c r="EM532" s="195"/>
      <c r="EN532" s="731"/>
      <c r="EO532" s="240"/>
      <c r="EP532" s="195"/>
      <c r="EQ532" s="240"/>
      <c r="ER532" s="195"/>
      <c r="ES532" s="195"/>
      <c r="ET532" s="195"/>
      <c r="EU532" s="731"/>
    </row>
    <row r="533" customFormat="false" ht="12.75" hidden="false" customHeight="false" outlineLevel="0" collapsed="false">
      <c r="I533" s="735"/>
      <c r="J533" s="728"/>
      <c r="K533" s="195"/>
      <c r="L533" s="195"/>
      <c r="S533" s="1"/>
      <c r="T533" s="195"/>
      <c r="U533" s="195"/>
      <c r="V533" s="195"/>
      <c r="W533" s="195"/>
      <c r="X533" s="195"/>
      <c r="Y533" s="195"/>
      <c r="Z533" s="195"/>
      <c r="AA533" s="195"/>
      <c r="AB533" s="195"/>
      <c r="AC533" s="195"/>
      <c r="AD533" s="195"/>
      <c r="AE533" s="195"/>
      <c r="AF533" s="195"/>
      <c r="AG533" s="195"/>
      <c r="AH533" s="195"/>
      <c r="AI533" s="195"/>
      <c r="AJ533" s="195"/>
      <c r="AK533" s="195"/>
      <c r="AL533" s="195"/>
      <c r="AM533" s="195"/>
      <c r="AN533" s="195"/>
      <c r="AO533" s="195"/>
      <c r="AP533" s="240"/>
      <c r="AQ533" s="195"/>
      <c r="AR533" s="240"/>
      <c r="AS533" s="240"/>
      <c r="AT533" s="240"/>
      <c r="AU533" s="240"/>
      <c r="AV533" s="730"/>
      <c r="AW533" s="730"/>
      <c r="AX533" s="730"/>
      <c r="AY533" s="468"/>
      <c r="AZ533" s="468"/>
      <c r="BA533" s="240"/>
      <c r="BB533" s="240"/>
      <c r="BC533" s="240"/>
      <c r="BD533" s="240"/>
      <c r="BE533" s="240"/>
      <c r="BF533" s="672"/>
      <c r="BG533" s="672"/>
      <c r="BH533" s="731"/>
      <c r="BI533" s="672"/>
      <c r="BJ533" s="240"/>
      <c r="BK533" s="736"/>
      <c r="BL533" s="732"/>
      <c r="BM533" s="240"/>
      <c r="BN533" s="240"/>
      <c r="BO533" s="240"/>
      <c r="BP533" s="240"/>
      <c r="BQ533" s="240"/>
      <c r="BR533" s="240"/>
      <c r="BS533" s="240"/>
      <c r="BT533" s="240"/>
      <c r="BU533" s="240"/>
      <c r="BV533" s="240"/>
      <c r="BW533" s="240"/>
      <c r="BX533" s="240"/>
      <c r="BY533" s="240"/>
      <c r="BZ533" s="240"/>
      <c r="CA533" s="240"/>
      <c r="CB533" s="672"/>
      <c r="CC533" s="672"/>
      <c r="CD533" s="672"/>
      <c r="CE533" s="672"/>
      <c r="CF533" s="672"/>
      <c r="CG533" s="672"/>
      <c r="CH533" s="240"/>
      <c r="CI533" s="240"/>
      <c r="CJ533" s="240"/>
      <c r="CK533" s="240"/>
      <c r="CL533" s="240"/>
      <c r="CM533" s="240"/>
      <c r="CN533" s="240"/>
      <c r="CO533" s="240"/>
      <c r="CP533" s="240"/>
      <c r="CQ533" s="240"/>
      <c r="CR533" s="240"/>
      <c r="CS533" s="240"/>
      <c r="CT533" s="240"/>
      <c r="CU533" s="240"/>
      <c r="CV533" s="240"/>
      <c r="CW533" s="240"/>
      <c r="CX533" s="240"/>
      <c r="CY533" s="240"/>
      <c r="CZ533" s="240"/>
      <c r="DA533" s="240"/>
      <c r="DB533" s="240"/>
      <c r="DC533" s="240"/>
      <c r="DD533" s="240"/>
      <c r="DE533" s="240"/>
      <c r="DF533" s="240"/>
      <c r="DG533" s="728"/>
      <c r="DH533" s="728"/>
      <c r="DI533" s="195"/>
      <c r="DJ533" s="1"/>
      <c r="DK533" s="3"/>
      <c r="DL533" s="4"/>
      <c r="DM533" s="4"/>
      <c r="DN533" s="4"/>
      <c r="DO533" s="4"/>
      <c r="DP533" s="4"/>
      <c r="DQ533" s="4"/>
      <c r="DR533" s="4"/>
      <c r="DT533" s="195"/>
      <c r="DU533" s="195"/>
      <c r="DV533" s="195"/>
      <c r="DW533" s="195"/>
      <c r="DX533" s="195"/>
      <c r="DY533" s="195"/>
      <c r="DZ533" s="195"/>
      <c r="EA533" s="195"/>
      <c r="EB533" s="195"/>
      <c r="EC533" s="195"/>
      <c r="ED533" s="195"/>
      <c r="EE533" s="195"/>
      <c r="EF533" s="195"/>
      <c r="EG533" s="195"/>
      <c r="EL533" s="1"/>
      <c r="EM533" s="195"/>
      <c r="EN533" s="731"/>
      <c r="EO533" s="240"/>
      <c r="EP533" s="195"/>
      <c r="EQ533" s="240"/>
      <c r="ER533" s="195"/>
      <c r="ES533" s="195"/>
      <c r="ET533" s="195"/>
      <c r="EU533" s="731"/>
    </row>
    <row r="534" customFormat="false" ht="12.75" hidden="false" customHeight="false" outlineLevel="0" collapsed="false">
      <c r="I534" s="735"/>
      <c r="J534" s="728"/>
      <c r="K534" s="195"/>
      <c r="L534" s="195"/>
      <c r="S534" s="1"/>
      <c r="T534" s="195"/>
      <c r="U534" s="195"/>
      <c r="V534" s="195"/>
      <c r="W534" s="195"/>
      <c r="X534" s="195"/>
      <c r="Y534" s="195"/>
      <c r="Z534" s="195"/>
      <c r="AA534" s="195"/>
      <c r="AB534" s="195"/>
      <c r="AC534" s="195"/>
      <c r="AD534" s="195"/>
      <c r="AE534" s="195"/>
      <c r="AF534" s="195"/>
      <c r="AG534" s="195"/>
      <c r="AH534" s="195"/>
      <c r="AI534" s="195"/>
      <c r="AJ534" s="195"/>
      <c r="AK534" s="195"/>
      <c r="AL534" s="195"/>
      <c r="AM534" s="195"/>
      <c r="AN534" s="195"/>
      <c r="AO534" s="195"/>
      <c r="AP534" s="240"/>
      <c r="AQ534" s="195"/>
      <c r="AR534" s="240"/>
      <c r="AS534" s="240"/>
      <c r="AT534" s="240"/>
      <c r="AU534" s="240"/>
      <c r="AV534" s="730"/>
      <c r="AW534" s="730"/>
      <c r="AX534" s="730"/>
      <c r="AY534" s="468"/>
      <c r="AZ534" s="468"/>
      <c r="BA534" s="240"/>
      <c r="BB534" s="240"/>
      <c r="BC534" s="240"/>
      <c r="BD534" s="240"/>
      <c r="BE534" s="240"/>
      <c r="BF534" s="672"/>
      <c r="BG534" s="672"/>
      <c r="BH534" s="731"/>
      <c r="BI534" s="672"/>
      <c r="BJ534" s="240"/>
      <c r="BK534" s="736"/>
      <c r="BL534" s="732"/>
      <c r="BM534" s="240"/>
      <c r="BN534" s="240"/>
      <c r="BO534" s="240"/>
      <c r="BP534" s="240"/>
      <c r="BQ534" s="240"/>
      <c r="BR534" s="240"/>
      <c r="BS534" s="240"/>
      <c r="BT534" s="240"/>
      <c r="BU534" s="240"/>
      <c r="BV534" s="240"/>
      <c r="BW534" s="240"/>
      <c r="BX534" s="240"/>
      <c r="BY534" s="240"/>
      <c r="BZ534" s="240"/>
      <c r="CA534" s="240"/>
      <c r="CB534" s="672"/>
      <c r="CC534" s="672"/>
      <c r="CD534" s="672"/>
      <c r="CE534" s="672"/>
      <c r="CF534" s="672"/>
      <c r="CG534" s="672"/>
      <c r="CH534" s="240"/>
      <c r="CI534" s="240"/>
      <c r="CJ534" s="240"/>
      <c r="CK534" s="240"/>
      <c r="CL534" s="240"/>
      <c r="CM534" s="240"/>
      <c r="CN534" s="240"/>
      <c r="CO534" s="240"/>
      <c r="CP534" s="240"/>
      <c r="CQ534" s="240"/>
      <c r="CR534" s="240"/>
      <c r="CS534" s="240"/>
      <c r="CT534" s="240"/>
      <c r="CU534" s="240"/>
      <c r="CV534" s="240"/>
      <c r="CW534" s="240"/>
      <c r="CX534" s="240"/>
      <c r="CY534" s="240"/>
      <c r="CZ534" s="240"/>
      <c r="DA534" s="240"/>
      <c r="DB534" s="240"/>
      <c r="DC534" s="240"/>
      <c r="DD534" s="240"/>
      <c r="DE534" s="240"/>
      <c r="DF534" s="240"/>
      <c r="DG534" s="728"/>
      <c r="DH534" s="728"/>
      <c r="DI534" s="195"/>
      <c r="DJ534" s="1"/>
      <c r="DK534" s="3"/>
      <c r="DL534" s="4"/>
      <c r="DM534" s="4"/>
      <c r="DN534" s="4"/>
      <c r="DO534" s="4"/>
      <c r="DP534" s="4"/>
      <c r="DQ534" s="4"/>
      <c r="DR534" s="4"/>
      <c r="DT534" s="195"/>
      <c r="DU534" s="195"/>
      <c r="DV534" s="195"/>
      <c r="DW534" s="195"/>
      <c r="DX534" s="195"/>
      <c r="DY534" s="195"/>
      <c r="DZ534" s="195"/>
      <c r="EA534" s="195"/>
      <c r="EB534" s="195"/>
      <c r="EC534" s="195"/>
      <c r="ED534" s="195"/>
      <c r="EE534" s="195"/>
      <c r="EF534" s="195"/>
      <c r="EG534" s="195"/>
      <c r="EL534" s="1"/>
      <c r="EM534" s="195"/>
      <c r="EN534" s="731"/>
      <c r="EO534" s="240"/>
      <c r="EP534" s="195"/>
      <c r="EQ534" s="240"/>
      <c r="ER534" s="195"/>
      <c r="ES534" s="195"/>
      <c r="ET534" s="195"/>
      <c r="EU534" s="731"/>
    </row>
    <row r="535" customFormat="false" ht="12.75" hidden="false" customHeight="false" outlineLevel="0" collapsed="false">
      <c r="I535" s="735"/>
      <c r="J535" s="728"/>
      <c r="K535" s="195"/>
      <c r="L535" s="195"/>
      <c r="S535" s="1"/>
      <c r="T535" s="195"/>
      <c r="U535" s="195"/>
      <c r="V535" s="195"/>
      <c r="W535" s="195"/>
      <c r="X535" s="195"/>
      <c r="Y535" s="195"/>
      <c r="Z535" s="195"/>
      <c r="AA535" s="195"/>
      <c r="AB535" s="195"/>
      <c r="AC535" s="195"/>
      <c r="AD535" s="195"/>
      <c r="AE535" s="195"/>
      <c r="AF535" s="195"/>
      <c r="AG535" s="195"/>
      <c r="AH535" s="195"/>
      <c r="AI535" s="195"/>
      <c r="AJ535" s="195"/>
      <c r="AK535" s="195"/>
      <c r="AL535" s="195"/>
      <c r="AM535" s="195"/>
      <c r="AN535" s="195"/>
      <c r="AO535" s="195"/>
      <c r="AP535" s="240"/>
      <c r="AQ535" s="195"/>
      <c r="AR535" s="240"/>
      <c r="AS535" s="240"/>
      <c r="AT535" s="240"/>
      <c r="AU535" s="240"/>
      <c r="AV535" s="730"/>
      <c r="AW535" s="730"/>
      <c r="AX535" s="730"/>
      <c r="AY535" s="468"/>
      <c r="AZ535" s="468"/>
      <c r="BA535" s="240"/>
      <c r="BB535" s="240"/>
      <c r="BC535" s="240"/>
      <c r="BD535" s="240"/>
      <c r="BE535" s="240"/>
      <c r="BF535" s="672"/>
      <c r="BG535" s="672"/>
      <c r="BH535" s="731"/>
      <c r="BI535" s="672"/>
      <c r="BJ535" s="240"/>
      <c r="BK535" s="736"/>
      <c r="BL535" s="732"/>
      <c r="BM535" s="240"/>
      <c r="BN535" s="240"/>
      <c r="BO535" s="240"/>
      <c r="BP535" s="240"/>
      <c r="BQ535" s="240"/>
      <c r="BR535" s="240"/>
      <c r="BS535" s="240"/>
      <c r="BT535" s="240"/>
      <c r="BU535" s="240"/>
      <c r="BV535" s="240"/>
      <c r="BW535" s="240"/>
      <c r="BX535" s="240"/>
      <c r="BY535" s="240"/>
      <c r="BZ535" s="240"/>
      <c r="CA535" s="240"/>
      <c r="CB535" s="672"/>
      <c r="CC535" s="672"/>
      <c r="CD535" s="672"/>
      <c r="CE535" s="672"/>
      <c r="CF535" s="672"/>
      <c r="CG535" s="672"/>
      <c r="CH535" s="240"/>
      <c r="CI535" s="240"/>
      <c r="CJ535" s="240"/>
      <c r="CK535" s="240"/>
      <c r="CL535" s="240"/>
      <c r="CM535" s="240"/>
      <c r="CN535" s="240"/>
      <c r="CO535" s="240"/>
      <c r="CP535" s="240"/>
      <c r="CQ535" s="240"/>
      <c r="CR535" s="240"/>
      <c r="CS535" s="240"/>
      <c r="CT535" s="240"/>
      <c r="CU535" s="240"/>
      <c r="CV535" s="240"/>
      <c r="CW535" s="240"/>
      <c r="CX535" s="240"/>
      <c r="CY535" s="240"/>
      <c r="CZ535" s="240"/>
      <c r="DA535" s="240"/>
      <c r="DB535" s="240"/>
      <c r="DC535" s="240"/>
      <c r="DD535" s="240"/>
      <c r="DE535" s="240"/>
      <c r="DF535" s="240"/>
      <c r="DG535" s="728"/>
      <c r="DH535" s="728"/>
      <c r="DI535" s="195"/>
      <c r="DJ535" s="1"/>
      <c r="DK535" s="3"/>
      <c r="DL535" s="4"/>
      <c r="DM535" s="4"/>
      <c r="DN535" s="4"/>
      <c r="DO535" s="4"/>
      <c r="DP535" s="4"/>
      <c r="DQ535" s="4"/>
      <c r="DR535" s="4"/>
      <c r="DT535" s="195"/>
      <c r="DU535" s="195"/>
      <c r="DV535" s="195"/>
      <c r="DW535" s="195"/>
      <c r="DX535" s="195"/>
      <c r="DY535" s="195"/>
      <c r="DZ535" s="195"/>
      <c r="EA535" s="195"/>
      <c r="EB535" s="195"/>
      <c r="EC535" s="195"/>
      <c r="ED535" s="195"/>
      <c r="EE535" s="195"/>
      <c r="EF535" s="195"/>
      <c r="EG535" s="195"/>
      <c r="EL535" s="1"/>
      <c r="EM535" s="195"/>
      <c r="EN535" s="731"/>
      <c r="EO535" s="240"/>
      <c r="EP535" s="195"/>
      <c r="EQ535" s="240"/>
      <c r="ER535" s="195"/>
      <c r="ES535" s="195"/>
      <c r="ET535" s="195"/>
      <c r="EU535" s="731"/>
    </row>
    <row r="536" customFormat="false" ht="12.75" hidden="false" customHeight="false" outlineLevel="0" collapsed="false">
      <c r="I536" s="735"/>
      <c r="J536" s="728"/>
      <c r="K536" s="195"/>
      <c r="L536" s="195"/>
      <c r="S536" s="1"/>
      <c r="T536" s="195"/>
      <c r="U536" s="195"/>
      <c r="V536" s="195"/>
      <c r="W536" s="195"/>
      <c r="X536" s="195"/>
      <c r="Y536" s="195"/>
      <c r="Z536" s="195"/>
      <c r="AA536" s="195"/>
      <c r="AB536" s="195"/>
      <c r="AC536" s="195"/>
      <c r="AD536" s="195"/>
      <c r="AE536" s="195"/>
      <c r="AF536" s="195"/>
      <c r="AG536" s="195"/>
      <c r="AH536" s="195"/>
      <c r="AI536" s="195"/>
      <c r="AJ536" s="195"/>
      <c r="AK536" s="195"/>
      <c r="AL536" s="195"/>
      <c r="AM536" s="195"/>
      <c r="AN536" s="195"/>
      <c r="AO536" s="195"/>
      <c r="AP536" s="240"/>
      <c r="AQ536" s="195"/>
      <c r="AR536" s="240"/>
      <c r="AS536" s="240"/>
      <c r="AT536" s="240"/>
      <c r="AU536" s="240"/>
      <c r="AV536" s="730"/>
      <c r="AW536" s="730"/>
      <c r="AX536" s="730"/>
      <c r="AY536" s="468"/>
      <c r="AZ536" s="468"/>
      <c r="BA536" s="240"/>
      <c r="BB536" s="240"/>
      <c r="BC536" s="240"/>
      <c r="BD536" s="240"/>
      <c r="BE536" s="240"/>
      <c r="BF536" s="672"/>
      <c r="BG536" s="672"/>
      <c r="BH536" s="731"/>
      <c r="BI536" s="672"/>
      <c r="BJ536" s="240"/>
      <c r="BK536" s="736"/>
      <c r="BL536" s="732"/>
      <c r="BM536" s="240"/>
      <c r="BN536" s="240"/>
      <c r="BO536" s="240"/>
      <c r="BP536" s="240"/>
      <c r="BQ536" s="240"/>
      <c r="BR536" s="240"/>
      <c r="BS536" s="240"/>
      <c r="BT536" s="240"/>
      <c r="BU536" s="240"/>
      <c r="BV536" s="240"/>
      <c r="BW536" s="240"/>
      <c r="BX536" s="240"/>
      <c r="BY536" s="240"/>
      <c r="BZ536" s="240"/>
      <c r="CA536" s="240"/>
      <c r="CB536" s="672"/>
      <c r="CC536" s="672"/>
      <c r="CD536" s="672"/>
      <c r="CE536" s="672"/>
      <c r="CF536" s="672"/>
      <c r="CG536" s="672"/>
      <c r="CH536" s="240"/>
      <c r="CI536" s="240"/>
      <c r="CJ536" s="240"/>
      <c r="CK536" s="240"/>
      <c r="CL536" s="240"/>
      <c r="CM536" s="240"/>
      <c r="CN536" s="240"/>
      <c r="CO536" s="240"/>
      <c r="CP536" s="240"/>
      <c r="CQ536" s="240"/>
      <c r="CR536" s="240"/>
      <c r="CS536" s="240"/>
      <c r="CT536" s="240"/>
      <c r="CU536" s="240"/>
      <c r="CV536" s="240"/>
      <c r="CW536" s="240"/>
      <c r="CX536" s="240"/>
      <c r="CY536" s="240"/>
      <c r="CZ536" s="240"/>
      <c r="DA536" s="240"/>
      <c r="DB536" s="240"/>
      <c r="DC536" s="240"/>
      <c r="DD536" s="240"/>
      <c r="DE536" s="240"/>
      <c r="DF536" s="240"/>
      <c r="DG536" s="728"/>
      <c r="DH536" s="728"/>
      <c r="DI536" s="195"/>
      <c r="DJ536" s="1"/>
      <c r="DK536" s="3"/>
      <c r="DL536" s="4"/>
      <c r="DM536" s="4"/>
      <c r="DN536" s="4"/>
      <c r="DO536" s="4"/>
      <c r="DP536" s="4"/>
      <c r="DQ536" s="4"/>
      <c r="DR536" s="4"/>
      <c r="DT536" s="195"/>
      <c r="DU536" s="195"/>
      <c r="DV536" s="195"/>
      <c r="DW536" s="195"/>
      <c r="DX536" s="195"/>
      <c r="DY536" s="195"/>
      <c r="DZ536" s="195"/>
      <c r="EA536" s="195"/>
      <c r="EB536" s="195"/>
      <c r="EC536" s="195"/>
      <c r="ED536" s="195"/>
      <c r="EE536" s="195"/>
      <c r="EF536" s="195"/>
      <c r="EG536" s="195"/>
      <c r="EL536" s="1"/>
      <c r="EM536" s="195"/>
      <c r="EN536" s="731"/>
      <c r="EO536" s="240"/>
      <c r="EP536" s="195"/>
      <c r="EQ536" s="240"/>
      <c r="ER536" s="195"/>
      <c r="ES536" s="195"/>
      <c r="ET536" s="195"/>
      <c r="EU536" s="731"/>
    </row>
    <row r="537" customFormat="false" ht="12.75" hidden="false" customHeight="false" outlineLevel="0" collapsed="false">
      <c r="I537" s="735"/>
      <c r="J537" s="728"/>
      <c r="K537" s="195"/>
      <c r="L537" s="195"/>
      <c r="S537" s="1"/>
      <c r="T537" s="195"/>
      <c r="U537" s="195"/>
      <c r="V537" s="195"/>
      <c r="W537" s="195"/>
      <c r="X537" s="195"/>
      <c r="Y537" s="195"/>
      <c r="Z537" s="195"/>
      <c r="AA537" s="195"/>
      <c r="AB537" s="195"/>
      <c r="AC537" s="195"/>
      <c r="AD537" s="195"/>
      <c r="AE537" s="195"/>
      <c r="AF537" s="195"/>
      <c r="AG537" s="195"/>
      <c r="AH537" s="195"/>
      <c r="AI537" s="195"/>
      <c r="AJ537" s="195"/>
      <c r="AK537" s="195"/>
      <c r="AL537" s="195"/>
      <c r="AM537" s="195"/>
      <c r="AN537" s="195"/>
      <c r="AO537" s="195"/>
      <c r="AP537" s="240"/>
      <c r="AQ537" s="195"/>
      <c r="AR537" s="240"/>
      <c r="AS537" s="240"/>
      <c r="AT537" s="240"/>
      <c r="AU537" s="240"/>
      <c r="AV537" s="730"/>
      <c r="AW537" s="730"/>
      <c r="AX537" s="730"/>
      <c r="AY537" s="468"/>
      <c r="AZ537" s="468"/>
      <c r="BA537" s="240"/>
      <c r="BB537" s="240"/>
      <c r="BC537" s="240"/>
      <c r="BD537" s="240"/>
      <c r="BE537" s="240"/>
      <c r="BF537" s="672"/>
      <c r="BG537" s="672"/>
      <c r="BH537" s="731"/>
      <c r="BI537" s="672"/>
      <c r="BJ537" s="240"/>
      <c r="BK537" s="736"/>
      <c r="BL537" s="732"/>
      <c r="BM537" s="240"/>
      <c r="BN537" s="240"/>
      <c r="BO537" s="240"/>
      <c r="BP537" s="240"/>
      <c r="BQ537" s="240"/>
      <c r="BR537" s="240"/>
      <c r="BS537" s="240"/>
      <c r="BT537" s="240"/>
      <c r="BU537" s="240"/>
      <c r="BV537" s="240"/>
      <c r="BW537" s="240"/>
      <c r="BX537" s="240"/>
      <c r="BY537" s="240"/>
      <c r="BZ537" s="240"/>
      <c r="CA537" s="240"/>
      <c r="CB537" s="672"/>
      <c r="CC537" s="672"/>
      <c r="CD537" s="672"/>
      <c r="CE537" s="672"/>
      <c r="CF537" s="672"/>
      <c r="CG537" s="672"/>
      <c r="CH537" s="240"/>
      <c r="CI537" s="240"/>
      <c r="CJ537" s="240"/>
      <c r="CK537" s="240"/>
      <c r="CL537" s="240"/>
      <c r="CM537" s="240"/>
      <c r="CN537" s="240"/>
      <c r="CO537" s="240"/>
      <c r="CP537" s="240"/>
      <c r="CQ537" s="240"/>
      <c r="CR537" s="240"/>
      <c r="CS537" s="240"/>
      <c r="CT537" s="240"/>
      <c r="CU537" s="240"/>
      <c r="CV537" s="240"/>
      <c r="CW537" s="240"/>
      <c r="CX537" s="240"/>
      <c r="CY537" s="240"/>
      <c r="CZ537" s="240"/>
      <c r="DA537" s="240"/>
      <c r="DB537" s="240"/>
      <c r="DC537" s="240"/>
      <c r="DD537" s="240"/>
      <c r="DE537" s="240"/>
      <c r="DF537" s="240"/>
      <c r="DG537" s="728"/>
      <c r="DH537" s="728"/>
      <c r="DI537" s="195"/>
      <c r="DJ537" s="1"/>
      <c r="DK537" s="3"/>
      <c r="DL537" s="4"/>
      <c r="DM537" s="4"/>
      <c r="DN537" s="4"/>
      <c r="DO537" s="4"/>
      <c r="DP537" s="4"/>
      <c r="DQ537" s="4"/>
      <c r="DR537" s="4"/>
      <c r="DT537" s="195"/>
      <c r="DU537" s="195"/>
      <c r="DV537" s="195"/>
      <c r="DW537" s="195"/>
      <c r="DX537" s="195"/>
      <c r="DY537" s="195"/>
      <c r="DZ537" s="195"/>
      <c r="EA537" s="195"/>
      <c r="EB537" s="195"/>
      <c r="EC537" s="195"/>
      <c r="ED537" s="195"/>
      <c r="EE537" s="195"/>
      <c r="EF537" s="195"/>
      <c r="EG537" s="195"/>
      <c r="EL537" s="1"/>
      <c r="EM537" s="195"/>
      <c r="EN537" s="731"/>
      <c r="EO537" s="240"/>
      <c r="EP537" s="195"/>
      <c r="EQ537" s="240"/>
      <c r="ER537" s="195"/>
      <c r="ES537" s="195"/>
      <c r="ET537" s="195"/>
      <c r="EU537" s="731"/>
    </row>
    <row r="538" customFormat="false" ht="12.75" hidden="false" customHeight="false" outlineLevel="0" collapsed="false">
      <c r="I538" s="735"/>
      <c r="J538" s="728"/>
      <c r="K538" s="195"/>
      <c r="L538" s="195"/>
      <c r="S538" s="1"/>
      <c r="T538" s="195"/>
      <c r="U538" s="195"/>
      <c r="V538" s="195"/>
      <c r="W538" s="195"/>
      <c r="X538" s="195"/>
      <c r="Y538" s="195"/>
      <c r="Z538" s="195"/>
      <c r="AA538" s="195"/>
      <c r="AB538" s="195"/>
      <c r="AC538" s="195"/>
      <c r="AD538" s="195"/>
      <c r="AE538" s="195"/>
      <c r="AF538" s="195"/>
      <c r="AG538" s="195"/>
      <c r="AH538" s="195"/>
      <c r="AI538" s="195"/>
      <c r="AJ538" s="195"/>
      <c r="AK538" s="195"/>
      <c r="AL538" s="195"/>
      <c r="AM538" s="195"/>
      <c r="AN538" s="195"/>
      <c r="AO538" s="195"/>
      <c r="AP538" s="240"/>
      <c r="AQ538" s="195"/>
      <c r="AR538" s="240"/>
      <c r="AS538" s="240"/>
      <c r="AT538" s="240"/>
      <c r="AU538" s="240"/>
      <c r="AV538" s="730"/>
      <c r="AW538" s="730"/>
      <c r="AX538" s="730"/>
      <c r="AY538" s="468"/>
      <c r="AZ538" s="468"/>
      <c r="BA538" s="240"/>
      <c r="BB538" s="240"/>
      <c r="BC538" s="240"/>
      <c r="BD538" s="240"/>
      <c r="BE538" s="240"/>
      <c r="BF538" s="672"/>
      <c r="BG538" s="672"/>
      <c r="BH538" s="731"/>
      <c r="BI538" s="672"/>
      <c r="BJ538" s="240"/>
      <c r="BK538" s="736"/>
      <c r="BL538" s="732"/>
      <c r="BM538" s="240"/>
      <c r="BN538" s="240"/>
      <c r="BO538" s="240"/>
      <c r="BP538" s="240"/>
      <c r="BQ538" s="240"/>
      <c r="BR538" s="240"/>
      <c r="BS538" s="240"/>
      <c r="BT538" s="240"/>
      <c r="BU538" s="240"/>
      <c r="BV538" s="240"/>
      <c r="BW538" s="240"/>
      <c r="BX538" s="240"/>
      <c r="BY538" s="240"/>
      <c r="BZ538" s="240"/>
      <c r="CA538" s="240"/>
      <c r="CB538" s="672"/>
      <c r="CC538" s="672"/>
      <c r="CD538" s="672"/>
      <c r="CE538" s="672"/>
      <c r="CF538" s="672"/>
      <c r="CG538" s="672"/>
      <c r="CH538" s="240"/>
      <c r="CI538" s="240"/>
      <c r="CJ538" s="240"/>
      <c r="CK538" s="240"/>
      <c r="CL538" s="240"/>
      <c r="CM538" s="240"/>
      <c r="CN538" s="240"/>
      <c r="CO538" s="240"/>
      <c r="CP538" s="240"/>
      <c r="CQ538" s="240"/>
      <c r="CR538" s="240"/>
      <c r="CS538" s="240"/>
      <c r="CT538" s="240"/>
      <c r="CU538" s="240"/>
      <c r="CV538" s="240"/>
      <c r="CW538" s="240"/>
      <c r="CX538" s="240"/>
      <c r="CY538" s="240"/>
      <c r="CZ538" s="240"/>
      <c r="DA538" s="240"/>
      <c r="DB538" s="240"/>
      <c r="DC538" s="240"/>
      <c r="DD538" s="240"/>
      <c r="DE538" s="240"/>
      <c r="DF538" s="240"/>
      <c r="DG538" s="728"/>
      <c r="DH538" s="728"/>
      <c r="DI538" s="195"/>
      <c r="DJ538" s="1"/>
      <c r="DK538" s="3"/>
      <c r="DL538" s="4"/>
      <c r="DM538" s="4"/>
      <c r="DN538" s="4"/>
      <c r="DO538" s="4"/>
      <c r="DP538" s="4"/>
      <c r="DQ538" s="4"/>
      <c r="DR538" s="4"/>
      <c r="DT538" s="195"/>
      <c r="DU538" s="195"/>
      <c r="DV538" s="195"/>
      <c r="DW538" s="195"/>
      <c r="DX538" s="195"/>
      <c r="DY538" s="195"/>
      <c r="DZ538" s="195"/>
      <c r="EA538" s="195"/>
      <c r="EB538" s="195"/>
      <c r="EC538" s="195"/>
      <c r="ED538" s="195"/>
      <c r="EE538" s="195"/>
      <c r="EF538" s="195"/>
      <c r="EG538" s="195"/>
      <c r="EL538" s="1"/>
      <c r="EM538" s="195"/>
      <c r="EN538" s="731"/>
      <c r="EO538" s="240"/>
      <c r="EP538" s="195"/>
      <c r="EQ538" s="240"/>
      <c r="ER538" s="195"/>
      <c r="ES538" s="195"/>
      <c r="ET538" s="195"/>
      <c r="EU538" s="731"/>
    </row>
    <row r="539" customFormat="false" ht="12.75" hidden="false" customHeight="false" outlineLevel="0" collapsed="false">
      <c r="I539" s="735"/>
      <c r="J539" s="728"/>
      <c r="K539" s="195"/>
      <c r="L539" s="195"/>
      <c r="S539" s="1"/>
      <c r="T539" s="195"/>
      <c r="U539" s="195"/>
      <c r="V539" s="195"/>
      <c r="W539" s="195"/>
      <c r="X539" s="195"/>
      <c r="Y539" s="195"/>
      <c r="Z539" s="195"/>
      <c r="AA539" s="195"/>
      <c r="AB539" s="195"/>
      <c r="AC539" s="195"/>
      <c r="AD539" s="195"/>
      <c r="AE539" s="195"/>
      <c r="AF539" s="195"/>
      <c r="AG539" s="195"/>
      <c r="AH539" s="195"/>
      <c r="AI539" s="195"/>
      <c r="AJ539" s="195"/>
      <c r="AK539" s="195"/>
      <c r="AL539" s="195"/>
      <c r="AM539" s="195"/>
      <c r="AN539" s="195"/>
      <c r="AO539" s="195"/>
      <c r="AP539" s="240"/>
      <c r="AQ539" s="195"/>
      <c r="AR539" s="240"/>
      <c r="AS539" s="240"/>
      <c r="AT539" s="240"/>
      <c r="AU539" s="240"/>
      <c r="AV539" s="730"/>
      <c r="AW539" s="730"/>
      <c r="AX539" s="730"/>
      <c r="AY539" s="468"/>
      <c r="AZ539" s="468"/>
      <c r="BA539" s="240"/>
      <c r="BB539" s="240"/>
      <c r="BC539" s="240"/>
      <c r="BD539" s="240"/>
      <c r="BE539" s="240"/>
      <c r="BF539" s="672"/>
      <c r="BG539" s="672"/>
      <c r="BH539" s="731"/>
      <c r="BI539" s="672"/>
      <c r="BJ539" s="240"/>
      <c r="BK539" s="736"/>
      <c r="BL539" s="732"/>
      <c r="BM539" s="240"/>
      <c r="BN539" s="240"/>
      <c r="BO539" s="240"/>
      <c r="BP539" s="240"/>
      <c r="BQ539" s="240"/>
      <c r="BR539" s="240"/>
      <c r="BS539" s="240"/>
      <c r="BT539" s="240"/>
      <c r="BU539" s="240"/>
      <c r="BV539" s="240"/>
      <c r="BW539" s="240"/>
      <c r="BX539" s="240"/>
      <c r="BY539" s="240"/>
      <c r="BZ539" s="240"/>
      <c r="CA539" s="240"/>
      <c r="CB539" s="672"/>
      <c r="CC539" s="672"/>
      <c r="CD539" s="672"/>
      <c r="CE539" s="672"/>
      <c r="CF539" s="672"/>
      <c r="CG539" s="672"/>
      <c r="CH539" s="240"/>
      <c r="CI539" s="240"/>
      <c r="CJ539" s="240"/>
      <c r="CK539" s="240"/>
      <c r="CL539" s="240"/>
      <c r="CM539" s="240"/>
      <c r="CN539" s="240"/>
      <c r="CO539" s="240"/>
      <c r="CP539" s="240"/>
      <c r="CQ539" s="240"/>
      <c r="CR539" s="240"/>
      <c r="CS539" s="240"/>
      <c r="CT539" s="240"/>
      <c r="CU539" s="240"/>
      <c r="CV539" s="240"/>
      <c r="CW539" s="240"/>
      <c r="CX539" s="240"/>
      <c r="CY539" s="240"/>
      <c r="CZ539" s="240"/>
      <c r="DA539" s="240"/>
      <c r="DB539" s="240"/>
      <c r="DC539" s="240"/>
      <c r="DD539" s="240"/>
      <c r="DE539" s="240"/>
      <c r="DF539" s="240"/>
      <c r="DG539" s="728"/>
      <c r="DH539" s="728"/>
      <c r="DI539" s="195"/>
      <c r="DJ539" s="1"/>
      <c r="DK539" s="3"/>
      <c r="DL539" s="4"/>
      <c r="DM539" s="4"/>
      <c r="DN539" s="4"/>
      <c r="DO539" s="4"/>
      <c r="DP539" s="4"/>
      <c r="DQ539" s="4"/>
      <c r="DR539" s="4"/>
      <c r="DT539" s="195"/>
      <c r="DU539" s="195"/>
      <c r="DV539" s="195"/>
      <c r="DW539" s="195"/>
      <c r="DX539" s="195"/>
      <c r="DY539" s="195"/>
      <c r="DZ539" s="195"/>
      <c r="EA539" s="195"/>
      <c r="EB539" s="195"/>
      <c r="EC539" s="195"/>
      <c r="ED539" s="195"/>
      <c r="EE539" s="195"/>
      <c r="EF539" s="195"/>
      <c r="EG539" s="195"/>
      <c r="EL539" s="1"/>
      <c r="EM539" s="195"/>
      <c r="EN539" s="731"/>
      <c r="EO539" s="240"/>
      <c r="EP539" s="195"/>
      <c r="EQ539" s="240"/>
      <c r="ER539" s="195"/>
      <c r="ES539" s="195"/>
      <c r="ET539" s="195"/>
      <c r="EU539" s="731"/>
    </row>
    <row r="540" customFormat="false" ht="12.75" hidden="false" customHeight="false" outlineLevel="0" collapsed="false">
      <c r="I540" s="735"/>
      <c r="J540" s="728"/>
      <c r="K540" s="195"/>
      <c r="L540" s="195"/>
      <c r="S540" s="1"/>
      <c r="T540" s="195"/>
      <c r="U540" s="195"/>
      <c r="V540" s="195"/>
      <c r="W540" s="195"/>
      <c r="X540" s="195"/>
      <c r="Y540" s="195"/>
      <c r="Z540" s="195"/>
      <c r="AA540" s="195"/>
      <c r="AB540" s="195"/>
      <c r="AC540" s="195"/>
      <c r="AD540" s="195"/>
      <c r="AE540" s="195"/>
      <c r="AF540" s="195"/>
      <c r="AG540" s="195"/>
      <c r="AH540" s="195"/>
      <c r="AI540" s="195"/>
      <c r="AJ540" s="195"/>
      <c r="AK540" s="195"/>
      <c r="AL540" s="195"/>
      <c r="AM540" s="195"/>
      <c r="AN540" s="195"/>
      <c r="AO540" s="195"/>
      <c r="AP540" s="240"/>
      <c r="AQ540" s="195"/>
      <c r="AR540" s="240"/>
      <c r="AS540" s="240"/>
      <c r="AT540" s="240"/>
      <c r="AU540" s="240"/>
      <c r="AV540" s="730"/>
      <c r="AW540" s="730"/>
      <c r="AX540" s="730"/>
      <c r="AY540" s="468"/>
      <c r="AZ540" s="468"/>
      <c r="BA540" s="240"/>
      <c r="BB540" s="240"/>
      <c r="BC540" s="240"/>
      <c r="BD540" s="240"/>
      <c r="BE540" s="240"/>
      <c r="BF540" s="672"/>
      <c r="BG540" s="672"/>
      <c r="BH540" s="731"/>
      <c r="BI540" s="672"/>
      <c r="BJ540" s="240"/>
      <c r="BK540" s="736"/>
      <c r="BL540" s="732"/>
      <c r="BM540" s="240"/>
      <c r="BN540" s="240"/>
      <c r="BO540" s="240"/>
      <c r="BP540" s="240"/>
      <c r="BQ540" s="240"/>
      <c r="BR540" s="240"/>
      <c r="BS540" s="240"/>
      <c r="BT540" s="240"/>
      <c r="BU540" s="240"/>
      <c r="BV540" s="240"/>
      <c r="BW540" s="240"/>
      <c r="BX540" s="240"/>
      <c r="BY540" s="240"/>
      <c r="BZ540" s="240"/>
      <c r="CA540" s="240"/>
      <c r="CB540" s="672"/>
      <c r="CC540" s="672"/>
      <c r="CD540" s="672"/>
      <c r="CE540" s="672"/>
      <c r="CF540" s="672"/>
      <c r="CG540" s="672"/>
      <c r="CH540" s="240"/>
      <c r="CI540" s="240"/>
      <c r="CJ540" s="240"/>
      <c r="CK540" s="240"/>
      <c r="CL540" s="240"/>
      <c r="CM540" s="240"/>
      <c r="CN540" s="240"/>
      <c r="CO540" s="240"/>
      <c r="CP540" s="240"/>
      <c r="CQ540" s="240"/>
      <c r="CR540" s="240"/>
      <c r="CS540" s="240"/>
      <c r="CT540" s="240"/>
      <c r="CU540" s="240"/>
      <c r="CV540" s="240"/>
      <c r="CW540" s="240"/>
      <c r="CX540" s="240"/>
      <c r="CY540" s="240"/>
      <c r="CZ540" s="240"/>
      <c r="DA540" s="240"/>
      <c r="DB540" s="240"/>
      <c r="DC540" s="240"/>
      <c r="DD540" s="240"/>
      <c r="DE540" s="240"/>
      <c r="DF540" s="240"/>
      <c r="DG540" s="728"/>
      <c r="DH540" s="728"/>
      <c r="DI540" s="195"/>
      <c r="DJ540" s="1"/>
      <c r="DK540" s="3"/>
      <c r="DL540" s="4"/>
      <c r="DM540" s="4"/>
      <c r="DN540" s="4"/>
      <c r="DO540" s="4"/>
      <c r="DP540" s="4"/>
      <c r="DQ540" s="4"/>
      <c r="DR540" s="4"/>
      <c r="DT540" s="195"/>
      <c r="DU540" s="195"/>
      <c r="DV540" s="195"/>
      <c r="DW540" s="195"/>
      <c r="DX540" s="195"/>
      <c r="DY540" s="195"/>
      <c r="DZ540" s="195"/>
      <c r="EA540" s="195"/>
      <c r="EB540" s="195"/>
      <c r="EC540" s="195"/>
      <c r="ED540" s="195"/>
      <c r="EE540" s="195"/>
      <c r="EF540" s="195"/>
      <c r="EG540" s="195"/>
      <c r="EL540" s="1"/>
      <c r="EM540" s="195"/>
      <c r="EN540" s="731"/>
      <c r="EO540" s="240"/>
      <c r="EP540" s="195"/>
      <c r="EQ540" s="240"/>
      <c r="ER540" s="195"/>
      <c r="ES540" s="195"/>
      <c r="ET540" s="195"/>
      <c r="EU540" s="731"/>
    </row>
    <row r="541" customFormat="false" ht="12.75" hidden="false" customHeight="false" outlineLevel="0" collapsed="false">
      <c r="I541" s="735"/>
      <c r="J541" s="728"/>
      <c r="K541" s="195"/>
      <c r="L541" s="195"/>
      <c r="S541" s="1"/>
      <c r="T541" s="195"/>
      <c r="U541" s="195"/>
      <c r="V541" s="195"/>
      <c r="W541" s="195"/>
      <c r="X541" s="195"/>
      <c r="Y541" s="195"/>
      <c r="Z541" s="195"/>
      <c r="AA541" s="195"/>
      <c r="AB541" s="195"/>
      <c r="AC541" s="195"/>
      <c r="AD541" s="195"/>
      <c r="AE541" s="195"/>
      <c r="AF541" s="195"/>
      <c r="AG541" s="195"/>
      <c r="AH541" s="195"/>
      <c r="AI541" s="195"/>
      <c r="AJ541" s="195"/>
      <c r="AK541" s="195"/>
      <c r="AL541" s="195"/>
      <c r="AM541" s="195"/>
      <c r="AN541" s="195"/>
      <c r="AO541" s="195"/>
      <c r="AP541" s="240"/>
      <c r="AQ541" s="195"/>
      <c r="AR541" s="240"/>
      <c r="AS541" s="240"/>
      <c r="AT541" s="240"/>
      <c r="AU541" s="240"/>
      <c r="AV541" s="730"/>
      <c r="AW541" s="730"/>
      <c r="AX541" s="730"/>
      <c r="AY541" s="468"/>
      <c r="AZ541" s="468"/>
      <c r="BA541" s="240"/>
      <c r="BB541" s="240"/>
      <c r="BC541" s="240"/>
      <c r="BD541" s="240"/>
      <c r="BE541" s="240"/>
      <c r="BF541" s="672"/>
      <c r="BG541" s="672"/>
      <c r="BH541" s="731"/>
      <c r="BI541" s="672"/>
      <c r="BJ541" s="240"/>
      <c r="BK541" s="736"/>
      <c r="BL541" s="732"/>
      <c r="BM541" s="240"/>
      <c r="BN541" s="240"/>
      <c r="BO541" s="240"/>
      <c r="BP541" s="240"/>
      <c r="BQ541" s="240"/>
      <c r="BR541" s="240"/>
      <c r="BS541" s="240"/>
      <c r="BT541" s="240"/>
      <c r="BU541" s="240"/>
      <c r="BV541" s="240"/>
      <c r="BW541" s="240"/>
      <c r="BX541" s="240"/>
      <c r="BY541" s="240"/>
      <c r="BZ541" s="240"/>
      <c r="CA541" s="240"/>
      <c r="CB541" s="672"/>
      <c r="CC541" s="672"/>
      <c r="CD541" s="672"/>
      <c r="CE541" s="672"/>
      <c r="CF541" s="672"/>
      <c r="CG541" s="672"/>
      <c r="CH541" s="240"/>
      <c r="CI541" s="240"/>
      <c r="CJ541" s="240"/>
      <c r="CK541" s="240"/>
      <c r="CL541" s="240"/>
      <c r="CM541" s="240"/>
      <c r="CN541" s="240"/>
      <c r="CO541" s="240"/>
      <c r="CP541" s="240"/>
      <c r="CQ541" s="240"/>
      <c r="CR541" s="240"/>
      <c r="CS541" s="240"/>
      <c r="CT541" s="240"/>
      <c r="CU541" s="240"/>
      <c r="CV541" s="240"/>
      <c r="CW541" s="240"/>
      <c r="CX541" s="240"/>
      <c r="CY541" s="240"/>
      <c r="CZ541" s="240"/>
      <c r="DA541" s="240"/>
      <c r="DB541" s="240"/>
      <c r="DC541" s="240"/>
      <c r="DD541" s="240"/>
      <c r="DE541" s="240"/>
      <c r="DF541" s="240"/>
      <c r="DG541" s="728"/>
      <c r="DH541" s="728"/>
      <c r="DI541" s="195"/>
      <c r="DJ541" s="1"/>
      <c r="DK541" s="3"/>
      <c r="DL541" s="4"/>
      <c r="DM541" s="4"/>
      <c r="DN541" s="4"/>
      <c r="DO541" s="4"/>
      <c r="DP541" s="4"/>
      <c r="DQ541" s="4"/>
      <c r="DR541" s="4"/>
      <c r="DT541" s="195"/>
      <c r="DU541" s="195"/>
      <c r="DV541" s="195"/>
      <c r="DW541" s="195"/>
      <c r="DX541" s="195"/>
      <c r="DY541" s="195"/>
      <c r="DZ541" s="195"/>
      <c r="EA541" s="195"/>
      <c r="EB541" s="195"/>
      <c r="EC541" s="195"/>
      <c r="ED541" s="195"/>
      <c r="EE541" s="195"/>
      <c r="EF541" s="195"/>
      <c r="EG541" s="195"/>
      <c r="EL541" s="1"/>
      <c r="EM541" s="195"/>
      <c r="EN541" s="731"/>
      <c r="EO541" s="240"/>
      <c r="EP541" s="195"/>
      <c r="EQ541" s="240"/>
      <c r="ER541" s="195"/>
      <c r="ES541" s="195"/>
      <c r="ET541" s="195"/>
      <c r="EU541" s="731"/>
    </row>
    <row r="542" customFormat="false" ht="12.75" hidden="false" customHeight="false" outlineLevel="0" collapsed="false">
      <c r="I542" s="735"/>
      <c r="J542" s="728"/>
      <c r="K542" s="195"/>
      <c r="L542" s="195"/>
      <c r="S542" s="1"/>
      <c r="T542" s="195"/>
      <c r="U542" s="195"/>
      <c r="V542" s="195"/>
      <c r="W542" s="195"/>
      <c r="X542" s="195"/>
      <c r="Y542" s="195"/>
      <c r="Z542" s="195"/>
      <c r="AA542" s="195"/>
      <c r="AB542" s="195"/>
      <c r="AC542" s="195"/>
      <c r="AD542" s="195"/>
      <c r="AE542" s="195"/>
      <c r="AF542" s="195"/>
      <c r="AG542" s="195"/>
      <c r="AH542" s="195"/>
      <c r="AI542" s="195"/>
      <c r="AJ542" s="195"/>
      <c r="AK542" s="195"/>
      <c r="AL542" s="195"/>
      <c r="AM542" s="195"/>
      <c r="AN542" s="195"/>
      <c r="AO542" s="195"/>
      <c r="AP542" s="240"/>
      <c r="AQ542" s="195"/>
      <c r="AR542" s="240"/>
      <c r="AS542" s="240"/>
      <c r="AT542" s="240"/>
      <c r="AU542" s="240"/>
      <c r="AV542" s="730"/>
      <c r="AW542" s="730"/>
      <c r="AX542" s="730"/>
      <c r="AY542" s="468"/>
      <c r="AZ542" s="468"/>
      <c r="BA542" s="240"/>
      <c r="BB542" s="240"/>
      <c r="BC542" s="240"/>
      <c r="BD542" s="240"/>
      <c r="BE542" s="240"/>
      <c r="BF542" s="672"/>
      <c r="BG542" s="672"/>
      <c r="BH542" s="731"/>
      <c r="BI542" s="672"/>
      <c r="BJ542" s="240"/>
      <c r="BK542" s="736"/>
      <c r="BL542" s="732"/>
      <c r="BM542" s="240"/>
      <c r="BN542" s="240"/>
      <c r="BO542" s="240"/>
      <c r="BP542" s="240"/>
      <c r="BQ542" s="240"/>
      <c r="BR542" s="240"/>
      <c r="BS542" s="240"/>
      <c r="BT542" s="240"/>
      <c r="BU542" s="240"/>
      <c r="BV542" s="240"/>
      <c r="BW542" s="240"/>
      <c r="BX542" s="240"/>
      <c r="BY542" s="240"/>
      <c r="BZ542" s="240"/>
      <c r="CA542" s="240"/>
      <c r="CB542" s="672"/>
      <c r="CC542" s="672"/>
      <c r="CD542" s="672"/>
      <c r="CE542" s="672"/>
      <c r="CF542" s="672"/>
      <c r="CG542" s="672"/>
      <c r="CH542" s="240"/>
      <c r="CI542" s="240"/>
      <c r="CJ542" s="240"/>
      <c r="CK542" s="240"/>
      <c r="CL542" s="240"/>
      <c r="CM542" s="240"/>
      <c r="CN542" s="240"/>
      <c r="CO542" s="240"/>
      <c r="CP542" s="240"/>
      <c r="CQ542" s="240"/>
      <c r="CR542" s="240"/>
      <c r="CS542" s="240"/>
      <c r="CT542" s="240"/>
      <c r="CU542" s="240"/>
      <c r="CV542" s="240"/>
      <c r="CW542" s="240"/>
      <c r="CX542" s="240"/>
      <c r="CY542" s="240"/>
      <c r="CZ542" s="240"/>
      <c r="DA542" s="240"/>
      <c r="DB542" s="240"/>
      <c r="DC542" s="240"/>
      <c r="DD542" s="240"/>
      <c r="DE542" s="240"/>
      <c r="DF542" s="240"/>
      <c r="DG542" s="728"/>
      <c r="DH542" s="728"/>
      <c r="DI542" s="195"/>
      <c r="DJ542" s="1"/>
      <c r="DK542" s="3"/>
      <c r="DL542" s="4"/>
      <c r="DM542" s="4"/>
      <c r="DN542" s="4"/>
      <c r="DO542" s="4"/>
      <c r="DP542" s="4"/>
      <c r="DQ542" s="4"/>
      <c r="DR542" s="4"/>
      <c r="DT542" s="195"/>
      <c r="DU542" s="195"/>
      <c r="DV542" s="195"/>
      <c r="DW542" s="195"/>
      <c r="DX542" s="195"/>
      <c r="DY542" s="195"/>
      <c r="DZ542" s="195"/>
      <c r="EA542" s="195"/>
      <c r="EB542" s="195"/>
      <c r="EC542" s="195"/>
      <c r="ED542" s="195"/>
      <c r="EE542" s="195"/>
      <c r="EF542" s="195"/>
      <c r="EG542" s="195"/>
      <c r="EL542" s="1"/>
      <c r="EM542" s="195"/>
      <c r="EN542" s="731"/>
      <c r="EO542" s="240"/>
      <c r="EP542" s="195"/>
      <c r="EQ542" s="240"/>
      <c r="ER542" s="195"/>
      <c r="ES542" s="195"/>
      <c r="ET542" s="195"/>
      <c r="EU542" s="731"/>
    </row>
    <row r="543" customFormat="false" ht="12.75" hidden="false" customHeight="false" outlineLevel="0" collapsed="false">
      <c r="I543" s="735"/>
      <c r="J543" s="728"/>
      <c r="K543" s="195"/>
      <c r="L543" s="195"/>
      <c r="S543" s="1"/>
      <c r="T543" s="195"/>
      <c r="U543" s="195"/>
      <c r="V543" s="195"/>
      <c r="W543" s="195"/>
      <c r="X543" s="195"/>
      <c r="Y543" s="195"/>
      <c r="Z543" s="195"/>
      <c r="AA543" s="195"/>
      <c r="AB543" s="195"/>
      <c r="AC543" s="195"/>
      <c r="AD543" s="195"/>
      <c r="AE543" s="195"/>
      <c r="AF543" s="195"/>
      <c r="AG543" s="195"/>
      <c r="AH543" s="195"/>
      <c r="AI543" s="195"/>
      <c r="AJ543" s="195"/>
      <c r="AK543" s="195"/>
      <c r="AL543" s="195"/>
      <c r="AM543" s="195"/>
      <c r="AN543" s="195"/>
      <c r="AO543" s="195"/>
      <c r="AP543" s="240"/>
      <c r="AQ543" s="195"/>
      <c r="AR543" s="240"/>
      <c r="AS543" s="240"/>
      <c r="AT543" s="240"/>
      <c r="AU543" s="240"/>
      <c r="AV543" s="730"/>
      <c r="AW543" s="730"/>
      <c r="AX543" s="730"/>
      <c r="AY543" s="468"/>
      <c r="AZ543" s="468"/>
      <c r="BA543" s="240"/>
      <c r="BB543" s="240"/>
      <c r="BC543" s="240"/>
      <c r="BD543" s="240"/>
      <c r="BE543" s="240"/>
      <c r="BF543" s="672"/>
      <c r="BG543" s="672"/>
      <c r="BH543" s="731"/>
      <c r="BI543" s="672"/>
      <c r="BJ543" s="240"/>
      <c r="BK543" s="736"/>
      <c r="BL543" s="732"/>
      <c r="BM543" s="240"/>
      <c r="BN543" s="240"/>
      <c r="BO543" s="240"/>
      <c r="BP543" s="240"/>
      <c r="BQ543" s="240"/>
      <c r="BR543" s="240"/>
      <c r="BS543" s="240"/>
      <c r="BT543" s="240"/>
      <c r="BU543" s="240"/>
      <c r="BV543" s="240"/>
      <c r="BW543" s="240"/>
      <c r="BX543" s="240"/>
      <c r="BY543" s="240"/>
      <c r="BZ543" s="240"/>
      <c r="CA543" s="240"/>
      <c r="CB543" s="672"/>
      <c r="CC543" s="672"/>
      <c r="CD543" s="672"/>
      <c r="CE543" s="672"/>
      <c r="CF543" s="672"/>
      <c r="CG543" s="672"/>
      <c r="CH543" s="240"/>
      <c r="CI543" s="240"/>
      <c r="CJ543" s="240"/>
      <c r="CK543" s="240"/>
      <c r="CL543" s="240"/>
      <c r="CM543" s="240"/>
      <c r="CN543" s="240"/>
      <c r="CO543" s="240"/>
      <c r="CP543" s="240"/>
      <c r="CQ543" s="240"/>
      <c r="CR543" s="240"/>
      <c r="CS543" s="240"/>
      <c r="CT543" s="240"/>
      <c r="CU543" s="240"/>
      <c r="CV543" s="240"/>
      <c r="CW543" s="240"/>
      <c r="CX543" s="240"/>
      <c r="CY543" s="240"/>
      <c r="CZ543" s="240"/>
      <c r="DA543" s="240"/>
      <c r="DB543" s="240"/>
      <c r="DC543" s="240"/>
      <c r="DD543" s="240"/>
      <c r="DE543" s="240"/>
      <c r="DF543" s="240"/>
      <c r="DG543" s="728"/>
      <c r="DH543" s="728"/>
      <c r="DI543" s="195"/>
      <c r="DJ543" s="1"/>
      <c r="DK543" s="3"/>
      <c r="DL543" s="4"/>
      <c r="DM543" s="4"/>
      <c r="DN543" s="4"/>
      <c r="DO543" s="4"/>
      <c r="DP543" s="4"/>
      <c r="DQ543" s="4"/>
      <c r="DR543" s="4"/>
      <c r="DT543" s="195"/>
      <c r="DU543" s="195"/>
      <c r="DV543" s="195"/>
      <c r="DW543" s="195"/>
      <c r="DX543" s="195"/>
      <c r="DY543" s="195"/>
      <c r="DZ543" s="195"/>
      <c r="EA543" s="195"/>
      <c r="EB543" s="195"/>
      <c r="EC543" s="195"/>
      <c r="ED543" s="195"/>
      <c r="EE543" s="195"/>
      <c r="EF543" s="195"/>
      <c r="EG543" s="195"/>
      <c r="EL543" s="1"/>
      <c r="EM543" s="195"/>
      <c r="EN543" s="731"/>
      <c r="EO543" s="240"/>
      <c r="EP543" s="195"/>
      <c r="EQ543" s="240"/>
      <c r="ER543" s="195"/>
      <c r="ES543" s="195"/>
      <c r="ET543" s="195"/>
      <c r="EU543" s="731"/>
    </row>
    <row r="544" customFormat="false" ht="12.75" hidden="false" customHeight="false" outlineLevel="0" collapsed="false">
      <c r="I544" s="735"/>
      <c r="J544" s="728"/>
      <c r="K544" s="195"/>
      <c r="L544" s="195"/>
      <c r="S544" s="1"/>
      <c r="T544" s="195"/>
      <c r="U544" s="195"/>
      <c r="V544" s="195"/>
      <c r="W544" s="195"/>
      <c r="X544" s="195"/>
      <c r="Y544" s="195"/>
      <c r="Z544" s="195"/>
      <c r="AA544" s="195"/>
      <c r="AB544" s="195"/>
      <c r="AC544" s="195"/>
      <c r="AD544" s="195"/>
      <c r="AE544" s="195"/>
      <c r="AF544" s="195"/>
      <c r="AG544" s="195"/>
      <c r="AH544" s="195"/>
      <c r="AI544" s="195"/>
      <c r="AJ544" s="195"/>
      <c r="AK544" s="195"/>
      <c r="AL544" s="195"/>
      <c r="AM544" s="195"/>
      <c r="AN544" s="195"/>
      <c r="AO544" s="195"/>
      <c r="AP544" s="240"/>
      <c r="AQ544" s="195"/>
      <c r="AR544" s="240"/>
      <c r="AS544" s="240"/>
      <c r="AT544" s="240"/>
      <c r="AU544" s="240"/>
      <c r="AV544" s="730"/>
      <c r="AW544" s="730"/>
      <c r="AX544" s="730"/>
      <c r="AY544" s="468"/>
      <c r="AZ544" s="468"/>
      <c r="BA544" s="240"/>
      <c r="BB544" s="240"/>
      <c r="BC544" s="240"/>
      <c r="BD544" s="240"/>
      <c r="BE544" s="240"/>
      <c r="BF544" s="672"/>
      <c r="BG544" s="672"/>
      <c r="BH544" s="731"/>
      <c r="BI544" s="672"/>
      <c r="BJ544" s="240"/>
      <c r="BK544" s="736"/>
      <c r="BL544" s="732"/>
      <c r="BM544" s="240"/>
      <c r="BN544" s="240"/>
      <c r="BO544" s="240"/>
      <c r="BP544" s="240"/>
      <c r="BQ544" s="240"/>
      <c r="BR544" s="240"/>
      <c r="BS544" s="240"/>
      <c r="BT544" s="240"/>
      <c r="BU544" s="240"/>
      <c r="BV544" s="240"/>
      <c r="BW544" s="240"/>
      <c r="BX544" s="240"/>
      <c r="BY544" s="240"/>
      <c r="BZ544" s="240"/>
      <c r="CA544" s="240"/>
      <c r="CB544" s="672"/>
      <c r="CC544" s="672"/>
      <c r="CD544" s="672"/>
      <c r="CE544" s="672"/>
      <c r="CF544" s="672"/>
      <c r="CG544" s="672"/>
      <c r="CH544" s="240"/>
      <c r="CI544" s="240"/>
      <c r="CJ544" s="240"/>
      <c r="CK544" s="240"/>
      <c r="CL544" s="240"/>
      <c r="CM544" s="240"/>
      <c r="CN544" s="240"/>
      <c r="CO544" s="240"/>
      <c r="CP544" s="240"/>
      <c r="CQ544" s="240"/>
      <c r="CR544" s="240"/>
      <c r="CS544" s="240"/>
      <c r="CT544" s="240"/>
      <c r="CU544" s="240"/>
      <c r="CV544" s="240"/>
      <c r="CW544" s="240"/>
      <c r="CX544" s="240"/>
      <c r="CY544" s="240"/>
      <c r="CZ544" s="240"/>
      <c r="DA544" s="240"/>
      <c r="DB544" s="240"/>
      <c r="DC544" s="240"/>
      <c r="DD544" s="240"/>
      <c r="DE544" s="240"/>
      <c r="DF544" s="240"/>
      <c r="DG544" s="728"/>
      <c r="DH544" s="728"/>
      <c r="DI544" s="195"/>
      <c r="DJ544" s="1"/>
      <c r="DK544" s="3"/>
      <c r="DL544" s="4"/>
      <c r="DM544" s="4"/>
      <c r="DN544" s="4"/>
      <c r="DO544" s="4"/>
      <c r="DP544" s="4"/>
      <c r="DQ544" s="4"/>
      <c r="DR544" s="4"/>
      <c r="DT544" s="195"/>
      <c r="DU544" s="195"/>
      <c r="DV544" s="195"/>
      <c r="DW544" s="195"/>
      <c r="DX544" s="195"/>
      <c r="DY544" s="195"/>
      <c r="DZ544" s="195"/>
      <c r="EA544" s="195"/>
      <c r="EB544" s="195"/>
      <c r="EC544" s="195"/>
      <c r="ED544" s="195"/>
      <c r="EE544" s="195"/>
      <c r="EF544" s="195"/>
      <c r="EG544" s="195"/>
      <c r="EL544" s="1"/>
      <c r="EM544" s="195"/>
      <c r="EN544" s="731"/>
      <c r="EO544" s="240"/>
      <c r="EP544" s="195"/>
      <c r="EQ544" s="240"/>
      <c r="ER544" s="195"/>
      <c r="ES544" s="195"/>
      <c r="ET544" s="195"/>
      <c r="EU544" s="731"/>
    </row>
    <row r="545" customFormat="false" ht="12.75" hidden="false" customHeight="false" outlineLevel="0" collapsed="false">
      <c r="I545" s="735"/>
      <c r="J545" s="728"/>
      <c r="K545" s="195"/>
      <c r="L545" s="195"/>
      <c r="S545" s="1"/>
      <c r="T545" s="195"/>
      <c r="U545" s="195"/>
      <c r="V545" s="195"/>
      <c r="W545" s="195"/>
      <c r="X545" s="195"/>
      <c r="Y545" s="195"/>
      <c r="Z545" s="195"/>
      <c r="AA545" s="195"/>
      <c r="AB545" s="195"/>
      <c r="AC545" s="195"/>
      <c r="AD545" s="195"/>
      <c r="AE545" s="195"/>
      <c r="AF545" s="195"/>
      <c r="AG545" s="195"/>
      <c r="AH545" s="195"/>
      <c r="AI545" s="195"/>
      <c r="AJ545" s="195"/>
      <c r="AK545" s="195"/>
      <c r="AL545" s="195"/>
      <c r="AM545" s="195"/>
      <c r="AN545" s="195"/>
      <c r="AO545" s="195"/>
      <c r="AP545" s="240"/>
      <c r="AQ545" s="195"/>
      <c r="AR545" s="240"/>
      <c r="AS545" s="240"/>
      <c r="AT545" s="240"/>
      <c r="AU545" s="240"/>
      <c r="AV545" s="730"/>
      <c r="AW545" s="730"/>
      <c r="AX545" s="730"/>
      <c r="AY545" s="468"/>
      <c r="AZ545" s="468"/>
      <c r="BA545" s="240"/>
      <c r="BB545" s="240"/>
      <c r="BC545" s="240"/>
      <c r="BD545" s="240"/>
      <c r="BE545" s="240"/>
      <c r="BF545" s="672"/>
      <c r="BG545" s="672"/>
      <c r="BH545" s="731"/>
      <c r="BI545" s="672"/>
      <c r="BJ545" s="240"/>
      <c r="BK545" s="736"/>
      <c r="BL545" s="732"/>
      <c r="BM545" s="240"/>
      <c r="BN545" s="240"/>
      <c r="BO545" s="240"/>
      <c r="BP545" s="240"/>
      <c r="BQ545" s="240"/>
      <c r="BR545" s="240"/>
      <c r="BS545" s="240"/>
      <c r="BT545" s="240"/>
      <c r="BU545" s="240"/>
      <c r="BV545" s="240"/>
      <c r="BW545" s="240"/>
      <c r="BX545" s="240"/>
      <c r="BY545" s="240"/>
      <c r="BZ545" s="240"/>
      <c r="CA545" s="240"/>
      <c r="CB545" s="672"/>
      <c r="CC545" s="672"/>
      <c r="CD545" s="672"/>
      <c r="CE545" s="672"/>
      <c r="CF545" s="672"/>
      <c r="CG545" s="672"/>
      <c r="CH545" s="240"/>
      <c r="CI545" s="240"/>
      <c r="CJ545" s="240"/>
      <c r="CK545" s="240"/>
      <c r="CL545" s="240"/>
      <c r="CM545" s="240"/>
      <c r="CN545" s="240"/>
      <c r="CO545" s="240"/>
      <c r="CP545" s="240"/>
      <c r="CQ545" s="240"/>
      <c r="CR545" s="240"/>
      <c r="CS545" s="240"/>
      <c r="CT545" s="240"/>
      <c r="CU545" s="240"/>
      <c r="CV545" s="240"/>
      <c r="CW545" s="240"/>
      <c r="CX545" s="240"/>
      <c r="CY545" s="240"/>
      <c r="CZ545" s="240"/>
      <c r="DA545" s="240"/>
      <c r="DB545" s="240"/>
      <c r="DC545" s="240"/>
      <c r="DD545" s="240"/>
      <c r="DE545" s="240"/>
      <c r="DF545" s="240"/>
      <c r="DG545" s="728"/>
      <c r="DH545" s="728"/>
      <c r="DI545" s="195"/>
      <c r="DJ545" s="1"/>
      <c r="DK545" s="3"/>
      <c r="DL545" s="4"/>
      <c r="DM545" s="4"/>
      <c r="DN545" s="4"/>
      <c r="DO545" s="4"/>
      <c r="DP545" s="4"/>
      <c r="DQ545" s="4"/>
      <c r="DR545" s="4"/>
      <c r="DT545" s="195"/>
      <c r="DU545" s="195"/>
      <c r="DV545" s="195"/>
      <c r="DW545" s="195"/>
      <c r="DX545" s="195"/>
      <c r="DY545" s="195"/>
      <c r="DZ545" s="195"/>
      <c r="EA545" s="195"/>
      <c r="EB545" s="195"/>
      <c r="EC545" s="195"/>
      <c r="ED545" s="195"/>
      <c r="EE545" s="195"/>
      <c r="EF545" s="195"/>
      <c r="EG545" s="195"/>
      <c r="EL545" s="1"/>
      <c r="EM545" s="195"/>
      <c r="EN545" s="731"/>
      <c r="EO545" s="240"/>
      <c r="EP545" s="195"/>
      <c r="EQ545" s="240"/>
      <c r="ER545" s="195"/>
      <c r="ES545" s="195"/>
      <c r="ET545" s="195"/>
      <c r="EU545" s="731"/>
    </row>
    <row r="546" customFormat="false" ht="12.75" hidden="false" customHeight="false" outlineLevel="0" collapsed="false">
      <c r="I546" s="735"/>
      <c r="J546" s="728"/>
      <c r="K546" s="195"/>
      <c r="L546" s="195"/>
      <c r="S546" s="1"/>
      <c r="T546" s="195"/>
      <c r="U546" s="195"/>
      <c r="V546" s="195"/>
      <c r="W546" s="195"/>
      <c r="X546" s="195"/>
      <c r="Y546" s="195"/>
      <c r="Z546" s="195"/>
      <c r="AA546" s="195"/>
      <c r="AB546" s="195"/>
      <c r="AC546" s="195"/>
      <c r="AD546" s="195"/>
      <c r="AE546" s="195"/>
      <c r="AF546" s="195"/>
      <c r="AG546" s="195"/>
      <c r="AH546" s="195"/>
      <c r="AI546" s="195"/>
      <c r="AJ546" s="195"/>
      <c r="AK546" s="195"/>
      <c r="AL546" s="195"/>
      <c r="AM546" s="195"/>
      <c r="AN546" s="195"/>
      <c r="AO546" s="195"/>
      <c r="AP546" s="240"/>
      <c r="AQ546" s="195"/>
      <c r="AR546" s="240"/>
      <c r="AS546" s="240"/>
      <c r="AT546" s="240"/>
      <c r="AU546" s="240"/>
      <c r="AV546" s="730"/>
      <c r="AW546" s="730"/>
      <c r="AX546" s="730"/>
      <c r="AY546" s="468"/>
      <c r="AZ546" s="468"/>
      <c r="BA546" s="240"/>
      <c r="BB546" s="240"/>
      <c r="BC546" s="240"/>
      <c r="BD546" s="240"/>
      <c r="BE546" s="240"/>
      <c r="BF546" s="672"/>
      <c r="BG546" s="672"/>
      <c r="BH546" s="731"/>
      <c r="BI546" s="672"/>
      <c r="BJ546" s="240"/>
      <c r="BK546" s="736"/>
      <c r="BL546" s="732"/>
      <c r="BM546" s="240"/>
      <c r="BN546" s="240"/>
      <c r="BO546" s="240"/>
      <c r="BP546" s="240"/>
      <c r="BQ546" s="240"/>
      <c r="BR546" s="240"/>
      <c r="BS546" s="240"/>
      <c r="BT546" s="240"/>
      <c r="BU546" s="240"/>
      <c r="BV546" s="240"/>
      <c r="BW546" s="240"/>
      <c r="BX546" s="240"/>
      <c r="BY546" s="240"/>
      <c r="BZ546" s="240"/>
      <c r="CA546" s="240"/>
      <c r="CB546" s="672"/>
      <c r="CC546" s="672"/>
      <c r="CD546" s="672"/>
      <c r="CE546" s="672"/>
      <c r="CF546" s="672"/>
      <c r="CG546" s="672"/>
      <c r="CH546" s="240"/>
      <c r="CI546" s="240"/>
      <c r="CJ546" s="240"/>
      <c r="CK546" s="240"/>
      <c r="CL546" s="240"/>
      <c r="CM546" s="240"/>
      <c r="CN546" s="240"/>
      <c r="CO546" s="240"/>
      <c r="CP546" s="240"/>
      <c r="CQ546" s="240"/>
      <c r="CR546" s="240"/>
      <c r="CS546" s="240"/>
      <c r="CT546" s="240"/>
      <c r="CU546" s="240"/>
      <c r="CV546" s="240"/>
      <c r="CW546" s="240"/>
      <c r="CX546" s="240"/>
      <c r="CY546" s="240"/>
      <c r="CZ546" s="240"/>
      <c r="DA546" s="240"/>
      <c r="DB546" s="240"/>
      <c r="DC546" s="240"/>
      <c r="DD546" s="240"/>
      <c r="DE546" s="240"/>
      <c r="DF546" s="240"/>
      <c r="DG546" s="728"/>
      <c r="DH546" s="728"/>
      <c r="DI546" s="195"/>
      <c r="DJ546" s="1"/>
      <c r="DK546" s="3"/>
      <c r="DL546" s="4"/>
      <c r="DM546" s="4"/>
      <c r="DN546" s="4"/>
      <c r="DO546" s="4"/>
      <c r="DP546" s="4"/>
      <c r="DQ546" s="4"/>
      <c r="DR546" s="4"/>
      <c r="DT546" s="195"/>
      <c r="DU546" s="195"/>
      <c r="DV546" s="195"/>
      <c r="DW546" s="195"/>
      <c r="DX546" s="195"/>
      <c r="DY546" s="195"/>
      <c r="DZ546" s="195"/>
      <c r="EA546" s="195"/>
      <c r="EB546" s="195"/>
      <c r="EC546" s="195"/>
      <c r="ED546" s="195"/>
      <c r="EE546" s="195"/>
      <c r="EF546" s="195"/>
      <c r="EG546" s="195"/>
      <c r="EL546" s="1"/>
      <c r="EM546" s="195"/>
      <c r="EN546" s="731"/>
      <c r="EO546" s="240"/>
      <c r="EP546" s="195"/>
      <c r="EQ546" s="240"/>
      <c r="ER546" s="195"/>
      <c r="ES546" s="195"/>
      <c r="ET546" s="195"/>
      <c r="EU546" s="731"/>
    </row>
    <row r="547" customFormat="false" ht="12.75" hidden="false" customHeight="false" outlineLevel="0" collapsed="false">
      <c r="I547" s="735"/>
      <c r="J547" s="728"/>
      <c r="K547" s="195"/>
      <c r="L547" s="195"/>
      <c r="S547" s="1"/>
      <c r="T547" s="195"/>
      <c r="U547" s="195"/>
      <c r="V547" s="195"/>
      <c r="W547" s="195"/>
      <c r="X547" s="195"/>
      <c r="Y547" s="195"/>
      <c r="Z547" s="195"/>
      <c r="AA547" s="195"/>
      <c r="AB547" s="195"/>
      <c r="AC547" s="195"/>
      <c r="AD547" s="195"/>
      <c r="AE547" s="195"/>
      <c r="AF547" s="195"/>
      <c r="AG547" s="195"/>
      <c r="AH547" s="195"/>
      <c r="AI547" s="195"/>
      <c r="AJ547" s="195"/>
      <c r="AK547" s="195"/>
      <c r="AL547" s="195"/>
      <c r="AM547" s="195"/>
      <c r="AN547" s="195"/>
      <c r="AO547" s="195"/>
      <c r="AP547" s="240"/>
      <c r="AQ547" s="195"/>
      <c r="AR547" s="240"/>
      <c r="AS547" s="240"/>
      <c r="AT547" s="240"/>
      <c r="AU547" s="240"/>
      <c r="AV547" s="730"/>
      <c r="AW547" s="730"/>
      <c r="AX547" s="730"/>
      <c r="AY547" s="468"/>
      <c r="AZ547" s="468"/>
      <c r="BA547" s="240"/>
      <c r="BB547" s="240"/>
      <c r="BC547" s="240"/>
      <c r="BD547" s="240"/>
      <c r="BE547" s="240"/>
      <c r="BF547" s="672"/>
      <c r="BG547" s="672"/>
      <c r="BH547" s="731"/>
      <c r="BI547" s="672"/>
      <c r="BJ547" s="240"/>
      <c r="BK547" s="736"/>
      <c r="BL547" s="732"/>
      <c r="BM547" s="240"/>
      <c r="BN547" s="240"/>
      <c r="BO547" s="240"/>
      <c r="BP547" s="240"/>
      <c r="BQ547" s="240"/>
      <c r="BR547" s="240"/>
      <c r="BS547" s="240"/>
      <c r="BT547" s="240"/>
      <c r="BU547" s="240"/>
      <c r="BV547" s="240"/>
      <c r="BW547" s="240"/>
      <c r="BX547" s="240"/>
      <c r="BY547" s="240"/>
      <c r="BZ547" s="240"/>
      <c r="CA547" s="240"/>
      <c r="CB547" s="672"/>
      <c r="CC547" s="672"/>
      <c r="CD547" s="672"/>
      <c r="CE547" s="672"/>
      <c r="CF547" s="672"/>
      <c r="CG547" s="672"/>
      <c r="CH547" s="240"/>
      <c r="CI547" s="240"/>
      <c r="CJ547" s="240"/>
      <c r="CK547" s="240"/>
      <c r="CL547" s="240"/>
      <c r="CM547" s="240"/>
      <c r="CN547" s="240"/>
      <c r="CO547" s="240"/>
      <c r="CP547" s="240"/>
      <c r="CQ547" s="240"/>
      <c r="CR547" s="240"/>
      <c r="CS547" s="240"/>
      <c r="CT547" s="240"/>
      <c r="CU547" s="240"/>
      <c r="CV547" s="240"/>
      <c r="CW547" s="240"/>
      <c r="CX547" s="240"/>
      <c r="CY547" s="240"/>
      <c r="CZ547" s="240"/>
      <c r="DA547" s="240"/>
      <c r="DB547" s="240"/>
      <c r="DC547" s="240"/>
      <c r="DD547" s="240"/>
      <c r="DE547" s="240"/>
      <c r="DF547" s="240"/>
      <c r="DG547" s="728"/>
      <c r="DH547" s="728"/>
      <c r="DI547" s="195"/>
      <c r="DJ547" s="1"/>
      <c r="DK547" s="3"/>
      <c r="DL547" s="4"/>
      <c r="DM547" s="4"/>
      <c r="DN547" s="4"/>
      <c r="DO547" s="4"/>
      <c r="DP547" s="4"/>
      <c r="DQ547" s="4"/>
      <c r="DR547" s="4"/>
      <c r="DT547" s="195"/>
      <c r="DU547" s="195"/>
      <c r="DV547" s="195"/>
      <c r="DW547" s="195"/>
      <c r="DX547" s="195"/>
      <c r="DY547" s="195"/>
      <c r="DZ547" s="195"/>
      <c r="EA547" s="195"/>
      <c r="EB547" s="195"/>
      <c r="EC547" s="195"/>
      <c r="ED547" s="195"/>
      <c r="EE547" s="195"/>
      <c r="EF547" s="195"/>
      <c r="EG547" s="195"/>
      <c r="EL547" s="1"/>
      <c r="EM547" s="195"/>
      <c r="EN547" s="731"/>
      <c r="EO547" s="240"/>
      <c r="EP547" s="195"/>
      <c r="EQ547" s="240"/>
      <c r="ER547" s="195"/>
      <c r="ES547" s="195"/>
      <c r="ET547" s="195"/>
      <c r="EU547" s="731"/>
    </row>
    <row r="548" customFormat="false" ht="12.75" hidden="false" customHeight="false" outlineLevel="0" collapsed="false">
      <c r="I548" s="735"/>
      <c r="J548" s="728"/>
      <c r="K548" s="195"/>
      <c r="L548" s="195"/>
      <c r="S548" s="1"/>
      <c r="T548" s="195"/>
      <c r="U548" s="195"/>
      <c r="V548" s="195"/>
      <c r="W548" s="195"/>
      <c r="X548" s="195"/>
      <c r="Y548" s="195"/>
      <c r="Z548" s="195"/>
      <c r="AA548" s="195"/>
      <c r="AB548" s="195"/>
      <c r="AC548" s="195"/>
      <c r="AD548" s="195"/>
      <c r="AE548" s="195"/>
      <c r="AF548" s="195"/>
      <c r="AG548" s="195"/>
      <c r="AH548" s="195"/>
      <c r="AI548" s="195"/>
      <c r="AJ548" s="195"/>
      <c r="AK548" s="195"/>
      <c r="AL548" s="195"/>
      <c r="AM548" s="195"/>
      <c r="AN548" s="195"/>
      <c r="AO548" s="195"/>
      <c r="AP548" s="240"/>
      <c r="AQ548" s="195"/>
      <c r="AR548" s="240"/>
      <c r="AS548" s="240"/>
      <c r="AT548" s="240"/>
      <c r="AU548" s="240"/>
      <c r="AV548" s="730"/>
      <c r="AW548" s="730"/>
      <c r="AX548" s="730"/>
      <c r="AY548" s="468"/>
      <c r="AZ548" s="468"/>
      <c r="BA548" s="240"/>
      <c r="BB548" s="240"/>
      <c r="BC548" s="240"/>
      <c r="BD548" s="240"/>
      <c r="BE548" s="240"/>
      <c r="BF548" s="672"/>
      <c r="BG548" s="672"/>
      <c r="BH548" s="731"/>
      <c r="BI548" s="672"/>
      <c r="BJ548" s="240"/>
      <c r="BK548" s="736"/>
      <c r="BL548" s="732"/>
      <c r="BM548" s="240"/>
      <c r="BN548" s="240"/>
      <c r="BO548" s="240"/>
      <c r="BP548" s="240"/>
      <c r="BQ548" s="240"/>
      <c r="BR548" s="240"/>
      <c r="BS548" s="240"/>
      <c r="BT548" s="240"/>
      <c r="BU548" s="240"/>
      <c r="BV548" s="240"/>
      <c r="BW548" s="240"/>
      <c r="BX548" s="240"/>
      <c r="BY548" s="240"/>
      <c r="BZ548" s="240"/>
      <c r="CA548" s="240"/>
      <c r="CB548" s="672"/>
      <c r="CC548" s="672"/>
      <c r="CD548" s="672"/>
      <c r="CE548" s="672"/>
      <c r="CF548" s="672"/>
      <c r="CG548" s="672"/>
      <c r="CH548" s="240"/>
      <c r="CI548" s="240"/>
      <c r="CJ548" s="240"/>
      <c r="CK548" s="240"/>
      <c r="CL548" s="240"/>
      <c r="CM548" s="240"/>
      <c r="CN548" s="240"/>
      <c r="CO548" s="240"/>
      <c r="CP548" s="240"/>
      <c r="CQ548" s="240"/>
      <c r="CR548" s="240"/>
      <c r="CS548" s="240"/>
      <c r="CT548" s="240"/>
      <c r="CU548" s="240"/>
      <c r="CV548" s="240"/>
      <c r="CW548" s="240"/>
      <c r="CX548" s="240"/>
      <c r="CY548" s="240"/>
      <c r="CZ548" s="240"/>
      <c r="DA548" s="240"/>
      <c r="DB548" s="240"/>
      <c r="DC548" s="240"/>
      <c r="DD548" s="240"/>
      <c r="DE548" s="240"/>
      <c r="DF548" s="240"/>
      <c r="DG548" s="728"/>
      <c r="DH548" s="728"/>
      <c r="DI548" s="195"/>
      <c r="DJ548" s="1"/>
      <c r="DK548" s="3"/>
      <c r="DL548" s="4"/>
      <c r="DM548" s="4"/>
      <c r="DN548" s="4"/>
      <c r="DO548" s="4"/>
      <c r="DP548" s="4"/>
      <c r="DQ548" s="4"/>
      <c r="DR548" s="4"/>
      <c r="DT548" s="195"/>
      <c r="DU548" s="195"/>
      <c r="DV548" s="195"/>
      <c r="DW548" s="195"/>
      <c r="DX548" s="195"/>
      <c r="DY548" s="195"/>
      <c r="DZ548" s="195"/>
      <c r="EA548" s="195"/>
      <c r="EB548" s="195"/>
      <c r="EC548" s="195"/>
      <c r="ED548" s="195"/>
      <c r="EE548" s="195"/>
      <c r="EF548" s="195"/>
      <c r="EG548" s="195"/>
      <c r="EL548" s="1"/>
      <c r="EM548" s="195"/>
      <c r="EN548" s="731"/>
      <c r="EO548" s="240"/>
      <c r="EP548" s="195"/>
      <c r="EQ548" s="240"/>
      <c r="ER548" s="195"/>
      <c r="ES548" s="195"/>
      <c r="ET548" s="195"/>
      <c r="EU548" s="731"/>
    </row>
    <row r="549" customFormat="false" ht="12.75" hidden="false" customHeight="false" outlineLevel="0" collapsed="false">
      <c r="I549" s="735"/>
      <c r="J549" s="728"/>
      <c r="K549" s="195"/>
      <c r="L549" s="195"/>
      <c r="S549" s="1"/>
      <c r="T549" s="195"/>
      <c r="U549" s="195"/>
      <c r="V549" s="195"/>
      <c r="W549" s="195"/>
      <c r="X549" s="195"/>
      <c r="Y549" s="195"/>
      <c r="Z549" s="195"/>
      <c r="AA549" s="195"/>
      <c r="AB549" s="195"/>
      <c r="AC549" s="195"/>
      <c r="AD549" s="195"/>
      <c r="AE549" s="195"/>
      <c r="AF549" s="195"/>
      <c r="AG549" s="195"/>
      <c r="AH549" s="195"/>
      <c r="AI549" s="195"/>
      <c r="AJ549" s="195"/>
      <c r="AK549" s="195"/>
      <c r="AL549" s="195"/>
      <c r="AM549" s="195"/>
      <c r="AN549" s="195"/>
      <c r="AO549" s="195"/>
      <c r="AP549" s="240"/>
      <c r="AQ549" s="195"/>
      <c r="AR549" s="240"/>
      <c r="AS549" s="240"/>
      <c r="AT549" s="240"/>
      <c r="AU549" s="240"/>
      <c r="AV549" s="730"/>
      <c r="AW549" s="730"/>
      <c r="AX549" s="730"/>
      <c r="AY549" s="468"/>
      <c r="AZ549" s="468"/>
      <c r="BA549" s="240"/>
      <c r="BB549" s="240"/>
      <c r="BC549" s="240"/>
      <c r="BD549" s="240"/>
      <c r="BE549" s="240"/>
      <c r="BF549" s="672"/>
      <c r="BG549" s="672"/>
      <c r="BH549" s="731"/>
      <c r="BI549" s="672"/>
      <c r="BJ549" s="240"/>
      <c r="BK549" s="736"/>
      <c r="BL549" s="732"/>
      <c r="BM549" s="240"/>
      <c r="BN549" s="240"/>
      <c r="BO549" s="240"/>
      <c r="BP549" s="240"/>
      <c r="BQ549" s="240"/>
      <c r="BR549" s="240"/>
      <c r="BS549" s="240"/>
      <c r="BT549" s="240"/>
      <c r="BU549" s="240"/>
      <c r="BV549" s="240"/>
      <c r="BW549" s="240"/>
      <c r="BX549" s="240"/>
      <c r="BY549" s="240"/>
      <c r="BZ549" s="240"/>
      <c r="CA549" s="240"/>
      <c r="CB549" s="672"/>
      <c r="CC549" s="672"/>
      <c r="CD549" s="672"/>
      <c r="CE549" s="672"/>
      <c r="CF549" s="672"/>
      <c r="CG549" s="672"/>
      <c r="CH549" s="240"/>
      <c r="CI549" s="240"/>
      <c r="CJ549" s="240"/>
      <c r="CK549" s="240"/>
      <c r="CL549" s="240"/>
      <c r="CM549" s="240"/>
      <c r="CN549" s="240"/>
      <c r="CO549" s="240"/>
      <c r="CP549" s="240"/>
      <c r="CQ549" s="240"/>
      <c r="CR549" s="240"/>
      <c r="CS549" s="240"/>
      <c r="CT549" s="240"/>
      <c r="CU549" s="240"/>
      <c r="CV549" s="240"/>
      <c r="CW549" s="240"/>
      <c r="CX549" s="240"/>
      <c r="CY549" s="240"/>
      <c r="CZ549" s="240"/>
      <c r="DA549" s="240"/>
      <c r="DB549" s="240"/>
      <c r="DC549" s="240"/>
      <c r="DD549" s="240"/>
      <c r="DE549" s="240"/>
      <c r="DF549" s="240"/>
      <c r="DG549" s="728"/>
      <c r="DH549" s="728"/>
      <c r="DI549" s="195"/>
      <c r="DJ549" s="1"/>
      <c r="DK549" s="3"/>
      <c r="DL549" s="4"/>
      <c r="DM549" s="4"/>
      <c r="DN549" s="4"/>
      <c r="DO549" s="4"/>
      <c r="DP549" s="4"/>
      <c r="DQ549" s="4"/>
      <c r="DR549" s="4"/>
      <c r="DT549" s="195"/>
      <c r="DU549" s="195"/>
      <c r="DV549" s="195"/>
      <c r="DW549" s="195"/>
      <c r="DX549" s="195"/>
      <c r="DY549" s="195"/>
      <c r="DZ549" s="195"/>
      <c r="EA549" s="195"/>
      <c r="EB549" s="195"/>
      <c r="EC549" s="195"/>
      <c r="ED549" s="195"/>
      <c r="EE549" s="195"/>
      <c r="EF549" s="195"/>
      <c r="EG549" s="195"/>
      <c r="EL549" s="1"/>
      <c r="EM549" s="195"/>
      <c r="EN549" s="731"/>
      <c r="EO549" s="240"/>
      <c r="EP549" s="195"/>
      <c r="EQ549" s="240"/>
      <c r="ER549" s="195"/>
      <c r="ES549" s="195"/>
      <c r="ET549" s="195"/>
      <c r="EU549" s="731"/>
    </row>
    <row r="550" customFormat="false" ht="12.75" hidden="false" customHeight="false" outlineLevel="0" collapsed="false">
      <c r="I550" s="735"/>
      <c r="J550" s="728"/>
      <c r="K550" s="195"/>
      <c r="L550" s="195"/>
      <c r="S550" s="1"/>
      <c r="T550" s="195"/>
      <c r="U550" s="195"/>
      <c r="V550" s="195"/>
      <c r="W550" s="195"/>
      <c r="X550" s="195"/>
      <c r="Y550" s="195"/>
      <c r="Z550" s="195"/>
      <c r="AA550" s="195"/>
      <c r="AB550" s="195"/>
      <c r="AC550" s="195"/>
      <c r="AD550" s="195"/>
      <c r="AE550" s="195"/>
      <c r="AF550" s="195"/>
      <c r="AG550" s="195"/>
      <c r="AH550" s="195"/>
      <c r="AI550" s="195"/>
      <c r="AJ550" s="195"/>
      <c r="AK550" s="195"/>
      <c r="AL550" s="195"/>
      <c r="AM550" s="195"/>
      <c r="AN550" s="195"/>
      <c r="AO550" s="195"/>
      <c r="AP550" s="240"/>
      <c r="AQ550" s="195"/>
      <c r="AR550" s="240"/>
      <c r="AS550" s="240"/>
      <c r="AT550" s="240"/>
      <c r="AU550" s="240"/>
      <c r="AV550" s="730"/>
      <c r="AW550" s="730"/>
      <c r="AX550" s="730"/>
      <c r="AY550" s="468"/>
      <c r="AZ550" s="468"/>
      <c r="BA550" s="240"/>
      <c r="BB550" s="240"/>
      <c r="BC550" s="240"/>
      <c r="BD550" s="240"/>
      <c r="BE550" s="240"/>
      <c r="BF550" s="672"/>
      <c r="BG550" s="672"/>
      <c r="BH550" s="731"/>
      <c r="BI550" s="672"/>
      <c r="BJ550" s="240"/>
      <c r="BK550" s="736"/>
      <c r="BL550" s="732"/>
      <c r="BM550" s="240"/>
      <c r="BN550" s="240"/>
      <c r="BO550" s="240"/>
      <c r="BP550" s="240"/>
      <c r="BQ550" s="240"/>
      <c r="BR550" s="240"/>
      <c r="BS550" s="240"/>
      <c r="BT550" s="240"/>
      <c r="BU550" s="240"/>
      <c r="BV550" s="240"/>
      <c r="BW550" s="240"/>
      <c r="BX550" s="240"/>
      <c r="BY550" s="240"/>
      <c r="BZ550" s="240"/>
      <c r="CA550" s="240"/>
      <c r="CB550" s="672"/>
      <c r="CC550" s="672"/>
      <c r="CD550" s="672"/>
      <c r="CE550" s="672"/>
      <c r="CF550" s="672"/>
      <c r="CG550" s="672"/>
      <c r="CH550" s="240"/>
      <c r="CI550" s="240"/>
      <c r="CJ550" s="240"/>
      <c r="CK550" s="240"/>
      <c r="CL550" s="240"/>
      <c r="CM550" s="240"/>
      <c r="CN550" s="240"/>
      <c r="CO550" s="240"/>
      <c r="CP550" s="240"/>
      <c r="CQ550" s="240"/>
      <c r="CR550" s="240"/>
      <c r="CS550" s="240"/>
      <c r="CT550" s="240"/>
      <c r="CU550" s="240"/>
      <c r="CV550" s="240"/>
      <c r="CW550" s="240"/>
      <c r="CX550" s="240"/>
      <c r="CY550" s="240"/>
      <c r="CZ550" s="240"/>
      <c r="DA550" s="240"/>
      <c r="DB550" s="240"/>
      <c r="DC550" s="240"/>
      <c r="DD550" s="240"/>
      <c r="DE550" s="240"/>
      <c r="DF550" s="240"/>
      <c r="DG550" s="728"/>
      <c r="DH550" s="728"/>
      <c r="DI550" s="195"/>
      <c r="DJ550" s="1"/>
      <c r="DK550" s="3"/>
      <c r="DL550" s="4"/>
      <c r="DM550" s="4"/>
      <c r="DN550" s="4"/>
      <c r="DO550" s="4"/>
      <c r="DP550" s="4"/>
      <c r="DQ550" s="4"/>
      <c r="DR550" s="4"/>
      <c r="DT550" s="195"/>
      <c r="DU550" s="195"/>
      <c r="DV550" s="195"/>
      <c r="DW550" s="195"/>
      <c r="DX550" s="195"/>
      <c r="DY550" s="195"/>
      <c r="DZ550" s="195"/>
      <c r="EA550" s="195"/>
      <c r="EB550" s="195"/>
      <c r="EC550" s="195"/>
      <c r="ED550" s="195"/>
      <c r="EE550" s="195"/>
      <c r="EF550" s="195"/>
      <c r="EG550" s="195"/>
      <c r="EL550" s="1"/>
      <c r="EM550" s="195"/>
      <c r="EN550" s="731"/>
      <c r="EO550" s="240"/>
      <c r="EP550" s="195"/>
      <c r="EQ550" s="240"/>
      <c r="ER550" s="195"/>
      <c r="ES550" s="195"/>
      <c r="ET550" s="195"/>
      <c r="EU550" s="731"/>
    </row>
    <row r="551" customFormat="false" ht="12.75" hidden="false" customHeight="false" outlineLevel="0" collapsed="false">
      <c r="I551" s="735"/>
      <c r="J551" s="728"/>
      <c r="K551" s="195"/>
      <c r="L551" s="195"/>
      <c r="S551" s="1"/>
      <c r="T551" s="195"/>
      <c r="U551" s="195"/>
      <c r="V551" s="195"/>
      <c r="W551" s="195"/>
      <c r="X551" s="195"/>
      <c r="Y551" s="195"/>
      <c r="Z551" s="195"/>
      <c r="AA551" s="195"/>
      <c r="AB551" s="195"/>
      <c r="AC551" s="195"/>
      <c r="AD551" s="195"/>
      <c r="AE551" s="195"/>
      <c r="AF551" s="195"/>
      <c r="AG551" s="195"/>
      <c r="AH551" s="195"/>
      <c r="AI551" s="195"/>
      <c r="AJ551" s="195"/>
      <c r="AK551" s="195"/>
      <c r="AL551" s="195"/>
      <c r="AM551" s="195"/>
      <c r="AN551" s="195"/>
      <c r="AO551" s="195"/>
      <c r="AP551" s="240"/>
      <c r="AQ551" s="195"/>
      <c r="AR551" s="240"/>
      <c r="AS551" s="240"/>
      <c r="AT551" s="240"/>
      <c r="AU551" s="240"/>
      <c r="AV551" s="730"/>
      <c r="AW551" s="730"/>
      <c r="AX551" s="730"/>
      <c r="AY551" s="468"/>
      <c r="AZ551" s="468"/>
      <c r="BA551" s="240"/>
      <c r="BB551" s="240"/>
      <c r="BC551" s="240"/>
      <c r="BD551" s="240"/>
      <c r="BE551" s="240"/>
      <c r="BF551" s="672"/>
      <c r="BG551" s="672"/>
      <c r="BH551" s="731"/>
      <c r="BI551" s="672"/>
      <c r="BJ551" s="240"/>
      <c r="BK551" s="736"/>
      <c r="BL551" s="732"/>
      <c r="BM551" s="240"/>
      <c r="BN551" s="240"/>
      <c r="BO551" s="240"/>
      <c r="BP551" s="240"/>
      <c r="BQ551" s="240"/>
      <c r="BR551" s="240"/>
      <c r="BS551" s="240"/>
      <c r="BT551" s="240"/>
      <c r="BU551" s="240"/>
      <c r="BV551" s="240"/>
      <c r="BW551" s="240"/>
      <c r="BX551" s="240"/>
      <c r="BY551" s="240"/>
      <c r="BZ551" s="240"/>
      <c r="CA551" s="240"/>
      <c r="CB551" s="672"/>
      <c r="CC551" s="672"/>
      <c r="CD551" s="672"/>
      <c r="CE551" s="672"/>
      <c r="CF551" s="672"/>
      <c r="CG551" s="672"/>
      <c r="CH551" s="240"/>
      <c r="CI551" s="240"/>
      <c r="CJ551" s="240"/>
      <c r="CK551" s="240"/>
      <c r="CL551" s="240"/>
      <c r="CM551" s="240"/>
      <c r="CN551" s="240"/>
      <c r="CO551" s="240"/>
      <c r="CP551" s="240"/>
      <c r="CQ551" s="240"/>
      <c r="CR551" s="240"/>
      <c r="CS551" s="240"/>
      <c r="CT551" s="240"/>
      <c r="CU551" s="240"/>
      <c r="CV551" s="240"/>
      <c r="CW551" s="240"/>
      <c r="CX551" s="240"/>
      <c r="CY551" s="240"/>
      <c r="CZ551" s="240"/>
      <c r="DA551" s="240"/>
      <c r="DB551" s="240"/>
      <c r="DC551" s="240"/>
      <c r="DD551" s="240"/>
      <c r="DE551" s="240"/>
      <c r="DF551" s="240"/>
      <c r="DG551" s="728"/>
      <c r="DH551" s="728"/>
      <c r="DI551" s="195"/>
      <c r="DJ551" s="1"/>
      <c r="DK551" s="3"/>
      <c r="DL551" s="4"/>
      <c r="DM551" s="4"/>
      <c r="DN551" s="4"/>
      <c r="DO551" s="4"/>
      <c r="DP551" s="4"/>
      <c r="DQ551" s="4"/>
      <c r="DR551" s="4"/>
      <c r="DT551" s="195"/>
      <c r="DU551" s="195"/>
      <c r="DV551" s="195"/>
      <c r="DW551" s="195"/>
      <c r="DX551" s="195"/>
      <c r="DY551" s="195"/>
      <c r="DZ551" s="195"/>
      <c r="EA551" s="195"/>
      <c r="EB551" s="195"/>
      <c r="EC551" s="195"/>
      <c r="ED551" s="195"/>
      <c r="EE551" s="195"/>
      <c r="EF551" s="195"/>
      <c r="EG551" s="195"/>
      <c r="EL551" s="1"/>
      <c r="EM551" s="195"/>
      <c r="EN551" s="731"/>
      <c r="EO551" s="240"/>
      <c r="EP551" s="195"/>
      <c r="EQ551" s="240"/>
      <c r="ER551" s="195"/>
      <c r="ES551" s="195"/>
      <c r="ET551" s="195"/>
      <c r="EU551" s="731"/>
    </row>
    <row r="552" customFormat="false" ht="12.75" hidden="false" customHeight="false" outlineLevel="0" collapsed="false">
      <c r="I552" s="735"/>
      <c r="J552" s="728"/>
      <c r="K552" s="195"/>
      <c r="L552" s="195"/>
      <c r="S552" s="1"/>
      <c r="T552" s="195"/>
      <c r="U552" s="195"/>
      <c r="V552" s="195"/>
      <c r="W552" s="195"/>
      <c r="X552" s="195"/>
      <c r="Y552" s="195"/>
      <c r="Z552" s="195"/>
      <c r="AA552" s="195"/>
      <c r="AB552" s="195"/>
      <c r="AC552" s="195"/>
      <c r="AD552" s="195"/>
      <c r="AE552" s="195"/>
      <c r="AF552" s="195"/>
      <c r="AG552" s="195"/>
      <c r="AH552" s="195"/>
      <c r="AI552" s="195"/>
      <c r="AJ552" s="195"/>
      <c r="AK552" s="195"/>
      <c r="AL552" s="195"/>
      <c r="AM552" s="195"/>
      <c r="AN552" s="195"/>
      <c r="AO552" s="195"/>
      <c r="AP552" s="240"/>
      <c r="AQ552" s="195"/>
      <c r="AR552" s="240"/>
      <c r="AS552" s="240"/>
      <c r="AT552" s="240"/>
      <c r="AU552" s="240"/>
      <c r="AV552" s="730"/>
      <c r="AW552" s="730"/>
      <c r="AX552" s="730"/>
      <c r="AY552" s="468"/>
      <c r="AZ552" s="468"/>
      <c r="BA552" s="240"/>
      <c r="BB552" s="240"/>
      <c r="BC552" s="240"/>
      <c r="BD552" s="240"/>
      <c r="BE552" s="240"/>
      <c r="BF552" s="672"/>
      <c r="BG552" s="672"/>
      <c r="BH552" s="731"/>
      <c r="BI552" s="672"/>
      <c r="BJ552" s="240"/>
      <c r="BK552" s="736"/>
      <c r="BL552" s="732"/>
      <c r="BM552" s="240"/>
      <c r="BN552" s="240"/>
      <c r="BO552" s="240"/>
      <c r="BP552" s="240"/>
      <c r="BQ552" s="240"/>
      <c r="BR552" s="240"/>
      <c r="BS552" s="240"/>
      <c r="BT552" s="240"/>
      <c r="BU552" s="240"/>
      <c r="BV552" s="240"/>
      <c r="BW552" s="240"/>
      <c r="BX552" s="240"/>
      <c r="BY552" s="240"/>
      <c r="BZ552" s="240"/>
      <c r="CA552" s="240"/>
      <c r="CB552" s="672"/>
      <c r="CC552" s="672"/>
      <c r="CD552" s="672"/>
      <c r="CE552" s="672"/>
      <c r="CF552" s="672"/>
      <c r="CG552" s="672"/>
      <c r="CH552" s="240"/>
      <c r="CI552" s="240"/>
      <c r="CJ552" s="240"/>
      <c r="CK552" s="240"/>
      <c r="CL552" s="240"/>
      <c r="CM552" s="240"/>
      <c r="CN552" s="240"/>
      <c r="CO552" s="240"/>
      <c r="CP552" s="240"/>
      <c r="CQ552" s="240"/>
      <c r="CR552" s="240"/>
      <c r="CS552" s="240"/>
      <c r="CT552" s="240"/>
      <c r="CU552" s="240"/>
      <c r="CV552" s="240"/>
      <c r="CW552" s="240"/>
      <c r="CX552" s="240"/>
      <c r="CY552" s="240"/>
      <c r="CZ552" s="240"/>
      <c r="DA552" s="240"/>
      <c r="DB552" s="240"/>
      <c r="DC552" s="240"/>
      <c r="DD552" s="240"/>
      <c r="DE552" s="240"/>
      <c r="DF552" s="240"/>
      <c r="DG552" s="728"/>
      <c r="DH552" s="728"/>
      <c r="DI552" s="195"/>
      <c r="DJ552" s="1"/>
      <c r="DK552" s="3"/>
      <c r="DL552" s="4"/>
      <c r="DM552" s="4"/>
      <c r="DN552" s="4"/>
      <c r="DO552" s="4"/>
      <c r="DP552" s="4"/>
      <c r="DQ552" s="4"/>
      <c r="DR552" s="4"/>
      <c r="DT552" s="195"/>
      <c r="DU552" s="195"/>
      <c r="DV552" s="195"/>
      <c r="DW552" s="195"/>
      <c r="DX552" s="195"/>
      <c r="DY552" s="195"/>
      <c r="DZ552" s="195"/>
      <c r="EA552" s="195"/>
      <c r="EB552" s="195"/>
      <c r="EC552" s="195"/>
      <c r="ED552" s="195"/>
      <c r="EE552" s="195"/>
      <c r="EF552" s="195"/>
      <c r="EG552" s="195"/>
      <c r="EL552" s="1"/>
      <c r="EM552" s="195"/>
      <c r="EN552" s="731"/>
      <c r="EO552" s="240"/>
      <c r="EP552" s="195"/>
      <c r="EQ552" s="240"/>
      <c r="ER552" s="195"/>
      <c r="ES552" s="195"/>
      <c r="ET552" s="195"/>
      <c r="EU552" s="731"/>
    </row>
    <row r="553" customFormat="false" ht="12.75" hidden="false" customHeight="false" outlineLevel="0" collapsed="false">
      <c r="I553" s="735"/>
      <c r="J553" s="728"/>
      <c r="K553" s="195"/>
      <c r="L553" s="195"/>
      <c r="S553" s="1"/>
      <c r="T553" s="195"/>
      <c r="U553" s="195"/>
      <c r="V553" s="195"/>
      <c r="W553" s="195"/>
      <c r="X553" s="195"/>
      <c r="Y553" s="195"/>
      <c r="Z553" s="195"/>
      <c r="AA553" s="195"/>
      <c r="AB553" s="195"/>
      <c r="AC553" s="195"/>
      <c r="AD553" s="195"/>
      <c r="AE553" s="195"/>
      <c r="AF553" s="195"/>
      <c r="AG553" s="195"/>
      <c r="AH553" s="195"/>
      <c r="AI553" s="195"/>
      <c r="AJ553" s="195"/>
      <c r="AK553" s="195"/>
      <c r="AL553" s="195"/>
      <c r="AM553" s="195"/>
      <c r="AN553" s="195"/>
      <c r="AO553" s="195"/>
      <c r="AP553" s="240"/>
      <c r="AQ553" s="195"/>
      <c r="AR553" s="240"/>
      <c r="AS553" s="240"/>
      <c r="AT553" s="240"/>
      <c r="AU553" s="240"/>
      <c r="AV553" s="730"/>
      <c r="AW553" s="730"/>
      <c r="AX553" s="730"/>
      <c r="AY553" s="468"/>
      <c r="AZ553" s="468"/>
      <c r="BA553" s="240"/>
      <c r="BB553" s="240"/>
      <c r="BC553" s="240"/>
      <c r="BD553" s="240"/>
      <c r="BE553" s="240"/>
      <c r="BF553" s="672"/>
      <c r="BG553" s="672"/>
      <c r="BH553" s="731"/>
      <c r="BI553" s="672"/>
      <c r="BJ553" s="240"/>
      <c r="BK553" s="736"/>
      <c r="BL553" s="732"/>
      <c r="BM553" s="240"/>
      <c r="BN553" s="240"/>
      <c r="BO553" s="240"/>
      <c r="BP553" s="240"/>
      <c r="BQ553" s="240"/>
      <c r="BR553" s="240"/>
      <c r="BS553" s="240"/>
      <c r="BT553" s="240"/>
      <c r="BU553" s="240"/>
      <c r="BV553" s="240"/>
      <c r="BW553" s="240"/>
      <c r="BX553" s="240"/>
      <c r="BY553" s="240"/>
      <c r="BZ553" s="240"/>
      <c r="CA553" s="240"/>
      <c r="CB553" s="672"/>
      <c r="CC553" s="672"/>
      <c r="CD553" s="672"/>
      <c r="CE553" s="672"/>
      <c r="CF553" s="672"/>
      <c r="CG553" s="672"/>
      <c r="CH553" s="240"/>
      <c r="CI553" s="240"/>
      <c r="CJ553" s="240"/>
      <c r="CK553" s="240"/>
      <c r="CL553" s="240"/>
      <c r="CM553" s="240"/>
      <c r="CN553" s="240"/>
      <c r="CO553" s="240"/>
      <c r="CP553" s="240"/>
      <c r="CQ553" s="240"/>
      <c r="CR553" s="240"/>
      <c r="CS553" s="240"/>
      <c r="CT553" s="240"/>
      <c r="CU553" s="240"/>
      <c r="CV553" s="240"/>
      <c r="CW553" s="240"/>
      <c r="CX553" s="240"/>
      <c r="CY553" s="240"/>
      <c r="CZ553" s="240"/>
      <c r="DA553" s="240"/>
      <c r="DB553" s="240"/>
      <c r="DC553" s="240"/>
      <c r="DD553" s="240"/>
      <c r="DE553" s="240"/>
      <c r="DF553" s="240"/>
      <c r="DG553" s="728"/>
      <c r="DH553" s="728"/>
      <c r="DI553" s="195"/>
      <c r="DJ553" s="1"/>
      <c r="DK553" s="3"/>
      <c r="DL553" s="4"/>
      <c r="DM553" s="4"/>
      <c r="DN553" s="4"/>
      <c r="DO553" s="4"/>
      <c r="DP553" s="4"/>
      <c r="DQ553" s="4"/>
      <c r="DR553" s="4"/>
      <c r="DT553" s="195"/>
      <c r="DU553" s="195"/>
      <c r="DV553" s="195"/>
      <c r="DW553" s="195"/>
      <c r="DX553" s="195"/>
      <c r="DY553" s="195"/>
      <c r="DZ553" s="195"/>
      <c r="EA553" s="195"/>
      <c r="EB553" s="195"/>
      <c r="EC553" s="195"/>
      <c r="ED553" s="195"/>
      <c r="EE553" s="195"/>
      <c r="EF553" s="195"/>
      <c r="EG553" s="195"/>
      <c r="EL553" s="1"/>
      <c r="EM553" s="195"/>
      <c r="EN553" s="731"/>
      <c r="EO553" s="240"/>
      <c r="EP553" s="195"/>
      <c r="EQ553" s="240"/>
      <c r="ER553" s="195"/>
      <c r="ES553" s="195"/>
      <c r="ET553" s="195"/>
      <c r="EU553" s="731"/>
    </row>
    <row r="554" customFormat="false" ht="12.75" hidden="false" customHeight="false" outlineLevel="0" collapsed="false">
      <c r="I554" s="735"/>
      <c r="J554" s="728"/>
      <c r="K554" s="195"/>
      <c r="L554" s="195"/>
      <c r="S554" s="1"/>
      <c r="T554" s="195"/>
      <c r="U554" s="195"/>
      <c r="V554" s="195"/>
      <c r="W554" s="195"/>
      <c r="X554" s="195"/>
      <c r="Y554" s="195"/>
      <c r="Z554" s="195"/>
      <c r="AA554" s="195"/>
      <c r="AB554" s="195"/>
      <c r="AC554" s="195"/>
      <c r="AD554" s="195"/>
      <c r="AE554" s="195"/>
      <c r="AF554" s="195"/>
      <c r="AG554" s="195"/>
      <c r="AH554" s="195"/>
      <c r="AI554" s="195"/>
      <c r="AJ554" s="195"/>
      <c r="AK554" s="195"/>
      <c r="AL554" s="195"/>
      <c r="AM554" s="195"/>
      <c r="AN554" s="195"/>
      <c r="AO554" s="195"/>
      <c r="AP554" s="240"/>
      <c r="AQ554" s="195"/>
      <c r="AR554" s="240"/>
      <c r="AS554" s="240"/>
      <c r="AT554" s="240"/>
      <c r="AU554" s="240"/>
      <c r="AV554" s="730"/>
      <c r="AW554" s="730"/>
      <c r="AX554" s="730"/>
      <c r="AY554" s="468"/>
      <c r="AZ554" s="468"/>
      <c r="BA554" s="240"/>
      <c r="BB554" s="240"/>
      <c r="BC554" s="240"/>
      <c r="BD554" s="240"/>
      <c r="BE554" s="240"/>
      <c r="BF554" s="672"/>
      <c r="BG554" s="672"/>
      <c r="BH554" s="731"/>
      <c r="BI554" s="672"/>
      <c r="BJ554" s="240"/>
      <c r="BK554" s="736"/>
      <c r="BL554" s="732"/>
      <c r="BM554" s="240"/>
      <c r="BN554" s="240"/>
      <c r="BO554" s="240"/>
      <c r="BP554" s="240"/>
      <c r="BQ554" s="240"/>
      <c r="BR554" s="240"/>
      <c r="BS554" s="240"/>
      <c r="BT554" s="240"/>
      <c r="BU554" s="240"/>
      <c r="BV554" s="240"/>
      <c r="BW554" s="240"/>
      <c r="BX554" s="240"/>
      <c r="BY554" s="240"/>
      <c r="BZ554" s="240"/>
      <c r="CA554" s="240"/>
      <c r="CB554" s="672"/>
      <c r="CC554" s="672"/>
      <c r="CD554" s="672"/>
      <c r="CE554" s="672"/>
      <c r="CF554" s="672"/>
      <c r="CG554" s="672"/>
      <c r="CH554" s="240"/>
      <c r="CI554" s="240"/>
      <c r="CJ554" s="240"/>
      <c r="CK554" s="240"/>
      <c r="CL554" s="240"/>
      <c r="CM554" s="240"/>
      <c r="CN554" s="240"/>
      <c r="CO554" s="240"/>
      <c r="CP554" s="240"/>
      <c r="CQ554" s="240"/>
      <c r="CR554" s="240"/>
      <c r="CS554" s="240"/>
      <c r="CT554" s="240"/>
      <c r="CU554" s="240"/>
      <c r="CV554" s="240"/>
      <c r="CW554" s="240"/>
      <c r="CX554" s="240"/>
      <c r="CY554" s="240"/>
      <c r="CZ554" s="240"/>
      <c r="DA554" s="240"/>
      <c r="DB554" s="240"/>
      <c r="DC554" s="240"/>
      <c r="DD554" s="240"/>
      <c r="DE554" s="240"/>
      <c r="DF554" s="240"/>
      <c r="DG554" s="728"/>
      <c r="DH554" s="728"/>
      <c r="DI554" s="195"/>
      <c r="DJ554" s="1"/>
      <c r="DK554" s="3"/>
      <c r="DL554" s="4"/>
      <c r="DM554" s="4"/>
      <c r="DN554" s="4"/>
      <c r="DO554" s="4"/>
      <c r="DP554" s="4"/>
      <c r="DQ554" s="4"/>
      <c r="DR554" s="4"/>
      <c r="DT554" s="195"/>
      <c r="DU554" s="195"/>
      <c r="DV554" s="195"/>
      <c r="DW554" s="195"/>
      <c r="DX554" s="195"/>
      <c r="DY554" s="195"/>
      <c r="DZ554" s="195"/>
      <c r="EA554" s="195"/>
      <c r="EB554" s="195"/>
      <c r="EC554" s="195"/>
      <c r="ED554" s="195"/>
      <c r="EE554" s="195"/>
      <c r="EF554" s="195"/>
      <c r="EG554" s="195"/>
      <c r="EL554" s="1"/>
      <c r="EM554" s="195"/>
      <c r="EN554" s="731"/>
      <c r="EO554" s="240"/>
      <c r="EP554" s="195"/>
      <c r="EQ554" s="240"/>
      <c r="ER554" s="195"/>
      <c r="ES554" s="195"/>
      <c r="ET554" s="195"/>
      <c r="EU554" s="731"/>
    </row>
    <row r="555" customFormat="false" ht="12.75" hidden="false" customHeight="false" outlineLevel="0" collapsed="false">
      <c r="I555" s="735"/>
      <c r="J555" s="728"/>
      <c r="K555" s="195"/>
      <c r="L555" s="195"/>
      <c r="S555" s="1"/>
      <c r="T555" s="195"/>
      <c r="U555" s="195"/>
      <c r="V555" s="195"/>
      <c r="W555" s="195"/>
      <c r="X555" s="195"/>
      <c r="Y555" s="195"/>
      <c r="Z555" s="195"/>
      <c r="AA555" s="195"/>
      <c r="AB555" s="195"/>
      <c r="AC555" s="195"/>
      <c r="AD555" s="195"/>
      <c r="AE555" s="195"/>
      <c r="AF555" s="195"/>
      <c r="AG555" s="195"/>
      <c r="AH555" s="195"/>
      <c r="AI555" s="195"/>
      <c r="AJ555" s="195"/>
      <c r="AK555" s="195"/>
      <c r="AL555" s="195"/>
      <c r="AM555" s="195"/>
      <c r="AN555" s="195"/>
      <c r="AO555" s="195"/>
      <c r="AP555" s="240"/>
      <c r="AQ555" s="195"/>
      <c r="AR555" s="240"/>
      <c r="AS555" s="240"/>
      <c r="AT555" s="240"/>
      <c r="AU555" s="240"/>
      <c r="AV555" s="730"/>
      <c r="AW555" s="730"/>
      <c r="AX555" s="730"/>
      <c r="AY555" s="468"/>
      <c r="AZ555" s="468"/>
      <c r="BA555" s="240"/>
      <c r="BB555" s="240"/>
      <c r="BC555" s="240"/>
      <c r="BD555" s="240"/>
      <c r="BE555" s="240"/>
      <c r="BF555" s="672"/>
      <c r="BG555" s="672"/>
      <c r="BH555" s="731"/>
      <c r="BI555" s="672"/>
      <c r="BJ555" s="240"/>
      <c r="BK555" s="736"/>
      <c r="BL555" s="732"/>
      <c r="BM555" s="240"/>
      <c r="BN555" s="240"/>
      <c r="BO555" s="240"/>
      <c r="BP555" s="240"/>
      <c r="BQ555" s="240"/>
      <c r="BR555" s="240"/>
      <c r="BS555" s="240"/>
      <c r="BT555" s="240"/>
      <c r="BU555" s="240"/>
      <c r="BV555" s="240"/>
      <c r="BW555" s="240"/>
      <c r="BX555" s="240"/>
      <c r="BY555" s="240"/>
      <c r="BZ555" s="240"/>
      <c r="CA555" s="240"/>
      <c r="CB555" s="672"/>
      <c r="CC555" s="672"/>
      <c r="CD555" s="672"/>
      <c r="CE555" s="672"/>
      <c r="CF555" s="672"/>
      <c r="CG555" s="672"/>
      <c r="CH555" s="240"/>
      <c r="CI555" s="240"/>
      <c r="CJ555" s="240"/>
      <c r="CK555" s="240"/>
      <c r="CL555" s="240"/>
      <c r="CM555" s="240"/>
      <c r="CN555" s="240"/>
      <c r="CO555" s="240"/>
      <c r="CP555" s="240"/>
      <c r="CQ555" s="240"/>
      <c r="CR555" s="240"/>
      <c r="CS555" s="240"/>
      <c r="CT555" s="240"/>
      <c r="CU555" s="240"/>
      <c r="CV555" s="240"/>
      <c r="CW555" s="240"/>
      <c r="CX555" s="240"/>
      <c r="CY555" s="240"/>
      <c r="CZ555" s="240"/>
      <c r="DA555" s="240"/>
      <c r="DB555" s="240"/>
      <c r="DC555" s="240"/>
      <c r="DD555" s="240"/>
      <c r="DE555" s="240"/>
      <c r="DF555" s="240"/>
      <c r="DG555" s="728"/>
      <c r="DH555" s="728"/>
      <c r="DI555" s="195"/>
      <c r="DJ555" s="1"/>
      <c r="DK555" s="3"/>
      <c r="DL555" s="4"/>
      <c r="DM555" s="4"/>
      <c r="DN555" s="4"/>
      <c r="DO555" s="4"/>
      <c r="DP555" s="4"/>
      <c r="DQ555" s="4"/>
      <c r="DR555" s="4"/>
      <c r="DT555" s="195"/>
      <c r="DU555" s="195"/>
      <c r="DV555" s="195"/>
      <c r="DW555" s="195"/>
      <c r="DX555" s="195"/>
      <c r="DY555" s="195"/>
      <c r="DZ555" s="195"/>
      <c r="EA555" s="195"/>
      <c r="EB555" s="195"/>
      <c r="EC555" s="195"/>
      <c r="ED555" s="195"/>
      <c r="EE555" s="195"/>
      <c r="EF555" s="195"/>
      <c r="EG555" s="195"/>
      <c r="EL555" s="1"/>
      <c r="EM555" s="195"/>
      <c r="EN555" s="731"/>
      <c r="EO555" s="240"/>
      <c r="EP555" s="195"/>
      <c r="EQ555" s="240"/>
      <c r="ER555" s="195"/>
      <c r="ES555" s="195"/>
      <c r="ET555" s="195"/>
      <c r="EU555" s="731"/>
    </row>
    <row r="556" customFormat="false" ht="12.75" hidden="false" customHeight="false" outlineLevel="0" collapsed="false">
      <c r="I556" s="735"/>
      <c r="J556" s="728"/>
      <c r="K556" s="195"/>
      <c r="L556" s="195"/>
      <c r="S556" s="1"/>
      <c r="T556" s="195"/>
      <c r="U556" s="195"/>
      <c r="V556" s="195"/>
      <c r="W556" s="195"/>
      <c r="X556" s="195"/>
      <c r="Y556" s="195"/>
      <c r="Z556" s="195"/>
      <c r="AA556" s="195"/>
      <c r="AB556" s="195"/>
      <c r="AC556" s="195"/>
      <c r="AD556" s="195"/>
      <c r="AE556" s="195"/>
      <c r="AF556" s="195"/>
      <c r="AG556" s="195"/>
      <c r="AH556" s="195"/>
      <c r="AI556" s="195"/>
      <c r="AJ556" s="195"/>
      <c r="AK556" s="195"/>
      <c r="AL556" s="195"/>
      <c r="AM556" s="195"/>
      <c r="AN556" s="195"/>
      <c r="AO556" s="195"/>
      <c r="AP556" s="240"/>
      <c r="AQ556" s="195"/>
      <c r="AR556" s="240"/>
      <c r="AS556" s="240"/>
      <c r="AT556" s="240"/>
      <c r="AU556" s="240"/>
      <c r="AV556" s="730"/>
      <c r="AW556" s="730"/>
      <c r="AX556" s="730"/>
      <c r="AY556" s="468"/>
      <c r="AZ556" s="468"/>
      <c r="BA556" s="240"/>
      <c r="BB556" s="240"/>
      <c r="BC556" s="240"/>
      <c r="BD556" s="240"/>
      <c r="BE556" s="240"/>
      <c r="BF556" s="672"/>
      <c r="BG556" s="672"/>
      <c r="BH556" s="731"/>
      <c r="BI556" s="672"/>
      <c r="BJ556" s="240"/>
      <c r="BK556" s="736"/>
      <c r="BL556" s="732"/>
      <c r="BM556" s="240"/>
      <c r="BN556" s="240"/>
      <c r="BO556" s="240"/>
      <c r="BP556" s="240"/>
      <c r="BQ556" s="240"/>
      <c r="BR556" s="240"/>
      <c r="BS556" s="240"/>
      <c r="BT556" s="240"/>
      <c r="BU556" s="240"/>
      <c r="BV556" s="240"/>
      <c r="BW556" s="240"/>
      <c r="BX556" s="240"/>
      <c r="BY556" s="240"/>
      <c r="BZ556" s="240"/>
      <c r="CA556" s="240"/>
      <c r="CB556" s="672"/>
      <c r="CC556" s="672"/>
      <c r="CD556" s="672"/>
      <c r="CE556" s="672"/>
      <c r="CF556" s="672"/>
      <c r="CG556" s="672"/>
      <c r="CH556" s="240"/>
      <c r="CI556" s="240"/>
      <c r="CJ556" s="240"/>
      <c r="CK556" s="240"/>
      <c r="CL556" s="240"/>
      <c r="CM556" s="240"/>
      <c r="CN556" s="240"/>
      <c r="CO556" s="240"/>
      <c r="CP556" s="240"/>
      <c r="CQ556" s="240"/>
      <c r="CR556" s="240"/>
      <c r="CS556" s="240"/>
      <c r="CT556" s="240"/>
      <c r="CU556" s="240"/>
      <c r="CV556" s="240"/>
      <c r="CW556" s="240"/>
      <c r="CX556" s="240"/>
      <c r="CY556" s="240"/>
      <c r="CZ556" s="240"/>
      <c r="DA556" s="240"/>
      <c r="DB556" s="240"/>
      <c r="DC556" s="240"/>
      <c r="DD556" s="240"/>
      <c r="DE556" s="240"/>
      <c r="DF556" s="240"/>
      <c r="DG556" s="728"/>
      <c r="DH556" s="728"/>
      <c r="DI556" s="195"/>
      <c r="DJ556" s="1"/>
      <c r="DK556" s="3"/>
      <c r="DL556" s="4"/>
      <c r="DM556" s="4"/>
      <c r="DN556" s="4"/>
      <c r="DO556" s="4"/>
      <c r="DP556" s="4"/>
      <c r="DQ556" s="4"/>
      <c r="DR556" s="4"/>
      <c r="DT556" s="195"/>
      <c r="DU556" s="195"/>
      <c r="DV556" s="195"/>
      <c r="DW556" s="195"/>
      <c r="DX556" s="195"/>
      <c r="DY556" s="195"/>
      <c r="DZ556" s="195"/>
      <c r="EA556" s="195"/>
      <c r="EB556" s="195"/>
      <c r="EC556" s="195"/>
      <c r="ED556" s="195"/>
      <c r="EE556" s="195"/>
      <c r="EF556" s="195"/>
      <c r="EG556" s="195"/>
      <c r="EL556" s="1"/>
      <c r="EM556" s="195"/>
      <c r="EN556" s="731"/>
      <c r="EO556" s="240"/>
      <c r="EP556" s="195"/>
      <c r="EQ556" s="240"/>
      <c r="ER556" s="195"/>
      <c r="ES556" s="195"/>
      <c r="ET556" s="195"/>
      <c r="EU556" s="731"/>
    </row>
    <row r="557" customFormat="false" ht="12.75" hidden="false" customHeight="false" outlineLevel="0" collapsed="false">
      <c r="I557" s="735"/>
      <c r="J557" s="728"/>
      <c r="K557" s="195"/>
      <c r="L557" s="195"/>
      <c r="S557" s="1"/>
      <c r="T557" s="195"/>
      <c r="U557" s="195"/>
      <c r="V557" s="195"/>
      <c r="W557" s="195"/>
      <c r="X557" s="195"/>
      <c r="Y557" s="195"/>
      <c r="Z557" s="195"/>
      <c r="AA557" s="195"/>
      <c r="AB557" s="195"/>
      <c r="AC557" s="195"/>
      <c r="AD557" s="195"/>
      <c r="AE557" s="195"/>
      <c r="AF557" s="195"/>
      <c r="AG557" s="195"/>
      <c r="AH557" s="195"/>
      <c r="AI557" s="195"/>
      <c r="AJ557" s="195"/>
      <c r="AK557" s="195"/>
      <c r="AL557" s="195"/>
      <c r="AM557" s="195"/>
      <c r="AN557" s="195"/>
      <c r="AO557" s="195"/>
      <c r="AP557" s="240"/>
      <c r="AQ557" s="195"/>
      <c r="AR557" s="240"/>
      <c r="AS557" s="240"/>
      <c r="AT557" s="240"/>
      <c r="AU557" s="240"/>
      <c r="AV557" s="730"/>
      <c r="AW557" s="730"/>
      <c r="AX557" s="730"/>
      <c r="AY557" s="468"/>
      <c r="AZ557" s="468"/>
      <c r="BA557" s="240"/>
      <c r="BB557" s="240"/>
      <c r="BC557" s="240"/>
      <c r="BD557" s="240"/>
      <c r="BE557" s="240"/>
      <c r="BF557" s="672"/>
      <c r="BG557" s="672"/>
      <c r="BH557" s="731"/>
      <c r="BI557" s="672"/>
      <c r="BJ557" s="240"/>
      <c r="BK557" s="736"/>
      <c r="BL557" s="732"/>
      <c r="BM557" s="240"/>
      <c r="BN557" s="240"/>
      <c r="BO557" s="240"/>
      <c r="BP557" s="240"/>
      <c r="BQ557" s="240"/>
      <c r="BR557" s="240"/>
      <c r="BS557" s="240"/>
      <c r="BT557" s="240"/>
      <c r="BU557" s="240"/>
      <c r="BV557" s="240"/>
      <c r="BW557" s="240"/>
      <c r="BX557" s="240"/>
      <c r="BY557" s="240"/>
      <c r="BZ557" s="240"/>
      <c r="CA557" s="240"/>
      <c r="CB557" s="672"/>
      <c r="CC557" s="672"/>
      <c r="CD557" s="672"/>
      <c r="CE557" s="672"/>
      <c r="CF557" s="672"/>
      <c r="CG557" s="672"/>
      <c r="CH557" s="240"/>
      <c r="CI557" s="240"/>
      <c r="CJ557" s="240"/>
      <c r="CK557" s="240"/>
      <c r="CL557" s="240"/>
      <c r="CM557" s="240"/>
      <c r="CN557" s="240"/>
      <c r="CO557" s="240"/>
      <c r="CP557" s="240"/>
      <c r="CQ557" s="240"/>
      <c r="CR557" s="240"/>
      <c r="CS557" s="240"/>
      <c r="CT557" s="240"/>
      <c r="CU557" s="240"/>
      <c r="CV557" s="240"/>
      <c r="CW557" s="240"/>
      <c r="CX557" s="240"/>
      <c r="CY557" s="240"/>
      <c r="CZ557" s="240"/>
      <c r="DA557" s="240"/>
      <c r="DB557" s="240"/>
      <c r="DC557" s="240"/>
      <c r="DD557" s="240"/>
      <c r="DE557" s="240"/>
      <c r="DF557" s="240"/>
      <c r="DG557" s="728"/>
      <c r="DH557" s="728"/>
      <c r="DI557" s="195"/>
      <c r="DJ557" s="1"/>
      <c r="DK557" s="3"/>
      <c r="DL557" s="4"/>
      <c r="DM557" s="4"/>
      <c r="DN557" s="4"/>
      <c r="DO557" s="4"/>
      <c r="DP557" s="4"/>
      <c r="DQ557" s="4"/>
      <c r="DR557" s="4"/>
      <c r="DT557" s="195"/>
      <c r="DU557" s="195"/>
      <c r="DV557" s="195"/>
      <c r="DW557" s="195"/>
      <c r="DX557" s="195"/>
      <c r="DY557" s="195"/>
      <c r="DZ557" s="195"/>
      <c r="EA557" s="195"/>
      <c r="EB557" s="195"/>
      <c r="EC557" s="195"/>
      <c r="ED557" s="195"/>
      <c r="EE557" s="195"/>
      <c r="EF557" s="195"/>
      <c r="EG557" s="195"/>
      <c r="EL557" s="1"/>
      <c r="EM557" s="195"/>
      <c r="EN557" s="731"/>
      <c r="EO557" s="240"/>
      <c r="EP557" s="195"/>
      <c r="EQ557" s="240"/>
      <c r="ER557" s="195"/>
      <c r="ES557" s="195"/>
      <c r="ET557" s="195"/>
      <c r="EU557" s="731"/>
    </row>
    <row r="558" customFormat="false" ht="12.75" hidden="false" customHeight="false" outlineLevel="0" collapsed="false">
      <c r="I558" s="735"/>
      <c r="J558" s="728"/>
      <c r="K558" s="195"/>
      <c r="L558" s="195"/>
      <c r="S558" s="1"/>
      <c r="T558" s="195"/>
      <c r="U558" s="195"/>
      <c r="V558" s="195"/>
      <c r="W558" s="195"/>
      <c r="X558" s="195"/>
      <c r="Y558" s="195"/>
      <c r="Z558" s="195"/>
      <c r="AA558" s="195"/>
      <c r="AB558" s="195"/>
      <c r="AC558" s="195"/>
      <c r="AD558" s="195"/>
      <c r="AE558" s="195"/>
      <c r="AF558" s="195"/>
      <c r="AG558" s="195"/>
      <c r="AH558" s="195"/>
      <c r="AI558" s="195"/>
      <c r="AJ558" s="195"/>
      <c r="AK558" s="195"/>
      <c r="AL558" s="195"/>
      <c r="AM558" s="195"/>
      <c r="AN558" s="195"/>
      <c r="AO558" s="195"/>
      <c r="AP558" s="240"/>
      <c r="AQ558" s="195"/>
      <c r="AR558" s="240"/>
      <c r="AS558" s="240"/>
      <c r="AT558" s="240"/>
      <c r="AU558" s="240"/>
      <c r="AV558" s="730"/>
      <c r="AW558" s="730"/>
      <c r="AX558" s="730"/>
      <c r="AY558" s="468"/>
      <c r="AZ558" s="468"/>
      <c r="BA558" s="240"/>
      <c r="BB558" s="240"/>
      <c r="BC558" s="240"/>
      <c r="BD558" s="240"/>
      <c r="BE558" s="240"/>
      <c r="BF558" s="672"/>
      <c r="BG558" s="672"/>
      <c r="BH558" s="731"/>
      <c r="BI558" s="672"/>
      <c r="BJ558" s="240"/>
      <c r="BK558" s="736"/>
      <c r="BL558" s="732"/>
      <c r="BM558" s="240"/>
      <c r="BN558" s="240"/>
      <c r="BO558" s="240"/>
      <c r="BP558" s="240"/>
      <c r="BQ558" s="240"/>
      <c r="BR558" s="240"/>
      <c r="BS558" s="240"/>
      <c r="BT558" s="240"/>
      <c r="BU558" s="240"/>
      <c r="BV558" s="240"/>
      <c r="BW558" s="240"/>
      <c r="BX558" s="240"/>
      <c r="BY558" s="240"/>
      <c r="BZ558" s="240"/>
      <c r="CA558" s="240"/>
      <c r="CB558" s="672"/>
      <c r="CC558" s="672"/>
      <c r="CD558" s="672"/>
      <c r="CE558" s="672"/>
      <c r="CF558" s="672"/>
      <c r="CG558" s="672"/>
      <c r="CH558" s="240"/>
      <c r="CI558" s="240"/>
      <c r="CJ558" s="240"/>
      <c r="CK558" s="240"/>
      <c r="CL558" s="240"/>
      <c r="CM558" s="240"/>
      <c r="CN558" s="240"/>
      <c r="CO558" s="240"/>
      <c r="CP558" s="240"/>
      <c r="CQ558" s="240"/>
      <c r="CR558" s="240"/>
      <c r="CS558" s="240"/>
      <c r="CT558" s="240"/>
      <c r="CU558" s="240"/>
      <c r="CV558" s="240"/>
      <c r="CW558" s="240"/>
      <c r="CX558" s="240"/>
      <c r="CY558" s="240"/>
      <c r="CZ558" s="240"/>
      <c r="DA558" s="240"/>
      <c r="DB558" s="240"/>
      <c r="DC558" s="240"/>
      <c r="DD558" s="240"/>
      <c r="DE558" s="240"/>
      <c r="DF558" s="240"/>
      <c r="DG558" s="728"/>
      <c r="DH558" s="728"/>
      <c r="DI558" s="195"/>
      <c r="DJ558" s="1"/>
      <c r="DK558" s="3"/>
      <c r="DL558" s="4"/>
      <c r="DM558" s="4"/>
      <c r="DN558" s="4"/>
      <c r="DO558" s="4"/>
      <c r="DP558" s="4"/>
      <c r="DQ558" s="4"/>
      <c r="DR558" s="4"/>
      <c r="DT558" s="195"/>
      <c r="DU558" s="195"/>
      <c r="DV558" s="195"/>
      <c r="DW558" s="195"/>
      <c r="DX558" s="195"/>
      <c r="DY558" s="195"/>
      <c r="DZ558" s="195"/>
      <c r="EA558" s="195"/>
      <c r="EB558" s="195"/>
      <c r="EC558" s="195"/>
      <c r="ED558" s="195"/>
      <c r="EE558" s="195"/>
      <c r="EF558" s="195"/>
      <c r="EG558" s="195"/>
      <c r="EL558" s="1"/>
      <c r="EM558" s="195"/>
      <c r="EN558" s="731"/>
      <c r="EO558" s="240"/>
      <c r="EP558" s="195"/>
      <c r="EQ558" s="240"/>
      <c r="ER558" s="195"/>
      <c r="ES558" s="195"/>
      <c r="ET558" s="195"/>
      <c r="EU558" s="731"/>
    </row>
    <row r="559" customFormat="false" ht="12.75" hidden="false" customHeight="false" outlineLevel="0" collapsed="false">
      <c r="I559" s="735"/>
      <c r="J559" s="728"/>
      <c r="K559" s="195"/>
      <c r="L559" s="195"/>
      <c r="S559" s="1"/>
      <c r="T559" s="195"/>
      <c r="U559" s="195"/>
      <c r="V559" s="195"/>
      <c r="W559" s="195"/>
      <c r="X559" s="195"/>
      <c r="Y559" s="195"/>
      <c r="Z559" s="195"/>
      <c r="AA559" s="195"/>
      <c r="AB559" s="195"/>
      <c r="AC559" s="195"/>
      <c r="AD559" s="195"/>
      <c r="AE559" s="195"/>
      <c r="AF559" s="195"/>
      <c r="AG559" s="195"/>
      <c r="AH559" s="195"/>
      <c r="AI559" s="195"/>
      <c r="AJ559" s="195"/>
      <c r="AK559" s="195"/>
      <c r="AL559" s="195"/>
      <c r="AM559" s="195"/>
      <c r="AN559" s="195"/>
      <c r="AO559" s="195"/>
      <c r="AP559" s="240"/>
      <c r="AQ559" s="195"/>
      <c r="AR559" s="240"/>
      <c r="AS559" s="240"/>
      <c r="AT559" s="240"/>
      <c r="AU559" s="240"/>
      <c r="AV559" s="730"/>
      <c r="AW559" s="730"/>
      <c r="AX559" s="730"/>
      <c r="AY559" s="468"/>
      <c r="AZ559" s="468"/>
      <c r="BA559" s="240"/>
      <c r="BB559" s="240"/>
      <c r="BC559" s="240"/>
      <c r="BD559" s="240"/>
      <c r="BE559" s="240"/>
      <c r="BF559" s="672"/>
      <c r="BG559" s="672"/>
      <c r="BH559" s="731"/>
      <c r="BI559" s="672"/>
      <c r="BJ559" s="240"/>
      <c r="BK559" s="736"/>
      <c r="BL559" s="732"/>
      <c r="BM559" s="240"/>
      <c r="BN559" s="240"/>
      <c r="BO559" s="240"/>
      <c r="BP559" s="240"/>
      <c r="BQ559" s="240"/>
      <c r="BR559" s="240"/>
      <c r="BS559" s="240"/>
      <c r="BT559" s="240"/>
      <c r="BU559" s="240"/>
      <c r="BV559" s="240"/>
      <c r="BW559" s="240"/>
      <c r="BX559" s="240"/>
      <c r="BY559" s="240"/>
      <c r="BZ559" s="240"/>
      <c r="CA559" s="240"/>
      <c r="CB559" s="672"/>
      <c r="CC559" s="672"/>
      <c r="CD559" s="672"/>
      <c r="CE559" s="672"/>
      <c r="CF559" s="672"/>
      <c r="CG559" s="672"/>
      <c r="CH559" s="240"/>
      <c r="CI559" s="240"/>
      <c r="CJ559" s="240"/>
      <c r="CK559" s="240"/>
      <c r="CL559" s="240"/>
      <c r="CM559" s="240"/>
      <c r="CN559" s="240"/>
      <c r="CO559" s="240"/>
      <c r="CP559" s="240"/>
      <c r="CQ559" s="240"/>
      <c r="CR559" s="240"/>
      <c r="CS559" s="240"/>
      <c r="CT559" s="240"/>
      <c r="CU559" s="240"/>
      <c r="CV559" s="240"/>
      <c r="CW559" s="240"/>
      <c r="CX559" s="240"/>
      <c r="CY559" s="240"/>
      <c r="CZ559" s="240"/>
      <c r="DA559" s="240"/>
      <c r="DB559" s="240"/>
      <c r="DC559" s="240"/>
      <c r="DD559" s="240"/>
      <c r="DE559" s="240"/>
      <c r="DF559" s="240"/>
      <c r="DG559" s="728"/>
      <c r="DH559" s="728"/>
      <c r="DI559" s="195"/>
      <c r="DJ559" s="1"/>
      <c r="DK559" s="3"/>
      <c r="DL559" s="4"/>
      <c r="DM559" s="4"/>
      <c r="DN559" s="4"/>
      <c r="DO559" s="4"/>
      <c r="DP559" s="4"/>
      <c r="DQ559" s="4"/>
      <c r="DR559" s="4"/>
      <c r="DT559" s="195"/>
      <c r="DU559" s="195"/>
      <c r="DV559" s="195"/>
      <c r="DW559" s="195"/>
      <c r="DX559" s="195"/>
      <c r="DY559" s="195"/>
      <c r="DZ559" s="195"/>
      <c r="EA559" s="195"/>
      <c r="EB559" s="195"/>
      <c r="EC559" s="195"/>
      <c r="ED559" s="195"/>
      <c r="EE559" s="195"/>
      <c r="EF559" s="195"/>
      <c r="EG559" s="195"/>
      <c r="EL559" s="1"/>
      <c r="EM559" s="195"/>
      <c r="EN559" s="731"/>
      <c r="EO559" s="240"/>
      <c r="EP559" s="195"/>
      <c r="EQ559" s="240"/>
      <c r="ER559" s="195"/>
      <c r="ES559" s="195"/>
      <c r="ET559" s="195"/>
      <c r="EU559" s="731"/>
    </row>
    <row r="560" customFormat="false" ht="12.75" hidden="false" customHeight="false" outlineLevel="0" collapsed="false">
      <c r="I560" s="735"/>
      <c r="J560" s="728"/>
      <c r="K560" s="195"/>
      <c r="L560" s="195"/>
      <c r="S560" s="1"/>
      <c r="T560" s="195"/>
      <c r="U560" s="195"/>
      <c r="V560" s="195"/>
      <c r="W560" s="195"/>
      <c r="X560" s="195"/>
      <c r="Y560" s="195"/>
      <c r="Z560" s="195"/>
      <c r="AA560" s="195"/>
      <c r="AB560" s="195"/>
      <c r="AC560" s="195"/>
      <c r="AD560" s="195"/>
      <c r="AE560" s="195"/>
      <c r="AF560" s="195"/>
      <c r="AG560" s="195"/>
      <c r="AH560" s="195"/>
      <c r="AI560" s="195"/>
      <c r="AJ560" s="195"/>
      <c r="AK560" s="195"/>
      <c r="AL560" s="195"/>
      <c r="AM560" s="195"/>
      <c r="AN560" s="195"/>
      <c r="AO560" s="195"/>
      <c r="AP560" s="240"/>
      <c r="AQ560" s="195"/>
      <c r="AR560" s="240"/>
      <c r="AS560" s="240"/>
      <c r="AT560" s="240"/>
      <c r="AU560" s="240"/>
      <c r="AV560" s="730"/>
      <c r="AW560" s="730"/>
      <c r="AX560" s="730"/>
      <c r="AY560" s="468"/>
      <c r="AZ560" s="468"/>
      <c r="BA560" s="240"/>
      <c r="BB560" s="240"/>
      <c r="BC560" s="240"/>
      <c r="BD560" s="240"/>
      <c r="BE560" s="240"/>
      <c r="BF560" s="672"/>
      <c r="BG560" s="672"/>
      <c r="BH560" s="731"/>
      <c r="BI560" s="672"/>
      <c r="BJ560" s="240"/>
      <c r="BK560" s="736"/>
      <c r="BL560" s="732"/>
      <c r="BM560" s="240"/>
      <c r="BN560" s="240"/>
      <c r="BO560" s="240"/>
      <c r="BP560" s="240"/>
      <c r="BQ560" s="240"/>
      <c r="BR560" s="240"/>
      <c r="BS560" s="240"/>
      <c r="BT560" s="240"/>
      <c r="BU560" s="240"/>
      <c r="BV560" s="240"/>
      <c r="BW560" s="240"/>
      <c r="BX560" s="240"/>
      <c r="BY560" s="240"/>
      <c r="BZ560" s="240"/>
      <c r="CA560" s="240"/>
      <c r="CB560" s="672"/>
      <c r="CC560" s="672"/>
      <c r="CD560" s="672"/>
      <c r="CE560" s="672"/>
      <c r="CF560" s="672"/>
      <c r="CG560" s="672"/>
      <c r="CH560" s="240"/>
      <c r="CI560" s="240"/>
      <c r="CJ560" s="240"/>
      <c r="CK560" s="240"/>
      <c r="CL560" s="240"/>
      <c r="CM560" s="240"/>
      <c r="CN560" s="240"/>
      <c r="CO560" s="240"/>
      <c r="CP560" s="240"/>
      <c r="CQ560" s="240"/>
      <c r="CR560" s="240"/>
      <c r="CS560" s="240"/>
      <c r="CT560" s="240"/>
      <c r="CU560" s="240"/>
      <c r="CV560" s="240"/>
      <c r="CW560" s="240"/>
      <c r="CX560" s="240"/>
      <c r="CY560" s="240"/>
      <c r="CZ560" s="240"/>
      <c r="DA560" s="240"/>
      <c r="DB560" s="240"/>
      <c r="DC560" s="240"/>
      <c r="DD560" s="240"/>
      <c r="DE560" s="240"/>
      <c r="DF560" s="240"/>
      <c r="DG560" s="728"/>
      <c r="DH560" s="728"/>
      <c r="DI560" s="195"/>
      <c r="DJ560" s="1"/>
      <c r="DK560" s="3"/>
      <c r="DL560" s="4"/>
      <c r="DM560" s="4"/>
      <c r="DN560" s="4"/>
      <c r="DO560" s="4"/>
      <c r="DP560" s="4"/>
      <c r="DQ560" s="4"/>
      <c r="DR560" s="4"/>
      <c r="DT560" s="195"/>
      <c r="DU560" s="195"/>
      <c r="DV560" s="195"/>
      <c r="DW560" s="195"/>
      <c r="DX560" s="195"/>
      <c r="DY560" s="195"/>
      <c r="DZ560" s="195"/>
      <c r="EA560" s="195"/>
      <c r="EB560" s="195"/>
      <c r="EC560" s="195"/>
      <c r="ED560" s="195"/>
      <c r="EE560" s="195"/>
      <c r="EF560" s="195"/>
      <c r="EG560" s="195"/>
      <c r="EL560" s="1"/>
      <c r="EM560" s="195"/>
      <c r="EN560" s="731"/>
      <c r="EO560" s="240"/>
      <c r="EP560" s="195"/>
      <c r="EQ560" s="240"/>
      <c r="ER560" s="195"/>
      <c r="ES560" s="195"/>
      <c r="ET560" s="195"/>
      <c r="EU560" s="731"/>
    </row>
    <row r="561" customFormat="false" ht="12.75" hidden="false" customHeight="false" outlineLevel="0" collapsed="false">
      <c r="I561" s="735"/>
      <c r="J561" s="728"/>
      <c r="K561" s="195"/>
      <c r="L561" s="195"/>
      <c r="S561" s="1"/>
      <c r="T561" s="195"/>
      <c r="U561" s="195"/>
      <c r="V561" s="195"/>
      <c r="W561" s="195"/>
      <c r="X561" s="195"/>
      <c r="Y561" s="195"/>
      <c r="Z561" s="195"/>
      <c r="AA561" s="195"/>
      <c r="AB561" s="195"/>
      <c r="AC561" s="195"/>
      <c r="AD561" s="195"/>
      <c r="AE561" s="195"/>
      <c r="AF561" s="195"/>
      <c r="AG561" s="195"/>
      <c r="AH561" s="195"/>
      <c r="AI561" s="195"/>
      <c r="AJ561" s="195"/>
      <c r="AK561" s="195"/>
      <c r="AL561" s="195"/>
      <c r="AM561" s="195"/>
      <c r="AN561" s="195"/>
      <c r="AO561" s="195"/>
      <c r="AP561" s="240"/>
      <c r="AQ561" s="195"/>
      <c r="AR561" s="240"/>
      <c r="AS561" s="240"/>
      <c r="AT561" s="240"/>
      <c r="AU561" s="240"/>
      <c r="AV561" s="730"/>
      <c r="AW561" s="730"/>
      <c r="AX561" s="730"/>
      <c r="AY561" s="468"/>
      <c r="AZ561" s="468"/>
      <c r="BA561" s="240"/>
      <c r="BB561" s="240"/>
      <c r="BC561" s="240"/>
      <c r="BD561" s="240"/>
      <c r="BE561" s="240"/>
      <c r="BF561" s="672"/>
      <c r="BG561" s="672"/>
      <c r="BH561" s="731"/>
      <c r="BI561" s="672"/>
      <c r="BJ561" s="240"/>
      <c r="BK561" s="736"/>
      <c r="BL561" s="732"/>
      <c r="BM561" s="240"/>
      <c r="BN561" s="240"/>
      <c r="BO561" s="240"/>
      <c r="BP561" s="240"/>
      <c r="BQ561" s="240"/>
      <c r="BR561" s="240"/>
      <c r="BS561" s="240"/>
      <c r="BT561" s="240"/>
      <c r="BU561" s="240"/>
      <c r="BV561" s="240"/>
      <c r="BW561" s="240"/>
      <c r="BX561" s="240"/>
      <c r="BY561" s="240"/>
      <c r="BZ561" s="240"/>
      <c r="CA561" s="240"/>
      <c r="CB561" s="672"/>
      <c r="CC561" s="672"/>
      <c r="CD561" s="672"/>
      <c r="CE561" s="672"/>
      <c r="CF561" s="672"/>
      <c r="CG561" s="672"/>
      <c r="CH561" s="240"/>
      <c r="CI561" s="240"/>
      <c r="CJ561" s="240"/>
      <c r="CK561" s="240"/>
      <c r="CL561" s="240"/>
      <c r="CM561" s="240"/>
      <c r="CN561" s="240"/>
      <c r="CO561" s="240"/>
      <c r="CP561" s="240"/>
      <c r="CQ561" s="240"/>
      <c r="CR561" s="240"/>
      <c r="CS561" s="240"/>
      <c r="CT561" s="240"/>
      <c r="CU561" s="240"/>
      <c r="CV561" s="240"/>
      <c r="CW561" s="240"/>
      <c r="CX561" s="240"/>
      <c r="CY561" s="240"/>
      <c r="CZ561" s="240"/>
      <c r="DA561" s="240"/>
      <c r="DB561" s="240"/>
      <c r="DC561" s="240"/>
      <c r="DD561" s="240"/>
      <c r="DE561" s="240"/>
      <c r="DF561" s="240"/>
      <c r="DG561" s="728"/>
      <c r="DH561" s="728"/>
      <c r="DI561" s="195"/>
      <c r="DJ561" s="1"/>
      <c r="DK561" s="3"/>
      <c r="DL561" s="4"/>
      <c r="DM561" s="4"/>
      <c r="DN561" s="4"/>
      <c r="DO561" s="4"/>
      <c r="DP561" s="4"/>
      <c r="DQ561" s="4"/>
      <c r="DR561" s="4"/>
      <c r="DT561" s="195"/>
      <c r="DU561" s="195"/>
      <c r="DV561" s="195"/>
      <c r="DW561" s="195"/>
      <c r="DX561" s="195"/>
      <c r="DY561" s="195"/>
      <c r="DZ561" s="195"/>
      <c r="EA561" s="195"/>
      <c r="EB561" s="195"/>
      <c r="EC561" s="195"/>
      <c r="ED561" s="195"/>
      <c r="EE561" s="195"/>
      <c r="EF561" s="195"/>
      <c r="EG561" s="195"/>
      <c r="EL561" s="1"/>
      <c r="EM561" s="195"/>
      <c r="EN561" s="731"/>
      <c r="EO561" s="240"/>
      <c r="EP561" s="195"/>
      <c r="EQ561" s="240"/>
      <c r="ER561" s="195"/>
      <c r="ES561" s="195"/>
      <c r="ET561" s="195"/>
      <c r="EU561" s="731"/>
    </row>
    <row r="562" customFormat="false" ht="12.75" hidden="false" customHeight="false" outlineLevel="0" collapsed="false">
      <c r="I562" s="735"/>
      <c r="J562" s="728"/>
      <c r="K562" s="195"/>
      <c r="L562" s="195"/>
      <c r="S562" s="1"/>
      <c r="T562" s="195"/>
      <c r="U562" s="195"/>
      <c r="V562" s="195"/>
      <c r="W562" s="195"/>
      <c r="X562" s="195"/>
      <c r="Y562" s="195"/>
      <c r="Z562" s="195"/>
      <c r="AA562" s="195"/>
      <c r="AB562" s="195"/>
      <c r="AC562" s="195"/>
      <c r="AD562" s="195"/>
      <c r="AE562" s="195"/>
      <c r="AF562" s="195"/>
      <c r="AG562" s="195"/>
      <c r="AH562" s="195"/>
      <c r="AI562" s="195"/>
      <c r="AJ562" s="195"/>
      <c r="AK562" s="195"/>
      <c r="AL562" s="195"/>
      <c r="AM562" s="195"/>
      <c r="AN562" s="195"/>
      <c r="AO562" s="195"/>
      <c r="AP562" s="240"/>
      <c r="AQ562" s="195"/>
      <c r="AR562" s="240"/>
      <c r="AS562" s="240"/>
      <c r="AT562" s="240"/>
      <c r="AU562" s="240"/>
      <c r="AV562" s="730"/>
      <c r="AW562" s="730"/>
      <c r="AX562" s="730"/>
      <c r="AY562" s="468"/>
      <c r="AZ562" s="468"/>
      <c r="BA562" s="240"/>
      <c r="BB562" s="240"/>
      <c r="BC562" s="240"/>
      <c r="BD562" s="240"/>
      <c r="BE562" s="240"/>
      <c r="BF562" s="672"/>
      <c r="BG562" s="672"/>
      <c r="BH562" s="731"/>
      <c r="BI562" s="672"/>
      <c r="BJ562" s="240"/>
      <c r="BK562" s="736"/>
      <c r="BL562" s="732"/>
      <c r="BM562" s="240"/>
      <c r="BN562" s="240"/>
      <c r="BO562" s="240"/>
      <c r="BP562" s="240"/>
      <c r="BQ562" s="240"/>
      <c r="BR562" s="240"/>
      <c r="BS562" s="240"/>
      <c r="BT562" s="240"/>
      <c r="BU562" s="240"/>
      <c r="BV562" s="240"/>
      <c r="BW562" s="240"/>
      <c r="BX562" s="240"/>
      <c r="BY562" s="240"/>
      <c r="BZ562" s="240"/>
      <c r="CA562" s="240"/>
      <c r="CB562" s="672"/>
      <c r="CC562" s="672"/>
      <c r="CD562" s="672"/>
      <c r="CE562" s="672"/>
      <c r="CF562" s="672"/>
      <c r="CG562" s="672"/>
      <c r="CH562" s="240"/>
      <c r="CI562" s="240"/>
      <c r="CJ562" s="240"/>
      <c r="CK562" s="240"/>
      <c r="CL562" s="240"/>
      <c r="CM562" s="240"/>
      <c r="CN562" s="240"/>
      <c r="CO562" s="240"/>
      <c r="CP562" s="240"/>
      <c r="CQ562" s="240"/>
      <c r="CR562" s="240"/>
      <c r="CS562" s="240"/>
      <c r="CT562" s="240"/>
      <c r="CU562" s="240"/>
      <c r="CV562" s="240"/>
      <c r="CW562" s="240"/>
      <c r="CX562" s="240"/>
      <c r="CY562" s="240"/>
      <c r="CZ562" s="240"/>
      <c r="DA562" s="240"/>
      <c r="DB562" s="240"/>
      <c r="DC562" s="240"/>
      <c r="DD562" s="240"/>
      <c r="DE562" s="240"/>
      <c r="DF562" s="240"/>
      <c r="DG562" s="728"/>
      <c r="DH562" s="728"/>
      <c r="DI562" s="195"/>
      <c r="DJ562" s="1"/>
      <c r="DK562" s="3"/>
      <c r="DL562" s="4"/>
      <c r="DM562" s="4"/>
      <c r="DN562" s="4"/>
      <c r="DO562" s="4"/>
      <c r="DP562" s="4"/>
      <c r="DQ562" s="4"/>
      <c r="DR562" s="4"/>
      <c r="DT562" s="195"/>
      <c r="DU562" s="195"/>
      <c r="DV562" s="195"/>
      <c r="DW562" s="195"/>
      <c r="DX562" s="195"/>
      <c r="DY562" s="195"/>
      <c r="DZ562" s="195"/>
      <c r="EA562" s="195"/>
      <c r="EB562" s="195"/>
      <c r="EC562" s="195"/>
      <c r="ED562" s="195"/>
      <c r="EE562" s="195"/>
      <c r="EF562" s="195"/>
      <c r="EG562" s="195"/>
      <c r="EL562" s="1"/>
      <c r="EM562" s="195"/>
      <c r="EN562" s="731"/>
      <c r="EO562" s="240"/>
      <c r="EP562" s="195"/>
      <c r="EQ562" s="240"/>
      <c r="ER562" s="195"/>
      <c r="ES562" s="195"/>
      <c r="ET562" s="195"/>
      <c r="EU562" s="731"/>
    </row>
    <row r="563" customFormat="false" ht="12.75" hidden="false" customHeight="false" outlineLevel="0" collapsed="false">
      <c r="I563" s="735"/>
      <c r="J563" s="728"/>
      <c r="K563" s="195"/>
      <c r="L563" s="195"/>
      <c r="S563" s="1"/>
      <c r="T563" s="195"/>
      <c r="U563" s="195"/>
      <c r="V563" s="195"/>
      <c r="W563" s="195"/>
      <c r="X563" s="195"/>
      <c r="Y563" s="195"/>
      <c r="Z563" s="195"/>
      <c r="AA563" s="195"/>
      <c r="AB563" s="195"/>
      <c r="AC563" s="195"/>
      <c r="AD563" s="195"/>
      <c r="AE563" s="195"/>
      <c r="AF563" s="195"/>
      <c r="AG563" s="195"/>
      <c r="AH563" s="195"/>
      <c r="AI563" s="195"/>
      <c r="AJ563" s="195"/>
      <c r="AK563" s="195"/>
      <c r="AL563" s="195"/>
      <c r="AM563" s="195"/>
      <c r="AN563" s="195"/>
      <c r="AO563" s="195"/>
      <c r="AP563" s="240"/>
      <c r="AQ563" s="195"/>
      <c r="AR563" s="240"/>
      <c r="AS563" s="240"/>
      <c r="AT563" s="240"/>
      <c r="AU563" s="240"/>
      <c r="AV563" s="730"/>
      <c r="AW563" s="730"/>
      <c r="AX563" s="730"/>
      <c r="AY563" s="468"/>
      <c r="AZ563" s="468"/>
      <c r="BA563" s="240"/>
      <c r="BB563" s="240"/>
      <c r="BC563" s="240"/>
      <c r="BD563" s="240"/>
      <c r="BE563" s="240"/>
      <c r="BF563" s="672"/>
      <c r="BG563" s="672"/>
      <c r="BH563" s="731"/>
      <c r="BI563" s="672"/>
      <c r="BJ563" s="240"/>
      <c r="BK563" s="736"/>
      <c r="BL563" s="732"/>
      <c r="BM563" s="240"/>
      <c r="BN563" s="240"/>
      <c r="BO563" s="240"/>
      <c r="BP563" s="240"/>
      <c r="BQ563" s="240"/>
      <c r="BR563" s="240"/>
      <c r="BS563" s="240"/>
      <c r="BT563" s="240"/>
      <c r="BU563" s="240"/>
      <c r="BV563" s="240"/>
      <c r="BW563" s="240"/>
      <c r="BX563" s="240"/>
      <c r="BY563" s="240"/>
      <c r="BZ563" s="240"/>
      <c r="CA563" s="240"/>
      <c r="CB563" s="672"/>
      <c r="CC563" s="672"/>
      <c r="CD563" s="672"/>
      <c r="CE563" s="672"/>
      <c r="CF563" s="672"/>
      <c r="CG563" s="672"/>
      <c r="CH563" s="240"/>
      <c r="CI563" s="240"/>
      <c r="CJ563" s="240"/>
      <c r="CK563" s="240"/>
      <c r="CL563" s="240"/>
      <c r="CM563" s="240"/>
      <c r="CN563" s="240"/>
      <c r="CO563" s="240"/>
      <c r="CP563" s="240"/>
      <c r="CQ563" s="240"/>
      <c r="CR563" s="240"/>
      <c r="CS563" s="240"/>
      <c r="CT563" s="240"/>
      <c r="CU563" s="240"/>
      <c r="CV563" s="240"/>
      <c r="CW563" s="240"/>
      <c r="CX563" s="240"/>
      <c r="CY563" s="240"/>
      <c r="CZ563" s="240"/>
      <c r="DA563" s="240"/>
      <c r="DB563" s="240"/>
      <c r="DC563" s="240"/>
      <c r="DD563" s="240"/>
      <c r="DE563" s="240"/>
      <c r="DF563" s="240"/>
      <c r="DG563" s="728"/>
      <c r="DH563" s="728"/>
      <c r="DI563" s="195"/>
      <c r="DJ563" s="1"/>
      <c r="DK563" s="3"/>
      <c r="DL563" s="4"/>
      <c r="DM563" s="4"/>
      <c r="DN563" s="4"/>
      <c r="DO563" s="4"/>
      <c r="DP563" s="4"/>
      <c r="DQ563" s="4"/>
      <c r="DR563" s="4"/>
      <c r="DT563" s="195"/>
      <c r="DU563" s="195"/>
      <c r="DV563" s="195"/>
      <c r="DW563" s="195"/>
      <c r="DX563" s="195"/>
      <c r="DY563" s="195"/>
      <c r="DZ563" s="195"/>
      <c r="EA563" s="195"/>
      <c r="EB563" s="195"/>
      <c r="EC563" s="195"/>
      <c r="ED563" s="195"/>
      <c r="EE563" s="195"/>
      <c r="EF563" s="195"/>
      <c r="EG563" s="195"/>
      <c r="EL563" s="1"/>
      <c r="EM563" s="195"/>
      <c r="EN563" s="731"/>
      <c r="EO563" s="240"/>
      <c r="EP563" s="195"/>
      <c r="EQ563" s="240"/>
      <c r="ER563" s="195"/>
      <c r="ES563" s="195"/>
      <c r="ET563" s="195"/>
      <c r="EU563" s="731"/>
    </row>
    <row r="564" customFormat="false" ht="12.75" hidden="false" customHeight="false" outlineLevel="0" collapsed="false">
      <c r="I564" s="735"/>
      <c r="J564" s="728"/>
      <c r="K564" s="195"/>
      <c r="L564" s="195"/>
      <c r="S564" s="1"/>
      <c r="T564" s="195"/>
      <c r="U564" s="195"/>
      <c r="V564" s="195"/>
      <c r="W564" s="195"/>
      <c r="X564" s="195"/>
      <c r="Y564" s="195"/>
      <c r="Z564" s="195"/>
      <c r="AA564" s="195"/>
      <c r="AB564" s="195"/>
      <c r="AC564" s="195"/>
      <c r="AD564" s="195"/>
      <c r="AE564" s="195"/>
      <c r="AF564" s="195"/>
      <c r="AG564" s="195"/>
      <c r="AH564" s="195"/>
      <c r="AI564" s="195"/>
      <c r="AJ564" s="195"/>
      <c r="AK564" s="195"/>
      <c r="AL564" s="195"/>
      <c r="AM564" s="195"/>
      <c r="AN564" s="195"/>
      <c r="AO564" s="195"/>
      <c r="AP564" s="240"/>
      <c r="AQ564" s="195"/>
      <c r="AR564" s="240"/>
      <c r="AS564" s="240"/>
      <c r="AT564" s="240"/>
      <c r="AU564" s="240"/>
      <c r="AV564" s="730"/>
      <c r="AW564" s="730"/>
      <c r="AX564" s="730"/>
      <c r="AY564" s="468"/>
      <c r="AZ564" s="468"/>
      <c r="BA564" s="240"/>
      <c r="BB564" s="240"/>
      <c r="BC564" s="240"/>
      <c r="BD564" s="240"/>
      <c r="BE564" s="240"/>
      <c r="BF564" s="672"/>
      <c r="BG564" s="672"/>
      <c r="BH564" s="731"/>
      <c r="BI564" s="672"/>
      <c r="BJ564" s="240"/>
      <c r="BK564" s="736"/>
      <c r="BL564" s="732"/>
      <c r="BM564" s="240"/>
      <c r="BN564" s="240"/>
      <c r="BO564" s="240"/>
      <c r="BP564" s="240"/>
      <c r="BQ564" s="240"/>
      <c r="BR564" s="240"/>
      <c r="BS564" s="240"/>
      <c r="BT564" s="240"/>
      <c r="BU564" s="240"/>
      <c r="BV564" s="240"/>
      <c r="BW564" s="240"/>
      <c r="BX564" s="240"/>
      <c r="BY564" s="240"/>
      <c r="BZ564" s="240"/>
      <c r="CA564" s="240"/>
      <c r="CB564" s="672"/>
      <c r="CC564" s="672"/>
      <c r="CD564" s="672"/>
      <c r="CE564" s="672"/>
      <c r="CF564" s="672"/>
      <c r="CG564" s="672"/>
      <c r="CH564" s="240"/>
      <c r="CI564" s="240"/>
      <c r="CJ564" s="240"/>
      <c r="CK564" s="240"/>
      <c r="CL564" s="240"/>
      <c r="CM564" s="240"/>
      <c r="CN564" s="240"/>
      <c r="CO564" s="240"/>
      <c r="CP564" s="240"/>
      <c r="CQ564" s="240"/>
      <c r="CR564" s="240"/>
      <c r="CS564" s="240"/>
      <c r="CT564" s="240"/>
      <c r="CU564" s="240"/>
      <c r="CV564" s="240"/>
      <c r="CW564" s="240"/>
      <c r="CX564" s="240"/>
      <c r="CY564" s="240"/>
      <c r="CZ564" s="240"/>
      <c r="DA564" s="240"/>
      <c r="DB564" s="240"/>
      <c r="DC564" s="240"/>
      <c r="DD564" s="240"/>
      <c r="DE564" s="240"/>
      <c r="DF564" s="240"/>
      <c r="DG564" s="728"/>
      <c r="DH564" s="728"/>
      <c r="DI564" s="195"/>
      <c r="DJ564" s="1"/>
      <c r="DK564" s="3"/>
      <c r="DL564" s="4"/>
      <c r="DM564" s="4"/>
      <c r="DN564" s="4"/>
      <c r="DO564" s="4"/>
      <c r="DP564" s="4"/>
      <c r="DQ564" s="4"/>
      <c r="DR564" s="4"/>
      <c r="DT564" s="195"/>
      <c r="DU564" s="195"/>
      <c r="DV564" s="195"/>
      <c r="DW564" s="195"/>
      <c r="DX564" s="195"/>
      <c r="DY564" s="195"/>
      <c r="DZ564" s="195"/>
      <c r="EA564" s="195"/>
      <c r="EB564" s="195"/>
      <c r="EC564" s="195"/>
      <c r="ED564" s="195"/>
      <c r="EE564" s="195"/>
      <c r="EF564" s="195"/>
      <c r="EG564" s="195"/>
      <c r="EL564" s="1"/>
      <c r="EM564" s="195"/>
      <c r="EN564" s="731"/>
      <c r="EO564" s="240"/>
      <c r="EP564" s="195"/>
      <c r="EQ564" s="240"/>
      <c r="ER564" s="195"/>
      <c r="ES564" s="195"/>
      <c r="ET564" s="195"/>
      <c r="EU564" s="731"/>
    </row>
    <row r="565" customFormat="false" ht="12.75" hidden="false" customHeight="false" outlineLevel="0" collapsed="false">
      <c r="I565" s="735"/>
      <c r="J565" s="728"/>
      <c r="K565" s="195"/>
      <c r="L565" s="195"/>
      <c r="S565" s="1"/>
      <c r="T565" s="195"/>
      <c r="U565" s="195"/>
      <c r="V565" s="195"/>
      <c r="W565" s="195"/>
      <c r="X565" s="195"/>
      <c r="Y565" s="195"/>
      <c r="Z565" s="195"/>
      <c r="AA565" s="195"/>
      <c r="AB565" s="195"/>
      <c r="AC565" s="195"/>
      <c r="AD565" s="195"/>
      <c r="AE565" s="195"/>
      <c r="AF565" s="195"/>
      <c r="AG565" s="195"/>
      <c r="AH565" s="195"/>
      <c r="AI565" s="195"/>
      <c r="AJ565" s="195"/>
      <c r="AK565" s="195"/>
      <c r="AL565" s="195"/>
      <c r="AM565" s="195"/>
      <c r="AN565" s="195"/>
      <c r="AO565" s="195"/>
      <c r="AP565" s="240"/>
      <c r="AQ565" s="195"/>
      <c r="AR565" s="240"/>
      <c r="AS565" s="240"/>
      <c r="AT565" s="240"/>
      <c r="AU565" s="240"/>
      <c r="AV565" s="730"/>
      <c r="AW565" s="730"/>
      <c r="AX565" s="730"/>
      <c r="AY565" s="468"/>
      <c r="AZ565" s="468"/>
      <c r="BA565" s="240"/>
      <c r="BB565" s="240"/>
      <c r="BC565" s="240"/>
      <c r="BD565" s="240"/>
      <c r="BE565" s="240"/>
      <c r="BF565" s="672"/>
      <c r="BG565" s="672"/>
      <c r="BH565" s="731"/>
      <c r="BI565" s="672"/>
      <c r="BJ565" s="240"/>
      <c r="BK565" s="736"/>
      <c r="BL565" s="732"/>
      <c r="BM565" s="240"/>
      <c r="BN565" s="240"/>
      <c r="BO565" s="240"/>
      <c r="BP565" s="240"/>
      <c r="BQ565" s="240"/>
      <c r="BR565" s="240"/>
      <c r="BS565" s="240"/>
      <c r="BT565" s="240"/>
      <c r="BU565" s="240"/>
      <c r="BV565" s="240"/>
      <c r="BW565" s="240"/>
      <c r="BX565" s="240"/>
      <c r="BY565" s="240"/>
      <c r="BZ565" s="240"/>
      <c r="CA565" s="240"/>
      <c r="CB565" s="672"/>
      <c r="CC565" s="672"/>
      <c r="CD565" s="672"/>
      <c r="CE565" s="672"/>
      <c r="CF565" s="672"/>
      <c r="CG565" s="672"/>
      <c r="CH565" s="240"/>
      <c r="CI565" s="240"/>
      <c r="CJ565" s="240"/>
      <c r="CK565" s="240"/>
      <c r="CL565" s="240"/>
      <c r="CM565" s="240"/>
      <c r="CN565" s="240"/>
      <c r="CO565" s="240"/>
      <c r="CP565" s="240"/>
      <c r="CQ565" s="240"/>
      <c r="CR565" s="240"/>
      <c r="CS565" s="240"/>
      <c r="CT565" s="240"/>
      <c r="CU565" s="240"/>
      <c r="CV565" s="240"/>
      <c r="CW565" s="240"/>
      <c r="CX565" s="240"/>
      <c r="CY565" s="240"/>
      <c r="CZ565" s="240"/>
      <c r="DA565" s="240"/>
      <c r="DB565" s="240"/>
      <c r="DC565" s="240"/>
      <c r="DD565" s="240"/>
      <c r="DE565" s="240"/>
      <c r="DF565" s="240"/>
      <c r="DG565" s="728"/>
      <c r="DH565" s="728"/>
      <c r="DI565" s="195"/>
      <c r="DJ565" s="1"/>
      <c r="DK565" s="3"/>
      <c r="DL565" s="4"/>
      <c r="DM565" s="4"/>
      <c r="DN565" s="4"/>
      <c r="DO565" s="4"/>
      <c r="DP565" s="4"/>
      <c r="DQ565" s="4"/>
      <c r="DR565" s="4"/>
      <c r="DT565" s="195"/>
      <c r="DU565" s="195"/>
      <c r="DV565" s="195"/>
      <c r="DW565" s="195"/>
      <c r="DX565" s="195"/>
      <c r="DY565" s="195"/>
      <c r="DZ565" s="195"/>
      <c r="EA565" s="195"/>
      <c r="EB565" s="195"/>
      <c r="EC565" s="195"/>
      <c r="ED565" s="195"/>
      <c r="EE565" s="195"/>
      <c r="EF565" s="195"/>
      <c r="EG565" s="195"/>
      <c r="EL565" s="1"/>
      <c r="EM565" s="195"/>
      <c r="EN565" s="731"/>
      <c r="EO565" s="240"/>
      <c r="EP565" s="195"/>
      <c r="EQ565" s="240"/>
      <c r="ER565" s="195"/>
      <c r="ES565" s="195"/>
      <c r="ET565" s="195"/>
      <c r="EU565" s="731"/>
    </row>
    <row r="566" customFormat="false" ht="12.75" hidden="false" customHeight="false" outlineLevel="0" collapsed="false">
      <c r="I566" s="735"/>
      <c r="J566" s="728"/>
      <c r="K566" s="195"/>
      <c r="L566" s="195"/>
      <c r="S566" s="1"/>
      <c r="T566" s="195"/>
      <c r="U566" s="195"/>
      <c r="V566" s="195"/>
      <c r="W566" s="195"/>
      <c r="X566" s="195"/>
      <c r="Y566" s="195"/>
      <c r="Z566" s="195"/>
      <c r="AA566" s="195"/>
      <c r="AB566" s="195"/>
      <c r="AC566" s="195"/>
      <c r="AD566" s="195"/>
      <c r="AE566" s="195"/>
      <c r="AF566" s="195"/>
      <c r="AG566" s="195"/>
      <c r="AH566" s="195"/>
      <c r="AI566" s="195"/>
      <c r="AJ566" s="195"/>
      <c r="AK566" s="195"/>
      <c r="AL566" s="195"/>
      <c r="AM566" s="195"/>
      <c r="AN566" s="195"/>
      <c r="AO566" s="195"/>
      <c r="AP566" s="240"/>
      <c r="AQ566" s="195"/>
      <c r="AR566" s="240"/>
      <c r="AS566" s="240"/>
      <c r="AT566" s="240"/>
      <c r="AU566" s="240"/>
      <c r="AV566" s="730"/>
      <c r="AW566" s="730"/>
      <c r="AX566" s="730"/>
      <c r="AY566" s="468"/>
      <c r="AZ566" s="468"/>
      <c r="BA566" s="240"/>
      <c r="BB566" s="240"/>
      <c r="BC566" s="240"/>
      <c r="BD566" s="240"/>
      <c r="BE566" s="240"/>
      <c r="BF566" s="672"/>
      <c r="BG566" s="672"/>
      <c r="BH566" s="731"/>
      <c r="BI566" s="672"/>
      <c r="BJ566" s="240"/>
      <c r="BK566" s="736"/>
      <c r="BL566" s="732"/>
      <c r="BM566" s="240"/>
      <c r="BN566" s="240"/>
      <c r="BO566" s="240"/>
      <c r="BP566" s="240"/>
      <c r="BQ566" s="240"/>
      <c r="BR566" s="240"/>
      <c r="BS566" s="240"/>
      <c r="BT566" s="240"/>
      <c r="BU566" s="240"/>
      <c r="BV566" s="240"/>
      <c r="BW566" s="240"/>
      <c r="BX566" s="240"/>
      <c r="BY566" s="240"/>
      <c r="BZ566" s="240"/>
      <c r="CA566" s="240"/>
      <c r="CB566" s="672"/>
      <c r="CC566" s="672"/>
      <c r="CD566" s="672"/>
      <c r="CE566" s="672"/>
      <c r="CF566" s="672"/>
      <c r="CG566" s="672"/>
      <c r="CH566" s="240"/>
      <c r="CI566" s="240"/>
      <c r="CJ566" s="240"/>
      <c r="CK566" s="240"/>
      <c r="CL566" s="240"/>
      <c r="CM566" s="240"/>
      <c r="CN566" s="240"/>
      <c r="CO566" s="240"/>
      <c r="CP566" s="240"/>
      <c r="CQ566" s="240"/>
      <c r="CR566" s="240"/>
      <c r="CS566" s="240"/>
      <c r="CT566" s="240"/>
      <c r="CU566" s="240"/>
      <c r="CV566" s="240"/>
      <c r="CW566" s="240"/>
      <c r="CX566" s="240"/>
      <c r="CY566" s="240"/>
      <c r="CZ566" s="240"/>
      <c r="DA566" s="240"/>
      <c r="DB566" s="240"/>
      <c r="DC566" s="240"/>
      <c r="DD566" s="240"/>
      <c r="DE566" s="240"/>
      <c r="DF566" s="240"/>
      <c r="DG566" s="728"/>
      <c r="DH566" s="728"/>
      <c r="DI566" s="195"/>
      <c r="DJ566" s="1"/>
      <c r="DK566" s="3"/>
      <c r="DL566" s="4"/>
      <c r="DM566" s="4"/>
      <c r="DN566" s="4"/>
      <c r="DO566" s="4"/>
      <c r="DP566" s="4"/>
      <c r="DQ566" s="4"/>
      <c r="DR566" s="4"/>
      <c r="DT566" s="195"/>
      <c r="DU566" s="195"/>
      <c r="DV566" s="195"/>
      <c r="DW566" s="195"/>
      <c r="DX566" s="195"/>
      <c r="DY566" s="195"/>
      <c r="DZ566" s="195"/>
      <c r="EA566" s="195"/>
      <c r="EB566" s="195"/>
      <c r="EC566" s="195"/>
      <c r="ED566" s="195"/>
      <c r="EE566" s="195"/>
      <c r="EF566" s="195"/>
      <c r="EG566" s="195"/>
      <c r="EL566" s="1"/>
      <c r="EM566" s="195"/>
      <c r="EN566" s="731"/>
      <c r="EO566" s="240"/>
      <c r="EP566" s="195"/>
      <c r="EQ566" s="240"/>
      <c r="ER566" s="195"/>
      <c r="ES566" s="195"/>
      <c r="ET566" s="195"/>
      <c r="EU566" s="731"/>
    </row>
    <row r="567" customFormat="false" ht="12.75" hidden="false" customHeight="false" outlineLevel="0" collapsed="false">
      <c r="I567" s="735"/>
      <c r="J567" s="728"/>
      <c r="K567" s="195"/>
      <c r="L567" s="195"/>
      <c r="S567" s="1"/>
      <c r="T567" s="195"/>
      <c r="U567" s="195"/>
      <c r="V567" s="195"/>
      <c r="W567" s="195"/>
      <c r="X567" s="195"/>
      <c r="Y567" s="195"/>
      <c r="Z567" s="195"/>
      <c r="AA567" s="195"/>
      <c r="AB567" s="195"/>
      <c r="AC567" s="195"/>
      <c r="AD567" s="195"/>
      <c r="AE567" s="195"/>
      <c r="AF567" s="195"/>
      <c r="AG567" s="195"/>
      <c r="AH567" s="195"/>
      <c r="AI567" s="195"/>
      <c r="AJ567" s="195"/>
      <c r="AK567" s="195"/>
      <c r="AL567" s="195"/>
      <c r="AM567" s="195"/>
      <c r="AN567" s="195"/>
      <c r="AO567" s="195"/>
      <c r="AP567" s="240"/>
      <c r="AQ567" s="195"/>
      <c r="AR567" s="240"/>
      <c r="AS567" s="240"/>
      <c r="AT567" s="240"/>
      <c r="AU567" s="240"/>
      <c r="AV567" s="730"/>
      <c r="AW567" s="730"/>
      <c r="AX567" s="730"/>
      <c r="AY567" s="468"/>
      <c r="AZ567" s="468"/>
      <c r="BA567" s="240"/>
      <c r="BB567" s="240"/>
      <c r="BC567" s="240"/>
      <c r="BD567" s="240"/>
      <c r="BE567" s="240"/>
      <c r="BF567" s="672"/>
      <c r="BG567" s="672"/>
      <c r="BH567" s="731"/>
      <c r="BI567" s="672"/>
      <c r="BJ567" s="240"/>
      <c r="BK567" s="736"/>
      <c r="BL567" s="732"/>
      <c r="BM567" s="240"/>
      <c r="BN567" s="240"/>
      <c r="BO567" s="240"/>
      <c r="BP567" s="240"/>
      <c r="BQ567" s="240"/>
      <c r="BR567" s="240"/>
      <c r="BS567" s="240"/>
      <c r="BT567" s="240"/>
      <c r="BU567" s="240"/>
      <c r="BV567" s="240"/>
      <c r="BW567" s="240"/>
      <c r="BX567" s="240"/>
      <c r="BY567" s="240"/>
      <c r="BZ567" s="240"/>
      <c r="CA567" s="240"/>
      <c r="CB567" s="672"/>
      <c r="CC567" s="672"/>
      <c r="CD567" s="672"/>
      <c r="CE567" s="672"/>
      <c r="CF567" s="672"/>
      <c r="CG567" s="672"/>
      <c r="CH567" s="240"/>
      <c r="CI567" s="240"/>
      <c r="CJ567" s="240"/>
      <c r="CK567" s="240"/>
      <c r="CL567" s="240"/>
      <c r="CM567" s="240"/>
      <c r="CN567" s="240"/>
      <c r="CO567" s="240"/>
      <c r="CP567" s="240"/>
      <c r="CQ567" s="240"/>
      <c r="CR567" s="240"/>
      <c r="CS567" s="240"/>
      <c r="CT567" s="240"/>
      <c r="CU567" s="240"/>
      <c r="CV567" s="240"/>
      <c r="CW567" s="240"/>
      <c r="CX567" s="240"/>
      <c r="CY567" s="240"/>
      <c r="CZ567" s="240"/>
      <c r="DA567" s="240"/>
      <c r="DB567" s="240"/>
      <c r="DC567" s="240"/>
      <c r="DD567" s="240"/>
      <c r="DE567" s="240"/>
      <c r="DF567" s="240"/>
      <c r="DG567" s="728"/>
      <c r="DH567" s="728"/>
      <c r="DI567" s="195"/>
      <c r="DJ567" s="1"/>
      <c r="DK567" s="3"/>
      <c r="DL567" s="4"/>
      <c r="DM567" s="4"/>
      <c r="DN567" s="4"/>
      <c r="DO567" s="4"/>
      <c r="DP567" s="4"/>
      <c r="DQ567" s="4"/>
      <c r="DR567" s="4"/>
      <c r="DT567" s="195"/>
      <c r="DU567" s="195"/>
      <c r="DV567" s="195"/>
      <c r="DW567" s="195"/>
      <c r="DX567" s="195"/>
      <c r="DY567" s="195"/>
      <c r="DZ567" s="195"/>
      <c r="EA567" s="195"/>
      <c r="EB567" s="195"/>
      <c r="EC567" s="195"/>
      <c r="ED567" s="195"/>
      <c r="EE567" s="195"/>
      <c r="EF567" s="195"/>
      <c r="EG567" s="195"/>
      <c r="EL567" s="1"/>
      <c r="EM567" s="195"/>
      <c r="EN567" s="731"/>
      <c r="EO567" s="240"/>
      <c r="EP567" s="195"/>
      <c r="EQ567" s="240"/>
      <c r="ER567" s="195"/>
      <c r="ES567" s="195"/>
      <c r="ET567" s="195"/>
      <c r="EU567" s="731"/>
    </row>
    <row r="568" customFormat="false" ht="12.75" hidden="false" customHeight="false" outlineLevel="0" collapsed="false">
      <c r="I568" s="735"/>
      <c r="J568" s="728"/>
      <c r="K568" s="195"/>
      <c r="L568" s="195"/>
      <c r="S568" s="1"/>
      <c r="T568" s="195"/>
      <c r="U568" s="195"/>
      <c r="V568" s="195"/>
      <c r="W568" s="195"/>
      <c r="X568" s="195"/>
      <c r="Y568" s="195"/>
      <c r="Z568" s="195"/>
      <c r="AA568" s="195"/>
      <c r="AB568" s="195"/>
      <c r="AC568" s="195"/>
      <c r="AD568" s="195"/>
      <c r="AE568" s="195"/>
      <c r="AF568" s="195"/>
      <c r="AG568" s="195"/>
      <c r="AH568" s="195"/>
      <c r="AI568" s="195"/>
      <c r="AJ568" s="195"/>
      <c r="AK568" s="195"/>
      <c r="AL568" s="195"/>
      <c r="AM568" s="195"/>
      <c r="AN568" s="195"/>
      <c r="AO568" s="195"/>
      <c r="AP568" s="240"/>
      <c r="AQ568" s="195"/>
      <c r="AR568" s="240"/>
      <c r="AS568" s="240"/>
      <c r="AT568" s="240"/>
      <c r="AU568" s="240"/>
      <c r="AV568" s="730"/>
      <c r="AW568" s="730"/>
      <c r="AX568" s="730"/>
      <c r="AY568" s="468"/>
      <c r="AZ568" s="468"/>
      <c r="BA568" s="240"/>
      <c r="BB568" s="240"/>
      <c r="BC568" s="240"/>
      <c r="BD568" s="240"/>
      <c r="BE568" s="240"/>
      <c r="BF568" s="672"/>
      <c r="BG568" s="672"/>
      <c r="BH568" s="731"/>
      <c r="BI568" s="672"/>
      <c r="BJ568" s="240"/>
      <c r="BK568" s="736"/>
      <c r="BL568" s="732"/>
      <c r="BM568" s="240"/>
      <c r="BN568" s="240"/>
      <c r="BO568" s="240"/>
      <c r="BP568" s="240"/>
      <c r="BQ568" s="240"/>
      <c r="BR568" s="240"/>
      <c r="BS568" s="240"/>
      <c r="BT568" s="240"/>
      <c r="BU568" s="240"/>
      <c r="BV568" s="240"/>
      <c r="BW568" s="240"/>
      <c r="BX568" s="240"/>
      <c r="BY568" s="240"/>
      <c r="BZ568" s="240"/>
      <c r="CA568" s="240"/>
      <c r="CB568" s="672"/>
      <c r="CC568" s="672"/>
      <c r="CD568" s="672"/>
      <c r="CE568" s="672"/>
      <c r="CF568" s="672"/>
      <c r="CG568" s="672"/>
      <c r="CH568" s="240"/>
      <c r="CI568" s="240"/>
      <c r="CJ568" s="240"/>
      <c r="CK568" s="240"/>
      <c r="CL568" s="240"/>
      <c r="CM568" s="240"/>
      <c r="CN568" s="240"/>
      <c r="CO568" s="240"/>
      <c r="CP568" s="240"/>
      <c r="CQ568" s="240"/>
      <c r="CR568" s="240"/>
      <c r="CS568" s="240"/>
      <c r="CT568" s="240"/>
      <c r="CU568" s="240"/>
      <c r="CV568" s="240"/>
      <c r="CW568" s="240"/>
      <c r="CX568" s="240"/>
      <c r="CY568" s="240"/>
      <c r="CZ568" s="240"/>
      <c r="DA568" s="240"/>
      <c r="DB568" s="240"/>
      <c r="DC568" s="240"/>
      <c r="DD568" s="240"/>
      <c r="DE568" s="240"/>
      <c r="DF568" s="240"/>
      <c r="DG568" s="728"/>
      <c r="DH568" s="728"/>
      <c r="DI568" s="195"/>
      <c r="DJ568" s="1"/>
      <c r="DK568" s="3"/>
      <c r="DL568" s="4"/>
      <c r="DM568" s="4"/>
      <c r="DN568" s="4"/>
      <c r="DO568" s="4"/>
      <c r="DP568" s="4"/>
      <c r="DQ568" s="4"/>
      <c r="DR568" s="4"/>
      <c r="DT568" s="195"/>
      <c r="DU568" s="195"/>
      <c r="DV568" s="195"/>
      <c r="DW568" s="195"/>
      <c r="DX568" s="195"/>
      <c r="DY568" s="195"/>
      <c r="DZ568" s="195"/>
      <c r="EA568" s="195"/>
      <c r="EB568" s="195"/>
      <c r="EC568" s="195"/>
      <c r="ED568" s="195"/>
      <c r="EE568" s="195"/>
      <c r="EF568" s="195"/>
      <c r="EG568" s="195"/>
      <c r="EL568" s="1"/>
      <c r="EM568" s="195"/>
      <c r="EN568" s="731"/>
      <c r="EO568" s="240"/>
      <c r="EP568" s="195"/>
      <c r="EQ568" s="240"/>
      <c r="ER568" s="195"/>
      <c r="ES568" s="195"/>
      <c r="ET568" s="195"/>
      <c r="EU568" s="731"/>
    </row>
    <row r="569" customFormat="false" ht="12.75" hidden="false" customHeight="false" outlineLevel="0" collapsed="false">
      <c r="I569" s="735"/>
      <c r="J569" s="728"/>
      <c r="K569" s="195"/>
      <c r="L569" s="195"/>
      <c r="S569" s="1"/>
      <c r="T569" s="195"/>
      <c r="U569" s="195"/>
      <c r="V569" s="195"/>
      <c r="W569" s="195"/>
      <c r="X569" s="195"/>
      <c r="Y569" s="195"/>
      <c r="Z569" s="195"/>
      <c r="AA569" s="195"/>
      <c r="AB569" s="195"/>
      <c r="AC569" s="195"/>
      <c r="AD569" s="195"/>
      <c r="AE569" s="195"/>
      <c r="AF569" s="195"/>
      <c r="AG569" s="195"/>
      <c r="AH569" s="195"/>
      <c r="AI569" s="195"/>
      <c r="AJ569" s="195"/>
      <c r="AK569" s="195"/>
      <c r="AL569" s="195"/>
      <c r="AM569" s="195"/>
      <c r="AN569" s="195"/>
      <c r="AO569" s="195"/>
      <c r="AP569" s="240"/>
      <c r="AQ569" s="195"/>
      <c r="AR569" s="240"/>
      <c r="AS569" s="240"/>
      <c r="AT569" s="240"/>
      <c r="AU569" s="240"/>
      <c r="AV569" s="730"/>
      <c r="AW569" s="730"/>
      <c r="AX569" s="730"/>
      <c r="AY569" s="468"/>
      <c r="AZ569" s="468"/>
      <c r="BA569" s="240"/>
      <c r="BB569" s="240"/>
      <c r="BC569" s="240"/>
      <c r="BD569" s="240"/>
      <c r="BE569" s="240"/>
      <c r="BF569" s="672"/>
      <c r="BG569" s="672"/>
      <c r="BH569" s="731"/>
      <c r="BI569" s="672"/>
      <c r="BJ569" s="240"/>
      <c r="BK569" s="736"/>
      <c r="BL569" s="732"/>
      <c r="BM569" s="240"/>
      <c r="BN569" s="240"/>
      <c r="BO569" s="240"/>
      <c r="BP569" s="240"/>
      <c r="BQ569" s="240"/>
      <c r="BR569" s="240"/>
      <c r="BS569" s="240"/>
      <c r="BT569" s="240"/>
      <c r="BU569" s="240"/>
      <c r="BV569" s="240"/>
      <c r="BW569" s="240"/>
      <c r="BX569" s="240"/>
      <c r="BY569" s="240"/>
      <c r="BZ569" s="240"/>
      <c r="CA569" s="240"/>
      <c r="CB569" s="672"/>
      <c r="CC569" s="672"/>
      <c r="CD569" s="672"/>
      <c r="CE569" s="672"/>
      <c r="CF569" s="672"/>
      <c r="CG569" s="672"/>
      <c r="CH569" s="240"/>
      <c r="CI569" s="240"/>
      <c r="CJ569" s="240"/>
      <c r="CK569" s="240"/>
      <c r="CL569" s="240"/>
      <c r="CM569" s="240"/>
      <c r="CN569" s="240"/>
      <c r="CO569" s="240"/>
      <c r="CP569" s="240"/>
      <c r="CQ569" s="240"/>
      <c r="CR569" s="240"/>
      <c r="CS569" s="240"/>
      <c r="CT569" s="240"/>
      <c r="CU569" s="240"/>
      <c r="CV569" s="240"/>
      <c r="CW569" s="240"/>
      <c r="CX569" s="240"/>
      <c r="CY569" s="240"/>
      <c r="CZ569" s="240"/>
      <c r="DA569" s="240"/>
      <c r="DB569" s="240"/>
      <c r="DC569" s="240"/>
      <c r="DD569" s="240"/>
      <c r="DE569" s="240"/>
      <c r="DF569" s="240"/>
      <c r="DG569" s="728"/>
      <c r="DH569" s="728"/>
      <c r="DI569" s="195"/>
      <c r="DJ569" s="1"/>
      <c r="DK569" s="3"/>
      <c r="DL569" s="4"/>
      <c r="DM569" s="4"/>
      <c r="DN569" s="4"/>
      <c r="DO569" s="4"/>
      <c r="DP569" s="4"/>
      <c r="DQ569" s="4"/>
      <c r="DR569" s="4"/>
      <c r="DT569" s="195"/>
      <c r="DU569" s="195"/>
      <c r="DV569" s="195"/>
      <c r="DW569" s="195"/>
      <c r="DX569" s="195"/>
      <c r="DY569" s="195"/>
      <c r="DZ569" s="195"/>
      <c r="EA569" s="195"/>
      <c r="EB569" s="195"/>
      <c r="EC569" s="195"/>
      <c r="ED569" s="195"/>
      <c r="EE569" s="195"/>
      <c r="EF569" s="195"/>
      <c r="EG569" s="195"/>
      <c r="EL569" s="1"/>
      <c r="EM569" s="195"/>
      <c r="EN569" s="731"/>
      <c r="EO569" s="240"/>
      <c r="EP569" s="195"/>
      <c r="EQ569" s="240"/>
      <c r="ER569" s="195"/>
      <c r="ES569" s="195"/>
      <c r="ET569" s="195"/>
      <c r="EU569" s="731"/>
    </row>
    <row r="570" customFormat="false" ht="12.75" hidden="false" customHeight="false" outlineLevel="0" collapsed="false">
      <c r="I570" s="735"/>
      <c r="J570" s="728"/>
      <c r="K570" s="195"/>
      <c r="L570" s="195"/>
      <c r="S570" s="1"/>
      <c r="T570" s="195"/>
      <c r="U570" s="195"/>
      <c r="V570" s="195"/>
      <c r="W570" s="195"/>
      <c r="X570" s="195"/>
      <c r="Y570" s="195"/>
      <c r="Z570" s="195"/>
      <c r="AA570" s="195"/>
      <c r="AB570" s="195"/>
      <c r="AC570" s="195"/>
      <c r="AD570" s="195"/>
      <c r="AE570" s="195"/>
      <c r="AF570" s="195"/>
      <c r="AG570" s="195"/>
      <c r="AH570" s="195"/>
      <c r="AI570" s="195"/>
      <c r="AJ570" s="195"/>
      <c r="AK570" s="195"/>
      <c r="AL570" s="195"/>
      <c r="AM570" s="195"/>
      <c r="AN570" s="195"/>
      <c r="AO570" s="195"/>
      <c r="AP570" s="240"/>
      <c r="AQ570" s="195"/>
      <c r="AR570" s="240"/>
      <c r="AS570" s="240"/>
      <c r="AT570" s="240"/>
      <c r="AU570" s="240"/>
      <c r="AV570" s="730"/>
      <c r="AW570" s="730"/>
      <c r="AX570" s="730"/>
      <c r="AY570" s="468"/>
      <c r="AZ570" s="468"/>
      <c r="BA570" s="240"/>
      <c r="BB570" s="240"/>
      <c r="BC570" s="240"/>
      <c r="BD570" s="240"/>
      <c r="BE570" s="240"/>
      <c r="BF570" s="672"/>
      <c r="BG570" s="672"/>
      <c r="BH570" s="731"/>
      <c r="BI570" s="672"/>
      <c r="BJ570" s="240"/>
      <c r="BK570" s="736"/>
      <c r="BL570" s="732"/>
      <c r="BM570" s="240"/>
      <c r="BN570" s="240"/>
      <c r="BO570" s="240"/>
      <c r="BP570" s="240"/>
      <c r="BQ570" s="240"/>
      <c r="BR570" s="240"/>
      <c r="BS570" s="240"/>
      <c r="BT570" s="240"/>
      <c r="BU570" s="240"/>
      <c r="BV570" s="240"/>
      <c r="BW570" s="240"/>
      <c r="BX570" s="240"/>
      <c r="BY570" s="240"/>
      <c r="BZ570" s="240"/>
      <c r="CA570" s="240"/>
      <c r="CB570" s="672"/>
      <c r="CC570" s="672"/>
      <c r="CD570" s="672"/>
      <c r="CE570" s="672"/>
      <c r="CF570" s="672"/>
      <c r="CG570" s="672"/>
      <c r="CH570" s="240"/>
      <c r="CI570" s="240"/>
      <c r="CJ570" s="240"/>
      <c r="CK570" s="240"/>
      <c r="CL570" s="240"/>
      <c r="CM570" s="240"/>
      <c r="CN570" s="240"/>
      <c r="CO570" s="240"/>
      <c r="CP570" s="240"/>
      <c r="CQ570" s="240"/>
      <c r="CR570" s="240"/>
      <c r="CS570" s="240"/>
      <c r="CT570" s="240"/>
      <c r="CU570" s="240"/>
      <c r="CV570" s="240"/>
      <c r="CW570" s="240"/>
      <c r="CX570" s="240"/>
      <c r="CY570" s="240"/>
      <c r="CZ570" s="240"/>
      <c r="DA570" s="240"/>
      <c r="DB570" s="240"/>
      <c r="DC570" s="240"/>
      <c r="DD570" s="240"/>
      <c r="DE570" s="240"/>
      <c r="DF570" s="240"/>
      <c r="DG570" s="728"/>
      <c r="DH570" s="728"/>
      <c r="DI570" s="195"/>
      <c r="DJ570" s="1"/>
      <c r="DK570" s="3"/>
      <c r="DL570" s="4"/>
      <c r="DM570" s="4"/>
      <c r="DN570" s="4"/>
      <c r="DO570" s="4"/>
      <c r="DP570" s="4"/>
      <c r="DQ570" s="4"/>
      <c r="DR570" s="4"/>
      <c r="DT570" s="195"/>
      <c r="DU570" s="195"/>
      <c r="DV570" s="195"/>
      <c r="DW570" s="195"/>
      <c r="DX570" s="195"/>
      <c r="DY570" s="195"/>
      <c r="DZ570" s="195"/>
      <c r="EA570" s="195"/>
      <c r="EB570" s="195"/>
      <c r="EC570" s="195"/>
      <c r="ED570" s="195"/>
      <c r="EE570" s="195"/>
      <c r="EF570" s="195"/>
      <c r="EG570" s="195"/>
      <c r="EL570" s="1"/>
      <c r="EM570" s="195"/>
      <c r="EN570" s="731"/>
      <c r="EO570" s="240"/>
      <c r="EP570" s="195"/>
      <c r="EQ570" s="240"/>
      <c r="ER570" s="195"/>
      <c r="ES570" s="195"/>
      <c r="ET570" s="195"/>
      <c r="EU570" s="731"/>
    </row>
    <row r="571" customFormat="false" ht="12.75" hidden="false" customHeight="false" outlineLevel="0" collapsed="false">
      <c r="I571" s="735"/>
      <c r="J571" s="728"/>
      <c r="K571" s="195"/>
      <c r="L571" s="195"/>
      <c r="S571" s="1"/>
      <c r="T571" s="195"/>
      <c r="U571" s="195"/>
      <c r="V571" s="195"/>
      <c r="W571" s="195"/>
      <c r="X571" s="195"/>
      <c r="Y571" s="195"/>
      <c r="Z571" s="195"/>
      <c r="AA571" s="195"/>
      <c r="AB571" s="195"/>
      <c r="AC571" s="195"/>
      <c r="AD571" s="195"/>
      <c r="AE571" s="195"/>
      <c r="AF571" s="195"/>
      <c r="AG571" s="195"/>
      <c r="AH571" s="195"/>
      <c r="AI571" s="195"/>
      <c r="AJ571" s="195"/>
      <c r="AK571" s="195"/>
      <c r="AL571" s="195"/>
      <c r="AM571" s="195"/>
      <c r="AN571" s="195"/>
      <c r="AO571" s="195"/>
      <c r="AP571" s="240"/>
      <c r="AQ571" s="195"/>
      <c r="AR571" s="240"/>
      <c r="AS571" s="240"/>
      <c r="AT571" s="240"/>
      <c r="AU571" s="240"/>
      <c r="AV571" s="730"/>
      <c r="AW571" s="730"/>
      <c r="AX571" s="730"/>
      <c r="AY571" s="468"/>
      <c r="AZ571" s="468"/>
      <c r="BA571" s="240"/>
      <c r="BB571" s="240"/>
      <c r="BC571" s="240"/>
      <c r="BD571" s="240"/>
      <c r="BE571" s="240"/>
      <c r="BF571" s="672"/>
      <c r="BG571" s="672"/>
      <c r="BH571" s="731"/>
      <c r="BI571" s="672"/>
      <c r="BJ571" s="240"/>
      <c r="BK571" s="736"/>
      <c r="BL571" s="732"/>
      <c r="BM571" s="240"/>
      <c r="BN571" s="240"/>
      <c r="BO571" s="240"/>
      <c r="BP571" s="240"/>
      <c r="BQ571" s="240"/>
      <c r="BR571" s="240"/>
      <c r="BS571" s="240"/>
      <c r="BT571" s="240"/>
      <c r="BU571" s="240"/>
      <c r="BV571" s="240"/>
      <c r="BW571" s="240"/>
      <c r="BX571" s="240"/>
      <c r="BY571" s="240"/>
      <c r="BZ571" s="240"/>
      <c r="CA571" s="240"/>
      <c r="CB571" s="672"/>
      <c r="CC571" s="672"/>
      <c r="CD571" s="672"/>
      <c r="CE571" s="672"/>
      <c r="CF571" s="672"/>
      <c r="CG571" s="672"/>
      <c r="CH571" s="240"/>
      <c r="CI571" s="240"/>
      <c r="CJ571" s="240"/>
      <c r="CK571" s="240"/>
      <c r="CL571" s="240"/>
      <c r="CM571" s="240"/>
      <c r="CN571" s="240"/>
      <c r="CO571" s="240"/>
      <c r="CP571" s="240"/>
      <c r="CQ571" s="240"/>
      <c r="CR571" s="240"/>
      <c r="CS571" s="240"/>
      <c r="CT571" s="240"/>
      <c r="CU571" s="240"/>
      <c r="CV571" s="240"/>
      <c r="CW571" s="240"/>
      <c r="CX571" s="240"/>
      <c r="CY571" s="240"/>
      <c r="CZ571" s="240"/>
      <c r="DA571" s="240"/>
      <c r="DB571" s="240"/>
      <c r="DC571" s="240"/>
      <c r="DD571" s="240"/>
      <c r="DE571" s="240"/>
      <c r="DF571" s="240"/>
      <c r="DG571" s="728"/>
      <c r="DH571" s="728"/>
      <c r="DI571" s="195"/>
      <c r="DJ571" s="1"/>
      <c r="DK571" s="3"/>
      <c r="DL571" s="4"/>
      <c r="DM571" s="4"/>
      <c r="DN571" s="4"/>
      <c r="DO571" s="4"/>
      <c r="DP571" s="4"/>
      <c r="DQ571" s="4"/>
      <c r="DR571" s="4"/>
      <c r="DT571" s="195"/>
      <c r="DU571" s="195"/>
      <c r="DV571" s="195"/>
      <c r="DW571" s="195"/>
      <c r="DX571" s="195"/>
      <c r="DY571" s="195"/>
      <c r="DZ571" s="195"/>
      <c r="EA571" s="195"/>
      <c r="EB571" s="195"/>
      <c r="EC571" s="195"/>
      <c r="ED571" s="195"/>
      <c r="EE571" s="195"/>
      <c r="EF571" s="195"/>
      <c r="EG571" s="195"/>
      <c r="EL571" s="1"/>
      <c r="EM571" s="195"/>
      <c r="EN571" s="731"/>
      <c r="EO571" s="240"/>
      <c r="EP571" s="195"/>
      <c r="EQ571" s="240"/>
      <c r="ER571" s="195"/>
      <c r="ES571" s="195"/>
      <c r="ET571" s="195"/>
      <c r="EU571" s="731"/>
    </row>
    <row r="572" customFormat="false" ht="12.75" hidden="false" customHeight="false" outlineLevel="0" collapsed="false">
      <c r="I572" s="735"/>
      <c r="J572" s="728"/>
      <c r="K572" s="195"/>
      <c r="L572" s="195"/>
      <c r="S572" s="1"/>
      <c r="T572" s="195"/>
      <c r="U572" s="195"/>
      <c r="V572" s="195"/>
      <c r="W572" s="195"/>
      <c r="X572" s="195"/>
      <c r="Y572" s="195"/>
      <c r="Z572" s="195"/>
      <c r="AA572" s="195"/>
      <c r="AB572" s="195"/>
      <c r="AC572" s="195"/>
      <c r="AD572" s="195"/>
      <c r="AE572" s="195"/>
      <c r="AF572" s="195"/>
      <c r="AG572" s="195"/>
      <c r="AH572" s="195"/>
      <c r="AI572" s="195"/>
      <c r="AJ572" s="195"/>
      <c r="AK572" s="195"/>
      <c r="AL572" s="195"/>
      <c r="AM572" s="195"/>
      <c r="AN572" s="195"/>
      <c r="AO572" s="195"/>
      <c r="AP572" s="240"/>
      <c r="AQ572" s="195"/>
      <c r="AR572" s="240"/>
      <c r="AS572" s="240"/>
      <c r="AT572" s="240"/>
      <c r="AU572" s="240"/>
      <c r="AV572" s="730"/>
      <c r="AW572" s="730"/>
      <c r="AX572" s="730"/>
      <c r="AY572" s="468"/>
      <c r="AZ572" s="468"/>
      <c r="BA572" s="240"/>
      <c r="BB572" s="240"/>
      <c r="BC572" s="240"/>
      <c r="BD572" s="240"/>
      <c r="BE572" s="240"/>
      <c r="BF572" s="672"/>
      <c r="BG572" s="672"/>
      <c r="BH572" s="731"/>
      <c r="BI572" s="672"/>
      <c r="BJ572" s="240"/>
      <c r="BK572" s="736"/>
      <c r="BL572" s="732"/>
      <c r="BM572" s="240"/>
      <c r="BN572" s="240"/>
      <c r="BO572" s="240"/>
      <c r="BP572" s="240"/>
      <c r="BQ572" s="240"/>
      <c r="BR572" s="240"/>
      <c r="BS572" s="240"/>
      <c r="BT572" s="240"/>
      <c r="BU572" s="240"/>
      <c r="BV572" s="240"/>
      <c r="BW572" s="240"/>
      <c r="BX572" s="240"/>
      <c r="BY572" s="240"/>
      <c r="BZ572" s="240"/>
      <c r="CA572" s="240"/>
      <c r="CB572" s="672"/>
      <c r="CC572" s="672"/>
      <c r="CD572" s="672"/>
      <c r="CE572" s="672"/>
      <c r="CF572" s="672"/>
      <c r="CG572" s="672"/>
      <c r="CH572" s="240"/>
      <c r="CI572" s="240"/>
      <c r="CJ572" s="240"/>
      <c r="CK572" s="240"/>
      <c r="CL572" s="240"/>
      <c r="CM572" s="240"/>
      <c r="CN572" s="240"/>
      <c r="CO572" s="240"/>
      <c r="CP572" s="240"/>
      <c r="CQ572" s="240"/>
      <c r="CR572" s="240"/>
      <c r="CS572" s="240"/>
      <c r="CT572" s="240"/>
      <c r="CU572" s="240"/>
      <c r="CV572" s="240"/>
      <c r="CW572" s="240"/>
      <c r="CX572" s="240"/>
      <c r="CY572" s="240"/>
      <c r="CZ572" s="240"/>
      <c r="DA572" s="240"/>
      <c r="DB572" s="240"/>
      <c r="DC572" s="240"/>
      <c r="DD572" s="240"/>
      <c r="DE572" s="240"/>
      <c r="DF572" s="240"/>
      <c r="DG572" s="728"/>
      <c r="DH572" s="728"/>
      <c r="DI572" s="195"/>
      <c r="DJ572" s="1"/>
      <c r="DK572" s="3"/>
      <c r="DL572" s="4"/>
      <c r="DM572" s="4"/>
      <c r="DN572" s="4"/>
      <c r="DO572" s="4"/>
      <c r="DP572" s="4"/>
      <c r="DQ572" s="4"/>
      <c r="DR572" s="4"/>
      <c r="DT572" s="195"/>
      <c r="DU572" s="195"/>
      <c r="DV572" s="195"/>
      <c r="DW572" s="195"/>
      <c r="DX572" s="195"/>
      <c r="DY572" s="195"/>
      <c r="DZ572" s="195"/>
      <c r="EA572" s="195"/>
      <c r="EB572" s="195"/>
      <c r="EC572" s="195"/>
      <c r="ED572" s="195"/>
      <c r="EE572" s="195"/>
      <c r="EF572" s="195"/>
      <c r="EG572" s="195"/>
      <c r="EL572" s="1"/>
      <c r="EM572" s="195"/>
      <c r="EN572" s="731"/>
      <c r="EO572" s="240"/>
      <c r="EP572" s="195"/>
      <c r="EQ572" s="240"/>
      <c r="ER572" s="195"/>
      <c r="ES572" s="195"/>
      <c r="ET572" s="195"/>
      <c r="EU572" s="731"/>
    </row>
    <row r="573" customFormat="false" ht="12.75" hidden="false" customHeight="false" outlineLevel="0" collapsed="false">
      <c r="I573" s="735"/>
      <c r="J573" s="728"/>
      <c r="K573" s="195"/>
      <c r="L573" s="195"/>
      <c r="S573" s="1"/>
      <c r="T573" s="195"/>
      <c r="U573" s="195"/>
      <c r="V573" s="195"/>
      <c r="W573" s="195"/>
      <c r="X573" s="195"/>
      <c r="Y573" s="195"/>
      <c r="Z573" s="195"/>
      <c r="AA573" s="195"/>
      <c r="AB573" s="195"/>
      <c r="AC573" s="195"/>
      <c r="AD573" s="195"/>
      <c r="AE573" s="195"/>
      <c r="AF573" s="195"/>
      <c r="AG573" s="195"/>
      <c r="AH573" s="195"/>
      <c r="AI573" s="195"/>
      <c r="AJ573" s="195"/>
      <c r="AK573" s="195"/>
      <c r="AL573" s="195"/>
      <c r="AM573" s="195"/>
      <c r="AN573" s="195"/>
      <c r="AO573" s="195"/>
      <c r="AP573" s="240"/>
      <c r="AQ573" s="195"/>
      <c r="AR573" s="240"/>
      <c r="AS573" s="240"/>
      <c r="AT573" s="240"/>
      <c r="AU573" s="240"/>
      <c r="AV573" s="730"/>
      <c r="AW573" s="730"/>
      <c r="AX573" s="730"/>
      <c r="AY573" s="468"/>
      <c r="AZ573" s="468"/>
      <c r="BA573" s="240"/>
      <c r="BB573" s="240"/>
      <c r="BC573" s="240"/>
      <c r="BD573" s="240"/>
      <c r="BE573" s="240"/>
      <c r="BF573" s="672"/>
      <c r="BG573" s="672"/>
      <c r="BH573" s="731"/>
      <c r="BI573" s="672"/>
      <c r="BJ573" s="240"/>
      <c r="BK573" s="736"/>
      <c r="BL573" s="732"/>
      <c r="BM573" s="240"/>
      <c r="BN573" s="240"/>
      <c r="BO573" s="240"/>
      <c r="BP573" s="240"/>
      <c r="BQ573" s="240"/>
      <c r="BR573" s="240"/>
      <c r="BS573" s="240"/>
      <c r="BT573" s="240"/>
      <c r="BU573" s="240"/>
      <c r="BV573" s="240"/>
      <c r="BW573" s="240"/>
      <c r="BX573" s="240"/>
      <c r="BY573" s="240"/>
      <c r="BZ573" s="240"/>
      <c r="CA573" s="240"/>
      <c r="CB573" s="672"/>
      <c r="CC573" s="672"/>
      <c r="CD573" s="672"/>
      <c r="CE573" s="672"/>
      <c r="CF573" s="672"/>
      <c r="CG573" s="672"/>
      <c r="CH573" s="240"/>
      <c r="CI573" s="240"/>
      <c r="CJ573" s="240"/>
      <c r="CK573" s="240"/>
      <c r="CL573" s="240"/>
      <c r="CM573" s="240"/>
      <c r="CN573" s="240"/>
      <c r="CO573" s="240"/>
      <c r="CP573" s="240"/>
      <c r="CQ573" s="240"/>
      <c r="CR573" s="240"/>
      <c r="CS573" s="240"/>
      <c r="CT573" s="240"/>
      <c r="CU573" s="240"/>
      <c r="CV573" s="240"/>
      <c r="CW573" s="240"/>
      <c r="CX573" s="240"/>
      <c r="CY573" s="240"/>
      <c r="CZ573" s="240"/>
      <c r="DA573" s="240"/>
      <c r="DB573" s="240"/>
      <c r="DC573" s="240"/>
      <c r="DD573" s="240"/>
      <c r="DE573" s="240"/>
      <c r="DF573" s="240"/>
      <c r="DG573" s="728"/>
      <c r="DH573" s="728"/>
      <c r="DI573" s="195"/>
      <c r="DJ573" s="1"/>
      <c r="DK573" s="3"/>
      <c r="DL573" s="4"/>
      <c r="DM573" s="4"/>
      <c r="DN573" s="4"/>
      <c r="DO573" s="4"/>
      <c r="DP573" s="4"/>
      <c r="DQ573" s="4"/>
      <c r="DR573" s="4"/>
      <c r="DT573" s="195"/>
      <c r="DU573" s="195"/>
      <c r="DV573" s="195"/>
      <c r="DW573" s="195"/>
      <c r="DX573" s="195"/>
      <c r="DY573" s="195"/>
      <c r="DZ573" s="195"/>
      <c r="EA573" s="195"/>
      <c r="EB573" s="195"/>
      <c r="EC573" s="195"/>
      <c r="ED573" s="195"/>
      <c r="EE573" s="195"/>
      <c r="EF573" s="195"/>
      <c r="EG573" s="195"/>
      <c r="EL573" s="1"/>
      <c r="EM573" s="195"/>
      <c r="EN573" s="731"/>
      <c r="EO573" s="240"/>
      <c r="EP573" s="195"/>
      <c r="EQ573" s="240"/>
      <c r="ER573" s="195"/>
      <c r="ES573" s="195"/>
      <c r="ET573" s="195"/>
      <c r="EU573" s="731"/>
    </row>
    <row r="574" customFormat="false" ht="12.75" hidden="false" customHeight="false" outlineLevel="0" collapsed="false">
      <c r="I574" s="735"/>
      <c r="J574" s="728"/>
      <c r="K574" s="195"/>
      <c r="L574" s="195"/>
      <c r="S574" s="1"/>
      <c r="T574" s="195"/>
      <c r="U574" s="195"/>
      <c r="V574" s="195"/>
      <c r="W574" s="195"/>
      <c r="X574" s="195"/>
      <c r="Y574" s="195"/>
      <c r="Z574" s="195"/>
      <c r="AA574" s="195"/>
      <c r="AB574" s="195"/>
      <c r="AC574" s="195"/>
      <c r="AD574" s="195"/>
      <c r="AE574" s="195"/>
      <c r="AF574" s="195"/>
      <c r="AG574" s="195"/>
      <c r="AH574" s="195"/>
      <c r="AI574" s="195"/>
      <c r="AJ574" s="195"/>
      <c r="AK574" s="195"/>
      <c r="AL574" s="195"/>
      <c r="AM574" s="195"/>
      <c r="AN574" s="195"/>
      <c r="AO574" s="195"/>
      <c r="AP574" s="240"/>
      <c r="AQ574" s="195"/>
      <c r="AR574" s="240"/>
      <c r="AS574" s="240"/>
      <c r="AT574" s="240"/>
      <c r="AU574" s="240"/>
      <c r="AV574" s="730"/>
      <c r="AW574" s="730"/>
      <c r="AX574" s="730"/>
      <c r="AY574" s="468"/>
      <c r="AZ574" s="468"/>
      <c r="BA574" s="240"/>
      <c r="BB574" s="240"/>
      <c r="BC574" s="240"/>
      <c r="BD574" s="240"/>
      <c r="BE574" s="240"/>
      <c r="BF574" s="672"/>
      <c r="BG574" s="672"/>
      <c r="BH574" s="731"/>
      <c r="BI574" s="672"/>
      <c r="BJ574" s="240"/>
      <c r="BK574" s="736"/>
      <c r="BL574" s="732"/>
      <c r="BM574" s="240"/>
      <c r="BN574" s="240"/>
      <c r="BO574" s="240"/>
      <c r="BP574" s="240"/>
      <c r="BQ574" s="240"/>
      <c r="BR574" s="240"/>
      <c r="BS574" s="240"/>
      <c r="BT574" s="240"/>
      <c r="BU574" s="240"/>
      <c r="BV574" s="240"/>
      <c r="BW574" s="240"/>
      <c r="BX574" s="240"/>
      <c r="BY574" s="240"/>
      <c r="BZ574" s="240"/>
      <c r="CA574" s="240"/>
      <c r="CB574" s="672"/>
      <c r="CC574" s="672"/>
      <c r="CD574" s="672"/>
      <c r="CE574" s="672"/>
      <c r="CF574" s="672"/>
      <c r="CG574" s="672"/>
      <c r="CH574" s="240"/>
      <c r="CI574" s="240"/>
      <c r="CJ574" s="240"/>
      <c r="CK574" s="240"/>
      <c r="CL574" s="240"/>
      <c r="CM574" s="240"/>
      <c r="CN574" s="240"/>
      <c r="CO574" s="240"/>
      <c r="CP574" s="240"/>
      <c r="CQ574" s="240"/>
      <c r="CR574" s="240"/>
      <c r="CS574" s="240"/>
      <c r="CT574" s="240"/>
      <c r="CU574" s="240"/>
      <c r="CV574" s="240"/>
      <c r="CW574" s="240"/>
      <c r="CX574" s="240"/>
      <c r="CY574" s="240"/>
      <c r="CZ574" s="240"/>
      <c r="DA574" s="240"/>
      <c r="DB574" s="240"/>
      <c r="DC574" s="240"/>
      <c r="DD574" s="240"/>
      <c r="DE574" s="240"/>
      <c r="DF574" s="240"/>
      <c r="DG574" s="728"/>
      <c r="DH574" s="728"/>
      <c r="DI574" s="195"/>
      <c r="DJ574" s="1"/>
      <c r="DK574" s="3"/>
      <c r="DL574" s="4"/>
      <c r="DM574" s="4"/>
      <c r="DN574" s="4"/>
      <c r="DO574" s="4"/>
      <c r="DP574" s="4"/>
      <c r="DQ574" s="4"/>
      <c r="DR574" s="4"/>
      <c r="DT574" s="195"/>
      <c r="DU574" s="195"/>
      <c r="DV574" s="195"/>
      <c r="DW574" s="195"/>
      <c r="DX574" s="195"/>
      <c r="DY574" s="195"/>
      <c r="DZ574" s="195"/>
      <c r="EA574" s="195"/>
      <c r="EB574" s="195"/>
      <c r="EC574" s="195"/>
      <c r="ED574" s="195"/>
      <c r="EE574" s="195"/>
      <c r="EF574" s="195"/>
      <c r="EG574" s="195"/>
      <c r="EL574" s="1"/>
      <c r="EM574" s="195"/>
      <c r="EN574" s="731"/>
      <c r="EO574" s="240"/>
      <c r="EP574" s="195"/>
      <c r="EQ574" s="240"/>
      <c r="ER574" s="195"/>
      <c r="ES574" s="195"/>
      <c r="ET574" s="195"/>
      <c r="EU574" s="731"/>
    </row>
    <row r="575" customFormat="false" ht="12.75" hidden="false" customHeight="false" outlineLevel="0" collapsed="false">
      <c r="I575" s="735"/>
      <c r="J575" s="728"/>
      <c r="K575" s="195"/>
      <c r="L575" s="195"/>
      <c r="S575" s="1"/>
      <c r="T575" s="195"/>
      <c r="U575" s="195"/>
      <c r="V575" s="195"/>
      <c r="W575" s="195"/>
      <c r="X575" s="195"/>
      <c r="Y575" s="195"/>
      <c r="Z575" s="195"/>
      <c r="AA575" s="195"/>
      <c r="AB575" s="195"/>
      <c r="AC575" s="195"/>
      <c r="AD575" s="195"/>
      <c r="AE575" s="195"/>
      <c r="AF575" s="195"/>
      <c r="AG575" s="195"/>
      <c r="AH575" s="195"/>
      <c r="AI575" s="195"/>
      <c r="AJ575" s="195"/>
      <c r="AK575" s="195"/>
      <c r="AL575" s="195"/>
      <c r="AM575" s="195"/>
      <c r="AN575" s="195"/>
      <c r="AO575" s="195"/>
      <c r="AP575" s="240"/>
      <c r="AQ575" s="195"/>
      <c r="AR575" s="240"/>
      <c r="AS575" s="240"/>
      <c r="AT575" s="240"/>
      <c r="AU575" s="240"/>
      <c r="AV575" s="730"/>
      <c r="AW575" s="730"/>
      <c r="AX575" s="730"/>
      <c r="AY575" s="468"/>
      <c r="AZ575" s="468"/>
      <c r="BA575" s="240"/>
      <c r="BB575" s="240"/>
      <c r="BC575" s="240"/>
      <c r="BD575" s="240"/>
      <c r="BE575" s="240"/>
      <c r="BF575" s="672"/>
      <c r="BG575" s="672"/>
      <c r="BH575" s="731"/>
      <c r="BI575" s="672"/>
      <c r="BJ575" s="240"/>
      <c r="BK575" s="736"/>
      <c r="BL575" s="732"/>
      <c r="BM575" s="240"/>
      <c r="BN575" s="240"/>
      <c r="BO575" s="240"/>
      <c r="BP575" s="240"/>
      <c r="BQ575" s="240"/>
      <c r="BR575" s="240"/>
      <c r="BS575" s="240"/>
      <c r="BT575" s="240"/>
      <c r="BU575" s="240"/>
      <c r="BV575" s="240"/>
      <c r="BW575" s="240"/>
      <c r="BX575" s="240"/>
      <c r="BY575" s="240"/>
      <c r="BZ575" s="240"/>
      <c r="CA575" s="240"/>
      <c r="CB575" s="672"/>
      <c r="CC575" s="672"/>
      <c r="CD575" s="672"/>
      <c r="CE575" s="672"/>
      <c r="CF575" s="672"/>
      <c r="CG575" s="672"/>
      <c r="CH575" s="240"/>
      <c r="CI575" s="240"/>
      <c r="CJ575" s="240"/>
      <c r="CK575" s="240"/>
      <c r="CL575" s="240"/>
      <c r="CM575" s="240"/>
      <c r="CN575" s="240"/>
      <c r="CO575" s="240"/>
      <c r="CP575" s="240"/>
      <c r="CQ575" s="240"/>
      <c r="CR575" s="240"/>
      <c r="CS575" s="240"/>
      <c r="CT575" s="240"/>
      <c r="CU575" s="240"/>
      <c r="CV575" s="240"/>
      <c r="CW575" s="240"/>
      <c r="CX575" s="240"/>
      <c r="CY575" s="240"/>
      <c r="CZ575" s="240"/>
      <c r="DA575" s="240"/>
      <c r="DB575" s="240"/>
      <c r="DC575" s="240"/>
      <c r="DD575" s="240"/>
      <c r="DE575" s="240"/>
      <c r="DF575" s="240"/>
      <c r="DG575" s="728"/>
      <c r="DH575" s="728"/>
      <c r="DI575" s="195"/>
      <c r="DJ575" s="1"/>
      <c r="DK575" s="3"/>
      <c r="DL575" s="4"/>
      <c r="DM575" s="4"/>
      <c r="DN575" s="4"/>
      <c r="DO575" s="4"/>
      <c r="DP575" s="4"/>
      <c r="DQ575" s="4"/>
      <c r="DR575" s="4"/>
      <c r="DT575" s="195"/>
      <c r="DU575" s="195"/>
      <c r="DV575" s="195"/>
      <c r="DW575" s="195"/>
      <c r="DX575" s="195"/>
      <c r="DY575" s="195"/>
      <c r="DZ575" s="195"/>
      <c r="EA575" s="195"/>
      <c r="EB575" s="195"/>
      <c r="EC575" s="195"/>
      <c r="ED575" s="195"/>
      <c r="EE575" s="195"/>
      <c r="EF575" s="195"/>
      <c r="EG575" s="195"/>
      <c r="EL575" s="1"/>
      <c r="EM575" s="195"/>
      <c r="EN575" s="731"/>
      <c r="EO575" s="240"/>
      <c r="EP575" s="195"/>
      <c r="EQ575" s="240"/>
      <c r="ER575" s="195"/>
      <c r="ES575" s="195"/>
      <c r="ET575" s="195"/>
      <c r="EU575" s="731"/>
    </row>
    <row r="576" customFormat="false" ht="12.75" hidden="false" customHeight="false" outlineLevel="0" collapsed="false">
      <c r="I576" s="735"/>
      <c r="J576" s="728"/>
      <c r="K576" s="195"/>
      <c r="L576" s="195"/>
      <c r="S576" s="1"/>
      <c r="T576" s="195"/>
      <c r="U576" s="195"/>
      <c r="V576" s="195"/>
      <c r="W576" s="195"/>
      <c r="X576" s="195"/>
      <c r="Y576" s="195"/>
      <c r="Z576" s="195"/>
      <c r="AA576" s="195"/>
      <c r="AB576" s="195"/>
      <c r="AC576" s="195"/>
      <c r="AD576" s="195"/>
      <c r="AE576" s="195"/>
      <c r="AF576" s="195"/>
      <c r="AG576" s="195"/>
      <c r="AH576" s="195"/>
      <c r="AI576" s="195"/>
      <c r="AJ576" s="195"/>
      <c r="AK576" s="195"/>
      <c r="AL576" s="195"/>
      <c r="AM576" s="195"/>
      <c r="AN576" s="195"/>
      <c r="AO576" s="195"/>
      <c r="AP576" s="240"/>
      <c r="AQ576" s="195"/>
      <c r="AR576" s="240"/>
      <c r="AS576" s="240"/>
      <c r="AT576" s="240"/>
      <c r="AU576" s="240"/>
      <c r="AV576" s="730"/>
      <c r="AW576" s="730"/>
      <c r="AX576" s="730"/>
      <c r="AY576" s="468"/>
      <c r="AZ576" s="468"/>
      <c r="BA576" s="240"/>
      <c r="BB576" s="240"/>
      <c r="BC576" s="240"/>
      <c r="BD576" s="240"/>
      <c r="BE576" s="240"/>
      <c r="BF576" s="672"/>
      <c r="BG576" s="672"/>
      <c r="BH576" s="731"/>
      <c r="BI576" s="672"/>
      <c r="BJ576" s="240"/>
      <c r="BK576" s="736"/>
      <c r="BL576" s="732"/>
      <c r="BM576" s="240"/>
      <c r="BN576" s="240"/>
      <c r="BO576" s="240"/>
      <c r="BP576" s="240"/>
      <c r="BQ576" s="240"/>
      <c r="BR576" s="240"/>
      <c r="BS576" s="240"/>
      <c r="BT576" s="240"/>
      <c r="BU576" s="240"/>
      <c r="BV576" s="240"/>
      <c r="BW576" s="240"/>
      <c r="BX576" s="240"/>
      <c r="BY576" s="240"/>
      <c r="BZ576" s="240"/>
      <c r="CA576" s="240"/>
      <c r="CB576" s="672"/>
      <c r="CC576" s="672"/>
      <c r="CD576" s="672"/>
      <c r="CE576" s="672"/>
      <c r="CF576" s="672"/>
      <c r="CG576" s="672"/>
      <c r="CH576" s="240"/>
      <c r="CI576" s="240"/>
      <c r="CJ576" s="240"/>
      <c r="CK576" s="240"/>
      <c r="CL576" s="240"/>
      <c r="CM576" s="240"/>
      <c r="CN576" s="240"/>
      <c r="CO576" s="240"/>
      <c r="CP576" s="240"/>
      <c r="CQ576" s="240"/>
      <c r="CR576" s="240"/>
      <c r="CS576" s="240"/>
      <c r="CT576" s="240"/>
      <c r="CU576" s="240"/>
      <c r="CV576" s="240"/>
      <c r="CW576" s="240"/>
      <c r="CX576" s="240"/>
      <c r="CY576" s="240"/>
      <c r="CZ576" s="240"/>
      <c r="DA576" s="240"/>
      <c r="DB576" s="240"/>
      <c r="DC576" s="240"/>
      <c r="DD576" s="240"/>
      <c r="DE576" s="240"/>
      <c r="DF576" s="240"/>
      <c r="DG576" s="728"/>
      <c r="DH576" s="728"/>
      <c r="DI576" s="195"/>
      <c r="DJ576" s="1"/>
      <c r="DK576" s="3"/>
      <c r="DL576" s="4"/>
      <c r="DM576" s="4"/>
      <c r="DN576" s="4"/>
      <c r="DO576" s="4"/>
      <c r="DP576" s="4"/>
      <c r="DQ576" s="4"/>
      <c r="DR576" s="4"/>
      <c r="DT576" s="195"/>
      <c r="DU576" s="195"/>
      <c r="DV576" s="195"/>
      <c r="DW576" s="195"/>
      <c r="DX576" s="195"/>
      <c r="DY576" s="195"/>
      <c r="DZ576" s="195"/>
      <c r="EA576" s="195"/>
      <c r="EB576" s="195"/>
      <c r="EC576" s="195"/>
      <c r="ED576" s="195"/>
      <c r="EE576" s="195"/>
      <c r="EF576" s="195"/>
      <c r="EG576" s="195"/>
      <c r="EL576" s="1"/>
      <c r="EM576" s="195"/>
      <c r="EN576" s="731"/>
      <c r="EO576" s="240"/>
      <c r="EP576" s="195"/>
      <c r="EQ576" s="240"/>
      <c r="ER576" s="195"/>
      <c r="ES576" s="195"/>
      <c r="ET576" s="195"/>
      <c r="EU576" s="731"/>
    </row>
    <row r="577" customFormat="false" ht="12.75" hidden="false" customHeight="false" outlineLevel="0" collapsed="false">
      <c r="I577" s="735"/>
      <c r="J577" s="728"/>
      <c r="K577" s="195"/>
      <c r="L577" s="195"/>
      <c r="S577" s="1"/>
      <c r="T577" s="195"/>
      <c r="U577" s="195"/>
      <c r="V577" s="195"/>
      <c r="W577" s="195"/>
      <c r="X577" s="195"/>
      <c r="Y577" s="195"/>
      <c r="Z577" s="195"/>
      <c r="AA577" s="195"/>
      <c r="AB577" s="195"/>
      <c r="AC577" s="195"/>
      <c r="AD577" s="195"/>
      <c r="AE577" s="195"/>
      <c r="AF577" s="195"/>
      <c r="AG577" s="195"/>
      <c r="AH577" s="195"/>
      <c r="AI577" s="195"/>
      <c r="AJ577" s="195"/>
      <c r="AK577" s="195"/>
      <c r="AL577" s="195"/>
      <c r="AM577" s="195"/>
      <c r="AN577" s="195"/>
      <c r="AO577" s="195"/>
      <c r="AP577" s="240"/>
      <c r="AQ577" s="195"/>
      <c r="AR577" s="240"/>
      <c r="AS577" s="240"/>
      <c r="AT577" s="240"/>
      <c r="AU577" s="240"/>
      <c r="AV577" s="730"/>
      <c r="AW577" s="730"/>
      <c r="AX577" s="730"/>
      <c r="AY577" s="468"/>
      <c r="AZ577" s="468"/>
      <c r="BA577" s="240"/>
      <c r="BB577" s="240"/>
      <c r="BC577" s="240"/>
      <c r="BD577" s="240"/>
      <c r="BE577" s="240"/>
      <c r="BF577" s="672"/>
      <c r="BG577" s="672"/>
      <c r="BH577" s="731"/>
      <c r="BI577" s="672"/>
      <c r="BJ577" s="240"/>
      <c r="BK577" s="736"/>
      <c r="BL577" s="732"/>
      <c r="BM577" s="240"/>
      <c r="BN577" s="240"/>
      <c r="BO577" s="240"/>
      <c r="BP577" s="240"/>
      <c r="BQ577" s="240"/>
      <c r="BR577" s="240"/>
      <c r="BS577" s="240"/>
      <c r="BT577" s="240"/>
      <c r="BU577" s="240"/>
      <c r="BV577" s="240"/>
      <c r="BW577" s="240"/>
      <c r="BX577" s="240"/>
      <c r="BY577" s="240"/>
      <c r="BZ577" s="240"/>
      <c r="CA577" s="240"/>
      <c r="CB577" s="672"/>
      <c r="CC577" s="672"/>
      <c r="CD577" s="672"/>
      <c r="CE577" s="672"/>
      <c r="CF577" s="672"/>
      <c r="CG577" s="672"/>
      <c r="CH577" s="240"/>
      <c r="CI577" s="240"/>
      <c r="CJ577" s="240"/>
      <c r="CK577" s="240"/>
      <c r="CL577" s="240"/>
      <c r="CM577" s="240"/>
      <c r="CN577" s="240"/>
      <c r="CO577" s="240"/>
      <c r="CP577" s="240"/>
      <c r="CQ577" s="240"/>
      <c r="CR577" s="240"/>
      <c r="CS577" s="240"/>
      <c r="CT577" s="240"/>
      <c r="CU577" s="240"/>
      <c r="CV577" s="240"/>
      <c r="CW577" s="240"/>
      <c r="CX577" s="240"/>
      <c r="CY577" s="240"/>
      <c r="CZ577" s="240"/>
      <c r="DA577" s="240"/>
      <c r="DB577" s="240"/>
      <c r="DC577" s="240"/>
      <c r="DD577" s="240"/>
      <c r="DE577" s="240"/>
      <c r="DF577" s="240"/>
      <c r="DG577" s="728"/>
      <c r="DH577" s="728"/>
      <c r="DI577" s="195"/>
      <c r="DJ577" s="1"/>
      <c r="DK577" s="3"/>
      <c r="DL577" s="4"/>
      <c r="DM577" s="4"/>
      <c r="DN577" s="4"/>
      <c r="DO577" s="4"/>
      <c r="DP577" s="4"/>
      <c r="DQ577" s="4"/>
      <c r="DR577" s="4"/>
      <c r="DT577" s="195"/>
      <c r="DU577" s="195"/>
      <c r="DV577" s="195"/>
      <c r="DW577" s="195"/>
      <c r="DX577" s="195"/>
      <c r="DY577" s="195"/>
      <c r="DZ577" s="195"/>
      <c r="EA577" s="195"/>
      <c r="EB577" s="195"/>
      <c r="EC577" s="195"/>
      <c r="ED577" s="195"/>
      <c r="EE577" s="195"/>
      <c r="EF577" s="195"/>
      <c r="EG577" s="195"/>
      <c r="EL577" s="1"/>
      <c r="EM577" s="195"/>
      <c r="EN577" s="731"/>
      <c r="EO577" s="240"/>
      <c r="EP577" s="195"/>
      <c r="EQ577" s="240"/>
      <c r="ER577" s="195"/>
      <c r="ES577" s="195"/>
      <c r="ET577" s="195"/>
      <c r="EU577" s="731"/>
    </row>
    <row r="578" customFormat="false" ht="12.75" hidden="false" customHeight="false" outlineLevel="0" collapsed="false">
      <c r="I578" s="735"/>
      <c r="J578" s="728"/>
      <c r="K578" s="195"/>
      <c r="L578" s="195"/>
      <c r="S578" s="1"/>
      <c r="T578" s="195"/>
      <c r="U578" s="195"/>
      <c r="V578" s="195"/>
      <c r="W578" s="195"/>
      <c r="X578" s="195"/>
      <c r="Y578" s="195"/>
      <c r="Z578" s="195"/>
      <c r="AA578" s="195"/>
      <c r="AB578" s="195"/>
      <c r="AC578" s="195"/>
      <c r="AD578" s="195"/>
      <c r="AE578" s="195"/>
      <c r="AF578" s="195"/>
      <c r="AG578" s="195"/>
      <c r="AH578" s="195"/>
      <c r="AI578" s="195"/>
      <c r="AJ578" s="195"/>
      <c r="AK578" s="195"/>
      <c r="AL578" s="195"/>
      <c r="AM578" s="195"/>
      <c r="AN578" s="195"/>
      <c r="AO578" s="195"/>
      <c r="AP578" s="240"/>
      <c r="AQ578" s="195"/>
      <c r="AR578" s="240"/>
      <c r="AS578" s="240"/>
      <c r="AT578" s="240"/>
      <c r="AU578" s="240"/>
      <c r="AV578" s="730"/>
      <c r="AW578" s="730"/>
      <c r="AX578" s="730"/>
      <c r="AY578" s="468"/>
      <c r="AZ578" s="468"/>
      <c r="BA578" s="240"/>
      <c r="BB578" s="240"/>
      <c r="BC578" s="240"/>
      <c r="BD578" s="240"/>
      <c r="BE578" s="240"/>
      <c r="BF578" s="672"/>
      <c r="BG578" s="672"/>
      <c r="BH578" s="731"/>
      <c r="BI578" s="672"/>
      <c r="BJ578" s="240"/>
      <c r="BK578" s="736"/>
      <c r="BL578" s="732"/>
      <c r="BM578" s="240"/>
      <c r="BN578" s="240"/>
      <c r="BO578" s="240"/>
      <c r="BP578" s="240"/>
      <c r="BQ578" s="240"/>
      <c r="BR578" s="240"/>
      <c r="BS578" s="240"/>
      <c r="BT578" s="240"/>
      <c r="BU578" s="240"/>
      <c r="BV578" s="240"/>
      <c r="BW578" s="240"/>
      <c r="BX578" s="240"/>
      <c r="BY578" s="240"/>
      <c r="BZ578" s="240"/>
      <c r="CA578" s="240"/>
      <c r="CB578" s="672"/>
      <c r="CC578" s="672"/>
      <c r="CD578" s="672"/>
      <c r="CE578" s="672"/>
      <c r="CF578" s="672"/>
      <c r="CG578" s="672"/>
      <c r="CH578" s="240"/>
      <c r="CI578" s="240"/>
      <c r="CJ578" s="240"/>
      <c r="CK578" s="240"/>
      <c r="CL578" s="240"/>
      <c r="CM578" s="240"/>
      <c r="CN578" s="240"/>
      <c r="CO578" s="240"/>
      <c r="CP578" s="240"/>
      <c r="CQ578" s="240"/>
      <c r="CR578" s="240"/>
      <c r="CS578" s="240"/>
      <c r="CT578" s="240"/>
      <c r="CU578" s="240"/>
      <c r="CV578" s="240"/>
      <c r="CW578" s="240"/>
      <c r="CX578" s="240"/>
      <c r="CY578" s="240"/>
      <c r="CZ578" s="240"/>
      <c r="DA578" s="240"/>
      <c r="DB578" s="240"/>
      <c r="DC578" s="240"/>
      <c r="DD578" s="240"/>
      <c r="DE578" s="240"/>
      <c r="DF578" s="240"/>
      <c r="DG578" s="728"/>
      <c r="DH578" s="728"/>
      <c r="DI578" s="195"/>
      <c r="DJ578" s="1"/>
      <c r="DK578" s="3"/>
      <c r="DL578" s="4"/>
      <c r="DM578" s="4"/>
      <c r="DN578" s="4"/>
      <c r="DO578" s="4"/>
      <c r="DP578" s="4"/>
      <c r="DQ578" s="4"/>
      <c r="DR578" s="4"/>
      <c r="DT578" s="195"/>
      <c r="DU578" s="195"/>
      <c r="DV578" s="195"/>
      <c r="DW578" s="195"/>
      <c r="DX578" s="195"/>
      <c r="DY578" s="195"/>
      <c r="DZ578" s="195"/>
      <c r="EA578" s="195"/>
      <c r="EB578" s="195"/>
      <c r="EC578" s="195"/>
      <c r="ED578" s="195"/>
      <c r="EE578" s="195"/>
      <c r="EF578" s="195"/>
      <c r="EG578" s="195"/>
      <c r="EL578" s="1"/>
      <c r="EM578" s="195"/>
      <c r="EN578" s="731"/>
      <c r="EO578" s="240"/>
      <c r="EP578" s="195"/>
      <c r="EQ578" s="240"/>
      <c r="ER578" s="195"/>
      <c r="ES578" s="195"/>
      <c r="ET578" s="195"/>
      <c r="EU578" s="731"/>
    </row>
    <row r="579" customFormat="false" ht="12.75" hidden="false" customHeight="false" outlineLevel="0" collapsed="false">
      <c r="I579" s="735"/>
      <c r="J579" s="728"/>
      <c r="K579" s="195"/>
      <c r="L579" s="195"/>
      <c r="S579" s="1"/>
      <c r="T579" s="195"/>
      <c r="U579" s="195"/>
      <c r="V579" s="195"/>
      <c r="W579" s="195"/>
      <c r="X579" s="195"/>
      <c r="Y579" s="195"/>
      <c r="Z579" s="195"/>
      <c r="AA579" s="195"/>
      <c r="AB579" s="195"/>
      <c r="AC579" s="195"/>
      <c r="AD579" s="195"/>
      <c r="AE579" s="195"/>
      <c r="AF579" s="195"/>
      <c r="AG579" s="195"/>
      <c r="AH579" s="195"/>
      <c r="AI579" s="195"/>
      <c r="AJ579" s="195"/>
      <c r="AK579" s="195"/>
      <c r="AL579" s="195"/>
      <c r="AM579" s="195"/>
      <c r="AN579" s="195"/>
      <c r="AO579" s="195"/>
      <c r="AP579" s="240"/>
      <c r="AQ579" s="195"/>
      <c r="AR579" s="240"/>
      <c r="AS579" s="240"/>
      <c r="AT579" s="240"/>
      <c r="AU579" s="240"/>
      <c r="AV579" s="730"/>
      <c r="AW579" s="730"/>
      <c r="AX579" s="730"/>
      <c r="AY579" s="468"/>
      <c r="AZ579" s="468"/>
      <c r="BA579" s="240"/>
      <c r="BB579" s="240"/>
      <c r="BC579" s="240"/>
      <c r="BD579" s="240"/>
      <c r="BE579" s="240"/>
      <c r="BF579" s="672"/>
      <c r="BG579" s="672"/>
      <c r="BH579" s="731"/>
      <c r="BI579" s="672"/>
      <c r="BJ579" s="240"/>
      <c r="BK579" s="736"/>
      <c r="BL579" s="732"/>
      <c r="BM579" s="240"/>
      <c r="BN579" s="240"/>
      <c r="BO579" s="240"/>
      <c r="BP579" s="240"/>
      <c r="BQ579" s="240"/>
      <c r="BR579" s="240"/>
      <c r="BS579" s="240"/>
      <c r="BT579" s="240"/>
      <c r="BU579" s="240"/>
      <c r="BV579" s="240"/>
      <c r="BW579" s="240"/>
      <c r="BX579" s="240"/>
      <c r="BY579" s="240"/>
      <c r="BZ579" s="240"/>
      <c r="CA579" s="240"/>
      <c r="CB579" s="672"/>
      <c r="CC579" s="672"/>
      <c r="CD579" s="672"/>
      <c r="CE579" s="672"/>
      <c r="CF579" s="672"/>
      <c r="CG579" s="672"/>
      <c r="CH579" s="240"/>
      <c r="CI579" s="240"/>
      <c r="CJ579" s="240"/>
      <c r="CK579" s="240"/>
      <c r="CL579" s="240"/>
      <c r="CM579" s="240"/>
      <c r="CN579" s="240"/>
      <c r="CO579" s="240"/>
      <c r="CP579" s="240"/>
      <c r="CQ579" s="240"/>
      <c r="CR579" s="240"/>
      <c r="CS579" s="240"/>
      <c r="CT579" s="240"/>
      <c r="CU579" s="240"/>
      <c r="CV579" s="240"/>
      <c r="CW579" s="240"/>
      <c r="CX579" s="240"/>
      <c r="CY579" s="240"/>
      <c r="CZ579" s="240"/>
      <c r="DA579" s="240"/>
      <c r="DB579" s="240"/>
      <c r="DC579" s="240"/>
      <c r="DD579" s="240"/>
      <c r="DE579" s="240"/>
      <c r="DF579" s="240"/>
      <c r="DG579" s="728"/>
      <c r="DH579" s="728"/>
      <c r="DI579" s="195"/>
      <c r="DJ579" s="1"/>
      <c r="DK579" s="3"/>
      <c r="DL579" s="4"/>
      <c r="DM579" s="4"/>
      <c r="DN579" s="4"/>
      <c r="DO579" s="4"/>
      <c r="DP579" s="4"/>
      <c r="DQ579" s="4"/>
      <c r="DR579" s="4"/>
      <c r="DT579" s="195"/>
      <c r="DU579" s="195"/>
      <c r="DV579" s="195"/>
      <c r="DW579" s="195"/>
      <c r="DX579" s="195"/>
      <c r="DY579" s="195"/>
      <c r="DZ579" s="195"/>
      <c r="EA579" s="195"/>
      <c r="EB579" s="195"/>
      <c r="EC579" s="195"/>
      <c r="ED579" s="195"/>
      <c r="EE579" s="195"/>
      <c r="EF579" s="195"/>
      <c r="EG579" s="195"/>
      <c r="EL579" s="1"/>
      <c r="EM579" s="195"/>
      <c r="EN579" s="731"/>
      <c r="EO579" s="240"/>
      <c r="EP579" s="195"/>
      <c r="EQ579" s="240"/>
      <c r="ER579" s="195"/>
      <c r="ES579" s="195"/>
      <c r="ET579" s="195"/>
      <c r="EU579" s="731"/>
    </row>
    <row r="580" customFormat="false" ht="12.75" hidden="false" customHeight="false" outlineLevel="0" collapsed="false">
      <c r="I580" s="735"/>
      <c r="J580" s="728"/>
      <c r="K580" s="195"/>
      <c r="L580" s="195"/>
      <c r="S580" s="1"/>
      <c r="T580" s="195"/>
      <c r="U580" s="195"/>
      <c r="V580" s="195"/>
      <c r="W580" s="195"/>
      <c r="X580" s="195"/>
      <c r="Y580" s="195"/>
      <c r="Z580" s="195"/>
      <c r="AA580" s="195"/>
      <c r="AB580" s="195"/>
      <c r="AC580" s="195"/>
      <c r="AD580" s="195"/>
      <c r="AE580" s="195"/>
      <c r="AF580" s="195"/>
      <c r="AG580" s="195"/>
      <c r="AH580" s="195"/>
      <c r="AI580" s="195"/>
      <c r="AJ580" s="195"/>
      <c r="AK580" s="195"/>
      <c r="AL580" s="195"/>
      <c r="AM580" s="195"/>
      <c r="AN580" s="195"/>
      <c r="AO580" s="195"/>
      <c r="AP580" s="240"/>
      <c r="AQ580" s="195"/>
      <c r="AR580" s="240"/>
      <c r="AS580" s="240"/>
      <c r="AT580" s="240"/>
      <c r="AU580" s="240"/>
      <c r="AV580" s="730"/>
      <c r="AW580" s="730"/>
      <c r="AX580" s="730"/>
      <c r="AY580" s="468"/>
      <c r="AZ580" s="468"/>
      <c r="BA580" s="240"/>
      <c r="BB580" s="240"/>
      <c r="BC580" s="240"/>
      <c r="BD580" s="240"/>
      <c r="BE580" s="240"/>
      <c r="BF580" s="672"/>
      <c r="BG580" s="672"/>
      <c r="BH580" s="731"/>
      <c r="BI580" s="672"/>
      <c r="BJ580" s="240"/>
      <c r="BK580" s="736"/>
      <c r="BL580" s="732"/>
      <c r="BM580" s="240"/>
      <c r="BN580" s="240"/>
      <c r="BO580" s="240"/>
      <c r="BP580" s="240"/>
      <c r="BQ580" s="240"/>
      <c r="BR580" s="240"/>
      <c r="BS580" s="240"/>
      <c r="BT580" s="240"/>
      <c r="BU580" s="240"/>
      <c r="BV580" s="240"/>
      <c r="BW580" s="240"/>
      <c r="BX580" s="240"/>
      <c r="BY580" s="240"/>
      <c r="BZ580" s="240"/>
      <c r="CA580" s="240"/>
      <c r="CB580" s="672"/>
      <c r="CC580" s="672"/>
      <c r="CD580" s="672"/>
      <c r="CE580" s="672"/>
      <c r="CF580" s="672"/>
      <c r="CG580" s="672"/>
      <c r="CH580" s="240"/>
      <c r="CI580" s="240"/>
      <c r="CJ580" s="240"/>
      <c r="CK580" s="240"/>
      <c r="CL580" s="240"/>
      <c r="CM580" s="240"/>
      <c r="CN580" s="240"/>
      <c r="CO580" s="240"/>
      <c r="CP580" s="240"/>
      <c r="CQ580" s="240"/>
      <c r="CR580" s="240"/>
      <c r="CS580" s="240"/>
      <c r="CT580" s="240"/>
      <c r="CU580" s="240"/>
      <c r="CV580" s="240"/>
      <c r="CW580" s="240"/>
      <c r="CX580" s="240"/>
      <c r="CY580" s="240"/>
      <c r="CZ580" s="240"/>
      <c r="DA580" s="240"/>
      <c r="DB580" s="240"/>
      <c r="DC580" s="240"/>
      <c r="DD580" s="240"/>
      <c r="DE580" s="240"/>
      <c r="DF580" s="240"/>
      <c r="DG580" s="728"/>
      <c r="DH580" s="728"/>
      <c r="DI580" s="195"/>
      <c r="DJ580" s="1"/>
      <c r="DK580" s="3"/>
      <c r="DL580" s="4"/>
      <c r="DM580" s="4"/>
      <c r="DN580" s="4"/>
      <c r="DO580" s="4"/>
      <c r="DP580" s="4"/>
      <c r="DQ580" s="4"/>
      <c r="DR580" s="4"/>
      <c r="DT580" s="195"/>
      <c r="DU580" s="195"/>
      <c r="DV580" s="195"/>
      <c r="DW580" s="195"/>
      <c r="DX580" s="195"/>
      <c r="DY580" s="195"/>
      <c r="DZ580" s="195"/>
      <c r="EA580" s="195"/>
      <c r="EB580" s="195"/>
      <c r="EC580" s="195"/>
      <c r="ED580" s="195"/>
      <c r="EE580" s="195"/>
      <c r="EF580" s="195"/>
      <c r="EG580" s="195"/>
      <c r="EL580" s="1"/>
      <c r="EM580" s="195"/>
      <c r="EN580" s="731"/>
      <c r="EO580" s="240"/>
      <c r="EP580" s="195"/>
      <c r="EQ580" s="240"/>
      <c r="ER580" s="195"/>
      <c r="ES580" s="195"/>
      <c r="ET580" s="195"/>
      <c r="EU580" s="731"/>
    </row>
    <row r="581" customFormat="false" ht="12.75" hidden="false" customHeight="false" outlineLevel="0" collapsed="false">
      <c r="I581" s="735"/>
      <c r="J581" s="728"/>
      <c r="K581" s="195"/>
      <c r="L581" s="195"/>
      <c r="S581" s="1"/>
      <c r="T581" s="195"/>
      <c r="U581" s="195"/>
      <c r="V581" s="195"/>
      <c r="W581" s="195"/>
      <c r="X581" s="195"/>
      <c r="Y581" s="195"/>
      <c r="Z581" s="195"/>
      <c r="AA581" s="195"/>
      <c r="AB581" s="195"/>
      <c r="AC581" s="195"/>
      <c r="AD581" s="195"/>
      <c r="AE581" s="195"/>
      <c r="AF581" s="195"/>
      <c r="AG581" s="195"/>
      <c r="AH581" s="195"/>
      <c r="AI581" s="195"/>
      <c r="AJ581" s="195"/>
      <c r="AK581" s="195"/>
      <c r="AL581" s="195"/>
      <c r="AM581" s="195"/>
      <c r="AN581" s="195"/>
      <c r="AO581" s="195"/>
      <c r="AP581" s="240"/>
      <c r="AQ581" s="195"/>
      <c r="AR581" s="240"/>
      <c r="AS581" s="240"/>
      <c r="AT581" s="240"/>
      <c r="AU581" s="240"/>
      <c r="AV581" s="730"/>
      <c r="AW581" s="730"/>
      <c r="AX581" s="730"/>
      <c r="AY581" s="468"/>
      <c r="AZ581" s="468"/>
      <c r="BA581" s="240"/>
      <c r="BB581" s="240"/>
      <c r="BC581" s="240"/>
      <c r="BD581" s="240"/>
      <c r="BE581" s="240"/>
      <c r="BF581" s="672"/>
      <c r="BG581" s="672"/>
      <c r="BH581" s="731"/>
      <c r="BI581" s="672"/>
      <c r="BJ581" s="240"/>
      <c r="BK581" s="736"/>
      <c r="BL581" s="732"/>
      <c r="BM581" s="240"/>
      <c r="BN581" s="240"/>
      <c r="BO581" s="240"/>
      <c r="BP581" s="240"/>
      <c r="BQ581" s="240"/>
      <c r="BR581" s="240"/>
      <c r="BS581" s="240"/>
      <c r="BT581" s="240"/>
      <c r="BU581" s="240"/>
      <c r="BV581" s="240"/>
      <c r="BW581" s="240"/>
      <c r="BX581" s="240"/>
      <c r="BY581" s="240"/>
      <c r="BZ581" s="240"/>
      <c r="CA581" s="240"/>
      <c r="CB581" s="672"/>
      <c r="CC581" s="672"/>
      <c r="CD581" s="672"/>
      <c r="CE581" s="672"/>
      <c r="CF581" s="672"/>
      <c r="CG581" s="672"/>
      <c r="CH581" s="240"/>
      <c r="CI581" s="240"/>
      <c r="CJ581" s="240"/>
      <c r="CK581" s="240"/>
      <c r="CL581" s="240"/>
      <c r="CM581" s="240"/>
      <c r="CN581" s="240"/>
      <c r="CO581" s="240"/>
      <c r="CP581" s="240"/>
      <c r="CQ581" s="240"/>
      <c r="CR581" s="240"/>
      <c r="CS581" s="240"/>
      <c r="CT581" s="240"/>
      <c r="CU581" s="240"/>
      <c r="CV581" s="240"/>
      <c r="CW581" s="240"/>
      <c r="CX581" s="240"/>
      <c r="CY581" s="240"/>
      <c r="CZ581" s="240"/>
      <c r="DA581" s="240"/>
      <c r="DB581" s="240"/>
      <c r="DC581" s="240"/>
      <c r="DD581" s="240"/>
      <c r="DE581" s="240"/>
      <c r="DF581" s="240"/>
      <c r="DG581" s="728"/>
      <c r="DH581" s="728"/>
      <c r="DI581" s="195"/>
      <c r="DJ581" s="1"/>
      <c r="DK581" s="3"/>
      <c r="DL581" s="4"/>
      <c r="DM581" s="4"/>
      <c r="DN581" s="4"/>
      <c r="DO581" s="4"/>
      <c r="DP581" s="4"/>
      <c r="DQ581" s="4"/>
      <c r="DR581" s="4"/>
      <c r="DT581" s="195"/>
      <c r="DU581" s="195"/>
      <c r="DV581" s="195"/>
      <c r="DW581" s="195"/>
      <c r="DX581" s="195"/>
      <c r="DY581" s="195"/>
      <c r="DZ581" s="195"/>
      <c r="EA581" s="195"/>
      <c r="EB581" s="195"/>
      <c r="EC581" s="195"/>
      <c r="ED581" s="195"/>
      <c r="EE581" s="195"/>
      <c r="EF581" s="195"/>
      <c r="EG581" s="195"/>
      <c r="EL581" s="1"/>
      <c r="EM581" s="195"/>
      <c r="EN581" s="731"/>
      <c r="EO581" s="240"/>
      <c r="EP581" s="195"/>
      <c r="EQ581" s="240"/>
      <c r="ER581" s="195"/>
      <c r="ES581" s="195"/>
      <c r="ET581" s="195"/>
      <c r="EU581" s="731"/>
    </row>
    <row r="582" customFormat="false" ht="12.75" hidden="false" customHeight="false" outlineLevel="0" collapsed="false">
      <c r="I582" s="735"/>
      <c r="J582" s="728"/>
      <c r="K582" s="195"/>
      <c r="L582" s="195"/>
      <c r="S582" s="1"/>
      <c r="T582" s="195"/>
      <c r="U582" s="195"/>
      <c r="V582" s="195"/>
      <c r="W582" s="195"/>
      <c r="X582" s="195"/>
      <c r="Y582" s="195"/>
      <c r="Z582" s="195"/>
      <c r="AA582" s="195"/>
      <c r="AB582" s="195"/>
      <c r="AC582" s="195"/>
      <c r="AD582" s="195"/>
      <c r="AE582" s="195"/>
      <c r="AF582" s="195"/>
      <c r="AG582" s="195"/>
      <c r="AH582" s="195"/>
      <c r="AI582" s="195"/>
      <c r="AJ582" s="195"/>
      <c r="AK582" s="195"/>
      <c r="AL582" s="195"/>
      <c r="AM582" s="195"/>
      <c r="AN582" s="195"/>
      <c r="AO582" s="195"/>
      <c r="AP582" s="240"/>
      <c r="AQ582" s="195"/>
      <c r="AR582" s="240"/>
      <c r="AS582" s="240"/>
      <c r="AT582" s="240"/>
      <c r="AU582" s="240"/>
      <c r="AV582" s="730"/>
      <c r="AW582" s="730"/>
      <c r="AX582" s="730"/>
      <c r="AY582" s="468"/>
      <c r="AZ582" s="468"/>
      <c r="BA582" s="240"/>
      <c r="BB582" s="240"/>
      <c r="BC582" s="240"/>
      <c r="BD582" s="240"/>
      <c r="BE582" s="240"/>
      <c r="BF582" s="672"/>
      <c r="BG582" s="672"/>
      <c r="BH582" s="731"/>
      <c r="BI582" s="672"/>
      <c r="BJ582" s="240"/>
      <c r="BK582" s="736"/>
      <c r="BL582" s="732"/>
      <c r="BM582" s="240"/>
      <c r="BN582" s="240"/>
      <c r="BO582" s="240"/>
      <c r="BP582" s="240"/>
      <c r="BQ582" s="240"/>
      <c r="BR582" s="240"/>
      <c r="BS582" s="240"/>
      <c r="BT582" s="240"/>
      <c r="BU582" s="240"/>
      <c r="BV582" s="240"/>
      <c r="BW582" s="240"/>
      <c r="BX582" s="240"/>
      <c r="BY582" s="240"/>
      <c r="BZ582" s="240"/>
      <c r="CA582" s="240"/>
      <c r="CB582" s="672"/>
      <c r="CC582" s="672"/>
      <c r="CD582" s="672"/>
      <c r="CE582" s="672"/>
      <c r="CF582" s="672"/>
      <c r="CG582" s="672"/>
      <c r="CH582" s="240"/>
      <c r="CI582" s="240"/>
      <c r="CJ582" s="240"/>
      <c r="CK582" s="240"/>
      <c r="CL582" s="240"/>
      <c r="CM582" s="240"/>
      <c r="CN582" s="240"/>
      <c r="CO582" s="240"/>
      <c r="CP582" s="240"/>
      <c r="CQ582" s="240"/>
      <c r="CR582" s="240"/>
      <c r="CS582" s="240"/>
      <c r="CT582" s="240"/>
      <c r="CU582" s="240"/>
      <c r="CV582" s="240"/>
      <c r="CW582" s="240"/>
      <c r="CX582" s="240"/>
      <c r="CY582" s="240"/>
      <c r="CZ582" s="240"/>
      <c r="DA582" s="240"/>
      <c r="DB582" s="240"/>
      <c r="DC582" s="240"/>
      <c r="DD582" s="240"/>
      <c r="DE582" s="240"/>
      <c r="DF582" s="240"/>
      <c r="DG582" s="728"/>
      <c r="DH582" s="728"/>
      <c r="DI582" s="195"/>
      <c r="DJ582" s="1"/>
      <c r="DK582" s="3"/>
      <c r="DL582" s="4"/>
      <c r="DM582" s="4"/>
      <c r="DN582" s="4"/>
      <c r="DO582" s="4"/>
      <c r="DP582" s="4"/>
      <c r="DQ582" s="4"/>
      <c r="DR582" s="4"/>
      <c r="DT582" s="195"/>
      <c r="DU582" s="195"/>
      <c r="DV582" s="195"/>
      <c r="DW582" s="195"/>
      <c r="DX582" s="195"/>
      <c r="DY582" s="195"/>
      <c r="DZ582" s="195"/>
      <c r="EA582" s="195"/>
      <c r="EB582" s="195"/>
      <c r="EC582" s="195"/>
      <c r="ED582" s="195"/>
      <c r="EE582" s="195"/>
      <c r="EF582" s="195"/>
      <c r="EG582" s="195"/>
      <c r="EL582" s="1"/>
      <c r="EM582" s="195"/>
      <c r="EN582" s="731"/>
      <c r="EO582" s="240"/>
      <c r="EP582" s="195"/>
      <c r="EQ582" s="240"/>
      <c r="ER582" s="195"/>
      <c r="ES582" s="195"/>
      <c r="ET582" s="195"/>
      <c r="EU582" s="731"/>
    </row>
    <row r="583" customFormat="false" ht="12.75" hidden="false" customHeight="false" outlineLevel="0" collapsed="false">
      <c r="I583" s="735"/>
      <c r="J583" s="728"/>
      <c r="K583" s="195"/>
      <c r="L583" s="195"/>
      <c r="S583" s="1"/>
      <c r="T583" s="195"/>
      <c r="U583" s="195"/>
      <c r="V583" s="195"/>
      <c r="W583" s="195"/>
      <c r="X583" s="195"/>
      <c r="Y583" s="195"/>
      <c r="Z583" s="195"/>
      <c r="AA583" s="195"/>
      <c r="AB583" s="195"/>
      <c r="AC583" s="195"/>
      <c r="AD583" s="195"/>
      <c r="AE583" s="195"/>
      <c r="AF583" s="195"/>
      <c r="AG583" s="195"/>
      <c r="AH583" s="195"/>
      <c r="AI583" s="195"/>
      <c r="AJ583" s="195"/>
      <c r="AK583" s="195"/>
      <c r="AL583" s="195"/>
      <c r="AM583" s="195"/>
      <c r="AN583" s="195"/>
      <c r="AO583" s="195"/>
      <c r="AP583" s="240"/>
      <c r="AQ583" s="195"/>
      <c r="AR583" s="240"/>
      <c r="AS583" s="240"/>
      <c r="AT583" s="240"/>
      <c r="AU583" s="240"/>
      <c r="AV583" s="730"/>
      <c r="AW583" s="730"/>
      <c r="AX583" s="730"/>
      <c r="AY583" s="468"/>
      <c r="AZ583" s="468"/>
      <c r="BA583" s="240"/>
      <c r="BB583" s="240"/>
      <c r="BC583" s="240"/>
      <c r="BD583" s="240"/>
      <c r="BE583" s="240"/>
      <c r="BF583" s="672"/>
      <c r="BG583" s="672"/>
      <c r="BH583" s="731"/>
      <c r="BI583" s="672"/>
      <c r="BJ583" s="240"/>
      <c r="BK583" s="736"/>
      <c r="BL583" s="732"/>
      <c r="BM583" s="240"/>
      <c r="BN583" s="240"/>
      <c r="BO583" s="240"/>
      <c r="BP583" s="240"/>
      <c r="BQ583" s="240"/>
      <c r="BR583" s="240"/>
      <c r="BS583" s="240"/>
      <c r="BT583" s="240"/>
      <c r="BU583" s="240"/>
      <c r="BV583" s="240"/>
      <c r="BW583" s="240"/>
      <c r="BX583" s="240"/>
      <c r="BY583" s="240"/>
      <c r="BZ583" s="240"/>
      <c r="CA583" s="240"/>
      <c r="CB583" s="672"/>
      <c r="CC583" s="672"/>
      <c r="CD583" s="672"/>
      <c r="CE583" s="672"/>
      <c r="CF583" s="672"/>
      <c r="CG583" s="672"/>
      <c r="CH583" s="240"/>
      <c r="CI583" s="240"/>
      <c r="CJ583" s="240"/>
      <c r="CK583" s="240"/>
      <c r="CL583" s="240"/>
      <c r="CM583" s="240"/>
      <c r="CN583" s="240"/>
      <c r="CO583" s="240"/>
      <c r="CP583" s="240"/>
      <c r="CQ583" s="240"/>
      <c r="CR583" s="240"/>
      <c r="CS583" s="240"/>
      <c r="CT583" s="240"/>
      <c r="CU583" s="240"/>
      <c r="CV583" s="240"/>
      <c r="CW583" s="240"/>
      <c r="CX583" s="240"/>
      <c r="CY583" s="240"/>
      <c r="CZ583" s="240"/>
      <c r="DA583" s="240"/>
      <c r="DB583" s="240"/>
      <c r="DC583" s="240"/>
      <c r="DD583" s="240"/>
      <c r="DE583" s="240"/>
      <c r="DF583" s="240"/>
      <c r="DG583" s="728"/>
      <c r="DH583" s="728"/>
      <c r="DI583" s="195"/>
      <c r="DJ583" s="1"/>
      <c r="DK583" s="3"/>
      <c r="DL583" s="4"/>
      <c r="DM583" s="4"/>
      <c r="DN583" s="4"/>
      <c r="DO583" s="4"/>
      <c r="DP583" s="4"/>
      <c r="DQ583" s="4"/>
      <c r="DR583" s="4"/>
      <c r="DT583" s="195"/>
      <c r="DU583" s="195"/>
      <c r="DV583" s="195"/>
      <c r="DW583" s="195"/>
      <c r="DX583" s="195"/>
      <c r="DY583" s="195"/>
      <c r="DZ583" s="195"/>
      <c r="EA583" s="195"/>
      <c r="EB583" s="195"/>
      <c r="EC583" s="195"/>
      <c r="ED583" s="195"/>
      <c r="EE583" s="195"/>
      <c r="EF583" s="195"/>
      <c r="EG583" s="195"/>
      <c r="EL583" s="1"/>
      <c r="EM583" s="195"/>
      <c r="EN583" s="731"/>
      <c r="EO583" s="240"/>
      <c r="EP583" s="195"/>
      <c r="EQ583" s="240"/>
      <c r="ER583" s="195"/>
      <c r="ES583" s="195"/>
      <c r="ET583" s="195"/>
      <c r="EU583" s="731"/>
    </row>
    <row r="584" customFormat="false" ht="12.75" hidden="false" customHeight="false" outlineLevel="0" collapsed="false">
      <c r="I584" s="735"/>
      <c r="J584" s="728"/>
      <c r="K584" s="195"/>
      <c r="L584" s="195"/>
      <c r="S584" s="1"/>
      <c r="T584" s="195"/>
      <c r="U584" s="195"/>
      <c r="V584" s="195"/>
      <c r="W584" s="195"/>
      <c r="X584" s="195"/>
      <c r="Y584" s="195"/>
      <c r="Z584" s="195"/>
      <c r="AA584" s="195"/>
      <c r="AB584" s="195"/>
      <c r="AC584" s="195"/>
      <c r="AD584" s="195"/>
      <c r="AE584" s="195"/>
      <c r="AF584" s="195"/>
      <c r="AG584" s="195"/>
      <c r="AH584" s="195"/>
      <c r="AI584" s="195"/>
      <c r="AJ584" s="195"/>
      <c r="AK584" s="195"/>
      <c r="AL584" s="195"/>
      <c r="AM584" s="195"/>
      <c r="AN584" s="195"/>
      <c r="AO584" s="195"/>
      <c r="AP584" s="240"/>
      <c r="AQ584" s="195"/>
      <c r="AR584" s="240"/>
      <c r="AS584" s="240"/>
      <c r="AT584" s="240"/>
      <c r="AU584" s="240"/>
      <c r="AV584" s="730"/>
      <c r="AW584" s="730"/>
      <c r="AX584" s="730"/>
      <c r="AY584" s="468"/>
      <c r="AZ584" s="468"/>
      <c r="BA584" s="240"/>
      <c r="BB584" s="240"/>
      <c r="BC584" s="240"/>
      <c r="BD584" s="240"/>
      <c r="BE584" s="240"/>
      <c r="BF584" s="672"/>
      <c r="BG584" s="672"/>
      <c r="BH584" s="731"/>
      <c r="BI584" s="672"/>
      <c r="BJ584" s="240"/>
      <c r="BK584" s="736"/>
      <c r="BL584" s="732"/>
      <c r="BM584" s="240"/>
      <c r="BN584" s="240"/>
      <c r="BO584" s="240"/>
      <c r="BP584" s="240"/>
      <c r="BQ584" s="240"/>
      <c r="BR584" s="240"/>
      <c r="BS584" s="240"/>
      <c r="BT584" s="240"/>
      <c r="BU584" s="240"/>
      <c r="BV584" s="240"/>
      <c r="BW584" s="240"/>
      <c r="BX584" s="240"/>
      <c r="BY584" s="240"/>
      <c r="BZ584" s="240"/>
      <c r="CA584" s="240"/>
      <c r="CB584" s="672"/>
      <c r="CC584" s="672"/>
      <c r="CD584" s="672"/>
      <c r="CE584" s="672"/>
      <c r="CF584" s="672"/>
      <c r="CG584" s="672"/>
      <c r="CH584" s="240"/>
      <c r="CI584" s="240"/>
      <c r="CJ584" s="240"/>
      <c r="CK584" s="240"/>
      <c r="CL584" s="240"/>
      <c r="CM584" s="240"/>
      <c r="CN584" s="240"/>
      <c r="CO584" s="240"/>
      <c r="CP584" s="240"/>
      <c r="CQ584" s="240"/>
      <c r="CR584" s="240"/>
      <c r="CS584" s="240"/>
      <c r="CT584" s="240"/>
      <c r="CU584" s="240"/>
      <c r="CV584" s="240"/>
      <c r="CW584" s="240"/>
      <c r="CX584" s="240"/>
      <c r="CY584" s="240"/>
      <c r="CZ584" s="240"/>
      <c r="DA584" s="240"/>
      <c r="DB584" s="240"/>
      <c r="DC584" s="240"/>
      <c r="DD584" s="240"/>
      <c r="DE584" s="240"/>
      <c r="DF584" s="240"/>
      <c r="DG584" s="728"/>
      <c r="DH584" s="728"/>
      <c r="DI584" s="195"/>
      <c r="DJ584" s="1"/>
      <c r="DK584" s="3"/>
      <c r="DL584" s="4"/>
      <c r="DM584" s="4"/>
      <c r="DN584" s="4"/>
      <c r="DO584" s="4"/>
      <c r="DP584" s="4"/>
      <c r="DQ584" s="4"/>
      <c r="DR584" s="4"/>
      <c r="DT584" s="195"/>
      <c r="DU584" s="195"/>
      <c r="DV584" s="195"/>
      <c r="DW584" s="195"/>
      <c r="DX584" s="195"/>
      <c r="DY584" s="195"/>
      <c r="DZ584" s="195"/>
      <c r="EA584" s="195"/>
      <c r="EB584" s="195"/>
      <c r="EC584" s="195"/>
      <c r="ED584" s="195"/>
      <c r="EE584" s="195"/>
      <c r="EF584" s="195"/>
      <c r="EG584" s="195"/>
      <c r="EL584" s="1"/>
      <c r="EM584" s="195"/>
      <c r="EN584" s="731"/>
      <c r="EO584" s="240"/>
      <c r="EP584" s="195"/>
      <c r="EQ584" s="240"/>
      <c r="ER584" s="195"/>
      <c r="ES584" s="195"/>
      <c r="ET584" s="195"/>
      <c r="EU584" s="731"/>
    </row>
    <row r="585" customFormat="false" ht="12.75" hidden="false" customHeight="false" outlineLevel="0" collapsed="false">
      <c r="I585" s="735"/>
      <c r="J585" s="728"/>
      <c r="K585" s="195"/>
      <c r="L585" s="195"/>
      <c r="S585" s="1"/>
      <c r="T585" s="195"/>
      <c r="U585" s="195"/>
      <c r="V585" s="195"/>
      <c r="W585" s="195"/>
      <c r="X585" s="195"/>
      <c r="Y585" s="195"/>
      <c r="Z585" s="195"/>
      <c r="AA585" s="195"/>
      <c r="AB585" s="195"/>
      <c r="AC585" s="195"/>
      <c r="AD585" s="195"/>
      <c r="AE585" s="195"/>
      <c r="AF585" s="195"/>
      <c r="AG585" s="195"/>
      <c r="AH585" s="195"/>
      <c r="AI585" s="195"/>
      <c r="AJ585" s="195"/>
      <c r="AK585" s="195"/>
      <c r="AL585" s="195"/>
      <c r="AM585" s="195"/>
      <c r="AN585" s="195"/>
      <c r="AO585" s="195"/>
      <c r="AP585" s="240"/>
      <c r="AQ585" s="195"/>
      <c r="AR585" s="240"/>
      <c r="AS585" s="240"/>
      <c r="AT585" s="240"/>
      <c r="AU585" s="240"/>
      <c r="AV585" s="730"/>
      <c r="AW585" s="730"/>
      <c r="AX585" s="730"/>
      <c r="AY585" s="468"/>
      <c r="AZ585" s="468"/>
      <c r="BA585" s="240"/>
      <c r="BB585" s="240"/>
      <c r="BC585" s="240"/>
      <c r="BD585" s="240"/>
      <c r="BE585" s="240"/>
      <c r="BF585" s="672"/>
      <c r="BG585" s="672"/>
      <c r="BH585" s="731"/>
      <c r="BI585" s="672"/>
      <c r="BJ585" s="240"/>
      <c r="BK585" s="736"/>
      <c r="BL585" s="732"/>
      <c r="BM585" s="240"/>
      <c r="BN585" s="240"/>
      <c r="BO585" s="240"/>
      <c r="BP585" s="240"/>
      <c r="BQ585" s="240"/>
      <c r="BR585" s="240"/>
      <c r="BS585" s="240"/>
      <c r="BT585" s="240"/>
      <c r="BU585" s="240"/>
      <c r="BV585" s="240"/>
      <c r="BW585" s="240"/>
      <c r="BX585" s="240"/>
      <c r="BY585" s="240"/>
      <c r="BZ585" s="240"/>
      <c r="CA585" s="240"/>
      <c r="CB585" s="672"/>
      <c r="CC585" s="672"/>
      <c r="CD585" s="672"/>
      <c r="CE585" s="672"/>
      <c r="CF585" s="672"/>
      <c r="CG585" s="672"/>
      <c r="CH585" s="240"/>
      <c r="CI585" s="240"/>
      <c r="CJ585" s="240"/>
      <c r="CK585" s="240"/>
      <c r="CL585" s="240"/>
      <c r="CM585" s="240"/>
      <c r="CN585" s="240"/>
      <c r="CO585" s="240"/>
      <c r="CP585" s="240"/>
      <c r="CQ585" s="240"/>
      <c r="CR585" s="240"/>
      <c r="CS585" s="240"/>
      <c r="CT585" s="240"/>
      <c r="CU585" s="240"/>
      <c r="CV585" s="240"/>
      <c r="CW585" s="240"/>
      <c r="CX585" s="240"/>
      <c r="CY585" s="240"/>
      <c r="CZ585" s="240"/>
      <c r="DA585" s="240"/>
      <c r="DB585" s="240"/>
      <c r="DC585" s="240"/>
      <c r="DD585" s="240"/>
      <c r="DE585" s="240"/>
      <c r="DF585" s="240"/>
      <c r="DG585" s="728"/>
      <c r="DH585" s="728"/>
      <c r="DI585" s="195"/>
      <c r="DJ585" s="1"/>
      <c r="DK585" s="3"/>
      <c r="DL585" s="4"/>
      <c r="DM585" s="4"/>
      <c r="DN585" s="4"/>
      <c r="DO585" s="4"/>
      <c r="DP585" s="4"/>
      <c r="DQ585" s="4"/>
      <c r="DR585" s="4"/>
      <c r="DT585" s="195"/>
      <c r="DU585" s="195"/>
      <c r="DV585" s="195"/>
      <c r="DW585" s="195"/>
      <c r="DX585" s="195"/>
      <c r="DY585" s="195"/>
      <c r="DZ585" s="195"/>
      <c r="EA585" s="195"/>
      <c r="EB585" s="195"/>
      <c r="EC585" s="195"/>
      <c r="ED585" s="195"/>
      <c r="EE585" s="195"/>
      <c r="EF585" s="195"/>
      <c r="EG585" s="195"/>
      <c r="EL585" s="1"/>
      <c r="EM585" s="195"/>
      <c r="EN585" s="731"/>
      <c r="EO585" s="240"/>
      <c r="EP585" s="195"/>
      <c r="EQ585" s="240"/>
      <c r="ER585" s="195"/>
      <c r="ES585" s="195"/>
      <c r="ET585" s="195"/>
      <c r="EU585" s="731"/>
    </row>
    <row r="586" customFormat="false" ht="12.75" hidden="false" customHeight="false" outlineLevel="0" collapsed="false">
      <c r="I586" s="735"/>
      <c r="J586" s="728"/>
      <c r="K586" s="195"/>
      <c r="L586" s="195"/>
      <c r="S586" s="1"/>
      <c r="T586" s="195"/>
      <c r="U586" s="195"/>
      <c r="V586" s="195"/>
      <c r="W586" s="195"/>
      <c r="X586" s="195"/>
      <c r="Y586" s="195"/>
      <c r="Z586" s="195"/>
      <c r="AA586" s="195"/>
      <c r="AB586" s="195"/>
      <c r="AC586" s="195"/>
      <c r="AD586" s="195"/>
      <c r="AE586" s="195"/>
      <c r="AF586" s="195"/>
      <c r="AG586" s="195"/>
      <c r="AH586" s="195"/>
      <c r="AI586" s="195"/>
      <c r="AJ586" s="195"/>
      <c r="AK586" s="195"/>
      <c r="AL586" s="195"/>
      <c r="AM586" s="195"/>
      <c r="AN586" s="195"/>
      <c r="AO586" s="195"/>
      <c r="AP586" s="240"/>
      <c r="AQ586" s="195"/>
      <c r="AR586" s="240"/>
      <c r="AS586" s="240"/>
      <c r="AT586" s="240"/>
      <c r="AU586" s="240"/>
      <c r="AV586" s="730"/>
      <c r="AW586" s="730"/>
      <c r="AX586" s="730"/>
      <c r="AY586" s="468"/>
      <c r="AZ586" s="468"/>
      <c r="BA586" s="240"/>
      <c r="BB586" s="240"/>
      <c r="BC586" s="240"/>
      <c r="BD586" s="240"/>
      <c r="BE586" s="240"/>
      <c r="BF586" s="672"/>
      <c r="BG586" s="672"/>
      <c r="BH586" s="731"/>
      <c r="BI586" s="672"/>
      <c r="BJ586" s="240"/>
      <c r="BK586" s="736"/>
      <c r="BL586" s="732"/>
      <c r="BM586" s="240"/>
      <c r="BN586" s="240"/>
      <c r="BO586" s="240"/>
      <c r="BP586" s="240"/>
      <c r="BQ586" s="240"/>
      <c r="BR586" s="240"/>
      <c r="BS586" s="240"/>
      <c r="BT586" s="240"/>
      <c r="BU586" s="240"/>
      <c r="BV586" s="240"/>
      <c r="BW586" s="240"/>
      <c r="BX586" s="240"/>
      <c r="BY586" s="240"/>
      <c r="BZ586" s="240"/>
      <c r="CA586" s="240"/>
      <c r="CB586" s="672"/>
      <c r="CC586" s="672"/>
      <c r="CD586" s="672"/>
      <c r="CE586" s="672"/>
      <c r="CF586" s="672"/>
      <c r="CG586" s="672"/>
      <c r="CH586" s="240"/>
      <c r="CI586" s="240"/>
      <c r="CJ586" s="240"/>
      <c r="CK586" s="240"/>
      <c r="CL586" s="240"/>
      <c r="CM586" s="240"/>
      <c r="CN586" s="240"/>
      <c r="CO586" s="240"/>
      <c r="CP586" s="240"/>
      <c r="CQ586" s="240"/>
      <c r="CR586" s="240"/>
      <c r="CS586" s="240"/>
      <c r="CT586" s="240"/>
      <c r="CU586" s="240"/>
      <c r="CV586" s="240"/>
      <c r="CW586" s="240"/>
      <c r="CX586" s="240"/>
      <c r="CY586" s="240"/>
      <c r="CZ586" s="240"/>
      <c r="DA586" s="240"/>
      <c r="DB586" s="240"/>
      <c r="DC586" s="240"/>
      <c r="DD586" s="240"/>
      <c r="DE586" s="240"/>
      <c r="DF586" s="240"/>
      <c r="DG586" s="728"/>
      <c r="DH586" s="728"/>
      <c r="DI586" s="195"/>
      <c r="DJ586" s="1"/>
      <c r="DK586" s="3"/>
      <c r="DL586" s="4"/>
      <c r="DM586" s="4"/>
      <c r="DN586" s="4"/>
      <c r="DO586" s="4"/>
      <c r="DP586" s="4"/>
      <c r="DQ586" s="4"/>
      <c r="DR586" s="4"/>
      <c r="DT586" s="195"/>
      <c r="DU586" s="195"/>
      <c r="DV586" s="195"/>
      <c r="DW586" s="195"/>
      <c r="DX586" s="195"/>
      <c r="DY586" s="195"/>
      <c r="DZ586" s="195"/>
      <c r="EA586" s="195"/>
      <c r="EB586" s="195"/>
      <c r="EC586" s="195"/>
      <c r="ED586" s="195"/>
      <c r="EE586" s="195"/>
      <c r="EF586" s="195"/>
      <c r="EG586" s="195"/>
      <c r="EL586" s="1"/>
      <c r="EM586" s="195"/>
      <c r="EN586" s="731"/>
      <c r="EO586" s="240"/>
      <c r="EP586" s="195"/>
      <c r="EQ586" s="240"/>
      <c r="ER586" s="195"/>
      <c r="ES586" s="195"/>
      <c r="ET586" s="195"/>
      <c r="EU586" s="731"/>
    </row>
    <row r="587" customFormat="false" ht="12.75" hidden="false" customHeight="false" outlineLevel="0" collapsed="false">
      <c r="I587" s="735"/>
      <c r="J587" s="728"/>
      <c r="K587" s="195"/>
      <c r="L587" s="195"/>
      <c r="S587" s="1"/>
      <c r="T587" s="195"/>
      <c r="U587" s="195"/>
      <c r="V587" s="195"/>
      <c r="W587" s="195"/>
      <c r="X587" s="195"/>
      <c r="Y587" s="195"/>
      <c r="Z587" s="195"/>
      <c r="AA587" s="195"/>
      <c r="AB587" s="195"/>
      <c r="AC587" s="195"/>
      <c r="AD587" s="195"/>
      <c r="AE587" s="195"/>
      <c r="AF587" s="195"/>
      <c r="AG587" s="195"/>
      <c r="AH587" s="195"/>
      <c r="AI587" s="195"/>
      <c r="AJ587" s="195"/>
      <c r="AK587" s="195"/>
      <c r="AL587" s="195"/>
      <c r="AM587" s="195"/>
      <c r="AN587" s="195"/>
      <c r="AO587" s="195"/>
      <c r="AP587" s="240"/>
      <c r="AQ587" s="195"/>
      <c r="AR587" s="240"/>
      <c r="AS587" s="240"/>
      <c r="AT587" s="240"/>
      <c r="AU587" s="240"/>
      <c r="AV587" s="730"/>
      <c r="AW587" s="730"/>
      <c r="AX587" s="730"/>
      <c r="AY587" s="468"/>
      <c r="AZ587" s="468"/>
      <c r="BA587" s="240"/>
      <c r="BB587" s="240"/>
      <c r="BC587" s="240"/>
      <c r="BD587" s="240"/>
      <c r="BE587" s="240"/>
      <c r="BF587" s="672"/>
      <c r="BG587" s="672"/>
      <c r="BH587" s="731"/>
      <c r="BI587" s="672"/>
      <c r="BJ587" s="240"/>
      <c r="BK587" s="736"/>
      <c r="BL587" s="732"/>
      <c r="BM587" s="240"/>
      <c r="BN587" s="240"/>
      <c r="BO587" s="240"/>
      <c r="BP587" s="240"/>
      <c r="BQ587" s="240"/>
      <c r="BR587" s="240"/>
      <c r="BS587" s="240"/>
      <c r="BT587" s="240"/>
      <c r="BU587" s="240"/>
      <c r="BV587" s="240"/>
      <c r="BW587" s="240"/>
      <c r="BX587" s="240"/>
      <c r="BY587" s="240"/>
      <c r="BZ587" s="240"/>
      <c r="CA587" s="240"/>
      <c r="CB587" s="672"/>
      <c r="CC587" s="672"/>
      <c r="CD587" s="672"/>
      <c r="CE587" s="672"/>
      <c r="CF587" s="672"/>
      <c r="CG587" s="672"/>
      <c r="CH587" s="240"/>
      <c r="CI587" s="240"/>
      <c r="CJ587" s="240"/>
      <c r="CK587" s="240"/>
      <c r="CL587" s="240"/>
      <c r="CM587" s="240"/>
      <c r="CN587" s="240"/>
      <c r="CO587" s="240"/>
      <c r="CP587" s="240"/>
      <c r="CQ587" s="240"/>
      <c r="CR587" s="240"/>
      <c r="CS587" s="240"/>
      <c r="CT587" s="240"/>
      <c r="CU587" s="240"/>
      <c r="CV587" s="240"/>
      <c r="CW587" s="240"/>
      <c r="CX587" s="240"/>
      <c r="CY587" s="240"/>
      <c r="CZ587" s="240"/>
      <c r="DA587" s="240"/>
      <c r="DB587" s="240"/>
      <c r="DC587" s="240"/>
      <c r="DD587" s="240"/>
      <c r="DE587" s="240"/>
      <c r="DF587" s="240"/>
      <c r="DG587" s="728"/>
      <c r="DH587" s="728"/>
      <c r="DI587" s="195"/>
      <c r="DJ587" s="1"/>
      <c r="DK587" s="3"/>
      <c r="DL587" s="4"/>
      <c r="DM587" s="4"/>
      <c r="DN587" s="4"/>
      <c r="DO587" s="4"/>
      <c r="DP587" s="4"/>
      <c r="DQ587" s="4"/>
      <c r="DR587" s="4"/>
      <c r="DT587" s="195"/>
      <c r="DU587" s="195"/>
      <c r="DV587" s="195"/>
      <c r="DW587" s="195"/>
      <c r="DX587" s="195"/>
      <c r="DY587" s="195"/>
      <c r="DZ587" s="195"/>
      <c r="EA587" s="195"/>
      <c r="EB587" s="195"/>
      <c r="EC587" s="195"/>
      <c r="ED587" s="195"/>
      <c r="EE587" s="195"/>
      <c r="EF587" s="195"/>
      <c r="EG587" s="195"/>
      <c r="EL587" s="1"/>
      <c r="EM587" s="195"/>
      <c r="EN587" s="731"/>
      <c r="EO587" s="240"/>
      <c r="EP587" s="195"/>
      <c r="EQ587" s="240"/>
      <c r="ER587" s="195"/>
      <c r="ES587" s="195"/>
      <c r="ET587" s="195"/>
      <c r="EU587" s="731"/>
    </row>
    <row r="588" customFormat="false" ht="12.75" hidden="false" customHeight="false" outlineLevel="0" collapsed="false">
      <c r="I588" s="735"/>
      <c r="J588" s="728"/>
      <c r="K588" s="195"/>
      <c r="L588" s="195"/>
      <c r="S588" s="1"/>
      <c r="T588" s="195"/>
      <c r="U588" s="195"/>
      <c r="V588" s="195"/>
      <c r="W588" s="195"/>
      <c r="X588" s="195"/>
      <c r="Y588" s="195"/>
      <c r="Z588" s="195"/>
      <c r="AA588" s="195"/>
      <c r="AB588" s="195"/>
      <c r="AC588" s="195"/>
      <c r="AD588" s="195"/>
      <c r="AE588" s="195"/>
      <c r="AF588" s="195"/>
      <c r="AG588" s="195"/>
      <c r="AH588" s="195"/>
      <c r="AI588" s="195"/>
      <c r="AJ588" s="195"/>
      <c r="AK588" s="195"/>
      <c r="AL588" s="195"/>
      <c r="AM588" s="195"/>
      <c r="AN588" s="195"/>
      <c r="AO588" s="195"/>
      <c r="AP588" s="240"/>
      <c r="AQ588" s="195"/>
      <c r="AR588" s="240"/>
      <c r="AS588" s="240"/>
      <c r="AT588" s="240"/>
      <c r="AU588" s="240"/>
      <c r="AV588" s="730"/>
      <c r="AW588" s="730"/>
      <c r="AX588" s="730"/>
      <c r="AY588" s="468"/>
      <c r="AZ588" s="468"/>
      <c r="BA588" s="240"/>
      <c r="BB588" s="240"/>
      <c r="BC588" s="240"/>
      <c r="BD588" s="240"/>
      <c r="BE588" s="240"/>
      <c r="BF588" s="672"/>
      <c r="BG588" s="672"/>
      <c r="BH588" s="731"/>
      <c r="BI588" s="672"/>
      <c r="BJ588" s="240"/>
      <c r="BK588" s="736"/>
      <c r="BL588" s="732"/>
      <c r="BM588" s="240"/>
      <c r="BN588" s="240"/>
      <c r="BO588" s="240"/>
      <c r="BP588" s="240"/>
      <c r="BQ588" s="240"/>
      <c r="BR588" s="240"/>
      <c r="BS588" s="240"/>
      <c r="BT588" s="240"/>
      <c r="BU588" s="240"/>
      <c r="BV588" s="240"/>
      <c r="BW588" s="240"/>
      <c r="BX588" s="240"/>
      <c r="BY588" s="240"/>
      <c r="BZ588" s="240"/>
      <c r="CA588" s="240"/>
      <c r="CB588" s="672"/>
      <c r="CC588" s="672"/>
      <c r="CD588" s="672"/>
      <c r="CE588" s="672"/>
      <c r="CF588" s="672"/>
      <c r="CG588" s="672"/>
      <c r="CH588" s="240"/>
      <c r="CI588" s="240"/>
      <c r="CJ588" s="240"/>
      <c r="CK588" s="240"/>
      <c r="CL588" s="240"/>
      <c r="CM588" s="240"/>
      <c r="CN588" s="240"/>
      <c r="CO588" s="240"/>
      <c r="CP588" s="240"/>
      <c r="CQ588" s="240"/>
      <c r="CR588" s="240"/>
      <c r="CS588" s="240"/>
      <c r="CT588" s="240"/>
      <c r="CU588" s="240"/>
      <c r="CV588" s="240"/>
      <c r="CW588" s="240"/>
      <c r="CX588" s="240"/>
      <c r="CY588" s="240"/>
      <c r="CZ588" s="240"/>
      <c r="DA588" s="240"/>
      <c r="DB588" s="240"/>
      <c r="DC588" s="240"/>
      <c r="DD588" s="240"/>
      <c r="DE588" s="240"/>
      <c r="DF588" s="240"/>
      <c r="DG588" s="728"/>
      <c r="DH588" s="728"/>
      <c r="DI588" s="195"/>
      <c r="DJ588" s="1"/>
      <c r="DK588" s="3"/>
      <c r="DL588" s="4"/>
      <c r="DM588" s="4"/>
      <c r="DN588" s="4"/>
      <c r="DO588" s="4"/>
      <c r="DP588" s="4"/>
      <c r="DQ588" s="4"/>
      <c r="DR588" s="4"/>
      <c r="DT588" s="195"/>
      <c r="DU588" s="195"/>
      <c r="DV588" s="195"/>
      <c r="DW588" s="195"/>
      <c r="DX588" s="195"/>
      <c r="DY588" s="195"/>
      <c r="DZ588" s="195"/>
      <c r="EA588" s="195"/>
      <c r="EB588" s="195"/>
      <c r="EC588" s="195"/>
      <c r="ED588" s="195"/>
      <c r="EE588" s="195"/>
      <c r="EF588" s="195"/>
      <c r="EG588" s="195"/>
      <c r="EL588" s="1"/>
      <c r="EM588" s="195"/>
      <c r="EN588" s="731"/>
      <c r="EO588" s="240"/>
      <c r="EP588" s="195"/>
      <c r="EQ588" s="240"/>
      <c r="ER588" s="195"/>
      <c r="ES588" s="195"/>
      <c r="ET588" s="195"/>
      <c r="EU588" s="731"/>
    </row>
    <row r="589" customFormat="false" ht="12.75" hidden="false" customHeight="false" outlineLevel="0" collapsed="false">
      <c r="I589" s="735"/>
      <c r="J589" s="728"/>
      <c r="K589" s="195"/>
      <c r="L589" s="195"/>
      <c r="S589" s="1"/>
      <c r="T589" s="195"/>
      <c r="U589" s="195"/>
      <c r="V589" s="195"/>
      <c r="W589" s="195"/>
      <c r="X589" s="195"/>
      <c r="Y589" s="195"/>
      <c r="Z589" s="195"/>
      <c r="AA589" s="195"/>
      <c r="AB589" s="195"/>
      <c r="AC589" s="195"/>
      <c r="AD589" s="195"/>
      <c r="AE589" s="195"/>
      <c r="AF589" s="195"/>
      <c r="AG589" s="195"/>
      <c r="AH589" s="195"/>
      <c r="AI589" s="195"/>
      <c r="AJ589" s="195"/>
      <c r="AK589" s="195"/>
      <c r="AL589" s="195"/>
      <c r="AM589" s="195"/>
      <c r="AN589" s="195"/>
      <c r="AO589" s="195"/>
      <c r="AP589" s="240"/>
      <c r="AQ589" s="195"/>
      <c r="AR589" s="240"/>
      <c r="AS589" s="240"/>
      <c r="AT589" s="240"/>
      <c r="AU589" s="240"/>
      <c r="AV589" s="730"/>
      <c r="AW589" s="730"/>
      <c r="AX589" s="730"/>
      <c r="AY589" s="468"/>
      <c r="AZ589" s="468"/>
      <c r="BA589" s="240"/>
      <c r="BB589" s="240"/>
      <c r="BC589" s="240"/>
      <c r="BD589" s="240"/>
      <c r="BE589" s="240"/>
      <c r="BF589" s="672"/>
      <c r="BG589" s="672"/>
      <c r="BH589" s="731"/>
      <c r="BI589" s="672"/>
      <c r="BJ589" s="240"/>
      <c r="BK589" s="736"/>
      <c r="BL589" s="732"/>
      <c r="BM589" s="240"/>
      <c r="BN589" s="240"/>
      <c r="BO589" s="240"/>
      <c r="BP589" s="240"/>
      <c r="BQ589" s="240"/>
      <c r="BR589" s="240"/>
      <c r="BS589" s="240"/>
      <c r="BT589" s="240"/>
      <c r="BU589" s="240"/>
      <c r="BV589" s="240"/>
      <c r="BW589" s="240"/>
      <c r="BX589" s="240"/>
      <c r="BY589" s="240"/>
      <c r="BZ589" s="240"/>
      <c r="CA589" s="240"/>
      <c r="CB589" s="672"/>
      <c r="CC589" s="672"/>
      <c r="CD589" s="672"/>
      <c r="CE589" s="672"/>
      <c r="CF589" s="672"/>
      <c r="CG589" s="672"/>
      <c r="CH589" s="240"/>
      <c r="CI589" s="240"/>
      <c r="CJ589" s="240"/>
      <c r="CK589" s="240"/>
      <c r="CL589" s="240"/>
      <c r="CM589" s="240"/>
      <c r="CN589" s="240"/>
      <c r="CO589" s="240"/>
      <c r="CP589" s="240"/>
      <c r="CQ589" s="240"/>
      <c r="CR589" s="240"/>
      <c r="CS589" s="240"/>
      <c r="CT589" s="240"/>
      <c r="CU589" s="240"/>
      <c r="CV589" s="240"/>
      <c r="CW589" s="240"/>
      <c r="CX589" s="240"/>
      <c r="CY589" s="240"/>
      <c r="CZ589" s="240"/>
      <c r="DA589" s="240"/>
      <c r="DB589" s="240"/>
      <c r="DC589" s="240"/>
      <c r="DD589" s="240"/>
      <c r="DE589" s="240"/>
      <c r="DF589" s="240"/>
      <c r="DG589" s="728"/>
      <c r="DH589" s="728"/>
      <c r="DI589" s="195"/>
      <c r="DJ589" s="1"/>
      <c r="DK589" s="3"/>
      <c r="DL589" s="4"/>
      <c r="DM589" s="4"/>
      <c r="DN589" s="4"/>
      <c r="DO589" s="4"/>
      <c r="DP589" s="4"/>
      <c r="DQ589" s="4"/>
      <c r="DR589" s="4"/>
      <c r="DT589" s="195"/>
      <c r="DU589" s="195"/>
      <c r="DV589" s="195"/>
      <c r="DW589" s="195"/>
      <c r="DX589" s="195"/>
      <c r="DY589" s="195"/>
      <c r="DZ589" s="195"/>
      <c r="EA589" s="195"/>
      <c r="EB589" s="195"/>
      <c r="EC589" s="195"/>
      <c r="ED589" s="195"/>
      <c r="EE589" s="195"/>
      <c r="EF589" s="195"/>
      <c r="EG589" s="195"/>
      <c r="EL589" s="1"/>
      <c r="EM589" s="195"/>
      <c r="EN589" s="731"/>
      <c r="EO589" s="240"/>
      <c r="EP589" s="195"/>
      <c r="EQ589" s="240"/>
      <c r="ER589" s="195"/>
      <c r="ES589" s="195"/>
      <c r="ET589" s="195"/>
      <c r="EU589" s="731"/>
    </row>
    <row r="590" customFormat="false" ht="12.75" hidden="false" customHeight="false" outlineLevel="0" collapsed="false">
      <c r="I590" s="735"/>
      <c r="J590" s="728"/>
      <c r="K590" s="195"/>
      <c r="L590" s="195"/>
      <c r="S590" s="1"/>
      <c r="T590" s="195"/>
      <c r="U590" s="195"/>
      <c r="V590" s="195"/>
      <c r="W590" s="195"/>
      <c r="X590" s="195"/>
      <c r="Y590" s="195"/>
      <c r="Z590" s="195"/>
      <c r="AA590" s="195"/>
      <c r="AB590" s="195"/>
      <c r="AC590" s="195"/>
      <c r="AD590" s="195"/>
      <c r="AE590" s="195"/>
      <c r="AF590" s="195"/>
      <c r="AG590" s="195"/>
      <c r="AH590" s="195"/>
      <c r="AI590" s="195"/>
      <c r="AJ590" s="195"/>
      <c r="AK590" s="195"/>
      <c r="AL590" s="195"/>
      <c r="AM590" s="195"/>
      <c r="AN590" s="195"/>
      <c r="AO590" s="195"/>
      <c r="AP590" s="240"/>
      <c r="AQ590" s="195"/>
      <c r="AR590" s="240"/>
      <c r="AS590" s="240"/>
      <c r="AT590" s="240"/>
      <c r="AU590" s="240"/>
      <c r="AV590" s="730"/>
      <c r="AW590" s="730"/>
      <c r="AX590" s="730"/>
      <c r="AY590" s="468"/>
      <c r="AZ590" s="468"/>
      <c r="BA590" s="240"/>
      <c r="BB590" s="240"/>
      <c r="BC590" s="240"/>
      <c r="BD590" s="240"/>
      <c r="BE590" s="240"/>
      <c r="BF590" s="672"/>
      <c r="BG590" s="672"/>
      <c r="BH590" s="731"/>
      <c r="BI590" s="672"/>
      <c r="BJ590" s="240"/>
      <c r="BK590" s="736"/>
      <c r="BL590" s="732"/>
      <c r="BM590" s="240"/>
      <c r="BN590" s="240"/>
      <c r="BO590" s="240"/>
      <c r="BP590" s="240"/>
      <c r="BQ590" s="240"/>
      <c r="BR590" s="240"/>
      <c r="BS590" s="240"/>
      <c r="BT590" s="240"/>
      <c r="BU590" s="240"/>
      <c r="BV590" s="240"/>
      <c r="BW590" s="240"/>
      <c r="BX590" s="240"/>
      <c r="BY590" s="240"/>
      <c r="BZ590" s="240"/>
      <c r="CA590" s="240"/>
      <c r="CB590" s="672"/>
      <c r="CC590" s="672"/>
      <c r="CD590" s="672"/>
      <c r="CE590" s="672"/>
      <c r="CF590" s="672"/>
      <c r="CG590" s="672"/>
      <c r="CH590" s="240"/>
      <c r="CI590" s="240"/>
      <c r="CJ590" s="240"/>
      <c r="CK590" s="240"/>
      <c r="CL590" s="240"/>
      <c r="CM590" s="240"/>
      <c r="CN590" s="240"/>
      <c r="CO590" s="240"/>
      <c r="CP590" s="240"/>
      <c r="CQ590" s="240"/>
      <c r="CR590" s="240"/>
      <c r="CS590" s="240"/>
      <c r="CT590" s="240"/>
      <c r="CU590" s="240"/>
      <c r="CV590" s="240"/>
      <c r="CW590" s="240"/>
      <c r="CX590" s="240"/>
      <c r="CY590" s="240"/>
      <c r="CZ590" s="240"/>
      <c r="DA590" s="240"/>
      <c r="DB590" s="240"/>
      <c r="DC590" s="240"/>
      <c r="DD590" s="240"/>
      <c r="DE590" s="240"/>
      <c r="DF590" s="240"/>
      <c r="DG590" s="728"/>
      <c r="DH590" s="728"/>
      <c r="DI590" s="195"/>
      <c r="DJ590" s="1"/>
      <c r="DK590" s="3"/>
      <c r="DL590" s="4"/>
      <c r="DM590" s="4"/>
      <c r="DN590" s="4"/>
      <c r="DO590" s="4"/>
      <c r="DP590" s="4"/>
      <c r="DQ590" s="4"/>
      <c r="DR590" s="4"/>
      <c r="DT590" s="195"/>
      <c r="DU590" s="195"/>
      <c r="DV590" s="195"/>
      <c r="DW590" s="195"/>
      <c r="DX590" s="195"/>
      <c r="DY590" s="195"/>
      <c r="DZ590" s="195"/>
      <c r="EA590" s="195"/>
      <c r="EB590" s="195"/>
      <c r="EC590" s="195"/>
      <c r="ED590" s="195"/>
      <c r="EE590" s="195"/>
      <c r="EF590" s="195"/>
      <c r="EG590" s="195"/>
      <c r="EL590" s="1"/>
      <c r="EM590" s="195"/>
      <c r="EN590" s="731"/>
      <c r="EO590" s="240"/>
      <c r="EP590" s="195"/>
      <c r="EQ590" s="240"/>
      <c r="ER590" s="195"/>
      <c r="ES590" s="195"/>
      <c r="ET590" s="195"/>
      <c r="EU590" s="731"/>
    </row>
    <row r="591" customFormat="false" ht="12.75" hidden="false" customHeight="false" outlineLevel="0" collapsed="false">
      <c r="I591" s="735"/>
      <c r="J591" s="728"/>
      <c r="K591" s="195"/>
      <c r="L591" s="195"/>
      <c r="S591" s="1"/>
      <c r="T591" s="195"/>
      <c r="U591" s="195"/>
      <c r="V591" s="195"/>
      <c r="W591" s="195"/>
      <c r="X591" s="195"/>
      <c r="Y591" s="195"/>
      <c r="Z591" s="195"/>
      <c r="AA591" s="195"/>
      <c r="AB591" s="195"/>
      <c r="AC591" s="195"/>
      <c r="AD591" s="195"/>
      <c r="AE591" s="195"/>
      <c r="AF591" s="195"/>
      <c r="AG591" s="195"/>
      <c r="AH591" s="195"/>
      <c r="AI591" s="195"/>
      <c r="AJ591" s="195"/>
      <c r="AK591" s="195"/>
      <c r="AL591" s="195"/>
      <c r="AM591" s="195"/>
      <c r="AN591" s="195"/>
      <c r="AO591" s="195"/>
      <c r="AP591" s="240"/>
      <c r="AQ591" s="195"/>
      <c r="AR591" s="240"/>
      <c r="AS591" s="240"/>
      <c r="AT591" s="240"/>
      <c r="AU591" s="240"/>
      <c r="AV591" s="730"/>
      <c r="AW591" s="730"/>
      <c r="AX591" s="730"/>
      <c r="AY591" s="468"/>
      <c r="AZ591" s="468"/>
      <c r="BA591" s="240"/>
      <c r="BB591" s="240"/>
      <c r="BC591" s="240"/>
      <c r="BD591" s="240"/>
      <c r="BE591" s="240"/>
      <c r="BF591" s="672"/>
      <c r="BG591" s="672"/>
      <c r="BH591" s="731"/>
      <c r="BI591" s="672"/>
      <c r="BJ591" s="240"/>
      <c r="BK591" s="736"/>
      <c r="BL591" s="732"/>
      <c r="BM591" s="240"/>
      <c r="BN591" s="240"/>
      <c r="BO591" s="240"/>
      <c r="BP591" s="240"/>
      <c r="BQ591" s="240"/>
      <c r="BR591" s="240"/>
      <c r="BS591" s="240"/>
      <c r="BT591" s="240"/>
      <c r="BU591" s="240"/>
      <c r="BV591" s="240"/>
      <c r="BW591" s="240"/>
      <c r="BX591" s="240"/>
      <c r="BY591" s="240"/>
      <c r="BZ591" s="240"/>
      <c r="CA591" s="240"/>
      <c r="CB591" s="672"/>
      <c r="CC591" s="672"/>
      <c r="CD591" s="672"/>
      <c r="CE591" s="672"/>
      <c r="CF591" s="672"/>
      <c r="CG591" s="672"/>
      <c r="CH591" s="240"/>
      <c r="CI591" s="240"/>
      <c r="CJ591" s="240"/>
      <c r="CK591" s="240"/>
      <c r="CL591" s="240"/>
      <c r="CM591" s="240"/>
      <c r="CN591" s="240"/>
      <c r="CO591" s="240"/>
      <c r="CP591" s="240"/>
      <c r="CQ591" s="240"/>
      <c r="CR591" s="240"/>
      <c r="CS591" s="240"/>
      <c r="CT591" s="240"/>
      <c r="CU591" s="240"/>
      <c r="CV591" s="240"/>
      <c r="CW591" s="240"/>
      <c r="CX591" s="240"/>
      <c r="CY591" s="240"/>
      <c r="CZ591" s="240"/>
      <c r="DA591" s="240"/>
      <c r="DB591" s="240"/>
      <c r="DC591" s="240"/>
      <c r="DD591" s="240"/>
      <c r="DE591" s="240"/>
      <c r="DF591" s="240"/>
      <c r="DG591" s="728"/>
      <c r="DH591" s="728"/>
      <c r="DI591" s="195"/>
      <c r="DJ591" s="1"/>
      <c r="DK591" s="3"/>
      <c r="DL591" s="4"/>
      <c r="DM591" s="4"/>
      <c r="DN591" s="4"/>
      <c r="DO591" s="4"/>
      <c r="DP591" s="4"/>
      <c r="DQ591" s="4"/>
      <c r="DR591" s="4"/>
      <c r="DT591" s="195"/>
      <c r="DU591" s="195"/>
      <c r="DV591" s="195"/>
      <c r="DW591" s="195"/>
      <c r="DX591" s="195"/>
      <c r="DY591" s="195"/>
      <c r="DZ591" s="195"/>
      <c r="EA591" s="195"/>
      <c r="EB591" s="195"/>
      <c r="EC591" s="195"/>
      <c r="ED591" s="195"/>
      <c r="EE591" s="195"/>
      <c r="EF591" s="195"/>
      <c r="EG591" s="195"/>
      <c r="EL591" s="1"/>
      <c r="EM591" s="195"/>
      <c r="EN591" s="731"/>
      <c r="EO591" s="240"/>
      <c r="EP591" s="195"/>
      <c r="EQ591" s="240"/>
      <c r="ER591" s="195"/>
      <c r="ES591" s="195"/>
      <c r="ET591" s="195"/>
      <c r="EU591" s="731"/>
    </row>
    <row r="592" customFormat="false" ht="12.75" hidden="false" customHeight="false" outlineLevel="0" collapsed="false">
      <c r="I592" s="735"/>
      <c r="J592" s="728"/>
      <c r="K592" s="195"/>
      <c r="L592" s="195"/>
      <c r="S592" s="1"/>
      <c r="T592" s="195"/>
      <c r="U592" s="195"/>
      <c r="V592" s="195"/>
      <c r="W592" s="195"/>
      <c r="X592" s="195"/>
      <c r="Y592" s="195"/>
      <c r="Z592" s="195"/>
      <c r="AA592" s="195"/>
      <c r="AB592" s="195"/>
      <c r="AC592" s="195"/>
      <c r="AD592" s="195"/>
      <c r="AE592" s="195"/>
      <c r="AF592" s="195"/>
      <c r="AG592" s="195"/>
      <c r="AH592" s="195"/>
      <c r="AI592" s="195"/>
      <c r="AJ592" s="195"/>
      <c r="AK592" s="195"/>
      <c r="AL592" s="195"/>
      <c r="AM592" s="195"/>
      <c r="AN592" s="195"/>
      <c r="AO592" s="195"/>
      <c r="AP592" s="240"/>
      <c r="AQ592" s="195"/>
      <c r="AR592" s="240"/>
      <c r="AS592" s="240"/>
      <c r="AT592" s="240"/>
      <c r="AU592" s="240"/>
      <c r="AV592" s="730"/>
      <c r="AW592" s="730"/>
      <c r="AX592" s="730"/>
      <c r="AY592" s="468"/>
      <c r="AZ592" s="468"/>
      <c r="BA592" s="240"/>
      <c r="BB592" s="240"/>
      <c r="BC592" s="240"/>
      <c r="BD592" s="240"/>
      <c r="BE592" s="240"/>
      <c r="BF592" s="672"/>
      <c r="BG592" s="672"/>
      <c r="BH592" s="731"/>
      <c r="BI592" s="672"/>
      <c r="BJ592" s="240"/>
      <c r="BK592" s="736"/>
      <c r="BL592" s="732"/>
      <c r="BM592" s="240"/>
      <c r="BN592" s="240"/>
      <c r="BO592" s="240"/>
      <c r="BP592" s="240"/>
      <c r="BQ592" s="240"/>
      <c r="BR592" s="240"/>
      <c r="BS592" s="240"/>
      <c r="BT592" s="240"/>
      <c r="BU592" s="240"/>
      <c r="BV592" s="240"/>
      <c r="BW592" s="240"/>
      <c r="BX592" s="240"/>
      <c r="BY592" s="240"/>
      <c r="BZ592" s="240"/>
      <c r="CA592" s="240"/>
      <c r="CB592" s="672"/>
      <c r="CC592" s="672"/>
      <c r="CD592" s="672"/>
      <c r="CE592" s="672"/>
      <c r="CF592" s="672"/>
      <c r="CG592" s="672"/>
      <c r="CH592" s="240"/>
      <c r="CI592" s="240"/>
      <c r="CJ592" s="240"/>
      <c r="CK592" s="240"/>
      <c r="CL592" s="240"/>
      <c r="CM592" s="240"/>
      <c r="CN592" s="240"/>
      <c r="CO592" s="240"/>
      <c r="CP592" s="240"/>
      <c r="CQ592" s="240"/>
      <c r="CR592" s="240"/>
      <c r="CS592" s="240"/>
      <c r="CT592" s="240"/>
      <c r="CU592" s="240"/>
      <c r="CV592" s="240"/>
      <c r="CW592" s="240"/>
      <c r="CX592" s="240"/>
      <c r="CY592" s="240"/>
      <c r="CZ592" s="240"/>
      <c r="DA592" s="240"/>
      <c r="DB592" s="240"/>
      <c r="DC592" s="240"/>
      <c r="DD592" s="240"/>
      <c r="DE592" s="240"/>
      <c r="DF592" s="240"/>
      <c r="DG592" s="728"/>
      <c r="DH592" s="728"/>
      <c r="DI592" s="195"/>
      <c r="DJ592" s="1"/>
      <c r="DK592" s="3"/>
      <c r="DL592" s="4"/>
      <c r="DM592" s="4"/>
      <c r="DN592" s="4"/>
      <c r="DO592" s="4"/>
      <c r="DP592" s="4"/>
      <c r="DQ592" s="4"/>
      <c r="DR592" s="4"/>
      <c r="DT592" s="195"/>
      <c r="DU592" s="195"/>
      <c r="DV592" s="195"/>
      <c r="DW592" s="195"/>
      <c r="DX592" s="195"/>
      <c r="DY592" s="195"/>
      <c r="DZ592" s="195"/>
      <c r="EA592" s="195"/>
      <c r="EB592" s="195"/>
      <c r="EC592" s="195"/>
      <c r="ED592" s="195"/>
      <c r="EE592" s="195"/>
      <c r="EF592" s="195"/>
      <c r="EG592" s="195"/>
      <c r="EL592" s="1"/>
      <c r="EM592" s="195"/>
      <c r="EN592" s="731"/>
      <c r="EO592" s="240"/>
      <c r="EP592" s="195"/>
      <c r="EQ592" s="240"/>
      <c r="ER592" s="195"/>
      <c r="ES592" s="195"/>
      <c r="ET592" s="195"/>
      <c r="EU592" s="731"/>
    </row>
    <row r="593" customFormat="false" ht="12.75" hidden="false" customHeight="false" outlineLevel="0" collapsed="false">
      <c r="I593" s="735"/>
      <c r="J593" s="728"/>
      <c r="K593" s="195"/>
      <c r="L593" s="195"/>
      <c r="S593" s="1"/>
      <c r="T593" s="195"/>
      <c r="U593" s="195"/>
      <c r="V593" s="195"/>
      <c r="W593" s="195"/>
      <c r="X593" s="195"/>
      <c r="Y593" s="195"/>
      <c r="Z593" s="195"/>
      <c r="AA593" s="195"/>
      <c r="AB593" s="195"/>
      <c r="AC593" s="195"/>
      <c r="AD593" s="195"/>
      <c r="AE593" s="195"/>
      <c r="AF593" s="195"/>
      <c r="AG593" s="195"/>
      <c r="AH593" s="195"/>
      <c r="AI593" s="195"/>
      <c r="AJ593" s="195"/>
      <c r="AK593" s="195"/>
      <c r="AL593" s="195"/>
      <c r="AM593" s="195"/>
      <c r="AN593" s="195"/>
      <c r="AO593" s="195"/>
      <c r="AP593" s="240"/>
      <c r="AQ593" s="195"/>
      <c r="AR593" s="240"/>
      <c r="AS593" s="240"/>
      <c r="AT593" s="240"/>
      <c r="AU593" s="240"/>
      <c r="AV593" s="730"/>
      <c r="AW593" s="730"/>
      <c r="AX593" s="730"/>
      <c r="AY593" s="468"/>
      <c r="AZ593" s="468"/>
      <c r="BA593" s="240"/>
      <c r="BB593" s="240"/>
      <c r="BC593" s="240"/>
      <c r="BD593" s="240"/>
      <c r="BE593" s="240"/>
      <c r="BF593" s="672"/>
      <c r="BG593" s="672"/>
      <c r="BH593" s="731"/>
      <c r="BI593" s="672"/>
      <c r="BJ593" s="240"/>
      <c r="BK593" s="736"/>
      <c r="BL593" s="732"/>
      <c r="BM593" s="240"/>
      <c r="BN593" s="240"/>
      <c r="BO593" s="240"/>
      <c r="BP593" s="240"/>
      <c r="BQ593" s="240"/>
      <c r="BR593" s="240"/>
      <c r="BS593" s="240"/>
      <c r="BT593" s="240"/>
      <c r="BU593" s="240"/>
      <c r="BV593" s="240"/>
      <c r="BW593" s="240"/>
      <c r="BX593" s="240"/>
      <c r="BY593" s="240"/>
      <c r="BZ593" s="240"/>
      <c r="CA593" s="240"/>
      <c r="CB593" s="672"/>
      <c r="CC593" s="672"/>
      <c r="CD593" s="672"/>
      <c r="CE593" s="672"/>
      <c r="CF593" s="672"/>
      <c r="CG593" s="672"/>
      <c r="CH593" s="240"/>
      <c r="CI593" s="240"/>
      <c r="CJ593" s="240"/>
      <c r="CK593" s="240"/>
      <c r="CL593" s="240"/>
      <c r="CM593" s="240"/>
      <c r="CN593" s="240"/>
      <c r="CO593" s="240"/>
      <c r="CP593" s="240"/>
      <c r="CQ593" s="240"/>
      <c r="CR593" s="240"/>
      <c r="CS593" s="240"/>
      <c r="CT593" s="240"/>
      <c r="CU593" s="240"/>
      <c r="CV593" s="240"/>
      <c r="CW593" s="240"/>
      <c r="CX593" s="240"/>
      <c r="CY593" s="240"/>
      <c r="CZ593" s="240"/>
      <c r="DA593" s="240"/>
      <c r="DB593" s="240"/>
      <c r="DC593" s="240"/>
      <c r="DD593" s="240"/>
      <c r="DE593" s="240"/>
      <c r="DF593" s="240"/>
      <c r="DG593" s="728"/>
      <c r="DH593" s="728"/>
      <c r="DI593" s="195"/>
      <c r="DJ593" s="1"/>
      <c r="DK593" s="3"/>
      <c r="DL593" s="4"/>
      <c r="DM593" s="4"/>
      <c r="DN593" s="4"/>
      <c r="DO593" s="4"/>
      <c r="DP593" s="4"/>
      <c r="DQ593" s="4"/>
      <c r="DR593" s="4"/>
      <c r="DT593" s="195"/>
      <c r="DU593" s="195"/>
      <c r="DV593" s="195"/>
      <c r="DW593" s="195"/>
      <c r="DX593" s="195"/>
      <c r="DY593" s="195"/>
      <c r="DZ593" s="195"/>
      <c r="EA593" s="195"/>
      <c r="EB593" s="195"/>
      <c r="EC593" s="195"/>
      <c r="ED593" s="195"/>
      <c r="EE593" s="195"/>
      <c r="EF593" s="195"/>
      <c r="EG593" s="195"/>
      <c r="EL593" s="1"/>
      <c r="EM593" s="195"/>
      <c r="EN593" s="731"/>
      <c r="EO593" s="240"/>
      <c r="EP593" s="195"/>
      <c r="EQ593" s="240"/>
      <c r="ER593" s="195"/>
      <c r="ES593" s="195"/>
      <c r="ET593" s="195"/>
      <c r="EU593" s="731"/>
    </row>
    <row r="594" customFormat="false" ht="12.75" hidden="false" customHeight="false" outlineLevel="0" collapsed="false">
      <c r="I594" s="735"/>
      <c r="J594" s="728"/>
      <c r="K594" s="195"/>
      <c r="L594" s="195"/>
      <c r="Q594" s="195"/>
      <c r="R594" s="195"/>
      <c r="S594" s="240"/>
      <c r="T594" s="195"/>
      <c r="U594" s="195"/>
      <c r="V594" s="195"/>
      <c r="W594" s="195"/>
      <c r="X594" s="195"/>
      <c r="Y594" s="195"/>
      <c r="Z594" s="195"/>
      <c r="AA594" s="195"/>
      <c r="AB594" s="195"/>
      <c r="AC594" s="195"/>
      <c r="AD594" s="195"/>
      <c r="AE594" s="195"/>
      <c r="AF594" s="195"/>
      <c r="AG594" s="195"/>
      <c r="AH594" s="195"/>
      <c r="AI594" s="195"/>
      <c r="AJ594" s="195"/>
      <c r="AK594" s="195"/>
      <c r="AL594" s="195"/>
      <c r="AM594" s="195"/>
      <c r="AN594" s="1"/>
      <c r="AO594" s="240"/>
      <c r="AP594" s="240"/>
      <c r="AQ594" s="240"/>
      <c r="AR594" s="240"/>
      <c r="AS594" s="240"/>
      <c r="AT594" s="730"/>
      <c r="AU594" s="730"/>
      <c r="AV594" s="730"/>
      <c r="AW594" s="468"/>
      <c r="AX594" s="468"/>
      <c r="AY594" s="240"/>
      <c r="AZ594" s="240"/>
      <c r="BA594" s="240"/>
      <c r="BB594" s="240"/>
      <c r="BC594" s="240"/>
      <c r="BD594" s="240"/>
      <c r="BE594" s="672"/>
      <c r="BF594" s="731"/>
      <c r="BG594" s="731"/>
      <c r="BH594" s="731"/>
      <c r="BI594" s="736"/>
      <c r="BJ594" s="732"/>
      <c r="BK594" s="240"/>
      <c r="BL594" s="240"/>
      <c r="BM594" s="240"/>
      <c r="BN594" s="240"/>
      <c r="BO594" s="240"/>
      <c r="BP594" s="240"/>
      <c r="BQ594" s="240"/>
      <c r="BR594" s="240"/>
      <c r="BS594" s="240"/>
      <c r="BT594" s="240"/>
      <c r="BU594" s="240"/>
      <c r="BV594" s="240"/>
      <c r="BW594" s="240"/>
      <c r="BX594" s="672"/>
      <c r="BY594" s="240"/>
      <c r="BZ594" s="672"/>
      <c r="CA594" s="672"/>
      <c r="CB594" s="672"/>
      <c r="CC594" s="672"/>
      <c r="CD594" s="672"/>
      <c r="CE594" s="672"/>
      <c r="CF594" s="672"/>
      <c r="CG594" s="672"/>
      <c r="CH594" s="240"/>
      <c r="CI594" s="240"/>
      <c r="CJ594" s="240"/>
      <c r="CK594" s="240"/>
      <c r="CL594" s="240"/>
      <c r="CM594" s="728"/>
      <c r="CN594" s="728"/>
      <c r="CO594" s="728"/>
      <c r="CP594" s="728"/>
      <c r="CQ594" s="728"/>
      <c r="CR594" s="728"/>
      <c r="CS594" s="728"/>
      <c r="CT594" s="728"/>
      <c r="CU594" s="728"/>
      <c r="CV594" s="728"/>
      <c r="CW594" s="728"/>
      <c r="CX594" s="728"/>
      <c r="CY594" s="728"/>
      <c r="CZ594" s="728"/>
      <c r="DA594" s="728"/>
      <c r="DB594" s="728"/>
      <c r="DC594" s="728"/>
      <c r="DD594" s="728"/>
      <c r="DE594" s="728"/>
      <c r="DF594" s="728"/>
      <c r="DG594" s="195"/>
      <c r="DH594" s="1"/>
      <c r="DI594" s="3"/>
      <c r="DL594" s="4"/>
      <c r="DM594" s="4"/>
      <c r="DN594" s="4"/>
      <c r="DO594" s="4"/>
      <c r="DP594" s="4"/>
      <c r="DR594" s="195"/>
      <c r="DS594" s="195"/>
      <c r="DT594" s="195"/>
      <c r="DU594" s="195"/>
      <c r="DV594" s="195"/>
      <c r="DW594" s="195"/>
      <c r="DX594" s="195"/>
      <c r="DY594" s="195"/>
      <c r="DZ594" s="195"/>
      <c r="EA594" s="195"/>
      <c r="EB594" s="195"/>
      <c r="EC594" s="195"/>
      <c r="ED594" s="195"/>
      <c r="EE594" s="195"/>
      <c r="EF594" s="195"/>
      <c r="EG594" s="195"/>
      <c r="EL594" s="1"/>
      <c r="EM594" s="195"/>
      <c r="EN594" s="240"/>
      <c r="EO594" s="240"/>
      <c r="EP594" s="195"/>
      <c r="EQ594" s="240"/>
      <c r="ER594" s="195"/>
      <c r="ES594" s="195"/>
      <c r="ET594" s="195"/>
      <c r="EU594" s="672"/>
    </row>
    <row r="595" customFormat="false" ht="12.75" hidden="false" customHeight="false" outlineLevel="0" collapsed="false">
      <c r="I595" s="735"/>
      <c r="J595" s="728"/>
      <c r="K595" s="195"/>
      <c r="L595" s="195"/>
      <c r="Q595" s="195"/>
      <c r="R595" s="195"/>
      <c r="S595" s="240"/>
      <c r="T595" s="195"/>
      <c r="U595" s="195"/>
      <c r="V595" s="195"/>
      <c r="W595" s="195"/>
      <c r="X595" s="195"/>
      <c r="Y595" s="195"/>
      <c r="Z595" s="195"/>
      <c r="AA595" s="195"/>
      <c r="AB595" s="195"/>
      <c r="AC595" s="195"/>
      <c r="AD595" s="195"/>
      <c r="AE595" s="195"/>
      <c r="AF595" s="195"/>
      <c r="AG595" s="195"/>
      <c r="AH595" s="195"/>
      <c r="AI595" s="195"/>
      <c r="AJ595" s="195"/>
      <c r="AK595" s="195"/>
      <c r="AL595" s="195"/>
      <c r="AM595" s="195"/>
      <c r="AN595" s="1"/>
      <c r="AO595" s="240"/>
      <c r="AP595" s="240"/>
      <c r="AQ595" s="240"/>
      <c r="AR595" s="240"/>
      <c r="AS595" s="240"/>
      <c r="AT595" s="730"/>
      <c r="AU595" s="730"/>
      <c r="AV595" s="730"/>
      <c r="AW595" s="468"/>
      <c r="AX595" s="468"/>
      <c r="AY595" s="240"/>
      <c r="AZ595" s="240"/>
      <c r="BA595" s="240"/>
      <c r="BB595" s="240"/>
      <c r="BC595" s="240"/>
      <c r="BD595" s="240"/>
      <c r="BE595" s="672"/>
      <c r="BF595" s="731"/>
      <c r="BG595" s="731"/>
      <c r="BH595" s="731"/>
      <c r="BI595" s="736"/>
      <c r="BJ595" s="732"/>
      <c r="BK595" s="240"/>
      <c r="BL595" s="240"/>
      <c r="BM595" s="240"/>
      <c r="BN595" s="240"/>
      <c r="BO595" s="240"/>
      <c r="BP595" s="240"/>
      <c r="BQ595" s="240"/>
      <c r="BR595" s="240"/>
      <c r="BS595" s="240"/>
      <c r="BT595" s="240"/>
      <c r="BU595" s="240"/>
      <c r="BV595" s="240"/>
      <c r="BW595" s="240"/>
      <c r="BX595" s="672"/>
      <c r="BY595" s="240"/>
      <c r="BZ595" s="672"/>
      <c r="CA595" s="672"/>
      <c r="CB595" s="672"/>
      <c r="CC595" s="672"/>
      <c r="CD595" s="672"/>
      <c r="CE595" s="672"/>
      <c r="CF595" s="672"/>
      <c r="CG595" s="672"/>
      <c r="CH595" s="240"/>
      <c r="CI595" s="240"/>
      <c r="CJ595" s="240"/>
      <c r="CK595" s="240"/>
      <c r="CL595" s="240"/>
      <c r="CM595" s="728"/>
      <c r="CN595" s="728"/>
      <c r="CO595" s="728"/>
      <c r="CP595" s="728"/>
      <c r="CQ595" s="728"/>
      <c r="CR595" s="728"/>
      <c r="CS595" s="728"/>
      <c r="CT595" s="728"/>
      <c r="CU595" s="728"/>
      <c r="CV595" s="728"/>
      <c r="CW595" s="728"/>
      <c r="CX595" s="728"/>
      <c r="CY595" s="728"/>
      <c r="CZ595" s="728"/>
      <c r="DA595" s="728"/>
      <c r="DB595" s="728"/>
      <c r="DC595" s="728"/>
      <c r="DD595" s="728"/>
      <c r="DE595" s="728"/>
      <c r="DF595" s="728"/>
      <c r="DG595" s="195"/>
      <c r="DH595" s="1"/>
      <c r="DI595" s="3"/>
      <c r="DL595" s="4"/>
      <c r="DM595" s="4"/>
      <c r="DN595" s="4"/>
      <c r="DO595" s="4"/>
      <c r="DP595" s="4"/>
      <c r="DR595" s="195"/>
      <c r="DS595" s="195"/>
      <c r="DT595" s="195"/>
      <c r="DU595" s="195"/>
      <c r="DV595" s="195"/>
      <c r="DW595" s="195"/>
      <c r="DX595" s="195"/>
      <c r="DY595" s="195"/>
      <c r="DZ595" s="195"/>
      <c r="EA595" s="195"/>
      <c r="EB595" s="195"/>
      <c r="EC595" s="195"/>
      <c r="ED595" s="195"/>
      <c r="EE595" s="195"/>
      <c r="EF595" s="195"/>
      <c r="EG595" s="195"/>
      <c r="EL595" s="1"/>
      <c r="EM595" s="195"/>
      <c r="EN595" s="240"/>
      <c r="EO595" s="240"/>
      <c r="EP595" s="195"/>
      <c r="EQ595" s="240"/>
      <c r="ER595" s="195"/>
      <c r="ES595" s="195"/>
      <c r="ET595" s="195"/>
      <c r="EU595" s="672"/>
    </row>
    <row r="596" customFormat="false" ht="12.75" hidden="false" customHeight="false" outlineLevel="0" collapsed="false">
      <c r="I596" s="735"/>
      <c r="J596" s="728"/>
      <c r="K596" s="195"/>
      <c r="L596" s="195"/>
      <c r="Q596" s="195"/>
      <c r="R596" s="195"/>
      <c r="S596" s="240"/>
      <c r="T596" s="195"/>
      <c r="U596" s="195"/>
      <c r="V596" s="195"/>
      <c r="W596" s="195"/>
      <c r="X596" s="195"/>
      <c r="Y596" s="195"/>
      <c r="Z596" s="195"/>
      <c r="AA596" s="195"/>
      <c r="AB596" s="195"/>
      <c r="AC596" s="195"/>
      <c r="AD596" s="195"/>
      <c r="AE596" s="195"/>
      <c r="AF596" s="195"/>
      <c r="AG596" s="195"/>
      <c r="AH596" s="195"/>
      <c r="AI596" s="195"/>
      <c r="AJ596" s="195"/>
      <c r="AK596" s="195"/>
      <c r="AL596" s="195"/>
      <c r="AM596" s="195"/>
      <c r="AN596" s="1"/>
      <c r="AO596" s="240"/>
      <c r="AP596" s="240"/>
      <c r="AQ596" s="240"/>
      <c r="AR596" s="240"/>
      <c r="AS596" s="240"/>
      <c r="AT596" s="730"/>
      <c r="AU596" s="730"/>
      <c r="AV596" s="730"/>
      <c r="AW596" s="468"/>
      <c r="AX596" s="468"/>
      <c r="AY596" s="240"/>
      <c r="AZ596" s="240"/>
      <c r="BA596" s="240"/>
      <c r="BB596" s="240"/>
      <c r="BC596" s="240"/>
      <c r="BD596" s="240"/>
      <c r="BE596" s="672"/>
      <c r="BF596" s="731"/>
      <c r="BG596" s="731"/>
      <c r="BH596" s="731"/>
      <c r="BI596" s="736"/>
      <c r="BJ596" s="732"/>
      <c r="BK596" s="240"/>
      <c r="BL596" s="240"/>
      <c r="BM596" s="240"/>
      <c r="BN596" s="240"/>
      <c r="BO596" s="240"/>
      <c r="BP596" s="240"/>
      <c r="BQ596" s="240"/>
      <c r="BR596" s="240"/>
      <c r="BS596" s="240"/>
      <c r="BT596" s="240"/>
      <c r="BU596" s="240"/>
      <c r="BV596" s="240"/>
      <c r="BW596" s="240"/>
      <c r="BX596" s="672"/>
      <c r="BY596" s="240"/>
      <c r="BZ596" s="672"/>
      <c r="CA596" s="672"/>
      <c r="CB596" s="672"/>
      <c r="CC596" s="672"/>
      <c r="CD596" s="672"/>
      <c r="CE596" s="672"/>
      <c r="CF596" s="672"/>
      <c r="CG596" s="672"/>
      <c r="CH596" s="240"/>
      <c r="CI596" s="240"/>
      <c r="CJ596" s="240"/>
      <c r="CK596" s="240"/>
      <c r="CL596" s="240"/>
      <c r="CM596" s="728"/>
      <c r="CN596" s="728"/>
      <c r="CO596" s="728"/>
      <c r="CP596" s="728"/>
      <c r="CQ596" s="728"/>
      <c r="CR596" s="728"/>
      <c r="CS596" s="728"/>
      <c r="CT596" s="728"/>
      <c r="CU596" s="728"/>
      <c r="CV596" s="728"/>
      <c r="CW596" s="728"/>
      <c r="CX596" s="728"/>
      <c r="CY596" s="728"/>
      <c r="CZ596" s="728"/>
      <c r="DA596" s="728"/>
      <c r="DB596" s="728"/>
      <c r="DC596" s="728"/>
      <c r="DD596" s="728"/>
      <c r="DE596" s="728"/>
      <c r="DF596" s="728"/>
      <c r="DG596" s="195"/>
      <c r="DH596" s="1"/>
      <c r="DI596" s="3"/>
      <c r="DL596" s="4"/>
      <c r="DM596" s="4"/>
      <c r="DN596" s="4"/>
      <c r="DO596" s="4"/>
      <c r="DP596" s="4"/>
      <c r="DR596" s="195"/>
      <c r="DS596" s="195"/>
      <c r="DT596" s="195"/>
      <c r="DU596" s="195"/>
      <c r="DV596" s="195"/>
      <c r="DW596" s="195"/>
      <c r="DX596" s="195"/>
      <c r="DY596" s="195"/>
      <c r="DZ596" s="195"/>
      <c r="EA596" s="195"/>
      <c r="EB596" s="195"/>
      <c r="EC596" s="195"/>
      <c r="ED596" s="195"/>
      <c r="EE596" s="195"/>
      <c r="EF596" s="195"/>
      <c r="EG596" s="195"/>
      <c r="EL596" s="1"/>
      <c r="EM596" s="195"/>
      <c r="EN596" s="240"/>
      <c r="EO596" s="240"/>
      <c r="EP596" s="195"/>
      <c r="EQ596" s="240"/>
      <c r="ER596" s="195"/>
      <c r="ES596" s="195"/>
      <c r="ET596" s="195"/>
      <c r="EU596" s="672"/>
    </row>
    <row r="597" customFormat="false" ht="12.75" hidden="false" customHeight="false" outlineLevel="0" collapsed="false">
      <c r="I597" s="735"/>
      <c r="J597" s="728"/>
      <c r="K597" s="195"/>
      <c r="L597" s="195"/>
      <c r="Q597" s="195"/>
      <c r="R597" s="195"/>
      <c r="S597" s="240"/>
      <c r="T597" s="195"/>
      <c r="U597" s="195"/>
      <c r="V597" s="195"/>
      <c r="W597" s="195"/>
      <c r="X597" s="195"/>
      <c r="Y597" s="195"/>
      <c r="Z597" s="195"/>
      <c r="AA597" s="195"/>
      <c r="AB597" s="195"/>
      <c r="AC597" s="195"/>
      <c r="AD597" s="195"/>
      <c r="AE597" s="195"/>
      <c r="AF597" s="195"/>
      <c r="AG597" s="195"/>
      <c r="AH597" s="195"/>
      <c r="AI597" s="195"/>
      <c r="AJ597" s="195"/>
      <c r="AK597" s="195"/>
      <c r="AL597" s="195"/>
      <c r="AM597" s="195"/>
      <c r="AN597" s="1"/>
      <c r="AO597" s="240"/>
      <c r="AP597" s="240"/>
      <c r="AQ597" s="240"/>
      <c r="AR597" s="240"/>
      <c r="AS597" s="240"/>
      <c r="AT597" s="730"/>
      <c r="AU597" s="730"/>
      <c r="AV597" s="730"/>
      <c r="AW597" s="468"/>
      <c r="AX597" s="468"/>
      <c r="AY597" s="240"/>
      <c r="AZ597" s="240"/>
      <c r="BA597" s="240"/>
      <c r="BB597" s="240"/>
      <c r="BC597" s="240"/>
      <c r="BD597" s="240"/>
      <c r="BE597" s="672"/>
      <c r="BF597" s="731"/>
      <c r="BG597" s="731"/>
      <c r="BH597" s="731"/>
      <c r="BI597" s="736"/>
      <c r="BJ597" s="732"/>
      <c r="BK597" s="240"/>
      <c r="BL597" s="240"/>
      <c r="BM597" s="240"/>
      <c r="BN597" s="240"/>
      <c r="BO597" s="240"/>
      <c r="BP597" s="240"/>
      <c r="BQ597" s="240"/>
      <c r="BR597" s="240"/>
      <c r="BS597" s="240"/>
      <c r="BT597" s="240"/>
      <c r="BU597" s="240"/>
      <c r="BV597" s="240"/>
      <c r="BW597" s="240"/>
      <c r="BX597" s="672"/>
      <c r="BY597" s="240"/>
      <c r="BZ597" s="672"/>
      <c r="CA597" s="672"/>
      <c r="CB597" s="672"/>
      <c r="CC597" s="672"/>
      <c r="CD597" s="672"/>
      <c r="CE597" s="672"/>
      <c r="CF597" s="672"/>
      <c r="CG597" s="672"/>
      <c r="CH597" s="240"/>
      <c r="CI597" s="240"/>
      <c r="CJ597" s="240"/>
      <c r="CK597" s="240"/>
      <c r="CL597" s="240"/>
      <c r="CM597" s="728"/>
      <c r="CN597" s="728"/>
      <c r="CO597" s="728"/>
      <c r="CP597" s="728"/>
      <c r="CQ597" s="728"/>
      <c r="CR597" s="728"/>
      <c r="CS597" s="728"/>
      <c r="CT597" s="728"/>
      <c r="CU597" s="728"/>
      <c r="CV597" s="728"/>
      <c r="CW597" s="728"/>
      <c r="CX597" s="728"/>
      <c r="CY597" s="728"/>
      <c r="CZ597" s="728"/>
      <c r="DA597" s="728"/>
      <c r="DB597" s="728"/>
      <c r="DC597" s="728"/>
      <c r="DD597" s="728"/>
      <c r="DE597" s="728"/>
      <c r="DF597" s="728"/>
      <c r="DG597" s="195"/>
      <c r="DH597" s="1"/>
      <c r="DI597" s="3"/>
      <c r="DL597" s="4"/>
      <c r="DM597" s="4"/>
      <c r="DN597" s="4"/>
      <c r="DO597" s="4"/>
      <c r="DP597" s="4"/>
      <c r="DR597" s="195"/>
      <c r="DS597" s="195"/>
      <c r="DT597" s="195"/>
      <c r="DU597" s="195"/>
      <c r="DV597" s="195"/>
      <c r="DW597" s="195"/>
      <c r="DX597" s="195"/>
      <c r="DY597" s="195"/>
      <c r="DZ597" s="195"/>
      <c r="EA597" s="195"/>
      <c r="EB597" s="195"/>
      <c r="EC597" s="195"/>
      <c r="ED597" s="195"/>
      <c r="EE597" s="195"/>
      <c r="EF597" s="195"/>
      <c r="EG597" s="195"/>
      <c r="EL597" s="1"/>
      <c r="EM597" s="195"/>
      <c r="EN597" s="240"/>
      <c r="EO597" s="240"/>
      <c r="EP597" s="195"/>
      <c r="EQ597" s="240"/>
      <c r="ER597" s="195"/>
      <c r="ES597" s="195"/>
      <c r="ET597" s="195"/>
      <c r="EU597" s="672"/>
    </row>
    <row r="598" customFormat="false" ht="12.75" hidden="false" customHeight="false" outlineLevel="0" collapsed="false">
      <c r="I598" s="735"/>
      <c r="J598" s="728"/>
      <c r="K598" s="195"/>
      <c r="L598" s="195"/>
      <c r="Q598" s="195"/>
      <c r="R598" s="195"/>
      <c r="S598" s="240"/>
      <c r="T598" s="195"/>
      <c r="U598" s="195"/>
      <c r="V598" s="195"/>
      <c r="W598" s="195"/>
      <c r="X598" s="195"/>
      <c r="Y598" s="195"/>
      <c r="Z598" s="195"/>
      <c r="AA598" s="195"/>
      <c r="AB598" s="195"/>
      <c r="AC598" s="195"/>
      <c r="AD598" s="195"/>
      <c r="AE598" s="195"/>
      <c r="AF598" s="195"/>
      <c r="AG598" s="195"/>
      <c r="AH598" s="195"/>
      <c r="AI598" s="195"/>
      <c r="AJ598" s="195"/>
      <c r="AK598" s="195"/>
      <c r="AL598" s="195"/>
      <c r="AM598" s="195"/>
      <c r="AN598" s="1"/>
      <c r="AO598" s="240"/>
      <c r="AP598" s="240"/>
      <c r="AQ598" s="240"/>
      <c r="AR598" s="240"/>
      <c r="AS598" s="240"/>
      <c r="AT598" s="730"/>
      <c r="AU598" s="730"/>
      <c r="AV598" s="730"/>
      <c r="AW598" s="468"/>
      <c r="AX598" s="468"/>
      <c r="AY598" s="240"/>
      <c r="AZ598" s="240"/>
      <c r="BA598" s="240"/>
      <c r="BB598" s="240"/>
      <c r="BC598" s="240"/>
      <c r="BD598" s="240"/>
      <c r="BE598" s="672"/>
      <c r="BF598" s="731"/>
      <c r="BG598" s="731"/>
      <c r="BH598" s="731"/>
      <c r="BI598" s="736"/>
      <c r="BJ598" s="732"/>
      <c r="BK598" s="240"/>
      <c r="BL598" s="240"/>
      <c r="BM598" s="240"/>
      <c r="BN598" s="240"/>
      <c r="BO598" s="240"/>
      <c r="BP598" s="240"/>
      <c r="BQ598" s="240"/>
      <c r="BR598" s="240"/>
      <c r="BS598" s="240"/>
      <c r="BT598" s="240"/>
      <c r="BU598" s="240"/>
      <c r="BV598" s="240"/>
      <c r="BW598" s="240"/>
      <c r="BX598" s="672"/>
      <c r="BY598" s="240"/>
      <c r="BZ598" s="672"/>
      <c r="CA598" s="672"/>
      <c r="CB598" s="672"/>
      <c r="CC598" s="672"/>
      <c r="CD598" s="672"/>
      <c r="CE598" s="672"/>
      <c r="CF598" s="672"/>
      <c r="CG598" s="672"/>
      <c r="CH598" s="240"/>
      <c r="CI598" s="240"/>
      <c r="CJ598" s="240"/>
      <c r="CK598" s="240"/>
      <c r="CL598" s="240"/>
      <c r="CM598" s="728"/>
      <c r="CN598" s="728"/>
      <c r="CO598" s="728"/>
      <c r="CP598" s="728"/>
      <c r="CQ598" s="728"/>
      <c r="CR598" s="728"/>
      <c r="CS598" s="728"/>
      <c r="CT598" s="728"/>
      <c r="CU598" s="728"/>
      <c r="CV598" s="728"/>
      <c r="CW598" s="728"/>
      <c r="CX598" s="728"/>
      <c r="CY598" s="728"/>
      <c r="CZ598" s="728"/>
      <c r="DA598" s="728"/>
      <c r="DB598" s="728"/>
      <c r="DC598" s="728"/>
      <c r="DD598" s="728"/>
      <c r="DE598" s="728"/>
      <c r="DF598" s="728"/>
      <c r="DG598" s="195"/>
      <c r="DH598" s="1"/>
      <c r="DI598" s="3"/>
      <c r="DL598" s="4"/>
      <c r="DM598" s="4"/>
      <c r="DN598" s="4"/>
      <c r="DO598" s="4"/>
      <c r="DP598" s="4"/>
      <c r="DR598" s="195"/>
      <c r="DS598" s="195"/>
      <c r="DT598" s="195"/>
      <c r="DU598" s="195"/>
      <c r="DV598" s="195"/>
      <c r="DW598" s="195"/>
      <c r="DX598" s="195"/>
      <c r="DY598" s="195"/>
      <c r="DZ598" s="195"/>
      <c r="EA598" s="195"/>
      <c r="EB598" s="195"/>
      <c r="EC598" s="195"/>
      <c r="ED598" s="195"/>
      <c r="EE598" s="195"/>
      <c r="EF598" s="195"/>
      <c r="EG598" s="195"/>
      <c r="EL598" s="1"/>
      <c r="EM598" s="195"/>
      <c r="EN598" s="240"/>
      <c r="EO598" s="240"/>
      <c r="EP598" s="195"/>
      <c r="EQ598" s="240"/>
      <c r="ER598" s="195"/>
      <c r="ES598" s="195"/>
      <c r="ET598" s="195"/>
      <c r="EU598" s="672"/>
    </row>
    <row r="599" customFormat="false" ht="12.75" hidden="false" customHeight="false" outlineLevel="0" collapsed="false">
      <c r="I599" s="735"/>
      <c r="J599" s="728"/>
      <c r="K599" s="195"/>
      <c r="L599" s="195"/>
      <c r="Q599" s="195"/>
      <c r="R599" s="195"/>
      <c r="S599" s="240"/>
      <c r="T599" s="195"/>
      <c r="U599" s="195"/>
      <c r="V599" s="195"/>
      <c r="W599" s="195"/>
      <c r="X599" s="195"/>
      <c r="Y599" s="195"/>
      <c r="Z599" s="195"/>
      <c r="AA599" s="195"/>
      <c r="AB599" s="195"/>
      <c r="AC599" s="195"/>
      <c r="AD599" s="195"/>
      <c r="AE599" s="195"/>
      <c r="AF599" s="195"/>
      <c r="AG599" s="195"/>
      <c r="AH599" s="195"/>
      <c r="AI599" s="195"/>
      <c r="AJ599" s="195"/>
      <c r="AK599" s="195"/>
      <c r="AL599" s="195"/>
      <c r="AM599" s="195"/>
      <c r="AN599" s="1"/>
      <c r="AO599" s="240"/>
      <c r="AP599" s="240"/>
      <c r="AQ599" s="240"/>
      <c r="AR599" s="240"/>
      <c r="AS599" s="240"/>
      <c r="AT599" s="730"/>
      <c r="AU599" s="730"/>
      <c r="AV599" s="730"/>
      <c r="AW599" s="468"/>
      <c r="AX599" s="468"/>
      <c r="AY599" s="240"/>
      <c r="AZ599" s="240"/>
      <c r="BA599" s="240"/>
      <c r="BB599" s="240"/>
      <c r="BC599" s="240"/>
      <c r="BD599" s="240"/>
      <c r="BE599" s="672"/>
      <c r="BF599" s="731"/>
      <c r="BG599" s="731"/>
      <c r="BH599" s="731"/>
      <c r="BI599" s="736"/>
      <c r="BJ599" s="732"/>
      <c r="BK599" s="240"/>
      <c r="BL599" s="240"/>
      <c r="BM599" s="240"/>
      <c r="BN599" s="240"/>
      <c r="BO599" s="240"/>
      <c r="BP599" s="240"/>
      <c r="BQ599" s="240"/>
      <c r="BR599" s="240"/>
      <c r="BS599" s="240"/>
      <c r="BT599" s="240"/>
      <c r="BU599" s="240"/>
      <c r="BV599" s="240"/>
      <c r="BW599" s="240"/>
      <c r="BX599" s="672"/>
      <c r="BY599" s="240"/>
      <c r="BZ599" s="672"/>
      <c r="CA599" s="672"/>
      <c r="CB599" s="672"/>
      <c r="CC599" s="672"/>
      <c r="CD599" s="672"/>
      <c r="CE599" s="672"/>
      <c r="CF599" s="672"/>
      <c r="CG599" s="672"/>
      <c r="CH599" s="240"/>
      <c r="CI599" s="240"/>
      <c r="CJ599" s="240"/>
      <c r="CK599" s="240"/>
      <c r="CL599" s="240"/>
      <c r="CM599" s="728"/>
      <c r="CN599" s="728"/>
      <c r="CO599" s="728"/>
      <c r="CP599" s="728"/>
      <c r="CQ599" s="728"/>
      <c r="CR599" s="728"/>
      <c r="CS599" s="728"/>
      <c r="CT599" s="728"/>
      <c r="CU599" s="728"/>
      <c r="CV599" s="728"/>
      <c r="CW599" s="728"/>
      <c r="CX599" s="728"/>
      <c r="CY599" s="728"/>
      <c r="CZ599" s="728"/>
      <c r="DA599" s="728"/>
      <c r="DB599" s="728"/>
      <c r="DC599" s="728"/>
      <c r="DD599" s="728"/>
      <c r="DE599" s="728"/>
      <c r="DF599" s="728"/>
      <c r="DG599" s="195"/>
      <c r="DH599" s="1"/>
      <c r="DI599" s="3"/>
      <c r="DL599" s="4"/>
      <c r="DM599" s="4"/>
      <c r="DN599" s="4"/>
      <c r="DO599" s="4"/>
      <c r="DP599" s="4"/>
      <c r="DR599" s="195"/>
      <c r="DS599" s="195"/>
      <c r="DT599" s="195"/>
      <c r="DU599" s="195"/>
      <c r="DV599" s="195"/>
      <c r="DW599" s="195"/>
      <c r="DX599" s="195"/>
      <c r="DY599" s="195"/>
      <c r="DZ599" s="195"/>
      <c r="EA599" s="195"/>
      <c r="EB599" s="195"/>
      <c r="EC599" s="195"/>
      <c r="ED599" s="195"/>
      <c r="EE599" s="195"/>
      <c r="EF599" s="195"/>
      <c r="EG599" s="195"/>
      <c r="EL599" s="1"/>
      <c r="EM599" s="195"/>
      <c r="EN599" s="240"/>
      <c r="EO599" s="240"/>
      <c r="EP599" s="195"/>
      <c r="EQ599" s="240"/>
      <c r="ER599" s="195"/>
      <c r="ES599" s="195"/>
      <c r="ET599" s="195"/>
      <c r="EU599" s="672"/>
    </row>
    <row r="600" customFormat="false" ht="12.75" hidden="false" customHeight="false" outlineLevel="0" collapsed="false">
      <c r="I600" s="735"/>
      <c r="J600" s="728"/>
      <c r="K600" s="195"/>
      <c r="L600" s="195"/>
      <c r="Q600" s="195"/>
      <c r="R600" s="195"/>
      <c r="S600" s="240"/>
      <c r="T600" s="195"/>
      <c r="U600" s="195"/>
      <c r="V600" s="195"/>
      <c r="W600" s="195"/>
      <c r="X600" s="195"/>
      <c r="Y600" s="195"/>
      <c r="Z600" s="195"/>
      <c r="AA600" s="195"/>
      <c r="AB600" s="195"/>
      <c r="AC600" s="195"/>
      <c r="AD600" s="195"/>
      <c r="AE600" s="195"/>
      <c r="AF600" s="195"/>
      <c r="AG600" s="195"/>
      <c r="AH600" s="195"/>
      <c r="AI600" s="195"/>
      <c r="AJ600" s="195"/>
      <c r="AK600" s="195"/>
      <c r="AL600" s="195"/>
      <c r="AM600" s="195"/>
      <c r="AN600" s="1"/>
      <c r="AO600" s="240"/>
      <c r="AP600" s="240"/>
      <c r="AQ600" s="240"/>
      <c r="AR600" s="240"/>
      <c r="AS600" s="240"/>
      <c r="AT600" s="730"/>
      <c r="AU600" s="730"/>
      <c r="AV600" s="730"/>
      <c r="AW600" s="468"/>
      <c r="AX600" s="468"/>
      <c r="AY600" s="240"/>
      <c r="AZ600" s="240"/>
      <c r="BA600" s="240"/>
      <c r="BB600" s="240"/>
      <c r="BC600" s="240"/>
      <c r="BD600" s="240"/>
      <c r="BE600" s="672"/>
      <c r="BF600" s="731"/>
      <c r="BG600" s="731"/>
      <c r="BH600" s="731"/>
      <c r="BI600" s="736"/>
      <c r="BJ600" s="732"/>
      <c r="BK600" s="240"/>
      <c r="BL600" s="240"/>
      <c r="BM600" s="240"/>
      <c r="BN600" s="240"/>
      <c r="BO600" s="240"/>
      <c r="BP600" s="240"/>
      <c r="BQ600" s="240"/>
      <c r="BR600" s="240"/>
      <c r="BS600" s="240"/>
      <c r="BT600" s="240"/>
      <c r="BU600" s="240"/>
      <c r="BV600" s="240"/>
      <c r="BW600" s="240"/>
      <c r="BX600" s="672"/>
      <c r="BY600" s="240"/>
      <c r="BZ600" s="672"/>
      <c r="CA600" s="672"/>
      <c r="CB600" s="672"/>
      <c r="CC600" s="672"/>
      <c r="CD600" s="672"/>
      <c r="CE600" s="672"/>
      <c r="CF600" s="672"/>
      <c r="CG600" s="672"/>
      <c r="CH600" s="240"/>
      <c r="CI600" s="240"/>
      <c r="CJ600" s="240"/>
      <c r="CK600" s="240"/>
      <c r="CL600" s="240"/>
      <c r="CM600" s="728"/>
      <c r="CN600" s="728"/>
      <c r="CO600" s="728"/>
      <c r="CP600" s="728"/>
      <c r="CQ600" s="728"/>
      <c r="CR600" s="728"/>
      <c r="CS600" s="728"/>
      <c r="CT600" s="728"/>
      <c r="CU600" s="728"/>
      <c r="CV600" s="728"/>
      <c r="CW600" s="728"/>
      <c r="CX600" s="728"/>
      <c r="CY600" s="728"/>
      <c r="CZ600" s="728"/>
      <c r="DA600" s="728"/>
      <c r="DB600" s="728"/>
      <c r="DC600" s="728"/>
      <c r="DD600" s="728"/>
      <c r="DE600" s="728"/>
      <c r="DF600" s="728"/>
      <c r="DG600" s="195"/>
      <c r="DH600" s="1"/>
      <c r="DI600" s="3"/>
      <c r="DL600" s="4"/>
      <c r="DM600" s="4"/>
      <c r="DN600" s="4"/>
      <c r="DO600" s="4"/>
      <c r="DP600" s="4"/>
      <c r="DR600" s="195"/>
      <c r="DS600" s="195"/>
      <c r="DT600" s="195"/>
      <c r="DU600" s="195"/>
      <c r="DV600" s="195"/>
      <c r="DW600" s="195"/>
      <c r="DX600" s="195"/>
      <c r="DY600" s="195"/>
      <c r="DZ600" s="195"/>
      <c r="EA600" s="195"/>
      <c r="EB600" s="195"/>
      <c r="EC600" s="195"/>
      <c r="ED600" s="195"/>
      <c r="EE600" s="195"/>
      <c r="EF600" s="195"/>
      <c r="EG600" s="195"/>
      <c r="EL600" s="1"/>
      <c r="EM600" s="195"/>
      <c r="EN600" s="240"/>
      <c r="EO600" s="240"/>
      <c r="EP600" s="195"/>
      <c r="EQ600" s="240"/>
      <c r="ER600" s="195"/>
      <c r="ES600" s="195"/>
      <c r="ET600" s="195"/>
      <c r="EU600" s="672"/>
    </row>
    <row r="601" customFormat="false" ht="12.75" hidden="false" customHeight="false" outlineLevel="0" collapsed="false">
      <c r="I601" s="735"/>
      <c r="J601" s="728"/>
      <c r="K601" s="195"/>
      <c r="L601" s="195"/>
      <c r="Q601" s="195"/>
      <c r="R601" s="195"/>
      <c r="S601" s="240"/>
      <c r="T601" s="195"/>
      <c r="U601" s="195"/>
      <c r="V601" s="195"/>
      <c r="W601" s="195"/>
      <c r="X601" s="195"/>
      <c r="Y601" s="195"/>
      <c r="Z601" s="195"/>
      <c r="AA601" s="195"/>
      <c r="AB601" s="195"/>
      <c r="AC601" s="195"/>
      <c r="AD601" s="195"/>
      <c r="AE601" s="195"/>
      <c r="AF601" s="195"/>
      <c r="AG601" s="195"/>
      <c r="AH601" s="195"/>
      <c r="AI601" s="195"/>
      <c r="AJ601" s="195"/>
      <c r="AK601" s="195"/>
      <c r="AL601" s="195"/>
      <c r="AM601" s="195"/>
      <c r="AN601" s="1"/>
      <c r="AO601" s="240"/>
      <c r="AP601" s="240"/>
      <c r="AQ601" s="240"/>
      <c r="AR601" s="240"/>
      <c r="AS601" s="240"/>
      <c r="AT601" s="730"/>
      <c r="AU601" s="730"/>
      <c r="AV601" s="730"/>
      <c r="AW601" s="468"/>
      <c r="AX601" s="468"/>
      <c r="AY601" s="240"/>
      <c r="AZ601" s="240"/>
      <c r="BA601" s="240"/>
      <c r="BB601" s="240"/>
      <c r="BC601" s="240"/>
      <c r="BD601" s="240"/>
      <c r="BE601" s="672"/>
      <c r="BF601" s="731"/>
      <c r="BG601" s="731"/>
      <c r="BH601" s="731"/>
      <c r="BI601" s="736"/>
      <c r="BJ601" s="732"/>
      <c r="BK601" s="240"/>
      <c r="BL601" s="240"/>
      <c r="BM601" s="240"/>
      <c r="BN601" s="240"/>
      <c r="BO601" s="240"/>
      <c r="BP601" s="240"/>
      <c r="BQ601" s="240"/>
      <c r="BR601" s="240"/>
      <c r="BS601" s="240"/>
      <c r="BT601" s="240"/>
      <c r="BU601" s="240"/>
      <c r="BV601" s="240"/>
      <c r="BW601" s="240"/>
      <c r="BX601" s="672"/>
      <c r="BY601" s="240"/>
      <c r="BZ601" s="672"/>
      <c r="CA601" s="672"/>
      <c r="CB601" s="672"/>
      <c r="CC601" s="672"/>
      <c r="CD601" s="672"/>
      <c r="CE601" s="672"/>
      <c r="CF601" s="672"/>
      <c r="CG601" s="672"/>
      <c r="CH601" s="240"/>
      <c r="CI601" s="240"/>
      <c r="CJ601" s="240"/>
      <c r="CK601" s="240"/>
      <c r="CL601" s="240"/>
      <c r="CM601" s="728"/>
      <c r="CN601" s="728"/>
      <c r="CO601" s="728"/>
      <c r="CP601" s="728"/>
      <c r="CQ601" s="728"/>
      <c r="CR601" s="728"/>
      <c r="CS601" s="728"/>
      <c r="CT601" s="728"/>
      <c r="CU601" s="728"/>
      <c r="CV601" s="728"/>
      <c r="CW601" s="728"/>
      <c r="CX601" s="728"/>
      <c r="CY601" s="728"/>
      <c r="CZ601" s="728"/>
      <c r="DA601" s="728"/>
      <c r="DB601" s="728"/>
      <c r="DC601" s="728"/>
      <c r="DD601" s="728"/>
      <c r="DE601" s="728"/>
      <c r="DF601" s="728"/>
      <c r="DG601" s="195"/>
      <c r="DH601" s="1"/>
      <c r="DI601" s="3"/>
      <c r="DL601" s="4"/>
      <c r="DM601" s="4"/>
      <c r="DN601" s="4"/>
      <c r="DO601" s="4"/>
      <c r="DP601" s="4"/>
      <c r="DR601" s="195"/>
      <c r="DS601" s="195"/>
      <c r="DT601" s="195"/>
      <c r="DU601" s="195"/>
      <c r="DV601" s="195"/>
      <c r="DW601" s="195"/>
      <c r="DX601" s="195"/>
      <c r="DY601" s="195"/>
      <c r="DZ601" s="195"/>
      <c r="EA601" s="195"/>
      <c r="EB601" s="195"/>
      <c r="EC601" s="195"/>
      <c r="ED601" s="195"/>
      <c r="EE601" s="195"/>
      <c r="EF601" s="195"/>
      <c r="EG601" s="195"/>
      <c r="EL601" s="1"/>
      <c r="EM601" s="195"/>
      <c r="EN601" s="240"/>
      <c r="EO601" s="240"/>
      <c r="EP601" s="195"/>
      <c r="EQ601" s="240"/>
      <c r="ER601" s="195"/>
      <c r="ES601" s="195"/>
      <c r="ET601" s="195"/>
      <c r="EU601" s="672"/>
    </row>
    <row r="602" customFormat="false" ht="12.75" hidden="false" customHeight="false" outlineLevel="0" collapsed="false">
      <c r="I602" s="735"/>
      <c r="J602" s="728"/>
      <c r="K602" s="195"/>
      <c r="L602" s="195"/>
      <c r="Q602" s="195"/>
      <c r="R602" s="195"/>
      <c r="S602" s="240"/>
      <c r="T602" s="195"/>
      <c r="U602" s="195"/>
      <c r="V602" s="195"/>
      <c r="W602" s="195"/>
      <c r="X602" s="195"/>
      <c r="Y602" s="195"/>
      <c r="Z602" s="195"/>
      <c r="AA602" s="195"/>
      <c r="AB602" s="195"/>
      <c r="AC602" s="195"/>
      <c r="AD602" s="195"/>
      <c r="AE602" s="195"/>
      <c r="AF602" s="195"/>
      <c r="AG602" s="195"/>
      <c r="AH602" s="195"/>
      <c r="AI602" s="195"/>
      <c r="AJ602" s="195"/>
      <c r="AK602" s="195"/>
      <c r="AL602" s="195"/>
      <c r="AM602" s="195"/>
      <c r="AN602" s="1"/>
      <c r="AO602" s="240"/>
      <c r="AP602" s="240"/>
      <c r="AQ602" s="240"/>
      <c r="AR602" s="240"/>
      <c r="AS602" s="240"/>
      <c r="AT602" s="730"/>
      <c r="AU602" s="730"/>
      <c r="AV602" s="730"/>
      <c r="AW602" s="468"/>
      <c r="AX602" s="468"/>
      <c r="AY602" s="240"/>
      <c r="AZ602" s="240"/>
      <c r="BA602" s="240"/>
      <c r="BB602" s="240"/>
      <c r="BC602" s="240"/>
      <c r="BD602" s="240"/>
      <c r="BE602" s="672"/>
      <c r="BF602" s="731"/>
      <c r="BG602" s="731"/>
      <c r="BH602" s="731"/>
      <c r="BI602" s="736"/>
      <c r="BJ602" s="732"/>
      <c r="BK602" s="240"/>
      <c r="BL602" s="240"/>
      <c r="BM602" s="240"/>
      <c r="BN602" s="240"/>
      <c r="BO602" s="240"/>
      <c r="BP602" s="240"/>
      <c r="BQ602" s="240"/>
      <c r="BR602" s="240"/>
      <c r="BS602" s="240"/>
      <c r="BT602" s="240"/>
      <c r="BU602" s="240"/>
      <c r="BV602" s="240"/>
      <c r="BW602" s="240"/>
      <c r="BX602" s="672"/>
      <c r="BY602" s="240"/>
      <c r="BZ602" s="672"/>
      <c r="CA602" s="672"/>
      <c r="CB602" s="672"/>
      <c r="CC602" s="672"/>
      <c r="CD602" s="672"/>
      <c r="CE602" s="672"/>
      <c r="CF602" s="672"/>
      <c r="CG602" s="672"/>
      <c r="CH602" s="240"/>
      <c r="CI602" s="240"/>
      <c r="CJ602" s="240"/>
      <c r="CK602" s="240"/>
      <c r="CL602" s="240"/>
      <c r="CM602" s="728"/>
      <c r="CN602" s="728"/>
      <c r="CO602" s="728"/>
      <c r="CP602" s="728"/>
      <c r="CQ602" s="728"/>
      <c r="CR602" s="728"/>
      <c r="CS602" s="728"/>
      <c r="CT602" s="728"/>
      <c r="CU602" s="728"/>
      <c r="CV602" s="728"/>
      <c r="CW602" s="728"/>
      <c r="CX602" s="728"/>
      <c r="CY602" s="728"/>
      <c r="CZ602" s="728"/>
      <c r="DA602" s="728"/>
      <c r="DB602" s="728"/>
      <c r="DC602" s="728"/>
      <c r="DD602" s="728"/>
      <c r="DE602" s="728"/>
      <c r="DF602" s="728"/>
      <c r="DG602" s="195"/>
      <c r="DH602" s="1"/>
      <c r="DI602" s="3"/>
      <c r="DL602" s="4"/>
      <c r="DM602" s="4"/>
      <c r="DN602" s="4"/>
      <c r="DO602" s="4"/>
      <c r="DP602" s="4"/>
      <c r="DR602" s="195"/>
      <c r="DS602" s="195"/>
      <c r="DT602" s="195"/>
      <c r="DU602" s="195"/>
      <c r="DV602" s="195"/>
      <c r="DW602" s="195"/>
      <c r="DX602" s="195"/>
      <c r="DY602" s="195"/>
      <c r="DZ602" s="195"/>
      <c r="EA602" s="195"/>
      <c r="EB602" s="195"/>
      <c r="EC602" s="195"/>
      <c r="ED602" s="195"/>
      <c r="EE602" s="195"/>
      <c r="EF602" s="195"/>
      <c r="EG602" s="195"/>
      <c r="EL602" s="1"/>
      <c r="EM602" s="195"/>
      <c r="EN602" s="240"/>
      <c r="EO602" s="240"/>
      <c r="EP602" s="195"/>
      <c r="EQ602" s="240"/>
      <c r="ER602" s="195"/>
      <c r="ES602" s="195"/>
      <c r="ET602" s="195"/>
      <c r="EU602" s="672"/>
    </row>
    <row r="603" customFormat="false" ht="12.75" hidden="false" customHeight="false" outlineLevel="0" collapsed="false">
      <c r="I603" s="735"/>
      <c r="J603" s="728"/>
      <c r="K603" s="195"/>
      <c r="L603" s="195"/>
      <c r="Q603" s="195"/>
      <c r="R603" s="195"/>
      <c r="S603" s="240"/>
      <c r="T603" s="195"/>
      <c r="U603" s="195"/>
      <c r="V603" s="195"/>
      <c r="W603" s="195"/>
      <c r="X603" s="195"/>
      <c r="Y603" s="195"/>
      <c r="Z603" s="195"/>
      <c r="AA603" s="195"/>
      <c r="AB603" s="195"/>
      <c r="AC603" s="195"/>
      <c r="AD603" s="195"/>
      <c r="AE603" s="195"/>
      <c r="AF603" s="195"/>
      <c r="AG603" s="195"/>
      <c r="AH603" s="195"/>
      <c r="AI603" s="195"/>
      <c r="AJ603" s="195"/>
      <c r="AK603" s="195"/>
      <c r="AL603" s="195"/>
      <c r="AM603" s="195"/>
      <c r="AN603" s="1"/>
      <c r="AO603" s="240"/>
      <c r="AP603" s="240"/>
      <c r="AQ603" s="240"/>
      <c r="AR603" s="240"/>
      <c r="AS603" s="240"/>
      <c r="AT603" s="730"/>
      <c r="AU603" s="730"/>
      <c r="AV603" s="730"/>
      <c r="AW603" s="468"/>
      <c r="AX603" s="468"/>
      <c r="AY603" s="240"/>
      <c r="AZ603" s="240"/>
      <c r="BA603" s="240"/>
      <c r="BB603" s="240"/>
      <c r="BC603" s="240"/>
      <c r="BD603" s="240"/>
      <c r="BE603" s="672"/>
      <c r="BF603" s="731"/>
      <c r="BG603" s="731"/>
      <c r="BH603" s="731"/>
      <c r="BI603" s="736"/>
      <c r="BJ603" s="732"/>
      <c r="BK603" s="240"/>
      <c r="BL603" s="240"/>
      <c r="BM603" s="240"/>
      <c r="BN603" s="240"/>
      <c r="BO603" s="240"/>
      <c r="BP603" s="240"/>
      <c r="BQ603" s="240"/>
      <c r="BR603" s="240"/>
      <c r="BS603" s="240"/>
      <c r="BT603" s="240"/>
      <c r="BU603" s="240"/>
      <c r="BV603" s="240"/>
      <c r="BW603" s="240"/>
      <c r="BX603" s="672"/>
      <c r="BY603" s="240"/>
      <c r="BZ603" s="672"/>
      <c r="CA603" s="672"/>
      <c r="CB603" s="672"/>
      <c r="CC603" s="672"/>
      <c r="CD603" s="672"/>
      <c r="CE603" s="672"/>
      <c r="CF603" s="672"/>
      <c r="CG603" s="672"/>
      <c r="CH603" s="240"/>
      <c r="CI603" s="240"/>
      <c r="CJ603" s="240"/>
      <c r="CK603" s="240"/>
      <c r="CL603" s="240"/>
      <c r="CM603" s="728"/>
      <c r="CN603" s="728"/>
      <c r="CO603" s="728"/>
      <c r="CP603" s="728"/>
      <c r="CQ603" s="728"/>
      <c r="CR603" s="728"/>
      <c r="CS603" s="728"/>
      <c r="CT603" s="728"/>
      <c r="CU603" s="728"/>
      <c r="CV603" s="728"/>
      <c r="CW603" s="728"/>
      <c r="CX603" s="728"/>
      <c r="CY603" s="728"/>
      <c r="CZ603" s="728"/>
      <c r="DA603" s="728"/>
      <c r="DB603" s="728"/>
      <c r="DC603" s="728"/>
      <c r="DD603" s="728"/>
      <c r="DE603" s="728"/>
      <c r="DF603" s="728"/>
      <c r="DG603" s="195"/>
      <c r="DH603" s="1"/>
      <c r="DI603" s="3"/>
      <c r="DL603" s="4"/>
      <c r="DM603" s="4"/>
      <c r="DN603" s="4"/>
      <c r="DO603" s="4"/>
      <c r="DP603" s="4"/>
      <c r="DR603" s="195"/>
      <c r="DS603" s="195"/>
      <c r="DT603" s="195"/>
      <c r="DU603" s="195"/>
      <c r="DV603" s="195"/>
      <c r="DW603" s="195"/>
      <c r="DX603" s="195"/>
      <c r="DY603" s="195"/>
      <c r="DZ603" s="195"/>
      <c r="EA603" s="195"/>
      <c r="EB603" s="195"/>
      <c r="EC603" s="195"/>
      <c r="ED603" s="195"/>
      <c r="EE603" s="195"/>
      <c r="EF603" s="195"/>
      <c r="EG603" s="195"/>
      <c r="EL603" s="1"/>
      <c r="EM603" s="195"/>
      <c r="EN603" s="240"/>
      <c r="EO603" s="240"/>
      <c r="EP603" s="195"/>
      <c r="EQ603" s="240"/>
      <c r="ER603" s="195"/>
      <c r="ES603" s="195"/>
      <c r="ET603" s="195"/>
      <c r="EU603" s="672"/>
    </row>
    <row r="604" customFormat="false" ht="12.75" hidden="false" customHeight="false" outlineLevel="0" collapsed="false">
      <c r="I604" s="735"/>
      <c r="J604" s="728"/>
      <c r="K604" s="195"/>
      <c r="L604" s="195"/>
      <c r="Q604" s="195"/>
      <c r="R604" s="195"/>
      <c r="S604" s="240"/>
      <c r="T604" s="195"/>
      <c r="U604" s="195"/>
      <c r="V604" s="195"/>
      <c r="W604" s="195"/>
      <c r="X604" s="195"/>
      <c r="Y604" s="195"/>
      <c r="Z604" s="195"/>
      <c r="AA604" s="195"/>
      <c r="AB604" s="195"/>
      <c r="AC604" s="195"/>
      <c r="AD604" s="195"/>
      <c r="AE604" s="195"/>
      <c r="AF604" s="195"/>
      <c r="AG604" s="195"/>
      <c r="AH604" s="195"/>
      <c r="AI604" s="195"/>
      <c r="AJ604" s="195"/>
      <c r="AK604" s="195"/>
      <c r="AL604" s="195"/>
      <c r="AM604" s="195"/>
      <c r="AN604" s="1"/>
      <c r="AO604" s="240"/>
      <c r="AP604" s="240"/>
      <c r="AQ604" s="240"/>
      <c r="AR604" s="240"/>
      <c r="AS604" s="240"/>
      <c r="AT604" s="730"/>
      <c r="AU604" s="730"/>
      <c r="AV604" s="730"/>
      <c r="AW604" s="468"/>
      <c r="AX604" s="468"/>
      <c r="AY604" s="240"/>
      <c r="AZ604" s="240"/>
      <c r="BA604" s="240"/>
      <c r="BB604" s="240"/>
      <c r="BC604" s="240"/>
      <c r="BD604" s="240"/>
      <c r="BE604" s="672"/>
      <c r="BF604" s="731"/>
      <c r="BG604" s="731"/>
      <c r="BH604" s="731"/>
      <c r="BI604" s="736"/>
      <c r="BJ604" s="732"/>
      <c r="BK604" s="240"/>
      <c r="BL604" s="240"/>
      <c r="BM604" s="240"/>
      <c r="BN604" s="240"/>
      <c r="BO604" s="240"/>
      <c r="BP604" s="240"/>
      <c r="BQ604" s="240"/>
      <c r="BR604" s="240"/>
      <c r="BS604" s="240"/>
      <c r="BT604" s="240"/>
      <c r="BU604" s="240"/>
      <c r="BV604" s="240"/>
      <c r="BW604" s="240"/>
      <c r="BX604" s="672"/>
      <c r="BY604" s="240"/>
      <c r="BZ604" s="672"/>
      <c r="CA604" s="672"/>
      <c r="CB604" s="672"/>
      <c r="CC604" s="672"/>
      <c r="CD604" s="672"/>
      <c r="CE604" s="672"/>
      <c r="CF604" s="672"/>
      <c r="CG604" s="672"/>
      <c r="CH604" s="240"/>
      <c r="CI604" s="240"/>
      <c r="CJ604" s="240"/>
      <c r="CK604" s="240"/>
      <c r="CL604" s="240"/>
      <c r="CM604" s="728"/>
      <c r="CN604" s="728"/>
      <c r="CO604" s="728"/>
      <c r="CP604" s="728"/>
      <c r="CQ604" s="728"/>
      <c r="CR604" s="728"/>
      <c r="CS604" s="728"/>
      <c r="CT604" s="728"/>
      <c r="CU604" s="728"/>
      <c r="CV604" s="728"/>
      <c r="CW604" s="728"/>
      <c r="CX604" s="728"/>
      <c r="CY604" s="728"/>
      <c r="CZ604" s="728"/>
      <c r="DA604" s="728"/>
      <c r="DB604" s="728"/>
      <c r="DC604" s="728"/>
      <c r="DD604" s="728"/>
      <c r="DE604" s="728"/>
      <c r="DF604" s="728"/>
      <c r="DG604" s="195"/>
      <c r="DH604" s="1"/>
      <c r="DI604" s="3"/>
      <c r="DL604" s="4"/>
      <c r="DM604" s="4"/>
      <c r="DN604" s="4"/>
      <c r="DO604" s="4"/>
      <c r="DP604" s="4"/>
      <c r="DR604" s="195"/>
      <c r="DS604" s="195"/>
      <c r="DT604" s="195"/>
      <c r="DU604" s="195"/>
      <c r="DV604" s="195"/>
      <c r="DW604" s="195"/>
      <c r="DX604" s="195"/>
      <c r="DY604" s="195"/>
      <c r="DZ604" s="195"/>
      <c r="EA604" s="195"/>
      <c r="EB604" s="195"/>
      <c r="EC604" s="195"/>
      <c r="ED604" s="195"/>
      <c r="EE604" s="195"/>
      <c r="EF604" s="195"/>
      <c r="EG604" s="195"/>
      <c r="EL604" s="1"/>
      <c r="EM604" s="195"/>
      <c r="EN604" s="240"/>
      <c r="EO604" s="240"/>
      <c r="EP604" s="195"/>
      <c r="EQ604" s="240"/>
      <c r="ER604" s="195"/>
      <c r="ES604" s="195"/>
      <c r="ET604" s="195"/>
      <c r="EU604" s="672"/>
    </row>
    <row r="605" customFormat="false" ht="12.75" hidden="false" customHeight="false" outlineLevel="0" collapsed="false">
      <c r="I605" s="735"/>
      <c r="J605" s="728"/>
      <c r="K605" s="195"/>
      <c r="L605" s="195"/>
      <c r="Q605" s="195"/>
      <c r="R605" s="195"/>
      <c r="S605" s="240"/>
      <c r="T605" s="195"/>
      <c r="U605" s="195"/>
      <c r="V605" s="195"/>
      <c r="W605" s="195"/>
      <c r="X605" s="195"/>
      <c r="Y605" s="195"/>
      <c r="Z605" s="195"/>
      <c r="AA605" s="195"/>
      <c r="AB605" s="195"/>
      <c r="AC605" s="195"/>
      <c r="AD605" s="195"/>
      <c r="AE605" s="195"/>
      <c r="AF605" s="195"/>
      <c r="AG605" s="195"/>
      <c r="AH605" s="195"/>
      <c r="AI605" s="195"/>
      <c r="AJ605" s="195"/>
      <c r="AK605" s="195"/>
      <c r="AL605" s="195"/>
      <c r="AM605" s="195"/>
      <c r="AN605" s="1"/>
      <c r="AO605" s="240"/>
      <c r="AP605" s="240"/>
      <c r="AQ605" s="240"/>
      <c r="AR605" s="240"/>
      <c r="AS605" s="240"/>
      <c r="AT605" s="730"/>
      <c r="AU605" s="730"/>
      <c r="AV605" s="730"/>
      <c r="AW605" s="468"/>
      <c r="AX605" s="468"/>
      <c r="AY605" s="240"/>
      <c r="AZ605" s="240"/>
      <c r="BA605" s="240"/>
      <c r="BB605" s="240"/>
      <c r="BC605" s="240"/>
      <c r="BD605" s="240"/>
      <c r="BE605" s="672"/>
      <c r="BF605" s="731"/>
      <c r="BG605" s="731"/>
      <c r="BH605" s="731"/>
      <c r="BI605" s="736"/>
      <c r="BJ605" s="732"/>
      <c r="BK605" s="240"/>
      <c r="BL605" s="240"/>
      <c r="BM605" s="240"/>
      <c r="BN605" s="240"/>
      <c r="BO605" s="240"/>
      <c r="BP605" s="240"/>
      <c r="BQ605" s="240"/>
      <c r="BR605" s="240"/>
      <c r="BS605" s="240"/>
      <c r="BT605" s="240"/>
      <c r="BU605" s="240"/>
      <c r="BV605" s="240"/>
      <c r="BW605" s="240"/>
      <c r="BX605" s="672"/>
      <c r="BY605" s="240"/>
      <c r="BZ605" s="672"/>
      <c r="CA605" s="672"/>
      <c r="CB605" s="672"/>
      <c r="CC605" s="672"/>
      <c r="CD605" s="672"/>
      <c r="CE605" s="672"/>
      <c r="CF605" s="672"/>
      <c r="CG605" s="672"/>
      <c r="CH605" s="240"/>
      <c r="CI605" s="240"/>
      <c r="CJ605" s="240"/>
      <c r="CK605" s="240"/>
      <c r="CL605" s="240"/>
      <c r="CM605" s="728"/>
      <c r="CN605" s="728"/>
      <c r="CO605" s="728"/>
      <c r="CP605" s="728"/>
      <c r="CQ605" s="728"/>
      <c r="CR605" s="728"/>
      <c r="CS605" s="728"/>
      <c r="CT605" s="728"/>
      <c r="CU605" s="728"/>
      <c r="CV605" s="728"/>
      <c r="CW605" s="728"/>
      <c r="CX605" s="728"/>
      <c r="CY605" s="728"/>
      <c r="CZ605" s="728"/>
      <c r="DA605" s="728"/>
      <c r="DB605" s="728"/>
      <c r="DC605" s="728"/>
      <c r="DD605" s="728"/>
      <c r="DE605" s="728"/>
      <c r="DF605" s="728"/>
      <c r="DG605" s="195"/>
      <c r="DH605" s="1"/>
      <c r="DI605" s="3"/>
      <c r="DL605" s="4"/>
      <c r="DM605" s="4"/>
      <c r="DN605" s="4"/>
      <c r="DO605" s="4"/>
      <c r="DP605" s="4"/>
      <c r="DR605" s="195"/>
      <c r="DS605" s="195"/>
      <c r="DT605" s="195"/>
      <c r="DU605" s="195"/>
      <c r="DV605" s="195"/>
      <c r="DW605" s="195"/>
      <c r="DX605" s="195"/>
      <c r="DY605" s="195"/>
      <c r="DZ605" s="195"/>
      <c r="EA605" s="195"/>
      <c r="EB605" s="195"/>
      <c r="EC605" s="195"/>
      <c r="ED605" s="195"/>
      <c r="EE605" s="195"/>
      <c r="EF605" s="195"/>
      <c r="EG605" s="195"/>
      <c r="EL605" s="1"/>
      <c r="EM605" s="195"/>
      <c r="EN605" s="240"/>
      <c r="EO605" s="240"/>
      <c r="EP605" s="195"/>
      <c r="EQ605" s="240"/>
      <c r="ER605" s="195"/>
      <c r="ES605" s="195"/>
      <c r="ET605" s="195"/>
      <c r="EU605" s="672"/>
    </row>
    <row r="606" customFormat="false" ht="12.75" hidden="false" customHeight="false" outlineLevel="0" collapsed="false">
      <c r="I606" s="735"/>
      <c r="J606" s="728"/>
      <c r="K606" s="195"/>
      <c r="L606" s="195"/>
      <c r="Q606" s="195"/>
      <c r="R606" s="195"/>
      <c r="S606" s="240"/>
      <c r="T606" s="195"/>
      <c r="U606" s="195"/>
      <c r="V606" s="195"/>
      <c r="W606" s="195"/>
      <c r="X606" s="195"/>
      <c r="Y606" s="195"/>
      <c r="Z606" s="195"/>
      <c r="AA606" s="195"/>
      <c r="AB606" s="195"/>
      <c r="AC606" s="195"/>
      <c r="AD606" s="195"/>
      <c r="AE606" s="195"/>
      <c r="AF606" s="195"/>
      <c r="AG606" s="195"/>
      <c r="AH606" s="195"/>
      <c r="AI606" s="195"/>
      <c r="AJ606" s="195"/>
      <c r="AK606" s="195"/>
      <c r="AL606" s="195"/>
      <c r="AM606" s="195"/>
      <c r="AN606" s="1"/>
      <c r="AO606" s="240"/>
      <c r="AP606" s="240"/>
      <c r="AQ606" s="240"/>
      <c r="AR606" s="240"/>
      <c r="AS606" s="240"/>
      <c r="AT606" s="730"/>
      <c r="AU606" s="730"/>
      <c r="AV606" s="730"/>
      <c r="AW606" s="468"/>
      <c r="AX606" s="468"/>
      <c r="AY606" s="240"/>
      <c r="AZ606" s="240"/>
      <c r="BA606" s="240"/>
      <c r="BB606" s="240"/>
      <c r="BC606" s="240"/>
      <c r="BD606" s="240"/>
      <c r="BE606" s="672"/>
      <c r="BF606" s="731"/>
      <c r="BG606" s="731"/>
      <c r="BH606" s="731"/>
      <c r="BI606" s="736"/>
      <c r="BJ606" s="732"/>
      <c r="BK606" s="240"/>
      <c r="BL606" s="240"/>
      <c r="BM606" s="240"/>
      <c r="BN606" s="240"/>
      <c r="BO606" s="240"/>
      <c r="BP606" s="240"/>
      <c r="BQ606" s="240"/>
      <c r="BR606" s="240"/>
      <c r="BS606" s="240"/>
      <c r="BT606" s="240"/>
      <c r="BU606" s="240"/>
      <c r="BV606" s="240"/>
      <c r="BW606" s="240"/>
      <c r="BX606" s="672"/>
      <c r="BY606" s="240"/>
      <c r="BZ606" s="672"/>
      <c r="CA606" s="672"/>
      <c r="CB606" s="672"/>
      <c r="CC606" s="672"/>
      <c r="CD606" s="672"/>
      <c r="CE606" s="672"/>
      <c r="CF606" s="672"/>
      <c r="CG606" s="672"/>
      <c r="CH606" s="240"/>
      <c r="CI606" s="240"/>
      <c r="CJ606" s="240"/>
      <c r="CK606" s="240"/>
      <c r="CL606" s="240"/>
      <c r="CM606" s="728"/>
      <c r="CN606" s="728"/>
      <c r="CO606" s="728"/>
      <c r="CP606" s="728"/>
      <c r="CQ606" s="728"/>
      <c r="CR606" s="728"/>
      <c r="CS606" s="728"/>
      <c r="CT606" s="728"/>
      <c r="CU606" s="728"/>
      <c r="CV606" s="728"/>
      <c r="CW606" s="728"/>
      <c r="CX606" s="728"/>
      <c r="CY606" s="728"/>
      <c r="CZ606" s="728"/>
      <c r="DA606" s="728"/>
      <c r="DB606" s="728"/>
      <c r="DC606" s="728"/>
      <c r="DD606" s="728"/>
      <c r="DE606" s="728"/>
      <c r="DF606" s="728"/>
      <c r="DG606" s="195"/>
      <c r="DH606" s="1"/>
      <c r="DI606" s="3"/>
      <c r="DL606" s="4"/>
      <c r="DM606" s="4"/>
      <c r="DN606" s="4"/>
      <c r="DO606" s="4"/>
      <c r="DP606" s="4"/>
      <c r="DR606" s="195"/>
      <c r="DS606" s="195"/>
      <c r="DT606" s="195"/>
      <c r="DU606" s="195"/>
      <c r="DV606" s="195"/>
      <c r="DW606" s="195"/>
      <c r="DX606" s="195"/>
      <c r="DY606" s="195"/>
      <c r="DZ606" s="195"/>
      <c r="EA606" s="195"/>
      <c r="EB606" s="195"/>
      <c r="EC606" s="195"/>
      <c r="ED606" s="195"/>
      <c r="EE606" s="195"/>
      <c r="EF606" s="195"/>
      <c r="EG606" s="195"/>
      <c r="EL606" s="1"/>
      <c r="EM606" s="195"/>
      <c r="EN606" s="240"/>
      <c r="EO606" s="240"/>
      <c r="EP606" s="195"/>
      <c r="EQ606" s="240"/>
      <c r="ER606" s="195"/>
      <c r="ES606" s="195"/>
      <c r="ET606" s="195"/>
      <c r="EU606" s="672"/>
    </row>
    <row r="607" customFormat="false" ht="12.75" hidden="false" customHeight="false" outlineLevel="0" collapsed="false">
      <c r="I607" s="735"/>
      <c r="J607" s="728"/>
      <c r="K607" s="195"/>
      <c r="L607" s="195"/>
      <c r="Q607" s="195"/>
      <c r="R607" s="195"/>
      <c r="S607" s="240"/>
      <c r="T607" s="195"/>
      <c r="U607" s="195"/>
      <c r="V607" s="195"/>
      <c r="W607" s="195"/>
      <c r="X607" s="195"/>
      <c r="Y607" s="195"/>
      <c r="Z607" s="195"/>
      <c r="AA607" s="195"/>
      <c r="AB607" s="195"/>
      <c r="AC607" s="195"/>
      <c r="AD607" s="195"/>
      <c r="AE607" s="195"/>
      <c r="AF607" s="195"/>
      <c r="AG607" s="195"/>
      <c r="AH607" s="195"/>
      <c r="AI607" s="195"/>
      <c r="AJ607" s="195"/>
      <c r="AK607" s="195"/>
      <c r="AL607" s="195"/>
      <c r="AM607" s="195"/>
      <c r="AN607" s="1"/>
      <c r="AO607" s="240"/>
      <c r="AP607" s="240"/>
      <c r="AQ607" s="240"/>
      <c r="AR607" s="240"/>
      <c r="AS607" s="240"/>
      <c r="AT607" s="730"/>
      <c r="AU607" s="730"/>
      <c r="AV607" s="730"/>
      <c r="AW607" s="468"/>
      <c r="AX607" s="468"/>
      <c r="AY607" s="240"/>
      <c r="AZ607" s="240"/>
      <c r="BA607" s="240"/>
      <c r="BB607" s="240"/>
      <c r="BC607" s="240"/>
      <c r="BD607" s="240"/>
      <c r="BE607" s="672"/>
      <c r="BF607" s="731"/>
      <c r="BG607" s="731"/>
      <c r="BH607" s="731"/>
      <c r="BI607" s="736"/>
      <c r="BJ607" s="732"/>
      <c r="BK607" s="240"/>
      <c r="BL607" s="240"/>
      <c r="BM607" s="240"/>
      <c r="BN607" s="240"/>
      <c r="BO607" s="240"/>
      <c r="BP607" s="240"/>
      <c r="BQ607" s="240"/>
      <c r="BR607" s="240"/>
      <c r="BS607" s="240"/>
      <c r="BT607" s="240"/>
      <c r="BU607" s="240"/>
      <c r="BV607" s="240"/>
      <c r="BW607" s="240"/>
      <c r="BX607" s="672"/>
      <c r="BY607" s="240"/>
      <c r="BZ607" s="672"/>
      <c r="CA607" s="672"/>
      <c r="CB607" s="672"/>
      <c r="CC607" s="672"/>
      <c r="CD607" s="672"/>
      <c r="CE607" s="672"/>
      <c r="CF607" s="672"/>
      <c r="CG607" s="672"/>
      <c r="CH607" s="240"/>
      <c r="CI607" s="240"/>
      <c r="CJ607" s="240"/>
      <c r="CK607" s="240"/>
      <c r="CL607" s="240"/>
      <c r="CM607" s="728"/>
      <c r="CN607" s="728"/>
      <c r="CO607" s="728"/>
      <c r="CP607" s="728"/>
      <c r="CQ607" s="728"/>
      <c r="CR607" s="728"/>
      <c r="CS607" s="728"/>
      <c r="CT607" s="728"/>
      <c r="CU607" s="728"/>
      <c r="CV607" s="728"/>
      <c r="CW607" s="728"/>
      <c r="CX607" s="728"/>
      <c r="CY607" s="728"/>
      <c r="CZ607" s="728"/>
      <c r="DA607" s="728"/>
      <c r="DB607" s="728"/>
      <c r="DC607" s="728"/>
      <c r="DD607" s="728"/>
      <c r="DE607" s="728"/>
      <c r="DF607" s="728"/>
      <c r="DG607" s="195"/>
      <c r="DH607" s="1"/>
      <c r="DI607" s="3"/>
      <c r="DL607" s="4"/>
      <c r="DM607" s="4"/>
      <c r="DN607" s="4"/>
      <c r="DO607" s="4"/>
      <c r="DP607" s="4"/>
      <c r="DR607" s="195"/>
      <c r="DS607" s="195"/>
      <c r="DT607" s="195"/>
      <c r="DU607" s="195"/>
      <c r="DV607" s="195"/>
      <c r="DW607" s="195"/>
      <c r="DX607" s="195"/>
      <c r="DY607" s="195"/>
      <c r="DZ607" s="195"/>
      <c r="EA607" s="195"/>
      <c r="EB607" s="195"/>
      <c r="EC607" s="195"/>
      <c r="ED607" s="195"/>
      <c r="EE607" s="195"/>
      <c r="EF607" s="195"/>
      <c r="EG607" s="195"/>
      <c r="EL607" s="1"/>
      <c r="EM607" s="195"/>
      <c r="EN607" s="240"/>
      <c r="EO607" s="240"/>
      <c r="EP607" s="195"/>
      <c r="EQ607" s="240"/>
      <c r="ER607" s="195"/>
      <c r="ES607" s="195"/>
      <c r="ET607" s="195"/>
      <c r="EU607" s="672"/>
    </row>
    <row r="608" customFormat="false" ht="12.75" hidden="false" customHeight="false" outlineLevel="0" collapsed="false">
      <c r="I608" s="735"/>
      <c r="J608" s="728"/>
      <c r="K608" s="195"/>
      <c r="L608" s="195"/>
      <c r="Q608" s="195"/>
      <c r="R608" s="195"/>
      <c r="S608" s="240"/>
      <c r="T608" s="195"/>
      <c r="U608" s="195"/>
      <c r="V608" s="195"/>
      <c r="W608" s="195"/>
      <c r="X608" s="195"/>
      <c r="Y608" s="195"/>
      <c r="Z608" s="195"/>
      <c r="AA608" s="195"/>
      <c r="AB608" s="195"/>
      <c r="AC608" s="195"/>
      <c r="AD608" s="195"/>
      <c r="AE608" s="195"/>
      <c r="AF608" s="195"/>
      <c r="AG608" s="195"/>
      <c r="AH608" s="195"/>
      <c r="AI608" s="195"/>
      <c r="AJ608" s="195"/>
      <c r="AK608" s="195"/>
      <c r="AL608" s="195"/>
      <c r="AM608" s="195"/>
      <c r="AN608" s="1"/>
      <c r="AO608" s="240"/>
      <c r="AP608" s="240"/>
      <c r="AQ608" s="240"/>
      <c r="AR608" s="240"/>
      <c r="AS608" s="240"/>
      <c r="AT608" s="730"/>
      <c r="AU608" s="730"/>
      <c r="AV608" s="730"/>
      <c r="AW608" s="468"/>
      <c r="AX608" s="468"/>
      <c r="AY608" s="240"/>
      <c r="AZ608" s="240"/>
      <c r="BA608" s="240"/>
      <c r="BB608" s="240"/>
      <c r="BC608" s="240"/>
      <c r="BD608" s="240"/>
      <c r="BE608" s="672"/>
      <c r="BF608" s="731"/>
      <c r="BG608" s="731"/>
      <c r="BH608" s="731"/>
      <c r="BI608" s="736"/>
      <c r="BJ608" s="732"/>
      <c r="BK608" s="240"/>
      <c r="BL608" s="240"/>
      <c r="BM608" s="240"/>
      <c r="BN608" s="240"/>
      <c r="BO608" s="240"/>
      <c r="BP608" s="240"/>
      <c r="BQ608" s="240"/>
      <c r="BR608" s="240"/>
      <c r="BS608" s="240"/>
      <c r="BT608" s="240"/>
      <c r="BU608" s="240"/>
      <c r="BV608" s="240"/>
      <c r="BW608" s="240"/>
      <c r="BX608" s="672"/>
      <c r="BY608" s="240"/>
      <c r="BZ608" s="672"/>
      <c r="CA608" s="672"/>
      <c r="CB608" s="672"/>
      <c r="CC608" s="672"/>
      <c r="CD608" s="672"/>
      <c r="CE608" s="672"/>
      <c r="CF608" s="672"/>
      <c r="CG608" s="672"/>
      <c r="CH608" s="240"/>
      <c r="CI608" s="240"/>
      <c r="CJ608" s="240"/>
      <c r="CK608" s="240"/>
      <c r="CL608" s="240"/>
      <c r="CM608" s="728"/>
      <c r="CN608" s="728"/>
      <c r="CO608" s="728"/>
      <c r="CP608" s="728"/>
      <c r="CQ608" s="728"/>
      <c r="CR608" s="728"/>
      <c r="CS608" s="728"/>
      <c r="CT608" s="728"/>
      <c r="CU608" s="728"/>
      <c r="CV608" s="728"/>
      <c r="CW608" s="728"/>
      <c r="CX608" s="728"/>
      <c r="CY608" s="728"/>
      <c r="CZ608" s="728"/>
      <c r="DA608" s="728"/>
      <c r="DB608" s="728"/>
      <c r="DC608" s="728"/>
      <c r="DD608" s="728"/>
      <c r="DE608" s="728"/>
      <c r="DF608" s="728"/>
      <c r="DG608" s="195"/>
      <c r="DH608" s="1"/>
      <c r="DI608" s="3"/>
      <c r="DL608" s="4"/>
      <c r="DM608" s="4"/>
      <c r="DN608" s="4"/>
      <c r="DO608" s="4"/>
      <c r="DP608" s="4"/>
      <c r="DR608" s="195"/>
      <c r="DS608" s="195"/>
      <c r="DT608" s="195"/>
      <c r="DU608" s="195"/>
      <c r="DV608" s="195"/>
      <c r="DW608" s="195"/>
      <c r="DX608" s="195"/>
      <c r="DY608" s="195"/>
      <c r="DZ608" s="195"/>
      <c r="EA608" s="195"/>
      <c r="EB608" s="195"/>
      <c r="EC608" s="195"/>
      <c r="ED608" s="195"/>
      <c r="EE608" s="195"/>
      <c r="EF608" s="195"/>
      <c r="EG608" s="195"/>
      <c r="EL608" s="1"/>
      <c r="EM608" s="195"/>
      <c r="EN608" s="240"/>
      <c r="EO608" s="240"/>
      <c r="EP608" s="195"/>
      <c r="EQ608" s="240"/>
      <c r="ER608" s="195"/>
      <c r="ES608" s="195"/>
      <c r="ET608" s="195"/>
      <c r="EU608" s="672"/>
    </row>
    <row r="609" customFormat="false" ht="12.75" hidden="false" customHeight="false" outlineLevel="0" collapsed="false">
      <c r="I609" s="735"/>
      <c r="J609" s="728"/>
      <c r="K609" s="195"/>
      <c r="L609" s="195"/>
      <c r="Q609" s="195"/>
      <c r="R609" s="195"/>
      <c r="S609" s="240"/>
      <c r="T609" s="195"/>
      <c r="U609" s="195"/>
      <c r="V609" s="195"/>
      <c r="W609" s="195"/>
      <c r="X609" s="195"/>
      <c r="Y609" s="195"/>
      <c r="Z609" s="195"/>
      <c r="AA609" s="195"/>
      <c r="AB609" s="195"/>
      <c r="AC609" s="195"/>
      <c r="AD609" s="195"/>
      <c r="AE609" s="195"/>
      <c r="AF609" s="195"/>
      <c r="AG609" s="195"/>
      <c r="AH609" s="195"/>
      <c r="AI609" s="195"/>
      <c r="AJ609" s="195"/>
      <c r="AK609" s="195"/>
      <c r="AL609" s="195"/>
      <c r="AM609" s="195"/>
      <c r="AN609" s="1"/>
      <c r="AO609" s="240"/>
      <c r="AP609" s="240"/>
      <c r="AQ609" s="240"/>
      <c r="AR609" s="240"/>
      <c r="AS609" s="240"/>
      <c r="AT609" s="730"/>
      <c r="AU609" s="730"/>
      <c r="AV609" s="730"/>
      <c r="AW609" s="468"/>
      <c r="AX609" s="468"/>
      <c r="AY609" s="240"/>
      <c r="AZ609" s="240"/>
      <c r="BA609" s="240"/>
      <c r="BB609" s="240"/>
      <c r="BC609" s="240"/>
      <c r="BD609" s="240"/>
      <c r="BE609" s="672"/>
      <c r="BF609" s="731"/>
      <c r="BG609" s="731"/>
      <c r="BH609" s="731"/>
      <c r="BI609" s="736"/>
      <c r="BJ609" s="732"/>
      <c r="BK609" s="240"/>
      <c r="BL609" s="240"/>
      <c r="BM609" s="240"/>
      <c r="BN609" s="240"/>
      <c r="BO609" s="240"/>
      <c r="BP609" s="240"/>
      <c r="BQ609" s="240"/>
      <c r="BR609" s="240"/>
      <c r="BS609" s="240"/>
      <c r="BT609" s="240"/>
      <c r="BU609" s="240"/>
      <c r="BV609" s="240"/>
      <c r="BW609" s="240"/>
      <c r="BX609" s="672"/>
      <c r="BY609" s="240"/>
      <c r="BZ609" s="672"/>
      <c r="CA609" s="672"/>
      <c r="CB609" s="672"/>
      <c r="CC609" s="672"/>
      <c r="CD609" s="672"/>
      <c r="CE609" s="672"/>
      <c r="CF609" s="672"/>
      <c r="CG609" s="672"/>
      <c r="CH609" s="240"/>
      <c r="CI609" s="240"/>
      <c r="CJ609" s="240"/>
      <c r="CK609" s="240"/>
      <c r="CL609" s="240"/>
      <c r="CM609" s="728"/>
      <c r="CN609" s="728"/>
      <c r="CO609" s="728"/>
      <c r="CP609" s="728"/>
      <c r="CQ609" s="728"/>
      <c r="CR609" s="728"/>
      <c r="CS609" s="728"/>
      <c r="CT609" s="728"/>
      <c r="CU609" s="728"/>
      <c r="CV609" s="728"/>
      <c r="CW609" s="728"/>
      <c r="CX609" s="728"/>
      <c r="CY609" s="728"/>
      <c r="CZ609" s="728"/>
      <c r="DA609" s="728"/>
      <c r="DB609" s="728"/>
      <c r="DC609" s="728"/>
      <c r="DD609" s="728"/>
      <c r="DE609" s="728"/>
      <c r="DF609" s="728"/>
      <c r="DG609" s="195"/>
      <c r="DH609" s="1"/>
      <c r="DI609" s="3"/>
      <c r="DL609" s="4"/>
      <c r="DM609" s="4"/>
      <c r="DN609" s="4"/>
      <c r="DO609" s="4"/>
      <c r="DP609" s="4"/>
      <c r="DR609" s="195"/>
      <c r="DS609" s="195"/>
      <c r="DT609" s="195"/>
      <c r="DU609" s="195"/>
      <c r="DV609" s="195"/>
      <c r="DW609" s="195"/>
      <c r="DX609" s="195"/>
      <c r="DY609" s="195"/>
      <c r="DZ609" s="195"/>
      <c r="EA609" s="195"/>
      <c r="EB609" s="195"/>
      <c r="EC609" s="195"/>
      <c r="ED609" s="195"/>
      <c r="EE609" s="195"/>
      <c r="EF609" s="195"/>
      <c r="EG609" s="195"/>
      <c r="EL609" s="1"/>
      <c r="EM609" s="195"/>
      <c r="EN609" s="240"/>
      <c r="EO609" s="240"/>
      <c r="EP609" s="195"/>
      <c r="EQ609" s="240"/>
      <c r="ER609" s="195"/>
      <c r="ES609" s="195"/>
      <c r="ET609" s="195"/>
      <c r="EU609" s="672"/>
    </row>
    <row r="610" customFormat="false" ht="12.75" hidden="false" customHeight="false" outlineLevel="0" collapsed="false">
      <c r="I610" s="735"/>
      <c r="J610" s="728"/>
      <c r="K610" s="195"/>
      <c r="L610" s="195"/>
      <c r="Q610" s="195"/>
      <c r="R610" s="195"/>
      <c r="S610" s="240"/>
      <c r="T610" s="195"/>
      <c r="U610" s="195"/>
      <c r="V610" s="195"/>
      <c r="W610" s="195"/>
      <c r="X610" s="195"/>
      <c r="Y610" s="195"/>
      <c r="Z610" s="195"/>
      <c r="AA610" s="195"/>
      <c r="AB610" s="195"/>
      <c r="AC610" s="195"/>
      <c r="AD610" s="195"/>
      <c r="AE610" s="195"/>
      <c r="AF610" s="195"/>
      <c r="AG610" s="195"/>
      <c r="AH610" s="195"/>
      <c r="AI610" s="195"/>
      <c r="AJ610" s="195"/>
      <c r="AK610" s="195"/>
      <c r="AL610" s="195"/>
      <c r="AM610" s="195"/>
      <c r="AN610" s="1"/>
      <c r="AO610" s="240"/>
      <c r="AP610" s="240"/>
      <c r="AQ610" s="240"/>
      <c r="AR610" s="240"/>
      <c r="AS610" s="240"/>
      <c r="AT610" s="730"/>
      <c r="AU610" s="730"/>
      <c r="AV610" s="730"/>
      <c r="AW610" s="468"/>
      <c r="AX610" s="468"/>
      <c r="AY610" s="240"/>
      <c r="AZ610" s="240"/>
      <c r="BA610" s="240"/>
      <c r="BB610" s="240"/>
      <c r="BC610" s="240"/>
      <c r="BD610" s="240"/>
      <c r="BE610" s="672"/>
      <c r="BF610" s="731"/>
      <c r="BG610" s="731"/>
      <c r="BH610" s="731"/>
      <c r="BI610" s="736"/>
      <c r="BJ610" s="732"/>
      <c r="BK610" s="240"/>
      <c r="BL610" s="240"/>
      <c r="BM610" s="240"/>
      <c r="BN610" s="240"/>
      <c r="BO610" s="240"/>
      <c r="BP610" s="240"/>
      <c r="BQ610" s="240"/>
      <c r="BR610" s="240"/>
      <c r="BS610" s="240"/>
      <c r="BT610" s="240"/>
      <c r="BU610" s="240"/>
      <c r="BV610" s="240"/>
      <c r="BW610" s="240"/>
      <c r="BX610" s="672"/>
      <c r="BY610" s="240"/>
      <c r="BZ610" s="672"/>
      <c r="CA610" s="672"/>
      <c r="CB610" s="672"/>
      <c r="CC610" s="672"/>
      <c r="CD610" s="672"/>
      <c r="CE610" s="672"/>
      <c r="CF610" s="672"/>
      <c r="CG610" s="672"/>
      <c r="CH610" s="240"/>
      <c r="CI610" s="240"/>
      <c r="CJ610" s="240"/>
      <c r="CK610" s="240"/>
      <c r="CL610" s="240"/>
      <c r="CM610" s="728"/>
      <c r="CN610" s="728"/>
      <c r="CO610" s="728"/>
      <c r="CP610" s="728"/>
      <c r="CQ610" s="728"/>
      <c r="CR610" s="728"/>
      <c r="CS610" s="728"/>
      <c r="CT610" s="728"/>
      <c r="CU610" s="728"/>
      <c r="CV610" s="728"/>
      <c r="CW610" s="728"/>
      <c r="CX610" s="728"/>
      <c r="CY610" s="728"/>
      <c r="CZ610" s="728"/>
      <c r="DA610" s="728"/>
      <c r="DB610" s="728"/>
      <c r="DC610" s="728"/>
      <c r="DD610" s="728"/>
      <c r="DE610" s="728"/>
      <c r="DF610" s="728"/>
      <c r="DG610" s="195"/>
      <c r="DH610" s="1"/>
      <c r="DI610" s="3"/>
      <c r="DL610" s="4"/>
      <c r="DM610" s="4"/>
      <c r="DN610" s="4"/>
      <c r="DO610" s="4"/>
      <c r="DP610" s="4"/>
      <c r="DR610" s="195"/>
      <c r="DS610" s="195"/>
      <c r="DT610" s="195"/>
      <c r="DU610" s="195"/>
      <c r="DV610" s="195"/>
      <c r="DW610" s="195"/>
      <c r="DX610" s="195"/>
      <c r="DY610" s="195"/>
      <c r="DZ610" s="195"/>
      <c r="EA610" s="195"/>
      <c r="EB610" s="195"/>
      <c r="EC610" s="195"/>
      <c r="ED610" s="195"/>
      <c r="EE610" s="195"/>
      <c r="EF610" s="195"/>
      <c r="EG610" s="195"/>
      <c r="EL610" s="1"/>
      <c r="EM610" s="195"/>
      <c r="EN610" s="240"/>
      <c r="EO610" s="240"/>
      <c r="EP610" s="195"/>
      <c r="EQ610" s="240"/>
      <c r="ER610" s="195"/>
      <c r="ES610" s="195"/>
      <c r="ET610" s="195"/>
      <c r="EU610" s="672"/>
    </row>
    <row r="611" customFormat="false" ht="12.75" hidden="false" customHeight="false" outlineLevel="0" collapsed="false">
      <c r="I611" s="735"/>
      <c r="J611" s="728"/>
      <c r="K611" s="195"/>
      <c r="L611" s="195"/>
      <c r="Q611" s="195"/>
      <c r="R611" s="195"/>
      <c r="S611" s="240"/>
      <c r="T611" s="195"/>
      <c r="U611" s="195"/>
      <c r="V611" s="195"/>
      <c r="W611" s="195"/>
      <c r="X611" s="195"/>
      <c r="Y611" s="195"/>
      <c r="Z611" s="195"/>
      <c r="AA611" s="195"/>
      <c r="AB611" s="195"/>
      <c r="AC611" s="195"/>
      <c r="AD611" s="195"/>
      <c r="AE611" s="195"/>
      <c r="AF611" s="195"/>
      <c r="AG611" s="195"/>
      <c r="AH611" s="195"/>
      <c r="AI611" s="195"/>
      <c r="AJ611" s="195"/>
      <c r="AK611" s="195"/>
      <c r="AL611" s="195"/>
      <c r="AM611" s="195"/>
      <c r="AN611" s="1"/>
      <c r="AO611" s="240"/>
      <c r="AP611" s="240"/>
      <c r="AQ611" s="240"/>
      <c r="AR611" s="240"/>
      <c r="AS611" s="240"/>
      <c r="AT611" s="730"/>
      <c r="AU611" s="730"/>
      <c r="AV611" s="730"/>
      <c r="AW611" s="468"/>
      <c r="AX611" s="468"/>
      <c r="AY611" s="240"/>
      <c r="AZ611" s="240"/>
      <c r="BA611" s="240"/>
      <c r="BB611" s="240"/>
      <c r="BC611" s="240"/>
      <c r="BD611" s="240"/>
      <c r="BE611" s="672"/>
      <c r="BF611" s="731"/>
      <c r="BG611" s="731"/>
      <c r="BH611" s="731"/>
      <c r="BI611" s="736"/>
      <c r="BJ611" s="732"/>
      <c r="BK611" s="240"/>
      <c r="BL611" s="240"/>
      <c r="BM611" s="240"/>
      <c r="BN611" s="240"/>
      <c r="BO611" s="240"/>
      <c r="BP611" s="240"/>
      <c r="BQ611" s="240"/>
      <c r="BR611" s="240"/>
      <c r="BS611" s="240"/>
      <c r="BT611" s="240"/>
      <c r="BU611" s="240"/>
      <c r="BV611" s="240"/>
      <c r="BW611" s="240"/>
      <c r="BX611" s="672"/>
      <c r="BY611" s="240"/>
      <c r="BZ611" s="672"/>
      <c r="CA611" s="672"/>
      <c r="CB611" s="672"/>
      <c r="CC611" s="672"/>
      <c r="CD611" s="672"/>
      <c r="CE611" s="672"/>
      <c r="CF611" s="672"/>
      <c r="CG611" s="672"/>
      <c r="CH611" s="240"/>
      <c r="CI611" s="240"/>
      <c r="CJ611" s="240"/>
      <c r="CK611" s="240"/>
      <c r="CL611" s="240"/>
      <c r="CM611" s="728"/>
      <c r="CN611" s="728"/>
      <c r="CO611" s="728"/>
      <c r="CP611" s="728"/>
      <c r="CQ611" s="728"/>
      <c r="CR611" s="728"/>
      <c r="CS611" s="728"/>
      <c r="CT611" s="728"/>
      <c r="CU611" s="728"/>
      <c r="CV611" s="728"/>
      <c r="CW611" s="728"/>
      <c r="CX611" s="728"/>
      <c r="CY611" s="728"/>
      <c r="CZ611" s="728"/>
      <c r="DA611" s="728"/>
      <c r="DB611" s="728"/>
      <c r="DC611" s="728"/>
      <c r="DD611" s="728"/>
      <c r="DE611" s="728"/>
      <c r="DF611" s="728"/>
      <c r="DG611" s="195"/>
      <c r="DH611" s="1"/>
      <c r="DI611" s="3"/>
      <c r="DL611" s="4"/>
      <c r="DM611" s="4"/>
      <c r="DN611" s="4"/>
      <c r="DO611" s="4"/>
      <c r="DP611" s="4"/>
      <c r="DR611" s="195"/>
      <c r="DS611" s="195"/>
      <c r="DT611" s="195"/>
      <c r="DU611" s="195"/>
      <c r="DV611" s="195"/>
      <c r="DW611" s="195"/>
      <c r="DX611" s="195"/>
      <c r="DY611" s="195"/>
      <c r="DZ611" s="195"/>
      <c r="EA611" s="195"/>
      <c r="EB611" s="195"/>
      <c r="EC611" s="195"/>
      <c r="ED611" s="195"/>
      <c r="EE611" s="195"/>
      <c r="EF611" s="195"/>
      <c r="EG611" s="195"/>
      <c r="EL611" s="1"/>
      <c r="EM611" s="195"/>
      <c r="EN611" s="240"/>
      <c r="EO611" s="240"/>
      <c r="EP611" s="195"/>
      <c r="EQ611" s="240"/>
      <c r="ER611" s="195"/>
      <c r="ES611" s="195"/>
      <c r="ET611" s="195"/>
      <c r="EU611" s="672"/>
    </row>
    <row r="612" customFormat="false" ht="12.75" hidden="false" customHeight="false" outlineLevel="0" collapsed="false">
      <c r="I612" s="735"/>
      <c r="J612" s="728"/>
      <c r="K612" s="195"/>
      <c r="L612" s="195"/>
      <c r="Q612" s="195"/>
      <c r="R612" s="195"/>
      <c r="S612" s="240"/>
      <c r="T612" s="195"/>
      <c r="U612" s="195"/>
      <c r="V612" s="195"/>
      <c r="W612" s="195"/>
      <c r="X612" s="195"/>
      <c r="Y612" s="195"/>
      <c r="Z612" s="195"/>
      <c r="AA612" s="195"/>
      <c r="AB612" s="195"/>
      <c r="AC612" s="195"/>
      <c r="AD612" s="195"/>
      <c r="AE612" s="195"/>
      <c r="AF612" s="195"/>
      <c r="AG612" s="195"/>
      <c r="AH612" s="195"/>
      <c r="AI612" s="195"/>
      <c r="AJ612" s="195"/>
      <c r="AK612" s="195"/>
      <c r="AL612" s="195"/>
      <c r="AM612" s="195"/>
      <c r="AN612" s="1"/>
      <c r="AO612" s="240"/>
      <c r="AP612" s="240"/>
      <c r="AQ612" s="240"/>
      <c r="AR612" s="240"/>
      <c r="AS612" s="240"/>
      <c r="AT612" s="730"/>
      <c r="AU612" s="730"/>
      <c r="AV612" s="730"/>
      <c r="AW612" s="468"/>
      <c r="AX612" s="468"/>
      <c r="AY612" s="240"/>
      <c r="AZ612" s="240"/>
      <c r="BA612" s="240"/>
      <c r="BB612" s="240"/>
      <c r="BC612" s="240"/>
      <c r="BD612" s="240"/>
      <c r="BE612" s="672"/>
      <c r="BF612" s="731"/>
      <c r="BG612" s="731"/>
      <c r="BH612" s="731"/>
      <c r="BI612" s="736"/>
      <c r="BJ612" s="732"/>
      <c r="BK612" s="240"/>
      <c r="BL612" s="240"/>
      <c r="BM612" s="240"/>
      <c r="BN612" s="240"/>
      <c r="BO612" s="240"/>
      <c r="BP612" s="240"/>
      <c r="BQ612" s="240"/>
      <c r="BR612" s="240"/>
      <c r="BS612" s="240"/>
      <c r="BT612" s="240"/>
      <c r="BU612" s="240"/>
      <c r="BV612" s="240"/>
      <c r="BW612" s="240"/>
      <c r="BX612" s="672"/>
      <c r="BY612" s="240"/>
      <c r="BZ612" s="672"/>
      <c r="CA612" s="672"/>
      <c r="CB612" s="672"/>
      <c r="CC612" s="672"/>
      <c r="CD612" s="672"/>
      <c r="CE612" s="672"/>
      <c r="CF612" s="672"/>
      <c r="CG612" s="672"/>
      <c r="CH612" s="240"/>
      <c r="CI612" s="240"/>
      <c r="CJ612" s="240"/>
      <c r="CK612" s="240"/>
      <c r="CL612" s="240"/>
      <c r="CM612" s="728"/>
      <c r="CN612" s="728"/>
      <c r="CO612" s="728"/>
      <c r="CP612" s="728"/>
      <c r="CQ612" s="728"/>
      <c r="CR612" s="728"/>
      <c r="CS612" s="728"/>
      <c r="CT612" s="728"/>
      <c r="CU612" s="728"/>
      <c r="CV612" s="728"/>
      <c r="CW612" s="728"/>
      <c r="CX612" s="728"/>
      <c r="CY612" s="728"/>
      <c r="CZ612" s="728"/>
      <c r="DA612" s="728"/>
      <c r="DB612" s="728"/>
      <c r="DC612" s="728"/>
      <c r="DD612" s="728"/>
      <c r="DE612" s="728"/>
      <c r="DF612" s="728"/>
      <c r="DG612" s="195"/>
      <c r="DH612" s="1"/>
      <c r="DI612" s="3"/>
      <c r="DL612" s="4"/>
      <c r="DM612" s="4"/>
      <c r="DN612" s="4"/>
      <c r="DO612" s="4"/>
      <c r="DP612" s="4"/>
      <c r="DR612" s="195"/>
      <c r="DS612" s="195"/>
      <c r="DT612" s="195"/>
      <c r="DU612" s="195"/>
      <c r="DV612" s="195"/>
      <c r="DW612" s="195"/>
      <c r="DX612" s="195"/>
      <c r="DY612" s="195"/>
      <c r="DZ612" s="195"/>
      <c r="EA612" s="195"/>
      <c r="EB612" s="195"/>
      <c r="EC612" s="195"/>
      <c r="ED612" s="195"/>
      <c r="EE612" s="195"/>
      <c r="EF612" s="195"/>
      <c r="EG612" s="195"/>
      <c r="EL612" s="1"/>
      <c r="EM612" s="195"/>
      <c r="EN612" s="240"/>
      <c r="EO612" s="240"/>
      <c r="EP612" s="195"/>
      <c r="EQ612" s="240"/>
      <c r="ER612" s="195"/>
      <c r="ES612" s="195"/>
      <c r="ET612" s="195"/>
      <c r="EU612" s="672"/>
    </row>
    <row r="613" customFormat="false" ht="12.75" hidden="false" customHeight="false" outlineLevel="0" collapsed="false">
      <c r="I613" s="735"/>
      <c r="J613" s="728"/>
      <c r="K613" s="195"/>
      <c r="L613" s="195"/>
      <c r="Q613" s="195"/>
      <c r="R613" s="195"/>
      <c r="S613" s="240"/>
      <c r="T613" s="195"/>
      <c r="U613" s="195"/>
      <c r="V613" s="195"/>
      <c r="W613" s="195"/>
      <c r="X613" s="195"/>
      <c r="Y613" s="195"/>
      <c r="Z613" s="195"/>
      <c r="AA613" s="195"/>
      <c r="AB613" s="195"/>
      <c r="AC613" s="195"/>
      <c r="AD613" s="195"/>
      <c r="AE613" s="195"/>
      <c r="AF613" s="195"/>
      <c r="AG613" s="195"/>
      <c r="AH613" s="195"/>
      <c r="AI613" s="195"/>
      <c r="AJ613" s="195"/>
      <c r="AK613" s="195"/>
      <c r="AL613" s="195"/>
      <c r="AM613" s="195"/>
      <c r="AN613" s="1"/>
      <c r="AO613" s="240"/>
      <c r="AP613" s="240"/>
      <c r="AQ613" s="240"/>
      <c r="AR613" s="240"/>
      <c r="AS613" s="240"/>
      <c r="AT613" s="730"/>
      <c r="AU613" s="730"/>
      <c r="AV613" s="730"/>
      <c r="AW613" s="468"/>
      <c r="AX613" s="468"/>
      <c r="AY613" s="240"/>
      <c r="AZ613" s="240"/>
      <c r="BA613" s="240"/>
      <c r="BB613" s="240"/>
      <c r="BC613" s="240"/>
      <c r="BD613" s="240"/>
      <c r="BE613" s="672"/>
      <c r="BF613" s="731"/>
      <c r="BG613" s="731"/>
      <c r="BH613" s="731"/>
      <c r="BI613" s="736"/>
      <c r="BJ613" s="732"/>
      <c r="BK613" s="240"/>
      <c r="BL613" s="240"/>
      <c r="BM613" s="240"/>
      <c r="BN613" s="240"/>
      <c r="BO613" s="240"/>
      <c r="BP613" s="240"/>
      <c r="BQ613" s="240"/>
      <c r="BR613" s="240"/>
      <c r="BS613" s="240"/>
      <c r="BT613" s="240"/>
      <c r="BU613" s="240"/>
      <c r="BV613" s="240"/>
      <c r="BW613" s="240"/>
      <c r="BX613" s="672"/>
      <c r="BY613" s="240"/>
      <c r="BZ613" s="672"/>
      <c r="CA613" s="672"/>
      <c r="CB613" s="672"/>
      <c r="CC613" s="672"/>
      <c r="CD613" s="672"/>
      <c r="CE613" s="672"/>
      <c r="CF613" s="672"/>
      <c r="CG613" s="672"/>
      <c r="CH613" s="240"/>
      <c r="CI613" s="240"/>
      <c r="CJ613" s="240"/>
      <c r="CK613" s="240"/>
      <c r="CL613" s="240"/>
      <c r="CM613" s="728"/>
      <c r="CN613" s="728"/>
      <c r="CO613" s="728"/>
      <c r="CP613" s="728"/>
      <c r="CQ613" s="728"/>
      <c r="CR613" s="728"/>
      <c r="CS613" s="728"/>
      <c r="CT613" s="728"/>
      <c r="CU613" s="728"/>
      <c r="CV613" s="728"/>
      <c r="CW613" s="728"/>
      <c r="CX613" s="728"/>
      <c r="CY613" s="728"/>
      <c r="CZ613" s="728"/>
      <c r="DA613" s="728"/>
      <c r="DB613" s="728"/>
      <c r="DC613" s="728"/>
      <c r="DD613" s="728"/>
      <c r="DE613" s="728"/>
      <c r="DF613" s="728"/>
      <c r="DG613" s="195"/>
      <c r="DH613" s="1"/>
      <c r="DI613" s="3"/>
      <c r="DL613" s="4"/>
      <c r="DM613" s="4"/>
      <c r="DN613" s="4"/>
      <c r="DO613" s="4"/>
      <c r="DP613" s="4"/>
      <c r="DR613" s="195"/>
      <c r="DS613" s="195"/>
      <c r="DT613" s="195"/>
      <c r="DU613" s="195"/>
      <c r="DV613" s="195"/>
      <c r="DW613" s="195"/>
      <c r="DX613" s="195"/>
      <c r="DY613" s="195"/>
      <c r="DZ613" s="195"/>
      <c r="EA613" s="195"/>
      <c r="EB613" s="195"/>
      <c r="EC613" s="195"/>
      <c r="ED613" s="195"/>
      <c r="EE613" s="195"/>
      <c r="EF613" s="195"/>
      <c r="EG613" s="195"/>
      <c r="EL613" s="1"/>
      <c r="EM613" s="195"/>
      <c r="EN613" s="240"/>
      <c r="EO613" s="240"/>
      <c r="EP613" s="195"/>
      <c r="EQ613" s="240"/>
      <c r="ER613" s="195"/>
      <c r="ES613" s="195"/>
      <c r="ET613" s="195"/>
      <c r="EU613" s="672"/>
    </row>
    <row r="614" customFormat="false" ht="12.75" hidden="false" customHeight="false" outlineLevel="0" collapsed="false">
      <c r="I614" s="735"/>
      <c r="J614" s="728"/>
      <c r="K614" s="195"/>
      <c r="L614" s="195"/>
      <c r="Q614" s="195"/>
      <c r="R614" s="195"/>
      <c r="S614" s="240"/>
      <c r="T614" s="195"/>
      <c r="U614" s="195"/>
      <c r="V614" s="195"/>
      <c r="W614" s="195"/>
      <c r="X614" s="195"/>
      <c r="Y614" s="195"/>
      <c r="Z614" s="195"/>
      <c r="AA614" s="195"/>
      <c r="AB614" s="195"/>
      <c r="AC614" s="195"/>
      <c r="AD614" s="195"/>
      <c r="AE614" s="195"/>
      <c r="AF614" s="195"/>
      <c r="AG614" s="195"/>
      <c r="AH614" s="195"/>
      <c r="AI614" s="195"/>
      <c r="AJ614" s="195"/>
      <c r="AK614" s="195"/>
      <c r="AL614" s="195"/>
      <c r="AM614" s="195"/>
      <c r="AN614" s="1"/>
      <c r="AO614" s="240"/>
      <c r="AP614" s="240"/>
      <c r="AQ614" s="240"/>
      <c r="AR614" s="240"/>
      <c r="AS614" s="240"/>
      <c r="AT614" s="730"/>
      <c r="AU614" s="730"/>
      <c r="AV614" s="730"/>
      <c r="AW614" s="468"/>
      <c r="AX614" s="468"/>
      <c r="AY614" s="240"/>
      <c r="AZ614" s="240"/>
      <c r="BA614" s="240"/>
      <c r="BB614" s="240"/>
      <c r="BC614" s="240"/>
      <c r="BD614" s="240"/>
      <c r="BE614" s="672"/>
      <c r="BF614" s="731"/>
      <c r="BG614" s="731"/>
      <c r="BH614" s="731"/>
      <c r="BI614" s="736"/>
      <c r="BJ614" s="732"/>
      <c r="BK614" s="240"/>
      <c r="BL614" s="240"/>
      <c r="BM614" s="240"/>
      <c r="BN614" s="240"/>
      <c r="BO614" s="240"/>
      <c r="BP614" s="240"/>
      <c r="BQ614" s="240"/>
      <c r="BR614" s="240"/>
      <c r="BS614" s="240"/>
      <c r="BT614" s="240"/>
      <c r="BU614" s="240"/>
      <c r="BV614" s="240"/>
      <c r="BW614" s="240"/>
      <c r="BX614" s="672"/>
      <c r="BY614" s="240"/>
      <c r="BZ614" s="672"/>
      <c r="CA614" s="672"/>
      <c r="CB614" s="672"/>
      <c r="CC614" s="672"/>
      <c r="CD614" s="672"/>
      <c r="CE614" s="672"/>
      <c r="CF614" s="672"/>
      <c r="CG614" s="672"/>
      <c r="CH614" s="240"/>
      <c r="CI614" s="240"/>
      <c r="CJ614" s="240"/>
      <c r="CK614" s="240"/>
      <c r="CL614" s="240"/>
      <c r="CM614" s="728"/>
      <c r="CN614" s="728"/>
      <c r="CO614" s="728"/>
      <c r="CP614" s="728"/>
      <c r="CQ614" s="728"/>
      <c r="CR614" s="728"/>
      <c r="CS614" s="728"/>
      <c r="CT614" s="728"/>
      <c r="CU614" s="728"/>
      <c r="CV614" s="728"/>
      <c r="CW614" s="728"/>
      <c r="CX614" s="728"/>
      <c r="CY614" s="728"/>
      <c r="CZ614" s="728"/>
      <c r="DA614" s="728"/>
      <c r="DB614" s="728"/>
      <c r="DC614" s="728"/>
      <c r="DD614" s="728"/>
      <c r="DE614" s="728"/>
      <c r="DF614" s="728"/>
      <c r="DG614" s="195"/>
      <c r="DH614" s="1"/>
      <c r="DI614" s="3"/>
      <c r="DL614" s="4"/>
      <c r="DM614" s="4"/>
      <c r="DN614" s="4"/>
      <c r="DO614" s="4"/>
      <c r="DP614" s="4"/>
      <c r="DR614" s="195"/>
      <c r="DS614" s="195"/>
      <c r="DT614" s="195"/>
      <c r="DU614" s="195"/>
      <c r="DV614" s="195"/>
      <c r="DW614" s="195"/>
      <c r="DX614" s="195"/>
      <c r="DY614" s="195"/>
      <c r="DZ614" s="195"/>
      <c r="EA614" s="195"/>
      <c r="EB614" s="195"/>
      <c r="EC614" s="195"/>
      <c r="ED614" s="195"/>
      <c r="EE614" s="195"/>
      <c r="EF614" s="195"/>
      <c r="EG614" s="195"/>
      <c r="EL614" s="1"/>
      <c r="EM614" s="195"/>
      <c r="EN614" s="240"/>
      <c r="EO614" s="240"/>
      <c r="EP614" s="195"/>
      <c r="EQ614" s="240"/>
      <c r="ER614" s="195"/>
      <c r="ES614" s="195"/>
      <c r="ET614" s="195"/>
      <c r="EU614" s="672"/>
    </row>
    <row r="615" customFormat="false" ht="12.75" hidden="false" customHeight="false" outlineLevel="0" collapsed="false">
      <c r="I615" s="735"/>
      <c r="J615" s="728"/>
      <c r="K615" s="195"/>
      <c r="L615" s="195"/>
      <c r="Q615" s="195"/>
      <c r="R615" s="195"/>
      <c r="S615" s="240"/>
      <c r="T615" s="195"/>
      <c r="U615" s="195"/>
      <c r="V615" s="195"/>
      <c r="W615" s="195"/>
      <c r="X615" s="195"/>
      <c r="Y615" s="195"/>
      <c r="Z615" s="195"/>
      <c r="AA615" s="195"/>
      <c r="AB615" s="195"/>
      <c r="AC615" s="195"/>
      <c r="AD615" s="195"/>
      <c r="AE615" s="195"/>
      <c r="AF615" s="195"/>
      <c r="AG615" s="195"/>
      <c r="AH615" s="195"/>
      <c r="AI615" s="195"/>
      <c r="AJ615" s="195"/>
      <c r="AK615" s="195"/>
      <c r="AL615" s="195"/>
      <c r="AM615" s="195"/>
      <c r="AN615" s="1"/>
      <c r="AO615" s="240"/>
      <c r="AP615" s="240"/>
      <c r="AQ615" s="240"/>
      <c r="AR615" s="240"/>
      <c r="AS615" s="240"/>
      <c r="AT615" s="730"/>
      <c r="AU615" s="730"/>
      <c r="AV615" s="730"/>
      <c r="AW615" s="468"/>
      <c r="AX615" s="468"/>
      <c r="AY615" s="240"/>
      <c r="AZ615" s="240"/>
      <c r="BA615" s="240"/>
      <c r="BB615" s="240"/>
      <c r="BC615" s="240"/>
      <c r="BD615" s="240"/>
      <c r="BE615" s="672"/>
      <c r="BF615" s="731"/>
      <c r="BG615" s="731"/>
      <c r="BH615" s="731"/>
      <c r="BI615" s="736"/>
      <c r="BJ615" s="732"/>
      <c r="BK615" s="240"/>
      <c r="BL615" s="240"/>
      <c r="BM615" s="240"/>
      <c r="BN615" s="240"/>
      <c r="BO615" s="240"/>
      <c r="BP615" s="240"/>
      <c r="BQ615" s="240"/>
      <c r="BR615" s="240"/>
      <c r="BS615" s="240"/>
      <c r="BT615" s="240"/>
      <c r="BU615" s="240"/>
      <c r="BV615" s="240"/>
      <c r="BW615" s="240"/>
      <c r="BX615" s="672"/>
      <c r="BY615" s="240"/>
      <c r="BZ615" s="672"/>
      <c r="CA615" s="672"/>
      <c r="CB615" s="672"/>
      <c r="CC615" s="672"/>
      <c r="CD615" s="672"/>
      <c r="CE615" s="672"/>
      <c r="CF615" s="672"/>
      <c r="CG615" s="672"/>
      <c r="CH615" s="240"/>
      <c r="CI615" s="240"/>
      <c r="CJ615" s="240"/>
      <c r="CK615" s="240"/>
      <c r="CL615" s="240"/>
      <c r="CM615" s="728"/>
      <c r="CN615" s="728"/>
      <c r="CO615" s="728"/>
      <c r="CP615" s="728"/>
      <c r="CQ615" s="728"/>
      <c r="CR615" s="728"/>
      <c r="CS615" s="728"/>
      <c r="CT615" s="728"/>
      <c r="CU615" s="728"/>
      <c r="CV615" s="728"/>
      <c r="CW615" s="728"/>
      <c r="CX615" s="728"/>
      <c r="CY615" s="728"/>
      <c r="CZ615" s="728"/>
      <c r="DA615" s="728"/>
      <c r="DB615" s="728"/>
      <c r="DC615" s="728"/>
      <c r="DD615" s="728"/>
      <c r="DE615" s="728"/>
      <c r="DF615" s="728"/>
      <c r="DG615" s="195"/>
      <c r="DH615" s="1"/>
      <c r="DI615" s="3"/>
      <c r="DL615" s="4"/>
      <c r="DM615" s="4"/>
      <c r="DN615" s="4"/>
      <c r="DO615" s="4"/>
      <c r="DP615" s="4"/>
      <c r="DR615" s="195"/>
      <c r="DS615" s="195"/>
      <c r="DT615" s="195"/>
      <c r="DU615" s="195"/>
      <c r="DV615" s="195"/>
      <c r="DW615" s="195"/>
      <c r="DX615" s="195"/>
      <c r="DY615" s="195"/>
      <c r="DZ615" s="195"/>
      <c r="EA615" s="195"/>
      <c r="EB615" s="195"/>
      <c r="EC615" s="195"/>
      <c r="ED615" s="195"/>
      <c r="EE615" s="195"/>
      <c r="EF615" s="195"/>
      <c r="EG615" s="195"/>
      <c r="EL615" s="1"/>
      <c r="EM615" s="195"/>
      <c r="EN615" s="240"/>
      <c r="EO615" s="240"/>
      <c r="EP615" s="195"/>
      <c r="EQ615" s="240"/>
      <c r="ER615" s="195"/>
      <c r="ES615" s="195"/>
      <c r="ET615" s="195"/>
      <c r="EU615" s="672"/>
    </row>
    <row r="616" customFormat="false" ht="12.75" hidden="false" customHeight="false" outlineLevel="0" collapsed="false">
      <c r="I616" s="735"/>
      <c r="J616" s="728"/>
      <c r="K616" s="195"/>
      <c r="L616" s="195"/>
      <c r="Q616" s="195"/>
      <c r="R616" s="195"/>
      <c r="S616" s="240"/>
      <c r="T616" s="195"/>
      <c r="U616" s="195"/>
      <c r="V616" s="195"/>
      <c r="W616" s="195"/>
      <c r="X616" s="195"/>
      <c r="Y616" s="195"/>
      <c r="Z616" s="195"/>
      <c r="AA616" s="195"/>
      <c r="AB616" s="195"/>
      <c r="AC616" s="195"/>
      <c r="AD616" s="195"/>
      <c r="AE616" s="195"/>
      <c r="AF616" s="195"/>
      <c r="AG616" s="195"/>
      <c r="AH616" s="195"/>
      <c r="AI616" s="195"/>
      <c r="AJ616" s="195"/>
      <c r="AK616" s="195"/>
      <c r="AL616" s="195"/>
      <c r="AM616" s="195"/>
      <c r="AN616" s="1"/>
      <c r="AO616" s="240"/>
      <c r="AP616" s="240"/>
      <c r="AQ616" s="240"/>
      <c r="AR616" s="240"/>
      <c r="AS616" s="240"/>
      <c r="AT616" s="730"/>
      <c r="AU616" s="730"/>
      <c r="AV616" s="730"/>
      <c r="AW616" s="468"/>
      <c r="AX616" s="468"/>
      <c r="AY616" s="240"/>
      <c r="AZ616" s="240"/>
      <c r="BA616" s="240"/>
      <c r="BB616" s="240"/>
      <c r="BC616" s="240"/>
      <c r="BD616" s="240"/>
      <c r="BE616" s="672"/>
      <c r="BF616" s="731"/>
      <c r="BG616" s="731"/>
      <c r="BH616" s="731"/>
      <c r="BI616" s="736"/>
      <c r="BJ616" s="732"/>
      <c r="BK616" s="240"/>
      <c r="BL616" s="240"/>
      <c r="BM616" s="240"/>
      <c r="BN616" s="240"/>
      <c r="BO616" s="240"/>
      <c r="BP616" s="240"/>
      <c r="BQ616" s="240"/>
      <c r="BR616" s="240"/>
      <c r="BS616" s="240"/>
      <c r="BT616" s="240"/>
      <c r="BU616" s="240"/>
      <c r="BV616" s="240"/>
      <c r="BW616" s="240"/>
      <c r="BX616" s="672"/>
      <c r="BY616" s="240"/>
      <c r="BZ616" s="672"/>
      <c r="CA616" s="672"/>
      <c r="CB616" s="672"/>
      <c r="CC616" s="672"/>
      <c r="CD616" s="672"/>
      <c r="CE616" s="672"/>
      <c r="CF616" s="672"/>
      <c r="CG616" s="672"/>
      <c r="CH616" s="240"/>
      <c r="CI616" s="240"/>
      <c r="CJ616" s="240"/>
      <c r="CK616" s="240"/>
      <c r="CL616" s="240"/>
      <c r="CM616" s="728"/>
      <c r="CN616" s="728"/>
      <c r="CO616" s="728"/>
      <c r="CP616" s="728"/>
      <c r="CQ616" s="728"/>
      <c r="CR616" s="728"/>
      <c r="CS616" s="728"/>
      <c r="CT616" s="728"/>
      <c r="CU616" s="728"/>
      <c r="CV616" s="728"/>
      <c r="CW616" s="728"/>
      <c r="CX616" s="728"/>
      <c r="CY616" s="728"/>
      <c r="CZ616" s="728"/>
      <c r="DA616" s="728"/>
      <c r="DB616" s="728"/>
      <c r="DC616" s="728"/>
      <c r="DD616" s="728"/>
      <c r="DE616" s="728"/>
      <c r="DF616" s="728"/>
      <c r="DG616" s="195"/>
      <c r="DH616" s="1"/>
      <c r="DI616" s="3"/>
      <c r="DL616" s="4"/>
      <c r="DM616" s="4"/>
      <c r="DN616" s="4"/>
      <c r="DO616" s="4"/>
      <c r="DP616" s="4"/>
      <c r="DR616" s="195"/>
      <c r="DS616" s="195"/>
      <c r="DT616" s="195"/>
      <c r="DU616" s="195"/>
      <c r="DV616" s="195"/>
      <c r="DW616" s="195"/>
      <c r="DX616" s="195"/>
      <c r="DY616" s="195"/>
      <c r="DZ616" s="195"/>
      <c r="EA616" s="195"/>
      <c r="EB616" s="195"/>
      <c r="EC616" s="195"/>
      <c r="ED616" s="195"/>
      <c r="EE616" s="195"/>
      <c r="EF616" s="195"/>
      <c r="EG616" s="195"/>
      <c r="EL616" s="1"/>
      <c r="EM616" s="195"/>
      <c r="EN616" s="240"/>
      <c r="EO616" s="240"/>
      <c r="EP616" s="195"/>
      <c r="EQ616" s="240"/>
      <c r="ER616" s="195"/>
      <c r="ES616" s="195"/>
      <c r="ET616" s="195"/>
      <c r="EU616" s="672"/>
    </row>
    <row r="617" customFormat="false" ht="12.75" hidden="false" customHeight="false" outlineLevel="0" collapsed="false">
      <c r="I617" s="735"/>
      <c r="J617" s="728"/>
      <c r="K617" s="195"/>
      <c r="L617" s="195"/>
      <c r="Q617" s="195"/>
      <c r="R617" s="195"/>
      <c r="S617" s="240"/>
      <c r="T617" s="195"/>
      <c r="U617" s="195"/>
      <c r="V617" s="195"/>
      <c r="W617" s="195"/>
      <c r="X617" s="195"/>
      <c r="Y617" s="195"/>
      <c r="Z617" s="195"/>
      <c r="AA617" s="195"/>
      <c r="AB617" s="195"/>
      <c r="AC617" s="195"/>
      <c r="AD617" s="195"/>
      <c r="AE617" s="195"/>
      <c r="AF617" s="195"/>
      <c r="AG617" s="195"/>
      <c r="AH617" s="195"/>
      <c r="AI617" s="195"/>
      <c r="AJ617" s="195"/>
      <c r="AK617" s="195"/>
      <c r="AL617" s="195"/>
      <c r="AM617" s="195"/>
      <c r="AN617" s="1"/>
      <c r="AO617" s="240"/>
      <c r="AP617" s="240"/>
      <c r="AQ617" s="240"/>
      <c r="AR617" s="240"/>
      <c r="AS617" s="240"/>
      <c r="AT617" s="730"/>
      <c r="AU617" s="730"/>
      <c r="AV617" s="730"/>
      <c r="AW617" s="468"/>
      <c r="AX617" s="468"/>
      <c r="AY617" s="240"/>
      <c r="AZ617" s="240"/>
      <c r="BA617" s="240"/>
      <c r="BB617" s="240"/>
      <c r="BC617" s="240"/>
      <c r="BD617" s="240"/>
      <c r="BE617" s="672"/>
      <c r="BF617" s="731"/>
      <c r="BG617" s="731"/>
      <c r="BH617" s="731"/>
      <c r="BI617" s="736"/>
      <c r="BJ617" s="732"/>
      <c r="BK617" s="240"/>
      <c r="BL617" s="240"/>
      <c r="BM617" s="240"/>
      <c r="BN617" s="240"/>
      <c r="BO617" s="240"/>
      <c r="BP617" s="240"/>
      <c r="BQ617" s="240"/>
      <c r="BR617" s="240"/>
      <c r="BS617" s="240"/>
      <c r="BT617" s="240"/>
      <c r="BU617" s="240"/>
      <c r="BV617" s="240"/>
      <c r="BW617" s="240"/>
      <c r="BX617" s="672"/>
      <c r="BY617" s="240"/>
      <c r="BZ617" s="672"/>
      <c r="CA617" s="672"/>
      <c r="CB617" s="672"/>
      <c r="CC617" s="672"/>
      <c r="CD617" s="672"/>
      <c r="CE617" s="672"/>
      <c r="CF617" s="672"/>
      <c r="CG617" s="672"/>
      <c r="CH617" s="240"/>
      <c r="CI617" s="240"/>
      <c r="CJ617" s="240"/>
      <c r="CK617" s="240"/>
      <c r="CL617" s="240"/>
      <c r="CM617" s="728"/>
      <c r="CN617" s="728"/>
      <c r="CO617" s="728"/>
      <c r="CP617" s="728"/>
      <c r="CQ617" s="728"/>
      <c r="CR617" s="728"/>
      <c r="CS617" s="728"/>
      <c r="CT617" s="728"/>
      <c r="CU617" s="728"/>
      <c r="CV617" s="728"/>
      <c r="CW617" s="728"/>
      <c r="CX617" s="728"/>
      <c r="CY617" s="728"/>
      <c r="CZ617" s="728"/>
      <c r="DA617" s="728"/>
      <c r="DB617" s="728"/>
      <c r="DC617" s="728"/>
      <c r="DD617" s="728"/>
      <c r="DE617" s="728"/>
      <c r="DF617" s="728"/>
      <c r="DG617" s="195"/>
      <c r="DH617" s="1"/>
      <c r="DI617" s="3"/>
      <c r="DL617" s="4"/>
      <c r="DM617" s="4"/>
      <c r="DN617" s="4"/>
      <c r="DO617" s="4"/>
      <c r="DP617" s="4"/>
      <c r="DR617" s="195"/>
      <c r="DS617" s="195"/>
      <c r="DT617" s="195"/>
      <c r="DU617" s="195"/>
      <c r="DV617" s="195"/>
      <c r="DW617" s="195"/>
      <c r="DX617" s="195"/>
      <c r="DY617" s="195"/>
      <c r="DZ617" s="195"/>
      <c r="EA617" s="195"/>
      <c r="EB617" s="195"/>
      <c r="EC617" s="195"/>
      <c r="ED617" s="195"/>
      <c r="EE617" s="195"/>
      <c r="EF617" s="195"/>
      <c r="EG617" s="195"/>
      <c r="EL617" s="1"/>
      <c r="EM617" s="195"/>
      <c r="EN617" s="240"/>
      <c r="EO617" s="240"/>
      <c r="EP617" s="195"/>
      <c r="EQ617" s="240"/>
      <c r="ER617" s="195"/>
      <c r="ES617" s="195"/>
      <c r="ET617" s="195"/>
      <c r="EU617" s="672"/>
    </row>
    <row r="618" customFormat="false" ht="12.75" hidden="false" customHeight="false" outlineLevel="0" collapsed="false">
      <c r="I618" s="735"/>
      <c r="J618" s="728"/>
      <c r="K618" s="195"/>
      <c r="L618" s="195"/>
      <c r="Q618" s="195"/>
      <c r="R618" s="195"/>
      <c r="S618" s="240"/>
      <c r="T618" s="195"/>
      <c r="U618" s="195"/>
      <c r="V618" s="195"/>
      <c r="W618" s="195"/>
      <c r="X618" s="195"/>
      <c r="Y618" s="195"/>
      <c r="Z618" s="195"/>
      <c r="AA618" s="195"/>
      <c r="AB618" s="195"/>
      <c r="AC618" s="195"/>
      <c r="AD618" s="195"/>
      <c r="AE618" s="195"/>
      <c r="AF618" s="195"/>
      <c r="AG618" s="195"/>
      <c r="AH618" s="195"/>
      <c r="AI618" s="195"/>
      <c r="AJ618" s="195"/>
      <c r="AK618" s="195"/>
      <c r="AL618" s="195"/>
      <c r="AM618" s="195"/>
      <c r="AN618" s="1"/>
      <c r="AO618" s="240"/>
      <c r="AP618" s="240"/>
      <c r="AQ618" s="240"/>
      <c r="AR618" s="240"/>
      <c r="AS618" s="240"/>
      <c r="AT618" s="730"/>
      <c r="AU618" s="730"/>
      <c r="AV618" s="730"/>
      <c r="AW618" s="468"/>
      <c r="AX618" s="468"/>
      <c r="AY618" s="240"/>
      <c r="AZ618" s="240"/>
      <c r="BA618" s="240"/>
      <c r="BB618" s="240"/>
      <c r="BC618" s="240"/>
      <c r="BD618" s="240"/>
      <c r="BE618" s="672"/>
      <c r="BF618" s="731"/>
      <c r="BG618" s="731"/>
      <c r="BH618" s="731"/>
      <c r="BI618" s="736"/>
      <c r="BJ618" s="732"/>
      <c r="BK618" s="240"/>
      <c r="BL618" s="240"/>
      <c r="BM618" s="240"/>
      <c r="BN618" s="240"/>
      <c r="BO618" s="240"/>
      <c r="BP618" s="240"/>
      <c r="BQ618" s="240"/>
      <c r="BR618" s="240"/>
      <c r="BS618" s="240"/>
      <c r="BT618" s="240"/>
      <c r="BU618" s="240"/>
      <c r="BV618" s="240"/>
      <c r="BW618" s="240"/>
      <c r="BX618" s="672"/>
      <c r="BY618" s="240"/>
      <c r="BZ618" s="672"/>
      <c r="CA618" s="672"/>
      <c r="CB618" s="672"/>
      <c r="CC618" s="672"/>
      <c r="CD618" s="672"/>
      <c r="CE618" s="672"/>
      <c r="CF618" s="672"/>
      <c r="CG618" s="672"/>
      <c r="CH618" s="240"/>
      <c r="CI618" s="240"/>
      <c r="CJ618" s="240"/>
      <c r="CK618" s="240"/>
      <c r="CL618" s="240"/>
      <c r="CM618" s="728"/>
      <c r="CN618" s="728"/>
      <c r="CO618" s="728"/>
      <c r="CP618" s="728"/>
      <c r="CQ618" s="728"/>
      <c r="CR618" s="728"/>
      <c r="CS618" s="728"/>
      <c r="CT618" s="728"/>
      <c r="CU618" s="728"/>
      <c r="CV618" s="728"/>
      <c r="CW618" s="728"/>
      <c r="CX618" s="728"/>
      <c r="CY618" s="728"/>
      <c r="CZ618" s="728"/>
      <c r="DA618" s="728"/>
      <c r="DB618" s="728"/>
      <c r="DC618" s="728"/>
      <c r="DD618" s="728"/>
      <c r="DE618" s="728"/>
      <c r="DF618" s="728"/>
      <c r="DG618" s="195"/>
      <c r="DH618" s="1"/>
      <c r="DI618" s="3"/>
      <c r="DL618" s="4"/>
      <c r="DM618" s="4"/>
      <c r="DN618" s="4"/>
      <c r="DO618" s="4"/>
      <c r="DP618" s="4"/>
      <c r="DR618" s="195"/>
      <c r="DS618" s="195"/>
      <c r="DT618" s="195"/>
      <c r="DU618" s="195"/>
      <c r="DV618" s="195"/>
      <c r="DW618" s="195"/>
      <c r="DX618" s="195"/>
      <c r="DY618" s="195"/>
      <c r="DZ618" s="195"/>
      <c r="EA618" s="195"/>
      <c r="EB618" s="195"/>
      <c r="EC618" s="195"/>
      <c r="ED618" s="195"/>
      <c r="EE618" s="195"/>
      <c r="EF618" s="195"/>
      <c r="EG618" s="195"/>
      <c r="EL618" s="1"/>
      <c r="EM618" s="195"/>
      <c r="EN618" s="240"/>
      <c r="EO618" s="240"/>
      <c r="EP618" s="195"/>
      <c r="EQ618" s="240"/>
      <c r="ER618" s="195"/>
      <c r="ES618" s="195"/>
      <c r="ET618" s="195"/>
      <c r="EU618" s="672"/>
    </row>
    <row r="619" customFormat="false" ht="12.75" hidden="false" customHeight="false" outlineLevel="0" collapsed="false">
      <c r="I619" s="735"/>
      <c r="J619" s="728"/>
      <c r="K619" s="195"/>
      <c r="L619" s="195"/>
      <c r="Q619" s="195"/>
      <c r="R619" s="195"/>
      <c r="S619" s="240"/>
      <c r="T619" s="195"/>
      <c r="U619" s="195"/>
      <c r="V619" s="195"/>
      <c r="W619" s="195"/>
      <c r="X619" s="195"/>
      <c r="Y619" s="195"/>
      <c r="Z619" s="195"/>
      <c r="AA619" s="195"/>
      <c r="AB619" s="195"/>
      <c r="AC619" s="195"/>
      <c r="AD619" s="195"/>
      <c r="AE619" s="195"/>
      <c r="AF619" s="195"/>
      <c r="AG619" s="195"/>
      <c r="AH619" s="195"/>
      <c r="AI619" s="195"/>
      <c r="AJ619" s="195"/>
      <c r="AK619" s="195"/>
      <c r="AL619" s="195"/>
      <c r="AM619" s="195"/>
      <c r="AN619" s="1"/>
      <c r="AO619" s="240"/>
      <c r="AP619" s="240"/>
      <c r="AQ619" s="240"/>
      <c r="AR619" s="240"/>
      <c r="AS619" s="240"/>
      <c r="AT619" s="730"/>
      <c r="AU619" s="730"/>
      <c r="AV619" s="730"/>
      <c r="AW619" s="468"/>
      <c r="AX619" s="468"/>
      <c r="AY619" s="240"/>
      <c r="AZ619" s="240"/>
      <c r="BA619" s="240"/>
      <c r="BB619" s="240"/>
      <c r="BC619" s="240"/>
      <c r="BD619" s="240"/>
      <c r="BE619" s="672"/>
      <c r="BF619" s="731"/>
      <c r="BG619" s="731"/>
      <c r="BH619" s="731"/>
      <c r="BI619" s="736"/>
      <c r="BJ619" s="732"/>
      <c r="BK619" s="240"/>
      <c r="BL619" s="240"/>
      <c r="BM619" s="240"/>
      <c r="BN619" s="240"/>
      <c r="BO619" s="240"/>
      <c r="BP619" s="240"/>
      <c r="BQ619" s="240"/>
      <c r="BR619" s="240"/>
      <c r="BS619" s="240"/>
      <c r="BT619" s="240"/>
      <c r="BU619" s="240"/>
      <c r="BV619" s="240"/>
      <c r="BW619" s="240"/>
      <c r="BX619" s="672"/>
      <c r="BY619" s="240"/>
      <c r="BZ619" s="672"/>
      <c r="CA619" s="672"/>
      <c r="CB619" s="672"/>
      <c r="CC619" s="672"/>
      <c r="CD619" s="672"/>
      <c r="CE619" s="672"/>
      <c r="CF619" s="672"/>
      <c r="CG619" s="672"/>
      <c r="CH619" s="240"/>
      <c r="CI619" s="240"/>
      <c r="CJ619" s="240"/>
      <c r="CK619" s="240"/>
      <c r="CL619" s="240"/>
      <c r="CM619" s="728"/>
      <c r="CN619" s="728"/>
      <c r="CO619" s="728"/>
      <c r="CP619" s="728"/>
      <c r="CQ619" s="728"/>
      <c r="CR619" s="728"/>
      <c r="CS619" s="728"/>
      <c r="CT619" s="728"/>
      <c r="CU619" s="728"/>
      <c r="CV619" s="728"/>
      <c r="CW619" s="728"/>
      <c r="CX619" s="728"/>
      <c r="CY619" s="728"/>
      <c r="CZ619" s="728"/>
      <c r="DA619" s="728"/>
      <c r="DB619" s="728"/>
      <c r="DC619" s="728"/>
      <c r="DD619" s="728"/>
      <c r="DE619" s="728"/>
      <c r="DF619" s="728"/>
      <c r="DG619" s="195"/>
      <c r="DH619" s="1"/>
      <c r="DI619" s="3"/>
      <c r="DL619" s="4"/>
      <c r="DM619" s="4"/>
      <c r="DN619" s="4"/>
      <c r="DO619" s="4"/>
      <c r="DP619" s="4"/>
      <c r="DR619" s="195"/>
      <c r="DS619" s="195"/>
      <c r="DT619" s="195"/>
      <c r="DU619" s="195"/>
      <c r="DV619" s="195"/>
      <c r="DW619" s="195"/>
      <c r="DX619" s="195"/>
      <c r="DY619" s="195"/>
      <c r="DZ619" s="195"/>
      <c r="EA619" s="195"/>
      <c r="EB619" s="195"/>
      <c r="EC619" s="195"/>
      <c r="ED619" s="195"/>
      <c r="EE619" s="195"/>
      <c r="EF619" s="195"/>
      <c r="EG619" s="195"/>
      <c r="EL619" s="1"/>
      <c r="EM619" s="195"/>
      <c r="EN619" s="240"/>
      <c r="EO619" s="240"/>
      <c r="EP619" s="195"/>
      <c r="EQ619" s="240"/>
      <c r="ER619" s="195"/>
      <c r="ES619" s="195"/>
      <c r="ET619" s="195"/>
      <c r="EU619" s="672"/>
    </row>
    <row r="620" customFormat="false" ht="12.75" hidden="false" customHeight="false" outlineLevel="0" collapsed="false">
      <c r="I620" s="735"/>
      <c r="J620" s="728"/>
      <c r="K620" s="195"/>
      <c r="L620" s="195"/>
      <c r="Q620" s="195"/>
      <c r="R620" s="195"/>
      <c r="S620" s="240"/>
      <c r="T620" s="195"/>
      <c r="U620" s="195"/>
      <c r="V620" s="195"/>
      <c r="W620" s="195"/>
      <c r="X620" s="195"/>
      <c r="Y620" s="195"/>
      <c r="Z620" s="195"/>
      <c r="AA620" s="195"/>
      <c r="AB620" s="195"/>
      <c r="AC620" s="195"/>
      <c r="AD620" s="195"/>
      <c r="AE620" s="195"/>
      <c r="AF620" s="195"/>
      <c r="AG620" s="195"/>
      <c r="AH620" s="195"/>
      <c r="AI620" s="195"/>
      <c r="AJ620" s="195"/>
      <c r="AK620" s="195"/>
      <c r="AL620" s="195"/>
      <c r="AM620" s="195"/>
      <c r="AN620" s="1"/>
      <c r="AO620" s="240"/>
      <c r="AP620" s="240"/>
      <c r="AQ620" s="240"/>
      <c r="AR620" s="240"/>
      <c r="AS620" s="240"/>
      <c r="AT620" s="730"/>
      <c r="AU620" s="730"/>
      <c r="AV620" s="730"/>
      <c r="AW620" s="468"/>
      <c r="AX620" s="468"/>
      <c r="AY620" s="240"/>
      <c r="AZ620" s="240"/>
      <c r="BA620" s="240"/>
      <c r="BB620" s="240"/>
      <c r="BC620" s="240"/>
      <c r="BD620" s="240"/>
      <c r="BE620" s="672"/>
      <c r="BF620" s="731"/>
      <c r="BG620" s="731"/>
      <c r="BH620" s="731"/>
      <c r="BI620" s="736"/>
      <c r="BJ620" s="732"/>
      <c r="BK620" s="240"/>
      <c r="BL620" s="240"/>
      <c r="BM620" s="240"/>
      <c r="BN620" s="240"/>
      <c r="BO620" s="240"/>
      <c r="BP620" s="240"/>
      <c r="BQ620" s="240"/>
      <c r="BR620" s="240"/>
      <c r="BS620" s="240"/>
      <c r="BT620" s="240"/>
      <c r="BU620" s="240"/>
      <c r="BV620" s="240"/>
      <c r="BW620" s="240"/>
      <c r="BX620" s="672"/>
      <c r="BY620" s="240"/>
      <c r="BZ620" s="672"/>
      <c r="CA620" s="672"/>
      <c r="CB620" s="672"/>
      <c r="CC620" s="672"/>
      <c r="CD620" s="672"/>
      <c r="CE620" s="672"/>
      <c r="CF620" s="672"/>
      <c r="CG620" s="672"/>
      <c r="CH620" s="240"/>
      <c r="CI620" s="240"/>
      <c r="CJ620" s="240"/>
      <c r="CK620" s="240"/>
      <c r="CL620" s="240"/>
      <c r="CM620" s="728"/>
      <c r="CN620" s="728"/>
      <c r="CO620" s="728"/>
      <c r="CP620" s="728"/>
      <c r="CQ620" s="728"/>
      <c r="CR620" s="728"/>
      <c r="CS620" s="728"/>
      <c r="CT620" s="728"/>
      <c r="CU620" s="728"/>
      <c r="CV620" s="728"/>
      <c r="CW620" s="728"/>
      <c r="CX620" s="728"/>
      <c r="CY620" s="728"/>
      <c r="CZ620" s="728"/>
      <c r="DA620" s="728"/>
      <c r="DB620" s="728"/>
      <c r="DC620" s="728"/>
      <c r="DD620" s="728"/>
      <c r="DE620" s="728"/>
      <c r="DF620" s="728"/>
      <c r="DG620" s="195"/>
      <c r="DH620" s="1"/>
      <c r="DI620" s="3"/>
      <c r="DL620" s="4"/>
      <c r="DM620" s="4"/>
      <c r="DN620" s="4"/>
      <c r="DO620" s="4"/>
      <c r="DP620" s="4"/>
      <c r="DR620" s="195"/>
      <c r="DS620" s="195"/>
      <c r="DT620" s="195"/>
      <c r="DU620" s="195"/>
      <c r="DV620" s="195"/>
      <c r="DW620" s="195"/>
      <c r="DX620" s="195"/>
      <c r="DY620" s="195"/>
      <c r="DZ620" s="195"/>
      <c r="EA620" s="195"/>
      <c r="EB620" s="195"/>
      <c r="EC620" s="195"/>
      <c r="ED620" s="195"/>
      <c r="EE620" s="195"/>
      <c r="EF620" s="195"/>
      <c r="EG620" s="195"/>
      <c r="EL620" s="1"/>
      <c r="EM620" s="195"/>
      <c r="EN620" s="240"/>
      <c r="EO620" s="240"/>
      <c r="EP620" s="195"/>
      <c r="EQ620" s="240"/>
      <c r="ER620" s="195"/>
      <c r="ES620" s="195"/>
      <c r="ET620" s="195"/>
      <c r="EU620" s="672"/>
    </row>
    <row r="621" customFormat="false" ht="12.75" hidden="false" customHeight="false" outlineLevel="0" collapsed="false">
      <c r="I621" s="735"/>
      <c r="J621" s="728"/>
      <c r="K621" s="195"/>
      <c r="L621" s="195"/>
      <c r="Q621" s="195"/>
      <c r="R621" s="195"/>
      <c r="S621" s="240"/>
      <c r="T621" s="195"/>
      <c r="U621" s="195"/>
      <c r="V621" s="195"/>
      <c r="W621" s="195"/>
      <c r="X621" s="195"/>
      <c r="Y621" s="195"/>
      <c r="Z621" s="195"/>
      <c r="AA621" s="195"/>
      <c r="AB621" s="195"/>
      <c r="AC621" s="195"/>
      <c r="AD621" s="195"/>
      <c r="AE621" s="195"/>
      <c r="AF621" s="195"/>
      <c r="AG621" s="195"/>
      <c r="AH621" s="195"/>
      <c r="AI621" s="195"/>
      <c r="AJ621" s="195"/>
      <c r="AK621" s="195"/>
      <c r="AL621" s="195"/>
      <c r="AM621" s="195"/>
      <c r="AN621" s="1"/>
      <c r="AO621" s="240"/>
      <c r="AP621" s="240"/>
      <c r="AQ621" s="240"/>
      <c r="AR621" s="240"/>
      <c r="AS621" s="240"/>
      <c r="AT621" s="730"/>
      <c r="AU621" s="730"/>
      <c r="AV621" s="730"/>
      <c r="AW621" s="468"/>
      <c r="AX621" s="468"/>
      <c r="AY621" s="240"/>
      <c r="AZ621" s="240"/>
      <c r="BA621" s="240"/>
      <c r="BB621" s="240"/>
      <c r="BC621" s="240"/>
      <c r="BD621" s="240"/>
      <c r="BE621" s="672"/>
      <c r="BF621" s="731"/>
      <c r="BG621" s="731"/>
      <c r="BH621" s="731"/>
      <c r="BI621" s="736"/>
      <c r="BJ621" s="732"/>
      <c r="BK621" s="240"/>
      <c r="BL621" s="240"/>
      <c r="BM621" s="240"/>
      <c r="BN621" s="240"/>
      <c r="BO621" s="240"/>
      <c r="BP621" s="240"/>
      <c r="BQ621" s="240"/>
      <c r="BR621" s="240"/>
      <c r="BS621" s="240"/>
      <c r="BT621" s="240"/>
      <c r="BU621" s="240"/>
      <c r="BV621" s="240"/>
      <c r="BW621" s="240"/>
      <c r="BX621" s="672"/>
      <c r="BY621" s="240"/>
      <c r="BZ621" s="672"/>
      <c r="CA621" s="672"/>
      <c r="CB621" s="672"/>
      <c r="CC621" s="672"/>
      <c r="CD621" s="672"/>
      <c r="CE621" s="672"/>
      <c r="CF621" s="672"/>
      <c r="CG621" s="672"/>
      <c r="CH621" s="240"/>
      <c r="CI621" s="240"/>
      <c r="CJ621" s="240"/>
      <c r="CK621" s="240"/>
      <c r="CL621" s="240"/>
      <c r="CM621" s="728"/>
      <c r="CN621" s="728"/>
      <c r="CO621" s="728"/>
      <c r="CP621" s="728"/>
      <c r="CQ621" s="728"/>
      <c r="CR621" s="728"/>
      <c r="CS621" s="728"/>
      <c r="CT621" s="728"/>
      <c r="CU621" s="728"/>
      <c r="CV621" s="728"/>
      <c r="CW621" s="728"/>
      <c r="CX621" s="728"/>
      <c r="CY621" s="728"/>
      <c r="CZ621" s="728"/>
      <c r="DA621" s="728"/>
      <c r="DB621" s="728"/>
      <c r="DC621" s="728"/>
      <c r="DD621" s="728"/>
      <c r="DE621" s="728"/>
      <c r="DF621" s="728"/>
      <c r="DG621" s="195"/>
      <c r="DH621" s="1"/>
      <c r="DI621" s="3"/>
      <c r="DL621" s="4"/>
      <c r="DM621" s="4"/>
      <c r="DN621" s="4"/>
      <c r="DO621" s="4"/>
      <c r="DP621" s="4"/>
      <c r="DR621" s="195"/>
      <c r="DS621" s="195"/>
      <c r="DT621" s="195"/>
      <c r="DU621" s="195"/>
      <c r="DV621" s="195"/>
      <c r="DW621" s="195"/>
      <c r="DX621" s="195"/>
      <c r="DY621" s="195"/>
      <c r="DZ621" s="195"/>
      <c r="EA621" s="195"/>
      <c r="EB621" s="195"/>
      <c r="EC621" s="195"/>
      <c r="ED621" s="195"/>
      <c r="EE621" s="195"/>
      <c r="EF621" s="195"/>
      <c r="EG621" s="195"/>
      <c r="EL621" s="1"/>
      <c r="EM621" s="195"/>
      <c r="EN621" s="240"/>
      <c r="EO621" s="240"/>
      <c r="EP621" s="195"/>
      <c r="EQ621" s="240"/>
      <c r="ER621" s="195"/>
      <c r="ES621" s="195"/>
      <c r="ET621" s="195"/>
      <c r="EU621" s="672"/>
    </row>
    <row r="622" customFormat="false" ht="12.75" hidden="false" customHeight="false" outlineLevel="0" collapsed="false">
      <c r="I622" s="735"/>
      <c r="J622" s="728"/>
      <c r="K622" s="195"/>
      <c r="L622" s="195"/>
      <c r="Q622" s="195"/>
      <c r="R622" s="195"/>
      <c r="S622" s="240"/>
      <c r="T622" s="195"/>
      <c r="U622" s="195"/>
      <c r="V622" s="195"/>
      <c r="W622" s="195"/>
      <c r="X622" s="195"/>
      <c r="Y622" s="195"/>
      <c r="Z622" s="195"/>
      <c r="AA622" s="195"/>
      <c r="AB622" s="195"/>
      <c r="AC622" s="195"/>
      <c r="AD622" s="195"/>
      <c r="AE622" s="195"/>
      <c r="AF622" s="195"/>
      <c r="AG622" s="195"/>
      <c r="AH622" s="195"/>
      <c r="AI622" s="195"/>
      <c r="AJ622" s="195"/>
      <c r="AK622" s="195"/>
      <c r="AL622" s="195"/>
      <c r="AM622" s="195"/>
      <c r="AN622" s="1"/>
      <c r="AO622" s="240"/>
      <c r="AP622" s="240"/>
      <c r="AQ622" s="240"/>
      <c r="AR622" s="240"/>
      <c r="AS622" s="240"/>
      <c r="AT622" s="730"/>
      <c r="AU622" s="730"/>
      <c r="AV622" s="730"/>
      <c r="AW622" s="468"/>
      <c r="AX622" s="468"/>
      <c r="AY622" s="240"/>
      <c r="AZ622" s="240"/>
      <c r="BA622" s="240"/>
      <c r="BB622" s="240"/>
      <c r="BC622" s="240"/>
      <c r="BD622" s="240"/>
      <c r="BE622" s="672"/>
      <c r="BF622" s="731"/>
      <c r="BG622" s="731"/>
      <c r="BH622" s="731"/>
      <c r="BI622" s="736"/>
      <c r="BJ622" s="732"/>
      <c r="BK622" s="240"/>
      <c r="BL622" s="240"/>
      <c r="BM622" s="240"/>
      <c r="BN622" s="240"/>
      <c r="BO622" s="240"/>
      <c r="BP622" s="240"/>
      <c r="BQ622" s="240"/>
      <c r="BR622" s="240"/>
      <c r="BS622" s="240"/>
      <c r="BT622" s="240"/>
      <c r="BU622" s="240"/>
      <c r="BV622" s="240"/>
      <c r="BW622" s="240"/>
      <c r="BX622" s="672"/>
      <c r="BY622" s="240"/>
      <c r="BZ622" s="672"/>
      <c r="CA622" s="672"/>
      <c r="CB622" s="672"/>
      <c r="CC622" s="672"/>
      <c r="CD622" s="672"/>
      <c r="CE622" s="672"/>
      <c r="CF622" s="672"/>
      <c r="CG622" s="672"/>
      <c r="CH622" s="240"/>
      <c r="CI622" s="240"/>
      <c r="CJ622" s="240"/>
      <c r="CK622" s="240"/>
      <c r="CL622" s="240"/>
      <c r="CM622" s="728"/>
      <c r="CN622" s="728"/>
      <c r="CO622" s="728"/>
      <c r="CP622" s="728"/>
      <c r="CQ622" s="728"/>
      <c r="CR622" s="728"/>
      <c r="CS622" s="728"/>
      <c r="CT622" s="728"/>
      <c r="CU622" s="728"/>
      <c r="CV622" s="728"/>
      <c r="CW622" s="728"/>
      <c r="CX622" s="728"/>
      <c r="CY622" s="728"/>
      <c r="CZ622" s="728"/>
      <c r="DA622" s="728"/>
      <c r="DB622" s="728"/>
      <c r="DC622" s="728"/>
      <c r="DD622" s="728"/>
      <c r="DE622" s="728"/>
      <c r="DF622" s="728"/>
      <c r="DG622" s="195"/>
      <c r="DH622" s="1"/>
      <c r="DI622" s="3"/>
      <c r="DL622" s="4"/>
      <c r="DM622" s="4"/>
      <c r="DN622" s="4"/>
      <c r="DO622" s="4"/>
      <c r="DP622" s="4"/>
      <c r="DR622" s="195"/>
      <c r="DS622" s="195"/>
      <c r="DT622" s="195"/>
      <c r="DU622" s="195"/>
      <c r="DV622" s="195"/>
      <c r="DW622" s="195"/>
      <c r="DX622" s="195"/>
      <c r="DY622" s="195"/>
      <c r="DZ622" s="195"/>
      <c r="EA622" s="195"/>
      <c r="EB622" s="195"/>
      <c r="EC622" s="195"/>
      <c r="ED622" s="195"/>
      <c r="EE622" s="195"/>
      <c r="EF622" s="195"/>
      <c r="EG622" s="195"/>
      <c r="EL622" s="1"/>
      <c r="EM622" s="195"/>
      <c r="EN622" s="240"/>
      <c r="EO622" s="240"/>
      <c r="EP622" s="195"/>
      <c r="EQ622" s="240"/>
      <c r="ER622" s="195"/>
      <c r="ES622" s="195"/>
      <c r="ET622" s="195"/>
      <c r="EU622" s="672"/>
    </row>
    <row r="623" customFormat="false" ht="12.75" hidden="false" customHeight="false" outlineLevel="0" collapsed="false">
      <c r="I623" s="735"/>
      <c r="J623" s="728"/>
      <c r="K623" s="195"/>
      <c r="L623" s="195"/>
      <c r="Q623" s="195"/>
      <c r="R623" s="195"/>
      <c r="S623" s="240"/>
      <c r="T623" s="195"/>
      <c r="U623" s="195"/>
      <c r="V623" s="195"/>
      <c r="W623" s="195"/>
      <c r="X623" s="195"/>
      <c r="Y623" s="195"/>
      <c r="Z623" s="195"/>
      <c r="AA623" s="195"/>
      <c r="AB623" s="195"/>
      <c r="AC623" s="195"/>
      <c r="AD623" s="195"/>
      <c r="AE623" s="195"/>
      <c r="AF623" s="195"/>
      <c r="AG623" s="195"/>
      <c r="AH623" s="195"/>
      <c r="AI623" s="195"/>
      <c r="AJ623" s="195"/>
      <c r="AK623" s="195"/>
      <c r="AL623" s="195"/>
      <c r="AM623" s="195"/>
      <c r="AN623" s="1"/>
      <c r="AO623" s="240"/>
      <c r="AP623" s="240"/>
      <c r="AQ623" s="240"/>
      <c r="AR623" s="240"/>
      <c r="AS623" s="240"/>
      <c r="AT623" s="730"/>
      <c r="AU623" s="730"/>
      <c r="AV623" s="730"/>
      <c r="AW623" s="468"/>
      <c r="AX623" s="468"/>
      <c r="AY623" s="240"/>
      <c r="AZ623" s="240"/>
      <c r="BA623" s="240"/>
      <c r="BB623" s="240"/>
      <c r="BC623" s="240"/>
      <c r="BD623" s="240"/>
      <c r="BE623" s="672"/>
      <c r="BF623" s="731"/>
      <c r="BG623" s="731"/>
      <c r="BH623" s="731"/>
      <c r="BI623" s="736"/>
      <c r="BJ623" s="732"/>
      <c r="BK623" s="240"/>
      <c r="BL623" s="240"/>
      <c r="BM623" s="240"/>
      <c r="BN623" s="240"/>
      <c r="BO623" s="240"/>
      <c r="BP623" s="240"/>
      <c r="BQ623" s="240"/>
      <c r="BR623" s="240"/>
      <c r="BS623" s="240"/>
      <c r="BT623" s="240"/>
      <c r="BU623" s="240"/>
      <c r="BV623" s="240"/>
      <c r="BW623" s="240"/>
      <c r="BX623" s="672"/>
      <c r="BY623" s="240"/>
      <c r="BZ623" s="672"/>
      <c r="CA623" s="672"/>
      <c r="CB623" s="672"/>
      <c r="CC623" s="672"/>
      <c r="CD623" s="672"/>
      <c r="CE623" s="672"/>
      <c r="CF623" s="672"/>
      <c r="CG623" s="672"/>
      <c r="CH623" s="240"/>
      <c r="CI623" s="240"/>
      <c r="CJ623" s="240"/>
      <c r="CK623" s="240"/>
      <c r="CL623" s="240"/>
      <c r="CM623" s="728"/>
      <c r="CN623" s="728"/>
      <c r="CO623" s="728"/>
      <c r="CP623" s="728"/>
      <c r="CQ623" s="728"/>
      <c r="CR623" s="728"/>
      <c r="CS623" s="728"/>
      <c r="CT623" s="728"/>
      <c r="CU623" s="728"/>
      <c r="CV623" s="728"/>
      <c r="CW623" s="728"/>
      <c r="CX623" s="728"/>
      <c r="CY623" s="728"/>
      <c r="CZ623" s="728"/>
      <c r="DA623" s="728"/>
      <c r="DB623" s="728"/>
      <c r="DC623" s="728"/>
      <c r="DD623" s="728"/>
      <c r="DE623" s="728"/>
      <c r="DF623" s="728"/>
      <c r="DG623" s="195"/>
      <c r="DH623" s="1"/>
      <c r="DI623" s="3"/>
      <c r="DL623" s="4"/>
      <c r="DM623" s="4"/>
      <c r="DN623" s="4"/>
      <c r="DO623" s="4"/>
      <c r="DP623" s="4"/>
      <c r="DR623" s="195"/>
      <c r="DS623" s="195"/>
      <c r="DT623" s="195"/>
      <c r="DU623" s="195"/>
      <c r="DV623" s="195"/>
      <c r="DW623" s="195"/>
      <c r="DX623" s="195"/>
      <c r="DY623" s="195"/>
      <c r="DZ623" s="195"/>
      <c r="EA623" s="195"/>
      <c r="EB623" s="195"/>
      <c r="EC623" s="195"/>
      <c r="ED623" s="195"/>
      <c r="EE623" s="195"/>
      <c r="EF623" s="195"/>
      <c r="EG623" s="195"/>
      <c r="EL623" s="1"/>
      <c r="EM623" s="195"/>
      <c r="EN623" s="240"/>
      <c r="EO623" s="240"/>
      <c r="EP623" s="195"/>
      <c r="EQ623" s="240"/>
      <c r="ER623" s="195"/>
      <c r="ES623" s="195"/>
      <c r="ET623" s="195"/>
      <c r="EU623" s="672"/>
    </row>
    <row r="624" customFormat="false" ht="12.75" hidden="false" customHeight="false" outlineLevel="0" collapsed="false">
      <c r="I624" s="735"/>
      <c r="J624" s="728"/>
      <c r="K624" s="195"/>
      <c r="L624" s="195"/>
      <c r="Q624" s="195"/>
      <c r="R624" s="195"/>
      <c r="S624" s="240"/>
      <c r="T624" s="195"/>
      <c r="U624" s="195"/>
      <c r="V624" s="195"/>
      <c r="W624" s="195"/>
      <c r="X624" s="195"/>
      <c r="Y624" s="195"/>
      <c r="Z624" s="195"/>
      <c r="AA624" s="195"/>
      <c r="AB624" s="195"/>
      <c r="AC624" s="195"/>
      <c r="AD624" s="195"/>
      <c r="AE624" s="195"/>
      <c r="AF624" s="195"/>
      <c r="AG624" s="195"/>
      <c r="AH624" s="195"/>
      <c r="AI624" s="195"/>
      <c r="AJ624" s="195"/>
      <c r="AK624" s="195"/>
      <c r="AL624" s="195"/>
      <c r="AM624" s="195"/>
      <c r="AN624" s="1"/>
      <c r="AO624" s="240"/>
      <c r="AP624" s="240"/>
      <c r="AQ624" s="240"/>
      <c r="AR624" s="240"/>
      <c r="AS624" s="240"/>
      <c r="AT624" s="730"/>
      <c r="AU624" s="730"/>
      <c r="AV624" s="730"/>
      <c r="AW624" s="468"/>
      <c r="AX624" s="468"/>
      <c r="AY624" s="240"/>
      <c r="AZ624" s="240"/>
      <c r="BA624" s="240"/>
      <c r="BB624" s="240"/>
      <c r="BC624" s="240"/>
      <c r="BD624" s="240"/>
      <c r="BE624" s="672"/>
      <c r="BF624" s="731"/>
      <c r="BG624" s="731"/>
      <c r="BH624" s="731"/>
      <c r="BI624" s="736"/>
      <c r="BJ624" s="732"/>
      <c r="BK624" s="240"/>
      <c r="BL624" s="240"/>
      <c r="BM624" s="240"/>
      <c r="BN624" s="240"/>
      <c r="BO624" s="240"/>
      <c r="BP624" s="240"/>
      <c r="BQ624" s="240"/>
      <c r="BR624" s="240"/>
      <c r="BS624" s="240"/>
      <c r="BT624" s="240"/>
      <c r="BU624" s="240"/>
      <c r="BV624" s="240"/>
      <c r="BW624" s="240"/>
      <c r="BX624" s="672"/>
      <c r="BY624" s="240"/>
      <c r="BZ624" s="672"/>
      <c r="CA624" s="672"/>
      <c r="CB624" s="672"/>
      <c r="CC624" s="672"/>
      <c r="CD624" s="672"/>
      <c r="CE624" s="672"/>
      <c r="CF624" s="672"/>
      <c r="CG624" s="672"/>
      <c r="CH624" s="240"/>
      <c r="CI624" s="240"/>
      <c r="CJ624" s="240"/>
      <c r="CK624" s="240"/>
      <c r="CL624" s="240"/>
      <c r="CM624" s="728"/>
      <c r="CN624" s="728"/>
      <c r="CO624" s="728"/>
      <c r="CP624" s="728"/>
      <c r="CQ624" s="728"/>
      <c r="CR624" s="728"/>
      <c r="CS624" s="728"/>
      <c r="CT624" s="728"/>
      <c r="CU624" s="728"/>
      <c r="CV624" s="728"/>
      <c r="CW624" s="728"/>
      <c r="CX624" s="728"/>
      <c r="CY624" s="728"/>
      <c r="CZ624" s="728"/>
      <c r="DA624" s="728"/>
      <c r="DB624" s="728"/>
      <c r="DC624" s="728"/>
      <c r="DD624" s="728"/>
      <c r="DE624" s="728"/>
      <c r="DF624" s="728"/>
      <c r="DG624" s="195"/>
      <c r="DH624" s="1"/>
      <c r="DI624" s="3"/>
      <c r="DL624" s="4"/>
      <c r="DM624" s="4"/>
      <c r="DN624" s="4"/>
      <c r="DO624" s="4"/>
      <c r="DP624" s="4"/>
      <c r="DR624" s="195"/>
      <c r="DS624" s="195"/>
      <c r="DT624" s="195"/>
      <c r="DU624" s="195"/>
      <c r="DV624" s="195"/>
      <c r="DW624" s="195"/>
      <c r="DX624" s="195"/>
      <c r="DY624" s="195"/>
      <c r="DZ624" s="195"/>
      <c r="EA624" s="195"/>
      <c r="EB624" s="195"/>
      <c r="EC624" s="195"/>
      <c r="ED624" s="195"/>
      <c r="EE624" s="195"/>
      <c r="EF624" s="195"/>
      <c r="EG624" s="195"/>
      <c r="EL624" s="1"/>
      <c r="EM624" s="195"/>
      <c r="EN624" s="240"/>
      <c r="EO624" s="240"/>
      <c r="EP624" s="195"/>
      <c r="EQ624" s="240"/>
      <c r="ER624" s="195"/>
      <c r="ES624" s="195"/>
      <c r="ET624" s="195"/>
      <c r="EU624" s="672"/>
    </row>
    <row r="625" customFormat="false" ht="12.75" hidden="false" customHeight="false" outlineLevel="0" collapsed="false">
      <c r="I625" s="735"/>
      <c r="J625" s="728"/>
      <c r="K625" s="195"/>
      <c r="L625" s="195"/>
      <c r="Q625" s="195"/>
      <c r="R625" s="195"/>
      <c r="S625" s="240"/>
      <c r="T625" s="195"/>
      <c r="U625" s="195"/>
      <c r="V625" s="195"/>
      <c r="W625" s="195"/>
      <c r="X625" s="195"/>
      <c r="Y625" s="195"/>
      <c r="Z625" s="195"/>
      <c r="AA625" s="195"/>
      <c r="AB625" s="195"/>
      <c r="AC625" s="195"/>
      <c r="AD625" s="195"/>
      <c r="AE625" s="195"/>
      <c r="AF625" s="195"/>
      <c r="AG625" s="195"/>
      <c r="AH625" s="195"/>
      <c r="AI625" s="195"/>
      <c r="AJ625" s="195"/>
      <c r="AK625" s="195"/>
      <c r="AL625" s="195"/>
      <c r="AM625" s="195"/>
      <c r="AN625" s="1"/>
      <c r="AO625" s="240"/>
      <c r="AP625" s="240"/>
      <c r="AQ625" s="240"/>
      <c r="AR625" s="240"/>
      <c r="AS625" s="240"/>
      <c r="AT625" s="730"/>
      <c r="AU625" s="730"/>
      <c r="AV625" s="730"/>
      <c r="AW625" s="468"/>
      <c r="AX625" s="468"/>
      <c r="AY625" s="240"/>
      <c r="AZ625" s="240"/>
      <c r="BA625" s="240"/>
      <c r="BB625" s="240"/>
      <c r="BC625" s="240"/>
      <c r="BD625" s="240"/>
      <c r="BE625" s="672"/>
      <c r="BF625" s="731"/>
      <c r="BG625" s="731"/>
      <c r="BH625" s="731"/>
      <c r="BI625" s="736"/>
      <c r="BJ625" s="732"/>
      <c r="BK625" s="240"/>
      <c r="BL625" s="240"/>
      <c r="BM625" s="240"/>
      <c r="BN625" s="240"/>
      <c r="BO625" s="240"/>
      <c r="BP625" s="240"/>
      <c r="BQ625" s="240"/>
      <c r="BR625" s="240"/>
      <c r="BS625" s="240"/>
      <c r="BT625" s="240"/>
      <c r="BU625" s="240"/>
      <c r="BV625" s="240"/>
      <c r="BW625" s="240"/>
      <c r="BX625" s="672"/>
      <c r="BY625" s="240"/>
      <c r="BZ625" s="672"/>
      <c r="CA625" s="672"/>
      <c r="CB625" s="672"/>
      <c r="CC625" s="672"/>
      <c r="CD625" s="672"/>
      <c r="CE625" s="672"/>
      <c r="CF625" s="672"/>
      <c r="CG625" s="672"/>
      <c r="CH625" s="240"/>
      <c r="CI625" s="240"/>
      <c r="CJ625" s="240"/>
      <c r="CK625" s="240"/>
      <c r="CL625" s="240"/>
      <c r="CM625" s="728"/>
      <c r="CN625" s="728"/>
      <c r="CO625" s="728"/>
      <c r="CP625" s="728"/>
      <c r="CQ625" s="728"/>
      <c r="CR625" s="728"/>
      <c r="CS625" s="728"/>
      <c r="CT625" s="728"/>
      <c r="CU625" s="728"/>
      <c r="CV625" s="728"/>
      <c r="CW625" s="728"/>
      <c r="CX625" s="728"/>
      <c r="CY625" s="728"/>
      <c r="CZ625" s="728"/>
      <c r="DA625" s="728"/>
      <c r="DB625" s="728"/>
      <c r="DC625" s="728"/>
      <c r="DD625" s="728"/>
      <c r="DE625" s="728"/>
      <c r="DF625" s="728"/>
      <c r="DG625" s="195"/>
      <c r="DH625" s="1"/>
      <c r="DI625" s="3"/>
      <c r="DL625" s="4"/>
      <c r="DM625" s="4"/>
      <c r="DN625" s="4"/>
      <c r="DO625" s="4"/>
      <c r="DP625" s="4"/>
      <c r="DR625" s="195"/>
      <c r="DS625" s="195"/>
      <c r="DT625" s="195"/>
      <c r="DU625" s="195"/>
      <c r="DV625" s="195"/>
      <c r="DW625" s="195"/>
      <c r="DX625" s="195"/>
      <c r="DY625" s="195"/>
      <c r="DZ625" s="195"/>
      <c r="EA625" s="195"/>
      <c r="EB625" s="195"/>
      <c r="EC625" s="195"/>
      <c r="ED625" s="195"/>
      <c r="EE625" s="195"/>
      <c r="EF625" s="195"/>
      <c r="EG625" s="195"/>
      <c r="EL625" s="1"/>
      <c r="EM625" s="195"/>
      <c r="EN625" s="240"/>
      <c r="EO625" s="240"/>
      <c r="EP625" s="195"/>
      <c r="EQ625" s="240"/>
      <c r="ER625" s="195"/>
      <c r="ES625" s="195"/>
      <c r="ET625" s="195"/>
      <c r="EU625" s="672"/>
    </row>
    <row r="626" customFormat="false" ht="12.75" hidden="false" customHeight="false" outlineLevel="0" collapsed="false">
      <c r="I626" s="735"/>
      <c r="J626" s="728"/>
      <c r="K626" s="195"/>
      <c r="L626" s="195"/>
      <c r="Q626" s="195"/>
      <c r="R626" s="195"/>
      <c r="S626" s="240"/>
      <c r="T626" s="195"/>
      <c r="U626" s="195"/>
      <c r="V626" s="195"/>
      <c r="W626" s="195"/>
      <c r="X626" s="195"/>
      <c r="Y626" s="195"/>
      <c r="Z626" s="195"/>
      <c r="AA626" s="195"/>
      <c r="AB626" s="195"/>
      <c r="AC626" s="195"/>
      <c r="AD626" s="195"/>
      <c r="AE626" s="195"/>
      <c r="AF626" s="195"/>
      <c r="AG626" s="195"/>
      <c r="AH626" s="195"/>
      <c r="AI626" s="195"/>
      <c r="AJ626" s="195"/>
      <c r="AK626" s="195"/>
      <c r="AL626" s="195"/>
      <c r="AM626" s="195"/>
      <c r="AN626" s="1"/>
      <c r="AO626" s="240"/>
      <c r="AP626" s="240"/>
      <c r="AQ626" s="240"/>
      <c r="AR626" s="240"/>
      <c r="AS626" s="240"/>
      <c r="AT626" s="730"/>
      <c r="AU626" s="730"/>
      <c r="AV626" s="730"/>
      <c r="AW626" s="468"/>
      <c r="AX626" s="468"/>
      <c r="AY626" s="240"/>
      <c r="AZ626" s="240"/>
      <c r="BA626" s="240"/>
      <c r="BB626" s="240"/>
      <c r="BC626" s="240"/>
      <c r="BD626" s="240"/>
      <c r="BE626" s="672"/>
      <c r="BF626" s="731"/>
      <c r="BG626" s="731"/>
      <c r="BH626" s="731"/>
      <c r="BI626" s="736"/>
      <c r="BJ626" s="732"/>
      <c r="BK626" s="240"/>
      <c r="BL626" s="240"/>
      <c r="BM626" s="240"/>
      <c r="BN626" s="240"/>
      <c r="BO626" s="240"/>
      <c r="BP626" s="240"/>
      <c r="BQ626" s="240"/>
      <c r="BR626" s="240"/>
      <c r="BS626" s="240"/>
      <c r="BT626" s="240"/>
      <c r="BU626" s="240"/>
      <c r="BV626" s="240"/>
      <c r="BW626" s="240"/>
      <c r="BX626" s="672"/>
      <c r="BY626" s="240"/>
      <c r="BZ626" s="672"/>
      <c r="CA626" s="672"/>
      <c r="CB626" s="672"/>
      <c r="CC626" s="672"/>
      <c r="CD626" s="672"/>
      <c r="CE626" s="672"/>
      <c r="CF626" s="672"/>
      <c r="CG626" s="672"/>
      <c r="CH626" s="240"/>
      <c r="CI626" s="240"/>
      <c r="CJ626" s="240"/>
      <c r="CK626" s="240"/>
      <c r="CL626" s="240"/>
      <c r="CM626" s="728"/>
      <c r="CN626" s="728"/>
      <c r="CO626" s="728"/>
      <c r="CP626" s="728"/>
      <c r="CQ626" s="728"/>
      <c r="CR626" s="728"/>
      <c r="CS626" s="728"/>
      <c r="CT626" s="728"/>
      <c r="CU626" s="728"/>
      <c r="CV626" s="728"/>
      <c r="CW626" s="728"/>
      <c r="CX626" s="728"/>
      <c r="CY626" s="728"/>
      <c r="CZ626" s="728"/>
      <c r="DA626" s="728"/>
      <c r="DB626" s="728"/>
      <c r="DC626" s="728"/>
      <c r="DD626" s="728"/>
      <c r="DE626" s="728"/>
      <c r="DF626" s="728"/>
      <c r="DG626" s="195"/>
      <c r="DH626" s="1"/>
      <c r="DI626" s="3"/>
      <c r="DL626" s="4"/>
      <c r="DM626" s="4"/>
      <c r="DN626" s="4"/>
      <c r="DO626" s="4"/>
      <c r="DP626" s="4"/>
      <c r="DR626" s="195"/>
      <c r="DS626" s="195"/>
      <c r="DT626" s="195"/>
      <c r="DU626" s="195"/>
      <c r="DV626" s="195"/>
      <c r="DW626" s="195"/>
      <c r="DX626" s="195"/>
      <c r="DY626" s="195"/>
      <c r="DZ626" s="195"/>
      <c r="EA626" s="195"/>
      <c r="EB626" s="195"/>
      <c r="EC626" s="195"/>
      <c r="ED626" s="195"/>
      <c r="EE626" s="195"/>
      <c r="EF626" s="195"/>
      <c r="EG626" s="195"/>
      <c r="EL626" s="1"/>
      <c r="EM626" s="195"/>
      <c r="EN626" s="240"/>
      <c r="EO626" s="240"/>
      <c r="EP626" s="195"/>
      <c r="EQ626" s="240"/>
      <c r="ER626" s="195"/>
      <c r="ES626" s="195"/>
      <c r="ET626" s="195"/>
      <c r="EU626" s="672"/>
    </row>
    <row r="627" customFormat="false" ht="12.75" hidden="false" customHeight="false" outlineLevel="0" collapsed="false">
      <c r="I627" s="735"/>
      <c r="J627" s="728"/>
      <c r="K627" s="195"/>
      <c r="L627" s="195"/>
      <c r="Q627" s="195"/>
      <c r="R627" s="195"/>
      <c r="S627" s="240"/>
      <c r="T627" s="195"/>
      <c r="U627" s="195"/>
      <c r="V627" s="195"/>
      <c r="W627" s="195"/>
      <c r="X627" s="195"/>
      <c r="Y627" s="195"/>
      <c r="Z627" s="195"/>
      <c r="AA627" s="195"/>
      <c r="AB627" s="195"/>
      <c r="AC627" s="195"/>
      <c r="AD627" s="195"/>
      <c r="AE627" s="195"/>
      <c r="AF627" s="195"/>
      <c r="AG627" s="195"/>
      <c r="AH627" s="195"/>
      <c r="AI627" s="195"/>
      <c r="AJ627" s="195"/>
      <c r="AK627" s="195"/>
      <c r="AL627" s="195"/>
      <c r="AM627" s="195"/>
      <c r="AN627" s="1"/>
      <c r="AO627" s="240"/>
      <c r="AP627" s="240"/>
      <c r="AQ627" s="240"/>
      <c r="AR627" s="240"/>
      <c r="AS627" s="240"/>
      <c r="AT627" s="730"/>
      <c r="AU627" s="730"/>
      <c r="AV627" s="730"/>
      <c r="AW627" s="468"/>
      <c r="AX627" s="468"/>
      <c r="AY627" s="240"/>
      <c r="AZ627" s="240"/>
      <c r="BA627" s="240"/>
      <c r="BB627" s="240"/>
      <c r="BC627" s="240"/>
      <c r="BD627" s="240"/>
      <c r="BE627" s="672"/>
      <c r="BF627" s="731"/>
      <c r="BG627" s="731"/>
      <c r="BH627" s="731"/>
      <c r="BI627" s="736"/>
      <c r="BJ627" s="732"/>
      <c r="BK627" s="240"/>
      <c r="BL627" s="240"/>
      <c r="BM627" s="240"/>
      <c r="BN627" s="240"/>
      <c r="BO627" s="240"/>
      <c r="BP627" s="240"/>
      <c r="BQ627" s="240"/>
      <c r="BR627" s="240"/>
      <c r="BS627" s="240"/>
      <c r="BT627" s="240"/>
      <c r="BU627" s="240"/>
      <c r="BV627" s="240"/>
      <c r="BW627" s="240"/>
      <c r="BX627" s="672"/>
      <c r="BY627" s="240"/>
      <c r="BZ627" s="672"/>
      <c r="CA627" s="672"/>
      <c r="CB627" s="672"/>
      <c r="CC627" s="672"/>
      <c r="CD627" s="672"/>
      <c r="CE627" s="672"/>
      <c r="CF627" s="672"/>
      <c r="CG627" s="672"/>
      <c r="CH627" s="240"/>
      <c r="CI627" s="240"/>
      <c r="CJ627" s="240"/>
      <c r="CK627" s="240"/>
      <c r="CL627" s="240"/>
      <c r="CM627" s="728"/>
      <c r="CN627" s="728"/>
      <c r="CO627" s="728"/>
      <c r="CP627" s="728"/>
      <c r="CQ627" s="728"/>
      <c r="CR627" s="728"/>
      <c r="CS627" s="728"/>
      <c r="CT627" s="728"/>
      <c r="CU627" s="728"/>
      <c r="CV627" s="728"/>
      <c r="CW627" s="728"/>
      <c r="CX627" s="728"/>
      <c r="CY627" s="728"/>
      <c r="CZ627" s="728"/>
      <c r="DA627" s="728"/>
      <c r="DB627" s="728"/>
      <c r="DC627" s="728"/>
      <c r="DD627" s="728"/>
      <c r="DE627" s="728"/>
      <c r="DF627" s="728"/>
      <c r="DG627" s="195"/>
      <c r="DH627" s="1"/>
      <c r="DI627" s="3"/>
      <c r="DL627" s="4"/>
      <c r="DM627" s="4"/>
      <c r="DN627" s="4"/>
      <c r="DO627" s="4"/>
      <c r="DP627" s="4"/>
      <c r="DR627" s="195"/>
      <c r="DS627" s="195"/>
      <c r="DT627" s="195"/>
      <c r="DU627" s="195"/>
      <c r="DV627" s="195"/>
      <c r="DW627" s="195"/>
      <c r="DX627" s="195"/>
      <c r="DY627" s="195"/>
      <c r="DZ627" s="195"/>
      <c r="EA627" s="195"/>
      <c r="EB627" s="195"/>
      <c r="EC627" s="195"/>
      <c r="ED627" s="195"/>
      <c r="EE627" s="195"/>
      <c r="EF627" s="195"/>
      <c r="EG627" s="195"/>
      <c r="EL627" s="1"/>
      <c r="EM627" s="195"/>
      <c r="EN627" s="240"/>
      <c r="EO627" s="240"/>
      <c r="EP627" s="195"/>
      <c r="EQ627" s="240"/>
      <c r="ER627" s="195"/>
      <c r="ES627" s="195"/>
      <c r="ET627" s="195"/>
      <c r="EU627" s="672"/>
    </row>
    <row r="628" customFormat="false" ht="12.75" hidden="false" customHeight="false" outlineLevel="0" collapsed="false">
      <c r="I628" s="735"/>
      <c r="J628" s="728"/>
      <c r="K628" s="195"/>
      <c r="L628" s="195"/>
      <c r="Q628" s="195"/>
      <c r="R628" s="195"/>
      <c r="S628" s="240"/>
      <c r="T628" s="195"/>
      <c r="U628" s="195"/>
      <c r="V628" s="195"/>
      <c r="W628" s="195"/>
      <c r="X628" s="195"/>
      <c r="Y628" s="195"/>
      <c r="Z628" s="195"/>
      <c r="AA628" s="195"/>
      <c r="AB628" s="195"/>
      <c r="AC628" s="195"/>
      <c r="AD628" s="195"/>
      <c r="AE628" s="195"/>
      <c r="AF628" s="195"/>
      <c r="AG628" s="195"/>
      <c r="AH628" s="195"/>
      <c r="AI628" s="195"/>
      <c r="AJ628" s="195"/>
      <c r="AK628" s="195"/>
      <c r="AL628" s="195"/>
      <c r="AM628" s="195"/>
      <c r="AN628" s="1"/>
      <c r="AO628" s="240"/>
      <c r="AP628" s="240"/>
      <c r="AQ628" s="240"/>
      <c r="AR628" s="240"/>
      <c r="AS628" s="240"/>
      <c r="AT628" s="730"/>
      <c r="AU628" s="730"/>
      <c r="AV628" s="730"/>
      <c r="AW628" s="468"/>
      <c r="AX628" s="468"/>
      <c r="AY628" s="240"/>
      <c r="AZ628" s="240"/>
      <c r="BA628" s="240"/>
      <c r="BB628" s="240"/>
      <c r="BC628" s="240"/>
      <c r="BD628" s="240"/>
      <c r="BE628" s="672"/>
      <c r="BF628" s="731"/>
      <c r="BG628" s="731"/>
      <c r="BH628" s="731"/>
      <c r="BI628" s="736"/>
      <c r="BJ628" s="732"/>
      <c r="BK628" s="240"/>
      <c r="BL628" s="240"/>
      <c r="BM628" s="240"/>
      <c r="BN628" s="240"/>
      <c r="BO628" s="240"/>
      <c r="BP628" s="240"/>
      <c r="BQ628" s="240"/>
      <c r="BR628" s="240"/>
      <c r="BS628" s="240"/>
      <c r="BT628" s="240"/>
      <c r="BU628" s="240"/>
      <c r="BV628" s="240"/>
      <c r="BW628" s="240"/>
      <c r="BX628" s="672"/>
      <c r="BY628" s="240"/>
      <c r="BZ628" s="672"/>
      <c r="CA628" s="672"/>
      <c r="CB628" s="672"/>
      <c r="CC628" s="672"/>
      <c r="CD628" s="672"/>
      <c r="CE628" s="672"/>
      <c r="CF628" s="672"/>
      <c r="CG628" s="672"/>
      <c r="CH628" s="240"/>
      <c r="CI628" s="240"/>
      <c r="CJ628" s="240"/>
      <c r="CK628" s="240"/>
      <c r="CL628" s="240"/>
      <c r="CM628" s="728"/>
      <c r="CN628" s="728"/>
      <c r="CO628" s="728"/>
      <c r="CP628" s="728"/>
      <c r="CQ628" s="728"/>
      <c r="CR628" s="728"/>
      <c r="CS628" s="728"/>
      <c r="CT628" s="728"/>
      <c r="CU628" s="728"/>
      <c r="CV628" s="728"/>
      <c r="CW628" s="728"/>
      <c r="CX628" s="728"/>
      <c r="CY628" s="728"/>
      <c r="CZ628" s="728"/>
      <c r="DA628" s="728"/>
      <c r="DB628" s="728"/>
      <c r="DC628" s="728"/>
      <c r="DD628" s="728"/>
      <c r="DE628" s="728"/>
      <c r="DF628" s="728"/>
      <c r="DG628" s="195"/>
      <c r="DH628" s="1"/>
      <c r="DI628" s="3"/>
      <c r="DL628" s="4"/>
      <c r="DM628" s="4"/>
      <c r="DN628" s="4"/>
      <c r="DO628" s="4"/>
      <c r="DP628" s="4"/>
      <c r="DR628" s="195"/>
      <c r="DS628" s="195"/>
      <c r="DT628" s="195"/>
      <c r="DU628" s="195"/>
      <c r="DV628" s="195"/>
      <c r="DW628" s="195"/>
      <c r="DX628" s="195"/>
      <c r="DY628" s="195"/>
      <c r="DZ628" s="195"/>
      <c r="EA628" s="195"/>
      <c r="EB628" s="195"/>
      <c r="EC628" s="195"/>
      <c r="ED628" s="195"/>
      <c r="EE628" s="195"/>
      <c r="EF628" s="195"/>
      <c r="EG628" s="195"/>
      <c r="EL628" s="1"/>
      <c r="EM628" s="195"/>
      <c r="EN628" s="240"/>
      <c r="EO628" s="240"/>
      <c r="EP628" s="195"/>
      <c r="EQ628" s="240"/>
      <c r="ER628" s="195"/>
      <c r="ES628" s="195"/>
      <c r="ET628" s="195"/>
      <c r="EU628" s="672"/>
    </row>
    <row r="629" customFormat="false" ht="12.75" hidden="false" customHeight="false" outlineLevel="0" collapsed="false">
      <c r="I629" s="735"/>
      <c r="J629" s="728"/>
      <c r="K629" s="195"/>
      <c r="L629" s="195"/>
      <c r="Q629" s="195"/>
      <c r="R629" s="195"/>
      <c r="S629" s="240"/>
      <c r="T629" s="195"/>
      <c r="U629" s="195"/>
      <c r="V629" s="195"/>
      <c r="W629" s="195"/>
      <c r="X629" s="195"/>
      <c r="Y629" s="195"/>
      <c r="Z629" s="195"/>
      <c r="AA629" s="195"/>
      <c r="AB629" s="195"/>
      <c r="AC629" s="195"/>
      <c r="AD629" s="195"/>
      <c r="AE629" s="195"/>
      <c r="AF629" s="195"/>
      <c r="AG629" s="195"/>
      <c r="AH629" s="195"/>
      <c r="AI629" s="195"/>
      <c r="AJ629" s="195"/>
      <c r="AK629" s="195"/>
      <c r="AL629" s="195"/>
      <c r="AM629" s="195"/>
      <c r="AN629" s="1"/>
      <c r="AO629" s="240"/>
      <c r="AP629" s="240"/>
      <c r="AQ629" s="240"/>
      <c r="AR629" s="240"/>
      <c r="AS629" s="240"/>
      <c r="AT629" s="730"/>
      <c r="AU629" s="730"/>
      <c r="AV629" s="730"/>
      <c r="AW629" s="468"/>
      <c r="AX629" s="468"/>
      <c r="AY629" s="240"/>
      <c r="AZ629" s="240"/>
      <c r="BA629" s="240"/>
      <c r="BB629" s="240"/>
      <c r="BC629" s="240"/>
      <c r="BD629" s="240"/>
      <c r="BE629" s="672"/>
      <c r="BF629" s="731"/>
      <c r="BG629" s="731"/>
      <c r="BH629" s="731"/>
      <c r="BI629" s="736"/>
      <c r="BJ629" s="732"/>
      <c r="BK629" s="240"/>
      <c r="BL629" s="240"/>
      <c r="BM629" s="240"/>
      <c r="BN629" s="240"/>
      <c r="BO629" s="240"/>
      <c r="BP629" s="240"/>
      <c r="BQ629" s="240"/>
      <c r="BR629" s="240"/>
      <c r="BS629" s="240"/>
      <c r="BT629" s="240"/>
      <c r="BU629" s="240"/>
      <c r="BV629" s="240"/>
      <c r="BW629" s="240"/>
      <c r="BX629" s="672"/>
      <c r="BY629" s="240"/>
      <c r="BZ629" s="672"/>
      <c r="CA629" s="672"/>
      <c r="CB629" s="672"/>
      <c r="CC629" s="672"/>
      <c r="CD629" s="672"/>
      <c r="CE629" s="672"/>
      <c r="CF629" s="672"/>
      <c r="CG629" s="672"/>
      <c r="CH629" s="240"/>
      <c r="CI629" s="240"/>
      <c r="CJ629" s="240"/>
      <c r="CK629" s="240"/>
      <c r="CL629" s="240"/>
      <c r="CM629" s="728"/>
      <c r="CN629" s="728"/>
      <c r="CO629" s="728"/>
      <c r="CP629" s="728"/>
      <c r="CQ629" s="728"/>
      <c r="CR629" s="728"/>
      <c r="CS629" s="728"/>
      <c r="CT629" s="728"/>
      <c r="CU629" s="728"/>
      <c r="CV629" s="728"/>
      <c r="CW629" s="728"/>
      <c r="CX629" s="728"/>
      <c r="CY629" s="728"/>
      <c r="CZ629" s="728"/>
      <c r="DA629" s="728"/>
      <c r="DB629" s="728"/>
      <c r="DC629" s="728"/>
      <c r="DD629" s="728"/>
      <c r="DE629" s="728"/>
      <c r="DF629" s="728"/>
      <c r="DG629" s="195"/>
      <c r="DH629" s="1"/>
      <c r="DI629" s="3"/>
      <c r="DL629" s="4"/>
      <c r="DM629" s="4"/>
      <c r="DN629" s="4"/>
      <c r="DO629" s="4"/>
      <c r="DP629" s="4"/>
      <c r="DR629" s="195"/>
      <c r="DS629" s="195"/>
      <c r="DT629" s="195"/>
      <c r="DU629" s="195"/>
      <c r="DV629" s="195"/>
      <c r="DW629" s="195"/>
      <c r="DX629" s="195"/>
      <c r="DY629" s="195"/>
      <c r="DZ629" s="195"/>
      <c r="EA629" s="195"/>
      <c r="EB629" s="195"/>
      <c r="EC629" s="195"/>
      <c r="ED629" s="195"/>
      <c r="EE629" s="195"/>
      <c r="EF629" s="195"/>
      <c r="EG629" s="195"/>
      <c r="EL629" s="1"/>
      <c r="EM629" s="195"/>
      <c r="EN629" s="240"/>
      <c r="EO629" s="240"/>
      <c r="EP629" s="195"/>
      <c r="EQ629" s="240"/>
      <c r="ER629" s="195"/>
      <c r="ES629" s="195"/>
      <c r="ET629" s="195"/>
      <c r="EU629" s="672"/>
    </row>
    <row r="630" customFormat="false" ht="12.75" hidden="false" customHeight="false" outlineLevel="0" collapsed="false">
      <c r="I630" s="735"/>
      <c r="J630" s="728"/>
      <c r="K630" s="195"/>
      <c r="L630" s="195"/>
      <c r="Q630" s="195"/>
      <c r="R630" s="195"/>
      <c r="S630" s="240"/>
      <c r="T630" s="195"/>
      <c r="U630" s="195"/>
      <c r="V630" s="195"/>
      <c r="W630" s="195"/>
      <c r="X630" s="195"/>
      <c r="Y630" s="195"/>
      <c r="Z630" s="195"/>
      <c r="AA630" s="195"/>
      <c r="AB630" s="195"/>
      <c r="AC630" s="195"/>
      <c r="AD630" s="195"/>
      <c r="AE630" s="195"/>
      <c r="AF630" s="195"/>
      <c r="AG630" s="195"/>
      <c r="AH630" s="195"/>
      <c r="AI630" s="195"/>
      <c r="AJ630" s="195"/>
      <c r="AK630" s="195"/>
      <c r="AL630" s="195"/>
      <c r="AM630" s="195"/>
      <c r="AN630" s="1"/>
      <c r="AO630" s="240"/>
      <c r="AP630" s="240"/>
      <c r="AQ630" s="240"/>
      <c r="AR630" s="240"/>
      <c r="AS630" s="240"/>
      <c r="AT630" s="730"/>
      <c r="AU630" s="730"/>
      <c r="AV630" s="730"/>
      <c r="AW630" s="468"/>
      <c r="AX630" s="468"/>
      <c r="AY630" s="240"/>
      <c r="AZ630" s="240"/>
      <c r="BA630" s="240"/>
      <c r="BB630" s="240"/>
      <c r="BC630" s="240"/>
      <c r="BD630" s="240"/>
      <c r="BE630" s="672"/>
      <c r="BF630" s="731"/>
      <c r="BG630" s="731"/>
      <c r="BH630" s="731"/>
      <c r="BI630" s="736"/>
      <c r="BJ630" s="732"/>
      <c r="BK630" s="240"/>
      <c r="BL630" s="240"/>
      <c r="BM630" s="240"/>
      <c r="BN630" s="240"/>
      <c r="BO630" s="240"/>
      <c r="BP630" s="240"/>
      <c r="BQ630" s="240"/>
      <c r="BR630" s="240"/>
      <c r="BS630" s="240"/>
      <c r="BT630" s="240"/>
      <c r="BU630" s="240"/>
      <c r="BV630" s="240"/>
      <c r="BW630" s="240"/>
      <c r="BX630" s="672"/>
      <c r="BY630" s="240"/>
      <c r="BZ630" s="672"/>
      <c r="CA630" s="672"/>
      <c r="CB630" s="672"/>
      <c r="CC630" s="672"/>
      <c r="CD630" s="672"/>
      <c r="CE630" s="672"/>
      <c r="CF630" s="672"/>
      <c r="CG630" s="672"/>
      <c r="CH630" s="240"/>
      <c r="CI630" s="240"/>
      <c r="CJ630" s="240"/>
      <c r="CK630" s="240"/>
      <c r="CL630" s="240"/>
      <c r="CM630" s="728"/>
      <c r="CN630" s="728"/>
      <c r="CO630" s="728"/>
      <c r="CP630" s="728"/>
      <c r="CQ630" s="728"/>
      <c r="CR630" s="728"/>
      <c r="CS630" s="728"/>
      <c r="CT630" s="728"/>
      <c r="CU630" s="728"/>
      <c r="CV630" s="728"/>
      <c r="CW630" s="728"/>
      <c r="CX630" s="728"/>
      <c r="CY630" s="728"/>
      <c r="CZ630" s="728"/>
      <c r="DA630" s="728"/>
      <c r="DB630" s="728"/>
      <c r="DC630" s="728"/>
      <c r="DD630" s="728"/>
      <c r="DE630" s="728"/>
      <c r="DF630" s="728"/>
      <c r="DG630" s="195"/>
      <c r="DH630" s="1"/>
      <c r="DI630" s="3"/>
      <c r="DL630" s="4"/>
      <c r="DM630" s="4"/>
      <c r="DN630" s="4"/>
      <c r="DO630" s="4"/>
      <c r="DP630" s="4"/>
      <c r="DR630" s="195"/>
      <c r="DS630" s="195"/>
      <c r="DT630" s="195"/>
      <c r="DU630" s="195"/>
      <c r="DV630" s="195"/>
      <c r="DW630" s="195"/>
      <c r="DX630" s="195"/>
      <c r="DY630" s="195"/>
      <c r="DZ630" s="195"/>
      <c r="EA630" s="195"/>
      <c r="EB630" s="195"/>
      <c r="EC630" s="195"/>
      <c r="ED630" s="195"/>
      <c r="EE630" s="195"/>
      <c r="EF630" s="195"/>
      <c r="EG630" s="195"/>
      <c r="EL630" s="1"/>
      <c r="EM630" s="195"/>
      <c r="EN630" s="240"/>
      <c r="EO630" s="240"/>
      <c r="EP630" s="195"/>
      <c r="EQ630" s="240"/>
      <c r="ER630" s="195"/>
      <c r="ES630" s="195"/>
      <c r="ET630" s="195"/>
      <c r="EU630" s="672"/>
    </row>
    <row r="631" customFormat="false" ht="12.75" hidden="false" customHeight="false" outlineLevel="0" collapsed="false">
      <c r="I631" s="735"/>
      <c r="J631" s="728"/>
      <c r="K631" s="195"/>
      <c r="L631" s="195"/>
      <c r="Q631" s="195"/>
      <c r="R631" s="195"/>
      <c r="S631" s="240"/>
      <c r="T631" s="195"/>
      <c r="U631" s="195"/>
      <c r="V631" s="195"/>
      <c r="W631" s="195"/>
      <c r="X631" s="195"/>
      <c r="Y631" s="195"/>
      <c r="Z631" s="195"/>
      <c r="AA631" s="195"/>
      <c r="AB631" s="195"/>
      <c r="AC631" s="195"/>
      <c r="AD631" s="195"/>
      <c r="AE631" s="195"/>
      <c r="AF631" s="195"/>
      <c r="AG631" s="195"/>
      <c r="AH631" s="195"/>
      <c r="AI631" s="195"/>
      <c r="AJ631" s="195"/>
      <c r="AK631" s="195"/>
      <c r="AL631" s="195"/>
      <c r="AM631" s="195"/>
      <c r="AN631" s="1"/>
      <c r="AO631" s="240"/>
      <c r="AP631" s="240"/>
      <c r="AQ631" s="240"/>
      <c r="AR631" s="240"/>
      <c r="AS631" s="240"/>
      <c r="AT631" s="730"/>
      <c r="AU631" s="730"/>
      <c r="AV631" s="730"/>
      <c r="AW631" s="468"/>
      <c r="AX631" s="468"/>
      <c r="AY631" s="240"/>
      <c r="AZ631" s="240"/>
      <c r="BA631" s="240"/>
      <c r="BB631" s="240"/>
      <c r="BC631" s="240"/>
      <c r="BD631" s="240"/>
      <c r="BE631" s="672"/>
      <c r="BF631" s="731"/>
      <c r="BG631" s="731"/>
      <c r="BH631" s="731"/>
      <c r="BI631" s="736"/>
      <c r="BJ631" s="732"/>
      <c r="BK631" s="240"/>
      <c r="BL631" s="240"/>
      <c r="BM631" s="240"/>
      <c r="BN631" s="240"/>
      <c r="BO631" s="240"/>
      <c r="BP631" s="240"/>
      <c r="BQ631" s="240"/>
      <c r="BR631" s="240"/>
      <c r="BS631" s="240"/>
      <c r="BT631" s="240"/>
      <c r="BU631" s="240"/>
      <c r="BV631" s="240"/>
      <c r="BW631" s="240"/>
      <c r="BX631" s="672"/>
      <c r="BY631" s="240"/>
      <c r="BZ631" s="672"/>
      <c r="CA631" s="672"/>
      <c r="CB631" s="672"/>
      <c r="CC631" s="672"/>
      <c r="CD631" s="672"/>
      <c r="CE631" s="672"/>
      <c r="CF631" s="672"/>
      <c r="CG631" s="672"/>
      <c r="CH631" s="240"/>
      <c r="CI631" s="240"/>
      <c r="CJ631" s="240"/>
      <c r="CK631" s="240"/>
      <c r="CL631" s="240"/>
      <c r="CM631" s="728"/>
      <c r="CN631" s="728"/>
      <c r="CO631" s="728"/>
      <c r="CP631" s="728"/>
      <c r="CQ631" s="728"/>
      <c r="CR631" s="728"/>
      <c r="CS631" s="728"/>
      <c r="CT631" s="728"/>
      <c r="CU631" s="728"/>
      <c r="CV631" s="728"/>
      <c r="CW631" s="728"/>
      <c r="CX631" s="728"/>
      <c r="CY631" s="728"/>
      <c r="CZ631" s="728"/>
      <c r="DA631" s="728"/>
      <c r="DB631" s="728"/>
      <c r="DC631" s="728"/>
      <c r="DD631" s="728"/>
      <c r="DE631" s="728"/>
      <c r="DF631" s="728"/>
      <c r="DG631" s="195"/>
      <c r="DH631" s="1"/>
      <c r="DI631" s="3"/>
      <c r="DL631" s="4"/>
      <c r="DM631" s="4"/>
      <c r="DN631" s="4"/>
      <c r="DO631" s="4"/>
      <c r="DP631" s="4"/>
      <c r="DR631" s="195"/>
      <c r="DS631" s="195"/>
      <c r="DT631" s="195"/>
      <c r="DU631" s="195"/>
      <c r="DV631" s="195"/>
      <c r="DW631" s="195"/>
      <c r="DX631" s="195"/>
      <c r="DY631" s="195"/>
      <c r="DZ631" s="195"/>
      <c r="EA631" s="195"/>
      <c r="EB631" s="195"/>
      <c r="EC631" s="195"/>
      <c r="ED631" s="195"/>
      <c r="EE631" s="195"/>
      <c r="EF631" s="195"/>
      <c r="EG631" s="195"/>
      <c r="EL631" s="1"/>
      <c r="EM631" s="195"/>
      <c r="EN631" s="240"/>
      <c r="EO631" s="240"/>
      <c r="EP631" s="195"/>
      <c r="EQ631" s="240"/>
      <c r="ER631" s="195"/>
      <c r="ES631" s="195"/>
      <c r="ET631" s="195"/>
      <c r="EU631" s="672"/>
    </row>
    <row r="632" customFormat="false" ht="12.75" hidden="false" customHeight="false" outlineLevel="0" collapsed="false">
      <c r="I632" s="735"/>
      <c r="J632" s="728"/>
      <c r="K632" s="195"/>
      <c r="L632" s="195"/>
      <c r="Q632" s="195"/>
      <c r="R632" s="195"/>
      <c r="S632" s="240"/>
      <c r="T632" s="195"/>
      <c r="U632" s="195"/>
      <c r="V632" s="195"/>
      <c r="W632" s="195"/>
      <c r="X632" s="195"/>
      <c r="Y632" s="195"/>
      <c r="Z632" s="195"/>
      <c r="AA632" s="195"/>
      <c r="AB632" s="195"/>
      <c r="AC632" s="195"/>
      <c r="AD632" s="195"/>
      <c r="AE632" s="195"/>
      <c r="AF632" s="195"/>
      <c r="AG632" s="195"/>
      <c r="AH632" s="195"/>
      <c r="AI632" s="195"/>
      <c r="AJ632" s="195"/>
      <c r="AK632" s="195"/>
      <c r="AL632" s="195"/>
      <c r="AM632" s="195"/>
      <c r="AN632" s="1"/>
      <c r="AO632" s="240"/>
      <c r="AP632" s="240"/>
      <c r="AQ632" s="240"/>
      <c r="AR632" s="240"/>
      <c r="AS632" s="240"/>
      <c r="AT632" s="730"/>
      <c r="AU632" s="730"/>
      <c r="AV632" s="730"/>
      <c r="AW632" s="468"/>
      <c r="AX632" s="468"/>
      <c r="AY632" s="240"/>
      <c r="AZ632" s="240"/>
      <c r="BA632" s="240"/>
      <c r="BB632" s="240"/>
      <c r="BC632" s="240"/>
      <c r="BD632" s="240"/>
      <c r="BE632" s="672"/>
      <c r="BF632" s="731"/>
      <c r="BG632" s="731"/>
      <c r="BH632" s="731"/>
      <c r="BI632" s="736"/>
      <c r="BJ632" s="732"/>
      <c r="BK632" s="240"/>
      <c r="BL632" s="240"/>
      <c r="BM632" s="240"/>
      <c r="BN632" s="240"/>
      <c r="BO632" s="240"/>
      <c r="BP632" s="240"/>
      <c r="BQ632" s="240"/>
      <c r="BR632" s="240"/>
      <c r="BS632" s="240"/>
      <c r="BT632" s="240"/>
      <c r="BU632" s="240"/>
      <c r="BV632" s="240"/>
      <c r="BW632" s="240"/>
      <c r="BX632" s="672"/>
      <c r="BY632" s="240"/>
      <c r="BZ632" s="672"/>
      <c r="CA632" s="672"/>
      <c r="CB632" s="672"/>
      <c r="CC632" s="672"/>
      <c r="CD632" s="672"/>
      <c r="CE632" s="672"/>
      <c r="CF632" s="672"/>
      <c r="CG632" s="672"/>
      <c r="CH632" s="240"/>
      <c r="CI632" s="240"/>
      <c r="CJ632" s="240"/>
      <c r="CK632" s="240"/>
      <c r="CL632" s="240"/>
      <c r="CM632" s="728"/>
      <c r="CN632" s="728"/>
      <c r="CO632" s="728"/>
      <c r="CP632" s="728"/>
      <c r="CQ632" s="728"/>
      <c r="CR632" s="728"/>
      <c r="CS632" s="728"/>
      <c r="CT632" s="728"/>
      <c r="CU632" s="728"/>
      <c r="CV632" s="728"/>
      <c r="CW632" s="728"/>
      <c r="CX632" s="728"/>
      <c r="CY632" s="728"/>
      <c r="CZ632" s="728"/>
      <c r="DA632" s="728"/>
      <c r="DB632" s="728"/>
      <c r="DC632" s="728"/>
      <c r="DD632" s="728"/>
      <c r="DE632" s="728"/>
      <c r="DF632" s="728"/>
      <c r="DG632" s="195"/>
      <c r="DH632" s="1"/>
      <c r="DI632" s="3"/>
      <c r="DL632" s="4"/>
      <c r="DM632" s="4"/>
      <c r="DN632" s="4"/>
      <c r="DO632" s="4"/>
      <c r="DP632" s="4"/>
      <c r="DR632" s="195"/>
      <c r="DS632" s="195"/>
      <c r="DT632" s="195"/>
      <c r="DU632" s="195"/>
      <c r="DV632" s="195"/>
      <c r="DW632" s="195"/>
      <c r="DX632" s="195"/>
      <c r="DY632" s="195"/>
      <c r="DZ632" s="195"/>
      <c r="EA632" s="195"/>
      <c r="EB632" s="195"/>
      <c r="EC632" s="195"/>
      <c r="ED632" s="195"/>
      <c r="EE632" s="195"/>
      <c r="EF632" s="195"/>
      <c r="EG632" s="195"/>
      <c r="EL632" s="1"/>
      <c r="EM632" s="195"/>
      <c r="EN632" s="240"/>
      <c r="EO632" s="240"/>
      <c r="EP632" s="195"/>
      <c r="EQ632" s="240"/>
      <c r="ER632" s="195"/>
      <c r="ES632" s="195"/>
      <c r="ET632" s="195"/>
      <c r="EU632" s="672"/>
    </row>
    <row r="633" customFormat="false" ht="12.75" hidden="false" customHeight="false" outlineLevel="0" collapsed="false">
      <c r="I633" s="735"/>
      <c r="J633" s="728"/>
      <c r="K633" s="195"/>
      <c r="L633" s="195"/>
      <c r="Q633" s="195"/>
      <c r="R633" s="195"/>
      <c r="S633" s="240"/>
      <c r="T633" s="195"/>
      <c r="U633" s="195"/>
      <c r="V633" s="195"/>
      <c r="W633" s="195"/>
      <c r="X633" s="195"/>
      <c r="Y633" s="195"/>
      <c r="Z633" s="195"/>
      <c r="AA633" s="195"/>
      <c r="AB633" s="195"/>
      <c r="AC633" s="195"/>
      <c r="AD633" s="195"/>
      <c r="AE633" s="195"/>
      <c r="AF633" s="195"/>
      <c r="AG633" s="195"/>
      <c r="AH633" s="195"/>
      <c r="AI633" s="195"/>
      <c r="AJ633" s="195"/>
      <c r="AK633" s="195"/>
      <c r="AL633" s="195"/>
      <c r="AM633" s="195"/>
      <c r="AN633" s="1"/>
      <c r="AO633" s="240"/>
      <c r="AP633" s="240"/>
      <c r="AQ633" s="240"/>
      <c r="AR633" s="240"/>
      <c r="AS633" s="240"/>
      <c r="AT633" s="730"/>
      <c r="AU633" s="730"/>
      <c r="AV633" s="730"/>
      <c r="AW633" s="468"/>
      <c r="AX633" s="468"/>
      <c r="AY633" s="240"/>
      <c r="AZ633" s="240"/>
      <c r="BA633" s="240"/>
      <c r="BB633" s="240"/>
      <c r="BC633" s="240"/>
      <c r="BD633" s="240"/>
      <c r="BE633" s="672"/>
      <c r="BF633" s="731"/>
      <c r="BG633" s="731"/>
      <c r="BH633" s="731"/>
      <c r="BI633" s="736"/>
      <c r="BJ633" s="732"/>
      <c r="BK633" s="240"/>
      <c r="BL633" s="240"/>
      <c r="BM633" s="240"/>
      <c r="BN633" s="240"/>
      <c r="BO633" s="240"/>
      <c r="BP633" s="240"/>
      <c r="BQ633" s="240"/>
      <c r="BR633" s="240"/>
      <c r="BS633" s="240"/>
      <c r="BT633" s="240"/>
      <c r="BU633" s="240"/>
      <c r="BV633" s="240"/>
      <c r="BW633" s="240"/>
      <c r="BX633" s="672"/>
      <c r="BY633" s="240"/>
      <c r="BZ633" s="672"/>
      <c r="CA633" s="672"/>
      <c r="CB633" s="672"/>
      <c r="CC633" s="672"/>
      <c r="CD633" s="672"/>
      <c r="CE633" s="672"/>
      <c r="CF633" s="672"/>
      <c r="CG633" s="672"/>
      <c r="CH633" s="240"/>
      <c r="CI633" s="240"/>
      <c r="CJ633" s="240"/>
      <c r="CK633" s="240"/>
      <c r="CL633" s="240"/>
      <c r="CM633" s="728"/>
      <c r="CN633" s="728"/>
      <c r="CO633" s="728"/>
      <c r="CP633" s="728"/>
      <c r="CQ633" s="728"/>
      <c r="CR633" s="728"/>
      <c r="CS633" s="728"/>
      <c r="CT633" s="728"/>
      <c r="CU633" s="728"/>
      <c r="CV633" s="728"/>
      <c r="CW633" s="728"/>
      <c r="CX633" s="728"/>
      <c r="CY633" s="728"/>
      <c r="CZ633" s="728"/>
      <c r="DA633" s="728"/>
      <c r="DB633" s="728"/>
      <c r="DC633" s="728"/>
      <c r="DD633" s="728"/>
      <c r="DE633" s="728"/>
      <c r="DF633" s="728"/>
      <c r="DG633" s="195"/>
      <c r="DH633" s="1"/>
      <c r="DI633" s="3"/>
      <c r="DL633" s="4"/>
      <c r="DM633" s="4"/>
      <c r="DN633" s="4"/>
      <c r="DO633" s="4"/>
      <c r="DP633" s="4"/>
      <c r="DR633" s="195"/>
      <c r="DS633" s="195"/>
      <c r="DT633" s="195"/>
      <c r="DU633" s="195"/>
      <c r="DV633" s="195"/>
      <c r="DW633" s="195"/>
      <c r="DX633" s="195"/>
      <c r="DY633" s="195"/>
      <c r="DZ633" s="195"/>
      <c r="EA633" s="195"/>
      <c r="EB633" s="195"/>
      <c r="EC633" s="195"/>
      <c r="ED633" s="195"/>
      <c r="EE633" s="195"/>
      <c r="EF633" s="195"/>
      <c r="EG633" s="195"/>
      <c r="EL633" s="1"/>
      <c r="EM633" s="195"/>
      <c r="EN633" s="240"/>
      <c r="EO633" s="240"/>
      <c r="EP633" s="195"/>
      <c r="EQ633" s="240"/>
      <c r="ER633" s="195"/>
      <c r="ES633" s="195"/>
      <c r="ET633" s="195"/>
      <c r="EU633" s="672"/>
    </row>
    <row r="634" customFormat="false" ht="12.75" hidden="false" customHeight="false" outlineLevel="0" collapsed="false">
      <c r="I634" s="735"/>
      <c r="J634" s="728"/>
      <c r="K634" s="195"/>
      <c r="L634" s="195"/>
      <c r="Q634" s="195"/>
      <c r="R634" s="195"/>
      <c r="S634" s="240"/>
      <c r="T634" s="195"/>
      <c r="U634" s="195"/>
      <c r="V634" s="195"/>
      <c r="W634" s="195"/>
      <c r="X634" s="195"/>
      <c r="Y634" s="195"/>
      <c r="Z634" s="195"/>
      <c r="AA634" s="195"/>
      <c r="AB634" s="195"/>
      <c r="AC634" s="195"/>
      <c r="AD634" s="195"/>
      <c r="AE634" s="195"/>
      <c r="AF634" s="195"/>
      <c r="AG634" s="195"/>
      <c r="AH634" s="195"/>
      <c r="AI634" s="195"/>
      <c r="AJ634" s="195"/>
      <c r="AK634" s="195"/>
      <c r="AL634" s="195"/>
      <c r="AM634" s="195"/>
      <c r="AN634" s="1"/>
      <c r="AO634" s="240"/>
      <c r="AP634" s="240"/>
      <c r="AQ634" s="240"/>
      <c r="AR634" s="240"/>
      <c r="AS634" s="240"/>
      <c r="AT634" s="730"/>
      <c r="AU634" s="730"/>
      <c r="AV634" s="730"/>
      <c r="AW634" s="468"/>
      <c r="AX634" s="468"/>
      <c r="AY634" s="240"/>
      <c r="AZ634" s="240"/>
      <c r="BA634" s="240"/>
      <c r="BB634" s="240"/>
      <c r="BC634" s="240"/>
      <c r="BD634" s="240"/>
      <c r="BE634" s="672"/>
      <c r="BF634" s="731"/>
      <c r="BG634" s="731"/>
      <c r="BH634" s="731"/>
      <c r="BI634" s="736"/>
      <c r="BJ634" s="732"/>
      <c r="BK634" s="240"/>
      <c r="BL634" s="240"/>
      <c r="BM634" s="240"/>
      <c r="BN634" s="240"/>
      <c r="BO634" s="240"/>
      <c r="BP634" s="240"/>
      <c r="BQ634" s="240"/>
      <c r="BR634" s="240"/>
      <c r="BS634" s="240"/>
      <c r="BT634" s="240"/>
      <c r="BU634" s="240"/>
      <c r="BV634" s="240"/>
      <c r="BW634" s="240"/>
      <c r="BX634" s="672"/>
      <c r="BY634" s="240"/>
      <c r="BZ634" s="672"/>
      <c r="CA634" s="672"/>
      <c r="CB634" s="672"/>
      <c r="CC634" s="672"/>
      <c r="CD634" s="672"/>
      <c r="CE634" s="672"/>
      <c r="CF634" s="672"/>
      <c r="CG634" s="672"/>
      <c r="CH634" s="240"/>
      <c r="CI634" s="240"/>
      <c r="CJ634" s="240"/>
      <c r="CK634" s="240"/>
      <c r="CL634" s="240"/>
      <c r="CM634" s="728"/>
      <c r="CN634" s="728"/>
      <c r="CO634" s="728"/>
      <c r="CP634" s="728"/>
      <c r="CQ634" s="728"/>
      <c r="CR634" s="728"/>
      <c r="CS634" s="728"/>
      <c r="CT634" s="728"/>
      <c r="CU634" s="728"/>
      <c r="CV634" s="728"/>
      <c r="CW634" s="728"/>
      <c r="CX634" s="728"/>
      <c r="CY634" s="728"/>
      <c r="CZ634" s="728"/>
      <c r="DA634" s="728"/>
      <c r="DB634" s="728"/>
      <c r="DC634" s="728"/>
      <c r="DD634" s="728"/>
      <c r="DE634" s="728"/>
      <c r="DF634" s="728"/>
      <c r="DG634" s="195"/>
      <c r="DH634" s="1"/>
      <c r="DI634" s="3"/>
      <c r="DL634" s="4"/>
      <c r="DM634" s="4"/>
      <c r="DN634" s="4"/>
      <c r="DO634" s="4"/>
      <c r="DP634" s="4"/>
      <c r="DR634" s="195"/>
      <c r="DS634" s="195"/>
      <c r="DT634" s="195"/>
      <c r="DU634" s="195"/>
      <c r="DV634" s="195"/>
      <c r="DW634" s="195"/>
      <c r="DX634" s="195"/>
      <c r="DY634" s="195"/>
      <c r="DZ634" s="195"/>
      <c r="EA634" s="195"/>
      <c r="EB634" s="195"/>
      <c r="EC634" s="195"/>
      <c r="ED634" s="195"/>
      <c r="EE634" s="195"/>
      <c r="EF634" s="195"/>
      <c r="EG634" s="195"/>
      <c r="EL634" s="1"/>
      <c r="EM634" s="195"/>
      <c r="EN634" s="240"/>
      <c r="EO634" s="240"/>
      <c r="EP634" s="195"/>
      <c r="EQ634" s="240"/>
      <c r="ER634" s="195"/>
      <c r="ES634" s="195"/>
      <c r="ET634" s="195"/>
      <c r="EU634" s="672"/>
    </row>
    <row r="635" customFormat="false" ht="12.75" hidden="false" customHeight="false" outlineLevel="0" collapsed="false">
      <c r="I635" s="735"/>
      <c r="J635" s="728"/>
      <c r="K635" s="195"/>
      <c r="L635" s="195"/>
      <c r="Q635" s="195"/>
      <c r="R635" s="195"/>
      <c r="S635" s="240"/>
      <c r="T635" s="195"/>
      <c r="U635" s="195"/>
      <c r="V635" s="195"/>
      <c r="W635" s="195"/>
      <c r="X635" s="195"/>
      <c r="Y635" s="195"/>
      <c r="Z635" s="195"/>
      <c r="AA635" s="195"/>
      <c r="AB635" s="195"/>
      <c r="AC635" s="195"/>
      <c r="AD635" s="195"/>
      <c r="AE635" s="195"/>
      <c r="AF635" s="195"/>
      <c r="AG635" s="195"/>
      <c r="AH635" s="195"/>
      <c r="AI635" s="195"/>
      <c r="AJ635" s="195"/>
      <c r="AK635" s="195"/>
      <c r="AL635" s="195"/>
      <c r="AM635" s="195"/>
      <c r="AN635" s="1"/>
      <c r="AO635" s="240"/>
      <c r="AP635" s="240"/>
      <c r="AQ635" s="240"/>
      <c r="AR635" s="240"/>
      <c r="AS635" s="240"/>
      <c r="AT635" s="730"/>
      <c r="AU635" s="730"/>
      <c r="AV635" s="730"/>
      <c r="AW635" s="468"/>
      <c r="AX635" s="468"/>
      <c r="AY635" s="240"/>
      <c r="AZ635" s="240"/>
      <c r="BA635" s="240"/>
      <c r="BB635" s="240"/>
      <c r="BC635" s="240"/>
      <c r="BD635" s="240"/>
      <c r="BE635" s="672"/>
      <c r="BF635" s="731"/>
      <c r="BG635" s="731"/>
      <c r="BH635" s="731"/>
      <c r="BI635" s="736"/>
      <c r="BJ635" s="732"/>
      <c r="BK635" s="240"/>
      <c r="BL635" s="240"/>
      <c r="BM635" s="240"/>
      <c r="BN635" s="240"/>
      <c r="BO635" s="240"/>
      <c r="BP635" s="240"/>
      <c r="BQ635" s="240"/>
      <c r="BR635" s="240"/>
      <c r="BS635" s="240"/>
      <c r="BT635" s="240"/>
      <c r="BU635" s="240"/>
      <c r="BV635" s="240"/>
      <c r="BW635" s="240"/>
      <c r="BX635" s="672"/>
      <c r="BY635" s="240"/>
      <c r="BZ635" s="672"/>
      <c r="CA635" s="672"/>
      <c r="CB635" s="672"/>
      <c r="CC635" s="672"/>
      <c r="CD635" s="672"/>
      <c r="CE635" s="672"/>
      <c r="CF635" s="672"/>
      <c r="CG635" s="672"/>
      <c r="CH635" s="240"/>
      <c r="CI635" s="240"/>
      <c r="CJ635" s="240"/>
      <c r="CK635" s="240"/>
      <c r="CL635" s="240"/>
      <c r="CM635" s="728"/>
      <c r="CN635" s="728"/>
      <c r="CO635" s="728"/>
      <c r="CP635" s="728"/>
      <c r="CQ635" s="728"/>
      <c r="CR635" s="728"/>
      <c r="CS635" s="728"/>
      <c r="CT635" s="728"/>
      <c r="CU635" s="728"/>
      <c r="CV635" s="728"/>
      <c r="CW635" s="728"/>
      <c r="CX635" s="728"/>
      <c r="CY635" s="728"/>
      <c r="CZ635" s="728"/>
      <c r="DA635" s="728"/>
      <c r="DB635" s="728"/>
      <c r="DC635" s="728"/>
      <c r="DD635" s="728"/>
      <c r="DE635" s="728"/>
      <c r="DF635" s="728"/>
      <c r="DG635" s="195"/>
      <c r="DH635" s="1"/>
      <c r="DI635" s="3"/>
      <c r="DL635" s="4"/>
      <c r="DM635" s="4"/>
      <c r="DN635" s="4"/>
      <c r="DO635" s="4"/>
      <c r="DP635" s="4"/>
      <c r="DR635" s="195"/>
      <c r="DS635" s="195"/>
      <c r="DT635" s="195"/>
      <c r="DU635" s="195"/>
      <c r="DV635" s="195"/>
      <c r="DW635" s="195"/>
      <c r="DX635" s="195"/>
      <c r="DY635" s="195"/>
      <c r="DZ635" s="195"/>
      <c r="EA635" s="195"/>
      <c r="EB635" s="195"/>
      <c r="EC635" s="195"/>
      <c r="ED635" s="195"/>
      <c r="EE635" s="195"/>
      <c r="EF635" s="195"/>
      <c r="EG635" s="195"/>
      <c r="EL635" s="1"/>
      <c r="EM635" s="195"/>
      <c r="EN635" s="240"/>
      <c r="EO635" s="240"/>
      <c r="EP635" s="195"/>
      <c r="EQ635" s="240"/>
      <c r="ER635" s="195"/>
      <c r="ES635" s="195"/>
      <c r="ET635" s="195"/>
      <c r="EU635" s="672"/>
    </row>
    <row r="636" customFormat="false" ht="12.75" hidden="false" customHeight="false" outlineLevel="0" collapsed="false">
      <c r="I636" s="735"/>
      <c r="J636" s="728"/>
      <c r="K636" s="195"/>
      <c r="L636" s="195"/>
      <c r="Q636" s="195"/>
      <c r="R636" s="195"/>
      <c r="S636" s="240"/>
      <c r="T636" s="195"/>
      <c r="U636" s="195"/>
      <c r="V636" s="195"/>
      <c r="W636" s="195"/>
      <c r="X636" s="195"/>
      <c r="Y636" s="195"/>
      <c r="Z636" s="195"/>
      <c r="AA636" s="195"/>
      <c r="AB636" s="195"/>
      <c r="AC636" s="195"/>
      <c r="AD636" s="195"/>
      <c r="AE636" s="195"/>
      <c r="AF636" s="195"/>
      <c r="AG636" s="195"/>
      <c r="AH636" s="195"/>
      <c r="AI636" s="195"/>
      <c r="AJ636" s="195"/>
      <c r="AK636" s="195"/>
      <c r="AL636" s="195"/>
      <c r="AM636" s="195"/>
      <c r="AN636" s="1"/>
      <c r="AO636" s="240"/>
      <c r="AP636" s="240"/>
      <c r="AQ636" s="240"/>
      <c r="AR636" s="240"/>
      <c r="AS636" s="240"/>
      <c r="AT636" s="730"/>
      <c r="AU636" s="730"/>
      <c r="AV636" s="730"/>
      <c r="AW636" s="468"/>
      <c r="AX636" s="468"/>
      <c r="AY636" s="240"/>
      <c r="AZ636" s="240"/>
      <c r="BA636" s="240"/>
      <c r="BB636" s="240"/>
      <c r="BC636" s="240"/>
      <c r="BD636" s="240"/>
      <c r="BE636" s="672"/>
      <c r="BF636" s="731"/>
      <c r="BG636" s="731"/>
      <c r="BH636" s="731"/>
      <c r="BI636" s="736"/>
      <c r="BJ636" s="732"/>
      <c r="BK636" s="240"/>
      <c r="BL636" s="240"/>
      <c r="BM636" s="240"/>
      <c r="BN636" s="240"/>
      <c r="BO636" s="240"/>
      <c r="BP636" s="240"/>
      <c r="BQ636" s="240"/>
      <c r="BR636" s="240"/>
      <c r="BS636" s="240"/>
      <c r="BT636" s="240"/>
      <c r="BU636" s="240"/>
      <c r="BV636" s="240"/>
      <c r="BW636" s="240"/>
      <c r="BX636" s="672"/>
      <c r="BY636" s="240"/>
      <c r="BZ636" s="672"/>
      <c r="CA636" s="672"/>
      <c r="CB636" s="672"/>
      <c r="CC636" s="672"/>
      <c r="CD636" s="672"/>
      <c r="CE636" s="672"/>
      <c r="CF636" s="672"/>
      <c r="CG636" s="672"/>
      <c r="CH636" s="240"/>
      <c r="CI636" s="240"/>
      <c r="CJ636" s="240"/>
      <c r="CK636" s="240"/>
      <c r="CL636" s="240"/>
      <c r="CM636" s="728"/>
      <c r="CN636" s="728"/>
      <c r="CO636" s="728"/>
      <c r="CP636" s="728"/>
      <c r="CQ636" s="728"/>
      <c r="CR636" s="728"/>
      <c r="CS636" s="728"/>
      <c r="CT636" s="728"/>
      <c r="CU636" s="728"/>
      <c r="CV636" s="728"/>
      <c r="CW636" s="728"/>
      <c r="CX636" s="728"/>
      <c r="CY636" s="728"/>
      <c r="CZ636" s="728"/>
      <c r="DA636" s="728"/>
      <c r="DB636" s="728"/>
      <c r="DC636" s="728"/>
      <c r="DD636" s="728"/>
      <c r="DE636" s="728"/>
      <c r="DF636" s="728"/>
      <c r="DG636" s="195"/>
      <c r="DH636" s="1"/>
      <c r="DI636" s="3"/>
      <c r="DL636" s="4"/>
      <c r="DM636" s="4"/>
      <c r="DN636" s="4"/>
      <c r="DO636" s="4"/>
      <c r="DP636" s="4"/>
      <c r="DR636" s="195"/>
      <c r="DS636" s="195"/>
      <c r="DT636" s="195"/>
      <c r="DU636" s="195"/>
      <c r="DV636" s="195"/>
      <c r="DW636" s="195"/>
      <c r="DX636" s="195"/>
      <c r="DY636" s="195"/>
      <c r="DZ636" s="195"/>
      <c r="EA636" s="195"/>
      <c r="EB636" s="195"/>
      <c r="EC636" s="195"/>
      <c r="ED636" s="195"/>
      <c r="EE636" s="195"/>
      <c r="EF636" s="195"/>
      <c r="EG636" s="195"/>
      <c r="EL636" s="1"/>
      <c r="EM636" s="195"/>
      <c r="EN636" s="240"/>
      <c r="EO636" s="240"/>
      <c r="EP636" s="195"/>
      <c r="EQ636" s="240"/>
      <c r="ER636" s="195"/>
      <c r="ES636" s="195"/>
      <c r="ET636" s="195"/>
      <c r="EU636" s="672"/>
    </row>
    <row r="637" customFormat="false" ht="12.75" hidden="false" customHeight="false" outlineLevel="0" collapsed="false">
      <c r="I637" s="735"/>
      <c r="J637" s="728"/>
      <c r="K637" s="195"/>
      <c r="L637" s="195"/>
      <c r="Q637" s="195"/>
      <c r="R637" s="195"/>
      <c r="S637" s="240"/>
      <c r="T637" s="195"/>
      <c r="U637" s="195"/>
      <c r="V637" s="195"/>
      <c r="W637" s="195"/>
      <c r="X637" s="195"/>
      <c r="Y637" s="195"/>
      <c r="Z637" s="195"/>
      <c r="AA637" s="195"/>
      <c r="AB637" s="195"/>
      <c r="AC637" s="195"/>
      <c r="AD637" s="195"/>
      <c r="AE637" s="195"/>
      <c r="AF637" s="195"/>
      <c r="AG637" s="195"/>
      <c r="AH637" s="195"/>
      <c r="AI637" s="195"/>
      <c r="AJ637" s="195"/>
      <c r="AK637" s="195"/>
      <c r="AL637" s="195"/>
      <c r="AM637" s="195"/>
      <c r="AN637" s="1"/>
      <c r="AO637" s="240"/>
      <c r="AP637" s="240"/>
      <c r="AQ637" s="240"/>
      <c r="AR637" s="240"/>
      <c r="AS637" s="240"/>
      <c r="AT637" s="730"/>
      <c r="AU637" s="730"/>
      <c r="AV637" s="730"/>
      <c r="AW637" s="468"/>
      <c r="AX637" s="468"/>
      <c r="AY637" s="240"/>
      <c r="AZ637" s="240"/>
      <c r="BA637" s="240"/>
      <c r="BB637" s="240"/>
      <c r="BC637" s="240"/>
      <c r="BD637" s="240"/>
      <c r="BE637" s="672"/>
      <c r="BF637" s="731"/>
      <c r="BG637" s="731"/>
      <c r="BH637" s="731"/>
      <c r="BI637" s="736"/>
      <c r="BJ637" s="732"/>
      <c r="BK637" s="240"/>
      <c r="BL637" s="240"/>
      <c r="BM637" s="240"/>
      <c r="BN637" s="240"/>
      <c r="BO637" s="240"/>
      <c r="BP637" s="240"/>
      <c r="BQ637" s="240"/>
      <c r="BR637" s="240"/>
      <c r="BS637" s="240"/>
      <c r="BT637" s="240"/>
      <c r="BU637" s="240"/>
      <c r="BV637" s="240"/>
      <c r="BW637" s="240"/>
      <c r="BX637" s="672"/>
      <c r="BY637" s="240"/>
      <c r="BZ637" s="672"/>
      <c r="CA637" s="672"/>
      <c r="CB637" s="672"/>
      <c r="CC637" s="672"/>
      <c r="CD637" s="672"/>
      <c r="CE637" s="672"/>
      <c r="CF637" s="672"/>
      <c r="CG637" s="672"/>
      <c r="CH637" s="240"/>
      <c r="CI637" s="240"/>
      <c r="CJ637" s="240"/>
      <c r="CK637" s="240"/>
      <c r="CL637" s="240"/>
      <c r="CM637" s="728"/>
      <c r="CN637" s="728"/>
      <c r="CO637" s="728"/>
      <c r="CP637" s="728"/>
      <c r="CQ637" s="728"/>
      <c r="CR637" s="728"/>
      <c r="CS637" s="728"/>
      <c r="CT637" s="728"/>
      <c r="CU637" s="728"/>
      <c r="CV637" s="728"/>
      <c r="CW637" s="728"/>
      <c r="CX637" s="728"/>
      <c r="CY637" s="728"/>
      <c r="CZ637" s="728"/>
      <c r="DA637" s="728"/>
      <c r="DB637" s="728"/>
      <c r="DC637" s="728"/>
      <c r="DD637" s="728"/>
      <c r="DE637" s="728"/>
      <c r="DF637" s="728"/>
      <c r="DG637" s="195"/>
      <c r="DH637" s="1"/>
      <c r="DI637" s="3"/>
      <c r="DL637" s="4"/>
      <c r="DM637" s="4"/>
      <c r="DN637" s="4"/>
      <c r="DO637" s="4"/>
      <c r="DP637" s="4"/>
      <c r="DR637" s="195"/>
      <c r="DS637" s="195"/>
      <c r="DT637" s="195"/>
      <c r="DU637" s="195"/>
      <c r="DV637" s="195"/>
      <c r="DW637" s="195"/>
      <c r="DX637" s="195"/>
      <c r="DY637" s="195"/>
      <c r="DZ637" s="195"/>
      <c r="EA637" s="195"/>
      <c r="EB637" s="195"/>
      <c r="EC637" s="195"/>
      <c r="ED637" s="195"/>
      <c r="EE637" s="195"/>
      <c r="EF637" s="195"/>
      <c r="EG637" s="195"/>
      <c r="EL637" s="1"/>
      <c r="EM637" s="195"/>
      <c r="EN637" s="240"/>
      <c r="EO637" s="240"/>
      <c r="EP637" s="195"/>
      <c r="EQ637" s="240"/>
      <c r="ER637" s="195"/>
      <c r="ES637" s="195"/>
      <c r="ET637" s="195"/>
      <c r="EU637" s="672"/>
    </row>
    <row r="638" customFormat="false" ht="12.75" hidden="false" customHeight="false" outlineLevel="0" collapsed="false">
      <c r="I638" s="735"/>
      <c r="J638" s="728"/>
      <c r="K638" s="195"/>
      <c r="L638" s="195"/>
      <c r="Q638" s="195"/>
      <c r="R638" s="195"/>
      <c r="S638" s="240"/>
      <c r="T638" s="195"/>
      <c r="U638" s="195"/>
      <c r="V638" s="195"/>
      <c r="W638" s="195"/>
      <c r="X638" s="195"/>
      <c r="Y638" s="195"/>
      <c r="Z638" s="195"/>
      <c r="AA638" s="195"/>
      <c r="AB638" s="195"/>
      <c r="AC638" s="195"/>
      <c r="AD638" s="195"/>
      <c r="AE638" s="195"/>
      <c r="AF638" s="195"/>
      <c r="AG638" s="195"/>
      <c r="AH638" s="195"/>
      <c r="AI638" s="195"/>
      <c r="AJ638" s="195"/>
      <c r="AK638" s="195"/>
      <c r="AL638" s="195"/>
      <c r="AM638" s="195"/>
      <c r="AN638" s="1"/>
      <c r="AO638" s="240"/>
      <c r="AP638" s="240"/>
      <c r="AQ638" s="240"/>
      <c r="AR638" s="240"/>
      <c r="AS638" s="240"/>
      <c r="AT638" s="730"/>
      <c r="AU638" s="730"/>
      <c r="AV638" s="730"/>
      <c r="AW638" s="468"/>
      <c r="AX638" s="468"/>
      <c r="AY638" s="240"/>
      <c r="AZ638" s="240"/>
      <c r="BA638" s="240"/>
      <c r="BB638" s="240"/>
      <c r="BC638" s="240"/>
      <c r="BD638" s="240"/>
      <c r="BE638" s="672"/>
      <c r="BF638" s="731"/>
      <c r="BG638" s="731"/>
      <c r="BH638" s="731"/>
      <c r="BI638" s="736"/>
      <c r="BJ638" s="732"/>
      <c r="BK638" s="240"/>
      <c r="BL638" s="240"/>
      <c r="BM638" s="240"/>
      <c r="BN638" s="240"/>
      <c r="BO638" s="240"/>
      <c r="BP638" s="240"/>
      <c r="BQ638" s="240"/>
      <c r="BR638" s="240"/>
      <c r="BS638" s="240"/>
      <c r="BT638" s="240"/>
      <c r="BU638" s="240"/>
      <c r="BV638" s="240"/>
      <c r="BW638" s="240"/>
      <c r="BX638" s="672"/>
      <c r="BY638" s="240"/>
      <c r="BZ638" s="672"/>
      <c r="CA638" s="672"/>
      <c r="CB638" s="672"/>
      <c r="CC638" s="672"/>
      <c r="CD638" s="672"/>
      <c r="CE638" s="672"/>
      <c r="CF638" s="672"/>
      <c r="CG638" s="672"/>
      <c r="CH638" s="240"/>
      <c r="CI638" s="240"/>
      <c r="CJ638" s="240"/>
      <c r="CK638" s="240"/>
      <c r="CL638" s="240"/>
      <c r="CM638" s="728"/>
      <c r="CN638" s="728"/>
      <c r="CO638" s="728"/>
      <c r="CP638" s="728"/>
      <c r="CQ638" s="728"/>
      <c r="CR638" s="728"/>
      <c r="CS638" s="728"/>
      <c r="CT638" s="728"/>
      <c r="CU638" s="728"/>
      <c r="CV638" s="728"/>
      <c r="CW638" s="728"/>
      <c r="CX638" s="728"/>
      <c r="CY638" s="728"/>
      <c r="CZ638" s="728"/>
      <c r="DA638" s="728"/>
      <c r="DB638" s="728"/>
      <c r="DC638" s="728"/>
      <c r="DD638" s="728"/>
      <c r="DE638" s="728"/>
      <c r="DF638" s="728"/>
      <c r="DG638" s="195"/>
      <c r="DH638" s="1"/>
      <c r="DI638" s="3"/>
      <c r="DL638" s="4"/>
      <c r="DM638" s="4"/>
      <c r="DN638" s="4"/>
      <c r="DO638" s="4"/>
      <c r="DP638" s="4"/>
      <c r="DR638" s="195"/>
      <c r="DS638" s="195"/>
      <c r="DT638" s="195"/>
      <c r="DU638" s="195"/>
      <c r="DV638" s="195"/>
      <c r="DW638" s="195"/>
      <c r="DX638" s="195"/>
      <c r="DY638" s="195"/>
      <c r="DZ638" s="195"/>
      <c r="EA638" s="195"/>
      <c r="EB638" s="195"/>
      <c r="EC638" s="195"/>
      <c r="ED638" s="195"/>
      <c r="EE638" s="195"/>
      <c r="EF638" s="195"/>
      <c r="EG638" s="195"/>
      <c r="EL638" s="1"/>
      <c r="EM638" s="195"/>
      <c r="EN638" s="240"/>
      <c r="EO638" s="240"/>
      <c r="EP638" s="195"/>
      <c r="EQ638" s="240"/>
      <c r="ER638" s="195"/>
      <c r="ES638" s="195"/>
      <c r="ET638" s="195"/>
      <c r="EU638" s="672"/>
    </row>
    <row r="639" customFormat="false" ht="12.75" hidden="false" customHeight="false" outlineLevel="0" collapsed="false">
      <c r="I639" s="735"/>
      <c r="J639" s="728"/>
      <c r="K639" s="195"/>
      <c r="L639" s="195"/>
      <c r="Q639" s="195"/>
      <c r="R639" s="195"/>
      <c r="S639" s="240"/>
      <c r="T639" s="195"/>
      <c r="U639" s="195"/>
      <c r="V639" s="195"/>
      <c r="W639" s="195"/>
      <c r="X639" s="195"/>
      <c r="Y639" s="195"/>
      <c r="Z639" s="195"/>
      <c r="AA639" s="195"/>
      <c r="AB639" s="195"/>
      <c r="AC639" s="195"/>
      <c r="AD639" s="195"/>
      <c r="AE639" s="195"/>
      <c r="AF639" s="195"/>
      <c r="AG639" s="195"/>
      <c r="AH639" s="195"/>
      <c r="AI639" s="195"/>
      <c r="AJ639" s="195"/>
      <c r="AK639" s="195"/>
      <c r="AL639" s="195"/>
      <c r="AM639" s="195"/>
      <c r="AN639" s="1"/>
      <c r="AO639" s="240"/>
      <c r="AP639" s="240"/>
      <c r="AQ639" s="240"/>
      <c r="AR639" s="240"/>
      <c r="AS639" s="240"/>
      <c r="AT639" s="730"/>
      <c r="AU639" s="730"/>
      <c r="AV639" s="730"/>
      <c r="AW639" s="468"/>
      <c r="AX639" s="468"/>
      <c r="AY639" s="240"/>
      <c r="AZ639" s="240"/>
      <c r="BA639" s="240"/>
      <c r="BB639" s="240"/>
      <c r="BC639" s="240"/>
      <c r="BD639" s="240"/>
      <c r="BE639" s="672"/>
      <c r="BF639" s="731"/>
      <c r="BG639" s="731"/>
      <c r="BH639" s="731"/>
      <c r="BI639" s="736"/>
      <c r="BJ639" s="732"/>
      <c r="BK639" s="240"/>
      <c r="BL639" s="240"/>
      <c r="BM639" s="240"/>
      <c r="BN639" s="240"/>
      <c r="BO639" s="240"/>
      <c r="BP639" s="240"/>
      <c r="BQ639" s="240"/>
      <c r="BR639" s="240"/>
      <c r="BS639" s="240"/>
      <c r="BT639" s="240"/>
      <c r="BU639" s="240"/>
      <c r="BV639" s="240"/>
      <c r="BW639" s="240"/>
      <c r="BX639" s="672"/>
      <c r="BY639" s="240"/>
      <c r="BZ639" s="672"/>
      <c r="CA639" s="672"/>
      <c r="CB639" s="672"/>
      <c r="CC639" s="672"/>
      <c r="CD639" s="672"/>
      <c r="CE639" s="672"/>
      <c r="CF639" s="672"/>
      <c r="CG639" s="672"/>
      <c r="CH639" s="240"/>
      <c r="CI639" s="240"/>
      <c r="CJ639" s="240"/>
      <c r="CK639" s="240"/>
      <c r="CL639" s="240"/>
      <c r="CM639" s="728"/>
      <c r="CN639" s="728"/>
      <c r="CO639" s="728"/>
      <c r="CP639" s="728"/>
      <c r="CQ639" s="728"/>
      <c r="CR639" s="728"/>
      <c r="CS639" s="728"/>
      <c r="CT639" s="728"/>
      <c r="CU639" s="728"/>
      <c r="CV639" s="728"/>
      <c r="CW639" s="728"/>
      <c r="CX639" s="728"/>
      <c r="CY639" s="728"/>
      <c r="CZ639" s="728"/>
      <c r="DA639" s="728"/>
      <c r="DB639" s="728"/>
      <c r="DC639" s="728"/>
      <c r="DD639" s="728"/>
      <c r="DE639" s="728"/>
      <c r="DF639" s="728"/>
      <c r="DG639" s="195"/>
      <c r="DH639" s="1"/>
      <c r="DI639" s="3"/>
      <c r="DL639" s="4"/>
      <c r="DM639" s="4"/>
      <c r="DN639" s="4"/>
      <c r="DO639" s="4"/>
      <c r="DP639" s="4"/>
      <c r="DR639" s="195"/>
      <c r="DS639" s="195"/>
      <c r="DT639" s="195"/>
      <c r="DU639" s="195"/>
      <c r="DV639" s="195"/>
      <c r="DW639" s="195"/>
      <c r="DX639" s="195"/>
      <c r="DY639" s="195"/>
      <c r="DZ639" s="195"/>
      <c r="EA639" s="195"/>
      <c r="EB639" s="195"/>
      <c r="EC639" s="195"/>
      <c r="ED639" s="195"/>
      <c r="EE639" s="195"/>
      <c r="EF639" s="195"/>
      <c r="EG639" s="195"/>
      <c r="EL639" s="1"/>
      <c r="EM639" s="195"/>
      <c r="EN639" s="240"/>
      <c r="EO639" s="240"/>
      <c r="EP639" s="195"/>
      <c r="EQ639" s="240"/>
      <c r="ER639" s="195"/>
      <c r="ES639" s="195"/>
      <c r="ET639" s="195"/>
      <c r="EU639" s="672"/>
    </row>
    <row r="640" customFormat="false" ht="12.75" hidden="false" customHeight="false" outlineLevel="0" collapsed="false">
      <c r="I640" s="735"/>
      <c r="J640" s="728"/>
      <c r="K640" s="195"/>
      <c r="L640" s="195"/>
      <c r="Q640" s="195"/>
      <c r="R640" s="195"/>
      <c r="S640" s="240"/>
      <c r="T640" s="195"/>
      <c r="U640" s="195"/>
      <c r="V640" s="195"/>
      <c r="W640" s="195"/>
      <c r="X640" s="195"/>
      <c r="Y640" s="195"/>
      <c r="Z640" s="195"/>
      <c r="AA640" s="195"/>
      <c r="AB640" s="195"/>
      <c r="AC640" s="195"/>
      <c r="AD640" s="195"/>
      <c r="AE640" s="195"/>
      <c r="AF640" s="195"/>
      <c r="AG640" s="195"/>
      <c r="AH640" s="195"/>
      <c r="AI640" s="195"/>
      <c r="AJ640" s="195"/>
      <c r="AK640" s="195"/>
      <c r="AL640" s="195"/>
      <c r="AM640" s="195"/>
      <c r="AN640" s="1"/>
      <c r="AO640" s="240"/>
      <c r="AP640" s="240"/>
      <c r="AQ640" s="240"/>
      <c r="AR640" s="240"/>
      <c r="AS640" s="240"/>
      <c r="AT640" s="730"/>
      <c r="AU640" s="730"/>
      <c r="AV640" s="730"/>
      <c r="AW640" s="468"/>
      <c r="AX640" s="468"/>
      <c r="AY640" s="240"/>
      <c r="AZ640" s="240"/>
      <c r="BA640" s="240"/>
      <c r="BB640" s="240"/>
      <c r="BC640" s="240"/>
      <c r="BD640" s="240"/>
      <c r="BE640" s="672"/>
      <c r="BF640" s="731"/>
      <c r="BG640" s="731"/>
      <c r="BH640" s="731"/>
      <c r="BI640" s="736"/>
      <c r="BJ640" s="732"/>
      <c r="BK640" s="240"/>
      <c r="BL640" s="240"/>
      <c r="BM640" s="240"/>
      <c r="BN640" s="240"/>
      <c r="BO640" s="240"/>
      <c r="BP640" s="240"/>
      <c r="BQ640" s="240"/>
      <c r="BR640" s="240"/>
      <c r="BS640" s="240"/>
      <c r="BT640" s="240"/>
      <c r="BU640" s="240"/>
      <c r="BV640" s="240"/>
      <c r="BW640" s="240"/>
      <c r="BX640" s="672"/>
      <c r="BY640" s="240"/>
      <c r="BZ640" s="672"/>
      <c r="CA640" s="672"/>
      <c r="CB640" s="672"/>
      <c r="CC640" s="672"/>
      <c r="CD640" s="672"/>
      <c r="CE640" s="672"/>
      <c r="CF640" s="672"/>
      <c r="CG640" s="672"/>
      <c r="CH640" s="240"/>
      <c r="CI640" s="240"/>
      <c r="CJ640" s="240"/>
      <c r="CK640" s="240"/>
      <c r="CL640" s="240"/>
      <c r="CM640" s="728"/>
      <c r="CN640" s="728"/>
      <c r="CO640" s="728"/>
      <c r="CP640" s="728"/>
      <c r="CQ640" s="728"/>
      <c r="CR640" s="728"/>
      <c r="CS640" s="728"/>
      <c r="CT640" s="728"/>
      <c r="CU640" s="728"/>
      <c r="CV640" s="728"/>
      <c r="CW640" s="728"/>
      <c r="CX640" s="728"/>
      <c r="CY640" s="728"/>
      <c r="CZ640" s="728"/>
      <c r="DA640" s="728"/>
      <c r="DB640" s="728"/>
      <c r="DC640" s="728"/>
      <c r="DD640" s="728"/>
      <c r="DE640" s="728"/>
      <c r="DF640" s="728"/>
      <c r="DG640" s="195"/>
      <c r="DH640" s="1"/>
      <c r="DI640" s="3"/>
      <c r="DL640" s="4"/>
      <c r="DM640" s="4"/>
      <c r="DN640" s="4"/>
      <c r="DO640" s="4"/>
      <c r="DP640" s="4"/>
      <c r="DR640" s="195"/>
      <c r="DS640" s="195"/>
      <c r="DT640" s="195"/>
      <c r="DU640" s="195"/>
      <c r="DV640" s="195"/>
      <c r="DW640" s="195"/>
      <c r="DX640" s="195"/>
      <c r="DY640" s="195"/>
      <c r="DZ640" s="195"/>
      <c r="EA640" s="195"/>
      <c r="EB640" s="195"/>
      <c r="EC640" s="195"/>
      <c r="ED640" s="195"/>
      <c r="EE640" s="195"/>
      <c r="EF640" s="195"/>
      <c r="EG640" s="195"/>
      <c r="EL640" s="1"/>
      <c r="EM640" s="195"/>
      <c r="EN640" s="240"/>
      <c r="EO640" s="240"/>
      <c r="EP640" s="195"/>
      <c r="EQ640" s="240"/>
      <c r="ER640" s="195"/>
      <c r="ES640" s="195"/>
      <c r="ET640" s="195"/>
      <c r="EU640" s="672"/>
    </row>
    <row r="641" customFormat="false" ht="12.75" hidden="false" customHeight="false" outlineLevel="0" collapsed="false">
      <c r="I641" s="735"/>
      <c r="J641" s="728"/>
      <c r="K641" s="195"/>
      <c r="L641" s="195"/>
      <c r="Q641" s="195"/>
      <c r="R641" s="195"/>
      <c r="S641" s="240"/>
      <c r="T641" s="195"/>
      <c r="U641" s="195"/>
      <c r="V641" s="195"/>
      <c r="W641" s="195"/>
      <c r="X641" s="195"/>
      <c r="Y641" s="195"/>
      <c r="Z641" s="195"/>
      <c r="AA641" s="195"/>
      <c r="AB641" s="195"/>
      <c r="AC641" s="195"/>
      <c r="AD641" s="195"/>
      <c r="AE641" s="195"/>
      <c r="AF641" s="195"/>
      <c r="AG641" s="195"/>
      <c r="AH641" s="195"/>
      <c r="AI641" s="195"/>
      <c r="AJ641" s="195"/>
      <c r="AK641" s="195"/>
      <c r="AL641" s="195"/>
      <c r="AM641" s="195"/>
      <c r="AN641" s="1"/>
      <c r="AO641" s="240"/>
      <c r="AP641" s="240"/>
      <c r="AQ641" s="240"/>
      <c r="AR641" s="240"/>
      <c r="AS641" s="240"/>
      <c r="AT641" s="730"/>
      <c r="AU641" s="730"/>
      <c r="AV641" s="730"/>
      <c r="AW641" s="468"/>
      <c r="AX641" s="468"/>
      <c r="AY641" s="240"/>
      <c r="AZ641" s="240"/>
      <c r="BA641" s="240"/>
      <c r="BB641" s="240"/>
      <c r="BC641" s="240"/>
      <c r="BD641" s="240"/>
      <c r="BE641" s="672"/>
      <c r="BF641" s="731"/>
      <c r="BG641" s="731"/>
      <c r="BH641" s="731"/>
      <c r="BI641" s="736"/>
      <c r="BJ641" s="732"/>
      <c r="BK641" s="240"/>
      <c r="BL641" s="240"/>
      <c r="BM641" s="240"/>
      <c r="BN641" s="240"/>
      <c r="BO641" s="240"/>
      <c r="BP641" s="240"/>
      <c r="BQ641" s="240"/>
      <c r="BR641" s="240"/>
      <c r="BS641" s="240"/>
      <c r="BT641" s="240"/>
      <c r="BU641" s="240"/>
      <c r="BV641" s="240"/>
      <c r="BW641" s="240"/>
      <c r="BX641" s="672"/>
      <c r="BY641" s="240"/>
      <c r="BZ641" s="672"/>
      <c r="CA641" s="672"/>
      <c r="CB641" s="672"/>
      <c r="CC641" s="672"/>
      <c r="CD641" s="672"/>
      <c r="CE641" s="672"/>
      <c r="CF641" s="672"/>
      <c r="CG641" s="672"/>
      <c r="CH641" s="240"/>
      <c r="CI641" s="240"/>
      <c r="CJ641" s="240"/>
      <c r="CK641" s="240"/>
      <c r="CL641" s="240"/>
      <c r="CM641" s="728"/>
      <c r="CN641" s="728"/>
      <c r="CO641" s="728"/>
      <c r="CP641" s="728"/>
      <c r="CQ641" s="728"/>
      <c r="CR641" s="728"/>
      <c r="CS641" s="728"/>
      <c r="CT641" s="728"/>
      <c r="CU641" s="728"/>
      <c r="CV641" s="728"/>
      <c r="CW641" s="728"/>
      <c r="CX641" s="728"/>
      <c r="CY641" s="728"/>
      <c r="CZ641" s="728"/>
      <c r="DA641" s="728"/>
      <c r="DB641" s="728"/>
      <c r="DC641" s="728"/>
      <c r="DD641" s="728"/>
      <c r="DE641" s="728"/>
      <c r="DF641" s="728"/>
      <c r="DG641" s="195"/>
      <c r="DH641" s="1"/>
      <c r="DI641" s="3"/>
      <c r="DL641" s="4"/>
      <c r="DM641" s="4"/>
      <c r="DN641" s="4"/>
      <c r="DO641" s="4"/>
      <c r="DP641" s="4"/>
      <c r="DR641" s="195"/>
      <c r="DS641" s="195"/>
      <c r="DT641" s="195"/>
      <c r="DU641" s="195"/>
      <c r="DV641" s="195"/>
      <c r="DW641" s="195"/>
      <c r="DX641" s="195"/>
      <c r="DY641" s="195"/>
      <c r="DZ641" s="195"/>
      <c r="EA641" s="195"/>
      <c r="EB641" s="195"/>
      <c r="EC641" s="195"/>
      <c r="ED641" s="195"/>
      <c r="EE641" s="195"/>
      <c r="EF641" s="195"/>
      <c r="EG641" s="195"/>
      <c r="EL641" s="1"/>
      <c r="EM641" s="195"/>
      <c r="EN641" s="240"/>
      <c r="EO641" s="240"/>
      <c r="EP641" s="195"/>
      <c r="EQ641" s="240"/>
      <c r="ER641" s="195"/>
      <c r="ES641" s="195"/>
      <c r="ET641" s="195"/>
      <c r="EU641" s="672"/>
    </row>
    <row r="642" customFormat="false" ht="12.75" hidden="false" customHeight="false" outlineLevel="0" collapsed="false">
      <c r="I642" s="735"/>
      <c r="J642" s="728"/>
      <c r="K642" s="195"/>
      <c r="L642" s="195"/>
      <c r="Q642" s="195"/>
      <c r="R642" s="195"/>
      <c r="S642" s="240"/>
      <c r="T642" s="195"/>
      <c r="U642" s="195"/>
      <c r="V642" s="195"/>
      <c r="W642" s="195"/>
      <c r="X642" s="195"/>
      <c r="Y642" s="195"/>
      <c r="Z642" s="195"/>
      <c r="AA642" s="195"/>
      <c r="AB642" s="195"/>
      <c r="AC642" s="195"/>
      <c r="AD642" s="195"/>
      <c r="AE642" s="195"/>
      <c r="AF642" s="195"/>
      <c r="AG642" s="195"/>
      <c r="AH642" s="195"/>
      <c r="AI642" s="195"/>
      <c r="AJ642" s="195"/>
      <c r="AK642" s="195"/>
      <c r="AL642" s="195"/>
      <c r="AM642" s="195"/>
      <c r="AN642" s="1"/>
      <c r="AO642" s="240"/>
      <c r="AP642" s="240"/>
      <c r="AQ642" s="240"/>
      <c r="AR642" s="240"/>
      <c r="AS642" s="240"/>
      <c r="AT642" s="730"/>
      <c r="AU642" s="730"/>
      <c r="AV642" s="730"/>
      <c r="AW642" s="468"/>
      <c r="AX642" s="468"/>
      <c r="AY642" s="240"/>
      <c r="AZ642" s="240"/>
      <c r="BA642" s="240"/>
      <c r="BB642" s="240"/>
      <c r="BC642" s="240"/>
      <c r="BD642" s="240"/>
      <c r="BE642" s="672"/>
      <c r="BF642" s="731"/>
      <c r="BG642" s="731"/>
      <c r="BH642" s="731"/>
      <c r="BI642" s="736"/>
      <c r="BJ642" s="732"/>
      <c r="BK642" s="240"/>
      <c r="BL642" s="240"/>
      <c r="BM642" s="240"/>
      <c r="BN642" s="240"/>
      <c r="BO642" s="240"/>
      <c r="BP642" s="240"/>
      <c r="BQ642" s="240"/>
      <c r="BR642" s="240"/>
      <c r="BS642" s="240"/>
      <c r="BT642" s="240"/>
      <c r="BU642" s="240"/>
      <c r="BV642" s="240"/>
      <c r="BW642" s="240"/>
      <c r="BX642" s="672"/>
      <c r="BY642" s="240"/>
      <c r="BZ642" s="672"/>
      <c r="CA642" s="672"/>
      <c r="CB642" s="672"/>
      <c r="CC642" s="672"/>
      <c r="CD642" s="672"/>
      <c r="CE642" s="672"/>
      <c r="CF642" s="672"/>
      <c r="CG642" s="672"/>
      <c r="CH642" s="240"/>
      <c r="CI642" s="240"/>
      <c r="CJ642" s="240"/>
      <c r="CK642" s="240"/>
      <c r="CL642" s="240"/>
      <c r="CM642" s="728"/>
      <c r="CN642" s="728"/>
      <c r="CO642" s="728"/>
      <c r="CP642" s="728"/>
      <c r="CQ642" s="728"/>
      <c r="CR642" s="728"/>
      <c r="CS642" s="728"/>
      <c r="CT642" s="728"/>
      <c r="CU642" s="728"/>
      <c r="CV642" s="728"/>
      <c r="CW642" s="728"/>
      <c r="CX642" s="728"/>
      <c r="CY642" s="728"/>
      <c r="CZ642" s="728"/>
      <c r="DA642" s="728"/>
      <c r="DB642" s="728"/>
      <c r="DC642" s="728"/>
      <c r="DD642" s="728"/>
      <c r="DE642" s="728"/>
      <c r="DF642" s="728"/>
      <c r="DG642" s="195"/>
      <c r="DH642" s="1"/>
      <c r="DI642" s="3"/>
      <c r="DL642" s="4"/>
      <c r="DM642" s="4"/>
      <c r="DN642" s="4"/>
      <c r="DO642" s="4"/>
      <c r="DP642" s="4"/>
      <c r="DR642" s="195"/>
      <c r="DS642" s="195"/>
      <c r="DT642" s="195"/>
      <c r="DU642" s="195"/>
      <c r="DV642" s="195"/>
      <c r="DW642" s="195"/>
      <c r="DX642" s="195"/>
      <c r="DY642" s="195"/>
      <c r="DZ642" s="195"/>
      <c r="EA642" s="195"/>
      <c r="EB642" s="195"/>
      <c r="EC642" s="195"/>
      <c r="ED642" s="195"/>
      <c r="EE642" s="195"/>
      <c r="EF642" s="195"/>
      <c r="EG642" s="195"/>
      <c r="EL642" s="1"/>
      <c r="EM642" s="195"/>
      <c r="EN642" s="240"/>
      <c r="EO642" s="240"/>
      <c r="EP642" s="195"/>
      <c r="EQ642" s="240"/>
      <c r="ER642" s="195"/>
      <c r="ES642" s="195"/>
      <c r="ET642" s="195"/>
      <c r="EU642" s="672"/>
    </row>
    <row r="643" customFormat="false" ht="12.75" hidden="false" customHeight="false" outlineLevel="0" collapsed="false">
      <c r="I643" s="735"/>
      <c r="J643" s="728"/>
      <c r="K643" s="195"/>
      <c r="L643" s="195"/>
      <c r="Q643" s="195"/>
      <c r="R643" s="195"/>
      <c r="S643" s="240"/>
      <c r="T643" s="195"/>
      <c r="U643" s="195"/>
      <c r="V643" s="195"/>
      <c r="W643" s="195"/>
      <c r="X643" s="195"/>
      <c r="Y643" s="195"/>
      <c r="Z643" s="195"/>
      <c r="AA643" s="195"/>
      <c r="AB643" s="195"/>
      <c r="AC643" s="195"/>
      <c r="AD643" s="195"/>
      <c r="AE643" s="195"/>
      <c r="AF643" s="195"/>
      <c r="AG643" s="195"/>
      <c r="AH643" s="195"/>
      <c r="AI643" s="195"/>
      <c r="AJ643" s="195"/>
      <c r="AK643" s="195"/>
      <c r="AL643" s="195"/>
      <c r="AM643" s="195"/>
      <c r="AN643" s="1"/>
      <c r="AO643" s="240"/>
      <c r="AP643" s="240"/>
      <c r="AQ643" s="240"/>
      <c r="AR643" s="240"/>
      <c r="AS643" s="240"/>
      <c r="AT643" s="730"/>
      <c r="AU643" s="730"/>
      <c r="AV643" s="730"/>
      <c r="AW643" s="468"/>
      <c r="AX643" s="468"/>
      <c r="AY643" s="240"/>
      <c r="AZ643" s="240"/>
      <c r="BA643" s="240"/>
      <c r="BB643" s="240"/>
      <c r="BC643" s="240"/>
      <c r="BD643" s="240"/>
      <c r="BE643" s="672"/>
      <c r="BF643" s="731"/>
      <c r="BG643" s="731"/>
      <c r="BH643" s="731"/>
      <c r="BI643" s="736"/>
      <c r="BJ643" s="732"/>
      <c r="BK643" s="240"/>
      <c r="BL643" s="240"/>
      <c r="BM643" s="240"/>
      <c r="BN643" s="240"/>
      <c r="BO643" s="240"/>
      <c r="BP643" s="240"/>
      <c r="BQ643" s="240"/>
      <c r="BR643" s="240"/>
      <c r="BS643" s="240"/>
      <c r="BT643" s="240"/>
      <c r="BU643" s="240"/>
      <c r="BV643" s="240"/>
      <c r="BW643" s="240"/>
      <c r="BX643" s="672"/>
      <c r="BY643" s="240"/>
      <c r="BZ643" s="672"/>
      <c r="CA643" s="672"/>
      <c r="CB643" s="672"/>
      <c r="CC643" s="672"/>
      <c r="CD643" s="672"/>
      <c r="CE643" s="672"/>
      <c r="CF643" s="672"/>
      <c r="CG643" s="672"/>
      <c r="CH643" s="240"/>
      <c r="CI643" s="240"/>
      <c r="CJ643" s="240"/>
      <c r="CK643" s="240"/>
      <c r="CL643" s="240"/>
      <c r="CM643" s="728"/>
      <c r="CN643" s="728"/>
      <c r="CO643" s="728"/>
      <c r="CP643" s="728"/>
      <c r="CQ643" s="728"/>
      <c r="CR643" s="728"/>
      <c r="CS643" s="728"/>
      <c r="CT643" s="728"/>
      <c r="CU643" s="728"/>
      <c r="CV643" s="728"/>
      <c r="CW643" s="728"/>
      <c r="CX643" s="728"/>
      <c r="CY643" s="728"/>
      <c r="CZ643" s="728"/>
      <c r="DA643" s="728"/>
      <c r="DB643" s="728"/>
      <c r="DC643" s="728"/>
      <c r="DD643" s="728"/>
      <c r="DE643" s="728"/>
      <c r="DF643" s="728"/>
      <c r="DG643" s="195"/>
      <c r="DH643" s="1"/>
      <c r="DI643" s="3"/>
      <c r="DL643" s="4"/>
      <c r="DM643" s="4"/>
      <c r="DN643" s="4"/>
      <c r="DO643" s="4"/>
      <c r="DP643" s="4"/>
      <c r="DR643" s="195"/>
      <c r="DS643" s="195"/>
      <c r="DT643" s="195"/>
      <c r="DU643" s="195"/>
      <c r="DV643" s="195"/>
      <c r="DW643" s="195"/>
      <c r="DX643" s="195"/>
      <c r="DY643" s="195"/>
      <c r="DZ643" s="195"/>
      <c r="EA643" s="195"/>
      <c r="EB643" s="195"/>
      <c r="EC643" s="195"/>
      <c r="ED643" s="195"/>
      <c r="EE643" s="195"/>
      <c r="EF643" s="195"/>
      <c r="EG643" s="195"/>
      <c r="EL643" s="1"/>
      <c r="EM643" s="195"/>
      <c r="EN643" s="240"/>
      <c r="EO643" s="240"/>
      <c r="EP643" s="195"/>
      <c r="EQ643" s="240"/>
      <c r="ER643" s="195"/>
      <c r="ES643" s="195"/>
      <c r="ET643" s="195"/>
      <c r="EU643" s="672"/>
    </row>
    <row r="644" customFormat="false" ht="12.75" hidden="false" customHeight="false" outlineLevel="0" collapsed="false">
      <c r="I644" s="735"/>
      <c r="J644" s="728"/>
      <c r="K644" s="195"/>
      <c r="L644" s="195"/>
      <c r="Q644" s="195"/>
      <c r="R644" s="195"/>
      <c r="S644" s="240"/>
      <c r="T644" s="195"/>
      <c r="U644" s="195"/>
      <c r="V644" s="195"/>
      <c r="W644" s="195"/>
      <c r="X644" s="195"/>
      <c r="Y644" s="195"/>
      <c r="Z644" s="195"/>
      <c r="AA644" s="195"/>
      <c r="AB644" s="195"/>
      <c r="AC644" s="195"/>
      <c r="AD644" s="195"/>
      <c r="AE644" s="195"/>
      <c r="AF644" s="195"/>
      <c r="AG644" s="195"/>
      <c r="AH644" s="195"/>
      <c r="AI644" s="195"/>
      <c r="AJ644" s="195"/>
      <c r="AK644" s="195"/>
      <c r="AL644" s="195"/>
      <c r="AM644" s="195"/>
      <c r="AN644" s="1"/>
      <c r="AO644" s="240"/>
      <c r="AP644" s="240"/>
      <c r="AQ644" s="240"/>
      <c r="AR644" s="240"/>
      <c r="AS644" s="240"/>
      <c r="AT644" s="730"/>
      <c r="AU644" s="730"/>
      <c r="AV644" s="730"/>
      <c r="AW644" s="468"/>
      <c r="AX644" s="468"/>
      <c r="AY644" s="240"/>
      <c r="AZ644" s="240"/>
      <c r="BA644" s="240"/>
      <c r="BB644" s="240"/>
      <c r="BC644" s="240"/>
      <c r="BD644" s="240"/>
      <c r="BE644" s="672"/>
      <c r="BF644" s="731"/>
      <c r="BG644" s="731"/>
      <c r="BH644" s="731"/>
      <c r="BI644" s="736"/>
      <c r="BJ644" s="732"/>
      <c r="BK644" s="240"/>
      <c r="BL644" s="240"/>
      <c r="BM644" s="240"/>
      <c r="BN644" s="240"/>
      <c r="BO644" s="240"/>
      <c r="BP644" s="240"/>
      <c r="BQ644" s="240"/>
      <c r="BR644" s="240"/>
      <c r="BS644" s="240"/>
      <c r="BT644" s="240"/>
      <c r="BU644" s="240"/>
      <c r="BV644" s="240"/>
      <c r="BW644" s="240"/>
      <c r="BX644" s="672"/>
      <c r="BY644" s="240"/>
      <c r="BZ644" s="672"/>
      <c r="CA644" s="672"/>
      <c r="CB644" s="672"/>
      <c r="CC644" s="672"/>
      <c r="CD644" s="672"/>
      <c r="CE644" s="672"/>
      <c r="CF644" s="672"/>
      <c r="CG644" s="672"/>
      <c r="CH644" s="240"/>
      <c r="CI644" s="240"/>
      <c r="CJ644" s="240"/>
      <c r="CK644" s="240"/>
      <c r="CL644" s="240"/>
      <c r="CM644" s="728"/>
      <c r="CN644" s="728"/>
      <c r="CO644" s="728"/>
      <c r="CP644" s="728"/>
      <c r="CQ644" s="728"/>
      <c r="CR644" s="728"/>
      <c r="CS644" s="728"/>
      <c r="CT644" s="728"/>
      <c r="CU644" s="728"/>
      <c r="CV644" s="728"/>
      <c r="CW644" s="728"/>
      <c r="CX644" s="728"/>
      <c r="CY644" s="728"/>
      <c r="CZ644" s="728"/>
      <c r="DA644" s="728"/>
      <c r="DB644" s="728"/>
      <c r="DC644" s="728"/>
      <c r="DD644" s="728"/>
      <c r="DE644" s="728"/>
      <c r="DF644" s="728"/>
      <c r="DG644" s="195"/>
      <c r="DH644" s="1"/>
      <c r="DI644" s="3"/>
      <c r="DL644" s="4"/>
      <c r="DM644" s="4"/>
      <c r="DN644" s="4"/>
      <c r="DO644" s="4"/>
      <c r="DP644" s="4"/>
      <c r="DR644" s="195"/>
      <c r="DS644" s="195"/>
      <c r="DT644" s="195"/>
      <c r="DU644" s="195"/>
      <c r="DV644" s="195"/>
      <c r="DW644" s="195"/>
      <c r="DX644" s="195"/>
      <c r="DY644" s="195"/>
      <c r="DZ644" s="195"/>
      <c r="EA644" s="195"/>
      <c r="EB644" s="195"/>
      <c r="EC644" s="195"/>
      <c r="ED644" s="195"/>
      <c r="EE644" s="195"/>
      <c r="EF644" s="195"/>
      <c r="EG644" s="195"/>
      <c r="EL644" s="1"/>
      <c r="EM644" s="195"/>
      <c r="EN644" s="240"/>
      <c r="EO644" s="240"/>
      <c r="EP644" s="195"/>
      <c r="EQ644" s="240"/>
      <c r="ER644" s="195"/>
      <c r="ES644" s="195"/>
      <c r="ET644" s="195"/>
      <c r="EU644" s="672"/>
    </row>
    <row r="645" customFormat="false" ht="12.75" hidden="false" customHeight="false" outlineLevel="0" collapsed="false">
      <c r="I645" s="735"/>
      <c r="J645" s="728"/>
      <c r="K645" s="195"/>
      <c r="L645" s="195"/>
      <c r="Q645" s="195"/>
      <c r="R645" s="195"/>
      <c r="S645" s="240"/>
      <c r="T645" s="195"/>
      <c r="U645" s="195"/>
      <c r="V645" s="195"/>
      <c r="W645" s="195"/>
      <c r="X645" s="195"/>
      <c r="Y645" s="195"/>
      <c r="Z645" s="195"/>
      <c r="AA645" s="195"/>
      <c r="AB645" s="195"/>
      <c r="AC645" s="195"/>
      <c r="AD645" s="195"/>
      <c r="AE645" s="195"/>
      <c r="AF645" s="195"/>
      <c r="AG645" s="195"/>
      <c r="AH645" s="195"/>
      <c r="AI645" s="195"/>
      <c r="AJ645" s="195"/>
      <c r="AK645" s="195"/>
      <c r="AL645" s="195"/>
      <c r="AM645" s="195"/>
      <c r="AN645" s="1"/>
      <c r="AO645" s="240"/>
      <c r="AP645" s="240"/>
      <c r="AQ645" s="240"/>
      <c r="AR645" s="240"/>
      <c r="AS645" s="240"/>
      <c r="AT645" s="730"/>
      <c r="AU645" s="730"/>
      <c r="AV645" s="730"/>
      <c r="AW645" s="468"/>
      <c r="AX645" s="468"/>
      <c r="AY645" s="240"/>
      <c r="AZ645" s="240"/>
      <c r="BA645" s="240"/>
      <c r="BB645" s="240"/>
      <c r="BC645" s="240"/>
      <c r="BD645" s="240"/>
      <c r="BE645" s="672"/>
      <c r="BF645" s="731"/>
      <c r="BG645" s="731"/>
      <c r="BH645" s="731"/>
      <c r="BI645" s="736"/>
      <c r="BJ645" s="732"/>
      <c r="BK645" s="240"/>
      <c r="BL645" s="240"/>
      <c r="BM645" s="240"/>
      <c r="BN645" s="240"/>
      <c r="BO645" s="240"/>
      <c r="BP645" s="240"/>
      <c r="BQ645" s="240"/>
      <c r="BR645" s="240"/>
      <c r="BS645" s="240"/>
      <c r="BT645" s="240"/>
      <c r="BU645" s="240"/>
      <c r="BV645" s="240"/>
      <c r="BW645" s="240"/>
      <c r="BX645" s="672"/>
      <c r="BY645" s="240"/>
      <c r="BZ645" s="672"/>
      <c r="CA645" s="672"/>
      <c r="CB645" s="672"/>
      <c r="CC645" s="672"/>
      <c r="CD645" s="672"/>
      <c r="CE645" s="672"/>
      <c r="CF645" s="672"/>
      <c r="CG645" s="672"/>
      <c r="CH645" s="240"/>
      <c r="CI645" s="240"/>
      <c r="CJ645" s="240"/>
      <c r="CK645" s="240"/>
      <c r="CL645" s="240"/>
      <c r="CM645" s="728"/>
      <c r="CN645" s="728"/>
      <c r="CO645" s="728"/>
      <c r="CP645" s="728"/>
      <c r="CQ645" s="728"/>
      <c r="CR645" s="728"/>
      <c r="CS645" s="728"/>
      <c r="CT645" s="728"/>
      <c r="CU645" s="728"/>
      <c r="CV645" s="728"/>
      <c r="CW645" s="728"/>
      <c r="CX645" s="728"/>
      <c r="CY645" s="728"/>
      <c r="CZ645" s="728"/>
      <c r="DA645" s="728"/>
      <c r="DB645" s="728"/>
      <c r="DC645" s="728"/>
      <c r="DD645" s="728"/>
      <c r="DE645" s="728"/>
      <c r="DF645" s="728"/>
      <c r="DG645" s="195"/>
      <c r="DH645" s="1"/>
      <c r="DI645" s="3"/>
      <c r="DL645" s="4"/>
      <c r="DM645" s="4"/>
      <c r="DN645" s="4"/>
      <c r="DO645" s="4"/>
      <c r="DP645" s="4"/>
      <c r="DR645" s="195"/>
      <c r="DS645" s="195"/>
      <c r="DT645" s="195"/>
      <c r="DU645" s="195"/>
      <c r="DV645" s="195"/>
      <c r="DW645" s="195"/>
      <c r="DX645" s="195"/>
      <c r="DY645" s="195"/>
      <c r="DZ645" s="195"/>
      <c r="EA645" s="195"/>
      <c r="EB645" s="195"/>
      <c r="EC645" s="195"/>
      <c r="ED645" s="195"/>
      <c r="EE645" s="195"/>
      <c r="EF645" s="195"/>
      <c r="EG645" s="195"/>
      <c r="EL645" s="1"/>
      <c r="EM645" s="195"/>
      <c r="EN645" s="240"/>
      <c r="EO645" s="240"/>
      <c r="EP645" s="195"/>
      <c r="EQ645" s="240"/>
      <c r="ER645" s="195"/>
      <c r="ES645" s="195"/>
      <c r="ET645" s="195"/>
      <c r="EU645" s="672"/>
    </row>
    <row r="646" customFormat="false" ht="12.75" hidden="false" customHeight="false" outlineLevel="0" collapsed="false">
      <c r="I646" s="735"/>
      <c r="J646" s="728"/>
      <c r="K646" s="195"/>
      <c r="L646" s="195"/>
      <c r="Q646" s="195"/>
      <c r="R646" s="195"/>
      <c r="S646" s="240"/>
      <c r="T646" s="195"/>
      <c r="U646" s="195"/>
      <c r="V646" s="195"/>
      <c r="W646" s="195"/>
      <c r="X646" s="195"/>
      <c r="Y646" s="195"/>
      <c r="Z646" s="195"/>
      <c r="AA646" s="195"/>
      <c r="AB646" s="195"/>
      <c r="AC646" s="195"/>
      <c r="AD646" s="195"/>
      <c r="AE646" s="195"/>
      <c r="AF646" s="195"/>
      <c r="AG646" s="195"/>
      <c r="AH646" s="195"/>
      <c r="AI646" s="195"/>
      <c r="AJ646" s="195"/>
      <c r="AK646" s="195"/>
      <c r="AL646" s="195"/>
      <c r="AM646" s="195"/>
      <c r="AN646" s="1"/>
      <c r="AO646" s="240"/>
      <c r="AP646" s="240"/>
      <c r="AQ646" s="240"/>
      <c r="AR646" s="240"/>
      <c r="AS646" s="240"/>
      <c r="AT646" s="730"/>
      <c r="AU646" s="730"/>
      <c r="AV646" s="730"/>
      <c r="AW646" s="468"/>
      <c r="AX646" s="468"/>
      <c r="AY646" s="240"/>
      <c r="AZ646" s="240"/>
      <c r="BA646" s="240"/>
      <c r="BB646" s="240"/>
      <c r="BC646" s="240"/>
      <c r="BD646" s="240"/>
      <c r="BE646" s="672"/>
      <c r="BF646" s="731"/>
      <c r="BG646" s="731"/>
      <c r="BH646" s="731"/>
      <c r="BI646" s="736"/>
      <c r="BJ646" s="732"/>
      <c r="BK646" s="240"/>
      <c r="BL646" s="240"/>
      <c r="BM646" s="240"/>
      <c r="BN646" s="240"/>
      <c r="BO646" s="240"/>
      <c r="BP646" s="240"/>
      <c r="BQ646" s="240"/>
      <c r="BR646" s="240"/>
      <c r="BS646" s="240"/>
      <c r="BT646" s="240"/>
      <c r="BU646" s="240"/>
      <c r="BV646" s="240"/>
      <c r="BW646" s="240"/>
      <c r="BX646" s="672"/>
      <c r="BY646" s="240"/>
      <c r="BZ646" s="672"/>
      <c r="CA646" s="672"/>
      <c r="CB646" s="672"/>
      <c r="CC646" s="672"/>
      <c r="CD646" s="672"/>
      <c r="CE646" s="672"/>
      <c r="CF646" s="672"/>
      <c r="CG646" s="672"/>
      <c r="CH646" s="240"/>
      <c r="CI646" s="240"/>
      <c r="CJ646" s="240"/>
      <c r="CK646" s="240"/>
      <c r="CL646" s="240"/>
      <c r="CM646" s="728"/>
      <c r="CN646" s="728"/>
      <c r="CO646" s="728"/>
      <c r="CP646" s="728"/>
      <c r="CQ646" s="728"/>
      <c r="CR646" s="728"/>
      <c r="CS646" s="728"/>
      <c r="CT646" s="728"/>
      <c r="CU646" s="728"/>
      <c r="CV646" s="728"/>
      <c r="CW646" s="728"/>
      <c r="CX646" s="728"/>
      <c r="CY646" s="728"/>
      <c r="CZ646" s="728"/>
      <c r="DA646" s="728"/>
      <c r="DB646" s="728"/>
      <c r="DC646" s="728"/>
      <c r="DD646" s="728"/>
      <c r="DE646" s="728"/>
      <c r="DF646" s="728"/>
      <c r="DG646" s="195"/>
      <c r="DH646" s="1"/>
      <c r="DI646" s="3"/>
      <c r="DL646" s="4"/>
      <c r="DM646" s="4"/>
      <c r="DN646" s="4"/>
      <c r="DO646" s="4"/>
      <c r="DP646" s="4"/>
      <c r="DR646" s="195"/>
      <c r="DS646" s="195"/>
      <c r="DT646" s="195"/>
      <c r="DU646" s="195"/>
      <c r="DV646" s="195"/>
      <c r="DW646" s="195"/>
      <c r="DX646" s="195"/>
      <c r="DY646" s="195"/>
      <c r="DZ646" s="195"/>
      <c r="EA646" s="195"/>
      <c r="EB646" s="195"/>
      <c r="EC646" s="195"/>
      <c r="ED646" s="195"/>
      <c r="EE646" s="195"/>
      <c r="EF646" s="195"/>
      <c r="EG646" s="195"/>
      <c r="EL646" s="1"/>
      <c r="EM646" s="195"/>
      <c r="EN646" s="240"/>
      <c r="EO646" s="240"/>
      <c r="EP646" s="195"/>
      <c r="EQ646" s="240"/>
      <c r="ER646" s="195"/>
      <c r="ES646" s="195"/>
      <c r="ET646" s="195"/>
      <c r="EU646" s="672"/>
    </row>
    <row r="647" customFormat="false" ht="12.75" hidden="false" customHeight="false" outlineLevel="0" collapsed="false">
      <c r="I647" s="735"/>
      <c r="J647" s="728"/>
      <c r="K647" s="195"/>
      <c r="L647" s="195"/>
      <c r="Q647" s="195"/>
      <c r="R647" s="195"/>
      <c r="S647" s="240"/>
      <c r="T647" s="195"/>
      <c r="U647" s="195"/>
      <c r="V647" s="195"/>
      <c r="W647" s="195"/>
      <c r="X647" s="195"/>
      <c r="Y647" s="195"/>
      <c r="Z647" s="195"/>
      <c r="AA647" s="195"/>
      <c r="AB647" s="195"/>
      <c r="AC647" s="195"/>
      <c r="AD647" s="195"/>
      <c r="AE647" s="195"/>
      <c r="AF647" s="195"/>
      <c r="AG647" s="195"/>
      <c r="AH647" s="195"/>
      <c r="AI647" s="195"/>
      <c r="AJ647" s="195"/>
      <c r="AK647" s="195"/>
      <c r="AL647" s="195"/>
      <c r="AM647" s="195"/>
      <c r="AN647" s="1"/>
      <c r="AO647" s="240"/>
      <c r="AP647" s="240"/>
      <c r="AQ647" s="240"/>
      <c r="AR647" s="240"/>
      <c r="AS647" s="240"/>
      <c r="AT647" s="730"/>
      <c r="AU647" s="730"/>
      <c r="AV647" s="730"/>
      <c r="AW647" s="468"/>
      <c r="AX647" s="468"/>
      <c r="AY647" s="240"/>
      <c r="AZ647" s="240"/>
      <c r="BA647" s="240"/>
      <c r="BB647" s="240"/>
      <c r="BC647" s="240"/>
      <c r="BD647" s="240"/>
      <c r="BE647" s="672"/>
      <c r="BF647" s="731"/>
      <c r="BG647" s="731"/>
      <c r="BH647" s="731"/>
      <c r="BI647" s="736"/>
      <c r="BJ647" s="732"/>
      <c r="BK647" s="240"/>
      <c r="BL647" s="240"/>
      <c r="BM647" s="240"/>
      <c r="BN647" s="240"/>
      <c r="BO647" s="240"/>
      <c r="BP647" s="240"/>
      <c r="BQ647" s="240"/>
      <c r="BR647" s="240"/>
      <c r="BS647" s="240"/>
      <c r="BT647" s="240"/>
      <c r="BU647" s="240"/>
      <c r="BV647" s="240"/>
      <c r="BW647" s="240"/>
      <c r="BX647" s="672"/>
      <c r="BY647" s="240"/>
      <c r="BZ647" s="672"/>
      <c r="CA647" s="672"/>
      <c r="CB647" s="672"/>
      <c r="CC647" s="672"/>
      <c r="CD647" s="672"/>
      <c r="CE647" s="672"/>
      <c r="CF647" s="672"/>
      <c r="CG647" s="672"/>
      <c r="CH647" s="240"/>
      <c r="CI647" s="240"/>
      <c r="CJ647" s="240"/>
      <c r="CK647" s="240"/>
      <c r="CL647" s="240"/>
      <c r="CM647" s="728"/>
      <c r="CN647" s="728"/>
      <c r="CO647" s="728"/>
      <c r="CP647" s="728"/>
      <c r="CQ647" s="728"/>
      <c r="CR647" s="728"/>
      <c r="CS647" s="728"/>
      <c r="CT647" s="728"/>
      <c r="CU647" s="728"/>
      <c r="CV647" s="728"/>
      <c r="CW647" s="728"/>
      <c r="CX647" s="728"/>
      <c r="CY647" s="728"/>
      <c r="CZ647" s="728"/>
      <c r="DA647" s="728"/>
      <c r="DB647" s="728"/>
      <c r="DC647" s="728"/>
      <c r="DD647" s="728"/>
      <c r="DE647" s="728"/>
      <c r="DF647" s="728"/>
      <c r="DG647" s="195"/>
      <c r="DH647" s="1"/>
      <c r="DI647" s="3"/>
      <c r="DL647" s="4"/>
      <c r="DM647" s="4"/>
      <c r="DN647" s="4"/>
      <c r="DO647" s="4"/>
      <c r="DP647" s="4"/>
      <c r="DR647" s="195"/>
      <c r="DS647" s="195"/>
      <c r="DT647" s="195"/>
      <c r="DU647" s="195"/>
      <c r="DV647" s="195"/>
      <c r="DW647" s="195"/>
      <c r="DX647" s="195"/>
      <c r="DY647" s="195"/>
      <c r="DZ647" s="195"/>
      <c r="EA647" s="195"/>
      <c r="EB647" s="195"/>
      <c r="EC647" s="195"/>
      <c r="ED647" s="195"/>
      <c r="EE647" s="195"/>
      <c r="EF647" s="195"/>
      <c r="EG647" s="195"/>
      <c r="EL647" s="1"/>
      <c r="EM647" s="195"/>
      <c r="EN647" s="240"/>
      <c r="EO647" s="240"/>
      <c r="EP647" s="195"/>
      <c r="EQ647" s="240"/>
      <c r="ER647" s="195"/>
      <c r="ES647" s="195"/>
      <c r="ET647" s="195"/>
      <c r="EU647" s="672"/>
    </row>
    <row r="648" customFormat="false" ht="12.75" hidden="false" customHeight="false" outlineLevel="0" collapsed="false">
      <c r="I648" s="735"/>
      <c r="J648" s="728"/>
      <c r="K648" s="195"/>
      <c r="L648" s="195"/>
      <c r="Q648" s="195"/>
      <c r="R648" s="195"/>
      <c r="S648" s="240"/>
      <c r="T648" s="195"/>
      <c r="U648" s="195"/>
      <c r="V648" s="195"/>
      <c r="W648" s="195"/>
      <c r="X648" s="195"/>
      <c r="Y648" s="195"/>
      <c r="Z648" s="195"/>
      <c r="AA648" s="195"/>
      <c r="AB648" s="195"/>
      <c r="AC648" s="195"/>
      <c r="AD648" s="195"/>
      <c r="AE648" s="195"/>
      <c r="AF648" s="195"/>
      <c r="AG648" s="195"/>
      <c r="AH648" s="195"/>
      <c r="AI648" s="195"/>
      <c r="AJ648" s="195"/>
      <c r="AK648" s="195"/>
      <c r="AL648" s="195"/>
      <c r="AM648" s="195"/>
      <c r="AN648" s="1"/>
      <c r="AO648" s="240"/>
      <c r="AP648" s="240"/>
      <c r="AQ648" s="240"/>
      <c r="AR648" s="240"/>
      <c r="AS648" s="240"/>
      <c r="AT648" s="730"/>
      <c r="AU648" s="730"/>
      <c r="AV648" s="730"/>
      <c r="AW648" s="468"/>
      <c r="AX648" s="468"/>
      <c r="AY648" s="240"/>
      <c r="AZ648" s="240"/>
      <c r="BA648" s="240"/>
      <c r="BB648" s="240"/>
      <c r="BC648" s="240"/>
      <c r="BD648" s="240"/>
      <c r="BE648" s="672"/>
      <c r="BF648" s="731"/>
      <c r="BG648" s="731"/>
      <c r="BH648" s="731"/>
      <c r="BI648" s="736"/>
      <c r="BJ648" s="732"/>
      <c r="BK648" s="240"/>
      <c r="BL648" s="240"/>
      <c r="BM648" s="240"/>
      <c r="BN648" s="240"/>
      <c r="BO648" s="240"/>
      <c r="BP648" s="240"/>
      <c r="BQ648" s="240"/>
      <c r="BR648" s="240"/>
      <c r="BS648" s="240"/>
      <c r="BT648" s="240"/>
      <c r="BU648" s="240"/>
      <c r="BV648" s="240"/>
      <c r="BW648" s="240"/>
      <c r="BX648" s="672"/>
      <c r="BY648" s="240"/>
      <c r="BZ648" s="672"/>
      <c r="CA648" s="672"/>
      <c r="CB648" s="672"/>
      <c r="CC648" s="672"/>
      <c r="CD648" s="672"/>
      <c r="CE648" s="672"/>
      <c r="CF648" s="672"/>
      <c r="CG648" s="672"/>
      <c r="CH648" s="240"/>
      <c r="CI648" s="240"/>
      <c r="CJ648" s="240"/>
      <c r="CK648" s="240"/>
      <c r="CL648" s="240"/>
      <c r="CM648" s="728"/>
      <c r="CN648" s="728"/>
      <c r="CO648" s="728"/>
      <c r="CP648" s="728"/>
      <c r="CQ648" s="728"/>
      <c r="CR648" s="728"/>
      <c r="CS648" s="728"/>
      <c r="CT648" s="728"/>
      <c r="CU648" s="728"/>
      <c r="CV648" s="728"/>
      <c r="CW648" s="728"/>
      <c r="CX648" s="728"/>
      <c r="CY648" s="728"/>
      <c r="CZ648" s="728"/>
      <c r="DA648" s="728"/>
      <c r="DB648" s="728"/>
      <c r="DC648" s="728"/>
      <c r="DD648" s="728"/>
      <c r="DE648" s="728"/>
      <c r="DF648" s="728"/>
      <c r="DG648" s="195"/>
      <c r="DH648" s="1"/>
      <c r="DI648" s="3"/>
      <c r="DL648" s="4"/>
      <c r="DM648" s="4"/>
      <c r="DN648" s="4"/>
      <c r="DO648" s="4"/>
      <c r="DP648" s="4"/>
      <c r="DR648" s="195"/>
      <c r="DS648" s="195"/>
      <c r="DT648" s="195"/>
      <c r="DU648" s="195"/>
      <c r="DV648" s="195"/>
      <c r="DW648" s="195"/>
      <c r="DX648" s="195"/>
      <c r="DY648" s="195"/>
      <c r="DZ648" s="195"/>
      <c r="EA648" s="195"/>
      <c r="EB648" s="195"/>
      <c r="EC648" s="195"/>
      <c r="ED648" s="195"/>
      <c r="EE648" s="195"/>
      <c r="EF648" s="195"/>
      <c r="EG648" s="195"/>
      <c r="EL648" s="1"/>
      <c r="EM648" s="195"/>
      <c r="EN648" s="240"/>
      <c r="EO648" s="240"/>
      <c r="EP648" s="195"/>
      <c r="EQ648" s="240"/>
      <c r="ER648" s="195"/>
      <c r="ES648" s="195"/>
      <c r="ET648" s="195"/>
      <c r="EU648" s="672"/>
    </row>
    <row r="649" customFormat="false" ht="12.75" hidden="false" customHeight="false" outlineLevel="0" collapsed="false">
      <c r="I649" s="735"/>
      <c r="J649" s="728"/>
      <c r="K649" s="195"/>
      <c r="L649" s="195"/>
      <c r="Q649" s="195"/>
      <c r="R649" s="195"/>
      <c r="S649" s="240"/>
      <c r="T649" s="195"/>
      <c r="U649" s="195"/>
      <c r="V649" s="195"/>
      <c r="W649" s="195"/>
      <c r="X649" s="195"/>
      <c r="Y649" s="195"/>
      <c r="Z649" s="195"/>
      <c r="AA649" s="195"/>
      <c r="AB649" s="195"/>
      <c r="AC649" s="195"/>
      <c r="AD649" s="195"/>
      <c r="AE649" s="195"/>
      <c r="AF649" s="195"/>
      <c r="AG649" s="195"/>
      <c r="AH649" s="195"/>
      <c r="AI649" s="195"/>
      <c r="AJ649" s="195"/>
      <c r="AK649" s="195"/>
      <c r="AL649" s="195"/>
      <c r="AM649" s="195"/>
      <c r="AN649" s="1"/>
      <c r="AO649" s="240"/>
      <c r="AP649" s="240"/>
      <c r="AQ649" s="240"/>
      <c r="AR649" s="240"/>
      <c r="AS649" s="240"/>
      <c r="AT649" s="730"/>
      <c r="AU649" s="730"/>
      <c r="AV649" s="730"/>
      <c r="AW649" s="468"/>
      <c r="AX649" s="468"/>
      <c r="AY649" s="240"/>
      <c r="AZ649" s="240"/>
      <c r="BA649" s="240"/>
      <c r="BB649" s="240"/>
      <c r="BC649" s="240"/>
      <c r="BD649" s="240"/>
      <c r="BE649" s="672"/>
      <c r="BF649" s="731"/>
      <c r="BG649" s="731"/>
      <c r="BH649" s="731"/>
      <c r="BI649" s="736"/>
      <c r="BJ649" s="732"/>
      <c r="BK649" s="240"/>
      <c r="BL649" s="240"/>
      <c r="BM649" s="240"/>
      <c r="BN649" s="240"/>
      <c r="BO649" s="240"/>
      <c r="BP649" s="240"/>
      <c r="BQ649" s="240"/>
      <c r="BR649" s="240"/>
      <c r="BS649" s="240"/>
      <c r="BT649" s="240"/>
      <c r="BU649" s="240"/>
      <c r="BV649" s="240"/>
      <c r="BW649" s="240"/>
      <c r="BX649" s="672"/>
      <c r="BY649" s="240"/>
      <c r="BZ649" s="672"/>
      <c r="CA649" s="672"/>
      <c r="CB649" s="672"/>
      <c r="CC649" s="672"/>
      <c r="CD649" s="672"/>
      <c r="CE649" s="672"/>
      <c r="CF649" s="672"/>
      <c r="CG649" s="672"/>
      <c r="CH649" s="240"/>
      <c r="CI649" s="240"/>
      <c r="CJ649" s="240"/>
      <c r="CK649" s="240"/>
      <c r="CL649" s="240"/>
      <c r="CM649" s="728"/>
      <c r="CN649" s="728"/>
      <c r="CO649" s="728"/>
      <c r="CP649" s="728"/>
      <c r="CQ649" s="728"/>
      <c r="CR649" s="728"/>
      <c r="CS649" s="728"/>
      <c r="CT649" s="728"/>
      <c r="CU649" s="728"/>
      <c r="CV649" s="728"/>
      <c r="CW649" s="728"/>
      <c r="CX649" s="728"/>
      <c r="CY649" s="728"/>
      <c r="CZ649" s="728"/>
      <c r="DA649" s="728"/>
      <c r="DB649" s="728"/>
      <c r="DC649" s="728"/>
      <c r="DD649" s="728"/>
      <c r="DE649" s="728"/>
      <c r="DF649" s="728"/>
      <c r="DG649" s="195"/>
      <c r="DH649" s="1"/>
      <c r="DI649" s="3"/>
      <c r="DL649" s="4"/>
      <c r="DM649" s="4"/>
      <c r="DN649" s="4"/>
      <c r="DO649" s="4"/>
      <c r="DP649" s="4"/>
      <c r="DR649" s="195"/>
      <c r="DS649" s="195"/>
      <c r="DT649" s="195"/>
      <c r="DU649" s="195"/>
      <c r="DV649" s="195"/>
      <c r="DW649" s="195"/>
      <c r="DX649" s="195"/>
      <c r="DY649" s="195"/>
      <c r="DZ649" s="195"/>
      <c r="EA649" s="195"/>
      <c r="EB649" s="195"/>
      <c r="EC649" s="195"/>
      <c r="ED649" s="195"/>
      <c r="EE649" s="195"/>
      <c r="EF649" s="195"/>
      <c r="EG649" s="195"/>
      <c r="EL649" s="1"/>
      <c r="EM649" s="195"/>
      <c r="EN649" s="240"/>
      <c r="EO649" s="240"/>
      <c r="EP649" s="195"/>
      <c r="EQ649" s="240"/>
      <c r="ER649" s="195"/>
      <c r="ES649" s="195"/>
      <c r="ET649" s="195"/>
      <c r="EU649" s="672"/>
    </row>
    <row r="650" customFormat="false" ht="12.75" hidden="false" customHeight="false" outlineLevel="0" collapsed="false">
      <c r="I650" s="735"/>
      <c r="J650" s="728"/>
      <c r="K650" s="195"/>
      <c r="L650" s="195"/>
      <c r="Q650" s="195"/>
      <c r="R650" s="195"/>
      <c r="S650" s="240"/>
      <c r="T650" s="195"/>
      <c r="U650" s="195"/>
      <c r="V650" s="195"/>
      <c r="W650" s="195"/>
      <c r="X650" s="195"/>
      <c r="Y650" s="195"/>
      <c r="Z650" s="195"/>
      <c r="AA650" s="195"/>
      <c r="AB650" s="195"/>
      <c r="AC650" s="195"/>
      <c r="AD650" s="195"/>
      <c r="AE650" s="195"/>
      <c r="AF650" s="195"/>
      <c r="AG650" s="195"/>
      <c r="AH650" s="195"/>
      <c r="AI650" s="195"/>
      <c r="AJ650" s="195"/>
      <c r="AK650" s="195"/>
      <c r="AL650" s="195"/>
      <c r="AM650" s="195"/>
      <c r="AN650" s="1"/>
      <c r="AO650" s="240"/>
      <c r="AP650" s="240"/>
      <c r="AQ650" s="240"/>
      <c r="AR650" s="240"/>
      <c r="AS650" s="240"/>
      <c r="AT650" s="730"/>
      <c r="AU650" s="730"/>
      <c r="AV650" s="730"/>
      <c r="AW650" s="468"/>
      <c r="AX650" s="468"/>
      <c r="AY650" s="240"/>
      <c r="AZ650" s="240"/>
      <c r="BA650" s="240"/>
      <c r="BB650" s="240"/>
      <c r="BC650" s="240"/>
      <c r="BD650" s="240"/>
      <c r="BE650" s="672"/>
      <c r="BF650" s="731"/>
      <c r="BG650" s="731"/>
      <c r="BH650" s="731"/>
      <c r="BI650" s="736"/>
      <c r="BJ650" s="732"/>
      <c r="BK650" s="240"/>
      <c r="BL650" s="240"/>
      <c r="BM650" s="240"/>
      <c r="BN650" s="240"/>
      <c r="BO650" s="240"/>
      <c r="BP650" s="240"/>
      <c r="BQ650" s="240"/>
      <c r="BR650" s="240"/>
      <c r="BS650" s="240"/>
      <c r="BT650" s="240"/>
      <c r="BU650" s="240"/>
      <c r="BV650" s="240"/>
      <c r="BW650" s="240"/>
      <c r="BX650" s="672"/>
      <c r="BY650" s="240"/>
      <c r="BZ650" s="672"/>
      <c r="CA650" s="672"/>
      <c r="CB650" s="672"/>
      <c r="CC650" s="672"/>
      <c r="CD650" s="672"/>
      <c r="CE650" s="672"/>
      <c r="CF650" s="672"/>
      <c r="CG650" s="672"/>
      <c r="CH650" s="240"/>
      <c r="CI650" s="240"/>
      <c r="CJ650" s="240"/>
      <c r="CK650" s="240"/>
      <c r="CL650" s="240"/>
      <c r="CM650" s="728"/>
      <c r="CN650" s="728"/>
      <c r="CO650" s="728"/>
      <c r="CP650" s="728"/>
      <c r="CQ650" s="728"/>
      <c r="CR650" s="728"/>
      <c r="CS650" s="728"/>
      <c r="CT650" s="728"/>
      <c r="CU650" s="728"/>
      <c r="CV650" s="728"/>
      <c r="CW650" s="728"/>
      <c r="CX650" s="728"/>
      <c r="CY650" s="728"/>
      <c r="CZ650" s="728"/>
      <c r="DA650" s="728"/>
      <c r="DB650" s="728"/>
      <c r="DC650" s="728"/>
      <c r="DD650" s="728"/>
      <c r="DE650" s="728"/>
      <c r="DF650" s="728"/>
      <c r="DG650" s="195"/>
      <c r="DH650" s="1"/>
      <c r="DI650" s="3"/>
      <c r="DL650" s="4"/>
      <c r="DM650" s="4"/>
      <c r="DN650" s="4"/>
      <c r="DO650" s="4"/>
      <c r="DP650" s="4"/>
      <c r="DR650" s="195"/>
      <c r="DS650" s="195"/>
      <c r="DT650" s="195"/>
      <c r="DU650" s="195"/>
      <c r="DV650" s="195"/>
      <c r="DW650" s="195"/>
      <c r="DX650" s="195"/>
      <c r="DY650" s="195"/>
      <c r="DZ650" s="195"/>
      <c r="EA650" s="195"/>
      <c r="EB650" s="195"/>
      <c r="EC650" s="195"/>
      <c r="ED650" s="195"/>
      <c r="EE650" s="195"/>
      <c r="EF650" s="195"/>
      <c r="EG650" s="195"/>
      <c r="EL650" s="1"/>
      <c r="EM650" s="195"/>
      <c r="EN650" s="240"/>
      <c r="EO650" s="240"/>
      <c r="EP650" s="195"/>
      <c r="EQ650" s="240"/>
      <c r="ER650" s="195"/>
      <c r="ES650" s="195"/>
      <c r="ET650" s="195"/>
      <c r="EU650" s="672"/>
    </row>
    <row r="651" customFormat="false" ht="12.75" hidden="false" customHeight="false" outlineLevel="0" collapsed="false">
      <c r="I651" s="735"/>
      <c r="J651" s="728"/>
      <c r="K651" s="195"/>
      <c r="L651" s="195"/>
      <c r="Q651" s="195"/>
      <c r="R651" s="195"/>
      <c r="S651" s="240"/>
      <c r="T651" s="195"/>
      <c r="U651" s="195"/>
      <c r="V651" s="195"/>
      <c r="W651" s="195"/>
      <c r="X651" s="195"/>
      <c r="Y651" s="195"/>
      <c r="Z651" s="195"/>
      <c r="AA651" s="195"/>
      <c r="AB651" s="195"/>
      <c r="AC651" s="195"/>
      <c r="AD651" s="195"/>
      <c r="AE651" s="195"/>
      <c r="AF651" s="195"/>
      <c r="AG651" s="195"/>
      <c r="AH651" s="195"/>
      <c r="AI651" s="195"/>
      <c r="AJ651" s="195"/>
      <c r="AK651" s="195"/>
      <c r="AL651" s="195"/>
      <c r="AM651" s="195"/>
      <c r="AN651" s="1"/>
      <c r="AO651" s="240"/>
      <c r="AP651" s="240"/>
      <c r="AQ651" s="240"/>
      <c r="AR651" s="240"/>
      <c r="AS651" s="240"/>
      <c r="AT651" s="730"/>
      <c r="AU651" s="730"/>
      <c r="AV651" s="730"/>
      <c r="AW651" s="468"/>
      <c r="AX651" s="468"/>
      <c r="AY651" s="240"/>
      <c r="AZ651" s="240"/>
      <c r="BA651" s="240"/>
      <c r="BB651" s="240"/>
      <c r="BC651" s="240"/>
      <c r="BD651" s="240"/>
      <c r="BE651" s="672"/>
      <c r="BF651" s="731"/>
      <c r="BG651" s="731"/>
      <c r="BH651" s="731"/>
      <c r="BI651" s="736"/>
      <c r="BJ651" s="732"/>
      <c r="BK651" s="240"/>
      <c r="BL651" s="240"/>
      <c r="BM651" s="240"/>
      <c r="BN651" s="240"/>
      <c r="BO651" s="240"/>
      <c r="BP651" s="240"/>
      <c r="BQ651" s="240"/>
      <c r="BR651" s="240"/>
      <c r="BS651" s="240"/>
      <c r="BT651" s="240"/>
      <c r="BU651" s="240"/>
      <c r="BV651" s="240"/>
      <c r="BW651" s="240"/>
      <c r="BX651" s="672"/>
      <c r="BY651" s="240"/>
      <c r="BZ651" s="672"/>
      <c r="CA651" s="672"/>
      <c r="CB651" s="672"/>
      <c r="CC651" s="672"/>
      <c r="CD651" s="672"/>
      <c r="CE651" s="672"/>
      <c r="CF651" s="672"/>
      <c r="CG651" s="672"/>
      <c r="CH651" s="240"/>
      <c r="CI651" s="240"/>
      <c r="CJ651" s="240"/>
      <c r="CK651" s="240"/>
      <c r="CL651" s="240"/>
      <c r="CM651" s="728"/>
      <c r="CN651" s="728"/>
      <c r="CO651" s="728"/>
      <c r="CP651" s="728"/>
      <c r="CQ651" s="728"/>
      <c r="CR651" s="728"/>
      <c r="CS651" s="728"/>
      <c r="CT651" s="728"/>
      <c r="CU651" s="728"/>
      <c r="CV651" s="728"/>
      <c r="CW651" s="728"/>
      <c r="CX651" s="728"/>
      <c r="CY651" s="728"/>
      <c r="CZ651" s="728"/>
      <c r="DA651" s="728"/>
      <c r="DB651" s="728"/>
      <c r="DC651" s="728"/>
      <c r="DD651" s="728"/>
      <c r="DE651" s="728"/>
      <c r="DF651" s="728"/>
      <c r="DG651" s="195"/>
      <c r="DH651" s="1"/>
      <c r="DI651" s="3"/>
      <c r="DL651" s="4"/>
      <c r="DM651" s="4"/>
      <c r="DN651" s="4"/>
      <c r="DO651" s="4"/>
      <c r="DP651" s="4"/>
      <c r="DR651" s="195"/>
      <c r="DS651" s="195"/>
      <c r="DT651" s="195"/>
      <c r="DU651" s="195"/>
      <c r="DV651" s="195"/>
      <c r="DW651" s="195"/>
      <c r="DX651" s="195"/>
      <c r="DY651" s="195"/>
      <c r="DZ651" s="195"/>
      <c r="EA651" s="195"/>
      <c r="EB651" s="195"/>
      <c r="EC651" s="195"/>
      <c r="ED651" s="195"/>
      <c r="EE651" s="195"/>
      <c r="EF651" s="195"/>
      <c r="EG651" s="195"/>
      <c r="EL651" s="1"/>
      <c r="EM651" s="195"/>
      <c r="EN651" s="240"/>
      <c r="EO651" s="240"/>
      <c r="EP651" s="195"/>
      <c r="EQ651" s="240"/>
      <c r="ER651" s="195"/>
      <c r="ES651" s="195"/>
      <c r="ET651" s="195"/>
      <c r="EU651" s="672"/>
    </row>
    <row r="652" customFormat="false" ht="12.75" hidden="false" customHeight="false" outlineLevel="0" collapsed="false">
      <c r="I652" s="735"/>
      <c r="J652" s="728"/>
      <c r="K652" s="195"/>
      <c r="L652" s="195"/>
      <c r="Q652" s="195"/>
      <c r="R652" s="195"/>
      <c r="S652" s="240"/>
      <c r="T652" s="195"/>
      <c r="U652" s="195"/>
      <c r="V652" s="195"/>
      <c r="W652" s="195"/>
      <c r="X652" s="195"/>
      <c r="Y652" s="195"/>
      <c r="Z652" s="195"/>
      <c r="AA652" s="195"/>
      <c r="AB652" s="195"/>
      <c r="AC652" s="195"/>
      <c r="AD652" s="195"/>
      <c r="AE652" s="195"/>
      <c r="AF652" s="195"/>
      <c r="AG652" s="195"/>
      <c r="AH652" s="195"/>
      <c r="AI652" s="195"/>
      <c r="AJ652" s="195"/>
      <c r="AK652" s="195"/>
      <c r="AL652" s="195"/>
      <c r="AM652" s="195"/>
      <c r="AN652" s="1"/>
      <c r="AO652" s="240"/>
      <c r="AP652" s="240"/>
      <c r="AQ652" s="240"/>
      <c r="AR652" s="240"/>
      <c r="AS652" s="240"/>
      <c r="AT652" s="730"/>
      <c r="AU652" s="730"/>
      <c r="AV652" s="730"/>
      <c r="AW652" s="468"/>
      <c r="AX652" s="468"/>
      <c r="AY652" s="240"/>
      <c r="AZ652" s="240"/>
      <c r="BA652" s="240"/>
      <c r="BB652" s="240"/>
      <c r="BC652" s="240"/>
      <c r="BD652" s="240"/>
      <c r="BE652" s="672"/>
      <c r="BF652" s="731"/>
      <c r="BG652" s="731"/>
      <c r="BH652" s="731"/>
      <c r="BI652" s="736"/>
      <c r="BJ652" s="732"/>
      <c r="BK652" s="240"/>
      <c r="BL652" s="240"/>
      <c r="BM652" s="240"/>
      <c r="BN652" s="240"/>
      <c r="BO652" s="240"/>
      <c r="BP652" s="240"/>
      <c r="BQ652" s="240"/>
      <c r="BR652" s="240"/>
      <c r="BS652" s="240"/>
      <c r="BT652" s="240"/>
      <c r="BU652" s="240"/>
      <c r="BV652" s="240"/>
      <c r="BW652" s="240"/>
      <c r="BX652" s="672"/>
      <c r="BY652" s="240"/>
      <c r="BZ652" s="672"/>
      <c r="CA652" s="672"/>
      <c r="CB652" s="672"/>
      <c r="CC652" s="672"/>
      <c r="CD652" s="672"/>
      <c r="CE652" s="672"/>
      <c r="CF652" s="672"/>
      <c r="CG652" s="672"/>
      <c r="CH652" s="240"/>
      <c r="CI652" s="240"/>
      <c r="CJ652" s="240"/>
      <c r="CK652" s="240"/>
      <c r="CL652" s="240"/>
      <c r="CM652" s="728"/>
      <c r="CN652" s="728"/>
      <c r="CO652" s="728"/>
      <c r="CP652" s="728"/>
      <c r="CQ652" s="728"/>
      <c r="CR652" s="728"/>
      <c r="CS652" s="728"/>
      <c r="CT652" s="728"/>
      <c r="CU652" s="728"/>
      <c r="CV652" s="728"/>
      <c r="CW652" s="728"/>
      <c r="CX652" s="728"/>
      <c r="CY652" s="728"/>
      <c r="CZ652" s="728"/>
      <c r="DA652" s="728"/>
      <c r="DB652" s="728"/>
      <c r="DC652" s="728"/>
      <c r="DD652" s="728"/>
      <c r="DE652" s="728"/>
      <c r="DF652" s="728"/>
      <c r="DG652" s="195"/>
      <c r="DH652" s="1"/>
      <c r="DI652" s="3"/>
      <c r="DL652" s="4"/>
      <c r="DM652" s="4"/>
      <c r="DN652" s="4"/>
      <c r="DO652" s="4"/>
      <c r="DP652" s="4"/>
      <c r="DR652" s="195"/>
      <c r="DS652" s="195"/>
      <c r="DT652" s="195"/>
      <c r="DU652" s="195"/>
      <c r="DV652" s="195"/>
      <c r="DW652" s="195"/>
      <c r="DX652" s="195"/>
      <c r="DY652" s="195"/>
      <c r="DZ652" s="195"/>
      <c r="EA652" s="195"/>
      <c r="EB652" s="195"/>
      <c r="EC652" s="195"/>
      <c r="ED652" s="195"/>
      <c r="EE652" s="195"/>
      <c r="EF652" s="195"/>
      <c r="EG652" s="195"/>
      <c r="EL652" s="1"/>
      <c r="EM652" s="195"/>
      <c r="EN652" s="240"/>
      <c r="EO652" s="240"/>
      <c r="EP652" s="195"/>
      <c r="EQ652" s="240"/>
      <c r="ER652" s="195"/>
      <c r="ES652" s="195"/>
      <c r="ET652" s="195"/>
      <c r="EU652" s="672"/>
    </row>
    <row r="653" customFormat="false" ht="12.75" hidden="false" customHeight="false" outlineLevel="0" collapsed="false">
      <c r="I653" s="735"/>
      <c r="J653" s="728"/>
      <c r="K653" s="195"/>
      <c r="L653" s="195"/>
      <c r="Q653" s="195"/>
      <c r="R653" s="195"/>
      <c r="S653" s="240"/>
      <c r="T653" s="195"/>
      <c r="U653" s="195"/>
      <c r="V653" s="195"/>
      <c r="W653" s="195"/>
      <c r="X653" s="195"/>
      <c r="Y653" s="195"/>
      <c r="Z653" s="195"/>
      <c r="AA653" s="195"/>
      <c r="AB653" s="195"/>
      <c r="AC653" s="195"/>
      <c r="AD653" s="195"/>
      <c r="AE653" s="195"/>
      <c r="AF653" s="195"/>
      <c r="AG653" s="195"/>
      <c r="AH653" s="195"/>
      <c r="AI653" s="195"/>
      <c r="AJ653" s="195"/>
      <c r="AK653" s="195"/>
      <c r="AL653" s="195"/>
      <c r="AM653" s="195"/>
      <c r="AN653" s="1"/>
      <c r="AO653" s="240"/>
      <c r="AP653" s="240"/>
      <c r="AQ653" s="240"/>
      <c r="AR653" s="240"/>
      <c r="AS653" s="240"/>
      <c r="AT653" s="730"/>
      <c r="AU653" s="730"/>
      <c r="AV653" s="730"/>
      <c r="AW653" s="468"/>
      <c r="AX653" s="468"/>
      <c r="AY653" s="240"/>
      <c r="AZ653" s="240"/>
      <c r="BA653" s="240"/>
      <c r="BB653" s="240"/>
      <c r="BC653" s="240"/>
      <c r="BD653" s="240"/>
      <c r="BE653" s="672"/>
      <c r="BF653" s="731"/>
      <c r="BG653" s="731"/>
      <c r="BH653" s="731"/>
      <c r="BI653" s="736"/>
      <c r="BJ653" s="732"/>
      <c r="BK653" s="240"/>
      <c r="BL653" s="240"/>
      <c r="BM653" s="240"/>
      <c r="BN653" s="240"/>
      <c r="BO653" s="240"/>
      <c r="BP653" s="240"/>
      <c r="BQ653" s="240"/>
      <c r="BR653" s="240"/>
      <c r="BS653" s="240"/>
      <c r="BT653" s="240"/>
      <c r="BU653" s="240"/>
      <c r="BV653" s="240"/>
      <c r="BW653" s="240"/>
      <c r="BX653" s="672"/>
      <c r="BY653" s="240"/>
      <c r="BZ653" s="672"/>
      <c r="CA653" s="672"/>
      <c r="CB653" s="672"/>
      <c r="CC653" s="672"/>
      <c r="CD653" s="672"/>
      <c r="CE653" s="672"/>
      <c r="CF653" s="672"/>
      <c r="CG653" s="672"/>
      <c r="CH653" s="240"/>
      <c r="CI653" s="240"/>
      <c r="CJ653" s="240"/>
      <c r="CK653" s="240"/>
      <c r="CL653" s="240"/>
      <c r="CM653" s="728"/>
      <c r="CN653" s="728"/>
      <c r="CO653" s="728"/>
      <c r="CP653" s="728"/>
      <c r="CQ653" s="728"/>
      <c r="CR653" s="728"/>
      <c r="CS653" s="728"/>
      <c r="CT653" s="728"/>
      <c r="CU653" s="728"/>
      <c r="CV653" s="728"/>
      <c r="CW653" s="728"/>
      <c r="CX653" s="728"/>
      <c r="CY653" s="728"/>
      <c r="CZ653" s="728"/>
      <c r="DA653" s="728"/>
      <c r="DB653" s="728"/>
      <c r="DC653" s="728"/>
      <c r="DD653" s="728"/>
      <c r="DE653" s="728"/>
      <c r="DF653" s="728"/>
      <c r="DG653" s="195"/>
      <c r="DH653" s="1"/>
      <c r="DI653" s="3"/>
      <c r="DL653" s="4"/>
      <c r="DM653" s="4"/>
      <c r="DN653" s="4"/>
      <c r="DO653" s="4"/>
      <c r="DP653" s="4"/>
      <c r="DR653" s="195"/>
      <c r="DS653" s="195"/>
      <c r="DT653" s="195"/>
      <c r="DU653" s="195"/>
      <c r="DV653" s="195"/>
      <c r="DW653" s="195"/>
      <c r="DX653" s="195"/>
      <c r="DY653" s="195"/>
      <c r="DZ653" s="195"/>
      <c r="EA653" s="195"/>
      <c r="EB653" s="195"/>
      <c r="EC653" s="195"/>
      <c r="ED653" s="195"/>
      <c r="EE653" s="195"/>
      <c r="EF653" s="195"/>
      <c r="EG653" s="195"/>
      <c r="EL653" s="1"/>
      <c r="EM653" s="195"/>
      <c r="EN653" s="240"/>
      <c r="EO653" s="240"/>
      <c r="EP653" s="195"/>
      <c r="EQ653" s="240"/>
      <c r="ER653" s="195"/>
      <c r="ES653" s="195"/>
      <c r="ET653" s="195"/>
      <c r="EU653" s="672"/>
    </row>
    <row r="654" customFormat="false" ht="12.75" hidden="false" customHeight="false" outlineLevel="0" collapsed="false">
      <c r="I654" s="735"/>
      <c r="J654" s="728"/>
      <c r="K654" s="195"/>
      <c r="L654" s="195"/>
      <c r="Q654" s="195"/>
      <c r="R654" s="195"/>
      <c r="S654" s="240"/>
      <c r="T654" s="195"/>
      <c r="U654" s="195"/>
      <c r="V654" s="195"/>
      <c r="W654" s="195"/>
      <c r="X654" s="195"/>
      <c r="Y654" s="195"/>
      <c r="Z654" s="195"/>
      <c r="AA654" s="195"/>
      <c r="AB654" s="195"/>
      <c r="AC654" s="195"/>
      <c r="AD654" s="195"/>
      <c r="AE654" s="195"/>
      <c r="AF654" s="195"/>
      <c r="AG654" s="195"/>
      <c r="AH654" s="195"/>
      <c r="AI654" s="195"/>
      <c r="AJ654" s="195"/>
      <c r="AK654" s="195"/>
      <c r="AL654" s="195"/>
      <c r="AM654" s="195"/>
      <c r="AN654" s="1"/>
      <c r="AO654" s="240"/>
      <c r="AP654" s="240"/>
      <c r="AQ654" s="240"/>
      <c r="AR654" s="240"/>
      <c r="AS654" s="240"/>
      <c r="AT654" s="730"/>
      <c r="AU654" s="730"/>
      <c r="AV654" s="730"/>
      <c r="AW654" s="468"/>
      <c r="AX654" s="468"/>
      <c r="AY654" s="240"/>
      <c r="AZ654" s="240"/>
      <c r="BA654" s="240"/>
      <c r="BB654" s="240"/>
      <c r="BC654" s="240"/>
      <c r="BD654" s="240"/>
      <c r="BE654" s="672"/>
      <c r="BF654" s="731"/>
      <c r="BG654" s="731"/>
      <c r="BH654" s="731"/>
      <c r="BI654" s="736"/>
      <c r="BJ654" s="732"/>
      <c r="BK654" s="240"/>
      <c r="BL654" s="240"/>
      <c r="BM654" s="240"/>
      <c r="BN654" s="240"/>
      <c r="BO654" s="240"/>
      <c r="BP654" s="240"/>
      <c r="BQ654" s="240"/>
      <c r="BR654" s="240"/>
      <c r="BS654" s="240"/>
      <c r="BT654" s="240"/>
      <c r="BU654" s="240"/>
      <c r="BV654" s="240"/>
      <c r="BW654" s="240"/>
      <c r="BX654" s="672"/>
      <c r="BY654" s="240"/>
      <c r="BZ654" s="672"/>
      <c r="CA654" s="672"/>
      <c r="CB654" s="672"/>
      <c r="CC654" s="672"/>
      <c r="CD654" s="672"/>
      <c r="CE654" s="672"/>
      <c r="CF654" s="672"/>
      <c r="CG654" s="672"/>
      <c r="CH654" s="240"/>
      <c r="CI654" s="240"/>
      <c r="CJ654" s="240"/>
      <c r="CK654" s="240"/>
      <c r="CL654" s="240"/>
      <c r="CM654" s="728"/>
      <c r="CN654" s="728"/>
      <c r="CO654" s="728"/>
      <c r="CP654" s="728"/>
      <c r="CQ654" s="728"/>
      <c r="CR654" s="728"/>
      <c r="CS654" s="728"/>
      <c r="CT654" s="728"/>
      <c r="CU654" s="728"/>
      <c r="CV654" s="728"/>
      <c r="CW654" s="728"/>
      <c r="CX654" s="728"/>
      <c r="CY654" s="728"/>
      <c r="CZ654" s="728"/>
      <c r="DA654" s="728"/>
      <c r="DB654" s="728"/>
      <c r="DC654" s="728"/>
      <c r="DD654" s="728"/>
      <c r="DE654" s="728"/>
      <c r="DF654" s="728"/>
      <c r="DG654" s="195"/>
      <c r="DH654" s="1"/>
      <c r="DI654" s="3"/>
      <c r="DL654" s="4"/>
      <c r="DM654" s="4"/>
      <c r="DN654" s="4"/>
      <c r="DO654" s="4"/>
      <c r="DP654" s="4"/>
      <c r="DR654" s="195"/>
      <c r="DS654" s="195"/>
      <c r="DT654" s="195"/>
      <c r="DU654" s="195"/>
      <c r="DV654" s="195"/>
      <c r="DW654" s="195"/>
      <c r="DX654" s="195"/>
      <c r="DY654" s="195"/>
      <c r="DZ654" s="195"/>
      <c r="EA654" s="195"/>
      <c r="EB654" s="195"/>
      <c r="EC654" s="195"/>
      <c r="ED654" s="195"/>
      <c r="EE654" s="195"/>
      <c r="EF654" s="195"/>
      <c r="EG654" s="195"/>
      <c r="EL654" s="1"/>
      <c r="EM654" s="195"/>
      <c r="EN654" s="240"/>
      <c r="EO654" s="240"/>
      <c r="EP654" s="195"/>
      <c r="EQ654" s="240"/>
      <c r="ER654" s="195"/>
      <c r="ES654" s="195"/>
      <c r="ET654" s="195"/>
      <c r="EU654" s="672"/>
    </row>
    <row r="655" customFormat="false" ht="12.75" hidden="false" customHeight="false" outlineLevel="0" collapsed="false">
      <c r="I655" s="735"/>
      <c r="J655" s="728"/>
      <c r="K655" s="195"/>
      <c r="L655" s="195"/>
      <c r="Q655" s="195"/>
      <c r="R655" s="195"/>
      <c r="S655" s="240"/>
      <c r="T655" s="195"/>
      <c r="U655" s="195"/>
      <c r="V655" s="195"/>
      <c r="W655" s="195"/>
      <c r="X655" s="195"/>
      <c r="Y655" s="195"/>
      <c r="Z655" s="195"/>
      <c r="AA655" s="195"/>
      <c r="AB655" s="195"/>
      <c r="AC655" s="195"/>
      <c r="AD655" s="195"/>
      <c r="AE655" s="195"/>
      <c r="AF655" s="195"/>
      <c r="AG655" s="195"/>
      <c r="AH655" s="195"/>
      <c r="AI655" s="195"/>
      <c r="AJ655" s="195"/>
      <c r="AK655" s="195"/>
      <c r="AL655" s="195"/>
      <c r="AM655" s="195"/>
      <c r="AN655" s="1"/>
      <c r="AO655" s="240"/>
      <c r="AP655" s="240"/>
      <c r="AQ655" s="240"/>
      <c r="AR655" s="240"/>
      <c r="AS655" s="240"/>
      <c r="AT655" s="730"/>
      <c r="AU655" s="730"/>
      <c r="AV655" s="730"/>
      <c r="AW655" s="468"/>
      <c r="AX655" s="468"/>
      <c r="AY655" s="240"/>
      <c r="AZ655" s="240"/>
      <c r="BA655" s="240"/>
      <c r="BB655" s="240"/>
      <c r="BC655" s="240"/>
      <c r="BD655" s="240"/>
      <c r="BE655" s="672"/>
      <c r="BF655" s="731"/>
      <c r="BG655" s="731"/>
      <c r="BH655" s="731"/>
      <c r="BI655" s="736"/>
      <c r="BJ655" s="732"/>
      <c r="BK655" s="240"/>
      <c r="BL655" s="240"/>
      <c r="BM655" s="240"/>
      <c r="BN655" s="240"/>
      <c r="BO655" s="240"/>
      <c r="BP655" s="240"/>
      <c r="BQ655" s="240"/>
      <c r="BR655" s="240"/>
      <c r="BS655" s="240"/>
      <c r="BT655" s="240"/>
      <c r="BU655" s="240"/>
      <c r="BV655" s="240"/>
      <c r="BW655" s="240"/>
      <c r="BX655" s="672"/>
      <c r="BY655" s="240"/>
      <c r="BZ655" s="672"/>
      <c r="CA655" s="672"/>
      <c r="CB655" s="672"/>
      <c r="CC655" s="672"/>
      <c r="CD655" s="672"/>
      <c r="CE655" s="672"/>
      <c r="CF655" s="672"/>
      <c r="CG655" s="672"/>
      <c r="CH655" s="240"/>
      <c r="CI655" s="240"/>
      <c r="CJ655" s="240"/>
      <c r="CK655" s="240"/>
      <c r="CL655" s="240"/>
      <c r="CM655" s="728"/>
      <c r="CN655" s="728"/>
      <c r="CO655" s="728"/>
      <c r="CP655" s="728"/>
      <c r="CQ655" s="728"/>
      <c r="CR655" s="728"/>
      <c r="CS655" s="728"/>
      <c r="CT655" s="728"/>
      <c r="CU655" s="728"/>
      <c r="CV655" s="728"/>
      <c r="CW655" s="728"/>
      <c r="CX655" s="728"/>
      <c r="CY655" s="728"/>
      <c r="CZ655" s="728"/>
      <c r="DA655" s="728"/>
      <c r="DB655" s="728"/>
      <c r="DC655" s="728"/>
      <c r="DD655" s="728"/>
      <c r="DE655" s="728"/>
      <c r="DF655" s="728"/>
      <c r="DG655" s="195"/>
      <c r="DH655" s="1"/>
      <c r="DI655" s="3"/>
      <c r="DL655" s="4"/>
      <c r="DM655" s="4"/>
      <c r="DN655" s="4"/>
      <c r="DO655" s="4"/>
      <c r="DP655" s="4"/>
      <c r="DR655" s="195"/>
      <c r="DS655" s="195"/>
      <c r="DT655" s="195"/>
      <c r="DU655" s="195"/>
      <c r="DV655" s="195"/>
      <c r="DW655" s="195"/>
      <c r="DX655" s="195"/>
      <c r="DY655" s="195"/>
      <c r="DZ655" s="195"/>
      <c r="EA655" s="195"/>
      <c r="EB655" s="195"/>
      <c r="EC655" s="195"/>
      <c r="ED655" s="195"/>
      <c r="EE655" s="195"/>
      <c r="EF655" s="195"/>
      <c r="EG655" s="195"/>
      <c r="EL655" s="1"/>
      <c r="EM655" s="195"/>
      <c r="EN655" s="240"/>
      <c r="EO655" s="240"/>
      <c r="EP655" s="195"/>
      <c r="EQ655" s="240"/>
      <c r="ER655" s="195"/>
      <c r="ES655" s="195"/>
      <c r="ET655" s="195"/>
      <c r="EU655" s="672"/>
    </row>
    <row r="656" customFormat="false" ht="12.75" hidden="false" customHeight="false" outlineLevel="0" collapsed="false">
      <c r="I656" s="735"/>
      <c r="J656" s="728"/>
      <c r="K656" s="195"/>
      <c r="L656" s="195"/>
      <c r="Q656" s="195"/>
      <c r="R656" s="195"/>
      <c r="S656" s="240"/>
      <c r="T656" s="195"/>
      <c r="U656" s="195"/>
      <c r="V656" s="195"/>
      <c r="W656" s="195"/>
      <c r="X656" s="195"/>
      <c r="Y656" s="195"/>
      <c r="Z656" s="195"/>
      <c r="AA656" s="195"/>
      <c r="AB656" s="195"/>
      <c r="AC656" s="195"/>
      <c r="AD656" s="195"/>
      <c r="AE656" s="195"/>
      <c r="AF656" s="195"/>
      <c r="AG656" s="195"/>
      <c r="AH656" s="195"/>
      <c r="AI656" s="195"/>
      <c r="AJ656" s="195"/>
      <c r="AK656" s="195"/>
      <c r="AL656" s="195"/>
      <c r="AM656" s="195"/>
      <c r="AN656" s="1"/>
      <c r="AO656" s="240"/>
      <c r="AP656" s="240"/>
      <c r="AQ656" s="240"/>
      <c r="AR656" s="240"/>
      <c r="AS656" s="240"/>
      <c r="AT656" s="730"/>
      <c r="AU656" s="730"/>
      <c r="AV656" s="730"/>
      <c r="AW656" s="468"/>
      <c r="AX656" s="468"/>
      <c r="AY656" s="240"/>
      <c r="AZ656" s="240"/>
      <c r="BA656" s="240"/>
      <c r="BB656" s="240"/>
      <c r="BC656" s="240"/>
      <c r="BD656" s="240"/>
      <c r="BE656" s="672"/>
      <c r="BF656" s="731"/>
      <c r="BG656" s="731"/>
      <c r="BH656" s="731"/>
      <c r="BI656" s="736"/>
      <c r="BJ656" s="732"/>
      <c r="BK656" s="240"/>
      <c r="BL656" s="240"/>
      <c r="BM656" s="240"/>
      <c r="BN656" s="240"/>
      <c r="BO656" s="240"/>
      <c r="BP656" s="240"/>
      <c r="BQ656" s="240"/>
      <c r="BR656" s="240"/>
      <c r="BS656" s="240"/>
      <c r="BT656" s="240"/>
      <c r="BU656" s="240"/>
      <c r="BV656" s="240"/>
      <c r="BW656" s="240"/>
      <c r="BX656" s="672"/>
      <c r="BY656" s="240"/>
      <c r="BZ656" s="672"/>
      <c r="CA656" s="672"/>
      <c r="CB656" s="672"/>
      <c r="CC656" s="672"/>
      <c r="CD656" s="672"/>
      <c r="CE656" s="672"/>
      <c r="CF656" s="672"/>
      <c r="CG656" s="672"/>
      <c r="CH656" s="240"/>
      <c r="CI656" s="240"/>
      <c r="CJ656" s="240"/>
      <c r="CK656" s="240"/>
      <c r="CL656" s="240"/>
      <c r="CM656" s="728"/>
      <c r="CN656" s="728"/>
      <c r="CO656" s="728"/>
      <c r="CP656" s="728"/>
      <c r="CQ656" s="728"/>
      <c r="CR656" s="728"/>
      <c r="CS656" s="728"/>
      <c r="CT656" s="728"/>
      <c r="CU656" s="728"/>
      <c r="CV656" s="728"/>
      <c r="CW656" s="728"/>
      <c r="CX656" s="728"/>
      <c r="CY656" s="728"/>
      <c r="CZ656" s="728"/>
      <c r="DA656" s="728"/>
      <c r="DB656" s="728"/>
      <c r="DC656" s="728"/>
      <c r="DD656" s="728"/>
      <c r="DE656" s="728"/>
      <c r="DF656" s="728"/>
      <c r="DG656" s="195"/>
      <c r="DH656" s="1"/>
      <c r="DI656" s="3"/>
      <c r="DL656" s="4"/>
      <c r="DM656" s="4"/>
      <c r="DN656" s="4"/>
      <c r="DO656" s="4"/>
      <c r="DP656" s="4"/>
      <c r="DR656" s="195"/>
      <c r="DS656" s="195"/>
      <c r="DT656" s="195"/>
      <c r="DU656" s="195"/>
      <c r="DV656" s="195"/>
      <c r="DW656" s="195"/>
      <c r="DX656" s="195"/>
      <c r="DY656" s="195"/>
      <c r="DZ656" s="195"/>
      <c r="EA656" s="195"/>
      <c r="EB656" s="195"/>
      <c r="EC656" s="195"/>
      <c r="ED656" s="195"/>
      <c r="EE656" s="195"/>
      <c r="EF656" s="195"/>
      <c r="EG656" s="195"/>
      <c r="EL656" s="1"/>
      <c r="EM656" s="195"/>
      <c r="EN656" s="240"/>
      <c r="EO656" s="240"/>
      <c r="EP656" s="195"/>
      <c r="EQ656" s="240"/>
      <c r="ER656" s="195"/>
      <c r="ES656" s="195"/>
      <c r="ET656" s="195"/>
      <c r="EU656" s="672"/>
    </row>
    <row r="657" customFormat="false" ht="12.75" hidden="false" customHeight="false" outlineLevel="0" collapsed="false">
      <c r="I657" s="735"/>
      <c r="J657" s="728"/>
      <c r="K657" s="195"/>
      <c r="L657" s="195"/>
      <c r="Q657" s="195"/>
      <c r="R657" s="195"/>
      <c r="S657" s="240"/>
      <c r="T657" s="195"/>
      <c r="U657" s="195"/>
      <c r="V657" s="195"/>
      <c r="W657" s="195"/>
      <c r="X657" s="195"/>
      <c r="Y657" s="195"/>
      <c r="Z657" s="195"/>
      <c r="AA657" s="195"/>
      <c r="AB657" s="195"/>
      <c r="AC657" s="195"/>
      <c r="AD657" s="195"/>
      <c r="AE657" s="195"/>
      <c r="AF657" s="195"/>
      <c r="AG657" s="195"/>
      <c r="AH657" s="195"/>
      <c r="AI657" s="195"/>
      <c r="AJ657" s="195"/>
      <c r="AK657" s="195"/>
      <c r="AL657" s="195"/>
      <c r="AM657" s="195"/>
      <c r="AN657" s="1"/>
      <c r="AO657" s="240"/>
      <c r="AP657" s="240"/>
      <c r="AQ657" s="240"/>
      <c r="AR657" s="240"/>
      <c r="AS657" s="240"/>
      <c r="AT657" s="730"/>
      <c r="AU657" s="730"/>
      <c r="AV657" s="730"/>
      <c r="AW657" s="468"/>
      <c r="AX657" s="468"/>
      <c r="AY657" s="240"/>
      <c r="AZ657" s="240"/>
      <c r="BA657" s="240"/>
      <c r="BB657" s="240"/>
      <c r="BC657" s="240"/>
      <c r="BD657" s="240"/>
      <c r="BE657" s="672"/>
      <c r="BF657" s="731"/>
      <c r="BG657" s="731"/>
      <c r="BH657" s="731"/>
      <c r="BI657" s="736"/>
      <c r="BJ657" s="732"/>
      <c r="BK657" s="240"/>
      <c r="BL657" s="240"/>
      <c r="BM657" s="240"/>
      <c r="BN657" s="240"/>
      <c r="BO657" s="240"/>
      <c r="BP657" s="240"/>
      <c r="BQ657" s="240"/>
      <c r="BR657" s="240"/>
      <c r="BS657" s="240"/>
      <c r="BT657" s="240"/>
      <c r="BU657" s="240"/>
      <c r="BV657" s="240"/>
      <c r="BW657" s="240"/>
      <c r="BX657" s="672"/>
      <c r="BY657" s="240"/>
      <c r="BZ657" s="672"/>
      <c r="CA657" s="672"/>
      <c r="CB657" s="672"/>
      <c r="CC657" s="672"/>
      <c r="CD657" s="672"/>
      <c r="CE657" s="672"/>
      <c r="CF657" s="672"/>
      <c r="CG657" s="672"/>
      <c r="CH657" s="240"/>
      <c r="CI657" s="240"/>
      <c r="CJ657" s="240"/>
      <c r="CK657" s="240"/>
      <c r="CL657" s="240"/>
      <c r="CM657" s="728"/>
      <c r="CN657" s="728"/>
      <c r="CO657" s="728"/>
      <c r="CP657" s="728"/>
      <c r="CQ657" s="728"/>
      <c r="CR657" s="728"/>
      <c r="CS657" s="728"/>
      <c r="CT657" s="728"/>
      <c r="CU657" s="728"/>
      <c r="CV657" s="728"/>
      <c r="CW657" s="728"/>
      <c r="CX657" s="728"/>
      <c r="CY657" s="728"/>
      <c r="CZ657" s="728"/>
      <c r="DA657" s="728"/>
      <c r="DB657" s="728"/>
      <c r="DC657" s="728"/>
      <c r="DD657" s="728"/>
      <c r="DE657" s="728"/>
      <c r="DF657" s="728"/>
      <c r="DG657" s="195"/>
      <c r="DH657" s="1"/>
      <c r="DI657" s="3"/>
      <c r="DL657" s="4"/>
      <c r="DM657" s="4"/>
      <c r="DN657" s="4"/>
      <c r="DO657" s="4"/>
      <c r="DP657" s="4"/>
      <c r="DR657" s="195"/>
      <c r="DS657" s="195"/>
      <c r="DT657" s="195"/>
      <c r="DU657" s="195"/>
      <c r="DV657" s="195"/>
      <c r="DW657" s="195"/>
      <c r="DX657" s="195"/>
      <c r="DY657" s="195"/>
      <c r="DZ657" s="195"/>
      <c r="EA657" s="195"/>
      <c r="EB657" s="195"/>
      <c r="EC657" s="195"/>
      <c r="ED657" s="195"/>
      <c r="EE657" s="195"/>
      <c r="EF657" s="195"/>
      <c r="EG657" s="195"/>
      <c r="EL657" s="1"/>
      <c r="EM657" s="195"/>
      <c r="EN657" s="240"/>
      <c r="EO657" s="240"/>
      <c r="EP657" s="195"/>
      <c r="EQ657" s="240"/>
      <c r="ER657" s="195"/>
      <c r="ES657" s="195"/>
      <c r="ET657" s="195"/>
      <c r="EU657" s="672"/>
    </row>
    <row r="658" customFormat="false" ht="12.75" hidden="false" customHeight="false" outlineLevel="0" collapsed="false">
      <c r="I658" s="735"/>
      <c r="J658" s="728"/>
      <c r="K658" s="195"/>
      <c r="L658" s="195"/>
      <c r="Q658" s="195"/>
      <c r="R658" s="195"/>
      <c r="S658" s="240"/>
      <c r="T658" s="195"/>
      <c r="U658" s="195"/>
      <c r="V658" s="195"/>
      <c r="W658" s="195"/>
      <c r="X658" s="195"/>
      <c r="Y658" s="195"/>
      <c r="Z658" s="195"/>
      <c r="AA658" s="195"/>
      <c r="AB658" s="195"/>
      <c r="AC658" s="195"/>
      <c r="AD658" s="195"/>
      <c r="AE658" s="195"/>
      <c r="AF658" s="195"/>
      <c r="AG658" s="195"/>
      <c r="AH658" s="195"/>
      <c r="AI658" s="195"/>
      <c r="AJ658" s="195"/>
      <c r="AK658" s="195"/>
      <c r="AL658" s="195"/>
      <c r="AM658" s="195"/>
      <c r="AN658" s="1"/>
      <c r="AO658" s="240"/>
      <c r="AP658" s="240"/>
      <c r="AQ658" s="240"/>
      <c r="AR658" s="240"/>
      <c r="AS658" s="240"/>
      <c r="AT658" s="730"/>
      <c r="AU658" s="730"/>
      <c r="AV658" s="730"/>
      <c r="AW658" s="468"/>
      <c r="AX658" s="468"/>
      <c r="AY658" s="240"/>
      <c r="AZ658" s="240"/>
      <c r="BA658" s="240"/>
      <c r="BB658" s="240"/>
      <c r="BC658" s="240"/>
      <c r="BD658" s="240"/>
      <c r="BE658" s="672"/>
      <c r="BF658" s="731"/>
      <c r="BG658" s="731"/>
      <c r="BH658" s="731"/>
      <c r="BI658" s="736"/>
      <c r="BJ658" s="732"/>
      <c r="BK658" s="240"/>
      <c r="BL658" s="240"/>
      <c r="BM658" s="240"/>
      <c r="BN658" s="240"/>
      <c r="BO658" s="240"/>
      <c r="BP658" s="240"/>
      <c r="BQ658" s="240"/>
      <c r="BR658" s="240"/>
      <c r="BS658" s="240"/>
      <c r="BT658" s="240"/>
      <c r="BU658" s="240"/>
      <c r="BV658" s="240"/>
      <c r="BW658" s="240"/>
      <c r="BX658" s="672"/>
      <c r="BY658" s="240"/>
      <c r="BZ658" s="672"/>
      <c r="CA658" s="672"/>
      <c r="CB658" s="672"/>
      <c r="CC658" s="672"/>
      <c r="CD658" s="672"/>
      <c r="CE658" s="672"/>
      <c r="CF658" s="672"/>
      <c r="CG658" s="672"/>
      <c r="CH658" s="240"/>
      <c r="CI658" s="240"/>
      <c r="CJ658" s="240"/>
      <c r="CK658" s="240"/>
      <c r="CL658" s="240"/>
      <c r="CM658" s="728"/>
      <c r="CN658" s="728"/>
      <c r="CO658" s="728"/>
      <c r="CP658" s="728"/>
      <c r="CQ658" s="728"/>
      <c r="CR658" s="728"/>
      <c r="CS658" s="728"/>
      <c r="CT658" s="728"/>
      <c r="CU658" s="728"/>
      <c r="CV658" s="728"/>
      <c r="CW658" s="728"/>
      <c r="CX658" s="728"/>
      <c r="CY658" s="728"/>
      <c r="CZ658" s="728"/>
      <c r="DA658" s="728"/>
      <c r="DB658" s="728"/>
      <c r="DC658" s="728"/>
      <c r="DD658" s="728"/>
      <c r="DE658" s="728"/>
      <c r="DF658" s="728"/>
      <c r="DG658" s="195"/>
      <c r="DH658" s="1"/>
      <c r="DI658" s="3"/>
      <c r="DL658" s="4"/>
      <c r="DM658" s="4"/>
      <c r="DN658" s="4"/>
      <c r="DO658" s="4"/>
      <c r="DP658" s="4"/>
      <c r="DR658" s="195"/>
      <c r="DS658" s="195"/>
      <c r="DT658" s="195"/>
      <c r="DU658" s="195"/>
      <c r="DV658" s="195"/>
      <c r="DW658" s="195"/>
      <c r="DX658" s="195"/>
      <c r="DY658" s="195"/>
      <c r="DZ658" s="195"/>
      <c r="EA658" s="195"/>
      <c r="EB658" s="195"/>
      <c r="EC658" s="195"/>
      <c r="ED658" s="195"/>
      <c r="EE658" s="195"/>
      <c r="EF658" s="195"/>
      <c r="EG658" s="195"/>
      <c r="EL658" s="1"/>
      <c r="EM658" s="195"/>
      <c r="EN658" s="240"/>
      <c r="EO658" s="240"/>
      <c r="EP658" s="195"/>
      <c r="EQ658" s="240"/>
      <c r="ER658" s="195"/>
      <c r="ES658" s="195"/>
      <c r="ET658" s="195"/>
      <c r="EU658" s="672"/>
    </row>
    <row r="659" customFormat="false" ht="12.75" hidden="false" customHeight="false" outlineLevel="0" collapsed="false">
      <c r="I659" s="735"/>
      <c r="J659" s="728"/>
      <c r="K659" s="195"/>
      <c r="L659" s="195"/>
      <c r="Q659" s="195"/>
      <c r="R659" s="195"/>
      <c r="S659" s="240"/>
      <c r="T659" s="195"/>
      <c r="U659" s="195"/>
      <c r="V659" s="195"/>
      <c r="W659" s="195"/>
      <c r="X659" s="195"/>
      <c r="Y659" s="195"/>
      <c r="Z659" s="195"/>
      <c r="AA659" s="195"/>
      <c r="AB659" s="195"/>
      <c r="AC659" s="195"/>
      <c r="AD659" s="195"/>
      <c r="AE659" s="195"/>
      <c r="AF659" s="195"/>
      <c r="AG659" s="195"/>
      <c r="AH659" s="195"/>
      <c r="AI659" s="195"/>
      <c r="AJ659" s="195"/>
      <c r="AK659" s="195"/>
      <c r="AL659" s="195"/>
      <c r="AM659" s="195"/>
      <c r="AN659" s="1"/>
      <c r="AO659" s="240"/>
      <c r="AP659" s="240"/>
      <c r="AQ659" s="240"/>
      <c r="AR659" s="240"/>
      <c r="AS659" s="240"/>
      <c r="AT659" s="730"/>
      <c r="AU659" s="730"/>
      <c r="AV659" s="730"/>
      <c r="AW659" s="468"/>
      <c r="AX659" s="468"/>
      <c r="AY659" s="240"/>
      <c r="AZ659" s="240"/>
      <c r="BA659" s="240"/>
      <c r="BB659" s="240"/>
      <c r="BC659" s="240"/>
      <c r="BD659" s="240"/>
      <c r="BE659" s="672"/>
      <c r="BF659" s="731"/>
      <c r="BG659" s="731"/>
      <c r="BH659" s="731"/>
      <c r="BI659" s="736"/>
      <c r="BJ659" s="732"/>
      <c r="BK659" s="240"/>
      <c r="BL659" s="240"/>
      <c r="BM659" s="240"/>
      <c r="BN659" s="240"/>
      <c r="BO659" s="240"/>
      <c r="BP659" s="240"/>
      <c r="BQ659" s="240"/>
      <c r="BR659" s="240"/>
      <c r="BS659" s="240"/>
      <c r="BT659" s="240"/>
      <c r="BU659" s="240"/>
      <c r="BV659" s="240"/>
      <c r="BW659" s="240"/>
      <c r="BX659" s="672"/>
      <c r="BY659" s="240"/>
      <c r="BZ659" s="672"/>
      <c r="CA659" s="672"/>
      <c r="CB659" s="672"/>
      <c r="CC659" s="672"/>
      <c r="CD659" s="672"/>
      <c r="CE659" s="672"/>
      <c r="CF659" s="672"/>
      <c r="CG659" s="672"/>
      <c r="CH659" s="240"/>
      <c r="CI659" s="240"/>
      <c r="CJ659" s="240"/>
      <c r="CK659" s="240"/>
      <c r="CL659" s="240"/>
      <c r="CM659" s="728"/>
      <c r="CN659" s="728"/>
      <c r="CO659" s="728"/>
      <c r="CP659" s="728"/>
      <c r="CQ659" s="728"/>
      <c r="CR659" s="728"/>
      <c r="CS659" s="728"/>
      <c r="CT659" s="728"/>
      <c r="CU659" s="728"/>
      <c r="CV659" s="728"/>
      <c r="CW659" s="728"/>
      <c r="CX659" s="728"/>
      <c r="CY659" s="728"/>
      <c r="CZ659" s="728"/>
      <c r="DA659" s="728"/>
      <c r="DB659" s="728"/>
      <c r="DC659" s="728"/>
      <c r="DD659" s="728"/>
      <c r="DE659" s="728"/>
      <c r="DF659" s="728"/>
      <c r="DG659" s="195"/>
      <c r="DH659" s="1"/>
      <c r="DI659" s="3"/>
      <c r="DL659" s="4"/>
      <c r="DM659" s="4"/>
      <c r="DN659" s="4"/>
      <c r="DO659" s="4"/>
      <c r="DP659" s="4"/>
      <c r="DR659" s="195"/>
      <c r="DS659" s="195"/>
      <c r="DT659" s="195"/>
      <c r="DU659" s="195"/>
      <c r="DV659" s="195"/>
      <c r="DW659" s="195"/>
      <c r="DX659" s="195"/>
      <c r="DY659" s="195"/>
      <c r="DZ659" s="195"/>
      <c r="EA659" s="195"/>
      <c r="EB659" s="195"/>
      <c r="EC659" s="195"/>
      <c r="ED659" s="195"/>
      <c r="EE659" s="195"/>
      <c r="EF659" s="195"/>
      <c r="EG659" s="195"/>
      <c r="EL659" s="1"/>
      <c r="EM659" s="195"/>
      <c r="EN659" s="240"/>
      <c r="EO659" s="240"/>
      <c r="EP659" s="195"/>
      <c r="EQ659" s="240"/>
      <c r="ER659" s="195"/>
      <c r="ES659" s="195"/>
      <c r="ET659" s="195"/>
      <c r="EU659" s="672"/>
    </row>
    <row r="660" customFormat="false" ht="12.75" hidden="false" customHeight="false" outlineLevel="0" collapsed="false">
      <c r="I660" s="735"/>
      <c r="J660" s="728"/>
      <c r="K660" s="195"/>
      <c r="L660" s="195"/>
      <c r="Q660" s="195"/>
      <c r="R660" s="195"/>
      <c r="S660" s="240"/>
      <c r="T660" s="195"/>
      <c r="U660" s="195"/>
      <c r="V660" s="195"/>
      <c r="W660" s="195"/>
      <c r="X660" s="195"/>
      <c r="Y660" s="195"/>
      <c r="Z660" s="195"/>
      <c r="AA660" s="195"/>
      <c r="AB660" s="195"/>
      <c r="AC660" s="195"/>
      <c r="AD660" s="195"/>
      <c r="AE660" s="195"/>
      <c r="AF660" s="195"/>
      <c r="AG660" s="195"/>
      <c r="AH660" s="195"/>
      <c r="AI660" s="195"/>
      <c r="AJ660" s="195"/>
      <c r="AK660" s="195"/>
      <c r="AL660" s="195"/>
      <c r="AM660" s="195"/>
      <c r="AN660" s="1"/>
      <c r="AO660" s="240"/>
      <c r="AP660" s="240"/>
      <c r="AQ660" s="240"/>
      <c r="AR660" s="240"/>
      <c r="AS660" s="240"/>
      <c r="AT660" s="730"/>
      <c r="AU660" s="730"/>
      <c r="AV660" s="730"/>
      <c r="AW660" s="468"/>
      <c r="AX660" s="468"/>
      <c r="AY660" s="240"/>
      <c r="AZ660" s="240"/>
      <c r="BA660" s="240"/>
      <c r="BB660" s="240"/>
      <c r="BC660" s="240"/>
      <c r="BD660" s="240"/>
      <c r="BE660" s="672"/>
      <c r="BF660" s="731"/>
      <c r="BG660" s="731"/>
      <c r="BH660" s="731"/>
      <c r="BI660" s="736"/>
      <c r="BJ660" s="732"/>
      <c r="BK660" s="240"/>
      <c r="BL660" s="240"/>
      <c r="BM660" s="240"/>
      <c r="BN660" s="240"/>
      <c r="BO660" s="240"/>
      <c r="BP660" s="240"/>
      <c r="BQ660" s="240"/>
      <c r="BR660" s="240"/>
      <c r="BS660" s="240"/>
      <c r="BT660" s="240"/>
      <c r="BU660" s="240"/>
      <c r="BV660" s="240"/>
      <c r="BW660" s="240"/>
      <c r="BX660" s="672"/>
      <c r="BY660" s="240"/>
      <c r="BZ660" s="672"/>
      <c r="CA660" s="672"/>
      <c r="CB660" s="672"/>
      <c r="CC660" s="672"/>
      <c r="CD660" s="672"/>
      <c r="CE660" s="672"/>
      <c r="CF660" s="672"/>
      <c r="CG660" s="672"/>
      <c r="CH660" s="240"/>
      <c r="CI660" s="240"/>
      <c r="CJ660" s="240"/>
      <c r="CK660" s="240"/>
      <c r="CL660" s="240"/>
      <c r="CM660" s="728"/>
      <c r="CN660" s="728"/>
      <c r="CO660" s="728"/>
      <c r="CP660" s="728"/>
      <c r="CQ660" s="728"/>
      <c r="CR660" s="728"/>
      <c r="CS660" s="728"/>
      <c r="CT660" s="728"/>
      <c r="CU660" s="728"/>
      <c r="CV660" s="728"/>
      <c r="CW660" s="728"/>
      <c r="CX660" s="728"/>
      <c r="CY660" s="728"/>
      <c r="CZ660" s="728"/>
      <c r="DA660" s="728"/>
      <c r="DB660" s="728"/>
      <c r="DC660" s="728"/>
      <c r="DD660" s="728"/>
      <c r="DE660" s="728"/>
      <c r="DF660" s="728"/>
      <c r="DG660" s="195"/>
      <c r="DH660" s="1"/>
      <c r="DI660" s="3"/>
      <c r="DL660" s="4"/>
      <c r="DM660" s="4"/>
      <c r="DN660" s="4"/>
      <c r="DO660" s="4"/>
      <c r="DP660" s="4"/>
      <c r="DR660" s="195"/>
      <c r="DS660" s="195"/>
      <c r="DT660" s="195"/>
      <c r="DU660" s="195"/>
      <c r="DV660" s="195"/>
      <c r="DW660" s="195"/>
      <c r="DX660" s="195"/>
      <c r="DY660" s="195"/>
      <c r="DZ660" s="195"/>
      <c r="EA660" s="195"/>
      <c r="EB660" s="195"/>
      <c r="EC660" s="195"/>
      <c r="ED660" s="195"/>
      <c r="EE660" s="195"/>
      <c r="EF660" s="195"/>
      <c r="EG660" s="195"/>
      <c r="EL660" s="1"/>
      <c r="EM660" s="195"/>
      <c r="EN660" s="240"/>
      <c r="EO660" s="240"/>
      <c r="EP660" s="195"/>
      <c r="EQ660" s="240"/>
      <c r="ER660" s="195"/>
      <c r="ES660" s="195"/>
      <c r="ET660" s="195"/>
      <c r="EU660" s="672"/>
    </row>
    <row r="661" customFormat="false" ht="12.75" hidden="false" customHeight="false" outlineLevel="0" collapsed="false">
      <c r="I661" s="735"/>
      <c r="J661" s="728"/>
      <c r="K661" s="195"/>
      <c r="L661" s="195"/>
      <c r="Q661" s="195"/>
      <c r="R661" s="195"/>
      <c r="S661" s="240"/>
      <c r="T661" s="195"/>
      <c r="U661" s="195"/>
      <c r="V661" s="195"/>
      <c r="W661" s="195"/>
      <c r="X661" s="195"/>
      <c r="Y661" s="195"/>
      <c r="Z661" s="195"/>
      <c r="AA661" s="195"/>
      <c r="AB661" s="195"/>
      <c r="AC661" s="195"/>
      <c r="AD661" s="195"/>
      <c r="AE661" s="195"/>
      <c r="AF661" s="195"/>
      <c r="AG661" s="195"/>
      <c r="AH661" s="195"/>
      <c r="AI661" s="195"/>
      <c r="AJ661" s="195"/>
      <c r="AK661" s="195"/>
      <c r="AL661" s="195"/>
      <c r="AM661" s="195"/>
      <c r="AN661" s="1"/>
      <c r="AO661" s="240"/>
      <c r="AP661" s="240"/>
      <c r="AQ661" s="240"/>
      <c r="AR661" s="240"/>
      <c r="AS661" s="240"/>
      <c r="AT661" s="730"/>
      <c r="AU661" s="730"/>
      <c r="AV661" s="730"/>
      <c r="AW661" s="468"/>
      <c r="AX661" s="468"/>
      <c r="AY661" s="240"/>
      <c r="AZ661" s="240"/>
      <c r="BA661" s="240"/>
      <c r="BB661" s="240"/>
      <c r="BC661" s="240"/>
      <c r="BD661" s="240"/>
      <c r="BE661" s="672"/>
      <c r="BF661" s="731"/>
      <c r="BG661" s="731"/>
      <c r="BH661" s="731"/>
      <c r="BI661" s="736"/>
      <c r="BJ661" s="732"/>
      <c r="BK661" s="240"/>
      <c r="BL661" s="240"/>
      <c r="BM661" s="240"/>
      <c r="BN661" s="240"/>
      <c r="BO661" s="240"/>
      <c r="BP661" s="240"/>
      <c r="BQ661" s="240"/>
      <c r="BR661" s="240"/>
      <c r="BS661" s="240"/>
      <c r="BT661" s="240"/>
      <c r="BU661" s="240"/>
      <c r="BV661" s="240"/>
      <c r="BW661" s="240"/>
      <c r="BX661" s="672"/>
      <c r="BY661" s="240"/>
      <c r="BZ661" s="672"/>
      <c r="CA661" s="672"/>
      <c r="CB661" s="672"/>
      <c r="CC661" s="672"/>
      <c r="CD661" s="672"/>
      <c r="CE661" s="672"/>
      <c r="CF661" s="672"/>
      <c r="CG661" s="672"/>
      <c r="CH661" s="240"/>
      <c r="CI661" s="240"/>
      <c r="CJ661" s="240"/>
      <c r="CK661" s="240"/>
      <c r="CL661" s="240"/>
      <c r="CM661" s="728"/>
      <c r="CN661" s="728"/>
      <c r="CO661" s="728"/>
      <c r="CP661" s="728"/>
      <c r="CQ661" s="728"/>
      <c r="CR661" s="728"/>
      <c r="CS661" s="728"/>
      <c r="CT661" s="728"/>
      <c r="CU661" s="728"/>
      <c r="CV661" s="728"/>
      <c r="CW661" s="728"/>
      <c r="CX661" s="728"/>
      <c r="CY661" s="728"/>
      <c r="CZ661" s="728"/>
      <c r="DA661" s="728"/>
      <c r="DB661" s="728"/>
      <c r="DC661" s="728"/>
      <c r="DD661" s="728"/>
      <c r="DE661" s="728"/>
      <c r="DF661" s="728"/>
      <c r="DG661" s="195"/>
      <c r="DH661" s="1"/>
      <c r="DI661" s="3"/>
      <c r="DL661" s="4"/>
      <c r="DM661" s="4"/>
      <c r="DN661" s="4"/>
      <c r="DO661" s="4"/>
      <c r="DP661" s="4"/>
      <c r="DR661" s="195"/>
      <c r="DS661" s="195"/>
      <c r="DT661" s="195"/>
      <c r="DU661" s="195"/>
      <c r="DV661" s="195"/>
      <c r="DW661" s="195"/>
      <c r="DX661" s="195"/>
      <c r="DY661" s="195"/>
      <c r="DZ661" s="195"/>
      <c r="EA661" s="195"/>
      <c r="EB661" s="195"/>
      <c r="EC661" s="195"/>
      <c r="ED661" s="195"/>
      <c r="EE661" s="195"/>
      <c r="EF661" s="195"/>
      <c r="EG661" s="195"/>
      <c r="EL661" s="1"/>
      <c r="EM661" s="195"/>
      <c r="EN661" s="240"/>
      <c r="EO661" s="240"/>
      <c r="EP661" s="195"/>
      <c r="EQ661" s="240"/>
      <c r="ER661" s="195"/>
      <c r="ES661" s="195"/>
      <c r="ET661" s="195"/>
      <c r="EU661" s="672"/>
    </row>
    <row r="662" customFormat="false" ht="12.75" hidden="false" customHeight="false" outlineLevel="0" collapsed="false">
      <c r="I662" s="735"/>
      <c r="J662" s="728"/>
      <c r="K662" s="195"/>
      <c r="L662" s="195"/>
      <c r="Q662" s="195"/>
      <c r="R662" s="195"/>
      <c r="S662" s="240"/>
      <c r="T662" s="195"/>
      <c r="U662" s="195"/>
      <c r="V662" s="195"/>
      <c r="W662" s="195"/>
      <c r="X662" s="195"/>
      <c r="Y662" s="195"/>
      <c r="Z662" s="195"/>
      <c r="AA662" s="195"/>
      <c r="AB662" s="195"/>
      <c r="AC662" s="195"/>
      <c r="AD662" s="195"/>
      <c r="AE662" s="195"/>
      <c r="AF662" s="195"/>
      <c r="AG662" s="195"/>
      <c r="AH662" s="195"/>
      <c r="AI662" s="195"/>
      <c r="AJ662" s="195"/>
      <c r="AK662" s="195"/>
      <c r="AL662" s="195"/>
      <c r="AM662" s="195"/>
      <c r="AN662" s="1"/>
      <c r="AO662" s="240"/>
      <c r="AP662" s="240"/>
      <c r="AQ662" s="240"/>
      <c r="AR662" s="240"/>
      <c r="AS662" s="240"/>
      <c r="AT662" s="730"/>
      <c r="AU662" s="730"/>
      <c r="AV662" s="730"/>
      <c r="AW662" s="468"/>
      <c r="AX662" s="468"/>
      <c r="AY662" s="240"/>
      <c r="AZ662" s="240"/>
      <c r="BA662" s="240"/>
      <c r="BB662" s="240"/>
      <c r="BC662" s="240"/>
      <c r="BD662" s="240"/>
      <c r="BE662" s="672"/>
      <c r="BF662" s="731"/>
      <c r="BG662" s="731"/>
      <c r="BH662" s="731"/>
      <c r="BI662" s="736"/>
      <c r="BJ662" s="732"/>
      <c r="BK662" s="240"/>
      <c r="BL662" s="240"/>
      <c r="BM662" s="240"/>
      <c r="BN662" s="240"/>
      <c r="BO662" s="240"/>
      <c r="BP662" s="240"/>
      <c r="BQ662" s="240"/>
      <c r="BR662" s="240"/>
      <c r="BS662" s="240"/>
      <c r="BT662" s="240"/>
      <c r="BU662" s="240"/>
      <c r="BV662" s="240"/>
      <c r="BW662" s="240"/>
      <c r="BX662" s="672"/>
      <c r="BY662" s="240"/>
      <c r="BZ662" s="672"/>
      <c r="CA662" s="672"/>
      <c r="CB662" s="672"/>
      <c r="CC662" s="672"/>
      <c r="CD662" s="672"/>
      <c r="CE662" s="672"/>
      <c r="CF662" s="672"/>
      <c r="CG662" s="672"/>
      <c r="CH662" s="240"/>
      <c r="CI662" s="240"/>
      <c r="CJ662" s="240"/>
      <c r="CK662" s="240"/>
      <c r="CL662" s="240"/>
      <c r="CM662" s="728"/>
      <c r="CN662" s="728"/>
      <c r="CO662" s="728"/>
      <c r="CP662" s="728"/>
      <c r="CQ662" s="728"/>
      <c r="CR662" s="728"/>
      <c r="CS662" s="728"/>
      <c r="CT662" s="728"/>
      <c r="CU662" s="728"/>
      <c r="CV662" s="728"/>
      <c r="CW662" s="728"/>
      <c r="CX662" s="728"/>
      <c r="CY662" s="728"/>
      <c r="CZ662" s="728"/>
      <c r="DA662" s="728"/>
      <c r="DB662" s="728"/>
      <c r="DC662" s="728"/>
      <c r="DD662" s="728"/>
      <c r="DE662" s="728"/>
      <c r="DF662" s="728"/>
      <c r="DG662" s="195"/>
      <c r="DH662" s="1"/>
      <c r="DI662" s="3"/>
      <c r="DL662" s="4"/>
      <c r="DM662" s="4"/>
      <c r="DN662" s="4"/>
      <c r="DO662" s="4"/>
      <c r="DP662" s="4"/>
      <c r="DR662" s="195"/>
      <c r="DS662" s="195"/>
      <c r="DT662" s="195"/>
      <c r="DU662" s="195"/>
      <c r="DV662" s="195"/>
      <c r="DW662" s="195"/>
      <c r="DX662" s="195"/>
      <c r="DY662" s="195"/>
      <c r="DZ662" s="195"/>
      <c r="EA662" s="195"/>
      <c r="EB662" s="195"/>
      <c r="EC662" s="195"/>
      <c r="ED662" s="195"/>
      <c r="EE662" s="195"/>
      <c r="EF662" s="195"/>
      <c r="EG662" s="195"/>
      <c r="EL662" s="1"/>
      <c r="EM662" s="195"/>
      <c r="EN662" s="240"/>
      <c r="EO662" s="240"/>
      <c r="EP662" s="195"/>
      <c r="EQ662" s="240"/>
      <c r="ER662" s="195"/>
      <c r="ES662" s="195"/>
      <c r="ET662" s="195"/>
      <c r="EU662" s="672"/>
    </row>
    <row r="663" customFormat="false" ht="12.75" hidden="false" customHeight="false" outlineLevel="0" collapsed="false">
      <c r="I663" s="735"/>
      <c r="J663" s="728"/>
      <c r="K663" s="195"/>
      <c r="L663" s="195"/>
      <c r="Q663" s="195"/>
      <c r="R663" s="195"/>
      <c r="S663" s="240"/>
      <c r="T663" s="195"/>
      <c r="U663" s="195"/>
      <c r="V663" s="195"/>
      <c r="W663" s="195"/>
      <c r="X663" s="195"/>
      <c r="Y663" s="195"/>
      <c r="Z663" s="195"/>
      <c r="AA663" s="195"/>
      <c r="AB663" s="195"/>
      <c r="AC663" s="195"/>
      <c r="AD663" s="195"/>
      <c r="AE663" s="195"/>
      <c r="AF663" s="195"/>
      <c r="AG663" s="195"/>
      <c r="AH663" s="195"/>
      <c r="AI663" s="195"/>
      <c r="AJ663" s="195"/>
      <c r="AK663" s="195"/>
      <c r="AL663" s="195"/>
      <c r="AM663" s="195"/>
      <c r="AN663" s="1"/>
      <c r="AO663" s="240"/>
      <c r="AP663" s="240"/>
      <c r="AQ663" s="240"/>
      <c r="AR663" s="240"/>
      <c r="AS663" s="240"/>
      <c r="AT663" s="730"/>
      <c r="AU663" s="730"/>
      <c r="AV663" s="730"/>
      <c r="AW663" s="468"/>
      <c r="AX663" s="468"/>
      <c r="AY663" s="240"/>
      <c r="AZ663" s="240"/>
      <c r="BA663" s="240"/>
      <c r="BB663" s="240"/>
      <c r="BC663" s="240"/>
      <c r="BD663" s="240"/>
      <c r="BE663" s="672"/>
      <c r="BF663" s="731"/>
      <c r="BG663" s="731"/>
      <c r="BH663" s="731"/>
      <c r="BI663" s="736"/>
      <c r="BJ663" s="732"/>
      <c r="BK663" s="240"/>
      <c r="BL663" s="240"/>
      <c r="BM663" s="240"/>
      <c r="BN663" s="240"/>
      <c r="BO663" s="240"/>
      <c r="BP663" s="240"/>
      <c r="BQ663" s="240"/>
      <c r="BR663" s="240"/>
      <c r="BS663" s="240"/>
      <c r="BT663" s="240"/>
      <c r="BU663" s="240"/>
      <c r="BV663" s="240"/>
      <c r="BW663" s="240"/>
      <c r="BX663" s="672"/>
      <c r="BY663" s="240"/>
      <c r="BZ663" s="672"/>
      <c r="CA663" s="672"/>
      <c r="CB663" s="672"/>
      <c r="CC663" s="672"/>
      <c r="CD663" s="672"/>
      <c r="CE663" s="672"/>
      <c r="CF663" s="672"/>
      <c r="CG663" s="672"/>
      <c r="CH663" s="240"/>
      <c r="CI663" s="240"/>
      <c r="CJ663" s="240"/>
      <c r="CK663" s="240"/>
      <c r="CL663" s="240"/>
      <c r="CM663" s="728"/>
      <c r="CN663" s="728"/>
      <c r="CO663" s="728"/>
      <c r="CP663" s="728"/>
      <c r="CQ663" s="728"/>
      <c r="CR663" s="728"/>
      <c r="CS663" s="728"/>
      <c r="CT663" s="728"/>
      <c r="CU663" s="728"/>
      <c r="CV663" s="728"/>
      <c r="CW663" s="728"/>
      <c r="CX663" s="728"/>
      <c r="CY663" s="728"/>
      <c r="CZ663" s="728"/>
      <c r="DA663" s="728"/>
      <c r="DB663" s="728"/>
      <c r="DC663" s="728"/>
      <c r="DD663" s="728"/>
      <c r="DE663" s="728"/>
      <c r="DF663" s="728"/>
      <c r="DG663" s="195"/>
      <c r="DH663" s="1"/>
      <c r="DI663" s="3"/>
      <c r="DL663" s="4"/>
      <c r="DM663" s="4"/>
      <c r="DN663" s="4"/>
      <c r="DO663" s="4"/>
      <c r="DP663" s="4"/>
      <c r="DR663" s="195"/>
      <c r="DS663" s="195"/>
      <c r="DT663" s="195"/>
      <c r="DU663" s="195"/>
      <c r="DV663" s="195"/>
      <c r="DW663" s="195"/>
      <c r="DX663" s="195"/>
      <c r="DY663" s="195"/>
      <c r="DZ663" s="195"/>
      <c r="EA663" s="195"/>
      <c r="EB663" s="195"/>
      <c r="EC663" s="195"/>
      <c r="ED663" s="195"/>
      <c r="EE663" s="195"/>
      <c r="EF663" s="195"/>
      <c r="EG663" s="195"/>
      <c r="EL663" s="1"/>
      <c r="EM663" s="195"/>
      <c r="EN663" s="240"/>
      <c r="EO663" s="240"/>
      <c r="EP663" s="195"/>
      <c r="EQ663" s="240"/>
      <c r="ER663" s="195"/>
      <c r="ES663" s="195"/>
      <c r="ET663" s="195"/>
      <c r="EU663" s="672"/>
    </row>
    <row r="664" customFormat="false" ht="12.75" hidden="false" customHeight="false" outlineLevel="0" collapsed="false">
      <c r="I664" s="735"/>
      <c r="J664" s="728"/>
      <c r="K664" s="195"/>
      <c r="L664" s="195"/>
      <c r="Q664" s="195"/>
      <c r="R664" s="195"/>
      <c r="S664" s="240"/>
      <c r="T664" s="195"/>
      <c r="U664" s="195"/>
      <c r="V664" s="195"/>
      <c r="W664" s="195"/>
      <c r="X664" s="195"/>
      <c r="Y664" s="195"/>
      <c r="Z664" s="195"/>
      <c r="AA664" s="195"/>
      <c r="AB664" s="195"/>
      <c r="AC664" s="195"/>
      <c r="AD664" s="195"/>
      <c r="AE664" s="195"/>
      <c r="AF664" s="195"/>
      <c r="AG664" s="195"/>
      <c r="AH664" s="195"/>
      <c r="AI664" s="195"/>
      <c r="AJ664" s="195"/>
      <c r="AK664" s="195"/>
      <c r="AL664" s="195"/>
      <c r="AM664" s="195"/>
      <c r="AN664" s="1"/>
      <c r="AO664" s="240"/>
      <c r="AP664" s="240"/>
      <c r="AQ664" s="240"/>
      <c r="AR664" s="240"/>
      <c r="AS664" s="240"/>
      <c r="AT664" s="730"/>
      <c r="AU664" s="730"/>
      <c r="AV664" s="730"/>
      <c r="AW664" s="468"/>
      <c r="AX664" s="468"/>
      <c r="AY664" s="240"/>
      <c r="AZ664" s="240"/>
      <c r="BA664" s="240"/>
      <c r="BB664" s="240"/>
      <c r="BC664" s="240"/>
      <c r="BD664" s="240"/>
      <c r="BE664" s="672"/>
      <c r="BF664" s="731"/>
      <c r="BG664" s="731"/>
      <c r="BH664" s="731"/>
      <c r="BI664" s="736"/>
      <c r="BJ664" s="732"/>
      <c r="BK664" s="240"/>
      <c r="BL664" s="240"/>
      <c r="BM664" s="240"/>
      <c r="BN664" s="240"/>
      <c r="BO664" s="240"/>
      <c r="BP664" s="240"/>
      <c r="BQ664" s="240"/>
      <c r="BR664" s="240"/>
      <c r="BS664" s="240"/>
      <c r="BT664" s="240"/>
      <c r="BU664" s="240"/>
      <c r="BV664" s="240"/>
      <c r="BW664" s="240"/>
      <c r="BX664" s="672"/>
      <c r="BY664" s="240"/>
      <c r="BZ664" s="672"/>
      <c r="CA664" s="672"/>
      <c r="CB664" s="672"/>
      <c r="CC664" s="672"/>
      <c r="CD664" s="672"/>
      <c r="CE664" s="672"/>
      <c r="CF664" s="672"/>
      <c r="CG664" s="672"/>
      <c r="CH664" s="240"/>
      <c r="CI664" s="240"/>
      <c r="CJ664" s="240"/>
      <c r="CK664" s="240"/>
      <c r="CL664" s="240"/>
      <c r="CM664" s="728"/>
      <c r="CN664" s="728"/>
      <c r="CO664" s="728"/>
      <c r="CP664" s="728"/>
      <c r="CQ664" s="728"/>
      <c r="CR664" s="728"/>
      <c r="CS664" s="728"/>
      <c r="CT664" s="728"/>
      <c r="CU664" s="728"/>
      <c r="CV664" s="728"/>
      <c r="CW664" s="728"/>
      <c r="CX664" s="728"/>
      <c r="CY664" s="728"/>
      <c r="CZ664" s="728"/>
      <c r="DA664" s="728"/>
      <c r="DB664" s="728"/>
      <c r="DC664" s="728"/>
      <c r="DD664" s="728"/>
      <c r="DE664" s="728"/>
      <c r="DF664" s="728"/>
      <c r="DG664" s="195"/>
      <c r="DH664" s="1"/>
      <c r="DI664" s="3"/>
      <c r="DL664" s="4"/>
      <c r="DM664" s="4"/>
      <c r="DN664" s="4"/>
      <c r="DO664" s="4"/>
      <c r="DP664" s="4"/>
      <c r="DR664" s="195"/>
      <c r="DS664" s="195"/>
      <c r="DT664" s="195"/>
      <c r="DU664" s="195"/>
      <c r="DV664" s="195"/>
      <c r="DW664" s="195"/>
      <c r="DX664" s="195"/>
      <c r="DY664" s="195"/>
      <c r="DZ664" s="195"/>
      <c r="EA664" s="195"/>
      <c r="EB664" s="195"/>
      <c r="EC664" s="195"/>
      <c r="ED664" s="195"/>
      <c r="EE664" s="195"/>
      <c r="EF664" s="195"/>
      <c r="EG664" s="195"/>
      <c r="EL664" s="1"/>
      <c r="EM664" s="195"/>
      <c r="EN664" s="240"/>
      <c r="EO664" s="240"/>
      <c r="EP664" s="195"/>
      <c r="EQ664" s="240"/>
      <c r="ER664" s="195"/>
      <c r="ES664" s="195"/>
      <c r="ET664" s="195"/>
      <c r="EU664" s="672"/>
    </row>
    <row r="665" customFormat="false" ht="12.75" hidden="false" customHeight="false" outlineLevel="0" collapsed="false">
      <c r="I665" s="735"/>
      <c r="J665" s="728"/>
      <c r="K665" s="195"/>
      <c r="L665" s="195"/>
      <c r="Q665" s="195"/>
      <c r="R665" s="195"/>
      <c r="S665" s="240"/>
      <c r="T665" s="195"/>
      <c r="U665" s="195"/>
      <c r="V665" s="195"/>
      <c r="W665" s="195"/>
      <c r="X665" s="195"/>
      <c r="Y665" s="195"/>
      <c r="Z665" s="195"/>
      <c r="AA665" s="195"/>
      <c r="AB665" s="195"/>
      <c r="AC665" s="195"/>
      <c r="AD665" s="195"/>
      <c r="AE665" s="195"/>
      <c r="AF665" s="195"/>
      <c r="AG665" s="195"/>
      <c r="AH665" s="195"/>
      <c r="AI665" s="195"/>
      <c r="AJ665" s="195"/>
      <c r="AK665" s="195"/>
      <c r="AL665" s="195"/>
      <c r="AM665" s="195"/>
      <c r="AN665" s="1"/>
      <c r="AO665" s="240"/>
      <c r="AP665" s="240"/>
      <c r="AQ665" s="240"/>
      <c r="AR665" s="240"/>
      <c r="AS665" s="240"/>
      <c r="AT665" s="730"/>
      <c r="AU665" s="730"/>
      <c r="AV665" s="730"/>
      <c r="AW665" s="468"/>
      <c r="AX665" s="468"/>
      <c r="AY665" s="240"/>
      <c r="AZ665" s="240"/>
      <c r="BA665" s="240"/>
      <c r="BB665" s="240"/>
      <c r="BC665" s="240"/>
      <c r="BD665" s="240"/>
      <c r="BE665" s="672"/>
      <c r="BF665" s="731"/>
      <c r="BG665" s="731"/>
      <c r="BH665" s="731"/>
      <c r="BI665" s="736"/>
      <c r="BJ665" s="732"/>
      <c r="BK665" s="240"/>
      <c r="BL665" s="240"/>
      <c r="BM665" s="240"/>
      <c r="BN665" s="240"/>
      <c r="BO665" s="240"/>
      <c r="BP665" s="240"/>
      <c r="BQ665" s="240"/>
      <c r="BR665" s="240"/>
      <c r="BS665" s="240"/>
      <c r="BT665" s="240"/>
      <c r="BU665" s="240"/>
      <c r="BV665" s="240"/>
      <c r="BW665" s="240"/>
      <c r="BX665" s="672"/>
      <c r="BY665" s="240"/>
      <c r="BZ665" s="672"/>
      <c r="CA665" s="672"/>
      <c r="CB665" s="672"/>
      <c r="CC665" s="672"/>
      <c r="CD665" s="672"/>
      <c r="CE665" s="672"/>
      <c r="CF665" s="672"/>
      <c r="CG665" s="672"/>
      <c r="CH665" s="240"/>
      <c r="CI665" s="240"/>
      <c r="CJ665" s="240"/>
      <c r="CK665" s="240"/>
      <c r="CL665" s="240"/>
      <c r="CM665" s="728"/>
      <c r="CN665" s="728"/>
      <c r="CO665" s="728"/>
      <c r="CP665" s="728"/>
      <c r="CQ665" s="728"/>
      <c r="CR665" s="728"/>
      <c r="CS665" s="728"/>
      <c r="CT665" s="728"/>
      <c r="CU665" s="728"/>
      <c r="CV665" s="728"/>
      <c r="CW665" s="728"/>
      <c r="CX665" s="728"/>
      <c r="CY665" s="728"/>
      <c r="CZ665" s="728"/>
      <c r="DA665" s="728"/>
      <c r="DB665" s="728"/>
      <c r="DC665" s="728"/>
      <c r="DD665" s="728"/>
      <c r="DE665" s="728"/>
      <c r="DF665" s="728"/>
      <c r="DG665" s="195"/>
      <c r="DH665" s="1"/>
      <c r="DI665" s="3"/>
      <c r="DL665" s="4"/>
      <c r="DM665" s="4"/>
      <c r="DN665" s="4"/>
      <c r="DO665" s="4"/>
      <c r="DP665" s="4"/>
      <c r="DR665" s="195"/>
      <c r="DS665" s="195"/>
      <c r="DT665" s="195"/>
      <c r="DU665" s="195"/>
      <c r="DV665" s="195"/>
      <c r="DW665" s="195"/>
      <c r="DX665" s="195"/>
      <c r="DY665" s="195"/>
      <c r="DZ665" s="195"/>
      <c r="EA665" s="195"/>
      <c r="EB665" s="195"/>
      <c r="EC665" s="195"/>
      <c r="ED665" s="195"/>
      <c r="EE665" s="195"/>
      <c r="EF665" s="195"/>
      <c r="EG665" s="195"/>
      <c r="EL665" s="1"/>
      <c r="EM665" s="195"/>
      <c r="EN665" s="240"/>
      <c r="EO665" s="240"/>
      <c r="EP665" s="195"/>
      <c r="EQ665" s="240"/>
      <c r="ER665" s="195"/>
      <c r="ES665" s="195"/>
      <c r="ET665" s="195"/>
      <c r="EU665" s="672"/>
    </row>
    <row r="666" customFormat="false" ht="12.75" hidden="false" customHeight="false" outlineLevel="0" collapsed="false">
      <c r="I666" s="735"/>
      <c r="J666" s="728"/>
      <c r="K666" s="195"/>
      <c r="L666" s="195"/>
      <c r="Q666" s="195"/>
      <c r="R666" s="195"/>
      <c r="S666" s="240"/>
      <c r="T666" s="195"/>
      <c r="U666" s="195"/>
      <c r="V666" s="195"/>
      <c r="W666" s="195"/>
      <c r="X666" s="195"/>
      <c r="Y666" s="195"/>
      <c r="Z666" s="195"/>
      <c r="AA666" s="195"/>
      <c r="AB666" s="195"/>
      <c r="AC666" s="195"/>
      <c r="AD666" s="195"/>
      <c r="AE666" s="195"/>
      <c r="AF666" s="195"/>
      <c r="AG666" s="195"/>
      <c r="AH666" s="195"/>
      <c r="AI666" s="195"/>
      <c r="AJ666" s="195"/>
      <c r="AK666" s="195"/>
      <c r="AL666" s="195"/>
      <c r="AM666" s="195"/>
      <c r="AN666" s="1"/>
      <c r="AO666" s="240"/>
      <c r="AP666" s="240"/>
      <c r="AQ666" s="240"/>
      <c r="AR666" s="240"/>
      <c r="AS666" s="240"/>
      <c r="AT666" s="730"/>
      <c r="AU666" s="730"/>
      <c r="AV666" s="730"/>
      <c r="AW666" s="468"/>
      <c r="AX666" s="468"/>
      <c r="AY666" s="240"/>
      <c r="AZ666" s="240"/>
      <c r="BA666" s="240"/>
      <c r="BB666" s="240"/>
      <c r="BC666" s="240"/>
      <c r="BD666" s="240"/>
      <c r="BE666" s="672"/>
      <c r="BF666" s="731"/>
      <c r="BG666" s="731"/>
      <c r="BH666" s="731"/>
      <c r="BI666" s="736"/>
      <c r="BJ666" s="732"/>
      <c r="BK666" s="240"/>
      <c r="BL666" s="240"/>
      <c r="BM666" s="240"/>
      <c r="BN666" s="240"/>
      <c r="BO666" s="240"/>
      <c r="BP666" s="240"/>
      <c r="BQ666" s="240"/>
      <c r="BR666" s="240"/>
      <c r="BS666" s="240"/>
      <c r="BT666" s="240"/>
      <c r="BU666" s="240"/>
      <c r="BV666" s="240"/>
      <c r="BW666" s="240"/>
      <c r="BX666" s="672"/>
      <c r="BY666" s="240"/>
      <c r="BZ666" s="672"/>
      <c r="CA666" s="672"/>
      <c r="CB666" s="672"/>
      <c r="CC666" s="672"/>
      <c r="CD666" s="672"/>
      <c r="CE666" s="672"/>
      <c r="CF666" s="672"/>
      <c r="CG666" s="672"/>
      <c r="CH666" s="240"/>
      <c r="CI666" s="240"/>
      <c r="CJ666" s="240"/>
      <c r="CK666" s="240"/>
      <c r="CL666" s="240"/>
      <c r="CM666" s="728"/>
      <c r="CN666" s="728"/>
      <c r="CO666" s="728"/>
      <c r="CP666" s="728"/>
      <c r="CQ666" s="728"/>
      <c r="CR666" s="728"/>
      <c r="CS666" s="728"/>
      <c r="CT666" s="728"/>
      <c r="CU666" s="728"/>
      <c r="CV666" s="728"/>
      <c r="CW666" s="728"/>
      <c r="CX666" s="728"/>
      <c r="CY666" s="728"/>
      <c r="CZ666" s="728"/>
      <c r="DA666" s="728"/>
      <c r="DB666" s="728"/>
      <c r="DC666" s="728"/>
      <c r="DD666" s="728"/>
      <c r="DE666" s="728"/>
      <c r="DF666" s="728"/>
      <c r="DG666" s="195"/>
      <c r="DH666" s="1"/>
      <c r="DI666" s="3"/>
      <c r="DL666" s="4"/>
      <c r="DM666" s="4"/>
      <c r="DN666" s="4"/>
      <c r="DO666" s="4"/>
      <c r="DP666" s="4"/>
      <c r="DR666" s="195"/>
      <c r="DS666" s="195"/>
      <c r="DT666" s="195"/>
      <c r="DU666" s="195"/>
      <c r="DV666" s="195"/>
      <c r="DW666" s="195"/>
      <c r="DX666" s="195"/>
      <c r="DY666" s="195"/>
      <c r="DZ666" s="195"/>
      <c r="EA666" s="195"/>
      <c r="EB666" s="195"/>
      <c r="EC666" s="195"/>
      <c r="ED666" s="195"/>
      <c r="EE666" s="195"/>
      <c r="EF666" s="195"/>
      <c r="EG666" s="195"/>
      <c r="EL666" s="1"/>
      <c r="EM666" s="195"/>
      <c r="EN666" s="240"/>
      <c r="EO666" s="240"/>
      <c r="EP666" s="195"/>
      <c r="EQ666" s="240"/>
      <c r="ER666" s="195"/>
      <c r="ES666" s="195"/>
      <c r="ET666" s="195"/>
      <c r="EU666" s="672"/>
    </row>
    <row r="667" customFormat="false" ht="12.75" hidden="false" customHeight="false" outlineLevel="0" collapsed="false">
      <c r="I667" s="735"/>
      <c r="J667" s="728"/>
      <c r="K667" s="195"/>
      <c r="L667" s="195"/>
      <c r="Q667" s="195"/>
      <c r="R667" s="195"/>
      <c r="S667" s="240"/>
      <c r="T667" s="195"/>
      <c r="U667" s="195"/>
      <c r="V667" s="195"/>
      <c r="W667" s="195"/>
      <c r="X667" s="195"/>
      <c r="Y667" s="195"/>
      <c r="Z667" s="195"/>
      <c r="AA667" s="195"/>
      <c r="AB667" s="195"/>
      <c r="AC667" s="195"/>
      <c r="AD667" s="195"/>
      <c r="AE667" s="195"/>
      <c r="AF667" s="195"/>
      <c r="AG667" s="195"/>
      <c r="AH667" s="195"/>
      <c r="AI667" s="195"/>
      <c r="AJ667" s="195"/>
      <c r="AK667" s="195"/>
      <c r="AL667" s="195"/>
      <c r="AM667" s="195"/>
      <c r="AN667" s="1"/>
      <c r="AO667" s="240"/>
      <c r="AP667" s="240"/>
      <c r="AQ667" s="240"/>
      <c r="AR667" s="240"/>
      <c r="AS667" s="240"/>
      <c r="AT667" s="730"/>
      <c r="AU667" s="730"/>
      <c r="AV667" s="730"/>
      <c r="AW667" s="468"/>
      <c r="AX667" s="468"/>
      <c r="AY667" s="240"/>
      <c r="AZ667" s="240"/>
      <c r="BA667" s="240"/>
      <c r="BB667" s="240"/>
      <c r="BC667" s="240"/>
      <c r="BD667" s="240"/>
      <c r="BE667" s="672"/>
      <c r="BF667" s="731"/>
      <c r="BG667" s="731"/>
      <c r="BH667" s="731"/>
      <c r="BI667" s="736"/>
      <c r="BJ667" s="732"/>
      <c r="BK667" s="240"/>
      <c r="BL667" s="240"/>
      <c r="BM667" s="240"/>
      <c r="BN667" s="240"/>
      <c r="BO667" s="240"/>
      <c r="BP667" s="240"/>
      <c r="BQ667" s="240"/>
      <c r="BR667" s="240"/>
      <c r="BS667" s="240"/>
      <c r="BT667" s="240"/>
      <c r="BU667" s="240"/>
      <c r="BV667" s="240"/>
      <c r="BW667" s="240"/>
      <c r="BX667" s="672"/>
      <c r="BY667" s="240"/>
      <c r="BZ667" s="672"/>
      <c r="CA667" s="672"/>
      <c r="CB667" s="672"/>
      <c r="CC667" s="672"/>
      <c r="CD667" s="672"/>
      <c r="CE667" s="672"/>
      <c r="CF667" s="672"/>
      <c r="CG667" s="672"/>
      <c r="CH667" s="240"/>
      <c r="CI667" s="240"/>
      <c r="CJ667" s="240"/>
      <c r="CK667" s="240"/>
      <c r="CL667" s="240"/>
      <c r="CM667" s="728"/>
      <c r="CN667" s="728"/>
      <c r="CO667" s="728"/>
      <c r="CP667" s="728"/>
      <c r="CQ667" s="728"/>
      <c r="CR667" s="728"/>
      <c r="CS667" s="728"/>
      <c r="CT667" s="728"/>
      <c r="CU667" s="728"/>
      <c r="CV667" s="728"/>
      <c r="CW667" s="728"/>
      <c r="CX667" s="728"/>
      <c r="CY667" s="728"/>
      <c r="CZ667" s="728"/>
      <c r="DA667" s="728"/>
      <c r="DB667" s="728"/>
      <c r="DC667" s="728"/>
      <c r="DD667" s="728"/>
      <c r="DE667" s="728"/>
      <c r="DF667" s="728"/>
      <c r="DG667" s="195"/>
      <c r="DH667" s="1"/>
      <c r="DI667" s="3"/>
      <c r="DL667" s="4"/>
      <c r="DM667" s="4"/>
      <c r="DN667" s="4"/>
      <c r="DO667" s="4"/>
      <c r="DP667" s="4"/>
      <c r="DR667" s="195"/>
      <c r="DS667" s="195"/>
      <c r="DT667" s="195"/>
      <c r="DU667" s="195"/>
      <c r="DV667" s="195"/>
      <c r="DW667" s="195"/>
      <c r="DX667" s="195"/>
      <c r="DY667" s="195"/>
      <c r="DZ667" s="195"/>
      <c r="EA667" s="195"/>
      <c r="EB667" s="195"/>
      <c r="EC667" s="195"/>
      <c r="ED667" s="195"/>
      <c r="EE667" s="195"/>
      <c r="EF667" s="195"/>
      <c r="EG667" s="195"/>
      <c r="EL667" s="1"/>
      <c r="EM667" s="195"/>
      <c r="EN667" s="240"/>
      <c r="EO667" s="240"/>
      <c r="EP667" s="195"/>
      <c r="EQ667" s="240"/>
      <c r="ER667" s="195"/>
      <c r="ES667" s="195"/>
      <c r="ET667" s="195"/>
      <c r="EU667" s="672"/>
    </row>
    <row r="668" customFormat="false" ht="12.75" hidden="false" customHeight="false" outlineLevel="0" collapsed="false">
      <c r="I668" s="735"/>
      <c r="J668" s="728"/>
      <c r="K668" s="195"/>
      <c r="L668" s="195"/>
      <c r="Q668" s="195"/>
      <c r="R668" s="195"/>
      <c r="S668" s="240"/>
      <c r="T668" s="195"/>
      <c r="U668" s="195"/>
      <c r="V668" s="195"/>
      <c r="W668" s="195"/>
      <c r="X668" s="195"/>
      <c r="Y668" s="195"/>
      <c r="Z668" s="195"/>
      <c r="AA668" s="195"/>
      <c r="AB668" s="195"/>
      <c r="AC668" s="195"/>
      <c r="AD668" s="195"/>
      <c r="AE668" s="195"/>
      <c r="AF668" s="195"/>
      <c r="AG668" s="195"/>
      <c r="AH668" s="195"/>
      <c r="AI668" s="195"/>
      <c r="AJ668" s="195"/>
      <c r="AK668" s="195"/>
      <c r="AL668" s="195"/>
      <c r="AM668" s="195"/>
      <c r="AN668" s="1"/>
      <c r="AO668" s="240"/>
      <c r="AP668" s="240"/>
      <c r="AQ668" s="240"/>
      <c r="AR668" s="240"/>
      <c r="AS668" s="240"/>
      <c r="AT668" s="730"/>
      <c r="AU668" s="730"/>
      <c r="AV668" s="730"/>
      <c r="AW668" s="468"/>
      <c r="AX668" s="468"/>
      <c r="AY668" s="240"/>
      <c r="AZ668" s="240"/>
      <c r="BA668" s="240"/>
      <c r="BB668" s="240"/>
      <c r="BC668" s="240"/>
      <c r="BD668" s="240"/>
      <c r="BE668" s="672"/>
      <c r="BF668" s="731"/>
      <c r="BG668" s="731"/>
      <c r="BH668" s="731"/>
      <c r="BI668" s="736"/>
      <c r="BJ668" s="732"/>
      <c r="BK668" s="240"/>
      <c r="BL668" s="240"/>
      <c r="BM668" s="240"/>
      <c r="BN668" s="240"/>
      <c r="BO668" s="240"/>
      <c r="BP668" s="240"/>
      <c r="BQ668" s="240"/>
      <c r="BR668" s="240"/>
      <c r="BS668" s="240"/>
      <c r="BT668" s="240"/>
      <c r="BU668" s="240"/>
      <c r="BV668" s="240"/>
      <c r="BW668" s="240"/>
      <c r="BX668" s="672"/>
      <c r="BY668" s="240"/>
      <c r="BZ668" s="672"/>
      <c r="CA668" s="672"/>
      <c r="CB668" s="672"/>
      <c r="CC668" s="672"/>
      <c r="CD668" s="672"/>
      <c r="CE668" s="672"/>
      <c r="CF668" s="672"/>
      <c r="CG668" s="672"/>
      <c r="CH668" s="240"/>
      <c r="CI668" s="240"/>
      <c r="CJ668" s="240"/>
      <c r="CK668" s="240"/>
      <c r="CL668" s="240"/>
      <c r="CM668" s="728"/>
      <c r="CN668" s="728"/>
      <c r="CO668" s="728"/>
      <c r="CP668" s="728"/>
      <c r="CQ668" s="728"/>
      <c r="CR668" s="728"/>
      <c r="CS668" s="728"/>
      <c r="CT668" s="728"/>
      <c r="CU668" s="728"/>
      <c r="CV668" s="728"/>
      <c r="CW668" s="728"/>
      <c r="CX668" s="728"/>
      <c r="CY668" s="728"/>
      <c r="CZ668" s="728"/>
      <c r="DA668" s="728"/>
      <c r="DB668" s="728"/>
      <c r="DC668" s="728"/>
      <c r="DD668" s="728"/>
      <c r="DE668" s="728"/>
      <c r="DF668" s="728"/>
      <c r="DG668" s="195"/>
      <c r="DH668" s="1"/>
      <c r="DI668" s="3"/>
      <c r="DL668" s="4"/>
      <c r="DM668" s="4"/>
      <c r="DN668" s="4"/>
      <c r="DO668" s="4"/>
      <c r="DP668" s="4"/>
      <c r="DR668" s="195"/>
      <c r="DS668" s="195"/>
      <c r="DT668" s="195"/>
      <c r="DU668" s="195"/>
      <c r="DV668" s="195"/>
      <c r="DW668" s="195"/>
      <c r="DX668" s="195"/>
      <c r="DY668" s="195"/>
      <c r="DZ668" s="195"/>
      <c r="EA668" s="195"/>
      <c r="EB668" s="195"/>
      <c r="EC668" s="195"/>
      <c r="ED668" s="195"/>
      <c r="EE668" s="195"/>
      <c r="EF668" s="195"/>
      <c r="EG668" s="195"/>
      <c r="EL668" s="1"/>
      <c r="EM668" s="195"/>
      <c r="EN668" s="240"/>
      <c r="EO668" s="240"/>
      <c r="EP668" s="195"/>
      <c r="EQ668" s="240"/>
      <c r="ER668" s="195"/>
      <c r="ES668" s="195"/>
      <c r="ET668" s="195"/>
      <c r="EU668" s="672"/>
    </row>
    <row r="669" customFormat="false" ht="12.75" hidden="false" customHeight="false" outlineLevel="0" collapsed="false">
      <c r="I669" s="735"/>
      <c r="J669" s="728"/>
      <c r="K669" s="195"/>
      <c r="L669" s="195"/>
      <c r="Q669" s="195"/>
      <c r="R669" s="195"/>
      <c r="S669" s="240"/>
      <c r="T669" s="195"/>
      <c r="U669" s="195"/>
      <c r="V669" s="195"/>
      <c r="W669" s="195"/>
      <c r="X669" s="195"/>
      <c r="Y669" s="195"/>
      <c r="Z669" s="195"/>
      <c r="AA669" s="195"/>
      <c r="AB669" s="195"/>
      <c r="AC669" s="195"/>
      <c r="AD669" s="195"/>
      <c r="AE669" s="195"/>
      <c r="AF669" s="195"/>
      <c r="AG669" s="195"/>
      <c r="AH669" s="195"/>
      <c r="AI669" s="195"/>
      <c r="AJ669" s="195"/>
      <c r="AK669" s="195"/>
      <c r="AL669" s="195"/>
      <c r="AM669" s="195"/>
      <c r="AN669" s="1"/>
      <c r="AO669" s="240"/>
      <c r="AP669" s="240"/>
      <c r="AQ669" s="240"/>
      <c r="AR669" s="240"/>
      <c r="AS669" s="240"/>
      <c r="AT669" s="730"/>
      <c r="AU669" s="730"/>
      <c r="AV669" s="730"/>
      <c r="AW669" s="468"/>
      <c r="AX669" s="468"/>
      <c r="AY669" s="240"/>
      <c r="AZ669" s="240"/>
      <c r="BA669" s="240"/>
      <c r="BB669" s="240"/>
      <c r="BC669" s="240"/>
      <c r="BD669" s="240"/>
      <c r="BE669" s="672"/>
      <c r="BF669" s="731"/>
      <c r="BG669" s="731"/>
      <c r="BH669" s="731"/>
      <c r="BI669" s="736"/>
      <c r="BJ669" s="732"/>
      <c r="BK669" s="240"/>
      <c r="BL669" s="240"/>
      <c r="BM669" s="240"/>
      <c r="BN669" s="240"/>
      <c r="BO669" s="240"/>
      <c r="BP669" s="240"/>
      <c r="BQ669" s="240"/>
      <c r="BR669" s="240"/>
      <c r="BS669" s="240"/>
      <c r="BT669" s="240"/>
      <c r="BU669" s="240"/>
      <c r="BV669" s="240"/>
      <c r="BW669" s="240"/>
      <c r="BX669" s="672"/>
      <c r="BY669" s="240"/>
      <c r="BZ669" s="672"/>
      <c r="CA669" s="672"/>
      <c r="CB669" s="672"/>
      <c r="CC669" s="672"/>
      <c r="CD669" s="672"/>
      <c r="CE669" s="672"/>
      <c r="CF669" s="672"/>
      <c r="CG669" s="672"/>
      <c r="CH669" s="240"/>
      <c r="CI669" s="240"/>
      <c r="CJ669" s="240"/>
      <c r="CK669" s="240"/>
      <c r="CL669" s="240"/>
      <c r="CM669" s="728"/>
      <c r="CN669" s="728"/>
      <c r="CO669" s="728"/>
      <c r="CP669" s="728"/>
      <c r="CQ669" s="728"/>
      <c r="CR669" s="728"/>
      <c r="CS669" s="728"/>
      <c r="CT669" s="728"/>
      <c r="CU669" s="728"/>
      <c r="CV669" s="728"/>
      <c r="CW669" s="728"/>
      <c r="CX669" s="728"/>
      <c r="CY669" s="728"/>
      <c r="CZ669" s="728"/>
      <c r="DA669" s="728"/>
      <c r="DB669" s="728"/>
      <c r="DC669" s="728"/>
      <c r="DD669" s="728"/>
      <c r="DE669" s="728"/>
      <c r="DF669" s="728"/>
      <c r="DG669" s="195"/>
      <c r="DH669" s="1"/>
      <c r="DI669" s="3"/>
      <c r="DL669" s="4"/>
      <c r="DM669" s="4"/>
      <c r="DN669" s="4"/>
      <c r="DO669" s="4"/>
      <c r="DP669" s="4"/>
      <c r="DR669" s="195"/>
      <c r="DS669" s="195"/>
      <c r="DT669" s="195"/>
      <c r="DU669" s="195"/>
      <c r="DV669" s="195"/>
      <c r="DW669" s="195"/>
      <c r="DX669" s="195"/>
      <c r="DY669" s="195"/>
      <c r="DZ669" s="195"/>
      <c r="EA669" s="195"/>
      <c r="EB669" s="195"/>
      <c r="EC669" s="195"/>
      <c r="ED669" s="195"/>
      <c r="EE669" s="195"/>
      <c r="EF669" s="195"/>
      <c r="EG669" s="195"/>
      <c r="EL669" s="1"/>
      <c r="EM669" s="195"/>
      <c r="EN669" s="240"/>
      <c r="EO669" s="240"/>
      <c r="EP669" s="195"/>
      <c r="EQ669" s="240"/>
      <c r="ER669" s="195"/>
      <c r="ES669" s="195"/>
      <c r="ET669" s="195"/>
      <c r="EU669" s="672"/>
    </row>
    <row r="670" customFormat="false" ht="12.75" hidden="false" customHeight="false" outlineLevel="0" collapsed="false">
      <c r="I670" s="735"/>
      <c r="J670" s="728"/>
      <c r="K670" s="195"/>
      <c r="L670" s="195"/>
      <c r="Q670" s="195"/>
      <c r="R670" s="195"/>
      <c r="S670" s="240"/>
      <c r="T670" s="195"/>
      <c r="U670" s="195"/>
      <c r="V670" s="195"/>
      <c r="W670" s="195"/>
      <c r="X670" s="195"/>
      <c r="Y670" s="195"/>
      <c r="Z670" s="195"/>
      <c r="AA670" s="195"/>
      <c r="AB670" s="195"/>
      <c r="AC670" s="195"/>
      <c r="AD670" s="195"/>
      <c r="AE670" s="195"/>
      <c r="AF670" s="195"/>
      <c r="AG670" s="195"/>
      <c r="AH670" s="195"/>
      <c r="AI670" s="195"/>
      <c r="AJ670" s="195"/>
      <c r="AK670" s="195"/>
      <c r="AL670" s="195"/>
      <c r="AM670" s="195"/>
      <c r="AN670" s="1"/>
      <c r="AO670" s="240"/>
      <c r="AP670" s="240"/>
      <c r="AQ670" s="240"/>
      <c r="AR670" s="240"/>
      <c r="AS670" s="240"/>
      <c r="AT670" s="730"/>
      <c r="AU670" s="730"/>
      <c r="AV670" s="730"/>
      <c r="AW670" s="468"/>
      <c r="AX670" s="468"/>
      <c r="AY670" s="240"/>
      <c r="AZ670" s="240"/>
      <c r="BA670" s="240"/>
      <c r="BB670" s="240"/>
      <c r="BC670" s="240"/>
      <c r="BD670" s="240"/>
      <c r="BE670" s="672"/>
      <c r="BF670" s="731"/>
      <c r="BG670" s="731"/>
      <c r="BH670" s="731"/>
      <c r="BI670" s="736"/>
      <c r="BJ670" s="732"/>
      <c r="BK670" s="240"/>
      <c r="BL670" s="240"/>
      <c r="BM670" s="240"/>
      <c r="BN670" s="240"/>
      <c r="BO670" s="240"/>
      <c r="BP670" s="240"/>
      <c r="BQ670" s="240"/>
      <c r="BR670" s="240"/>
      <c r="BS670" s="240"/>
      <c r="BT670" s="240"/>
      <c r="BU670" s="240"/>
      <c r="BV670" s="240"/>
      <c r="BW670" s="240"/>
      <c r="BX670" s="672"/>
      <c r="BY670" s="240"/>
      <c r="BZ670" s="672"/>
      <c r="CA670" s="672"/>
      <c r="CB670" s="672"/>
      <c r="CC670" s="672"/>
      <c r="CD670" s="672"/>
      <c r="CE670" s="672"/>
      <c r="CF670" s="672"/>
      <c r="CG670" s="672"/>
      <c r="CH670" s="240"/>
      <c r="CI670" s="240"/>
      <c r="CJ670" s="240"/>
      <c r="CK670" s="240"/>
      <c r="CL670" s="240"/>
      <c r="CM670" s="728"/>
      <c r="CN670" s="728"/>
      <c r="CO670" s="728"/>
      <c r="CP670" s="728"/>
      <c r="CQ670" s="728"/>
      <c r="CR670" s="728"/>
      <c r="CS670" s="728"/>
      <c r="CT670" s="728"/>
      <c r="CU670" s="728"/>
      <c r="CV670" s="728"/>
      <c r="CW670" s="728"/>
      <c r="CX670" s="728"/>
      <c r="CY670" s="728"/>
      <c r="CZ670" s="728"/>
      <c r="DA670" s="728"/>
      <c r="DB670" s="728"/>
      <c r="DC670" s="728"/>
      <c r="DD670" s="728"/>
      <c r="DE670" s="728"/>
      <c r="DF670" s="728"/>
      <c r="DG670" s="195"/>
      <c r="DH670" s="1"/>
      <c r="DI670" s="3"/>
      <c r="DL670" s="4"/>
      <c r="DM670" s="4"/>
      <c r="DN670" s="4"/>
      <c r="DO670" s="4"/>
      <c r="DP670" s="4"/>
      <c r="DR670" s="195"/>
      <c r="DS670" s="195"/>
      <c r="DT670" s="195"/>
      <c r="DU670" s="195"/>
      <c r="DV670" s="195"/>
      <c r="DW670" s="195"/>
      <c r="DX670" s="195"/>
      <c r="DY670" s="195"/>
      <c r="DZ670" s="195"/>
      <c r="EA670" s="195"/>
      <c r="EB670" s="195"/>
      <c r="EC670" s="195"/>
      <c r="ED670" s="195"/>
      <c r="EE670" s="195"/>
      <c r="EF670" s="195"/>
      <c r="EG670" s="195"/>
      <c r="EL670" s="1"/>
      <c r="EM670" s="195"/>
      <c r="EN670" s="240"/>
      <c r="EO670" s="240"/>
      <c r="EP670" s="195"/>
      <c r="EQ670" s="240"/>
      <c r="ER670" s="195"/>
      <c r="ES670" s="195"/>
      <c r="ET670" s="195"/>
      <c r="EU670" s="672"/>
    </row>
    <row r="671" customFormat="false" ht="12.75" hidden="false" customHeight="false" outlineLevel="0" collapsed="false">
      <c r="I671" s="735"/>
      <c r="J671" s="728"/>
      <c r="K671" s="195"/>
      <c r="L671" s="195"/>
      <c r="Q671" s="195"/>
      <c r="R671" s="195"/>
      <c r="S671" s="240"/>
      <c r="T671" s="195"/>
      <c r="U671" s="195"/>
      <c r="V671" s="195"/>
      <c r="W671" s="195"/>
      <c r="X671" s="195"/>
      <c r="Y671" s="195"/>
      <c r="Z671" s="195"/>
      <c r="AA671" s="195"/>
      <c r="AB671" s="195"/>
      <c r="AC671" s="195"/>
      <c r="AD671" s="195"/>
      <c r="AE671" s="195"/>
      <c r="AF671" s="195"/>
      <c r="AG671" s="195"/>
      <c r="AH671" s="195"/>
      <c r="AI671" s="195"/>
      <c r="AJ671" s="195"/>
      <c r="AK671" s="195"/>
      <c r="AL671" s="195"/>
      <c r="AM671" s="195"/>
      <c r="AN671" s="1"/>
      <c r="AO671" s="240"/>
      <c r="AP671" s="240"/>
      <c r="AQ671" s="240"/>
      <c r="AR671" s="240"/>
      <c r="AS671" s="240"/>
      <c r="AT671" s="730"/>
      <c r="AU671" s="730"/>
      <c r="AV671" s="730"/>
      <c r="AW671" s="468"/>
      <c r="AX671" s="468"/>
      <c r="AY671" s="240"/>
      <c r="AZ671" s="240"/>
      <c r="BA671" s="240"/>
      <c r="BB671" s="240"/>
      <c r="BC671" s="240"/>
      <c r="BD671" s="240"/>
      <c r="BE671" s="672"/>
      <c r="BF671" s="731"/>
      <c r="BG671" s="731"/>
      <c r="BH671" s="731"/>
      <c r="BI671" s="736"/>
      <c r="BJ671" s="732"/>
      <c r="BK671" s="240"/>
      <c r="BL671" s="240"/>
      <c r="BM671" s="240"/>
      <c r="BN671" s="240"/>
      <c r="BO671" s="240"/>
      <c r="BP671" s="240"/>
      <c r="BQ671" s="240"/>
      <c r="BR671" s="240"/>
      <c r="BS671" s="240"/>
      <c r="BT671" s="240"/>
      <c r="BU671" s="240"/>
      <c r="BV671" s="240"/>
      <c r="BW671" s="240"/>
      <c r="BX671" s="672"/>
      <c r="BY671" s="240"/>
      <c r="BZ671" s="672"/>
      <c r="CA671" s="672"/>
      <c r="CB671" s="672"/>
      <c r="CC671" s="672"/>
      <c r="CD671" s="672"/>
      <c r="CE671" s="672"/>
      <c r="CF671" s="672"/>
      <c r="CG671" s="672"/>
      <c r="CH671" s="240"/>
      <c r="CI671" s="240"/>
      <c r="CJ671" s="240"/>
      <c r="CK671" s="240"/>
      <c r="CL671" s="240"/>
      <c r="CM671" s="728"/>
      <c r="CN671" s="728"/>
      <c r="CO671" s="728"/>
      <c r="CP671" s="728"/>
      <c r="CQ671" s="728"/>
      <c r="CR671" s="728"/>
      <c r="CS671" s="728"/>
      <c r="CT671" s="728"/>
      <c r="CU671" s="728"/>
      <c r="CV671" s="728"/>
      <c r="CW671" s="728"/>
      <c r="CX671" s="728"/>
      <c r="CY671" s="728"/>
      <c r="CZ671" s="728"/>
      <c r="DA671" s="728"/>
      <c r="DB671" s="728"/>
      <c r="DC671" s="728"/>
      <c r="DD671" s="728"/>
      <c r="DE671" s="728"/>
      <c r="DF671" s="728"/>
      <c r="DG671" s="195"/>
      <c r="DH671" s="1"/>
      <c r="DI671" s="3"/>
      <c r="DL671" s="4"/>
      <c r="DM671" s="4"/>
      <c r="DN671" s="4"/>
      <c r="DO671" s="4"/>
      <c r="DP671" s="4"/>
      <c r="DR671" s="195"/>
      <c r="DS671" s="195"/>
      <c r="DT671" s="195"/>
      <c r="DU671" s="195"/>
      <c r="DV671" s="195"/>
      <c r="DW671" s="195"/>
      <c r="DX671" s="195"/>
      <c r="DY671" s="195"/>
      <c r="DZ671" s="195"/>
      <c r="EA671" s="195"/>
      <c r="EB671" s="195"/>
      <c r="EC671" s="195"/>
      <c r="ED671" s="195"/>
      <c r="EE671" s="195"/>
      <c r="EF671" s="195"/>
      <c r="EG671" s="195"/>
      <c r="EL671" s="1"/>
      <c r="EM671" s="195"/>
      <c r="EN671" s="240"/>
      <c r="EO671" s="240"/>
      <c r="EP671" s="195"/>
      <c r="EQ671" s="240"/>
      <c r="ER671" s="195"/>
      <c r="ES671" s="195"/>
      <c r="ET671" s="195"/>
      <c r="EU671" s="672"/>
    </row>
    <row r="672" customFormat="false" ht="12.75" hidden="false" customHeight="false" outlineLevel="0" collapsed="false">
      <c r="I672" s="735"/>
      <c r="J672" s="728"/>
      <c r="K672" s="195"/>
      <c r="L672" s="195"/>
      <c r="Q672" s="195"/>
      <c r="R672" s="195"/>
      <c r="S672" s="240"/>
      <c r="T672" s="195"/>
      <c r="U672" s="195"/>
      <c r="V672" s="195"/>
      <c r="W672" s="195"/>
      <c r="X672" s="195"/>
      <c r="Y672" s="195"/>
      <c r="Z672" s="195"/>
      <c r="AA672" s="195"/>
      <c r="AB672" s="195"/>
      <c r="AC672" s="195"/>
      <c r="AD672" s="195"/>
      <c r="AE672" s="195"/>
      <c r="AF672" s="195"/>
      <c r="AG672" s="195"/>
      <c r="AH672" s="195"/>
      <c r="AI672" s="195"/>
      <c r="AJ672" s="195"/>
      <c r="AK672" s="195"/>
      <c r="AL672" s="195"/>
      <c r="AM672" s="195"/>
      <c r="AN672" s="1"/>
      <c r="AO672" s="240"/>
      <c r="AP672" s="240"/>
      <c r="AQ672" s="240"/>
      <c r="AR672" s="240"/>
      <c r="AS672" s="240"/>
      <c r="AT672" s="730"/>
      <c r="AU672" s="730"/>
      <c r="AV672" s="730"/>
      <c r="AW672" s="468"/>
      <c r="AX672" s="468"/>
      <c r="AY672" s="240"/>
      <c r="AZ672" s="240"/>
      <c r="BA672" s="240"/>
      <c r="BB672" s="240"/>
      <c r="BC672" s="240"/>
      <c r="BD672" s="240"/>
      <c r="BE672" s="672"/>
      <c r="BF672" s="731"/>
      <c r="BG672" s="731"/>
      <c r="BH672" s="731"/>
      <c r="BI672" s="736"/>
      <c r="BJ672" s="732"/>
      <c r="BK672" s="240"/>
      <c r="BL672" s="240"/>
      <c r="BM672" s="240"/>
      <c r="BN672" s="240"/>
      <c r="BO672" s="240"/>
      <c r="BP672" s="240"/>
      <c r="BQ672" s="240"/>
      <c r="BR672" s="240"/>
      <c r="BS672" s="240"/>
      <c r="BT672" s="240"/>
      <c r="BU672" s="240"/>
      <c r="BV672" s="240"/>
      <c r="BW672" s="240"/>
      <c r="BX672" s="672"/>
      <c r="BY672" s="240"/>
      <c r="BZ672" s="672"/>
      <c r="CA672" s="672"/>
      <c r="CB672" s="672"/>
      <c r="CC672" s="672"/>
      <c r="CD672" s="672"/>
      <c r="CE672" s="672"/>
      <c r="CF672" s="672"/>
      <c r="CG672" s="672"/>
      <c r="CH672" s="240"/>
      <c r="CI672" s="240"/>
      <c r="CJ672" s="240"/>
      <c r="CK672" s="240"/>
      <c r="CL672" s="240"/>
      <c r="CM672" s="728"/>
      <c r="CN672" s="728"/>
      <c r="CO672" s="728"/>
      <c r="CP672" s="728"/>
      <c r="CQ672" s="728"/>
      <c r="CR672" s="728"/>
      <c r="CS672" s="728"/>
      <c r="CT672" s="728"/>
      <c r="CU672" s="728"/>
      <c r="CV672" s="728"/>
      <c r="CW672" s="728"/>
      <c r="CX672" s="728"/>
      <c r="CY672" s="728"/>
      <c r="CZ672" s="728"/>
      <c r="DA672" s="728"/>
      <c r="DB672" s="728"/>
      <c r="DC672" s="728"/>
      <c r="DD672" s="728"/>
      <c r="DE672" s="728"/>
      <c r="DF672" s="728"/>
      <c r="DG672" s="195"/>
      <c r="DH672" s="1"/>
      <c r="DI672" s="3"/>
      <c r="DL672" s="4"/>
      <c r="DM672" s="4"/>
      <c r="DN672" s="4"/>
      <c r="DO672" s="4"/>
      <c r="DP672" s="4"/>
      <c r="DR672" s="195"/>
      <c r="DS672" s="195"/>
      <c r="DT672" s="195"/>
      <c r="DU672" s="195"/>
      <c r="DV672" s="195"/>
      <c r="DW672" s="195"/>
      <c r="DX672" s="195"/>
      <c r="DY672" s="195"/>
      <c r="DZ672" s="195"/>
      <c r="EA672" s="195"/>
      <c r="EB672" s="195"/>
      <c r="EC672" s="195"/>
      <c r="ED672" s="195"/>
      <c r="EE672" s="195"/>
      <c r="EF672" s="195"/>
      <c r="EG672" s="195"/>
      <c r="EL672" s="1"/>
      <c r="EM672" s="195"/>
      <c r="EN672" s="240"/>
      <c r="EO672" s="240"/>
      <c r="EP672" s="195"/>
      <c r="EQ672" s="240"/>
      <c r="ER672" s="195"/>
      <c r="ES672" s="195"/>
      <c r="ET672" s="195"/>
      <c r="EU672" s="672"/>
    </row>
    <row r="673" customFormat="false" ht="12.75" hidden="false" customHeight="false" outlineLevel="0" collapsed="false">
      <c r="I673" s="735"/>
      <c r="J673" s="728"/>
      <c r="K673" s="195"/>
      <c r="L673" s="195"/>
      <c r="Q673" s="195"/>
      <c r="R673" s="195"/>
      <c r="S673" s="240"/>
      <c r="T673" s="195"/>
      <c r="U673" s="195"/>
      <c r="V673" s="195"/>
      <c r="W673" s="195"/>
      <c r="X673" s="195"/>
      <c r="Y673" s="195"/>
      <c r="Z673" s="195"/>
      <c r="AA673" s="195"/>
      <c r="AB673" s="195"/>
      <c r="AC673" s="195"/>
      <c r="AD673" s="195"/>
      <c r="AE673" s="195"/>
      <c r="AF673" s="195"/>
      <c r="AG673" s="195"/>
      <c r="AH673" s="195"/>
      <c r="AI673" s="195"/>
      <c r="AJ673" s="195"/>
      <c r="AK673" s="195"/>
      <c r="AL673" s="195"/>
      <c r="AM673" s="195"/>
      <c r="AN673" s="1"/>
      <c r="AO673" s="240"/>
      <c r="AP673" s="240"/>
      <c r="AQ673" s="240"/>
      <c r="AR673" s="240"/>
      <c r="AS673" s="240"/>
      <c r="AT673" s="730"/>
      <c r="AU673" s="730"/>
      <c r="AV673" s="730"/>
      <c r="AW673" s="468"/>
      <c r="AX673" s="468"/>
      <c r="AY673" s="240"/>
      <c r="AZ673" s="240"/>
      <c r="BA673" s="240"/>
      <c r="BB673" s="240"/>
      <c r="BC673" s="240"/>
      <c r="BD673" s="240"/>
      <c r="BE673" s="672"/>
      <c r="BF673" s="731"/>
      <c r="BG673" s="731"/>
      <c r="BH673" s="731"/>
      <c r="BI673" s="736"/>
      <c r="BJ673" s="732"/>
      <c r="BK673" s="240"/>
      <c r="BL673" s="240"/>
      <c r="BM673" s="240"/>
      <c r="BN673" s="240"/>
      <c r="BO673" s="240"/>
      <c r="BP673" s="240"/>
      <c r="BQ673" s="240"/>
      <c r="BR673" s="240"/>
      <c r="BS673" s="240"/>
      <c r="BT673" s="240"/>
      <c r="BU673" s="240"/>
      <c r="BV673" s="240"/>
      <c r="BW673" s="240"/>
      <c r="BX673" s="672"/>
      <c r="BY673" s="240"/>
      <c r="BZ673" s="672"/>
      <c r="CA673" s="672"/>
      <c r="CB673" s="672"/>
      <c r="CC673" s="672"/>
      <c r="CD673" s="672"/>
      <c r="CE673" s="672"/>
      <c r="CF673" s="672"/>
      <c r="CG673" s="672"/>
      <c r="CH673" s="240"/>
      <c r="CI673" s="240"/>
      <c r="CJ673" s="240"/>
      <c r="CK673" s="240"/>
      <c r="CL673" s="240"/>
      <c r="CM673" s="728"/>
      <c r="CN673" s="728"/>
      <c r="CO673" s="728"/>
      <c r="CP673" s="728"/>
      <c r="CQ673" s="728"/>
      <c r="CR673" s="728"/>
      <c r="CS673" s="728"/>
      <c r="CT673" s="728"/>
      <c r="CU673" s="728"/>
      <c r="CV673" s="728"/>
      <c r="CW673" s="728"/>
      <c r="CX673" s="728"/>
      <c r="CY673" s="728"/>
      <c r="CZ673" s="728"/>
      <c r="DA673" s="728"/>
      <c r="DB673" s="728"/>
      <c r="DC673" s="728"/>
      <c r="DD673" s="728"/>
      <c r="DE673" s="728"/>
      <c r="DF673" s="728"/>
      <c r="DG673" s="195"/>
      <c r="DH673" s="1"/>
      <c r="DI673" s="3"/>
      <c r="DL673" s="4"/>
      <c r="DM673" s="4"/>
      <c r="DN673" s="4"/>
      <c r="DO673" s="4"/>
      <c r="DP673" s="4"/>
      <c r="DR673" s="195"/>
      <c r="DS673" s="195"/>
      <c r="DT673" s="195"/>
      <c r="DU673" s="195"/>
      <c r="DV673" s="195"/>
      <c r="DW673" s="195"/>
      <c r="DX673" s="195"/>
      <c r="DY673" s="195"/>
      <c r="DZ673" s="195"/>
      <c r="EA673" s="195"/>
      <c r="EB673" s="195"/>
      <c r="EC673" s="195"/>
      <c r="ED673" s="195"/>
      <c r="EE673" s="195"/>
      <c r="EF673" s="195"/>
      <c r="EG673" s="195"/>
      <c r="EL673" s="1"/>
      <c r="EM673" s="195"/>
      <c r="EN673" s="240"/>
      <c r="EO673" s="240"/>
      <c r="EP673" s="195"/>
      <c r="EQ673" s="240"/>
      <c r="ER673" s="195"/>
      <c r="ES673" s="195"/>
      <c r="ET673" s="195"/>
      <c r="EU673" s="672"/>
    </row>
    <row r="674" customFormat="false" ht="12.75" hidden="false" customHeight="false" outlineLevel="0" collapsed="false">
      <c r="I674" s="735"/>
      <c r="J674" s="728"/>
      <c r="K674" s="195"/>
      <c r="L674" s="195"/>
      <c r="Q674" s="195"/>
      <c r="R674" s="195"/>
      <c r="S674" s="240"/>
      <c r="T674" s="195"/>
      <c r="U674" s="195"/>
      <c r="V674" s="195"/>
      <c r="W674" s="195"/>
      <c r="X674" s="195"/>
      <c r="Y674" s="195"/>
      <c r="Z674" s="195"/>
      <c r="AA674" s="195"/>
      <c r="AB674" s="195"/>
      <c r="AC674" s="195"/>
      <c r="AD674" s="195"/>
      <c r="AE674" s="195"/>
      <c r="AF674" s="195"/>
      <c r="AG674" s="195"/>
      <c r="AH674" s="195"/>
      <c r="AI674" s="195"/>
      <c r="AJ674" s="195"/>
      <c r="AK674" s="195"/>
      <c r="AL674" s="195"/>
      <c r="AM674" s="195"/>
      <c r="AN674" s="1"/>
      <c r="AO674" s="240"/>
      <c r="AP674" s="240"/>
      <c r="AQ674" s="240"/>
      <c r="AR674" s="240"/>
      <c r="AS674" s="240"/>
      <c r="AT674" s="730"/>
      <c r="AU674" s="730"/>
      <c r="AV674" s="730"/>
      <c r="AW674" s="468"/>
      <c r="AX674" s="468"/>
      <c r="AY674" s="240"/>
      <c r="AZ674" s="240"/>
      <c r="BA674" s="240"/>
      <c r="BB674" s="240"/>
      <c r="BC674" s="240"/>
      <c r="BD674" s="240"/>
      <c r="BE674" s="672"/>
      <c r="BF674" s="731"/>
      <c r="BG674" s="731"/>
      <c r="BH674" s="731"/>
      <c r="BI674" s="736"/>
      <c r="BJ674" s="732"/>
      <c r="BK674" s="240"/>
      <c r="BL674" s="240"/>
      <c r="BM674" s="240"/>
      <c r="BN674" s="240"/>
      <c r="BO674" s="240"/>
      <c r="BP674" s="240"/>
      <c r="BQ674" s="240"/>
      <c r="BR674" s="240"/>
      <c r="BS674" s="240"/>
      <c r="BT674" s="240"/>
      <c r="BU674" s="240"/>
      <c r="BV674" s="240"/>
      <c r="BW674" s="240"/>
      <c r="BX674" s="672"/>
      <c r="BY674" s="240"/>
      <c r="BZ674" s="672"/>
      <c r="CA674" s="672"/>
      <c r="CB674" s="672"/>
      <c r="CC674" s="672"/>
      <c r="CD674" s="672"/>
      <c r="CE674" s="672"/>
      <c r="CF674" s="672"/>
      <c r="CG674" s="672"/>
      <c r="CH674" s="240"/>
      <c r="CI674" s="240"/>
      <c r="CJ674" s="240"/>
      <c r="CK674" s="240"/>
      <c r="CL674" s="240"/>
      <c r="CM674" s="728"/>
      <c r="CN674" s="728"/>
      <c r="CO674" s="728"/>
      <c r="CP674" s="728"/>
      <c r="CQ674" s="728"/>
      <c r="CR674" s="728"/>
      <c r="CS674" s="728"/>
      <c r="CT674" s="728"/>
      <c r="CU674" s="728"/>
      <c r="CV674" s="728"/>
      <c r="CW674" s="728"/>
      <c r="CX674" s="728"/>
      <c r="CY674" s="728"/>
      <c r="CZ674" s="728"/>
      <c r="DA674" s="728"/>
      <c r="DB674" s="728"/>
      <c r="DC674" s="728"/>
      <c r="DD674" s="728"/>
      <c r="DE674" s="728"/>
      <c r="DF674" s="728"/>
      <c r="DG674" s="195"/>
      <c r="DH674" s="1"/>
      <c r="DI674" s="3"/>
      <c r="DL674" s="4"/>
      <c r="DM674" s="4"/>
      <c r="DN674" s="4"/>
      <c r="DO674" s="4"/>
      <c r="DP674" s="4"/>
      <c r="DR674" s="195"/>
      <c r="DS674" s="195"/>
      <c r="DT674" s="195"/>
      <c r="DU674" s="195"/>
      <c r="DV674" s="195"/>
      <c r="DW674" s="195"/>
      <c r="DX674" s="195"/>
      <c r="DY674" s="195"/>
      <c r="DZ674" s="195"/>
      <c r="EA674" s="195"/>
      <c r="EB674" s="195"/>
      <c r="EC674" s="195"/>
      <c r="ED674" s="195"/>
      <c r="EE674" s="195"/>
      <c r="EF674" s="195"/>
      <c r="EG674" s="195"/>
      <c r="EL674" s="1"/>
      <c r="EM674" s="195"/>
      <c r="EN674" s="240"/>
      <c r="EO674" s="240"/>
      <c r="EP674" s="195"/>
      <c r="EQ674" s="240"/>
      <c r="ER674" s="195"/>
      <c r="ES674" s="195"/>
      <c r="ET674" s="195"/>
      <c r="EU674" s="672"/>
    </row>
    <row r="675" customFormat="false" ht="12.75" hidden="false" customHeight="false" outlineLevel="0" collapsed="false">
      <c r="I675" s="735"/>
      <c r="J675" s="728"/>
      <c r="K675" s="195"/>
      <c r="L675" s="195"/>
      <c r="Q675" s="195"/>
      <c r="R675" s="195"/>
      <c r="S675" s="240"/>
      <c r="T675" s="195"/>
      <c r="U675" s="195"/>
      <c r="V675" s="195"/>
      <c r="W675" s="195"/>
      <c r="X675" s="195"/>
      <c r="Y675" s="195"/>
      <c r="Z675" s="195"/>
      <c r="AA675" s="195"/>
      <c r="AB675" s="195"/>
      <c r="AC675" s="195"/>
      <c r="AD675" s="195"/>
      <c r="AE675" s="195"/>
      <c r="AF675" s="195"/>
      <c r="AG675" s="195"/>
      <c r="AH675" s="195"/>
      <c r="AI675" s="195"/>
      <c r="AJ675" s="195"/>
      <c r="AK675" s="195"/>
      <c r="AL675" s="195"/>
      <c r="AM675" s="195"/>
      <c r="AN675" s="1"/>
      <c r="AO675" s="240"/>
      <c r="AP675" s="240"/>
      <c r="AQ675" s="240"/>
      <c r="AR675" s="240"/>
      <c r="AS675" s="240"/>
      <c r="AT675" s="730"/>
      <c r="AU675" s="730"/>
      <c r="AV675" s="730"/>
      <c r="AW675" s="468"/>
      <c r="AX675" s="468"/>
      <c r="AY675" s="240"/>
      <c r="AZ675" s="240"/>
      <c r="BA675" s="240"/>
      <c r="BB675" s="240"/>
      <c r="BC675" s="240"/>
      <c r="BD675" s="240"/>
      <c r="BE675" s="672"/>
      <c r="BF675" s="731"/>
      <c r="BG675" s="731"/>
      <c r="BH675" s="731"/>
      <c r="BI675" s="736"/>
      <c r="BJ675" s="732"/>
      <c r="BK675" s="240"/>
      <c r="BL675" s="240"/>
      <c r="BM675" s="240"/>
      <c r="BN675" s="240"/>
      <c r="BO675" s="240"/>
      <c r="BP675" s="240"/>
      <c r="BQ675" s="240"/>
      <c r="BR675" s="240"/>
      <c r="BS675" s="240"/>
      <c r="BT675" s="240"/>
      <c r="BU675" s="240"/>
      <c r="BV675" s="240"/>
      <c r="BW675" s="240"/>
      <c r="BX675" s="672"/>
      <c r="BY675" s="240"/>
      <c r="BZ675" s="672"/>
      <c r="CA675" s="672"/>
      <c r="CB675" s="672"/>
      <c r="CC675" s="672"/>
      <c r="CD675" s="672"/>
      <c r="CE675" s="672"/>
      <c r="CF675" s="672"/>
      <c r="CG675" s="672"/>
      <c r="CH675" s="240"/>
      <c r="CI675" s="240"/>
      <c r="CJ675" s="240"/>
      <c r="CK675" s="240"/>
      <c r="CL675" s="240"/>
      <c r="CM675" s="728"/>
      <c r="CN675" s="728"/>
      <c r="CO675" s="728"/>
      <c r="CP675" s="728"/>
      <c r="CQ675" s="728"/>
      <c r="CR675" s="728"/>
      <c r="CS675" s="728"/>
      <c r="CT675" s="728"/>
      <c r="CU675" s="728"/>
      <c r="CV675" s="728"/>
      <c r="CW675" s="728"/>
      <c r="CX675" s="728"/>
      <c r="CY675" s="728"/>
      <c r="CZ675" s="728"/>
      <c r="DA675" s="728"/>
      <c r="DB675" s="728"/>
      <c r="DC675" s="728"/>
      <c r="DD675" s="728"/>
      <c r="DE675" s="728"/>
      <c r="DF675" s="728"/>
      <c r="DG675" s="195"/>
      <c r="DH675" s="1"/>
      <c r="DI675" s="3"/>
      <c r="DL675" s="4"/>
      <c r="DM675" s="4"/>
      <c r="DN675" s="4"/>
      <c r="DO675" s="4"/>
      <c r="DP675" s="4"/>
      <c r="DR675" s="195"/>
      <c r="DS675" s="195"/>
      <c r="DT675" s="195"/>
      <c r="DU675" s="195"/>
      <c r="DV675" s="195"/>
      <c r="DW675" s="195"/>
      <c r="DX675" s="195"/>
      <c r="DY675" s="195"/>
      <c r="DZ675" s="195"/>
      <c r="EA675" s="195"/>
      <c r="EB675" s="195"/>
      <c r="EC675" s="195"/>
      <c r="ED675" s="195"/>
      <c r="EE675" s="195"/>
      <c r="EF675" s="195"/>
      <c r="EG675" s="195"/>
      <c r="EL675" s="1"/>
      <c r="EM675" s="195"/>
      <c r="EN675" s="240"/>
      <c r="EO675" s="240"/>
      <c r="EP675" s="195"/>
      <c r="EQ675" s="240"/>
      <c r="ER675" s="195"/>
      <c r="ES675" s="195"/>
      <c r="ET675" s="195"/>
      <c r="EU675" s="672"/>
    </row>
    <row r="676" customFormat="false" ht="12.75" hidden="false" customHeight="false" outlineLevel="0" collapsed="false">
      <c r="I676" s="735"/>
      <c r="J676" s="728"/>
      <c r="K676" s="195"/>
      <c r="L676" s="195"/>
      <c r="Q676" s="195"/>
      <c r="R676" s="195"/>
      <c r="S676" s="240"/>
      <c r="T676" s="195"/>
      <c r="U676" s="195"/>
      <c r="V676" s="195"/>
      <c r="W676" s="195"/>
      <c r="X676" s="195"/>
      <c r="Y676" s="195"/>
      <c r="Z676" s="195"/>
      <c r="AA676" s="195"/>
      <c r="AB676" s="195"/>
      <c r="AC676" s="195"/>
      <c r="AD676" s="195"/>
      <c r="AE676" s="195"/>
      <c r="AF676" s="195"/>
      <c r="AG676" s="195"/>
      <c r="AH676" s="195"/>
      <c r="AI676" s="195"/>
      <c r="AJ676" s="195"/>
      <c r="AK676" s="195"/>
      <c r="AL676" s="195"/>
      <c r="AM676" s="195"/>
      <c r="AN676" s="1"/>
      <c r="AO676" s="240"/>
      <c r="AP676" s="240"/>
      <c r="AQ676" s="240"/>
      <c r="AR676" s="240"/>
      <c r="AS676" s="240"/>
      <c r="AT676" s="730"/>
      <c r="AU676" s="730"/>
      <c r="AV676" s="730"/>
      <c r="AW676" s="468"/>
      <c r="AX676" s="468"/>
      <c r="AY676" s="240"/>
      <c r="AZ676" s="240"/>
      <c r="BA676" s="240"/>
      <c r="BB676" s="240"/>
      <c r="BC676" s="240"/>
      <c r="BD676" s="240"/>
      <c r="BE676" s="672"/>
      <c r="BF676" s="731"/>
      <c r="BG676" s="731"/>
      <c r="BH676" s="731"/>
      <c r="BI676" s="736"/>
      <c r="BJ676" s="732"/>
      <c r="BK676" s="240"/>
      <c r="BL676" s="240"/>
      <c r="BM676" s="240"/>
      <c r="BN676" s="240"/>
      <c r="BO676" s="240"/>
      <c r="BP676" s="240"/>
      <c r="BQ676" s="240"/>
      <c r="BR676" s="240"/>
      <c r="BS676" s="240"/>
      <c r="BT676" s="240"/>
      <c r="BU676" s="240"/>
      <c r="BV676" s="240"/>
      <c r="BW676" s="240"/>
      <c r="BX676" s="672"/>
      <c r="BY676" s="240"/>
      <c r="BZ676" s="672"/>
      <c r="CA676" s="672"/>
      <c r="CB676" s="672"/>
      <c r="CC676" s="672"/>
      <c r="CD676" s="672"/>
      <c r="CE676" s="672"/>
      <c r="CF676" s="672"/>
      <c r="CG676" s="672"/>
      <c r="CH676" s="240"/>
      <c r="CI676" s="240"/>
      <c r="CJ676" s="240"/>
      <c r="CK676" s="240"/>
      <c r="CL676" s="240"/>
      <c r="CM676" s="728"/>
      <c r="CN676" s="728"/>
      <c r="CO676" s="728"/>
      <c r="CP676" s="728"/>
      <c r="CQ676" s="728"/>
      <c r="CR676" s="728"/>
      <c r="CS676" s="728"/>
      <c r="CT676" s="728"/>
      <c r="CU676" s="728"/>
      <c r="CV676" s="728"/>
      <c r="CW676" s="728"/>
      <c r="CX676" s="728"/>
      <c r="CY676" s="728"/>
      <c r="CZ676" s="728"/>
      <c r="DA676" s="728"/>
      <c r="DB676" s="728"/>
      <c r="DC676" s="728"/>
      <c r="DD676" s="728"/>
      <c r="DE676" s="728"/>
      <c r="DF676" s="728"/>
      <c r="DG676" s="195"/>
      <c r="DH676" s="1"/>
      <c r="DI676" s="3"/>
      <c r="DL676" s="4"/>
      <c r="DM676" s="4"/>
      <c r="DN676" s="4"/>
      <c r="DO676" s="4"/>
      <c r="DP676" s="4"/>
      <c r="DR676" s="195"/>
      <c r="DS676" s="195"/>
      <c r="DT676" s="195"/>
      <c r="DU676" s="195"/>
      <c r="DV676" s="195"/>
      <c r="DW676" s="195"/>
      <c r="DX676" s="195"/>
      <c r="DY676" s="195"/>
      <c r="DZ676" s="195"/>
      <c r="EA676" s="195"/>
      <c r="EB676" s="195"/>
      <c r="EC676" s="195"/>
      <c r="ED676" s="195"/>
      <c r="EE676" s="195"/>
      <c r="EF676" s="195"/>
      <c r="EG676" s="195"/>
      <c r="EL676" s="1"/>
      <c r="EM676" s="195"/>
      <c r="EN676" s="240"/>
      <c r="EO676" s="240"/>
      <c r="EP676" s="195"/>
      <c r="EQ676" s="240"/>
      <c r="ER676" s="195"/>
      <c r="ES676" s="195"/>
      <c r="ET676" s="195"/>
      <c r="EU676" s="672"/>
    </row>
    <row r="677" customFormat="false" ht="12.75" hidden="false" customHeight="false" outlineLevel="0" collapsed="false">
      <c r="I677" s="735"/>
      <c r="J677" s="728"/>
      <c r="K677" s="195"/>
      <c r="L677" s="195"/>
      <c r="Q677" s="195"/>
      <c r="R677" s="195"/>
      <c r="S677" s="240"/>
      <c r="T677" s="195"/>
      <c r="U677" s="195"/>
      <c r="V677" s="195"/>
      <c r="W677" s="195"/>
      <c r="X677" s="195"/>
      <c r="Y677" s="195"/>
      <c r="Z677" s="195"/>
      <c r="AA677" s="195"/>
      <c r="AB677" s="195"/>
      <c r="AC677" s="195"/>
      <c r="AD677" s="195"/>
      <c r="AE677" s="195"/>
      <c r="AF677" s="195"/>
      <c r="AG677" s="195"/>
      <c r="AH677" s="195"/>
      <c r="AI677" s="195"/>
      <c r="AJ677" s="195"/>
      <c r="AK677" s="195"/>
      <c r="AL677" s="195"/>
      <c r="AM677" s="195"/>
      <c r="AN677" s="1"/>
      <c r="AO677" s="240"/>
      <c r="AP677" s="240"/>
      <c r="AQ677" s="240"/>
      <c r="AR677" s="240"/>
      <c r="AS677" s="240"/>
      <c r="AT677" s="730"/>
      <c r="AU677" s="730"/>
      <c r="AV677" s="730"/>
      <c r="AW677" s="468"/>
      <c r="AX677" s="468"/>
      <c r="AY677" s="240"/>
      <c r="AZ677" s="240"/>
      <c r="BA677" s="240"/>
      <c r="BB677" s="240"/>
      <c r="BC677" s="240"/>
      <c r="BD677" s="240"/>
      <c r="BE677" s="672"/>
      <c r="BF677" s="731"/>
      <c r="BG677" s="731"/>
      <c r="BH677" s="731"/>
      <c r="BI677" s="736"/>
      <c r="BJ677" s="732"/>
      <c r="BK677" s="240"/>
      <c r="BL677" s="240"/>
      <c r="BM677" s="240"/>
      <c r="BN677" s="240"/>
      <c r="BO677" s="240"/>
      <c r="BP677" s="240"/>
      <c r="BQ677" s="240"/>
      <c r="BR677" s="240"/>
      <c r="BS677" s="240"/>
      <c r="BT677" s="240"/>
      <c r="BU677" s="240"/>
      <c r="BV677" s="240"/>
      <c r="BW677" s="240"/>
      <c r="BX677" s="672"/>
      <c r="BY677" s="240"/>
      <c r="BZ677" s="672"/>
      <c r="CA677" s="672"/>
      <c r="CB677" s="672"/>
      <c r="CC677" s="672"/>
      <c r="CD677" s="672"/>
      <c r="CE677" s="672"/>
      <c r="CF677" s="672"/>
      <c r="CG677" s="672"/>
      <c r="CH677" s="240"/>
      <c r="CI677" s="240"/>
      <c r="CJ677" s="240"/>
      <c r="CK677" s="240"/>
      <c r="CL677" s="240"/>
      <c r="CM677" s="728"/>
      <c r="CN677" s="728"/>
      <c r="CO677" s="728"/>
      <c r="CP677" s="728"/>
      <c r="CQ677" s="728"/>
      <c r="CR677" s="728"/>
      <c r="CS677" s="728"/>
      <c r="CT677" s="728"/>
      <c r="CU677" s="728"/>
      <c r="CV677" s="728"/>
      <c r="CW677" s="728"/>
      <c r="CX677" s="728"/>
      <c r="CY677" s="728"/>
      <c r="CZ677" s="728"/>
      <c r="DA677" s="728"/>
      <c r="DB677" s="728"/>
      <c r="DC677" s="728"/>
      <c r="DD677" s="728"/>
      <c r="DE677" s="728"/>
      <c r="DF677" s="728"/>
      <c r="DG677" s="195"/>
      <c r="DH677" s="1"/>
      <c r="DI677" s="3"/>
      <c r="DL677" s="4"/>
      <c r="DM677" s="4"/>
      <c r="DN677" s="4"/>
      <c r="DO677" s="4"/>
      <c r="DP677" s="4"/>
      <c r="DR677" s="195"/>
      <c r="DS677" s="195"/>
      <c r="DT677" s="195"/>
      <c r="DU677" s="195"/>
      <c r="DV677" s="195"/>
      <c r="DW677" s="195"/>
      <c r="DX677" s="195"/>
      <c r="DY677" s="195"/>
      <c r="DZ677" s="195"/>
      <c r="EA677" s="195"/>
      <c r="EB677" s="195"/>
      <c r="EC677" s="195"/>
      <c r="ED677" s="195"/>
      <c r="EE677" s="195"/>
      <c r="EF677" s="195"/>
      <c r="EG677" s="195"/>
      <c r="EL677" s="1"/>
      <c r="EM677" s="195"/>
      <c r="EN677" s="240"/>
      <c r="EO677" s="240"/>
      <c r="EP677" s="195"/>
      <c r="EQ677" s="240"/>
      <c r="ER677" s="195"/>
      <c r="ES677" s="195"/>
      <c r="ET677" s="195"/>
      <c r="EU677" s="672"/>
    </row>
    <row r="678" customFormat="false" ht="12.75" hidden="false" customHeight="false" outlineLevel="0" collapsed="false">
      <c r="I678" s="735"/>
      <c r="J678" s="728"/>
      <c r="K678" s="195"/>
      <c r="L678" s="195"/>
      <c r="Q678" s="195"/>
      <c r="R678" s="195"/>
      <c r="S678" s="240"/>
      <c r="T678" s="195"/>
      <c r="U678" s="195"/>
      <c r="V678" s="195"/>
      <c r="W678" s="195"/>
      <c r="X678" s="195"/>
      <c r="Y678" s="195"/>
      <c r="Z678" s="195"/>
      <c r="AA678" s="195"/>
      <c r="AB678" s="195"/>
      <c r="AC678" s="195"/>
      <c r="AD678" s="195"/>
      <c r="AE678" s="195"/>
      <c r="AF678" s="195"/>
      <c r="AG678" s="195"/>
      <c r="AH678" s="195"/>
      <c r="AI678" s="195"/>
      <c r="AJ678" s="195"/>
      <c r="AK678" s="195"/>
      <c r="AL678" s="195"/>
      <c r="AM678" s="195"/>
      <c r="AN678" s="1"/>
      <c r="AO678" s="240"/>
      <c r="AP678" s="240"/>
      <c r="AQ678" s="240"/>
      <c r="AR678" s="240"/>
      <c r="AS678" s="240"/>
      <c r="AT678" s="730"/>
      <c r="AU678" s="730"/>
      <c r="AV678" s="730"/>
      <c r="AW678" s="468"/>
      <c r="AX678" s="468"/>
      <c r="AY678" s="240"/>
      <c r="AZ678" s="240"/>
      <c r="BA678" s="240"/>
      <c r="BB678" s="240"/>
      <c r="BC678" s="240"/>
      <c r="BD678" s="240"/>
      <c r="BE678" s="672"/>
      <c r="BF678" s="731"/>
      <c r="BG678" s="731"/>
      <c r="BH678" s="731"/>
      <c r="BI678" s="736"/>
      <c r="BJ678" s="732"/>
      <c r="BK678" s="240"/>
      <c r="BL678" s="240"/>
      <c r="BM678" s="240"/>
      <c r="BN678" s="240"/>
      <c r="BO678" s="240"/>
      <c r="BP678" s="240"/>
      <c r="BQ678" s="240"/>
      <c r="BR678" s="240"/>
      <c r="BS678" s="240"/>
      <c r="BT678" s="240"/>
      <c r="BU678" s="240"/>
      <c r="BV678" s="240"/>
      <c r="BW678" s="240"/>
      <c r="BX678" s="672"/>
      <c r="BY678" s="240"/>
      <c r="BZ678" s="672"/>
      <c r="CA678" s="672"/>
      <c r="CB678" s="672"/>
      <c r="CC678" s="672"/>
      <c r="CD678" s="672"/>
      <c r="CE678" s="672"/>
      <c r="CF678" s="672"/>
      <c r="CG678" s="672"/>
      <c r="CH678" s="240"/>
      <c r="CI678" s="240"/>
      <c r="CJ678" s="240"/>
      <c r="CK678" s="240"/>
      <c r="CL678" s="240"/>
      <c r="CM678" s="728"/>
      <c r="CN678" s="728"/>
      <c r="CO678" s="728"/>
      <c r="CP678" s="728"/>
      <c r="CQ678" s="728"/>
      <c r="CR678" s="728"/>
      <c r="CS678" s="728"/>
      <c r="CT678" s="728"/>
      <c r="CU678" s="728"/>
      <c r="CV678" s="728"/>
      <c r="CW678" s="728"/>
      <c r="CX678" s="728"/>
      <c r="CY678" s="728"/>
      <c r="CZ678" s="728"/>
      <c r="DA678" s="728"/>
      <c r="DB678" s="728"/>
      <c r="DC678" s="728"/>
      <c r="DD678" s="728"/>
      <c r="DE678" s="728"/>
      <c r="DF678" s="728"/>
      <c r="DG678" s="195"/>
      <c r="DH678" s="1"/>
      <c r="DI678" s="3"/>
      <c r="DL678" s="4"/>
      <c r="DM678" s="4"/>
      <c r="DN678" s="4"/>
      <c r="DO678" s="4"/>
      <c r="DP678" s="4"/>
      <c r="DR678" s="195"/>
      <c r="DS678" s="195"/>
      <c r="DT678" s="195"/>
      <c r="DU678" s="195"/>
      <c r="DV678" s="195"/>
      <c r="DW678" s="195"/>
      <c r="DX678" s="195"/>
      <c r="DY678" s="195"/>
      <c r="DZ678" s="195"/>
      <c r="EA678" s="195"/>
      <c r="EB678" s="195"/>
      <c r="EC678" s="195"/>
      <c r="ED678" s="195"/>
      <c r="EE678" s="195"/>
      <c r="EF678" s="195"/>
      <c r="EG678" s="195"/>
      <c r="EL678" s="1"/>
      <c r="EM678" s="195"/>
      <c r="EN678" s="240"/>
      <c r="EO678" s="240"/>
      <c r="EP678" s="195"/>
      <c r="EQ678" s="240"/>
      <c r="ER678" s="195"/>
      <c r="ES678" s="195"/>
      <c r="ET678" s="195"/>
      <c r="EU678" s="672"/>
    </row>
    <row r="679" customFormat="false" ht="12.75" hidden="false" customHeight="false" outlineLevel="0" collapsed="false">
      <c r="I679" s="735"/>
      <c r="J679" s="728"/>
      <c r="K679" s="195"/>
      <c r="L679" s="195"/>
      <c r="Q679" s="195"/>
      <c r="R679" s="195"/>
      <c r="S679" s="240"/>
      <c r="T679" s="195"/>
      <c r="U679" s="195"/>
      <c r="V679" s="195"/>
      <c r="W679" s="195"/>
      <c r="X679" s="195"/>
      <c r="Y679" s="195"/>
      <c r="Z679" s="195"/>
      <c r="AA679" s="195"/>
      <c r="AB679" s="195"/>
      <c r="AC679" s="195"/>
      <c r="AD679" s="195"/>
      <c r="AE679" s="195"/>
      <c r="AF679" s="195"/>
      <c r="AG679" s="195"/>
      <c r="AH679" s="195"/>
      <c r="AI679" s="195"/>
      <c r="AJ679" s="195"/>
      <c r="AK679" s="195"/>
      <c r="AL679" s="195"/>
      <c r="AM679" s="195"/>
      <c r="AN679" s="1"/>
      <c r="AO679" s="240"/>
      <c r="AP679" s="240"/>
      <c r="AQ679" s="240"/>
      <c r="AR679" s="240"/>
      <c r="AS679" s="240"/>
      <c r="AT679" s="730"/>
      <c r="AU679" s="730"/>
      <c r="AV679" s="730"/>
      <c r="AW679" s="468"/>
      <c r="AX679" s="468"/>
      <c r="AY679" s="240"/>
      <c r="AZ679" s="240"/>
      <c r="BA679" s="240"/>
      <c r="BB679" s="240"/>
      <c r="BC679" s="240"/>
      <c r="BD679" s="240"/>
      <c r="BE679" s="672"/>
      <c r="BF679" s="731"/>
      <c r="BG679" s="731"/>
      <c r="BH679" s="731"/>
      <c r="BI679" s="736"/>
      <c r="BJ679" s="732"/>
      <c r="BK679" s="240"/>
      <c r="BL679" s="240"/>
      <c r="BM679" s="240"/>
      <c r="BN679" s="240"/>
      <c r="BO679" s="240"/>
      <c r="BP679" s="240"/>
      <c r="BQ679" s="240"/>
      <c r="BR679" s="240"/>
      <c r="BS679" s="240"/>
      <c r="BT679" s="240"/>
      <c r="BU679" s="240"/>
      <c r="BV679" s="240"/>
      <c r="BW679" s="240"/>
      <c r="BX679" s="672"/>
      <c r="BY679" s="240"/>
      <c r="BZ679" s="672"/>
      <c r="CA679" s="672"/>
      <c r="CB679" s="672"/>
      <c r="CC679" s="672"/>
      <c r="CD679" s="672"/>
      <c r="CE679" s="672"/>
      <c r="CF679" s="672"/>
      <c r="CG679" s="672"/>
      <c r="CH679" s="240"/>
      <c r="CI679" s="240"/>
      <c r="CJ679" s="240"/>
      <c r="CK679" s="240"/>
      <c r="CL679" s="240"/>
      <c r="CM679" s="728"/>
      <c r="CN679" s="728"/>
      <c r="CO679" s="728"/>
      <c r="CP679" s="728"/>
      <c r="CQ679" s="728"/>
      <c r="CR679" s="728"/>
      <c r="CS679" s="728"/>
      <c r="CT679" s="728"/>
      <c r="CU679" s="728"/>
      <c r="CV679" s="728"/>
      <c r="CW679" s="728"/>
      <c r="CX679" s="728"/>
      <c r="CY679" s="728"/>
      <c r="CZ679" s="728"/>
      <c r="DA679" s="728"/>
      <c r="DB679" s="728"/>
      <c r="DC679" s="728"/>
      <c r="DD679" s="728"/>
      <c r="DE679" s="728"/>
      <c r="DF679" s="728"/>
      <c r="DG679" s="195"/>
      <c r="DH679" s="1"/>
      <c r="DI679" s="3"/>
      <c r="DL679" s="4"/>
      <c r="DM679" s="4"/>
      <c r="DN679" s="4"/>
      <c r="DO679" s="4"/>
      <c r="DP679" s="4"/>
      <c r="DR679" s="195"/>
      <c r="DS679" s="195"/>
      <c r="DT679" s="195"/>
      <c r="DU679" s="195"/>
      <c r="DV679" s="195"/>
      <c r="DW679" s="195"/>
      <c r="DX679" s="195"/>
      <c r="DY679" s="195"/>
      <c r="DZ679" s="195"/>
      <c r="EA679" s="195"/>
      <c r="EB679" s="195"/>
      <c r="EC679" s="195"/>
      <c r="ED679" s="195"/>
      <c r="EE679" s="195"/>
      <c r="EF679" s="195"/>
      <c r="EG679" s="195"/>
      <c r="EL679" s="1"/>
      <c r="EM679" s="195"/>
      <c r="EN679" s="240"/>
      <c r="EO679" s="240"/>
      <c r="EP679" s="195"/>
      <c r="EQ679" s="240"/>
      <c r="ER679" s="195"/>
      <c r="ES679" s="195"/>
      <c r="ET679" s="195"/>
      <c r="EU679" s="672"/>
    </row>
    <row r="680" customFormat="false" ht="12.75" hidden="false" customHeight="false" outlineLevel="0" collapsed="false">
      <c r="I680" s="735"/>
      <c r="J680" s="728"/>
      <c r="K680" s="195"/>
      <c r="L680" s="195"/>
      <c r="Q680" s="195"/>
      <c r="R680" s="195"/>
      <c r="S680" s="240"/>
      <c r="T680" s="195"/>
      <c r="U680" s="195"/>
      <c r="V680" s="195"/>
      <c r="W680" s="195"/>
      <c r="X680" s="195"/>
      <c r="Y680" s="195"/>
      <c r="Z680" s="195"/>
      <c r="AA680" s="195"/>
      <c r="AB680" s="195"/>
      <c r="AC680" s="195"/>
      <c r="AD680" s="195"/>
      <c r="AE680" s="195"/>
      <c r="AF680" s="195"/>
      <c r="AG680" s="195"/>
      <c r="AH680" s="195"/>
      <c r="AI680" s="195"/>
      <c r="AJ680" s="195"/>
      <c r="AK680" s="195"/>
      <c r="AL680" s="195"/>
      <c r="AM680" s="195"/>
      <c r="AN680" s="1"/>
      <c r="AO680" s="240"/>
      <c r="AP680" s="240"/>
      <c r="AQ680" s="240"/>
      <c r="AR680" s="240"/>
      <c r="AS680" s="240"/>
      <c r="AT680" s="730"/>
      <c r="AU680" s="730"/>
      <c r="AV680" s="730"/>
      <c r="AW680" s="468"/>
      <c r="AX680" s="468"/>
      <c r="AY680" s="240"/>
      <c r="AZ680" s="240"/>
      <c r="BA680" s="240"/>
      <c r="BB680" s="240"/>
      <c r="BC680" s="240"/>
      <c r="BD680" s="240"/>
      <c r="BE680" s="672"/>
      <c r="BF680" s="731"/>
      <c r="BG680" s="731"/>
      <c r="BH680" s="731"/>
      <c r="BI680" s="736"/>
      <c r="BJ680" s="732"/>
      <c r="BK680" s="240"/>
      <c r="BL680" s="240"/>
      <c r="BM680" s="240"/>
      <c r="BN680" s="240"/>
      <c r="BO680" s="240"/>
      <c r="BP680" s="240"/>
      <c r="BQ680" s="240"/>
      <c r="BR680" s="240"/>
      <c r="BS680" s="240"/>
      <c r="BT680" s="240"/>
      <c r="BU680" s="240"/>
      <c r="BV680" s="240"/>
      <c r="BW680" s="240"/>
      <c r="BX680" s="672"/>
      <c r="BY680" s="240"/>
      <c r="BZ680" s="672"/>
      <c r="CA680" s="672"/>
      <c r="CB680" s="672"/>
      <c r="CC680" s="672"/>
      <c r="CD680" s="672"/>
      <c r="CE680" s="672"/>
      <c r="CF680" s="672"/>
      <c r="CG680" s="672"/>
      <c r="CH680" s="240"/>
      <c r="CI680" s="240"/>
      <c r="CJ680" s="240"/>
      <c r="CK680" s="240"/>
      <c r="CL680" s="240"/>
      <c r="CM680" s="728"/>
      <c r="CN680" s="728"/>
      <c r="CO680" s="728"/>
      <c r="CP680" s="728"/>
      <c r="CQ680" s="728"/>
      <c r="CR680" s="728"/>
      <c r="CS680" s="728"/>
      <c r="CT680" s="728"/>
      <c r="CU680" s="728"/>
      <c r="CV680" s="728"/>
      <c r="CW680" s="728"/>
      <c r="CX680" s="728"/>
      <c r="CY680" s="728"/>
      <c r="CZ680" s="728"/>
      <c r="DA680" s="728"/>
      <c r="DB680" s="728"/>
      <c r="DC680" s="728"/>
      <c r="DD680" s="728"/>
      <c r="DE680" s="728"/>
      <c r="DF680" s="728"/>
      <c r="DG680" s="195"/>
      <c r="DH680" s="1"/>
      <c r="DI680" s="3"/>
      <c r="DL680" s="4"/>
      <c r="DM680" s="4"/>
      <c r="DN680" s="4"/>
      <c r="DO680" s="4"/>
      <c r="DP680" s="4"/>
      <c r="DR680" s="195"/>
      <c r="DS680" s="195"/>
      <c r="DT680" s="195"/>
      <c r="DU680" s="195"/>
      <c r="DV680" s="195"/>
      <c r="DW680" s="195"/>
      <c r="DX680" s="195"/>
      <c r="DY680" s="195"/>
      <c r="DZ680" s="195"/>
      <c r="EA680" s="195"/>
      <c r="EB680" s="195"/>
      <c r="EC680" s="195"/>
      <c r="ED680" s="195"/>
      <c r="EE680" s="195"/>
      <c r="EF680" s="195"/>
      <c r="EG680" s="195"/>
      <c r="EL680" s="1"/>
      <c r="EM680" s="195"/>
      <c r="EN680" s="240"/>
      <c r="EO680" s="240"/>
      <c r="EP680" s="195"/>
      <c r="EQ680" s="240"/>
      <c r="ER680" s="195"/>
      <c r="ES680" s="195"/>
      <c r="ET680" s="195"/>
      <c r="EU680" s="672"/>
    </row>
    <row r="681" customFormat="false" ht="12.75" hidden="false" customHeight="false" outlineLevel="0" collapsed="false">
      <c r="I681" s="735"/>
      <c r="J681" s="728"/>
      <c r="K681" s="195"/>
      <c r="L681" s="195"/>
      <c r="Q681" s="195"/>
      <c r="R681" s="195"/>
      <c r="S681" s="240"/>
      <c r="T681" s="195"/>
      <c r="U681" s="195"/>
      <c r="V681" s="195"/>
      <c r="W681" s="195"/>
      <c r="X681" s="195"/>
      <c r="Y681" s="195"/>
      <c r="Z681" s="195"/>
      <c r="AA681" s="195"/>
      <c r="AB681" s="195"/>
      <c r="AC681" s="195"/>
      <c r="AD681" s="195"/>
      <c r="AE681" s="195"/>
      <c r="AF681" s="195"/>
      <c r="AG681" s="195"/>
      <c r="AH681" s="195"/>
      <c r="AI681" s="195"/>
      <c r="AJ681" s="195"/>
      <c r="AK681" s="195"/>
      <c r="AL681" s="195"/>
      <c r="AM681" s="195"/>
      <c r="AN681" s="1"/>
      <c r="AO681" s="240"/>
      <c r="AP681" s="240"/>
      <c r="AQ681" s="240"/>
      <c r="AR681" s="240"/>
      <c r="AS681" s="240"/>
      <c r="AT681" s="730"/>
      <c r="AU681" s="730"/>
      <c r="AV681" s="730"/>
      <c r="AW681" s="468"/>
      <c r="AX681" s="468"/>
      <c r="AY681" s="240"/>
      <c r="AZ681" s="240"/>
      <c r="BA681" s="240"/>
      <c r="BB681" s="240"/>
      <c r="BC681" s="240"/>
      <c r="BD681" s="240"/>
      <c r="BE681" s="672"/>
      <c r="BF681" s="731"/>
      <c r="BG681" s="731"/>
      <c r="BH681" s="731"/>
      <c r="BI681" s="736"/>
      <c r="BJ681" s="732"/>
      <c r="BK681" s="240"/>
      <c r="BL681" s="240"/>
      <c r="BM681" s="240"/>
      <c r="BN681" s="240"/>
      <c r="BO681" s="240"/>
      <c r="BP681" s="240"/>
      <c r="BQ681" s="240"/>
      <c r="BR681" s="240"/>
      <c r="BS681" s="240"/>
      <c r="BT681" s="240"/>
      <c r="BU681" s="240"/>
      <c r="BV681" s="240"/>
      <c r="BW681" s="240"/>
      <c r="BX681" s="672"/>
      <c r="BY681" s="240"/>
      <c r="BZ681" s="672"/>
      <c r="CA681" s="672"/>
      <c r="CB681" s="672"/>
      <c r="CC681" s="672"/>
      <c r="CD681" s="672"/>
      <c r="CE681" s="672"/>
      <c r="CF681" s="672"/>
      <c r="CG681" s="672"/>
      <c r="CH681" s="240"/>
      <c r="CI681" s="240"/>
      <c r="CJ681" s="240"/>
      <c r="CK681" s="240"/>
      <c r="CL681" s="240"/>
      <c r="CM681" s="728"/>
      <c r="CN681" s="728"/>
      <c r="CO681" s="728"/>
      <c r="CP681" s="728"/>
      <c r="CQ681" s="728"/>
      <c r="CR681" s="728"/>
      <c r="CS681" s="728"/>
      <c r="CT681" s="728"/>
      <c r="CU681" s="728"/>
      <c r="CV681" s="728"/>
      <c r="CW681" s="728"/>
      <c r="CX681" s="728"/>
      <c r="CY681" s="728"/>
      <c r="CZ681" s="728"/>
      <c r="DA681" s="728"/>
      <c r="DB681" s="728"/>
      <c r="DC681" s="728"/>
      <c r="DD681" s="728"/>
      <c r="DE681" s="728"/>
      <c r="DF681" s="728"/>
      <c r="DG681" s="195"/>
      <c r="DH681" s="1"/>
      <c r="DI681" s="3"/>
      <c r="DL681" s="4"/>
      <c r="DM681" s="4"/>
      <c r="DN681" s="4"/>
      <c r="DO681" s="4"/>
      <c r="DP681" s="4"/>
      <c r="DR681" s="195"/>
      <c r="DS681" s="195"/>
      <c r="DT681" s="195"/>
      <c r="DU681" s="195"/>
      <c r="DV681" s="195"/>
      <c r="DW681" s="195"/>
      <c r="DX681" s="195"/>
      <c r="DY681" s="195"/>
      <c r="DZ681" s="195"/>
      <c r="EA681" s="195"/>
      <c r="EB681" s="195"/>
      <c r="EC681" s="195"/>
      <c r="ED681" s="195"/>
      <c r="EE681" s="195"/>
      <c r="EF681" s="195"/>
      <c r="EG681" s="195"/>
      <c r="EL681" s="1"/>
      <c r="EM681" s="195"/>
      <c r="EN681" s="240"/>
      <c r="EO681" s="240"/>
      <c r="EP681" s="195"/>
      <c r="EQ681" s="240"/>
      <c r="ER681" s="195"/>
      <c r="ES681" s="195"/>
      <c r="ET681" s="195"/>
      <c r="EU681" s="672"/>
    </row>
    <row r="682" customFormat="false" ht="12.75" hidden="false" customHeight="false" outlineLevel="0" collapsed="false">
      <c r="I682" s="735"/>
      <c r="J682" s="728"/>
      <c r="K682" s="195"/>
      <c r="L682" s="195"/>
      <c r="Q682" s="195"/>
      <c r="R682" s="195"/>
      <c r="S682" s="240"/>
      <c r="T682" s="195"/>
      <c r="U682" s="195"/>
      <c r="V682" s="195"/>
      <c r="W682" s="195"/>
      <c r="X682" s="195"/>
      <c r="Y682" s="195"/>
      <c r="Z682" s="195"/>
      <c r="AA682" s="195"/>
      <c r="AB682" s="195"/>
      <c r="AC682" s="195"/>
      <c r="AD682" s="195"/>
      <c r="AE682" s="195"/>
      <c r="AF682" s="195"/>
      <c r="AG682" s="195"/>
      <c r="AH682" s="195"/>
      <c r="AI682" s="195"/>
      <c r="AJ682" s="195"/>
      <c r="AK682" s="195"/>
      <c r="AL682" s="195"/>
      <c r="AM682" s="195"/>
      <c r="AN682" s="1"/>
      <c r="AO682" s="240"/>
      <c r="AP682" s="240"/>
      <c r="AQ682" s="240"/>
      <c r="AR682" s="240"/>
      <c r="AS682" s="240"/>
      <c r="AT682" s="730"/>
      <c r="AU682" s="730"/>
      <c r="AV682" s="730"/>
      <c r="AW682" s="468"/>
      <c r="AX682" s="468"/>
      <c r="AY682" s="240"/>
      <c r="AZ682" s="240"/>
      <c r="BA682" s="240"/>
      <c r="BB682" s="240"/>
      <c r="BC682" s="240"/>
      <c r="BD682" s="240"/>
      <c r="BE682" s="672"/>
      <c r="BF682" s="731"/>
      <c r="BG682" s="731"/>
      <c r="BH682" s="731"/>
      <c r="BI682" s="736"/>
      <c r="BJ682" s="732"/>
      <c r="BK682" s="240"/>
      <c r="BL682" s="240"/>
      <c r="BM682" s="240"/>
      <c r="BN682" s="240"/>
      <c r="BO682" s="240"/>
      <c r="BP682" s="240"/>
      <c r="BQ682" s="240"/>
      <c r="BR682" s="240"/>
      <c r="BS682" s="240"/>
      <c r="BT682" s="240"/>
      <c r="BU682" s="240"/>
      <c r="BV682" s="240"/>
      <c r="BW682" s="240"/>
      <c r="BX682" s="672"/>
      <c r="BY682" s="240"/>
      <c r="BZ682" s="672"/>
      <c r="CA682" s="672"/>
      <c r="CB682" s="672"/>
      <c r="CC682" s="672"/>
      <c r="CD682" s="672"/>
      <c r="CE682" s="672"/>
      <c r="CF682" s="672"/>
      <c r="CG682" s="672"/>
      <c r="CH682" s="240"/>
      <c r="CI682" s="240"/>
      <c r="CJ682" s="240"/>
      <c r="CK682" s="240"/>
      <c r="CL682" s="240"/>
      <c r="CM682" s="728"/>
      <c r="CN682" s="728"/>
      <c r="CO682" s="728"/>
      <c r="CP682" s="728"/>
      <c r="CQ682" s="728"/>
      <c r="CR682" s="728"/>
      <c r="CS682" s="728"/>
      <c r="CT682" s="728"/>
      <c r="CU682" s="728"/>
      <c r="CV682" s="728"/>
      <c r="CW682" s="728"/>
      <c r="CX682" s="728"/>
      <c r="CY682" s="728"/>
      <c r="CZ682" s="728"/>
      <c r="DA682" s="728"/>
      <c r="DB682" s="728"/>
      <c r="DC682" s="728"/>
      <c r="DD682" s="728"/>
      <c r="DE682" s="728"/>
      <c r="DF682" s="728"/>
      <c r="DG682" s="195"/>
      <c r="DH682" s="1"/>
      <c r="DI682" s="3"/>
      <c r="DL682" s="4"/>
      <c r="DM682" s="4"/>
      <c r="DN682" s="4"/>
      <c r="DO682" s="4"/>
      <c r="DP682" s="4"/>
      <c r="DR682" s="195"/>
      <c r="DS682" s="195"/>
      <c r="DT682" s="195"/>
      <c r="DU682" s="195"/>
      <c r="DV682" s="195"/>
      <c r="DW682" s="195"/>
      <c r="DX682" s="195"/>
      <c r="DY682" s="195"/>
      <c r="DZ682" s="195"/>
      <c r="EA682" s="195"/>
      <c r="EB682" s="195"/>
      <c r="EC682" s="195"/>
      <c r="ED682" s="195"/>
      <c r="EE682" s="195"/>
      <c r="EF682" s="195"/>
      <c r="EG682" s="195"/>
      <c r="EL682" s="1"/>
      <c r="EM682" s="195"/>
      <c r="EN682" s="240"/>
      <c r="EO682" s="240"/>
      <c r="EP682" s="195"/>
      <c r="EQ682" s="240"/>
      <c r="ER682" s="195"/>
      <c r="ES682" s="195"/>
      <c r="ET682" s="195"/>
      <c r="EU682" s="672"/>
    </row>
    <row r="683" customFormat="false" ht="12.75" hidden="false" customHeight="false" outlineLevel="0" collapsed="false">
      <c r="I683" s="735"/>
      <c r="J683" s="728"/>
      <c r="K683" s="195"/>
      <c r="L683" s="195"/>
      <c r="Q683" s="195"/>
      <c r="R683" s="195"/>
      <c r="S683" s="240"/>
      <c r="T683" s="195"/>
      <c r="U683" s="195"/>
      <c r="V683" s="195"/>
      <c r="W683" s="195"/>
      <c r="X683" s="195"/>
      <c r="Y683" s="195"/>
      <c r="Z683" s="195"/>
      <c r="AA683" s="195"/>
      <c r="AB683" s="195"/>
      <c r="AC683" s="195"/>
      <c r="AD683" s="195"/>
      <c r="AE683" s="195"/>
      <c r="AF683" s="195"/>
      <c r="AG683" s="195"/>
      <c r="AH683" s="195"/>
      <c r="AI683" s="195"/>
      <c r="AJ683" s="195"/>
      <c r="AK683" s="195"/>
      <c r="AL683" s="195"/>
      <c r="AM683" s="195"/>
      <c r="AN683" s="1"/>
      <c r="AO683" s="240"/>
      <c r="AP683" s="240"/>
      <c r="AQ683" s="240"/>
      <c r="AR683" s="240"/>
      <c r="AS683" s="240"/>
      <c r="AT683" s="730"/>
      <c r="AU683" s="730"/>
      <c r="AV683" s="730"/>
      <c r="AW683" s="468"/>
      <c r="AX683" s="468"/>
      <c r="AY683" s="240"/>
      <c r="AZ683" s="240"/>
      <c r="BA683" s="240"/>
      <c r="BB683" s="240"/>
      <c r="BC683" s="240"/>
      <c r="BD683" s="240"/>
      <c r="BE683" s="672"/>
      <c r="BF683" s="731"/>
      <c r="BG683" s="731"/>
      <c r="BH683" s="731"/>
      <c r="BI683" s="736"/>
      <c r="BJ683" s="732"/>
      <c r="BK683" s="240"/>
      <c r="BL683" s="240"/>
      <c r="BM683" s="240"/>
      <c r="BN683" s="240"/>
      <c r="BO683" s="240"/>
      <c r="BP683" s="240"/>
      <c r="BQ683" s="240"/>
      <c r="BR683" s="240"/>
      <c r="BS683" s="240"/>
      <c r="BT683" s="240"/>
      <c r="BU683" s="240"/>
      <c r="BV683" s="240"/>
      <c r="BW683" s="240"/>
      <c r="BX683" s="672"/>
      <c r="BY683" s="240"/>
      <c r="BZ683" s="672"/>
      <c r="CA683" s="672"/>
      <c r="CB683" s="672"/>
      <c r="CC683" s="672"/>
      <c r="CD683" s="672"/>
      <c r="CE683" s="672"/>
      <c r="CF683" s="672"/>
      <c r="CG683" s="672"/>
      <c r="CH683" s="240"/>
      <c r="CI683" s="240"/>
      <c r="CJ683" s="240"/>
      <c r="CK683" s="240"/>
      <c r="CL683" s="240"/>
      <c r="CM683" s="728"/>
      <c r="CN683" s="728"/>
      <c r="CO683" s="728"/>
      <c r="CP683" s="728"/>
      <c r="CQ683" s="728"/>
      <c r="CR683" s="728"/>
      <c r="CS683" s="728"/>
      <c r="CT683" s="728"/>
      <c r="CU683" s="728"/>
      <c r="CV683" s="728"/>
      <c r="CW683" s="728"/>
      <c r="CX683" s="728"/>
      <c r="CY683" s="728"/>
      <c r="CZ683" s="728"/>
      <c r="DA683" s="728"/>
      <c r="DB683" s="728"/>
      <c r="DC683" s="728"/>
      <c r="DD683" s="728"/>
      <c r="DE683" s="728"/>
      <c r="DF683" s="728"/>
      <c r="DG683" s="195"/>
      <c r="DH683" s="1"/>
      <c r="DI683" s="3"/>
      <c r="DL683" s="4"/>
      <c r="DM683" s="4"/>
      <c r="DN683" s="4"/>
      <c r="DO683" s="4"/>
      <c r="DP683" s="4"/>
      <c r="DR683" s="195"/>
      <c r="DS683" s="195"/>
      <c r="DT683" s="195"/>
      <c r="DU683" s="195"/>
      <c r="DV683" s="195"/>
      <c r="DW683" s="195"/>
      <c r="DX683" s="195"/>
      <c r="DY683" s="195"/>
      <c r="DZ683" s="195"/>
      <c r="EA683" s="195"/>
      <c r="EB683" s="195"/>
      <c r="EC683" s="195"/>
      <c r="ED683" s="195"/>
      <c r="EE683" s="195"/>
      <c r="EF683" s="195"/>
      <c r="EG683" s="195"/>
      <c r="EL683" s="1"/>
      <c r="EM683" s="195"/>
      <c r="EN683" s="240"/>
      <c r="EO683" s="240"/>
      <c r="EP683" s="195"/>
      <c r="EQ683" s="240"/>
      <c r="ER683" s="195"/>
      <c r="ES683" s="195"/>
      <c r="ET683" s="195"/>
      <c r="EU683" s="672"/>
    </row>
    <row r="684" customFormat="false" ht="12.75" hidden="false" customHeight="false" outlineLevel="0" collapsed="false">
      <c r="I684" s="735"/>
      <c r="J684" s="728"/>
      <c r="K684" s="195"/>
      <c r="L684" s="195"/>
      <c r="Q684" s="195"/>
      <c r="R684" s="195"/>
      <c r="S684" s="240"/>
      <c r="T684" s="195"/>
      <c r="U684" s="195"/>
      <c r="V684" s="195"/>
      <c r="W684" s="195"/>
      <c r="X684" s="195"/>
      <c r="Y684" s="195"/>
      <c r="Z684" s="195"/>
      <c r="AA684" s="195"/>
      <c r="AB684" s="195"/>
      <c r="AC684" s="195"/>
      <c r="AD684" s="195"/>
      <c r="AE684" s="195"/>
      <c r="AF684" s="195"/>
      <c r="AG684" s="195"/>
      <c r="AH684" s="195"/>
      <c r="AI684" s="195"/>
      <c r="AJ684" s="195"/>
      <c r="AK684" s="195"/>
      <c r="AL684" s="195"/>
      <c r="AM684" s="195"/>
      <c r="AN684" s="1"/>
      <c r="AO684" s="240"/>
      <c r="AP684" s="240"/>
      <c r="AQ684" s="240"/>
      <c r="AR684" s="240"/>
      <c r="AS684" s="240"/>
      <c r="AT684" s="730"/>
      <c r="AU684" s="730"/>
      <c r="AV684" s="730"/>
      <c r="AW684" s="468"/>
      <c r="AX684" s="468"/>
      <c r="AY684" s="240"/>
      <c r="AZ684" s="240"/>
      <c r="BA684" s="240"/>
      <c r="BB684" s="240"/>
      <c r="BC684" s="240"/>
      <c r="BD684" s="240"/>
      <c r="BE684" s="672"/>
      <c r="BF684" s="731"/>
      <c r="BG684" s="731"/>
      <c r="BH684" s="731"/>
      <c r="BI684" s="736"/>
      <c r="BJ684" s="732"/>
      <c r="BK684" s="240"/>
      <c r="BL684" s="240"/>
      <c r="BM684" s="240"/>
      <c r="BN684" s="240"/>
      <c r="BO684" s="240"/>
      <c r="BP684" s="240"/>
      <c r="BQ684" s="240"/>
      <c r="BR684" s="240"/>
      <c r="BS684" s="240"/>
      <c r="BT684" s="240"/>
      <c r="BU684" s="240"/>
      <c r="BV684" s="240"/>
      <c r="BW684" s="240"/>
      <c r="BX684" s="672"/>
      <c r="BY684" s="240"/>
      <c r="BZ684" s="672"/>
      <c r="CA684" s="672"/>
      <c r="CB684" s="672"/>
      <c r="CC684" s="672"/>
      <c r="CD684" s="672"/>
      <c r="CE684" s="672"/>
      <c r="CF684" s="672"/>
      <c r="CG684" s="672"/>
      <c r="CH684" s="240"/>
      <c r="CI684" s="240"/>
      <c r="CJ684" s="240"/>
      <c r="CK684" s="240"/>
      <c r="CL684" s="240"/>
      <c r="CM684" s="728"/>
      <c r="CN684" s="728"/>
      <c r="CO684" s="728"/>
      <c r="CP684" s="728"/>
      <c r="CQ684" s="728"/>
      <c r="CR684" s="728"/>
      <c r="CS684" s="728"/>
      <c r="CT684" s="728"/>
      <c r="CU684" s="728"/>
      <c r="CV684" s="728"/>
      <c r="CW684" s="728"/>
      <c r="CX684" s="728"/>
      <c r="CY684" s="728"/>
      <c r="CZ684" s="728"/>
      <c r="DA684" s="728"/>
      <c r="DB684" s="728"/>
      <c r="DC684" s="728"/>
      <c r="DD684" s="728"/>
      <c r="DE684" s="728"/>
      <c r="DF684" s="728"/>
      <c r="DG684" s="195"/>
      <c r="DH684" s="1"/>
      <c r="DI684" s="3"/>
      <c r="DL684" s="4"/>
      <c r="DM684" s="4"/>
      <c r="DN684" s="4"/>
      <c r="DO684" s="4"/>
      <c r="DP684" s="4"/>
      <c r="DR684" s="195"/>
      <c r="DS684" s="195"/>
      <c r="DT684" s="195"/>
      <c r="DU684" s="195"/>
      <c r="DV684" s="195"/>
      <c r="DW684" s="195"/>
      <c r="DX684" s="195"/>
      <c r="DY684" s="195"/>
      <c r="DZ684" s="195"/>
      <c r="EA684" s="195"/>
      <c r="EB684" s="195"/>
      <c r="EC684" s="195"/>
      <c r="ED684" s="195"/>
      <c r="EE684" s="195"/>
      <c r="EF684" s="195"/>
      <c r="EG684" s="195"/>
      <c r="EL684" s="1"/>
      <c r="EM684" s="195"/>
      <c r="EN684" s="240"/>
      <c r="EO684" s="240"/>
      <c r="EP684" s="195"/>
      <c r="EQ684" s="240"/>
      <c r="ER684" s="195"/>
      <c r="ES684" s="195"/>
      <c r="ET684" s="195"/>
      <c r="EU684" s="672"/>
    </row>
    <row r="685" customFormat="false" ht="12.75" hidden="false" customHeight="false" outlineLevel="0" collapsed="false">
      <c r="I685" s="735"/>
      <c r="J685" s="728"/>
      <c r="K685" s="195"/>
      <c r="L685" s="195"/>
      <c r="Q685" s="195"/>
      <c r="R685" s="195"/>
      <c r="S685" s="240"/>
      <c r="T685" s="195"/>
      <c r="U685" s="195"/>
      <c r="V685" s="195"/>
      <c r="W685" s="195"/>
      <c r="X685" s="195"/>
      <c r="Y685" s="195"/>
      <c r="Z685" s="195"/>
      <c r="AA685" s="195"/>
      <c r="AB685" s="195"/>
      <c r="AC685" s="195"/>
      <c r="AD685" s="195"/>
      <c r="AE685" s="195"/>
      <c r="AF685" s="195"/>
      <c r="AG685" s="195"/>
      <c r="AH685" s="195"/>
      <c r="AI685" s="195"/>
      <c r="AJ685" s="195"/>
      <c r="AK685" s="195"/>
      <c r="AL685" s="195"/>
      <c r="AM685" s="195"/>
      <c r="AN685" s="1"/>
      <c r="AO685" s="240"/>
      <c r="AP685" s="240"/>
      <c r="AQ685" s="240"/>
      <c r="AR685" s="240"/>
      <c r="AS685" s="240"/>
      <c r="AT685" s="730"/>
      <c r="AU685" s="730"/>
      <c r="AV685" s="730"/>
      <c r="AW685" s="468"/>
      <c r="AX685" s="468"/>
      <c r="AY685" s="240"/>
      <c r="AZ685" s="240"/>
      <c r="BA685" s="240"/>
      <c r="BB685" s="240"/>
      <c r="BC685" s="240"/>
      <c r="BD685" s="240"/>
      <c r="BE685" s="672"/>
      <c r="BF685" s="731"/>
      <c r="BG685" s="731"/>
      <c r="BH685" s="731"/>
      <c r="BI685" s="736"/>
      <c r="BJ685" s="732"/>
      <c r="BK685" s="240"/>
      <c r="BL685" s="240"/>
      <c r="BM685" s="240"/>
      <c r="BN685" s="240"/>
      <c r="BO685" s="240"/>
      <c r="BP685" s="240"/>
      <c r="BQ685" s="240"/>
      <c r="BR685" s="240"/>
      <c r="BS685" s="240"/>
      <c r="BT685" s="240"/>
      <c r="BU685" s="240"/>
      <c r="BV685" s="240"/>
      <c r="BW685" s="240"/>
      <c r="BX685" s="672"/>
      <c r="BY685" s="240"/>
      <c r="BZ685" s="672"/>
      <c r="CA685" s="672"/>
      <c r="CB685" s="672"/>
      <c r="CC685" s="672"/>
      <c r="CD685" s="672"/>
      <c r="CE685" s="672"/>
      <c r="CF685" s="672"/>
      <c r="CG685" s="672"/>
      <c r="CH685" s="240"/>
      <c r="CI685" s="240"/>
      <c r="CJ685" s="240"/>
      <c r="CK685" s="240"/>
      <c r="CL685" s="240"/>
      <c r="CM685" s="728"/>
      <c r="CN685" s="728"/>
      <c r="CO685" s="728"/>
      <c r="CP685" s="728"/>
      <c r="CQ685" s="728"/>
      <c r="CR685" s="728"/>
      <c r="CS685" s="728"/>
      <c r="CT685" s="728"/>
      <c r="CU685" s="728"/>
      <c r="CV685" s="728"/>
      <c r="CW685" s="728"/>
      <c r="CX685" s="728"/>
      <c r="CY685" s="728"/>
      <c r="CZ685" s="728"/>
      <c r="DA685" s="728"/>
      <c r="DB685" s="728"/>
      <c r="DC685" s="728"/>
      <c r="DD685" s="728"/>
      <c r="DE685" s="728"/>
      <c r="DF685" s="728"/>
      <c r="DG685" s="195"/>
      <c r="DH685" s="1"/>
      <c r="DI685" s="3"/>
      <c r="DL685" s="4"/>
      <c r="DM685" s="4"/>
      <c r="DN685" s="4"/>
      <c r="DO685" s="4"/>
      <c r="DP685" s="4"/>
      <c r="DR685" s="195"/>
      <c r="DS685" s="195"/>
      <c r="DT685" s="195"/>
      <c r="DU685" s="195"/>
      <c r="DV685" s="195"/>
      <c r="DW685" s="195"/>
      <c r="DX685" s="195"/>
      <c r="DY685" s="195"/>
      <c r="DZ685" s="195"/>
      <c r="EA685" s="195"/>
      <c r="EB685" s="195"/>
      <c r="EC685" s="195"/>
      <c r="ED685" s="195"/>
      <c r="EE685" s="195"/>
      <c r="EF685" s="195"/>
      <c r="EG685" s="195"/>
      <c r="EL685" s="1"/>
      <c r="EM685" s="195"/>
      <c r="EN685" s="240"/>
      <c r="EO685" s="240"/>
      <c r="EP685" s="195"/>
      <c r="EQ685" s="240"/>
      <c r="ER685" s="195"/>
      <c r="ES685" s="195"/>
      <c r="ET685" s="195"/>
      <c r="EU685" s="672"/>
    </row>
    <row r="686" customFormat="false" ht="12.75" hidden="false" customHeight="false" outlineLevel="0" collapsed="false">
      <c r="I686" s="735"/>
      <c r="J686" s="728"/>
      <c r="K686" s="195"/>
      <c r="L686" s="195"/>
      <c r="Q686" s="195"/>
      <c r="R686" s="195"/>
      <c r="S686" s="240"/>
      <c r="T686" s="195"/>
      <c r="U686" s="195"/>
      <c r="V686" s="195"/>
      <c r="W686" s="195"/>
      <c r="X686" s="195"/>
      <c r="Y686" s="195"/>
      <c r="Z686" s="195"/>
      <c r="AA686" s="195"/>
      <c r="AB686" s="195"/>
      <c r="AC686" s="195"/>
      <c r="AD686" s="195"/>
      <c r="AE686" s="195"/>
      <c r="AF686" s="195"/>
      <c r="AG686" s="195"/>
      <c r="AH686" s="195"/>
      <c r="AI686" s="195"/>
      <c r="AJ686" s="195"/>
      <c r="AK686" s="195"/>
      <c r="AL686" s="195"/>
      <c r="AM686" s="195"/>
      <c r="AN686" s="1"/>
      <c r="AO686" s="240"/>
      <c r="AP686" s="240"/>
      <c r="AQ686" s="240"/>
      <c r="AR686" s="240"/>
      <c r="AS686" s="240"/>
      <c r="AT686" s="730"/>
      <c r="AU686" s="730"/>
      <c r="AV686" s="730"/>
      <c r="AW686" s="468"/>
      <c r="AX686" s="468"/>
      <c r="AY686" s="240"/>
      <c r="AZ686" s="240"/>
      <c r="BA686" s="240"/>
      <c r="BB686" s="240"/>
      <c r="BC686" s="240"/>
      <c r="BD686" s="240"/>
      <c r="BE686" s="672"/>
      <c r="BF686" s="731"/>
      <c r="BG686" s="731"/>
      <c r="BH686" s="731"/>
      <c r="BI686" s="736"/>
      <c r="BJ686" s="732"/>
      <c r="BK686" s="240"/>
      <c r="BL686" s="240"/>
      <c r="BM686" s="240"/>
      <c r="BN686" s="240"/>
      <c r="BO686" s="240"/>
      <c r="BP686" s="240"/>
      <c r="BQ686" s="240"/>
      <c r="BR686" s="240"/>
      <c r="BS686" s="240"/>
      <c r="BT686" s="240"/>
      <c r="BU686" s="240"/>
      <c r="BV686" s="240"/>
      <c r="BW686" s="240"/>
      <c r="BX686" s="672"/>
      <c r="BY686" s="240"/>
      <c r="BZ686" s="672"/>
      <c r="CA686" s="672"/>
      <c r="CB686" s="672"/>
      <c r="CC686" s="672"/>
      <c r="CD686" s="672"/>
      <c r="CE686" s="672"/>
      <c r="CF686" s="672"/>
      <c r="CG686" s="672"/>
      <c r="CH686" s="240"/>
      <c r="CI686" s="240"/>
      <c r="CJ686" s="240"/>
      <c r="CK686" s="240"/>
      <c r="CL686" s="240"/>
      <c r="CM686" s="728"/>
      <c r="CN686" s="728"/>
      <c r="CO686" s="728"/>
      <c r="CP686" s="728"/>
      <c r="CQ686" s="728"/>
      <c r="CR686" s="728"/>
      <c r="CS686" s="728"/>
      <c r="CT686" s="728"/>
      <c r="CU686" s="728"/>
      <c r="CV686" s="728"/>
      <c r="CW686" s="728"/>
      <c r="CX686" s="728"/>
      <c r="CY686" s="728"/>
      <c r="CZ686" s="728"/>
      <c r="DA686" s="728"/>
      <c r="DB686" s="728"/>
      <c r="DC686" s="728"/>
      <c r="DD686" s="728"/>
      <c r="DE686" s="728"/>
      <c r="DF686" s="728"/>
      <c r="DG686" s="195"/>
      <c r="DH686" s="1"/>
      <c r="DI686" s="3"/>
      <c r="DL686" s="4"/>
      <c r="DM686" s="4"/>
      <c r="DN686" s="4"/>
      <c r="DO686" s="4"/>
      <c r="DP686" s="4"/>
      <c r="DR686" s="195"/>
      <c r="DS686" s="195"/>
      <c r="DT686" s="195"/>
      <c r="DU686" s="195"/>
      <c r="DV686" s="195"/>
      <c r="DW686" s="195"/>
      <c r="DX686" s="195"/>
      <c r="DY686" s="195"/>
      <c r="DZ686" s="195"/>
      <c r="EA686" s="195"/>
      <c r="EB686" s="195"/>
      <c r="EC686" s="195"/>
      <c r="ED686" s="195"/>
      <c r="EE686" s="195"/>
      <c r="EF686" s="195"/>
      <c r="EG686" s="195"/>
      <c r="EL686" s="1"/>
      <c r="EM686" s="195"/>
      <c r="EN686" s="240"/>
      <c r="EO686" s="240"/>
      <c r="EP686" s="195"/>
      <c r="EQ686" s="240"/>
      <c r="ER686" s="195"/>
      <c r="ES686" s="195"/>
      <c r="ET686" s="195"/>
      <c r="EU686" s="672"/>
    </row>
    <row r="687" customFormat="false" ht="12.75" hidden="false" customHeight="false" outlineLevel="0" collapsed="false">
      <c r="I687" s="735"/>
      <c r="J687" s="728"/>
      <c r="K687" s="195"/>
      <c r="L687" s="195"/>
      <c r="Q687" s="195"/>
      <c r="R687" s="195"/>
      <c r="S687" s="240"/>
      <c r="T687" s="195"/>
      <c r="U687" s="195"/>
      <c r="V687" s="195"/>
      <c r="W687" s="195"/>
      <c r="X687" s="195"/>
      <c r="Y687" s="195"/>
      <c r="Z687" s="195"/>
      <c r="AA687" s="195"/>
      <c r="AB687" s="195"/>
      <c r="AC687" s="195"/>
      <c r="AD687" s="195"/>
      <c r="AE687" s="195"/>
      <c r="AF687" s="195"/>
      <c r="AG687" s="195"/>
      <c r="AH687" s="195"/>
      <c r="AI687" s="195"/>
      <c r="AJ687" s="195"/>
      <c r="AK687" s="195"/>
      <c r="AL687" s="195"/>
      <c r="AM687" s="195"/>
      <c r="AN687" s="1"/>
      <c r="AO687" s="240"/>
      <c r="AP687" s="240"/>
      <c r="AQ687" s="240"/>
      <c r="AR687" s="240"/>
      <c r="AS687" s="240"/>
      <c r="AT687" s="730"/>
      <c r="AU687" s="730"/>
      <c r="AV687" s="730"/>
      <c r="AW687" s="468"/>
      <c r="AX687" s="468"/>
      <c r="AY687" s="240"/>
      <c r="AZ687" s="240"/>
      <c r="BA687" s="240"/>
      <c r="BB687" s="240"/>
      <c r="BC687" s="240"/>
      <c r="BD687" s="240"/>
      <c r="BE687" s="672"/>
      <c r="BF687" s="731"/>
      <c r="BG687" s="731"/>
      <c r="BH687" s="731"/>
      <c r="BI687" s="736"/>
      <c r="BJ687" s="732"/>
      <c r="BK687" s="240"/>
      <c r="BL687" s="240"/>
      <c r="BM687" s="240"/>
      <c r="BN687" s="240"/>
      <c r="BO687" s="240"/>
      <c r="BP687" s="240"/>
      <c r="BQ687" s="240"/>
      <c r="BR687" s="240"/>
      <c r="BS687" s="240"/>
      <c r="BT687" s="240"/>
      <c r="BU687" s="240"/>
      <c r="BV687" s="240"/>
      <c r="BW687" s="240"/>
      <c r="BX687" s="672"/>
      <c r="BY687" s="240"/>
      <c r="BZ687" s="672"/>
      <c r="CA687" s="672"/>
      <c r="CB687" s="672"/>
      <c r="CC687" s="672"/>
      <c r="CD687" s="672"/>
      <c r="CE687" s="672"/>
      <c r="CF687" s="672"/>
      <c r="CG687" s="672"/>
      <c r="CH687" s="240"/>
      <c r="CI687" s="240"/>
      <c r="CJ687" s="240"/>
      <c r="CK687" s="240"/>
      <c r="CL687" s="240"/>
      <c r="CM687" s="728"/>
      <c r="CN687" s="728"/>
      <c r="CO687" s="728"/>
      <c r="CP687" s="728"/>
      <c r="CQ687" s="728"/>
      <c r="CR687" s="728"/>
      <c r="CS687" s="728"/>
      <c r="CT687" s="728"/>
      <c r="CU687" s="728"/>
      <c r="CV687" s="728"/>
      <c r="CW687" s="728"/>
      <c r="CX687" s="728"/>
      <c r="CY687" s="728"/>
      <c r="CZ687" s="728"/>
      <c r="DA687" s="728"/>
      <c r="DB687" s="728"/>
      <c r="DC687" s="728"/>
      <c r="DD687" s="728"/>
      <c r="DE687" s="728"/>
      <c r="DF687" s="728"/>
      <c r="DG687" s="195"/>
      <c r="DH687" s="1"/>
      <c r="DI687" s="3"/>
      <c r="DL687" s="4"/>
      <c r="DM687" s="4"/>
      <c r="DN687" s="4"/>
      <c r="DO687" s="4"/>
      <c r="DP687" s="4"/>
      <c r="DR687" s="195"/>
      <c r="DS687" s="195"/>
      <c r="DT687" s="195"/>
      <c r="DU687" s="195"/>
      <c r="DV687" s="195"/>
      <c r="DW687" s="195"/>
      <c r="DX687" s="195"/>
      <c r="DY687" s="195"/>
      <c r="DZ687" s="195"/>
      <c r="EA687" s="195"/>
      <c r="EB687" s="195"/>
      <c r="EC687" s="195"/>
      <c r="ED687" s="195"/>
      <c r="EE687" s="195"/>
      <c r="EF687" s="195"/>
      <c r="EG687" s="195"/>
      <c r="EL687" s="1"/>
      <c r="EM687" s="195"/>
      <c r="EN687" s="240"/>
      <c r="EO687" s="240"/>
      <c r="EP687" s="195"/>
      <c r="EQ687" s="240"/>
      <c r="ER687" s="195"/>
      <c r="ES687" s="195"/>
      <c r="ET687" s="195"/>
      <c r="EU687" s="672"/>
    </row>
    <row r="688" customFormat="false" ht="12.75" hidden="false" customHeight="false" outlineLevel="0" collapsed="false">
      <c r="I688" s="735"/>
      <c r="J688" s="728"/>
      <c r="K688" s="195"/>
      <c r="L688" s="195"/>
      <c r="Q688" s="195"/>
      <c r="R688" s="195"/>
      <c r="S688" s="240"/>
      <c r="T688" s="195"/>
      <c r="U688" s="195"/>
      <c r="V688" s="195"/>
      <c r="W688" s="195"/>
      <c r="X688" s="195"/>
      <c r="Y688" s="195"/>
      <c r="Z688" s="195"/>
      <c r="AA688" s="195"/>
      <c r="AB688" s="195"/>
      <c r="AC688" s="195"/>
      <c r="AD688" s="195"/>
      <c r="AE688" s="195"/>
      <c r="AF688" s="195"/>
      <c r="AG688" s="195"/>
      <c r="AH688" s="195"/>
      <c r="AI688" s="195"/>
      <c r="AJ688" s="195"/>
      <c r="AK688" s="195"/>
      <c r="AL688" s="195"/>
      <c r="AM688" s="195"/>
      <c r="AN688" s="1"/>
      <c r="AO688" s="240"/>
      <c r="AP688" s="240"/>
      <c r="AQ688" s="240"/>
      <c r="AR688" s="240"/>
      <c r="AS688" s="240"/>
      <c r="AT688" s="730"/>
      <c r="AU688" s="730"/>
      <c r="AV688" s="730"/>
      <c r="AW688" s="468"/>
      <c r="AX688" s="468"/>
      <c r="AY688" s="240"/>
      <c r="AZ688" s="240"/>
      <c r="BA688" s="240"/>
      <c r="BB688" s="240"/>
      <c r="BC688" s="240"/>
      <c r="BD688" s="240"/>
      <c r="BE688" s="672"/>
      <c r="BF688" s="731"/>
      <c r="BG688" s="731"/>
      <c r="BH688" s="731"/>
      <c r="BI688" s="736"/>
      <c r="BJ688" s="732"/>
      <c r="BK688" s="240"/>
      <c r="BL688" s="240"/>
      <c r="BM688" s="240"/>
      <c r="BN688" s="240"/>
      <c r="BO688" s="240"/>
      <c r="BP688" s="240"/>
      <c r="BQ688" s="240"/>
      <c r="BR688" s="240"/>
      <c r="BS688" s="240"/>
      <c r="BT688" s="240"/>
      <c r="BU688" s="240"/>
      <c r="BV688" s="240"/>
      <c r="BW688" s="240"/>
      <c r="BX688" s="672"/>
      <c r="BY688" s="240"/>
      <c r="BZ688" s="672"/>
      <c r="CA688" s="672"/>
      <c r="CB688" s="672"/>
      <c r="CC688" s="672"/>
      <c r="CD688" s="672"/>
      <c r="CE688" s="672"/>
      <c r="CF688" s="672"/>
      <c r="CG688" s="672"/>
      <c r="CH688" s="240"/>
      <c r="CI688" s="240"/>
      <c r="CJ688" s="240"/>
      <c r="CK688" s="240"/>
      <c r="CL688" s="240"/>
      <c r="CM688" s="728"/>
      <c r="CN688" s="728"/>
      <c r="CO688" s="728"/>
      <c r="CP688" s="728"/>
      <c r="CQ688" s="728"/>
      <c r="CR688" s="728"/>
      <c r="CS688" s="728"/>
      <c r="CT688" s="728"/>
      <c r="CU688" s="728"/>
      <c r="CV688" s="728"/>
      <c r="CW688" s="728"/>
      <c r="CX688" s="728"/>
      <c r="CY688" s="728"/>
      <c r="CZ688" s="728"/>
      <c r="DA688" s="728"/>
      <c r="DB688" s="728"/>
      <c r="DC688" s="728"/>
      <c r="DD688" s="728"/>
      <c r="DE688" s="728"/>
      <c r="DF688" s="728"/>
      <c r="DG688" s="195"/>
      <c r="DH688" s="1"/>
      <c r="DI688" s="3"/>
      <c r="DL688" s="4"/>
      <c r="DM688" s="4"/>
      <c r="DN688" s="4"/>
      <c r="DO688" s="4"/>
      <c r="DP688" s="4"/>
      <c r="DR688" s="195"/>
      <c r="DS688" s="195"/>
      <c r="DT688" s="195"/>
      <c r="DU688" s="195"/>
      <c r="DV688" s="195"/>
      <c r="DW688" s="195"/>
      <c r="DX688" s="195"/>
      <c r="DY688" s="195"/>
      <c r="DZ688" s="195"/>
      <c r="EA688" s="195"/>
      <c r="EB688" s="195"/>
      <c r="EC688" s="195"/>
      <c r="ED688" s="195"/>
      <c r="EE688" s="195"/>
      <c r="EF688" s="195"/>
      <c r="EG688" s="195"/>
      <c r="EL688" s="1"/>
      <c r="EM688" s="195"/>
      <c r="EN688" s="240"/>
      <c r="EO688" s="240"/>
      <c r="EP688" s="195"/>
      <c r="EQ688" s="240"/>
      <c r="ER688" s="195"/>
      <c r="ES688" s="195"/>
      <c r="ET688" s="195"/>
      <c r="EU688" s="672"/>
    </row>
    <row r="689" customFormat="false" ht="12.75" hidden="false" customHeight="false" outlineLevel="0" collapsed="false">
      <c r="I689" s="735"/>
      <c r="J689" s="728"/>
      <c r="K689" s="195"/>
      <c r="L689" s="195"/>
      <c r="Q689" s="195"/>
      <c r="R689" s="195"/>
      <c r="S689" s="240"/>
      <c r="T689" s="195"/>
      <c r="U689" s="195"/>
      <c r="V689" s="195"/>
      <c r="W689" s="195"/>
      <c r="X689" s="195"/>
      <c r="Y689" s="195"/>
      <c r="Z689" s="195"/>
      <c r="AA689" s="195"/>
      <c r="AB689" s="195"/>
      <c r="AC689" s="195"/>
      <c r="AD689" s="195"/>
      <c r="AE689" s="195"/>
      <c r="AF689" s="195"/>
      <c r="AG689" s="195"/>
      <c r="AH689" s="195"/>
      <c r="AI689" s="195"/>
      <c r="AJ689" s="195"/>
      <c r="AK689" s="195"/>
      <c r="AL689" s="195"/>
      <c r="AM689" s="1"/>
      <c r="AN689" s="240"/>
      <c r="AO689" s="240"/>
      <c r="AP689" s="240"/>
      <c r="AQ689" s="240"/>
      <c r="AR689" s="240"/>
      <c r="AS689" s="730"/>
      <c r="AT689" s="730"/>
      <c r="AU689" s="730"/>
      <c r="AV689" s="468"/>
      <c r="AW689" s="468"/>
      <c r="AX689" s="240"/>
      <c r="AY689" s="240"/>
      <c r="AZ689" s="240"/>
      <c r="BA689" s="240"/>
      <c r="BB689" s="240"/>
      <c r="BC689" s="240"/>
      <c r="BD689" s="672"/>
      <c r="BE689" s="731"/>
      <c r="BF689" s="731"/>
      <c r="BG689" s="731"/>
      <c r="BH689" s="672"/>
      <c r="BI689" s="732"/>
      <c r="BJ689" s="240"/>
      <c r="BK689" s="240"/>
      <c r="BL689" s="240"/>
      <c r="BM689" s="240"/>
      <c r="BN689" s="240"/>
      <c r="BO689" s="240"/>
      <c r="BP689" s="240"/>
      <c r="BQ689" s="240"/>
      <c r="BR689" s="240"/>
      <c r="BS689" s="240"/>
      <c r="BT689" s="240"/>
      <c r="BU689" s="240"/>
      <c r="BV689" s="240"/>
      <c r="BW689" s="672"/>
      <c r="BX689" s="672"/>
      <c r="BY689" s="672"/>
      <c r="BZ689" s="672"/>
      <c r="CA689" s="672"/>
      <c r="CB689" s="672"/>
      <c r="CC689" s="672"/>
      <c r="CD689" s="672"/>
      <c r="CE689" s="672"/>
      <c r="CF689" s="672"/>
      <c r="CG689" s="240"/>
      <c r="CH689" s="240"/>
      <c r="CI689" s="240"/>
      <c r="CJ689" s="240"/>
      <c r="CK689" s="240"/>
      <c r="CL689" s="728"/>
      <c r="CM689" s="728"/>
      <c r="CN689" s="195"/>
      <c r="CO689" s="195"/>
      <c r="CP689" s="195"/>
      <c r="CQ689" s="195"/>
      <c r="CR689" s="195"/>
      <c r="CS689" s="195"/>
      <c r="CT689" s="195"/>
      <c r="CU689" s="195"/>
      <c r="CV689" s="195"/>
      <c r="CW689" s="195"/>
      <c r="CX689" s="195"/>
      <c r="CY689" s="195"/>
      <c r="CZ689" s="195"/>
      <c r="DA689" s="195"/>
      <c r="DB689" s="195"/>
      <c r="DC689" s="195"/>
      <c r="DD689" s="195"/>
      <c r="DE689" s="195"/>
      <c r="DF689" s="195"/>
      <c r="DG689" s="1"/>
      <c r="DH689" s="3"/>
      <c r="DL689" s="4"/>
      <c r="DM689" s="4"/>
      <c r="DQ689" s="195"/>
      <c r="DR689" s="195"/>
      <c r="DS689" s="195"/>
      <c r="DT689" s="195"/>
      <c r="DU689" s="195"/>
      <c r="DV689" s="195"/>
      <c r="DW689" s="195"/>
      <c r="DX689" s="195"/>
      <c r="DY689" s="195"/>
      <c r="DZ689" s="195"/>
      <c r="EA689" s="195"/>
      <c r="EB689" s="195"/>
      <c r="EC689" s="195"/>
      <c r="ED689" s="195"/>
      <c r="EE689" s="195"/>
      <c r="EF689" s="195"/>
      <c r="EG689" s="195"/>
      <c r="EL689" s="1"/>
      <c r="EM689" s="195"/>
      <c r="EN689" s="240"/>
      <c r="EO689" s="240"/>
      <c r="EP689" s="195"/>
      <c r="EQ689" s="240"/>
      <c r="ER689" s="195"/>
      <c r="ES689" s="195"/>
      <c r="ET689" s="195"/>
      <c r="EU689" s="736"/>
    </row>
    <row r="690" customFormat="false" ht="12.75" hidden="false" customHeight="false" outlineLevel="0" collapsed="false">
      <c r="I690" s="735"/>
      <c r="J690" s="728"/>
      <c r="K690" s="195"/>
      <c r="L690" s="195"/>
      <c r="Q690" s="195"/>
      <c r="R690" s="195"/>
      <c r="S690" s="240"/>
      <c r="T690" s="195"/>
      <c r="U690" s="195"/>
      <c r="V690" s="195"/>
      <c r="W690" s="195"/>
      <c r="X690" s="195"/>
      <c r="Y690" s="195"/>
      <c r="Z690" s="195"/>
      <c r="AA690" s="195"/>
      <c r="AB690" s="195"/>
      <c r="AC690" s="195"/>
      <c r="AD690" s="195"/>
      <c r="AE690" s="195"/>
      <c r="AF690" s="195"/>
      <c r="AG690" s="195"/>
      <c r="AH690" s="195"/>
      <c r="AI690" s="195"/>
      <c r="AJ690" s="195"/>
      <c r="AK690" s="195"/>
      <c r="AL690" s="195"/>
      <c r="AM690" s="1"/>
      <c r="AN690" s="240"/>
      <c r="AO690" s="240"/>
      <c r="AP690" s="240"/>
      <c r="AQ690" s="240"/>
      <c r="AR690" s="240"/>
      <c r="AS690" s="730"/>
      <c r="AT690" s="730"/>
      <c r="AU690" s="730"/>
      <c r="AV690" s="468"/>
      <c r="AW690" s="468"/>
      <c r="AX690" s="240"/>
      <c r="AY690" s="240"/>
      <c r="AZ690" s="240"/>
      <c r="BA690" s="240"/>
      <c r="BB690" s="240"/>
      <c r="BC690" s="240"/>
      <c r="BD690" s="672"/>
      <c r="BE690" s="731"/>
      <c r="BF690" s="731"/>
      <c r="BG690" s="731"/>
      <c r="BH690" s="672"/>
      <c r="BI690" s="732"/>
      <c r="BJ690" s="240"/>
      <c r="BK690" s="240"/>
      <c r="BL690" s="240"/>
      <c r="BM690" s="240"/>
      <c r="BN690" s="240"/>
      <c r="BO690" s="240"/>
      <c r="BP690" s="240"/>
      <c r="BQ690" s="240"/>
      <c r="BR690" s="240"/>
      <c r="BS690" s="240"/>
      <c r="BT690" s="240"/>
      <c r="BU690" s="240"/>
      <c r="BV690" s="240"/>
      <c r="BW690" s="672"/>
      <c r="BX690" s="672"/>
      <c r="BY690" s="672"/>
      <c r="BZ690" s="672"/>
      <c r="CA690" s="672"/>
      <c r="CB690" s="672"/>
      <c r="CC690" s="672"/>
      <c r="CD690" s="672"/>
      <c r="CE690" s="672"/>
      <c r="CF690" s="672"/>
      <c r="CG690" s="240"/>
      <c r="CH690" s="240"/>
      <c r="CI690" s="240"/>
      <c r="CJ690" s="240"/>
      <c r="CK690" s="240"/>
      <c r="CL690" s="728"/>
      <c r="CM690" s="728"/>
      <c r="CN690" s="195"/>
      <c r="CO690" s="195"/>
      <c r="CP690" s="195"/>
      <c r="CQ690" s="195"/>
      <c r="CR690" s="195"/>
      <c r="CS690" s="195"/>
      <c r="CT690" s="195"/>
      <c r="CU690" s="195"/>
      <c r="CV690" s="195"/>
      <c r="CW690" s="195"/>
      <c r="CX690" s="195"/>
      <c r="CY690" s="195"/>
      <c r="CZ690" s="195"/>
      <c r="DA690" s="195"/>
      <c r="DB690" s="195"/>
      <c r="DC690" s="195"/>
      <c r="DD690" s="195"/>
      <c r="DE690" s="195"/>
      <c r="DF690" s="195"/>
      <c r="DG690" s="1"/>
      <c r="DH690" s="3"/>
      <c r="DL690" s="4"/>
      <c r="DM690" s="4"/>
      <c r="DQ690" s="195"/>
      <c r="DR690" s="195"/>
      <c r="DS690" s="195"/>
      <c r="DT690" s="195"/>
      <c r="DU690" s="195"/>
      <c r="DV690" s="195"/>
      <c r="DW690" s="195"/>
      <c r="DX690" s="195"/>
      <c r="DY690" s="195"/>
      <c r="DZ690" s="195"/>
      <c r="EA690" s="195"/>
      <c r="EB690" s="195"/>
      <c r="EC690" s="195"/>
      <c r="ED690" s="195"/>
      <c r="EE690" s="195"/>
      <c r="EF690" s="195"/>
      <c r="EG690" s="195"/>
      <c r="EL690" s="1"/>
      <c r="EM690" s="195"/>
      <c r="EN690" s="240"/>
      <c r="EO690" s="240"/>
      <c r="EP690" s="195"/>
      <c r="EQ690" s="240"/>
      <c r="ER690" s="195"/>
      <c r="ES690" s="195"/>
      <c r="ET690" s="195"/>
      <c r="EU690" s="736"/>
    </row>
    <row r="691" customFormat="false" ht="12.75" hidden="false" customHeight="false" outlineLevel="0" collapsed="false">
      <c r="I691" s="735"/>
      <c r="J691" s="728"/>
      <c r="K691" s="195"/>
      <c r="L691" s="195"/>
      <c r="Q691" s="195"/>
      <c r="R691" s="195"/>
      <c r="S691" s="240"/>
      <c r="T691" s="195"/>
      <c r="U691" s="195"/>
      <c r="V691" s="195"/>
      <c r="W691" s="195"/>
      <c r="X691" s="195"/>
      <c r="Y691" s="195"/>
      <c r="Z691" s="195"/>
      <c r="AA691" s="195"/>
      <c r="AB691" s="195"/>
      <c r="AC691" s="195"/>
      <c r="AD691" s="195"/>
      <c r="AE691" s="195"/>
      <c r="AF691" s="195"/>
      <c r="AG691" s="195"/>
      <c r="AH691" s="195"/>
      <c r="AI691" s="195"/>
      <c r="AJ691" s="195"/>
      <c r="AK691" s="195"/>
      <c r="AL691" s="195"/>
      <c r="AM691" s="1"/>
      <c r="AN691" s="240"/>
      <c r="AO691" s="240"/>
      <c r="AP691" s="240"/>
      <c r="AQ691" s="240"/>
      <c r="AR691" s="240"/>
      <c r="AS691" s="730"/>
      <c r="AT691" s="730"/>
      <c r="AU691" s="730"/>
      <c r="AV691" s="468"/>
      <c r="AW691" s="468"/>
      <c r="AX691" s="240"/>
      <c r="AY691" s="240"/>
      <c r="AZ691" s="240"/>
      <c r="BA691" s="240"/>
      <c r="BB691" s="240"/>
      <c r="BC691" s="240"/>
      <c r="BD691" s="672"/>
      <c r="BE691" s="731"/>
      <c r="BF691" s="731"/>
      <c r="BG691" s="731"/>
      <c r="BH691" s="672"/>
      <c r="BI691" s="732"/>
      <c r="BJ691" s="240"/>
      <c r="BK691" s="240"/>
      <c r="BL691" s="240"/>
      <c r="BM691" s="240"/>
      <c r="BN691" s="240"/>
      <c r="BO691" s="240"/>
      <c r="BP691" s="240"/>
      <c r="BQ691" s="240"/>
      <c r="BR691" s="240"/>
      <c r="BS691" s="240"/>
      <c r="BT691" s="240"/>
      <c r="BU691" s="240"/>
      <c r="BV691" s="240"/>
      <c r="BW691" s="672"/>
      <c r="BX691" s="672"/>
      <c r="BY691" s="672"/>
      <c r="BZ691" s="672"/>
      <c r="CA691" s="672"/>
      <c r="CB691" s="672"/>
      <c r="CC691" s="672"/>
      <c r="CD691" s="672"/>
      <c r="CE691" s="672"/>
      <c r="CF691" s="672"/>
      <c r="CG691" s="240"/>
      <c r="CH691" s="240"/>
      <c r="CI691" s="240"/>
      <c r="CJ691" s="240"/>
      <c r="CK691" s="240"/>
      <c r="CL691" s="728"/>
      <c r="CM691" s="728"/>
      <c r="CN691" s="195"/>
      <c r="CO691" s="195"/>
      <c r="CP691" s="195"/>
      <c r="CQ691" s="195"/>
      <c r="CR691" s="195"/>
      <c r="CS691" s="195"/>
      <c r="CT691" s="195"/>
      <c r="CU691" s="195"/>
      <c r="CV691" s="195"/>
      <c r="CW691" s="195"/>
      <c r="CX691" s="195"/>
      <c r="CY691" s="195"/>
      <c r="CZ691" s="195"/>
      <c r="DA691" s="195"/>
      <c r="DB691" s="195"/>
      <c r="DC691" s="195"/>
      <c r="DD691" s="195"/>
      <c r="DE691" s="195"/>
      <c r="DF691" s="195"/>
      <c r="DG691" s="1"/>
      <c r="DH691" s="3"/>
      <c r="DL691" s="4"/>
      <c r="DM691" s="4"/>
      <c r="DQ691" s="195"/>
      <c r="DR691" s="195"/>
      <c r="DS691" s="195"/>
      <c r="DT691" s="195"/>
      <c r="DU691" s="195"/>
      <c r="DV691" s="195"/>
      <c r="DW691" s="195"/>
      <c r="DX691" s="195"/>
      <c r="DY691" s="195"/>
      <c r="DZ691" s="195"/>
      <c r="EA691" s="195"/>
      <c r="EB691" s="195"/>
      <c r="EC691" s="195"/>
      <c r="ED691" s="195"/>
      <c r="EE691" s="195"/>
      <c r="EF691" s="195"/>
      <c r="EG691" s="195"/>
      <c r="EL691" s="1"/>
      <c r="EM691" s="195"/>
      <c r="EN691" s="240"/>
      <c r="EO691" s="240"/>
      <c r="EP691" s="195"/>
      <c r="EQ691" s="240"/>
      <c r="ER691" s="195"/>
      <c r="ES691" s="195"/>
      <c r="ET691" s="195"/>
      <c r="EU691" s="736"/>
    </row>
    <row r="692" customFormat="false" ht="12.75" hidden="false" customHeight="false" outlineLevel="0" collapsed="false">
      <c r="I692" s="735"/>
      <c r="J692" s="728"/>
      <c r="K692" s="195"/>
      <c r="L692" s="195"/>
      <c r="Q692" s="195"/>
      <c r="R692" s="195"/>
      <c r="S692" s="240"/>
      <c r="T692" s="195"/>
      <c r="U692" s="195"/>
      <c r="V692" s="195"/>
      <c r="W692" s="195"/>
      <c r="X692" s="195"/>
      <c r="Y692" s="195"/>
      <c r="Z692" s="195"/>
      <c r="AA692" s="195"/>
      <c r="AB692" s="195"/>
      <c r="AC692" s="195"/>
      <c r="AD692" s="195"/>
      <c r="AE692" s="195"/>
      <c r="AF692" s="195"/>
      <c r="AG692" s="195"/>
      <c r="AH692" s="195"/>
      <c r="AI692" s="195"/>
      <c r="AJ692" s="195"/>
      <c r="AK692" s="195"/>
      <c r="AL692" s="195"/>
      <c r="AM692" s="1"/>
      <c r="AN692" s="240"/>
      <c r="AO692" s="240"/>
      <c r="AP692" s="240"/>
      <c r="AQ692" s="240"/>
      <c r="AR692" s="240"/>
      <c r="AS692" s="730"/>
      <c r="AT692" s="730"/>
      <c r="AU692" s="730"/>
      <c r="AV692" s="468"/>
      <c r="AW692" s="468"/>
      <c r="AX692" s="240"/>
      <c r="AY692" s="240"/>
      <c r="AZ692" s="240"/>
      <c r="BA692" s="240"/>
      <c r="BB692" s="240"/>
      <c r="BC692" s="240"/>
      <c r="BD692" s="672"/>
      <c r="BE692" s="731"/>
      <c r="BF692" s="731"/>
      <c r="BG692" s="731"/>
      <c r="BH692" s="672"/>
      <c r="BI692" s="732"/>
      <c r="BJ692" s="240"/>
      <c r="BK692" s="240"/>
      <c r="BL692" s="240"/>
      <c r="BM692" s="240"/>
      <c r="BN692" s="240"/>
      <c r="BO692" s="240"/>
      <c r="BP692" s="240"/>
      <c r="BQ692" s="240"/>
      <c r="BR692" s="240"/>
      <c r="BS692" s="240"/>
      <c r="BT692" s="240"/>
      <c r="BU692" s="240"/>
      <c r="BV692" s="240"/>
      <c r="BW692" s="672"/>
      <c r="BX692" s="672"/>
      <c r="BY692" s="672"/>
      <c r="BZ692" s="672"/>
      <c r="CA692" s="672"/>
      <c r="CB692" s="672"/>
      <c r="CC692" s="672"/>
      <c r="CD692" s="672"/>
      <c r="CE692" s="672"/>
      <c r="CF692" s="672"/>
      <c r="CG692" s="240"/>
      <c r="CH692" s="240"/>
      <c r="CI692" s="240"/>
      <c r="CJ692" s="240"/>
      <c r="CK692" s="240"/>
      <c r="CL692" s="728"/>
      <c r="CM692" s="728"/>
      <c r="CN692" s="195"/>
      <c r="CO692" s="195"/>
      <c r="CP692" s="195"/>
      <c r="CQ692" s="195"/>
      <c r="CR692" s="195"/>
      <c r="CS692" s="195"/>
      <c r="CT692" s="195"/>
      <c r="CU692" s="195"/>
      <c r="CV692" s="195"/>
      <c r="CW692" s="195"/>
      <c r="CX692" s="195"/>
      <c r="CY692" s="195"/>
      <c r="CZ692" s="195"/>
      <c r="DA692" s="195"/>
      <c r="DB692" s="195"/>
      <c r="DC692" s="195"/>
      <c r="DD692" s="195"/>
      <c r="DE692" s="195"/>
      <c r="DF692" s="195"/>
      <c r="DG692" s="1"/>
      <c r="DH692" s="3"/>
      <c r="DL692" s="4"/>
      <c r="DM692" s="4"/>
      <c r="DQ692" s="195"/>
      <c r="DR692" s="195"/>
      <c r="DS692" s="195"/>
      <c r="DT692" s="195"/>
      <c r="DU692" s="195"/>
      <c r="DV692" s="195"/>
      <c r="DW692" s="195"/>
      <c r="DX692" s="195"/>
      <c r="DY692" s="195"/>
      <c r="DZ692" s="195"/>
      <c r="EA692" s="195"/>
      <c r="EB692" s="195"/>
      <c r="EC692" s="195"/>
      <c r="ED692" s="195"/>
      <c r="EE692" s="195"/>
      <c r="EF692" s="195"/>
      <c r="EG692" s="195"/>
      <c r="EL692" s="1"/>
      <c r="EM692" s="195"/>
      <c r="EN692" s="240"/>
      <c r="EO692" s="240"/>
      <c r="EP692" s="195"/>
      <c r="EQ692" s="240"/>
      <c r="ER692" s="195"/>
      <c r="ES692" s="195"/>
      <c r="ET692" s="195"/>
      <c r="EU692" s="736"/>
    </row>
    <row r="693" customFormat="false" ht="12.75" hidden="false" customHeight="false" outlineLevel="0" collapsed="false">
      <c r="I693" s="735"/>
      <c r="J693" s="728"/>
      <c r="K693" s="195"/>
      <c r="L693" s="195"/>
      <c r="Q693" s="195"/>
      <c r="R693" s="195"/>
      <c r="S693" s="240"/>
      <c r="T693" s="195"/>
      <c r="U693" s="195"/>
      <c r="V693" s="195"/>
      <c r="W693" s="195"/>
      <c r="X693" s="195"/>
      <c r="Y693" s="195"/>
      <c r="Z693" s="195"/>
      <c r="AA693" s="195"/>
      <c r="AB693" s="195"/>
      <c r="AC693" s="195"/>
      <c r="AD693" s="195"/>
      <c r="AE693" s="195"/>
      <c r="AF693" s="195"/>
      <c r="AG693" s="195"/>
      <c r="AH693" s="195"/>
      <c r="AI693" s="195"/>
      <c r="AJ693" s="195"/>
      <c r="AK693" s="195"/>
      <c r="AL693" s="195"/>
      <c r="AM693" s="1"/>
      <c r="AN693" s="240"/>
      <c r="AO693" s="240"/>
      <c r="AP693" s="240"/>
      <c r="AQ693" s="240"/>
      <c r="AR693" s="240"/>
      <c r="AS693" s="730"/>
      <c r="AT693" s="730"/>
      <c r="AU693" s="730"/>
      <c r="AV693" s="468"/>
      <c r="AW693" s="468"/>
      <c r="AX693" s="240"/>
      <c r="AY693" s="240"/>
      <c r="AZ693" s="240"/>
      <c r="BA693" s="240"/>
      <c r="BB693" s="240"/>
      <c r="BC693" s="240"/>
      <c r="BD693" s="672"/>
      <c r="BE693" s="731"/>
      <c r="BF693" s="731"/>
      <c r="BG693" s="731"/>
      <c r="BH693" s="672"/>
      <c r="BI693" s="732"/>
      <c r="BJ693" s="240"/>
      <c r="BK693" s="240"/>
      <c r="BL693" s="240"/>
      <c r="BM693" s="240"/>
      <c r="BN693" s="240"/>
      <c r="BO693" s="240"/>
      <c r="BP693" s="240"/>
      <c r="BQ693" s="240"/>
      <c r="BR693" s="240"/>
      <c r="BS693" s="240"/>
      <c r="BT693" s="240"/>
      <c r="BU693" s="240"/>
      <c r="BV693" s="240"/>
      <c r="BW693" s="672"/>
      <c r="BX693" s="672"/>
      <c r="BY693" s="672"/>
      <c r="BZ693" s="672"/>
      <c r="CA693" s="672"/>
      <c r="CB693" s="672"/>
      <c r="CC693" s="672"/>
      <c r="CD693" s="672"/>
      <c r="CE693" s="672"/>
      <c r="CF693" s="672"/>
      <c r="CG693" s="240"/>
      <c r="CH693" s="240"/>
      <c r="CI693" s="240"/>
      <c r="CJ693" s="240"/>
      <c r="CK693" s="240"/>
      <c r="CL693" s="728"/>
      <c r="CM693" s="728"/>
      <c r="CN693" s="195"/>
      <c r="CO693" s="195"/>
      <c r="CP693" s="195"/>
      <c r="CQ693" s="195"/>
      <c r="CR693" s="195"/>
      <c r="CS693" s="195"/>
      <c r="CT693" s="195"/>
      <c r="CU693" s="195"/>
      <c r="CV693" s="195"/>
      <c r="CW693" s="195"/>
      <c r="CX693" s="195"/>
      <c r="CY693" s="195"/>
      <c r="CZ693" s="195"/>
      <c r="DA693" s="195"/>
      <c r="DB693" s="195"/>
      <c r="DC693" s="195"/>
      <c r="DD693" s="195"/>
      <c r="DE693" s="195"/>
      <c r="DF693" s="195"/>
      <c r="DG693" s="1"/>
      <c r="DH693" s="3"/>
      <c r="DL693" s="4"/>
      <c r="DM693" s="4"/>
      <c r="DQ693" s="195"/>
      <c r="DR693" s="195"/>
      <c r="DS693" s="195"/>
      <c r="DT693" s="195"/>
      <c r="DU693" s="195"/>
      <c r="DV693" s="195"/>
      <c r="DW693" s="195"/>
      <c r="DX693" s="195"/>
      <c r="DY693" s="195"/>
      <c r="DZ693" s="195"/>
      <c r="EA693" s="195"/>
      <c r="EB693" s="195"/>
      <c r="EC693" s="195"/>
      <c r="ED693" s="195"/>
      <c r="EE693" s="195"/>
      <c r="EF693" s="195"/>
      <c r="EG693" s="195"/>
      <c r="EL693" s="1"/>
      <c r="EM693" s="195"/>
      <c r="EN693" s="240"/>
      <c r="EO693" s="240"/>
      <c r="EP693" s="195"/>
      <c r="EQ693" s="240"/>
      <c r="ER693" s="195"/>
      <c r="ES693" s="195"/>
      <c r="ET693" s="195"/>
      <c r="EU693" s="736"/>
    </row>
    <row r="694" customFormat="false" ht="12.75" hidden="false" customHeight="false" outlineLevel="0" collapsed="false">
      <c r="I694" s="735"/>
      <c r="J694" s="728"/>
      <c r="K694" s="195"/>
      <c r="L694" s="195"/>
      <c r="Q694" s="195"/>
      <c r="R694" s="195"/>
      <c r="S694" s="240"/>
      <c r="T694" s="195"/>
      <c r="U694" s="195"/>
      <c r="V694" s="195"/>
      <c r="W694" s="195"/>
      <c r="X694" s="195"/>
      <c r="Y694" s="195"/>
      <c r="Z694" s="195"/>
      <c r="AA694" s="195"/>
      <c r="AB694" s="195"/>
      <c r="AC694" s="195"/>
      <c r="AD694" s="195"/>
      <c r="AE694" s="195"/>
      <c r="AF694" s="195"/>
      <c r="AG694" s="195"/>
      <c r="AH694" s="195"/>
      <c r="AI694" s="195"/>
      <c r="AJ694" s="195"/>
      <c r="AK694" s="195"/>
      <c r="AL694" s="195"/>
      <c r="AM694" s="1"/>
      <c r="AN694" s="240"/>
      <c r="AO694" s="240"/>
      <c r="AP694" s="240"/>
      <c r="AQ694" s="240"/>
      <c r="AR694" s="240"/>
      <c r="AS694" s="730"/>
      <c r="AT694" s="730"/>
      <c r="AU694" s="730"/>
      <c r="AV694" s="468"/>
      <c r="AW694" s="468"/>
      <c r="AX694" s="240"/>
      <c r="AY694" s="240"/>
      <c r="AZ694" s="240"/>
      <c r="BA694" s="240"/>
      <c r="BB694" s="240"/>
      <c r="BC694" s="240"/>
      <c r="BD694" s="672"/>
      <c r="BE694" s="731"/>
      <c r="BF694" s="731"/>
      <c r="BG694" s="731"/>
      <c r="BH694" s="672"/>
      <c r="BI694" s="732"/>
      <c r="BJ694" s="240"/>
      <c r="BK694" s="240"/>
      <c r="BL694" s="240"/>
      <c r="BM694" s="240"/>
      <c r="BN694" s="240"/>
      <c r="BO694" s="240"/>
      <c r="BP694" s="240"/>
      <c r="BQ694" s="240"/>
      <c r="BR694" s="240"/>
      <c r="BS694" s="240"/>
      <c r="BT694" s="240"/>
      <c r="BU694" s="240"/>
      <c r="BV694" s="240"/>
      <c r="BW694" s="672"/>
      <c r="BX694" s="672"/>
      <c r="BY694" s="672"/>
      <c r="BZ694" s="672"/>
      <c r="CA694" s="672"/>
      <c r="CB694" s="672"/>
      <c r="CC694" s="672"/>
      <c r="CD694" s="672"/>
      <c r="CE694" s="672"/>
      <c r="CF694" s="672"/>
      <c r="CG694" s="240"/>
      <c r="CH694" s="240"/>
      <c r="CI694" s="240"/>
      <c r="CJ694" s="240"/>
      <c r="CK694" s="240"/>
      <c r="CL694" s="728"/>
      <c r="CM694" s="728"/>
      <c r="CN694" s="195"/>
      <c r="CO694" s="195"/>
      <c r="CP694" s="195"/>
      <c r="CQ694" s="195"/>
      <c r="CR694" s="195"/>
      <c r="CS694" s="195"/>
      <c r="CT694" s="195"/>
      <c r="CU694" s="195"/>
      <c r="CV694" s="195"/>
      <c r="CW694" s="195"/>
      <c r="CX694" s="195"/>
      <c r="CY694" s="195"/>
      <c r="CZ694" s="195"/>
      <c r="DA694" s="195"/>
      <c r="DB694" s="195"/>
      <c r="DC694" s="195"/>
      <c r="DD694" s="195"/>
      <c r="DE694" s="195"/>
      <c r="DF694" s="195"/>
      <c r="DG694" s="1"/>
      <c r="DH694" s="3"/>
      <c r="DL694" s="4"/>
      <c r="DM694" s="4"/>
      <c r="DQ694" s="195"/>
      <c r="DR694" s="195"/>
      <c r="DS694" s="195"/>
      <c r="DT694" s="195"/>
      <c r="DU694" s="195"/>
      <c r="DV694" s="195"/>
      <c r="DW694" s="195"/>
      <c r="DX694" s="195"/>
      <c r="DY694" s="195"/>
      <c r="DZ694" s="195"/>
      <c r="EA694" s="195"/>
      <c r="EB694" s="195"/>
      <c r="EC694" s="195"/>
      <c r="ED694" s="195"/>
      <c r="EE694" s="195"/>
      <c r="EF694" s="195"/>
      <c r="EG694" s="195"/>
      <c r="EL694" s="1"/>
      <c r="EM694" s="195"/>
      <c r="EN694" s="240"/>
      <c r="EO694" s="240"/>
      <c r="EP694" s="195"/>
      <c r="EQ694" s="240"/>
      <c r="ER694" s="195"/>
      <c r="ES694" s="195"/>
      <c r="ET694" s="195"/>
      <c r="EU694" s="736"/>
    </row>
    <row r="695" customFormat="false" ht="12.75" hidden="false" customHeight="false" outlineLevel="0" collapsed="false">
      <c r="I695" s="735"/>
      <c r="J695" s="728"/>
      <c r="K695" s="195"/>
      <c r="L695" s="195"/>
      <c r="Q695" s="195"/>
      <c r="R695" s="195"/>
      <c r="S695" s="240"/>
      <c r="T695" s="195"/>
      <c r="U695" s="195"/>
      <c r="V695" s="195"/>
      <c r="W695" s="195"/>
      <c r="X695" s="195"/>
      <c r="Y695" s="195"/>
      <c r="Z695" s="195"/>
      <c r="AA695" s="195"/>
      <c r="AB695" s="195"/>
      <c r="AC695" s="195"/>
      <c r="AD695" s="195"/>
      <c r="AE695" s="195"/>
      <c r="AF695" s="195"/>
      <c r="AG695" s="195"/>
      <c r="AH695" s="195"/>
      <c r="AI695" s="195"/>
      <c r="AJ695" s="195"/>
      <c r="AK695" s="195"/>
      <c r="AL695" s="195"/>
      <c r="AM695" s="1"/>
      <c r="AN695" s="240"/>
      <c r="AO695" s="240"/>
      <c r="AP695" s="240"/>
      <c r="AQ695" s="240"/>
      <c r="AR695" s="240"/>
      <c r="AS695" s="730"/>
      <c r="AT695" s="730"/>
      <c r="AU695" s="730"/>
      <c r="AV695" s="468"/>
      <c r="AW695" s="468"/>
      <c r="AX695" s="240"/>
      <c r="AY695" s="240"/>
      <c r="AZ695" s="240"/>
      <c r="BA695" s="240"/>
      <c r="BB695" s="240"/>
      <c r="BC695" s="240"/>
      <c r="BD695" s="672"/>
      <c r="BE695" s="731"/>
      <c r="BF695" s="731"/>
      <c r="BG695" s="731"/>
      <c r="BH695" s="672"/>
      <c r="BI695" s="732"/>
      <c r="BJ695" s="240"/>
      <c r="BK695" s="240"/>
      <c r="BL695" s="240"/>
      <c r="BM695" s="240"/>
      <c r="BN695" s="240"/>
      <c r="BO695" s="240"/>
      <c r="BP695" s="240"/>
      <c r="BQ695" s="240"/>
      <c r="BR695" s="240"/>
      <c r="BS695" s="240"/>
      <c r="BT695" s="240"/>
      <c r="BU695" s="240"/>
      <c r="BV695" s="240"/>
      <c r="BW695" s="672"/>
      <c r="BX695" s="672"/>
      <c r="BY695" s="672"/>
      <c r="BZ695" s="672"/>
      <c r="CA695" s="672"/>
      <c r="CB695" s="672"/>
      <c r="CC695" s="672"/>
      <c r="CD695" s="672"/>
      <c r="CE695" s="672"/>
      <c r="CF695" s="672"/>
      <c r="CG695" s="240"/>
      <c r="CH695" s="240"/>
      <c r="CI695" s="240"/>
      <c r="CJ695" s="240"/>
      <c r="CK695" s="240"/>
      <c r="CL695" s="728"/>
      <c r="CM695" s="728"/>
      <c r="CN695" s="195"/>
      <c r="CO695" s="195"/>
      <c r="CP695" s="195"/>
      <c r="CQ695" s="195"/>
      <c r="CR695" s="195"/>
      <c r="CS695" s="195"/>
      <c r="CT695" s="195"/>
      <c r="CU695" s="195"/>
      <c r="CV695" s="195"/>
      <c r="CW695" s="195"/>
      <c r="CX695" s="195"/>
      <c r="CY695" s="195"/>
      <c r="CZ695" s="195"/>
      <c r="DA695" s="195"/>
      <c r="DB695" s="195"/>
      <c r="DC695" s="195"/>
      <c r="DD695" s="195"/>
      <c r="DE695" s="195"/>
      <c r="DF695" s="195"/>
      <c r="DG695" s="1"/>
      <c r="DH695" s="3"/>
      <c r="DL695" s="4"/>
      <c r="DM695" s="4"/>
      <c r="DQ695" s="195"/>
      <c r="DR695" s="195"/>
      <c r="DS695" s="195"/>
      <c r="DT695" s="195"/>
      <c r="DU695" s="195"/>
      <c r="DV695" s="195"/>
      <c r="DW695" s="195"/>
      <c r="DX695" s="195"/>
      <c r="DY695" s="195"/>
      <c r="DZ695" s="195"/>
      <c r="EA695" s="195"/>
      <c r="EB695" s="195"/>
      <c r="EC695" s="195"/>
      <c r="ED695" s="195"/>
      <c r="EE695" s="195"/>
      <c r="EF695" s="195"/>
      <c r="EG695" s="195"/>
      <c r="EL695" s="1"/>
      <c r="EM695" s="195"/>
      <c r="EN695" s="240"/>
      <c r="EO695" s="240"/>
      <c r="EP695" s="195"/>
      <c r="EQ695" s="240"/>
      <c r="ER695" s="195"/>
      <c r="ES695" s="195"/>
      <c r="ET695" s="195"/>
      <c r="EU695" s="736"/>
    </row>
    <row r="696" customFormat="false" ht="12.75" hidden="false" customHeight="false" outlineLevel="0" collapsed="false">
      <c r="I696" s="735"/>
      <c r="J696" s="728"/>
      <c r="K696" s="195"/>
      <c r="L696" s="195"/>
      <c r="Q696" s="195"/>
      <c r="R696" s="195"/>
      <c r="S696" s="240"/>
      <c r="T696" s="195"/>
      <c r="U696" s="195"/>
      <c r="V696" s="195"/>
      <c r="W696" s="195"/>
      <c r="X696" s="195"/>
      <c r="Y696" s="195"/>
      <c r="Z696" s="195"/>
      <c r="AA696" s="195"/>
      <c r="AB696" s="195"/>
      <c r="AC696" s="195"/>
      <c r="AD696" s="195"/>
      <c r="AE696" s="195"/>
      <c r="AF696" s="195"/>
      <c r="AG696" s="195"/>
      <c r="AH696" s="195"/>
      <c r="AI696" s="195"/>
      <c r="AJ696" s="195"/>
      <c r="AK696" s="195"/>
      <c r="AL696" s="195"/>
      <c r="AM696" s="1"/>
      <c r="AN696" s="240"/>
      <c r="AO696" s="240"/>
      <c r="AP696" s="240"/>
      <c r="AQ696" s="240"/>
      <c r="AR696" s="240"/>
      <c r="AS696" s="730"/>
      <c r="AT696" s="730"/>
      <c r="AU696" s="730"/>
      <c r="AV696" s="468"/>
      <c r="AW696" s="468"/>
      <c r="AX696" s="240"/>
      <c r="AY696" s="240"/>
      <c r="AZ696" s="240"/>
      <c r="BA696" s="240"/>
      <c r="BB696" s="240"/>
      <c r="BC696" s="240"/>
      <c r="BD696" s="672"/>
      <c r="BE696" s="731"/>
      <c r="BF696" s="731"/>
      <c r="BG696" s="731"/>
      <c r="BH696" s="672"/>
      <c r="BI696" s="732"/>
      <c r="BJ696" s="240"/>
      <c r="BK696" s="240"/>
      <c r="BL696" s="240"/>
      <c r="BM696" s="240"/>
      <c r="BN696" s="240"/>
      <c r="BO696" s="240"/>
      <c r="BP696" s="240"/>
      <c r="BQ696" s="240"/>
      <c r="BR696" s="240"/>
      <c r="BS696" s="240"/>
      <c r="BT696" s="240"/>
      <c r="BU696" s="240"/>
      <c r="BV696" s="240"/>
      <c r="BW696" s="672"/>
      <c r="BX696" s="672"/>
      <c r="BY696" s="672"/>
      <c r="BZ696" s="672"/>
      <c r="CA696" s="672"/>
      <c r="CB696" s="672"/>
      <c r="CC696" s="672"/>
      <c r="CD696" s="672"/>
      <c r="CE696" s="672"/>
      <c r="CF696" s="672"/>
      <c r="CG696" s="240"/>
      <c r="CH696" s="240"/>
      <c r="CI696" s="240"/>
      <c r="CJ696" s="240"/>
      <c r="CK696" s="240"/>
      <c r="CL696" s="728"/>
      <c r="CM696" s="728"/>
      <c r="CN696" s="195"/>
      <c r="CO696" s="195"/>
      <c r="CP696" s="195"/>
      <c r="CQ696" s="195"/>
      <c r="CR696" s="195"/>
      <c r="CS696" s="195"/>
      <c r="CT696" s="195"/>
      <c r="CU696" s="195"/>
      <c r="CV696" s="195"/>
      <c r="CW696" s="195"/>
      <c r="CX696" s="195"/>
      <c r="CY696" s="195"/>
      <c r="CZ696" s="195"/>
      <c r="DA696" s="195"/>
      <c r="DB696" s="195"/>
      <c r="DC696" s="195"/>
      <c r="DD696" s="195"/>
      <c r="DE696" s="195"/>
      <c r="DF696" s="195"/>
      <c r="DG696" s="1"/>
      <c r="DH696" s="3"/>
      <c r="DL696" s="4"/>
      <c r="DM696" s="4"/>
      <c r="DQ696" s="195"/>
      <c r="DR696" s="195"/>
      <c r="DS696" s="195"/>
      <c r="DT696" s="195"/>
      <c r="DU696" s="195"/>
      <c r="DV696" s="195"/>
      <c r="DW696" s="195"/>
      <c r="DX696" s="195"/>
      <c r="DY696" s="195"/>
      <c r="DZ696" s="195"/>
      <c r="EA696" s="195"/>
      <c r="EB696" s="195"/>
      <c r="EC696" s="195"/>
      <c r="ED696" s="195"/>
      <c r="EE696" s="195"/>
      <c r="EF696" s="195"/>
      <c r="EG696" s="195"/>
      <c r="EL696" s="1"/>
      <c r="EM696" s="195"/>
      <c r="EN696" s="240"/>
      <c r="EO696" s="240"/>
      <c r="EP696" s="195"/>
      <c r="EQ696" s="240"/>
      <c r="ER696" s="195"/>
      <c r="ES696" s="195"/>
      <c r="ET696" s="195"/>
      <c r="EU696" s="736"/>
    </row>
    <row r="697" customFormat="false" ht="12.75" hidden="false" customHeight="false" outlineLevel="0" collapsed="false">
      <c r="I697" s="735"/>
      <c r="J697" s="728"/>
      <c r="K697" s="195"/>
      <c r="L697" s="195"/>
      <c r="Q697" s="195"/>
      <c r="R697" s="195"/>
      <c r="S697" s="240"/>
      <c r="T697" s="195"/>
      <c r="U697" s="195"/>
      <c r="V697" s="195"/>
      <c r="W697" s="195"/>
      <c r="X697" s="195"/>
      <c r="Y697" s="195"/>
      <c r="Z697" s="195"/>
      <c r="AA697" s="195"/>
      <c r="AB697" s="195"/>
      <c r="AC697" s="195"/>
      <c r="AD697" s="195"/>
      <c r="AE697" s="195"/>
      <c r="AF697" s="195"/>
      <c r="AG697" s="195"/>
      <c r="AH697" s="195"/>
      <c r="AI697" s="195"/>
      <c r="AJ697" s="195"/>
      <c r="AK697" s="195"/>
      <c r="AL697" s="195"/>
      <c r="AM697" s="1"/>
      <c r="AN697" s="240"/>
      <c r="AO697" s="240"/>
      <c r="AP697" s="240"/>
      <c r="AQ697" s="240"/>
      <c r="AR697" s="240"/>
      <c r="AS697" s="730"/>
      <c r="AT697" s="730"/>
      <c r="AU697" s="730"/>
      <c r="AV697" s="468"/>
      <c r="AW697" s="468"/>
      <c r="AX697" s="240"/>
      <c r="AY697" s="240"/>
      <c r="AZ697" s="240"/>
      <c r="BA697" s="240"/>
      <c r="BB697" s="240"/>
      <c r="BC697" s="240"/>
      <c r="BD697" s="672"/>
      <c r="BE697" s="731"/>
      <c r="BF697" s="731"/>
      <c r="BG697" s="731"/>
      <c r="BH697" s="672"/>
      <c r="BI697" s="732"/>
      <c r="BJ697" s="240"/>
      <c r="BK697" s="240"/>
      <c r="BL697" s="240"/>
      <c r="BM697" s="240"/>
      <c r="BN697" s="240"/>
      <c r="BO697" s="240"/>
      <c r="BP697" s="240"/>
      <c r="BQ697" s="240"/>
      <c r="BR697" s="240"/>
      <c r="BS697" s="240"/>
      <c r="BT697" s="240"/>
      <c r="BU697" s="240"/>
      <c r="BV697" s="240"/>
      <c r="BW697" s="672"/>
      <c r="BX697" s="672"/>
      <c r="BY697" s="672"/>
      <c r="BZ697" s="672"/>
      <c r="CA697" s="672"/>
      <c r="CB697" s="672"/>
      <c r="CC697" s="672"/>
      <c r="CD697" s="672"/>
      <c r="CE697" s="672"/>
      <c r="CF697" s="672"/>
      <c r="CG697" s="240"/>
      <c r="CH697" s="240"/>
      <c r="CI697" s="240"/>
      <c r="CJ697" s="240"/>
      <c r="CK697" s="240"/>
      <c r="CL697" s="728"/>
      <c r="CM697" s="728"/>
      <c r="CN697" s="195"/>
      <c r="CO697" s="195"/>
      <c r="CP697" s="195"/>
      <c r="CQ697" s="195"/>
      <c r="CR697" s="195"/>
      <c r="CS697" s="195"/>
      <c r="CT697" s="195"/>
      <c r="CU697" s="195"/>
      <c r="CV697" s="195"/>
      <c r="CW697" s="195"/>
      <c r="CX697" s="195"/>
      <c r="CY697" s="195"/>
      <c r="CZ697" s="195"/>
      <c r="DA697" s="195"/>
      <c r="DB697" s="195"/>
      <c r="DC697" s="195"/>
      <c r="DD697" s="195"/>
      <c r="DE697" s="195"/>
      <c r="DF697" s="195"/>
      <c r="DG697" s="1"/>
      <c r="DH697" s="3"/>
      <c r="DL697" s="4"/>
      <c r="DM697" s="4"/>
      <c r="DQ697" s="195"/>
      <c r="DR697" s="195"/>
      <c r="DS697" s="195"/>
      <c r="DT697" s="195"/>
      <c r="DU697" s="195"/>
      <c r="DV697" s="195"/>
      <c r="DW697" s="195"/>
      <c r="DX697" s="195"/>
      <c r="DY697" s="195"/>
      <c r="DZ697" s="195"/>
      <c r="EA697" s="195"/>
      <c r="EB697" s="195"/>
      <c r="EC697" s="195"/>
      <c r="ED697" s="195"/>
      <c r="EE697" s="195"/>
      <c r="EF697" s="195"/>
      <c r="EG697" s="195"/>
      <c r="EL697" s="1"/>
      <c r="EM697" s="195"/>
      <c r="EN697" s="240"/>
      <c r="EO697" s="240"/>
      <c r="EP697" s="195"/>
      <c r="EQ697" s="240"/>
      <c r="ER697" s="195"/>
      <c r="ES697" s="195"/>
      <c r="ET697" s="195"/>
      <c r="EU697" s="736"/>
    </row>
    <row r="698" customFormat="false" ht="12.75" hidden="false" customHeight="false" outlineLevel="0" collapsed="false">
      <c r="I698" s="735"/>
      <c r="J698" s="728"/>
      <c r="K698" s="195"/>
      <c r="L698" s="195"/>
      <c r="Q698" s="195"/>
      <c r="R698" s="195"/>
      <c r="S698" s="240"/>
      <c r="T698" s="195"/>
      <c r="U698" s="195"/>
      <c r="V698" s="195"/>
      <c r="W698" s="195"/>
      <c r="X698" s="195"/>
      <c r="Y698" s="195"/>
      <c r="Z698" s="195"/>
      <c r="AA698" s="195"/>
      <c r="AB698" s="195"/>
      <c r="AC698" s="195"/>
      <c r="AD698" s="195"/>
      <c r="AE698" s="195"/>
      <c r="AF698" s="195"/>
      <c r="AG698" s="195"/>
      <c r="AH698" s="195"/>
      <c r="AI698" s="195"/>
      <c r="AJ698" s="195"/>
      <c r="AK698" s="195"/>
      <c r="AL698" s="195"/>
      <c r="AM698" s="1"/>
      <c r="AN698" s="240"/>
      <c r="AO698" s="240"/>
      <c r="AP698" s="240"/>
      <c r="AQ698" s="240"/>
      <c r="AR698" s="240"/>
      <c r="AS698" s="730"/>
      <c r="AT698" s="730"/>
      <c r="AU698" s="730"/>
      <c r="AV698" s="468"/>
      <c r="AW698" s="468"/>
      <c r="AX698" s="240"/>
      <c r="AY698" s="240"/>
      <c r="AZ698" s="240"/>
      <c r="BA698" s="240"/>
      <c r="BB698" s="240"/>
      <c r="BC698" s="240"/>
      <c r="BD698" s="672"/>
      <c r="BE698" s="731"/>
      <c r="BF698" s="731"/>
      <c r="BG698" s="731"/>
      <c r="BH698" s="672"/>
      <c r="BI698" s="732"/>
      <c r="BJ698" s="240"/>
      <c r="BK698" s="240"/>
      <c r="BL698" s="240"/>
      <c r="BM698" s="240"/>
      <c r="BN698" s="240"/>
      <c r="BO698" s="240"/>
      <c r="BP698" s="240"/>
      <c r="BQ698" s="240"/>
      <c r="BR698" s="240"/>
      <c r="BS698" s="240"/>
      <c r="BT698" s="240"/>
      <c r="BU698" s="240"/>
      <c r="BV698" s="240"/>
      <c r="BW698" s="672"/>
      <c r="BX698" s="672"/>
      <c r="BY698" s="672"/>
      <c r="BZ698" s="672"/>
      <c r="CA698" s="672"/>
      <c r="CB698" s="672"/>
      <c r="CC698" s="672"/>
      <c r="CD698" s="672"/>
      <c r="CE698" s="672"/>
      <c r="CF698" s="672"/>
      <c r="CG698" s="240"/>
      <c r="CH698" s="240"/>
      <c r="CI698" s="240"/>
      <c r="CJ698" s="240"/>
      <c r="CK698" s="240"/>
      <c r="CL698" s="728"/>
      <c r="CM698" s="728"/>
      <c r="CN698" s="195"/>
      <c r="CO698" s="195"/>
      <c r="CP698" s="195"/>
      <c r="CQ698" s="195"/>
      <c r="CR698" s="195"/>
      <c r="CS698" s="195"/>
      <c r="CT698" s="195"/>
      <c r="CU698" s="195"/>
      <c r="CV698" s="195"/>
      <c r="CW698" s="195"/>
      <c r="CX698" s="195"/>
      <c r="CY698" s="195"/>
      <c r="CZ698" s="195"/>
      <c r="DA698" s="195"/>
      <c r="DB698" s="195"/>
      <c r="DC698" s="195"/>
      <c r="DD698" s="195"/>
      <c r="DE698" s="195"/>
      <c r="DF698" s="195"/>
      <c r="DG698" s="1"/>
      <c r="DH698" s="3"/>
      <c r="DL698" s="4"/>
      <c r="DM698" s="4"/>
      <c r="DQ698" s="195"/>
      <c r="DR698" s="195"/>
      <c r="DS698" s="195"/>
      <c r="DT698" s="195"/>
      <c r="DU698" s="195"/>
      <c r="DV698" s="195"/>
      <c r="DW698" s="195"/>
      <c r="DX698" s="195"/>
      <c r="DY698" s="195"/>
      <c r="DZ698" s="195"/>
      <c r="EA698" s="195"/>
      <c r="EB698" s="195"/>
      <c r="EC698" s="195"/>
      <c r="ED698" s="195"/>
      <c r="EE698" s="195"/>
      <c r="EF698" s="195"/>
      <c r="EG698" s="195"/>
      <c r="EL698" s="1"/>
      <c r="EM698" s="195"/>
      <c r="EN698" s="240"/>
      <c r="EO698" s="240"/>
      <c r="EP698" s="195"/>
      <c r="EQ698" s="240"/>
      <c r="ER698" s="195"/>
      <c r="ES698" s="195"/>
      <c r="ET698" s="195"/>
      <c r="EU698" s="736"/>
    </row>
    <row r="699" customFormat="false" ht="12.75" hidden="false" customHeight="false" outlineLevel="0" collapsed="false">
      <c r="I699" s="735"/>
      <c r="J699" s="728"/>
      <c r="K699" s="195"/>
      <c r="L699" s="195"/>
      <c r="Q699" s="195"/>
      <c r="R699" s="195"/>
      <c r="S699" s="240"/>
      <c r="T699" s="195"/>
      <c r="U699" s="195"/>
      <c r="V699" s="195"/>
      <c r="W699" s="195"/>
      <c r="X699" s="195"/>
      <c r="Y699" s="195"/>
      <c r="Z699" s="195"/>
      <c r="AA699" s="195"/>
      <c r="AB699" s="195"/>
      <c r="AC699" s="195"/>
      <c r="AD699" s="195"/>
      <c r="AE699" s="195"/>
      <c r="AF699" s="195"/>
      <c r="AG699" s="195"/>
      <c r="AH699" s="195"/>
      <c r="AI699" s="195"/>
      <c r="AJ699" s="195"/>
      <c r="AK699" s="195"/>
      <c r="AL699" s="195"/>
      <c r="AM699" s="1"/>
      <c r="AN699" s="240"/>
      <c r="AO699" s="240"/>
      <c r="AP699" s="240"/>
      <c r="AQ699" s="240"/>
      <c r="AR699" s="240"/>
      <c r="AS699" s="730"/>
      <c r="AT699" s="730"/>
      <c r="AU699" s="730"/>
      <c r="AV699" s="468"/>
      <c r="AW699" s="468"/>
      <c r="AX699" s="240"/>
      <c r="AY699" s="240"/>
      <c r="AZ699" s="240"/>
      <c r="BA699" s="240"/>
      <c r="BB699" s="240"/>
      <c r="BC699" s="240"/>
      <c r="BD699" s="672"/>
      <c r="BE699" s="731"/>
      <c r="BF699" s="731"/>
      <c r="BG699" s="731"/>
      <c r="BH699" s="672"/>
      <c r="BI699" s="732"/>
      <c r="BJ699" s="240"/>
      <c r="BK699" s="240"/>
      <c r="BL699" s="240"/>
      <c r="BM699" s="240"/>
      <c r="BN699" s="240"/>
      <c r="BO699" s="240"/>
      <c r="BP699" s="240"/>
      <c r="BQ699" s="240"/>
      <c r="BR699" s="240"/>
      <c r="BS699" s="240"/>
      <c r="BT699" s="240"/>
      <c r="BU699" s="240"/>
      <c r="BV699" s="240"/>
      <c r="BW699" s="672"/>
      <c r="BX699" s="672"/>
      <c r="BY699" s="672"/>
      <c r="BZ699" s="672"/>
      <c r="CA699" s="672"/>
      <c r="CB699" s="672"/>
      <c r="CC699" s="672"/>
      <c r="CD699" s="672"/>
      <c r="CE699" s="672"/>
      <c r="CF699" s="672"/>
      <c r="CG699" s="240"/>
      <c r="CH699" s="240"/>
      <c r="CI699" s="240"/>
      <c r="CJ699" s="240"/>
      <c r="CK699" s="240"/>
      <c r="CL699" s="728"/>
      <c r="CM699" s="728"/>
      <c r="CN699" s="195"/>
      <c r="CO699" s="195"/>
      <c r="CP699" s="195"/>
      <c r="CQ699" s="195"/>
      <c r="CR699" s="195"/>
      <c r="CS699" s="195"/>
      <c r="CT699" s="195"/>
      <c r="CU699" s="195"/>
      <c r="CV699" s="195"/>
      <c r="CW699" s="195"/>
      <c r="CX699" s="195"/>
      <c r="CY699" s="195"/>
      <c r="CZ699" s="195"/>
      <c r="DA699" s="195"/>
      <c r="DB699" s="195"/>
      <c r="DC699" s="195"/>
      <c r="DD699" s="195"/>
      <c r="DE699" s="195"/>
      <c r="DF699" s="195"/>
      <c r="DG699" s="1"/>
      <c r="DH699" s="3"/>
      <c r="DL699" s="4"/>
      <c r="DM699" s="4"/>
      <c r="DQ699" s="195"/>
      <c r="DR699" s="195"/>
      <c r="DS699" s="195"/>
      <c r="DT699" s="195"/>
      <c r="DU699" s="195"/>
      <c r="DV699" s="195"/>
      <c r="DW699" s="195"/>
      <c r="DX699" s="195"/>
      <c r="DY699" s="195"/>
      <c r="DZ699" s="195"/>
      <c r="EA699" s="195"/>
      <c r="EB699" s="195"/>
      <c r="EC699" s="195"/>
      <c r="ED699" s="195"/>
      <c r="EE699" s="195"/>
      <c r="EF699" s="195"/>
      <c r="EG699" s="195"/>
      <c r="EL699" s="1"/>
      <c r="EM699" s="195"/>
      <c r="EN699" s="240"/>
      <c r="EO699" s="240"/>
      <c r="EP699" s="195"/>
      <c r="EQ699" s="240"/>
      <c r="ER699" s="195"/>
      <c r="ES699" s="195"/>
      <c r="ET699" s="195"/>
      <c r="EU699" s="736"/>
    </row>
    <row r="700" customFormat="false" ht="12.75" hidden="false" customHeight="false" outlineLevel="0" collapsed="false">
      <c r="I700" s="735"/>
      <c r="J700" s="728"/>
      <c r="K700" s="195"/>
      <c r="L700" s="195"/>
      <c r="Q700" s="195"/>
      <c r="R700" s="195"/>
      <c r="S700" s="240"/>
      <c r="T700" s="195"/>
      <c r="U700" s="195"/>
      <c r="V700" s="195"/>
      <c r="W700" s="195"/>
      <c r="X700" s="195"/>
      <c r="Y700" s="195"/>
      <c r="Z700" s="195"/>
      <c r="AA700" s="195"/>
      <c r="AB700" s="195"/>
      <c r="AC700" s="195"/>
      <c r="AD700" s="195"/>
      <c r="AE700" s="195"/>
      <c r="AF700" s="195"/>
      <c r="AG700" s="195"/>
      <c r="AH700" s="195"/>
      <c r="AI700" s="195"/>
      <c r="AJ700" s="195"/>
      <c r="AK700" s="195"/>
      <c r="AL700" s="195"/>
      <c r="AM700" s="1"/>
      <c r="AN700" s="240"/>
      <c r="AO700" s="240"/>
      <c r="AP700" s="240"/>
      <c r="AQ700" s="240"/>
      <c r="AR700" s="240"/>
      <c r="AS700" s="730"/>
      <c r="AT700" s="730"/>
      <c r="AU700" s="730"/>
      <c r="AV700" s="468"/>
      <c r="AW700" s="468"/>
      <c r="AX700" s="240"/>
      <c r="AY700" s="240"/>
      <c r="AZ700" s="240"/>
      <c r="BA700" s="240"/>
      <c r="BB700" s="240"/>
      <c r="BC700" s="240"/>
      <c r="BD700" s="672"/>
      <c r="BE700" s="731"/>
      <c r="BF700" s="731"/>
      <c r="BG700" s="731"/>
      <c r="BH700" s="672"/>
      <c r="BI700" s="732"/>
      <c r="BJ700" s="240"/>
      <c r="BK700" s="240"/>
      <c r="BL700" s="240"/>
      <c r="BM700" s="240"/>
      <c r="BN700" s="240"/>
      <c r="BO700" s="240"/>
      <c r="BP700" s="240"/>
      <c r="BQ700" s="240"/>
      <c r="BR700" s="240"/>
      <c r="BS700" s="240"/>
      <c r="BT700" s="240"/>
      <c r="BU700" s="240"/>
      <c r="BV700" s="240"/>
      <c r="BW700" s="672"/>
      <c r="BX700" s="672"/>
      <c r="BY700" s="672"/>
      <c r="BZ700" s="672"/>
      <c r="CA700" s="672"/>
      <c r="CB700" s="672"/>
      <c r="CC700" s="672"/>
      <c r="CD700" s="672"/>
      <c r="CE700" s="672"/>
      <c r="CF700" s="672"/>
      <c r="CG700" s="240"/>
      <c r="CH700" s="240"/>
      <c r="CI700" s="240"/>
      <c r="CJ700" s="240"/>
      <c r="CK700" s="240"/>
      <c r="CL700" s="728"/>
      <c r="CM700" s="728"/>
      <c r="CN700" s="195"/>
      <c r="CO700" s="195"/>
      <c r="CP700" s="195"/>
      <c r="CQ700" s="195"/>
      <c r="CR700" s="195"/>
      <c r="CS700" s="195"/>
      <c r="CT700" s="195"/>
      <c r="CU700" s="195"/>
      <c r="CV700" s="195"/>
      <c r="CW700" s="195"/>
      <c r="CX700" s="195"/>
      <c r="CY700" s="195"/>
      <c r="CZ700" s="195"/>
      <c r="DA700" s="195"/>
      <c r="DB700" s="195"/>
      <c r="DC700" s="195"/>
      <c r="DD700" s="195"/>
      <c r="DE700" s="195"/>
      <c r="DF700" s="195"/>
      <c r="DG700" s="1"/>
      <c r="DH700" s="3"/>
      <c r="DL700" s="4"/>
      <c r="DM700" s="4"/>
      <c r="DQ700" s="195"/>
      <c r="DR700" s="195"/>
      <c r="DS700" s="195"/>
      <c r="DT700" s="195"/>
      <c r="DU700" s="195"/>
      <c r="DV700" s="195"/>
      <c r="DW700" s="195"/>
      <c r="DX700" s="195"/>
      <c r="DY700" s="195"/>
      <c r="DZ700" s="195"/>
      <c r="EA700" s="195"/>
      <c r="EB700" s="195"/>
      <c r="EC700" s="195"/>
      <c r="ED700" s="195"/>
      <c r="EE700" s="195"/>
      <c r="EF700" s="195"/>
      <c r="EG700" s="195"/>
      <c r="EL700" s="1"/>
      <c r="EM700" s="195"/>
      <c r="EN700" s="240"/>
      <c r="EO700" s="240"/>
      <c r="EP700" s="195"/>
      <c r="EQ700" s="240"/>
      <c r="ER700" s="195"/>
      <c r="ES700" s="195"/>
      <c r="ET700" s="195"/>
      <c r="EU700" s="736"/>
    </row>
    <row r="701" customFormat="false" ht="12.75" hidden="false" customHeight="false" outlineLevel="0" collapsed="false">
      <c r="I701" s="735"/>
      <c r="J701" s="728"/>
      <c r="K701" s="195"/>
      <c r="L701" s="195"/>
      <c r="Q701" s="195"/>
      <c r="R701" s="195"/>
      <c r="S701" s="240"/>
      <c r="T701" s="195"/>
      <c r="U701" s="195"/>
      <c r="V701" s="195"/>
      <c r="W701" s="195"/>
      <c r="X701" s="195"/>
      <c r="Y701" s="195"/>
      <c r="Z701" s="195"/>
      <c r="AA701" s="195"/>
      <c r="AB701" s="195"/>
      <c r="AC701" s="195"/>
      <c r="AD701" s="195"/>
      <c r="AE701" s="195"/>
      <c r="AF701" s="195"/>
      <c r="AG701" s="195"/>
      <c r="AH701" s="195"/>
      <c r="AI701" s="195"/>
      <c r="AJ701" s="195"/>
      <c r="AK701" s="195"/>
      <c r="AL701" s="195"/>
      <c r="AM701" s="1"/>
      <c r="AN701" s="240"/>
      <c r="AO701" s="240"/>
      <c r="AP701" s="240"/>
      <c r="AQ701" s="240"/>
      <c r="AR701" s="240"/>
      <c r="AS701" s="730"/>
      <c r="AT701" s="730"/>
      <c r="AU701" s="730"/>
      <c r="AV701" s="468"/>
      <c r="AW701" s="468"/>
      <c r="AX701" s="240"/>
      <c r="AY701" s="240"/>
      <c r="AZ701" s="240"/>
      <c r="BA701" s="240"/>
      <c r="BB701" s="240"/>
      <c r="BC701" s="240"/>
      <c r="BD701" s="672"/>
      <c r="BE701" s="731"/>
      <c r="BF701" s="731"/>
      <c r="BG701" s="731"/>
      <c r="BH701" s="672"/>
      <c r="BI701" s="732"/>
      <c r="BJ701" s="240"/>
      <c r="BK701" s="240"/>
      <c r="BL701" s="240"/>
      <c r="BM701" s="240"/>
      <c r="BN701" s="240"/>
      <c r="BO701" s="240"/>
      <c r="BP701" s="240"/>
      <c r="BQ701" s="240"/>
      <c r="BR701" s="240"/>
      <c r="BS701" s="240"/>
      <c r="BT701" s="240"/>
      <c r="BU701" s="240"/>
      <c r="BV701" s="240"/>
      <c r="BW701" s="672"/>
      <c r="BX701" s="672"/>
      <c r="BY701" s="672"/>
      <c r="BZ701" s="672"/>
      <c r="CA701" s="672"/>
      <c r="CB701" s="672"/>
      <c r="CC701" s="672"/>
      <c r="CD701" s="672"/>
      <c r="CE701" s="672"/>
      <c r="CF701" s="672"/>
      <c r="CG701" s="240"/>
      <c r="CH701" s="240"/>
      <c r="CI701" s="240"/>
      <c r="CJ701" s="240"/>
      <c r="CK701" s="240"/>
      <c r="CL701" s="728"/>
      <c r="CM701" s="728"/>
      <c r="CN701" s="195"/>
      <c r="CO701" s="195"/>
      <c r="CP701" s="195"/>
      <c r="CQ701" s="195"/>
      <c r="CR701" s="195"/>
      <c r="CS701" s="195"/>
      <c r="CT701" s="195"/>
      <c r="CU701" s="195"/>
      <c r="CV701" s="195"/>
      <c r="CW701" s="195"/>
      <c r="CX701" s="195"/>
      <c r="CY701" s="195"/>
      <c r="CZ701" s="195"/>
      <c r="DA701" s="195"/>
      <c r="DB701" s="195"/>
      <c r="DC701" s="195"/>
      <c r="DD701" s="195"/>
      <c r="DE701" s="195"/>
      <c r="DF701" s="195"/>
      <c r="DG701" s="1"/>
      <c r="DH701" s="3"/>
      <c r="DL701" s="4"/>
      <c r="DM701" s="4"/>
      <c r="DQ701" s="195"/>
      <c r="DR701" s="195"/>
      <c r="DS701" s="195"/>
      <c r="DT701" s="195"/>
      <c r="DU701" s="195"/>
      <c r="DV701" s="195"/>
      <c r="DW701" s="195"/>
      <c r="DX701" s="195"/>
      <c r="DY701" s="195"/>
      <c r="DZ701" s="195"/>
      <c r="EA701" s="195"/>
      <c r="EB701" s="195"/>
      <c r="EC701" s="195"/>
      <c r="ED701" s="195"/>
      <c r="EE701" s="195"/>
      <c r="EF701" s="195"/>
      <c r="EG701" s="195"/>
      <c r="EL701" s="1"/>
      <c r="EM701" s="195"/>
      <c r="EN701" s="240"/>
      <c r="EO701" s="240"/>
      <c r="EP701" s="195"/>
      <c r="EQ701" s="240"/>
      <c r="ER701" s="195"/>
      <c r="ES701" s="195"/>
      <c r="ET701" s="195"/>
      <c r="EU701" s="736"/>
    </row>
    <row r="702" customFormat="false" ht="12.75" hidden="false" customHeight="false" outlineLevel="0" collapsed="false">
      <c r="I702" s="735"/>
      <c r="J702" s="728"/>
      <c r="K702" s="195"/>
      <c r="L702" s="195"/>
      <c r="Q702" s="195"/>
      <c r="R702" s="195"/>
      <c r="S702" s="240"/>
      <c r="T702" s="195"/>
      <c r="U702" s="195"/>
      <c r="V702" s="195"/>
      <c r="W702" s="195"/>
      <c r="X702" s="195"/>
      <c r="Y702" s="195"/>
      <c r="Z702" s="195"/>
      <c r="AA702" s="195"/>
      <c r="AB702" s="195"/>
      <c r="AC702" s="195"/>
      <c r="AD702" s="195"/>
      <c r="AE702" s="195"/>
      <c r="AF702" s="195"/>
      <c r="AG702" s="195"/>
      <c r="AH702" s="195"/>
      <c r="AI702" s="195"/>
      <c r="AJ702" s="195"/>
      <c r="AK702" s="195"/>
      <c r="AL702" s="195"/>
      <c r="AM702" s="1"/>
      <c r="AN702" s="240"/>
      <c r="AO702" s="240"/>
      <c r="AP702" s="240"/>
      <c r="AQ702" s="240"/>
      <c r="AR702" s="240"/>
      <c r="AS702" s="730"/>
      <c r="AT702" s="730"/>
      <c r="AU702" s="730"/>
      <c r="AV702" s="468"/>
      <c r="AW702" s="468"/>
      <c r="AX702" s="240"/>
      <c r="AY702" s="240"/>
      <c r="AZ702" s="240"/>
      <c r="BA702" s="240"/>
      <c r="BB702" s="240"/>
      <c r="BC702" s="240"/>
      <c r="BD702" s="672"/>
      <c r="BE702" s="731"/>
      <c r="BF702" s="731"/>
      <c r="BG702" s="731"/>
      <c r="BH702" s="672"/>
      <c r="BI702" s="732"/>
      <c r="BJ702" s="240"/>
      <c r="BK702" s="240"/>
      <c r="BL702" s="240"/>
      <c r="BM702" s="240"/>
      <c r="BN702" s="240"/>
      <c r="BO702" s="240"/>
      <c r="BP702" s="240"/>
      <c r="BQ702" s="240"/>
      <c r="BR702" s="240"/>
      <c r="BS702" s="240"/>
      <c r="BT702" s="240"/>
      <c r="BU702" s="240"/>
      <c r="BV702" s="240"/>
      <c r="BW702" s="672"/>
      <c r="BX702" s="672"/>
      <c r="BY702" s="672"/>
      <c r="BZ702" s="672"/>
      <c r="CA702" s="672"/>
      <c r="CB702" s="672"/>
      <c r="CC702" s="672"/>
      <c r="CD702" s="672"/>
      <c r="CE702" s="672"/>
      <c r="CF702" s="672"/>
      <c r="CG702" s="240"/>
      <c r="CH702" s="240"/>
      <c r="CI702" s="240"/>
      <c r="CJ702" s="240"/>
      <c r="CK702" s="240"/>
      <c r="CL702" s="728"/>
      <c r="CM702" s="728"/>
      <c r="CN702" s="195"/>
      <c r="CO702" s="195"/>
      <c r="CP702" s="195"/>
      <c r="CQ702" s="195"/>
      <c r="CR702" s="195"/>
      <c r="CS702" s="195"/>
      <c r="CT702" s="195"/>
      <c r="CU702" s="195"/>
      <c r="CV702" s="195"/>
      <c r="CW702" s="195"/>
      <c r="CX702" s="195"/>
      <c r="CY702" s="195"/>
      <c r="CZ702" s="195"/>
      <c r="DA702" s="195"/>
      <c r="DB702" s="195"/>
      <c r="DC702" s="195"/>
      <c r="DD702" s="195"/>
      <c r="DE702" s="195"/>
      <c r="DF702" s="195"/>
      <c r="DG702" s="1"/>
      <c r="DH702" s="3"/>
      <c r="DL702" s="4"/>
      <c r="DM702" s="4"/>
      <c r="DQ702" s="195"/>
      <c r="DR702" s="195"/>
      <c r="DS702" s="195"/>
      <c r="DT702" s="195"/>
      <c r="DU702" s="195"/>
      <c r="DV702" s="195"/>
      <c r="DW702" s="195"/>
      <c r="DX702" s="195"/>
      <c r="DY702" s="195"/>
      <c r="DZ702" s="195"/>
      <c r="EA702" s="195"/>
      <c r="EB702" s="195"/>
      <c r="EC702" s="195"/>
      <c r="ED702" s="195"/>
      <c r="EE702" s="195"/>
      <c r="EF702" s="195"/>
      <c r="EG702" s="195"/>
      <c r="EL702" s="1"/>
      <c r="EM702" s="195"/>
      <c r="EN702" s="240"/>
      <c r="EO702" s="240"/>
      <c r="EP702" s="195"/>
      <c r="EQ702" s="240"/>
      <c r="ER702" s="195"/>
      <c r="ES702" s="195"/>
      <c r="ET702" s="195"/>
      <c r="EU702" s="736"/>
    </row>
    <row r="703" customFormat="false" ht="12.75" hidden="false" customHeight="false" outlineLevel="0" collapsed="false">
      <c r="I703" s="735"/>
      <c r="J703" s="728"/>
      <c r="K703" s="195"/>
      <c r="L703" s="195"/>
      <c r="Q703" s="195"/>
      <c r="R703" s="195"/>
      <c r="S703" s="240"/>
      <c r="T703" s="195"/>
      <c r="U703" s="195"/>
      <c r="V703" s="195"/>
      <c r="W703" s="195"/>
      <c r="X703" s="195"/>
      <c r="Y703" s="195"/>
      <c r="Z703" s="195"/>
      <c r="AA703" s="195"/>
      <c r="AB703" s="195"/>
      <c r="AC703" s="195"/>
      <c r="AD703" s="195"/>
      <c r="AE703" s="195"/>
      <c r="AF703" s="195"/>
      <c r="AG703" s="195"/>
      <c r="AH703" s="195"/>
      <c r="AI703" s="195"/>
      <c r="AJ703" s="195"/>
      <c r="AK703" s="195"/>
      <c r="AL703" s="195"/>
      <c r="AM703" s="1"/>
      <c r="AN703" s="240"/>
      <c r="AO703" s="240"/>
      <c r="AP703" s="240"/>
      <c r="AQ703" s="240"/>
      <c r="AR703" s="240"/>
      <c r="AS703" s="730"/>
      <c r="AT703" s="730"/>
      <c r="AU703" s="730"/>
      <c r="AV703" s="468"/>
      <c r="AW703" s="468"/>
      <c r="AX703" s="240"/>
      <c r="AY703" s="240"/>
      <c r="AZ703" s="240"/>
      <c r="BA703" s="240"/>
      <c r="BB703" s="240"/>
      <c r="BC703" s="240"/>
      <c r="BD703" s="672"/>
      <c r="BE703" s="731"/>
      <c r="BF703" s="731"/>
      <c r="BG703" s="731"/>
      <c r="BH703" s="672"/>
      <c r="BI703" s="732"/>
      <c r="BJ703" s="240"/>
      <c r="BK703" s="240"/>
      <c r="BL703" s="240"/>
      <c r="BM703" s="240"/>
      <c r="BN703" s="240"/>
      <c r="BO703" s="240"/>
      <c r="BP703" s="240"/>
      <c r="BQ703" s="240"/>
      <c r="BR703" s="240"/>
      <c r="BS703" s="240"/>
      <c r="BT703" s="240"/>
      <c r="BU703" s="240"/>
      <c r="BV703" s="240"/>
      <c r="BW703" s="672"/>
      <c r="BX703" s="672"/>
      <c r="BY703" s="672"/>
      <c r="BZ703" s="672"/>
      <c r="CA703" s="672"/>
      <c r="CB703" s="672"/>
      <c r="CC703" s="672"/>
      <c r="CD703" s="672"/>
      <c r="CE703" s="672"/>
      <c r="CF703" s="672"/>
      <c r="CG703" s="240"/>
      <c r="CH703" s="240"/>
      <c r="CI703" s="240"/>
      <c r="CJ703" s="240"/>
      <c r="CK703" s="240"/>
      <c r="CL703" s="728"/>
      <c r="CM703" s="728"/>
      <c r="CN703" s="195"/>
      <c r="CO703" s="195"/>
      <c r="CP703" s="195"/>
      <c r="CQ703" s="195"/>
      <c r="CR703" s="195"/>
      <c r="CS703" s="195"/>
      <c r="CT703" s="195"/>
      <c r="CU703" s="195"/>
      <c r="CV703" s="195"/>
      <c r="CW703" s="195"/>
      <c r="CX703" s="195"/>
      <c r="CY703" s="195"/>
      <c r="CZ703" s="195"/>
      <c r="DA703" s="195"/>
      <c r="DB703" s="195"/>
      <c r="DC703" s="195"/>
      <c r="DD703" s="195"/>
      <c r="DE703" s="195"/>
      <c r="DF703" s="195"/>
      <c r="DG703" s="1"/>
      <c r="DH703" s="3"/>
      <c r="DL703" s="4"/>
      <c r="DM703" s="4"/>
      <c r="DQ703" s="195"/>
      <c r="DR703" s="195"/>
      <c r="DS703" s="195"/>
      <c r="DT703" s="195"/>
      <c r="DU703" s="195"/>
      <c r="DV703" s="195"/>
      <c r="DW703" s="195"/>
      <c r="DX703" s="195"/>
      <c r="DY703" s="195"/>
      <c r="DZ703" s="195"/>
      <c r="EA703" s="195"/>
      <c r="EB703" s="195"/>
      <c r="EC703" s="195"/>
      <c r="ED703" s="195"/>
      <c r="EE703" s="195"/>
      <c r="EF703" s="195"/>
      <c r="EG703" s="195"/>
      <c r="EL703" s="1"/>
      <c r="EM703" s="195"/>
      <c r="EN703" s="240"/>
      <c r="EO703" s="240"/>
      <c r="EP703" s="195"/>
      <c r="EQ703" s="240"/>
      <c r="ER703" s="195"/>
      <c r="ES703" s="195"/>
      <c r="ET703" s="195"/>
      <c r="EU703" s="736"/>
    </row>
    <row r="704" customFormat="false" ht="12.75" hidden="false" customHeight="false" outlineLevel="0" collapsed="false">
      <c r="I704" s="735"/>
      <c r="J704" s="728"/>
      <c r="K704" s="195"/>
      <c r="L704" s="195"/>
      <c r="Q704" s="195"/>
      <c r="R704" s="195"/>
      <c r="S704" s="240"/>
      <c r="T704" s="195"/>
      <c r="U704" s="195"/>
      <c r="V704" s="195"/>
      <c r="W704" s="195"/>
      <c r="X704" s="195"/>
      <c r="Y704" s="195"/>
      <c r="Z704" s="195"/>
      <c r="AA704" s="195"/>
      <c r="AB704" s="195"/>
      <c r="AC704" s="195"/>
      <c r="AD704" s="195"/>
      <c r="AE704" s="195"/>
      <c r="AF704" s="195"/>
      <c r="AG704" s="195"/>
      <c r="AH704" s="195"/>
      <c r="AI704" s="195"/>
      <c r="AJ704" s="195"/>
      <c r="AK704" s="195"/>
      <c r="AL704" s="195"/>
      <c r="AM704" s="1"/>
      <c r="AN704" s="240"/>
      <c r="AO704" s="240"/>
      <c r="AP704" s="240"/>
      <c r="AQ704" s="240"/>
      <c r="AR704" s="240"/>
      <c r="AS704" s="730"/>
      <c r="AT704" s="730"/>
      <c r="AU704" s="730"/>
      <c r="AV704" s="468"/>
      <c r="AW704" s="468"/>
      <c r="AX704" s="240"/>
      <c r="AY704" s="240"/>
      <c r="AZ704" s="240"/>
      <c r="BA704" s="240"/>
      <c r="BB704" s="240"/>
      <c r="BC704" s="240"/>
      <c r="BD704" s="672"/>
      <c r="BE704" s="731"/>
      <c r="BF704" s="731"/>
      <c r="BG704" s="731"/>
      <c r="BH704" s="672"/>
      <c r="BI704" s="732"/>
      <c r="BJ704" s="240"/>
      <c r="BK704" s="240"/>
      <c r="BL704" s="240"/>
      <c r="BM704" s="240"/>
      <c r="BN704" s="240"/>
      <c r="BO704" s="240"/>
      <c r="BP704" s="240"/>
      <c r="BQ704" s="240"/>
      <c r="BR704" s="240"/>
      <c r="BS704" s="240"/>
      <c r="BT704" s="240"/>
      <c r="BU704" s="240"/>
      <c r="BV704" s="240"/>
      <c r="BW704" s="672"/>
      <c r="BX704" s="672"/>
      <c r="BY704" s="672"/>
      <c r="BZ704" s="672"/>
      <c r="CA704" s="672"/>
      <c r="CB704" s="672"/>
      <c r="CC704" s="672"/>
      <c r="CD704" s="672"/>
      <c r="CE704" s="672"/>
      <c r="CF704" s="672"/>
      <c r="CG704" s="240"/>
      <c r="CH704" s="240"/>
      <c r="CI704" s="240"/>
      <c r="CJ704" s="240"/>
      <c r="CK704" s="240"/>
      <c r="CL704" s="728"/>
      <c r="CM704" s="728"/>
      <c r="CN704" s="195"/>
      <c r="CO704" s="195"/>
      <c r="CP704" s="195"/>
      <c r="CQ704" s="195"/>
      <c r="CR704" s="195"/>
      <c r="CS704" s="195"/>
      <c r="CT704" s="195"/>
      <c r="CU704" s="195"/>
      <c r="CV704" s="195"/>
      <c r="CW704" s="195"/>
      <c r="CX704" s="195"/>
      <c r="CY704" s="195"/>
      <c r="CZ704" s="195"/>
      <c r="DA704" s="195"/>
      <c r="DB704" s="195"/>
      <c r="DC704" s="195"/>
      <c r="DD704" s="195"/>
      <c r="DE704" s="195"/>
      <c r="DF704" s="195"/>
      <c r="DG704" s="1"/>
      <c r="DH704" s="3"/>
      <c r="DL704" s="4"/>
      <c r="DM704" s="4"/>
      <c r="DQ704" s="195"/>
      <c r="DR704" s="195"/>
      <c r="DS704" s="195"/>
      <c r="DT704" s="195"/>
      <c r="DU704" s="195"/>
      <c r="DV704" s="195"/>
      <c r="DW704" s="195"/>
      <c r="DX704" s="195"/>
      <c r="DY704" s="195"/>
      <c r="DZ704" s="195"/>
      <c r="EA704" s="195"/>
      <c r="EB704" s="195"/>
      <c r="EC704" s="195"/>
      <c r="ED704" s="195"/>
      <c r="EE704" s="195"/>
      <c r="EF704" s="195"/>
      <c r="EG704" s="195"/>
      <c r="EL704" s="1"/>
      <c r="EM704" s="195"/>
      <c r="EN704" s="240"/>
      <c r="EO704" s="240"/>
      <c r="EP704" s="195"/>
      <c r="EQ704" s="240"/>
      <c r="ER704" s="195"/>
      <c r="ES704" s="195"/>
      <c r="ET704" s="195"/>
      <c r="EU704" s="736"/>
    </row>
    <row r="705" customFormat="false" ht="12.75" hidden="false" customHeight="false" outlineLevel="0" collapsed="false">
      <c r="I705" s="735"/>
      <c r="J705" s="728"/>
      <c r="K705" s="195"/>
      <c r="L705" s="195"/>
      <c r="Q705" s="195"/>
      <c r="R705" s="195"/>
      <c r="S705" s="240"/>
      <c r="T705" s="195"/>
      <c r="U705" s="195"/>
      <c r="V705" s="195"/>
      <c r="W705" s="195"/>
      <c r="X705" s="195"/>
      <c r="Y705" s="195"/>
      <c r="Z705" s="195"/>
      <c r="AA705" s="195"/>
      <c r="AB705" s="195"/>
      <c r="AC705" s="195"/>
      <c r="AD705" s="195"/>
      <c r="AE705" s="195"/>
      <c r="AF705" s="195"/>
      <c r="AG705" s="195"/>
      <c r="AH705" s="195"/>
      <c r="AI705" s="195"/>
      <c r="AJ705" s="195"/>
      <c r="AK705" s="195"/>
      <c r="AL705" s="195"/>
      <c r="AM705" s="1"/>
      <c r="AN705" s="240"/>
      <c r="AO705" s="240"/>
      <c r="AP705" s="240"/>
      <c r="AQ705" s="240"/>
      <c r="AR705" s="240"/>
      <c r="AS705" s="730"/>
      <c r="AT705" s="730"/>
      <c r="AU705" s="730"/>
      <c r="AV705" s="468"/>
      <c r="AW705" s="468"/>
      <c r="AX705" s="240"/>
      <c r="AY705" s="240"/>
      <c r="AZ705" s="240"/>
      <c r="BA705" s="240"/>
      <c r="BB705" s="240"/>
      <c r="BC705" s="240"/>
      <c r="BD705" s="672"/>
      <c r="BE705" s="731"/>
      <c r="BF705" s="731"/>
      <c r="BG705" s="731"/>
      <c r="BH705" s="672"/>
      <c r="BI705" s="732"/>
      <c r="BJ705" s="240"/>
      <c r="BK705" s="240"/>
      <c r="BL705" s="240"/>
      <c r="BM705" s="240"/>
      <c r="BN705" s="240"/>
      <c r="BO705" s="240"/>
      <c r="BP705" s="240"/>
      <c r="BQ705" s="240"/>
      <c r="BR705" s="240"/>
      <c r="BS705" s="240"/>
      <c r="BT705" s="240"/>
      <c r="BU705" s="240"/>
      <c r="BV705" s="240"/>
      <c r="BW705" s="672"/>
      <c r="BX705" s="672"/>
      <c r="BY705" s="672"/>
      <c r="BZ705" s="672"/>
      <c r="CA705" s="672"/>
      <c r="CB705" s="672"/>
      <c r="CC705" s="672"/>
      <c r="CD705" s="672"/>
      <c r="CE705" s="672"/>
      <c r="CF705" s="672"/>
      <c r="CG705" s="240"/>
      <c r="CH705" s="240"/>
      <c r="CI705" s="240"/>
      <c r="CJ705" s="240"/>
      <c r="CK705" s="240"/>
      <c r="CL705" s="728"/>
      <c r="CM705" s="728"/>
      <c r="CN705" s="195"/>
      <c r="CO705" s="195"/>
      <c r="CP705" s="195"/>
      <c r="CQ705" s="195"/>
      <c r="CR705" s="195"/>
      <c r="CS705" s="195"/>
      <c r="CT705" s="195"/>
      <c r="CU705" s="195"/>
      <c r="CV705" s="195"/>
      <c r="CW705" s="195"/>
      <c r="CX705" s="195"/>
      <c r="CY705" s="195"/>
      <c r="CZ705" s="195"/>
      <c r="DA705" s="195"/>
      <c r="DB705" s="195"/>
      <c r="DC705" s="195"/>
      <c r="DD705" s="195"/>
      <c r="DE705" s="195"/>
      <c r="DF705" s="195"/>
      <c r="DG705" s="1"/>
      <c r="DH705" s="3"/>
      <c r="DL705" s="4"/>
      <c r="DM705" s="4"/>
      <c r="DQ705" s="195"/>
      <c r="DR705" s="195"/>
      <c r="DS705" s="195"/>
      <c r="DT705" s="195"/>
      <c r="DU705" s="195"/>
      <c r="DV705" s="195"/>
      <c r="DW705" s="195"/>
      <c r="DX705" s="195"/>
      <c r="DY705" s="195"/>
      <c r="DZ705" s="195"/>
      <c r="EA705" s="195"/>
      <c r="EB705" s="195"/>
      <c r="EC705" s="195"/>
      <c r="ED705" s="195"/>
      <c r="EE705" s="195"/>
      <c r="EF705" s="195"/>
      <c r="EG705" s="195"/>
      <c r="EL705" s="1"/>
      <c r="EM705" s="195"/>
      <c r="EN705" s="240"/>
      <c r="EO705" s="240"/>
      <c r="EP705" s="195"/>
      <c r="EQ705" s="240"/>
      <c r="ER705" s="195"/>
      <c r="ES705" s="195"/>
      <c r="ET705" s="195"/>
      <c r="EU705" s="736"/>
    </row>
    <row r="706" customFormat="false" ht="12.75" hidden="false" customHeight="false" outlineLevel="0" collapsed="false">
      <c r="I706" s="735"/>
      <c r="J706" s="728"/>
      <c r="K706" s="195"/>
      <c r="L706" s="195"/>
      <c r="Q706" s="195"/>
      <c r="R706" s="195"/>
      <c r="S706" s="240"/>
      <c r="T706" s="195"/>
      <c r="U706" s="195"/>
      <c r="V706" s="195"/>
      <c r="W706" s="195"/>
      <c r="X706" s="195"/>
      <c r="Y706" s="195"/>
      <c r="Z706" s="195"/>
      <c r="AA706" s="195"/>
      <c r="AB706" s="195"/>
      <c r="AC706" s="195"/>
      <c r="AD706" s="195"/>
      <c r="AE706" s="195"/>
      <c r="AF706" s="195"/>
      <c r="AG706" s="195"/>
      <c r="AH706" s="195"/>
      <c r="AI706" s="195"/>
      <c r="AJ706" s="195"/>
      <c r="AK706" s="195"/>
      <c r="AL706" s="195"/>
      <c r="AM706" s="1"/>
      <c r="AN706" s="240"/>
      <c r="AO706" s="240"/>
      <c r="AP706" s="240"/>
      <c r="AQ706" s="240"/>
      <c r="AR706" s="240"/>
      <c r="AS706" s="730"/>
      <c r="AT706" s="730"/>
      <c r="AU706" s="730"/>
      <c r="AV706" s="468"/>
      <c r="AW706" s="468"/>
      <c r="AX706" s="240"/>
      <c r="AY706" s="240"/>
      <c r="AZ706" s="240"/>
      <c r="BA706" s="240"/>
      <c r="BB706" s="240"/>
      <c r="BC706" s="240"/>
      <c r="BD706" s="672"/>
      <c r="BE706" s="731"/>
      <c r="BF706" s="731"/>
      <c r="BG706" s="731"/>
      <c r="BH706" s="672"/>
      <c r="BI706" s="732"/>
      <c r="BJ706" s="240"/>
      <c r="BK706" s="240"/>
      <c r="BL706" s="240"/>
      <c r="BM706" s="240"/>
      <c r="BN706" s="240"/>
      <c r="BO706" s="240"/>
      <c r="BP706" s="240"/>
      <c r="BQ706" s="240"/>
      <c r="BR706" s="240"/>
      <c r="BS706" s="240"/>
      <c r="BT706" s="240"/>
      <c r="BU706" s="240"/>
      <c r="BV706" s="240"/>
      <c r="BW706" s="672"/>
      <c r="BX706" s="672"/>
      <c r="BY706" s="672"/>
      <c r="BZ706" s="672"/>
      <c r="CA706" s="672"/>
      <c r="CB706" s="672"/>
      <c r="CC706" s="672"/>
      <c r="CD706" s="672"/>
      <c r="CE706" s="672"/>
      <c r="CF706" s="672"/>
      <c r="CG706" s="240"/>
      <c r="CH706" s="240"/>
      <c r="CI706" s="240"/>
      <c r="CJ706" s="240"/>
      <c r="CK706" s="240"/>
      <c r="CL706" s="728"/>
      <c r="CM706" s="728"/>
      <c r="CN706" s="195"/>
      <c r="CO706" s="195"/>
      <c r="CP706" s="195"/>
      <c r="CQ706" s="195"/>
      <c r="CR706" s="195"/>
      <c r="CS706" s="195"/>
      <c r="CT706" s="195"/>
      <c r="CU706" s="195"/>
      <c r="CV706" s="195"/>
      <c r="CW706" s="195"/>
      <c r="CX706" s="195"/>
      <c r="CY706" s="195"/>
      <c r="CZ706" s="195"/>
      <c r="DA706" s="195"/>
      <c r="DB706" s="195"/>
      <c r="DC706" s="195"/>
      <c r="DD706" s="195"/>
      <c r="DE706" s="195"/>
      <c r="DF706" s="195"/>
      <c r="DG706" s="1"/>
      <c r="DH706" s="3"/>
      <c r="DL706" s="4"/>
      <c r="DM706" s="4"/>
      <c r="DQ706" s="195"/>
      <c r="DR706" s="195"/>
      <c r="DS706" s="195"/>
      <c r="DT706" s="195"/>
      <c r="DU706" s="195"/>
      <c r="DV706" s="195"/>
      <c r="DW706" s="195"/>
      <c r="DX706" s="195"/>
      <c r="DY706" s="195"/>
      <c r="DZ706" s="195"/>
      <c r="EA706" s="195"/>
      <c r="EB706" s="195"/>
      <c r="EC706" s="195"/>
      <c r="ED706" s="195"/>
      <c r="EE706" s="195"/>
      <c r="EF706" s="195"/>
      <c r="EG706" s="195"/>
      <c r="EL706" s="1"/>
      <c r="EM706" s="195"/>
      <c r="EN706" s="240"/>
      <c r="EO706" s="240"/>
      <c r="EP706" s="195"/>
      <c r="EQ706" s="240"/>
      <c r="ER706" s="195"/>
      <c r="ES706" s="195"/>
      <c r="ET706" s="195"/>
      <c r="EU706" s="736"/>
    </row>
    <row r="707" customFormat="false" ht="12.75" hidden="false" customHeight="false" outlineLevel="0" collapsed="false">
      <c r="I707" s="735"/>
      <c r="J707" s="728"/>
      <c r="K707" s="195"/>
      <c r="L707" s="195"/>
      <c r="Q707" s="195"/>
      <c r="R707" s="195"/>
      <c r="S707" s="240"/>
      <c r="T707" s="195"/>
      <c r="U707" s="195"/>
      <c r="V707" s="195"/>
      <c r="W707" s="195"/>
      <c r="X707" s="195"/>
      <c r="Y707" s="195"/>
      <c r="Z707" s="195"/>
      <c r="AA707" s="195"/>
      <c r="AB707" s="195"/>
      <c r="AC707" s="195"/>
      <c r="AD707" s="195"/>
      <c r="AE707" s="195"/>
      <c r="AF707" s="195"/>
      <c r="AG707" s="195"/>
      <c r="AH707" s="195"/>
      <c r="AI707" s="195"/>
      <c r="AJ707" s="195"/>
      <c r="AK707" s="195"/>
      <c r="AL707" s="195"/>
      <c r="AM707" s="1"/>
      <c r="AN707" s="240"/>
      <c r="AO707" s="240"/>
      <c r="AP707" s="240"/>
      <c r="AQ707" s="240"/>
      <c r="AR707" s="240"/>
      <c r="AS707" s="730"/>
      <c r="AT707" s="730"/>
      <c r="AU707" s="730"/>
      <c r="AV707" s="738"/>
      <c r="AW707" s="738"/>
      <c r="AX707" s="240"/>
      <c r="AY707" s="240"/>
      <c r="AZ707" s="240"/>
      <c r="BA707" s="240"/>
      <c r="BB707" s="240"/>
      <c r="BC707" s="240"/>
      <c r="BD707" s="672"/>
      <c r="BE707" s="731"/>
      <c r="BF707" s="731"/>
      <c r="BG707" s="731"/>
      <c r="BH707" s="672"/>
      <c r="BI707" s="732"/>
      <c r="BJ707" s="240"/>
      <c r="BK707" s="240"/>
      <c r="BL707" s="240"/>
      <c r="BM707" s="240"/>
      <c r="BN707" s="240"/>
      <c r="BO707" s="240"/>
      <c r="BP707" s="240"/>
      <c r="BQ707" s="240"/>
      <c r="BR707" s="240"/>
      <c r="BS707" s="240"/>
      <c r="BT707" s="240"/>
      <c r="BU707" s="240"/>
      <c r="BV707" s="240"/>
      <c r="BW707" s="672"/>
      <c r="BX707" s="672"/>
      <c r="BY707" s="672"/>
      <c r="BZ707" s="672"/>
      <c r="CA707" s="672"/>
      <c r="CB707" s="672"/>
      <c r="CC707" s="672"/>
      <c r="CD707" s="672"/>
      <c r="CE707" s="672"/>
      <c r="CF707" s="672"/>
      <c r="CG707" s="240"/>
      <c r="CH707" s="240"/>
      <c r="CI707" s="240"/>
      <c r="CJ707" s="240"/>
      <c r="CK707" s="240"/>
      <c r="CL707" s="728"/>
      <c r="CM707" s="728"/>
      <c r="CN707" s="195"/>
      <c r="CO707" s="195"/>
      <c r="CP707" s="195"/>
      <c r="CQ707" s="195"/>
      <c r="CR707" s="195"/>
      <c r="CS707" s="195"/>
      <c r="CT707" s="195"/>
      <c r="CU707" s="195"/>
      <c r="CV707" s="195"/>
      <c r="CW707" s="195"/>
      <c r="CX707" s="195"/>
      <c r="CY707" s="195"/>
      <c r="CZ707" s="195"/>
      <c r="DA707" s="195"/>
      <c r="DB707" s="195"/>
      <c r="DC707" s="195"/>
      <c r="DD707" s="195"/>
      <c r="DE707" s="195"/>
      <c r="DF707" s="195"/>
      <c r="DG707" s="1"/>
      <c r="DH707" s="3"/>
      <c r="DL707" s="4"/>
      <c r="DM707" s="4"/>
      <c r="DQ707" s="195"/>
      <c r="DR707" s="195"/>
      <c r="DS707" s="195"/>
      <c r="DT707" s="195"/>
      <c r="DU707" s="195"/>
      <c r="DV707" s="195"/>
      <c r="DW707" s="195"/>
      <c r="DX707" s="195"/>
      <c r="DY707" s="195"/>
      <c r="DZ707" s="195"/>
      <c r="EA707" s="195"/>
      <c r="EB707" s="195"/>
      <c r="EC707" s="195"/>
      <c r="ED707" s="195"/>
      <c r="EE707" s="195"/>
      <c r="EF707" s="195"/>
      <c r="EG707" s="195"/>
      <c r="EL707" s="1"/>
      <c r="EM707" s="195"/>
      <c r="EN707" s="240"/>
      <c r="EO707" s="240"/>
      <c r="EP707" s="195"/>
      <c r="EQ707" s="240"/>
      <c r="ER707" s="195"/>
      <c r="ES707" s="195"/>
      <c r="ET707" s="195"/>
      <c r="EU707" s="736"/>
    </row>
    <row r="708" customFormat="false" ht="12.75" hidden="false" customHeight="false" outlineLevel="0" collapsed="false">
      <c r="I708" s="735"/>
      <c r="J708" s="728"/>
      <c r="K708" s="195"/>
      <c r="L708" s="195"/>
      <c r="Q708" s="195"/>
      <c r="R708" s="195"/>
      <c r="S708" s="240"/>
      <c r="T708" s="195"/>
      <c r="U708" s="195"/>
      <c r="V708" s="195"/>
      <c r="W708" s="195"/>
      <c r="X708" s="195"/>
      <c r="Y708" s="195"/>
      <c r="Z708" s="195"/>
      <c r="AA708" s="195"/>
      <c r="AB708" s="195"/>
      <c r="AC708" s="195"/>
      <c r="AD708" s="195"/>
      <c r="AE708" s="195"/>
      <c r="AF708" s="195"/>
      <c r="AG708" s="195"/>
      <c r="AH708" s="195"/>
      <c r="AI708" s="195"/>
      <c r="AJ708" s="195"/>
      <c r="AK708" s="195"/>
      <c r="AL708" s="195"/>
      <c r="AM708" s="1"/>
      <c r="AN708" s="240"/>
      <c r="AO708" s="240"/>
      <c r="AP708" s="240"/>
      <c r="AQ708" s="240"/>
      <c r="AR708" s="240"/>
      <c r="AS708" s="730"/>
      <c r="AT708" s="730"/>
      <c r="AU708" s="730"/>
      <c r="AV708" s="738"/>
      <c r="AW708" s="738"/>
      <c r="AX708" s="240"/>
      <c r="AY708" s="240"/>
      <c r="AZ708" s="240"/>
      <c r="BA708" s="240"/>
      <c r="BB708" s="240"/>
      <c r="BC708" s="240"/>
      <c r="BD708" s="672"/>
      <c r="BE708" s="731"/>
      <c r="BF708" s="731"/>
      <c r="BG708" s="731"/>
      <c r="BH708" s="672"/>
      <c r="BI708" s="732"/>
      <c r="BJ708" s="240"/>
      <c r="BK708" s="240"/>
      <c r="BL708" s="240"/>
      <c r="BM708" s="240"/>
      <c r="BN708" s="240"/>
      <c r="BO708" s="240"/>
      <c r="BP708" s="240"/>
      <c r="BQ708" s="240"/>
      <c r="BR708" s="240"/>
      <c r="BS708" s="240"/>
      <c r="BT708" s="240"/>
      <c r="BU708" s="240"/>
      <c r="BV708" s="240"/>
      <c r="BW708" s="672"/>
      <c r="BX708" s="672"/>
      <c r="BY708" s="672"/>
      <c r="BZ708" s="672"/>
      <c r="CA708" s="672"/>
      <c r="CB708" s="672"/>
      <c r="CC708" s="672"/>
      <c r="CD708" s="672"/>
      <c r="CE708" s="672"/>
      <c r="CF708" s="672"/>
      <c r="CG708" s="240"/>
      <c r="CH708" s="240"/>
      <c r="CI708" s="240"/>
      <c r="CJ708" s="240"/>
      <c r="CK708" s="240"/>
      <c r="CL708" s="728"/>
      <c r="CM708" s="728"/>
      <c r="CN708" s="195"/>
      <c r="CO708" s="195"/>
      <c r="CP708" s="195"/>
      <c r="CQ708" s="195"/>
      <c r="CR708" s="195"/>
      <c r="CS708" s="195"/>
      <c r="CT708" s="195"/>
      <c r="CU708" s="195"/>
      <c r="CV708" s="195"/>
      <c r="CW708" s="195"/>
      <c r="CX708" s="195"/>
      <c r="CY708" s="195"/>
      <c r="CZ708" s="195"/>
      <c r="DA708" s="195"/>
      <c r="DB708" s="195"/>
      <c r="DC708" s="195"/>
      <c r="DD708" s="195"/>
      <c r="DE708" s="195"/>
      <c r="DF708" s="195"/>
      <c r="DG708" s="1"/>
      <c r="DH708" s="3"/>
      <c r="DL708" s="4"/>
      <c r="DM708" s="4"/>
      <c r="DQ708" s="195"/>
      <c r="DR708" s="195"/>
      <c r="DS708" s="195"/>
      <c r="DT708" s="195"/>
      <c r="DU708" s="195"/>
      <c r="DV708" s="195"/>
      <c r="DW708" s="195"/>
      <c r="DX708" s="195"/>
      <c r="DY708" s="195"/>
      <c r="DZ708" s="195"/>
      <c r="EA708" s="195"/>
      <c r="EB708" s="195"/>
      <c r="EC708" s="195"/>
      <c r="ED708" s="195"/>
      <c r="EE708" s="195"/>
      <c r="EF708" s="195"/>
      <c r="EG708" s="195"/>
      <c r="EL708" s="1"/>
      <c r="EM708" s="195"/>
      <c r="EN708" s="240"/>
      <c r="EO708" s="240"/>
      <c r="EP708" s="195"/>
      <c r="EQ708" s="240"/>
      <c r="ER708" s="195"/>
      <c r="ES708" s="195"/>
      <c r="ET708" s="195"/>
      <c r="EU708" s="736"/>
    </row>
    <row r="709" customFormat="false" ht="12.75" hidden="false" customHeight="false" outlineLevel="0" collapsed="false">
      <c r="I709" s="735"/>
      <c r="J709" s="728"/>
      <c r="K709" s="195"/>
      <c r="L709" s="195"/>
      <c r="Q709" s="195"/>
      <c r="R709" s="195"/>
      <c r="S709" s="240"/>
      <c r="T709" s="195"/>
      <c r="U709" s="195"/>
      <c r="V709" s="195"/>
      <c r="W709" s="195"/>
      <c r="X709" s="195"/>
      <c r="Y709" s="195"/>
      <c r="Z709" s="195"/>
      <c r="AA709" s="195"/>
      <c r="AB709" s="195"/>
      <c r="AC709" s="195"/>
      <c r="AD709" s="195"/>
      <c r="AE709" s="195"/>
      <c r="AF709" s="195"/>
      <c r="AG709" s="195"/>
      <c r="AH709" s="195"/>
      <c r="AI709" s="195"/>
      <c r="AJ709" s="195"/>
      <c r="AK709" s="195"/>
      <c r="AL709" s="195"/>
      <c r="AM709" s="1"/>
      <c r="AN709" s="240"/>
      <c r="AO709" s="240"/>
      <c r="AP709" s="240"/>
      <c r="AQ709" s="240"/>
      <c r="AR709" s="240"/>
      <c r="AS709" s="730"/>
      <c r="AT709" s="730"/>
      <c r="AU709" s="730"/>
      <c r="AV709" s="738"/>
      <c r="AW709" s="738"/>
      <c r="AX709" s="240"/>
      <c r="AY709" s="240"/>
      <c r="AZ709" s="240"/>
      <c r="BA709" s="240"/>
      <c r="BB709" s="240"/>
      <c r="BC709" s="240"/>
      <c r="BD709" s="672"/>
      <c r="BE709" s="731"/>
      <c r="BF709" s="731"/>
      <c r="BG709" s="731"/>
      <c r="BH709" s="672"/>
      <c r="BI709" s="732"/>
      <c r="BJ709" s="240"/>
      <c r="BK709" s="240"/>
      <c r="BL709" s="240"/>
      <c r="BM709" s="240"/>
      <c r="BN709" s="240"/>
      <c r="BO709" s="240"/>
      <c r="BP709" s="240"/>
      <c r="BQ709" s="240"/>
      <c r="BR709" s="240"/>
      <c r="BS709" s="240"/>
      <c r="BT709" s="240"/>
      <c r="BU709" s="240"/>
      <c r="BV709" s="240"/>
      <c r="BW709" s="672"/>
      <c r="BX709" s="672"/>
      <c r="BY709" s="672"/>
      <c r="BZ709" s="672"/>
      <c r="CA709" s="672"/>
      <c r="CB709" s="672"/>
      <c r="CC709" s="672"/>
      <c r="CD709" s="672"/>
      <c r="CE709" s="672"/>
      <c r="CF709" s="672"/>
      <c r="CG709" s="240"/>
      <c r="CH709" s="240"/>
      <c r="CI709" s="240"/>
      <c r="CJ709" s="240"/>
      <c r="CK709" s="240"/>
      <c r="CL709" s="728"/>
      <c r="CM709" s="728"/>
      <c r="CN709" s="195"/>
      <c r="CO709" s="195"/>
      <c r="CP709" s="195"/>
      <c r="CQ709" s="195"/>
      <c r="CR709" s="195"/>
      <c r="CS709" s="195"/>
      <c r="CT709" s="195"/>
      <c r="CU709" s="195"/>
      <c r="CV709" s="195"/>
      <c r="CW709" s="195"/>
      <c r="CX709" s="195"/>
      <c r="CY709" s="195"/>
      <c r="CZ709" s="195"/>
      <c r="DA709" s="195"/>
      <c r="DB709" s="195"/>
      <c r="DC709" s="195"/>
      <c r="DD709" s="195"/>
      <c r="DE709" s="195"/>
      <c r="DF709" s="195"/>
      <c r="DG709" s="1"/>
      <c r="DH709" s="3"/>
      <c r="DL709" s="4"/>
      <c r="DM709" s="4"/>
      <c r="DQ709" s="195"/>
      <c r="DR709" s="195"/>
      <c r="DS709" s="195"/>
      <c r="DT709" s="195"/>
      <c r="DU709" s="195"/>
      <c r="DV709" s="195"/>
      <c r="DW709" s="195"/>
      <c r="DX709" s="195"/>
      <c r="DY709" s="195"/>
      <c r="DZ709" s="195"/>
      <c r="EA709" s="195"/>
      <c r="EB709" s="195"/>
      <c r="EC709" s="195"/>
      <c r="ED709" s="195"/>
      <c r="EE709" s="195"/>
      <c r="EF709" s="195"/>
      <c r="EG709" s="195"/>
      <c r="EL709" s="1"/>
      <c r="EM709" s="195"/>
      <c r="EN709" s="240"/>
      <c r="EO709" s="240"/>
      <c r="EP709" s="195"/>
      <c r="EQ709" s="240"/>
      <c r="ER709" s="195"/>
      <c r="ES709" s="195"/>
      <c r="ET709" s="195"/>
      <c r="EU709" s="736"/>
    </row>
    <row r="710" customFormat="false" ht="12.75" hidden="false" customHeight="false" outlineLevel="0" collapsed="false">
      <c r="I710" s="735"/>
      <c r="J710" s="728"/>
      <c r="K710" s="195"/>
      <c r="L710" s="195"/>
      <c r="Q710" s="195"/>
      <c r="R710" s="195"/>
      <c r="S710" s="240"/>
      <c r="T710" s="195"/>
      <c r="U710" s="195"/>
      <c r="V710" s="195"/>
      <c r="W710" s="195"/>
      <c r="X710" s="195"/>
      <c r="Y710" s="195"/>
      <c r="Z710" s="195"/>
      <c r="AA710" s="195"/>
      <c r="AB710" s="195"/>
      <c r="AC710" s="195"/>
      <c r="AD710" s="195"/>
      <c r="AE710" s="195"/>
      <c r="AF710" s="195"/>
      <c r="AG710" s="195"/>
      <c r="AH710" s="195"/>
      <c r="AI710" s="195"/>
      <c r="AJ710" s="195"/>
      <c r="AK710" s="195"/>
      <c r="AL710" s="195"/>
      <c r="AM710" s="1"/>
      <c r="AN710" s="240"/>
      <c r="AO710" s="240"/>
      <c r="AP710" s="240"/>
      <c r="AQ710" s="240"/>
      <c r="AR710" s="240"/>
      <c r="AS710" s="730"/>
      <c r="AT710" s="730"/>
      <c r="AU710" s="730"/>
      <c r="AV710" s="738"/>
      <c r="AW710" s="738"/>
      <c r="AX710" s="240"/>
      <c r="AY710" s="240"/>
      <c r="AZ710" s="240"/>
      <c r="BA710" s="240"/>
      <c r="BB710" s="240"/>
      <c r="BC710" s="240"/>
      <c r="BD710" s="672"/>
      <c r="BE710" s="731"/>
      <c r="BF710" s="731"/>
      <c r="BG710" s="731"/>
      <c r="BH710" s="672"/>
      <c r="BI710" s="732"/>
      <c r="BJ710" s="240"/>
      <c r="BK710" s="240"/>
      <c r="BL710" s="240"/>
      <c r="BM710" s="240"/>
      <c r="BN710" s="240"/>
      <c r="BO710" s="240"/>
      <c r="BP710" s="240"/>
      <c r="BQ710" s="240"/>
      <c r="BR710" s="240"/>
      <c r="BS710" s="240"/>
      <c r="BT710" s="240"/>
      <c r="BU710" s="240"/>
      <c r="BV710" s="240"/>
      <c r="BW710" s="672"/>
      <c r="BX710" s="672"/>
      <c r="BY710" s="672"/>
      <c r="BZ710" s="672"/>
      <c r="CA710" s="672"/>
      <c r="CB710" s="672"/>
      <c r="CC710" s="672"/>
      <c r="CD710" s="672"/>
      <c r="CE710" s="672"/>
      <c r="CF710" s="672"/>
      <c r="CG710" s="240"/>
      <c r="CH710" s="240"/>
      <c r="CI710" s="240"/>
      <c r="CJ710" s="240"/>
      <c r="CK710" s="240"/>
      <c r="CL710" s="728"/>
      <c r="CM710" s="728"/>
      <c r="CN710" s="195"/>
      <c r="CO710" s="195"/>
      <c r="CP710" s="195"/>
      <c r="CQ710" s="195"/>
      <c r="CR710" s="195"/>
      <c r="CS710" s="195"/>
      <c r="CT710" s="195"/>
      <c r="CU710" s="195"/>
      <c r="CV710" s="195"/>
      <c r="CW710" s="195"/>
      <c r="CX710" s="195"/>
      <c r="CY710" s="195"/>
      <c r="CZ710" s="195"/>
      <c r="DA710" s="195"/>
      <c r="DB710" s="195"/>
      <c r="DC710" s="195"/>
      <c r="DD710" s="195"/>
      <c r="DE710" s="195"/>
      <c r="DF710" s="195"/>
      <c r="DG710" s="1"/>
      <c r="DH710" s="3"/>
      <c r="DL710" s="4"/>
      <c r="DM710" s="4"/>
      <c r="DQ710" s="195"/>
      <c r="DR710" s="195"/>
      <c r="DS710" s="195"/>
      <c r="DT710" s="195"/>
      <c r="DU710" s="195"/>
      <c r="DV710" s="195"/>
      <c r="DW710" s="195"/>
      <c r="DX710" s="195"/>
      <c r="DY710" s="195"/>
      <c r="DZ710" s="195"/>
      <c r="EA710" s="195"/>
      <c r="EB710" s="195"/>
      <c r="EC710" s="195"/>
      <c r="ED710" s="195"/>
      <c r="EE710" s="195"/>
      <c r="EF710" s="195"/>
      <c r="EG710" s="195"/>
      <c r="EL710" s="1"/>
      <c r="EM710" s="195"/>
      <c r="EN710" s="240"/>
      <c r="EO710" s="240"/>
      <c r="EP710" s="195"/>
      <c r="EQ710" s="240"/>
      <c r="ER710" s="195"/>
      <c r="ES710" s="195"/>
      <c r="ET710" s="195"/>
      <c r="EU710" s="736"/>
    </row>
    <row r="711" customFormat="false" ht="12.75" hidden="false" customHeight="false" outlineLevel="0" collapsed="false">
      <c r="I711" s="735"/>
      <c r="J711" s="728"/>
      <c r="K711" s="195"/>
      <c r="L711" s="195"/>
      <c r="Q711" s="195"/>
      <c r="R711" s="195"/>
      <c r="S711" s="240"/>
      <c r="T711" s="195"/>
      <c r="U711" s="195"/>
      <c r="V711" s="195"/>
      <c r="W711" s="195"/>
      <c r="X711" s="195"/>
      <c r="Y711" s="195"/>
      <c r="Z711" s="195"/>
      <c r="AA711" s="195"/>
      <c r="AB711" s="195"/>
      <c r="AC711" s="195"/>
      <c r="AD711" s="195"/>
      <c r="AE711" s="195"/>
      <c r="AF711" s="195"/>
      <c r="AG711" s="195"/>
      <c r="AH711" s="195"/>
      <c r="AI711" s="195"/>
      <c r="AJ711" s="195"/>
      <c r="AK711" s="195"/>
      <c r="AL711" s="195"/>
      <c r="AM711" s="1"/>
      <c r="AN711" s="240"/>
      <c r="AO711" s="240"/>
      <c r="AP711" s="240"/>
      <c r="AQ711" s="240"/>
      <c r="AR711" s="240"/>
      <c r="AS711" s="730"/>
      <c r="AT711" s="730"/>
      <c r="AU711" s="730"/>
      <c r="AV711" s="738"/>
      <c r="AW711" s="738"/>
      <c r="AX711" s="240"/>
      <c r="AY711" s="240"/>
      <c r="AZ711" s="240"/>
      <c r="BA711" s="240"/>
      <c r="BB711" s="240"/>
      <c r="BC711" s="240"/>
      <c r="BD711" s="672"/>
      <c r="BE711" s="731"/>
      <c r="BF711" s="731"/>
      <c r="BG711" s="731"/>
      <c r="BH711" s="672"/>
      <c r="BI711" s="732"/>
      <c r="BJ711" s="240"/>
      <c r="BK711" s="240"/>
      <c r="BL711" s="240"/>
      <c r="BM711" s="240"/>
      <c r="BN711" s="240"/>
      <c r="BO711" s="240"/>
      <c r="BP711" s="240"/>
      <c r="BQ711" s="240"/>
      <c r="BR711" s="240"/>
      <c r="BS711" s="240"/>
      <c r="BT711" s="240"/>
      <c r="BU711" s="240"/>
      <c r="BV711" s="240"/>
      <c r="BW711" s="672"/>
      <c r="BX711" s="672"/>
      <c r="BY711" s="672"/>
      <c r="BZ711" s="672"/>
      <c r="CA711" s="672"/>
      <c r="CB711" s="672"/>
      <c r="CC711" s="672"/>
      <c r="CD711" s="672"/>
      <c r="CE711" s="672"/>
      <c r="CF711" s="672"/>
      <c r="CG711" s="240"/>
      <c r="CH711" s="240"/>
      <c r="CI711" s="240"/>
      <c r="CJ711" s="240"/>
      <c r="CK711" s="240"/>
      <c r="CL711" s="728"/>
      <c r="CM711" s="728"/>
      <c r="CN711" s="195"/>
      <c r="CO711" s="195"/>
      <c r="CP711" s="195"/>
      <c r="CQ711" s="195"/>
      <c r="CR711" s="195"/>
      <c r="CS711" s="195"/>
      <c r="CT711" s="195"/>
      <c r="CU711" s="195"/>
      <c r="CV711" s="195"/>
      <c r="CW711" s="195"/>
      <c r="CX711" s="195"/>
      <c r="CY711" s="195"/>
      <c r="CZ711" s="195"/>
      <c r="DA711" s="195"/>
      <c r="DB711" s="195"/>
      <c r="DC711" s="195"/>
      <c r="DD711" s="195"/>
      <c r="DE711" s="195"/>
      <c r="DF711" s="195"/>
      <c r="DG711" s="1"/>
      <c r="DH711" s="3"/>
      <c r="DL711" s="4"/>
      <c r="DM711" s="4"/>
      <c r="DQ711" s="195"/>
      <c r="DR711" s="195"/>
      <c r="DS711" s="195"/>
      <c r="DT711" s="195"/>
      <c r="DU711" s="195"/>
      <c r="DV711" s="195"/>
      <c r="DW711" s="195"/>
      <c r="DX711" s="195"/>
      <c r="DY711" s="195"/>
      <c r="DZ711" s="195"/>
      <c r="EA711" s="195"/>
      <c r="EB711" s="195"/>
      <c r="EC711" s="195"/>
      <c r="ED711" s="195"/>
      <c r="EE711" s="195"/>
      <c r="EF711" s="195"/>
      <c r="EG711" s="195"/>
      <c r="EL711" s="1"/>
      <c r="EM711" s="195"/>
      <c r="EN711" s="240"/>
      <c r="EO711" s="240"/>
      <c r="EP711" s="195"/>
      <c r="EQ711" s="240"/>
      <c r="ER711" s="195"/>
      <c r="ES711" s="195"/>
      <c r="ET711" s="195"/>
      <c r="EU711" s="736"/>
    </row>
    <row r="712" customFormat="false" ht="12.75" hidden="false" customHeight="false" outlineLevel="0" collapsed="false">
      <c r="I712" s="735"/>
      <c r="J712" s="728"/>
      <c r="K712" s="195"/>
      <c r="L712" s="195"/>
      <c r="Q712" s="195"/>
      <c r="R712" s="195"/>
      <c r="S712" s="240"/>
      <c r="T712" s="195"/>
      <c r="U712" s="195"/>
      <c r="V712" s="195"/>
      <c r="W712" s="195"/>
      <c r="X712" s="195"/>
      <c r="Y712" s="195"/>
      <c r="Z712" s="195"/>
      <c r="AA712" s="195"/>
      <c r="AB712" s="195"/>
      <c r="AC712" s="195"/>
      <c r="AD712" s="195"/>
      <c r="AE712" s="195"/>
      <c r="AF712" s="195"/>
      <c r="AG712" s="195"/>
      <c r="AH712" s="195"/>
      <c r="AI712" s="195"/>
      <c r="AJ712" s="195"/>
      <c r="AK712" s="195"/>
      <c r="AL712" s="195"/>
      <c r="AM712" s="1"/>
      <c r="AN712" s="240"/>
      <c r="AO712" s="240"/>
      <c r="AP712" s="240"/>
      <c r="AQ712" s="240"/>
      <c r="AR712" s="240"/>
      <c r="AS712" s="730"/>
      <c r="AT712" s="730"/>
      <c r="AU712" s="730"/>
      <c r="AV712" s="738"/>
      <c r="AW712" s="738"/>
      <c r="AX712" s="240"/>
      <c r="AY712" s="240"/>
      <c r="AZ712" s="240"/>
      <c r="BA712" s="240"/>
      <c r="BB712" s="240"/>
      <c r="BC712" s="240"/>
      <c r="BD712" s="672"/>
      <c r="BE712" s="731"/>
      <c r="BF712" s="731"/>
      <c r="BG712" s="731"/>
      <c r="BH712" s="672"/>
      <c r="BI712" s="732"/>
      <c r="BJ712" s="240"/>
      <c r="BK712" s="240"/>
      <c r="BL712" s="240"/>
      <c r="BM712" s="240"/>
      <c r="BN712" s="240"/>
      <c r="BO712" s="240"/>
      <c r="BP712" s="240"/>
      <c r="BQ712" s="240"/>
      <c r="BR712" s="240"/>
      <c r="BS712" s="240"/>
      <c r="BT712" s="240"/>
      <c r="BU712" s="240"/>
      <c r="BV712" s="240"/>
      <c r="BW712" s="672"/>
      <c r="BX712" s="672"/>
      <c r="BY712" s="672"/>
      <c r="BZ712" s="672"/>
      <c r="CA712" s="672"/>
      <c r="CB712" s="672"/>
      <c r="CC712" s="672"/>
      <c r="CD712" s="672"/>
      <c r="CE712" s="672"/>
      <c r="CF712" s="672"/>
      <c r="CG712" s="240"/>
      <c r="CH712" s="240"/>
      <c r="CI712" s="240"/>
      <c r="CJ712" s="240"/>
      <c r="CK712" s="240"/>
      <c r="CL712" s="728"/>
      <c r="CM712" s="728"/>
      <c r="CN712" s="195"/>
      <c r="CO712" s="195"/>
      <c r="CP712" s="195"/>
      <c r="CQ712" s="195"/>
      <c r="CR712" s="195"/>
      <c r="CS712" s="195"/>
      <c r="CT712" s="195"/>
      <c r="CU712" s="195"/>
      <c r="CV712" s="195"/>
      <c r="CW712" s="195"/>
      <c r="CX712" s="195"/>
      <c r="CY712" s="195"/>
      <c r="CZ712" s="195"/>
      <c r="DA712" s="195"/>
      <c r="DB712" s="195"/>
      <c r="DC712" s="195"/>
      <c r="DD712" s="195"/>
      <c r="DE712" s="195"/>
      <c r="DF712" s="195"/>
      <c r="DG712" s="1"/>
      <c r="DH712" s="3"/>
      <c r="DL712" s="4"/>
      <c r="DM712" s="4"/>
      <c r="DQ712" s="195"/>
      <c r="DR712" s="195"/>
      <c r="DS712" s="195"/>
      <c r="DT712" s="195"/>
      <c r="DU712" s="195"/>
      <c r="DV712" s="195"/>
      <c r="DW712" s="195"/>
      <c r="DX712" s="195"/>
      <c r="DY712" s="195"/>
      <c r="DZ712" s="195"/>
      <c r="EA712" s="195"/>
      <c r="EB712" s="195"/>
      <c r="EC712" s="195"/>
      <c r="ED712" s="195"/>
      <c r="EE712" s="195"/>
      <c r="EF712" s="195"/>
      <c r="EG712" s="195"/>
      <c r="EL712" s="1"/>
      <c r="EM712" s="195"/>
      <c r="EN712" s="240"/>
      <c r="EO712" s="240"/>
      <c r="EP712" s="195"/>
      <c r="EQ712" s="240"/>
      <c r="ER712" s="195"/>
      <c r="ES712" s="195"/>
      <c r="ET712" s="195"/>
      <c r="EU712" s="736"/>
    </row>
    <row r="713" customFormat="false" ht="12.75" hidden="false" customHeight="false" outlineLevel="0" collapsed="false">
      <c r="I713" s="735"/>
      <c r="J713" s="728"/>
      <c r="K713" s="195"/>
      <c r="L713" s="195"/>
      <c r="Q713" s="195"/>
      <c r="R713" s="195"/>
      <c r="S713" s="240"/>
      <c r="T713" s="195"/>
      <c r="U713" s="195"/>
      <c r="V713" s="195"/>
      <c r="W713" s="195"/>
      <c r="X713" s="195"/>
      <c r="Y713" s="195"/>
      <c r="Z713" s="195"/>
      <c r="AA713" s="195"/>
      <c r="AB713" s="195"/>
      <c r="AC713" s="195"/>
      <c r="AD713" s="195"/>
      <c r="AE713" s="195"/>
      <c r="AF713" s="195"/>
      <c r="AG713" s="195"/>
      <c r="AH713" s="195"/>
      <c r="AI713" s="195"/>
      <c r="AJ713" s="195"/>
      <c r="AK713" s="195"/>
      <c r="AL713" s="195"/>
      <c r="AM713" s="1"/>
      <c r="AN713" s="240"/>
      <c r="AO713" s="240"/>
      <c r="AP713" s="240"/>
      <c r="AQ713" s="240"/>
      <c r="AR713" s="240"/>
      <c r="AS713" s="730"/>
      <c r="AT713" s="730"/>
      <c r="AU713" s="730"/>
      <c r="AV713" s="738"/>
      <c r="AW713" s="738"/>
      <c r="AX713" s="240"/>
      <c r="AY713" s="240"/>
      <c r="AZ713" s="240"/>
      <c r="BA713" s="240"/>
      <c r="BB713" s="240"/>
      <c r="BC713" s="240"/>
      <c r="BD713" s="672"/>
      <c r="BE713" s="731"/>
      <c r="BF713" s="731"/>
      <c r="BG713" s="731"/>
      <c r="BH713" s="672"/>
      <c r="BI713" s="732"/>
      <c r="BJ713" s="240"/>
      <c r="BK713" s="240"/>
      <c r="BL713" s="240"/>
      <c r="BM713" s="240"/>
      <c r="BN713" s="240"/>
      <c r="BO713" s="240"/>
      <c r="BP713" s="240"/>
      <c r="BQ713" s="240"/>
      <c r="BR713" s="240"/>
      <c r="BS713" s="240"/>
      <c r="BT713" s="240"/>
      <c r="BU713" s="240"/>
      <c r="BV713" s="240"/>
      <c r="BW713" s="672"/>
      <c r="BX713" s="672"/>
      <c r="BY713" s="672"/>
      <c r="BZ713" s="672"/>
      <c r="CA713" s="672"/>
      <c r="CB713" s="672"/>
      <c r="CC713" s="672"/>
      <c r="CD713" s="672"/>
      <c r="CE713" s="672"/>
      <c r="CF713" s="672"/>
      <c r="CG713" s="240"/>
      <c r="CH713" s="240"/>
      <c r="CI713" s="240"/>
      <c r="CJ713" s="240"/>
      <c r="CK713" s="240"/>
      <c r="CL713" s="728"/>
      <c r="CM713" s="728"/>
      <c r="CN713" s="195"/>
      <c r="CO713" s="195"/>
      <c r="CP713" s="195"/>
      <c r="CQ713" s="195"/>
      <c r="CR713" s="195"/>
      <c r="CS713" s="195"/>
      <c r="CT713" s="195"/>
      <c r="CU713" s="195"/>
      <c r="CV713" s="195"/>
      <c r="CW713" s="195"/>
      <c r="CX713" s="195"/>
      <c r="CY713" s="195"/>
      <c r="CZ713" s="195"/>
      <c r="DA713" s="195"/>
      <c r="DB713" s="195"/>
      <c r="DC713" s="195"/>
      <c r="DD713" s="195"/>
      <c r="DE713" s="195"/>
      <c r="DF713" s="195"/>
      <c r="DG713" s="1"/>
      <c r="DH713" s="3"/>
      <c r="DL713" s="4"/>
      <c r="DM713" s="4"/>
      <c r="DQ713" s="195"/>
      <c r="DR713" s="195"/>
      <c r="DS713" s="195"/>
      <c r="DT713" s="195"/>
      <c r="DU713" s="195"/>
      <c r="DV713" s="195"/>
      <c r="DW713" s="195"/>
      <c r="DX713" s="195"/>
      <c r="DY713" s="195"/>
      <c r="DZ713" s="195"/>
      <c r="EA713" s="195"/>
      <c r="EB713" s="195"/>
      <c r="EC713" s="195"/>
      <c r="ED713" s="195"/>
      <c r="EE713" s="195"/>
      <c r="EF713" s="195"/>
      <c r="EG713" s="195"/>
      <c r="EL713" s="1"/>
      <c r="EM713" s="195"/>
      <c r="EN713" s="240"/>
      <c r="EO713" s="240"/>
      <c r="EP713" s="195"/>
      <c r="EQ713" s="240"/>
      <c r="ER713" s="195"/>
      <c r="ES713" s="195"/>
      <c r="ET713" s="195"/>
      <c r="EU713" s="736"/>
    </row>
    <row r="714" customFormat="false" ht="12.75" hidden="false" customHeight="false" outlineLevel="0" collapsed="false">
      <c r="I714" s="735"/>
      <c r="J714" s="728"/>
      <c r="K714" s="195"/>
      <c r="L714" s="195"/>
      <c r="Q714" s="195"/>
      <c r="R714" s="195"/>
      <c r="S714" s="240"/>
      <c r="T714" s="195"/>
      <c r="U714" s="195"/>
      <c r="V714" s="195"/>
      <c r="W714" s="195"/>
      <c r="X714" s="195"/>
      <c r="Y714" s="195"/>
      <c r="Z714" s="195"/>
      <c r="AA714" s="195"/>
      <c r="AB714" s="195"/>
      <c r="AC714" s="195"/>
      <c r="AD714" s="195"/>
      <c r="AE714" s="195"/>
      <c r="AF714" s="195"/>
      <c r="AG714" s="195"/>
      <c r="AH714" s="195"/>
      <c r="AI714" s="195"/>
      <c r="AJ714" s="195"/>
      <c r="AK714" s="195"/>
      <c r="AL714" s="195"/>
      <c r="AM714" s="1"/>
      <c r="AN714" s="240"/>
      <c r="AO714" s="240"/>
      <c r="AP714" s="240"/>
      <c r="AQ714" s="240"/>
      <c r="AR714" s="240"/>
      <c r="AS714" s="730"/>
      <c r="AT714" s="730"/>
      <c r="AU714" s="730"/>
      <c r="AV714" s="738"/>
      <c r="AW714" s="738"/>
      <c r="AX714" s="240"/>
      <c r="AY714" s="240"/>
      <c r="AZ714" s="240"/>
      <c r="BA714" s="240"/>
      <c r="BB714" s="240"/>
      <c r="BC714" s="240"/>
      <c r="BD714" s="672"/>
      <c r="BE714" s="731"/>
      <c r="BF714" s="731"/>
      <c r="BG714" s="731"/>
      <c r="BH714" s="672"/>
      <c r="BI714" s="732"/>
      <c r="BJ714" s="240"/>
      <c r="BK714" s="240"/>
      <c r="BL714" s="240"/>
      <c r="BM714" s="240"/>
      <c r="BN714" s="240"/>
      <c r="BO714" s="240"/>
      <c r="BP714" s="240"/>
      <c r="BQ714" s="240"/>
      <c r="BR714" s="240"/>
      <c r="BS714" s="240"/>
      <c r="BT714" s="240"/>
      <c r="BU714" s="240"/>
      <c r="BV714" s="240"/>
      <c r="BW714" s="672"/>
      <c r="BX714" s="672"/>
      <c r="BY714" s="672"/>
      <c r="BZ714" s="672"/>
      <c r="CA714" s="672"/>
      <c r="CB714" s="672"/>
      <c r="CC714" s="672"/>
      <c r="CD714" s="672"/>
      <c r="CE714" s="672"/>
      <c r="CF714" s="672"/>
      <c r="CG714" s="240"/>
      <c r="CH714" s="240"/>
      <c r="CI714" s="240"/>
      <c r="CJ714" s="240"/>
      <c r="CK714" s="240"/>
      <c r="CL714" s="728"/>
      <c r="CM714" s="728"/>
      <c r="CN714" s="195"/>
      <c r="CO714" s="195"/>
      <c r="CP714" s="195"/>
      <c r="CQ714" s="195"/>
      <c r="CR714" s="195"/>
      <c r="CS714" s="195"/>
      <c r="CT714" s="195"/>
      <c r="CU714" s="195"/>
      <c r="CV714" s="195"/>
      <c r="CW714" s="195"/>
      <c r="CX714" s="195"/>
      <c r="CY714" s="195"/>
      <c r="CZ714" s="195"/>
      <c r="DA714" s="195"/>
      <c r="DB714" s="195"/>
      <c r="DC714" s="195"/>
      <c r="DD714" s="195"/>
      <c r="DE714" s="195"/>
      <c r="DF714" s="195"/>
      <c r="DG714" s="1"/>
      <c r="DH714" s="3"/>
      <c r="DL714" s="4"/>
      <c r="DM714" s="4"/>
      <c r="DQ714" s="195"/>
      <c r="DR714" s="195"/>
      <c r="DS714" s="195"/>
      <c r="DT714" s="195"/>
      <c r="DU714" s="195"/>
      <c r="DV714" s="195"/>
      <c r="DW714" s="195"/>
      <c r="DX714" s="195"/>
      <c r="DY714" s="195"/>
      <c r="DZ714" s="195"/>
      <c r="EA714" s="195"/>
      <c r="EB714" s="195"/>
      <c r="EC714" s="195"/>
      <c r="ED714" s="195"/>
      <c r="EE714" s="195"/>
      <c r="EF714" s="195"/>
      <c r="EG714" s="195"/>
      <c r="EL714" s="1"/>
      <c r="EM714" s="195"/>
      <c r="EN714" s="240"/>
      <c r="EO714" s="240"/>
      <c r="EP714" s="195"/>
      <c r="EQ714" s="240"/>
      <c r="ER714" s="195"/>
      <c r="ES714" s="195"/>
      <c r="ET714" s="195"/>
      <c r="EU714" s="736"/>
    </row>
    <row r="715" customFormat="false" ht="12.75" hidden="false" customHeight="false" outlineLevel="0" collapsed="false">
      <c r="I715" s="735"/>
      <c r="J715" s="728"/>
      <c r="K715" s="195"/>
      <c r="L715" s="195"/>
      <c r="Q715" s="195"/>
      <c r="R715" s="195"/>
      <c r="S715" s="240"/>
      <c r="T715" s="195"/>
      <c r="U715" s="195"/>
      <c r="V715" s="195"/>
      <c r="W715" s="195"/>
      <c r="X715" s="195"/>
      <c r="Y715" s="195"/>
      <c r="Z715" s="195"/>
      <c r="AA715" s="195"/>
      <c r="AB715" s="195"/>
      <c r="AC715" s="195"/>
      <c r="AD715" s="195"/>
      <c r="AE715" s="195"/>
      <c r="AF715" s="195"/>
      <c r="AG715" s="195"/>
      <c r="AH715" s="195"/>
      <c r="AI715" s="195"/>
      <c r="AJ715" s="195"/>
      <c r="AK715" s="195"/>
      <c r="AL715" s="195"/>
      <c r="AM715" s="1"/>
      <c r="AN715" s="240"/>
      <c r="AO715" s="240"/>
      <c r="AP715" s="240"/>
      <c r="AQ715" s="240"/>
      <c r="AR715" s="240"/>
      <c r="AS715" s="730"/>
      <c r="AT715" s="730"/>
      <c r="AU715" s="730"/>
      <c r="AV715" s="738"/>
      <c r="AW715" s="738"/>
      <c r="AX715" s="240"/>
      <c r="AY715" s="240"/>
      <c r="AZ715" s="240"/>
      <c r="BA715" s="240"/>
      <c r="BB715" s="240"/>
      <c r="BC715" s="240"/>
      <c r="BD715" s="672"/>
      <c r="BE715" s="731"/>
      <c r="BF715" s="731"/>
      <c r="BG715" s="731"/>
      <c r="BH715" s="672"/>
      <c r="BI715" s="732"/>
      <c r="BJ715" s="240"/>
      <c r="BK715" s="240"/>
      <c r="BL715" s="240"/>
      <c r="BM715" s="240"/>
      <c r="BN715" s="240"/>
      <c r="BO715" s="240"/>
      <c r="BP715" s="240"/>
      <c r="BQ715" s="240"/>
      <c r="BR715" s="240"/>
      <c r="BS715" s="240"/>
      <c r="BT715" s="240"/>
      <c r="BU715" s="240"/>
      <c r="BV715" s="240"/>
      <c r="BW715" s="672"/>
      <c r="BX715" s="672"/>
      <c r="BY715" s="672"/>
      <c r="BZ715" s="672"/>
      <c r="CA715" s="672"/>
      <c r="CB715" s="672"/>
      <c r="CC715" s="672"/>
      <c r="CD715" s="672"/>
      <c r="CE715" s="672"/>
      <c r="CF715" s="672"/>
      <c r="CG715" s="240"/>
      <c r="CH715" s="240"/>
      <c r="CI715" s="240"/>
      <c r="CJ715" s="240"/>
      <c r="CK715" s="240"/>
      <c r="CL715" s="728"/>
      <c r="CM715" s="728"/>
      <c r="CN715" s="195"/>
      <c r="CO715" s="195"/>
      <c r="CP715" s="195"/>
      <c r="CQ715" s="195"/>
      <c r="CR715" s="195"/>
      <c r="CS715" s="195"/>
      <c r="CT715" s="195"/>
      <c r="CU715" s="195"/>
      <c r="CV715" s="195"/>
      <c r="CW715" s="195"/>
      <c r="CX715" s="195"/>
      <c r="CY715" s="195"/>
      <c r="CZ715" s="195"/>
      <c r="DA715" s="195"/>
      <c r="DB715" s="195"/>
      <c r="DC715" s="195"/>
      <c r="DD715" s="195"/>
      <c r="DE715" s="195"/>
      <c r="DF715" s="195"/>
      <c r="DG715" s="1"/>
      <c r="DH715" s="3"/>
      <c r="DL715" s="4"/>
      <c r="DM715" s="4"/>
      <c r="DQ715" s="195"/>
      <c r="DR715" s="195"/>
      <c r="DS715" s="195"/>
      <c r="DT715" s="195"/>
      <c r="DU715" s="195"/>
      <c r="DV715" s="195"/>
      <c r="DW715" s="195"/>
      <c r="DX715" s="195"/>
      <c r="DY715" s="195"/>
      <c r="DZ715" s="195"/>
      <c r="EA715" s="195"/>
      <c r="EB715" s="195"/>
      <c r="EC715" s="195"/>
      <c r="ED715" s="195"/>
      <c r="EE715" s="195"/>
      <c r="EF715" s="195"/>
      <c r="EG715" s="195"/>
      <c r="EL715" s="1"/>
      <c r="EM715" s="195"/>
      <c r="EN715" s="240"/>
      <c r="EO715" s="240"/>
      <c r="EP715" s="195"/>
      <c r="EQ715" s="240"/>
      <c r="ER715" s="195"/>
      <c r="ES715" s="195"/>
      <c r="ET715" s="195"/>
      <c r="EU715" s="736"/>
    </row>
    <row r="716" customFormat="false" ht="12.75" hidden="false" customHeight="false" outlineLevel="0" collapsed="false">
      <c r="I716" s="735"/>
      <c r="J716" s="728"/>
      <c r="K716" s="195"/>
      <c r="L716" s="195"/>
      <c r="Q716" s="195"/>
      <c r="R716" s="195"/>
      <c r="S716" s="240"/>
      <c r="T716" s="195"/>
      <c r="U716" s="195"/>
      <c r="V716" s="195"/>
      <c r="W716" s="195"/>
      <c r="X716" s="195"/>
      <c r="Y716" s="195"/>
      <c r="Z716" s="195"/>
      <c r="AA716" s="195"/>
      <c r="AB716" s="195"/>
      <c r="AC716" s="195"/>
      <c r="AD716" s="195"/>
      <c r="AE716" s="195"/>
      <c r="AF716" s="195"/>
      <c r="AG716" s="195"/>
      <c r="AH716" s="195"/>
      <c r="AI716" s="195"/>
      <c r="AJ716" s="195"/>
      <c r="AK716" s="195"/>
      <c r="AL716" s="195"/>
      <c r="AM716" s="1"/>
      <c r="AN716" s="240"/>
      <c r="AO716" s="240"/>
      <c r="AP716" s="240"/>
      <c r="AQ716" s="240"/>
      <c r="AR716" s="240"/>
      <c r="AS716" s="730"/>
      <c r="AT716" s="730"/>
      <c r="AU716" s="730"/>
      <c r="AV716" s="738"/>
      <c r="AW716" s="738"/>
      <c r="AX716" s="240"/>
      <c r="AY716" s="240"/>
      <c r="AZ716" s="240"/>
      <c r="BA716" s="240"/>
      <c r="BB716" s="240"/>
      <c r="BC716" s="240"/>
      <c r="BD716" s="672"/>
      <c r="BE716" s="731"/>
      <c r="BF716" s="731"/>
      <c r="BG716" s="731"/>
      <c r="BH716" s="672"/>
      <c r="BI716" s="732"/>
      <c r="BJ716" s="240"/>
      <c r="BK716" s="240"/>
      <c r="BL716" s="240"/>
      <c r="BM716" s="240"/>
      <c r="BN716" s="240"/>
      <c r="BO716" s="240"/>
      <c r="BP716" s="240"/>
      <c r="BQ716" s="240"/>
      <c r="BR716" s="240"/>
      <c r="BS716" s="240"/>
      <c r="BT716" s="240"/>
      <c r="BU716" s="240"/>
      <c r="BV716" s="240"/>
      <c r="BW716" s="672"/>
      <c r="BX716" s="672"/>
      <c r="BY716" s="672"/>
      <c r="BZ716" s="672"/>
      <c r="CA716" s="672"/>
      <c r="CB716" s="672"/>
      <c r="CC716" s="672"/>
      <c r="CD716" s="672"/>
      <c r="CE716" s="672"/>
      <c r="CF716" s="672"/>
      <c r="CG716" s="240"/>
      <c r="CH716" s="240"/>
      <c r="CI716" s="240"/>
      <c r="CJ716" s="240"/>
      <c r="CK716" s="240"/>
      <c r="CL716" s="728"/>
      <c r="CM716" s="728"/>
      <c r="CN716" s="195"/>
      <c r="CO716" s="195"/>
      <c r="CP716" s="195"/>
      <c r="CQ716" s="195"/>
      <c r="CR716" s="195"/>
      <c r="CS716" s="195"/>
      <c r="CT716" s="195"/>
      <c r="CU716" s="195"/>
      <c r="CV716" s="195"/>
      <c r="CW716" s="195"/>
      <c r="CX716" s="195"/>
      <c r="CY716" s="195"/>
      <c r="CZ716" s="195"/>
      <c r="DA716" s="195"/>
      <c r="DB716" s="195"/>
      <c r="DC716" s="195"/>
      <c r="DD716" s="195"/>
      <c r="DE716" s="195"/>
      <c r="DF716" s="195"/>
      <c r="DG716" s="1"/>
      <c r="DH716" s="3"/>
      <c r="DL716" s="4"/>
      <c r="DM716" s="4"/>
      <c r="DQ716" s="195"/>
      <c r="DR716" s="195"/>
      <c r="DS716" s="195"/>
      <c r="DT716" s="195"/>
      <c r="DU716" s="195"/>
      <c r="DV716" s="195"/>
      <c r="DW716" s="195"/>
      <c r="DX716" s="195"/>
      <c r="DY716" s="195"/>
      <c r="DZ716" s="195"/>
      <c r="EA716" s="195"/>
      <c r="EB716" s="195"/>
      <c r="EC716" s="195"/>
      <c r="ED716" s="195"/>
      <c r="EE716" s="195"/>
      <c r="EF716" s="195"/>
      <c r="EG716" s="195"/>
      <c r="EL716" s="1"/>
      <c r="EM716" s="195"/>
      <c r="EN716" s="240"/>
      <c r="EO716" s="240"/>
      <c r="EP716" s="195"/>
      <c r="EQ716" s="240"/>
      <c r="ER716" s="195"/>
      <c r="ES716" s="195"/>
      <c r="ET716" s="195"/>
      <c r="EU716" s="736"/>
    </row>
    <row r="717" customFormat="false" ht="12.75" hidden="false" customHeight="false" outlineLevel="0" collapsed="false">
      <c r="I717" s="735"/>
      <c r="J717" s="728"/>
      <c r="K717" s="195"/>
      <c r="L717" s="195"/>
      <c r="Q717" s="195"/>
      <c r="R717" s="195"/>
      <c r="S717" s="240"/>
      <c r="T717" s="195"/>
      <c r="U717" s="195"/>
      <c r="V717" s="195"/>
      <c r="W717" s="195"/>
      <c r="X717" s="195"/>
      <c r="Y717" s="195"/>
      <c r="Z717" s="195"/>
      <c r="AA717" s="195"/>
      <c r="AB717" s="195"/>
      <c r="AC717" s="195"/>
      <c r="AD717" s="195"/>
      <c r="AE717" s="195"/>
      <c r="AF717" s="195"/>
      <c r="AG717" s="195"/>
      <c r="AH717" s="195"/>
      <c r="AI717" s="195"/>
      <c r="AJ717" s="195"/>
      <c r="AK717" s="195"/>
      <c r="AL717" s="195"/>
      <c r="AM717" s="1"/>
      <c r="AN717" s="240"/>
      <c r="AO717" s="240"/>
      <c r="AP717" s="240"/>
      <c r="AQ717" s="240"/>
      <c r="AR717" s="240"/>
      <c r="AS717" s="730"/>
      <c r="AT717" s="730"/>
      <c r="AU717" s="730"/>
      <c r="AV717" s="738"/>
      <c r="AW717" s="738"/>
      <c r="AX717" s="240"/>
      <c r="AY717" s="240"/>
      <c r="AZ717" s="240"/>
      <c r="BA717" s="240"/>
      <c r="BB717" s="240"/>
      <c r="BC717" s="240"/>
      <c r="BD717" s="672"/>
      <c r="BE717" s="731"/>
      <c r="BF717" s="731"/>
      <c r="BG717" s="731"/>
      <c r="BH717" s="672"/>
      <c r="BI717" s="732"/>
      <c r="BJ717" s="240"/>
      <c r="BK717" s="240"/>
      <c r="BL717" s="240"/>
      <c r="BM717" s="240"/>
      <c r="BN717" s="240"/>
      <c r="BO717" s="240"/>
      <c r="BP717" s="240"/>
      <c r="BQ717" s="240"/>
      <c r="BR717" s="240"/>
      <c r="BS717" s="240"/>
      <c r="BT717" s="240"/>
      <c r="BU717" s="240"/>
      <c r="BV717" s="240"/>
      <c r="BW717" s="672"/>
      <c r="BX717" s="672"/>
      <c r="BY717" s="672"/>
      <c r="BZ717" s="672"/>
      <c r="CA717" s="672"/>
      <c r="CB717" s="672"/>
      <c r="CC717" s="672"/>
      <c r="CD717" s="672"/>
      <c r="CE717" s="672"/>
      <c r="CF717" s="672"/>
      <c r="CG717" s="240"/>
      <c r="CH717" s="240"/>
      <c r="CI717" s="240"/>
      <c r="CJ717" s="240"/>
      <c r="CK717" s="240"/>
      <c r="CL717" s="728"/>
      <c r="CM717" s="728"/>
      <c r="CN717" s="195"/>
      <c r="CO717" s="195"/>
      <c r="CP717" s="195"/>
      <c r="CQ717" s="195"/>
      <c r="CR717" s="195"/>
      <c r="CS717" s="195"/>
      <c r="CT717" s="195"/>
      <c r="CU717" s="195"/>
      <c r="CV717" s="195"/>
      <c r="CW717" s="195"/>
      <c r="CX717" s="195"/>
      <c r="CY717" s="195"/>
      <c r="CZ717" s="195"/>
      <c r="DA717" s="195"/>
      <c r="DB717" s="195"/>
      <c r="DC717" s="195"/>
      <c r="DD717" s="195"/>
      <c r="DE717" s="195"/>
      <c r="DF717" s="195"/>
      <c r="DG717" s="1"/>
      <c r="DH717" s="3"/>
      <c r="DL717" s="4"/>
      <c r="DM717" s="4"/>
      <c r="DQ717" s="195"/>
      <c r="DR717" s="195"/>
      <c r="DS717" s="195"/>
      <c r="DT717" s="195"/>
      <c r="DU717" s="195"/>
      <c r="DV717" s="195"/>
      <c r="DW717" s="195"/>
      <c r="DX717" s="195"/>
      <c r="DY717" s="195"/>
      <c r="DZ717" s="195"/>
      <c r="EA717" s="195"/>
      <c r="EB717" s="195"/>
      <c r="EC717" s="195"/>
      <c r="ED717" s="195"/>
      <c r="EE717" s="195"/>
      <c r="EF717" s="195"/>
      <c r="EG717" s="195"/>
      <c r="EL717" s="1"/>
      <c r="EM717" s="195"/>
      <c r="EN717" s="240"/>
      <c r="EO717" s="240"/>
      <c r="EP717" s="195"/>
      <c r="EQ717" s="240"/>
      <c r="ER717" s="195"/>
      <c r="ES717" s="195"/>
      <c r="ET717" s="195"/>
      <c r="EU717" s="736"/>
    </row>
    <row r="718" customFormat="false" ht="12.75" hidden="false" customHeight="false" outlineLevel="0" collapsed="false">
      <c r="I718" s="735"/>
      <c r="J718" s="728"/>
      <c r="K718" s="195"/>
      <c r="L718" s="195"/>
      <c r="Q718" s="195"/>
      <c r="R718" s="195"/>
      <c r="S718" s="240"/>
      <c r="T718" s="195"/>
      <c r="U718" s="195"/>
      <c r="V718" s="195"/>
      <c r="W718" s="195"/>
      <c r="X718" s="195"/>
      <c r="Y718" s="195"/>
      <c r="Z718" s="195"/>
      <c r="AA718" s="195"/>
      <c r="AB718" s="195"/>
      <c r="AC718" s="195"/>
      <c r="AD718" s="195"/>
      <c r="AE718" s="195"/>
      <c r="AF718" s="195"/>
      <c r="AG718" s="195"/>
      <c r="AH718" s="195"/>
      <c r="AI718" s="195"/>
      <c r="AJ718" s="195"/>
      <c r="AK718" s="195"/>
      <c r="AL718" s="195"/>
      <c r="AM718" s="1"/>
      <c r="AN718" s="240"/>
      <c r="AO718" s="240"/>
      <c r="AP718" s="240"/>
      <c r="AQ718" s="240"/>
      <c r="AR718" s="240"/>
      <c r="AS718" s="730"/>
      <c r="AT718" s="730"/>
      <c r="AU718" s="730"/>
      <c r="AV718" s="738"/>
      <c r="AW718" s="738"/>
      <c r="AX718" s="240"/>
      <c r="AY718" s="240"/>
      <c r="AZ718" s="240"/>
      <c r="BA718" s="240"/>
      <c r="BB718" s="240"/>
      <c r="BC718" s="240"/>
      <c r="BD718" s="672"/>
      <c r="BE718" s="731"/>
      <c r="BF718" s="731"/>
      <c r="BG718" s="731"/>
      <c r="BH718" s="672"/>
      <c r="BI718" s="732"/>
      <c r="BJ718" s="240"/>
      <c r="BK718" s="240"/>
      <c r="BL718" s="240"/>
      <c r="BM718" s="240"/>
      <c r="BN718" s="240"/>
      <c r="BO718" s="240"/>
      <c r="BP718" s="240"/>
      <c r="BQ718" s="240"/>
      <c r="BR718" s="240"/>
      <c r="BS718" s="240"/>
      <c r="BT718" s="240"/>
      <c r="BU718" s="240"/>
      <c r="BV718" s="240"/>
      <c r="BW718" s="672"/>
      <c r="BX718" s="672"/>
      <c r="BY718" s="672"/>
      <c r="BZ718" s="672"/>
      <c r="CA718" s="672"/>
      <c r="CB718" s="672"/>
      <c r="CC718" s="672"/>
      <c r="CD718" s="672"/>
      <c r="CE718" s="672"/>
      <c r="CF718" s="672"/>
      <c r="CG718" s="240"/>
      <c r="CH718" s="240"/>
      <c r="CI718" s="240"/>
      <c r="CJ718" s="240"/>
      <c r="CK718" s="240"/>
      <c r="CL718" s="728"/>
      <c r="CM718" s="728"/>
      <c r="CN718" s="195"/>
      <c r="CO718" s="195"/>
      <c r="CP718" s="195"/>
      <c r="CQ718" s="195"/>
      <c r="CR718" s="195"/>
      <c r="CS718" s="195"/>
      <c r="CT718" s="195"/>
      <c r="CU718" s="195"/>
      <c r="CV718" s="195"/>
      <c r="CW718" s="195"/>
      <c r="CX718" s="195"/>
      <c r="CY718" s="195"/>
      <c r="CZ718" s="195"/>
      <c r="DA718" s="195"/>
      <c r="DB718" s="195"/>
      <c r="DC718" s="195"/>
      <c r="DD718" s="195"/>
      <c r="DE718" s="195"/>
      <c r="DF718" s="195"/>
      <c r="DG718" s="1"/>
      <c r="DH718" s="3"/>
      <c r="DL718" s="4"/>
      <c r="DM718" s="4"/>
      <c r="DQ718" s="195"/>
      <c r="DR718" s="195"/>
      <c r="DS718" s="195"/>
      <c r="DT718" s="195"/>
      <c r="DU718" s="195"/>
      <c r="DV718" s="195"/>
      <c r="DW718" s="195"/>
      <c r="DX718" s="195"/>
      <c r="DY718" s="195"/>
      <c r="DZ718" s="195"/>
      <c r="EA718" s="195"/>
      <c r="EB718" s="195"/>
      <c r="EC718" s="195"/>
      <c r="ED718" s="195"/>
      <c r="EE718" s="195"/>
      <c r="EF718" s="195"/>
      <c r="EG718" s="195"/>
      <c r="EL718" s="1"/>
      <c r="EM718" s="195"/>
      <c r="EN718" s="240"/>
      <c r="EO718" s="240"/>
      <c r="EP718" s="195"/>
      <c r="EQ718" s="240"/>
      <c r="ER718" s="195"/>
      <c r="ES718" s="195"/>
      <c r="ET718" s="195"/>
      <c r="EU718" s="736"/>
    </row>
    <row r="719" customFormat="false" ht="12.75" hidden="false" customHeight="false" outlineLevel="0" collapsed="false">
      <c r="I719" s="735"/>
      <c r="J719" s="728"/>
      <c r="K719" s="195"/>
      <c r="L719" s="195"/>
      <c r="Q719" s="195"/>
      <c r="R719" s="195"/>
      <c r="S719" s="240"/>
      <c r="T719" s="195"/>
      <c r="U719" s="195"/>
      <c r="V719" s="195"/>
      <c r="W719" s="195"/>
      <c r="X719" s="195"/>
      <c r="Y719" s="195"/>
      <c r="Z719" s="195"/>
      <c r="AA719" s="195"/>
      <c r="AB719" s="195"/>
      <c r="AC719" s="195"/>
      <c r="AD719" s="195"/>
      <c r="AE719" s="195"/>
      <c r="AF719" s="195"/>
      <c r="AG719" s="195"/>
      <c r="AH719" s="195"/>
      <c r="AI719" s="195"/>
      <c r="AJ719" s="195"/>
      <c r="AK719" s="195"/>
      <c r="AL719" s="195"/>
      <c r="AM719" s="1"/>
      <c r="AN719" s="240"/>
      <c r="AO719" s="240"/>
      <c r="AP719" s="240"/>
      <c r="AQ719" s="240"/>
      <c r="AR719" s="240"/>
      <c r="AS719" s="730"/>
      <c r="AT719" s="730"/>
      <c r="AU719" s="730"/>
      <c r="AV719" s="738"/>
      <c r="AW719" s="738"/>
      <c r="AX719" s="240"/>
      <c r="AY719" s="240"/>
      <c r="AZ719" s="240"/>
      <c r="BA719" s="240"/>
      <c r="BB719" s="240"/>
      <c r="BC719" s="240"/>
      <c r="BD719" s="672"/>
      <c r="BE719" s="731"/>
      <c r="BF719" s="731"/>
      <c r="BG719" s="731"/>
      <c r="BH719" s="672"/>
      <c r="BI719" s="732"/>
      <c r="BJ719" s="240"/>
      <c r="BK719" s="240"/>
      <c r="BL719" s="240"/>
      <c r="BM719" s="240"/>
      <c r="BN719" s="240"/>
      <c r="BO719" s="240"/>
      <c r="BP719" s="240"/>
      <c r="BQ719" s="240"/>
      <c r="BR719" s="240"/>
      <c r="BS719" s="240"/>
      <c r="BT719" s="240"/>
      <c r="BU719" s="240"/>
      <c r="BV719" s="240"/>
      <c r="BW719" s="672"/>
      <c r="BX719" s="672"/>
      <c r="BY719" s="672"/>
      <c r="BZ719" s="672"/>
      <c r="CA719" s="672"/>
      <c r="CB719" s="672"/>
      <c r="CC719" s="672"/>
      <c r="CD719" s="672"/>
      <c r="CE719" s="672"/>
      <c r="CF719" s="672"/>
      <c r="CG719" s="240"/>
      <c r="CH719" s="240"/>
      <c r="CI719" s="240"/>
      <c r="CJ719" s="240"/>
      <c r="CK719" s="240"/>
      <c r="CL719" s="728"/>
      <c r="CM719" s="728"/>
      <c r="CN719" s="195"/>
      <c r="CO719" s="195"/>
      <c r="CP719" s="195"/>
      <c r="CQ719" s="195"/>
      <c r="CR719" s="195"/>
      <c r="CS719" s="195"/>
      <c r="CT719" s="195"/>
      <c r="CU719" s="195"/>
      <c r="CV719" s="195"/>
      <c r="CW719" s="195"/>
      <c r="CX719" s="195"/>
      <c r="CY719" s="195"/>
      <c r="CZ719" s="195"/>
      <c r="DA719" s="195"/>
      <c r="DB719" s="195"/>
      <c r="DC719" s="195"/>
      <c r="DD719" s="195"/>
      <c r="DE719" s="195"/>
      <c r="DF719" s="195"/>
      <c r="DG719" s="1"/>
      <c r="DH719" s="3"/>
      <c r="DL719" s="4"/>
      <c r="DM719" s="4"/>
      <c r="DQ719" s="195"/>
      <c r="DR719" s="195"/>
      <c r="DS719" s="195"/>
      <c r="DT719" s="195"/>
      <c r="DU719" s="195"/>
      <c r="DV719" s="195"/>
      <c r="DW719" s="195"/>
      <c r="DX719" s="195"/>
      <c r="DY719" s="195"/>
      <c r="DZ719" s="195"/>
      <c r="EA719" s="195"/>
      <c r="EB719" s="195"/>
      <c r="EC719" s="195"/>
      <c r="ED719" s="195"/>
      <c r="EE719" s="195"/>
      <c r="EF719" s="195"/>
      <c r="EG719" s="195"/>
      <c r="EL719" s="1"/>
      <c r="EM719" s="195"/>
      <c r="EN719" s="240"/>
      <c r="EO719" s="240"/>
      <c r="EP719" s="195"/>
      <c r="EQ719" s="240"/>
      <c r="ER719" s="195"/>
      <c r="ES719" s="195"/>
      <c r="ET719" s="195"/>
      <c r="EU719" s="736"/>
    </row>
    <row r="720" customFormat="false" ht="12.75" hidden="false" customHeight="false" outlineLevel="0" collapsed="false">
      <c r="I720" s="735"/>
      <c r="J720" s="728"/>
      <c r="K720" s="195"/>
      <c r="L720" s="195"/>
      <c r="Q720" s="195"/>
      <c r="R720" s="195"/>
      <c r="S720" s="240"/>
      <c r="T720" s="195"/>
      <c r="U720" s="195"/>
      <c r="V720" s="195"/>
      <c r="W720" s="195"/>
      <c r="X720" s="195"/>
      <c r="Y720" s="195"/>
      <c r="Z720" s="195"/>
      <c r="AA720" s="195"/>
      <c r="AB720" s="195"/>
      <c r="AC720" s="195"/>
      <c r="AD720" s="195"/>
      <c r="AE720" s="195"/>
      <c r="AF720" s="195"/>
      <c r="AG720" s="195"/>
      <c r="AH720" s="195"/>
      <c r="AI720" s="195"/>
      <c r="AJ720" s="195"/>
      <c r="AK720" s="195"/>
      <c r="AL720" s="195"/>
      <c r="AM720" s="1"/>
      <c r="AN720" s="240"/>
      <c r="AO720" s="240"/>
      <c r="AP720" s="240"/>
      <c r="AQ720" s="240"/>
      <c r="AR720" s="240"/>
      <c r="AS720" s="730"/>
      <c r="AT720" s="730"/>
      <c r="AU720" s="730"/>
      <c r="AV720" s="738"/>
      <c r="AW720" s="738"/>
      <c r="AX720" s="240"/>
      <c r="AY720" s="240"/>
      <c r="AZ720" s="240"/>
      <c r="BA720" s="240"/>
      <c r="BB720" s="240"/>
      <c r="BC720" s="240"/>
      <c r="BD720" s="672"/>
      <c r="BE720" s="731"/>
      <c r="BF720" s="731"/>
      <c r="BG720" s="731"/>
      <c r="BH720" s="672"/>
      <c r="BI720" s="732"/>
      <c r="BJ720" s="240"/>
      <c r="BK720" s="240"/>
      <c r="BL720" s="240"/>
      <c r="BM720" s="240"/>
      <c r="BN720" s="240"/>
      <c r="BO720" s="240"/>
      <c r="BP720" s="240"/>
      <c r="BQ720" s="240"/>
      <c r="BR720" s="240"/>
      <c r="BS720" s="240"/>
      <c r="BT720" s="240"/>
      <c r="BU720" s="240"/>
      <c r="BV720" s="240"/>
      <c r="BW720" s="672"/>
      <c r="BX720" s="672"/>
      <c r="BY720" s="672"/>
      <c r="BZ720" s="672"/>
      <c r="CA720" s="672"/>
      <c r="CB720" s="672"/>
      <c r="CC720" s="672"/>
      <c r="CD720" s="672"/>
      <c r="CE720" s="672"/>
      <c r="CF720" s="672"/>
      <c r="CG720" s="240"/>
      <c r="CH720" s="240"/>
      <c r="CI720" s="240"/>
      <c r="CJ720" s="240"/>
      <c r="CK720" s="240"/>
      <c r="CL720" s="728"/>
      <c r="CM720" s="728"/>
      <c r="CN720" s="195"/>
      <c r="CO720" s="195"/>
      <c r="CP720" s="195"/>
      <c r="CQ720" s="195"/>
      <c r="CR720" s="195"/>
      <c r="CS720" s="195"/>
      <c r="CT720" s="195"/>
      <c r="CU720" s="195"/>
      <c r="CV720" s="195"/>
      <c r="CW720" s="195"/>
      <c r="CX720" s="195"/>
      <c r="CY720" s="195"/>
      <c r="CZ720" s="195"/>
      <c r="DA720" s="195"/>
      <c r="DB720" s="195"/>
      <c r="DC720" s="195"/>
      <c r="DD720" s="195"/>
      <c r="DE720" s="195"/>
      <c r="DF720" s="195"/>
      <c r="DG720" s="1"/>
      <c r="DH720" s="3"/>
      <c r="DL720" s="4"/>
      <c r="DM720" s="4"/>
      <c r="DQ720" s="195"/>
      <c r="DR720" s="195"/>
      <c r="DS720" s="195"/>
      <c r="DT720" s="195"/>
      <c r="DU720" s="195"/>
      <c r="DV720" s="195"/>
      <c r="DW720" s="195"/>
      <c r="DX720" s="195"/>
      <c r="DY720" s="195"/>
      <c r="DZ720" s="195"/>
      <c r="EA720" s="195"/>
      <c r="EB720" s="195"/>
      <c r="EC720" s="195"/>
      <c r="ED720" s="195"/>
      <c r="EE720" s="195"/>
      <c r="EF720" s="195"/>
      <c r="EG720" s="195"/>
      <c r="EL720" s="1"/>
      <c r="EM720" s="195"/>
      <c r="EN720" s="240"/>
      <c r="EO720" s="240"/>
      <c r="EP720" s="195"/>
      <c r="EQ720" s="240"/>
      <c r="ER720" s="195"/>
      <c r="ES720" s="195"/>
      <c r="ET720" s="195"/>
      <c r="EU720" s="736"/>
    </row>
    <row r="721" customFormat="false" ht="12.75" hidden="false" customHeight="false" outlineLevel="0" collapsed="false">
      <c r="I721" s="735"/>
      <c r="J721" s="728"/>
      <c r="K721" s="195"/>
      <c r="L721" s="195"/>
      <c r="Q721" s="195"/>
      <c r="R721" s="195"/>
      <c r="S721" s="240"/>
      <c r="T721" s="195"/>
      <c r="U721" s="195"/>
      <c r="V721" s="195"/>
      <c r="W721" s="195"/>
      <c r="X721" s="195"/>
      <c r="Y721" s="195"/>
      <c r="Z721" s="195"/>
      <c r="AA721" s="195"/>
      <c r="AB721" s="195"/>
      <c r="AC721" s="195"/>
      <c r="AD721" s="195"/>
      <c r="AE721" s="195"/>
      <c r="AF721" s="195"/>
      <c r="AG721" s="195"/>
      <c r="AH721" s="195"/>
      <c r="AI721" s="195"/>
      <c r="AJ721" s="195"/>
      <c r="AK721" s="195"/>
      <c r="AL721" s="195"/>
      <c r="AM721" s="1"/>
      <c r="AN721" s="240"/>
      <c r="AO721" s="240"/>
      <c r="AP721" s="240"/>
      <c r="AQ721" s="240"/>
      <c r="AR721" s="240"/>
      <c r="AS721" s="730"/>
      <c r="AT721" s="730"/>
      <c r="AU721" s="730"/>
      <c r="AV721" s="738"/>
      <c r="AW721" s="738"/>
      <c r="AX721" s="240"/>
      <c r="AY721" s="240"/>
      <c r="AZ721" s="240"/>
      <c r="BA721" s="240"/>
      <c r="BB721" s="240"/>
      <c r="BC721" s="240"/>
      <c r="BD721" s="672"/>
      <c r="BE721" s="731"/>
      <c r="BF721" s="731"/>
      <c r="BG721" s="731"/>
      <c r="BH721" s="672"/>
      <c r="BI721" s="732"/>
      <c r="BJ721" s="240"/>
      <c r="BK721" s="240"/>
      <c r="BL721" s="240"/>
      <c r="BM721" s="240"/>
      <c r="BN721" s="240"/>
      <c r="BO721" s="240"/>
      <c r="BP721" s="240"/>
      <c r="BQ721" s="240"/>
      <c r="BR721" s="240"/>
      <c r="BS721" s="240"/>
      <c r="BT721" s="240"/>
      <c r="BU721" s="240"/>
      <c r="BV721" s="240"/>
      <c r="BW721" s="672"/>
      <c r="BX721" s="672"/>
      <c r="BY721" s="672"/>
      <c r="BZ721" s="672"/>
      <c r="CA721" s="672"/>
      <c r="CB721" s="672"/>
      <c r="CC721" s="672"/>
      <c r="CD721" s="672"/>
      <c r="CE721" s="672"/>
      <c r="CF721" s="672"/>
      <c r="CG721" s="240"/>
      <c r="CH721" s="240"/>
      <c r="CI721" s="240"/>
      <c r="CJ721" s="240"/>
      <c r="CK721" s="240"/>
      <c r="CL721" s="728"/>
      <c r="CM721" s="728"/>
      <c r="CN721" s="195"/>
      <c r="CO721" s="195"/>
      <c r="CP721" s="195"/>
      <c r="CQ721" s="195"/>
      <c r="CR721" s="195"/>
      <c r="CS721" s="195"/>
      <c r="CT721" s="195"/>
      <c r="CU721" s="195"/>
      <c r="CV721" s="195"/>
      <c r="CW721" s="195"/>
      <c r="CX721" s="195"/>
      <c r="CY721" s="195"/>
      <c r="CZ721" s="195"/>
      <c r="DA721" s="195"/>
      <c r="DB721" s="195"/>
      <c r="DC721" s="195"/>
      <c r="DD721" s="195"/>
      <c r="DE721" s="195"/>
      <c r="DF721" s="195"/>
      <c r="DG721" s="1"/>
      <c r="DH721" s="3"/>
      <c r="DL721" s="4"/>
      <c r="DM721" s="4"/>
      <c r="DQ721" s="195"/>
      <c r="DR721" s="195"/>
      <c r="DS721" s="195"/>
      <c r="DT721" s="195"/>
      <c r="DU721" s="195"/>
      <c r="DV721" s="195"/>
      <c r="DW721" s="195"/>
      <c r="DX721" s="195"/>
      <c r="DY721" s="195"/>
      <c r="DZ721" s="195"/>
      <c r="EA721" s="195"/>
      <c r="EB721" s="195"/>
      <c r="EC721" s="195"/>
      <c r="ED721" s="195"/>
      <c r="EE721" s="195"/>
      <c r="EF721" s="195"/>
      <c r="EG721" s="195"/>
      <c r="EL721" s="1"/>
      <c r="EM721" s="195"/>
      <c r="EN721" s="240"/>
      <c r="EO721" s="240"/>
      <c r="EP721" s="195"/>
      <c r="EQ721" s="240"/>
      <c r="ER721" s="195"/>
      <c r="ES721" s="195"/>
      <c r="ET721" s="195"/>
      <c r="EU721" s="736"/>
    </row>
    <row r="722" customFormat="false" ht="12.75" hidden="false" customHeight="false" outlineLevel="0" collapsed="false">
      <c r="I722" s="735"/>
      <c r="J722" s="728"/>
      <c r="K722" s="195"/>
      <c r="L722" s="195"/>
      <c r="Q722" s="195"/>
      <c r="R722" s="195"/>
      <c r="S722" s="240"/>
      <c r="T722" s="195"/>
      <c r="U722" s="195"/>
      <c r="V722" s="195"/>
      <c r="W722" s="195"/>
      <c r="X722" s="195"/>
      <c r="Y722" s="195"/>
      <c r="Z722" s="195"/>
      <c r="AA722" s="195"/>
      <c r="AB722" s="195"/>
      <c r="AC722" s="195"/>
      <c r="AD722" s="195"/>
      <c r="AE722" s="195"/>
      <c r="AF722" s="195"/>
      <c r="AG722" s="195"/>
      <c r="AH722" s="195"/>
      <c r="AI722" s="195"/>
      <c r="AJ722" s="195"/>
      <c r="AK722" s="195"/>
      <c r="AL722" s="195"/>
      <c r="AM722" s="1"/>
      <c r="AN722" s="240"/>
      <c r="AO722" s="240"/>
      <c r="AP722" s="240"/>
      <c r="AQ722" s="240"/>
      <c r="AR722" s="240"/>
      <c r="AS722" s="730"/>
      <c r="AT722" s="730"/>
      <c r="AU722" s="730"/>
      <c r="AV722" s="738"/>
      <c r="AW722" s="738"/>
      <c r="AX722" s="240"/>
      <c r="AY722" s="240"/>
      <c r="AZ722" s="240"/>
      <c r="BA722" s="240"/>
      <c r="BB722" s="240"/>
      <c r="BC722" s="240"/>
      <c r="BD722" s="672"/>
      <c r="BE722" s="731"/>
      <c r="BF722" s="731"/>
      <c r="BG722" s="731"/>
      <c r="BH722" s="672"/>
      <c r="BI722" s="732"/>
      <c r="BJ722" s="240"/>
      <c r="BK722" s="240"/>
      <c r="BL722" s="240"/>
      <c r="BM722" s="240"/>
      <c r="BN722" s="240"/>
      <c r="BO722" s="240"/>
      <c r="BP722" s="240"/>
      <c r="BQ722" s="240"/>
      <c r="BR722" s="240"/>
      <c r="BS722" s="240"/>
      <c r="BT722" s="240"/>
      <c r="BU722" s="240"/>
      <c r="BV722" s="240"/>
      <c r="BW722" s="672"/>
      <c r="BX722" s="672"/>
      <c r="BY722" s="672"/>
      <c r="BZ722" s="672"/>
      <c r="CA722" s="672"/>
      <c r="CB722" s="672"/>
      <c r="CC722" s="672"/>
      <c r="CD722" s="672"/>
      <c r="CE722" s="672"/>
      <c r="CF722" s="672"/>
      <c r="CG722" s="240"/>
      <c r="CH722" s="240"/>
      <c r="CI722" s="240"/>
      <c r="CJ722" s="240"/>
      <c r="CK722" s="240"/>
      <c r="CL722" s="728"/>
      <c r="CM722" s="728"/>
      <c r="CN722" s="195"/>
      <c r="CO722" s="195"/>
      <c r="CP722" s="195"/>
      <c r="CQ722" s="195"/>
      <c r="CR722" s="195"/>
      <c r="CS722" s="195"/>
      <c r="CT722" s="195"/>
      <c r="CU722" s="195"/>
      <c r="CV722" s="195"/>
      <c r="CW722" s="195"/>
      <c r="CX722" s="195"/>
      <c r="CY722" s="195"/>
      <c r="CZ722" s="195"/>
      <c r="DA722" s="195"/>
      <c r="DB722" s="195"/>
      <c r="DC722" s="195"/>
      <c r="DD722" s="195"/>
      <c r="DE722" s="195"/>
      <c r="DF722" s="195"/>
      <c r="DG722" s="1"/>
      <c r="DH722" s="3"/>
      <c r="DL722" s="4"/>
      <c r="DM722" s="4"/>
      <c r="DQ722" s="195"/>
      <c r="DR722" s="195"/>
      <c r="DS722" s="195"/>
      <c r="DT722" s="195"/>
      <c r="DU722" s="195"/>
      <c r="DV722" s="195"/>
      <c r="DW722" s="195"/>
      <c r="DX722" s="195"/>
      <c r="DY722" s="195"/>
      <c r="DZ722" s="195"/>
      <c r="EA722" s="195"/>
      <c r="EB722" s="195"/>
      <c r="EC722" s="195"/>
      <c r="ED722" s="195"/>
      <c r="EE722" s="195"/>
      <c r="EF722" s="195"/>
      <c r="EG722" s="195"/>
      <c r="EL722" s="1"/>
      <c r="EM722" s="195"/>
      <c r="EN722" s="240"/>
      <c r="EO722" s="240"/>
      <c r="EP722" s="195"/>
      <c r="EQ722" s="240"/>
      <c r="ER722" s="195"/>
      <c r="ES722" s="195"/>
      <c r="ET722" s="195"/>
      <c r="EU722" s="736"/>
    </row>
    <row r="723" customFormat="false" ht="12.75" hidden="false" customHeight="false" outlineLevel="0" collapsed="false">
      <c r="I723" s="735"/>
      <c r="J723" s="728"/>
      <c r="K723" s="195"/>
      <c r="L723" s="195"/>
      <c r="Q723" s="195"/>
      <c r="R723" s="195"/>
      <c r="S723" s="240"/>
      <c r="T723" s="195"/>
      <c r="U723" s="195"/>
      <c r="V723" s="195"/>
      <c r="W723" s="195"/>
      <c r="X723" s="195"/>
      <c r="Y723" s="195"/>
      <c r="Z723" s="195"/>
      <c r="AA723" s="195"/>
      <c r="AB723" s="195"/>
      <c r="AC723" s="195"/>
      <c r="AD723" s="195"/>
      <c r="AE723" s="195"/>
      <c r="AF723" s="195"/>
      <c r="AG723" s="195"/>
      <c r="AH723" s="195"/>
      <c r="AI723" s="195"/>
      <c r="AJ723" s="195"/>
      <c r="AK723" s="195"/>
      <c r="AL723" s="195"/>
      <c r="AM723" s="1"/>
      <c r="AN723" s="240"/>
      <c r="AO723" s="240"/>
      <c r="AP723" s="240"/>
      <c r="AQ723" s="240"/>
      <c r="AR723" s="240"/>
      <c r="AS723" s="730"/>
      <c r="AT723" s="730"/>
      <c r="AU723" s="730"/>
      <c r="AV723" s="738"/>
      <c r="AW723" s="738"/>
      <c r="AX723" s="240"/>
      <c r="AY723" s="240"/>
      <c r="AZ723" s="240"/>
      <c r="BA723" s="240"/>
      <c r="BB723" s="240"/>
      <c r="BC723" s="240"/>
      <c r="BD723" s="672"/>
      <c r="BE723" s="731"/>
      <c r="BF723" s="731"/>
      <c r="BG723" s="731"/>
      <c r="BH723" s="672"/>
      <c r="BI723" s="732"/>
      <c r="BJ723" s="240"/>
      <c r="BK723" s="240"/>
      <c r="BL723" s="240"/>
      <c r="BM723" s="240"/>
      <c r="BN723" s="240"/>
      <c r="BO723" s="240"/>
      <c r="BP723" s="240"/>
      <c r="BQ723" s="240"/>
      <c r="BR723" s="240"/>
      <c r="BS723" s="240"/>
      <c r="BT723" s="240"/>
      <c r="BU723" s="240"/>
      <c r="BV723" s="240"/>
      <c r="BW723" s="672"/>
      <c r="BX723" s="672"/>
      <c r="BY723" s="672"/>
      <c r="BZ723" s="672"/>
      <c r="CA723" s="672"/>
      <c r="CB723" s="672"/>
      <c r="CC723" s="672"/>
      <c r="CD723" s="672"/>
      <c r="CE723" s="672"/>
      <c r="CF723" s="672"/>
      <c r="CG723" s="240"/>
      <c r="CH723" s="240"/>
      <c r="CI723" s="240"/>
      <c r="CJ723" s="240"/>
      <c r="CK723" s="240"/>
      <c r="CL723" s="728"/>
      <c r="CM723" s="728"/>
      <c r="CN723" s="195"/>
      <c r="CO723" s="195"/>
      <c r="CP723" s="195"/>
      <c r="CQ723" s="195"/>
      <c r="CR723" s="195"/>
      <c r="CS723" s="195"/>
      <c r="CT723" s="195"/>
      <c r="CU723" s="195"/>
      <c r="CV723" s="195"/>
      <c r="CW723" s="195"/>
      <c r="CX723" s="195"/>
      <c r="CY723" s="195"/>
      <c r="CZ723" s="195"/>
      <c r="DA723" s="195"/>
      <c r="DB723" s="195"/>
      <c r="DC723" s="195"/>
      <c r="DD723" s="195"/>
      <c r="DE723" s="195"/>
      <c r="DF723" s="195"/>
      <c r="DG723" s="1"/>
      <c r="DH723" s="3"/>
      <c r="DL723" s="4"/>
      <c r="DM723" s="4"/>
      <c r="DQ723" s="195"/>
      <c r="DR723" s="195"/>
      <c r="DS723" s="195"/>
      <c r="DT723" s="195"/>
      <c r="DU723" s="195"/>
      <c r="DV723" s="195"/>
      <c r="DW723" s="195"/>
      <c r="DX723" s="195"/>
      <c r="DY723" s="195"/>
      <c r="DZ723" s="195"/>
      <c r="EA723" s="195"/>
      <c r="EB723" s="195"/>
      <c r="EC723" s="195"/>
      <c r="ED723" s="195"/>
      <c r="EE723" s="195"/>
      <c r="EF723" s="195"/>
      <c r="EG723" s="195"/>
      <c r="EL723" s="1"/>
      <c r="EM723" s="195"/>
      <c r="EN723" s="240"/>
      <c r="EO723" s="240"/>
      <c r="EP723" s="195"/>
      <c r="EQ723" s="240"/>
      <c r="ER723" s="195"/>
      <c r="ES723" s="195"/>
      <c r="ET723" s="195"/>
      <c r="EU723" s="736"/>
    </row>
    <row r="724" customFormat="false" ht="12.75" hidden="false" customHeight="false" outlineLevel="0" collapsed="false">
      <c r="I724" s="735"/>
      <c r="J724" s="728"/>
      <c r="K724" s="195"/>
      <c r="L724" s="195"/>
      <c r="Q724" s="195"/>
      <c r="R724" s="195"/>
      <c r="S724" s="240"/>
      <c r="T724" s="195"/>
      <c r="U724" s="195"/>
      <c r="V724" s="195"/>
      <c r="W724" s="195"/>
      <c r="X724" s="195"/>
      <c r="Y724" s="195"/>
      <c r="Z724" s="195"/>
      <c r="AA724" s="195"/>
      <c r="AB724" s="195"/>
      <c r="AC724" s="195"/>
      <c r="AD724" s="195"/>
      <c r="AE724" s="195"/>
      <c r="AF724" s="195"/>
      <c r="AG724" s="195"/>
      <c r="AH724" s="195"/>
      <c r="AI724" s="195"/>
      <c r="AJ724" s="195"/>
      <c r="AK724" s="195"/>
      <c r="AL724" s="195"/>
      <c r="AM724" s="1"/>
      <c r="AN724" s="240"/>
      <c r="AO724" s="240"/>
      <c r="AP724" s="240"/>
      <c r="AQ724" s="240"/>
      <c r="AR724" s="240"/>
      <c r="AS724" s="730"/>
      <c r="AT724" s="730"/>
      <c r="AU724" s="730"/>
      <c r="AV724" s="738"/>
      <c r="AW724" s="738"/>
      <c r="AX724" s="240"/>
      <c r="AY724" s="240"/>
      <c r="AZ724" s="240"/>
      <c r="BA724" s="240"/>
      <c r="BB724" s="240"/>
      <c r="BC724" s="240"/>
      <c r="BD724" s="672"/>
      <c r="BE724" s="731"/>
      <c r="BF724" s="731"/>
      <c r="BG724" s="731"/>
      <c r="BH724" s="672"/>
      <c r="BI724" s="732"/>
      <c r="BJ724" s="240"/>
      <c r="BK724" s="240"/>
      <c r="BL724" s="240"/>
      <c r="BM724" s="240"/>
      <c r="BN724" s="240"/>
      <c r="BO724" s="240"/>
      <c r="BP724" s="240"/>
      <c r="BQ724" s="240"/>
      <c r="BR724" s="240"/>
      <c r="BS724" s="240"/>
      <c r="BT724" s="240"/>
      <c r="BU724" s="240"/>
      <c r="BV724" s="240"/>
      <c r="BW724" s="672"/>
      <c r="BX724" s="672"/>
      <c r="BY724" s="672"/>
      <c r="BZ724" s="672"/>
      <c r="CA724" s="672"/>
      <c r="CB724" s="672"/>
      <c r="CC724" s="672"/>
      <c r="CD724" s="672"/>
      <c r="CE724" s="672"/>
      <c r="CF724" s="672"/>
      <c r="CG724" s="240"/>
      <c r="CH724" s="240"/>
      <c r="CI724" s="240"/>
      <c r="CJ724" s="240"/>
      <c r="CK724" s="240"/>
      <c r="CL724" s="728"/>
      <c r="CM724" s="728"/>
      <c r="CN724" s="195"/>
      <c r="CO724" s="195"/>
      <c r="CP724" s="195"/>
      <c r="CQ724" s="195"/>
      <c r="CR724" s="195"/>
      <c r="CS724" s="195"/>
      <c r="CT724" s="195"/>
      <c r="CU724" s="195"/>
      <c r="CV724" s="195"/>
      <c r="CW724" s="195"/>
      <c r="CX724" s="195"/>
      <c r="CY724" s="195"/>
      <c r="CZ724" s="195"/>
      <c r="DA724" s="195"/>
      <c r="DB724" s="195"/>
      <c r="DC724" s="195"/>
      <c r="DD724" s="195"/>
      <c r="DE724" s="195"/>
      <c r="DF724" s="195"/>
      <c r="DG724" s="1"/>
      <c r="DH724" s="3"/>
      <c r="DL724" s="4"/>
      <c r="DM724" s="4"/>
      <c r="DQ724" s="195"/>
      <c r="DR724" s="195"/>
      <c r="DS724" s="195"/>
      <c r="DT724" s="195"/>
      <c r="DU724" s="195"/>
      <c r="DV724" s="195"/>
      <c r="DW724" s="195"/>
      <c r="DX724" s="195"/>
      <c r="DY724" s="195"/>
      <c r="DZ724" s="195"/>
      <c r="EA724" s="195"/>
      <c r="EB724" s="195"/>
      <c r="EC724" s="195"/>
      <c r="ED724" s="195"/>
      <c r="EE724" s="195"/>
      <c r="EF724" s="195"/>
      <c r="EG724" s="195"/>
      <c r="EL724" s="1"/>
      <c r="EM724" s="195"/>
      <c r="EN724" s="240"/>
      <c r="EO724" s="240"/>
      <c r="EP724" s="195"/>
      <c r="EQ724" s="240"/>
      <c r="ER724" s="195"/>
      <c r="ES724" s="195"/>
      <c r="ET724" s="195"/>
      <c r="EU724" s="736"/>
    </row>
    <row r="725" customFormat="false" ht="12.75" hidden="false" customHeight="false" outlineLevel="0" collapsed="false">
      <c r="I725" s="735"/>
      <c r="J725" s="728"/>
      <c r="K725" s="195"/>
      <c r="L725" s="195"/>
      <c r="Q725" s="195"/>
      <c r="R725" s="195"/>
      <c r="S725" s="240"/>
      <c r="T725" s="195"/>
      <c r="U725" s="195"/>
      <c r="V725" s="195"/>
      <c r="W725" s="195"/>
      <c r="X725" s="195"/>
      <c r="Y725" s="195"/>
      <c r="Z725" s="195"/>
      <c r="AA725" s="195"/>
      <c r="AB725" s="195"/>
      <c r="AC725" s="195"/>
      <c r="AD725" s="195"/>
      <c r="AE725" s="195"/>
      <c r="AF725" s="195"/>
      <c r="AG725" s="195"/>
      <c r="AH725" s="195"/>
      <c r="AI725" s="195"/>
      <c r="AJ725" s="195"/>
      <c r="AK725" s="195"/>
      <c r="AL725" s="195"/>
      <c r="AM725" s="1"/>
      <c r="AN725" s="240"/>
      <c r="AO725" s="240"/>
      <c r="AP725" s="240"/>
      <c r="AQ725" s="240"/>
      <c r="AR725" s="240"/>
      <c r="AS725" s="730"/>
      <c r="AT725" s="730"/>
      <c r="AU725" s="730"/>
      <c r="AV725" s="738"/>
      <c r="AW725" s="738"/>
      <c r="AX725" s="240"/>
      <c r="AY725" s="240"/>
      <c r="AZ725" s="240"/>
      <c r="BA725" s="240"/>
      <c r="BB725" s="240"/>
      <c r="BC725" s="240"/>
      <c r="BD725" s="672"/>
      <c r="BE725" s="731"/>
      <c r="BF725" s="731"/>
      <c r="BG725" s="731"/>
      <c r="BH725" s="672"/>
      <c r="BI725" s="732"/>
      <c r="BJ725" s="240"/>
      <c r="BK725" s="240"/>
      <c r="BL725" s="240"/>
      <c r="BM725" s="240"/>
      <c r="BN725" s="240"/>
      <c r="BO725" s="240"/>
      <c r="BP725" s="240"/>
      <c r="BQ725" s="240"/>
      <c r="BR725" s="240"/>
      <c r="BS725" s="240"/>
      <c r="BT725" s="240"/>
      <c r="BU725" s="240"/>
      <c r="BV725" s="240"/>
      <c r="BW725" s="672"/>
      <c r="BX725" s="672"/>
      <c r="BY725" s="672"/>
      <c r="BZ725" s="672"/>
      <c r="CA725" s="672"/>
      <c r="CB725" s="672"/>
      <c r="CC725" s="672"/>
      <c r="CD725" s="672"/>
      <c r="CE725" s="672"/>
      <c r="CF725" s="672"/>
      <c r="CG725" s="240"/>
      <c r="CH725" s="240"/>
      <c r="CI725" s="240"/>
      <c r="CJ725" s="240"/>
      <c r="CK725" s="240"/>
      <c r="CL725" s="728"/>
      <c r="CM725" s="728"/>
      <c r="CN725" s="195"/>
      <c r="CO725" s="195"/>
      <c r="CP725" s="195"/>
      <c r="CQ725" s="195"/>
      <c r="CR725" s="195"/>
      <c r="CS725" s="195"/>
      <c r="CT725" s="195"/>
      <c r="CU725" s="195"/>
      <c r="CV725" s="195"/>
      <c r="CW725" s="195"/>
      <c r="CX725" s="195"/>
      <c r="CY725" s="195"/>
      <c r="CZ725" s="195"/>
      <c r="DA725" s="195"/>
      <c r="DB725" s="195"/>
      <c r="DC725" s="195"/>
      <c r="DD725" s="195"/>
      <c r="DE725" s="195"/>
      <c r="DF725" s="195"/>
      <c r="DG725" s="1"/>
      <c r="DH725" s="3"/>
      <c r="DL725" s="4"/>
      <c r="DM725" s="4"/>
      <c r="DQ725" s="195"/>
      <c r="DR725" s="195"/>
      <c r="DS725" s="195"/>
      <c r="DT725" s="195"/>
      <c r="DU725" s="195"/>
      <c r="DV725" s="195"/>
      <c r="DW725" s="195"/>
      <c r="DX725" s="195"/>
      <c r="DY725" s="195"/>
      <c r="DZ725" s="195"/>
      <c r="EA725" s="195"/>
      <c r="EB725" s="195"/>
      <c r="EC725" s="195"/>
      <c r="ED725" s="195"/>
      <c r="EE725" s="195"/>
      <c r="EF725" s="195"/>
      <c r="EG725" s="195"/>
      <c r="EL725" s="1"/>
      <c r="EM725" s="195"/>
      <c r="EN725" s="240"/>
      <c r="EO725" s="240"/>
      <c r="EP725" s="195"/>
      <c r="EQ725" s="240"/>
      <c r="ER725" s="195"/>
      <c r="ES725" s="195"/>
      <c r="ET725" s="195"/>
      <c r="EU725" s="736"/>
    </row>
    <row r="726" customFormat="false" ht="12.75" hidden="false" customHeight="false" outlineLevel="0" collapsed="false">
      <c r="I726" s="735"/>
      <c r="J726" s="728"/>
      <c r="K726" s="195"/>
      <c r="L726" s="195"/>
      <c r="Q726" s="195"/>
      <c r="R726" s="195"/>
      <c r="S726" s="240"/>
      <c r="T726" s="195"/>
      <c r="U726" s="195"/>
      <c r="V726" s="195"/>
      <c r="W726" s="195"/>
      <c r="X726" s="195"/>
      <c r="Y726" s="195"/>
      <c r="Z726" s="195"/>
      <c r="AA726" s="195"/>
      <c r="AB726" s="195"/>
      <c r="AC726" s="195"/>
      <c r="AD726" s="195"/>
      <c r="AE726" s="195"/>
      <c r="AF726" s="195"/>
      <c r="AG726" s="195"/>
      <c r="AH726" s="195"/>
      <c r="AI726" s="195"/>
      <c r="AJ726" s="195"/>
      <c r="AK726" s="195"/>
      <c r="AL726" s="195"/>
      <c r="AM726" s="1"/>
      <c r="AN726" s="240"/>
      <c r="AO726" s="240"/>
      <c r="AP726" s="240"/>
      <c r="AQ726" s="240"/>
      <c r="AR726" s="240"/>
      <c r="AS726" s="730"/>
      <c r="AT726" s="730"/>
      <c r="AU726" s="730"/>
      <c r="AV726" s="738"/>
      <c r="AW726" s="738"/>
      <c r="AX726" s="240"/>
      <c r="AY726" s="240"/>
      <c r="AZ726" s="240"/>
      <c r="BA726" s="240"/>
      <c r="BB726" s="240"/>
      <c r="BC726" s="240"/>
      <c r="BD726" s="672"/>
      <c r="BE726" s="731"/>
      <c r="BF726" s="731"/>
      <c r="BG726" s="731"/>
      <c r="BH726" s="672"/>
      <c r="BI726" s="732"/>
      <c r="BJ726" s="240"/>
      <c r="BK726" s="240"/>
      <c r="BL726" s="240"/>
      <c r="BM726" s="240"/>
      <c r="BN726" s="240"/>
      <c r="BO726" s="240"/>
      <c r="BP726" s="240"/>
      <c r="BQ726" s="240"/>
      <c r="BR726" s="240"/>
      <c r="BS726" s="240"/>
      <c r="BT726" s="240"/>
      <c r="BU726" s="240"/>
      <c r="BV726" s="240"/>
      <c r="BW726" s="672"/>
      <c r="BX726" s="672"/>
      <c r="BY726" s="672"/>
      <c r="BZ726" s="672"/>
      <c r="CA726" s="672"/>
      <c r="CB726" s="672"/>
      <c r="CC726" s="672"/>
      <c r="CD726" s="672"/>
      <c r="CE726" s="672"/>
      <c r="CF726" s="672"/>
      <c r="CG726" s="240"/>
      <c r="CH726" s="240"/>
      <c r="CI726" s="240"/>
      <c r="CJ726" s="240"/>
      <c r="CK726" s="240"/>
      <c r="CL726" s="728"/>
      <c r="CM726" s="728"/>
      <c r="CN726" s="195"/>
      <c r="CO726" s="195"/>
      <c r="CP726" s="195"/>
      <c r="CQ726" s="195"/>
      <c r="CR726" s="195"/>
      <c r="CS726" s="195"/>
      <c r="CT726" s="195"/>
      <c r="CU726" s="195"/>
      <c r="CV726" s="195"/>
      <c r="CW726" s="195"/>
      <c r="CX726" s="195"/>
      <c r="CY726" s="195"/>
      <c r="CZ726" s="195"/>
      <c r="DA726" s="195"/>
      <c r="DB726" s="195"/>
      <c r="DC726" s="195"/>
      <c r="DD726" s="195"/>
      <c r="DE726" s="195"/>
      <c r="DF726" s="195"/>
      <c r="DG726" s="1"/>
      <c r="DH726" s="3"/>
      <c r="DL726" s="4"/>
      <c r="DM726" s="4"/>
      <c r="DQ726" s="195"/>
      <c r="DR726" s="195"/>
      <c r="DS726" s="195"/>
      <c r="DT726" s="195"/>
      <c r="DU726" s="195"/>
      <c r="DV726" s="195"/>
      <c r="DW726" s="195"/>
      <c r="DX726" s="195"/>
      <c r="DY726" s="195"/>
      <c r="DZ726" s="195"/>
      <c r="EA726" s="195"/>
      <c r="EB726" s="195"/>
      <c r="EC726" s="195"/>
      <c r="ED726" s="195"/>
      <c r="EE726" s="195"/>
      <c r="EF726" s="195"/>
      <c r="EG726" s="195"/>
      <c r="EL726" s="1"/>
      <c r="EM726" s="195"/>
      <c r="EN726" s="240"/>
      <c r="EO726" s="240"/>
      <c r="EP726" s="195"/>
      <c r="EQ726" s="240"/>
      <c r="ER726" s="195"/>
      <c r="ES726" s="195"/>
      <c r="ET726" s="195"/>
      <c r="EU726" s="736"/>
    </row>
    <row r="727" customFormat="false" ht="12.75" hidden="false" customHeight="false" outlineLevel="0" collapsed="false">
      <c r="I727" s="735"/>
      <c r="J727" s="728"/>
      <c r="K727" s="195"/>
      <c r="L727" s="195"/>
      <c r="Q727" s="195"/>
      <c r="R727" s="195"/>
      <c r="S727" s="240"/>
      <c r="T727" s="195"/>
      <c r="U727" s="195"/>
      <c r="V727" s="195"/>
      <c r="W727" s="195"/>
      <c r="X727" s="195"/>
      <c r="Y727" s="195"/>
      <c r="Z727" s="195"/>
      <c r="AA727" s="195"/>
      <c r="AB727" s="195"/>
      <c r="AC727" s="195"/>
      <c r="AD727" s="195"/>
      <c r="AE727" s="195"/>
      <c r="AF727" s="195"/>
      <c r="AG727" s="195"/>
      <c r="AH727" s="195"/>
      <c r="AI727" s="195"/>
      <c r="AJ727" s="195"/>
      <c r="AK727" s="195"/>
      <c r="AL727" s="195"/>
      <c r="AM727" s="1"/>
      <c r="AN727" s="240"/>
      <c r="AO727" s="240"/>
      <c r="AP727" s="240"/>
      <c r="AQ727" s="240"/>
      <c r="AR727" s="240"/>
      <c r="AS727" s="730"/>
      <c r="AT727" s="730"/>
      <c r="AU727" s="730"/>
      <c r="AV727" s="738"/>
      <c r="AW727" s="738"/>
      <c r="AX727" s="240"/>
      <c r="AY727" s="240"/>
      <c r="AZ727" s="240"/>
      <c r="BA727" s="240"/>
      <c r="BB727" s="240"/>
      <c r="BC727" s="240"/>
      <c r="BD727" s="672"/>
      <c r="BE727" s="731"/>
      <c r="BF727" s="731"/>
      <c r="BG727" s="731"/>
      <c r="BH727" s="672"/>
      <c r="BI727" s="732"/>
      <c r="BJ727" s="240"/>
      <c r="BK727" s="240"/>
      <c r="BL727" s="240"/>
      <c r="BM727" s="240"/>
      <c r="BN727" s="240"/>
      <c r="BO727" s="240"/>
      <c r="BP727" s="240"/>
      <c r="BQ727" s="240"/>
      <c r="BR727" s="240"/>
      <c r="BS727" s="240"/>
      <c r="BT727" s="240"/>
      <c r="BU727" s="240"/>
      <c r="BV727" s="240"/>
      <c r="BW727" s="672"/>
      <c r="BX727" s="672"/>
      <c r="BY727" s="672"/>
      <c r="BZ727" s="672"/>
      <c r="CA727" s="672"/>
      <c r="CB727" s="672"/>
      <c r="CC727" s="672"/>
      <c r="CD727" s="672"/>
      <c r="CE727" s="672"/>
      <c r="CF727" s="672"/>
      <c r="CG727" s="240"/>
      <c r="CH727" s="240"/>
      <c r="CI727" s="240"/>
      <c r="CJ727" s="240"/>
      <c r="CK727" s="240"/>
      <c r="CL727" s="728"/>
      <c r="CM727" s="728"/>
      <c r="CN727" s="195"/>
      <c r="CO727" s="195"/>
      <c r="CP727" s="195"/>
      <c r="CQ727" s="195"/>
      <c r="CR727" s="195"/>
      <c r="CS727" s="195"/>
      <c r="CT727" s="195"/>
      <c r="CU727" s="195"/>
      <c r="CV727" s="195"/>
      <c r="CW727" s="195"/>
      <c r="CX727" s="195"/>
      <c r="CY727" s="195"/>
      <c r="CZ727" s="195"/>
      <c r="DA727" s="195"/>
      <c r="DB727" s="195"/>
      <c r="DC727" s="195"/>
      <c r="DD727" s="195"/>
      <c r="DE727" s="195"/>
      <c r="DF727" s="195"/>
      <c r="DG727" s="1"/>
      <c r="DH727" s="3"/>
      <c r="DL727" s="4"/>
      <c r="DM727" s="4"/>
      <c r="DQ727" s="195"/>
      <c r="DR727" s="195"/>
      <c r="DS727" s="195"/>
      <c r="DT727" s="195"/>
      <c r="DU727" s="195"/>
      <c r="DV727" s="195"/>
      <c r="DW727" s="195"/>
      <c r="DX727" s="195"/>
      <c r="DY727" s="195"/>
      <c r="DZ727" s="195"/>
      <c r="EA727" s="195"/>
      <c r="EB727" s="195"/>
      <c r="EC727" s="195"/>
      <c r="ED727" s="195"/>
      <c r="EE727" s="195"/>
      <c r="EF727" s="195"/>
      <c r="EG727" s="195"/>
      <c r="EL727" s="1"/>
      <c r="EM727" s="195"/>
      <c r="EN727" s="240"/>
      <c r="EO727" s="240"/>
      <c r="EP727" s="195"/>
      <c r="EQ727" s="240"/>
      <c r="ER727" s="195"/>
      <c r="ES727" s="195"/>
      <c r="ET727" s="195"/>
      <c r="EU727" s="736"/>
    </row>
    <row r="728" customFormat="false" ht="12.75" hidden="false" customHeight="false" outlineLevel="0" collapsed="false">
      <c r="I728" s="735"/>
      <c r="J728" s="728"/>
      <c r="K728" s="195"/>
      <c r="L728" s="195"/>
      <c r="Q728" s="195"/>
      <c r="R728" s="195"/>
      <c r="S728" s="240"/>
      <c r="T728" s="195"/>
      <c r="U728" s="195"/>
      <c r="V728" s="195"/>
      <c r="W728" s="195"/>
      <c r="X728" s="195"/>
      <c r="Y728" s="195"/>
      <c r="Z728" s="195"/>
      <c r="AA728" s="195"/>
      <c r="AB728" s="195"/>
      <c r="AC728" s="195"/>
      <c r="AD728" s="195"/>
      <c r="AE728" s="195"/>
      <c r="AF728" s="195"/>
      <c r="AG728" s="195"/>
      <c r="AH728" s="195"/>
      <c r="AI728" s="195"/>
      <c r="AJ728" s="195"/>
      <c r="AK728" s="195"/>
      <c r="AL728" s="195"/>
      <c r="AM728" s="1"/>
      <c r="AN728" s="240"/>
      <c r="AO728" s="240"/>
      <c r="AP728" s="240"/>
      <c r="AQ728" s="240"/>
      <c r="AR728" s="240"/>
      <c r="AS728" s="730"/>
      <c r="AT728" s="730"/>
      <c r="AU728" s="730"/>
      <c r="AV728" s="738"/>
      <c r="AW728" s="738"/>
      <c r="AX728" s="240"/>
      <c r="AY728" s="240"/>
      <c r="AZ728" s="240"/>
      <c r="BA728" s="240"/>
      <c r="BB728" s="240"/>
      <c r="BC728" s="240"/>
      <c r="BD728" s="672"/>
      <c r="BE728" s="731"/>
      <c r="BF728" s="731"/>
      <c r="BG728" s="731"/>
      <c r="BH728" s="672"/>
      <c r="BI728" s="732"/>
      <c r="BJ728" s="240"/>
      <c r="BK728" s="240"/>
      <c r="BL728" s="240"/>
      <c r="BM728" s="240"/>
      <c r="BN728" s="240"/>
      <c r="BO728" s="240"/>
      <c r="BP728" s="240"/>
      <c r="BQ728" s="240"/>
      <c r="BR728" s="240"/>
      <c r="BS728" s="240"/>
      <c r="BT728" s="240"/>
      <c r="BU728" s="240"/>
      <c r="BV728" s="240"/>
      <c r="BW728" s="672"/>
      <c r="BX728" s="672"/>
      <c r="BY728" s="672"/>
      <c r="BZ728" s="672"/>
      <c r="CA728" s="672"/>
      <c r="CB728" s="672"/>
      <c r="CC728" s="672"/>
      <c r="CD728" s="672"/>
      <c r="CE728" s="672"/>
      <c r="CF728" s="672"/>
      <c r="CG728" s="240"/>
      <c r="CH728" s="240"/>
      <c r="CI728" s="240"/>
      <c r="CJ728" s="240"/>
      <c r="CK728" s="240"/>
      <c r="CL728" s="728"/>
      <c r="CM728" s="728"/>
      <c r="CN728" s="195"/>
      <c r="CO728" s="195"/>
      <c r="CP728" s="195"/>
      <c r="CQ728" s="195"/>
      <c r="CR728" s="195"/>
      <c r="CS728" s="195"/>
      <c r="CT728" s="195"/>
      <c r="CU728" s="195"/>
      <c r="CV728" s="195"/>
      <c r="CW728" s="195"/>
      <c r="CX728" s="195"/>
      <c r="CY728" s="195"/>
      <c r="CZ728" s="195"/>
      <c r="DA728" s="195"/>
      <c r="DB728" s="195"/>
      <c r="DC728" s="195"/>
      <c r="DD728" s="195"/>
      <c r="DE728" s="195"/>
      <c r="DF728" s="195"/>
      <c r="DG728" s="1"/>
      <c r="DH728" s="3"/>
      <c r="DL728" s="4"/>
      <c r="DM728" s="4"/>
      <c r="DQ728" s="195"/>
      <c r="DR728" s="195"/>
      <c r="DS728" s="195"/>
      <c r="DT728" s="195"/>
      <c r="DU728" s="195"/>
      <c r="DV728" s="195"/>
      <c r="DW728" s="195"/>
      <c r="DX728" s="195"/>
      <c r="DY728" s="195"/>
      <c r="DZ728" s="195"/>
      <c r="EA728" s="195"/>
      <c r="EB728" s="195"/>
      <c r="EC728" s="195"/>
      <c r="ED728" s="195"/>
      <c r="EE728" s="195"/>
      <c r="EF728" s="195"/>
      <c r="EG728" s="195"/>
      <c r="EL728" s="1"/>
      <c r="EM728" s="195"/>
      <c r="EN728" s="240"/>
      <c r="EO728" s="240"/>
      <c r="EP728" s="195"/>
      <c r="EQ728" s="240"/>
      <c r="ER728" s="195"/>
      <c r="ES728" s="195"/>
      <c r="ET728" s="195"/>
      <c r="EU728" s="736"/>
    </row>
    <row r="729" customFormat="false" ht="12.75" hidden="false" customHeight="false" outlineLevel="0" collapsed="false">
      <c r="I729" s="735"/>
      <c r="J729" s="728"/>
      <c r="K729" s="195"/>
      <c r="L729" s="195"/>
      <c r="Q729" s="195"/>
      <c r="R729" s="195"/>
      <c r="S729" s="240"/>
      <c r="T729" s="195"/>
      <c r="U729" s="195"/>
      <c r="V729" s="195"/>
      <c r="W729" s="195"/>
      <c r="X729" s="195"/>
      <c r="Y729" s="195"/>
      <c r="Z729" s="195"/>
      <c r="AA729" s="195"/>
      <c r="AB729" s="195"/>
      <c r="AC729" s="195"/>
      <c r="AD729" s="195"/>
      <c r="AE729" s="195"/>
      <c r="AF729" s="195"/>
      <c r="AG729" s="195"/>
      <c r="AH729" s="195"/>
      <c r="AI729" s="195"/>
      <c r="AJ729" s="195"/>
      <c r="AK729" s="195"/>
      <c r="AL729" s="195"/>
      <c r="AM729" s="1"/>
      <c r="AN729" s="240"/>
      <c r="AO729" s="240"/>
      <c r="AP729" s="240"/>
      <c r="AQ729" s="240"/>
      <c r="AR729" s="240"/>
      <c r="AS729" s="730"/>
      <c r="AT729" s="730"/>
      <c r="AU729" s="730"/>
      <c r="AV729" s="738"/>
      <c r="AW729" s="738"/>
      <c r="AX729" s="240"/>
      <c r="AY729" s="240"/>
      <c r="AZ729" s="240"/>
      <c r="BA729" s="240"/>
      <c r="BB729" s="240"/>
      <c r="BC729" s="240"/>
      <c r="BD729" s="672"/>
      <c r="BE729" s="731"/>
      <c r="BF729" s="731"/>
      <c r="BG729" s="731"/>
      <c r="BH729" s="672"/>
      <c r="BI729" s="732"/>
      <c r="BJ729" s="240"/>
      <c r="BK729" s="240"/>
      <c r="BL729" s="240"/>
      <c r="BM729" s="240"/>
      <c r="BN729" s="240"/>
      <c r="BO729" s="240"/>
      <c r="BP729" s="240"/>
      <c r="BQ729" s="240"/>
      <c r="BR729" s="240"/>
      <c r="BS729" s="240"/>
      <c r="BT729" s="240"/>
      <c r="BU729" s="240"/>
      <c r="BV729" s="240"/>
      <c r="BW729" s="672"/>
      <c r="BX729" s="672"/>
      <c r="BY729" s="672"/>
      <c r="BZ729" s="672"/>
      <c r="CA729" s="672"/>
      <c r="CB729" s="672"/>
      <c r="CC729" s="672"/>
      <c r="CD729" s="672"/>
      <c r="CE729" s="672"/>
      <c r="CF729" s="672"/>
      <c r="CG729" s="240"/>
      <c r="CH729" s="240"/>
      <c r="CI729" s="240"/>
      <c r="CJ729" s="240"/>
      <c r="CK729" s="240"/>
      <c r="CL729" s="728"/>
      <c r="CM729" s="728"/>
      <c r="CN729" s="195"/>
      <c r="CO729" s="195"/>
      <c r="CP729" s="195"/>
      <c r="CQ729" s="195"/>
      <c r="CR729" s="195"/>
      <c r="CS729" s="195"/>
      <c r="CT729" s="195"/>
      <c r="CU729" s="195"/>
      <c r="CV729" s="195"/>
      <c r="CW729" s="195"/>
      <c r="CX729" s="195"/>
      <c r="CY729" s="195"/>
      <c r="CZ729" s="195"/>
      <c r="DA729" s="195"/>
      <c r="DB729" s="195"/>
      <c r="DC729" s="195"/>
      <c r="DD729" s="195"/>
      <c r="DE729" s="195"/>
      <c r="DF729" s="195"/>
      <c r="DG729" s="1"/>
      <c r="DH729" s="3"/>
      <c r="DL729" s="4"/>
      <c r="DM729" s="4"/>
      <c r="DQ729" s="195"/>
      <c r="DR729" s="195"/>
      <c r="DS729" s="195"/>
      <c r="DT729" s="195"/>
      <c r="DU729" s="195"/>
      <c r="DV729" s="195"/>
      <c r="DW729" s="195"/>
      <c r="DX729" s="195"/>
      <c r="DY729" s="195"/>
      <c r="DZ729" s="195"/>
      <c r="EA729" s="195"/>
      <c r="EB729" s="195"/>
      <c r="EC729" s="195"/>
      <c r="ED729" s="195"/>
      <c r="EE729" s="195"/>
      <c r="EF729" s="195"/>
      <c r="EG729" s="195"/>
      <c r="EL729" s="1"/>
      <c r="EM729" s="195"/>
      <c r="EN729" s="240"/>
      <c r="EO729" s="240"/>
      <c r="EP729" s="195"/>
      <c r="EQ729" s="240"/>
      <c r="ER729" s="195"/>
      <c r="ES729" s="195"/>
      <c r="ET729" s="195"/>
      <c r="EU729" s="736"/>
    </row>
    <row r="730" customFormat="false" ht="12.75" hidden="false" customHeight="false" outlineLevel="0" collapsed="false">
      <c r="I730" s="735"/>
      <c r="J730" s="728"/>
      <c r="K730" s="195"/>
      <c r="L730" s="195"/>
      <c r="Q730" s="195"/>
      <c r="R730" s="195"/>
      <c r="S730" s="240"/>
      <c r="T730" s="195"/>
      <c r="U730" s="195"/>
      <c r="V730" s="195"/>
      <c r="W730" s="195"/>
      <c r="X730" s="195"/>
      <c r="Y730" s="195"/>
      <c r="Z730" s="195"/>
      <c r="AA730" s="195"/>
      <c r="AB730" s="195"/>
      <c r="AC730" s="195"/>
      <c r="AD730" s="195"/>
      <c r="AE730" s="195"/>
      <c r="AF730" s="195"/>
      <c r="AG730" s="195"/>
      <c r="AH730" s="195"/>
      <c r="AI730" s="195"/>
      <c r="AJ730" s="195"/>
      <c r="AK730" s="195"/>
      <c r="AL730" s="195"/>
      <c r="AM730" s="1"/>
      <c r="AN730" s="240"/>
      <c r="AO730" s="240"/>
      <c r="AP730" s="240"/>
      <c r="AQ730" s="240"/>
      <c r="AR730" s="240"/>
      <c r="AS730" s="730"/>
      <c r="AT730" s="730"/>
      <c r="AU730" s="730"/>
      <c r="AV730" s="738"/>
      <c r="AW730" s="738"/>
      <c r="AX730" s="240"/>
      <c r="AY730" s="240"/>
      <c r="AZ730" s="240"/>
      <c r="BA730" s="240"/>
      <c r="BB730" s="240"/>
      <c r="BC730" s="240"/>
      <c r="BD730" s="672"/>
      <c r="BE730" s="731"/>
      <c r="BF730" s="731"/>
      <c r="BG730" s="731"/>
      <c r="BH730" s="672"/>
      <c r="BI730" s="732"/>
      <c r="BJ730" s="240"/>
      <c r="BK730" s="240"/>
      <c r="BL730" s="240"/>
      <c r="BM730" s="240"/>
      <c r="BN730" s="240"/>
      <c r="BO730" s="240"/>
      <c r="BP730" s="240"/>
      <c r="BQ730" s="240"/>
      <c r="BR730" s="240"/>
      <c r="BS730" s="240"/>
      <c r="BT730" s="240"/>
      <c r="BU730" s="240"/>
      <c r="BV730" s="240"/>
      <c r="BW730" s="672"/>
      <c r="BX730" s="672"/>
      <c r="BY730" s="672"/>
      <c r="BZ730" s="672"/>
      <c r="CA730" s="672"/>
      <c r="CB730" s="672"/>
      <c r="CC730" s="672"/>
      <c r="CD730" s="672"/>
      <c r="CE730" s="672"/>
      <c r="CF730" s="672"/>
      <c r="CG730" s="240"/>
      <c r="CH730" s="240"/>
      <c r="CI730" s="240"/>
      <c r="CJ730" s="240"/>
      <c r="CK730" s="240"/>
      <c r="CL730" s="728"/>
      <c r="CM730" s="728"/>
      <c r="CN730" s="195"/>
      <c r="CO730" s="195"/>
      <c r="CP730" s="195"/>
      <c r="CQ730" s="195"/>
      <c r="CR730" s="195"/>
      <c r="CS730" s="195"/>
      <c r="CT730" s="195"/>
      <c r="CU730" s="195"/>
      <c r="CV730" s="195"/>
      <c r="CW730" s="195"/>
      <c r="CX730" s="195"/>
      <c r="CY730" s="195"/>
      <c r="CZ730" s="195"/>
      <c r="DA730" s="195"/>
      <c r="DB730" s="195"/>
      <c r="DC730" s="195"/>
      <c r="DD730" s="195"/>
      <c r="DE730" s="195"/>
      <c r="DF730" s="195"/>
      <c r="DG730" s="1"/>
      <c r="DH730" s="3"/>
      <c r="DL730" s="4"/>
      <c r="DM730" s="4"/>
      <c r="DQ730" s="195"/>
      <c r="DR730" s="195"/>
      <c r="DS730" s="195"/>
      <c r="DT730" s="195"/>
      <c r="DU730" s="195"/>
      <c r="DV730" s="195"/>
      <c r="DW730" s="195"/>
      <c r="DX730" s="195"/>
      <c r="DY730" s="195"/>
      <c r="DZ730" s="195"/>
      <c r="EA730" s="195"/>
      <c r="EB730" s="195"/>
      <c r="EC730" s="195"/>
      <c r="ED730" s="195"/>
      <c r="EE730" s="195"/>
      <c r="EF730" s="195"/>
      <c r="EG730" s="195"/>
      <c r="EL730" s="1"/>
      <c r="EM730" s="195"/>
      <c r="EN730" s="240"/>
      <c r="EO730" s="240"/>
      <c r="EP730" s="195"/>
      <c r="EQ730" s="240"/>
      <c r="ER730" s="195"/>
      <c r="ES730" s="195"/>
      <c r="ET730" s="195"/>
      <c r="EU730" s="736"/>
    </row>
    <row r="731" customFormat="false" ht="12.75" hidden="false" customHeight="false" outlineLevel="0" collapsed="false">
      <c r="I731" s="735"/>
      <c r="J731" s="728"/>
      <c r="K731" s="195"/>
      <c r="L731" s="195"/>
      <c r="Q731" s="195"/>
      <c r="R731" s="195"/>
      <c r="S731" s="240"/>
      <c r="T731" s="195"/>
      <c r="U731" s="195"/>
      <c r="V731" s="195"/>
      <c r="W731" s="195"/>
      <c r="X731" s="195"/>
      <c r="Y731" s="195"/>
      <c r="Z731" s="195"/>
      <c r="AA731" s="195"/>
      <c r="AB731" s="195"/>
      <c r="AC731" s="195"/>
      <c r="AD731" s="195"/>
      <c r="AE731" s="195"/>
      <c r="AF731" s="195"/>
      <c r="AG731" s="195"/>
      <c r="AH731" s="195"/>
      <c r="AI731" s="195"/>
      <c r="AJ731" s="195"/>
      <c r="AK731" s="195"/>
      <c r="AL731" s="195"/>
      <c r="AM731" s="1"/>
      <c r="AN731" s="240"/>
      <c r="AO731" s="240"/>
      <c r="AP731" s="240"/>
      <c r="AQ731" s="240"/>
      <c r="AR731" s="240"/>
      <c r="AS731" s="730"/>
      <c r="AT731" s="730"/>
      <c r="AU731" s="730"/>
      <c r="AV731" s="738"/>
      <c r="AW731" s="738"/>
      <c r="AX731" s="240"/>
      <c r="AY731" s="240"/>
      <c r="AZ731" s="240"/>
      <c r="BA731" s="240"/>
      <c r="BB731" s="240"/>
      <c r="BC731" s="240"/>
      <c r="BD731" s="672"/>
      <c r="BE731" s="731"/>
      <c r="BF731" s="731"/>
      <c r="BG731" s="731"/>
      <c r="BH731" s="672"/>
      <c r="BI731" s="732"/>
      <c r="BJ731" s="240"/>
      <c r="BK731" s="240"/>
      <c r="BL731" s="240"/>
      <c r="BM731" s="240"/>
      <c r="BN731" s="240"/>
      <c r="BO731" s="240"/>
      <c r="BP731" s="240"/>
      <c r="BQ731" s="240"/>
      <c r="BR731" s="240"/>
      <c r="BS731" s="240"/>
      <c r="BT731" s="240"/>
      <c r="BU731" s="240"/>
      <c r="BV731" s="240"/>
      <c r="BW731" s="672"/>
      <c r="BX731" s="672"/>
      <c r="BY731" s="672"/>
      <c r="BZ731" s="672"/>
      <c r="CA731" s="672"/>
      <c r="CB731" s="672"/>
      <c r="CC731" s="672"/>
      <c r="CD731" s="672"/>
      <c r="CE731" s="672"/>
      <c r="CF731" s="672"/>
      <c r="CG731" s="240"/>
      <c r="CH731" s="240"/>
      <c r="CI731" s="240"/>
      <c r="CJ731" s="240"/>
      <c r="CK731" s="240"/>
      <c r="CL731" s="728"/>
      <c r="CM731" s="728"/>
      <c r="CN731" s="195"/>
      <c r="CO731" s="195"/>
      <c r="CP731" s="195"/>
      <c r="CQ731" s="195"/>
      <c r="CR731" s="195"/>
      <c r="CS731" s="195"/>
      <c r="CT731" s="195"/>
      <c r="CU731" s="195"/>
      <c r="CV731" s="195"/>
      <c r="CW731" s="195"/>
      <c r="CX731" s="195"/>
      <c r="CY731" s="195"/>
      <c r="CZ731" s="195"/>
      <c r="DA731" s="195"/>
      <c r="DB731" s="195"/>
      <c r="DC731" s="195"/>
      <c r="DD731" s="195"/>
      <c r="DE731" s="195"/>
      <c r="DF731" s="195"/>
      <c r="DG731" s="1"/>
      <c r="DH731" s="3"/>
      <c r="DL731" s="4"/>
      <c r="DM731" s="4"/>
      <c r="DQ731" s="195"/>
      <c r="DR731" s="195"/>
      <c r="DS731" s="195"/>
      <c r="DT731" s="195"/>
      <c r="DU731" s="195"/>
      <c r="DV731" s="195"/>
      <c r="DW731" s="195"/>
      <c r="DX731" s="195"/>
      <c r="DY731" s="195"/>
      <c r="DZ731" s="195"/>
      <c r="EA731" s="195"/>
      <c r="EB731" s="195"/>
      <c r="EC731" s="195"/>
      <c r="ED731" s="195"/>
      <c r="EE731" s="195"/>
      <c r="EF731" s="195"/>
      <c r="EG731" s="195"/>
      <c r="EL731" s="1"/>
      <c r="EM731" s="195"/>
      <c r="EN731" s="240"/>
      <c r="EO731" s="240"/>
      <c r="EP731" s="195"/>
      <c r="EQ731" s="240"/>
      <c r="ER731" s="195"/>
      <c r="ES731" s="195"/>
      <c r="ET731" s="195"/>
      <c r="EU731" s="736"/>
    </row>
    <row r="732" customFormat="false" ht="12.75" hidden="false" customHeight="false" outlineLevel="0" collapsed="false">
      <c r="I732" s="735"/>
      <c r="J732" s="728"/>
      <c r="K732" s="195"/>
      <c r="L732" s="195"/>
      <c r="Q732" s="195"/>
      <c r="R732" s="195"/>
      <c r="S732" s="240"/>
      <c r="T732" s="195"/>
      <c r="U732" s="195"/>
      <c r="V732" s="195"/>
      <c r="W732" s="195"/>
      <c r="X732" s="195"/>
      <c r="Y732" s="195"/>
      <c r="Z732" s="195"/>
      <c r="AA732" s="195"/>
      <c r="AB732" s="195"/>
      <c r="AC732" s="195"/>
      <c r="AD732" s="195"/>
      <c r="AE732" s="195"/>
      <c r="AF732" s="195"/>
      <c r="AG732" s="195"/>
      <c r="AH732" s="195"/>
      <c r="AI732" s="195"/>
      <c r="AJ732" s="195"/>
      <c r="AK732" s="195"/>
      <c r="AL732" s="195"/>
      <c r="AM732" s="1"/>
      <c r="AN732" s="240"/>
      <c r="AO732" s="240"/>
      <c r="AP732" s="240"/>
      <c r="AQ732" s="240"/>
      <c r="AR732" s="240"/>
      <c r="AS732" s="730"/>
      <c r="AT732" s="730"/>
      <c r="AU732" s="730"/>
      <c r="AV732" s="738"/>
      <c r="AW732" s="738"/>
      <c r="AX732" s="240"/>
      <c r="AY732" s="240"/>
      <c r="AZ732" s="240"/>
      <c r="BA732" s="240"/>
      <c r="BB732" s="240"/>
      <c r="BC732" s="240"/>
      <c r="BD732" s="672"/>
      <c r="BE732" s="731"/>
      <c r="BF732" s="731"/>
      <c r="BG732" s="731"/>
      <c r="BH732" s="672"/>
      <c r="BI732" s="732"/>
      <c r="BJ732" s="240"/>
      <c r="BK732" s="240"/>
      <c r="BL732" s="240"/>
      <c r="BM732" s="240"/>
      <c r="BN732" s="240"/>
      <c r="BO732" s="240"/>
      <c r="BP732" s="240"/>
      <c r="BQ732" s="240"/>
      <c r="BR732" s="240"/>
      <c r="BS732" s="240"/>
      <c r="BT732" s="240"/>
      <c r="BU732" s="240"/>
      <c r="BV732" s="240"/>
      <c r="BW732" s="672"/>
      <c r="BX732" s="672"/>
      <c r="BY732" s="672"/>
      <c r="BZ732" s="672"/>
      <c r="CA732" s="672"/>
      <c r="CB732" s="672"/>
      <c r="CC732" s="672"/>
      <c r="CD732" s="672"/>
      <c r="CE732" s="672"/>
      <c r="CF732" s="672"/>
      <c r="CG732" s="240"/>
      <c r="CH732" s="240"/>
      <c r="CI732" s="240"/>
      <c r="CJ732" s="240"/>
      <c r="CK732" s="240"/>
      <c r="CL732" s="728"/>
      <c r="CM732" s="728"/>
      <c r="CN732" s="195"/>
      <c r="CO732" s="195"/>
      <c r="CP732" s="195"/>
      <c r="CQ732" s="195"/>
      <c r="CR732" s="195"/>
      <c r="CS732" s="195"/>
      <c r="CT732" s="195"/>
      <c r="CU732" s="195"/>
      <c r="CV732" s="195"/>
      <c r="CW732" s="195"/>
      <c r="CX732" s="195"/>
      <c r="CY732" s="195"/>
      <c r="CZ732" s="195"/>
      <c r="DA732" s="195"/>
      <c r="DB732" s="195"/>
      <c r="DC732" s="195"/>
      <c r="DD732" s="195"/>
      <c r="DE732" s="195"/>
      <c r="DF732" s="195"/>
      <c r="DG732" s="1"/>
      <c r="DH732" s="3"/>
      <c r="DL732" s="4"/>
      <c r="DM732" s="4"/>
      <c r="DQ732" s="195"/>
      <c r="DR732" s="195"/>
      <c r="DS732" s="195"/>
      <c r="DT732" s="195"/>
      <c r="DU732" s="195"/>
      <c r="DV732" s="195"/>
      <c r="DW732" s="195"/>
      <c r="DX732" s="195"/>
      <c r="DY732" s="195"/>
      <c r="DZ732" s="195"/>
      <c r="EA732" s="195"/>
      <c r="EB732" s="195"/>
      <c r="EC732" s="195"/>
      <c r="ED732" s="195"/>
      <c r="EE732" s="195"/>
      <c r="EF732" s="195"/>
      <c r="EG732" s="195"/>
      <c r="EL732" s="1"/>
      <c r="EM732" s="195"/>
      <c r="EN732" s="240"/>
      <c r="EO732" s="240"/>
      <c r="EP732" s="195"/>
      <c r="EQ732" s="240"/>
      <c r="ER732" s="195"/>
      <c r="ES732" s="195"/>
      <c r="ET732" s="195"/>
      <c r="EU732" s="736"/>
    </row>
    <row r="733" customFormat="false" ht="12.75" hidden="false" customHeight="false" outlineLevel="0" collapsed="false">
      <c r="I733" s="735"/>
      <c r="J733" s="728"/>
      <c r="K733" s="195"/>
      <c r="L733" s="195"/>
      <c r="Q733" s="195"/>
      <c r="R733" s="195"/>
      <c r="S733" s="240"/>
      <c r="T733" s="195"/>
      <c r="U733" s="195"/>
      <c r="V733" s="195"/>
      <c r="W733" s="195"/>
      <c r="X733" s="195"/>
      <c r="Y733" s="195"/>
      <c r="Z733" s="195"/>
      <c r="AA733" s="195"/>
      <c r="AB733" s="195"/>
      <c r="AC733" s="195"/>
      <c r="AD733" s="195"/>
      <c r="AE733" s="195"/>
      <c r="AF733" s="195"/>
      <c r="AG733" s="195"/>
      <c r="AH733" s="195"/>
      <c r="AI733" s="195"/>
      <c r="AJ733" s="195"/>
      <c r="AK733" s="195"/>
      <c r="AL733" s="195"/>
      <c r="AM733" s="1"/>
      <c r="AN733" s="240"/>
      <c r="AO733" s="240"/>
      <c r="AP733" s="240"/>
      <c r="AQ733" s="240"/>
      <c r="AR733" s="240"/>
      <c r="AS733" s="730"/>
      <c r="AT733" s="730"/>
      <c r="AU733" s="730"/>
      <c r="AV733" s="738"/>
      <c r="AW733" s="738"/>
      <c r="AX733" s="240"/>
      <c r="AY733" s="240"/>
      <c r="AZ733" s="240"/>
      <c r="BA733" s="240"/>
      <c r="BB733" s="240"/>
      <c r="BC733" s="240"/>
      <c r="BD733" s="672"/>
      <c r="BE733" s="731"/>
      <c r="BF733" s="731"/>
      <c r="BG733" s="731"/>
      <c r="BH733" s="672"/>
      <c r="BI733" s="732"/>
      <c r="BJ733" s="240"/>
      <c r="BK733" s="240"/>
      <c r="BL733" s="240"/>
      <c r="BM733" s="240"/>
      <c r="BN733" s="240"/>
      <c r="BO733" s="240"/>
      <c r="BP733" s="240"/>
      <c r="BQ733" s="240"/>
      <c r="BR733" s="240"/>
      <c r="BS733" s="240"/>
      <c r="BT733" s="240"/>
      <c r="BU733" s="240"/>
      <c r="BV733" s="240"/>
      <c r="BW733" s="672"/>
      <c r="BX733" s="672"/>
      <c r="BY733" s="672"/>
      <c r="BZ733" s="672"/>
      <c r="CA733" s="672"/>
      <c r="CB733" s="672"/>
      <c r="CC733" s="672"/>
      <c r="CD733" s="672"/>
      <c r="CE733" s="672"/>
      <c r="CF733" s="672"/>
      <c r="CG733" s="240"/>
      <c r="CH733" s="240"/>
      <c r="CI733" s="240"/>
      <c r="CJ733" s="240"/>
      <c r="CK733" s="240"/>
      <c r="CL733" s="728"/>
      <c r="CM733" s="728"/>
      <c r="CN733" s="195"/>
      <c r="CO733" s="195"/>
      <c r="CP733" s="195"/>
      <c r="CQ733" s="195"/>
      <c r="CR733" s="195"/>
      <c r="CS733" s="195"/>
      <c r="CT733" s="195"/>
      <c r="CU733" s="195"/>
      <c r="CV733" s="195"/>
      <c r="CW733" s="195"/>
      <c r="CX733" s="195"/>
      <c r="CY733" s="195"/>
      <c r="CZ733" s="195"/>
      <c r="DA733" s="195"/>
      <c r="DB733" s="195"/>
      <c r="DC733" s="195"/>
      <c r="DD733" s="195"/>
      <c r="DE733" s="195"/>
      <c r="DF733" s="195"/>
      <c r="DG733" s="1"/>
      <c r="DH733" s="3"/>
      <c r="DL733" s="4"/>
      <c r="DM733" s="4"/>
      <c r="DQ733" s="195"/>
      <c r="DR733" s="195"/>
      <c r="DS733" s="195"/>
      <c r="DT733" s="195"/>
      <c r="DU733" s="195"/>
      <c r="DV733" s="195"/>
      <c r="DW733" s="195"/>
      <c r="DX733" s="195"/>
      <c r="DY733" s="195"/>
      <c r="DZ733" s="195"/>
      <c r="EA733" s="195"/>
      <c r="EB733" s="195"/>
      <c r="EC733" s="195"/>
      <c r="ED733" s="195"/>
      <c r="EE733" s="195"/>
      <c r="EF733" s="195"/>
      <c r="EG733" s="195"/>
      <c r="EL733" s="1"/>
      <c r="EM733" s="195"/>
      <c r="EN733" s="240"/>
      <c r="EO733" s="240"/>
      <c r="EP733" s="195"/>
      <c r="EQ733" s="240"/>
      <c r="ER733" s="195"/>
      <c r="ES733" s="195"/>
      <c r="ET733" s="195"/>
      <c r="EU733" s="736"/>
    </row>
    <row r="734" customFormat="false" ht="12.75" hidden="false" customHeight="false" outlineLevel="0" collapsed="false">
      <c r="I734" s="735"/>
      <c r="J734" s="728"/>
      <c r="K734" s="195"/>
      <c r="L734" s="195"/>
      <c r="Q734" s="195"/>
      <c r="R734" s="195"/>
      <c r="S734" s="240"/>
      <c r="T734" s="195"/>
      <c r="U734" s="195"/>
      <c r="V734" s="195"/>
      <c r="W734" s="195"/>
      <c r="X734" s="195"/>
      <c r="Y734" s="195"/>
      <c r="Z734" s="195"/>
      <c r="AA734" s="195"/>
      <c r="AB734" s="195"/>
      <c r="AC734" s="195"/>
      <c r="AD734" s="195"/>
      <c r="AE734" s="195"/>
      <c r="AF734" s="195"/>
      <c r="AG734" s="195"/>
      <c r="AH734" s="195"/>
      <c r="AI734" s="195"/>
      <c r="AJ734" s="195"/>
      <c r="AK734" s="195"/>
      <c r="AL734" s="195"/>
      <c r="AM734" s="1"/>
      <c r="AN734" s="240"/>
      <c r="AO734" s="240"/>
      <c r="AP734" s="240"/>
      <c r="AQ734" s="240"/>
      <c r="AR734" s="240"/>
      <c r="AS734" s="730"/>
      <c r="AT734" s="730"/>
      <c r="AU734" s="730"/>
      <c r="AV734" s="738"/>
      <c r="AW734" s="738"/>
      <c r="AX734" s="240"/>
      <c r="AY734" s="240"/>
      <c r="AZ734" s="240"/>
      <c r="BA734" s="240"/>
      <c r="BB734" s="240"/>
      <c r="BC734" s="240"/>
      <c r="BD734" s="672"/>
      <c r="BE734" s="731"/>
      <c r="BF734" s="731"/>
      <c r="BG734" s="731"/>
      <c r="BH734" s="672"/>
      <c r="BI734" s="732"/>
      <c r="BJ734" s="240"/>
      <c r="BK734" s="240"/>
      <c r="BL734" s="240"/>
      <c r="BM734" s="240"/>
      <c r="BN734" s="240"/>
      <c r="BO734" s="240"/>
      <c r="BP734" s="240"/>
      <c r="BQ734" s="240"/>
      <c r="BR734" s="240"/>
      <c r="BS734" s="240"/>
      <c r="BT734" s="240"/>
      <c r="BU734" s="240"/>
      <c r="BV734" s="240"/>
      <c r="BW734" s="672"/>
      <c r="BX734" s="672"/>
      <c r="BY734" s="672"/>
      <c r="BZ734" s="672"/>
      <c r="CA734" s="672"/>
      <c r="CB734" s="672"/>
      <c r="CC734" s="672"/>
      <c r="CD734" s="672"/>
      <c r="CE734" s="672"/>
      <c r="CF734" s="672"/>
      <c r="CG734" s="240"/>
      <c r="CH734" s="240"/>
      <c r="CI734" s="240"/>
      <c r="CJ734" s="240"/>
      <c r="CK734" s="240"/>
      <c r="CL734" s="728"/>
      <c r="CM734" s="728"/>
      <c r="CN734" s="195"/>
      <c r="CO734" s="195"/>
      <c r="CP734" s="195"/>
      <c r="CQ734" s="195"/>
      <c r="CR734" s="195"/>
      <c r="CS734" s="195"/>
      <c r="CT734" s="195"/>
      <c r="CU734" s="195"/>
      <c r="CV734" s="195"/>
      <c r="CW734" s="195"/>
      <c r="CX734" s="195"/>
      <c r="CY734" s="195"/>
      <c r="CZ734" s="195"/>
      <c r="DA734" s="195"/>
      <c r="DB734" s="195"/>
      <c r="DC734" s="195"/>
      <c r="DD734" s="195"/>
      <c r="DE734" s="195"/>
      <c r="DF734" s="195"/>
      <c r="DG734" s="1"/>
      <c r="DH734" s="3"/>
      <c r="DL734" s="4"/>
      <c r="DM734" s="4"/>
      <c r="DQ734" s="195"/>
      <c r="DR734" s="195"/>
      <c r="DS734" s="195"/>
      <c r="DT734" s="195"/>
      <c r="DU734" s="195"/>
      <c r="DV734" s="195"/>
      <c r="DW734" s="195"/>
      <c r="DX734" s="195"/>
      <c r="DY734" s="195"/>
      <c r="DZ734" s="195"/>
      <c r="EA734" s="195"/>
      <c r="EB734" s="195"/>
      <c r="EC734" s="195"/>
      <c r="ED734" s="195"/>
      <c r="EE734" s="195"/>
      <c r="EF734" s="195"/>
      <c r="EG734" s="195"/>
      <c r="EL734" s="1"/>
      <c r="EM734" s="195"/>
      <c r="EN734" s="240"/>
      <c r="EO734" s="240"/>
      <c r="EP734" s="195"/>
      <c r="EQ734" s="240"/>
      <c r="ER734" s="195"/>
      <c r="ES734" s="195"/>
      <c r="ET734" s="195"/>
      <c r="EU734" s="736"/>
    </row>
    <row r="735" customFormat="false" ht="12.75" hidden="false" customHeight="false" outlineLevel="0" collapsed="false">
      <c r="I735" s="735"/>
      <c r="J735" s="728"/>
      <c r="K735" s="195"/>
      <c r="L735" s="195"/>
      <c r="Q735" s="195"/>
      <c r="R735" s="195"/>
      <c r="S735" s="240"/>
      <c r="T735" s="195"/>
      <c r="U735" s="195"/>
      <c r="V735" s="195"/>
      <c r="W735" s="195"/>
      <c r="X735" s="195"/>
      <c r="Y735" s="195"/>
      <c r="Z735" s="195"/>
      <c r="AA735" s="195"/>
      <c r="AB735" s="195"/>
      <c r="AC735" s="195"/>
      <c r="AD735" s="195"/>
      <c r="AE735" s="195"/>
      <c r="AF735" s="195"/>
      <c r="AG735" s="195"/>
      <c r="AH735" s="195"/>
      <c r="AI735" s="195"/>
      <c r="AJ735" s="195"/>
      <c r="AK735" s="195"/>
      <c r="AL735" s="195"/>
      <c r="AM735" s="1"/>
      <c r="AN735" s="240"/>
      <c r="AO735" s="240"/>
      <c r="AP735" s="240"/>
      <c r="AQ735" s="240"/>
      <c r="AR735" s="240"/>
      <c r="AS735" s="730"/>
      <c r="AT735" s="730"/>
      <c r="AU735" s="730"/>
      <c r="AV735" s="738"/>
      <c r="AW735" s="738"/>
      <c r="AX735" s="240"/>
      <c r="AY735" s="240"/>
      <c r="AZ735" s="240"/>
      <c r="BA735" s="240"/>
      <c r="BB735" s="240"/>
      <c r="BC735" s="240"/>
      <c r="BD735" s="672"/>
      <c r="BE735" s="731"/>
      <c r="BF735" s="731"/>
      <c r="BG735" s="731"/>
      <c r="BH735" s="672"/>
      <c r="BI735" s="732"/>
      <c r="BJ735" s="240"/>
      <c r="BK735" s="240"/>
      <c r="BL735" s="240"/>
      <c r="BM735" s="240"/>
      <c r="BN735" s="240"/>
      <c r="BO735" s="240"/>
      <c r="BP735" s="240"/>
      <c r="BQ735" s="240"/>
      <c r="BR735" s="240"/>
      <c r="BS735" s="240"/>
      <c r="BT735" s="240"/>
      <c r="BU735" s="240"/>
      <c r="BV735" s="240"/>
      <c r="BW735" s="672"/>
      <c r="BX735" s="672"/>
      <c r="BY735" s="672"/>
      <c r="BZ735" s="672"/>
      <c r="CA735" s="672"/>
      <c r="CB735" s="672"/>
      <c r="CC735" s="672"/>
      <c r="CD735" s="672"/>
      <c r="CE735" s="672"/>
      <c r="CF735" s="672"/>
      <c r="CG735" s="240"/>
      <c r="CH735" s="240"/>
      <c r="CI735" s="240"/>
      <c r="CJ735" s="240"/>
      <c r="CK735" s="240"/>
      <c r="CL735" s="728"/>
      <c r="CM735" s="728"/>
      <c r="CN735" s="195"/>
      <c r="CO735" s="195"/>
      <c r="CP735" s="195"/>
      <c r="CQ735" s="195"/>
      <c r="CR735" s="195"/>
      <c r="CS735" s="195"/>
      <c r="CT735" s="195"/>
      <c r="CU735" s="195"/>
      <c r="CV735" s="195"/>
      <c r="CW735" s="195"/>
      <c r="CX735" s="195"/>
      <c r="CY735" s="195"/>
      <c r="CZ735" s="195"/>
      <c r="DA735" s="195"/>
      <c r="DB735" s="195"/>
      <c r="DC735" s="195"/>
      <c r="DD735" s="195"/>
      <c r="DE735" s="195"/>
      <c r="DF735" s="195"/>
      <c r="DG735" s="1"/>
      <c r="DH735" s="3"/>
      <c r="DL735" s="4"/>
      <c r="DM735" s="4"/>
      <c r="DQ735" s="195"/>
      <c r="DR735" s="195"/>
      <c r="DS735" s="195"/>
      <c r="DT735" s="195"/>
      <c r="DU735" s="195"/>
      <c r="DV735" s="195"/>
      <c r="DW735" s="195"/>
      <c r="DX735" s="195"/>
      <c r="DY735" s="195"/>
      <c r="DZ735" s="195"/>
      <c r="EA735" s="195"/>
      <c r="EB735" s="195"/>
      <c r="EC735" s="195"/>
      <c r="ED735" s="195"/>
      <c r="EE735" s="195"/>
      <c r="EF735" s="195"/>
      <c r="EG735" s="195"/>
      <c r="EL735" s="1"/>
      <c r="EM735" s="195"/>
      <c r="EN735" s="240"/>
      <c r="EO735" s="240"/>
      <c r="EP735" s="195"/>
      <c r="EQ735" s="240"/>
      <c r="ER735" s="195"/>
      <c r="ES735" s="195"/>
      <c r="ET735" s="195"/>
      <c r="EU735" s="736"/>
    </row>
    <row r="736" customFormat="false" ht="12.75" hidden="false" customHeight="false" outlineLevel="0" collapsed="false">
      <c r="I736" s="735"/>
      <c r="J736" s="728"/>
      <c r="K736" s="195"/>
      <c r="L736" s="195"/>
      <c r="Q736" s="195"/>
      <c r="R736" s="195"/>
      <c r="S736" s="240"/>
      <c r="T736" s="195"/>
      <c r="U736" s="195"/>
      <c r="V736" s="195"/>
      <c r="W736" s="195"/>
      <c r="X736" s="195"/>
      <c r="Y736" s="195"/>
      <c r="Z736" s="195"/>
      <c r="AA736" s="195"/>
      <c r="AB736" s="195"/>
      <c r="AC736" s="195"/>
      <c r="AD736" s="195"/>
      <c r="AE736" s="195"/>
      <c r="AF736" s="195"/>
      <c r="AG736" s="195"/>
      <c r="AH736" s="195"/>
      <c r="AI736" s="195"/>
      <c r="AJ736" s="195"/>
      <c r="AK736" s="195"/>
      <c r="AL736" s="195"/>
      <c r="AM736" s="1"/>
      <c r="AN736" s="240"/>
      <c r="AO736" s="240"/>
      <c r="AP736" s="240"/>
      <c r="AQ736" s="240"/>
      <c r="AR736" s="240"/>
      <c r="AS736" s="730"/>
      <c r="AT736" s="730"/>
      <c r="AU736" s="730"/>
      <c r="AV736" s="738"/>
      <c r="AW736" s="738"/>
      <c r="AX736" s="240"/>
      <c r="AY736" s="240"/>
      <c r="AZ736" s="240"/>
      <c r="BA736" s="240"/>
      <c r="BB736" s="240"/>
      <c r="BC736" s="240"/>
      <c r="BD736" s="672"/>
      <c r="BE736" s="731"/>
      <c r="BF736" s="731"/>
      <c r="BG736" s="731"/>
      <c r="BH736" s="672"/>
      <c r="BI736" s="732"/>
      <c r="BJ736" s="240"/>
      <c r="BK736" s="240"/>
      <c r="BL736" s="240"/>
      <c r="BM736" s="240"/>
      <c r="BN736" s="240"/>
      <c r="BO736" s="240"/>
      <c r="BP736" s="240"/>
      <c r="BQ736" s="240"/>
      <c r="BR736" s="240"/>
      <c r="BS736" s="240"/>
      <c r="BT736" s="240"/>
      <c r="BU736" s="240"/>
      <c r="BV736" s="240"/>
      <c r="BW736" s="672"/>
      <c r="BX736" s="672"/>
      <c r="BY736" s="672"/>
      <c r="BZ736" s="672"/>
      <c r="CA736" s="672"/>
      <c r="CB736" s="672"/>
      <c r="CC736" s="672"/>
      <c r="CD736" s="672"/>
      <c r="CE736" s="672"/>
      <c r="CF736" s="672"/>
      <c r="CG736" s="240"/>
      <c r="CH736" s="240"/>
      <c r="CI736" s="240"/>
      <c r="CJ736" s="240"/>
      <c r="CK736" s="240"/>
      <c r="CL736" s="728"/>
      <c r="CM736" s="728"/>
      <c r="CN736" s="195"/>
      <c r="CO736" s="195"/>
      <c r="CP736" s="195"/>
      <c r="CQ736" s="195"/>
      <c r="CR736" s="195"/>
      <c r="CS736" s="195"/>
      <c r="CT736" s="195"/>
      <c r="CU736" s="195"/>
      <c r="CV736" s="195"/>
      <c r="CW736" s="195"/>
      <c r="CX736" s="195"/>
      <c r="CY736" s="195"/>
      <c r="CZ736" s="195"/>
      <c r="DA736" s="195"/>
      <c r="DB736" s="195"/>
      <c r="DC736" s="195"/>
      <c r="DD736" s="195"/>
      <c r="DE736" s="195"/>
      <c r="DF736" s="195"/>
      <c r="DG736" s="1"/>
      <c r="DH736" s="3"/>
      <c r="DL736" s="4"/>
      <c r="DM736" s="4"/>
      <c r="DQ736" s="195"/>
      <c r="DR736" s="195"/>
      <c r="DS736" s="195"/>
      <c r="DT736" s="195"/>
      <c r="DU736" s="195"/>
      <c r="DV736" s="195"/>
      <c r="DW736" s="195"/>
      <c r="DX736" s="195"/>
      <c r="DY736" s="195"/>
      <c r="DZ736" s="195"/>
      <c r="EA736" s="195"/>
      <c r="EB736" s="195"/>
      <c r="EC736" s="195"/>
      <c r="ED736" s="195"/>
      <c r="EE736" s="195"/>
      <c r="EF736" s="195"/>
      <c r="EG736" s="195"/>
      <c r="EL736" s="1"/>
      <c r="EM736" s="195"/>
      <c r="EN736" s="240"/>
      <c r="EO736" s="240"/>
      <c r="EP736" s="195"/>
      <c r="EQ736" s="240"/>
      <c r="ER736" s="195"/>
      <c r="ES736" s="195"/>
      <c r="ET736" s="195"/>
      <c r="EU736" s="736"/>
    </row>
    <row r="737" customFormat="false" ht="12.75" hidden="false" customHeight="false" outlineLevel="0" collapsed="false">
      <c r="I737" s="735"/>
      <c r="J737" s="728"/>
      <c r="K737" s="195"/>
      <c r="L737" s="195"/>
      <c r="Q737" s="195"/>
      <c r="R737" s="195"/>
      <c r="S737" s="240"/>
      <c r="T737" s="195"/>
      <c r="U737" s="195"/>
      <c r="V737" s="195"/>
      <c r="W737" s="195"/>
      <c r="X737" s="195"/>
      <c r="Y737" s="195"/>
      <c r="Z737" s="195"/>
      <c r="AA737" s="195"/>
      <c r="AB737" s="195"/>
      <c r="AC737" s="195"/>
      <c r="AD737" s="195"/>
      <c r="AE737" s="195"/>
      <c r="AF737" s="195"/>
      <c r="AG737" s="195"/>
      <c r="AH737" s="195"/>
      <c r="AI737" s="195"/>
      <c r="AJ737" s="195"/>
      <c r="AK737" s="195"/>
      <c r="AL737" s="195"/>
      <c r="AM737" s="1"/>
      <c r="AN737" s="240"/>
      <c r="AO737" s="240"/>
      <c r="AP737" s="240"/>
      <c r="AQ737" s="240"/>
      <c r="AR737" s="240"/>
      <c r="AS737" s="730"/>
      <c r="AT737" s="730"/>
      <c r="AU737" s="730"/>
      <c r="AV737" s="738"/>
      <c r="AW737" s="738"/>
      <c r="AX737" s="240"/>
      <c r="AY737" s="240"/>
      <c r="AZ737" s="240"/>
      <c r="BA737" s="240"/>
      <c r="BB737" s="240"/>
      <c r="BC737" s="240"/>
      <c r="BD737" s="672"/>
      <c r="BE737" s="731"/>
      <c r="BF737" s="731"/>
      <c r="BG737" s="731"/>
      <c r="BH737" s="672"/>
      <c r="BI737" s="732"/>
      <c r="BJ737" s="240"/>
      <c r="BK737" s="240"/>
      <c r="BL737" s="240"/>
      <c r="BM737" s="240"/>
      <c r="BN737" s="240"/>
      <c r="BO737" s="240"/>
      <c r="BP737" s="240"/>
      <c r="BQ737" s="240"/>
      <c r="BR737" s="240"/>
      <c r="BS737" s="240"/>
      <c r="BT737" s="240"/>
      <c r="BU737" s="240"/>
      <c r="BV737" s="240"/>
      <c r="BW737" s="672"/>
      <c r="BX737" s="672"/>
      <c r="BY737" s="672"/>
      <c r="BZ737" s="672"/>
      <c r="CA737" s="672"/>
      <c r="CB737" s="672"/>
      <c r="CC737" s="672"/>
      <c r="CD737" s="672"/>
      <c r="CE737" s="672"/>
      <c r="CF737" s="672"/>
      <c r="CG737" s="240"/>
      <c r="CH737" s="240"/>
      <c r="CI737" s="240"/>
      <c r="CJ737" s="240"/>
      <c r="CK737" s="240"/>
      <c r="CL737" s="728"/>
      <c r="CM737" s="728"/>
      <c r="CN737" s="195"/>
      <c r="CO737" s="195"/>
      <c r="CP737" s="195"/>
      <c r="CQ737" s="195"/>
      <c r="CR737" s="195"/>
      <c r="CS737" s="195"/>
      <c r="CT737" s="195"/>
      <c r="CU737" s="195"/>
      <c r="CV737" s="195"/>
      <c r="CW737" s="195"/>
      <c r="CX737" s="195"/>
      <c r="CY737" s="195"/>
      <c r="CZ737" s="195"/>
      <c r="DA737" s="195"/>
      <c r="DB737" s="195"/>
      <c r="DC737" s="195"/>
      <c r="DD737" s="195"/>
      <c r="DE737" s="195"/>
      <c r="DF737" s="195"/>
      <c r="DG737" s="1"/>
      <c r="DH737" s="3"/>
      <c r="DL737" s="4"/>
      <c r="DM737" s="4"/>
      <c r="DQ737" s="195"/>
      <c r="DR737" s="195"/>
      <c r="DS737" s="195"/>
      <c r="DT737" s="195"/>
      <c r="DU737" s="195"/>
      <c r="DV737" s="195"/>
      <c r="DW737" s="195"/>
      <c r="DX737" s="195"/>
      <c r="DY737" s="195"/>
      <c r="DZ737" s="195"/>
      <c r="EA737" s="195"/>
      <c r="EB737" s="195"/>
      <c r="EC737" s="195"/>
      <c r="ED737" s="195"/>
      <c r="EE737" s="195"/>
      <c r="EF737" s="195"/>
      <c r="EG737" s="195"/>
      <c r="EL737" s="1"/>
      <c r="EM737" s="195"/>
      <c r="EN737" s="240"/>
      <c r="EO737" s="240"/>
      <c r="EP737" s="195"/>
      <c r="EQ737" s="240"/>
      <c r="ER737" s="195"/>
      <c r="ES737" s="195"/>
      <c r="ET737" s="195"/>
      <c r="EU737" s="736"/>
    </row>
    <row r="738" customFormat="false" ht="12.75" hidden="false" customHeight="false" outlineLevel="0" collapsed="false">
      <c r="I738" s="735"/>
      <c r="J738" s="728"/>
      <c r="K738" s="195"/>
      <c r="L738" s="195"/>
      <c r="Q738" s="195"/>
      <c r="R738" s="195"/>
      <c r="S738" s="240"/>
      <c r="T738" s="195"/>
      <c r="U738" s="195"/>
      <c r="V738" s="195"/>
      <c r="W738" s="195"/>
      <c r="X738" s="195"/>
      <c r="Y738" s="195"/>
      <c r="Z738" s="195"/>
      <c r="AA738" s="195"/>
      <c r="AB738" s="195"/>
      <c r="AC738" s="195"/>
      <c r="AD738" s="195"/>
      <c r="AE738" s="195"/>
      <c r="AF738" s="195"/>
      <c r="AG738" s="195"/>
      <c r="AH738" s="195"/>
      <c r="AI738" s="195"/>
      <c r="AJ738" s="195"/>
      <c r="AK738" s="195"/>
      <c r="AL738" s="195"/>
      <c r="AM738" s="1"/>
      <c r="AN738" s="240"/>
      <c r="AO738" s="240"/>
      <c r="AP738" s="240"/>
      <c r="AQ738" s="240"/>
      <c r="AR738" s="240"/>
      <c r="AS738" s="730"/>
      <c r="AT738" s="730"/>
      <c r="AU738" s="730"/>
      <c r="AV738" s="738"/>
      <c r="AW738" s="738"/>
      <c r="AX738" s="240"/>
      <c r="AY738" s="240"/>
      <c r="AZ738" s="240"/>
      <c r="BA738" s="240"/>
      <c r="BB738" s="240"/>
      <c r="BC738" s="240"/>
      <c r="BD738" s="672"/>
      <c r="BE738" s="731"/>
      <c r="BF738" s="731"/>
      <c r="BG738" s="731"/>
      <c r="BH738" s="672"/>
      <c r="BI738" s="732"/>
      <c r="BJ738" s="240"/>
      <c r="BK738" s="240"/>
      <c r="BL738" s="240"/>
      <c r="BM738" s="240"/>
      <c r="BN738" s="240"/>
      <c r="BO738" s="240"/>
      <c r="BP738" s="240"/>
      <c r="BQ738" s="240"/>
      <c r="BR738" s="240"/>
      <c r="BS738" s="240"/>
      <c r="BT738" s="240"/>
      <c r="BU738" s="240"/>
      <c r="BV738" s="240"/>
      <c r="BW738" s="672"/>
      <c r="BX738" s="672"/>
      <c r="BY738" s="672"/>
      <c r="BZ738" s="672"/>
      <c r="CA738" s="672"/>
      <c r="CB738" s="672"/>
      <c r="CC738" s="672"/>
      <c r="CD738" s="672"/>
      <c r="CE738" s="672"/>
      <c r="CF738" s="672"/>
      <c r="CG738" s="240"/>
      <c r="CH738" s="240"/>
      <c r="CI738" s="240"/>
      <c r="CJ738" s="240"/>
      <c r="CK738" s="240"/>
      <c r="CL738" s="728"/>
      <c r="CM738" s="728"/>
      <c r="CN738" s="195"/>
      <c r="CO738" s="195"/>
      <c r="CP738" s="195"/>
      <c r="CQ738" s="195"/>
      <c r="CR738" s="195"/>
      <c r="CS738" s="195"/>
      <c r="CT738" s="195"/>
      <c r="CU738" s="195"/>
      <c r="CV738" s="195"/>
      <c r="CW738" s="195"/>
      <c r="CX738" s="195"/>
      <c r="CY738" s="195"/>
      <c r="CZ738" s="195"/>
      <c r="DA738" s="195"/>
      <c r="DB738" s="195"/>
      <c r="DC738" s="195"/>
      <c r="DD738" s="195"/>
      <c r="DE738" s="195"/>
      <c r="DF738" s="195"/>
      <c r="DG738" s="1"/>
      <c r="DH738" s="3"/>
      <c r="DL738" s="4"/>
      <c r="DM738" s="4"/>
      <c r="DQ738" s="195"/>
      <c r="DR738" s="195"/>
      <c r="DS738" s="195"/>
      <c r="DT738" s="195"/>
      <c r="DU738" s="195"/>
      <c r="DV738" s="195"/>
      <c r="DW738" s="195"/>
      <c r="DX738" s="195"/>
      <c r="DY738" s="195"/>
      <c r="DZ738" s="195"/>
      <c r="EA738" s="195"/>
      <c r="EB738" s="195"/>
      <c r="EC738" s="195"/>
      <c r="ED738" s="195"/>
      <c r="EE738" s="195"/>
      <c r="EF738" s="195"/>
      <c r="EG738" s="195"/>
      <c r="EL738" s="1"/>
      <c r="EM738" s="195"/>
      <c r="EN738" s="240"/>
      <c r="EO738" s="240"/>
      <c r="EP738" s="195"/>
      <c r="EQ738" s="240"/>
      <c r="ER738" s="195"/>
      <c r="ES738" s="195"/>
      <c r="ET738" s="195"/>
      <c r="EU738" s="736"/>
    </row>
    <row r="739" customFormat="false" ht="12.75" hidden="false" customHeight="false" outlineLevel="0" collapsed="false">
      <c r="I739" s="735"/>
      <c r="J739" s="728"/>
      <c r="K739" s="195"/>
      <c r="L739" s="195"/>
      <c r="Q739" s="195"/>
      <c r="R739" s="195"/>
      <c r="S739" s="240"/>
      <c r="T739" s="195"/>
      <c r="U739" s="195"/>
      <c r="V739" s="195"/>
      <c r="W739" s="195"/>
      <c r="X739" s="195"/>
      <c r="Y739" s="195"/>
      <c r="Z739" s="195"/>
      <c r="AA739" s="195"/>
      <c r="AB739" s="195"/>
      <c r="AC739" s="195"/>
      <c r="AD739" s="195"/>
      <c r="AE739" s="195"/>
      <c r="AF739" s="195"/>
      <c r="AG739" s="195"/>
      <c r="AH739" s="195"/>
      <c r="AI739" s="195"/>
      <c r="AJ739" s="195"/>
      <c r="AK739" s="195"/>
      <c r="AL739" s="195"/>
      <c r="AM739" s="1"/>
      <c r="AN739" s="240"/>
      <c r="AO739" s="240"/>
      <c r="AP739" s="240"/>
      <c r="AQ739" s="240"/>
      <c r="AR739" s="240"/>
      <c r="AS739" s="730"/>
      <c r="AT739" s="730"/>
      <c r="AU739" s="730"/>
      <c r="AV739" s="738"/>
      <c r="AW739" s="738"/>
      <c r="AX739" s="240"/>
      <c r="AY739" s="240"/>
      <c r="AZ739" s="240"/>
      <c r="BA739" s="240"/>
      <c r="BB739" s="240"/>
      <c r="BC739" s="240"/>
      <c r="BD739" s="672"/>
      <c r="BE739" s="731"/>
      <c r="BF739" s="731"/>
      <c r="BG739" s="731"/>
      <c r="BH739" s="672"/>
      <c r="BI739" s="732"/>
      <c r="BJ739" s="240"/>
      <c r="BK739" s="240"/>
      <c r="BL739" s="240"/>
      <c r="BM739" s="240"/>
      <c r="BN739" s="240"/>
      <c r="BO739" s="240"/>
      <c r="BP739" s="240"/>
      <c r="BQ739" s="240"/>
      <c r="BR739" s="240"/>
      <c r="BS739" s="240"/>
      <c r="BT739" s="240"/>
      <c r="BU739" s="240"/>
      <c r="BV739" s="240"/>
      <c r="BW739" s="672"/>
      <c r="BX739" s="672"/>
      <c r="BY739" s="672"/>
      <c r="BZ739" s="672"/>
      <c r="CA739" s="672"/>
      <c r="CB739" s="672"/>
      <c r="CC739" s="672"/>
      <c r="CD739" s="672"/>
      <c r="CE739" s="672"/>
      <c r="CF739" s="672"/>
      <c r="CG739" s="240"/>
      <c r="CH739" s="240"/>
      <c r="CI739" s="240"/>
      <c r="CJ739" s="240"/>
      <c r="CK739" s="240"/>
      <c r="CL739" s="728"/>
      <c r="CM739" s="728"/>
      <c r="CN739" s="195"/>
      <c r="CO739" s="195"/>
      <c r="CP739" s="195"/>
      <c r="CQ739" s="195"/>
      <c r="CR739" s="195"/>
      <c r="CS739" s="195"/>
      <c r="CT739" s="195"/>
      <c r="CU739" s="195"/>
      <c r="CV739" s="195"/>
      <c r="CW739" s="195"/>
      <c r="CX739" s="195"/>
      <c r="CY739" s="195"/>
      <c r="CZ739" s="195"/>
      <c r="DA739" s="195"/>
      <c r="DB739" s="195"/>
      <c r="DC739" s="195"/>
      <c r="DD739" s="195"/>
      <c r="DE739" s="195"/>
      <c r="DF739" s="195"/>
      <c r="DG739" s="1"/>
      <c r="DH739" s="3"/>
      <c r="DL739" s="4"/>
      <c r="DM739" s="4"/>
      <c r="DQ739" s="195"/>
      <c r="DR739" s="195"/>
      <c r="DS739" s="195"/>
      <c r="DT739" s="195"/>
      <c r="DU739" s="195"/>
      <c r="DV739" s="195"/>
      <c r="DW739" s="195"/>
      <c r="DX739" s="195"/>
      <c r="DY739" s="195"/>
      <c r="DZ739" s="195"/>
      <c r="EA739" s="195"/>
      <c r="EB739" s="195"/>
      <c r="EC739" s="195"/>
      <c r="ED739" s="195"/>
      <c r="EE739" s="195"/>
      <c r="EF739" s="195"/>
      <c r="EG739" s="195"/>
      <c r="EL739" s="1"/>
      <c r="EM739" s="195"/>
      <c r="EN739" s="240"/>
      <c r="EO739" s="240"/>
      <c r="EP739" s="195"/>
      <c r="EQ739" s="240"/>
      <c r="ER739" s="195"/>
      <c r="ES739" s="195"/>
      <c r="ET739" s="195"/>
      <c r="EU739" s="736"/>
    </row>
    <row r="740" customFormat="false" ht="12.75" hidden="false" customHeight="false" outlineLevel="0" collapsed="false">
      <c r="I740" s="735"/>
      <c r="J740" s="728"/>
      <c r="K740" s="195"/>
      <c r="L740" s="195"/>
      <c r="Q740" s="195"/>
      <c r="R740" s="195"/>
      <c r="S740" s="240"/>
      <c r="T740" s="195"/>
      <c r="U740" s="195"/>
      <c r="V740" s="195"/>
      <c r="W740" s="195"/>
      <c r="X740" s="195"/>
      <c r="Y740" s="195"/>
      <c r="Z740" s="195"/>
      <c r="AA740" s="195"/>
      <c r="AB740" s="195"/>
      <c r="AC740" s="195"/>
      <c r="AD740" s="195"/>
      <c r="AE740" s="195"/>
      <c r="AF740" s="195"/>
      <c r="AG740" s="195"/>
      <c r="AH740" s="195"/>
      <c r="AI740" s="195"/>
      <c r="AJ740" s="195"/>
      <c r="AK740" s="195"/>
      <c r="AL740" s="195"/>
      <c r="AM740" s="1"/>
      <c r="AN740" s="240"/>
      <c r="AO740" s="240"/>
      <c r="AP740" s="240"/>
      <c r="AQ740" s="240"/>
      <c r="AR740" s="240"/>
      <c r="AS740" s="730"/>
      <c r="AT740" s="730"/>
      <c r="AU740" s="730"/>
      <c r="AV740" s="738"/>
      <c r="AW740" s="738"/>
      <c r="AX740" s="240"/>
      <c r="AY740" s="240"/>
      <c r="AZ740" s="240"/>
      <c r="BA740" s="240"/>
      <c r="BB740" s="240"/>
      <c r="BC740" s="240"/>
      <c r="BD740" s="672"/>
      <c r="BE740" s="731"/>
      <c r="BF740" s="731"/>
      <c r="BG740" s="731"/>
      <c r="BH740" s="672"/>
      <c r="BI740" s="732"/>
      <c r="BJ740" s="240"/>
      <c r="BK740" s="240"/>
      <c r="BL740" s="240"/>
      <c r="BM740" s="240"/>
      <c r="BN740" s="240"/>
      <c r="BO740" s="240"/>
      <c r="BP740" s="240"/>
      <c r="BQ740" s="240"/>
      <c r="BR740" s="240"/>
      <c r="BS740" s="240"/>
      <c r="BT740" s="240"/>
      <c r="BU740" s="240"/>
      <c r="BV740" s="240"/>
      <c r="BW740" s="672"/>
      <c r="BX740" s="672"/>
      <c r="BY740" s="672"/>
      <c r="BZ740" s="672"/>
      <c r="CA740" s="672"/>
      <c r="CB740" s="672"/>
      <c r="CC740" s="672"/>
      <c r="CD740" s="672"/>
      <c r="CE740" s="672"/>
      <c r="CF740" s="672"/>
      <c r="CG740" s="240"/>
      <c r="CH740" s="240"/>
      <c r="CI740" s="240"/>
      <c r="CJ740" s="240"/>
      <c r="CK740" s="240"/>
      <c r="CL740" s="728"/>
      <c r="CM740" s="728"/>
      <c r="CN740" s="195"/>
      <c r="CO740" s="195"/>
      <c r="CP740" s="195"/>
      <c r="CQ740" s="195"/>
      <c r="CR740" s="195"/>
      <c r="CS740" s="195"/>
      <c r="CT740" s="195"/>
      <c r="CU740" s="195"/>
      <c r="CV740" s="195"/>
      <c r="CW740" s="195"/>
      <c r="CX740" s="195"/>
      <c r="CY740" s="195"/>
      <c r="CZ740" s="195"/>
      <c r="DA740" s="195"/>
      <c r="DB740" s="195"/>
      <c r="DC740" s="195"/>
      <c r="DD740" s="195"/>
      <c r="DE740" s="195"/>
      <c r="DF740" s="195"/>
      <c r="DG740" s="1"/>
      <c r="DH740" s="3"/>
      <c r="DL740" s="4"/>
      <c r="DM740" s="4"/>
      <c r="DQ740" s="195"/>
      <c r="DR740" s="195"/>
      <c r="DS740" s="195"/>
      <c r="DT740" s="195"/>
      <c r="DU740" s="195"/>
      <c r="DV740" s="195"/>
      <c r="DW740" s="195"/>
      <c r="DX740" s="195"/>
      <c r="DY740" s="195"/>
      <c r="DZ740" s="195"/>
      <c r="EA740" s="195"/>
      <c r="EB740" s="195"/>
      <c r="EC740" s="195"/>
      <c r="ED740" s="195"/>
      <c r="EE740" s="195"/>
      <c r="EF740" s="195"/>
      <c r="EG740" s="195"/>
      <c r="EL740" s="1"/>
      <c r="EM740" s="195"/>
      <c r="EN740" s="240"/>
      <c r="EO740" s="240"/>
      <c r="EP740" s="195"/>
      <c r="EQ740" s="240"/>
      <c r="ER740" s="195"/>
      <c r="ES740" s="195"/>
      <c r="ET740" s="195"/>
      <c r="EU740" s="736"/>
    </row>
    <row r="741" customFormat="false" ht="12.75" hidden="false" customHeight="false" outlineLevel="0" collapsed="false">
      <c r="I741" s="735"/>
      <c r="J741" s="728"/>
      <c r="K741" s="195"/>
      <c r="L741" s="195"/>
      <c r="Q741" s="195"/>
      <c r="R741" s="195"/>
      <c r="S741" s="240"/>
      <c r="T741" s="195"/>
      <c r="U741" s="195"/>
      <c r="V741" s="195"/>
      <c r="W741" s="195"/>
      <c r="X741" s="195"/>
      <c r="Y741" s="195"/>
      <c r="Z741" s="195"/>
      <c r="AA741" s="195"/>
      <c r="AB741" s="195"/>
      <c r="AC741" s="195"/>
      <c r="AD741" s="195"/>
      <c r="AE741" s="195"/>
      <c r="AF741" s="195"/>
      <c r="AG741" s="195"/>
      <c r="AH741" s="195"/>
      <c r="AI741" s="195"/>
      <c r="AJ741" s="195"/>
      <c r="AK741" s="195"/>
      <c r="AL741" s="195"/>
      <c r="AM741" s="1"/>
      <c r="AN741" s="240"/>
      <c r="AO741" s="240"/>
      <c r="AP741" s="240"/>
      <c r="AQ741" s="240"/>
      <c r="AR741" s="240"/>
      <c r="AS741" s="730"/>
      <c r="AT741" s="730"/>
      <c r="AU741" s="730"/>
      <c r="AV741" s="738"/>
      <c r="AW741" s="738"/>
      <c r="AX741" s="240"/>
      <c r="AY741" s="240"/>
      <c r="AZ741" s="240"/>
      <c r="BA741" s="240"/>
      <c r="BB741" s="240"/>
      <c r="BC741" s="240"/>
      <c r="BD741" s="672"/>
      <c r="BE741" s="731"/>
      <c r="BF741" s="731"/>
      <c r="BG741" s="731"/>
      <c r="BH741" s="672"/>
      <c r="BI741" s="732"/>
      <c r="BJ741" s="240"/>
      <c r="BK741" s="240"/>
      <c r="BL741" s="240"/>
      <c r="BM741" s="240"/>
      <c r="BN741" s="240"/>
      <c r="BO741" s="240"/>
      <c r="BP741" s="240"/>
      <c r="BQ741" s="240"/>
      <c r="BR741" s="240"/>
      <c r="BS741" s="240"/>
      <c r="BT741" s="240"/>
      <c r="BU741" s="240"/>
      <c r="BV741" s="240"/>
      <c r="BW741" s="672"/>
      <c r="BX741" s="672"/>
      <c r="BY741" s="672"/>
      <c r="BZ741" s="672"/>
      <c r="CA741" s="672"/>
      <c r="CB741" s="672"/>
      <c r="CC741" s="672"/>
      <c r="CD741" s="672"/>
      <c r="CE741" s="672"/>
      <c r="CF741" s="672"/>
      <c r="CG741" s="240"/>
      <c r="CH741" s="240"/>
      <c r="CI741" s="240"/>
      <c r="CJ741" s="240"/>
      <c r="CK741" s="240"/>
      <c r="CL741" s="728"/>
      <c r="CM741" s="728"/>
      <c r="CN741" s="195"/>
      <c r="CO741" s="195"/>
      <c r="CP741" s="195"/>
      <c r="CQ741" s="195"/>
      <c r="CR741" s="195"/>
      <c r="CS741" s="195"/>
      <c r="CT741" s="195"/>
      <c r="CU741" s="195"/>
      <c r="CV741" s="195"/>
      <c r="CW741" s="195"/>
      <c r="CX741" s="195"/>
      <c r="CY741" s="195"/>
      <c r="CZ741" s="195"/>
      <c r="DA741" s="195"/>
      <c r="DB741" s="195"/>
      <c r="DC741" s="195"/>
      <c r="DD741" s="195"/>
      <c r="DE741" s="195"/>
      <c r="DF741" s="195"/>
      <c r="DG741" s="1"/>
      <c r="DH741" s="3"/>
      <c r="DL741" s="4"/>
      <c r="DM741" s="4"/>
      <c r="DQ741" s="195"/>
      <c r="DR741" s="195"/>
      <c r="DS741" s="195"/>
      <c r="DT741" s="195"/>
      <c r="DU741" s="195"/>
      <c r="DV741" s="195"/>
      <c r="DW741" s="195"/>
      <c r="DX741" s="195"/>
      <c r="DY741" s="195"/>
      <c r="DZ741" s="195"/>
      <c r="EA741" s="195"/>
      <c r="EB741" s="195"/>
      <c r="EC741" s="195"/>
      <c r="ED741" s="195"/>
      <c r="EE741" s="195"/>
      <c r="EF741" s="195"/>
      <c r="EG741" s="195"/>
      <c r="EL741" s="1"/>
      <c r="EM741" s="195"/>
      <c r="EN741" s="240"/>
      <c r="EO741" s="240"/>
      <c r="EP741" s="195"/>
      <c r="EQ741" s="240"/>
      <c r="ER741" s="195"/>
      <c r="ES741" s="195"/>
      <c r="ET741" s="195"/>
      <c r="EU741" s="736"/>
    </row>
    <row r="742" customFormat="false" ht="12.75" hidden="false" customHeight="false" outlineLevel="0" collapsed="false">
      <c r="I742" s="735"/>
      <c r="J742" s="728"/>
      <c r="K742" s="195"/>
      <c r="L742" s="195"/>
      <c r="Q742" s="195"/>
      <c r="R742" s="195"/>
      <c r="S742" s="240"/>
      <c r="T742" s="195"/>
      <c r="U742" s="195"/>
      <c r="V742" s="195"/>
      <c r="W742" s="195"/>
      <c r="X742" s="195"/>
      <c r="Y742" s="195"/>
      <c r="Z742" s="195"/>
      <c r="AA742" s="195"/>
      <c r="AB742" s="195"/>
      <c r="AC742" s="195"/>
      <c r="AD742" s="195"/>
      <c r="AE742" s="195"/>
      <c r="AF742" s="195"/>
      <c r="AG742" s="195"/>
      <c r="AH742" s="195"/>
      <c r="AI742" s="195"/>
      <c r="AJ742" s="195"/>
      <c r="AK742" s="195"/>
      <c r="AL742" s="195"/>
      <c r="AM742" s="1"/>
      <c r="AN742" s="240"/>
      <c r="AO742" s="240"/>
      <c r="AP742" s="240"/>
      <c r="AQ742" s="240"/>
      <c r="AR742" s="240"/>
      <c r="AS742" s="730"/>
      <c r="AT742" s="730"/>
      <c r="AU742" s="730"/>
      <c r="AV742" s="738"/>
      <c r="AW742" s="738"/>
      <c r="AX742" s="240"/>
      <c r="AY742" s="240"/>
      <c r="AZ742" s="240"/>
      <c r="BA742" s="240"/>
      <c r="BB742" s="240"/>
      <c r="BC742" s="240"/>
      <c r="BD742" s="672"/>
      <c r="BE742" s="731"/>
      <c r="BF742" s="731"/>
      <c r="BG742" s="731"/>
      <c r="BH742" s="672"/>
      <c r="BI742" s="732"/>
      <c r="BJ742" s="240"/>
      <c r="BK742" s="240"/>
      <c r="BL742" s="240"/>
      <c r="BM742" s="240"/>
      <c r="BN742" s="240"/>
      <c r="BO742" s="240"/>
      <c r="BP742" s="240"/>
      <c r="BQ742" s="240"/>
      <c r="BR742" s="240"/>
      <c r="BS742" s="240"/>
      <c r="BT742" s="240"/>
      <c r="BU742" s="240"/>
      <c r="BV742" s="240"/>
      <c r="BW742" s="672"/>
      <c r="BX742" s="672"/>
      <c r="BY742" s="672"/>
      <c r="BZ742" s="672"/>
      <c r="CA742" s="672"/>
      <c r="CB742" s="672"/>
      <c r="CC742" s="672"/>
      <c r="CD742" s="672"/>
      <c r="CE742" s="672"/>
      <c r="CF742" s="672"/>
      <c r="CG742" s="240"/>
      <c r="CH742" s="240"/>
      <c r="CI742" s="240"/>
      <c r="CJ742" s="240"/>
      <c r="CK742" s="240"/>
      <c r="CL742" s="728"/>
      <c r="CM742" s="728"/>
      <c r="CN742" s="195"/>
      <c r="CO742" s="195"/>
      <c r="CP742" s="195"/>
      <c r="CQ742" s="195"/>
      <c r="CR742" s="195"/>
      <c r="CS742" s="195"/>
      <c r="CT742" s="195"/>
      <c r="CU742" s="195"/>
      <c r="CV742" s="195"/>
      <c r="CW742" s="195"/>
      <c r="CX742" s="195"/>
      <c r="CY742" s="195"/>
      <c r="CZ742" s="195"/>
      <c r="DA742" s="195"/>
      <c r="DB742" s="195"/>
      <c r="DC742" s="195"/>
      <c r="DD742" s="195"/>
      <c r="DE742" s="195"/>
      <c r="DF742" s="195"/>
      <c r="DG742" s="1"/>
      <c r="DH742" s="3"/>
      <c r="DL742" s="4"/>
      <c r="DM742" s="4"/>
      <c r="DQ742" s="195"/>
      <c r="DR742" s="195"/>
      <c r="DS742" s="195"/>
      <c r="DT742" s="195"/>
      <c r="DU742" s="195"/>
      <c r="DV742" s="195"/>
      <c r="DW742" s="195"/>
      <c r="DX742" s="195"/>
      <c r="DY742" s="195"/>
      <c r="DZ742" s="195"/>
      <c r="EA742" s="195"/>
      <c r="EB742" s="195"/>
      <c r="EC742" s="195"/>
      <c r="ED742" s="195"/>
      <c r="EE742" s="195"/>
      <c r="EF742" s="195"/>
      <c r="EG742" s="195"/>
      <c r="EL742" s="1"/>
      <c r="EM742" s="195"/>
      <c r="EN742" s="240"/>
      <c r="EO742" s="240"/>
      <c r="EP742" s="195"/>
      <c r="EQ742" s="240"/>
      <c r="ER742" s="195"/>
      <c r="ES742" s="195"/>
      <c r="ET742" s="195"/>
      <c r="EU742" s="736"/>
    </row>
    <row r="743" customFormat="false" ht="12.75" hidden="false" customHeight="false" outlineLevel="0" collapsed="false">
      <c r="I743" s="735"/>
      <c r="J743" s="728"/>
      <c r="K743" s="195"/>
      <c r="L743" s="195"/>
      <c r="Q743" s="195"/>
      <c r="R743" s="195"/>
      <c r="S743" s="240"/>
      <c r="T743" s="195"/>
      <c r="U743" s="195"/>
      <c r="V743" s="195"/>
      <c r="W743" s="195"/>
      <c r="X743" s="195"/>
      <c r="Y743" s="195"/>
      <c r="Z743" s="195"/>
      <c r="AA743" s="195"/>
      <c r="AB743" s="195"/>
      <c r="AC743" s="195"/>
      <c r="AD743" s="195"/>
      <c r="AE743" s="195"/>
      <c r="AF743" s="195"/>
      <c r="AG743" s="195"/>
      <c r="AH743" s="195"/>
      <c r="AI743" s="195"/>
      <c r="AJ743" s="195"/>
      <c r="AK743" s="195"/>
      <c r="AL743" s="195"/>
      <c r="AM743" s="1"/>
      <c r="AN743" s="240"/>
      <c r="AO743" s="240"/>
      <c r="AP743" s="240"/>
      <c r="AQ743" s="240"/>
      <c r="AR743" s="240"/>
      <c r="AS743" s="730"/>
      <c r="AT743" s="730"/>
      <c r="AU743" s="730"/>
      <c r="AV743" s="738"/>
      <c r="AW743" s="738"/>
      <c r="AX743" s="240"/>
      <c r="AY743" s="240"/>
      <c r="AZ743" s="240"/>
      <c r="BA743" s="240"/>
      <c r="BB743" s="240"/>
      <c r="BC743" s="240"/>
      <c r="BD743" s="672"/>
      <c r="BE743" s="731"/>
      <c r="BF743" s="731"/>
      <c r="BG743" s="731"/>
      <c r="BH743" s="672"/>
      <c r="BI743" s="732"/>
      <c r="BJ743" s="240"/>
      <c r="BK743" s="240"/>
      <c r="BL743" s="240"/>
      <c r="BM743" s="240"/>
      <c r="BN743" s="240"/>
      <c r="BO743" s="240"/>
      <c r="BP743" s="240"/>
      <c r="BQ743" s="240"/>
      <c r="BR743" s="240"/>
      <c r="BS743" s="240"/>
      <c r="BT743" s="240"/>
      <c r="BU743" s="240"/>
      <c r="BV743" s="240"/>
      <c r="BW743" s="672"/>
      <c r="BX743" s="672"/>
      <c r="BY743" s="672"/>
      <c r="BZ743" s="672"/>
      <c r="CA743" s="672"/>
      <c r="CB743" s="672"/>
      <c r="CC743" s="672"/>
      <c r="CD743" s="672"/>
      <c r="CE743" s="672"/>
      <c r="CF743" s="672"/>
      <c r="CG743" s="240"/>
      <c r="CH743" s="240"/>
      <c r="CI743" s="240"/>
      <c r="CJ743" s="240"/>
      <c r="CK743" s="240"/>
      <c r="CL743" s="728"/>
      <c r="CM743" s="728"/>
      <c r="CN743" s="195"/>
      <c r="CO743" s="195"/>
      <c r="CP743" s="195"/>
      <c r="CQ743" s="195"/>
      <c r="CR743" s="195"/>
      <c r="CS743" s="195"/>
      <c r="CT743" s="195"/>
      <c r="CU743" s="195"/>
      <c r="CV743" s="195"/>
      <c r="CW743" s="195"/>
      <c r="CX743" s="195"/>
      <c r="CY743" s="195"/>
      <c r="CZ743" s="195"/>
      <c r="DA743" s="195"/>
      <c r="DB743" s="195"/>
      <c r="DC743" s="195"/>
      <c r="DD743" s="195"/>
      <c r="DE743" s="195"/>
      <c r="DF743" s="195"/>
      <c r="DG743" s="1"/>
      <c r="DH743" s="3"/>
      <c r="DL743" s="4"/>
      <c r="DM743" s="4"/>
      <c r="DQ743" s="195"/>
      <c r="DR743" s="195"/>
      <c r="DS743" s="195"/>
      <c r="DT743" s="195"/>
      <c r="DU743" s="195"/>
      <c r="DV743" s="195"/>
      <c r="DW743" s="195"/>
      <c r="DX743" s="195"/>
      <c r="DY743" s="195"/>
      <c r="DZ743" s="195"/>
      <c r="EA743" s="195"/>
      <c r="EB743" s="195"/>
      <c r="EC743" s="195"/>
      <c r="ED743" s="195"/>
      <c r="EE743" s="195"/>
      <c r="EF743" s="195"/>
      <c r="EG743" s="195"/>
      <c r="EL743" s="1"/>
      <c r="EM743" s="195"/>
      <c r="EN743" s="240"/>
      <c r="EO743" s="240"/>
      <c r="EP743" s="195"/>
      <c r="EQ743" s="240"/>
      <c r="ER743" s="195"/>
      <c r="ES743" s="195"/>
      <c r="ET743" s="195"/>
      <c r="EU743" s="736"/>
    </row>
    <row r="744" customFormat="false" ht="12.75" hidden="false" customHeight="false" outlineLevel="0" collapsed="false">
      <c r="I744" s="735"/>
      <c r="J744" s="728"/>
      <c r="K744" s="195"/>
      <c r="L744" s="195"/>
      <c r="Q744" s="195"/>
      <c r="R744" s="195"/>
      <c r="S744" s="240"/>
      <c r="T744" s="195"/>
      <c r="U744" s="195"/>
      <c r="V744" s="195"/>
      <c r="W744" s="195"/>
      <c r="X744" s="195"/>
      <c r="Y744" s="195"/>
      <c r="Z744" s="195"/>
      <c r="AA744" s="195"/>
      <c r="AB744" s="195"/>
      <c r="AC744" s="195"/>
      <c r="AD744" s="195"/>
      <c r="AE744" s="195"/>
      <c r="AF744" s="195"/>
      <c r="AG744" s="195"/>
      <c r="AH744" s="195"/>
      <c r="AI744" s="195"/>
      <c r="AJ744" s="195"/>
      <c r="AK744" s="195"/>
      <c r="AL744" s="195"/>
      <c r="AM744" s="1"/>
      <c r="AN744" s="240"/>
      <c r="AO744" s="240"/>
      <c r="AP744" s="240"/>
      <c r="AQ744" s="240"/>
      <c r="AR744" s="240"/>
      <c r="AS744" s="730"/>
      <c r="AT744" s="730"/>
      <c r="AU744" s="730"/>
      <c r="AV744" s="738"/>
      <c r="AW744" s="738"/>
      <c r="AX744" s="240"/>
      <c r="AY744" s="240"/>
      <c r="AZ744" s="240"/>
      <c r="BA744" s="240"/>
      <c r="BB744" s="240"/>
      <c r="BC744" s="240"/>
      <c r="BD744" s="672"/>
      <c r="BE744" s="731"/>
      <c r="BF744" s="731"/>
      <c r="BG744" s="731"/>
      <c r="BH744" s="672"/>
      <c r="BI744" s="732"/>
      <c r="BJ744" s="240"/>
      <c r="BK744" s="240"/>
      <c r="BL744" s="240"/>
      <c r="BM744" s="240"/>
      <c r="BN744" s="240"/>
      <c r="BO744" s="240"/>
      <c r="BP744" s="240"/>
      <c r="BQ744" s="240"/>
      <c r="BR744" s="240"/>
      <c r="BS744" s="240"/>
      <c r="BT744" s="240"/>
      <c r="BU744" s="240"/>
      <c r="BV744" s="240"/>
      <c r="BW744" s="672"/>
      <c r="BX744" s="672"/>
      <c r="BY744" s="672"/>
      <c r="BZ744" s="672"/>
      <c r="CA744" s="672"/>
      <c r="CB744" s="672"/>
      <c r="CC744" s="672"/>
      <c r="CD744" s="672"/>
      <c r="CE744" s="672"/>
      <c r="CF744" s="672"/>
      <c r="CG744" s="240"/>
      <c r="CH744" s="240"/>
      <c r="CI744" s="240"/>
      <c r="CJ744" s="240"/>
      <c r="CK744" s="240"/>
      <c r="CL744" s="728"/>
      <c r="CM744" s="728"/>
      <c r="CN744" s="195"/>
      <c r="CO744" s="195"/>
      <c r="CP744" s="195"/>
      <c r="CQ744" s="195"/>
      <c r="CR744" s="195"/>
      <c r="CS744" s="195"/>
      <c r="CT744" s="195"/>
      <c r="CU744" s="195"/>
      <c r="CV744" s="195"/>
      <c r="CW744" s="195"/>
      <c r="CX744" s="195"/>
      <c r="CY744" s="195"/>
      <c r="CZ744" s="195"/>
      <c r="DA744" s="195"/>
      <c r="DB744" s="195"/>
      <c r="DC744" s="195"/>
      <c r="DD744" s="195"/>
      <c r="DE744" s="195"/>
      <c r="DF744" s="195"/>
      <c r="DG744" s="1"/>
      <c r="DH744" s="3"/>
      <c r="DL744" s="4"/>
      <c r="DM744" s="4"/>
      <c r="DQ744" s="195"/>
      <c r="DR744" s="195"/>
      <c r="DS744" s="195"/>
      <c r="DT744" s="195"/>
      <c r="DU744" s="195"/>
      <c r="DV744" s="195"/>
      <c r="DW744" s="195"/>
      <c r="DX744" s="195"/>
      <c r="DY744" s="195"/>
      <c r="DZ744" s="195"/>
      <c r="EA744" s="195"/>
      <c r="EB744" s="195"/>
      <c r="EC744" s="195"/>
      <c r="ED744" s="195"/>
      <c r="EE744" s="195"/>
      <c r="EF744" s="195"/>
      <c r="EG744" s="195"/>
      <c r="EL744" s="1"/>
      <c r="EM744" s="195"/>
      <c r="EN744" s="240"/>
      <c r="EO744" s="240"/>
      <c r="EP744" s="195"/>
      <c r="EQ744" s="240"/>
      <c r="ER744" s="195"/>
      <c r="ES744" s="195"/>
      <c r="ET744" s="195"/>
      <c r="EU744" s="736"/>
    </row>
    <row r="745" customFormat="false" ht="12.75" hidden="false" customHeight="false" outlineLevel="0" collapsed="false">
      <c r="I745" s="735"/>
      <c r="J745" s="728"/>
      <c r="K745" s="195"/>
      <c r="L745" s="195"/>
      <c r="Q745" s="195"/>
      <c r="R745" s="195"/>
      <c r="S745" s="240"/>
      <c r="T745" s="195"/>
      <c r="U745" s="195"/>
      <c r="V745" s="195"/>
      <c r="W745" s="195"/>
      <c r="X745" s="195"/>
      <c r="Y745" s="195"/>
      <c r="Z745" s="195"/>
      <c r="AA745" s="195"/>
      <c r="AB745" s="195"/>
      <c r="AC745" s="195"/>
      <c r="AD745" s="195"/>
      <c r="AE745" s="195"/>
      <c r="AF745" s="195"/>
      <c r="AG745" s="195"/>
      <c r="AH745" s="195"/>
      <c r="AI745" s="195"/>
      <c r="AJ745" s="195"/>
      <c r="AK745" s="195"/>
      <c r="AL745" s="195"/>
      <c r="AM745" s="1"/>
      <c r="AN745" s="240"/>
      <c r="AO745" s="240"/>
      <c r="AP745" s="240"/>
      <c r="AQ745" s="240"/>
      <c r="AR745" s="240"/>
      <c r="AS745" s="730"/>
      <c r="AT745" s="730"/>
      <c r="AU745" s="730"/>
      <c r="AV745" s="738"/>
      <c r="AW745" s="738"/>
      <c r="AX745" s="240"/>
      <c r="AY745" s="240"/>
      <c r="AZ745" s="240"/>
      <c r="BA745" s="240"/>
      <c r="BB745" s="240"/>
      <c r="BC745" s="240"/>
      <c r="BD745" s="672"/>
      <c r="BE745" s="731"/>
      <c r="BF745" s="731"/>
      <c r="BG745" s="731"/>
      <c r="BH745" s="672"/>
      <c r="BI745" s="732"/>
      <c r="BJ745" s="240"/>
      <c r="BK745" s="240"/>
      <c r="BL745" s="240"/>
      <c r="BM745" s="240"/>
      <c r="BN745" s="240"/>
      <c r="BO745" s="240"/>
      <c r="BP745" s="240"/>
      <c r="BQ745" s="240"/>
      <c r="BR745" s="240"/>
      <c r="BS745" s="240"/>
      <c r="BT745" s="240"/>
      <c r="BU745" s="240"/>
      <c r="BV745" s="240"/>
      <c r="BW745" s="672"/>
      <c r="BX745" s="672"/>
      <c r="BY745" s="672"/>
      <c r="BZ745" s="672"/>
      <c r="CA745" s="672"/>
      <c r="CB745" s="672"/>
      <c r="CC745" s="672"/>
      <c r="CD745" s="672"/>
      <c r="CE745" s="672"/>
      <c r="CF745" s="672"/>
      <c r="CG745" s="240"/>
      <c r="CH745" s="240"/>
      <c r="CI745" s="240"/>
      <c r="CJ745" s="240"/>
      <c r="CK745" s="240"/>
      <c r="CL745" s="728"/>
      <c r="CM745" s="728"/>
      <c r="CN745" s="195"/>
      <c r="CO745" s="195"/>
      <c r="CP745" s="195"/>
      <c r="CQ745" s="195"/>
      <c r="CR745" s="195"/>
      <c r="CS745" s="195"/>
      <c r="CT745" s="195"/>
      <c r="CU745" s="195"/>
      <c r="CV745" s="195"/>
      <c r="CW745" s="195"/>
      <c r="CX745" s="195"/>
      <c r="CY745" s="195"/>
      <c r="CZ745" s="195"/>
      <c r="DA745" s="195"/>
      <c r="DB745" s="195"/>
      <c r="DC745" s="195"/>
      <c r="DD745" s="195"/>
      <c r="DE745" s="195"/>
      <c r="DF745" s="195"/>
      <c r="DG745" s="1"/>
      <c r="DH745" s="3"/>
      <c r="DL745" s="4"/>
      <c r="DM745" s="4"/>
      <c r="DQ745" s="195"/>
      <c r="DR745" s="195"/>
      <c r="DS745" s="195"/>
      <c r="DT745" s="195"/>
      <c r="DU745" s="195"/>
      <c r="DV745" s="195"/>
      <c r="DW745" s="195"/>
      <c r="DX745" s="195"/>
      <c r="DY745" s="195"/>
      <c r="DZ745" s="195"/>
      <c r="EA745" s="195"/>
      <c r="EB745" s="195"/>
      <c r="EC745" s="195"/>
      <c r="ED745" s="195"/>
      <c r="EE745" s="195"/>
      <c r="EF745" s="195"/>
      <c r="EG745" s="195"/>
      <c r="EL745" s="1"/>
      <c r="EM745" s="195"/>
      <c r="EN745" s="240"/>
      <c r="EO745" s="240"/>
      <c r="EP745" s="195"/>
      <c r="EQ745" s="240"/>
      <c r="ER745" s="195"/>
      <c r="ES745" s="195"/>
      <c r="ET745" s="195"/>
      <c r="EU745" s="736"/>
    </row>
    <row r="746" customFormat="false" ht="12.75" hidden="false" customHeight="false" outlineLevel="0" collapsed="false">
      <c r="I746" s="735"/>
      <c r="J746" s="728"/>
      <c r="K746" s="195"/>
      <c r="L746" s="195"/>
      <c r="Q746" s="195"/>
      <c r="R746" s="195"/>
      <c r="S746" s="240"/>
      <c r="T746" s="195"/>
      <c r="U746" s="195"/>
      <c r="V746" s="195"/>
      <c r="W746" s="195"/>
      <c r="X746" s="195"/>
      <c r="Y746" s="195"/>
      <c r="Z746" s="195"/>
      <c r="AA746" s="195"/>
      <c r="AB746" s="195"/>
      <c r="AC746" s="195"/>
      <c r="AD746" s="195"/>
      <c r="AE746" s="195"/>
      <c r="AF746" s="195"/>
      <c r="AG746" s="195"/>
      <c r="AH746" s="195"/>
      <c r="AI746" s="195"/>
      <c r="AJ746" s="195"/>
      <c r="AK746" s="195"/>
      <c r="AL746" s="195"/>
      <c r="AM746" s="1"/>
      <c r="AN746" s="240"/>
      <c r="AO746" s="240"/>
      <c r="AP746" s="240"/>
      <c r="AQ746" s="240"/>
      <c r="AR746" s="240"/>
      <c r="AS746" s="730"/>
      <c r="AT746" s="730"/>
      <c r="AU746" s="730"/>
      <c r="AV746" s="738"/>
      <c r="AW746" s="738"/>
      <c r="AX746" s="240"/>
      <c r="AY746" s="240"/>
      <c r="AZ746" s="240"/>
      <c r="BA746" s="240"/>
      <c r="BB746" s="240"/>
      <c r="BC746" s="240"/>
      <c r="BD746" s="672"/>
      <c r="BE746" s="731"/>
      <c r="BF746" s="731"/>
      <c r="BG746" s="731"/>
      <c r="BH746" s="672"/>
      <c r="BI746" s="732"/>
      <c r="BJ746" s="240"/>
      <c r="BK746" s="240"/>
      <c r="BL746" s="240"/>
      <c r="BM746" s="240"/>
      <c r="BN746" s="240"/>
      <c r="BO746" s="240"/>
      <c r="BP746" s="240"/>
      <c r="BQ746" s="240"/>
      <c r="BR746" s="240"/>
      <c r="BS746" s="240"/>
      <c r="BT746" s="240"/>
      <c r="BU746" s="240"/>
      <c r="BV746" s="240"/>
      <c r="BW746" s="672"/>
      <c r="BX746" s="672"/>
      <c r="BY746" s="672"/>
      <c r="BZ746" s="672"/>
      <c r="CA746" s="672"/>
      <c r="CB746" s="672"/>
      <c r="CC746" s="672"/>
      <c r="CD746" s="672"/>
      <c r="CE746" s="672"/>
      <c r="CF746" s="672"/>
      <c r="CG746" s="240"/>
      <c r="CH746" s="240"/>
      <c r="CI746" s="240"/>
      <c r="CJ746" s="240"/>
      <c r="CK746" s="240"/>
      <c r="CL746" s="728"/>
      <c r="CM746" s="728"/>
      <c r="CN746" s="195"/>
      <c r="CO746" s="195"/>
      <c r="CP746" s="195"/>
      <c r="CQ746" s="195"/>
      <c r="CR746" s="195"/>
      <c r="CS746" s="195"/>
      <c r="CT746" s="195"/>
      <c r="CU746" s="195"/>
      <c r="CV746" s="195"/>
      <c r="CW746" s="195"/>
      <c r="CX746" s="195"/>
      <c r="CY746" s="195"/>
      <c r="CZ746" s="195"/>
      <c r="DA746" s="195"/>
      <c r="DB746" s="195"/>
      <c r="DC746" s="195"/>
      <c r="DD746" s="195"/>
      <c r="DE746" s="195"/>
      <c r="DF746" s="195"/>
      <c r="DG746" s="1"/>
      <c r="DH746" s="3"/>
      <c r="DL746" s="4"/>
      <c r="DM746" s="4"/>
      <c r="DQ746" s="195"/>
      <c r="DR746" s="195"/>
      <c r="DS746" s="195"/>
      <c r="DT746" s="195"/>
      <c r="DU746" s="195"/>
      <c r="DV746" s="195"/>
      <c r="DW746" s="195"/>
      <c r="DX746" s="195"/>
      <c r="DY746" s="195"/>
      <c r="DZ746" s="195"/>
      <c r="EA746" s="195"/>
      <c r="EB746" s="195"/>
      <c r="EC746" s="195"/>
      <c r="ED746" s="195"/>
      <c r="EE746" s="195"/>
      <c r="EF746" s="195"/>
      <c r="EG746" s="195"/>
      <c r="EL746" s="1"/>
      <c r="EM746" s="195"/>
      <c r="EN746" s="240"/>
      <c r="EO746" s="240"/>
      <c r="EP746" s="195"/>
      <c r="EQ746" s="240"/>
      <c r="ER746" s="195"/>
      <c r="ES746" s="195"/>
      <c r="ET746" s="195"/>
      <c r="EU746" s="736"/>
    </row>
    <row r="747" customFormat="false" ht="12.75" hidden="false" customHeight="false" outlineLevel="0" collapsed="false">
      <c r="I747" s="735"/>
      <c r="J747" s="728"/>
      <c r="K747" s="195"/>
      <c r="L747" s="195"/>
      <c r="Q747" s="195"/>
      <c r="R747" s="195"/>
      <c r="S747" s="240"/>
      <c r="T747" s="195"/>
      <c r="U747" s="195"/>
      <c r="V747" s="195"/>
      <c r="W747" s="195"/>
      <c r="X747" s="195"/>
      <c r="Y747" s="195"/>
      <c r="Z747" s="195"/>
      <c r="AA747" s="195"/>
      <c r="AB747" s="195"/>
      <c r="AC747" s="195"/>
      <c r="AD747" s="195"/>
      <c r="AE747" s="195"/>
      <c r="AF747" s="195"/>
      <c r="AG747" s="195"/>
      <c r="AH747" s="195"/>
      <c r="AI747" s="195"/>
      <c r="AJ747" s="195"/>
      <c r="AK747" s="195"/>
      <c r="AL747" s="195"/>
      <c r="AM747" s="1"/>
      <c r="AN747" s="240"/>
      <c r="AO747" s="240"/>
      <c r="AP747" s="240"/>
      <c r="AQ747" s="240"/>
      <c r="AR747" s="240"/>
      <c r="AS747" s="730"/>
      <c r="AT747" s="730"/>
      <c r="AU747" s="730"/>
      <c r="AV747" s="738"/>
      <c r="AW747" s="738"/>
      <c r="AX747" s="240"/>
      <c r="AY747" s="240"/>
      <c r="AZ747" s="240"/>
      <c r="BA747" s="240"/>
      <c r="BB747" s="240"/>
      <c r="BC747" s="240"/>
      <c r="BD747" s="672"/>
      <c r="BE747" s="731"/>
      <c r="BF747" s="731"/>
      <c r="BG747" s="731"/>
      <c r="BH747" s="672"/>
      <c r="BI747" s="732"/>
      <c r="BJ747" s="240"/>
      <c r="BK747" s="240"/>
      <c r="BL747" s="240"/>
      <c r="BM747" s="240"/>
      <c r="BN747" s="240"/>
      <c r="BO747" s="240"/>
      <c r="BP747" s="240"/>
      <c r="BQ747" s="240"/>
      <c r="BR747" s="240"/>
      <c r="BS747" s="240"/>
      <c r="BT747" s="240"/>
      <c r="BU747" s="240"/>
      <c r="BV747" s="240"/>
      <c r="BW747" s="672"/>
      <c r="BX747" s="672"/>
      <c r="BY747" s="672"/>
      <c r="BZ747" s="672"/>
      <c r="CA747" s="672"/>
      <c r="CB747" s="672"/>
      <c r="CC747" s="672"/>
      <c r="CD747" s="672"/>
      <c r="CE747" s="672"/>
      <c r="CF747" s="672"/>
      <c r="CG747" s="240"/>
      <c r="CH747" s="240"/>
      <c r="CI747" s="240"/>
      <c r="CJ747" s="240"/>
      <c r="CK747" s="240"/>
      <c r="CL747" s="728"/>
      <c r="CM747" s="728"/>
      <c r="CN747" s="195"/>
      <c r="CO747" s="195"/>
      <c r="CP747" s="195"/>
      <c r="CQ747" s="195"/>
      <c r="CR747" s="195"/>
      <c r="CS747" s="195"/>
      <c r="CT747" s="195"/>
      <c r="CU747" s="195"/>
      <c r="CV747" s="195"/>
      <c r="CW747" s="195"/>
      <c r="CX747" s="195"/>
      <c r="CY747" s="195"/>
      <c r="CZ747" s="195"/>
      <c r="DA747" s="195"/>
      <c r="DB747" s="195"/>
      <c r="DC747" s="195"/>
      <c r="DD747" s="195"/>
      <c r="DE747" s="195"/>
      <c r="DF747" s="195"/>
      <c r="DG747" s="1"/>
      <c r="DH747" s="3"/>
      <c r="DL747" s="4"/>
      <c r="DM747" s="4"/>
      <c r="DQ747" s="195"/>
      <c r="DR747" s="195"/>
      <c r="DS747" s="195"/>
      <c r="DT747" s="195"/>
      <c r="DU747" s="195"/>
      <c r="DV747" s="195"/>
      <c r="DW747" s="195"/>
      <c r="DX747" s="195"/>
      <c r="DY747" s="195"/>
      <c r="DZ747" s="195"/>
      <c r="EA747" s="195"/>
      <c r="EB747" s="195"/>
      <c r="EC747" s="195"/>
      <c r="ED747" s="195"/>
      <c r="EE747" s="195"/>
      <c r="EF747" s="195"/>
      <c r="EG747" s="195"/>
      <c r="EL747" s="1"/>
      <c r="EM747" s="195"/>
      <c r="EN747" s="240"/>
      <c r="EO747" s="240"/>
      <c r="EP747" s="195"/>
      <c r="EQ747" s="240"/>
      <c r="ER747" s="195"/>
      <c r="ES747" s="195"/>
      <c r="ET747" s="195"/>
      <c r="EU747" s="736"/>
    </row>
    <row r="748" customFormat="false" ht="12.75" hidden="false" customHeight="false" outlineLevel="0" collapsed="false">
      <c r="I748" s="735"/>
      <c r="J748" s="728"/>
      <c r="K748" s="195"/>
      <c r="L748" s="195"/>
      <c r="Q748" s="195"/>
      <c r="R748" s="195"/>
      <c r="S748" s="240"/>
      <c r="T748" s="195"/>
      <c r="U748" s="195"/>
      <c r="V748" s="195"/>
      <c r="W748" s="195"/>
      <c r="X748" s="195"/>
      <c r="Y748" s="195"/>
      <c r="Z748" s="195"/>
      <c r="AA748" s="195"/>
      <c r="AB748" s="195"/>
      <c r="AC748" s="195"/>
      <c r="AD748" s="195"/>
      <c r="AE748" s="195"/>
      <c r="AF748" s="195"/>
      <c r="AG748" s="195"/>
      <c r="AH748" s="195"/>
      <c r="AI748" s="195"/>
      <c r="AJ748" s="195"/>
      <c r="AK748" s="195"/>
      <c r="AL748" s="195"/>
      <c r="AM748" s="1"/>
      <c r="AN748" s="240"/>
      <c r="AO748" s="240"/>
      <c r="AP748" s="240"/>
      <c r="AQ748" s="240"/>
      <c r="AR748" s="240"/>
      <c r="AS748" s="730"/>
      <c r="AT748" s="730"/>
      <c r="AU748" s="730"/>
      <c r="AV748" s="738"/>
      <c r="AW748" s="738"/>
      <c r="AX748" s="240"/>
      <c r="AY748" s="240"/>
      <c r="AZ748" s="240"/>
      <c r="BA748" s="240"/>
      <c r="BB748" s="240"/>
      <c r="BC748" s="240"/>
      <c r="BD748" s="672"/>
      <c r="BE748" s="731"/>
      <c r="BF748" s="731"/>
      <c r="BG748" s="731"/>
      <c r="BH748" s="672"/>
      <c r="BI748" s="732"/>
      <c r="BJ748" s="240"/>
      <c r="BK748" s="240"/>
      <c r="BL748" s="240"/>
      <c r="BM748" s="240"/>
      <c r="BN748" s="240"/>
      <c r="BO748" s="240"/>
      <c r="BP748" s="240"/>
      <c r="BQ748" s="240"/>
      <c r="BR748" s="240"/>
      <c r="BS748" s="240"/>
      <c r="BT748" s="240"/>
      <c r="BU748" s="240"/>
      <c r="BV748" s="240"/>
      <c r="BW748" s="672"/>
      <c r="BX748" s="672"/>
      <c r="BY748" s="672"/>
      <c r="BZ748" s="672"/>
      <c r="CA748" s="672"/>
      <c r="CB748" s="672"/>
      <c r="CC748" s="672"/>
      <c r="CD748" s="672"/>
      <c r="CE748" s="672"/>
      <c r="CF748" s="672"/>
      <c r="CG748" s="240"/>
      <c r="CH748" s="240"/>
      <c r="CI748" s="240"/>
      <c r="CJ748" s="240"/>
      <c r="CK748" s="240"/>
      <c r="CL748" s="728"/>
      <c r="CM748" s="728"/>
      <c r="CN748" s="195"/>
      <c r="CO748" s="195"/>
      <c r="CP748" s="195"/>
      <c r="CQ748" s="195"/>
      <c r="CR748" s="195"/>
      <c r="CS748" s="195"/>
      <c r="CT748" s="195"/>
      <c r="CU748" s="195"/>
      <c r="CV748" s="195"/>
      <c r="CW748" s="195"/>
      <c r="CX748" s="195"/>
      <c r="CY748" s="195"/>
      <c r="CZ748" s="195"/>
      <c r="DA748" s="195"/>
      <c r="DB748" s="195"/>
      <c r="DC748" s="195"/>
      <c r="DD748" s="195"/>
      <c r="DE748" s="195"/>
      <c r="DF748" s="195"/>
      <c r="DG748" s="1"/>
      <c r="DH748" s="3"/>
      <c r="DL748" s="4"/>
      <c r="DM748" s="4"/>
      <c r="DQ748" s="195"/>
      <c r="DR748" s="195"/>
      <c r="DS748" s="195"/>
      <c r="DT748" s="195"/>
      <c r="DU748" s="195"/>
      <c r="DV748" s="195"/>
      <c r="DW748" s="195"/>
      <c r="DX748" s="195"/>
      <c r="DY748" s="195"/>
      <c r="DZ748" s="195"/>
      <c r="EA748" s="195"/>
      <c r="EB748" s="195"/>
      <c r="EC748" s="195"/>
      <c r="ED748" s="195"/>
      <c r="EE748" s="195"/>
      <c r="EF748" s="195"/>
      <c r="EG748" s="195"/>
      <c r="EL748" s="1"/>
      <c r="EM748" s="195"/>
      <c r="EN748" s="240"/>
      <c r="EO748" s="240"/>
      <c r="EP748" s="195"/>
      <c r="EQ748" s="240"/>
      <c r="ER748" s="195"/>
      <c r="ES748" s="195"/>
      <c r="ET748" s="195"/>
      <c r="EU748" s="736"/>
    </row>
    <row r="749" customFormat="false" ht="12.75" hidden="false" customHeight="false" outlineLevel="0" collapsed="false">
      <c r="I749" s="735"/>
      <c r="J749" s="728"/>
      <c r="K749" s="195"/>
      <c r="L749" s="195"/>
      <c r="Q749" s="195"/>
      <c r="R749" s="195"/>
      <c r="S749" s="240"/>
      <c r="T749" s="195"/>
      <c r="U749" s="195"/>
      <c r="V749" s="195"/>
      <c r="W749" s="195"/>
      <c r="X749" s="195"/>
      <c r="Y749" s="195"/>
      <c r="Z749" s="195"/>
      <c r="AA749" s="195"/>
      <c r="AB749" s="195"/>
      <c r="AC749" s="195"/>
      <c r="AD749" s="195"/>
      <c r="AE749" s="195"/>
      <c r="AF749" s="195"/>
      <c r="AG749" s="195"/>
      <c r="AH749" s="195"/>
      <c r="AI749" s="195"/>
      <c r="AJ749" s="195"/>
      <c r="AK749" s="195"/>
      <c r="AL749" s="195"/>
      <c r="AM749" s="1"/>
      <c r="AN749" s="240"/>
      <c r="AO749" s="240"/>
      <c r="AP749" s="240"/>
      <c r="AQ749" s="240"/>
      <c r="AR749" s="240"/>
      <c r="AS749" s="730"/>
      <c r="AT749" s="730"/>
      <c r="AU749" s="730"/>
      <c r="AV749" s="738"/>
      <c r="AW749" s="738"/>
      <c r="AX749" s="240"/>
      <c r="AY749" s="240"/>
      <c r="AZ749" s="240"/>
      <c r="BA749" s="240"/>
      <c r="BB749" s="240"/>
      <c r="BC749" s="240"/>
      <c r="BD749" s="672"/>
      <c r="BE749" s="731"/>
      <c r="BF749" s="731"/>
      <c r="BG749" s="731"/>
      <c r="BH749" s="672"/>
      <c r="BI749" s="732"/>
      <c r="BJ749" s="240"/>
      <c r="BK749" s="240"/>
      <c r="BL749" s="240"/>
      <c r="BM749" s="240"/>
      <c r="BN749" s="240"/>
      <c r="BO749" s="240"/>
      <c r="BP749" s="240"/>
      <c r="BQ749" s="240"/>
      <c r="BR749" s="240"/>
      <c r="BS749" s="240"/>
      <c r="BT749" s="240"/>
      <c r="BU749" s="240"/>
      <c r="BV749" s="240"/>
      <c r="BW749" s="672"/>
      <c r="BX749" s="672"/>
      <c r="BY749" s="672"/>
      <c r="BZ749" s="672"/>
      <c r="CA749" s="672"/>
      <c r="CB749" s="672"/>
      <c r="CC749" s="672"/>
      <c r="CD749" s="672"/>
      <c r="CE749" s="672"/>
      <c r="CF749" s="672"/>
      <c r="CG749" s="240"/>
      <c r="CH749" s="240"/>
      <c r="CI749" s="240"/>
      <c r="CJ749" s="240"/>
      <c r="CK749" s="240"/>
      <c r="CL749" s="728"/>
      <c r="CM749" s="728"/>
      <c r="CN749" s="195"/>
      <c r="CO749" s="195"/>
      <c r="CP749" s="195"/>
      <c r="CQ749" s="195"/>
      <c r="CR749" s="195"/>
      <c r="CS749" s="195"/>
      <c r="CT749" s="195"/>
      <c r="CU749" s="195"/>
      <c r="CV749" s="195"/>
      <c r="CW749" s="195"/>
      <c r="CX749" s="195"/>
      <c r="CY749" s="195"/>
      <c r="CZ749" s="195"/>
      <c r="DA749" s="195"/>
      <c r="DB749" s="195"/>
      <c r="DC749" s="195"/>
      <c r="DD749" s="195"/>
      <c r="DE749" s="195"/>
      <c r="DF749" s="195"/>
      <c r="DG749" s="1"/>
      <c r="DH749" s="3"/>
      <c r="DL749" s="4"/>
      <c r="DM749" s="4"/>
      <c r="DQ749" s="195"/>
      <c r="DR749" s="195"/>
      <c r="DS749" s="195"/>
      <c r="DT749" s="195"/>
      <c r="DU749" s="195"/>
      <c r="DV749" s="195"/>
      <c r="DW749" s="195"/>
      <c r="DX749" s="195"/>
      <c r="DY749" s="195"/>
      <c r="DZ749" s="195"/>
      <c r="EA749" s="195"/>
      <c r="EB749" s="195"/>
      <c r="EC749" s="195"/>
      <c r="ED749" s="195"/>
      <c r="EE749" s="195"/>
      <c r="EF749" s="195"/>
      <c r="EG749" s="195"/>
      <c r="EL749" s="1"/>
      <c r="EM749" s="195"/>
      <c r="EN749" s="240"/>
      <c r="EO749" s="240"/>
      <c r="EP749" s="195"/>
      <c r="EQ749" s="240"/>
      <c r="ER749" s="195"/>
      <c r="ES749" s="195"/>
      <c r="ET749" s="195"/>
      <c r="EU749" s="736"/>
    </row>
    <row r="750" customFormat="false" ht="12.75" hidden="false" customHeight="false" outlineLevel="0" collapsed="false">
      <c r="I750" s="735"/>
      <c r="J750" s="728"/>
      <c r="K750" s="195"/>
      <c r="L750" s="195"/>
      <c r="Q750" s="195"/>
      <c r="R750" s="195"/>
      <c r="S750" s="240"/>
      <c r="T750" s="195"/>
      <c r="U750" s="195"/>
      <c r="V750" s="195"/>
      <c r="W750" s="195"/>
      <c r="X750" s="195"/>
      <c r="Y750" s="195"/>
      <c r="Z750" s="195"/>
      <c r="AA750" s="195"/>
      <c r="AB750" s="195"/>
      <c r="AC750" s="195"/>
      <c r="AD750" s="195"/>
      <c r="AE750" s="195"/>
      <c r="AF750" s="195"/>
      <c r="AG750" s="195"/>
      <c r="AH750" s="195"/>
      <c r="AI750" s="195"/>
      <c r="AJ750" s="195"/>
      <c r="AK750" s="195"/>
      <c r="AL750" s="195"/>
      <c r="AM750" s="1"/>
      <c r="AN750" s="240"/>
      <c r="AO750" s="240"/>
      <c r="AP750" s="240"/>
      <c r="AQ750" s="240"/>
      <c r="AR750" s="240"/>
      <c r="AS750" s="730"/>
      <c r="AT750" s="730"/>
      <c r="AU750" s="730"/>
      <c r="AV750" s="738"/>
      <c r="AW750" s="738"/>
      <c r="AX750" s="240"/>
      <c r="AY750" s="240"/>
      <c r="AZ750" s="240"/>
      <c r="BA750" s="240"/>
      <c r="BB750" s="240"/>
      <c r="BC750" s="240"/>
      <c r="BD750" s="672"/>
      <c r="BE750" s="731"/>
      <c r="BF750" s="731"/>
      <c r="BG750" s="731"/>
      <c r="BH750" s="672"/>
      <c r="BI750" s="732"/>
      <c r="BJ750" s="240"/>
      <c r="BK750" s="240"/>
      <c r="BL750" s="240"/>
      <c r="BM750" s="240"/>
      <c r="BN750" s="240"/>
      <c r="BO750" s="240"/>
      <c r="BP750" s="240"/>
      <c r="BQ750" s="240"/>
      <c r="BR750" s="240"/>
      <c r="BS750" s="240"/>
      <c r="BT750" s="240"/>
      <c r="BU750" s="240"/>
      <c r="BV750" s="240"/>
      <c r="BW750" s="672"/>
      <c r="BX750" s="672"/>
      <c r="BY750" s="672"/>
      <c r="BZ750" s="672"/>
      <c r="CA750" s="672"/>
      <c r="CB750" s="672"/>
      <c r="CC750" s="672"/>
      <c r="CD750" s="672"/>
      <c r="CE750" s="672"/>
      <c r="CF750" s="672"/>
      <c r="CG750" s="240"/>
      <c r="CH750" s="240"/>
      <c r="CI750" s="240"/>
      <c r="CJ750" s="240"/>
      <c r="CK750" s="240"/>
      <c r="CL750" s="728"/>
      <c r="CM750" s="728"/>
      <c r="CN750" s="195"/>
      <c r="CO750" s="195"/>
      <c r="CP750" s="195"/>
      <c r="CQ750" s="195"/>
      <c r="CR750" s="195"/>
      <c r="CS750" s="195"/>
      <c r="CT750" s="195"/>
      <c r="CU750" s="195"/>
      <c r="CV750" s="195"/>
      <c r="CW750" s="195"/>
      <c r="CX750" s="195"/>
      <c r="CY750" s="195"/>
      <c r="CZ750" s="195"/>
      <c r="DA750" s="195"/>
      <c r="DB750" s="195"/>
      <c r="DC750" s="195"/>
      <c r="DD750" s="195"/>
      <c r="DE750" s="195"/>
      <c r="DF750" s="195"/>
      <c r="DG750" s="1"/>
      <c r="DH750" s="3"/>
      <c r="DL750" s="4"/>
      <c r="DM750" s="4"/>
      <c r="DQ750" s="195"/>
      <c r="DR750" s="195"/>
      <c r="DS750" s="195"/>
      <c r="DT750" s="195"/>
      <c r="DU750" s="195"/>
      <c r="DV750" s="195"/>
      <c r="DW750" s="195"/>
      <c r="DX750" s="195"/>
      <c r="DY750" s="195"/>
      <c r="DZ750" s="195"/>
      <c r="EA750" s="195"/>
      <c r="EB750" s="195"/>
      <c r="EC750" s="195"/>
      <c r="ED750" s="195"/>
      <c r="EE750" s="195"/>
      <c r="EF750" s="195"/>
      <c r="EG750" s="195"/>
      <c r="EL750" s="1"/>
      <c r="EM750" s="195"/>
      <c r="EN750" s="240"/>
      <c r="EO750" s="240"/>
      <c r="EP750" s="195"/>
      <c r="EQ750" s="240"/>
      <c r="ER750" s="195"/>
      <c r="ES750" s="195"/>
      <c r="ET750" s="195"/>
      <c r="EU750" s="736"/>
    </row>
    <row r="751" customFormat="false" ht="12.75" hidden="false" customHeight="false" outlineLevel="0" collapsed="false">
      <c r="I751" s="735"/>
      <c r="J751" s="728"/>
      <c r="K751" s="195"/>
      <c r="L751" s="195"/>
      <c r="Q751" s="195"/>
      <c r="R751" s="195"/>
      <c r="S751" s="240"/>
      <c r="T751" s="195"/>
      <c r="U751" s="195"/>
      <c r="V751" s="195"/>
      <c r="W751" s="195"/>
      <c r="X751" s="195"/>
      <c r="Y751" s="195"/>
      <c r="Z751" s="195"/>
      <c r="AA751" s="195"/>
      <c r="AB751" s="195"/>
      <c r="AC751" s="195"/>
      <c r="AD751" s="195"/>
      <c r="AE751" s="195"/>
      <c r="AF751" s="195"/>
      <c r="AG751" s="195"/>
      <c r="AH751" s="195"/>
      <c r="AI751" s="195"/>
      <c r="AJ751" s="195"/>
      <c r="AK751" s="195"/>
      <c r="AL751" s="195"/>
      <c r="AM751" s="1"/>
      <c r="AN751" s="240"/>
      <c r="AO751" s="240"/>
      <c r="AP751" s="240"/>
      <c r="AQ751" s="240"/>
      <c r="AR751" s="240"/>
      <c r="AS751" s="730"/>
      <c r="AT751" s="730"/>
      <c r="AU751" s="730"/>
      <c r="AV751" s="738"/>
      <c r="AW751" s="738"/>
      <c r="AX751" s="240"/>
      <c r="AY751" s="240"/>
      <c r="AZ751" s="240"/>
      <c r="BA751" s="240"/>
      <c r="BB751" s="240"/>
      <c r="BC751" s="240"/>
      <c r="BD751" s="672"/>
      <c r="BE751" s="731"/>
      <c r="BF751" s="731"/>
      <c r="BG751" s="731"/>
      <c r="BH751" s="672"/>
      <c r="BI751" s="732"/>
      <c r="BJ751" s="240"/>
      <c r="BK751" s="240"/>
      <c r="BL751" s="240"/>
      <c r="BM751" s="240"/>
      <c r="BN751" s="240"/>
      <c r="BO751" s="240"/>
      <c r="BP751" s="240"/>
      <c r="BQ751" s="240"/>
      <c r="BR751" s="240"/>
      <c r="BS751" s="240"/>
      <c r="BT751" s="240"/>
      <c r="BU751" s="240"/>
      <c r="BV751" s="240"/>
      <c r="BW751" s="672"/>
      <c r="BX751" s="672"/>
      <c r="BY751" s="672"/>
      <c r="BZ751" s="672"/>
      <c r="CA751" s="672"/>
      <c r="CB751" s="672"/>
      <c r="CC751" s="672"/>
      <c r="CD751" s="672"/>
      <c r="CE751" s="672"/>
      <c r="CF751" s="672"/>
      <c r="CG751" s="240"/>
      <c r="CH751" s="240"/>
      <c r="CI751" s="240"/>
      <c r="CJ751" s="240"/>
      <c r="CK751" s="240"/>
      <c r="CL751" s="728"/>
      <c r="CM751" s="728"/>
      <c r="CN751" s="195"/>
      <c r="CO751" s="195"/>
      <c r="CP751" s="195"/>
      <c r="CQ751" s="195"/>
      <c r="CR751" s="195"/>
      <c r="CS751" s="195"/>
      <c r="CT751" s="195"/>
      <c r="CU751" s="195"/>
      <c r="CV751" s="195"/>
      <c r="CW751" s="195"/>
      <c r="CX751" s="195"/>
      <c r="CY751" s="195"/>
      <c r="CZ751" s="195"/>
      <c r="DA751" s="195"/>
      <c r="DB751" s="195"/>
      <c r="DC751" s="195"/>
      <c r="DD751" s="195"/>
      <c r="DE751" s="195"/>
      <c r="DF751" s="195"/>
      <c r="DG751" s="1"/>
      <c r="DH751" s="3"/>
      <c r="DL751" s="4"/>
      <c r="DM751" s="4"/>
      <c r="DQ751" s="195"/>
      <c r="DR751" s="195"/>
      <c r="DS751" s="195"/>
      <c r="DT751" s="195"/>
      <c r="DU751" s="195"/>
      <c r="DV751" s="195"/>
      <c r="DW751" s="195"/>
      <c r="DX751" s="195"/>
      <c r="DY751" s="195"/>
      <c r="DZ751" s="195"/>
      <c r="EA751" s="195"/>
      <c r="EB751" s="195"/>
      <c r="EC751" s="195"/>
      <c r="ED751" s="195"/>
      <c r="EE751" s="195"/>
      <c r="EF751" s="195"/>
      <c r="EG751" s="195"/>
      <c r="EL751" s="1"/>
      <c r="EM751" s="195"/>
      <c r="EN751" s="240"/>
      <c r="EO751" s="240"/>
      <c r="EP751" s="195"/>
      <c r="EQ751" s="240"/>
      <c r="ER751" s="195"/>
      <c r="ES751" s="195"/>
      <c r="ET751" s="195"/>
      <c r="EU751" s="736"/>
    </row>
    <row r="752" customFormat="false" ht="12.75" hidden="false" customHeight="false" outlineLevel="0" collapsed="false">
      <c r="I752" s="735"/>
      <c r="J752" s="728"/>
      <c r="K752" s="195"/>
      <c r="L752" s="195"/>
      <c r="Q752" s="195"/>
      <c r="R752" s="195"/>
      <c r="S752" s="240"/>
      <c r="T752" s="195"/>
      <c r="U752" s="195"/>
      <c r="V752" s="195"/>
      <c r="W752" s="195"/>
      <c r="X752" s="195"/>
      <c r="Y752" s="195"/>
      <c r="Z752" s="195"/>
      <c r="AA752" s="195"/>
      <c r="AB752" s="195"/>
      <c r="AC752" s="195"/>
      <c r="AD752" s="195"/>
      <c r="AE752" s="195"/>
      <c r="AF752" s="195"/>
      <c r="AG752" s="195"/>
      <c r="AH752" s="195"/>
      <c r="AI752" s="195"/>
      <c r="AJ752" s="195"/>
      <c r="AK752" s="195"/>
      <c r="AL752" s="195"/>
      <c r="AM752" s="1"/>
      <c r="AN752" s="240"/>
      <c r="AO752" s="240"/>
      <c r="AP752" s="240"/>
      <c r="AQ752" s="240"/>
      <c r="AR752" s="240"/>
      <c r="AS752" s="730"/>
      <c r="AT752" s="730"/>
      <c r="AU752" s="730"/>
      <c r="AV752" s="738"/>
      <c r="AW752" s="738"/>
      <c r="AX752" s="240"/>
      <c r="AY752" s="240"/>
      <c r="AZ752" s="240"/>
      <c r="BA752" s="240"/>
      <c r="BB752" s="240"/>
      <c r="BC752" s="240"/>
      <c r="BD752" s="672"/>
      <c r="BE752" s="731"/>
      <c r="BF752" s="731"/>
      <c r="BG752" s="731"/>
      <c r="BH752" s="672"/>
      <c r="BI752" s="732"/>
      <c r="BJ752" s="240"/>
      <c r="BK752" s="240"/>
      <c r="BL752" s="240"/>
      <c r="BM752" s="240"/>
      <c r="BN752" s="240"/>
      <c r="BO752" s="240"/>
      <c r="BP752" s="240"/>
      <c r="BQ752" s="240"/>
      <c r="BR752" s="240"/>
      <c r="BS752" s="240"/>
      <c r="BT752" s="240"/>
      <c r="BU752" s="240"/>
      <c r="BV752" s="240"/>
      <c r="BW752" s="672"/>
      <c r="BX752" s="672"/>
      <c r="BY752" s="672"/>
      <c r="BZ752" s="672"/>
      <c r="CA752" s="672"/>
      <c r="CB752" s="672"/>
      <c r="CC752" s="672"/>
      <c r="CD752" s="672"/>
      <c r="CE752" s="672"/>
      <c r="CF752" s="672"/>
      <c r="CG752" s="240"/>
      <c r="CH752" s="240"/>
      <c r="CI752" s="240"/>
      <c r="CJ752" s="240"/>
      <c r="CK752" s="240"/>
      <c r="CL752" s="728"/>
      <c r="CM752" s="728"/>
      <c r="CN752" s="195"/>
      <c r="CO752" s="195"/>
      <c r="CP752" s="195"/>
      <c r="CQ752" s="195"/>
      <c r="CR752" s="195"/>
      <c r="CS752" s="195"/>
      <c r="CT752" s="195"/>
      <c r="CU752" s="195"/>
      <c r="CV752" s="195"/>
      <c r="CW752" s="195"/>
      <c r="CX752" s="195"/>
      <c r="CY752" s="195"/>
      <c r="CZ752" s="195"/>
      <c r="DA752" s="195"/>
      <c r="DB752" s="195"/>
      <c r="DC752" s="195"/>
      <c r="DD752" s="195"/>
      <c r="DE752" s="195"/>
      <c r="DF752" s="195"/>
      <c r="DG752" s="1"/>
      <c r="DH752" s="3"/>
      <c r="DL752" s="4"/>
      <c r="DM752" s="4"/>
      <c r="DQ752" s="195"/>
      <c r="DR752" s="195"/>
      <c r="DS752" s="195"/>
      <c r="DT752" s="195"/>
      <c r="DU752" s="195"/>
      <c r="DV752" s="195"/>
      <c r="DW752" s="195"/>
      <c r="DX752" s="195"/>
      <c r="DY752" s="195"/>
      <c r="DZ752" s="195"/>
      <c r="EA752" s="195"/>
      <c r="EB752" s="195"/>
      <c r="EC752" s="195"/>
      <c r="ED752" s="195"/>
      <c r="EE752" s="195"/>
      <c r="EF752" s="195"/>
      <c r="EG752" s="195"/>
      <c r="EL752" s="1"/>
      <c r="EM752" s="195"/>
      <c r="EN752" s="240"/>
      <c r="EO752" s="240"/>
      <c r="EP752" s="195"/>
      <c r="EQ752" s="240"/>
      <c r="ER752" s="195"/>
      <c r="ES752" s="195"/>
      <c r="ET752" s="195"/>
      <c r="EU752" s="736"/>
    </row>
    <row r="753" customFormat="false" ht="12.75" hidden="false" customHeight="false" outlineLevel="0" collapsed="false">
      <c r="I753" s="735"/>
      <c r="J753" s="728"/>
      <c r="K753" s="195"/>
      <c r="L753" s="195"/>
      <c r="Q753" s="195"/>
      <c r="R753" s="195"/>
      <c r="S753" s="240"/>
      <c r="T753" s="195"/>
      <c r="U753" s="195"/>
      <c r="V753" s="195"/>
      <c r="W753" s="195"/>
      <c r="X753" s="195"/>
      <c r="Y753" s="195"/>
      <c r="Z753" s="195"/>
      <c r="AA753" s="195"/>
      <c r="AB753" s="195"/>
      <c r="AC753" s="195"/>
      <c r="AD753" s="195"/>
      <c r="AE753" s="195"/>
      <c r="AF753" s="195"/>
      <c r="AG753" s="195"/>
      <c r="AH753" s="195"/>
      <c r="AI753" s="195"/>
      <c r="AJ753" s="195"/>
      <c r="AK753" s="195"/>
      <c r="AL753" s="195"/>
      <c r="AM753" s="1"/>
      <c r="AN753" s="240"/>
      <c r="AO753" s="240"/>
      <c r="AP753" s="240"/>
      <c r="AQ753" s="240"/>
      <c r="AR753" s="240"/>
      <c r="AS753" s="730"/>
      <c r="AT753" s="730"/>
      <c r="AU753" s="730"/>
      <c r="AV753" s="738"/>
      <c r="AW753" s="738"/>
      <c r="AX753" s="240"/>
      <c r="AY753" s="240"/>
      <c r="AZ753" s="240"/>
      <c r="BA753" s="240"/>
      <c r="BB753" s="240"/>
      <c r="BC753" s="240"/>
      <c r="BD753" s="672"/>
      <c r="BE753" s="731"/>
      <c r="BF753" s="731"/>
      <c r="BG753" s="731"/>
      <c r="BH753" s="672"/>
      <c r="BI753" s="732"/>
      <c r="BJ753" s="240"/>
      <c r="BK753" s="240"/>
      <c r="BL753" s="240"/>
      <c r="BM753" s="240"/>
      <c r="BN753" s="240"/>
      <c r="BO753" s="240"/>
      <c r="BP753" s="240"/>
      <c r="BQ753" s="240"/>
      <c r="BR753" s="240"/>
      <c r="BS753" s="240"/>
      <c r="BT753" s="240"/>
      <c r="BU753" s="240"/>
      <c r="BV753" s="240"/>
      <c r="BW753" s="672"/>
      <c r="BX753" s="672"/>
      <c r="BY753" s="672"/>
      <c r="BZ753" s="672"/>
      <c r="CA753" s="672"/>
      <c r="CB753" s="672"/>
      <c r="CC753" s="672"/>
      <c r="CD753" s="672"/>
      <c r="CE753" s="672"/>
      <c r="CF753" s="672"/>
      <c r="CG753" s="240"/>
      <c r="CH753" s="240"/>
      <c r="CI753" s="240"/>
      <c r="CJ753" s="240"/>
      <c r="CK753" s="240"/>
      <c r="CL753" s="728"/>
      <c r="CM753" s="728"/>
      <c r="CN753" s="195"/>
      <c r="CO753" s="195"/>
      <c r="CP753" s="195"/>
      <c r="CQ753" s="195"/>
      <c r="CR753" s="195"/>
      <c r="CS753" s="195"/>
      <c r="CT753" s="195"/>
      <c r="CU753" s="195"/>
      <c r="CV753" s="195"/>
      <c r="CW753" s="195"/>
      <c r="CX753" s="195"/>
      <c r="CY753" s="195"/>
      <c r="CZ753" s="195"/>
      <c r="DA753" s="195"/>
      <c r="DB753" s="195"/>
      <c r="DC753" s="195"/>
      <c r="DD753" s="195"/>
      <c r="DE753" s="195"/>
      <c r="DF753" s="195"/>
      <c r="DG753" s="1"/>
      <c r="DH753" s="3"/>
      <c r="DL753" s="4"/>
      <c r="DM753" s="4"/>
      <c r="DQ753" s="195"/>
      <c r="DR753" s="195"/>
      <c r="DS753" s="195"/>
      <c r="DT753" s="195"/>
      <c r="DU753" s="195"/>
      <c r="DV753" s="195"/>
      <c r="DW753" s="195"/>
      <c r="DX753" s="195"/>
      <c r="DY753" s="195"/>
      <c r="DZ753" s="195"/>
      <c r="EA753" s="195"/>
      <c r="EB753" s="195"/>
      <c r="EC753" s="195"/>
      <c r="ED753" s="195"/>
      <c r="EE753" s="195"/>
      <c r="EF753" s="195"/>
      <c r="EG753" s="195"/>
      <c r="EL753" s="1"/>
      <c r="EM753" s="195"/>
      <c r="EN753" s="240"/>
      <c r="EO753" s="240"/>
      <c r="EP753" s="195"/>
      <c r="EQ753" s="240"/>
      <c r="ER753" s="195"/>
      <c r="ES753" s="195"/>
      <c r="ET753" s="195"/>
      <c r="EU753" s="736"/>
    </row>
    <row r="754" customFormat="false" ht="12.75" hidden="false" customHeight="false" outlineLevel="0" collapsed="false">
      <c r="I754" s="735"/>
      <c r="J754" s="728"/>
      <c r="K754" s="195"/>
      <c r="L754" s="195"/>
      <c r="Q754" s="195"/>
      <c r="R754" s="195"/>
      <c r="S754" s="240"/>
      <c r="T754" s="195"/>
      <c r="U754" s="195"/>
      <c r="V754" s="195"/>
      <c r="W754" s="195"/>
      <c r="X754" s="195"/>
      <c r="Y754" s="195"/>
      <c r="Z754" s="195"/>
      <c r="AA754" s="195"/>
      <c r="AB754" s="195"/>
      <c r="AC754" s="195"/>
      <c r="AD754" s="195"/>
      <c r="AE754" s="195"/>
      <c r="AF754" s="195"/>
      <c r="AG754" s="195"/>
      <c r="AH754" s="195"/>
      <c r="AI754" s="195"/>
      <c r="AJ754" s="195"/>
      <c r="AK754" s="195"/>
      <c r="AL754" s="195"/>
      <c r="AM754" s="1"/>
      <c r="AN754" s="240"/>
      <c r="AO754" s="240"/>
      <c r="AP754" s="240"/>
      <c r="AQ754" s="240"/>
      <c r="AR754" s="240"/>
      <c r="AS754" s="730"/>
      <c r="AT754" s="730"/>
      <c r="AU754" s="730"/>
      <c r="AV754" s="738"/>
      <c r="AW754" s="738"/>
      <c r="AX754" s="240"/>
      <c r="AY754" s="240"/>
      <c r="AZ754" s="240"/>
      <c r="BA754" s="240"/>
      <c r="BB754" s="240"/>
      <c r="BC754" s="240"/>
      <c r="BD754" s="672"/>
      <c r="BE754" s="731"/>
      <c r="BF754" s="731"/>
      <c r="BG754" s="731"/>
      <c r="BH754" s="672"/>
      <c r="BI754" s="732"/>
      <c r="BJ754" s="240"/>
      <c r="BK754" s="240"/>
      <c r="BL754" s="240"/>
      <c r="BM754" s="240"/>
      <c r="BN754" s="240"/>
      <c r="BO754" s="240"/>
      <c r="BP754" s="240"/>
      <c r="BQ754" s="240"/>
      <c r="BR754" s="240"/>
      <c r="BS754" s="240"/>
      <c r="BT754" s="240"/>
      <c r="BU754" s="240"/>
      <c r="BV754" s="240"/>
      <c r="BW754" s="672"/>
      <c r="BX754" s="672"/>
      <c r="BY754" s="672"/>
      <c r="BZ754" s="672"/>
      <c r="CA754" s="672"/>
      <c r="CB754" s="672"/>
      <c r="CC754" s="672"/>
      <c r="CD754" s="672"/>
      <c r="CE754" s="672"/>
      <c r="CF754" s="672"/>
      <c r="CG754" s="240"/>
      <c r="CH754" s="240"/>
      <c r="CI754" s="240"/>
      <c r="CJ754" s="240"/>
      <c r="CK754" s="240"/>
      <c r="CL754" s="728"/>
      <c r="CM754" s="728"/>
      <c r="CN754" s="195"/>
      <c r="CO754" s="195"/>
      <c r="CP754" s="195"/>
      <c r="CQ754" s="195"/>
      <c r="CR754" s="195"/>
      <c r="CS754" s="195"/>
      <c r="CT754" s="195"/>
      <c r="CU754" s="195"/>
      <c r="CV754" s="195"/>
      <c r="CW754" s="195"/>
      <c r="CX754" s="195"/>
      <c r="CY754" s="195"/>
      <c r="CZ754" s="195"/>
      <c r="DA754" s="195"/>
      <c r="DB754" s="195"/>
      <c r="DC754" s="195"/>
      <c r="DD754" s="195"/>
      <c r="DE754" s="195"/>
      <c r="DF754" s="195"/>
      <c r="DG754" s="1"/>
      <c r="DH754" s="3"/>
      <c r="DL754" s="4"/>
      <c r="DM754" s="4"/>
      <c r="DQ754" s="195"/>
      <c r="DR754" s="195"/>
      <c r="DS754" s="195"/>
      <c r="DT754" s="195"/>
      <c r="DU754" s="195"/>
      <c r="DV754" s="195"/>
      <c r="DW754" s="195"/>
      <c r="DX754" s="195"/>
      <c r="DY754" s="195"/>
      <c r="DZ754" s="195"/>
      <c r="EA754" s="195"/>
      <c r="EB754" s="195"/>
      <c r="EC754" s="195"/>
      <c r="ED754" s="195"/>
      <c r="EE754" s="195"/>
      <c r="EF754" s="195"/>
      <c r="EG754" s="195"/>
      <c r="EL754" s="1"/>
      <c r="EM754" s="195"/>
      <c r="EN754" s="240"/>
      <c r="EO754" s="240"/>
      <c r="EP754" s="195"/>
      <c r="EQ754" s="240"/>
      <c r="ER754" s="195"/>
      <c r="ES754" s="195"/>
      <c r="ET754" s="195"/>
      <c r="EU754" s="736"/>
    </row>
    <row r="755" customFormat="false" ht="12.75" hidden="false" customHeight="false" outlineLevel="0" collapsed="false">
      <c r="I755" s="735"/>
      <c r="J755" s="728"/>
      <c r="K755" s="195"/>
      <c r="L755" s="195"/>
      <c r="Q755" s="195"/>
      <c r="R755" s="195"/>
      <c r="S755" s="240"/>
      <c r="T755" s="195"/>
      <c r="U755" s="195"/>
      <c r="V755" s="195"/>
      <c r="W755" s="195"/>
      <c r="X755" s="195"/>
      <c r="Y755" s="195"/>
      <c r="Z755" s="195"/>
      <c r="AA755" s="195"/>
      <c r="AB755" s="195"/>
      <c r="AC755" s="195"/>
      <c r="AD755" s="195"/>
      <c r="AE755" s="195"/>
      <c r="AF755" s="195"/>
      <c r="AG755" s="195"/>
      <c r="AH755" s="195"/>
      <c r="AI755" s="195"/>
      <c r="AJ755" s="195"/>
      <c r="AK755" s="195"/>
      <c r="AL755" s="195"/>
      <c r="AM755" s="1"/>
      <c r="AN755" s="240"/>
      <c r="AO755" s="240"/>
      <c r="AP755" s="240"/>
      <c r="AQ755" s="240"/>
      <c r="AR755" s="240"/>
      <c r="AS755" s="730"/>
      <c r="AT755" s="730"/>
      <c r="AU755" s="730"/>
      <c r="AV755" s="738"/>
      <c r="AW755" s="738"/>
      <c r="AX755" s="240"/>
      <c r="AY755" s="240"/>
      <c r="AZ755" s="240"/>
      <c r="BA755" s="240"/>
      <c r="BB755" s="240"/>
      <c r="BC755" s="240"/>
      <c r="BD755" s="672"/>
      <c r="BE755" s="731"/>
      <c r="BF755" s="731"/>
      <c r="BG755" s="731"/>
      <c r="BH755" s="672"/>
      <c r="BI755" s="732"/>
      <c r="BJ755" s="240"/>
      <c r="BK755" s="240"/>
      <c r="BL755" s="240"/>
      <c r="BM755" s="240"/>
      <c r="BN755" s="240"/>
      <c r="BO755" s="240"/>
      <c r="BP755" s="240"/>
      <c r="BQ755" s="240"/>
      <c r="BR755" s="240"/>
      <c r="BS755" s="240"/>
      <c r="BT755" s="240"/>
      <c r="BU755" s="240"/>
      <c r="BV755" s="240"/>
      <c r="BW755" s="672"/>
      <c r="BX755" s="672"/>
      <c r="BY755" s="672"/>
      <c r="BZ755" s="672"/>
      <c r="CA755" s="672"/>
      <c r="CB755" s="672"/>
      <c r="CC755" s="672"/>
      <c r="CD755" s="672"/>
      <c r="CE755" s="672"/>
      <c r="CF755" s="672"/>
      <c r="CG755" s="240"/>
      <c r="CH755" s="240"/>
      <c r="CI755" s="240"/>
      <c r="CJ755" s="240"/>
      <c r="CK755" s="240"/>
      <c r="CL755" s="728"/>
      <c r="CM755" s="728"/>
      <c r="CN755" s="195"/>
      <c r="CO755" s="195"/>
      <c r="CP755" s="195"/>
      <c r="CQ755" s="195"/>
      <c r="CR755" s="195"/>
      <c r="CS755" s="195"/>
      <c r="CT755" s="195"/>
      <c r="CU755" s="195"/>
      <c r="CV755" s="195"/>
      <c r="CW755" s="195"/>
      <c r="CX755" s="195"/>
      <c r="CY755" s="195"/>
      <c r="CZ755" s="195"/>
      <c r="DA755" s="195"/>
      <c r="DB755" s="195"/>
      <c r="DC755" s="195"/>
      <c r="DD755" s="195"/>
      <c r="DE755" s="195"/>
      <c r="DF755" s="195"/>
      <c r="DG755" s="1"/>
      <c r="DH755" s="3"/>
      <c r="DL755" s="4"/>
      <c r="DM755" s="4"/>
      <c r="DQ755" s="195"/>
      <c r="DR755" s="195"/>
      <c r="DS755" s="195"/>
      <c r="DT755" s="195"/>
      <c r="DU755" s="195"/>
      <c r="DV755" s="195"/>
      <c r="DW755" s="195"/>
      <c r="DX755" s="195"/>
      <c r="DY755" s="195"/>
      <c r="DZ755" s="195"/>
      <c r="EA755" s="195"/>
      <c r="EB755" s="195"/>
      <c r="EC755" s="195"/>
      <c r="ED755" s="195"/>
      <c r="EE755" s="195"/>
      <c r="EF755" s="195"/>
      <c r="EG755" s="195"/>
      <c r="EL755" s="1"/>
      <c r="EM755" s="195"/>
      <c r="EN755" s="240"/>
      <c r="EO755" s="240"/>
      <c r="EP755" s="195"/>
      <c r="EQ755" s="240"/>
      <c r="ER755" s="195"/>
      <c r="ES755" s="195"/>
      <c r="ET755" s="195"/>
      <c r="EU755" s="736"/>
    </row>
    <row r="756" customFormat="false" ht="12.75" hidden="false" customHeight="false" outlineLevel="0" collapsed="false">
      <c r="I756" s="735"/>
      <c r="J756" s="728"/>
      <c r="K756" s="195"/>
      <c r="L756" s="195"/>
      <c r="Q756" s="195"/>
      <c r="R756" s="195"/>
      <c r="S756" s="240"/>
      <c r="T756" s="195"/>
      <c r="U756" s="195"/>
      <c r="V756" s="195"/>
      <c r="W756" s="195"/>
      <c r="X756" s="195"/>
      <c r="Y756" s="195"/>
      <c r="Z756" s="195"/>
      <c r="AA756" s="195"/>
      <c r="AB756" s="195"/>
      <c r="AC756" s="195"/>
      <c r="AD756" s="195"/>
      <c r="AE756" s="195"/>
      <c r="AF756" s="195"/>
      <c r="AG756" s="195"/>
      <c r="AH756" s="195"/>
      <c r="AI756" s="195"/>
      <c r="AJ756" s="195"/>
      <c r="AK756" s="195"/>
      <c r="AL756" s="195"/>
      <c r="AM756" s="1"/>
      <c r="AN756" s="240"/>
      <c r="AO756" s="240"/>
      <c r="AP756" s="240"/>
      <c r="AQ756" s="240"/>
      <c r="AR756" s="240"/>
      <c r="AS756" s="730"/>
      <c r="AT756" s="730"/>
      <c r="AU756" s="730"/>
      <c r="AV756" s="738"/>
      <c r="AW756" s="738"/>
      <c r="AX756" s="240"/>
      <c r="AY756" s="240"/>
      <c r="AZ756" s="240"/>
      <c r="BA756" s="240"/>
      <c r="BB756" s="240"/>
      <c r="BC756" s="240"/>
      <c r="BD756" s="672"/>
      <c r="BE756" s="731"/>
      <c r="BF756" s="731"/>
      <c r="BG756" s="731"/>
      <c r="BH756" s="672"/>
      <c r="BI756" s="732"/>
      <c r="BJ756" s="240"/>
      <c r="BK756" s="240"/>
      <c r="BL756" s="240"/>
      <c r="BM756" s="240"/>
      <c r="BN756" s="240"/>
      <c r="BO756" s="240"/>
      <c r="BP756" s="240"/>
      <c r="BQ756" s="240"/>
      <c r="BR756" s="240"/>
      <c r="BS756" s="240"/>
      <c r="BT756" s="240"/>
      <c r="BU756" s="240"/>
      <c r="BV756" s="240"/>
      <c r="BW756" s="672"/>
      <c r="BX756" s="672"/>
      <c r="BY756" s="672"/>
      <c r="BZ756" s="672"/>
      <c r="CA756" s="672"/>
      <c r="CB756" s="672"/>
      <c r="CC756" s="672"/>
      <c r="CD756" s="672"/>
      <c r="CE756" s="672"/>
      <c r="CF756" s="672"/>
      <c r="CG756" s="240"/>
      <c r="CH756" s="240"/>
      <c r="CI756" s="240"/>
      <c r="CJ756" s="240"/>
      <c r="CK756" s="240"/>
      <c r="CL756" s="728"/>
      <c r="CM756" s="728"/>
      <c r="CN756" s="195"/>
      <c r="CO756" s="195"/>
      <c r="CP756" s="195"/>
      <c r="CQ756" s="195"/>
      <c r="CR756" s="195"/>
      <c r="CS756" s="195"/>
      <c r="CT756" s="195"/>
      <c r="CU756" s="195"/>
      <c r="CV756" s="195"/>
      <c r="CW756" s="195"/>
      <c r="CX756" s="195"/>
      <c r="CY756" s="195"/>
      <c r="CZ756" s="195"/>
      <c r="DA756" s="195"/>
      <c r="DB756" s="195"/>
      <c r="DC756" s="195"/>
      <c r="DD756" s="195"/>
      <c r="DE756" s="195"/>
      <c r="DF756" s="195"/>
      <c r="DG756" s="1"/>
      <c r="DH756" s="3"/>
      <c r="DL756" s="4"/>
      <c r="DM756" s="4"/>
      <c r="DQ756" s="195"/>
      <c r="DR756" s="195"/>
      <c r="DS756" s="195"/>
      <c r="DT756" s="195"/>
      <c r="DU756" s="195"/>
      <c r="DV756" s="195"/>
      <c r="DW756" s="195"/>
      <c r="DX756" s="195"/>
      <c r="DY756" s="195"/>
      <c r="DZ756" s="195"/>
      <c r="EA756" s="195"/>
      <c r="EB756" s="195"/>
      <c r="EC756" s="195"/>
      <c r="ED756" s="195"/>
      <c r="EE756" s="195"/>
      <c r="EF756" s="195"/>
      <c r="EG756" s="195"/>
      <c r="EL756" s="1"/>
      <c r="EM756" s="195"/>
      <c r="EN756" s="240"/>
      <c r="EO756" s="240"/>
      <c r="EP756" s="195"/>
      <c r="EQ756" s="240"/>
      <c r="ER756" s="195"/>
      <c r="ES756" s="195"/>
      <c r="ET756" s="195"/>
      <c r="EU756" s="736"/>
    </row>
    <row r="757" customFormat="false" ht="12.75" hidden="false" customHeight="false" outlineLevel="0" collapsed="false">
      <c r="I757" s="735"/>
      <c r="J757" s="728"/>
      <c r="K757" s="195"/>
      <c r="L757" s="195"/>
      <c r="Q757" s="195"/>
      <c r="R757" s="195"/>
      <c r="S757" s="240"/>
      <c r="T757" s="195"/>
      <c r="U757" s="195"/>
      <c r="V757" s="195"/>
      <c r="W757" s="195"/>
      <c r="X757" s="195"/>
      <c r="Y757" s="195"/>
      <c r="Z757" s="195"/>
      <c r="AA757" s="195"/>
      <c r="AB757" s="195"/>
      <c r="AC757" s="195"/>
      <c r="AD757" s="195"/>
      <c r="AE757" s="195"/>
      <c r="AF757" s="195"/>
      <c r="AG757" s="195"/>
      <c r="AH757" s="195"/>
      <c r="AI757" s="195"/>
      <c r="AJ757" s="195"/>
      <c r="AK757" s="195"/>
      <c r="AL757" s="195"/>
      <c r="AM757" s="1"/>
      <c r="AN757" s="240"/>
      <c r="AO757" s="240"/>
      <c r="AP757" s="240"/>
      <c r="AQ757" s="240"/>
      <c r="AR757" s="240"/>
      <c r="AS757" s="730"/>
      <c r="AT757" s="730"/>
      <c r="AU757" s="730"/>
      <c r="AV757" s="738"/>
      <c r="AW757" s="738"/>
      <c r="AX757" s="240"/>
      <c r="AY757" s="240"/>
      <c r="AZ757" s="240"/>
      <c r="BA757" s="240"/>
      <c r="BB757" s="240"/>
      <c r="BC757" s="240"/>
      <c r="BD757" s="672"/>
      <c r="BE757" s="731"/>
      <c r="BF757" s="731"/>
      <c r="BG757" s="731"/>
      <c r="BH757" s="672"/>
      <c r="BI757" s="732"/>
      <c r="BJ757" s="240"/>
      <c r="BK757" s="240"/>
      <c r="BL757" s="240"/>
      <c r="BM757" s="240"/>
      <c r="BN757" s="240"/>
      <c r="BO757" s="240"/>
      <c r="BP757" s="240"/>
      <c r="BQ757" s="240"/>
      <c r="BR757" s="240"/>
      <c r="BS757" s="240"/>
      <c r="BT757" s="240"/>
      <c r="BU757" s="240"/>
      <c r="BV757" s="240"/>
      <c r="BW757" s="672"/>
      <c r="BX757" s="672"/>
      <c r="BY757" s="672"/>
      <c r="BZ757" s="672"/>
      <c r="CA757" s="672"/>
      <c r="CB757" s="672"/>
      <c r="CC757" s="672"/>
      <c r="CD757" s="672"/>
      <c r="CE757" s="672"/>
      <c r="CF757" s="672"/>
      <c r="CG757" s="240"/>
      <c r="CH757" s="240"/>
      <c r="CI757" s="240"/>
      <c r="CJ757" s="240"/>
      <c r="CK757" s="240"/>
      <c r="CL757" s="728"/>
      <c r="CM757" s="728"/>
      <c r="CN757" s="195"/>
      <c r="CO757" s="195"/>
      <c r="CP757" s="195"/>
      <c r="CQ757" s="195"/>
      <c r="CR757" s="195"/>
      <c r="CS757" s="195"/>
      <c r="CT757" s="195"/>
      <c r="CU757" s="195"/>
      <c r="CV757" s="195"/>
      <c r="CW757" s="195"/>
      <c r="CX757" s="195"/>
      <c r="CY757" s="195"/>
      <c r="CZ757" s="195"/>
      <c r="DA757" s="195"/>
      <c r="DB757" s="195"/>
      <c r="DC757" s="195"/>
      <c r="DD757" s="195"/>
      <c r="DE757" s="195"/>
      <c r="DF757" s="195"/>
      <c r="DG757" s="1"/>
      <c r="DH757" s="3"/>
      <c r="DL757" s="4"/>
      <c r="DM757" s="4"/>
      <c r="DQ757" s="195"/>
      <c r="DR757" s="195"/>
      <c r="DS757" s="195"/>
      <c r="DT757" s="195"/>
      <c r="DU757" s="195"/>
      <c r="DV757" s="195"/>
      <c r="DW757" s="195"/>
      <c r="DX757" s="195"/>
      <c r="DY757" s="195"/>
      <c r="DZ757" s="195"/>
      <c r="EA757" s="195"/>
      <c r="EB757" s="195"/>
      <c r="EC757" s="195"/>
      <c r="ED757" s="195"/>
      <c r="EE757" s="195"/>
      <c r="EF757" s="195"/>
      <c r="EG757" s="195"/>
      <c r="EL757" s="1"/>
      <c r="EM757" s="195"/>
      <c r="EN757" s="240"/>
      <c r="EO757" s="240"/>
      <c r="EP757" s="195"/>
      <c r="EQ757" s="240"/>
      <c r="ER757" s="195"/>
      <c r="ES757" s="195"/>
      <c r="ET757" s="195"/>
      <c r="EU757" s="736"/>
    </row>
    <row r="758" customFormat="false" ht="12.75" hidden="false" customHeight="false" outlineLevel="0" collapsed="false">
      <c r="I758" s="735"/>
      <c r="J758" s="728"/>
      <c r="K758" s="195"/>
      <c r="L758" s="195"/>
      <c r="Q758" s="195"/>
      <c r="R758" s="195"/>
      <c r="S758" s="240"/>
      <c r="T758" s="195"/>
      <c r="U758" s="195"/>
      <c r="V758" s="195"/>
      <c r="W758" s="195"/>
      <c r="X758" s="195"/>
      <c r="Y758" s="195"/>
      <c r="Z758" s="195"/>
      <c r="AA758" s="195"/>
      <c r="AB758" s="195"/>
      <c r="AC758" s="195"/>
      <c r="AD758" s="195"/>
      <c r="AE758" s="195"/>
      <c r="AF758" s="195"/>
      <c r="AG758" s="195"/>
      <c r="AH758" s="195"/>
      <c r="AI758" s="195"/>
      <c r="AJ758" s="195"/>
      <c r="AK758" s="195"/>
      <c r="AL758" s="195"/>
      <c r="AM758" s="1"/>
      <c r="AN758" s="240"/>
      <c r="AO758" s="240"/>
      <c r="AP758" s="240"/>
      <c r="AQ758" s="240"/>
      <c r="AR758" s="240"/>
      <c r="AS758" s="730"/>
      <c r="AT758" s="730"/>
      <c r="AU758" s="730"/>
      <c r="AV758" s="738"/>
      <c r="AW758" s="738"/>
      <c r="AX758" s="240"/>
      <c r="AY758" s="240"/>
      <c r="AZ758" s="240"/>
      <c r="BA758" s="240"/>
      <c r="BB758" s="240"/>
      <c r="BC758" s="240"/>
      <c r="BD758" s="672"/>
      <c r="BE758" s="731"/>
      <c r="BF758" s="731"/>
      <c r="BG758" s="731"/>
      <c r="BH758" s="672"/>
      <c r="BI758" s="732"/>
      <c r="BJ758" s="240"/>
      <c r="BK758" s="240"/>
      <c r="BL758" s="240"/>
      <c r="BM758" s="240"/>
      <c r="BN758" s="240"/>
      <c r="BO758" s="240"/>
      <c r="BP758" s="240"/>
      <c r="BQ758" s="240"/>
      <c r="BR758" s="240"/>
      <c r="BS758" s="240"/>
      <c r="BT758" s="240"/>
      <c r="BU758" s="240"/>
      <c r="BV758" s="240"/>
      <c r="BW758" s="672"/>
      <c r="BX758" s="672"/>
      <c r="BY758" s="672"/>
      <c r="BZ758" s="672"/>
      <c r="CA758" s="672"/>
      <c r="CB758" s="672"/>
      <c r="CC758" s="672"/>
      <c r="CD758" s="672"/>
      <c r="CE758" s="672"/>
      <c r="CF758" s="672"/>
      <c r="CG758" s="240"/>
      <c r="CH758" s="240"/>
      <c r="CI758" s="240"/>
      <c r="CJ758" s="240"/>
      <c r="CK758" s="240"/>
      <c r="CL758" s="728"/>
      <c r="CM758" s="728"/>
      <c r="CN758" s="195"/>
      <c r="CO758" s="195"/>
      <c r="CP758" s="195"/>
      <c r="CQ758" s="195"/>
      <c r="CR758" s="195"/>
      <c r="CS758" s="195"/>
      <c r="CT758" s="195"/>
      <c r="CU758" s="195"/>
      <c r="CV758" s="195"/>
      <c r="CW758" s="195"/>
      <c r="CX758" s="195"/>
      <c r="CY758" s="195"/>
      <c r="CZ758" s="195"/>
      <c r="DA758" s="195"/>
      <c r="DB758" s="195"/>
      <c r="DC758" s="195"/>
      <c r="DD758" s="195"/>
      <c r="DE758" s="195"/>
      <c r="DF758" s="195"/>
      <c r="DG758" s="1"/>
      <c r="DH758" s="3"/>
      <c r="DL758" s="4"/>
      <c r="DM758" s="4"/>
      <c r="DQ758" s="195"/>
      <c r="DR758" s="195"/>
      <c r="DS758" s="195"/>
      <c r="DT758" s="195"/>
      <c r="DU758" s="195"/>
      <c r="DV758" s="195"/>
      <c r="DW758" s="195"/>
      <c r="DX758" s="195"/>
      <c r="DY758" s="195"/>
      <c r="DZ758" s="195"/>
      <c r="EA758" s="195"/>
      <c r="EB758" s="195"/>
      <c r="EC758" s="195"/>
      <c r="ED758" s="195"/>
      <c r="EE758" s="195"/>
      <c r="EF758" s="195"/>
      <c r="EG758" s="195"/>
      <c r="EL758" s="1"/>
      <c r="EM758" s="195"/>
      <c r="EN758" s="240"/>
      <c r="EO758" s="240"/>
      <c r="EP758" s="195"/>
      <c r="EQ758" s="240"/>
      <c r="ER758" s="195"/>
      <c r="ES758" s="195"/>
      <c r="ET758" s="195"/>
      <c r="EU758" s="736"/>
    </row>
    <row r="759" customFormat="false" ht="12.75" hidden="false" customHeight="false" outlineLevel="0" collapsed="false">
      <c r="I759" s="735"/>
      <c r="J759" s="728"/>
      <c r="K759" s="195"/>
      <c r="L759" s="195"/>
      <c r="Q759" s="195"/>
      <c r="R759" s="195"/>
      <c r="S759" s="240"/>
      <c r="T759" s="195"/>
      <c r="U759" s="195"/>
      <c r="V759" s="195"/>
      <c r="W759" s="195"/>
      <c r="X759" s="195"/>
      <c r="Y759" s="195"/>
      <c r="Z759" s="195"/>
      <c r="AA759" s="195"/>
      <c r="AB759" s="195"/>
      <c r="AC759" s="195"/>
      <c r="AD759" s="195"/>
      <c r="AE759" s="195"/>
      <c r="AF759" s="195"/>
      <c r="AG759" s="195"/>
      <c r="AH759" s="195"/>
      <c r="AI759" s="195"/>
      <c r="AJ759" s="195"/>
      <c r="AK759" s="195"/>
      <c r="AL759" s="195"/>
      <c r="AM759" s="1"/>
      <c r="AN759" s="240"/>
      <c r="AO759" s="240"/>
      <c r="AP759" s="240"/>
      <c r="AQ759" s="240"/>
      <c r="AR759" s="240"/>
      <c r="AS759" s="730"/>
      <c r="AT759" s="730"/>
      <c r="AU759" s="730"/>
      <c r="AV759" s="738"/>
      <c r="AW759" s="738"/>
      <c r="AX759" s="240"/>
      <c r="AY759" s="240"/>
      <c r="AZ759" s="240"/>
      <c r="BA759" s="240"/>
      <c r="BB759" s="240"/>
      <c r="BC759" s="240"/>
      <c r="BD759" s="672"/>
      <c r="BE759" s="731"/>
      <c r="BF759" s="731"/>
      <c r="BG759" s="731"/>
      <c r="BH759" s="672"/>
      <c r="BI759" s="732"/>
      <c r="BJ759" s="240"/>
      <c r="BK759" s="240"/>
      <c r="BL759" s="240"/>
      <c r="BM759" s="240"/>
      <c r="BN759" s="240"/>
      <c r="BO759" s="240"/>
      <c r="BP759" s="240"/>
      <c r="BQ759" s="240"/>
      <c r="BR759" s="240"/>
      <c r="BS759" s="240"/>
      <c r="BT759" s="240"/>
      <c r="BU759" s="240"/>
      <c r="BV759" s="240"/>
      <c r="BW759" s="672"/>
      <c r="BX759" s="672"/>
      <c r="BY759" s="672"/>
      <c r="BZ759" s="672"/>
      <c r="CA759" s="672"/>
      <c r="CB759" s="672"/>
      <c r="CC759" s="672"/>
      <c r="CD759" s="672"/>
      <c r="CE759" s="672"/>
      <c r="CF759" s="672"/>
      <c r="CG759" s="240"/>
      <c r="CH759" s="240"/>
      <c r="CI759" s="240"/>
      <c r="CJ759" s="240"/>
      <c r="CK759" s="240"/>
      <c r="CL759" s="728"/>
      <c r="CM759" s="728"/>
      <c r="CN759" s="195"/>
      <c r="CO759" s="195"/>
      <c r="CP759" s="195"/>
      <c r="CQ759" s="195"/>
      <c r="CR759" s="195"/>
      <c r="CS759" s="195"/>
      <c r="CT759" s="195"/>
      <c r="CU759" s="195"/>
      <c r="CV759" s="195"/>
      <c r="CW759" s="195"/>
      <c r="CX759" s="195"/>
      <c r="CY759" s="195"/>
      <c r="CZ759" s="195"/>
      <c r="DA759" s="195"/>
      <c r="DB759" s="195"/>
      <c r="DC759" s="195"/>
      <c r="DD759" s="195"/>
      <c r="DE759" s="195"/>
      <c r="DF759" s="195"/>
      <c r="DG759" s="1"/>
      <c r="DH759" s="3"/>
      <c r="DL759" s="4"/>
      <c r="DM759" s="4"/>
      <c r="DQ759" s="195"/>
      <c r="DR759" s="195"/>
      <c r="DS759" s="195"/>
      <c r="DT759" s="195"/>
      <c r="DU759" s="195"/>
      <c r="DV759" s="195"/>
      <c r="DW759" s="195"/>
      <c r="DX759" s="195"/>
      <c r="DY759" s="195"/>
      <c r="DZ759" s="195"/>
      <c r="EA759" s="195"/>
      <c r="EB759" s="195"/>
      <c r="EC759" s="195"/>
      <c r="ED759" s="195"/>
      <c r="EE759" s="195"/>
      <c r="EF759" s="195"/>
      <c r="EG759" s="195"/>
      <c r="EL759" s="1"/>
      <c r="EM759" s="195"/>
      <c r="EN759" s="240"/>
      <c r="EO759" s="240"/>
      <c r="EP759" s="195"/>
      <c r="EQ759" s="240"/>
      <c r="ER759" s="195"/>
      <c r="ES759" s="195"/>
      <c r="ET759" s="195"/>
      <c r="EU759" s="736"/>
    </row>
    <row r="760" customFormat="false" ht="12.75" hidden="false" customHeight="false" outlineLevel="0" collapsed="false">
      <c r="I760" s="735"/>
      <c r="J760" s="728"/>
      <c r="K760" s="195"/>
      <c r="L760" s="195"/>
      <c r="Q760" s="195"/>
      <c r="R760" s="195"/>
      <c r="S760" s="240"/>
      <c r="T760" s="195"/>
      <c r="U760" s="195"/>
      <c r="V760" s="195"/>
      <c r="W760" s="195"/>
      <c r="X760" s="195"/>
      <c r="Y760" s="195"/>
      <c r="Z760" s="195"/>
      <c r="AA760" s="195"/>
      <c r="AB760" s="195"/>
      <c r="AC760" s="195"/>
      <c r="AD760" s="195"/>
      <c r="AE760" s="195"/>
      <c r="AF760" s="195"/>
      <c r="AG760" s="195"/>
      <c r="AH760" s="195"/>
      <c r="AI760" s="195"/>
      <c r="AJ760" s="195"/>
      <c r="AK760" s="195"/>
      <c r="AL760" s="195"/>
      <c r="AM760" s="1"/>
      <c r="AN760" s="240"/>
      <c r="AO760" s="240"/>
      <c r="AP760" s="240"/>
      <c r="AQ760" s="240"/>
      <c r="AR760" s="240"/>
      <c r="AS760" s="730"/>
      <c r="AT760" s="730"/>
      <c r="AU760" s="730"/>
      <c r="AV760" s="738"/>
      <c r="AW760" s="738"/>
      <c r="AX760" s="240"/>
      <c r="AY760" s="240"/>
      <c r="AZ760" s="240"/>
      <c r="BA760" s="240"/>
      <c r="BB760" s="240"/>
      <c r="BC760" s="240"/>
      <c r="BD760" s="672"/>
      <c r="BE760" s="731"/>
      <c r="BF760" s="731"/>
      <c r="BG760" s="731"/>
      <c r="BH760" s="672"/>
      <c r="BI760" s="732"/>
      <c r="BJ760" s="240"/>
      <c r="BK760" s="240"/>
      <c r="BL760" s="240"/>
      <c r="BM760" s="240"/>
      <c r="BN760" s="240"/>
      <c r="BO760" s="240"/>
      <c r="BP760" s="240"/>
      <c r="BQ760" s="240"/>
      <c r="BR760" s="240"/>
      <c r="BS760" s="240"/>
      <c r="BT760" s="240"/>
      <c r="BU760" s="240"/>
      <c r="BV760" s="240"/>
      <c r="BW760" s="672"/>
      <c r="BX760" s="672"/>
      <c r="BY760" s="672"/>
      <c r="BZ760" s="672"/>
      <c r="CA760" s="672"/>
      <c r="CB760" s="672"/>
      <c r="CC760" s="672"/>
      <c r="CD760" s="672"/>
      <c r="CE760" s="672"/>
      <c r="CF760" s="672"/>
      <c r="CG760" s="240"/>
      <c r="CH760" s="240"/>
      <c r="CI760" s="240"/>
      <c r="CJ760" s="240"/>
      <c r="CK760" s="240"/>
      <c r="CL760" s="728"/>
      <c r="CM760" s="728"/>
      <c r="CN760" s="195"/>
      <c r="CO760" s="195"/>
      <c r="CP760" s="195"/>
      <c r="CQ760" s="195"/>
      <c r="CR760" s="195"/>
      <c r="CS760" s="195"/>
      <c r="CT760" s="195"/>
      <c r="CU760" s="195"/>
      <c r="CV760" s="195"/>
      <c r="CW760" s="195"/>
      <c r="CX760" s="195"/>
      <c r="CY760" s="195"/>
      <c r="CZ760" s="195"/>
      <c r="DA760" s="195"/>
      <c r="DB760" s="195"/>
      <c r="DC760" s="195"/>
      <c r="DD760" s="195"/>
      <c r="DE760" s="195"/>
      <c r="DF760" s="195"/>
      <c r="DG760" s="1"/>
      <c r="DH760" s="3"/>
      <c r="DL760" s="4"/>
      <c r="DM760" s="4"/>
      <c r="DQ760" s="195"/>
      <c r="DR760" s="195"/>
      <c r="DS760" s="195"/>
      <c r="DT760" s="195"/>
      <c r="DU760" s="195"/>
      <c r="DV760" s="195"/>
      <c r="DW760" s="195"/>
      <c r="DX760" s="195"/>
      <c r="DY760" s="195"/>
      <c r="DZ760" s="195"/>
      <c r="EA760" s="195"/>
      <c r="EB760" s="195"/>
      <c r="EC760" s="195"/>
      <c r="ED760" s="195"/>
      <c r="EE760" s="195"/>
      <c r="EF760" s="195"/>
      <c r="EG760" s="195"/>
      <c r="EL760" s="1"/>
      <c r="EM760" s="195"/>
      <c r="EN760" s="240"/>
      <c r="EO760" s="240"/>
      <c r="EP760" s="195"/>
      <c r="EQ760" s="240"/>
      <c r="ER760" s="195"/>
      <c r="ES760" s="195"/>
      <c r="ET760" s="195"/>
      <c r="EU760" s="736"/>
    </row>
    <row r="761" customFormat="false" ht="12.75" hidden="false" customHeight="false" outlineLevel="0" collapsed="false">
      <c r="I761" s="735"/>
      <c r="J761" s="728"/>
      <c r="K761" s="195"/>
      <c r="L761" s="195"/>
      <c r="Q761" s="195"/>
      <c r="R761" s="195"/>
      <c r="S761" s="240"/>
      <c r="T761" s="195"/>
      <c r="U761" s="195"/>
      <c r="V761" s="195"/>
      <c r="W761" s="195"/>
      <c r="X761" s="195"/>
      <c r="Y761" s="195"/>
      <c r="Z761" s="195"/>
      <c r="AA761" s="195"/>
      <c r="AB761" s="195"/>
      <c r="AC761" s="195"/>
      <c r="AD761" s="195"/>
      <c r="AE761" s="195"/>
      <c r="AF761" s="195"/>
      <c r="AG761" s="195"/>
      <c r="AH761" s="195"/>
      <c r="AI761" s="195"/>
      <c r="AJ761" s="195"/>
      <c r="AK761" s="195"/>
      <c r="AL761" s="195"/>
      <c r="AM761" s="1"/>
      <c r="AN761" s="240"/>
      <c r="AO761" s="240"/>
      <c r="AP761" s="240"/>
      <c r="AQ761" s="240"/>
      <c r="AR761" s="240"/>
      <c r="AS761" s="730"/>
      <c r="AT761" s="730"/>
      <c r="AU761" s="730"/>
      <c r="AV761" s="738"/>
      <c r="AW761" s="738"/>
      <c r="AX761" s="240"/>
      <c r="AY761" s="240"/>
      <c r="AZ761" s="240"/>
      <c r="BA761" s="240"/>
      <c r="BB761" s="240"/>
      <c r="BC761" s="240"/>
      <c r="BD761" s="672"/>
      <c r="BE761" s="731"/>
      <c r="BF761" s="731"/>
      <c r="BG761" s="731"/>
      <c r="BH761" s="672"/>
      <c r="BI761" s="732"/>
      <c r="BJ761" s="240"/>
      <c r="BK761" s="240"/>
      <c r="BL761" s="240"/>
      <c r="BM761" s="240"/>
      <c r="BN761" s="240"/>
      <c r="BO761" s="240"/>
      <c r="BP761" s="240"/>
      <c r="BQ761" s="240"/>
      <c r="BR761" s="240"/>
      <c r="BS761" s="240"/>
      <c r="BT761" s="240"/>
      <c r="BU761" s="240"/>
      <c r="BV761" s="240"/>
      <c r="BW761" s="672"/>
      <c r="BX761" s="672"/>
      <c r="BY761" s="672"/>
      <c r="BZ761" s="672"/>
      <c r="CA761" s="672"/>
      <c r="CB761" s="672"/>
      <c r="CC761" s="672"/>
      <c r="CD761" s="672"/>
      <c r="CE761" s="672"/>
      <c r="CF761" s="672"/>
      <c r="CG761" s="240"/>
      <c r="CH761" s="240"/>
      <c r="CI761" s="240"/>
      <c r="CJ761" s="240"/>
      <c r="CK761" s="240"/>
      <c r="CL761" s="728"/>
      <c r="CM761" s="728"/>
      <c r="CN761" s="195"/>
      <c r="CO761" s="195"/>
      <c r="CP761" s="195"/>
      <c r="CQ761" s="195"/>
      <c r="CR761" s="195"/>
      <c r="CS761" s="195"/>
      <c r="CT761" s="195"/>
      <c r="CU761" s="195"/>
      <c r="CV761" s="195"/>
      <c r="CW761" s="195"/>
      <c r="CX761" s="195"/>
      <c r="CY761" s="195"/>
      <c r="CZ761" s="195"/>
      <c r="DA761" s="195"/>
      <c r="DB761" s="195"/>
      <c r="DC761" s="195"/>
      <c r="DD761" s="195"/>
      <c r="DE761" s="195"/>
      <c r="DF761" s="195"/>
      <c r="DG761" s="1"/>
      <c r="DH761" s="3"/>
      <c r="DL761" s="4"/>
      <c r="DM761" s="4"/>
      <c r="DQ761" s="195"/>
      <c r="DR761" s="195"/>
      <c r="DS761" s="195"/>
      <c r="DT761" s="195"/>
      <c r="DU761" s="195"/>
      <c r="DV761" s="195"/>
      <c r="DW761" s="195"/>
      <c r="DX761" s="195"/>
      <c r="DY761" s="195"/>
      <c r="DZ761" s="195"/>
      <c r="EA761" s="195"/>
      <c r="EB761" s="195"/>
      <c r="EC761" s="195"/>
      <c r="ED761" s="195"/>
      <c r="EE761" s="195"/>
      <c r="EF761" s="195"/>
      <c r="EG761" s="195"/>
      <c r="EL761" s="1"/>
      <c r="EM761" s="195"/>
      <c r="EN761" s="240"/>
      <c r="EO761" s="240"/>
      <c r="EP761" s="195"/>
      <c r="EQ761" s="240"/>
      <c r="ER761" s="195"/>
      <c r="ES761" s="195"/>
      <c r="ET761" s="195"/>
      <c r="EU761" s="736"/>
    </row>
    <row r="762" customFormat="false" ht="12.75" hidden="false" customHeight="false" outlineLevel="0" collapsed="false">
      <c r="I762" s="735"/>
      <c r="J762" s="728"/>
      <c r="K762" s="195"/>
      <c r="L762" s="195"/>
      <c r="Q762" s="195"/>
      <c r="R762" s="195"/>
      <c r="S762" s="240"/>
      <c r="T762" s="195"/>
      <c r="U762" s="195"/>
      <c r="V762" s="195"/>
      <c r="W762" s="195"/>
      <c r="X762" s="195"/>
      <c r="Y762" s="195"/>
      <c r="Z762" s="195"/>
      <c r="AA762" s="195"/>
      <c r="AB762" s="195"/>
      <c r="AC762" s="195"/>
      <c r="AD762" s="195"/>
      <c r="AE762" s="195"/>
      <c r="AF762" s="195"/>
      <c r="AG762" s="195"/>
      <c r="AH762" s="195"/>
      <c r="AI762" s="195"/>
      <c r="AJ762" s="195"/>
      <c r="AK762" s="195"/>
      <c r="AL762" s="195"/>
      <c r="AM762" s="1"/>
      <c r="AN762" s="240"/>
      <c r="AO762" s="240"/>
      <c r="AP762" s="240"/>
      <c r="AQ762" s="240"/>
      <c r="AR762" s="240"/>
      <c r="AS762" s="730"/>
      <c r="AT762" s="730"/>
      <c r="AU762" s="730"/>
      <c r="AV762" s="738"/>
      <c r="AW762" s="738"/>
      <c r="AX762" s="240"/>
      <c r="AY762" s="240"/>
      <c r="AZ762" s="240"/>
      <c r="BA762" s="240"/>
      <c r="BB762" s="240"/>
      <c r="BC762" s="240"/>
      <c r="BD762" s="672"/>
      <c r="BE762" s="731"/>
      <c r="BF762" s="731"/>
      <c r="BG762" s="731"/>
      <c r="BH762" s="672"/>
      <c r="BI762" s="732"/>
      <c r="BJ762" s="240"/>
      <c r="BK762" s="240"/>
      <c r="BL762" s="240"/>
      <c r="BM762" s="240"/>
      <c r="BN762" s="240"/>
      <c r="BO762" s="240"/>
      <c r="BP762" s="240"/>
      <c r="BQ762" s="240"/>
      <c r="BR762" s="240"/>
      <c r="BS762" s="240"/>
      <c r="BT762" s="240"/>
      <c r="BU762" s="240"/>
      <c r="BV762" s="240"/>
      <c r="BW762" s="672"/>
      <c r="BX762" s="672"/>
      <c r="BY762" s="672"/>
      <c r="BZ762" s="672"/>
      <c r="CA762" s="672"/>
      <c r="CB762" s="672"/>
      <c r="CC762" s="672"/>
      <c r="CD762" s="672"/>
      <c r="CE762" s="672"/>
      <c r="CF762" s="672"/>
      <c r="CG762" s="240"/>
      <c r="CH762" s="240"/>
      <c r="CI762" s="240"/>
      <c r="CJ762" s="240"/>
      <c r="CK762" s="240"/>
      <c r="CL762" s="728"/>
      <c r="CM762" s="728"/>
      <c r="CN762" s="195"/>
      <c r="CO762" s="195"/>
      <c r="CP762" s="195"/>
      <c r="CQ762" s="195"/>
      <c r="CR762" s="195"/>
      <c r="CS762" s="195"/>
      <c r="CT762" s="195"/>
      <c r="CU762" s="195"/>
      <c r="CV762" s="195"/>
      <c r="CW762" s="195"/>
      <c r="CX762" s="195"/>
      <c r="CY762" s="195"/>
      <c r="CZ762" s="195"/>
      <c r="DA762" s="195"/>
      <c r="DB762" s="195"/>
      <c r="DC762" s="195"/>
      <c r="DD762" s="195"/>
      <c r="DE762" s="195"/>
      <c r="DF762" s="195"/>
      <c r="DG762" s="1"/>
      <c r="DH762" s="3"/>
      <c r="DL762" s="4"/>
      <c r="DM762" s="4"/>
      <c r="DQ762" s="195"/>
      <c r="DR762" s="195"/>
      <c r="DS762" s="195"/>
      <c r="DT762" s="195"/>
      <c r="DU762" s="195"/>
      <c r="DV762" s="195"/>
      <c r="DW762" s="195"/>
      <c r="DX762" s="195"/>
      <c r="DY762" s="195"/>
      <c r="DZ762" s="195"/>
      <c r="EA762" s="195"/>
      <c r="EB762" s="195"/>
      <c r="EC762" s="195"/>
      <c r="ED762" s="195"/>
      <c r="EE762" s="195"/>
      <c r="EF762" s="195"/>
      <c r="EG762" s="195"/>
      <c r="EL762" s="1"/>
      <c r="EM762" s="195"/>
      <c r="EN762" s="240"/>
      <c r="EO762" s="240"/>
      <c r="EP762" s="195"/>
      <c r="EQ762" s="240"/>
      <c r="ER762" s="195"/>
      <c r="ES762" s="195"/>
      <c r="ET762" s="195"/>
      <c r="EU762" s="736"/>
    </row>
    <row r="763" customFormat="false" ht="12.75" hidden="false" customHeight="false" outlineLevel="0" collapsed="false">
      <c r="I763" s="735"/>
      <c r="J763" s="728"/>
      <c r="K763" s="195"/>
      <c r="L763" s="195"/>
      <c r="Q763" s="195"/>
      <c r="R763" s="195"/>
      <c r="S763" s="240"/>
      <c r="T763" s="195"/>
      <c r="U763" s="195"/>
      <c r="V763" s="195"/>
      <c r="W763" s="195"/>
      <c r="X763" s="195"/>
      <c r="Y763" s="195"/>
      <c r="Z763" s="195"/>
      <c r="AA763" s="195"/>
      <c r="AB763" s="195"/>
      <c r="AC763" s="195"/>
      <c r="AD763" s="195"/>
      <c r="AE763" s="195"/>
      <c r="AF763" s="195"/>
      <c r="AG763" s="195"/>
      <c r="AH763" s="195"/>
      <c r="AI763" s="195"/>
      <c r="AJ763" s="195"/>
      <c r="AK763" s="195"/>
      <c r="AL763" s="195"/>
      <c r="AM763" s="1"/>
      <c r="AN763" s="240"/>
      <c r="AO763" s="240"/>
      <c r="AP763" s="240"/>
      <c r="AQ763" s="240"/>
      <c r="AR763" s="240"/>
      <c r="AS763" s="730"/>
      <c r="AT763" s="730"/>
      <c r="AU763" s="730"/>
      <c r="AV763" s="738"/>
      <c r="AW763" s="738"/>
      <c r="AX763" s="240"/>
      <c r="AY763" s="240"/>
      <c r="AZ763" s="240"/>
      <c r="BA763" s="240"/>
      <c r="BB763" s="240"/>
      <c r="BC763" s="240"/>
      <c r="BD763" s="672"/>
      <c r="BE763" s="731"/>
      <c r="BF763" s="731"/>
      <c r="BG763" s="731"/>
      <c r="BH763" s="672"/>
      <c r="BI763" s="732"/>
      <c r="BJ763" s="240"/>
      <c r="BK763" s="240"/>
      <c r="BL763" s="240"/>
      <c r="BM763" s="240"/>
      <c r="BN763" s="240"/>
      <c r="BO763" s="240"/>
      <c r="BP763" s="240"/>
      <c r="BQ763" s="240"/>
      <c r="BR763" s="240"/>
      <c r="BS763" s="240"/>
      <c r="BT763" s="240"/>
      <c r="BU763" s="240"/>
      <c r="BV763" s="240"/>
      <c r="BW763" s="672"/>
      <c r="BX763" s="672"/>
      <c r="BY763" s="672"/>
      <c r="BZ763" s="672"/>
      <c r="CA763" s="672"/>
      <c r="CB763" s="672"/>
      <c r="CC763" s="672"/>
      <c r="CD763" s="672"/>
      <c r="CE763" s="672"/>
      <c r="CF763" s="672"/>
      <c r="CG763" s="240"/>
      <c r="CH763" s="240"/>
      <c r="CI763" s="240"/>
      <c r="CJ763" s="240"/>
      <c r="CK763" s="240"/>
      <c r="CL763" s="728"/>
      <c r="CM763" s="728"/>
      <c r="CN763" s="195"/>
      <c r="CO763" s="195"/>
      <c r="CP763" s="195"/>
      <c r="CQ763" s="195"/>
      <c r="CR763" s="195"/>
      <c r="CS763" s="195"/>
      <c r="CT763" s="195"/>
      <c r="CU763" s="195"/>
      <c r="CV763" s="195"/>
      <c r="CW763" s="195"/>
      <c r="CX763" s="195"/>
      <c r="CY763" s="195"/>
      <c r="CZ763" s="195"/>
      <c r="DA763" s="195"/>
      <c r="DB763" s="195"/>
      <c r="DC763" s="195"/>
      <c r="DD763" s="195"/>
      <c r="DE763" s="195"/>
      <c r="DF763" s="195"/>
      <c r="DG763" s="1"/>
      <c r="DH763" s="3"/>
      <c r="DL763" s="4"/>
      <c r="DM763" s="4"/>
      <c r="DQ763" s="195"/>
      <c r="DR763" s="195"/>
      <c r="DS763" s="195"/>
      <c r="DT763" s="195"/>
      <c r="DU763" s="195"/>
      <c r="DV763" s="195"/>
      <c r="DW763" s="195"/>
      <c r="DX763" s="195"/>
      <c r="DY763" s="195"/>
      <c r="DZ763" s="195"/>
      <c r="EA763" s="195"/>
      <c r="EB763" s="195"/>
      <c r="EC763" s="195"/>
      <c r="ED763" s="195"/>
      <c r="EE763" s="195"/>
      <c r="EF763" s="195"/>
      <c r="EG763" s="195"/>
      <c r="EL763" s="1"/>
      <c r="EM763" s="195"/>
      <c r="EN763" s="240"/>
      <c r="EO763" s="240"/>
      <c r="EP763" s="195"/>
      <c r="EQ763" s="240"/>
      <c r="ER763" s="195"/>
      <c r="ES763" s="195"/>
      <c r="ET763" s="195"/>
      <c r="EU763" s="736"/>
    </row>
    <row r="764" customFormat="false" ht="12.75" hidden="false" customHeight="false" outlineLevel="0" collapsed="false">
      <c r="I764" s="735"/>
      <c r="J764" s="728"/>
      <c r="K764" s="195"/>
      <c r="L764" s="195"/>
      <c r="Q764" s="195"/>
      <c r="R764" s="195"/>
      <c r="S764" s="240"/>
      <c r="T764" s="195"/>
      <c r="U764" s="195"/>
      <c r="V764" s="195"/>
      <c r="W764" s="195"/>
      <c r="X764" s="195"/>
      <c r="Y764" s="195"/>
      <c r="Z764" s="195"/>
      <c r="AA764" s="195"/>
      <c r="AB764" s="195"/>
      <c r="AC764" s="195"/>
      <c r="AD764" s="195"/>
      <c r="AE764" s="195"/>
      <c r="AF764" s="195"/>
      <c r="AG764" s="195"/>
      <c r="AH764" s="195"/>
      <c r="AI764" s="195"/>
      <c r="AJ764" s="195"/>
      <c r="AK764" s="195"/>
      <c r="AL764" s="195"/>
      <c r="AM764" s="1"/>
      <c r="AN764" s="240"/>
      <c r="AO764" s="240"/>
      <c r="AP764" s="240"/>
      <c r="AQ764" s="240"/>
      <c r="AR764" s="240"/>
      <c r="AS764" s="730"/>
      <c r="AT764" s="730"/>
      <c r="AU764" s="730"/>
      <c r="AV764" s="738"/>
      <c r="AW764" s="738"/>
      <c r="AX764" s="240"/>
      <c r="AY764" s="240"/>
      <c r="AZ764" s="240"/>
      <c r="BA764" s="240"/>
      <c r="BB764" s="240"/>
      <c r="BC764" s="240"/>
      <c r="BD764" s="672"/>
      <c r="BE764" s="731"/>
      <c r="BF764" s="731"/>
      <c r="BG764" s="731"/>
      <c r="BH764" s="672"/>
      <c r="BI764" s="732"/>
      <c r="BJ764" s="240"/>
      <c r="BK764" s="240"/>
      <c r="BL764" s="240"/>
      <c r="BM764" s="240"/>
      <c r="BN764" s="240"/>
      <c r="BO764" s="240"/>
      <c r="BP764" s="240"/>
      <c r="BQ764" s="240"/>
      <c r="BR764" s="240"/>
      <c r="BS764" s="240"/>
      <c r="BT764" s="240"/>
      <c r="BU764" s="240"/>
      <c r="BV764" s="240"/>
      <c r="BW764" s="672"/>
      <c r="BX764" s="672"/>
      <c r="BY764" s="672"/>
      <c r="BZ764" s="672"/>
      <c r="CA764" s="672"/>
      <c r="CB764" s="672"/>
      <c r="CC764" s="672"/>
      <c r="CD764" s="672"/>
      <c r="CE764" s="672"/>
      <c r="CF764" s="672"/>
      <c r="CG764" s="240"/>
      <c r="CH764" s="240"/>
      <c r="CI764" s="240"/>
      <c r="CJ764" s="240"/>
      <c r="CK764" s="240"/>
      <c r="CL764" s="728"/>
      <c r="CM764" s="728"/>
      <c r="CN764" s="195"/>
      <c r="CO764" s="195"/>
      <c r="CP764" s="195"/>
      <c r="CQ764" s="195"/>
      <c r="CR764" s="195"/>
      <c r="CS764" s="195"/>
      <c r="CT764" s="195"/>
      <c r="CU764" s="195"/>
      <c r="CV764" s="195"/>
      <c r="CW764" s="195"/>
      <c r="CX764" s="195"/>
      <c r="CY764" s="195"/>
      <c r="CZ764" s="195"/>
      <c r="DA764" s="195"/>
      <c r="DB764" s="195"/>
      <c r="DC764" s="195"/>
      <c r="DD764" s="195"/>
      <c r="DE764" s="195"/>
      <c r="DF764" s="195"/>
      <c r="DG764" s="1"/>
      <c r="DH764" s="3"/>
      <c r="DL764" s="4"/>
      <c r="DM764" s="4"/>
      <c r="DQ764" s="195"/>
      <c r="DR764" s="195"/>
      <c r="DS764" s="195"/>
      <c r="DT764" s="195"/>
      <c r="DU764" s="195"/>
      <c r="DV764" s="195"/>
      <c r="DW764" s="195"/>
      <c r="DX764" s="195"/>
      <c r="DY764" s="195"/>
      <c r="DZ764" s="195"/>
      <c r="EA764" s="195"/>
      <c r="EB764" s="195"/>
      <c r="EC764" s="195"/>
      <c r="ED764" s="195"/>
      <c r="EE764" s="195"/>
      <c r="EF764" s="195"/>
      <c r="EG764" s="195"/>
      <c r="EL764" s="1"/>
      <c r="EM764" s="195"/>
      <c r="EN764" s="240"/>
      <c r="EO764" s="240"/>
      <c r="EP764" s="195"/>
      <c r="EQ764" s="240"/>
      <c r="ER764" s="195"/>
      <c r="ES764" s="195"/>
      <c r="ET764" s="195"/>
      <c r="EU764" s="736"/>
    </row>
    <row r="765" customFormat="false" ht="12.75" hidden="false" customHeight="false" outlineLevel="0" collapsed="false">
      <c r="I765" s="735"/>
      <c r="J765" s="728"/>
      <c r="K765" s="195"/>
      <c r="L765" s="195"/>
      <c r="Q765" s="195"/>
      <c r="R765" s="195"/>
      <c r="S765" s="240"/>
      <c r="T765" s="195"/>
      <c r="U765" s="195"/>
      <c r="V765" s="195"/>
      <c r="W765" s="195"/>
      <c r="X765" s="195"/>
      <c r="Y765" s="195"/>
      <c r="Z765" s="195"/>
      <c r="AA765" s="195"/>
      <c r="AB765" s="195"/>
      <c r="AC765" s="195"/>
      <c r="AD765" s="195"/>
      <c r="AE765" s="195"/>
      <c r="AF765" s="195"/>
      <c r="AG765" s="195"/>
      <c r="AH765" s="195"/>
      <c r="AI765" s="195"/>
      <c r="AJ765" s="195"/>
      <c r="AK765" s="195"/>
      <c r="AL765" s="195"/>
      <c r="AM765" s="1"/>
      <c r="AN765" s="240"/>
      <c r="AO765" s="240"/>
      <c r="AP765" s="240"/>
      <c r="AQ765" s="240"/>
      <c r="AR765" s="240"/>
      <c r="AS765" s="730"/>
      <c r="AT765" s="730"/>
      <c r="AU765" s="730"/>
      <c r="AV765" s="738"/>
      <c r="AW765" s="738"/>
      <c r="AX765" s="240"/>
      <c r="AY765" s="240"/>
      <c r="AZ765" s="240"/>
      <c r="BA765" s="240"/>
      <c r="BB765" s="240"/>
      <c r="BC765" s="240"/>
      <c r="BD765" s="672"/>
      <c r="BE765" s="731"/>
      <c r="BF765" s="731"/>
      <c r="BG765" s="731"/>
      <c r="BH765" s="672"/>
      <c r="BI765" s="732"/>
      <c r="BJ765" s="240"/>
      <c r="BK765" s="240"/>
      <c r="BL765" s="240"/>
      <c r="BM765" s="240"/>
      <c r="BN765" s="240"/>
      <c r="BO765" s="240"/>
      <c r="BP765" s="240"/>
      <c r="BQ765" s="240"/>
      <c r="BR765" s="240"/>
      <c r="BS765" s="240"/>
      <c r="BT765" s="240"/>
      <c r="BU765" s="240"/>
      <c r="BV765" s="240"/>
      <c r="BW765" s="672"/>
      <c r="BX765" s="672"/>
      <c r="BY765" s="672"/>
      <c r="BZ765" s="672"/>
      <c r="CA765" s="672"/>
      <c r="CB765" s="672"/>
      <c r="CC765" s="672"/>
      <c r="CD765" s="672"/>
      <c r="CE765" s="672"/>
      <c r="CF765" s="672"/>
      <c r="CG765" s="240"/>
      <c r="CH765" s="240"/>
      <c r="CI765" s="240"/>
      <c r="CJ765" s="240"/>
      <c r="CK765" s="240"/>
      <c r="CL765" s="728"/>
      <c r="CM765" s="728"/>
      <c r="CN765" s="195"/>
      <c r="CO765" s="195"/>
      <c r="CP765" s="195"/>
      <c r="CQ765" s="195"/>
      <c r="CR765" s="195"/>
      <c r="CS765" s="195"/>
      <c r="CT765" s="195"/>
      <c r="CU765" s="195"/>
      <c r="CV765" s="195"/>
      <c r="CW765" s="195"/>
      <c r="CX765" s="195"/>
      <c r="CY765" s="195"/>
      <c r="CZ765" s="195"/>
      <c r="DA765" s="195"/>
      <c r="DB765" s="195"/>
      <c r="DC765" s="195"/>
      <c r="DD765" s="195"/>
      <c r="DE765" s="195"/>
      <c r="DF765" s="195"/>
      <c r="DG765" s="1"/>
      <c r="DH765" s="3"/>
      <c r="DL765" s="4"/>
      <c r="DM765" s="4"/>
      <c r="DQ765" s="195"/>
      <c r="DR765" s="195"/>
      <c r="DS765" s="195"/>
      <c r="DT765" s="195"/>
      <c r="DU765" s="195"/>
      <c r="DV765" s="195"/>
      <c r="DW765" s="195"/>
      <c r="DX765" s="195"/>
      <c r="DY765" s="195"/>
      <c r="DZ765" s="195"/>
      <c r="EA765" s="195"/>
      <c r="EB765" s="195"/>
      <c r="EC765" s="195"/>
      <c r="ED765" s="195"/>
      <c r="EE765" s="195"/>
      <c r="EF765" s="195"/>
      <c r="EG765" s="195"/>
      <c r="EL765" s="1"/>
      <c r="EM765" s="195"/>
      <c r="EN765" s="240"/>
      <c r="EO765" s="240"/>
      <c r="EP765" s="195"/>
      <c r="EQ765" s="240"/>
      <c r="ER765" s="195"/>
      <c r="ES765" s="195"/>
      <c r="ET765" s="195"/>
      <c r="EU765" s="736"/>
    </row>
    <row r="766" customFormat="false" ht="12.75" hidden="false" customHeight="false" outlineLevel="0" collapsed="false">
      <c r="I766" s="735"/>
      <c r="J766" s="728"/>
      <c r="K766" s="195"/>
      <c r="L766" s="195"/>
      <c r="Q766" s="195"/>
      <c r="R766" s="195"/>
      <c r="S766" s="240"/>
      <c r="T766" s="195"/>
      <c r="U766" s="195"/>
      <c r="V766" s="195"/>
      <c r="W766" s="195"/>
      <c r="X766" s="195"/>
      <c r="Y766" s="195"/>
      <c r="Z766" s="195"/>
      <c r="AA766" s="195"/>
      <c r="AB766" s="195"/>
      <c r="AC766" s="195"/>
      <c r="AD766" s="195"/>
      <c r="AE766" s="195"/>
      <c r="AF766" s="195"/>
      <c r="AG766" s="195"/>
      <c r="AH766" s="195"/>
      <c r="AI766" s="195"/>
      <c r="AJ766" s="195"/>
      <c r="AK766" s="195"/>
      <c r="AL766" s="195"/>
      <c r="AM766" s="1"/>
      <c r="AN766" s="240"/>
      <c r="AO766" s="240"/>
      <c r="AP766" s="240"/>
      <c r="AQ766" s="240"/>
      <c r="AR766" s="240"/>
      <c r="AS766" s="730"/>
      <c r="AT766" s="730"/>
      <c r="AU766" s="730"/>
      <c r="AV766" s="738"/>
      <c r="AW766" s="738"/>
      <c r="AX766" s="240"/>
      <c r="AY766" s="240"/>
      <c r="AZ766" s="240"/>
      <c r="BA766" s="240"/>
      <c r="BB766" s="240"/>
      <c r="BC766" s="240"/>
      <c r="BD766" s="672"/>
      <c r="BE766" s="731"/>
      <c r="BF766" s="731"/>
      <c r="BG766" s="731"/>
      <c r="BH766" s="672"/>
      <c r="BI766" s="732"/>
      <c r="BJ766" s="240"/>
      <c r="BK766" s="240"/>
      <c r="BL766" s="240"/>
      <c r="BM766" s="240"/>
      <c r="BN766" s="240"/>
      <c r="BO766" s="240"/>
      <c r="BP766" s="240"/>
      <c r="BQ766" s="240"/>
      <c r="BR766" s="240"/>
      <c r="BS766" s="240"/>
      <c r="BT766" s="240"/>
      <c r="BU766" s="240"/>
      <c r="BV766" s="240"/>
      <c r="BW766" s="672"/>
      <c r="BX766" s="672"/>
      <c r="BY766" s="672"/>
      <c r="BZ766" s="672"/>
      <c r="CA766" s="672"/>
      <c r="CB766" s="672"/>
      <c r="CC766" s="672"/>
      <c r="CD766" s="672"/>
      <c r="CE766" s="672"/>
      <c r="CF766" s="672"/>
      <c r="CG766" s="240"/>
      <c r="CH766" s="240"/>
      <c r="CI766" s="240"/>
      <c r="CJ766" s="240"/>
      <c r="CK766" s="240"/>
      <c r="CL766" s="728"/>
      <c r="CM766" s="728"/>
      <c r="CN766" s="195"/>
      <c r="CO766" s="195"/>
      <c r="CP766" s="195"/>
      <c r="CQ766" s="195"/>
      <c r="CR766" s="195"/>
      <c r="CS766" s="195"/>
      <c r="CT766" s="195"/>
      <c r="CU766" s="195"/>
      <c r="CV766" s="195"/>
      <c r="CW766" s="195"/>
      <c r="CX766" s="195"/>
      <c r="CY766" s="195"/>
      <c r="CZ766" s="195"/>
      <c r="DA766" s="195"/>
      <c r="DB766" s="195"/>
      <c r="DC766" s="195"/>
      <c r="DD766" s="195"/>
      <c r="DE766" s="195"/>
      <c r="DF766" s="195"/>
      <c r="DG766" s="1"/>
      <c r="DH766" s="3"/>
      <c r="DL766" s="4"/>
      <c r="DM766" s="4"/>
      <c r="DQ766" s="195"/>
      <c r="DR766" s="195"/>
      <c r="DS766" s="195"/>
      <c r="DT766" s="195"/>
      <c r="DU766" s="195"/>
      <c r="DV766" s="195"/>
      <c r="DW766" s="195"/>
      <c r="DX766" s="195"/>
      <c r="DY766" s="195"/>
      <c r="DZ766" s="195"/>
      <c r="EA766" s="195"/>
      <c r="EB766" s="195"/>
      <c r="EC766" s="195"/>
      <c r="ED766" s="195"/>
      <c r="EE766" s="195"/>
      <c r="EF766" s="195"/>
      <c r="EG766" s="195"/>
      <c r="EL766" s="1"/>
      <c r="EM766" s="195"/>
      <c r="EN766" s="240"/>
      <c r="EO766" s="240"/>
      <c r="EP766" s="195"/>
      <c r="EQ766" s="240"/>
      <c r="ER766" s="195"/>
      <c r="ES766" s="195"/>
      <c r="ET766" s="195"/>
      <c r="EU766" s="736"/>
    </row>
    <row r="767" customFormat="false" ht="12.75" hidden="false" customHeight="false" outlineLevel="0" collapsed="false">
      <c r="I767" s="735"/>
      <c r="J767" s="728"/>
      <c r="K767" s="195"/>
      <c r="L767" s="195"/>
      <c r="Q767" s="195"/>
      <c r="R767" s="195"/>
      <c r="S767" s="240"/>
      <c r="T767" s="195"/>
      <c r="U767" s="195"/>
      <c r="V767" s="195"/>
      <c r="W767" s="195"/>
      <c r="X767" s="195"/>
      <c r="Y767" s="195"/>
      <c r="Z767" s="195"/>
      <c r="AA767" s="195"/>
      <c r="AB767" s="195"/>
      <c r="AC767" s="195"/>
      <c r="AD767" s="195"/>
      <c r="AE767" s="195"/>
      <c r="AF767" s="195"/>
      <c r="AG767" s="195"/>
      <c r="AH767" s="195"/>
      <c r="AI767" s="195"/>
      <c r="AJ767" s="195"/>
      <c r="AK767" s="195"/>
      <c r="AL767" s="195"/>
      <c r="AM767" s="1"/>
      <c r="AN767" s="240"/>
      <c r="AO767" s="240"/>
      <c r="AP767" s="240"/>
      <c r="AQ767" s="240"/>
      <c r="AR767" s="240"/>
      <c r="AS767" s="730"/>
      <c r="AT767" s="730"/>
      <c r="AU767" s="730"/>
      <c r="AV767" s="738"/>
      <c r="AW767" s="738"/>
      <c r="AX767" s="240"/>
      <c r="AY767" s="240"/>
      <c r="AZ767" s="240"/>
      <c r="BA767" s="240"/>
      <c r="BB767" s="240"/>
      <c r="BC767" s="240"/>
      <c r="BD767" s="672"/>
      <c r="BE767" s="731"/>
      <c r="BF767" s="731"/>
      <c r="BG767" s="731"/>
      <c r="BH767" s="672"/>
      <c r="BI767" s="732"/>
      <c r="BJ767" s="240"/>
      <c r="BK767" s="240"/>
      <c r="BL767" s="240"/>
      <c r="BM767" s="240"/>
      <c r="BN767" s="240"/>
      <c r="BO767" s="240"/>
      <c r="BP767" s="240"/>
      <c r="BQ767" s="240"/>
      <c r="BR767" s="240"/>
      <c r="BS767" s="240"/>
      <c r="BT767" s="240"/>
      <c r="BU767" s="240"/>
      <c r="BV767" s="240"/>
      <c r="BW767" s="672"/>
      <c r="BX767" s="672"/>
      <c r="BY767" s="672"/>
      <c r="BZ767" s="672"/>
      <c r="CA767" s="672"/>
      <c r="CB767" s="672"/>
      <c r="CC767" s="672"/>
      <c r="CD767" s="672"/>
      <c r="CE767" s="672"/>
      <c r="CF767" s="672"/>
      <c r="CG767" s="240"/>
      <c r="CH767" s="240"/>
      <c r="CI767" s="240"/>
      <c r="CJ767" s="240"/>
      <c r="CK767" s="240"/>
      <c r="CL767" s="728"/>
      <c r="CM767" s="728"/>
      <c r="CN767" s="195"/>
      <c r="CO767" s="195"/>
      <c r="CP767" s="195"/>
      <c r="CQ767" s="195"/>
      <c r="CR767" s="195"/>
      <c r="CS767" s="195"/>
      <c r="CT767" s="195"/>
      <c r="CU767" s="195"/>
      <c r="CV767" s="195"/>
      <c r="CW767" s="195"/>
      <c r="CX767" s="195"/>
      <c r="CY767" s="195"/>
      <c r="CZ767" s="195"/>
      <c r="DA767" s="195"/>
      <c r="DB767" s="195"/>
      <c r="DC767" s="195"/>
      <c r="DD767" s="195"/>
      <c r="DE767" s="195"/>
      <c r="DF767" s="195"/>
      <c r="DG767" s="1"/>
      <c r="DH767" s="3"/>
      <c r="DL767" s="4"/>
      <c r="DM767" s="4"/>
      <c r="DQ767" s="195"/>
      <c r="DR767" s="195"/>
      <c r="DS767" s="195"/>
      <c r="DT767" s="195"/>
      <c r="DU767" s="195"/>
      <c r="DV767" s="195"/>
      <c r="DW767" s="195"/>
      <c r="DX767" s="195"/>
      <c r="DY767" s="195"/>
      <c r="DZ767" s="195"/>
      <c r="EA767" s="195"/>
      <c r="EB767" s="195"/>
      <c r="EC767" s="195"/>
      <c r="ED767" s="195"/>
      <c r="EE767" s="195"/>
      <c r="EF767" s="195"/>
      <c r="EG767" s="195"/>
      <c r="EL767" s="1"/>
      <c r="EM767" s="195"/>
      <c r="EN767" s="240"/>
      <c r="EO767" s="240"/>
      <c r="EP767" s="195"/>
      <c r="EQ767" s="240"/>
      <c r="ER767" s="195"/>
      <c r="ES767" s="195"/>
      <c r="ET767" s="195"/>
      <c r="EU767" s="736"/>
    </row>
    <row r="768" customFormat="false" ht="12.75" hidden="false" customHeight="false" outlineLevel="0" collapsed="false">
      <c r="I768" s="735"/>
      <c r="J768" s="728"/>
      <c r="K768" s="195"/>
      <c r="L768" s="195"/>
      <c r="Q768" s="195"/>
      <c r="R768" s="195"/>
      <c r="S768" s="240"/>
      <c r="T768" s="195"/>
      <c r="U768" s="195"/>
      <c r="V768" s="195"/>
      <c r="W768" s="195"/>
      <c r="X768" s="195"/>
      <c r="Y768" s="195"/>
      <c r="Z768" s="195"/>
      <c r="AA768" s="195"/>
      <c r="AB768" s="195"/>
      <c r="AC768" s="195"/>
      <c r="AD768" s="195"/>
      <c r="AE768" s="195"/>
      <c r="AF768" s="195"/>
      <c r="AG768" s="195"/>
      <c r="AH768" s="195"/>
      <c r="AI768" s="195"/>
      <c r="AJ768" s="195"/>
      <c r="AK768" s="195"/>
      <c r="AL768" s="195"/>
      <c r="AM768" s="1"/>
      <c r="AN768" s="240"/>
      <c r="AO768" s="240"/>
      <c r="AP768" s="240"/>
      <c r="AQ768" s="240"/>
      <c r="AR768" s="240"/>
      <c r="AS768" s="730"/>
      <c r="AT768" s="730"/>
      <c r="AU768" s="730"/>
      <c r="AV768" s="738"/>
      <c r="AW768" s="738"/>
      <c r="AX768" s="240"/>
      <c r="AY768" s="240"/>
      <c r="AZ768" s="240"/>
      <c r="BA768" s="240"/>
      <c r="BB768" s="240"/>
      <c r="BC768" s="240"/>
      <c r="BD768" s="672"/>
      <c r="BE768" s="731"/>
      <c r="BF768" s="731"/>
      <c r="BG768" s="731"/>
      <c r="BH768" s="672"/>
      <c r="BI768" s="732"/>
      <c r="BJ768" s="240"/>
      <c r="BK768" s="240"/>
      <c r="BL768" s="240"/>
      <c r="BM768" s="240"/>
      <c r="BN768" s="240"/>
      <c r="BO768" s="240"/>
      <c r="BP768" s="240"/>
      <c r="BQ768" s="240"/>
      <c r="BR768" s="240"/>
      <c r="BS768" s="240"/>
      <c r="BT768" s="240"/>
      <c r="BU768" s="240"/>
      <c r="BV768" s="240"/>
      <c r="BW768" s="672"/>
      <c r="BX768" s="672"/>
      <c r="BY768" s="672"/>
      <c r="BZ768" s="672"/>
      <c r="CA768" s="672"/>
      <c r="CB768" s="672"/>
      <c r="CC768" s="672"/>
      <c r="CD768" s="672"/>
      <c r="CE768" s="672"/>
      <c r="CF768" s="672"/>
      <c r="CG768" s="240"/>
      <c r="CH768" s="240"/>
      <c r="CI768" s="240"/>
      <c r="CJ768" s="240"/>
      <c r="CK768" s="240"/>
      <c r="CL768" s="728"/>
      <c r="CM768" s="728"/>
      <c r="CN768" s="195"/>
      <c r="CO768" s="195"/>
      <c r="CP768" s="195"/>
      <c r="CQ768" s="195"/>
      <c r="CR768" s="195"/>
      <c r="CS768" s="195"/>
      <c r="CT768" s="195"/>
      <c r="CU768" s="195"/>
      <c r="CV768" s="195"/>
      <c r="CW768" s="195"/>
      <c r="CX768" s="195"/>
      <c r="CY768" s="195"/>
      <c r="CZ768" s="195"/>
      <c r="DA768" s="195"/>
      <c r="DB768" s="195"/>
      <c r="DC768" s="195"/>
      <c r="DD768" s="195"/>
      <c r="DE768" s="195"/>
      <c r="DF768" s="195"/>
      <c r="DG768" s="1"/>
      <c r="DH768" s="3"/>
      <c r="DL768" s="4"/>
      <c r="DM768" s="4"/>
      <c r="DQ768" s="195"/>
      <c r="DR768" s="195"/>
      <c r="DS768" s="195"/>
      <c r="DT768" s="195"/>
      <c r="DU768" s="195"/>
      <c r="DV768" s="195"/>
      <c r="DW768" s="195"/>
      <c r="DX768" s="195"/>
      <c r="DY768" s="195"/>
      <c r="DZ768" s="195"/>
      <c r="EA768" s="195"/>
      <c r="EB768" s="195"/>
      <c r="EC768" s="195"/>
      <c r="ED768" s="195"/>
      <c r="EE768" s="195"/>
      <c r="EF768" s="195"/>
      <c r="EG768" s="195"/>
      <c r="EL768" s="1"/>
      <c r="EM768" s="195"/>
      <c r="EN768" s="240"/>
      <c r="EO768" s="240"/>
      <c r="EP768" s="195"/>
      <c r="EQ768" s="240"/>
      <c r="ER768" s="195"/>
      <c r="ES768" s="195"/>
      <c r="ET768" s="195"/>
      <c r="EU768" s="736"/>
    </row>
    <row r="769" customFormat="false" ht="12.75" hidden="false" customHeight="false" outlineLevel="0" collapsed="false">
      <c r="I769" s="735"/>
      <c r="J769" s="728"/>
      <c r="K769" s="195"/>
      <c r="L769" s="195"/>
      <c r="Q769" s="195"/>
      <c r="R769" s="195"/>
      <c r="S769" s="240"/>
      <c r="T769" s="195"/>
      <c r="U769" s="195"/>
      <c r="V769" s="195"/>
      <c r="W769" s="195"/>
      <c r="X769" s="195"/>
      <c r="Y769" s="195"/>
      <c r="Z769" s="195"/>
      <c r="AA769" s="195"/>
      <c r="AB769" s="195"/>
      <c r="AC769" s="195"/>
      <c r="AD769" s="195"/>
      <c r="AE769" s="195"/>
      <c r="AF769" s="195"/>
      <c r="AG769" s="195"/>
      <c r="AH769" s="195"/>
      <c r="AI769" s="195"/>
      <c r="AJ769" s="195"/>
      <c r="AK769" s="195"/>
      <c r="AL769" s="195"/>
      <c r="AM769" s="1"/>
      <c r="AN769" s="240"/>
      <c r="AO769" s="240"/>
      <c r="AP769" s="240"/>
      <c r="AQ769" s="240"/>
      <c r="AR769" s="240"/>
      <c r="AS769" s="730"/>
      <c r="AT769" s="730"/>
      <c r="AU769" s="730"/>
      <c r="AV769" s="738"/>
      <c r="AW769" s="738"/>
      <c r="AX769" s="240"/>
      <c r="AY769" s="240"/>
      <c r="AZ769" s="240"/>
      <c r="BA769" s="240"/>
      <c r="BB769" s="240"/>
      <c r="BC769" s="240"/>
      <c r="BD769" s="672"/>
      <c r="BE769" s="731"/>
      <c r="BF769" s="731"/>
      <c r="BG769" s="731"/>
      <c r="BH769" s="672"/>
      <c r="BI769" s="732"/>
      <c r="BJ769" s="240"/>
      <c r="BK769" s="240"/>
      <c r="BL769" s="240"/>
      <c r="BM769" s="240"/>
      <c r="BN769" s="240"/>
      <c r="BO769" s="240"/>
      <c r="BP769" s="240"/>
      <c r="BQ769" s="240"/>
      <c r="BR769" s="240"/>
      <c r="BS769" s="240"/>
      <c r="BT769" s="240"/>
      <c r="BU769" s="240"/>
      <c r="BV769" s="240"/>
      <c r="BW769" s="672"/>
      <c r="BX769" s="672"/>
      <c r="BY769" s="672"/>
      <c r="BZ769" s="672"/>
      <c r="CA769" s="672"/>
      <c r="CB769" s="672"/>
      <c r="CC769" s="672"/>
      <c r="CD769" s="672"/>
      <c r="CE769" s="672"/>
      <c r="CF769" s="672"/>
      <c r="CG769" s="240"/>
      <c r="CH769" s="240"/>
      <c r="CI769" s="240"/>
      <c r="CJ769" s="240"/>
      <c r="CK769" s="240"/>
      <c r="CL769" s="728"/>
      <c r="CM769" s="728"/>
      <c r="CN769" s="195"/>
      <c r="CO769" s="195"/>
      <c r="CP769" s="195"/>
      <c r="CQ769" s="195"/>
      <c r="CR769" s="195"/>
      <c r="CS769" s="195"/>
      <c r="CT769" s="195"/>
      <c r="CU769" s="195"/>
      <c r="CV769" s="195"/>
      <c r="CW769" s="195"/>
      <c r="CX769" s="195"/>
      <c r="CY769" s="195"/>
      <c r="CZ769" s="195"/>
      <c r="DA769" s="195"/>
      <c r="DB769" s="195"/>
      <c r="DC769" s="195"/>
      <c r="DD769" s="195"/>
      <c r="DE769" s="195"/>
      <c r="DF769" s="195"/>
      <c r="DG769" s="1"/>
      <c r="DH769" s="3"/>
      <c r="DL769" s="4"/>
      <c r="DM769" s="4"/>
      <c r="DQ769" s="195"/>
      <c r="DR769" s="195"/>
      <c r="DS769" s="195"/>
      <c r="DT769" s="195"/>
      <c r="DU769" s="195"/>
      <c r="DV769" s="195"/>
      <c r="DW769" s="195"/>
      <c r="DX769" s="195"/>
      <c r="DY769" s="195"/>
      <c r="DZ769" s="195"/>
      <c r="EA769" s="195"/>
      <c r="EB769" s="195"/>
      <c r="EC769" s="195"/>
      <c r="ED769" s="195"/>
      <c r="EE769" s="195"/>
      <c r="EF769" s="195"/>
      <c r="EG769" s="195"/>
      <c r="EL769" s="1"/>
      <c r="EM769" s="195"/>
      <c r="EN769" s="240"/>
      <c r="EO769" s="240"/>
      <c r="EP769" s="195"/>
      <c r="EQ769" s="240"/>
      <c r="ER769" s="195"/>
      <c r="ES769" s="195"/>
      <c r="ET769" s="195"/>
      <c r="EU769" s="736"/>
    </row>
    <row r="770" customFormat="false" ht="12.75" hidden="false" customHeight="false" outlineLevel="0" collapsed="false">
      <c r="I770" s="735"/>
      <c r="J770" s="728"/>
      <c r="K770" s="195"/>
      <c r="L770" s="195"/>
      <c r="Q770" s="195"/>
      <c r="R770" s="195"/>
      <c r="S770" s="240"/>
      <c r="T770" s="195"/>
      <c r="U770" s="195"/>
      <c r="V770" s="195"/>
      <c r="W770" s="195"/>
      <c r="X770" s="195"/>
      <c r="Y770" s="195"/>
      <c r="Z770" s="195"/>
      <c r="AA770" s="195"/>
      <c r="AB770" s="195"/>
      <c r="AC770" s="195"/>
      <c r="AD770" s="195"/>
      <c r="AE770" s="195"/>
      <c r="AF770" s="195"/>
      <c r="AG770" s="195"/>
      <c r="AH770" s="195"/>
      <c r="AI770" s="195"/>
      <c r="AJ770" s="195"/>
      <c r="AK770" s="195"/>
      <c r="AL770" s="195"/>
      <c r="AM770" s="1"/>
      <c r="AN770" s="240"/>
      <c r="AO770" s="240"/>
      <c r="AP770" s="240"/>
      <c r="AQ770" s="240"/>
      <c r="AR770" s="240"/>
      <c r="AS770" s="730"/>
      <c r="AT770" s="730"/>
      <c r="AU770" s="730"/>
      <c r="AV770" s="738"/>
      <c r="AW770" s="738"/>
      <c r="AX770" s="240"/>
      <c r="AY770" s="240"/>
      <c r="AZ770" s="240"/>
      <c r="BA770" s="240"/>
      <c r="BB770" s="240"/>
      <c r="BC770" s="240"/>
      <c r="BD770" s="672"/>
      <c r="BE770" s="731"/>
      <c r="BF770" s="731"/>
      <c r="BG770" s="731"/>
      <c r="BH770" s="672"/>
      <c r="BI770" s="732"/>
      <c r="BJ770" s="240"/>
      <c r="BK770" s="240"/>
      <c r="BL770" s="240"/>
      <c r="BM770" s="240"/>
      <c r="BN770" s="240"/>
      <c r="BO770" s="240"/>
      <c r="BP770" s="240"/>
      <c r="BQ770" s="240"/>
      <c r="BR770" s="240"/>
      <c r="BS770" s="240"/>
      <c r="BT770" s="240"/>
      <c r="BU770" s="240"/>
      <c r="BV770" s="240"/>
      <c r="BW770" s="672"/>
      <c r="BX770" s="672"/>
      <c r="BY770" s="672"/>
      <c r="BZ770" s="672"/>
      <c r="CA770" s="672"/>
      <c r="CB770" s="672"/>
      <c r="CC770" s="672"/>
      <c r="CD770" s="672"/>
      <c r="CE770" s="672"/>
      <c r="CF770" s="672"/>
      <c r="CG770" s="240"/>
      <c r="CH770" s="240"/>
      <c r="CI770" s="240"/>
      <c r="CJ770" s="240"/>
      <c r="CK770" s="240"/>
      <c r="CL770" s="728"/>
      <c r="CM770" s="728"/>
      <c r="CN770" s="195"/>
      <c r="CO770" s="195"/>
      <c r="CP770" s="195"/>
      <c r="CQ770" s="195"/>
      <c r="CR770" s="195"/>
      <c r="CS770" s="195"/>
      <c r="CT770" s="195"/>
      <c r="CU770" s="195"/>
      <c r="CV770" s="195"/>
      <c r="CW770" s="195"/>
      <c r="CX770" s="195"/>
      <c r="CY770" s="195"/>
      <c r="CZ770" s="195"/>
      <c r="DA770" s="195"/>
      <c r="DB770" s="195"/>
      <c r="DC770" s="195"/>
      <c r="DD770" s="195"/>
      <c r="DE770" s="195"/>
      <c r="DF770" s="195"/>
      <c r="DG770" s="1"/>
      <c r="DH770" s="3"/>
      <c r="DL770" s="4"/>
      <c r="DM770" s="4"/>
      <c r="DQ770" s="195"/>
      <c r="DR770" s="195"/>
      <c r="DS770" s="195"/>
      <c r="DT770" s="195"/>
      <c r="DU770" s="195"/>
      <c r="DV770" s="195"/>
      <c r="DW770" s="195"/>
      <c r="DX770" s="195"/>
      <c r="DY770" s="195"/>
      <c r="DZ770" s="195"/>
      <c r="EA770" s="195"/>
      <c r="EB770" s="195"/>
      <c r="EC770" s="195"/>
      <c r="ED770" s="195"/>
      <c r="EE770" s="195"/>
      <c r="EF770" s="195"/>
      <c r="EG770" s="195"/>
      <c r="EL770" s="1"/>
      <c r="EM770" s="195"/>
      <c r="EN770" s="240"/>
      <c r="EO770" s="240"/>
      <c r="EP770" s="195"/>
      <c r="EQ770" s="240"/>
      <c r="ER770" s="195"/>
      <c r="ES770" s="195"/>
      <c r="ET770" s="195"/>
      <c r="EU770" s="736"/>
    </row>
    <row r="771" customFormat="false" ht="12.75" hidden="false" customHeight="false" outlineLevel="0" collapsed="false">
      <c r="I771" s="735"/>
      <c r="J771" s="728"/>
      <c r="K771" s="195"/>
      <c r="L771" s="195"/>
      <c r="Q771" s="195"/>
      <c r="R771" s="195"/>
      <c r="S771" s="240"/>
      <c r="T771" s="195"/>
      <c r="U771" s="195"/>
      <c r="V771" s="195"/>
      <c r="W771" s="195"/>
      <c r="X771" s="195"/>
      <c r="Y771" s="195"/>
      <c r="Z771" s="195"/>
      <c r="AA771" s="195"/>
      <c r="AB771" s="195"/>
      <c r="AC771" s="195"/>
      <c r="AD771" s="195"/>
      <c r="AE771" s="195"/>
      <c r="AF771" s="195"/>
      <c r="AG771" s="195"/>
      <c r="AH771" s="195"/>
      <c r="AI771" s="195"/>
      <c r="AJ771" s="195"/>
      <c r="AK771" s="195"/>
      <c r="AL771" s="195"/>
      <c r="AM771" s="1"/>
      <c r="AN771" s="240"/>
      <c r="AO771" s="240"/>
      <c r="AP771" s="240"/>
      <c r="AQ771" s="240"/>
      <c r="AR771" s="240"/>
      <c r="AS771" s="730"/>
      <c r="AT771" s="730"/>
      <c r="AU771" s="730"/>
      <c r="AV771" s="738"/>
      <c r="AW771" s="738"/>
      <c r="AX771" s="240"/>
      <c r="AY771" s="240"/>
      <c r="AZ771" s="240"/>
      <c r="BA771" s="240"/>
      <c r="BB771" s="240"/>
      <c r="BC771" s="240"/>
      <c r="BD771" s="672"/>
      <c r="BE771" s="731"/>
      <c r="BF771" s="731"/>
      <c r="BG771" s="731"/>
      <c r="BH771" s="672"/>
      <c r="BI771" s="732"/>
      <c r="BJ771" s="240"/>
      <c r="BK771" s="240"/>
      <c r="BL771" s="240"/>
      <c r="BM771" s="240"/>
      <c r="BN771" s="240"/>
      <c r="BO771" s="240"/>
      <c r="BP771" s="240"/>
      <c r="BQ771" s="240"/>
      <c r="BR771" s="240"/>
      <c r="BS771" s="240"/>
      <c r="BT771" s="240"/>
      <c r="BU771" s="240"/>
      <c r="BV771" s="240"/>
      <c r="BW771" s="672"/>
      <c r="BX771" s="672"/>
      <c r="BY771" s="672"/>
      <c r="BZ771" s="672"/>
      <c r="CA771" s="672"/>
      <c r="CB771" s="672"/>
      <c r="CC771" s="672"/>
      <c r="CD771" s="672"/>
      <c r="CE771" s="672"/>
      <c r="CF771" s="672"/>
      <c r="CG771" s="240"/>
      <c r="CH771" s="240"/>
      <c r="CI771" s="240"/>
      <c r="CJ771" s="240"/>
      <c r="CK771" s="240"/>
      <c r="CL771" s="728"/>
      <c r="CM771" s="728"/>
      <c r="CN771" s="195"/>
      <c r="CO771" s="195"/>
      <c r="CP771" s="195"/>
      <c r="CQ771" s="195"/>
      <c r="CR771" s="195"/>
      <c r="CS771" s="195"/>
      <c r="CT771" s="195"/>
      <c r="CU771" s="195"/>
      <c r="CV771" s="195"/>
      <c r="CW771" s="195"/>
      <c r="CX771" s="195"/>
      <c r="CY771" s="195"/>
      <c r="CZ771" s="195"/>
      <c r="DA771" s="195"/>
      <c r="DB771" s="195"/>
      <c r="DC771" s="195"/>
      <c r="DD771" s="195"/>
      <c r="DE771" s="195"/>
      <c r="DF771" s="195"/>
      <c r="DG771" s="1"/>
      <c r="DH771" s="3"/>
      <c r="DL771" s="4"/>
      <c r="DM771" s="4"/>
      <c r="DQ771" s="195"/>
      <c r="DR771" s="195"/>
      <c r="DS771" s="195"/>
      <c r="DT771" s="195"/>
      <c r="DU771" s="195"/>
      <c r="DV771" s="195"/>
      <c r="DW771" s="195"/>
      <c r="DX771" s="195"/>
      <c r="DY771" s="195"/>
      <c r="DZ771" s="195"/>
      <c r="EA771" s="195"/>
      <c r="EB771" s="195"/>
      <c r="EC771" s="195"/>
      <c r="ED771" s="195"/>
      <c r="EE771" s="195"/>
      <c r="EF771" s="195"/>
      <c r="EG771" s="195"/>
      <c r="EL771" s="1"/>
      <c r="EM771" s="195"/>
      <c r="EN771" s="240"/>
      <c r="EO771" s="240"/>
      <c r="EP771" s="195"/>
      <c r="EQ771" s="240"/>
      <c r="ER771" s="195"/>
      <c r="ES771" s="195"/>
      <c r="ET771" s="195"/>
      <c r="EU771" s="736"/>
    </row>
    <row r="772" customFormat="false" ht="12.75" hidden="false" customHeight="false" outlineLevel="0" collapsed="false">
      <c r="I772" s="735"/>
      <c r="J772" s="728"/>
      <c r="K772" s="195"/>
      <c r="L772" s="195"/>
      <c r="Q772" s="195"/>
      <c r="R772" s="195"/>
      <c r="S772" s="240"/>
      <c r="T772" s="195"/>
      <c r="U772" s="195"/>
      <c r="V772" s="195"/>
      <c r="W772" s="195"/>
      <c r="X772" s="195"/>
      <c r="Y772" s="195"/>
      <c r="Z772" s="195"/>
      <c r="AA772" s="195"/>
      <c r="AB772" s="195"/>
      <c r="AC772" s="195"/>
      <c r="AD772" s="195"/>
      <c r="AE772" s="195"/>
      <c r="AF772" s="195"/>
      <c r="AG772" s="195"/>
      <c r="AH772" s="195"/>
      <c r="AI772" s="195"/>
      <c r="AJ772" s="195"/>
      <c r="AK772" s="195"/>
      <c r="AL772" s="195"/>
      <c r="AM772" s="1"/>
      <c r="AN772" s="240"/>
      <c r="AO772" s="240"/>
      <c r="AP772" s="240"/>
      <c r="AQ772" s="240"/>
      <c r="AR772" s="240"/>
      <c r="AS772" s="730"/>
      <c r="AT772" s="730"/>
      <c r="AU772" s="730"/>
      <c r="AV772" s="738"/>
      <c r="AW772" s="738"/>
      <c r="AX772" s="240"/>
      <c r="AY772" s="240"/>
      <c r="AZ772" s="240"/>
      <c r="BA772" s="240"/>
      <c r="BB772" s="240"/>
      <c r="BC772" s="240"/>
      <c r="BD772" s="672"/>
      <c r="BE772" s="731"/>
      <c r="BF772" s="731"/>
      <c r="BG772" s="731"/>
      <c r="BH772" s="672"/>
      <c r="BI772" s="732"/>
      <c r="BJ772" s="240"/>
      <c r="BK772" s="240"/>
      <c r="BL772" s="240"/>
      <c r="BM772" s="240"/>
      <c r="BN772" s="240"/>
      <c r="BO772" s="240"/>
      <c r="BP772" s="240"/>
      <c r="BQ772" s="240"/>
      <c r="BR772" s="240"/>
      <c r="BS772" s="240"/>
      <c r="BT772" s="240"/>
      <c r="BU772" s="240"/>
      <c r="BV772" s="240"/>
      <c r="BW772" s="672"/>
      <c r="BX772" s="672"/>
      <c r="BY772" s="672"/>
      <c r="BZ772" s="672"/>
      <c r="CA772" s="672"/>
      <c r="CB772" s="672"/>
      <c r="CC772" s="672"/>
      <c r="CD772" s="672"/>
      <c r="CE772" s="672"/>
      <c r="CF772" s="672"/>
      <c r="CG772" s="240"/>
      <c r="CH772" s="240"/>
      <c r="CI772" s="240"/>
      <c r="CJ772" s="240"/>
      <c r="CK772" s="240"/>
      <c r="CL772" s="728"/>
      <c r="CM772" s="728"/>
      <c r="CN772" s="195"/>
      <c r="CO772" s="195"/>
      <c r="CP772" s="195"/>
      <c r="CQ772" s="195"/>
      <c r="CR772" s="195"/>
      <c r="CS772" s="195"/>
      <c r="CT772" s="195"/>
      <c r="CU772" s="195"/>
      <c r="CV772" s="195"/>
      <c r="CW772" s="195"/>
      <c r="CX772" s="195"/>
      <c r="CY772" s="195"/>
      <c r="CZ772" s="195"/>
      <c r="DA772" s="195"/>
      <c r="DB772" s="195"/>
      <c r="DC772" s="195"/>
      <c r="DD772" s="195"/>
      <c r="DE772" s="195"/>
      <c r="DF772" s="195"/>
      <c r="DG772" s="1"/>
      <c r="DH772" s="3"/>
      <c r="DL772" s="4"/>
      <c r="DM772" s="4"/>
      <c r="DQ772" s="195"/>
      <c r="DR772" s="195"/>
      <c r="DS772" s="195"/>
      <c r="DT772" s="195"/>
      <c r="DU772" s="195"/>
      <c r="DV772" s="195"/>
      <c r="DW772" s="195"/>
      <c r="DX772" s="195"/>
      <c r="DY772" s="195"/>
      <c r="DZ772" s="195"/>
      <c r="EA772" s="195"/>
      <c r="EB772" s="195"/>
      <c r="EC772" s="195"/>
      <c r="ED772" s="195"/>
      <c r="EE772" s="195"/>
      <c r="EF772" s="195"/>
      <c r="EG772" s="195"/>
      <c r="EL772" s="1"/>
      <c r="EM772" s="195"/>
      <c r="EN772" s="240"/>
      <c r="EO772" s="240"/>
      <c r="EP772" s="195"/>
      <c r="EQ772" s="240"/>
      <c r="ER772" s="195"/>
      <c r="ES772" s="195"/>
      <c r="ET772" s="195"/>
      <c r="EU772" s="736"/>
    </row>
    <row r="773" customFormat="false" ht="12.75" hidden="false" customHeight="false" outlineLevel="0" collapsed="false">
      <c r="I773" s="735"/>
      <c r="J773" s="728"/>
      <c r="K773" s="195"/>
      <c r="L773" s="195"/>
      <c r="Q773" s="195"/>
      <c r="R773" s="195"/>
      <c r="S773" s="240"/>
      <c r="T773" s="195"/>
      <c r="U773" s="195"/>
      <c r="V773" s="195"/>
      <c r="W773" s="195"/>
      <c r="X773" s="195"/>
      <c r="Y773" s="195"/>
      <c r="Z773" s="195"/>
      <c r="AA773" s="195"/>
      <c r="AB773" s="195"/>
      <c r="AC773" s="195"/>
      <c r="AD773" s="195"/>
      <c r="AE773" s="195"/>
      <c r="AF773" s="195"/>
      <c r="AG773" s="195"/>
      <c r="AH773" s="195"/>
      <c r="AI773" s="195"/>
      <c r="AJ773" s="195"/>
      <c r="AK773" s="195"/>
      <c r="AL773" s="195"/>
      <c r="AM773" s="1"/>
      <c r="AN773" s="240"/>
      <c r="AO773" s="240"/>
      <c r="AP773" s="240"/>
      <c r="AQ773" s="240"/>
      <c r="AR773" s="240"/>
      <c r="AS773" s="730"/>
      <c r="AT773" s="730"/>
      <c r="AU773" s="730"/>
      <c r="AV773" s="738"/>
      <c r="AW773" s="738"/>
      <c r="AX773" s="240"/>
      <c r="AY773" s="240"/>
      <c r="AZ773" s="240"/>
      <c r="BA773" s="240"/>
      <c r="BB773" s="240"/>
      <c r="BC773" s="240"/>
      <c r="BD773" s="672"/>
      <c r="BE773" s="731"/>
      <c r="BF773" s="731"/>
      <c r="BG773" s="731"/>
      <c r="BH773" s="672"/>
      <c r="BI773" s="732"/>
      <c r="BJ773" s="240"/>
      <c r="BK773" s="240"/>
      <c r="BL773" s="240"/>
      <c r="BM773" s="240"/>
      <c r="BN773" s="240"/>
      <c r="BO773" s="240"/>
      <c r="BP773" s="240"/>
      <c r="BQ773" s="240"/>
      <c r="BR773" s="240"/>
      <c r="BS773" s="240"/>
      <c r="BT773" s="240"/>
      <c r="BU773" s="240"/>
      <c r="BV773" s="240"/>
      <c r="BW773" s="672"/>
      <c r="BX773" s="672"/>
      <c r="BY773" s="672"/>
      <c r="BZ773" s="672"/>
      <c r="CA773" s="672"/>
      <c r="CB773" s="672"/>
      <c r="CC773" s="672"/>
      <c r="CD773" s="672"/>
      <c r="CE773" s="672"/>
      <c r="CF773" s="672"/>
      <c r="CG773" s="240"/>
      <c r="CH773" s="240"/>
      <c r="CI773" s="240"/>
      <c r="CJ773" s="240"/>
      <c r="CK773" s="240"/>
      <c r="CL773" s="728"/>
      <c r="CM773" s="728"/>
      <c r="CN773" s="195"/>
      <c r="CO773" s="195"/>
      <c r="CP773" s="195"/>
      <c r="CQ773" s="195"/>
      <c r="CR773" s="195"/>
      <c r="CS773" s="195"/>
      <c r="CT773" s="195"/>
      <c r="CU773" s="195"/>
      <c r="CV773" s="195"/>
      <c r="CW773" s="195"/>
      <c r="CX773" s="195"/>
      <c r="CY773" s="195"/>
      <c r="CZ773" s="195"/>
      <c r="DA773" s="195"/>
      <c r="DB773" s="195"/>
      <c r="DC773" s="195"/>
      <c r="DD773" s="195"/>
      <c r="DE773" s="195"/>
      <c r="DF773" s="195"/>
      <c r="DG773" s="1"/>
      <c r="DH773" s="3"/>
      <c r="DL773" s="4"/>
      <c r="DM773" s="4"/>
      <c r="DQ773" s="195"/>
      <c r="DR773" s="195"/>
      <c r="DS773" s="195"/>
      <c r="DT773" s="195"/>
      <c r="DU773" s="195"/>
      <c r="DV773" s="195"/>
      <c r="DW773" s="195"/>
      <c r="DX773" s="195"/>
      <c r="DY773" s="195"/>
      <c r="DZ773" s="195"/>
      <c r="EA773" s="195"/>
      <c r="EB773" s="195"/>
      <c r="EC773" s="195"/>
      <c r="ED773" s="195"/>
      <c r="EE773" s="195"/>
      <c r="EF773" s="195"/>
      <c r="EG773" s="195"/>
      <c r="EL773" s="1"/>
      <c r="EM773" s="195"/>
      <c r="EN773" s="240"/>
      <c r="EO773" s="240"/>
      <c r="EP773" s="195"/>
      <c r="EQ773" s="240"/>
      <c r="ER773" s="195"/>
      <c r="ES773" s="195"/>
      <c r="ET773" s="195"/>
      <c r="EU773" s="736"/>
    </row>
    <row r="774" customFormat="false" ht="12.75" hidden="false" customHeight="false" outlineLevel="0" collapsed="false">
      <c r="I774" s="735"/>
      <c r="J774" s="728"/>
      <c r="K774" s="195"/>
      <c r="L774" s="195"/>
      <c r="Q774" s="195"/>
      <c r="R774" s="195"/>
      <c r="S774" s="240"/>
      <c r="T774" s="195"/>
      <c r="U774" s="195"/>
      <c r="V774" s="195"/>
      <c r="W774" s="195"/>
      <c r="X774" s="195"/>
      <c r="Y774" s="195"/>
      <c r="Z774" s="195"/>
      <c r="AA774" s="195"/>
      <c r="AB774" s="195"/>
      <c r="AC774" s="195"/>
      <c r="AD774" s="195"/>
      <c r="AE774" s="195"/>
      <c r="AF774" s="195"/>
      <c r="AG774" s="195"/>
      <c r="AH774" s="195"/>
      <c r="AI774" s="195"/>
      <c r="AJ774" s="195"/>
      <c r="AK774" s="195"/>
      <c r="AL774" s="195"/>
      <c r="AM774" s="1"/>
      <c r="AN774" s="240"/>
      <c r="AO774" s="240"/>
      <c r="AP774" s="240"/>
      <c r="AQ774" s="240"/>
      <c r="AR774" s="240"/>
      <c r="AS774" s="730"/>
      <c r="AT774" s="730"/>
      <c r="AU774" s="730"/>
      <c r="AV774" s="738"/>
      <c r="AW774" s="738"/>
      <c r="AX774" s="240"/>
      <c r="AY774" s="240"/>
      <c r="AZ774" s="240"/>
      <c r="BA774" s="240"/>
      <c r="BB774" s="240"/>
      <c r="BC774" s="240"/>
      <c r="BD774" s="672"/>
      <c r="BE774" s="731"/>
      <c r="BF774" s="731"/>
      <c r="BG774" s="731"/>
      <c r="BH774" s="672"/>
      <c r="BI774" s="732"/>
      <c r="BJ774" s="240"/>
      <c r="BK774" s="240"/>
      <c r="BL774" s="240"/>
      <c r="BM774" s="240"/>
      <c r="BN774" s="240"/>
      <c r="BO774" s="240"/>
      <c r="BP774" s="240"/>
      <c r="BQ774" s="240"/>
      <c r="BR774" s="240"/>
      <c r="BS774" s="240"/>
      <c r="BT774" s="240"/>
      <c r="BU774" s="240"/>
      <c r="BV774" s="240"/>
      <c r="BW774" s="672"/>
      <c r="BX774" s="672"/>
      <c r="BY774" s="672"/>
      <c r="BZ774" s="672"/>
      <c r="CA774" s="672"/>
      <c r="CB774" s="672"/>
      <c r="CC774" s="672"/>
      <c r="CD774" s="672"/>
      <c r="CE774" s="672"/>
      <c r="CF774" s="672"/>
      <c r="CG774" s="240"/>
      <c r="CH774" s="240"/>
      <c r="CI774" s="240"/>
      <c r="CJ774" s="240"/>
      <c r="CK774" s="240"/>
      <c r="CL774" s="728"/>
      <c r="CM774" s="728"/>
      <c r="CN774" s="195"/>
      <c r="CO774" s="195"/>
      <c r="CP774" s="195"/>
      <c r="CQ774" s="195"/>
      <c r="CR774" s="195"/>
      <c r="CS774" s="195"/>
      <c r="CT774" s="195"/>
      <c r="CU774" s="195"/>
      <c r="CV774" s="195"/>
      <c r="CW774" s="195"/>
      <c r="CX774" s="195"/>
      <c r="CY774" s="195"/>
      <c r="CZ774" s="195"/>
      <c r="DA774" s="195"/>
      <c r="DB774" s="195"/>
      <c r="DC774" s="195"/>
      <c r="DD774" s="195"/>
      <c r="DE774" s="195"/>
      <c r="DF774" s="195"/>
      <c r="DG774" s="1"/>
      <c r="DH774" s="3"/>
      <c r="DL774" s="4"/>
      <c r="DM774" s="4"/>
      <c r="DQ774" s="195"/>
      <c r="DR774" s="195"/>
      <c r="DS774" s="195"/>
      <c r="DT774" s="195"/>
      <c r="DU774" s="195"/>
      <c r="DV774" s="195"/>
      <c r="DW774" s="195"/>
      <c r="DX774" s="195"/>
      <c r="DY774" s="195"/>
      <c r="DZ774" s="195"/>
      <c r="EA774" s="195"/>
      <c r="EB774" s="195"/>
      <c r="EC774" s="195"/>
      <c r="ED774" s="195"/>
      <c r="EE774" s="195"/>
      <c r="EF774" s="195"/>
      <c r="EG774" s="195"/>
      <c r="EL774" s="1"/>
      <c r="EM774" s="195"/>
      <c r="EN774" s="240"/>
      <c r="EO774" s="240"/>
      <c r="EP774" s="195"/>
      <c r="EQ774" s="240"/>
      <c r="ER774" s="195"/>
      <c r="ES774" s="195"/>
      <c r="ET774" s="195"/>
      <c r="EU774" s="736"/>
    </row>
    <row r="775" customFormat="false" ht="12.75" hidden="false" customHeight="false" outlineLevel="0" collapsed="false">
      <c r="I775" s="735"/>
      <c r="J775" s="728"/>
      <c r="K775" s="195"/>
      <c r="L775" s="195"/>
      <c r="Q775" s="195"/>
      <c r="R775" s="195"/>
      <c r="S775" s="240"/>
      <c r="T775" s="195"/>
      <c r="U775" s="195"/>
      <c r="V775" s="195"/>
      <c r="W775" s="195"/>
      <c r="X775" s="195"/>
      <c r="Y775" s="195"/>
      <c r="Z775" s="195"/>
      <c r="AA775" s="195"/>
      <c r="AB775" s="195"/>
      <c r="AC775" s="195"/>
      <c r="AD775" s="195"/>
      <c r="AE775" s="195"/>
      <c r="AF775" s="195"/>
      <c r="AG775" s="195"/>
      <c r="AH775" s="195"/>
      <c r="AI775" s="195"/>
      <c r="AJ775" s="195"/>
      <c r="AK775" s="195"/>
      <c r="AL775" s="195"/>
      <c r="AM775" s="1"/>
      <c r="AN775" s="240"/>
      <c r="AO775" s="240"/>
      <c r="AP775" s="240"/>
      <c r="AQ775" s="240"/>
      <c r="AR775" s="240"/>
      <c r="AS775" s="730"/>
      <c r="AT775" s="730"/>
      <c r="AU775" s="730"/>
      <c r="AV775" s="738"/>
      <c r="AW775" s="738"/>
      <c r="AX775" s="240"/>
      <c r="AY775" s="240"/>
      <c r="AZ775" s="240"/>
      <c r="BA775" s="240"/>
      <c r="BB775" s="240"/>
      <c r="BC775" s="240"/>
      <c r="BD775" s="672"/>
      <c r="BE775" s="731"/>
      <c r="BF775" s="731"/>
      <c r="BG775" s="731"/>
      <c r="BH775" s="672"/>
      <c r="BI775" s="732"/>
      <c r="BJ775" s="240"/>
      <c r="BK775" s="240"/>
      <c r="BL775" s="240"/>
      <c r="BM775" s="240"/>
      <c r="BN775" s="240"/>
      <c r="BO775" s="240"/>
      <c r="BP775" s="240"/>
      <c r="BQ775" s="240"/>
      <c r="BR775" s="240"/>
      <c r="BS775" s="240"/>
      <c r="BT775" s="240"/>
      <c r="BU775" s="240"/>
      <c r="BV775" s="240"/>
      <c r="BW775" s="672"/>
      <c r="BX775" s="672"/>
      <c r="BY775" s="672"/>
      <c r="BZ775" s="672"/>
      <c r="CA775" s="672"/>
      <c r="CB775" s="672"/>
      <c r="CC775" s="672"/>
      <c r="CD775" s="672"/>
      <c r="CE775" s="672"/>
      <c r="CF775" s="672"/>
      <c r="CG775" s="240"/>
      <c r="CH775" s="240"/>
      <c r="CI775" s="240"/>
      <c r="CJ775" s="240"/>
      <c r="CK775" s="240"/>
      <c r="CL775" s="728"/>
      <c r="CM775" s="728"/>
      <c r="CN775" s="195"/>
      <c r="CO775" s="195"/>
      <c r="CP775" s="195"/>
      <c r="CQ775" s="195"/>
      <c r="CR775" s="195"/>
      <c r="CS775" s="195"/>
      <c r="CT775" s="195"/>
      <c r="CU775" s="195"/>
      <c r="CV775" s="195"/>
      <c r="CW775" s="195"/>
      <c r="CX775" s="195"/>
      <c r="CY775" s="195"/>
      <c r="CZ775" s="195"/>
      <c r="DA775" s="195"/>
      <c r="DB775" s="195"/>
      <c r="DC775" s="195"/>
      <c r="DD775" s="195"/>
      <c r="DE775" s="195"/>
      <c r="DF775" s="195"/>
      <c r="DG775" s="1"/>
      <c r="DH775" s="3"/>
      <c r="DL775" s="4"/>
      <c r="DM775" s="4"/>
      <c r="DQ775" s="195"/>
      <c r="DR775" s="195"/>
      <c r="DS775" s="195"/>
      <c r="DT775" s="195"/>
      <c r="DU775" s="195"/>
      <c r="DV775" s="195"/>
      <c r="DW775" s="195"/>
      <c r="DX775" s="195"/>
      <c r="DY775" s="195"/>
      <c r="DZ775" s="195"/>
      <c r="EA775" s="195"/>
      <c r="EB775" s="195"/>
      <c r="EC775" s="195"/>
      <c r="ED775" s="195"/>
      <c r="EE775" s="195"/>
      <c r="EF775" s="195"/>
      <c r="EG775" s="195"/>
      <c r="EL775" s="1"/>
      <c r="EM775" s="195"/>
      <c r="EN775" s="240"/>
      <c r="EO775" s="240"/>
      <c r="EP775" s="195"/>
      <c r="EQ775" s="240"/>
      <c r="ER775" s="195"/>
      <c r="ES775" s="195"/>
      <c r="ET775" s="195"/>
      <c r="EU775" s="736"/>
    </row>
    <row r="776" customFormat="false" ht="12.75" hidden="false" customHeight="false" outlineLevel="0" collapsed="false">
      <c r="I776" s="735"/>
      <c r="J776" s="728"/>
      <c r="K776" s="195"/>
      <c r="L776" s="195"/>
      <c r="Q776" s="195"/>
      <c r="R776" s="195"/>
      <c r="S776" s="240"/>
      <c r="T776" s="195"/>
      <c r="U776" s="195"/>
      <c r="V776" s="195"/>
      <c r="W776" s="195"/>
      <c r="X776" s="195"/>
      <c r="Y776" s="195"/>
      <c r="Z776" s="195"/>
      <c r="AA776" s="195"/>
      <c r="AB776" s="195"/>
      <c r="AC776" s="195"/>
      <c r="AD776" s="195"/>
      <c r="AE776" s="195"/>
      <c r="AF776" s="195"/>
      <c r="AG776" s="195"/>
      <c r="AH776" s="195"/>
      <c r="AI776" s="195"/>
      <c r="AJ776" s="195"/>
      <c r="AK776" s="195"/>
      <c r="AL776" s="195"/>
      <c r="AM776" s="1"/>
      <c r="AN776" s="240"/>
      <c r="AO776" s="240"/>
      <c r="AP776" s="240"/>
      <c r="AQ776" s="240"/>
      <c r="AR776" s="240"/>
      <c r="AS776" s="730"/>
      <c r="AT776" s="730"/>
      <c r="AU776" s="730"/>
      <c r="AV776" s="738"/>
      <c r="AW776" s="738"/>
      <c r="AX776" s="240"/>
      <c r="AY776" s="240"/>
      <c r="AZ776" s="240"/>
      <c r="BA776" s="240"/>
      <c r="BB776" s="240"/>
      <c r="BC776" s="240"/>
      <c r="BD776" s="672"/>
      <c r="BE776" s="731"/>
      <c r="BF776" s="731"/>
      <c r="BG776" s="731"/>
      <c r="BH776" s="672"/>
      <c r="BI776" s="732"/>
      <c r="BJ776" s="240"/>
      <c r="BK776" s="240"/>
      <c r="BL776" s="240"/>
      <c r="BM776" s="240"/>
      <c r="BN776" s="240"/>
      <c r="BO776" s="240"/>
      <c r="BP776" s="240"/>
      <c r="BQ776" s="240"/>
      <c r="BR776" s="240"/>
      <c r="BS776" s="240"/>
      <c r="BT776" s="240"/>
      <c r="BU776" s="240"/>
      <c r="BV776" s="240"/>
      <c r="BW776" s="672"/>
      <c r="BX776" s="672"/>
      <c r="BY776" s="672"/>
      <c r="BZ776" s="672"/>
      <c r="CA776" s="672"/>
      <c r="CB776" s="672"/>
      <c r="CC776" s="672"/>
      <c r="CD776" s="672"/>
      <c r="CE776" s="672"/>
      <c r="CF776" s="672"/>
      <c r="CG776" s="240"/>
      <c r="CH776" s="240"/>
      <c r="CI776" s="240"/>
      <c r="CJ776" s="240"/>
      <c r="CK776" s="240"/>
      <c r="CL776" s="728"/>
      <c r="CM776" s="728"/>
      <c r="CN776" s="195"/>
      <c r="CO776" s="195"/>
      <c r="CP776" s="195"/>
      <c r="CQ776" s="195"/>
      <c r="CR776" s="195"/>
      <c r="CS776" s="195"/>
      <c r="CT776" s="195"/>
      <c r="CU776" s="195"/>
      <c r="CV776" s="195"/>
      <c r="CW776" s="195"/>
      <c r="CX776" s="195"/>
      <c r="CY776" s="195"/>
      <c r="CZ776" s="195"/>
      <c r="DA776" s="195"/>
      <c r="DB776" s="195"/>
      <c r="DC776" s="195"/>
      <c r="DD776" s="195"/>
      <c r="DE776" s="195"/>
      <c r="DF776" s="195"/>
      <c r="DG776" s="1"/>
      <c r="DH776" s="3"/>
      <c r="DL776" s="4"/>
      <c r="DM776" s="4"/>
      <c r="DQ776" s="195"/>
      <c r="DR776" s="195"/>
      <c r="DS776" s="195"/>
      <c r="DT776" s="195"/>
      <c r="DU776" s="195"/>
      <c r="DV776" s="195"/>
      <c r="DW776" s="195"/>
      <c r="DX776" s="195"/>
      <c r="DY776" s="195"/>
      <c r="DZ776" s="195"/>
      <c r="EA776" s="195"/>
      <c r="EB776" s="195"/>
      <c r="EC776" s="195"/>
      <c r="ED776" s="195"/>
      <c r="EE776" s="195"/>
      <c r="EF776" s="195"/>
      <c r="EG776" s="195"/>
      <c r="EL776" s="1"/>
      <c r="EM776" s="195"/>
      <c r="EN776" s="240"/>
      <c r="EO776" s="240"/>
      <c r="EP776" s="195"/>
      <c r="EQ776" s="240"/>
      <c r="ER776" s="195"/>
      <c r="ES776" s="195"/>
      <c r="ET776" s="195"/>
      <c r="EU776" s="736"/>
    </row>
    <row r="777" customFormat="false" ht="12.75" hidden="false" customHeight="false" outlineLevel="0" collapsed="false">
      <c r="I777" s="735"/>
      <c r="J777" s="728"/>
      <c r="K777" s="195"/>
      <c r="L777" s="195"/>
      <c r="Q777" s="195"/>
      <c r="R777" s="195"/>
      <c r="S777" s="240"/>
      <c r="T777" s="195"/>
      <c r="U777" s="195"/>
      <c r="V777" s="195"/>
      <c r="W777" s="195"/>
      <c r="X777" s="195"/>
      <c r="Y777" s="195"/>
      <c r="Z777" s="195"/>
      <c r="AA777" s="195"/>
      <c r="AB777" s="195"/>
      <c r="AC777" s="195"/>
      <c r="AD777" s="195"/>
      <c r="AE777" s="195"/>
      <c r="AF777" s="195"/>
      <c r="AG777" s="195"/>
      <c r="AH777" s="195"/>
      <c r="AI777" s="195"/>
      <c r="AJ777" s="195"/>
      <c r="AK777" s="195"/>
      <c r="AL777" s="195"/>
      <c r="AM777" s="1"/>
      <c r="AN777" s="240"/>
      <c r="AO777" s="240"/>
      <c r="AP777" s="240"/>
      <c r="AQ777" s="240"/>
      <c r="AR777" s="240"/>
      <c r="AS777" s="730"/>
      <c r="AT777" s="730"/>
      <c r="AU777" s="730"/>
      <c r="AV777" s="738"/>
      <c r="AW777" s="738"/>
      <c r="AX777" s="240"/>
      <c r="AY777" s="240"/>
      <c r="AZ777" s="240"/>
      <c r="BA777" s="240"/>
      <c r="BB777" s="240"/>
      <c r="BC777" s="240"/>
      <c r="BD777" s="672"/>
      <c r="BE777" s="731"/>
      <c r="BF777" s="731"/>
      <c r="BG777" s="731"/>
      <c r="BH777" s="672"/>
      <c r="BI777" s="732"/>
      <c r="BJ777" s="240"/>
      <c r="BK777" s="240"/>
      <c r="BL777" s="240"/>
      <c r="BM777" s="240"/>
      <c r="BN777" s="240"/>
      <c r="BO777" s="240"/>
      <c r="BP777" s="240"/>
      <c r="BQ777" s="240"/>
      <c r="BR777" s="240"/>
      <c r="BS777" s="240"/>
      <c r="BT777" s="240"/>
      <c r="BU777" s="240"/>
      <c r="BV777" s="240"/>
      <c r="BW777" s="672"/>
      <c r="BX777" s="672"/>
      <c r="BY777" s="672"/>
      <c r="BZ777" s="672"/>
      <c r="CA777" s="672"/>
      <c r="CB777" s="672"/>
      <c r="CC777" s="672"/>
      <c r="CD777" s="672"/>
      <c r="CE777" s="672"/>
      <c r="CF777" s="672"/>
      <c r="CG777" s="240"/>
      <c r="CH777" s="240"/>
      <c r="CI777" s="240"/>
      <c r="CJ777" s="240"/>
      <c r="CK777" s="240"/>
      <c r="CL777" s="728"/>
      <c r="CM777" s="728"/>
      <c r="CN777" s="195"/>
      <c r="CO777" s="195"/>
      <c r="CP777" s="195"/>
      <c r="CQ777" s="195"/>
      <c r="CR777" s="195"/>
      <c r="CS777" s="195"/>
      <c r="CT777" s="195"/>
      <c r="CU777" s="195"/>
      <c r="CV777" s="195"/>
      <c r="CW777" s="195"/>
      <c r="CX777" s="195"/>
      <c r="CY777" s="195"/>
      <c r="CZ777" s="195"/>
      <c r="DA777" s="195"/>
      <c r="DB777" s="195"/>
      <c r="DC777" s="195"/>
      <c r="DD777" s="195"/>
      <c r="DE777" s="195"/>
      <c r="DF777" s="195"/>
      <c r="DG777" s="1"/>
      <c r="DH777" s="3"/>
      <c r="DL777" s="4"/>
      <c r="DM777" s="4"/>
      <c r="DQ777" s="195"/>
      <c r="DR777" s="195"/>
      <c r="DS777" s="195"/>
      <c r="DT777" s="195"/>
      <c r="DU777" s="195"/>
      <c r="DV777" s="195"/>
      <c r="DW777" s="195"/>
      <c r="DX777" s="195"/>
      <c r="DY777" s="195"/>
      <c r="DZ777" s="195"/>
      <c r="EA777" s="195"/>
      <c r="EB777" s="195"/>
      <c r="EC777" s="195"/>
      <c r="ED777" s="195"/>
      <c r="EE777" s="195"/>
      <c r="EF777" s="195"/>
      <c r="EG777" s="195"/>
      <c r="EL777" s="1"/>
      <c r="EM777" s="195"/>
      <c r="EN777" s="240"/>
      <c r="EO777" s="240"/>
      <c r="EP777" s="195"/>
      <c r="EQ777" s="240"/>
      <c r="ER777" s="195"/>
      <c r="ES777" s="195"/>
      <c r="ET777" s="195"/>
      <c r="EU777" s="736"/>
    </row>
    <row r="778" customFormat="false" ht="12.75" hidden="false" customHeight="false" outlineLevel="0" collapsed="false">
      <c r="I778" s="735"/>
      <c r="J778" s="728"/>
      <c r="K778" s="195"/>
      <c r="L778" s="195"/>
      <c r="Q778" s="195"/>
      <c r="R778" s="195"/>
      <c r="S778" s="240"/>
      <c r="T778" s="195"/>
      <c r="U778" s="195"/>
      <c r="V778" s="195"/>
      <c r="W778" s="195"/>
      <c r="X778" s="195"/>
      <c r="Y778" s="195"/>
      <c r="Z778" s="195"/>
      <c r="AA778" s="195"/>
      <c r="AB778" s="195"/>
      <c r="AC778" s="195"/>
      <c r="AD778" s="195"/>
      <c r="AE778" s="195"/>
      <c r="AF778" s="195"/>
      <c r="AG778" s="195"/>
      <c r="AH778" s="195"/>
      <c r="AI778" s="195"/>
      <c r="AJ778" s="195"/>
      <c r="AK778" s="195"/>
      <c r="AL778" s="195"/>
      <c r="AM778" s="1"/>
      <c r="AN778" s="240"/>
      <c r="AO778" s="240"/>
      <c r="AP778" s="240"/>
      <c r="AQ778" s="240"/>
      <c r="AR778" s="240"/>
      <c r="AS778" s="730"/>
      <c r="AT778" s="730"/>
      <c r="AU778" s="730"/>
      <c r="AV778" s="738"/>
      <c r="AW778" s="738"/>
      <c r="AX778" s="240"/>
      <c r="AY778" s="240"/>
      <c r="AZ778" s="240"/>
      <c r="BA778" s="240"/>
      <c r="BB778" s="240"/>
      <c r="BC778" s="240"/>
      <c r="BD778" s="672"/>
      <c r="BE778" s="731"/>
      <c r="BF778" s="731"/>
      <c r="BG778" s="731"/>
      <c r="BH778" s="672"/>
      <c r="BI778" s="732"/>
      <c r="BJ778" s="240"/>
      <c r="BK778" s="240"/>
      <c r="BL778" s="240"/>
      <c r="BM778" s="240"/>
      <c r="BN778" s="240"/>
      <c r="BO778" s="240"/>
      <c r="BP778" s="240"/>
      <c r="BQ778" s="240"/>
      <c r="BR778" s="240"/>
      <c r="BS778" s="240"/>
      <c r="BT778" s="240"/>
      <c r="BU778" s="240"/>
      <c r="BV778" s="240"/>
      <c r="BW778" s="672"/>
      <c r="BX778" s="672"/>
      <c r="BY778" s="672"/>
      <c r="BZ778" s="672"/>
      <c r="CA778" s="672"/>
      <c r="CB778" s="672"/>
      <c r="CC778" s="672"/>
      <c r="CD778" s="672"/>
      <c r="CE778" s="672"/>
      <c r="CF778" s="672"/>
      <c r="CG778" s="240"/>
      <c r="CH778" s="240"/>
      <c r="CI778" s="240"/>
      <c r="CJ778" s="240"/>
      <c r="CK778" s="240"/>
      <c r="CL778" s="728"/>
      <c r="CM778" s="728"/>
      <c r="CN778" s="195"/>
      <c r="CO778" s="195"/>
      <c r="CP778" s="195"/>
      <c r="CQ778" s="195"/>
      <c r="CR778" s="195"/>
      <c r="CS778" s="195"/>
      <c r="CT778" s="195"/>
      <c r="CU778" s="195"/>
      <c r="CV778" s="195"/>
      <c r="CW778" s="195"/>
      <c r="CX778" s="195"/>
      <c r="CY778" s="195"/>
      <c r="CZ778" s="195"/>
      <c r="DA778" s="195"/>
      <c r="DB778" s="195"/>
      <c r="DC778" s="195"/>
      <c r="DD778" s="195"/>
      <c r="DE778" s="195"/>
      <c r="DF778" s="195"/>
      <c r="DG778" s="1"/>
      <c r="DH778" s="3"/>
      <c r="DL778" s="4"/>
      <c r="DM778" s="4"/>
      <c r="DQ778" s="195"/>
      <c r="DR778" s="195"/>
      <c r="DS778" s="195"/>
      <c r="DT778" s="195"/>
      <c r="DU778" s="195"/>
      <c r="DV778" s="195"/>
      <c r="DW778" s="195"/>
      <c r="DX778" s="195"/>
      <c r="DY778" s="195"/>
      <c r="DZ778" s="195"/>
      <c r="EA778" s="195"/>
      <c r="EB778" s="195"/>
      <c r="EC778" s="195"/>
      <c r="ED778" s="195"/>
      <c r="EE778" s="195"/>
      <c r="EF778" s="195"/>
      <c r="EG778" s="195"/>
      <c r="EL778" s="1"/>
      <c r="EM778" s="195"/>
      <c r="EN778" s="240"/>
      <c r="EO778" s="240"/>
      <c r="EP778" s="195"/>
      <c r="EQ778" s="240"/>
      <c r="ER778" s="195"/>
      <c r="ES778" s="195"/>
      <c r="ET778" s="195"/>
      <c r="EU778" s="736"/>
    </row>
    <row r="779" customFormat="false" ht="12.75" hidden="false" customHeight="false" outlineLevel="0" collapsed="false">
      <c r="I779" s="735"/>
      <c r="J779" s="728"/>
      <c r="K779" s="195"/>
      <c r="L779" s="195"/>
      <c r="Q779" s="195"/>
      <c r="R779" s="195"/>
      <c r="S779" s="240"/>
      <c r="T779" s="195"/>
      <c r="U779" s="195"/>
      <c r="V779" s="195"/>
      <c r="W779" s="195"/>
      <c r="X779" s="195"/>
      <c r="Y779" s="195"/>
      <c r="Z779" s="195"/>
      <c r="AA779" s="195"/>
      <c r="AB779" s="195"/>
      <c r="AC779" s="195"/>
      <c r="AD779" s="195"/>
      <c r="AE779" s="195"/>
      <c r="AF779" s="195"/>
      <c r="AG779" s="195"/>
      <c r="AH779" s="195"/>
      <c r="AI779" s="195"/>
      <c r="AJ779" s="195"/>
      <c r="AK779" s="195"/>
      <c r="AL779" s="195"/>
      <c r="AM779" s="1"/>
      <c r="AN779" s="240"/>
      <c r="AO779" s="240"/>
      <c r="AP779" s="240"/>
      <c r="AQ779" s="240"/>
      <c r="AR779" s="240"/>
      <c r="AS779" s="730"/>
      <c r="AT779" s="730"/>
      <c r="AU779" s="730"/>
      <c r="AV779" s="738"/>
      <c r="AW779" s="738"/>
      <c r="AX779" s="240"/>
      <c r="AY779" s="240"/>
      <c r="AZ779" s="240"/>
      <c r="BA779" s="240"/>
      <c r="BB779" s="240"/>
      <c r="BC779" s="240"/>
      <c r="BD779" s="672"/>
      <c r="BE779" s="731"/>
      <c r="BF779" s="731"/>
      <c r="BG779" s="731"/>
      <c r="BH779" s="672"/>
      <c r="BI779" s="732"/>
      <c r="BJ779" s="240"/>
      <c r="BK779" s="240"/>
      <c r="BL779" s="240"/>
      <c r="BM779" s="240"/>
      <c r="BN779" s="240"/>
      <c r="BO779" s="240"/>
      <c r="BP779" s="240"/>
      <c r="BQ779" s="240"/>
      <c r="BR779" s="240"/>
      <c r="BS779" s="240"/>
      <c r="BT779" s="240"/>
      <c r="BU779" s="240"/>
      <c r="BV779" s="240"/>
      <c r="BW779" s="672"/>
      <c r="BX779" s="672"/>
      <c r="BY779" s="672"/>
      <c r="BZ779" s="672"/>
      <c r="CA779" s="672"/>
      <c r="CB779" s="672"/>
      <c r="CC779" s="672"/>
      <c r="CD779" s="672"/>
      <c r="CE779" s="672"/>
      <c r="CF779" s="672"/>
      <c r="CG779" s="240"/>
      <c r="CH779" s="240"/>
      <c r="CI779" s="240"/>
      <c r="CJ779" s="240"/>
      <c r="CK779" s="240"/>
      <c r="CL779" s="728"/>
      <c r="CM779" s="728"/>
      <c r="CN779" s="195"/>
      <c r="CO779" s="195"/>
      <c r="CP779" s="195"/>
      <c r="CQ779" s="195"/>
      <c r="CR779" s="195"/>
      <c r="CS779" s="195"/>
      <c r="CT779" s="195"/>
      <c r="CU779" s="195"/>
      <c r="CV779" s="195"/>
      <c r="CW779" s="195"/>
      <c r="CX779" s="195"/>
      <c r="CY779" s="195"/>
      <c r="CZ779" s="195"/>
      <c r="DA779" s="195"/>
      <c r="DB779" s="195"/>
      <c r="DC779" s="195"/>
      <c r="DD779" s="195"/>
      <c r="DE779" s="195"/>
      <c r="DF779" s="195"/>
      <c r="DG779" s="1"/>
      <c r="DH779" s="3"/>
      <c r="DL779" s="4"/>
      <c r="DM779" s="4"/>
      <c r="DQ779" s="195"/>
      <c r="DR779" s="195"/>
      <c r="DS779" s="195"/>
      <c r="DT779" s="195"/>
      <c r="DU779" s="195"/>
      <c r="DV779" s="195"/>
      <c r="DW779" s="195"/>
      <c r="DX779" s="195"/>
      <c r="DY779" s="195"/>
      <c r="DZ779" s="195"/>
      <c r="EA779" s="195"/>
      <c r="EB779" s="195"/>
      <c r="EC779" s="195"/>
      <c r="ED779" s="195"/>
      <c r="EE779" s="195"/>
      <c r="EF779" s="195"/>
      <c r="EG779" s="195"/>
      <c r="EL779" s="1"/>
      <c r="EM779" s="195"/>
      <c r="EN779" s="240"/>
      <c r="EO779" s="240"/>
      <c r="EP779" s="195"/>
      <c r="EQ779" s="240"/>
      <c r="ER779" s="195"/>
      <c r="ES779" s="195"/>
      <c r="ET779" s="195"/>
      <c r="EU779" s="736"/>
    </row>
    <row r="780" customFormat="false" ht="12.75" hidden="false" customHeight="false" outlineLevel="0" collapsed="false">
      <c r="I780" s="735"/>
      <c r="J780" s="728"/>
      <c r="K780" s="195"/>
      <c r="L780" s="195"/>
      <c r="Q780" s="195"/>
      <c r="R780" s="195"/>
      <c r="S780" s="240"/>
      <c r="T780" s="195"/>
      <c r="U780" s="195"/>
      <c r="V780" s="195"/>
      <c r="W780" s="195"/>
      <c r="X780" s="195"/>
      <c r="Y780" s="195"/>
      <c r="Z780" s="195"/>
      <c r="AA780" s="195"/>
      <c r="AB780" s="195"/>
      <c r="AC780" s="195"/>
      <c r="AD780" s="195"/>
      <c r="AE780" s="195"/>
      <c r="AF780" s="195"/>
      <c r="AG780" s="195"/>
      <c r="AH780" s="195"/>
      <c r="AI780" s="195"/>
      <c r="AJ780" s="195"/>
      <c r="AK780" s="195"/>
      <c r="AL780" s="195"/>
      <c r="AM780" s="1"/>
      <c r="AN780" s="240"/>
      <c r="AO780" s="240"/>
      <c r="AP780" s="240"/>
      <c r="AQ780" s="240"/>
      <c r="AR780" s="240"/>
      <c r="AS780" s="730"/>
      <c r="AT780" s="730"/>
      <c r="AU780" s="730"/>
      <c r="AV780" s="738"/>
      <c r="AW780" s="738"/>
      <c r="AX780" s="240"/>
      <c r="AY780" s="240"/>
      <c r="AZ780" s="240"/>
      <c r="BA780" s="240"/>
      <c r="BB780" s="240"/>
      <c r="BC780" s="240"/>
      <c r="BD780" s="672"/>
      <c r="BE780" s="731"/>
      <c r="BF780" s="731"/>
      <c r="BG780" s="731"/>
      <c r="BH780" s="672"/>
      <c r="BI780" s="732"/>
      <c r="BJ780" s="240"/>
      <c r="BK780" s="240"/>
      <c r="BL780" s="240"/>
      <c r="BM780" s="240"/>
      <c r="BN780" s="240"/>
      <c r="BO780" s="240"/>
      <c r="BP780" s="240"/>
      <c r="BQ780" s="240"/>
      <c r="BR780" s="240"/>
      <c r="BS780" s="240"/>
      <c r="BT780" s="240"/>
      <c r="BU780" s="240"/>
      <c r="BV780" s="240"/>
      <c r="BW780" s="672"/>
      <c r="BX780" s="672"/>
      <c r="BY780" s="672"/>
      <c r="BZ780" s="672"/>
      <c r="CA780" s="672"/>
      <c r="CB780" s="672"/>
      <c r="CC780" s="672"/>
      <c r="CD780" s="672"/>
      <c r="CE780" s="672"/>
      <c r="CF780" s="672"/>
      <c r="CG780" s="240"/>
      <c r="CH780" s="240"/>
      <c r="CI780" s="240"/>
      <c r="CJ780" s="240"/>
      <c r="CK780" s="240"/>
      <c r="CL780" s="728"/>
      <c r="CM780" s="728"/>
      <c r="CN780" s="195"/>
      <c r="CO780" s="195"/>
      <c r="CP780" s="195"/>
      <c r="CQ780" s="195"/>
      <c r="CR780" s="195"/>
      <c r="CS780" s="195"/>
      <c r="CT780" s="195"/>
      <c r="CU780" s="195"/>
      <c r="CV780" s="195"/>
      <c r="CW780" s="195"/>
      <c r="CX780" s="195"/>
      <c r="CY780" s="195"/>
      <c r="CZ780" s="195"/>
      <c r="DA780" s="195"/>
      <c r="DB780" s="195"/>
      <c r="DC780" s="195"/>
      <c r="DD780" s="195"/>
      <c r="DE780" s="195"/>
      <c r="DF780" s="195"/>
      <c r="DG780" s="1"/>
      <c r="DH780" s="3"/>
      <c r="DL780" s="4"/>
      <c r="DM780" s="4"/>
      <c r="DQ780" s="195"/>
      <c r="DR780" s="195"/>
      <c r="DS780" s="195"/>
      <c r="DT780" s="195"/>
      <c r="DU780" s="195"/>
      <c r="DV780" s="195"/>
      <c r="DW780" s="195"/>
      <c r="DX780" s="195"/>
      <c r="DY780" s="195"/>
      <c r="DZ780" s="195"/>
      <c r="EA780" s="195"/>
      <c r="EB780" s="195"/>
      <c r="EC780" s="195"/>
      <c r="ED780" s="195"/>
      <c r="EE780" s="195"/>
      <c r="EF780" s="195"/>
      <c r="EG780" s="195"/>
      <c r="EL780" s="1"/>
      <c r="EM780" s="195"/>
      <c r="EN780" s="240"/>
      <c r="EO780" s="240"/>
      <c r="EP780" s="195"/>
      <c r="EQ780" s="240"/>
      <c r="ER780" s="195"/>
      <c r="ES780" s="195"/>
      <c r="ET780" s="195"/>
      <c r="EU780" s="736"/>
    </row>
    <row r="781" customFormat="false" ht="12.75" hidden="false" customHeight="false" outlineLevel="0" collapsed="false">
      <c r="I781" s="735"/>
      <c r="J781" s="728"/>
      <c r="K781" s="195"/>
      <c r="L781" s="195"/>
      <c r="Q781" s="195"/>
      <c r="R781" s="195"/>
      <c r="S781" s="240"/>
      <c r="T781" s="195"/>
      <c r="U781" s="195"/>
      <c r="V781" s="195"/>
      <c r="W781" s="195"/>
      <c r="X781" s="195"/>
      <c r="Y781" s="195"/>
      <c r="Z781" s="195"/>
      <c r="AA781" s="195"/>
      <c r="AB781" s="195"/>
      <c r="AC781" s="195"/>
      <c r="AD781" s="195"/>
      <c r="AE781" s="195"/>
      <c r="AF781" s="195"/>
      <c r="AG781" s="195"/>
      <c r="AH781" s="195"/>
      <c r="AI781" s="195"/>
      <c r="AJ781" s="195"/>
      <c r="AK781" s="195"/>
      <c r="AL781" s="195"/>
      <c r="AM781" s="1"/>
      <c r="AN781" s="240"/>
      <c r="AO781" s="240"/>
      <c r="AP781" s="240"/>
      <c r="AQ781" s="240"/>
      <c r="AR781" s="240"/>
      <c r="AS781" s="730"/>
      <c r="AT781" s="730"/>
      <c r="AU781" s="730"/>
      <c r="AV781" s="738"/>
      <c r="AW781" s="738"/>
      <c r="AX781" s="240"/>
      <c r="AY781" s="240"/>
      <c r="AZ781" s="240"/>
      <c r="BA781" s="240"/>
      <c r="BB781" s="240"/>
      <c r="BC781" s="240"/>
      <c r="BD781" s="672"/>
      <c r="BE781" s="731"/>
      <c r="BF781" s="731"/>
      <c r="BG781" s="731"/>
      <c r="BH781" s="672"/>
      <c r="BI781" s="732"/>
      <c r="BJ781" s="240"/>
      <c r="BK781" s="240"/>
      <c r="BL781" s="240"/>
      <c r="BM781" s="240"/>
      <c r="BN781" s="240"/>
      <c r="BO781" s="240"/>
      <c r="BP781" s="240"/>
      <c r="BQ781" s="240"/>
      <c r="BR781" s="240"/>
      <c r="BS781" s="240"/>
      <c r="BT781" s="240"/>
      <c r="BU781" s="240"/>
      <c r="BV781" s="240"/>
      <c r="BW781" s="672"/>
      <c r="BX781" s="672"/>
      <c r="BY781" s="672"/>
      <c r="BZ781" s="672"/>
      <c r="CA781" s="672"/>
      <c r="CB781" s="672"/>
      <c r="CC781" s="672"/>
      <c r="CD781" s="672"/>
      <c r="CE781" s="672"/>
      <c r="CF781" s="672"/>
      <c r="CG781" s="240"/>
      <c r="CH781" s="240"/>
      <c r="CI781" s="240"/>
      <c r="CJ781" s="240"/>
      <c r="CK781" s="240"/>
      <c r="CL781" s="728"/>
      <c r="CM781" s="728"/>
      <c r="CN781" s="195"/>
      <c r="CO781" s="195"/>
      <c r="CP781" s="195"/>
      <c r="CQ781" s="195"/>
      <c r="CR781" s="195"/>
      <c r="CS781" s="195"/>
      <c r="CT781" s="195"/>
      <c r="CU781" s="195"/>
      <c r="CV781" s="195"/>
      <c r="CW781" s="195"/>
      <c r="CX781" s="195"/>
      <c r="CY781" s="195"/>
      <c r="CZ781" s="195"/>
      <c r="DA781" s="195"/>
      <c r="DB781" s="195"/>
      <c r="DC781" s="195"/>
      <c r="DD781" s="195"/>
      <c r="DE781" s="195"/>
      <c r="DF781" s="195"/>
      <c r="DG781" s="1"/>
      <c r="DH781" s="3"/>
      <c r="DL781" s="4"/>
      <c r="DM781" s="4"/>
      <c r="DQ781" s="195"/>
      <c r="DR781" s="195"/>
      <c r="DS781" s="195"/>
      <c r="DT781" s="195"/>
      <c r="DU781" s="195"/>
      <c r="DV781" s="195"/>
      <c r="DW781" s="195"/>
      <c r="DX781" s="195"/>
      <c r="DY781" s="195"/>
      <c r="DZ781" s="195"/>
      <c r="EA781" s="195"/>
      <c r="EB781" s="195"/>
      <c r="EC781" s="195"/>
      <c r="ED781" s="195"/>
      <c r="EE781" s="195"/>
      <c r="EF781" s="195"/>
      <c r="EG781" s="195"/>
      <c r="EL781" s="1"/>
      <c r="EM781" s="195"/>
      <c r="EN781" s="240"/>
      <c r="EO781" s="240"/>
      <c r="EP781" s="195"/>
      <c r="EQ781" s="240"/>
      <c r="ER781" s="195"/>
      <c r="ES781" s="195"/>
      <c r="ET781" s="195"/>
      <c r="EU781" s="736"/>
    </row>
    <row r="782" customFormat="false" ht="12.75" hidden="false" customHeight="false" outlineLevel="0" collapsed="false">
      <c r="I782" s="735"/>
      <c r="J782" s="728"/>
      <c r="K782" s="195"/>
      <c r="L782" s="195"/>
      <c r="Q782" s="195"/>
      <c r="R782" s="195"/>
      <c r="S782" s="240"/>
      <c r="T782" s="195"/>
      <c r="U782" s="195"/>
      <c r="V782" s="195"/>
      <c r="W782" s="195"/>
      <c r="X782" s="195"/>
      <c r="Y782" s="195"/>
      <c r="Z782" s="195"/>
      <c r="AA782" s="195"/>
      <c r="AB782" s="195"/>
      <c r="AC782" s="195"/>
      <c r="AD782" s="195"/>
      <c r="AE782" s="195"/>
      <c r="AF782" s="195"/>
      <c r="AG782" s="195"/>
      <c r="AH782" s="195"/>
      <c r="AI782" s="195"/>
      <c r="AJ782" s="195"/>
      <c r="AK782" s="195"/>
      <c r="AL782" s="195"/>
      <c r="AM782" s="1"/>
      <c r="AN782" s="240"/>
      <c r="AO782" s="240"/>
      <c r="AP782" s="240"/>
      <c r="AQ782" s="240"/>
      <c r="AR782" s="240"/>
      <c r="AS782" s="730"/>
      <c r="AT782" s="730"/>
      <c r="AU782" s="730"/>
      <c r="AV782" s="738"/>
      <c r="AW782" s="738"/>
      <c r="AX782" s="240"/>
      <c r="AY782" s="240"/>
      <c r="AZ782" s="240"/>
      <c r="BA782" s="240"/>
      <c r="BB782" s="240"/>
      <c r="BC782" s="240"/>
      <c r="BD782" s="672"/>
      <c r="BE782" s="731"/>
      <c r="BF782" s="731"/>
      <c r="BG782" s="731"/>
      <c r="BH782" s="672"/>
      <c r="BI782" s="732"/>
      <c r="BJ782" s="240"/>
      <c r="BK782" s="240"/>
      <c r="BL782" s="240"/>
      <c r="BM782" s="240"/>
      <c r="BN782" s="240"/>
      <c r="BO782" s="240"/>
      <c r="BP782" s="240"/>
      <c r="BQ782" s="240"/>
      <c r="BR782" s="240"/>
      <c r="BS782" s="240"/>
      <c r="BT782" s="240"/>
      <c r="BU782" s="240"/>
      <c r="BV782" s="240"/>
      <c r="BW782" s="672"/>
      <c r="BX782" s="672"/>
      <c r="BY782" s="672"/>
      <c r="BZ782" s="672"/>
      <c r="CA782" s="672"/>
      <c r="CB782" s="672"/>
      <c r="CC782" s="672"/>
      <c r="CD782" s="672"/>
      <c r="CE782" s="672"/>
      <c r="CF782" s="672"/>
      <c r="CG782" s="240"/>
      <c r="CH782" s="240"/>
      <c r="CI782" s="240"/>
      <c r="CJ782" s="240"/>
      <c r="CK782" s="240"/>
      <c r="CL782" s="728"/>
      <c r="CM782" s="728"/>
      <c r="CN782" s="195"/>
      <c r="CO782" s="195"/>
      <c r="CP782" s="195"/>
      <c r="CQ782" s="195"/>
      <c r="CR782" s="195"/>
      <c r="CS782" s="195"/>
      <c r="CT782" s="195"/>
      <c r="CU782" s="195"/>
      <c r="CV782" s="195"/>
      <c r="CW782" s="195"/>
      <c r="CX782" s="195"/>
      <c r="CY782" s="195"/>
      <c r="CZ782" s="195"/>
      <c r="DA782" s="195"/>
      <c r="DB782" s="195"/>
      <c r="DC782" s="195"/>
      <c r="DD782" s="195"/>
      <c r="DE782" s="195"/>
      <c r="DF782" s="195"/>
      <c r="DG782" s="1"/>
      <c r="DH782" s="3"/>
      <c r="DL782" s="4"/>
      <c r="DM782" s="4"/>
      <c r="DQ782" s="195"/>
      <c r="DR782" s="195"/>
      <c r="DS782" s="195"/>
      <c r="DT782" s="195"/>
      <c r="DU782" s="195"/>
      <c r="DV782" s="195"/>
      <c r="DW782" s="195"/>
      <c r="DX782" s="195"/>
      <c r="DY782" s="195"/>
      <c r="DZ782" s="195"/>
      <c r="EA782" s="195"/>
      <c r="EB782" s="195"/>
      <c r="EC782" s="195"/>
      <c r="ED782" s="195"/>
      <c r="EE782" s="195"/>
      <c r="EF782" s="195"/>
      <c r="EG782" s="195"/>
      <c r="EL782" s="1"/>
      <c r="EM782" s="195"/>
      <c r="EN782" s="240"/>
      <c r="EO782" s="240"/>
      <c r="EP782" s="195"/>
      <c r="EQ782" s="240"/>
      <c r="ER782" s="195"/>
      <c r="ES782" s="195"/>
      <c r="ET782" s="195"/>
      <c r="EU782" s="736"/>
    </row>
    <row r="783" customFormat="false" ht="12.75" hidden="false" customHeight="false" outlineLevel="0" collapsed="false">
      <c r="I783" s="735"/>
      <c r="J783" s="728"/>
      <c r="K783" s="195"/>
      <c r="L783" s="195"/>
      <c r="Q783" s="195"/>
      <c r="R783" s="195"/>
      <c r="S783" s="240"/>
      <c r="T783" s="195"/>
      <c r="U783" s="195"/>
      <c r="V783" s="195"/>
      <c r="W783" s="195"/>
      <c r="X783" s="195"/>
      <c r="Y783" s="195"/>
      <c r="Z783" s="195"/>
      <c r="AA783" s="195"/>
      <c r="AB783" s="195"/>
      <c r="AC783" s="195"/>
      <c r="AD783" s="195"/>
      <c r="AE783" s="195"/>
      <c r="AF783" s="195"/>
      <c r="AG783" s="195"/>
      <c r="AH783" s="195"/>
      <c r="AI783" s="195"/>
      <c r="AJ783" s="195"/>
      <c r="AK783" s="195"/>
      <c r="AL783" s="195"/>
      <c r="AM783" s="1"/>
      <c r="AN783" s="240"/>
      <c r="AO783" s="240"/>
      <c r="AP783" s="240"/>
      <c r="AQ783" s="240"/>
      <c r="AR783" s="240"/>
      <c r="AS783" s="730"/>
      <c r="AT783" s="730"/>
      <c r="AU783" s="730"/>
      <c r="AV783" s="738"/>
      <c r="AW783" s="738"/>
      <c r="AX783" s="240"/>
      <c r="AY783" s="240"/>
      <c r="AZ783" s="240"/>
      <c r="BA783" s="240"/>
      <c r="BB783" s="240"/>
      <c r="BC783" s="240"/>
      <c r="BD783" s="672"/>
      <c r="BE783" s="731"/>
      <c r="BF783" s="731"/>
      <c r="BG783" s="731"/>
      <c r="BH783" s="672"/>
      <c r="BI783" s="732"/>
      <c r="BJ783" s="240"/>
      <c r="BK783" s="240"/>
      <c r="BL783" s="240"/>
      <c r="BM783" s="240"/>
      <c r="BN783" s="240"/>
      <c r="BO783" s="240"/>
      <c r="BP783" s="240"/>
      <c r="BQ783" s="240"/>
      <c r="BR783" s="240"/>
      <c r="BS783" s="240"/>
      <c r="BT783" s="240"/>
      <c r="BU783" s="240"/>
      <c r="BV783" s="240"/>
      <c r="BW783" s="672"/>
      <c r="BX783" s="672"/>
      <c r="BY783" s="672"/>
      <c r="BZ783" s="672"/>
      <c r="CA783" s="672"/>
      <c r="CB783" s="672"/>
      <c r="CC783" s="672"/>
      <c r="CD783" s="672"/>
      <c r="CE783" s="672"/>
      <c r="CF783" s="672"/>
      <c r="CG783" s="240"/>
      <c r="CH783" s="240"/>
      <c r="CI783" s="240"/>
      <c r="CJ783" s="240"/>
      <c r="CK783" s="240"/>
      <c r="CL783" s="728"/>
      <c r="CM783" s="728"/>
      <c r="CN783" s="195"/>
      <c r="CO783" s="195"/>
      <c r="CP783" s="195"/>
      <c r="CQ783" s="195"/>
      <c r="CR783" s="195"/>
      <c r="CS783" s="195"/>
      <c r="CT783" s="195"/>
      <c r="CU783" s="195"/>
      <c r="CV783" s="195"/>
      <c r="CW783" s="195"/>
      <c r="CX783" s="195"/>
      <c r="CY783" s="195"/>
      <c r="CZ783" s="195"/>
      <c r="DA783" s="195"/>
      <c r="DB783" s="195"/>
      <c r="DC783" s="195"/>
      <c r="DD783" s="195"/>
      <c r="DE783" s="195"/>
      <c r="DF783" s="195"/>
      <c r="DG783" s="1"/>
      <c r="DH783" s="3"/>
      <c r="DL783" s="4"/>
      <c r="DM783" s="4"/>
      <c r="DQ783" s="195"/>
      <c r="DR783" s="195"/>
      <c r="DS783" s="195"/>
      <c r="DT783" s="195"/>
      <c r="DU783" s="195"/>
      <c r="DV783" s="195"/>
      <c r="DW783" s="195"/>
      <c r="DX783" s="195"/>
      <c r="DY783" s="195"/>
      <c r="DZ783" s="195"/>
      <c r="EA783" s="195"/>
      <c r="EB783" s="195"/>
      <c r="EC783" s="195"/>
      <c r="ED783" s="195"/>
      <c r="EE783" s="195"/>
      <c r="EF783" s="195"/>
      <c r="EG783" s="195"/>
      <c r="EL783" s="1"/>
      <c r="EM783" s="195"/>
      <c r="EN783" s="240"/>
      <c r="EO783" s="240"/>
      <c r="EP783" s="195"/>
      <c r="EQ783" s="240"/>
      <c r="ER783" s="195"/>
      <c r="ES783" s="195"/>
      <c r="ET783" s="195"/>
      <c r="EU783" s="736"/>
    </row>
    <row r="784" customFormat="false" ht="12.75" hidden="false" customHeight="false" outlineLevel="0" collapsed="false">
      <c r="I784" s="735"/>
      <c r="J784" s="728"/>
      <c r="K784" s="195"/>
      <c r="L784" s="195"/>
      <c r="Q784" s="195"/>
      <c r="R784" s="195"/>
      <c r="S784" s="240"/>
      <c r="T784" s="195"/>
      <c r="U784" s="195"/>
      <c r="V784" s="195"/>
      <c r="W784" s="195"/>
      <c r="X784" s="195"/>
      <c r="Y784" s="195"/>
      <c r="Z784" s="195"/>
      <c r="AA784" s="195"/>
      <c r="AB784" s="195"/>
      <c r="AC784" s="195"/>
      <c r="AD784" s="195"/>
      <c r="AE784" s="195"/>
      <c r="AF784" s="195"/>
      <c r="AG784" s="195"/>
      <c r="AH784" s="195"/>
      <c r="AI784" s="195"/>
      <c r="AJ784" s="195"/>
      <c r="AK784" s="195"/>
      <c r="AL784" s="195"/>
      <c r="AM784" s="1"/>
      <c r="AN784" s="240"/>
      <c r="AO784" s="240"/>
      <c r="AP784" s="240"/>
      <c r="AQ784" s="240"/>
      <c r="AR784" s="240"/>
      <c r="AS784" s="730"/>
      <c r="AT784" s="730"/>
      <c r="AU784" s="730"/>
      <c r="AV784" s="738"/>
      <c r="AW784" s="738"/>
      <c r="AX784" s="240"/>
      <c r="AY784" s="240"/>
      <c r="AZ784" s="240"/>
      <c r="BA784" s="240"/>
      <c r="BB784" s="240"/>
      <c r="BC784" s="240"/>
      <c r="BD784" s="672"/>
      <c r="BE784" s="731"/>
      <c r="BF784" s="731"/>
      <c r="BG784" s="731"/>
      <c r="BH784" s="672"/>
      <c r="BI784" s="732"/>
      <c r="BJ784" s="240"/>
      <c r="BK784" s="240"/>
      <c r="BL784" s="240"/>
      <c r="BM784" s="240"/>
      <c r="BN784" s="240"/>
      <c r="BO784" s="240"/>
      <c r="BP784" s="240"/>
      <c r="BQ784" s="240"/>
      <c r="BR784" s="240"/>
      <c r="BS784" s="240"/>
      <c r="BT784" s="240"/>
      <c r="BU784" s="240"/>
      <c r="BV784" s="240"/>
      <c r="BW784" s="672"/>
      <c r="BX784" s="672"/>
      <c r="BY784" s="672"/>
      <c r="BZ784" s="672"/>
      <c r="CA784" s="672"/>
      <c r="CB784" s="672"/>
      <c r="CC784" s="672"/>
      <c r="CD784" s="672"/>
      <c r="CE784" s="672"/>
      <c r="CF784" s="672"/>
      <c r="CG784" s="240"/>
      <c r="CH784" s="240"/>
      <c r="CI784" s="240"/>
      <c r="CJ784" s="240"/>
      <c r="CK784" s="240"/>
      <c r="CL784" s="728"/>
      <c r="CM784" s="728"/>
      <c r="CN784" s="195"/>
      <c r="CO784" s="195"/>
      <c r="CP784" s="195"/>
      <c r="CQ784" s="195"/>
      <c r="CR784" s="195"/>
      <c r="CS784" s="195"/>
      <c r="CT784" s="195"/>
      <c r="CU784" s="195"/>
      <c r="CV784" s="195"/>
      <c r="CW784" s="195"/>
      <c r="CX784" s="195"/>
      <c r="CY784" s="195"/>
      <c r="CZ784" s="195"/>
      <c r="DA784" s="195"/>
      <c r="DB784" s="195"/>
      <c r="DC784" s="195"/>
      <c r="DD784" s="195"/>
      <c r="DE784" s="195"/>
      <c r="DF784" s="195"/>
      <c r="DG784" s="1"/>
      <c r="DH784" s="3"/>
      <c r="DL784" s="4"/>
      <c r="DM784" s="4"/>
      <c r="DQ784" s="195"/>
      <c r="DR784" s="195"/>
      <c r="DS784" s="195"/>
      <c r="DT784" s="195"/>
      <c r="DU784" s="195"/>
      <c r="DV784" s="195"/>
      <c r="DW784" s="195"/>
      <c r="DX784" s="195"/>
      <c r="DY784" s="195"/>
      <c r="DZ784" s="195"/>
      <c r="EA784" s="195"/>
      <c r="EB784" s="195"/>
      <c r="EC784" s="195"/>
      <c r="ED784" s="195"/>
      <c r="EE784" s="195"/>
      <c r="EF784" s="195"/>
      <c r="EG784" s="195"/>
      <c r="EL784" s="1"/>
      <c r="EM784" s="195"/>
      <c r="EN784" s="240"/>
      <c r="EO784" s="240"/>
      <c r="EP784" s="195"/>
      <c r="EQ784" s="240"/>
      <c r="ER784" s="195"/>
      <c r="ES784" s="195"/>
      <c r="ET784" s="195"/>
      <c r="EU784" s="736"/>
    </row>
    <row r="785" customFormat="false" ht="12.75" hidden="false" customHeight="false" outlineLevel="0" collapsed="false">
      <c r="I785" s="735"/>
      <c r="J785" s="728"/>
      <c r="K785" s="195"/>
      <c r="L785" s="195"/>
      <c r="Q785" s="195"/>
      <c r="R785" s="195"/>
      <c r="S785" s="240"/>
      <c r="T785" s="195"/>
      <c r="U785" s="195"/>
      <c r="V785" s="195"/>
      <c r="W785" s="195"/>
      <c r="X785" s="195"/>
      <c r="Y785" s="195"/>
      <c r="Z785" s="195"/>
      <c r="AA785" s="195"/>
      <c r="AB785" s="195"/>
      <c r="AC785" s="195"/>
      <c r="AD785" s="195"/>
      <c r="AE785" s="195"/>
      <c r="AF785" s="195"/>
      <c r="AG785" s="195"/>
      <c r="AH785" s="195"/>
      <c r="AI785" s="195"/>
      <c r="AJ785" s="195"/>
      <c r="AK785" s="195"/>
      <c r="AL785" s="195"/>
      <c r="AM785" s="1"/>
      <c r="AN785" s="240"/>
      <c r="AO785" s="240"/>
      <c r="AP785" s="240"/>
      <c r="AQ785" s="240"/>
      <c r="AR785" s="240"/>
      <c r="AS785" s="730"/>
      <c r="AT785" s="730"/>
      <c r="AU785" s="730"/>
      <c r="AV785" s="738"/>
      <c r="AW785" s="738"/>
      <c r="AX785" s="240"/>
      <c r="AY785" s="240"/>
      <c r="AZ785" s="240"/>
      <c r="BA785" s="240"/>
      <c r="BB785" s="240"/>
      <c r="BC785" s="240"/>
      <c r="BD785" s="672"/>
      <c r="BE785" s="731"/>
      <c r="BF785" s="731"/>
      <c r="BG785" s="731"/>
      <c r="BH785" s="672"/>
      <c r="BI785" s="732"/>
      <c r="BJ785" s="240"/>
      <c r="BK785" s="240"/>
      <c r="BL785" s="240"/>
      <c r="BM785" s="240"/>
      <c r="BN785" s="240"/>
      <c r="BO785" s="240"/>
      <c r="BP785" s="240"/>
      <c r="BQ785" s="240"/>
      <c r="BR785" s="240"/>
      <c r="BS785" s="240"/>
      <c r="BT785" s="240"/>
      <c r="BU785" s="240"/>
      <c r="BV785" s="240"/>
      <c r="BW785" s="672"/>
      <c r="BX785" s="672"/>
      <c r="BY785" s="672"/>
      <c r="BZ785" s="672"/>
      <c r="CA785" s="672"/>
      <c r="CB785" s="672"/>
      <c r="CC785" s="672"/>
      <c r="CD785" s="672"/>
      <c r="CE785" s="672"/>
      <c r="CF785" s="672"/>
      <c r="CG785" s="240"/>
      <c r="CH785" s="240"/>
      <c r="CI785" s="240"/>
      <c r="CJ785" s="240"/>
      <c r="CK785" s="240"/>
      <c r="CL785" s="728"/>
      <c r="CM785" s="728"/>
      <c r="CN785" s="195"/>
      <c r="CO785" s="195"/>
      <c r="CP785" s="195"/>
      <c r="CQ785" s="195"/>
      <c r="CR785" s="195"/>
      <c r="CS785" s="195"/>
      <c r="CT785" s="195"/>
      <c r="CU785" s="195"/>
      <c r="CV785" s="195"/>
      <c r="CW785" s="195"/>
      <c r="CX785" s="195"/>
      <c r="CY785" s="195"/>
      <c r="CZ785" s="195"/>
      <c r="DA785" s="195"/>
      <c r="DB785" s="195"/>
      <c r="DC785" s="195"/>
      <c r="DD785" s="195"/>
      <c r="DE785" s="195"/>
      <c r="DF785" s="195"/>
      <c r="DG785" s="1"/>
      <c r="DH785" s="3"/>
      <c r="DL785" s="4"/>
      <c r="DM785" s="4"/>
      <c r="DQ785" s="195"/>
      <c r="DR785" s="195"/>
      <c r="DS785" s="195"/>
      <c r="DT785" s="195"/>
      <c r="DU785" s="195"/>
      <c r="DV785" s="195"/>
      <c r="DW785" s="195"/>
      <c r="DX785" s="195"/>
      <c r="DY785" s="195"/>
      <c r="DZ785" s="195"/>
      <c r="EA785" s="195"/>
      <c r="EB785" s="195"/>
      <c r="EC785" s="195"/>
      <c r="ED785" s="195"/>
      <c r="EE785" s="195"/>
      <c r="EF785" s="195"/>
      <c r="EG785" s="195"/>
      <c r="EL785" s="1"/>
      <c r="EM785" s="195"/>
      <c r="EN785" s="240"/>
      <c r="EO785" s="240"/>
      <c r="EP785" s="195"/>
      <c r="EQ785" s="240"/>
      <c r="ER785" s="195"/>
      <c r="ES785" s="195"/>
      <c r="ET785" s="195"/>
      <c r="EU785" s="736"/>
    </row>
    <row r="786" customFormat="false" ht="12.75" hidden="false" customHeight="false" outlineLevel="0" collapsed="false">
      <c r="I786" s="735"/>
      <c r="J786" s="728"/>
      <c r="K786" s="195"/>
      <c r="L786" s="195"/>
      <c r="Q786" s="195"/>
      <c r="R786" s="195"/>
      <c r="S786" s="240"/>
      <c r="T786" s="195"/>
      <c r="U786" s="195"/>
      <c r="V786" s="195"/>
      <c r="W786" s="195"/>
      <c r="X786" s="195"/>
      <c r="Y786" s="195"/>
      <c r="Z786" s="195"/>
      <c r="AA786" s="195"/>
      <c r="AB786" s="195"/>
      <c r="AC786" s="195"/>
      <c r="AD786" s="195"/>
      <c r="AE786" s="195"/>
      <c r="AF786" s="195"/>
      <c r="AG786" s="195"/>
      <c r="AH786" s="195"/>
      <c r="AI786" s="195"/>
      <c r="AJ786" s="195"/>
      <c r="AK786" s="195"/>
      <c r="AL786" s="195"/>
      <c r="AM786" s="1"/>
      <c r="AN786" s="240"/>
      <c r="AO786" s="240"/>
      <c r="AP786" s="240"/>
      <c r="AQ786" s="240"/>
      <c r="AR786" s="240"/>
      <c r="AS786" s="730"/>
      <c r="AT786" s="730"/>
      <c r="AU786" s="730"/>
      <c r="AV786" s="738"/>
      <c r="AW786" s="738"/>
      <c r="AX786" s="240"/>
      <c r="AY786" s="240"/>
      <c r="AZ786" s="240"/>
      <c r="BA786" s="240"/>
      <c r="BB786" s="240"/>
      <c r="BC786" s="240"/>
      <c r="BD786" s="672"/>
      <c r="BE786" s="731"/>
      <c r="BF786" s="731"/>
      <c r="BG786" s="731"/>
      <c r="BH786" s="672"/>
      <c r="BI786" s="732"/>
      <c r="BJ786" s="240"/>
      <c r="BK786" s="240"/>
      <c r="BL786" s="240"/>
      <c r="BM786" s="240"/>
      <c r="BN786" s="240"/>
      <c r="BO786" s="240"/>
      <c r="BP786" s="240"/>
      <c r="BQ786" s="240"/>
      <c r="BR786" s="240"/>
      <c r="BS786" s="240"/>
      <c r="BT786" s="240"/>
      <c r="BU786" s="240"/>
      <c r="BV786" s="240"/>
      <c r="BW786" s="672"/>
      <c r="BX786" s="672"/>
      <c r="BY786" s="672"/>
      <c r="BZ786" s="672"/>
      <c r="CA786" s="672"/>
      <c r="CB786" s="672"/>
      <c r="CC786" s="672"/>
      <c r="CD786" s="672"/>
      <c r="CE786" s="672"/>
      <c r="CF786" s="672"/>
      <c r="CG786" s="240"/>
      <c r="CH786" s="240"/>
      <c r="CI786" s="240"/>
      <c r="CJ786" s="240"/>
      <c r="CK786" s="240"/>
      <c r="CL786" s="728"/>
      <c r="CM786" s="728"/>
      <c r="CN786" s="195"/>
      <c r="CO786" s="195"/>
      <c r="CP786" s="195"/>
      <c r="CQ786" s="195"/>
      <c r="CR786" s="195"/>
      <c r="CS786" s="195"/>
      <c r="CT786" s="195"/>
      <c r="CU786" s="195"/>
      <c r="CV786" s="195"/>
      <c r="CW786" s="195"/>
      <c r="CX786" s="195"/>
      <c r="CY786" s="195"/>
      <c r="CZ786" s="195"/>
      <c r="DA786" s="195"/>
      <c r="DB786" s="195"/>
      <c r="DC786" s="195"/>
      <c r="DD786" s="195"/>
      <c r="DE786" s="195"/>
      <c r="DF786" s="195"/>
      <c r="DG786" s="1"/>
      <c r="DH786" s="3"/>
      <c r="DL786" s="4"/>
      <c r="DM786" s="4"/>
      <c r="DQ786" s="195"/>
      <c r="DR786" s="195"/>
      <c r="DS786" s="195"/>
      <c r="DT786" s="195"/>
      <c r="DU786" s="195"/>
      <c r="DV786" s="195"/>
      <c r="DW786" s="195"/>
      <c r="DX786" s="195"/>
      <c r="DY786" s="195"/>
      <c r="DZ786" s="195"/>
      <c r="EA786" s="195"/>
      <c r="EB786" s="195"/>
      <c r="EC786" s="195"/>
      <c r="ED786" s="195"/>
      <c r="EE786" s="195"/>
      <c r="EF786" s="195"/>
      <c r="EG786" s="195"/>
      <c r="EL786" s="1"/>
      <c r="EM786" s="195"/>
      <c r="EN786" s="240"/>
      <c r="EO786" s="240"/>
      <c r="EP786" s="195"/>
      <c r="EQ786" s="240"/>
      <c r="ER786" s="195"/>
      <c r="ES786" s="195"/>
      <c r="ET786" s="195"/>
      <c r="EU786" s="736"/>
    </row>
    <row r="787" customFormat="false" ht="12.75" hidden="false" customHeight="false" outlineLevel="0" collapsed="false">
      <c r="I787" s="735"/>
      <c r="J787" s="728"/>
      <c r="K787" s="195"/>
      <c r="L787" s="195"/>
      <c r="Q787" s="195"/>
      <c r="R787" s="195"/>
      <c r="S787" s="240"/>
      <c r="T787" s="195"/>
      <c r="U787" s="195"/>
      <c r="V787" s="195"/>
      <c r="W787" s="195"/>
      <c r="X787" s="195"/>
      <c r="Y787" s="195"/>
      <c r="Z787" s="195"/>
      <c r="AA787" s="195"/>
      <c r="AB787" s="195"/>
      <c r="AC787" s="195"/>
      <c r="AD787" s="195"/>
      <c r="AE787" s="195"/>
      <c r="AF787" s="195"/>
      <c r="AG787" s="195"/>
      <c r="AH787" s="195"/>
      <c r="AI787" s="195"/>
      <c r="AJ787" s="195"/>
      <c r="AK787" s="195"/>
      <c r="AL787" s="195"/>
      <c r="AM787" s="1"/>
      <c r="AN787" s="240"/>
      <c r="AO787" s="240"/>
      <c r="AP787" s="240"/>
      <c r="AQ787" s="240"/>
      <c r="AR787" s="240"/>
      <c r="AS787" s="730"/>
      <c r="AT787" s="730"/>
      <c r="AU787" s="730"/>
      <c r="AV787" s="738"/>
      <c r="AW787" s="738"/>
      <c r="AX787" s="240"/>
      <c r="AY787" s="240"/>
      <c r="AZ787" s="240"/>
      <c r="BA787" s="240"/>
      <c r="BB787" s="240"/>
      <c r="BC787" s="240"/>
      <c r="BD787" s="672"/>
      <c r="BE787" s="731"/>
      <c r="BF787" s="731"/>
      <c r="BG787" s="731"/>
      <c r="BH787" s="672"/>
      <c r="BI787" s="732"/>
      <c r="BJ787" s="240"/>
      <c r="BK787" s="240"/>
      <c r="BL787" s="240"/>
      <c r="BM787" s="240"/>
      <c r="BN787" s="240"/>
      <c r="BO787" s="240"/>
      <c r="BP787" s="240"/>
      <c r="BQ787" s="240"/>
      <c r="BR787" s="240"/>
      <c r="BS787" s="240"/>
      <c r="BT787" s="240"/>
      <c r="BU787" s="240"/>
      <c r="BV787" s="240"/>
      <c r="BW787" s="672"/>
      <c r="BX787" s="672"/>
      <c r="BY787" s="672"/>
      <c r="BZ787" s="672"/>
      <c r="CA787" s="672"/>
      <c r="CB787" s="672"/>
      <c r="CC787" s="672"/>
      <c r="CD787" s="672"/>
      <c r="CE787" s="672"/>
      <c r="CF787" s="672"/>
      <c r="CG787" s="240"/>
      <c r="CH787" s="240"/>
      <c r="CI787" s="240"/>
      <c r="CJ787" s="240"/>
      <c r="CK787" s="240"/>
      <c r="CL787" s="728"/>
      <c r="CM787" s="728"/>
      <c r="CN787" s="195"/>
      <c r="CO787" s="195"/>
      <c r="CP787" s="195"/>
      <c r="CQ787" s="195"/>
      <c r="CR787" s="195"/>
      <c r="CS787" s="195"/>
      <c r="CT787" s="195"/>
      <c r="CU787" s="195"/>
      <c r="CV787" s="195"/>
      <c r="CW787" s="195"/>
      <c r="CX787" s="195"/>
      <c r="CY787" s="195"/>
      <c r="CZ787" s="195"/>
      <c r="DA787" s="195"/>
      <c r="DB787" s="195"/>
      <c r="DC787" s="195"/>
      <c r="DD787" s="195"/>
      <c r="DE787" s="195"/>
      <c r="DF787" s="195"/>
      <c r="DG787" s="1"/>
      <c r="DH787" s="3"/>
      <c r="DL787" s="4"/>
      <c r="DM787" s="4"/>
      <c r="DQ787" s="195"/>
      <c r="DR787" s="195"/>
      <c r="DS787" s="195"/>
      <c r="DT787" s="195"/>
      <c r="DU787" s="195"/>
      <c r="DV787" s="195"/>
      <c r="DW787" s="195"/>
      <c r="DX787" s="195"/>
      <c r="DY787" s="195"/>
      <c r="DZ787" s="195"/>
      <c r="EA787" s="195"/>
      <c r="EB787" s="195"/>
      <c r="EC787" s="195"/>
      <c r="ED787" s="195"/>
      <c r="EE787" s="195"/>
      <c r="EF787" s="195"/>
      <c r="EG787" s="195"/>
      <c r="EL787" s="1"/>
      <c r="EM787" s="195"/>
      <c r="EN787" s="240"/>
      <c r="EO787" s="240"/>
      <c r="EP787" s="195"/>
      <c r="EQ787" s="240"/>
      <c r="ER787" s="195"/>
      <c r="ES787" s="195"/>
      <c r="ET787" s="195"/>
      <c r="EU787" s="736"/>
    </row>
    <row r="788" customFormat="false" ht="12.75" hidden="false" customHeight="false" outlineLevel="0" collapsed="false">
      <c r="I788" s="735"/>
      <c r="J788" s="728"/>
      <c r="K788" s="195"/>
      <c r="L788" s="195"/>
      <c r="Q788" s="195"/>
      <c r="R788" s="195"/>
      <c r="S788" s="240"/>
      <c r="T788" s="195"/>
      <c r="U788" s="195"/>
      <c r="V788" s="195"/>
      <c r="W788" s="195"/>
      <c r="X788" s="195"/>
      <c r="Y788" s="195"/>
      <c r="Z788" s="195"/>
      <c r="AA788" s="195"/>
      <c r="AB788" s="195"/>
      <c r="AC788" s="195"/>
      <c r="AD788" s="195"/>
      <c r="AE788" s="195"/>
      <c r="AF788" s="195"/>
      <c r="AG788" s="195"/>
      <c r="AH788" s="195"/>
      <c r="AI788" s="195"/>
      <c r="AJ788" s="195"/>
      <c r="AK788" s="195"/>
      <c r="AL788" s="195"/>
      <c r="AM788" s="1"/>
      <c r="AN788" s="240"/>
      <c r="AO788" s="240"/>
      <c r="AP788" s="240"/>
      <c r="AQ788" s="240"/>
      <c r="AR788" s="240"/>
      <c r="AS788" s="730"/>
      <c r="AT788" s="730"/>
      <c r="AU788" s="730"/>
      <c r="AV788" s="738"/>
      <c r="AW788" s="738"/>
      <c r="AX788" s="240"/>
      <c r="AY788" s="240"/>
      <c r="AZ788" s="240"/>
      <c r="BA788" s="240"/>
      <c r="BB788" s="240"/>
      <c r="BC788" s="240"/>
      <c r="BD788" s="672"/>
      <c r="BE788" s="731"/>
      <c r="BF788" s="731"/>
      <c r="BG788" s="731"/>
      <c r="BH788" s="672"/>
      <c r="BI788" s="732"/>
      <c r="BJ788" s="240"/>
      <c r="BK788" s="240"/>
      <c r="BL788" s="240"/>
      <c r="BM788" s="240"/>
      <c r="BN788" s="240"/>
      <c r="BO788" s="240"/>
      <c r="BP788" s="240"/>
      <c r="BQ788" s="240"/>
      <c r="BR788" s="240"/>
      <c r="BS788" s="240"/>
      <c r="BT788" s="240"/>
      <c r="BU788" s="240"/>
      <c r="BV788" s="240"/>
      <c r="BW788" s="672"/>
      <c r="BX788" s="672"/>
      <c r="BY788" s="672"/>
      <c r="BZ788" s="672"/>
      <c r="CA788" s="672"/>
      <c r="CB788" s="672"/>
      <c r="CC788" s="672"/>
      <c r="CD788" s="672"/>
      <c r="CE788" s="672"/>
      <c r="CF788" s="672"/>
      <c r="CG788" s="240"/>
      <c r="CH788" s="240"/>
      <c r="CI788" s="240"/>
      <c r="CJ788" s="240"/>
      <c r="CK788" s="240"/>
      <c r="CL788" s="728"/>
      <c r="CM788" s="728"/>
      <c r="CN788" s="195"/>
      <c r="CO788" s="195"/>
      <c r="CP788" s="195"/>
      <c r="CQ788" s="195"/>
      <c r="CR788" s="195"/>
      <c r="CS788" s="195"/>
      <c r="CT788" s="195"/>
      <c r="CU788" s="195"/>
      <c r="CV788" s="195"/>
      <c r="CW788" s="195"/>
      <c r="CX788" s="195"/>
      <c r="CY788" s="195"/>
      <c r="CZ788" s="195"/>
      <c r="DA788" s="195"/>
      <c r="DB788" s="195"/>
      <c r="DC788" s="195"/>
      <c r="DD788" s="195"/>
      <c r="DE788" s="195"/>
      <c r="DF788" s="195"/>
      <c r="DG788" s="1"/>
      <c r="DH788" s="3"/>
      <c r="DL788" s="4"/>
      <c r="DM788" s="4"/>
      <c r="DQ788" s="195"/>
      <c r="DR788" s="195"/>
      <c r="DS788" s="195"/>
      <c r="DT788" s="195"/>
      <c r="DU788" s="195"/>
      <c r="DV788" s="195"/>
      <c r="DW788" s="195"/>
      <c r="DX788" s="195"/>
      <c r="DY788" s="195"/>
      <c r="DZ788" s="195"/>
      <c r="EA788" s="195"/>
      <c r="EB788" s="195"/>
      <c r="EC788" s="195"/>
      <c r="ED788" s="195"/>
      <c r="EE788" s="195"/>
      <c r="EF788" s="195"/>
      <c r="EG788" s="195"/>
      <c r="EL788" s="1"/>
      <c r="EM788" s="195"/>
      <c r="EN788" s="240"/>
      <c r="EO788" s="240"/>
      <c r="EP788" s="195"/>
      <c r="EQ788" s="240"/>
      <c r="ER788" s="195"/>
      <c r="ES788" s="195"/>
      <c r="ET788" s="195"/>
      <c r="EU788" s="736"/>
    </row>
    <row r="789" customFormat="false" ht="12.75" hidden="false" customHeight="false" outlineLevel="0" collapsed="false">
      <c r="I789" s="735"/>
      <c r="J789" s="728"/>
      <c r="K789" s="195"/>
      <c r="L789" s="195"/>
      <c r="Q789" s="195"/>
      <c r="R789" s="195"/>
      <c r="S789" s="240"/>
      <c r="T789" s="195"/>
      <c r="U789" s="195"/>
      <c r="V789" s="195"/>
      <c r="W789" s="195"/>
      <c r="X789" s="195"/>
      <c r="Y789" s="195"/>
      <c r="Z789" s="195"/>
      <c r="AA789" s="195"/>
      <c r="AB789" s="195"/>
      <c r="AC789" s="195"/>
      <c r="AD789" s="195"/>
      <c r="AE789" s="195"/>
      <c r="AF789" s="195"/>
      <c r="AG789" s="195"/>
      <c r="AH789" s="195"/>
      <c r="AI789" s="195"/>
      <c r="AJ789" s="195"/>
      <c r="AK789" s="195"/>
      <c r="AL789" s="195"/>
      <c r="AM789" s="1"/>
      <c r="AN789" s="240"/>
      <c r="AO789" s="240"/>
      <c r="AP789" s="240"/>
      <c r="AQ789" s="240"/>
      <c r="AR789" s="240"/>
      <c r="AS789" s="730"/>
      <c r="AT789" s="730"/>
      <c r="AU789" s="730"/>
      <c r="AV789" s="738"/>
      <c r="AW789" s="738"/>
      <c r="AX789" s="240"/>
      <c r="AY789" s="240"/>
      <c r="AZ789" s="240"/>
      <c r="BA789" s="240"/>
      <c r="BB789" s="240"/>
      <c r="BC789" s="240"/>
      <c r="BD789" s="672"/>
      <c r="BE789" s="731"/>
      <c r="BF789" s="731"/>
      <c r="BG789" s="731"/>
      <c r="BH789" s="672"/>
      <c r="BI789" s="732"/>
      <c r="BJ789" s="240"/>
      <c r="BK789" s="240"/>
      <c r="BL789" s="240"/>
      <c r="BM789" s="240"/>
      <c r="BN789" s="240"/>
      <c r="BO789" s="240"/>
      <c r="BP789" s="240"/>
      <c r="BQ789" s="240"/>
      <c r="BR789" s="240"/>
      <c r="BS789" s="240"/>
      <c r="BT789" s="240"/>
      <c r="BU789" s="240"/>
      <c r="BV789" s="240"/>
      <c r="BW789" s="672"/>
      <c r="BX789" s="672"/>
      <c r="BY789" s="672"/>
      <c r="BZ789" s="672"/>
      <c r="CA789" s="672"/>
      <c r="CB789" s="672"/>
      <c r="CC789" s="672"/>
      <c r="CD789" s="672"/>
      <c r="CE789" s="672"/>
      <c r="CF789" s="672"/>
      <c r="CG789" s="240"/>
      <c r="CH789" s="240"/>
      <c r="CI789" s="240"/>
      <c r="CJ789" s="240"/>
      <c r="CK789" s="240"/>
      <c r="CL789" s="728"/>
      <c r="CM789" s="728"/>
      <c r="CN789" s="195"/>
      <c r="CO789" s="195"/>
      <c r="CP789" s="195"/>
      <c r="CQ789" s="195"/>
      <c r="CR789" s="195"/>
      <c r="CS789" s="195"/>
      <c r="CT789" s="195"/>
      <c r="CU789" s="195"/>
      <c r="CV789" s="195"/>
      <c r="CW789" s="195"/>
      <c r="CX789" s="195"/>
      <c r="CY789" s="195"/>
      <c r="CZ789" s="195"/>
      <c r="DA789" s="195"/>
      <c r="DB789" s="195"/>
      <c r="DC789" s="195"/>
      <c r="DD789" s="195"/>
      <c r="DE789" s="195"/>
      <c r="DF789" s="195"/>
      <c r="DG789" s="1"/>
      <c r="DH789" s="3"/>
      <c r="DL789" s="4"/>
      <c r="DM789" s="4"/>
      <c r="DQ789" s="195"/>
      <c r="DR789" s="195"/>
      <c r="DS789" s="195"/>
      <c r="DT789" s="195"/>
      <c r="DU789" s="195"/>
      <c r="DV789" s="195"/>
      <c r="DW789" s="195"/>
      <c r="DX789" s="195"/>
      <c r="DY789" s="195"/>
      <c r="DZ789" s="195"/>
      <c r="EA789" s="195"/>
      <c r="EB789" s="195"/>
      <c r="EC789" s="195"/>
      <c r="ED789" s="195"/>
      <c r="EE789" s="195"/>
      <c r="EF789" s="195"/>
      <c r="EG789" s="195"/>
      <c r="EL789" s="1"/>
      <c r="EM789" s="195"/>
      <c r="EN789" s="240"/>
      <c r="EO789" s="240"/>
      <c r="EP789" s="195"/>
      <c r="EQ789" s="240"/>
      <c r="ER789" s="195"/>
      <c r="ES789" s="195"/>
      <c r="ET789" s="195"/>
      <c r="EU789" s="736"/>
    </row>
    <row r="790" customFormat="false" ht="12.75" hidden="false" customHeight="false" outlineLevel="0" collapsed="false">
      <c r="I790" s="735"/>
      <c r="J790" s="728"/>
      <c r="K790" s="195"/>
      <c r="L790" s="195"/>
      <c r="Q790" s="195"/>
      <c r="R790" s="195"/>
      <c r="S790" s="240"/>
      <c r="T790" s="195"/>
      <c r="U790" s="195"/>
      <c r="V790" s="195"/>
      <c r="W790" s="195"/>
      <c r="X790" s="195"/>
      <c r="Y790" s="195"/>
      <c r="Z790" s="195"/>
      <c r="AA790" s="195"/>
      <c r="AB790" s="195"/>
      <c r="AC790" s="195"/>
      <c r="AD790" s="195"/>
      <c r="AE790" s="195"/>
      <c r="AF790" s="195"/>
      <c r="AG790" s="195"/>
      <c r="AH790" s="195"/>
      <c r="AI790" s="195"/>
      <c r="AJ790" s="195"/>
      <c r="AK790" s="195"/>
      <c r="AL790" s="195"/>
      <c r="AM790" s="1"/>
      <c r="AN790" s="240"/>
      <c r="AO790" s="240"/>
      <c r="AP790" s="240"/>
      <c r="AQ790" s="240"/>
      <c r="AR790" s="240"/>
      <c r="AS790" s="730"/>
      <c r="AT790" s="730"/>
      <c r="AU790" s="730"/>
      <c r="AV790" s="738"/>
      <c r="AW790" s="738"/>
      <c r="AX790" s="240"/>
      <c r="AY790" s="240"/>
      <c r="AZ790" s="240"/>
      <c r="BA790" s="240"/>
      <c r="BB790" s="240"/>
      <c r="BC790" s="240"/>
      <c r="BD790" s="672"/>
      <c r="BE790" s="731"/>
      <c r="BF790" s="731"/>
      <c r="BG790" s="731"/>
      <c r="BH790" s="672"/>
      <c r="BI790" s="732"/>
      <c r="BJ790" s="240"/>
      <c r="BK790" s="240"/>
      <c r="BL790" s="240"/>
      <c r="BM790" s="240"/>
      <c r="BN790" s="240"/>
      <c r="BO790" s="240"/>
      <c r="BP790" s="240"/>
      <c r="BQ790" s="240"/>
      <c r="BR790" s="240"/>
      <c r="BS790" s="240"/>
      <c r="BT790" s="240"/>
      <c r="BU790" s="240"/>
      <c r="BV790" s="240"/>
      <c r="BW790" s="672"/>
      <c r="BX790" s="672"/>
      <c r="BY790" s="672"/>
      <c r="BZ790" s="672"/>
      <c r="CA790" s="672"/>
      <c r="CB790" s="672"/>
      <c r="CC790" s="672"/>
      <c r="CD790" s="672"/>
      <c r="CE790" s="672"/>
      <c r="CF790" s="672"/>
      <c r="CG790" s="240"/>
      <c r="CH790" s="240"/>
      <c r="CI790" s="240"/>
      <c r="CJ790" s="240"/>
      <c r="CK790" s="240"/>
      <c r="CL790" s="728"/>
      <c r="CM790" s="728"/>
      <c r="CN790" s="195"/>
      <c r="CO790" s="195"/>
      <c r="CP790" s="195"/>
      <c r="CQ790" s="195"/>
      <c r="CR790" s="195"/>
      <c r="CS790" s="195"/>
      <c r="CT790" s="195"/>
      <c r="CU790" s="195"/>
      <c r="CV790" s="195"/>
      <c r="CW790" s="195"/>
      <c r="CX790" s="195"/>
      <c r="CY790" s="195"/>
      <c r="CZ790" s="195"/>
      <c r="DA790" s="195"/>
      <c r="DB790" s="195"/>
      <c r="DC790" s="195"/>
      <c r="DD790" s="195"/>
      <c r="DE790" s="195"/>
      <c r="DF790" s="195"/>
      <c r="DG790" s="1"/>
      <c r="DH790" s="3"/>
      <c r="DL790" s="4"/>
      <c r="DM790" s="4"/>
      <c r="DQ790" s="195"/>
      <c r="DR790" s="195"/>
      <c r="DS790" s="195"/>
      <c r="DT790" s="195"/>
      <c r="DU790" s="195"/>
      <c r="DV790" s="195"/>
      <c r="DW790" s="195"/>
      <c r="DX790" s="195"/>
      <c r="DY790" s="195"/>
      <c r="DZ790" s="195"/>
      <c r="EA790" s="195"/>
      <c r="EB790" s="195"/>
      <c r="EC790" s="195"/>
      <c r="ED790" s="195"/>
      <c r="EE790" s="195"/>
      <c r="EF790" s="195"/>
      <c r="EG790" s="195"/>
      <c r="EL790" s="1"/>
      <c r="EM790" s="195"/>
      <c r="EN790" s="240"/>
      <c r="EO790" s="240"/>
      <c r="EP790" s="195"/>
      <c r="EQ790" s="240"/>
      <c r="ER790" s="195"/>
      <c r="ES790" s="195"/>
      <c r="ET790" s="195"/>
      <c r="EU790" s="736"/>
    </row>
    <row r="791" customFormat="false" ht="12.75" hidden="false" customHeight="false" outlineLevel="0" collapsed="false">
      <c r="I791" s="735"/>
      <c r="J791" s="728"/>
      <c r="K791" s="195"/>
      <c r="L791" s="195"/>
      <c r="Q791" s="195"/>
      <c r="R791" s="195"/>
      <c r="S791" s="240"/>
      <c r="T791" s="195"/>
      <c r="U791" s="195"/>
      <c r="V791" s="195"/>
      <c r="W791" s="195"/>
      <c r="X791" s="195"/>
      <c r="Y791" s="195"/>
      <c r="Z791" s="195"/>
      <c r="AA791" s="195"/>
      <c r="AB791" s="195"/>
      <c r="AC791" s="195"/>
      <c r="AD791" s="195"/>
      <c r="AE791" s="195"/>
      <c r="AF791" s="195"/>
      <c r="AG791" s="195"/>
      <c r="AH791" s="195"/>
      <c r="AI791" s="195"/>
      <c r="AJ791" s="195"/>
      <c r="AK791" s="195"/>
      <c r="AL791" s="195"/>
      <c r="AM791" s="1"/>
      <c r="AN791" s="240"/>
      <c r="AO791" s="240"/>
      <c r="AP791" s="240"/>
      <c r="AQ791" s="240"/>
      <c r="AR791" s="240"/>
      <c r="AS791" s="730"/>
      <c r="AT791" s="730"/>
      <c r="AU791" s="730"/>
      <c r="AV791" s="738"/>
      <c r="AW791" s="738"/>
      <c r="AX791" s="240"/>
      <c r="AY791" s="240"/>
      <c r="AZ791" s="240"/>
      <c r="BA791" s="240"/>
      <c r="BB791" s="240"/>
      <c r="BC791" s="240"/>
      <c r="BD791" s="672"/>
      <c r="BE791" s="731"/>
      <c r="BF791" s="731"/>
      <c r="BG791" s="731"/>
      <c r="BH791" s="672"/>
      <c r="BI791" s="732"/>
      <c r="BJ791" s="240"/>
      <c r="BK791" s="240"/>
      <c r="BL791" s="240"/>
      <c r="BM791" s="240"/>
      <c r="BN791" s="240"/>
      <c r="BO791" s="240"/>
      <c r="BP791" s="240"/>
      <c r="BQ791" s="240"/>
      <c r="BR791" s="240"/>
      <c r="BS791" s="240"/>
      <c r="BT791" s="240"/>
      <c r="BU791" s="240"/>
      <c r="BV791" s="240"/>
      <c r="BW791" s="672"/>
      <c r="BX791" s="672"/>
      <c r="BY791" s="672"/>
      <c r="BZ791" s="672"/>
      <c r="CA791" s="672"/>
      <c r="CB791" s="672"/>
      <c r="CC791" s="672"/>
      <c r="CD791" s="672"/>
      <c r="CE791" s="672"/>
      <c r="CF791" s="672"/>
      <c r="CG791" s="240"/>
      <c r="CH791" s="240"/>
      <c r="CI791" s="240"/>
      <c r="CJ791" s="240"/>
      <c r="CK791" s="240"/>
      <c r="CL791" s="728"/>
      <c r="CM791" s="728"/>
      <c r="CN791" s="195"/>
      <c r="CO791" s="195"/>
      <c r="CP791" s="195"/>
      <c r="CQ791" s="195"/>
      <c r="CR791" s="195"/>
      <c r="CS791" s="195"/>
      <c r="CT791" s="195"/>
      <c r="CU791" s="195"/>
      <c r="CV791" s="195"/>
      <c r="CW791" s="195"/>
      <c r="CX791" s="195"/>
      <c r="CY791" s="195"/>
      <c r="CZ791" s="195"/>
      <c r="DA791" s="195"/>
      <c r="DB791" s="195"/>
      <c r="DC791" s="195"/>
      <c r="DD791" s="195"/>
      <c r="DE791" s="195"/>
      <c r="DF791" s="195"/>
      <c r="DG791" s="1"/>
      <c r="DH791" s="3"/>
      <c r="DL791" s="4"/>
      <c r="DM791" s="4"/>
      <c r="DQ791" s="195"/>
      <c r="DR791" s="195"/>
      <c r="DS791" s="195"/>
      <c r="DT791" s="195"/>
      <c r="DU791" s="195"/>
      <c r="DV791" s="195"/>
      <c r="DW791" s="195"/>
      <c r="DX791" s="195"/>
      <c r="DY791" s="195"/>
      <c r="DZ791" s="195"/>
      <c r="EA791" s="195"/>
      <c r="EB791" s="195"/>
      <c r="EC791" s="195"/>
      <c r="ED791" s="195"/>
      <c r="EE791" s="195"/>
      <c r="EF791" s="195"/>
      <c r="EG791" s="195"/>
      <c r="EL791" s="1"/>
      <c r="EM791" s="195"/>
      <c r="EN791" s="240"/>
      <c r="EO791" s="240"/>
      <c r="EP791" s="195"/>
      <c r="EQ791" s="240"/>
      <c r="ER791" s="195"/>
      <c r="ES791" s="195"/>
      <c r="ET791" s="195"/>
      <c r="EU791" s="736"/>
    </row>
    <row r="792" customFormat="false" ht="12.75" hidden="false" customHeight="false" outlineLevel="0" collapsed="false">
      <c r="I792" s="735"/>
      <c r="J792" s="728"/>
      <c r="K792" s="195"/>
      <c r="L792" s="195"/>
      <c r="Q792" s="195"/>
      <c r="R792" s="195"/>
      <c r="S792" s="240"/>
      <c r="T792" s="195"/>
      <c r="U792" s="195"/>
      <c r="V792" s="195"/>
      <c r="W792" s="195"/>
      <c r="X792" s="195"/>
      <c r="Y792" s="195"/>
      <c r="Z792" s="195"/>
      <c r="AA792" s="195"/>
      <c r="AB792" s="195"/>
      <c r="AC792" s="195"/>
      <c r="AD792" s="195"/>
      <c r="AE792" s="195"/>
      <c r="AF792" s="195"/>
      <c r="AG792" s="195"/>
      <c r="AH792" s="195"/>
      <c r="AI792" s="195"/>
      <c r="AJ792" s="195"/>
      <c r="AK792" s="195"/>
      <c r="AL792" s="195"/>
      <c r="AM792" s="1"/>
      <c r="AN792" s="240"/>
      <c r="AO792" s="240"/>
      <c r="AP792" s="240"/>
      <c r="AQ792" s="240"/>
      <c r="AR792" s="240"/>
      <c r="AS792" s="730"/>
      <c r="AT792" s="730"/>
      <c r="AU792" s="730"/>
      <c r="AV792" s="738"/>
      <c r="AW792" s="738"/>
      <c r="AX792" s="240"/>
      <c r="AY792" s="240"/>
      <c r="AZ792" s="240"/>
      <c r="BA792" s="240"/>
      <c r="BB792" s="240"/>
      <c r="BC792" s="240"/>
      <c r="BD792" s="672"/>
      <c r="BE792" s="731"/>
      <c r="BF792" s="731"/>
      <c r="BG792" s="731"/>
      <c r="BH792" s="672"/>
      <c r="BI792" s="732"/>
      <c r="BJ792" s="240"/>
      <c r="BK792" s="240"/>
      <c r="BL792" s="240"/>
      <c r="BM792" s="240"/>
      <c r="BN792" s="240"/>
      <c r="BO792" s="240"/>
      <c r="BP792" s="240"/>
      <c r="BQ792" s="240"/>
      <c r="BR792" s="240"/>
      <c r="BS792" s="240"/>
      <c r="BT792" s="240"/>
      <c r="BU792" s="240"/>
      <c r="BV792" s="240"/>
      <c r="BW792" s="672"/>
      <c r="BX792" s="672"/>
      <c r="BY792" s="672"/>
      <c r="BZ792" s="672"/>
      <c r="CA792" s="672"/>
      <c r="CB792" s="672"/>
      <c r="CC792" s="672"/>
      <c r="CD792" s="672"/>
      <c r="CE792" s="672"/>
      <c r="CF792" s="672"/>
      <c r="CG792" s="240"/>
      <c r="CH792" s="240"/>
      <c r="CI792" s="240"/>
      <c r="CJ792" s="240"/>
      <c r="CK792" s="240"/>
      <c r="CL792" s="728"/>
      <c r="CM792" s="728"/>
      <c r="CN792" s="195"/>
      <c r="CO792" s="195"/>
      <c r="CP792" s="195"/>
      <c r="CQ792" s="195"/>
      <c r="CR792" s="195"/>
      <c r="CS792" s="195"/>
      <c r="CT792" s="195"/>
      <c r="CU792" s="195"/>
      <c r="CV792" s="195"/>
      <c r="CW792" s="195"/>
      <c r="CX792" s="195"/>
      <c r="CY792" s="195"/>
      <c r="CZ792" s="195"/>
      <c r="DA792" s="195"/>
      <c r="DB792" s="195"/>
      <c r="DC792" s="195"/>
      <c r="DD792" s="195"/>
      <c r="DE792" s="195"/>
      <c r="DF792" s="195"/>
      <c r="DG792" s="1"/>
      <c r="DH792" s="3"/>
      <c r="DL792" s="4"/>
      <c r="DM792" s="4"/>
      <c r="DQ792" s="195"/>
      <c r="DR792" s="195"/>
      <c r="DS792" s="195"/>
      <c r="DT792" s="195"/>
      <c r="DU792" s="195"/>
      <c r="DV792" s="195"/>
      <c r="DW792" s="195"/>
      <c r="DX792" s="195"/>
      <c r="DY792" s="195"/>
      <c r="DZ792" s="195"/>
      <c r="EA792" s="195"/>
      <c r="EB792" s="195"/>
      <c r="EC792" s="195"/>
      <c r="ED792" s="195"/>
      <c r="EE792" s="195"/>
      <c r="EF792" s="195"/>
      <c r="EG792" s="195"/>
      <c r="EL792" s="1"/>
      <c r="EM792" s="195"/>
      <c r="EN792" s="240"/>
      <c r="EO792" s="240"/>
      <c r="EP792" s="195"/>
      <c r="EQ792" s="240"/>
      <c r="ER792" s="195"/>
      <c r="ES792" s="195"/>
      <c r="ET792" s="195"/>
      <c r="EU792" s="736"/>
    </row>
    <row r="793" customFormat="false" ht="12.75" hidden="false" customHeight="false" outlineLevel="0" collapsed="false">
      <c r="I793" s="735"/>
      <c r="J793" s="728"/>
      <c r="K793" s="195"/>
      <c r="L793" s="195"/>
      <c r="Q793" s="195"/>
      <c r="R793" s="195"/>
      <c r="S793" s="240"/>
      <c r="T793" s="195"/>
      <c r="U793" s="195"/>
      <c r="V793" s="195"/>
      <c r="W793" s="195"/>
      <c r="X793" s="195"/>
      <c r="Y793" s="195"/>
      <c r="Z793" s="195"/>
      <c r="AA793" s="195"/>
      <c r="AB793" s="195"/>
      <c r="AC793" s="195"/>
      <c r="AD793" s="195"/>
      <c r="AE793" s="195"/>
      <c r="AF793" s="195"/>
      <c r="AG793" s="195"/>
      <c r="AH793" s="195"/>
      <c r="AI793" s="195"/>
      <c r="AJ793" s="195"/>
      <c r="AK793" s="195"/>
      <c r="AL793" s="195"/>
      <c r="AM793" s="1"/>
      <c r="AN793" s="240"/>
      <c r="AO793" s="240"/>
      <c r="AP793" s="240"/>
      <c r="AQ793" s="240"/>
      <c r="AR793" s="240"/>
      <c r="AS793" s="730"/>
      <c r="AT793" s="730"/>
      <c r="AU793" s="730"/>
      <c r="AV793" s="738"/>
      <c r="AW793" s="738"/>
      <c r="AX793" s="240"/>
      <c r="AY793" s="240"/>
      <c r="AZ793" s="240"/>
      <c r="BA793" s="240"/>
      <c r="BB793" s="240"/>
      <c r="BC793" s="240"/>
      <c r="BD793" s="672"/>
      <c r="BE793" s="731"/>
      <c r="BF793" s="731"/>
      <c r="BG793" s="731"/>
      <c r="BH793" s="672"/>
      <c r="BI793" s="732"/>
      <c r="BJ793" s="240"/>
      <c r="BK793" s="240"/>
      <c r="BL793" s="240"/>
      <c r="BM793" s="240"/>
      <c r="BN793" s="240"/>
      <c r="BO793" s="240"/>
      <c r="BP793" s="240"/>
      <c r="BQ793" s="240"/>
      <c r="BR793" s="240"/>
      <c r="BS793" s="240"/>
      <c r="BT793" s="240"/>
      <c r="BU793" s="240"/>
      <c r="BV793" s="240"/>
      <c r="BW793" s="672"/>
      <c r="BX793" s="672"/>
      <c r="BY793" s="672"/>
      <c r="BZ793" s="672"/>
      <c r="CA793" s="672"/>
      <c r="CB793" s="672"/>
      <c r="CC793" s="672"/>
      <c r="CD793" s="672"/>
      <c r="CE793" s="672"/>
      <c r="CF793" s="672"/>
      <c r="CG793" s="240"/>
      <c r="CH793" s="240"/>
      <c r="CI793" s="240"/>
      <c r="CJ793" s="240"/>
      <c r="CK793" s="240"/>
      <c r="CL793" s="728"/>
      <c r="CM793" s="728"/>
      <c r="CN793" s="195"/>
      <c r="CO793" s="195"/>
      <c r="CP793" s="195"/>
      <c r="CQ793" s="195"/>
      <c r="CR793" s="195"/>
      <c r="CS793" s="195"/>
      <c r="CT793" s="195"/>
      <c r="CU793" s="195"/>
      <c r="CV793" s="195"/>
      <c r="CW793" s="195"/>
      <c r="CX793" s="195"/>
      <c r="CY793" s="195"/>
      <c r="CZ793" s="195"/>
      <c r="DA793" s="195"/>
      <c r="DB793" s="195"/>
      <c r="DC793" s="195"/>
      <c r="DD793" s="195"/>
      <c r="DE793" s="195"/>
      <c r="DF793" s="195"/>
      <c r="DG793" s="1"/>
      <c r="DH793" s="3"/>
      <c r="DL793" s="4"/>
      <c r="DM793" s="4"/>
      <c r="DQ793" s="195"/>
      <c r="DR793" s="195"/>
      <c r="DS793" s="195"/>
      <c r="DT793" s="195"/>
      <c r="DU793" s="195"/>
      <c r="DV793" s="195"/>
      <c r="DW793" s="195"/>
      <c r="DX793" s="195"/>
      <c r="DY793" s="195"/>
      <c r="DZ793" s="195"/>
      <c r="EA793" s="195"/>
      <c r="EB793" s="195"/>
      <c r="EC793" s="195"/>
      <c r="ED793" s="195"/>
      <c r="EE793" s="195"/>
      <c r="EF793" s="195"/>
      <c r="EG793" s="195"/>
      <c r="EL793" s="1"/>
      <c r="EM793" s="195"/>
      <c r="EN793" s="240"/>
      <c r="EO793" s="240"/>
      <c r="EP793" s="195"/>
      <c r="EQ793" s="240"/>
      <c r="ER793" s="195"/>
      <c r="ES793" s="195"/>
      <c r="ET793" s="195"/>
      <c r="EU793" s="736"/>
    </row>
    <row r="794" customFormat="false" ht="12.75" hidden="false" customHeight="false" outlineLevel="0" collapsed="false">
      <c r="I794" s="735"/>
      <c r="J794" s="728"/>
      <c r="K794" s="195"/>
      <c r="L794" s="195"/>
      <c r="Q794" s="195"/>
      <c r="R794" s="195"/>
      <c r="S794" s="240"/>
      <c r="T794" s="195"/>
      <c r="U794" s="195"/>
      <c r="V794" s="195"/>
      <c r="W794" s="195"/>
      <c r="X794" s="195"/>
      <c r="Y794" s="195"/>
      <c r="Z794" s="195"/>
      <c r="AA794" s="195"/>
      <c r="AB794" s="195"/>
      <c r="AC794" s="195"/>
      <c r="AD794" s="195"/>
      <c r="AE794" s="195"/>
      <c r="AF794" s="195"/>
      <c r="AG794" s="195"/>
      <c r="AH794" s="195"/>
      <c r="AI794" s="195"/>
      <c r="AJ794" s="195"/>
      <c r="AK794" s="195"/>
      <c r="AL794" s="195"/>
      <c r="AM794" s="1"/>
      <c r="AN794" s="240"/>
      <c r="AO794" s="240"/>
      <c r="AP794" s="240"/>
      <c r="AQ794" s="240"/>
      <c r="AR794" s="240"/>
      <c r="AS794" s="730"/>
      <c r="AT794" s="730"/>
      <c r="AU794" s="730"/>
      <c r="AV794" s="738"/>
      <c r="AW794" s="738"/>
      <c r="AX794" s="240"/>
      <c r="AY794" s="240"/>
      <c r="AZ794" s="240"/>
      <c r="BA794" s="240"/>
      <c r="BB794" s="240"/>
      <c r="BC794" s="240"/>
      <c r="BD794" s="672"/>
      <c r="BE794" s="731"/>
      <c r="BF794" s="731"/>
      <c r="BG794" s="731"/>
      <c r="BH794" s="672"/>
      <c r="BI794" s="732"/>
      <c r="BJ794" s="240"/>
      <c r="BK794" s="240"/>
      <c r="BL794" s="240"/>
      <c r="BM794" s="240"/>
      <c r="BN794" s="240"/>
      <c r="BO794" s="240"/>
      <c r="BP794" s="240"/>
      <c r="BQ794" s="240"/>
      <c r="BR794" s="240"/>
      <c r="BS794" s="240"/>
      <c r="BT794" s="240"/>
      <c r="BU794" s="240"/>
      <c r="BV794" s="240"/>
      <c r="BW794" s="672"/>
      <c r="BX794" s="672"/>
      <c r="BY794" s="672"/>
      <c r="BZ794" s="672"/>
      <c r="CA794" s="672"/>
      <c r="CB794" s="672"/>
      <c r="CC794" s="672"/>
      <c r="CD794" s="672"/>
      <c r="CE794" s="672"/>
      <c r="CF794" s="672"/>
      <c r="CG794" s="240"/>
      <c r="CH794" s="240"/>
      <c r="CI794" s="240"/>
      <c r="CJ794" s="240"/>
      <c r="CK794" s="240"/>
      <c r="CL794" s="728"/>
      <c r="CM794" s="728"/>
      <c r="CN794" s="195"/>
      <c r="CO794" s="195"/>
      <c r="CP794" s="195"/>
      <c r="CQ794" s="195"/>
      <c r="CR794" s="195"/>
      <c r="CS794" s="195"/>
      <c r="CT794" s="195"/>
      <c r="CU794" s="195"/>
      <c r="CV794" s="195"/>
      <c r="CW794" s="195"/>
      <c r="CX794" s="195"/>
      <c r="CY794" s="195"/>
      <c r="CZ794" s="195"/>
      <c r="DA794" s="195"/>
      <c r="DB794" s="195"/>
      <c r="DC794" s="195"/>
      <c r="DD794" s="195"/>
      <c r="DE794" s="195"/>
      <c r="DF794" s="195"/>
      <c r="DG794" s="1"/>
      <c r="DH794" s="3"/>
      <c r="DL794" s="4"/>
      <c r="DM794" s="4"/>
      <c r="DQ794" s="195"/>
      <c r="DR794" s="195"/>
      <c r="DS794" s="195"/>
      <c r="DT794" s="195"/>
      <c r="DU794" s="195"/>
      <c r="DV794" s="195"/>
      <c r="DW794" s="195"/>
      <c r="DX794" s="195"/>
      <c r="DY794" s="195"/>
      <c r="DZ794" s="195"/>
      <c r="EA794" s="195"/>
      <c r="EB794" s="195"/>
      <c r="EC794" s="195"/>
      <c r="ED794" s="195"/>
      <c r="EE794" s="195"/>
      <c r="EF794" s="195"/>
      <c r="EG794" s="195"/>
      <c r="EL794" s="1"/>
      <c r="EM794" s="195"/>
      <c r="EN794" s="240"/>
      <c r="EO794" s="240"/>
      <c r="EP794" s="195"/>
      <c r="EQ794" s="240"/>
      <c r="ER794" s="195"/>
      <c r="ES794" s="195"/>
      <c r="ET794" s="195"/>
      <c r="EU794" s="736"/>
    </row>
    <row r="795" customFormat="false" ht="12.75" hidden="false" customHeight="false" outlineLevel="0" collapsed="false">
      <c r="I795" s="735"/>
      <c r="J795" s="728"/>
      <c r="K795" s="195"/>
      <c r="L795" s="195"/>
      <c r="Q795" s="195"/>
      <c r="R795" s="195"/>
      <c r="S795" s="240"/>
      <c r="T795" s="195"/>
      <c r="U795" s="195"/>
      <c r="V795" s="195"/>
      <c r="W795" s="195"/>
      <c r="X795" s="195"/>
      <c r="Y795" s="195"/>
      <c r="Z795" s="195"/>
      <c r="AA795" s="195"/>
      <c r="AB795" s="195"/>
      <c r="AC795" s="195"/>
      <c r="AD795" s="195"/>
      <c r="AE795" s="195"/>
      <c r="AF795" s="195"/>
      <c r="AG795" s="195"/>
      <c r="AH795" s="195"/>
      <c r="AI795" s="195"/>
      <c r="AJ795" s="195"/>
      <c r="AK795" s="195"/>
      <c r="AL795" s="195"/>
      <c r="AM795" s="1"/>
      <c r="AN795" s="240"/>
      <c r="AO795" s="240"/>
      <c r="AP795" s="240"/>
      <c r="AQ795" s="240"/>
      <c r="AR795" s="240"/>
      <c r="AS795" s="730"/>
      <c r="AT795" s="730"/>
      <c r="AU795" s="730"/>
      <c r="AV795" s="738"/>
      <c r="AW795" s="738"/>
      <c r="AX795" s="240"/>
      <c r="AY795" s="240"/>
      <c r="AZ795" s="240"/>
      <c r="BA795" s="240"/>
      <c r="BB795" s="240"/>
      <c r="BC795" s="240"/>
      <c r="BD795" s="672"/>
      <c r="BE795" s="731"/>
      <c r="BF795" s="731"/>
      <c r="BG795" s="731"/>
      <c r="BH795" s="672"/>
      <c r="BI795" s="732"/>
      <c r="BJ795" s="240"/>
      <c r="BK795" s="240"/>
      <c r="BL795" s="240"/>
      <c r="BM795" s="240"/>
      <c r="BN795" s="240"/>
      <c r="BO795" s="240"/>
      <c r="BP795" s="240"/>
      <c r="BQ795" s="240"/>
      <c r="BR795" s="240"/>
      <c r="BS795" s="240"/>
      <c r="BT795" s="240"/>
      <c r="BU795" s="240"/>
      <c r="BV795" s="240"/>
      <c r="BW795" s="672"/>
      <c r="BX795" s="672"/>
      <c r="BY795" s="672"/>
      <c r="BZ795" s="672"/>
      <c r="CA795" s="672"/>
      <c r="CB795" s="672"/>
      <c r="CC795" s="672"/>
      <c r="CD795" s="672"/>
      <c r="CE795" s="672"/>
      <c r="CF795" s="672"/>
      <c r="CG795" s="240"/>
      <c r="CH795" s="240"/>
      <c r="CI795" s="240"/>
      <c r="CJ795" s="240"/>
      <c r="CK795" s="240"/>
      <c r="CL795" s="728"/>
      <c r="CM795" s="728"/>
      <c r="CN795" s="195"/>
      <c r="CO795" s="195"/>
      <c r="CP795" s="195"/>
      <c r="CQ795" s="195"/>
      <c r="CR795" s="195"/>
      <c r="CS795" s="195"/>
      <c r="CT795" s="195"/>
      <c r="CU795" s="195"/>
      <c r="CV795" s="195"/>
      <c r="CW795" s="195"/>
      <c r="CX795" s="195"/>
      <c r="CY795" s="195"/>
      <c r="CZ795" s="195"/>
      <c r="DA795" s="195"/>
      <c r="DB795" s="195"/>
      <c r="DC795" s="195"/>
      <c r="DD795" s="195"/>
      <c r="DE795" s="195"/>
      <c r="DF795" s="195"/>
      <c r="DG795" s="1"/>
      <c r="DH795" s="3"/>
      <c r="DL795" s="4"/>
      <c r="DM795" s="4"/>
      <c r="DQ795" s="195"/>
      <c r="DR795" s="195"/>
      <c r="DS795" s="195"/>
      <c r="DT795" s="195"/>
      <c r="DU795" s="195"/>
      <c r="DV795" s="195"/>
      <c r="DW795" s="195"/>
      <c r="DX795" s="195"/>
      <c r="DY795" s="195"/>
      <c r="DZ795" s="195"/>
      <c r="EA795" s="195"/>
      <c r="EB795" s="195"/>
      <c r="EC795" s="195"/>
      <c r="ED795" s="195"/>
      <c r="EE795" s="195"/>
      <c r="EF795" s="195"/>
      <c r="EG795" s="195"/>
      <c r="EL795" s="1"/>
      <c r="EM795" s="195"/>
      <c r="EN795" s="240"/>
      <c r="EO795" s="240"/>
      <c r="EP795" s="195"/>
      <c r="EQ795" s="240"/>
      <c r="ER795" s="195"/>
      <c r="ES795" s="195"/>
      <c r="ET795" s="195"/>
      <c r="EU795" s="736"/>
    </row>
    <row r="796" customFormat="false" ht="12.75" hidden="false" customHeight="false" outlineLevel="0" collapsed="false">
      <c r="I796" s="735"/>
      <c r="J796" s="728"/>
      <c r="K796" s="195"/>
      <c r="L796" s="195"/>
      <c r="Q796" s="195"/>
      <c r="R796" s="195"/>
      <c r="S796" s="240"/>
      <c r="T796" s="195"/>
      <c r="U796" s="195"/>
      <c r="V796" s="195"/>
      <c r="W796" s="195"/>
      <c r="X796" s="195"/>
      <c r="Y796" s="195"/>
      <c r="Z796" s="195"/>
      <c r="AA796" s="195"/>
      <c r="AB796" s="195"/>
      <c r="AC796" s="195"/>
      <c r="AD796" s="195"/>
      <c r="AE796" s="195"/>
      <c r="AF796" s="195"/>
      <c r="AG796" s="195"/>
      <c r="AH796" s="195"/>
      <c r="AI796" s="195"/>
      <c r="AJ796" s="195"/>
      <c r="AK796" s="195"/>
      <c r="AL796" s="195"/>
      <c r="AM796" s="1"/>
      <c r="AN796" s="240"/>
      <c r="AO796" s="240"/>
      <c r="AP796" s="240"/>
      <c r="AQ796" s="240"/>
      <c r="AR796" s="240"/>
      <c r="AS796" s="730"/>
      <c r="AT796" s="730"/>
      <c r="AU796" s="730"/>
      <c r="AV796" s="738"/>
      <c r="AW796" s="738"/>
      <c r="AX796" s="240"/>
      <c r="AY796" s="240"/>
      <c r="AZ796" s="240"/>
      <c r="BA796" s="240"/>
      <c r="BB796" s="240"/>
      <c r="BC796" s="240"/>
      <c r="BD796" s="672"/>
      <c r="BE796" s="731"/>
      <c r="BF796" s="731"/>
      <c r="BG796" s="731"/>
      <c r="BH796" s="672"/>
      <c r="BI796" s="732"/>
      <c r="BJ796" s="240"/>
      <c r="BK796" s="240"/>
      <c r="BL796" s="240"/>
      <c r="BM796" s="240"/>
      <c r="BN796" s="240"/>
      <c r="BO796" s="240"/>
      <c r="BP796" s="240"/>
      <c r="BQ796" s="240"/>
      <c r="BR796" s="240"/>
      <c r="BS796" s="240"/>
      <c r="BT796" s="240"/>
      <c r="BU796" s="240"/>
      <c r="BV796" s="240"/>
      <c r="BW796" s="672"/>
      <c r="BX796" s="672"/>
      <c r="BY796" s="672"/>
      <c r="BZ796" s="672"/>
      <c r="CA796" s="672"/>
      <c r="CB796" s="672"/>
      <c r="CC796" s="672"/>
      <c r="CD796" s="672"/>
      <c r="CE796" s="672"/>
      <c r="CF796" s="672"/>
      <c r="CG796" s="240"/>
      <c r="CH796" s="240"/>
      <c r="CI796" s="240"/>
      <c r="CJ796" s="240"/>
      <c r="CK796" s="240"/>
      <c r="CL796" s="728"/>
      <c r="CM796" s="728"/>
      <c r="CN796" s="195"/>
      <c r="CO796" s="195"/>
      <c r="CP796" s="195"/>
      <c r="CQ796" s="195"/>
      <c r="CR796" s="195"/>
      <c r="CS796" s="195"/>
      <c r="CT796" s="195"/>
      <c r="CU796" s="195"/>
      <c r="CV796" s="195"/>
      <c r="CW796" s="195"/>
      <c r="CX796" s="195"/>
      <c r="CY796" s="195"/>
      <c r="CZ796" s="195"/>
      <c r="DA796" s="195"/>
      <c r="DB796" s="195"/>
      <c r="DC796" s="195"/>
      <c r="DD796" s="195"/>
      <c r="DE796" s="195"/>
      <c r="DF796" s="195"/>
      <c r="DG796" s="1"/>
      <c r="DH796" s="3"/>
      <c r="DL796" s="4"/>
      <c r="DM796" s="4"/>
      <c r="DQ796" s="195"/>
      <c r="DR796" s="195"/>
      <c r="DS796" s="195"/>
      <c r="DT796" s="195"/>
      <c r="DU796" s="195"/>
      <c r="DV796" s="195"/>
      <c r="DW796" s="195"/>
      <c r="DX796" s="195"/>
      <c r="DY796" s="195"/>
      <c r="DZ796" s="195"/>
      <c r="EA796" s="195"/>
      <c r="EB796" s="195"/>
      <c r="EC796" s="195"/>
      <c r="ED796" s="195"/>
      <c r="EE796" s="195"/>
      <c r="EF796" s="195"/>
      <c r="EG796" s="195"/>
      <c r="EL796" s="1"/>
      <c r="EM796" s="195"/>
      <c r="EN796" s="240"/>
      <c r="EO796" s="240"/>
      <c r="EP796" s="195"/>
      <c r="EQ796" s="240"/>
      <c r="ER796" s="195"/>
      <c r="ES796" s="195"/>
      <c r="ET796" s="195"/>
      <c r="EU796" s="736"/>
    </row>
    <row r="797" customFormat="false" ht="12.75" hidden="false" customHeight="false" outlineLevel="0" collapsed="false">
      <c r="I797" s="735"/>
      <c r="J797" s="728"/>
      <c r="K797" s="195"/>
      <c r="L797" s="195"/>
      <c r="Q797" s="195"/>
      <c r="R797" s="195"/>
      <c r="S797" s="240"/>
      <c r="T797" s="195"/>
      <c r="U797" s="195"/>
      <c r="V797" s="195"/>
      <c r="W797" s="195"/>
      <c r="X797" s="195"/>
      <c r="Y797" s="195"/>
      <c r="Z797" s="195"/>
      <c r="AA797" s="195"/>
      <c r="AB797" s="195"/>
      <c r="AC797" s="195"/>
      <c r="AD797" s="195"/>
      <c r="AE797" s="195"/>
      <c r="AF797" s="195"/>
      <c r="AG797" s="195"/>
      <c r="AH797" s="195"/>
      <c r="AI797" s="195"/>
      <c r="AJ797" s="195"/>
      <c r="AK797" s="195"/>
      <c r="AL797" s="195"/>
      <c r="AM797" s="1"/>
      <c r="AN797" s="240"/>
      <c r="AO797" s="240"/>
      <c r="AP797" s="240"/>
      <c r="AQ797" s="240"/>
      <c r="AR797" s="240"/>
      <c r="AS797" s="730"/>
      <c r="AT797" s="730"/>
      <c r="AU797" s="730"/>
      <c r="AV797" s="738"/>
      <c r="AW797" s="738"/>
      <c r="AX797" s="240"/>
      <c r="AY797" s="240"/>
      <c r="AZ797" s="240"/>
      <c r="BA797" s="240"/>
      <c r="BB797" s="240"/>
      <c r="BC797" s="240"/>
      <c r="BD797" s="672"/>
      <c r="BE797" s="731"/>
      <c r="BF797" s="731"/>
      <c r="BG797" s="731"/>
      <c r="BH797" s="672"/>
      <c r="BI797" s="732"/>
      <c r="BJ797" s="240"/>
      <c r="BK797" s="240"/>
      <c r="BL797" s="240"/>
      <c r="BM797" s="240"/>
      <c r="BN797" s="240"/>
      <c r="BO797" s="240"/>
      <c r="BP797" s="240"/>
      <c r="BQ797" s="240"/>
      <c r="BR797" s="240"/>
      <c r="BS797" s="240"/>
      <c r="BT797" s="240"/>
      <c r="BU797" s="240"/>
      <c r="BV797" s="240"/>
      <c r="BW797" s="672"/>
      <c r="BX797" s="672"/>
      <c r="BY797" s="672"/>
      <c r="BZ797" s="672"/>
      <c r="CA797" s="672"/>
      <c r="CB797" s="672"/>
      <c r="CC797" s="672"/>
      <c r="CD797" s="672"/>
      <c r="CE797" s="672"/>
      <c r="CF797" s="672"/>
      <c r="CG797" s="240"/>
      <c r="CH797" s="240"/>
      <c r="CI797" s="240"/>
      <c r="CJ797" s="240"/>
      <c r="CK797" s="240"/>
      <c r="CL797" s="728"/>
      <c r="CM797" s="728"/>
      <c r="CN797" s="195"/>
      <c r="CO797" s="195"/>
      <c r="CP797" s="195"/>
      <c r="CQ797" s="195"/>
      <c r="CR797" s="195"/>
      <c r="CS797" s="195"/>
      <c r="CT797" s="195"/>
      <c r="CU797" s="195"/>
      <c r="CV797" s="195"/>
      <c r="CW797" s="195"/>
      <c r="CX797" s="195"/>
      <c r="CY797" s="195"/>
      <c r="CZ797" s="195"/>
      <c r="DA797" s="195"/>
      <c r="DB797" s="195"/>
      <c r="DC797" s="195"/>
      <c r="DD797" s="195"/>
      <c r="DE797" s="195"/>
      <c r="DF797" s="195"/>
      <c r="DG797" s="1"/>
      <c r="DH797" s="3"/>
      <c r="DL797" s="4"/>
      <c r="DM797" s="4"/>
      <c r="DQ797" s="195"/>
      <c r="DR797" s="195"/>
      <c r="DS797" s="195"/>
      <c r="DT797" s="195"/>
      <c r="DU797" s="195"/>
      <c r="DV797" s="195"/>
      <c r="DW797" s="195"/>
      <c r="DX797" s="195"/>
      <c r="DY797" s="195"/>
      <c r="DZ797" s="195"/>
      <c r="EA797" s="195"/>
      <c r="EB797" s="195"/>
      <c r="EC797" s="195"/>
      <c r="ED797" s="195"/>
      <c r="EE797" s="195"/>
      <c r="EF797" s="195"/>
      <c r="EG797" s="195"/>
      <c r="EL797" s="1"/>
      <c r="EM797" s="195"/>
      <c r="EN797" s="240"/>
      <c r="EO797" s="240"/>
      <c r="EP797" s="195"/>
      <c r="EQ797" s="240"/>
      <c r="ER797" s="195"/>
      <c r="ES797" s="195"/>
      <c r="ET797" s="195"/>
      <c r="EU797" s="736"/>
    </row>
    <row r="798" customFormat="false" ht="12.75" hidden="false" customHeight="false" outlineLevel="0" collapsed="false">
      <c r="I798" s="735"/>
      <c r="J798" s="728"/>
      <c r="K798" s="195"/>
      <c r="L798" s="195"/>
      <c r="Q798" s="195"/>
      <c r="R798" s="195"/>
      <c r="S798" s="240"/>
      <c r="T798" s="195"/>
      <c r="U798" s="195"/>
      <c r="V798" s="195"/>
      <c r="W798" s="195"/>
      <c r="X798" s="195"/>
      <c r="Y798" s="195"/>
      <c r="Z798" s="195"/>
      <c r="AA798" s="195"/>
      <c r="AB798" s="195"/>
      <c r="AC798" s="195"/>
      <c r="AD798" s="195"/>
      <c r="AE798" s="195"/>
      <c r="AF798" s="195"/>
      <c r="AG798" s="195"/>
      <c r="AH798" s="195"/>
      <c r="AI798" s="195"/>
      <c r="AJ798" s="195"/>
      <c r="AK798" s="195"/>
      <c r="AL798" s="195"/>
      <c r="AM798" s="1"/>
      <c r="AN798" s="240"/>
      <c r="AO798" s="240"/>
      <c r="AP798" s="240"/>
      <c r="AQ798" s="240"/>
      <c r="AR798" s="240"/>
      <c r="AS798" s="730"/>
      <c r="AT798" s="730"/>
      <c r="AU798" s="730"/>
      <c r="AV798" s="738"/>
      <c r="AW798" s="738"/>
      <c r="AX798" s="240"/>
      <c r="AY798" s="240"/>
      <c r="AZ798" s="240"/>
      <c r="BA798" s="240"/>
      <c r="BB798" s="240"/>
      <c r="BC798" s="240"/>
      <c r="BD798" s="672"/>
      <c r="BE798" s="731"/>
      <c r="BF798" s="731"/>
      <c r="BG798" s="731"/>
      <c r="BH798" s="672"/>
      <c r="BI798" s="732"/>
      <c r="BJ798" s="240"/>
      <c r="BK798" s="240"/>
      <c r="BL798" s="240"/>
      <c r="BM798" s="240"/>
      <c r="BN798" s="240"/>
      <c r="BO798" s="240"/>
      <c r="BP798" s="240"/>
      <c r="BQ798" s="240"/>
      <c r="BR798" s="240"/>
      <c r="BS798" s="240"/>
      <c r="BT798" s="240"/>
      <c r="BU798" s="240"/>
      <c r="BV798" s="240"/>
      <c r="BW798" s="672"/>
      <c r="BX798" s="672"/>
      <c r="BY798" s="672"/>
      <c r="BZ798" s="672"/>
      <c r="CA798" s="672"/>
      <c r="CB798" s="672"/>
      <c r="CC798" s="672"/>
      <c r="CD798" s="672"/>
      <c r="CE798" s="672"/>
      <c r="CF798" s="672"/>
      <c r="CG798" s="240"/>
      <c r="CH798" s="240"/>
      <c r="CI798" s="240"/>
      <c r="CJ798" s="240"/>
      <c r="CK798" s="240"/>
      <c r="CL798" s="728"/>
      <c r="CM798" s="728"/>
      <c r="CN798" s="195"/>
      <c r="CO798" s="195"/>
      <c r="CP798" s="195"/>
      <c r="CQ798" s="195"/>
      <c r="CR798" s="195"/>
      <c r="CS798" s="195"/>
      <c r="CT798" s="195"/>
      <c r="CU798" s="195"/>
      <c r="CV798" s="195"/>
      <c r="CW798" s="195"/>
      <c r="CX798" s="195"/>
      <c r="CY798" s="195"/>
      <c r="CZ798" s="195"/>
      <c r="DA798" s="195"/>
      <c r="DB798" s="195"/>
      <c r="DC798" s="195"/>
      <c r="DD798" s="195"/>
      <c r="DE798" s="195"/>
      <c r="DF798" s="195"/>
      <c r="DG798" s="1"/>
      <c r="DH798" s="3"/>
      <c r="DL798" s="4"/>
      <c r="DM798" s="4"/>
      <c r="DQ798" s="195"/>
      <c r="DR798" s="195"/>
      <c r="DS798" s="195"/>
      <c r="DT798" s="195"/>
      <c r="DU798" s="195"/>
      <c r="DV798" s="195"/>
      <c r="DW798" s="195"/>
      <c r="DX798" s="195"/>
      <c r="DY798" s="195"/>
      <c r="DZ798" s="195"/>
      <c r="EA798" s="195"/>
      <c r="EB798" s="195"/>
      <c r="EC798" s="195"/>
      <c r="ED798" s="195"/>
      <c r="EE798" s="195"/>
      <c r="EF798" s="195"/>
      <c r="EG798" s="195"/>
      <c r="EL798" s="1"/>
      <c r="EM798" s="195"/>
      <c r="EN798" s="240"/>
      <c r="EO798" s="240"/>
      <c r="EP798" s="195"/>
      <c r="EQ798" s="240"/>
      <c r="ER798" s="195"/>
      <c r="ES798" s="195"/>
      <c r="ET798" s="195"/>
      <c r="EU798" s="736"/>
    </row>
    <row r="799" customFormat="false" ht="12.75" hidden="false" customHeight="false" outlineLevel="0" collapsed="false">
      <c r="I799" s="735"/>
      <c r="J799" s="728"/>
      <c r="K799" s="195"/>
      <c r="L799" s="195"/>
      <c r="Q799" s="195"/>
      <c r="R799" s="195"/>
      <c r="S799" s="240"/>
      <c r="T799" s="195"/>
      <c r="U799" s="195"/>
      <c r="V799" s="195"/>
      <c r="W799" s="195"/>
      <c r="X799" s="195"/>
      <c r="Y799" s="195"/>
      <c r="Z799" s="195"/>
      <c r="AA799" s="195"/>
      <c r="AB799" s="195"/>
      <c r="AC799" s="195"/>
      <c r="AD799" s="195"/>
      <c r="AE799" s="195"/>
      <c r="AF799" s="195"/>
      <c r="AG799" s="195"/>
      <c r="AH799" s="195"/>
      <c r="AI799" s="195"/>
      <c r="AJ799" s="195"/>
      <c r="AK799" s="195"/>
      <c r="AL799" s="195"/>
      <c r="AM799" s="1"/>
      <c r="AN799" s="240"/>
      <c r="AO799" s="240"/>
      <c r="AP799" s="240"/>
      <c r="AQ799" s="240"/>
      <c r="AR799" s="240"/>
      <c r="AS799" s="730"/>
      <c r="AT799" s="730"/>
      <c r="AU799" s="730"/>
      <c r="AV799" s="738"/>
      <c r="AW799" s="738"/>
      <c r="AX799" s="240"/>
      <c r="AY799" s="240"/>
      <c r="AZ799" s="240"/>
      <c r="BA799" s="240"/>
      <c r="BB799" s="240"/>
      <c r="BC799" s="240"/>
      <c r="BD799" s="672"/>
      <c r="BE799" s="731"/>
      <c r="BF799" s="731"/>
      <c r="BG799" s="731"/>
      <c r="BH799" s="672"/>
      <c r="BI799" s="732"/>
      <c r="BJ799" s="240"/>
      <c r="BK799" s="240"/>
      <c r="BL799" s="240"/>
      <c r="BM799" s="240"/>
      <c r="BN799" s="240"/>
      <c r="BO799" s="240"/>
      <c r="BP799" s="240"/>
      <c r="BQ799" s="240"/>
      <c r="BR799" s="240"/>
      <c r="BS799" s="240"/>
      <c r="BT799" s="240"/>
      <c r="BU799" s="240"/>
      <c r="BV799" s="240"/>
      <c r="BW799" s="672"/>
      <c r="BX799" s="672"/>
      <c r="BY799" s="672"/>
      <c r="BZ799" s="672"/>
      <c r="CA799" s="672"/>
      <c r="CB799" s="672"/>
      <c r="CC799" s="672"/>
      <c r="CD799" s="672"/>
      <c r="CE799" s="672"/>
      <c r="CF799" s="672"/>
      <c r="CG799" s="240"/>
      <c r="CH799" s="240"/>
      <c r="CI799" s="240"/>
      <c r="CJ799" s="240"/>
      <c r="CK799" s="240"/>
      <c r="CL799" s="728"/>
      <c r="CM799" s="728"/>
      <c r="CN799" s="195"/>
      <c r="CO799" s="195"/>
      <c r="CP799" s="195"/>
      <c r="CQ799" s="195"/>
      <c r="CR799" s="195"/>
      <c r="CS799" s="195"/>
      <c r="CT799" s="195"/>
      <c r="CU799" s="195"/>
      <c r="CV799" s="195"/>
      <c r="CW799" s="195"/>
      <c r="CX799" s="195"/>
      <c r="CY799" s="195"/>
      <c r="CZ799" s="195"/>
      <c r="DA799" s="195"/>
      <c r="DB799" s="195"/>
      <c r="DC799" s="195"/>
      <c r="DD799" s="195"/>
      <c r="DE799" s="195"/>
      <c r="DF799" s="195"/>
      <c r="DG799" s="1"/>
      <c r="DH799" s="3"/>
      <c r="DL799" s="4"/>
      <c r="DM799" s="4"/>
      <c r="DQ799" s="195"/>
      <c r="DR799" s="195"/>
      <c r="DS799" s="195"/>
      <c r="DT799" s="195"/>
      <c r="DU799" s="195"/>
      <c r="DV799" s="195"/>
      <c r="DW799" s="195"/>
      <c r="DX799" s="195"/>
      <c r="DY799" s="195"/>
      <c r="DZ799" s="195"/>
      <c r="EA799" s="195"/>
      <c r="EB799" s="195"/>
      <c r="EC799" s="195"/>
      <c r="ED799" s="195"/>
      <c r="EE799" s="195"/>
      <c r="EF799" s="195"/>
      <c r="EG799" s="195"/>
      <c r="EL799" s="1"/>
      <c r="EM799" s="195"/>
      <c r="EN799" s="240"/>
      <c r="EO799" s="240"/>
      <c r="EP799" s="195"/>
      <c r="EQ799" s="240"/>
      <c r="ER799" s="195"/>
      <c r="ES799" s="195"/>
      <c r="ET799" s="195"/>
      <c r="EU799" s="736"/>
    </row>
    <row r="800" customFormat="false" ht="12.75" hidden="false" customHeight="false" outlineLevel="0" collapsed="false">
      <c r="I800" s="735"/>
      <c r="J800" s="728"/>
      <c r="K800" s="195"/>
      <c r="L800" s="195"/>
      <c r="Q800" s="195"/>
      <c r="R800" s="195"/>
      <c r="S800" s="240"/>
      <c r="T800" s="195"/>
      <c r="U800" s="195"/>
      <c r="V800" s="195"/>
      <c r="W800" s="195"/>
      <c r="X800" s="195"/>
      <c r="Y800" s="195"/>
      <c r="Z800" s="195"/>
      <c r="AA800" s="195"/>
      <c r="AB800" s="195"/>
      <c r="AC800" s="195"/>
      <c r="AD800" s="195"/>
      <c r="AE800" s="195"/>
      <c r="AF800" s="195"/>
      <c r="AG800" s="195"/>
      <c r="AH800" s="195"/>
      <c r="AI800" s="195"/>
      <c r="AJ800" s="195"/>
      <c r="AK800" s="195"/>
      <c r="AL800" s="195"/>
      <c r="AM800" s="1"/>
      <c r="AN800" s="240"/>
      <c r="AO800" s="240"/>
      <c r="AP800" s="240"/>
      <c r="AQ800" s="240"/>
      <c r="AR800" s="240"/>
      <c r="AS800" s="730"/>
      <c r="AT800" s="730"/>
      <c r="AU800" s="730"/>
      <c r="AV800" s="738"/>
      <c r="AW800" s="738"/>
      <c r="AX800" s="240"/>
      <c r="AY800" s="240"/>
      <c r="AZ800" s="240"/>
      <c r="BA800" s="240"/>
      <c r="BB800" s="240"/>
      <c r="BC800" s="240"/>
      <c r="BD800" s="672"/>
      <c r="BE800" s="731"/>
      <c r="BF800" s="731"/>
      <c r="BG800" s="731"/>
      <c r="BH800" s="672"/>
      <c r="BI800" s="732"/>
      <c r="BJ800" s="240"/>
      <c r="BK800" s="240"/>
      <c r="BL800" s="240"/>
      <c r="BM800" s="240"/>
      <c r="BN800" s="240"/>
      <c r="BO800" s="240"/>
      <c r="BP800" s="240"/>
      <c r="BQ800" s="240"/>
      <c r="BR800" s="240"/>
      <c r="BS800" s="240"/>
      <c r="BT800" s="240"/>
      <c r="BU800" s="240"/>
      <c r="BV800" s="240"/>
      <c r="BW800" s="672"/>
      <c r="BX800" s="672"/>
      <c r="BY800" s="672"/>
      <c r="BZ800" s="672"/>
      <c r="CA800" s="672"/>
      <c r="CB800" s="672"/>
      <c r="CC800" s="672"/>
      <c r="CD800" s="672"/>
      <c r="CE800" s="672"/>
      <c r="CF800" s="672"/>
      <c r="CG800" s="240"/>
      <c r="CH800" s="240"/>
      <c r="CI800" s="240"/>
      <c r="CJ800" s="240"/>
      <c r="CK800" s="240"/>
      <c r="CL800" s="728"/>
      <c r="CM800" s="728"/>
      <c r="CN800" s="195"/>
      <c r="CO800" s="195"/>
      <c r="CP800" s="195"/>
      <c r="CQ800" s="195"/>
      <c r="CR800" s="195"/>
      <c r="CS800" s="195"/>
      <c r="CT800" s="195"/>
      <c r="CU800" s="195"/>
      <c r="CV800" s="195"/>
      <c r="CW800" s="195"/>
      <c r="CX800" s="195"/>
      <c r="CY800" s="195"/>
      <c r="CZ800" s="195"/>
      <c r="DA800" s="195"/>
      <c r="DB800" s="195"/>
      <c r="DC800" s="195"/>
      <c r="DD800" s="195"/>
      <c r="DE800" s="195"/>
      <c r="DF800" s="195"/>
      <c r="DG800" s="1"/>
      <c r="DH800" s="3"/>
      <c r="DL800" s="4"/>
      <c r="DM800" s="4"/>
      <c r="DQ800" s="195"/>
      <c r="DR800" s="195"/>
      <c r="DS800" s="195"/>
      <c r="DT800" s="195"/>
      <c r="DU800" s="195"/>
      <c r="DV800" s="195"/>
      <c r="DW800" s="195"/>
      <c r="DX800" s="195"/>
      <c r="DY800" s="195"/>
      <c r="DZ800" s="195"/>
      <c r="EA800" s="195"/>
      <c r="EB800" s="195"/>
      <c r="EC800" s="195"/>
      <c r="ED800" s="195"/>
      <c r="EE800" s="195"/>
      <c r="EF800" s="195"/>
      <c r="EG800" s="195"/>
      <c r="EL800" s="1"/>
      <c r="EM800" s="195"/>
      <c r="EN800" s="240"/>
      <c r="EO800" s="240"/>
      <c r="EP800" s="195"/>
      <c r="EQ800" s="240"/>
      <c r="ER800" s="195"/>
      <c r="ES800" s="195"/>
      <c r="ET800" s="195"/>
      <c r="EU800" s="736"/>
    </row>
    <row r="801" customFormat="false" ht="12.75" hidden="false" customHeight="false" outlineLevel="0" collapsed="false">
      <c r="I801" s="735"/>
      <c r="J801" s="728"/>
      <c r="K801" s="195"/>
      <c r="L801" s="195"/>
      <c r="Q801" s="195"/>
      <c r="R801" s="195"/>
      <c r="S801" s="240"/>
      <c r="T801" s="195"/>
      <c r="U801" s="195"/>
      <c r="V801" s="195"/>
      <c r="W801" s="195"/>
      <c r="X801" s="195"/>
      <c r="Y801" s="195"/>
      <c r="Z801" s="195"/>
      <c r="AA801" s="195"/>
      <c r="AB801" s="195"/>
      <c r="AC801" s="195"/>
      <c r="AD801" s="195"/>
      <c r="AE801" s="195"/>
      <c r="AF801" s="195"/>
      <c r="AG801" s="195"/>
      <c r="AH801" s="195"/>
      <c r="AI801" s="195"/>
      <c r="AJ801" s="195"/>
      <c r="AK801" s="195"/>
      <c r="AL801" s="195"/>
      <c r="AM801" s="1"/>
      <c r="AN801" s="240"/>
      <c r="AO801" s="240"/>
      <c r="AP801" s="240"/>
      <c r="AQ801" s="730"/>
      <c r="AR801" s="730"/>
      <c r="AS801" s="730"/>
      <c r="AT801" s="738"/>
      <c r="AU801" s="738"/>
      <c r="AV801" s="240"/>
      <c r="AW801" s="240"/>
      <c r="AX801" s="240"/>
      <c r="AY801" s="240"/>
      <c r="AZ801" s="240"/>
      <c r="BA801" s="240"/>
      <c r="BB801" s="672"/>
      <c r="BC801" s="731"/>
      <c r="BD801" s="731"/>
      <c r="BE801" s="731"/>
      <c r="BF801" s="672"/>
      <c r="BG801" s="732"/>
      <c r="BH801" s="240"/>
      <c r="BI801" s="240"/>
      <c r="BJ801" s="240"/>
      <c r="BK801" s="240"/>
      <c r="BL801" s="240"/>
      <c r="BM801" s="240"/>
      <c r="BN801" s="240"/>
      <c r="BO801" s="240"/>
      <c r="BP801" s="240"/>
      <c r="BQ801" s="240"/>
      <c r="BR801" s="240"/>
      <c r="BS801" s="240"/>
      <c r="BT801" s="240"/>
      <c r="BU801" s="672"/>
      <c r="BV801" s="672"/>
      <c r="BW801" s="672"/>
      <c r="BX801" s="672"/>
      <c r="BY801" s="672"/>
      <c r="BZ801" s="672"/>
      <c r="CA801" s="672"/>
      <c r="CB801" s="672"/>
      <c r="CC801" s="672"/>
      <c r="CD801" s="672"/>
      <c r="CE801" s="240"/>
      <c r="CF801" s="240"/>
      <c r="CG801" s="240"/>
      <c r="CH801" s="240"/>
      <c r="CI801" s="240"/>
      <c r="CJ801" s="728"/>
      <c r="CK801" s="728"/>
      <c r="CL801" s="195"/>
      <c r="CM801" s="195"/>
      <c r="CN801" s="195"/>
      <c r="CO801" s="195"/>
      <c r="CP801" s="195"/>
      <c r="CQ801" s="195"/>
      <c r="CR801" s="195"/>
      <c r="CS801" s="195"/>
      <c r="CT801" s="195"/>
      <c r="CU801" s="195"/>
      <c r="CV801" s="195"/>
      <c r="CW801" s="195"/>
      <c r="CX801" s="195"/>
      <c r="CY801" s="195"/>
      <c r="CZ801" s="195"/>
      <c r="DA801" s="195"/>
      <c r="DB801" s="195"/>
      <c r="DC801" s="195"/>
      <c r="DD801" s="195"/>
      <c r="DO801" s="195"/>
      <c r="DP801" s="195"/>
      <c r="DQ801" s="195"/>
      <c r="DR801" s="195"/>
      <c r="DS801" s="195"/>
      <c r="DT801" s="195"/>
      <c r="DU801" s="195"/>
      <c r="DV801" s="195"/>
      <c r="DW801" s="195"/>
      <c r="DX801" s="195"/>
      <c r="DY801" s="195"/>
      <c r="DZ801" s="195"/>
      <c r="EA801" s="195"/>
      <c r="EB801" s="195"/>
      <c r="EC801" s="195"/>
      <c r="ED801" s="195"/>
      <c r="EE801" s="195"/>
      <c r="EK801" s="195"/>
      <c r="EL801" s="240"/>
      <c r="EM801" s="240"/>
      <c r="EN801" s="195"/>
      <c r="EO801" s="240"/>
      <c r="EP801" s="195"/>
      <c r="EQ801" s="195"/>
      <c r="ER801" s="195"/>
      <c r="ES801" s="736"/>
    </row>
    <row r="802" customFormat="false" ht="12.75" hidden="false" customHeight="false" outlineLevel="0" collapsed="false">
      <c r="I802" s="735"/>
      <c r="J802" s="728"/>
      <c r="K802" s="195"/>
      <c r="L802" s="195"/>
      <c r="Q802" s="195"/>
      <c r="R802" s="195"/>
      <c r="S802" s="240"/>
      <c r="T802" s="195"/>
      <c r="U802" s="195"/>
      <c r="V802" s="195"/>
      <c r="W802" s="195"/>
      <c r="X802" s="195"/>
      <c r="Y802" s="195"/>
      <c r="Z802" s="195"/>
      <c r="AA802" s="195"/>
      <c r="AB802" s="195"/>
      <c r="AC802" s="195"/>
      <c r="AD802" s="195"/>
      <c r="AE802" s="195"/>
      <c r="AF802" s="195"/>
      <c r="AG802" s="195"/>
      <c r="AH802" s="195"/>
      <c r="AI802" s="195"/>
      <c r="AJ802" s="195"/>
      <c r="AK802" s="195"/>
      <c r="AL802" s="195"/>
      <c r="AM802" s="1"/>
      <c r="AN802" s="240"/>
      <c r="AO802" s="240"/>
      <c r="AP802" s="240"/>
      <c r="AQ802" s="730"/>
      <c r="AR802" s="730"/>
      <c r="AS802" s="730"/>
      <c r="AT802" s="738"/>
      <c r="AU802" s="738"/>
      <c r="AV802" s="240"/>
      <c r="AW802" s="240"/>
      <c r="AX802" s="240"/>
      <c r="AY802" s="240"/>
      <c r="AZ802" s="240"/>
      <c r="BA802" s="240"/>
      <c r="BB802" s="672"/>
      <c r="BC802" s="731"/>
      <c r="BD802" s="731"/>
      <c r="BE802" s="731"/>
      <c r="BF802" s="672"/>
      <c r="BG802" s="732"/>
      <c r="BH802" s="240"/>
      <c r="BI802" s="240"/>
      <c r="BJ802" s="240"/>
      <c r="BK802" s="240"/>
      <c r="BL802" s="240"/>
      <c r="BM802" s="240"/>
      <c r="BN802" s="240"/>
      <c r="BO802" s="240"/>
      <c r="BP802" s="240"/>
      <c r="BQ802" s="240"/>
      <c r="BR802" s="240"/>
      <c r="BS802" s="240"/>
      <c r="BT802" s="240"/>
      <c r="BU802" s="672"/>
      <c r="BV802" s="672"/>
      <c r="BW802" s="672"/>
      <c r="BX802" s="672"/>
      <c r="BY802" s="672"/>
      <c r="BZ802" s="672"/>
      <c r="CA802" s="672"/>
      <c r="CB802" s="672"/>
      <c r="CC802" s="672"/>
      <c r="CD802" s="672"/>
      <c r="CE802" s="240"/>
      <c r="CF802" s="240"/>
      <c r="CG802" s="240"/>
      <c r="CH802" s="240"/>
      <c r="CI802" s="240"/>
      <c r="CJ802" s="728"/>
      <c r="CK802" s="728"/>
      <c r="CL802" s="195"/>
      <c r="CM802" s="195"/>
      <c r="CN802" s="195"/>
      <c r="CO802" s="195"/>
      <c r="CP802" s="195"/>
      <c r="CQ802" s="195"/>
      <c r="CR802" s="195"/>
      <c r="CS802" s="195"/>
      <c r="CT802" s="195"/>
      <c r="CU802" s="195"/>
      <c r="CV802" s="195"/>
      <c r="CW802" s="195"/>
      <c r="CX802" s="195"/>
      <c r="CY802" s="195"/>
      <c r="CZ802" s="195"/>
      <c r="DA802" s="195"/>
      <c r="DB802" s="195"/>
      <c r="DC802" s="195"/>
      <c r="DD802" s="195"/>
      <c r="DO802" s="195"/>
      <c r="DP802" s="195"/>
      <c r="DQ802" s="195"/>
      <c r="DR802" s="195"/>
      <c r="DS802" s="195"/>
      <c r="DT802" s="195"/>
      <c r="DU802" s="195"/>
      <c r="DV802" s="195"/>
      <c r="DW802" s="195"/>
      <c r="DX802" s="195"/>
      <c r="DY802" s="195"/>
      <c r="DZ802" s="195"/>
      <c r="EA802" s="195"/>
      <c r="EB802" s="195"/>
      <c r="EC802" s="195"/>
      <c r="ED802" s="195"/>
      <c r="EE802" s="195"/>
      <c r="EK802" s="195"/>
      <c r="EL802" s="240"/>
      <c r="EM802" s="240"/>
      <c r="EN802" s="195"/>
      <c r="EO802" s="240"/>
      <c r="EP802" s="195"/>
      <c r="EQ802" s="195"/>
      <c r="ER802" s="195"/>
      <c r="ES802" s="736"/>
    </row>
    <row r="803" customFormat="false" ht="12.75" hidden="false" customHeight="false" outlineLevel="0" collapsed="false">
      <c r="I803" s="735"/>
      <c r="J803" s="728"/>
      <c r="K803" s="195"/>
      <c r="L803" s="195"/>
      <c r="Q803" s="195"/>
      <c r="R803" s="195"/>
      <c r="S803" s="240"/>
      <c r="T803" s="195"/>
      <c r="U803" s="195"/>
      <c r="V803" s="195"/>
      <c r="W803" s="195"/>
      <c r="X803" s="195"/>
      <c r="Y803" s="195"/>
      <c r="Z803" s="195"/>
      <c r="AA803" s="195"/>
      <c r="AB803" s="195"/>
      <c r="AC803" s="195"/>
      <c r="AD803" s="195"/>
      <c r="AE803" s="195"/>
      <c r="AF803" s="195"/>
      <c r="AG803" s="195"/>
      <c r="AH803" s="195"/>
      <c r="AI803" s="195"/>
      <c r="AJ803" s="195"/>
      <c r="AK803" s="195"/>
      <c r="AL803" s="195"/>
      <c r="AM803" s="1"/>
      <c r="AN803" s="240"/>
      <c r="AO803" s="240"/>
      <c r="AP803" s="240"/>
      <c r="AQ803" s="730"/>
      <c r="AR803" s="730"/>
      <c r="AS803" s="730"/>
      <c r="AT803" s="738"/>
      <c r="AU803" s="738"/>
      <c r="AV803" s="240"/>
      <c r="AW803" s="240"/>
      <c r="AX803" s="240"/>
      <c r="AY803" s="240"/>
      <c r="AZ803" s="240"/>
      <c r="BA803" s="240"/>
      <c r="BB803" s="672"/>
      <c r="BC803" s="731"/>
      <c r="BD803" s="731"/>
      <c r="BE803" s="731"/>
      <c r="BF803" s="672"/>
      <c r="BG803" s="732"/>
      <c r="BH803" s="240"/>
      <c r="BI803" s="240"/>
      <c r="BJ803" s="240"/>
      <c r="BK803" s="240"/>
      <c r="BL803" s="240"/>
      <c r="BM803" s="240"/>
      <c r="BN803" s="240"/>
      <c r="BO803" s="240"/>
      <c r="BP803" s="240"/>
      <c r="BQ803" s="240"/>
      <c r="BR803" s="240"/>
      <c r="BS803" s="240"/>
      <c r="BT803" s="240"/>
      <c r="BU803" s="672"/>
      <c r="BV803" s="672"/>
      <c r="BW803" s="672"/>
      <c r="BX803" s="672"/>
      <c r="BY803" s="672"/>
      <c r="BZ803" s="672"/>
      <c r="CA803" s="672"/>
      <c r="CB803" s="672"/>
      <c r="CC803" s="672"/>
      <c r="CD803" s="672"/>
      <c r="CE803" s="240"/>
      <c r="CF803" s="240"/>
      <c r="CG803" s="240"/>
      <c r="CH803" s="240"/>
      <c r="CI803" s="240"/>
      <c r="CJ803" s="728"/>
      <c r="CK803" s="728"/>
      <c r="CL803" s="195"/>
      <c r="CM803" s="195"/>
      <c r="CN803" s="195"/>
      <c r="CO803" s="195"/>
      <c r="CP803" s="195"/>
      <c r="CQ803" s="195"/>
      <c r="CR803" s="195"/>
      <c r="CS803" s="195"/>
      <c r="CT803" s="195"/>
      <c r="CU803" s="195"/>
      <c r="CV803" s="195"/>
      <c r="CW803" s="195"/>
      <c r="CX803" s="195"/>
      <c r="CY803" s="195"/>
      <c r="CZ803" s="195"/>
      <c r="DA803" s="195"/>
      <c r="DB803" s="195"/>
      <c r="DC803" s="195"/>
      <c r="DD803" s="195"/>
      <c r="DO803" s="195"/>
      <c r="DP803" s="195"/>
      <c r="DQ803" s="195"/>
      <c r="DR803" s="195"/>
      <c r="DS803" s="195"/>
      <c r="DT803" s="195"/>
      <c r="DU803" s="195"/>
      <c r="DV803" s="195"/>
      <c r="DW803" s="195"/>
      <c r="DX803" s="195"/>
      <c r="DY803" s="195"/>
      <c r="DZ803" s="195"/>
      <c r="EA803" s="195"/>
      <c r="EB803" s="195"/>
      <c r="EC803" s="195"/>
      <c r="ED803" s="195"/>
      <c r="EE803" s="195"/>
      <c r="EK803" s="195"/>
      <c r="EL803" s="240"/>
      <c r="EM803" s="240"/>
      <c r="EN803" s="195"/>
      <c r="EO803" s="240"/>
      <c r="EP803" s="195"/>
      <c r="EQ803" s="195"/>
      <c r="ER803" s="195"/>
      <c r="ES803" s="736"/>
    </row>
    <row r="804" customFormat="false" ht="12.75" hidden="false" customHeight="false" outlineLevel="0" collapsed="false">
      <c r="I804" s="735"/>
      <c r="J804" s="728"/>
      <c r="K804" s="195"/>
      <c r="L804" s="195"/>
      <c r="Q804" s="195"/>
      <c r="R804" s="195"/>
      <c r="S804" s="240"/>
      <c r="T804" s="195"/>
      <c r="U804" s="195"/>
      <c r="V804" s="195"/>
      <c r="W804" s="195"/>
      <c r="X804" s="195"/>
      <c r="Y804" s="195"/>
      <c r="Z804" s="195"/>
      <c r="AA804" s="195"/>
      <c r="AB804" s="195"/>
      <c r="AC804" s="195"/>
      <c r="AD804" s="195"/>
      <c r="AE804" s="195"/>
      <c r="AF804" s="195"/>
      <c r="AG804" s="195"/>
      <c r="AH804" s="195"/>
      <c r="AI804" s="195"/>
      <c r="AJ804" s="195"/>
      <c r="AK804" s="195"/>
      <c r="AL804" s="195"/>
      <c r="AM804" s="1"/>
      <c r="AN804" s="240"/>
      <c r="AO804" s="240"/>
      <c r="AP804" s="240"/>
      <c r="AQ804" s="730"/>
      <c r="AR804" s="730"/>
      <c r="AS804" s="730"/>
      <c r="AT804" s="738"/>
      <c r="AU804" s="738"/>
      <c r="AV804" s="240"/>
      <c r="AW804" s="240"/>
      <c r="AX804" s="240"/>
      <c r="AY804" s="240"/>
      <c r="AZ804" s="240"/>
      <c r="BA804" s="240"/>
      <c r="BB804" s="672"/>
      <c r="BC804" s="731"/>
      <c r="BD804" s="731"/>
      <c r="BE804" s="731"/>
      <c r="BF804" s="672"/>
      <c r="BG804" s="732"/>
      <c r="BH804" s="240"/>
      <c r="BI804" s="240"/>
      <c r="BJ804" s="240"/>
      <c r="BK804" s="240"/>
      <c r="BL804" s="240"/>
      <c r="BM804" s="240"/>
      <c r="BN804" s="240"/>
      <c r="BO804" s="240"/>
      <c r="BP804" s="240"/>
      <c r="BQ804" s="240"/>
      <c r="BR804" s="240"/>
      <c r="BS804" s="240"/>
      <c r="BT804" s="240"/>
      <c r="BU804" s="672"/>
      <c r="BV804" s="672"/>
      <c r="BW804" s="672"/>
      <c r="BX804" s="672"/>
      <c r="BY804" s="672"/>
      <c r="BZ804" s="672"/>
      <c r="CA804" s="672"/>
      <c r="CB804" s="672"/>
      <c r="CC804" s="672"/>
      <c r="CD804" s="672"/>
      <c r="CE804" s="240"/>
      <c r="CF804" s="240"/>
      <c r="CG804" s="240"/>
      <c r="CH804" s="240"/>
      <c r="CI804" s="240"/>
      <c r="CJ804" s="728"/>
      <c r="CK804" s="728"/>
      <c r="CL804" s="195"/>
      <c r="CM804" s="195"/>
      <c r="CN804" s="195"/>
      <c r="CO804" s="195"/>
      <c r="CP804" s="195"/>
      <c r="CQ804" s="195"/>
      <c r="CR804" s="195"/>
      <c r="CS804" s="195"/>
      <c r="CT804" s="195"/>
      <c r="CU804" s="195"/>
      <c r="CV804" s="195"/>
      <c r="CW804" s="195"/>
      <c r="CX804" s="195"/>
      <c r="CY804" s="195"/>
      <c r="CZ804" s="195"/>
      <c r="DA804" s="195"/>
      <c r="DB804" s="195"/>
      <c r="DC804" s="195"/>
      <c r="DD804" s="195"/>
      <c r="DO804" s="195"/>
      <c r="DP804" s="195"/>
      <c r="DQ804" s="195"/>
      <c r="DR804" s="195"/>
      <c r="DS804" s="195"/>
      <c r="DT804" s="195"/>
      <c r="DU804" s="195"/>
      <c r="DV804" s="195"/>
      <c r="DW804" s="195"/>
      <c r="DX804" s="195"/>
      <c r="DY804" s="195"/>
      <c r="DZ804" s="195"/>
      <c r="EA804" s="195"/>
      <c r="EB804" s="195"/>
      <c r="EC804" s="195"/>
      <c r="ED804" s="195"/>
      <c r="EE804" s="195"/>
      <c r="EK804" s="195"/>
      <c r="EL804" s="240"/>
      <c r="EM804" s="240"/>
      <c r="EN804" s="195"/>
      <c r="EO804" s="240"/>
      <c r="EP804" s="195"/>
      <c r="EQ804" s="195"/>
      <c r="ER804" s="195"/>
      <c r="ES804" s="736"/>
    </row>
    <row r="805" customFormat="false" ht="12.75" hidden="false" customHeight="false" outlineLevel="0" collapsed="false">
      <c r="I805" s="735"/>
      <c r="J805" s="728"/>
      <c r="K805" s="195"/>
      <c r="L805" s="195"/>
      <c r="Q805" s="195"/>
      <c r="R805" s="195"/>
      <c r="S805" s="240"/>
      <c r="T805" s="195"/>
      <c r="U805" s="195"/>
      <c r="V805" s="195"/>
      <c r="W805" s="195"/>
      <c r="X805" s="195"/>
      <c r="Y805" s="195"/>
      <c r="Z805" s="195"/>
      <c r="AA805" s="195"/>
      <c r="AB805" s="195"/>
      <c r="AC805" s="195"/>
      <c r="AD805" s="195"/>
      <c r="AE805" s="195"/>
      <c r="AF805" s="195"/>
      <c r="AG805" s="195"/>
      <c r="AH805" s="195"/>
      <c r="AI805" s="195"/>
      <c r="AJ805" s="195"/>
      <c r="AK805" s="195"/>
      <c r="AL805" s="195"/>
      <c r="AM805" s="1"/>
      <c r="AN805" s="240"/>
      <c r="AO805" s="240"/>
      <c r="AP805" s="240"/>
      <c r="AQ805" s="730"/>
      <c r="AR805" s="730"/>
      <c r="AS805" s="730"/>
      <c r="AT805" s="738"/>
      <c r="AU805" s="738"/>
      <c r="AV805" s="240"/>
      <c r="AW805" s="240"/>
      <c r="AX805" s="240"/>
      <c r="AY805" s="240"/>
      <c r="AZ805" s="240"/>
      <c r="BA805" s="240"/>
      <c r="BB805" s="672"/>
      <c r="BC805" s="731"/>
      <c r="BD805" s="731"/>
      <c r="BE805" s="731"/>
      <c r="BF805" s="672"/>
      <c r="BG805" s="732"/>
      <c r="BH805" s="240"/>
      <c r="BI805" s="240"/>
      <c r="BJ805" s="240"/>
      <c r="BK805" s="240"/>
      <c r="BL805" s="240"/>
      <c r="BM805" s="240"/>
      <c r="BN805" s="240"/>
      <c r="BO805" s="240"/>
      <c r="BP805" s="240"/>
      <c r="BQ805" s="240"/>
      <c r="BR805" s="240"/>
      <c r="BS805" s="240"/>
      <c r="BT805" s="240"/>
      <c r="BU805" s="672"/>
      <c r="BV805" s="672"/>
      <c r="BW805" s="672"/>
      <c r="BX805" s="672"/>
      <c r="BY805" s="672"/>
      <c r="BZ805" s="672"/>
      <c r="CA805" s="672"/>
      <c r="CB805" s="672"/>
      <c r="CC805" s="672"/>
      <c r="CD805" s="672"/>
      <c r="CE805" s="240"/>
      <c r="CF805" s="240"/>
      <c r="CG805" s="240"/>
      <c r="CH805" s="240"/>
      <c r="CI805" s="240"/>
      <c r="CJ805" s="728"/>
      <c r="CK805" s="728"/>
      <c r="CL805" s="195"/>
      <c r="CM805" s="195"/>
      <c r="CN805" s="195"/>
      <c r="CO805" s="195"/>
      <c r="CP805" s="195"/>
      <c r="CQ805" s="195"/>
      <c r="CR805" s="195"/>
      <c r="CS805" s="195"/>
      <c r="CT805" s="195"/>
      <c r="CU805" s="195"/>
      <c r="CV805" s="195"/>
      <c r="CW805" s="195"/>
      <c r="CX805" s="195"/>
      <c r="CY805" s="195"/>
      <c r="CZ805" s="195"/>
      <c r="DA805" s="195"/>
      <c r="DB805" s="195"/>
      <c r="DC805" s="195"/>
      <c r="DD805" s="195"/>
      <c r="DO805" s="195"/>
      <c r="DP805" s="195"/>
      <c r="DQ805" s="195"/>
      <c r="DR805" s="195"/>
      <c r="DS805" s="195"/>
      <c r="DT805" s="195"/>
      <c r="DU805" s="195"/>
      <c r="DV805" s="195"/>
      <c r="DW805" s="195"/>
      <c r="DX805" s="195"/>
      <c r="DY805" s="195"/>
      <c r="DZ805" s="195"/>
      <c r="EA805" s="195"/>
      <c r="EB805" s="195"/>
      <c r="EC805" s="195"/>
      <c r="ED805" s="195"/>
      <c r="EE805" s="195"/>
      <c r="EK805" s="195"/>
      <c r="EL805" s="240"/>
      <c r="EM805" s="240"/>
      <c r="EN805" s="195"/>
      <c r="EO805" s="240"/>
      <c r="EP805" s="195"/>
      <c r="EQ805" s="195"/>
      <c r="ER805" s="195"/>
      <c r="ES805" s="736"/>
    </row>
    <row r="806" customFormat="false" ht="12.75" hidden="false" customHeight="false" outlineLevel="0" collapsed="false">
      <c r="I806" s="735"/>
      <c r="J806" s="728"/>
      <c r="K806" s="195"/>
      <c r="L806" s="195"/>
      <c r="Q806" s="195"/>
      <c r="R806" s="195"/>
      <c r="S806" s="240"/>
      <c r="T806" s="195"/>
      <c r="U806" s="195"/>
      <c r="V806" s="195"/>
      <c r="W806" s="195"/>
      <c r="X806" s="195"/>
      <c r="Y806" s="195"/>
      <c r="Z806" s="195"/>
      <c r="AA806" s="195"/>
      <c r="AB806" s="195"/>
      <c r="AC806" s="195"/>
      <c r="AD806" s="195"/>
      <c r="AE806" s="195"/>
      <c r="AF806" s="195"/>
      <c r="AG806" s="195"/>
      <c r="AH806" s="195"/>
      <c r="AI806" s="195"/>
      <c r="AJ806" s="195"/>
      <c r="AK806" s="195"/>
      <c r="AL806" s="195"/>
      <c r="AM806" s="1"/>
      <c r="AN806" s="240"/>
      <c r="AO806" s="240"/>
      <c r="AP806" s="240"/>
      <c r="AQ806" s="730"/>
      <c r="AR806" s="730"/>
      <c r="AS806" s="730"/>
      <c r="AT806" s="738"/>
      <c r="AU806" s="738"/>
      <c r="AV806" s="240"/>
      <c r="AW806" s="240"/>
      <c r="AX806" s="240"/>
      <c r="AY806" s="240"/>
      <c r="AZ806" s="240"/>
      <c r="BA806" s="240"/>
      <c r="BB806" s="672"/>
      <c r="BC806" s="731"/>
      <c r="BD806" s="731"/>
      <c r="BE806" s="731"/>
      <c r="BF806" s="672"/>
      <c r="BG806" s="732"/>
      <c r="BH806" s="240"/>
      <c r="BI806" s="240"/>
      <c r="BJ806" s="240"/>
      <c r="BK806" s="240"/>
      <c r="BL806" s="240"/>
      <c r="BM806" s="240"/>
      <c r="BN806" s="240"/>
      <c r="BO806" s="240"/>
      <c r="BP806" s="240"/>
      <c r="BQ806" s="240"/>
      <c r="BR806" s="240"/>
      <c r="BS806" s="240"/>
      <c r="BT806" s="240"/>
      <c r="BU806" s="672"/>
      <c r="BV806" s="672"/>
      <c r="BW806" s="672"/>
      <c r="BX806" s="672"/>
      <c r="BY806" s="672"/>
      <c r="BZ806" s="672"/>
      <c r="CA806" s="672"/>
      <c r="CB806" s="672"/>
      <c r="CC806" s="672"/>
      <c r="CD806" s="672"/>
      <c r="CE806" s="240"/>
      <c r="CF806" s="240"/>
      <c r="CG806" s="240"/>
      <c r="CH806" s="240"/>
      <c r="CI806" s="240"/>
      <c r="CJ806" s="728"/>
      <c r="CK806" s="728"/>
      <c r="CL806" s="195"/>
      <c r="CM806" s="195"/>
      <c r="CN806" s="195"/>
      <c r="CO806" s="195"/>
      <c r="CP806" s="195"/>
      <c r="CQ806" s="195"/>
      <c r="CR806" s="195"/>
      <c r="CS806" s="195"/>
      <c r="CT806" s="195"/>
      <c r="CU806" s="195"/>
      <c r="CV806" s="195"/>
      <c r="CW806" s="195"/>
      <c r="CX806" s="195"/>
      <c r="CY806" s="195"/>
      <c r="CZ806" s="195"/>
      <c r="DA806" s="195"/>
      <c r="DB806" s="195"/>
      <c r="DC806" s="195"/>
      <c r="DD806" s="195"/>
      <c r="DO806" s="195"/>
      <c r="DP806" s="195"/>
      <c r="DQ806" s="195"/>
      <c r="DR806" s="195"/>
      <c r="DS806" s="195"/>
      <c r="DT806" s="195"/>
      <c r="DU806" s="195"/>
      <c r="DV806" s="195"/>
      <c r="DW806" s="195"/>
      <c r="DX806" s="195"/>
      <c r="DY806" s="195"/>
      <c r="DZ806" s="195"/>
      <c r="EA806" s="195"/>
      <c r="EB806" s="195"/>
      <c r="EC806" s="195"/>
      <c r="ED806" s="195"/>
      <c r="EE806" s="195"/>
      <c r="EK806" s="195"/>
      <c r="EL806" s="240"/>
      <c r="EM806" s="240"/>
      <c r="EN806" s="195"/>
      <c r="EO806" s="240"/>
      <c r="EP806" s="195"/>
      <c r="EQ806" s="195"/>
      <c r="ER806" s="195"/>
      <c r="ES806" s="736"/>
    </row>
    <row r="807" customFormat="false" ht="12.75" hidden="false" customHeight="false" outlineLevel="0" collapsed="false">
      <c r="I807" s="735"/>
      <c r="J807" s="728"/>
      <c r="K807" s="195"/>
      <c r="L807" s="195"/>
      <c r="Q807" s="195"/>
      <c r="R807" s="195"/>
      <c r="S807" s="240"/>
      <c r="T807" s="195"/>
      <c r="U807" s="195"/>
      <c r="V807" s="195"/>
      <c r="W807" s="195"/>
      <c r="X807" s="195"/>
      <c r="Y807" s="195"/>
      <c r="Z807" s="195"/>
      <c r="AA807" s="195"/>
      <c r="AB807" s="195"/>
      <c r="AC807" s="195"/>
      <c r="AD807" s="195"/>
      <c r="AE807" s="195"/>
      <c r="AF807" s="195"/>
      <c r="AG807" s="195"/>
      <c r="AH807" s="195"/>
      <c r="AI807" s="195"/>
      <c r="AJ807" s="195"/>
      <c r="AK807" s="195"/>
      <c r="AL807" s="195"/>
      <c r="AM807" s="1"/>
      <c r="AN807" s="240"/>
      <c r="AO807" s="240"/>
      <c r="AP807" s="240"/>
      <c r="AQ807" s="730"/>
      <c r="AR807" s="730"/>
      <c r="AS807" s="730"/>
      <c r="AT807" s="738"/>
      <c r="AU807" s="738"/>
      <c r="AV807" s="240"/>
      <c r="AW807" s="240"/>
      <c r="AX807" s="240"/>
      <c r="AY807" s="240"/>
      <c r="AZ807" s="240"/>
      <c r="BA807" s="240"/>
      <c r="BB807" s="672"/>
      <c r="BC807" s="731"/>
      <c r="BD807" s="731"/>
      <c r="BE807" s="731"/>
      <c r="BF807" s="672"/>
      <c r="BG807" s="732"/>
      <c r="BH807" s="240"/>
      <c r="BI807" s="240"/>
      <c r="BJ807" s="240"/>
      <c r="BK807" s="240"/>
      <c r="BL807" s="240"/>
      <c r="BM807" s="240"/>
      <c r="BN807" s="240"/>
      <c r="BO807" s="240"/>
      <c r="BP807" s="240"/>
      <c r="BQ807" s="240"/>
      <c r="BR807" s="240"/>
      <c r="BS807" s="240"/>
      <c r="BT807" s="240"/>
      <c r="BU807" s="672"/>
      <c r="BV807" s="672"/>
      <c r="BW807" s="672"/>
      <c r="BX807" s="672"/>
      <c r="BY807" s="672"/>
      <c r="BZ807" s="672"/>
      <c r="CA807" s="672"/>
      <c r="CB807" s="672"/>
      <c r="CC807" s="672"/>
      <c r="CD807" s="672"/>
      <c r="CE807" s="240"/>
      <c r="CF807" s="240"/>
      <c r="CG807" s="240"/>
      <c r="CH807" s="240"/>
      <c r="CI807" s="240"/>
      <c r="CJ807" s="728"/>
      <c r="CK807" s="728"/>
      <c r="CL807" s="195"/>
      <c r="CM807" s="195"/>
      <c r="CN807" s="195"/>
      <c r="CO807" s="195"/>
      <c r="CP807" s="195"/>
      <c r="CQ807" s="195"/>
      <c r="CR807" s="195"/>
      <c r="CS807" s="195"/>
      <c r="CT807" s="195"/>
      <c r="CU807" s="195"/>
      <c r="CV807" s="195"/>
      <c r="CW807" s="195"/>
      <c r="CX807" s="195"/>
      <c r="CY807" s="195"/>
      <c r="CZ807" s="195"/>
      <c r="DA807" s="195"/>
      <c r="DB807" s="195"/>
      <c r="DC807" s="195"/>
      <c r="DD807" s="195"/>
      <c r="DO807" s="195"/>
      <c r="DP807" s="195"/>
      <c r="DQ807" s="195"/>
      <c r="DR807" s="195"/>
      <c r="DS807" s="195"/>
      <c r="DT807" s="195"/>
      <c r="DU807" s="195"/>
      <c r="DV807" s="195"/>
      <c r="DW807" s="195"/>
      <c r="DX807" s="195"/>
      <c r="DY807" s="195"/>
      <c r="DZ807" s="195"/>
      <c r="EA807" s="195"/>
      <c r="EB807" s="195"/>
      <c r="EC807" s="195"/>
      <c r="ED807" s="195"/>
      <c r="EE807" s="195"/>
      <c r="EK807" s="195"/>
      <c r="EL807" s="240"/>
      <c r="EM807" s="240"/>
      <c r="EN807" s="195"/>
      <c r="EO807" s="240"/>
      <c r="EP807" s="195"/>
      <c r="EQ807" s="195"/>
      <c r="ER807" s="195"/>
      <c r="ES807" s="736"/>
    </row>
    <row r="808" customFormat="false" ht="12.75" hidden="false" customHeight="false" outlineLevel="0" collapsed="false">
      <c r="I808" s="735"/>
      <c r="J808" s="728"/>
      <c r="K808" s="195"/>
      <c r="L808" s="195"/>
      <c r="Q808" s="195"/>
      <c r="R808" s="195"/>
      <c r="S808" s="240"/>
      <c r="T808" s="195"/>
      <c r="U808" s="195"/>
      <c r="V808" s="195"/>
      <c r="W808" s="195"/>
      <c r="X808" s="195"/>
      <c r="Y808" s="195"/>
      <c r="Z808" s="195"/>
      <c r="AA808" s="195"/>
      <c r="AB808" s="195"/>
      <c r="AC808" s="195"/>
      <c r="AD808" s="195"/>
      <c r="AE808" s="195"/>
      <c r="AF808" s="195"/>
      <c r="AG808" s="195"/>
      <c r="AH808" s="195"/>
      <c r="AI808" s="195"/>
      <c r="AJ808" s="195"/>
      <c r="AK808" s="195"/>
      <c r="AL808" s="195"/>
      <c r="AM808" s="1"/>
      <c r="AN808" s="240"/>
      <c r="AO808" s="240"/>
      <c r="AP808" s="240"/>
      <c r="AQ808" s="730"/>
      <c r="AR808" s="730"/>
      <c r="AS808" s="730"/>
      <c r="AT808" s="738"/>
      <c r="AU808" s="738"/>
      <c r="AV808" s="240"/>
      <c r="AW808" s="240"/>
      <c r="AX808" s="240"/>
      <c r="AY808" s="240"/>
      <c r="AZ808" s="240"/>
      <c r="BA808" s="240"/>
      <c r="BB808" s="672"/>
      <c r="BC808" s="731"/>
      <c r="BD808" s="731"/>
      <c r="BE808" s="731"/>
      <c r="BF808" s="672"/>
      <c r="BG808" s="732"/>
      <c r="BH808" s="240"/>
      <c r="BI808" s="240"/>
      <c r="BJ808" s="240"/>
      <c r="BK808" s="240"/>
      <c r="BL808" s="240"/>
      <c r="BM808" s="240"/>
      <c r="BN808" s="240"/>
      <c r="BO808" s="240"/>
      <c r="BP808" s="240"/>
      <c r="BQ808" s="240"/>
      <c r="BR808" s="240"/>
      <c r="BS808" s="240"/>
      <c r="BT808" s="240"/>
      <c r="BU808" s="672"/>
      <c r="BV808" s="672"/>
      <c r="BW808" s="672"/>
      <c r="BX808" s="672"/>
      <c r="BY808" s="672"/>
      <c r="BZ808" s="672"/>
      <c r="CA808" s="672"/>
      <c r="CB808" s="672"/>
      <c r="CC808" s="672"/>
      <c r="CD808" s="672"/>
      <c r="CE808" s="240"/>
      <c r="CF808" s="240"/>
      <c r="CG808" s="240"/>
      <c r="CH808" s="240"/>
      <c r="CI808" s="240"/>
      <c r="CJ808" s="728"/>
      <c r="CK808" s="728"/>
      <c r="CL808" s="195"/>
      <c r="CM808" s="195"/>
      <c r="CN808" s="195"/>
      <c r="CO808" s="195"/>
      <c r="CP808" s="195"/>
      <c r="CQ808" s="195"/>
      <c r="CR808" s="195"/>
      <c r="CS808" s="195"/>
      <c r="CT808" s="195"/>
      <c r="CU808" s="195"/>
      <c r="CV808" s="195"/>
      <c r="CW808" s="195"/>
      <c r="CX808" s="195"/>
      <c r="CY808" s="195"/>
      <c r="CZ808" s="195"/>
      <c r="DA808" s="195"/>
      <c r="DB808" s="195"/>
      <c r="DC808" s="195"/>
      <c r="DD808" s="195"/>
      <c r="DO808" s="195"/>
      <c r="DP808" s="195"/>
      <c r="DQ808" s="195"/>
      <c r="DR808" s="195"/>
      <c r="DS808" s="195"/>
      <c r="DT808" s="195"/>
      <c r="DU808" s="195"/>
      <c r="DV808" s="195"/>
      <c r="DW808" s="195"/>
      <c r="DX808" s="195"/>
      <c r="DY808" s="195"/>
      <c r="DZ808" s="195"/>
      <c r="EA808" s="195"/>
      <c r="EB808" s="195"/>
      <c r="EC808" s="195"/>
      <c r="ED808" s="195"/>
      <c r="EE808" s="195"/>
      <c r="EK808" s="195"/>
      <c r="EL808" s="240"/>
      <c r="EM808" s="240"/>
      <c r="EN808" s="195"/>
      <c r="EO808" s="240"/>
      <c r="EP808" s="195"/>
      <c r="EQ808" s="195"/>
      <c r="ER808" s="195"/>
      <c r="ES808" s="736"/>
    </row>
    <row r="809" customFormat="false" ht="12.75" hidden="false" customHeight="false" outlineLevel="0" collapsed="false">
      <c r="I809" s="735"/>
      <c r="J809" s="728"/>
      <c r="K809" s="195"/>
      <c r="L809" s="195"/>
      <c r="Q809" s="195"/>
      <c r="R809" s="195"/>
      <c r="S809" s="240"/>
      <c r="T809" s="195"/>
      <c r="U809" s="195"/>
      <c r="V809" s="195"/>
      <c r="W809" s="195"/>
      <c r="X809" s="195"/>
      <c r="Y809" s="195"/>
      <c r="Z809" s="195"/>
      <c r="AA809" s="195"/>
      <c r="AB809" s="195"/>
      <c r="AC809" s="195"/>
      <c r="AD809" s="195"/>
      <c r="AE809" s="195"/>
      <c r="AF809" s="195"/>
      <c r="AG809" s="195"/>
      <c r="AH809" s="195"/>
      <c r="AI809" s="195"/>
      <c r="AJ809" s="195"/>
      <c r="AK809" s="195"/>
      <c r="AL809" s="195"/>
      <c r="AM809" s="1"/>
      <c r="AN809" s="240"/>
      <c r="AO809" s="240"/>
      <c r="AP809" s="240"/>
      <c r="AQ809" s="730"/>
      <c r="AR809" s="730"/>
      <c r="AS809" s="730"/>
      <c r="AT809" s="738"/>
      <c r="AU809" s="738"/>
      <c r="AV809" s="240"/>
      <c r="AW809" s="240"/>
      <c r="AX809" s="240"/>
      <c r="AY809" s="240"/>
      <c r="AZ809" s="240"/>
      <c r="BA809" s="240"/>
      <c r="BB809" s="672"/>
      <c r="BC809" s="731"/>
      <c r="BD809" s="731"/>
      <c r="BE809" s="731"/>
      <c r="BF809" s="672"/>
      <c r="BG809" s="732"/>
      <c r="BH809" s="240"/>
      <c r="BI809" s="240"/>
      <c r="BJ809" s="240"/>
      <c r="BK809" s="240"/>
      <c r="BL809" s="240"/>
      <c r="BM809" s="240"/>
      <c r="BN809" s="240"/>
      <c r="BO809" s="240"/>
      <c r="BP809" s="240"/>
      <c r="BQ809" s="240"/>
      <c r="BR809" s="240"/>
      <c r="BS809" s="240"/>
      <c r="BT809" s="240"/>
      <c r="BU809" s="672"/>
      <c r="BV809" s="672"/>
      <c r="BW809" s="672"/>
      <c r="BX809" s="672"/>
      <c r="BY809" s="672"/>
      <c r="BZ809" s="672"/>
      <c r="CA809" s="672"/>
      <c r="CB809" s="672"/>
      <c r="CC809" s="672"/>
      <c r="CD809" s="672"/>
      <c r="CE809" s="240"/>
      <c r="CF809" s="240"/>
      <c r="CG809" s="240"/>
      <c r="CH809" s="240"/>
      <c r="CI809" s="240"/>
      <c r="CJ809" s="728"/>
      <c r="CK809" s="728"/>
      <c r="CL809" s="195"/>
      <c r="CM809" s="195"/>
      <c r="CN809" s="195"/>
      <c r="CO809" s="195"/>
      <c r="CP809" s="195"/>
      <c r="CQ809" s="195"/>
      <c r="CR809" s="195"/>
      <c r="CS809" s="195"/>
      <c r="CT809" s="195"/>
      <c r="CU809" s="195"/>
      <c r="CV809" s="195"/>
      <c r="CW809" s="195"/>
      <c r="CX809" s="195"/>
      <c r="CY809" s="195"/>
      <c r="CZ809" s="195"/>
      <c r="DA809" s="195"/>
      <c r="DB809" s="195"/>
      <c r="DC809" s="195"/>
      <c r="DD809" s="195"/>
      <c r="DO809" s="195"/>
      <c r="DP809" s="195"/>
      <c r="DQ809" s="195"/>
      <c r="DR809" s="195"/>
      <c r="DS809" s="195"/>
      <c r="DT809" s="195"/>
      <c r="DU809" s="195"/>
      <c r="DV809" s="195"/>
      <c r="DW809" s="195"/>
      <c r="DX809" s="195"/>
      <c r="DY809" s="195"/>
      <c r="DZ809" s="195"/>
      <c r="EA809" s="195"/>
      <c r="EB809" s="195"/>
      <c r="EC809" s="195"/>
      <c r="ED809" s="195"/>
      <c r="EE809" s="195"/>
      <c r="EK809" s="195"/>
      <c r="EL809" s="240"/>
      <c r="EM809" s="240"/>
      <c r="EN809" s="195"/>
      <c r="EO809" s="240"/>
      <c r="EP809" s="195"/>
      <c r="EQ809" s="195"/>
      <c r="ER809" s="195"/>
      <c r="ES809" s="736"/>
    </row>
    <row r="810" customFormat="false" ht="12.75" hidden="false" customHeight="false" outlineLevel="0" collapsed="false">
      <c r="I810" s="735"/>
      <c r="J810" s="728"/>
      <c r="K810" s="195"/>
      <c r="L810" s="195"/>
      <c r="Q810" s="195"/>
      <c r="R810" s="195"/>
      <c r="S810" s="240"/>
      <c r="T810" s="195"/>
      <c r="U810" s="195"/>
      <c r="V810" s="195"/>
      <c r="W810" s="195"/>
      <c r="X810" s="195"/>
      <c r="Y810" s="195"/>
      <c r="Z810" s="195"/>
      <c r="AA810" s="195"/>
      <c r="AB810" s="195"/>
      <c r="AC810" s="195"/>
      <c r="AD810" s="195"/>
      <c r="AE810" s="195"/>
      <c r="AF810" s="195"/>
      <c r="AG810" s="195"/>
      <c r="AH810" s="195"/>
      <c r="AI810" s="195"/>
      <c r="AJ810" s="195"/>
      <c r="AK810" s="195"/>
      <c r="AL810" s="195"/>
      <c r="AM810" s="1"/>
      <c r="AN810" s="240"/>
      <c r="AO810" s="240"/>
      <c r="AP810" s="240"/>
      <c r="AQ810" s="730"/>
      <c r="AR810" s="730"/>
      <c r="AS810" s="730"/>
      <c r="AT810" s="738"/>
      <c r="AU810" s="738"/>
      <c r="AV810" s="240"/>
      <c r="AW810" s="240"/>
      <c r="AX810" s="240"/>
      <c r="AY810" s="240"/>
      <c r="AZ810" s="240"/>
      <c r="BA810" s="240"/>
      <c r="BB810" s="672"/>
      <c r="BC810" s="731"/>
      <c r="BD810" s="731"/>
      <c r="BE810" s="731"/>
      <c r="BF810" s="672"/>
      <c r="BG810" s="732"/>
      <c r="BH810" s="240"/>
      <c r="BI810" s="240"/>
      <c r="BJ810" s="240"/>
      <c r="BK810" s="240"/>
      <c r="BL810" s="240"/>
      <c r="BM810" s="240"/>
      <c r="BN810" s="240"/>
      <c r="BO810" s="240"/>
      <c r="BP810" s="240"/>
      <c r="BQ810" s="240"/>
      <c r="BR810" s="240"/>
      <c r="BS810" s="240"/>
      <c r="BT810" s="240"/>
      <c r="BU810" s="672"/>
      <c r="BV810" s="672"/>
      <c r="BW810" s="672"/>
      <c r="BX810" s="672"/>
      <c r="BY810" s="672"/>
      <c r="BZ810" s="672"/>
      <c r="CA810" s="672"/>
      <c r="CB810" s="672"/>
      <c r="CC810" s="672"/>
      <c r="CD810" s="672"/>
      <c r="CE810" s="240"/>
      <c r="CF810" s="240"/>
      <c r="CG810" s="240"/>
      <c r="CH810" s="240"/>
      <c r="CI810" s="240"/>
      <c r="CJ810" s="728"/>
      <c r="CK810" s="728"/>
      <c r="CL810" s="195"/>
      <c r="CM810" s="195"/>
      <c r="CN810" s="195"/>
      <c r="CO810" s="195"/>
      <c r="CP810" s="195"/>
      <c r="CQ810" s="195"/>
      <c r="CR810" s="195"/>
      <c r="CS810" s="195"/>
      <c r="CT810" s="195"/>
      <c r="CU810" s="195"/>
      <c r="CV810" s="195"/>
      <c r="CW810" s="195"/>
      <c r="CX810" s="195"/>
      <c r="CY810" s="195"/>
      <c r="CZ810" s="195"/>
      <c r="DA810" s="195"/>
      <c r="DB810" s="195"/>
      <c r="DC810" s="195"/>
      <c r="DD810" s="195"/>
      <c r="DO810" s="195"/>
      <c r="DP810" s="195"/>
      <c r="DQ810" s="195"/>
      <c r="DR810" s="195"/>
      <c r="DS810" s="195"/>
      <c r="DT810" s="195"/>
      <c r="DU810" s="195"/>
      <c r="DV810" s="195"/>
      <c r="DW810" s="195"/>
      <c r="DX810" s="195"/>
      <c r="DY810" s="195"/>
      <c r="DZ810" s="195"/>
      <c r="EA810" s="195"/>
      <c r="EB810" s="195"/>
      <c r="EC810" s="195"/>
      <c r="ED810" s="195"/>
      <c r="EE810" s="195"/>
      <c r="EK810" s="195"/>
      <c r="EL810" s="240"/>
      <c r="EM810" s="240"/>
      <c r="EN810" s="195"/>
      <c r="EO810" s="240"/>
      <c r="EP810" s="195"/>
      <c r="EQ810" s="195"/>
      <c r="ER810" s="195"/>
      <c r="ES810" s="736"/>
    </row>
    <row r="811" customFormat="false" ht="12.75" hidden="false" customHeight="false" outlineLevel="0" collapsed="false">
      <c r="I811" s="735"/>
      <c r="J811" s="728"/>
      <c r="K811" s="195"/>
      <c r="L811" s="195"/>
      <c r="Q811" s="195"/>
      <c r="R811" s="195"/>
      <c r="S811" s="240"/>
      <c r="T811" s="195"/>
      <c r="U811" s="195"/>
      <c r="V811" s="195"/>
      <c r="W811" s="195"/>
      <c r="X811" s="195"/>
      <c r="Y811" s="195"/>
      <c r="Z811" s="195"/>
      <c r="AA811" s="195"/>
      <c r="AB811" s="195"/>
      <c r="AC811" s="195"/>
      <c r="AD811" s="195"/>
      <c r="AE811" s="195"/>
      <c r="AF811" s="195"/>
      <c r="AG811" s="195"/>
      <c r="AH811" s="195"/>
      <c r="AI811" s="195"/>
      <c r="AJ811" s="195"/>
      <c r="AK811" s="195"/>
      <c r="AL811" s="195"/>
      <c r="AM811" s="1"/>
      <c r="AN811" s="240"/>
      <c r="AO811" s="240"/>
      <c r="AP811" s="240"/>
      <c r="AQ811" s="730"/>
      <c r="AR811" s="730"/>
      <c r="AS811" s="730"/>
      <c r="AT811" s="738"/>
      <c r="AU811" s="738"/>
      <c r="AV811" s="240"/>
      <c r="AW811" s="240"/>
      <c r="AX811" s="240"/>
      <c r="AY811" s="240"/>
      <c r="AZ811" s="240"/>
      <c r="BA811" s="240"/>
      <c r="BB811" s="672"/>
      <c r="BC811" s="731"/>
      <c r="BD811" s="731"/>
      <c r="BE811" s="731"/>
      <c r="BF811" s="672"/>
      <c r="BG811" s="732"/>
      <c r="BH811" s="240"/>
      <c r="BI811" s="240"/>
      <c r="BJ811" s="240"/>
      <c r="BK811" s="240"/>
      <c r="BL811" s="240"/>
      <c r="BM811" s="240"/>
      <c r="BN811" s="240"/>
      <c r="BO811" s="240"/>
      <c r="BP811" s="240"/>
      <c r="BQ811" s="240"/>
      <c r="BR811" s="240"/>
      <c r="BS811" s="240"/>
      <c r="BT811" s="240"/>
      <c r="BU811" s="672"/>
      <c r="BV811" s="672"/>
      <c r="BW811" s="672"/>
      <c r="BX811" s="672"/>
      <c r="BY811" s="672"/>
      <c r="BZ811" s="672"/>
      <c r="CA811" s="672"/>
      <c r="CB811" s="672"/>
      <c r="CC811" s="672"/>
      <c r="CD811" s="672"/>
      <c r="CE811" s="240"/>
      <c r="CF811" s="240"/>
      <c r="CG811" s="240"/>
      <c r="CH811" s="240"/>
      <c r="CI811" s="240"/>
      <c r="CJ811" s="728"/>
      <c r="CK811" s="728"/>
      <c r="CL811" s="195"/>
      <c r="CM811" s="195"/>
      <c r="CN811" s="195"/>
      <c r="CO811" s="195"/>
      <c r="CP811" s="195"/>
      <c r="CQ811" s="195"/>
      <c r="CR811" s="195"/>
      <c r="CS811" s="195"/>
      <c r="CT811" s="195"/>
      <c r="CU811" s="195"/>
      <c r="CV811" s="195"/>
      <c r="CW811" s="195"/>
      <c r="CX811" s="195"/>
      <c r="CY811" s="195"/>
      <c r="CZ811" s="195"/>
      <c r="DA811" s="195"/>
      <c r="DB811" s="195"/>
      <c r="DC811" s="195"/>
      <c r="DD811" s="195"/>
      <c r="DO811" s="195"/>
      <c r="DP811" s="195"/>
      <c r="DQ811" s="195"/>
      <c r="DR811" s="195"/>
      <c r="DS811" s="195"/>
      <c r="DT811" s="195"/>
      <c r="DU811" s="195"/>
      <c r="DV811" s="195"/>
      <c r="DW811" s="195"/>
      <c r="DX811" s="195"/>
      <c r="DY811" s="195"/>
      <c r="DZ811" s="195"/>
      <c r="EA811" s="195"/>
      <c r="EB811" s="195"/>
      <c r="EC811" s="195"/>
      <c r="ED811" s="195"/>
      <c r="EE811" s="195"/>
      <c r="EK811" s="195"/>
      <c r="EL811" s="240"/>
      <c r="EM811" s="240"/>
      <c r="EN811" s="195"/>
      <c r="EO811" s="240"/>
      <c r="EP811" s="195"/>
      <c r="EQ811" s="195"/>
      <c r="ER811" s="195"/>
      <c r="ES811" s="736"/>
    </row>
    <row r="812" customFormat="false" ht="12.75" hidden="false" customHeight="false" outlineLevel="0" collapsed="false">
      <c r="I812" s="735"/>
      <c r="J812" s="728"/>
      <c r="K812" s="195"/>
      <c r="L812" s="195"/>
      <c r="Q812" s="195"/>
      <c r="R812" s="195"/>
      <c r="S812" s="240"/>
      <c r="T812" s="195"/>
      <c r="U812" s="195"/>
      <c r="V812" s="195"/>
      <c r="W812" s="195"/>
      <c r="X812" s="195"/>
      <c r="Y812" s="195"/>
      <c r="Z812" s="195"/>
      <c r="AA812" s="195"/>
      <c r="AB812" s="195"/>
      <c r="AC812" s="195"/>
      <c r="AD812" s="195"/>
      <c r="AE812" s="195"/>
      <c r="AF812" s="195"/>
      <c r="AG812" s="195"/>
      <c r="AH812" s="195"/>
      <c r="AI812" s="195"/>
      <c r="AJ812" s="195"/>
      <c r="AK812" s="195"/>
      <c r="AL812" s="195"/>
      <c r="AM812" s="1"/>
      <c r="AN812" s="240"/>
      <c r="AO812" s="240"/>
      <c r="AP812" s="240"/>
      <c r="AQ812" s="730"/>
      <c r="AR812" s="730"/>
      <c r="AS812" s="730"/>
      <c r="AT812" s="738"/>
      <c r="AU812" s="738"/>
      <c r="AV812" s="240"/>
      <c r="AW812" s="240"/>
      <c r="AX812" s="240"/>
      <c r="AY812" s="240"/>
      <c r="AZ812" s="240"/>
      <c r="BA812" s="240"/>
      <c r="BB812" s="672"/>
      <c r="BC812" s="731"/>
      <c r="BD812" s="731"/>
      <c r="BE812" s="731"/>
      <c r="BF812" s="672"/>
      <c r="BG812" s="732"/>
      <c r="BH812" s="240"/>
      <c r="BI812" s="240"/>
      <c r="BJ812" s="240"/>
      <c r="BK812" s="240"/>
      <c r="BL812" s="240"/>
      <c r="BM812" s="240"/>
      <c r="BN812" s="240"/>
      <c r="BO812" s="240"/>
      <c r="BP812" s="240"/>
      <c r="BQ812" s="240"/>
      <c r="BR812" s="240"/>
      <c r="BS812" s="240"/>
      <c r="BT812" s="240"/>
      <c r="BU812" s="672"/>
      <c r="BV812" s="672"/>
      <c r="BW812" s="672"/>
      <c r="BX812" s="672"/>
      <c r="BY812" s="672"/>
      <c r="BZ812" s="672"/>
      <c r="CA812" s="672"/>
      <c r="CB812" s="672"/>
      <c r="CC812" s="672"/>
      <c r="CD812" s="672"/>
      <c r="CE812" s="240"/>
      <c r="CF812" s="240"/>
      <c r="CG812" s="240"/>
      <c r="CH812" s="240"/>
      <c r="CI812" s="240"/>
      <c r="CJ812" s="728"/>
      <c r="CK812" s="728"/>
      <c r="CL812" s="195"/>
      <c r="CM812" s="195"/>
      <c r="CN812" s="195"/>
      <c r="CO812" s="195"/>
      <c r="CP812" s="195"/>
      <c r="CQ812" s="195"/>
      <c r="CR812" s="195"/>
      <c r="CS812" s="195"/>
      <c r="CT812" s="195"/>
      <c r="CU812" s="195"/>
      <c r="CV812" s="195"/>
      <c r="CW812" s="195"/>
      <c r="CX812" s="195"/>
      <c r="CY812" s="195"/>
      <c r="CZ812" s="195"/>
      <c r="DA812" s="195"/>
      <c r="DB812" s="195"/>
      <c r="DC812" s="195"/>
      <c r="DD812" s="195"/>
      <c r="DO812" s="195"/>
      <c r="DP812" s="195"/>
      <c r="DQ812" s="195"/>
      <c r="DR812" s="195"/>
      <c r="DS812" s="195"/>
      <c r="DT812" s="195"/>
      <c r="DU812" s="195"/>
      <c r="DV812" s="195"/>
      <c r="DW812" s="195"/>
      <c r="DX812" s="195"/>
      <c r="DY812" s="195"/>
      <c r="DZ812" s="195"/>
      <c r="EA812" s="195"/>
      <c r="EB812" s="195"/>
      <c r="EC812" s="195"/>
      <c r="ED812" s="195"/>
      <c r="EE812" s="195"/>
      <c r="EK812" s="195"/>
      <c r="EL812" s="240"/>
      <c r="EM812" s="240"/>
      <c r="EN812" s="195"/>
      <c r="EO812" s="240"/>
      <c r="EP812" s="195"/>
      <c r="EQ812" s="195"/>
      <c r="ER812" s="195"/>
      <c r="ES812" s="736"/>
    </row>
    <row r="813" customFormat="false" ht="12.75" hidden="false" customHeight="false" outlineLevel="0" collapsed="false">
      <c r="I813" s="735"/>
      <c r="J813" s="728"/>
      <c r="K813" s="195"/>
      <c r="L813" s="195"/>
      <c r="Q813" s="195"/>
      <c r="R813" s="195"/>
      <c r="S813" s="240"/>
      <c r="T813" s="195"/>
      <c r="U813" s="195"/>
      <c r="V813" s="195"/>
      <c r="W813" s="195"/>
      <c r="X813" s="195"/>
      <c r="Y813" s="195"/>
      <c r="Z813" s="195"/>
      <c r="AA813" s="195"/>
      <c r="AB813" s="195"/>
      <c r="AC813" s="195"/>
      <c r="AD813" s="195"/>
      <c r="AE813" s="195"/>
      <c r="AF813" s="195"/>
      <c r="AG813" s="195"/>
      <c r="AH813" s="195"/>
      <c r="AI813" s="195"/>
      <c r="AJ813" s="195"/>
      <c r="AK813" s="195"/>
      <c r="AL813" s="195"/>
      <c r="AM813" s="1"/>
      <c r="AN813" s="240"/>
      <c r="AO813" s="240"/>
      <c r="AP813" s="240"/>
      <c r="AQ813" s="730"/>
      <c r="AR813" s="730"/>
      <c r="AS813" s="730"/>
      <c r="AT813" s="738"/>
      <c r="AU813" s="738"/>
      <c r="AV813" s="240"/>
      <c r="AW813" s="240"/>
      <c r="AX813" s="240"/>
      <c r="AY813" s="240"/>
      <c r="AZ813" s="240"/>
      <c r="BA813" s="240"/>
      <c r="BB813" s="672"/>
      <c r="BC813" s="731"/>
      <c r="BD813" s="731"/>
      <c r="BE813" s="731"/>
      <c r="BF813" s="672"/>
      <c r="BG813" s="732"/>
      <c r="BH813" s="240"/>
      <c r="BI813" s="240"/>
      <c r="BJ813" s="240"/>
      <c r="BK813" s="240"/>
      <c r="BL813" s="240"/>
      <c r="BM813" s="240"/>
      <c r="BN813" s="240"/>
      <c r="BO813" s="240"/>
      <c r="BP813" s="240"/>
      <c r="BQ813" s="240"/>
      <c r="BR813" s="240"/>
      <c r="BS813" s="240"/>
      <c r="BT813" s="240"/>
      <c r="BU813" s="672"/>
      <c r="BV813" s="672"/>
      <c r="BW813" s="672"/>
      <c r="BX813" s="672"/>
      <c r="BY813" s="672"/>
      <c r="BZ813" s="672"/>
      <c r="CA813" s="672"/>
      <c r="CB813" s="672"/>
      <c r="CC813" s="672"/>
      <c r="CD813" s="672"/>
      <c r="CE813" s="240"/>
      <c r="CF813" s="240"/>
      <c r="CG813" s="240"/>
      <c r="CH813" s="240"/>
      <c r="CI813" s="240"/>
      <c r="CJ813" s="728"/>
      <c r="CK813" s="728"/>
      <c r="CL813" s="195"/>
      <c r="CM813" s="195"/>
      <c r="CN813" s="195"/>
      <c r="CO813" s="195"/>
      <c r="CP813" s="195"/>
      <c r="CQ813" s="195"/>
      <c r="CR813" s="195"/>
      <c r="CS813" s="195"/>
      <c r="CT813" s="195"/>
      <c r="CU813" s="195"/>
      <c r="CV813" s="195"/>
      <c r="CW813" s="195"/>
      <c r="CX813" s="195"/>
      <c r="CY813" s="195"/>
      <c r="CZ813" s="195"/>
      <c r="DA813" s="195"/>
      <c r="DB813" s="195"/>
      <c r="DC813" s="195"/>
      <c r="DD813" s="195"/>
      <c r="DO813" s="195"/>
      <c r="DP813" s="195"/>
      <c r="DQ813" s="195"/>
      <c r="DR813" s="195"/>
      <c r="DS813" s="195"/>
      <c r="DT813" s="195"/>
      <c r="DU813" s="195"/>
      <c r="DV813" s="195"/>
      <c r="DW813" s="195"/>
      <c r="DX813" s="195"/>
      <c r="DY813" s="195"/>
      <c r="DZ813" s="195"/>
      <c r="EA813" s="195"/>
      <c r="EB813" s="195"/>
      <c r="EC813" s="195"/>
      <c r="ED813" s="195"/>
      <c r="EE813" s="195"/>
      <c r="EK813" s="195"/>
      <c r="EL813" s="240"/>
      <c r="EM813" s="240"/>
      <c r="EN813" s="195"/>
      <c r="EO813" s="240"/>
      <c r="EP813" s="195"/>
      <c r="EQ813" s="195"/>
      <c r="ER813" s="195"/>
      <c r="ES813" s="736"/>
    </row>
    <row r="814" customFormat="false" ht="12.75" hidden="false" customHeight="false" outlineLevel="0" collapsed="false">
      <c r="I814" s="735"/>
      <c r="J814" s="728"/>
      <c r="K814" s="195"/>
      <c r="L814" s="195"/>
      <c r="Q814" s="195"/>
      <c r="R814" s="195"/>
      <c r="S814" s="240"/>
      <c r="T814" s="195"/>
      <c r="U814" s="195"/>
      <c r="V814" s="195"/>
      <c r="W814" s="195"/>
      <c r="X814" s="195"/>
      <c r="Y814" s="195"/>
      <c r="Z814" s="195"/>
      <c r="AA814" s="195"/>
      <c r="AB814" s="195"/>
      <c r="AC814" s="195"/>
      <c r="AD814" s="195"/>
      <c r="AE814" s="195"/>
      <c r="AF814" s="195"/>
      <c r="AG814" s="195"/>
      <c r="AH814" s="195"/>
      <c r="AI814" s="195"/>
      <c r="AJ814" s="195"/>
      <c r="AK814" s="195"/>
      <c r="AL814" s="195"/>
      <c r="AM814" s="1"/>
      <c r="AN814" s="240"/>
      <c r="AO814" s="240"/>
      <c r="AP814" s="240"/>
      <c r="AQ814" s="730"/>
      <c r="AR814" s="730"/>
      <c r="AS814" s="730"/>
      <c r="AT814" s="738"/>
      <c r="AU814" s="738"/>
      <c r="AV814" s="240"/>
      <c r="AW814" s="240"/>
      <c r="AX814" s="240"/>
      <c r="AY814" s="240"/>
      <c r="AZ814" s="240"/>
      <c r="BA814" s="240"/>
      <c r="BB814" s="672"/>
      <c r="BC814" s="731"/>
      <c r="BD814" s="731"/>
      <c r="BE814" s="731"/>
      <c r="BF814" s="672"/>
      <c r="BG814" s="732"/>
      <c r="BH814" s="240"/>
      <c r="BI814" s="240"/>
      <c r="BJ814" s="240"/>
      <c r="BK814" s="240"/>
      <c r="BL814" s="240"/>
      <c r="BM814" s="240"/>
      <c r="BN814" s="240"/>
      <c r="BO814" s="240"/>
      <c r="BP814" s="240"/>
      <c r="BQ814" s="240"/>
      <c r="BR814" s="240"/>
      <c r="BS814" s="240"/>
      <c r="BT814" s="240"/>
      <c r="BU814" s="672"/>
      <c r="BV814" s="672"/>
      <c r="BW814" s="672"/>
      <c r="BX814" s="672"/>
      <c r="BY814" s="672"/>
      <c r="BZ814" s="672"/>
      <c r="CA814" s="672"/>
      <c r="CB814" s="672"/>
      <c r="CC814" s="672"/>
      <c r="CD814" s="672"/>
      <c r="CE814" s="240"/>
      <c r="CF814" s="240"/>
      <c r="CG814" s="240"/>
      <c r="CH814" s="240"/>
      <c r="CI814" s="240"/>
      <c r="CJ814" s="728"/>
      <c r="CK814" s="728"/>
      <c r="CL814" s="195"/>
      <c r="CM814" s="195"/>
      <c r="CN814" s="195"/>
      <c r="CO814" s="195"/>
      <c r="CP814" s="195"/>
      <c r="CQ814" s="195"/>
      <c r="CR814" s="195"/>
      <c r="CS814" s="195"/>
      <c r="CT814" s="195"/>
      <c r="CU814" s="195"/>
      <c r="CV814" s="195"/>
      <c r="CW814" s="195"/>
      <c r="CX814" s="195"/>
      <c r="CY814" s="195"/>
      <c r="CZ814" s="195"/>
      <c r="DA814" s="195"/>
      <c r="DB814" s="195"/>
      <c r="DC814" s="195"/>
      <c r="DD814" s="195"/>
      <c r="DO814" s="195"/>
      <c r="DP814" s="195"/>
      <c r="DQ814" s="195"/>
      <c r="DR814" s="195"/>
      <c r="DS814" s="195"/>
      <c r="DT814" s="195"/>
      <c r="DU814" s="195"/>
      <c r="DV814" s="195"/>
      <c r="DW814" s="195"/>
      <c r="DX814" s="195"/>
      <c r="DY814" s="195"/>
      <c r="DZ814" s="195"/>
      <c r="EA814" s="195"/>
      <c r="EB814" s="195"/>
      <c r="EC814" s="195"/>
      <c r="ED814" s="195"/>
      <c r="EE814" s="195"/>
      <c r="EK814" s="195"/>
      <c r="EL814" s="240"/>
      <c r="EM814" s="240"/>
      <c r="EN814" s="195"/>
      <c r="EO814" s="240"/>
      <c r="EP814" s="195"/>
      <c r="EQ814" s="195"/>
      <c r="ER814" s="195"/>
      <c r="ES814" s="736"/>
    </row>
    <row r="815" customFormat="false" ht="12.75" hidden="false" customHeight="false" outlineLevel="0" collapsed="false">
      <c r="I815" s="735"/>
      <c r="J815" s="728"/>
      <c r="K815" s="195"/>
      <c r="L815" s="195"/>
      <c r="Q815" s="195"/>
      <c r="R815" s="195"/>
      <c r="S815" s="240"/>
      <c r="T815" s="195"/>
      <c r="U815" s="195"/>
      <c r="V815" s="195"/>
      <c r="W815" s="195"/>
      <c r="X815" s="195"/>
      <c r="Y815" s="195"/>
      <c r="Z815" s="195"/>
      <c r="AA815" s="195"/>
      <c r="AB815" s="195"/>
      <c r="AC815" s="195"/>
      <c r="AD815" s="195"/>
      <c r="AE815" s="195"/>
      <c r="AF815" s="195"/>
      <c r="AG815" s="195"/>
      <c r="AH815" s="195"/>
      <c r="AI815" s="195"/>
      <c r="AJ815" s="195"/>
      <c r="AK815" s="195"/>
      <c r="AL815" s="195"/>
      <c r="AM815" s="1"/>
      <c r="AN815" s="240"/>
      <c r="AO815" s="240"/>
      <c r="AP815" s="240"/>
      <c r="AQ815" s="730"/>
      <c r="AR815" s="730"/>
      <c r="AS815" s="730"/>
      <c r="AT815" s="738"/>
      <c r="AU815" s="738"/>
      <c r="AV815" s="240"/>
      <c r="AW815" s="240"/>
      <c r="AX815" s="240"/>
      <c r="AY815" s="240"/>
      <c r="AZ815" s="240"/>
      <c r="BA815" s="240"/>
      <c r="BB815" s="672"/>
      <c r="BC815" s="731"/>
      <c r="BD815" s="731"/>
      <c r="BE815" s="731"/>
      <c r="BF815" s="672"/>
      <c r="BG815" s="732"/>
      <c r="BH815" s="240"/>
      <c r="BI815" s="240"/>
      <c r="BJ815" s="240"/>
      <c r="BK815" s="240"/>
      <c r="BL815" s="240"/>
      <c r="BM815" s="240"/>
      <c r="BN815" s="240"/>
      <c r="BO815" s="240"/>
      <c r="BP815" s="240"/>
      <c r="BQ815" s="240"/>
      <c r="BR815" s="240"/>
      <c r="BS815" s="240"/>
      <c r="BT815" s="240"/>
      <c r="BU815" s="672"/>
      <c r="BV815" s="672"/>
      <c r="BW815" s="672"/>
      <c r="BX815" s="672"/>
      <c r="BY815" s="672"/>
      <c r="BZ815" s="672"/>
      <c r="CA815" s="672"/>
      <c r="CB815" s="672"/>
      <c r="CC815" s="672"/>
      <c r="CD815" s="672"/>
      <c r="CE815" s="240"/>
      <c r="CF815" s="240"/>
      <c r="CG815" s="240"/>
      <c r="CH815" s="240"/>
      <c r="CI815" s="240"/>
      <c r="CJ815" s="728"/>
      <c r="CK815" s="728"/>
      <c r="CL815" s="195"/>
      <c r="CM815" s="195"/>
      <c r="CN815" s="195"/>
      <c r="CO815" s="195"/>
      <c r="CP815" s="195"/>
      <c r="CQ815" s="195"/>
      <c r="CR815" s="195"/>
      <c r="CS815" s="195"/>
      <c r="CT815" s="195"/>
      <c r="CU815" s="195"/>
      <c r="CV815" s="195"/>
      <c r="CW815" s="195"/>
      <c r="CX815" s="195"/>
      <c r="CY815" s="195"/>
      <c r="CZ815" s="195"/>
      <c r="DA815" s="195"/>
      <c r="DB815" s="195"/>
      <c r="DC815" s="195"/>
      <c r="DD815" s="195"/>
      <c r="DO815" s="195"/>
      <c r="DP815" s="195"/>
      <c r="DQ815" s="195"/>
      <c r="DR815" s="195"/>
      <c r="DS815" s="195"/>
      <c r="DT815" s="195"/>
      <c r="DU815" s="195"/>
      <c r="DV815" s="195"/>
      <c r="DW815" s="195"/>
      <c r="DX815" s="195"/>
      <c r="DY815" s="195"/>
      <c r="DZ815" s="195"/>
      <c r="EA815" s="195"/>
      <c r="EB815" s="195"/>
      <c r="EC815" s="195"/>
      <c r="ED815" s="195"/>
      <c r="EE815" s="195"/>
      <c r="EK815" s="195"/>
      <c r="EL815" s="240"/>
      <c r="EM815" s="240"/>
      <c r="EN815" s="195"/>
      <c r="EO815" s="240"/>
      <c r="EP815" s="195"/>
      <c r="EQ815" s="195"/>
      <c r="ER815" s="195"/>
      <c r="ES815" s="736"/>
    </row>
    <row r="816" customFormat="false" ht="12.75" hidden="false" customHeight="false" outlineLevel="0" collapsed="false">
      <c r="I816" s="735"/>
      <c r="J816" s="728"/>
      <c r="K816" s="195"/>
      <c r="L816" s="195"/>
      <c r="Q816" s="195"/>
      <c r="R816" s="195"/>
      <c r="S816" s="240"/>
      <c r="T816" s="195"/>
      <c r="U816" s="195"/>
      <c r="V816" s="195"/>
      <c r="W816" s="195"/>
      <c r="X816" s="195"/>
      <c r="Y816" s="195"/>
      <c r="Z816" s="195"/>
      <c r="AA816" s="195"/>
      <c r="AB816" s="195"/>
      <c r="AC816" s="195"/>
      <c r="AD816" s="195"/>
      <c r="AE816" s="195"/>
      <c r="AF816" s="195"/>
      <c r="AG816" s="195"/>
      <c r="AH816" s="195"/>
      <c r="AI816" s="195"/>
      <c r="AJ816" s="195"/>
      <c r="AK816" s="195"/>
      <c r="AL816" s="195"/>
      <c r="AM816" s="1"/>
      <c r="AN816" s="240"/>
      <c r="AO816" s="240"/>
      <c r="AP816" s="240"/>
      <c r="AQ816" s="730"/>
      <c r="AR816" s="730"/>
      <c r="AS816" s="730"/>
      <c r="AT816" s="738"/>
      <c r="AU816" s="738"/>
      <c r="AV816" s="240"/>
      <c r="AW816" s="240"/>
      <c r="AX816" s="240"/>
      <c r="AY816" s="240"/>
      <c r="AZ816" s="240"/>
      <c r="BA816" s="240"/>
      <c r="BB816" s="672"/>
      <c r="BC816" s="731"/>
      <c r="BD816" s="731"/>
      <c r="BE816" s="731"/>
      <c r="BF816" s="672"/>
      <c r="BG816" s="732"/>
      <c r="BH816" s="240"/>
      <c r="BI816" s="240"/>
      <c r="BJ816" s="240"/>
      <c r="BK816" s="240"/>
      <c r="BL816" s="240"/>
      <c r="BM816" s="240"/>
      <c r="BN816" s="240"/>
      <c r="BO816" s="240"/>
      <c r="BP816" s="240"/>
      <c r="BQ816" s="240"/>
      <c r="BR816" s="240"/>
      <c r="BS816" s="240"/>
      <c r="BT816" s="240"/>
      <c r="BU816" s="672"/>
      <c r="BV816" s="672"/>
      <c r="BW816" s="672"/>
      <c r="BX816" s="672"/>
      <c r="BY816" s="672"/>
      <c r="BZ816" s="672"/>
      <c r="CA816" s="672"/>
      <c r="CB816" s="672"/>
      <c r="CC816" s="672"/>
      <c r="CD816" s="672"/>
      <c r="CE816" s="240"/>
      <c r="CF816" s="240"/>
      <c r="CG816" s="240"/>
      <c r="CH816" s="240"/>
      <c r="CI816" s="240"/>
      <c r="CJ816" s="728"/>
      <c r="CK816" s="728"/>
      <c r="CL816" s="195"/>
      <c r="CM816" s="195"/>
      <c r="CN816" s="195"/>
      <c r="CO816" s="195"/>
      <c r="CP816" s="195"/>
      <c r="CQ816" s="195"/>
      <c r="CR816" s="195"/>
      <c r="CS816" s="195"/>
      <c r="CT816" s="195"/>
      <c r="CU816" s="195"/>
      <c r="CV816" s="195"/>
      <c r="CW816" s="195"/>
      <c r="CX816" s="195"/>
      <c r="CY816" s="195"/>
      <c r="CZ816" s="195"/>
      <c r="DA816" s="195"/>
      <c r="DB816" s="195"/>
      <c r="DC816" s="195"/>
      <c r="DD816" s="195"/>
      <c r="DO816" s="195"/>
      <c r="DP816" s="195"/>
      <c r="DQ816" s="195"/>
      <c r="DR816" s="195"/>
      <c r="DS816" s="195"/>
      <c r="DT816" s="195"/>
      <c r="DU816" s="195"/>
      <c r="DV816" s="195"/>
      <c r="DW816" s="195"/>
      <c r="DX816" s="195"/>
      <c r="DY816" s="195"/>
      <c r="DZ816" s="195"/>
      <c r="EA816" s="195"/>
      <c r="EB816" s="195"/>
      <c r="EC816" s="195"/>
      <c r="ED816" s="195"/>
      <c r="EE816" s="195"/>
      <c r="EK816" s="195"/>
      <c r="EL816" s="240"/>
      <c r="EM816" s="240"/>
      <c r="EN816" s="195"/>
      <c r="EO816" s="240"/>
      <c r="EP816" s="195"/>
      <c r="EQ816" s="195"/>
      <c r="ER816" s="195"/>
      <c r="ES816" s="736"/>
    </row>
    <row r="817" customFormat="false" ht="12.75" hidden="false" customHeight="false" outlineLevel="0" collapsed="false">
      <c r="I817" s="735"/>
      <c r="J817" s="728"/>
      <c r="K817" s="195"/>
      <c r="L817" s="195"/>
      <c r="Q817" s="195"/>
      <c r="R817" s="195"/>
      <c r="S817" s="240"/>
      <c r="T817" s="195"/>
      <c r="U817" s="195"/>
      <c r="V817" s="195"/>
      <c r="W817" s="195"/>
      <c r="X817" s="195"/>
      <c r="Y817" s="195"/>
      <c r="Z817" s="195"/>
      <c r="AA817" s="195"/>
      <c r="AB817" s="195"/>
      <c r="AC817" s="195"/>
      <c r="AD817" s="195"/>
      <c r="AE817" s="195"/>
      <c r="AF817" s="195"/>
      <c r="AG817" s="195"/>
      <c r="AH817" s="195"/>
      <c r="AI817" s="195"/>
      <c r="AJ817" s="195"/>
      <c r="AK817" s="195"/>
      <c r="AL817" s="195"/>
      <c r="AM817" s="1"/>
      <c r="AN817" s="240"/>
      <c r="AO817" s="240"/>
      <c r="AP817" s="240"/>
      <c r="AQ817" s="730"/>
      <c r="AR817" s="730"/>
      <c r="AS817" s="730"/>
      <c r="AT817" s="738"/>
      <c r="AU817" s="738"/>
      <c r="AV817" s="240"/>
      <c r="AW817" s="240"/>
      <c r="AX817" s="240"/>
      <c r="AY817" s="240"/>
      <c r="AZ817" s="240"/>
      <c r="BA817" s="240"/>
      <c r="BB817" s="672"/>
      <c r="BC817" s="731"/>
      <c r="BD817" s="731"/>
      <c r="BE817" s="731"/>
      <c r="BF817" s="672"/>
      <c r="BG817" s="732"/>
      <c r="BH817" s="240"/>
      <c r="BI817" s="240"/>
      <c r="BJ817" s="240"/>
      <c r="BK817" s="240"/>
      <c r="BL817" s="240"/>
      <c r="BM817" s="240"/>
      <c r="BN817" s="240"/>
      <c r="BO817" s="240"/>
      <c r="BP817" s="240"/>
      <c r="BQ817" s="240"/>
      <c r="BR817" s="240"/>
      <c r="BS817" s="240"/>
      <c r="BT817" s="240"/>
      <c r="BU817" s="672"/>
      <c r="BV817" s="672"/>
      <c r="BW817" s="672"/>
      <c r="BX817" s="672"/>
      <c r="BY817" s="672"/>
      <c r="BZ817" s="672"/>
      <c r="CA817" s="672"/>
      <c r="CB817" s="672"/>
      <c r="CC817" s="672"/>
      <c r="CD817" s="672"/>
      <c r="CE817" s="240"/>
      <c r="CF817" s="240"/>
      <c r="CG817" s="240"/>
      <c r="CH817" s="240"/>
      <c r="CI817" s="240"/>
      <c r="CJ817" s="728"/>
      <c r="CK817" s="728"/>
      <c r="CL817" s="195"/>
      <c r="CM817" s="195"/>
      <c r="CN817" s="195"/>
      <c r="CO817" s="195"/>
      <c r="CP817" s="195"/>
      <c r="CQ817" s="195"/>
      <c r="CR817" s="195"/>
      <c r="CS817" s="195"/>
      <c r="CT817" s="195"/>
      <c r="CU817" s="195"/>
      <c r="CV817" s="195"/>
      <c r="CW817" s="195"/>
      <c r="CX817" s="195"/>
      <c r="CY817" s="195"/>
      <c r="CZ817" s="195"/>
      <c r="DA817" s="195"/>
      <c r="DB817" s="195"/>
      <c r="DC817" s="195"/>
      <c r="DD817" s="195"/>
      <c r="DO817" s="195"/>
      <c r="DP817" s="195"/>
      <c r="DQ817" s="195"/>
      <c r="DR817" s="195"/>
      <c r="DS817" s="195"/>
      <c r="DT817" s="195"/>
      <c r="DU817" s="195"/>
      <c r="DV817" s="195"/>
      <c r="DW817" s="195"/>
      <c r="DX817" s="195"/>
      <c r="DY817" s="195"/>
      <c r="DZ817" s="195"/>
      <c r="EA817" s="195"/>
      <c r="EB817" s="195"/>
      <c r="EC817" s="195"/>
      <c r="ED817" s="195"/>
      <c r="EE817" s="195"/>
      <c r="EK817" s="195"/>
      <c r="EL817" s="240"/>
      <c r="EM817" s="240"/>
      <c r="EN817" s="195"/>
      <c r="EO817" s="240"/>
      <c r="EP817" s="195"/>
      <c r="EQ817" s="195"/>
      <c r="ER817" s="195"/>
      <c r="ES817" s="736"/>
    </row>
    <row r="818" customFormat="false" ht="12.75" hidden="false" customHeight="false" outlineLevel="0" collapsed="false">
      <c r="I818" s="735"/>
      <c r="J818" s="728"/>
      <c r="K818" s="195"/>
      <c r="L818" s="195"/>
      <c r="Q818" s="195"/>
      <c r="R818" s="195"/>
      <c r="S818" s="240"/>
      <c r="T818" s="195"/>
      <c r="U818" s="195"/>
      <c r="V818" s="195"/>
      <c r="W818" s="195"/>
      <c r="X818" s="195"/>
      <c r="Y818" s="195"/>
      <c r="Z818" s="195"/>
      <c r="AA818" s="195"/>
      <c r="AB818" s="195"/>
      <c r="AC818" s="195"/>
      <c r="AD818" s="195"/>
      <c r="AE818" s="195"/>
      <c r="AF818" s="195"/>
      <c r="AG818" s="195"/>
      <c r="AH818" s="195"/>
      <c r="AI818" s="195"/>
      <c r="AJ818" s="195"/>
      <c r="AK818" s="195"/>
      <c r="AL818" s="195"/>
      <c r="AM818" s="1"/>
      <c r="AN818" s="240"/>
      <c r="AO818" s="240"/>
      <c r="AP818" s="240"/>
      <c r="AQ818" s="730"/>
      <c r="AR818" s="730"/>
      <c r="AS818" s="730"/>
      <c r="AT818" s="738"/>
      <c r="AU818" s="738"/>
      <c r="AV818" s="240"/>
      <c r="AW818" s="240"/>
      <c r="AX818" s="240"/>
      <c r="AY818" s="240"/>
      <c r="AZ818" s="240"/>
      <c r="BA818" s="240"/>
      <c r="BB818" s="672"/>
      <c r="BC818" s="731"/>
      <c r="BD818" s="731"/>
      <c r="BE818" s="731"/>
      <c r="BF818" s="672"/>
      <c r="BG818" s="732"/>
      <c r="BH818" s="240"/>
      <c r="BI818" s="240"/>
      <c r="BJ818" s="240"/>
      <c r="BK818" s="240"/>
      <c r="BL818" s="240"/>
      <c r="BM818" s="240"/>
      <c r="BN818" s="240"/>
      <c r="BO818" s="240"/>
      <c r="BP818" s="240"/>
      <c r="BQ818" s="240"/>
      <c r="BR818" s="240"/>
      <c r="BS818" s="240"/>
      <c r="BT818" s="240"/>
      <c r="BU818" s="672"/>
      <c r="BV818" s="672"/>
      <c r="BW818" s="672"/>
      <c r="BX818" s="672"/>
      <c r="BY818" s="672"/>
      <c r="BZ818" s="672"/>
      <c r="CA818" s="672"/>
      <c r="CB818" s="672"/>
      <c r="CC818" s="672"/>
      <c r="CD818" s="672"/>
      <c r="CE818" s="240"/>
      <c r="CF818" s="240"/>
      <c r="CG818" s="240"/>
      <c r="CH818" s="240"/>
      <c r="CI818" s="240"/>
      <c r="CJ818" s="728"/>
      <c r="CK818" s="728"/>
      <c r="CL818" s="195"/>
      <c r="CM818" s="195"/>
      <c r="CN818" s="195"/>
      <c r="CO818" s="195"/>
      <c r="CP818" s="195"/>
      <c r="CQ818" s="195"/>
      <c r="CR818" s="195"/>
      <c r="CS818" s="195"/>
      <c r="CT818" s="195"/>
      <c r="CU818" s="195"/>
      <c r="CV818" s="195"/>
      <c r="CW818" s="195"/>
      <c r="CX818" s="195"/>
      <c r="CY818" s="195"/>
      <c r="CZ818" s="195"/>
      <c r="DA818" s="195"/>
      <c r="DB818" s="195"/>
      <c r="DC818" s="195"/>
      <c r="DD818" s="195"/>
      <c r="DO818" s="195"/>
      <c r="DP818" s="195"/>
      <c r="DQ818" s="195"/>
      <c r="DR818" s="195"/>
      <c r="DS818" s="195"/>
      <c r="DT818" s="195"/>
      <c r="DU818" s="195"/>
      <c r="DV818" s="195"/>
      <c r="DW818" s="195"/>
      <c r="DX818" s="195"/>
      <c r="DY818" s="195"/>
      <c r="DZ818" s="195"/>
      <c r="EA818" s="195"/>
      <c r="EB818" s="195"/>
      <c r="EC818" s="195"/>
      <c r="ED818" s="195"/>
      <c r="EE818" s="195"/>
      <c r="EK818" s="195"/>
      <c r="EL818" s="240"/>
      <c r="EM818" s="240"/>
      <c r="EN818" s="195"/>
      <c r="EO818" s="240"/>
      <c r="EP818" s="195"/>
      <c r="EQ818" s="195"/>
      <c r="ER818" s="195"/>
      <c r="ES818" s="736"/>
    </row>
    <row r="819" customFormat="false" ht="12.75" hidden="false" customHeight="false" outlineLevel="0" collapsed="false">
      <c r="I819" s="735"/>
      <c r="J819" s="728"/>
      <c r="K819" s="195"/>
      <c r="L819" s="195"/>
      <c r="Q819" s="195"/>
      <c r="R819" s="195"/>
      <c r="S819" s="240"/>
      <c r="T819" s="195"/>
      <c r="U819" s="195"/>
      <c r="V819" s="195"/>
      <c r="W819" s="195"/>
      <c r="X819" s="195"/>
      <c r="Y819" s="195"/>
      <c r="Z819" s="195"/>
      <c r="AA819" s="195"/>
      <c r="AB819" s="195"/>
      <c r="AC819" s="195"/>
      <c r="AD819" s="195"/>
      <c r="AE819" s="195"/>
      <c r="AF819" s="195"/>
      <c r="AG819" s="195"/>
      <c r="AH819" s="195"/>
      <c r="AI819" s="195"/>
      <c r="AJ819" s="195"/>
      <c r="AK819" s="195"/>
      <c r="AL819" s="195"/>
      <c r="AM819" s="1"/>
      <c r="AN819" s="240"/>
      <c r="AO819" s="240"/>
      <c r="AP819" s="240"/>
      <c r="AQ819" s="730"/>
      <c r="AR819" s="730"/>
      <c r="AS819" s="730"/>
      <c r="AT819" s="738"/>
      <c r="AU819" s="738"/>
      <c r="AV819" s="240"/>
      <c r="AW819" s="240"/>
      <c r="AX819" s="240"/>
      <c r="AY819" s="240"/>
      <c r="AZ819" s="240"/>
      <c r="BA819" s="240"/>
      <c r="BB819" s="672"/>
      <c r="BC819" s="731"/>
      <c r="BD819" s="731"/>
      <c r="BE819" s="731"/>
      <c r="BF819" s="672"/>
      <c r="BG819" s="732"/>
      <c r="BH819" s="240"/>
      <c r="BI819" s="240"/>
      <c r="BJ819" s="240"/>
      <c r="BK819" s="240"/>
      <c r="BL819" s="240"/>
      <c r="BM819" s="240"/>
      <c r="BN819" s="240"/>
      <c r="BO819" s="240"/>
      <c r="BP819" s="240"/>
      <c r="BQ819" s="240"/>
      <c r="BR819" s="240"/>
      <c r="BS819" s="240"/>
      <c r="BT819" s="240"/>
      <c r="BU819" s="672"/>
      <c r="BV819" s="672"/>
      <c r="BW819" s="672"/>
      <c r="BX819" s="672"/>
      <c r="BY819" s="672"/>
      <c r="BZ819" s="672"/>
      <c r="CA819" s="672"/>
      <c r="CB819" s="672"/>
      <c r="CC819" s="672"/>
      <c r="CD819" s="672"/>
      <c r="CE819" s="240"/>
      <c r="CF819" s="240"/>
      <c r="CG819" s="240"/>
      <c r="CH819" s="240"/>
      <c r="CI819" s="240"/>
      <c r="CJ819" s="728"/>
      <c r="CK819" s="728"/>
      <c r="CL819" s="195"/>
      <c r="CM819" s="195"/>
      <c r="CN819" s="195"/>
      <c r="CO819" s="195"/>
      <c r="CP819" s="195"/>
      <c r="CQ819" s="195"/>
      <c r="CR819" s="195"/>
      <c r="CS819" s="195"/>
      <c r="CT819" s="195"/>
      <c r="CU819" s="195"/>
      <c r="CV819" s="195"/>
      <c r="CW819" s="195"/>
      <c r="CX819" s="195"/>
      <c r="CY819" s="195"/>
      <c r="CZ819" s="195"/>
      <c r="DA819" s="195"/>
      <c r="DB819" s="195"/>
      <c r="DC819" s="195"/>
      <c r="DD819" s="195"/>
      <c r="DO819" s="195"/>
      <c r="DP819" s="195"/>
      <c r="DQ819" s="195"/>
      <c r="DR819" s="195"/>
      <c r="DS819" s="195"/>
      <c r="DT819" s="195"/>
      <c r="DU819" s="195"/>
      <c r="DV819" s="195"/>
      <c r="DW819" s="195"/>
      <c r="DX819" s="195"/>
      <c r="DY819" s="195"/>
      <c r="DZ819" s="195"/>
      <c r="EA819" s="195"/>
      <c r="EB819" s="195"/>
      <c r="EC819" s="195"/>
      <c r="ED819" s="195"/>
      <c r="EE819" s="195"/>
      <c r="EK819" s="195"/>
      <c r="EL819" s="240"/>
      <c r="EM819" s="240"/>
      <c r="EN819" s="195"/>
      <c r="EO819" s="240"/>
      <c r="EP819" s="195"/>
      <c r="EQ819" s="195"/>
      <c r="ER819" s="195"/>
      <c r="ES819" s="736"/>
    </row>
    <row r="820" customFormat="false" ht="12.75" hidden="false" customHeight="false" outlineLevel="0" collapsed="false">
      <c r="I820" s="735"/>
      <c r="J820" s="728"/>
      <c r="K820" s="195"/>
      <c r="L820" s="195"/>
      <c r="Q820" s="195"/>
      <c r="R820" s="195"/>
      <c r="S820" s="240"/>
      <c r="T820" s="195"/>
      <c r="U820" s="195"/>
      <c r="V820" s="195"/>
      <c r="W820" s="195"/>
      <c r="X820" s="195"/>
      <c r="Y820" s="195"/>
      <c r="Z820" s="195"/>
      <c r="AA820" s="195"/>
      <c r="AB820" s="195"/>
      <c r="AC820" s="195"/>
      <c r="AD820" s="195"/>
      <c r="AE820" s="195"/>
      <c r="AF820" s="195"/>
      <c r="AG820" s="195"/>
      <c r="AH820" s="195"/>
      <c r="AI820" s="195"/>
      <c r="AJ820" s="195"/>
      <c r="AK820" s="195"/>
      <c r="AL820" s="195"/>
      <c r="AM820" s="1"/>
      <c r="AN820" s="240"/>
      <c r="AO820" s="240"/>
      <c r="AP820" s="240"/>
      <c r="AQ820" s="730"/>
      <c r="AR820" s="730"/>
      <c r="AS820" s="730"/>
      <c r="AT820" s="738"/>
      <c r="AU820" s="738"/>
      <c r="AV820" s="240"/>
      <c r="AW820" s="240"/>
      <c r="AX820" s="240"/>
      <c r="AY820" s="240"/>
      <c r="AZ820" s="240"/>
      <c r="BA820" s="240"/>
      <c r="BB820" s="672"/>
      <c r="BC820" s="731"/>
      <c r="BD820" s="731"/>
      <c r="BE820" s="731"/>
      <c r="BF820" s="672"/>
      <c r="BG820" s="732"/>
      <c r="BH820" s="240"/>
      <c r="BI820" s="240"/>
      <c r="BJ820" s="240"/>
      <c r="BK820" s="240"/>
      <c r="BL820" s="240"/>
      <c r="BM820" s="240"/>
      <c r="BN820" s="240"/>
      <c r="BO820" s="240"/>
      <c r="BP820" s="240"/>
      <c r="BQ820" s="240"/>
      <c r="BR820" s="240"/>
      <c r="BS820" s="240"/>
      <c r="BT820" s="240"/>
      <c r="BU820" s="672"/>
      <c r="BV820" s="672"/>
      <c r="BW820" s="672"/>
      <c r="BX820" s="672"/>
      <c r="BY820" s="672"/>
      <c r="BZ820" s="672"/>
      <c r="CA820" s="672"/>
      <c r="CB820" s="672"/>
      <c r="CC820" s="672"/>
      <c r="CD820" s="672"/>
      <c r="CE820" s="240"/>
      <c r="CF820" s="240"/>
      <c r="CG820" s="240"/>
      <c r="CH820" s="240"/>
      <c r="CI820" s="240"/>
      <c r="CJ820" s="728"/>
      <c r="CK820" s="728"/>
      <c r="CL820" s="195"/>
      <c r="CM820" s="195"/>
      <c r="CN820" s="195"/>
      <c r="CO820" s="195"/>
      <c r="CP820" s="195"/>
      <c r="CQ820" s="195"/>
      <c r="CR820" s="195"/>
      <c r="CS820" s="195"/>
      <c r="CT820" s="195"/>
      <c r="CU820" s="195"/>
      <c r="CV820" s="195"/>
      <c r="CW820" s="195"/>
      <c r="CX820" s="195"/>
      <c r="CY820" s="195"/>
      <c r="CZ820" s="195"/>
      <c r="DA820" s="195"/>
      <c r="DB820" s="195"/>
      <c r="DC820" s="195"/>
      <c r="DD820" s="195"/>
      <c r="DO820" s="195"/>
      <c r="DP820" s="195"/>
      <c r="DQ820" s="195"/>
      <c r="DR820" s="195"/>
      <c r="DS820" s="195"/>
      <c r="DT820" s="195"/>
      <c r="DU820" s="195"/>
      <c r="DV820" s="195"/>
      <c r="DW820" s="195"/>
      <c r="DX820" s="195"/>
      <c r="DY820" s="195"/>
      <c r="DZ820" s="195"/>
      <c r="EA820" s="195"/>
      <c r="EB820" s="195"/>
      <c r="EC820" s="195"/>
      <c r="ED820" s="195"/>
      <c r="EE820" s="195"/>
      <c r="EK820" s="195"/>
      <c r="EL820" s="240"/>
      <c r="EM820" s="240"/>
      <c r="EN820" s="195"/>
      <c r="EO820" s="240"/>
      <c r="EP820" s="195"/>
      <c r="EQ820" s="195"/>
      <c r="ER820" s="195"/>
      <c r="ES820" s="736"/>
    </row>
    <row r="821" customFormat="false" ht="12.75" hidden="false" customHeight="false" outlineLevel="0" collapsed="false">
      <c r="I821" s="735"/>
      <c r="J821" s="728"/>
      <c r="K821" s="195"/>
      <c r="L821" s="195"/>
      <c r="Q821" s="195"/>
      <c r="R821" s="195"/>
      <c r="S821" s="240"/>
      <c r="T821" s="195"/>
      <c r="U821" s="195"/>
      <c r="V821" s="195"/>
      <c r="W821" s="195"/>
      <c r="X821" s="195"/>
      <c r="Y821" s="195"/>
      <c r="Z821" s="195"/>
      <c r="AA821" s="195"/>
      <c r="AB821" s="195"/>
      <c r="AC821" s="195"/>
      <c r="AD821" s="195"/>
      <c r="AE821" s="195"/>
      <c r="AF821" s="195"/>
      <c r="AG821" s="195"/>
      <c r="AH821" s="195"/>
      <c r="AI821" s="195"/>
      <c r="AJ821" s="195"/>
      <c r="AK821" s="195"/>
      <c r="AL821" s="195"/>
      <c r="AM821" s="1"/>
      <c r="AN821" s="240"/>
      <c r="AO821" s="240"/>
      <c r="AP821" s="240"/>
      <c r="AQ821" s="730"/>
      <c r="AR821" s="730"/>
      <c r="AS821" s="730"/>
      <c r="AT821" s="738"/>
      <c r="AU821" s="738"/>
      <c r="AV821" s="240"/>
      <c r="AW821" s="240"/>
      <c r="AX821" s="240"/>
      <c r="AY821" s="240"/>
      <c r="AZ821" s="240"/>
      <c r="BA821" s="240"/>
      <c r="BB821" s="672"/>
      <c r="BC821" s="731"/>
      <c r="BD821" s="731"/>
      <c r="BE821" s="731"/>
      <c r="BF821" s="672"/>
      <c r="BG821" s="732"/>
      <c r="BH821" s="240"/>
      <c r="BI821" s="240"/>
      <c r="BJ821" s="240"/>
      <c r="BK821" s="240"/>
      <c r="BL821" s="240"/>
      <c r="BM821" s="240"/>
      <c r="BN821" s="240"/>
      <c r="BO821" s="240"/>
      <c r="BP821" s="240"/>
      <c r="BQ821" s="240"/>
      <c r="BR821" s="240"/>
      <c r="BS821" s="240"/>
      <c r="BT821" s="240"/>
      <c r="BU821" s="672"/>
      <c r="BV821" s="672"/>
      <c r="BW821" s="672"/>
      <c r="BX821" s="672"/>
      <c r="BY821" s="672"/>
      <c r="BZ821" s="672"/>
      <c r="CA821" s="672"/>
      <c r="CB821" s="672"/>
      <c r="CC821" s="672"/>
      <c r="CD821" s="672"/>
      <c r="CE821" s="240"/>
      <c r="CF821" s="240"/>
      <c r="CG821" s="240"/>
      <c r="CH821" s="240"/>
      <c r="CI821" s="240"/>
      <c r="CJ821" s="728"/>
      <c r="CK821" s="728"/>
      <c r="CL821" s="195"/>
      <c r="CM821" s="195"/>
      <c r="CN821" s="195"/>
      <c r="CO821" s="195"/>
      <c r="CP821" s="195"/>
      <c r="CQ821" s="195"/>
      <c r="CR821" s="195"/>
      <c r="CS821" s="195"/>
      <c r="CT821" s="195"/>
      <c r="CU821" s="195"/>
      <c r="CV821" s="195"/>
      <c r="CW821" s="195"/>
      <c r="CX821" s="195"/>
      <c r="CY821" s="195"/>
      <c r="CZ821" s="195"/>
      <c r="DA821" s="195"/>
      <c r="DB821" s="195"/>
      <c r="DC821" s="195"/>
      <c r="DD821" s="195"/>
      <c r="DO821" s="195"/>
      <c r="DP821" s="195"/>
      <c r="DQ821" s="195"/>
      <c r="DR821" s="195"/>
      <c r="DS821" s="195"/>
      <c r="DT821" s="195"/>
      <c r="DU821" s="195"/>
      <c r="DV821" s="195"/>
      <c r="DW821" s="195"/>
      <c r="DX821" s="195"/>
      <c r="DY821" s="195"/>
      <c r="DZ821" s="195"/>
      <c r="EA821" s="195"/>
      <c r="EB821" s="195"/>
      <c r="EC821" s="195"/>
      <c r="ED821" s="195"/>
      <c r="EE821" s="195"/>
      <c r="EK821" s="195"/>
      <c r="EL821" s="240"/>
      <c r="EM821" s="240"/>
      <c r="EN821" s="195"/>
      <c r="EO821" s="240"/>
      <c r="EP821" s="195"/>
      <c r="EQ821" s="195"/>
      <c r="ER821" s="195"/>
      <c r="ES821" s="736"/>
    </row>
    <row r="822" customFormat="false" ht="12.75" hidden="false" customHeight="false" outlineLevel="0" collapsed="false">
      <c r="I822" s="735"/>
      <c r="J822" s="728"/>
      <c r="K822" s="195"/>
      <c r="L822" s="195"/>
      <c r="Q822" s="195"/>
      <c r="R822" s="195"/>
      <c r="S822" s="240"/>
      <c r="T822" s="195"/>
      <c r="U822" s="195"/>
      <c r="V822" s="195"/>
      <c r="W822" s="195"/>
      <c r="X822" s="195"/>
      <c r="Y822" s="195"/>
      <c r="Z822" s="195"/>
      <c r="AA822" s="195"/>
      <c r="AB822" s="195"/>
      <c r="AC822" s="195"/>
      <c r="AD822" s="195"/>
      <c r="AE822" s="195"/>
      <c r="AF822" s="195"/>
      <c r="AG822" s="195"/>
      <c r="AH822" s="195"/>
      <c r="AI822" s="195"/>
      <c r="AJ822" s="195"/>
      <c r="AK822" s="195"/>
      <c r="AL822" s="195"/>
      <c r="AM822" s="1"/>
      <c r="AN822" s="240"/>
      <c r="AO822" s="240"/>
      <c r="AP822" s="240"/>
      <c r="AQ822" s="730"/>
      <c r="AR822" s="730"/>
      <c r="AS822" s="730"/>
      <c r="AT822" s="738"/>
      <c r="AU822" s="738"/>
      <c r="AV822" s="240"/>
      <c r="AW822" s="240"/>
      <c r="AX822" s="240"/>
      <c r="AY822" s="240"/>
      <c r="AZ822" s="240"/>
      <c r="BA822" s="240"/>
      <c r="BB822" s="672"/>
      <c r="BC822" s="731"/>
      <c r="BD822" s="731"/>
      <c r="BE822" s="731"/>
      <c r="BF822" s="672"/>
      <c r="BG822" s="732"/>
      <c r="BH822" s="240"/>
      <c r="BI822" s="240"/>
      <c r="BJ822" s="240"/>
      <c r="BK822" s="240"/>
      <c r="BL822" s="240"/>
      <c r="BM822" s="240"/>
      <c r="BN822" s="240"/>
      <c r="BO822" s="240"/>
      <c r="BP822" s="240"/>
      <c r="BQ822" s="240"/>
      <c r="BR822" s="240"/>
      <c r="BS822" s="240"/>
      <c r="BT822" s="240"/>
      <c r="BU822" s="672"/>
      <c r="BV822" s="672"/>
      <c r="BW822" s="672"/>
      <c r="BX822" s="672"/>
      <c r="BY822" s="672"/>
      <c r="BZ822" s="672"/>
      <c r="CA822" s="672"/>
      <c r="CB822" s="672"/>
      <c r="CC822" s="672"/>
      <c r="CD822" s="672"/>
      <c r="CE822" s="240"/>
      <c r="CF822" s="240"/>
      <c r="CG822" s="240"/>
      <c r="CH822" s="240"/>
      <c r="CI822" s="240"/>
      <c r="CJ822" s="728"/>
      <c r="CK822" s="728"/>
      <c r="CL822" s="195"/>
      <c r="CM822" s="195"/>
      <c r="CN822" s="195"/>
      <c r="CO822" s="195"/>
      <c r="CP822" s="195"/>
      <c r="CQ822" s="195"/>
      <c r="CR822" s="195"/>
      <c r="CS822" s="195"/>
      <c r="CT822" s="195"/>
      <c r="CU822" s="195"/>
      <c r="CV822" s="195"/>
      <c r="CW822" s="195"/>
      <c r="CX822" s="195"/>
      <c r="CY822" s="195"/>
      <c r="CZ822" s="195"/>
      <c r="DA822" s="195"/>
      <c r="DB822" s="195"/>
      <c r="DC822" s="195"/>
      <c r="DD822" s="195"/>
      <c r="DO822" s="195"/>
      <c r="DP822" s="195"/>
      <c r="DQ822" s="195"/>
      <c r="DR822" s="195"/>
      <c r="DS822" s="195"/>
      <c r="DT822" s="195"/>
      <c r="DU822" s="195"/>
      <c r="DV822" s="195"/>
      <c r="DW822" s="195"/>
      <c r="DX822" s="195"/>
      <c r="DY822" s="195"/>
      <c r="DZ822" s="195"/>
      <c r="EA822" s="195"/>
      <c r="EB822" s="195"/>
      <c r="EC822" s="195"/>
      <c r="ED822" s="195"/>
      <c r="EE822" s="195"/>
      <c r="EK822" s="195"/>
      <c r="EL822" s="240"/>
      <c r="EM822" s="240"/>
      <c r="EN822" s="195"/>
      <c r="EO822" s="240"/>
      <c r="EP822" s="195"/>
      <c r="EQ822" s="195"/>
      <c r="ER822" s="195"/>
      <c r="ES822" s="736"/>
    </row>
    <row r="823" customFormat="false" ht="12.75" hidden="false" customHeight="false" outlineLevel="0" collapsed="false">
      <c r="I823" s="735"/>
      <c r="J823" s="728"/>
      <c r="K823" s="195"/>
      <c r="L823" s="195"/>
      <c r="Q823" s="195"/>
      <c r="R823" s="195"/>
      <c r="S823" s="240"/>
      <c r="T823" s="195"/>
      <c r="U823" s="195"/>
      <c r="V823" s="195"/>
      <c r="W823" s="195"/>
      <c r="X823" s="195"/>
      <c r="Y823" s="195"/>
      <c r="Z823" s="195"/>
      <c r="AA823" s="195"/>
      <c r="AB823" s="195"/>
      <c r="AC823" s="195"/>
      <c r="AD823" s="195"/>
      <c r="AE823" s="195"/>
      <c r="AF823" s="195"/>
      <c r="AG823" s="195"/>
      <c r="AH823" s="195"/>
      <c r="AI823" s="195"/>
      <c r="AJ823" s="195"/>
      <c r="AK823" s="195"/>
      <c r="AL823" s="195"/>
      <c r="AM823" s="1"/>
      <c r="AN823" s="240"/>
      <c r="AO823" s="240"/>
      <c r="AP823" s="240"/>
      <c r="AQ823" s="730"/>
      <c r="AR823" s="730"/>
      <c r="AS823" s="730"/>
      <c r="AT823" s="738"/>
      <c r="AU823" s="738"/>
      <c r="AV823" s="240"/>
      <c r="AW823" s="240"/>
      <c r="AX823" s="240"/>
      <c r="AY823" s="240"/>
      <c r="AZ823" s="240"/>
      <c r="BA823" s="240"/>
      <c r="BB823" s="672"/>
      <c r="BC823" s="731"/>
      <c r="BD823" s="731"/>
      <c r="BE823" s="731"/>
      <c r="BF823" s="672"/>
      <c r="BG823" s="732"/>
      <c r="BH823" s="240"/>
      <c r="BI823" s="240"/>
      <c r="BJ823" s="240"/>
      <c r="BK823" s="240"/>
      <c r="BL823" s="240"/>
      <c r="BM823" s="240"/>
      <c r="BN823" s="240"/>
      <c r="BO823" s="240"/>
      <c r="BP823" s="240"/>
      <c r="BQ823" s="240"/>
      <c r="BR823" s="240"/>
      <c r="BS823" s="240"/>
      <c r="BT823" s="240"/>
      <c r="BU823" s="672"/>
      <c r="BV823" s="672"/>
      <c r="BW823" s="672"/>
      <c r="BX823" s="672"/>
      <c r="BY823" s="672"/>
      <c r="BZ823" s="672"/>
      <c r="CA823" s="672"/>
      <c r="CB823" s="672"/>
      <c r="CC823" s="672"/>
      <c r="CD823" s="672"/>
      <c r="CE823" s="240"/>
      <c r="CF823" s="240"/>
      <c r="CG823" s="240"/>
      <c r="CH823" s="240"/>
      <c r="CI823" s="240"/>
      <c r="CJ823" s="728"/>
      <c r="CK823" s="728"/>
      <c r="CL823" s="195"/>
      <c r="CM823" s="195"/>
      <c r="CN823" s="195"/>
      <c r="CO823" s="195"/>
      <c r="CP823" s="195"/>
      <c r="CQ823" s="195"/>
      <c r="CR823" s="195"/>
      <c r="CS823" s="195"/>
      <c r="CT823" s="195"/>
      <c r="CU823" s="195"/>
      <c r="CV823" s="195"/>
      <c r="CW823" s="195"/>
      <c r="CX823" s="195"/>
      <c r="CY823" s="195"/>
      <c r="CZ823" s="195"/>
      <c r="DA823" s="195"/>
      <c r="DB823" s="195"/>
      <c r="DC823" s="195"/>
      <c r="DD823" s="195"/>
      <c r="DO823" s="195"/>
      <c r="DP823" s="195"/>
      <c r="DQ823" s="195"/>
      <c r="DR823" s="195"/>
      <c r="DS823" s="195"/>
      <c r="DT823" s="195"/>
      <c r="DU823" s="195"/>
      <c r="DV823" s="195"/>
      <c r="DW823" s="195"/>
      <c r="DX823" s="195"/>
      <c r="DY823" s="195"/>
      <c r="DZ823" s="195"/>
      <c r="EA823" s="195"/>
      <c r="EB823" s="195"/>
      <c r="EC823" s="195"/>
      <c r="ED823" s="195"/>
      <c r="EE823" s="195"/>
      <c r="EK823" s="195"/>
      <c r="EL823" s="240"/>
      <c r="EM823" s="240"/>
      <c r="EN823" s="195"/>
      <c r="EO823" s="240"/>
      <c r="EP823" s="195"/>
      <c r="EQ823" s="195"/>
      <c r="ER823" s="195"/>
      <c r="ES823" s="736"/>
    </row>
    <row r="824" customFormat="false" ht="12.75" hidden="false" customHeight="false" outlineLevel="0" collapsed="false">
      <c r="I824" s="735"/>
      <c r="J824" s="728"/>
      <c r="K824" s="195"/>
      <c r="L824" s="195"/>
      <c r="Q824" s="195"/>
      <c r="R824" s="195"/>
      <c r="S824" s="240"/>
      <c r="T824" s="195"/>
      <c r="U824" s="195"/>
      <c r="V824" s="195"/>
      <c r="W824" s="195"/>
      <c r="X824" s="195"/>
      <c r="Y824" s="195"/>
      <c r="Z824" s="195"/>
      <c r="AA824" s="195"/>
      <c r="AB824" s="195"/>
      <c r="AC824" s="195"/>
      <c r="AD824" s="195"/>
      <c r="AE824" s="195"/>
      <c r="AF824" s="195"/>
      <c r="AG824" s="195"/>
      <c r="AH824" s="195"/>
      <c r="AI824" s="195"/>
      <c r="AJ824" s="195"/>
      <c r="AK824" s="195"/>
      <c r="AL824" s="195"/>
      <c r="AM824" s="1"/>
      <c r="AN824" s="240"/>
      <c r="AO824" s="240"/>
      <c r="AP824" s="240"/>
      <c r="AQ824" s="730"/>
      <c r="AR824" s="730"/>
      <c r="AS824" s="730"/>
      <c r="AT824" s="738"/>
      <c r="AU824" s="738"/>
      <c r="AV824" s="240"/>
      <c r="AW824" s="240"/>
      <c r="AX824" s="240"/>
      <c r="AY824" s="240"/>
      <c r="AZ824" s="240"/>
      <c r="BA824" s="240"/>
      <c r="BB824" s="672"/>
      <c r="BC824" s="731"/>
      <c r="BD824" s="731"/>
      <c r="BE824" s="731"/>
      <c r="BF824" s="672"/>
      <c r="BG824" s="732"/>
      <c r="BH824" s="240"/>
      <c r="BI824" s="240"/>
      <c r="BJ824" s="240"/>
      <c r="BK824" s="240"/>
      <c r="BL824" s="240"/>
      <c r="BM824" s="240"/>
      <c r="BN824" s="240"/>
      <c r="BO824" s="240"/>
      <c r="BP824" s="240"/>
      <c r="BQ824" s="240"/>
      <c r="BR824" s="240"/>
      <c r="BS824" s="240"/>
      <c r="BT824" s="240"/>
      <c r="BU824" s="672"/>
      <c r="BV824" s="672"/>
      <c r="BW824" s="672"/>
      <c r="BX824" s="672"/>
      <c r="BY824" s="672"/>
      <c r="BZ824" s="672"/>
      <c r="CA824" s="672"/>
      <c r="CB824" s="672"/>
      <c r="CC824" s="672"/>
      <c r="CD824" s="672"/>
      <c r="CE824" s="240"/>
      <c r="CF824" s="240"/>
      <c r="CG824" s="240"/>
      <c r="CH824" s="240"/>
      <c r="CI824" s="240"/>
      <c r="CJ824" s="728"/>
      <c r="CK824" s="728"/>
      <c r="CL824" s="195"/>
      <c r="CM824" s="195"/>
      <c r="CN824" s="195"/>
      <c r="CO824" s="195"/>
      <c r="CP824" s="195"/>
      <c r="CQ824" s="195"/>
      <c r="CR824" s="195"/>
      <c r="CS824" s="195"/>
      <c r="CT824" s="195"/>
      <c r="CU824" s="195"/>
      <c r="CV824" s="195"/>
      <c r="CW824" s="195"/>
      <c r="CX824" s="195"/>
      <c r="CY824" s="195"/>
      <c r="CZ824" s="195"/>
      <c r="DA824" s="195"/>
      <c r="DB824" s="195"/>
      <c r="DC824" s="195"/>
      <c r="DD824" s="195"/>
      <c r="DO824" s="195"/>
      <c r="DP824" s="195"/>
      <c r="DQ824" s="195"/>
      <c r="DR824" s="195"/>
      <c r="DS824" s="195"/>
      <c r="DT824" s="195"/>
      <c r="DU824" s="195"/>
      <c r="DV824" s="195"/>
      <c r="DW824" s="195"/>
      <c r="DX824" s="195"/>
      <c r="DY824" s="195"/>
      <c r="DZ824" s="195"/>
      <c r="EA824" s="195"/>
      <c r="EB824" s="195"/>
      <c r="EC824" s="195"/>
      <c r="ED824" s="195"/>
      <c r="EE824" s="195"/>
      <c r="EK824" s="195"/>
      <c r="EL824" s="240"/>
      <c r="EM824" s="240"/>
      <c r="EN824" s="195"/>
      <c r="EO824" s="240"/>
      <c r="EP824" s="195"/>
      <c r="EQ824" s="195"/>
      <c r="ER824" s="195"/>
      <c r="ES824" s="736"/>
    </row>
    <row r="825" customFormat="false" ht="12.75" hidden="false" customHeight="false" outlineLevel="0" collapsed="false">
      <c r="I825" s="735"/>
      <c r="J825" s="728"/>
      <c r="K825" s="195"/>
      <c r="L825" s="195"/>
      <c r="Q825" s="195"/>
      <c r="R825" s="195"/>
      <c r="S825" s="240"/>
      <c r="T825" s="195"/>
      <c r="U825" s="195"/>
      <c r="V825" s="195"/>
      <c r="W825" s="195"/>
      <c r="X825" s="195"/>
      <c r="Y825" s="195"/>
      <c r="Z825" s="195"/>
      <c r="AA825" s="195"/>
      <c r="AB825" s="195"/>
      <c r="AC825" s="195"/>
      <c r="AD825" s="195"/>
      <c r="AE825" s="195"/>
      <c r="AF825" s="195"/>
      <c r="AG825" s="195"/>
      <c r="AH825" s="195"/>
      <c r="AI825" s="195"/>
      <c r="AJ825" s="195"/>
      <c r="AK825" s="195"/>
      <c r="AL825" s="195"/>
      <c r="AM825" s="1"/>
      <c r="AN825" s="240"/>
      <c r="AO825" s="240"/>
      <c r="AP825" s="240"/>
      <c r="AQ825" s="730"/>
      <c r="AR825" s="730"/>
      <c r="AS825" s="730"/>
      <c r="AT825" s="738"/>
      <c r="AU825" s="738"/>
      <c r="AV825" s="240"/>
      <c r="AW825" s="240"/>
      <c r="AX825" s="240"/>
      <c r="AY825" s="240"/>
      <c r="AZ825" s="240"/>
      <c r="BA825" s="240"/>
      <c r="BB825" s="672"/>
      <c r="BC825" s="731"/>
      <c r="BD825" s="731"/>
      <c r="BE825" s="731"/>
      <c r="BF825" s="672"/>
      <c r="BG825" s="732"/>
      <c r="BH825" s="240"/>
      <c r="BI825" s="240"/>
      <c r="BJ825" s="240"/>
      <c r="BK825" s="240"/>
      <c r="BL825" s="240"/>
      <c r="BM825" s="240"/>
      <c r="BN825" s="240"/>
      <c r="BO825" s="240"/>
      <c r="BP825" s="240"/>
      <c r="BQ825" s="240"/>
      <c r="BR825" s="240"/>
      <c r="BS825" s="240"/>
      <c r="BT825" s="240"/>
      <c r="BU825" s="672"/>
      <c r="BV825" s="672"/>
      <c r="BW825" s="672"/>
      <c r="BX825" s="672"/>
      <c r="BY825" s="672"/>
      <c r="BZ825" s="672"/>
      <c r="CA825" s="672"/>
      <c r="CB825" s="672"/>
      <c r="CC825" s="672"/>
      <c r="CD825" s="672"/>
      <c r="CE825" s="240"/>
      <c r="CF825" s="240"/>
      <c r="CG825" s="240"/>
      <c r="CH825" s="240"/>
      <c r="CI825" s="240"/>
      <c r="CJ825" s="728"/>
      <c r="CK825" s="728"/>
      <c r="CL825" s="195"/>
      <c r="CM825" s="195"/>
      <c r="CN825" s="195"/>
      <c r="CO825" s="195"/>
      <c r="CP825" s="195"/>
      <c r="CQ825" s="195"/>
      <c r="CR825" s="195"/>
      <c r="CS825" s="195"/>
      <c r="CT825" s="195"/>
      <c r="CU825" s="195"/>
      <c r="CV825" s="195"/>
      <c r="CW825" s="195"/>
      <c r="CX825" s="195"/>
      <c r="CY825" s="195"/>
      <c r="CZ825" s="195"/>
      <c r="DA825" s="195"/>
      <c r="DB825" s="195"/>
      <c r="DC825" s="195"/>
      <c r="DD825" s="195"/>
      <c r="DO825" s="195"/>
      <c r="DP825" s="195"/>
      <c r="DQ825" s="195"/>
      <c r="DR825" s="195"/>
      <c r="DS825" s="195"/>
      <c r="DT825" s="195"/>
      <c r="DU825" s="195"/>
      <c r="DV825" s="195"/>
      <c r="DW825" s="195"/>
      <c r="DX825" s="195"/>
      <c r="DY825" s="195"/>
      <c r="DZ825" s="195"/>
      <c r="EA825" s="195"/>
      <c r="EB825" s="195"/>
      <c r="EC825" s="195"/>
      <c r="ED825" s="195"/>
      <c r="EE825" s="195"/>
      <c r="EK825" s="195"/>
      <c r="EL825" s="240"/>
      <c r="EM825" s="240"/>
      <c r="EN825" s="195"/>
      <c r="EO825" s="240"/>
      <c r="EP825" s="195"/>
      <c r="EQ825" s="195"/>
      <c r="ER825" s="195"/>
      <c r="ES825" s="736"/>
    </row>
    <row r="826" customFormat="false" ht="12.75" hidden="false" customHeight="false" outlineLevel="0" collapsed="false">
      <c r="I826" s="735"/>
      <c r="J826" s="728"/>
      <c r="K826" s="195"/>
      <c r="L826" s="195"/>
      <c r="Q826" s="195"/>
      <c r="R826" s="195"/>
      <c r="S826" s="240"/>
      <c r="T826" s="195"/>
      <c r="U826" s="195"/>
      <c r="V826" s="195"/>
      <c r="W826" s="195"/>
      <c r="X826" s="195"/>
      <c r="Y826" s="195"/>
      <c r="Z826" s="195"/>
      <c r="AA826" s="195"/>
      <c r="AB826" s="195"/>
      <c r="AC826" s="195"/>
      <c r="AD826" s="195"/>
      <c r="AE826" s="195"/>
      <c r="AF826" s="195"/>
      <c r="AG826" s="195"/>
      <c r="AH826" s="195"/>
      <c r="AI826" s="195"/>
      <c r="AJ826" s="195"/>
      <c r="AK826" s="195"/>
      <c r="AL826" s="195"/>
      <c r="AM826" s="1"/>
      <c r="AN826" s="240"/>
      <c r="AO826" s="240"/>
      <c r="AP826" s="240"/>
      <c r="AQ826" s="730"/>
      <c r="AR826" s="730"/>
      <c r="AS826" s="730"/>
      <c r="AT826" s="738"/>
      <c r="AU826" s="738"/>
      <c r="AV826" s="240"/>
      <c r="AW826" s="240"/>
      <c r="AX826" s="240"/>
      <c r="AY826" s="240"/>
      <c r="AZ826" s="240"/>
      <c r="BA826" s="240"/>
      <c r="BB826" s="672"/>
      <c r="BC826" s="731"/>
      <c r="BD826" s="731"/>
      <c r="BE826" s="731"/>
      <c r="BF826" s="672"/>
      <c r="BG826" s="732"/>
      <c r="BH826" s="240"/>
      <c r="BI826" s="240"/>
      <c r="BJ826" s="240"/>
      <c r="BK826" s="240"/>
      <c r="BL826" s="240"/>
      <c r="BM826" s="240"/>
      <c r="BN826" s="240"/>
      <c r="BO826" s="240"/>
      <c r="BP826" s="240"/>
      <c r="BQ826" s="240"/>
      <c r="BR826" s="240"/>
      <c r="BS826" s="240"/>
      <c r="BT826" s="240"/>
      <c r="BU826" s="672"/>
      <c r="BV826" s="672"/>
      <c r="BW826" s="672"/>
      <c r="BX826" s="672"/>
      <c r="BY826" s="672"/>
      <c r="BZ826" s="672"/>
      <c r="CA826" s="672"/>
      <c r="CB826" s="672"/>
      <c r="CC826" s="672"/>
      <c r="CD826" s="672"/>
      <c r="CE826" s="240"/>
      <c r="CF826" s="240"/>
      <c r="CG826" s="240"/>
      <c r="CH826" s="240"/>
      <c r="CI826" s="240"/>
      <c r="CJ826" s="728"/>
      <c r="CK826" s="728"/>
      <c r="CL826" s="195"/>
      <c r="CM826" s="195"/>
      <c r="CN826" s="195"/>
      <c r="CO826" s="195"/>
      <c r="CP826" s="195"/>
      <c r="CQ826" s="195"/>
      <c r="CR826" s="195"/>
      <c r="CS826" s="195"/>
      <c r="CT826" s="195"/>
      <c r="CU826" s="195"/>
      <c r="CV826" s="195"/>
      <c r="CW826" s="195"/>
      <c r="CX826" s="195"/>
      <c r="CY826" s="195"/>
      <c r="CZ826" s="195"/>
      <c r="DA826" s="195"/>
      <c r="DB826" s="195"/>
      <c r="DC826" s="195"/>
      <c r="DD826" s="195"/>
      <c r="DO826" s="195"/>
      <c r="DP826" s="195"/>
      <c r="DQ826" s="195"/>
      <c r="DR826" s="195"/>
      <c r="DS826" s="195"/>
      <c r="DT826" s="195"/>
      <c r="DU826" s="195"/>
      <c r="DV826" s="195"/>
      <c r="DW826" s="195"/>
      <c r="DX826" s="195"/>
      <c r="DY826" s="195"/>
      <c r="DZ826" s="195"/>
      <c r="EA826" s="195"/>
      <c r="EB826" s="195"/>
      <c r="EC826" s="195"/>
      <c r="ED826" s="195"/>
      <c r="EE826" s="195"/>
      <c r="EK826" s="195"/>
      <c r="EL826" s="240"/>
      <c r="EM826" s="240"/>
      <c r="EN826" s="195"/>
      <c r="EO826" s="240"/>
      <c r="EP826" s="195"/>
      <c r="EQ826" s="195"/>
      <c r="ER826" s="195"/>
      <c r="ES826" s="736"/>
    </row>
    <row r="827" customFormat="false" ht="12.75" hidden="false" customHeight="false" outlineLevel="0" collapsed="false">
      <c r="I827" s="735"/>
      <c r="J827" s="728"/>
      <c r="K827" s="195"/>
      <c r="L827" s="195"/>
      <c r="Q827" s="195"/>
      <c r="R827" s="195"/>
      <c r="S827" s="240"/>
      <c r="T827" s="195"/>
      <c r="U827" s="195"/>
      <c r="V827" s="195"/>
      <c r="W827" s="195"/>
      <c r="X827" s="195"/>
      <c r="Y827" s="195"/>
      <c r="Z827" s="195"/>
      <c r="AA827" s="195"/>
      <c r="AB827" s="195"/>
      <c r="AC827" s="195"/>
      <c r="AD827" s="195"/>
      <c r="AE827" s="195"/>
      <c r="AF827" s="195"/>
      <c r="AG827" s="195"/>
      <c r="AH827" s="195"/>
      <c r="AI827" s="195"/>
      <c r="AJ827" s="195"/>
      <c r="AK827" s="195"/>
      <c r="AL827" s="195"/>
      <c r="AM827" s="1"/>
      <c r="AN827" s="240"/>
      <c r="AO827" s="240"/>
      <c r="AP827" s="240"/>
      <c r="AQ827" s="730"/>
      <c r="AR827" s="730"/>
      <c r="AS827" s="730"/>
      <c r="AT827" s="738"/>
      <c r="AU827" s="738"/>
      <c r="AV827" s="240"/>
      <c r="AW827" s="240"/>
      <c r="AX827" s="240"/>
      <c r="AY827" s="240"/>
      <c r="AZ827" s="240"/>
      <c r="BA827" s="240"/>
      <c r="BB827" s="672"/>
      <c r="BC827" s="731"/>
      <c r="BD827" s="731"/>
      <c r="BE827" s="731"/>
      <c r="BF827" s="672"/>
      <c r="BG827" s="732"/>
      <c r="BH827" s="240"/>
      <c r="BI827" s="240"/>
      <c r="BJ827" s="240"/>
      <c r="BK827" s="240"/>
      <c r="BL827" s="240"/>
      <c r="BM827" s="240"/>
      <c r="BN827" s="240"/>
      <c r="BO827" s="240"/>
      <c r="BP827" s="240"/>
      <c r="BQ827" s="240"/>
      <c r="BR827" s="240"/>
      <c r="BS827" s="240"/>
      <c r="BT827" s="240"/>
      <c r="BU827" s="672"/>
      <c r="BV827" s="672"/>
      <c r="BW827" s="672"/>
      <c r="BX827" s="672"/>
      <c r="BY827" s="672"/>
      <c r="BZ827" s="672"/>
      <c r="CA827" s="672"/>
      <c r="CB827" s="672"/>
      <c r="CC827" s="672"/>
      <c r="CD827" s="672"/>
      <c r="CE827" s="240"/>
      <c r="CF827" s="240"/>
      <c r="CG827" s="240"/>
      <c r="CH827" s="240"/>
      <c r="CI827" s="240"/>
      <c r="CJ827" s="728"/>
      <c r="CK827" s="728"/>
      <c r="CL827" s="195"/>
      <c r="CM827" s="195"/>
      <c r="CN827" s="195"/>
      <c r="CO827" s="195"/>
      <c r="CP827" s="195"/>
      <c r="CQ827" s="195"/>
      <c r="CR827" s="195"/>
      <c r="CS827" s="195"/>
      <c r="CT827" s="195"/>
      <c r="CU827" s="195"/>
      <c r="CV827" s="195"/>
      <c r="CW827" s="195"/>
      <c r="CX827" s="195"/>
      <c r="CY827" s="195"/>
      <c r="CZ827" s="195"/>
      <c r="DA827" s="195"/>
      <c r="DB827" s="195"/>
      <c r="DC827" s="195"/>
      <c r="DD827" s="195"/>
      <c r="DO827" s="195"/>
      <c r="DP827" s="195"/>
      <c r="DQ827" s="195"/>
      <c r="DR827" s="195"/>
      <c r="DS827" s="195"/>
      <c r="DT827" s="195"/>
      <c r="DU827" s="195"/>
      <c r="DV827" s="195"/>
      <c r="DW827" s="195"/>
      <c r="DX827" s="195"/>
      <c r="DY827" s="195"/>
      <c r="DZ827" s="195"/>
      <c r="EA827" s="195"/>
      <c r="EB827" s="195"/>
      <c r="EC827" s="195"/>
      <c r="ED827" s="195"/>
      <c r="EE827" s="195"/>
      <c r="EK827" s="195"/>
      <c r="EL827" s="240"/>
      <c r="EM827" s="240"/>
      <c r="EN827" s="195"/>
      <c r="EO827" s="240"/>
      <c r="EP827" s="195"/>
      <c r="EQ827" s="195"/>
      <c r="ER827" s="195"/>
      <c r="ES827" s="736"/>
    </row>
    <row r="828" customFormat="false" ht="12.75" hidden="false" customHeight="false" outlineLevel="0" collapsed="false">
      <c r="I828" s="735"/>
      <c r="J828" s="728"/>
      <c r="K828" s="195"/>
      <c r="L828" s="195"/>
      <c r="Q828" s="195"/>
      <c r="R828" s="195"/>
      <c r="S828" s="240"/>
      <c r="T828" s="195"/>
      <c r="U828" s="195"/>
      <c r="V828" s="195"/>
      <c r="W828" s="195"/>
      <c r="X828" s="195"/>
      <c r="Y828" s="195"/>
      <c r="Z828" s="195"/>
      <c r="AA828" s="195"/>
      <c r="AB828" s="195"/>
      <c r="AC828" s="195"/>
      <c r="AD828" s="195"/>
      <c r="AE828" s="195"/>
      <c r="AF828" s="195"/>
      <c r="AG828" s="195"/>
      <c r="AH828" s="195"/>
      <c r="AI828" s="195"/>
      <c r="AJ828" s="195"/>
      <c r="AK828" s="195"/>
      <c r="AL828" s="195"/>
      <c r="AM828" s="1"/>
      <c r="AN828" s="240"/>
      <c r="AO828" s="240"/>
      <c r="AP828" s="240"/>
      <c r="AQ828" s="730"/>
      <c r="AR828" s="730"/>
      <c r="AS828" s="730"/>
      <c r="AT828" s="738"/>
      <c r="AU828" s="738"/>
      <c r="AV828" s="240"/>
      <c r="AW828" s="240"/>
      <c r="AX828" s="240"/>
      <c r="AY828" s="240"/>
      <c r="AZ828" s="240"/>
      <c r="BA828" s="240"/>
      <c r="BB828" s="672"/>
      <c r="BC828" s="731"/>
      <c r="BD828" s="731"/>
      <c r="BE828" s="731"/>
      <c r="BF828" s="672"/>
      <c r="BG828" s="732"/>
      <c r="BH828" s="240"/>
      <c r="BI828" s="240"/>
      <c r="BJ828" s="240"/>
      <c r="BK828" s="240"/>
      <c r="BL828" s="240"/>
      <c r="BM828" s="240"/>
      <c r="BN828" s="240"/>
      <c r="BO828" s="240"/>
      <c r="BP828" s="240"/>
      <c r="BQ828" s="240"/>
      <c r="BR828" s="240"/>
      <c r="BS828" s="240"/>
      <c r="BT828" s="240"/>
      <c r="BU828" s="672"/>
      <c r="BV828" s="672"/>
      <c r="BW828" s="672"/>
      <c r="BX828" s="672"/>
      <c r="BY828" s="672"/>
      <c r="BZ828" s="672"/>
      <c r="CA828" s="672"/>
      <c r="CB828" s="672"/>
      <c r="CC828" s="672"/>
      <c r="CD828" s="672"/>
      <c r="CE828" s="240"/>
      <c r="CF828" s="240"/>
      <c r="CG828" s="240"/>
      <c r="CH828" s="240"/>
      <c r="CI828" s="240"/>
      <c r="CJ828" s="728"/>
      <c r="CK828" s="728"/>
      <c r="CL828" s="195"/>
      <c r="CM828" s="195"/>
      <c r="CN828" s="195"/>
      <c r="CO828" s="195"/>
      <c r="CP828" s="195"/>
      <c r="CQ828" s="195"/>
      <c r="CR828" s="195"/>
      <c r="CS828" s="195"/>
      <c r="CT828" s="195"/>
      <c r="CU828" s="195"/>
      <c r="CV828" s="195"/>
      <c r="CW828" s="195"/>
      <c r="CX828" s="195"/>
      <c r="CY828" s="195"/>
      <c r="CZ828" s="195"/>
      <c r="DA828" s="195"/>
      <c r="DB828" s="195"/>
      <c r="DC828" s="195"/>
      <c r="DD828" s="195"/>
      <c r="DO828" s="195"/>
      <c r="DP828" s="195"/>
      <c r="DQ828" s="195"/>
      <c r="DR828" s="195"/>
      <c r="DS828" s="195"/>
      <c r="DT828" s="195"/>
      <c r="DU828" s="195"/>
      <c r="DV828" s="195"/>
      <c r="DW828" s="195"/>
      <c r="DX828" s="195"/>
      <c r="DY828" s="195"/>
      <c r="DZ828" s="195"/>
      <c r="EA828" s="195"/>
      <c r="EB828" s="195"/>
      <c r="EC828" s="195"/>
      <c r="ED828" s="195"/>
      <c r="EE828" s="195"/>
      <c r="EK828" s="195"/>
      <c r="EL828" s="240"/>
      <c r="EM828" s="240"/>
      <c r="EN828" s="195"/>
      <c r="EO828" s="240"/>
      <c r="EP828" s="195"/>
      <c r="EQ828" s="195"/>
      <c r="ER828" s="195"/>
      <c r="ES828" s="736"/>
    </row>
    <row r="829" customFormat="false" ht="12.75" hidden="false" customHeight="false" outlineLevel="0" collapsed="false">
      <c r="I829" s="735"/>
      <c r="J829" s="728"/>
      <c r="K829" s="195"/>
      <c r="L829" s="195"/>
      <c r="Q829" s="195"/>
      <c r="R829" s="195"/>
      <c r="S829" s="240"/>
      <c r="T829" s="195"/>
      <c r="U829" s="195"/>
      <c r="V829" s="195"/>
      <c r="W829" s="195"/>
      <c r="X829" s="195"/>
      <c r="Y829" s="195"/>
      <c r="Z829" s="195"/>
      <c r="AA829" s="195"/>
      <c r="AB829" s="195"/>
      <c r="AC829" s="195"/>
      <c r="AD829" s="195"/>
      <c r="AE829" s="195"/>
      <c r="AF829" s="195"/>
      <c r="AG829" s="195"/>
      <c r="AH829" s="195"/>
      <c r="AI829" s="195"/>
      <c r="AJ829" s="195"/>
      <c r="AK829" s="195"/>
      <c r="AL829" s="195"/>
      <c r="AM829" s="1"/>
      <c r="AN829" s="240"/>
      <c r="AO829" s="240"/>
      <c r="AP829" s="240"/>
      <c r="AQ829" s="730"/>
      <c r="AR829" s="730"/>
      <c r="AS829" s="730"/>
      <c r="AT829" s="738"/>
      <c r="AU829" s="738"/>
      <c r="AV829" s="240"/>
      <c r="AW829" s="240"/>
      <c r="AX829" s="240"/>
      <c r="AY829" s="240"/>
      <c r="AZ829" s="240"/>
      <c r="BA829" s="240"/>
      <c r="BB829" s="672"/>
      <c r="BC829" s="731"/>
      <c r="BD829" s="731"/>
      <c r="BE829" s="731"/>
      <c r="BF829" s="672"/>
      <c r="BG829" s="732"/>
      <c r="BH829" s="240"/>
      <c r="BI829" s="240"/>
      <c r="BJ829" s="240"/>
      <c r="BK829" s="240"/>
      <c r="BL829" s="240"/>
      <c r="BM829" s="240"/>
      <c r="BN829" s="240"/>
      <c r="BO829" s="240"/>
      <c r="BP829" s="240"/>
      <c r="BQ829" s="240"/>
      <c r="BR829" s="240"/>
      <c r="BS829" s="240"/>
      <c r="BT829" s="240"/>
      <c r="BU829" s="672"/>
      <c r="BV829" s="672"/>
      <c r="BW829" s="672"/>
      <c r="BX829" s="672"/>
      <c r="BY829" s="672"/>
      <c r="BZ829" s="672"/>
      <c r="CA829" s="672"/>
      <c r="CB829" s="672"/>
      <c r="CC829" s="672"/>
      <c r="CD829" s="672"/>
      <c r="CE829" s="240"/>
      <c r="CF829" s="240"/>
      <c r="CG829" s="240"/>
      <c r="CH829" s="240"/>
      <c r="CI829" s="240"/>
      <c r="CJ829" s="728"/>
      <c r="CK829" s="728"/>
      <c r="CL829" s="195"/>
      <c r="CM829" s="195"/>
      <c r="CN829" s="195"/>
      <c r="CO829" s="195"/>
      <c r="CP829" s="195"/>
      <c r="CQ829" s="195"/>
      <c r="CR829" s="195"/>
      <c r="CS829" s="195"/>
      <c r="CT829" s="195"/>
      <c r="CU829" s="195"/>
      <c r="CV829" s="195"/>
      <c r="CW829" s="195"/>
      <c r="CX829" s="195"/>
      <c r="CY829" s="195"/>
      <c r="CZ829" s="195"/>
      <c r="DA829" s="195"/>
      <c r="DB829" s="195"/>
      <c r="DC829" s="195"/>
      <c r="DD829" s="195"/>
      <c r="DO829" s="195"/>
      <c r="DP829" s="195"/>
      <c r="DQ829" s="195"/>
      <c r="DR829" s="195"/>
      <c r="DS829" s="195"/>
      <c r="DT829" s="195"/>
      <c r="DU829" s="195"/>
      <c r="DV829" s="195"/>
      <c r="DW829" s="195"/>
      <c r="DX829" s="195"/>
      <c r="DY829" s="195"/>
      <c r="DZ829" s="195"/>
      <c r="EA829" s="195"/>
      <c r="EB829" s="195"/>
      <c r="EC829" s="195"/>
      <c r="ED829" s="195"/>
      <c r="EE829" s="195"/>
      <c r="EK829" s="195"/>
      <c r="EL829" s="240"/>
      <c r="EM829" s="240"/>
      <c r="EN829" s="195"/>
      <c r="EO829" s="240"/>
      <c r="EP829" s="195"/>
      <c r="EQ829" s="195"/>
      <c r="ER829" s="195"/>
      <c r="ES829" s="736"/>
    </row>
    <row r="830" customFormat="false" ht="12.75" hidden="false" customHeight="false" outlineLevel="0" collapsed="false">
      <c r="I830" s="735"/>
      <c r="J830" s="728"/>
      <c r="K830" s="195"/>
      <c r="L830" s="195"/>
      <c r="Q830" s="195"/>
      <c r="R830" s="195"/>
      <c r="S830" s="240"/>
      <c r="T830" s="195"/>
      <c r="U830" s="195"/>
      <c r="V830" s="195"/>
      <c r="W830" s="195"/>
      <c r="X830" s="195"/>
      <c r="Y830" s="195"/>
      <c r="Z830" s="195"/>
      <c r="AA830" s="195"/>
      <c r="AB830" s="195"/>
      <c r="AC830" s="195"/>
      <c r="AD830" s="195"/>
      <c r="AE830" s="195"/>
      <c r="AF830" s="195"/>
      <c r="AG830" s="195"/>
      <c r="AH830" s="195"/>
      <c r="AI830" s="195"/>
      <c r="AJ830" s="195"/>
      <c r="AK830" s="195"/>
      <c r="AL830" s="195"/>
      <c r="AM830" s="1"/>
      <c r="AN830" s="240"/>
      <c r="AO830" s="240"/>
      <c r="AP830" s="240"/>
      <c r="AQ830" s="730"/>
      <c r="AR830" s="730"/>
      <c r="AS830" s="730"/>
      <c r="AT830" s="738"/>
      <c r="AU830" s="738"/>
      <c r="AV830" s="240"/>
      <c r="AW830" s="240"/>
      <c r="AX830" s="240"/>
      <c r="AY830" s="240"/>
      <c r="AZ830" s="240"/>
      <c r="BA830" s="240"/>
      <c r="BB830" s="672"/>
      <c r="BC830" s="731"/>
      <c r="BD830" s="731"/>
      <c r="BE830" s="731"/>
      <c r="BF830" s="672"/>
      <c r="BG830" s="732"/>
      <c r="BH830" s="240"/>
      <c r="BI830" s="240"/>
      <c r="BJ830" s="240"/>
      <c r="BK830" s="240"/>
      <c r="BL830" s="240"/>
      <c r="BM830" s="240"/>
      <c r="BN830" s="240"/>
      <c r="BO830" s="240"/>
      <c r="BP830" s="240"/>
      <c r="BQ830" s="240"/>
      <c r="BR830" s="240"/>
      <c r="BS830" s="240"/>
      <c r="BT830" s="240"/>
      <c r="BU830" s="672"/>
      <c r="BV830" s="672"/>
      <c r="BW830" s="672"/>
      <c r="BX830" s="672"/>
      <c r="BY830" s="672"/>
      <c r="BZ830" s="672"/>
      <c r="CA830" s="672"/>
      <c r="CB830" s="672"/>
      <c r="CC830" s="672"/>
      <c r="CD830" s="672"/>
      <c r="CE830" s="240"/>
      <c r="CF830" s="240"/>
      <c r="CG830" s="240"/>
      <c r="CH830" s="240"/>
      <c r="CI830" s="240"/>
      <c r="CJ830" s="728"/>
      <c r="CK830" s="728"/>
      <c r="CL830" s="195"/>
      <c r="CM830" s="195"/>
      <c r="CN830" s="195"/>
      <c r="CO830" s="195"/>
      <c r="CP830" s="195"/>
      <c r="CQ830" s="195"/>
      <c r="CR830" s="195"/>
      <c r="CS830" s="195"/>
      <c r="CT830" s="195"/>
      <c r="CU830" s="195"/>
      <c r="CV830" s="195"/>
      <c r="CW830" s="195"/>
      <c r="CX830" s="195"/>
      <c r="CY830" s="195"/>
      <c r="CZ830" s="195"/>
      <c r="DA830" s="195"/>
      <c r="DB830" s="195"/>
      <c r="DC830" s="195"/>
      <c r="DD830" s="195"/>
      <c r="DO830" s="195"/>
      <c r="DP830" s="195"/>
      <c r="DQ830" s="195"/>
      <c r="DR830" s="195"/>
      <c r="DS830" s="195"/>
      <c r="DT830" s="195"/>
      <c r="DU830" s="195"/>
      <c r="DV830" s="195"/>
      <c r="DW830" s="195"/>
      <c r="DX830" s="195"/>
      <c r="DY830" s="195"/>
      <c r="DZ830" s="195"/>
      <c r="EA830" s="195"/>
      <c r="EB830" s="195"/>
      <c r="EC830" s="195"/>
      <c r="ED830" s="195"/>
      <c r="EE830" s="195"/>
      <c r="EK830" s="195"/>
      <c r="EL830" s="240"/>
      <c r="EM830" s="240"/>
      <c r="EN830" s="195"/>
      <c r="EO830" s="240"/>
      <c r="EP830" s="195"/>
      <c r="EQ830" s="195"/>
      <c r="ER830" s="195"/>
      <c r="ES830" s="736"/>
    </row>
    <row r="831" customFormat="false" ht="12.75" hidden="false" customHeight="false" outlineLevel="0" collapsed="false">
      <c r="I831" s="735"/>
      <c r="J831" s="728"/>
      <c r="K831" s="195"/>
      <c r="L831" s="195"/>
      <c r="Q831" s="195"/>
      <c r="R831" s="195"/>
      <c r="S831" s="240"/>
      <c r="T831" s="195"/>
      <c r="U831" s="195"/>
      <c r="V831" s="195"/>
      <c r="W831" s="195"/>
      <c r="X831" s="195"/>
      <c r="Y831" s="195"/>
      <c r="Z831" s="195"/>
      <c r="AA831" s="195"/>
      <c r="AB831" s="195"/>
      <c r="AC831" s="195"/>
      <c r="AD831" s="195"/>
      <c r="AE831" s="195"/>
      <c r="AF831" s="195"/>
      <c r="AG831" s="195"/>
      <c r="AH831" s="195"/>
      <c r="AI831" s="195"/>
      <c r="AJ831" s="195"/>
      <c r="AK831" s="195"/>
      <c r="AL831" s="195"/>
      <c r="AM831" s="1"/>
      <c r="AN831" s="240"/>
      <c r="AO831" s="240"/>
      <c r="AP831" s="240"/>
      <c r="AQ831" s="730"/>
      <c r="AR831" s="730"/>
      <c r="AS831" s="730"/>
      <c r="AT831" s="738"/>
      <c r="AU831" s="738"/>
      <c r="AV831" s="240"/>
      <c r="AW831" s="240"/>
      <c r="AX831" s="240"/>
      <c r="AY831" s="240"/>
      <c r="AZ831" s="240"/>
      <c r="BA831" s="240"/>
      <c r="BB831" s="672"/>
      <c r="BC831" s="731"/>
      <c r="BD831" s="731"/>
      <c r="BE831" s="731"/>
      <c r="BF831" s="672"/>
      <c r="BG831" s="732"/>
      <c r="BH831" s="240"/>
      <c r="BI831" s="240"/>
      <c r="BJ831" s="240"/>
      <c r="BK831" s="240"/>
      <c r="BL831" s="240"/>
      <c r="BM831" s="240"/>
      <c r="BN831" s="240"/>
      <c r="BO831" s="240"/>
      <c r="BP831" s="240"/>
      <c r="BQ831" s="240"/>
      <c r="BR831" s="240"/>
      <c r="BS831" s="240"/>
      <c r="BT831" s="240"/>
      <c r="BU831" s="672"/>
      <c r="BV831" s="672"/>
      <c r="BW831" s="672"/>
      <c r="BX831" s="672"/>
      <c r="BY831" s="672"/>
      <c r="BZ831" s="672"/>
      <c r="CA831" s="672"/>
      <c r="CB831" s="672"/>
      <c r="CC831" s="672"/>
      <c r="CD831" s="672"/>
      <c r="CE831" s="240"/>
      <c r="CF831" s="240"/>
      <c r="CG831" s="240"/>
      <c r="CH831" s="240"/>
      <c r="CI831" s="240"/>
      <c r="CJ831" s="728"/>
      <c r="CK831" s="728"/>
      <c r="CL831" s="195"/>
      <c r="CM831" s="195"/>
      <c r="CN831" s="195"/>
      <c r="CO831" s="195"/>
      <c r="CP831" s="195"/>
      <c r="CQ831" s="195"/>
      <c r="CR831" s="195"/>
      <c r="CS831" s="195"/>
      <c r="CT831" s="195"/>
      <c r="CU831" s="195"/>
      <c r="CV831" s="195"/>
      <c r="CW831" s="195"/>
      <c r="CX831" s="195"/>
      <c r="CY831" s="195"/>
      <c r="CZ831" s="195"/>
      <c r="DA831" s="195"/>
      <c r="DB831" s="195"/>
      <c r="DC831" s="195"/>
      <c r="DD831" s="195"/>
      <c r="DO831" s="195"/>
      <c r="DP831" s="195"/>
      <c r="DQ831" s="195"/>
      <c r="DR831" s="195"/>
      <c r="DS831" s="195"/>
      <c r="DT831" s="195"/>
      <c r="DU831" s="195"/>
      <c r="DV831" s="195"/>
      <c r="DW831" s="195"/>
      <c r="DX831" s="195"/>
      <c r="DY831" s="195"/>
      <c r="DZ831" s="195"/>
      <c r="EA831" s="195"/>
      <c r="EB831" s="195"/>
      <c r="EC831" s="195"/>
      <c r="ED831" s="195"/>
      <c r="EE831" s="195"/>
      <c r="EK831" s="195"/>
      <c r="EL831" s="240"/>
      <c r="EM831" s="240"/>
      <c r="EN831" s="195"/>
      <c r="EO831" s="240"/>
      <c r="EP831" s="195"/>
      <c r="EQ831" s="195"/>
      <c r="ER831" s="195"/>
      <c r="ES831" s="736"/>
    </row>
    <row r="832" customFormat="false" ht="12.75" hidden="false" customHeight="false" outlineLevel="0" collapsed="false">
      <c r="I832" s="735"/>
      <c r="J832" s="728"/>
      <c r="K832" s="195"/>
      <c r="L832" s="195"/>
      <c r="Q832" s="195"/>
      <c r="R832" s="195"/>
      <c r="S832" s="240"/>
      <c r="T832" s="195"/>
      <c r="U832" s="195"/>
      <c r="V832" s="195"/>
      <c r="W832" s="195"/>
      <c r="X832" s="195"/>
      <c r="Y832" s="195"/>
      <c r="Z832" s="195"/>
      <c r="AA832" s="195"/>
      <c r="AB832" s="195"/>
      <c r="AC832" s="195"/>
      <c r="AD832" s="195"/>
      <c r="AE832" s="195"/>
      <c r="AF832" s="195"/>
      <c r="AG832" s="195"/>
      <c r="AH832" s="195"/>
      <c r="AI832" s="195"/>
      <c r="AJ832" s="195"/>
      <c r="AK832" s="195"/>
      <c r="AL832" s="195"/>
      <c r="AM832" s="1"/>
      <c r="AN832" s="240"/>
      <c r="AO832" s="240"/>
      <c r="AP832" s="240"/>
      <c r="AQ832" s="730"/>
      <c r="AR832" s="730"/>
      <c r="AS832" s="730"/>
      <c r="AT832" s="738"/>
      <c r="AU832" s="738"/>
      <c r="AV832" s="240"/>
      <c r="AW832" s="240"/>
      <c r="AX832" s="240"/>
      <c r="AY832" s="240"/>
      <c r="AZ832" s="240"/>
      <c r="BA832" s="240"/>
      <c r="BB832" s="672"/>
      <c r="BC832" s="731"/>
      <c r="BD832" s="731"/>
      <c r="BE832" s="731"/>
      <c r="BF832" s="672"/>
      <c r="BG832" s="732"/>
      <c r="BH832" s="240"/>
      <c r="BI832" s="240"/>
      <c r="BJ832" s="240"/>
      <c r="BK832" s="240"/>
      <c r="BL832" s="240"/>
      <c r="BM832" s="240"/>
      <c r="BN832" s="240"/>
      <c r="BO832" s="240"/>
      <c r="BP832" s="240"/>
      <c r="BQ832" s="240"/>
      <c r="BR832" s="240"/>
      <c r="BS832" s="240"/>
      <c r="BT832" s="240"/>
      <c r="BU832" s="672"/>
      <c r="BV832" s="672"/>
      <c r="BW832" s="672"/>
      <c r="BX832" s="672"/>
      <c r="BY832" s="672"/>
      <c r="BZ832" s="672"/>
      <c r="CA832" s="672"/>
      <c r="CB832" s="672"/>
      <c r="CC832" s="672"/>
      <c r="CD832" s="672"/>
      <c r="CE832" s="240"/>
      <c r="CF832" s="240"/>
      <c r="CG832" s="240"/>
      <c r="CH832" s="240"/>
      <c r="CI832" s="240"/>
      <c r="CJ832" s="728"/>
      <c r="CK832" s="728"/>
      <c r="CL832" s="195"/>
      <c r="CM832" s="195"/>
      <c r="CN832" s="195"/>
      <c r="CO832" s="195"/>
      <c r="CP832" s="195"/>
      <c r="CQ832" s="195"/>
      <c r="CR832" s="195"/>
      <c r="CS832" s="195"/>
      <c r="CT832" s="195"/>
      <c r="CU832" s="195"/>
      <c r="CV832" s="195"/>
      <c r="CW832" s="195"/>
      <c r="CX832" s="195"/>
      <c r="CY832" s="195"/>
      <c r="CZ832" s="195"/>
      <c r="DA832" s="195"/>
      <c r="DB832" s="195"/>
      <c r="DC832" s="195"/>
      <c r="DD832" s="195"/>
      <c r="DO832" s="195"/>
      <c r="DP832" s="195"/>
      <c r="DQ832" s="195"/>
      <c r="DR832" s="195"/>
      <c r="DS832" s="195"/>
      <c r="DT832" s="195"/>
      <c r="DU832" s="195"/>
      <c r="DV832" s="195"/>
      <c r="DW832" s="195"/>
      <c r="DX832" s="195"/>
      <c r="DY832" s="195"/>
      <c r="DZ832" s="195"/>
      <c r="EA832" s="195"/>
      <c r="EB832" s="195"/>
      <c r="EC832" s="195"/>
      <c r="ED832" s="195"/>
      <c r="EE832" s="195"/>
      <c r="EK832" s="195"/>
      <c r="EL832" s="240"/>
      <c r="EM832" s="240"/>
      <c r="EN832" s="195"/>
      <c r="EO832" s="240"/>
      <c r="EP832" s="195"/>
      <c r="EQ832" s="195"/>
      <c r="ER832" s="195"/>
      <c r="ES832" s="736"/>
    </row>
    <row r="833" customFormat="false" ht="12.75" hidden="false" customHeight="false" outlineLevel="0" collapsed="false">
      <c r="I833" s="735"/>
      <c r="J833" s="728"/>
      <c r="K833" s="195"/>
      <c r="L833" s="195"/>
      <c r="Q833" s="195"/>
      <c r="R833" s="195"/>
      <c r="S833" s="240"/>
      <c r="T833" s="195"/>
      <c r="U833" s="195"/>
      <c r="V833" s="195"/>
      <c r="W833" s="195"/>
      <c r="X833" s="195"/>
      <c r="Y833" s="195"/>
      <c r="Z833" s="195"/>
      <c r="AA833" s="195"/>
      <c r="AB833" s="195"/>
      <c r="AC833" s="195"/>
      <c r="AD833" s="195"/>
      <c r="AE833" s="195"/>
      <c r="AF833" s="195"/>
      <c r="AG833" s="195"/>
      <c r="AH833" s="195"/>
      <c r="AI833" s="195"/>
      <c r="AJ833" s="195"/>
      <c r="AK833" s="195"/>
      <c r="AL833" s="195"/>
      <c r="AM833" s="1"/>
      <c r="AN833" s="240"/>
      <c r="AO833" s="240"/>
      <c r="AP833" s="240"/>
      <c r="AQ833" s="730"/>
      <c r="AR833" s="730"/>
      <c r="AS833" s="730"/>
      <c r="AT833" s="738"/>
      <c r="AU833" s="738"/>
      <c r="AV833" s="240"/>
      <c r="AW833" s="240"/>
      <c r="AX833" s="240"/>
      <c r="AY833" s="240"/>
      <c r="AZ833" s="240"/>
      <c r="BA833" s="240"/>
      <c r="BB833" s="672"/>
      <c r="BC833" s="731"/>
      <c r="BD833" s="731"/>
      <c r="BE833" s="731"/>
      <c r="BF833" s="672"/>
      <c r="BG833" s="732"/>
      <c r="BH833" s="240"/>
      <c r="BI833" s="240"/>
      <c r="BJ833" s="240"/>
      <c r="BK833" s="240"/>
      <c r="BL833" s="240"/>
      <c r="BM833" s="240"/>
      <c r="BN833" s="240"/>
      <c r="BO833" s="240"/>
      <c r="BP833" s="240"/>
      <c r="BQ833" s="240"/>
      <c r="BR833" s="240"/>
      <c r="BS833" s="240"/>
      <c r="BT833" s="240"/>
      <c r="BU833" s="672"/>
      <c r="BV833" s="672"/>
      <c r="BW833" s="672"/>
      <c r="BX833" s="672"/>
      <c r="BY833" s="672"/>
      <c r="BZ833" s="672"/>
      <c r="CA833" s="672"/>
      <c r="CB833" s="672"/>
      <c r="CC833" s="672"/>
      <c r="CD833" s="672"/>
      <c r="CE833" s="240"/>
      <c r="CF833" s="240"/>
      <c r="CG833" s="240"/>
      <c r="CH833" s="240"/>
      <c r="CI833" s="240"/>
      <c r="CJ833" s="728"/>
      <c r="CK833" s="728"/>
      <c r="CL833" s="195"/>
      <c r="CM833" s="195"/>
      <c r="CN833" s="195"/>
      <c r="CO833" s="195"/>
      <c r="CP833" s="195"/>
      <c r="CQ833" s="195"/>
      <c r="CR833" s="195"/>
      <c r="CS833" s="195"/>
      <c r="CT833" s="195"/>
      <c r="CU833" s="195"/>
      <c r="CV833" s="195"/>
      <c r="CW833" s="195"/>
      <c r="CX833" s="195"/>
      <c r="CY833" s="195"/>
      <c r="CZ833" s="195"/>
      <c r="DA833" s="195"/>
      <c r="DB833" s="195"/>
      <c r="DC833" s="195"/>
      <c r="DD833" s="195"/>
      <c r="DO833" s="195"/>
      <c r="DP833" s="195"/>
      <c r="DQ833" s="195"/>
      <c r="DR833" s="195"/>
      <c r="DS833" s="195"/>
      <c r="DT833" s="195"/>
      <c r="DU833" s="195"/>
      <c r="DV833" s="195"/>
      <c r="DW833" s="195"/>
      <c r="DX833" s="195"/>
      <c r="DY833" s="195"/>
      <c r="DZ833" s="195"/>
      <c r="EA833" s="195"/>
      <c r="EB833" s="195"/>
      <c r="EC833" s="195"/>
      <c r="ED833" s="195"/>
      <c r="EE833" s="195"/>
      <c r="EK833" s="195"/>
      <c r="EL833" s="240"/>
      <c r="EM833" s="240"/>
      <c r="EN833" s="195"/>
      <c r="EO833" s="240"/>
      <c r="EP833" s="195"/>
      <c r="EQ833" s="195"/>
      <c r="ER833" s="195"/>
      <c r="ES833" s="736"/>
    </row>
    <row r="834" customFormat="false" ht="12.75" hidden="false" customHeight="false" outlineLevel="0" collapsed="false">
      <c r="I834" s="735"/>
      <c r="J834" s="728"/>
      <c r="K834" s="195"/>
      <c r="L834" s="195"/>
      <c r="Q834" s="195"/>
      <c r="R834" s="195"/>
      <c r="S834" s="240"/>
      <c r="T834" s="195"/>
      <c r="U834" s="195"/>
      <c r="V834" s="195"/>
      <c r="W834" s="195"/>
      <c r="X834" s="195"/>
      <c r="Y834" s="195"/>
      <c r="Z834" s="195"/>
      <c r="AA834" s="195"/>
      <c r="AB834" s="195"/>
      <c r="AC834" s="195"/>
      <c r="AD834" s="195"/>
      <c r="AE834" s="195"/>
      <c r="AF834" s="195"/>
      <c r="AG834" s="195"/>
      <c r="AH834" s="195"/>
      <c r="AI834" s="195"/>
      <c r="AJ834" s="195"/>
      <c r="AK834" s="195"/>
      <c r="AL834" s="195"/>
      <c r="AM834" s="1"/>
      <c r="AN834" s="240"/>
      <c r="AO834" s="240"/>
      <c r="AP834" s="240"/>
      <c r="AQ834" s="730"/>
      <c r="AR834" s="730"/>
      <c r="AS834" s="730"/>
      <c r="AT834" s="738"/>
      <c r="AU834" s="738"/>
      <c r="AV834" s="240"/>
      <c r="AW834" s="240"/>
      <c r="AX834" s="240"/>
      <c r="AY834" s="240"/>
      <c r="AZ834" s="240"/>
      <c r="BA834" s="240"/>
      <c r="BB834" s="672"/>
      <c r="BC834" s="731"/>
      <c r="BD834" s="731"/>
      <c r="BE834" s="731"/>
      <c r="BF834" s="672"/>
      <c r="BG834" s="732"/>
      <c r="BH834" s="240"/>
      <c r="BI834" s="240"/>
      <c r="BJ834" s="240"/>
      <c r="BK834" s="240"/>
      <c r="BL834" s="240"/>
      <c r="BM834" s="240"/>
      <c r="BN834" s="240"/>
      <c r="BO834" s="240"/>
      <c r="BP834" s="240"/>
      <c r="BQ834" s="240"/>
      <c r="BR834" s="240"/>
      <c r="BS834" s="240"/>
      <c r="BT834" s="240"/>
      <c r="BU834" s="672"/>
      <c r="BV834" s="672"/>
      <c r="BW834" s="672"/>
      <c r="BX834" s="672"/>
      <c r="BY834" s="672"/>
      <c r="BZ834" s="672"/>
      <c r="CA834" s="672"/>
      <c r="CB834" s="672"/>
      <c r="CC834" s="672"/>
      <c r="CD834" s="672"/>
      <c r="CE834" s="240"/>
      <c r="CF834" s="240"/>
      <c r="CG834" s="240"/>
      <c r="CH834" s="240"/>
      <c r="CI834" s="240"/>
      <c r="CJ834" s="728"/>
      <c r="CK834" s="728"/>
      <c r="CL834" s="195"/>
      <c r="CM834" s="195"/>
      <c r="CN834" s="195"/>
      <c r="CO834" s="195"/>
      <c r="CP834" s="195"/>
      <c r="CQ834" s="195"/>
      <c r="CR834" s="195"/>
      <c r="CS834" s="195"/>
      <c r="CT834" s="195"/>
      <c r="CU834" s="195"/>
      <c r="CV834" s="195"/>
      <c r="CW834" s="195"/>
      <c r="CX834" s="195"/>
      <c r="CY834" s="195"/>
      <c r="CZ834" s="195"/>
      <c r="DA834" s="195"/>
      <c r="DB834" s="195"/>
      <c r="DC834" s="195"/>
      <c r="DD834" s="195"/>
      <c r="DO834" s="195"/>
      <c r="DP834" s="195"/>
      <c r="DQ834" s="195"/>
      <c r="DR834" s="195"/>
      <c r="DS834" s="195"/>
      <c r="DT834" s="195"/>
      <c r="DU834" s="195"/>
      <c r="DV834" s="195"/>
      <c r="DW834" s="195"/>
      <c r="DX834" s="195"/>
      <c r="DY834" s="195"/>
      <c r="DZ834" s="195"/>
      <c r="EA834" s="195"/>
      <c r="EB834" s="195"/>
      <c r="EC834" s="195"/>
      <c r="ED834" s="195"/>
      <c r="EE834" s="195"/>
      <c r="EK834" s="195"/>
      <c r="EL834" s="240"/>
      <c r="EM834" s="240"/>
      <c r="EN834" s="195"/>
      <c r="EO834" s="240"/>
      <c r="EP834" s="195"/>
      <c r="EQ834" s="195"/>
      <c r="ER834" s="195"/>
      <c r="ES834" s="736"/>
    </row>
    <row r="835" customFormat="false" ht="12.75" hidden="false" customHeight="false" outlineLevel="0" collapsed="false">
      <c r="I835" s="735"/>
      <c r="J835" s="728"/>
      <c r="K835" s="195"/>
      <c r="L835" s="195"/>
      <c r="Q835" s="195"/>
      <c r="R835" s="195"/>
      <c r="S835" s="240"/>
      <c r="T835" s="195"/>
      <c r="U835" s="195"/>
      <c r="V835" s="195"/>
      <c r="W835" s="195"/>
      <c r="X835" s="195"/>
      <c r="Y835" s="195"/>
      <c r="Z835" s="195"/>
      <c r="AA835" s="195"/>
      <c r="AB835" s="195"/>
      <c r="AC835" s="195"/>
      <c r="AD835" s="195"/>
      <c r="AE835" s="195"/>
      <c r="AF835" s="195"/>
      <c r="AG835" s="195"/>
      <c r="AH835" s="195"/>
      <c r="AI835" s="195"/>
      <c r="AJ835" s="195"/>
      <c r="AK835" s="195"/>
      <c r="AL835" s="195"/>
      <c r="AM835" s="1"/>
      <c r="AN835" s="240"/>
      <c r="AO835" s="240"/>
      <c r="AP835" s="240"/>
      <c r="AQ835" s="730"/>
      <c r="AR835" s="730"/>
      <c r="AS835" s="730"/>
      <c r="AT835" s="738"/>
      <c r="AU835" s="738"/>
      <c r="AV835" s="240"/>
      <c r="AW835" s="240"/>
      <c r="AX835" s="240"/>
      <c r="AY835" s="240"/>
      <c r="AZ835" s="240"/>
      <c r="BA835" s="240"/>
      <c r="BB835" s="672"/>
      <c r="BC835" s="731"/>
      <c r="BD835" s="731"/>
      <c r="BE835" s="731"/>
      <c r="BF835" s="672"/>
      <c r="BG835" s="732"/>
      <c r="BH835" s="240"/>
      <c r="BI835" s="240"/>
      <c r="BJ835" s="240"/>
      <c r="BK835" s="240"/>
      <c r="BL835" s="240"/>
      <c r="BM835" s="240"/>
      <c r="BN835" s="240"/>
      <c r="BO835" s="240"/>
      <c r="BP835" s="240"/>
      <c r="BQ835" s="240"/>
      <c r="BR835" s="240"/>
      <c r="BS835" s="240"/>
      <c r="BT835" s="240"/>
      <c r="BU835" s="672"/>
      <c r="BV835" s="672"/>
      <c r="BW835" s="672"/>
      <c r="BX835" s="672"/>
      <c r="BY835" s="672"/>
      <c r="BZ835" s="672"/>
      <c r="CA835" s="672"/>
      <c r="CB835" s="672"/>
      <c r="CC835" s="672"/>
      <c r="CD835" s="672"/>
      <c r="CE835" s="240"/>
      <c r="CF835" s="240"/>
      <c r="CG835" s="240"/>
      <c r="CH835" s="240"/>
      <c r="CI835" s="240"/>
      <c r="CJ835" s="728"/>
      <c r="CK835" s="728"/>
      <c r="CL835" s="195"/>
      <c r="CM835" s="195"/>
      <c r="CN835" s="195"/>
      <c r="CO835" s="195"/>
      <c r="CP835" s="195"/>
      <c r="CQ835" s="195"/>
      <c r="CR835" s="195"/>
      <c r="CS835" s="195"/>
      <c r="CT835" s="195"/>
      <c r="CU835" s="195"/>
      <c r="CV835" s="195"/>
      <c r="CW835" s="195"/>
      <c r="CX835" s="195"/>
      <c r="CY835" s="195"/>
      <c r="CZ835" s="195"/>
      <c r="DA835" s="195"/>
      <c r="DB835" s="195"/>
      <c r="DC835" s="195"/>
      <c r="DD835" s="195"/>
      <c r="DO835" s="195"/>
      <c r="DP835" s="195"/>
      <c r="DQ835" s="195"/>
      <c r="DR835" s="195"/>
      <c r="DS835" s="195"/>
      <c r="DT835" s="195"/>
      <c r="DU835" s="195"/>
      <c r="DV835" s="195"/>
      <c r="DW835" s="195"/>
      <c r="DX835" s="195"/>
      <c r="DY835" s="195"/>
      <c r="DZ835" s="195"/>
      <c r="EA835" s="195"/>
      <c r="EB835" s="195"/>
      <c r="EC835" s="195"/>
      <c r="ED835" s="195"/>
      <c r="EE835" s="195"/>
      <c r="EK835" s="195"/>
      <c r="EL835" s="240"/>
      <c r="EM835" s="240"/>
      <c r="EN835" s="195"/>
      <c r="EO835" s="240"/>
      <c r="EP835" s="195"/>
      <c r="EQ835" s="195"/>
      <c r="ER835" s="195"/>
      <c r="ES835" s="736"/>
    </row>
    <row r="836" customFormat="false" ht="12.75" hidden="false" customHeight="false" outlineLevel="0" collapsed="false">
      <c r="I836" s="735"/>
      <c r="J836" s="728"/>
      <c r="K836" s="195"/>
      <c r="L836" s="195"/>
      <c r="Q836" s="195"/>
      <c r="R836" s="195"/>
      <c r="S836" s="240"/>
      <c r="T836" s="195"/>
      <c r="U836" s="195"/>
      <c r="V836" s="195"/>
      <c r="W836" s="195"/>
      <c r="X836" s="195"/>
      <c r="Y836" s="195"/>
      <c r="Z836" s="195"/>
      <c r="AA836" s="195"/>
      <c r="AB836" s="195"/>
      <c r="AC836" s="195"/>
      <c r="AD836" s="195"/>
      <c r="AE836" s="195"/>
      <c r="AF836" s="195"/>
      <c r="AG836" s="195"/>
      <c r="AH836" s="195"/>
      <c r="AI836" s="195"/>
      <c r="AJ836" s="195"/>
      <c r="AK836" s="195"/>
      <c r="AL836" s="195"/>
      <c r="AM836" s="1"/>
      <c r="AN836" s="240"/>
      <c r="AO836" s="240"/>
      <c r="AP836" s="240"/>
      <c r="AQ836" s="730"/>
      <c r="AR836" s="730"/>
      <c r="AS836" s="730"/>
      <c r="AT836" s="738"/>
      <c r="AU836" s="738"/>
      <c r="AV836" s="240"/>
      <c r="AW836" s="240"/>
      <c r="AX836" s="240"/>
      <c r="AY836" s="240"/>
      <c r="AZ836" s="240"/>
      <c r="BA836" s="240"/>
      <c r="BB836" s="672"/>
      <c r="BC836" s="731"/>
      <c r="BD836" s="731"/>
      <c r="BE836" s="731"/>
      <c r="BF836" s="672"/>
      <c r="BG836" s="732"/>
      <c r="BH836" s="240"/>
      <c r="BI836" s="240"/>
      <c r="BJ836" s="240"/>
      <c r="BK836" s="240"/>
      <c r="BL836" s="240"/>
      <c r="BM836" s="240"/>
      <c r="BN836" s="240"/>
      <c r="BO836" s="240"/>
      <c r="BP836" s="240"/>
      <c r="BQ836" s="240"/>
      <c r="BR836" s="240"/>
      <c r="BS836" s="240"/>
      <c r="BT836" s="240"/>
      <c r="BU836" s="672"/>
      <c r="BV836" s="672"/>
      <c r="BW836" s="672"/>
      <c r="BX836" s="672"/>
      <c r="BY836" s="672"/>
      <c r="BZ836" s="672"/>
      <c r="CA836" s="672"/>
      <c r="CB836" s="672"/>
      <c r="CC836" s="672"/>
      <c r="CD836" s="672"/>
      <c r="CE836" s="240"/>
      <c r="CF836" s="240"/>
      <c r="CG836" s="240"/>
      <c r="CH836" s="240"/>
      <c r="CI836" s="240"/>
      <c r="CJ836" s="728"/>
      <c r="CK836" s="728"/>
      <c r="CL836" s="195"/>
      <c r="CM836" s="195"/>
      <c r="CN836" s="195"/>
      <c r="CO836" s="195"/>
      <c r="CP836" s="195"/>
      <c r="CQ836" s="195"/>
      <c r="CR836" s="195"/>
      <c r="CS836" s="195"/>
      <c r="CT836" s="195"/>
      <c r="CU836" s="195"/>
      <c r="CV836" s="195"/>
      <c r="CW836" s="195"/>
      <c r="CX836" s="195"/>
      <c r="CY836" s="195"/>
      <c r="CZ836" s="195"/>
      <c r="DA836" s="195"/>
      <c r="DB836" s="195"/>
      <c r="DC836" s="195"/>
      <c r="DD836" s="195"/>
      <c r="DO836" s="195"/>
      <c r="DP836" s="195"/>
      <c r="DQ836" s="195"/>
      <c r="DR836" s="195"/>
      <c r="DS836" s="195"/>
      <c r="DT836" s="195"/>
      <c r="DU836" s="195"/>
      <c r="DV836" s="195"/>
      <c r="DW836" s="195"/>
      <c r="DX836" s="195"/>
      <c r="DY836" s="195"/>
      <c r="DZ836" s="195"/>
      <c r="EA836" s="195"/>
      <c r="EB836" s="195"/>
      <c r="EC836" s="195"/>
      <c r="ED836" s="195"/>
      <c r="EE836" s="195"/>
      <c r="EK836" s="195"/>
      <c r="EL836" s="240"/>
      <c r="EM836" s="240"/>
      <c r="EN836" s="195"/>
      <c r="EO836" s="240"/>
      <c r="EP836" s="195"/>
      <c r="EQ836" s="195"/>
      <c r="ER836" s="195"/>
      <c r="ES836" s="736"/>
    </row>
    <row r="837" customFormat="false" ht="12.75" hidden="false" customHeight="false" outlineLevel="0" collapsed="false">
      <c r="I837" s="735"/>
      <c r="J837" s="728"/>
      <c r="K837" s="195"/>
      <c r="L837" s="195"/>
      <c r="Q837" s="195"/>
      <c r="R837" s="195"/>
      <c r="S837" s="240"/>
      <c r="T837" s="195"/>
      <c r="U837" s="195"/>
      <c r="V837" s="195"/>
      <c r="W837" s="195"/>
      <c r="X837" s="195"/>
      <c r="Y837" s="195"/>
      <c r="Z837" s="195"/>
      <c r="AA837" s="195"/>
      <c r="AB837" s="195"/>
      <c r="AC837" s="195"/>
      <c r="AD837" s="195"/>
      <c r="AE837" s="195"/>
      <c r="AF837" s="195"/>
      <c r="AG837" s="195"/>
      <c r="AH837" s="195"/>
      <c r="AI837" s="195"/>
      <c r="AJ837" s="195"/>
      <c r="AK837" s="195"/>
      <c r="AL837" s="195"/>
      <c r="AM837" s="1"/>
      <c r="AN837" s="240"/>
      <c r="AO837" s="240"/>
      <c r="AP837" s="240"/>
      <c r="AQ837" s="730"/>
      <c r="AR837" s="730"/>
      <c r="AS837" s="730"/>
      <c r="AT837" s="738"/>
      <c r="AU837" s="738"/>
      <c r="AV837" s="240"/>
      <c r="AW837" s="240"/>
      <c r="AX837" s="240"/>
      <c r="AY837" s="240"/>
      <c r="AZ837" s="240"/>
      <c r="BA837" s="240"/>
      <c r="BB837" s="672"/>
      <c r="BC837" s="731"/>
      <c r="BD837" s="731"/>
      <c r="BE837" s="731"/>
      <c r="BF837" s="672"/>
      <c r="BG837" s="732"/>
      <c r="BH837" s="240"/>
      <c r="BI837" s="240"/>
      <c r="BJ837" s="240"/>
      <c r="BK837" s="240"/>
      <c r="BL837" s="240"/>
      <c r="BM837" s="240"/>
      <c r="BN837" s="240"/>
      <c r="BO837" s="240"/>
      <c r="BP837" s="240"/>
      <c r="BQ837" s="240"/>
      <c r="BR837" s="240"/>
      <c r="BS837" s="240"/>
      <c r="BT837" s="240"/>
      <c r="BU837" s="672"/>
      <c r="BV837" s="672"/>
      <c r="BW837" s="672"/>
      <c r="BX837" s="672"/>
      <c r="BY837" s="672"/>
      <c r="BZ837" s="672"/>
      <c r="CA837" s="672"/>
      <c r="CB837" s="672"/>
      <c r="CC837" s="672"/>
      <c r="CD837" s="672"/>
      <c r="CE837" s="240"/>
      <c r="CF837" s="240"/>
      <c r="CG837" s="240"/>
      <c r="CH837" s="240"/>
      <c r="CI837" s="240"/>
      <c r="CJ837" s="728"/>
      <c r="CK837" s="728"/>
      <c r="CL837" s="195"/>
      <c r="CM837" s="195"/>
      <c r="CN837" s="195"/>
      <c r="CO837" s="195"/>
      <c r="CP837" s="195"/>
      <c r="CQ837" s="195"/>
      <c r="CR837" s="195"/>
      <c r="CS837" s="195"/>
      <c r="CT837" s="195"/>
      <c r="CU837" s="195"/>
      <c r="CV837" s="195"/>
      <c r="CW837" s="195"/>
      <c r="CX837" s="195"/>
      <c r="CY837" s="195"/>
      <c r="CZ837" s="195"/>
      <c r="DA837" s="195"/>
      <c r="DB837" s="195"/>
      <c r="DC837" s="195"/>
      <c r="DD837" s="195"/>
      <c r="DO837" s="195"/>
      <c r="DP837" s="195"/>
      <c r="DQ837" s="195"/>
      <c r="DR837" s="195"/>
      <c r="DS837" s="195"/>
      <c r="DT837" s="195"/>
      <c r="DU837" s="195"/>
      <c r="DV837" s="195"/>
      <c r="DW837" s="195"/>
      <c r="DX837" s="195"/>
      <c r="DY837" s="195"/>
      <c r="DZ837" s="195"/>
      <c r="EA837" s="195"/>
      <c r="EB837" s="195"/>
      <c r="EC837" s="195"/>
      <c r="ED837" s="195"/>
      <c r="EE837" s="195"/>
      <c r="EK837" s="195"/>
      <c r="EL837" s="240"/>
      <c r="EM837" s="240"/>
      <c r="EN837" s="195"/>
      <c r="EO837" s="240"/>
      <c r="EP837" s="195"/>
      <c r="EQ837" s="195"/>
      <c r="ER837" s="195"/>
      <c r="ES837" s="736"/>
    </row>
    <row r="838" customFormat="false" ht="12.75" hidden="false" customHeight="false" outlineLevel="0" collapsed="false">
      <c r="I838" s="735"/>
      <c r="J838" s="728"/>
      <c r="K838" s="195"/>
      <c r="L838" s="195"/>
      <c r="Q838" s="195"/>
      <c r="R838" s="195"/>
      <c r="S838" s="240"/>
      <c r="T838" s="195"/>
      <c r="U838" s="195"/>
      <c r="V838" s="195"/>
      <c r="W838" s="195"/>
      <c r="X838" s="195"/>
      <c r="Y838" s="195"/>
      <c r="Z838" s="195"/>
      <c r="AA838" s="195"/>
      <c r="AB838" s="195"/>
      <c r="AC838" s="195"/>
      <c r="AD838" s="195"/>
      <c r="AE838" s="195"/>
      <c r="AF838" s="195"/>
      <c r="AG838" s="195"/>
      <c r="AH838" s="195"/>
      <c r="AI838" s="195"/>
      <c r="AJ838" s="195"/>
      <c r="AK838" s="195"/>
      <c r="AL838" s="195"/>
      <c r="AM838" s="1"/>
      <c r="AN838" s="240"/>
      <c r="AO838" s="240"/>
      <c r="AP838" s="240"/>
      <c r="AQ838" s="730"/>
      <c r="AR838" s="730"/>
      <c r="AS838" s="730"/>
      <c r="AT838" s="738"/>
      <c r="AU838" s="738"/>
      <c r="AV838" s="240"/>
      <c r="AW838" s="240"/>
      <c r="AX838" s="240"/>
      <c r="AY838" s="240"/>
      <c r="AZ838" s="240"/>
      <c r="BA838" s="240"/>
      <c r="BB838" s="672"/>
      <c r="BC838" s="731"/>
      <c r="BD838" s="731"/>
      <c r="BE838" s="731"/>
      <c r="BF838" s="672"/>
      <c r="BG838" s="732"/>
      <c r="BH838" s="240"/>
      <c r="BI838" s="240"/>
      <c r="BJ838" s="240"/>
      <c r="BK838" s="240"/>
      <c r="BL838" s="240"/>
      <c r="BM838" s="240"/>
      <c r="BN838" s="240"/>
      <c r="BO838" s="240"/>
      <c r="BP838" s="240"/>
      <c r="BQ838" s="240"/>
      <c r="BR838" s="240"/>
      <c r="BS838" s="240"/>
      <c r="BT838" s="240"/>
      <c r="BU838" s="672"/>
      <c r="BV838" s="672"/>
      <c r="BW838" s="672"/>
      <c r="BX838" s="672"/>
      <c r="BY838" s="672"/>
      <c r="BZ838" s="672"/>
      <c r="CA838" s="672"/>
      <c r="CB838" s="672"/>
      <c r="CC838" s="672"/>
      <c r="CD838" s="672"/>
      <c r="CE838" s="240"/>
      <c r="CF838" s="240"/>
      <c r="CG838" s="240"/>
      <c r="CH838" s="240"/>
      <c r="CI838" s="240"/>
      <c r="CJ838" s="728"/>
      <c r="CK838" s="728"/>
      <c r="CL838" s="195"/>
      <c r="CM838" s="195"/>
      <c r="CN838" s="195"/>
      <c r="CO838" s="195"/>
      <c r="CP838" s="195"/>
      <c r="CQ838" s="195"/>
      <c r="CR838" s="195"/>
      <c r="CS838" s="195"/>
      <c r="CT838" s="195"/>
      <c r="CU838" s="195"/>
      <c r="CV838" s="195"/>
      <c r="CW838" s="195"/>
      <c r="CX838" s="195"/>
      <c r="CY838" s="195"/>
      <c r="CZ838" s="195"/>
      <c r="DA838" s="195"/>
      <c r="DB838" s="195"/>
      <c r="DC838" s="195"/>
      <c r="DD838" s="195"/>
      <c r="DO838" s="195"/>
      <c r="DP838" s="195"/>
      <c r="DQ838" s="195"/>
      <c r="DR838" s="195"/>
      <c r="DS838" s="195"/>
      <c r="DT838" s="195"/>
      <c r="DU838" s="195"/>
      <c r="DV838" s="195"/>
      <c r="DW838" s="195"/>
      <c r="DX838" s="195"/>
      <c r="DY838" s="195"/>
      <c r="DZ838" s="195"/>
      <c r="EA838" s="195"/>
      <c r="EB838" s="195"/>
      <c r="EC838" s="195"/>
      <c r="ED838" s="195"/>
      <c r="EE838" s="195"/>
      <c r="EK838" s="195"/>
      <c r="EL838" s="240"/>
      <c r="EM838" s="240"/>
      <c r="EN838" s="195"/>
      <c r="EO838" s="240"/>
      <c r="EP838" s="195"/>
      <c r="EQ838" s="195"/>
      <c r="ER838" s="195"/>
      <c r="ES838" s="736"/>
    </row>
    <row r="839" customFormat="false" ht="12.75" hidden="false" customHeight="false" outlineLevel="0" collapsed="false">
      <c r="I839" s="735"/>
      <c r="J839" s="728"/>
      <c r="K839" s="195"/>
      <c r="L839" s="195"/>
      <c r="Q839" s="195"/>
      <c r="R839" s="195"/>
      <c r="S839" s="240"/>
      <c r="T839" s="195"/>
      <c r="U839" s="195"/>
      <c r="V839" s="195"/>
      <c r="W839" s="195"/>
      <c r="X839" s="195"/>
      <c r="Y839" s="195"/>
      <c r="Z839" s="195"/>
      <c r="AA839" s="195"/>
      <c r="AB839" s="195"/>
      <c r="AC839" s="195"/>
      <c r="AD839" s="195"/>
      <c r="AE839" s="195"/>
      <c r="AF839" s="195"/>
      <c r="AG839" s="195"/>
      <c r="AH839" s="195"/>
      <c r="AI839" s="195"/>
      <c r="AJ839" s="195"/>
      <c r="AK839" s="195"/>
      <c r="AL839" s="195"/>
      <c r="AM839" s="1"/>
      <c r="AN839" s="240"/>
      <c r="AO839" s="240"/>
      <c r="AP839" s="240"/>
      <c r="AQ839" s="730"/>
      <c r="AR839" s="730"/>
      <c r="AS839" s="730"/>
      <c r="AT839" s="738"/>
      <c r="AU839" s="738"/>
      <c r="AV839" s="240"/>
      <c r="AW839" s="240"/>
      <c r="AX839" s="240"/>
      <c r="AY839" s="240"/>
      <c r="AZ839" s="240"/>
      <c r="BA839" s="240"/>
      <c r="BB839" s="672"/>
      <c r="BC839" s="731"/>
      <c r="BD839" s="731"/>
      <c r="BE839" s="731"/>
      <c r="BF839" s="672"/>
      <c r="BG839" s="732"/>
      <c r="BH839" s="240"/>
      <c r="BI839" s="240"/>
      <c r="BJ839" s="240"/>
      <c r="BK839" s="240"/>
      <c r="BL839" s="240"/>
      <c r="BM839" s="240"/>
      <c r="BN839" s="240"/>
      <c r="BO839" s="240"/>
      <c r="BP839" s="240"/>
      <c r="BQ839" s="240"/>
      <c r="BR839" s="240"/>
      <c r="BS839" s="240"/>
      <c r="BT839" s="240"/>
      <c r="BU839" s="672"/>
      <c r="BV839" s="672"/>
      <c r="BW839" s="672"/>
      <c r="BX839" s="672"/>
      <c r="BY839" s="672"/>
      <c r="BZ839" s="672"/>
      <c r="CA839" s="672"/>
      <c r="CB839" s="672"/>
      <c r="CC839" s="672"/>
      <c r="CD839" s="672"/>
      <c r="CE839" s="240"/>
      <c r="CF839" s="240"/>
      <c r="CG839" s="240"/>
      <c r="CH839" s="240"/>
      <c r="CI839" s="240"/>
      <c r="CJ839" s="728"/>
      <c r="CK839" s="728"/>
      <c r="CL839" s="195"/>
      <c r="CM839" s="195"/>
      <c r="CN839" s="195"/>
      <c r="CO839" s="195"/>
      <c r="CP839" s="195"/>
      <c r="CQ839" s="195"/>
      <c r="CR839" s="195"/>
      <c r="CS839" s="195"/>
      <c r="CT839" s="195"/>
      <c r="CU839" s="195"/>
      <c r="CV839" s="195"/>
      <c r="CW839" s="195"/>
      <c r="CX839" s="195"/>
      <c r="CY839" s="195"/>
      <c r="CZ839" s="195"/>
      <c r="DA839" s="195"/>
      <c r="DB839" s="195"/>
      <c r="DC839" s="195"/>
      <c r="DD839" s="195"/>
      <c r="DO839" s="195"/>
      <c r="DP839" s="195"/>
      <c r="DQ839" s="195"/>
      <c r="DR839" s="195"/>
      <c r="DS839" s="195"/>
      <c r="DT839" s="195"/>
      <c r="DU839" s="195"/>
      <c r="DV839" s="195"/>
      <c r="DW839" s="195"/>
      <c r="DX839" s="195"/>
      <c r="DY839" s="195"/>
      <c r="DZ839" s="195"/>
      <c r="EA839" s="195"/>
      <c r="EB839" s="195"/>
      <c r="EC839" s="195"/>
      <c r="ED839" s="195"/>
      <c r="EE839" s="195"/>
      <c r="EK839" s="195"/>
      <c r="EL839" s="240"/>
      <c r="EM839" s="240"/>
      <c r="EN839" s="195"/>
      <c r="EO839" s="240"/>
      <c r="EP839" s="195"/>
      <c r="EQ839" s="195"/>
      <c r="ER839" s="195"/>
      <c r="ES839" s="736"/>
    </row>
    <row r="840" customFormat="false" ht="12.75" hidden="false" customHeight="false" outlineLevel="0" collapsed="false">
      <c r="I840" s="735"/>
      <c r="J840" s="728"/>
      <c r="K840" s="195"/>
      <c r="L840" s="195"/>
      <c r="Q840" s="195"/>
      <c r="R840" s="195"/>
      <c r="S840" s="240"/>
      <c r="T840" s="195"/>
      <c r="U840" s="195"/>
      <c r="V840" s="195"/>
      <c r="W840" s="195"/>
      <c r="X840" s="195"/>
      <c r="Y840" s="195"/>
      <c r="Z840" s="195"/>
      <c r="AA840" s="195"/>
      <c r="AB840" s="195"/>
      <c r="AC840" s="195"/>
      <c r="AD840" s="195"/>
      <c r="AE840" s="195"/>
      <c r="AF840" s="195"/>
      <c r="AG840" s="195"/>
      <c r="AH840" s="195"/>
      <c r="AI840" s="195"/>
      <c r="AJ840" s="195"/>
      <c r="AK840" s="195"/>
      <c r="AL840" s="195"/>
      <c r="AM840" s="1"/>
      <c r="AN840" s="240"/>
      <c r="AO840" s="240"/>
      <c r="AP840" s="240"/>
      <c r="AQ840" s="730"/>
      <c r="AR840" s="730"/>
      <c r="AS840" s="730"/>
      <c r="AT840" s="738"/>
      <c r="AU840" s="738"/>
      <c r="AV840" s="240"/>
      <c r="AW840" s="240"/>
      <c r="AX840" s="240"/>
      <c r="AY840" s="240"/>
      <c r="AZ840" s="240"/>
      <c r="BA840" s="240"/>
      <c r="BB840" s="672"/>
      <c r="BC840" s="731"/>
      <c r="BD840" s="731"/>
      <c r="BE840" s="731"/>
      <c r="BF840" s="672"/>
      <c r="BG840" s="732"/>
      <c r="BH840" s="240"/>
      <c r="BI840" s="240"/>
      <c r="BJ840" s="240"/>
      <c r="BK840" s="240"/>
      <c r="BL840" s="240"/>
      <c r="BM840" s="240"/>
      <c r="BN840" s="240"/>
      <c r="BO840" s="240"/>
      <c r="BP840" s="240"/>
      <c r="BQ840" s="240"/>
      <c r="BR840" s="240"/>
      <c r="BS840" s="240"/>
      <c r="BT840" s="240"/>
      <c r="BU840" s="672"/>
      <c r="BV840" s="672"/>
      <c r="BW840" s="672"/>
      <c r="BX840" s="672"/>
      <c r="BY840" s="672"/>
      <c r="BZ840" s="672"/>
      <c r="CA840" s="672"/>
      <c r="CB840" s="672"/>
      <c r="CC840" s="672"/>
      <c r="CD840" s="672"/>
      <c r="CE840" s="240"/>
      <c r="CF840" s="240"/>
      <c r="CG840" s="240"/>
      <c r="CH840" s="240"/>
      <c r="CI840" s="240"/>
      <c r="CJ840" s="728"/>
      <c r="CK840" s="728"/>
      <c r="CL840" s="195"/>
      <c r="CM840" s="195"/>
      <c r="CN840" s="195"/>
      <c r="CO840" s="195"/>
      <c r="CP840" s="195"/>
      <c r="CQ840" s="195"/>
      <c r="CR840" s="195"/>
      <c r="CS840" s="195"/>
      <c r="CT840" s="195"/>
      <c r="CU840" s="195"/>
      <c r="CV840" s="195"/>
      <c r="CW840" s="195"/>
      <c r="CX840" s="195"/>
      <c r="CY840" s="195"/>
      <c r="CZ840" s="195"/>
      <c r="DA840" s="195"/>
      <c r="DB840" s="195"/>
      <c r="DC840" s="195"/>
      <c r="DD840" s="195"/>
      <c r="DO840" s="195"/>
      <c r="DP840" s="195"/>
      <c r="DQ840" s="195"/>
      <c r="DR840" s="195"/>
      <c r="DS840" s="195"/>
      <c r="DT840" s="195"/>
      <c r="DU840" s="195"/>
      <c r="DV840" s="195"/>
      <c r="DW840" s="195"/>
      <c r="DX840" s="195"/>
      <c r="DY840" s="195"/>
      <c r="DZ840" s="195"/>
      <c r="EA840" s="195"/>
      <c r="EB840" s="195"/>
      <c r="EC840" s="195"/>
      <c r="ED840" s="195"/>
      <c r="EE840" s="195"/>
      <c r="EK840" s="195"/>
      <c r="EL840" s="240"/>
      <c r="EM840" s="240"/>
      <c r="EN840" s="195"/>
      <c r="EO840" s="240"/>
      <c r="EP840" s="195"/>
      <c r="EQ840" s="195"/>
      <c r="ER840" s="195"/>
      <c r="ES840" s="736"/>
    </row>
    <row r="841" customFormat="false" ht="12.75" hidden="false" customHeight="false" outlineLevel="0" collapsed="false">
      <c r="I841" s="735"/>
      <c r="J841" s="728"/>
      <c r="K841" s="195"/>
      <c r="L841" s="195"/>
      <c r="Q841" s="195"/>
      <c r="R841" s="195"/>
      <c r="S841" s="240"/>
      <c r="T841" s="195"/>
      <c r="U841" s="195"/>
      <c r="V841" s="195"/>
      <c r="W841" s="195"/>
      <c r="X841" s="195"/>
      <c r="Y841" s="195"/>
      <c r="Z841" s="195"/>
      <c r="AA841" s="195"/>
      <c r="AB841" s="195"/>
      <c r="AC841" s="195"/>
      <c r="AD841" s="195"/>
      <c r="AE841" s="195"/>
      <c r="AF841" s="195"/>
      <c r="AG841" s="195"/>
      <c r="AH841" s="195"/>
      <c r="AI841" s="195"/>
      <c r="AJ841" s="195"/>
      <c r="AK841" s="195"/>
      <c r="AL841" s="195"/>
      <c r="AM841" s="1"/>
      <c r="AN841" s="240"/>
      <c r="AO841" s="240"/>
      <c r="AP841" s="240"/>
      <c r="AQ841" s="730"/>
      <c r="AR841" s="730"/>
      <c r="AS841" s="730"/>
      <c r="AT841" s="738"/>
      <c r="AU841" s="738"/>
      <c r="AV841" s="240"/>
      <c r="AW841" s="240"/>
      <c r="AX841" s="240"/>
      <c r="AY841" s="240"/>
      <c r="AZ841" s="240"/>
      <c r="BA841" s="240"/>
      <c r="BB841" s="672"/>
      <c r="BC841" s="731"/>
      <c r="BD841" s="731"/>
      <c r="BE841" s="731"/>
      <c r="BF841" s="672"/>
      <c r="BG841" s="732"/>
      <c r="BH841" s="240"/>
      <c r="BI841" s="240"/>
      <c r="BJ841" s="240"/>
      <c r="BK841" s="240"/>
      <c r="BL841" s="240"/>
      <c r="BM841" s="240"/>
      <c r="BN841" s="240"/>
      <c r="BO841" s="240"/>
      <c r="BP841" s="240"/>
      <c r="BQ841" s="240"/>
      <c r="BR841" s="240"/>
      <c r="BS841" s="240"/>
      <c r="BT841" s="240"/>
      <c r="BU841" s="672"/>
      <c r="BV841" s="672"/>
      <c r="BW841" s="672"/>
      <c r="BX841" s="672"/>
      <c r="BY841" s="672"/>
      <c r="BZ841" s="672"/>
      <c r="CA841" s="672"/>
      <c r="CB841" s="672"/>
      <c r="CC841" s="672"/>
      <c r="CD841" s="672"/>
      <c r="CE841" s="240"/>
      <c r="CF841" s="240"/>
      <c r="CG841" s="240"/>
      <c r="CH841" s="240"/>
      <c r="CI841" s="240"/>
      <c r="CJ841" s="728"/>
      <c r="CK841" s="728"/>
      <c r="CL841" s="195"/>
      <c r="CM841" s="195"/>
      <c r="CN841" s="195"/>
      <c r="CO841" s="195"/>
      <c r="CP841" s="195"/>
      <c r="CQ841" s="195"/>
      <c r="CR841" s="195"/>
      <c r="CS841" s="195"/>
      <c r="CT841" s="195"/>
      <c r="CU841" s="195"/>
      <c r="CV841" s="195"/>
      <c r="CW841" s="195"/>
      <c r="CX841" s="195"/>
      <c r="CY841" s="195"/>
      <c r="CZ841" s="195"/>
      <c r="DA841" s="195"/>
      <c r="DB841" s="195"/>
      <c r="DC841" s="195"/>
      <c r="DD841" s="195"/>
      <c r="DO841" s="195"/>
      <c r="DP841" s="195"/>
      <c r="DQ841" s="195"/>
      <c r="DR841" s="195"/>
      <c r="DS841" s="195"/>
      <c r="DT841" s="195"/>
      <c r="DU841" s="195"/>
      <c r="DV841" s="195"/>
      <c r="DW841" s="195"/>
      <c r="DX841" s="195"/>
      <c r="DY841" s="195"/>
      <c r="DZ841" s="195"/>
      <c r="EA841" s="195"/>
      <c r="EB841" s="195"/>
      <c r="EC841" s="195"/>
      <c r="ED841" s="195"/>
      <c r="EE841" s="195"/>
      <c r="EK841" s="195"/>
      <c r="EL841" s="240"/>
      <c r="EM841" s="240"/>
      <c r="EN841" s="195"/>
      <c r="EO841" s="240"/>
      <c r="EP841" s="195"/>
      <c r="EQ841" s="195"/>
      <c r="ER841" s="195"/>
      <c r="ES841" s="736"/>
    </row>
    <row r="842" customFormat="false" ht="12.75" hidden="false" customHeight="false" outlineLevel="0" collapsed="false">
      <c r="I842" s="735"/>
      <c r="J842" s="728"/>
      <c r="K842" s="195"/>
      <c r="L842" s="195"/>
      <c r="Q842" s="195"/>
      <c r="R842" s="195"/>
      <c r="S842" s="240"/>
      <c r="T842" s="195"/>
      <c r="U842" s="195"/>
      <c r="V842" s="195"/>
      <c r="W842" s="195"/>
      <c r="X842" s="195"/>
      <c r="Y842" s="195"/>
      <c r="Z842" s="195"/>
      <c r="AA842" s="195"/>
      <c r="AB842" s="195"/>
      <c r="AC842" s="195"/>
      <c r="AD842" s="195"/>
      <c r="AE842" s="195"/>
      <c r="AF842" s="195"/>
      <c r="AG842" s="195"/>
      <c r="AH842" s="195"/>
      <c r="AI842" s="195"/>
      <c r="AJ842" s="195"/>
      <c r="AK842" s="195"/>
      <c r="AL842" s="195"/>
      <c r="AM842" s="1"/>
      <c r="AN842" s="240"/>
      <c r="AO842" s="240"/>
      <c r="AP842" s="240"/>
      <c r="AQ842" s="730"/>
      <c r="AR842" s="730"/>
      <c r="AS842" s="730"/>
      <c r="AT842" s="738"/>
      <c r="AU842" s="738"/>
      <c r="AV842" s="240"/>
      <c r="AW842" s="240"/>
      <c r="AX842" s="240"/>
      <c r="AY842" s="240"/>
      <c r="AZ842" s="240"/>
      <c r="BA842" s="240"/>
      <c r="BB842" s="672"/>
      <c r="BC842" s="731"/>
      <c r="BD842" s="731"/>
      <c r="BE842" s="731"/>
      <c r="BF842" s="672"/>
      <c r="BG842" s="732"/>
      <c r="BH842" s="240"/>
      <c r="BI842" s="240"/>
      <c r="BJ842" s="240"/>
      <c r="BK842" s="240"/>
      <c r="BL842" s="240"/>
      <c r="BM842" s="240"/>
      <c r="BN842" s="240"/>
      <c r="BO842" s="240"/>
      <c r="BP842" s="240"/>
      <c r="BQ842" s="240"/>
      <c r="BR842" s="240"/>
      <c r="BS842" s="240"/>
      <c r="BT842" s="240"/>
      <c r="BU842" s="672"/>
      <c r="BV842" s="672"/>
      <c r="BW842" s="672"/>
      <c r="BX842" s="672"/>
      <c r="BY842" s="672"/>
      <c r="BZ842" s="672"/>
      <c r="CA842" s="672"/>
      <c r="CB842" s="672"/>
      <c r="CC842" s="672"/>
      <c r="CD842" s="672"/>
      <c r="CE842" s="240"/>
      <c r="CF842" s="240"/>
      <c r="CG842" s="240"/>
      <c r="CH842" s="240"/>
      <c r="CI842" s="240"/>
      <c r="CJ842" s="728"/>
      <c r="CK842" s="728"/>
      <c r="CL842" s="195"/>
      <c r="CM842" s="195"/>
      <c r="CN842" s="195"/>
      <c r="CO842" s="195"/>
      <c r="CP842" s="195"/>
      <c r="CQ842" s="195"/>
      <c r="CR842" s="195"/>
      <c r="CS842" s="195"/>
      <c r="CT842" s="195"/>
      <c r="CU842" s="195"/>
      <c r="CV842" s="195"/>
      <c r="CW842" s="195"/>
      <c r="CX842" s="195"/>
      <c r="CY842" s="195"/>
      <c r="CZ842" s="195"/>
      <c r="DA842" s="195"/>
      <c r="DB842" s="195"/>
      <c r="DC842" s="195"/>
      <c r="DD842" s="195"/>
      <c r="DO842" s="195"/>
      <c r="DP842" s="195"/>
      <c r="DQ842" s="195"/>
      <c r="DR842" s="195"/>
      <c r="DS842" s="195"/>
      <c r="DT842" s="195"/>
      <c r="DU842" s="195"/>
      <c r="DV842" s="195"/>
      <c r="DW842" s="195"/>
      <c r="DX842" s="195"/>
      <c r="DY842" s="195"/>
      <c r="DZ842" s="195"/>
      <c r="EA842" s="195"/>
      <c r="EB842" s="195"/>
      <c r="EC842" s="195"/>
      <c r="ED842" s="195"/>
      <c r="EE842" s="195"/>
      <c r="EK842" s="195"/>
      <c r="EL842" s="240"/>
      <c r="EM842" s="240"/>
      <c r="EN842" s="195"/>
      <c r="EO842" s="240"/>
      <c r="EP842" s="195"/>
      <c r="EQ842" s="195"/>
      <c r="ER842" s="195"/>
      <c r="ES842" s="736"/>
    </row>
    <row r="843" customFormat="false" ht="12.75" hidden="false" customHeight="false" outlineLevel="0" collapsed="false">
      <c r="I843" s="735"/>
      <c r="J843" s="728"/>
      <c r="K843" s="195"/>
      <c r="L843" s="195"/>
      <c r="Q843" s="195"/>
      <c r="R843" s="195"/>
      <c r="S843" s="240"/>
      <c r="T843" s="195"/>
      <c r="U843" s="195"/>
      <c r="V843" s="195"/>
      <c r="W843" s="195"/>
      <c r="X843" s="195"/>
      <c r="Y843" s="195"/>
      <c r="Z843" s="195"/>
      <c r="AA843" s="195"/>
      <c r="AB843" s="195"/>
      <c r="AC843" s="195"/>
      <c r="AD843" s="195"/>
      <c r="AE843" s="195"/>
      <c r="AF843" s="195"/>
      <c r="AG843" s="195"/>
      <c r="AH843" s="195"/>
      <c r="AI843" s="195"/>
      <c r="AJ843" s="195"/>
      <c r="AK843" s="195"/>
      <c r="AL843" s="195"/>
      <c r="AM843" s="1"/>
      <c r="AN843" s="240"/>
      <c r="AO843" s="240"/>
      <c r="AP843" s="240"/>
      <c r="AQ843" s="730"/>
      <c r="AR843" s="730"/>
      <c r="AS843" s="730"/>
      <c r="AT843" s="738"/>
      <c r="AU843" s="738"/>
      <c r="AV843" s="240"/>
      <c r="AW843" s="240"/>
      <c r="AX843" s="240"/>
      <c r="AY843" s="240"/>
      <c r="AZ843" s="240"/>
      <c r="BA843" s="240"/>
      <c r="BB843" s="672"/>
      <c r="BC843" s="731"/>
      <c r="BD843" s="731"/>
      <c r="BE843" s="731"/>
      <c r="BF843" s="672"/>
      <c r="BG843" s="732"/>
      <c r="BH843" s="240"/>
      <c r="BI843" s="240"/>
      <c r="BJ843" s="240"/>
      <c r="BK843" s="240"/>
      <c r="BL843" s="240"/>
      <c r="BM843" s="240"/>
      <c r="BN843" s="240"/>
      <c r="BO843" s="240"/>
      <c r="BP843" s="240"/>
      <c r="BQ843" s="240"/>
      <c r="BR843" s="240"/>
      <c r="BS843" s="240"/>
      <c r="BT843" s="240"/>
      <c r="BU843" s="672"/>
      <c r="BV843" s="672"/>
      <c r="BW843" s="672"/>
      <c r="BX843" s="672"/>
      <c r="BY843" s="672"/>
      <c r="BZ843" s="672"/>
      <c r="CA843" s="672"/>
      <c r="CB843" s="672"/>
      <c r="CC843" s="672"/>
      <c r="CD843" s="672"/>
      <c r="CE843" s="240"/>
      <c r="CF843" s="240"/>
      <c r="CG843" s="240"/>
      <c r="CH843" s="240"/>
      <c r="CI843" s="240"/>
      <c r="CJ843" s="728"/>
      <c r="CK843" s="728"/>
      <c r="CL843" s="195"/>
      <c r="CM843" s="195"/>
      <c r="CN843" s="195"/>
      <c r="CO843" s="195"/>
      <c r="CP843" s="195"/>
      <c r="CQ843" s="195"/>
      <c r="CR843" s="195"/>
      <c r="CS843" s="195"/>
      <c r="CT843" s="195"/>
      <c r="CU843" s="195"/>
      <c r="CV843" s="195"/>
      <c r="CW843" s="195"/>
      <c r="CX843" s="195"/>
      <c r="CY843" s="195"/>
      <c r="CZ843" s="195"/>
      <c r="DA843" s="195"/>
      <c r="DB843" s="195"/>
      <c r="DC843" s="195"/>
      <c r="DD843" s="195"/>
      <c r="DO843" s="195"/>
      <c r="DP843" s="195"/>
      <c r="DQ843" s="195"/>
      <c r="DR843" s="195"/>
      <c r="DS843" s="195"/>
      <c r="DT843" s="195"/>
      <c r="DU843" s="195"/>
      <c r="DV843" s="195"/>
      <c r="DW843" s="195"/>
      <c r="DX843" s="195"/>
      <c r="DY843" s="195"/>
      <c r="DZ843" s="195"/>
      <c r="EA843" s="195"/>
      <c r="EB843" s="195"/>
      <c r="EC843" s="195"/>
      <c r="ED843" s="195"/>
      <c r="EE843" s="195"/>
      <c r="EK843" s="195"/>
      <c r="EL843" s="240"/>
      <c r="EM843" s="240"/>
      <c r="EN843" s="195"/>
      <c r="EO843" s="240"/>
      <c r="EP843" s="195"/>
      <c r="EQ843" s="195"/>
      <c r="ER843" s="195"/>
      <c r="ES843" s="736"/>
    </row>
    <row r="844" customFormat="false" ht="12.75" hidden="false" customHeight="false" outlineLevel="0" collapsed="false">
      <c r="I844" s="735"/>
      <c r="J844" s="728"/>
      <c r="K844" s="195"/>
      <c r="L844" s="195"/>
      <c r="Q844" s="195"/>
      <c r="R844" s="195"/>
      <c r="S844" s="240"/>
      <c r="T844" s="195"/>
      <c r="U844" s="195"/>
      <c r="V844" s="195"/>
      <c r="W844" s="195"/>
      <c r="X844" s="195"/>
      <c r="Y844" s="195"/>
      <c r="Z844" s="195"/>
      <c r="AA844" s="195"/>
      <c r="AB844" s="195"/>
      <c r="AC844" s="195"/>
      <c r="AD844" s="195"/>
      <c r="AE844" s="195"/>
      <c r="AF844" s="195"/>
      <c r="AG844" s="195"/>
      <c r="AH844" s="195"/>
      <c r="AI844" s="195"/>
      <c r="AJ844" s="195"/>
      <c r="AK844" s="195"/>
      <c r="AL844" s="195"/>
      <c r="AM844" s="1"/>
      <c r="AN844" s="240"/>
      <c r="AO844" s="240"/>
      <c r="AP844" s="240"/>
      <c r="AQ844" s="730"/>
      <c r="AR844" s="730"/>
      <c r="AS844" s="730"/>
      <c r="AT844" s="738"/>
      <c r="AU844" s="738"/>
      <c r="AV844" s="240"/>
      <c r="AW844" s="240"/>
      <c r="AX844" s="240"/>
      <c r="AY844" s="240"/>
      <c r="AZ844" s="240"/>
      <c r="BA844" s="240"/>
      <c r="BB844" s="672"/>
      <c r="BC844" s="731"/>
      <c r="BD844" s="731"/>
      <c r="BE844" s="731"/>
      <c r="BF844" s="672"/>
      <c r="BG844" s="732"/>
      <c r="BH844" s="240"/>
      <c r="BI844" s="240"/>
      <c r="BJ844" s="240"/>
      <c r="BK844" s="240"/>
      <c r="BL844" s="240"/>
      <c r="BM844" s="240"/>
      <c r="BN844" s="240"/>
      <c r="BO844" s="240"/>
      <c r="BP844" s="240"/>
      <c r="BQ844" s="240"/>
      <c r="BR844" s="240"/>
      <c r="BS844" s="240"/>
      <c r="BT844" s="240"/>
      <c r="BU844" s="672"/>
      <c r="BV844" s="672"/>
      <c r="BW844" s="672"/>
      <c r="BX844" s="672"/>
      <c r="BY844" s="672"/>
      <c r="BZ844" s="672"/>
      <c r="CA844" s="672"/>
      <c r="CB844" s="672"/>
      <c r="CC844" s="672"/>
      <c r="CD844" s="672"/>
      <c r="CE844" s="240"/>
      <c r="CF844" s="240"/>
      <c r="CG844" s="240"/>
      <c r="CH844" s="240"/>
      <c r="CI844" s="240"/>
      <c r="CJ844" s="728"/>
      <c r="CK844" s="728"/>
      <c r="CL844" s="195"/>
      <c r="CM844" s="195"/>
      <c r="CN844" s="195"/>
      <c r="CO844" s="195"/>
      <c r="CP844" s="195"/>
      <c r="CQ844" s="195"/>
      <c r="CR844" s="195"/>
      <c r="CS844" s="195"/>
      <c r="CT844" s="195"/>
      <c r="CU844" s="195"/>
      <c r="CV844" s="195"/>
      <c r="CW844" s="195"/>
      <c r="CX844" s="195"/>
      <c r="CY844" s="195"/>
      <c r="CZ844" s="195"/>
      <c r="DA844" s="195"/>
      <c r="DB844" s="195"/>
      <c r="DC844" s="195"/>
      <c r="DD844" s="195"/>
      <c r="DO844" s="195"/>
      <c r="DP844" s="195"/>
      <c r="DQ844" s="195"/>
      <c r="DR844" s="195"/>
      <c r="DS844" s="195"/>
      <c r="DT844" s="195"/>
      <c r="DU844" s="195"/>
      <c r="DV844" s="195"/>
      <c r="DW844" s="195"/>
      <c r="DX844" s="195"/>
      <c r="DY844" s="195"/>
      <c r="DZ844" s="195"/>
      <c r="EA844" s="195"/>
      <c r="EB844" s="195"/>
      <c r="EC844" s="195"/>
      <c r="ED844" s="195"/>
      <c r="EE844" s="195"/>
      <c r="EK844" s="195"/>
      <c r="EL844" s="240"/>
      <c r="EM844" s="240"/>
      <c r="EN844" s="195"/>
      <c r="EO844" s="240"/>
      <c r="EP844" s="195"/>
      <c r="EQ844" s="195"/>
      <c r="ER844" s="195"/>
      <c r="ES844" s="736"/>
    </row>
    <row r="845" customFormat="false" ht="12.75" hidden="false" customHeight="false" outlineLevel="0" collapsed="false">
      <c r="I845" s="735"/>
      <c r="J845" s="728"/>
      <c r="K845" s="195"/>
      <c r="L845" s="195"/>
      <c r="Q845" s="195"/>
      <c r="R845" s="195"/>
      <c r="S845" s="240"/>
      <c r="T845" s="195"/>
      <c r="U845" s="195"/>
      <c r="V845" s="195"/>
      <c r="W845" s="195"/>
      <c r="X845" s="195"/>
      <c r="Y845" s="195"/>
      <c r="Z845" s="195"/>
      <c r="AA845" s="195"/>
      <c r="AB845" s="195"/>
      <c r="AC845" s="195"/>
      <c r="AD845" s="195"/>
      <c r="AE845" s="195"/>
      <c r="AF845" s="195"/>
      <c r="AG845" s="195"/>
      <c r="AH845" s="195"/>
      <c r="AI845" s="195"/>
      <c r="AJ845" s="195"/>
      <c r="AK845" s="195"/>
      <c r="AL845" s="195"/>
      <c r="AM845" s="1"/>
      <c r="AN845" s="240"/>
      <c r="AO845" s="240"/>
      <c r="AP845" s="240"/>
      <c r="AQ845" s="730"/>
      <c r="AR845" s="730"/>
      <c r="AS845" s="730"/>
      <c r="AT845" s="738"/>
      <c r="AU845" s="738"/>
      <c r="AV845" s="240"/>
      <c r="AW845" s="240"/>
      <c r="AX845" s="240"/>
      <c r="AY845" s="240"/>
      <c r="AZ845" s="240"/>
      <c r="BA845" s="240"/>
      <c r="BB845" s="672"/>
      <c r="BC845" s="731"/>
      <c r="BD845" s="731"/>
      <c r="BE845" s="731"/>
      <c r="BF845" s="672"/>
      <c r="BG845" s="732"/>
      <c r="BH845" s="240"/>
      <c r="BI845" s="240"/>
      <c r="BJ845" s="240"/>
      <c r="BK845" s="240"/>
      <c r="BL845" s="240"/>
      <c r="BM845" s="240"/>
      <c r="BN845" s="240"/>
      <c r="BO845" s="240"/>
      <c r="BP845" s="240"/>
      <c r="BQ845" s="240"/>
      <c r="BR845" s="240"/>
      <c r="BS845" s="240"/>
      <c r="BT845" s="240"/>
      <c r="BU845" s="672"/>
      <c r="BV845" s="672"/>
      <c r="BW845" s="672"/>
      <c r="BX845" s="672"/>
      <c r="BY845" s="672"/>
      <c r="BZ845" s="672"/>
      <c r="CA845" s="672"/>
      <c r="CB845" s="672"/>
      <c r="CC845" s="672"/>
      <c r="CD845" s="672"/>
      <c r="CE845" s="240"/>
      <c r="CF845" s="240"/>
      <c r="CG845" s="240"/>
      <c r="CH845" s="240"/>
      <c r="CI845" s="240"/>
      <c r="CJ845" s="728"/>
      <c r="CK845" s="728"/>
      <c r="CL845" s="195"/>
      <c r="CM845" s="195"/>
      <c r="CN845" s="195"/>
      <c r="CO845" s="195"/>
      <c r="CP845" s="195"/>
      <c r="CQ845" s="195"/>
      <c r="CR845" s="195"/>
      <c r="CS845" s="195"/>
      <c r="CT845" s="195"/>
      <c r="CU845" s="195"/>
      <c r="CV845" s="195"/>
      <c r="CW845" s="195"/>
      <c r="CX845" s="195"/>
      <c r="CY845" s="195"/>
      <c r="CZ845" s="195"/>
      <c r="DA845" s="195"/>
      <c r="DB845" s="195"/>
      <c r="DC845" s="195"/>
      <c r="DD845" s="195"/>
      <c r="DO845" s="195"/>
      <c r="DP845" s="195"/>
      <c r="DQ845" s="195"/>
      <c r="DR845" s="195"/>
      <c r="DS845" s="195"/>
      <c r="DT845" s="195"/>
      <c r="DU845" s="195"/>
      <c r="DV845" s="195"/>
      <c r="DW845" s="195"/>
      <c r="DX845" s="195"/>
      <c r="DY845" s="195"/>
      <c r="DZ845" s="195"/>
      <c r="EA845" s="195"/>
      <c r="EB845" s="195"/>
      <c r="EC845" s="195"/>
      <c r="ED845" s="195"/>
      <c r="EE845" s="195"/>
      <c r="EK845" s="195"/>
      <c r="EL845" s="240"/>
      <c r="EM845" s="240"/>
      <c r="EN845" s="195"/>
      <c r="EO845" s="240"/>
      <c r="EP845" s="195"/>
      <c r="EQ845" s="195"/>
      <c r="ER845" s="195"/>
      <c r="ES845" s="736"/>
    </row>
    <row r="846" customFormat="false" ht="12.75" hidden="false" customHeight="false" outlineLevel="0" collapsed="false">
      <c r="I846" s="735"/>
      <c r="J846" s="728"/>
      <c r="K846" s="195"/>
      <c r="L846" s="195"/>
      <c r="Q846" s="195"/>
      <c r="R846" s="195"/>
      <c r="S846" s="240"/>
      <c r="T846" s="195"/>
      <c r="U846" s="195"/>
      <c r="V846" s="195"/>
      <c r="W846" s="195"/>
      <c r="X846" s="195"/>
      <c r="Y846" s="195"/>
      <c r="Z846" s="195"/>
      <c r="AA846" s="195"/>
      <c r="AB846" s="195"/>
      <c r="AC846" s="195"/>
      <c r="AD846" s="195"/>
      <c r="AE846" s="195"/>
      <c r="AF846" s="195"/>
      <c r="AG846" s="195"/>
      <c r="AH846" s="195"/>
      <c r="AI846" s="195"/>
      <c r="AJ846" s="195"/>
      <c r="AK846" s="195"/>
      <c r="AL846" s="195"/>
      <c r="AM846" s="1"/>
      <c r="AN846" s="240"/>
      <c r="AO846" s="240"/>
      <c r="AP846" s="240"/>
      <c r="AQ846" s="730"/>
      <c r="AR846" s="730"/>
      <c r="AS846" s="730"/>
      <c r="AT846" s="738"/>
      <c r="AU846" s="738"/>
      <c r="AV846" s="240"/>
      <c r="AW846" s="240"/>
      <c r="AX846" s="240"/>
      <c r="AY846" s="240"/>
      <c r="AZ846" s="240"/>
      <c r="BA846" s="240"/>
      <c r="BB846" s="672"/>
      <c r="BC846" s="731"/>
      <c r="BD846" s="731"/>
      <c r="BE846" s="731"/>
      <c r="BF846" s="672"/>
      <c r="BG846" s="732"/>
      <c r="BH846" s="240"/>
      <c r="BI846" s="240"/>
      <c r="BJ846" s="240"/>
      <c r="BK846" s="240"/>
      <c r="BL846" s="240"/>
      <c r="BM846" s="240"/>
      <c r="BN846" s="240"/>
      <c r="BO846" s="240"/>
      <c r="BP846" s="240"/>
      <c r="BQ846" s="240"/>
      <c r="BR846" s="240"/>
      <c r="BS846" s="240"/>
      <c r="BT846" s="240"/>
      <c r="BU846" s="672"/>
      <c r="BV846" s="672"/>
      <c r="BW846" s="672"/>
      <c r="BX846" s="672"/>
      <c r="BY846" s="672"/>
      <c r="BZ846" s="672"/>
      <c r="CA846" s="672"/>
      <c r="CB846" s="672"/>
      <c r="CC846" s="672"/>
      <c r="CD846" s="672"/>
      <c r="CE846" s="240"/>
      <c r="CF846" s="240"/>
      <c r="CG846" s="240"/>
      <c r="CH846" s="240"/>
      <c r="CI846" s="240"/>
      <c r="CJ846" s="728"/>
      <c r="CK846" s="728"/>
      <c r="CL846" s="195"/>
      <c r="CM846" s="195"/>
      <c r="CN846" s="195"/>
      <c r="CO846" s="195"/>
      <c r="CP846" s="195"/>
      <c r="CQ846" s="195"/>
      <c r="CR846" s="195"/>
      <c r="CS846" s="195"/>
      <c r="CT846" s="195"/>
      <c r="CU846" s="195"/>
      <c r="CV846" s="195"/>
      <c r="CW846" s="195"/>
      <c r="CX846" s="195"/>
      <c r="CY846" s="195"/>
      <c r="CZ846" s="195"/>
      <c r="DA846" s="195"/>
      <c r="DB846" s="195"/>
      <c r="DC846" s="195"/>
      <c r="DD846" s="195"/>
      <c r="DO846" s="195"/>
      <c r="DP846" s="195"/>
      <c r="DQ846" s="195"/>
      <c r="DR846" s="195"/>
      <c r="DS846" s="195"/>
      <c r="DT846" s="195"/>
      <c r="DU846" s="195"/>
      <c r="DV846" s="195"/>
      <c r="DW846" s="195"/>
      <c r="DX846" s="195"/>
      <c r="DY846" s="195"/>
      <c r="DZ846" s="195"/>
      <c r="EA846" s="195"/>
      <c r="EB846" s="195"/>
      <c r="EC846" s="195"/>
      <c r="ED846" s="195"/>
      <c r="EE846" s="195"/>
      <c r="EK846" s="195"/>
      <c r="EL846" s="240"/>
      <c r="EM846" s="240"/>
      <c r="EN846" s="195"/>
      <c r="EO846" s="240"/>
      <c r="EP846" s="195"/>
      <c r="EQ846" s="195"/>
      <c r="ER846" s="195"/>
      <c r="ES846" s="736"/>
    </row>
    <row r="847" customFormat="false" ht="12.75" hidden="false" customHeight="false" outlineLevel="0" collapsed="false">
      <c r="I847" s="735"/>
      <c r="J847" s="728"/>
      <c r="K847" s="195"/>
      <c r="L847" s="195"/>
      <c r="Q847" s="195"/>
      <c r="R847" s="195"/>
      <c r="S847" s="240"/>
      <c r="T847" s="195"/>
      <c r="U847" s="195"/>
      <c r="V847" s="195"/>
      <c r="W847" s="195"/>
      <c r="X847" s="195"/>
      <c r="Y847" s="195"/>
      <c r="Z847" s="195"/>
      <c r="AA847" s="195"/>
      <c r="AB847" s="195"/>
      <c r="AC847" s="195"/>
      <c r="AD847" s="195"/>
      <c r="AE847" s="195"/>
      <c r="AF847" s="195"/>
      <c r="AG847" s="195"/>
      <c r="AH847" s="195"/>
      <c r="AI847" s="195"/>
      <c r="AJ847" s="195"/>
      <c r="AK847" s="195"/>
      <c r="AL847" s="195"/>
      <c r="AM847" s="1"/>
      <c r="AN847" s="240"/>
      <c r="AO847" s="240"/>
      <c r="AP847" s="240"/>
      <c r="AQ847" s="730"/>
      <c r="AR847" s="730"/>
      <c r="AS847" s="730"/>
      <c r="AT847" s="738"/>
      <c r="AU847" s="738"/>
      <c r="AV847" s="240"/>
      <c r="AW847" s="240"/>
      <c r="AX847" s="240"/>
      <c r="AY847" s="240"/>
      <c r="AZ847" s="240"/>
      <c r="BA847" s="240"/>
      <c r="BB847" s="672"/>
      <c r="BC847" s="731"/>
      <c r="BD847" s="731"/>
      <c r="BE847" s="731"/>
      <c r="BF847" s="672"/>
      <c r="BG847" s="732"/>
      <c r="BH847" s="240"/>
      <c r="BI847" s="240"/>
      <c r="BJ847" s="240"/>
      <c r="BK847" s="240"/>
      <c r="BL847" s="240"/>
      <c r="BM847" s="240"/>
      <c r="BN847" s="240"/>
      <c r="BO847" s="240"/>
      <c r="BP847" s="240"/>
      <c r="BQ847" s="240"/>
      <c r="BR847" s="240"/>
      <c r="BS847" s="240"/>
      <c r="BT847" s="240"/>
      <c r="BU847" s="672"/>
      <c r="BV847" s="672"/>
      <c r="BW847" s="672"/>
      <c r="BX847" s="672"/>
      <c r="BY847" s="672"/>
      <c r="BZ847" s="672"/>
      <c r="CA847" s="672"/>
      <c r="CB847" s="672"/>
      <c r="CC847" s="672"/>
      <c r="CD847" s="672"/>
      <c r="CE847" s="240"/>
      <c r="CF847" s="240"/>
      <c r="CG847" s="240"/>
      <c r="CH847" s="240"/>
      <c r="CI847" s="240"/>
      <c r="CJ847" s="728"/>
      <c r="CK847" s="728"/>
      <c r="CL847" s="195"/>
      <c r="CM847" s="195"/>
      <c r="CN847" s="195"/>
      <c r="CO847" s="195"/>
      <c r="CP847" s="195"/>
      <c r="CQ847" s="195"/>
      <c r="CR847" s="195"/>
      <c r="CS847" s="195"/>
      <c r="CT847" s="195"/>
      <c r="CU847" s="195"/>
      <c r="CV847" s="195"/>
      <c r="CW847" s="195"/>
      <c r="CX847" s="195"/>
      <c r="CY847" s="195"/>
      <c r="CZ847" s="195"/>
      <c r="DA847" s="195"/>
      <c r="DB847" s="195"/>
      <c r="DC847" s="195"/>
      <c r="DD847" s="195"/>
      <c r="DO847" s="195"/>
      <c r="DP847" s="195"/>
      <c r="DQ847" s="195"/>
      <c r="DR847" s="195"/>
      <c r="DS847" s="195"/>
      <c r="DT847" s="195"/>
      <c r="DU847" s="195"/>
      <c r="DV847" s="195"/>
      <c r="DW847" s="195"/>
      <c r="DX847" s="195"/>
      <c r="DY847" s="195"/>
      <c r="DZ847" s="195"/>
      <c r="EA847" s="195"/>
      <c r="EB847" s="195"/>
      <c r="EC847" s="195"/>
      <c r="ED847" s="195"/>
      <c r="EE847" s="195"/>
      <c r="EK847" s="195"/>
      <c r="EL847" s="240"/>
      <c r="EM847" s="240"/>
      <c r="EN847" s="195"/>
      <c r="EO847" s="240"/>
      <c r="EP847" s="195"/>
      <c r="EQ847" s="195"/>
      <c r="ER847" s="195"/>
      <c r="ES847" s="736"/>
    </row>
    <row r="848" customFormat="false" ht="12.75" hidden="false" customHeight="false" outlineLevel="0" collapsed="false">
      <c r="I848" s="735"/>
      <c r="J848" s="728"/>
      <c r="K848" s="195"/>
      <c r="L848" s="195"/>
      <c r="Q848" s="195"/>
      <c r="R848" s="195"/>
      <c r="S848" s="240"/>
      <c r="T848" s="195"/>
      <c r="U848" s="195"/>
      <c r="V848" s="195"/>
      <c r="W848" s="195"/>
      <c r="X848" s="195"/>
      <c r="Y848" s="195"/>
      <c r="Z848" s="195"/>
      <c r="AA848" s="195"/>
      <c r="AB848" s="195"/>
      <c r="AC848" s="195"/>
      <c r="AD848" s="195"/>
      <c r="AE848" s="195"/>
      <c r="AF848" s="195"/>
      <c r="AG848" s="195"/>
      <c r="AH848" s="195"/>
      <c r="AI848" s="195"/>
      <c r="AJ848" s="195"/>
      <c r="AK848" s="195"/>
      <c r="AL848" s="195"/>
      <c r="AM848" s="1"/>
      <c r="AN848" s="240"/>
      <c r="AO848" s="240"/>
      <c r="AP848" s="240"/>
      <c r="AQ848" s="730"/>
      <c r="AR848" s="730"/>
      <c r="AS848" s="730"/>
      <c r="AT848" s="738"/>
      <c r="AU848" s="738"/>
      <c r="AV848" s="240"/>
      <c r="AW848" s="240"/>
      <c r="AX848" s="240"/>
      <c r="AY848" s="240"/>
      <c r="AZ848" s="240"/>
      <c r="BA848" s="240"/>
      <c r="BB848" s="672"/>
      <c r="BC848" s="731"/>
      <c r="BD848" s="731"/>
      <c r="BE848" s="731"/>
      <c r="BF848" s="672"/>
      <c r="BG848" s="732"/>
      <c r="BH848" s="240"/>
      <c r="BI848" s="240"/>
      <c r="BJ848" s="240"/>
      <c r="BK848" s="240"/>
      <c r="BL848" s="240"/>
      <c r="BM848" s="240"/>
      <c r="BN848" s="240"/>
      <c r="BO848" s="240"/>
      <c r="BP848" s="240"/>
      <c r="BQ848" s="240"/>
      <c r="BR848" s="240"/>
      <c r="BS848" s="240"/>
      <c r="BT848" s="240"/>
      <c r="BU848" s="672"/>
      <c r="BV848" s="672"/>
      <c r="BW848" s="672"/>
      <c r="BX848" s="672"/>
      <c r="BY848" s="672"/>
      <c r="BZ848" s="672"/>
      <c r="CA848" s="672"/>
      <c r="CB848" s="672"/>
      <c r="CC848" s="672"/>
      <c r="CD848" s="672"/>
      <c r="CE848" s="240"/>
      <c r="CF848" s="240"/>
      <c r="CG848" s="240"/>
      <c r="CH848" s="240"/>
      <c r="CI848" s="240"/>
      <c r="CJ848" s="728"/>
      <c r="CK848" s="728"/>
      <c r="CL848" s="195"/>
      <c r="CM848" s="195"/>
      <c r="CN848" s="195"/>
      <c r="CO848" s="195"/>
      <c r="CP848" s="195"/>
      <c r="CQ848" s="195"/>
      <c r="CR848" s="195"/>
      <c r="CS848" s="195"/>
      <c r="CT848" s="195"/>
      <c r="CU848" s="195"/>
      <c r="CV848" s="195"/>
      <c r="CW848" s="195"/>
      <c r="CX848" s="195"/>
      <c r="CY848" s="195"/>
      <c r="CZ848" s="195"/>
      <c r="DA848" s="195"/>
      <c r="DB848" s="195"/>
      <c r="DC848" s="195"/>
      <c r="DD848" s="195"/>
      <c r="DO848" s="195"/>
      <c r="DP848" s="195"/>
      <c r="DQ848" s="195"/>
      <c r="DR848" s="195"/>
      <c r="DS848" s="195"/>
      <c r="DT848" s="195"/>
      <c r="DU848" s="195"/>
      <c r="DV848" s="195"/>
      <c r="DW848" s="195"/>
      <c r="DX848" s="195"/>
      <c r="DY848" s="195"/>
      <c r="DZ848" s="195"/>
      <c r="EA848" s="195"/>
      <c r="EB848" s="195"/>
      <c r="EC848" s="195"/>
      <c r="ED848" s="195"/>
      <c r="EE848" s="195"/>
      <c r="EK848" s="195"/>
      <c r="EL848" s="240"/>
      <c r="EM848" s="240"/>
      <c r="EN848" s="195"/>
      <c r="EO848" s="240"/>
      <c r="EP848" s="195"/>
      <c r="EQ848" s="195"/>
      <c r="ER848" s="195"/>
      <c r="ES848" s="736"/>
    </row>
    <row r="849" customFormat="false" ht="12.75" hidden="false" customHeight="false" outlineLevel="0" collapsed="false">
      <c r="I849" s="735"/>
      <c r="J849" s="728"/>
      <c r="K849" s="195"/>
      <c r="L849" s="195"/>
      <c r="Q849" s="195"/>
      <c r="R849" s="195"/>
      <c r="S849" s="240"/>
      <c r="T849" s="195"/>
      <c r="U849" s="195"/>
      <c r="V849" s="195"/>
      <c r="W849" s="195"/>
      <c r="X849" s="195"/>
      <c r="Y849" s="195"/>
      <c r="Z849" s="195"/>
      <c r="AA849" s="195"/>
      <c r="AB849" s="195"/>
      <c r="AC849" s="195"/>
      <c r="AD849" s="195"/>
      <c r="AE849" s="195"/>
      <c r="AF849" s="195"/>
      <c r="AG849" s="195"/>
      <c r="AH849" s="195"/>
      <c r="AI849" s="195"/>
      <c r="AJ849" s="195"/>
      <c r="AK849" s="195"/>
      <c r="AL849" s="195"/>
      <c r="AM849" s="1"/>
      <c r="AN849" s="240"/>
      <c r="AO849" s="240"/>
      <c r="AP849" s="240"/>
      <c r="AQ849" s="730"/>
      <c r="AR849" s="730"/>
      <c r="AS849" s="730"/>
      <c r="AT849" s="738"/>
      <c r="AU849" s="738"/>
      <c r="AV849" s="240"/>
      <c r="AW849" s="240"/>
      <c r="AX849" s="240"/>
      <c r="AY849" s="240"/>
      <c r="AZ849" s="240"/>
      <c r="BA849" s="240"/>
      <c r="BB849" s="672"/>
      <c r="BC849" s="731"/>
      <c r="BD849" s="731"/>
      <c r="BE849" s="731"/>
      <c r="BF849" s="672"/>
      <c r="BG849" s="732"/>
      <c r="BH849" s="240"/>
      <c r="BI849" s="240"/>
      <c r="BJ849" s="240"/>
      <c r="BK849" s="240"/>
      <c r="BL849" s="240"/>
      <c r="BM849" s="240"/>
      <c r="BN849" s="240"/>
      <c r="BO849" s="240"/>
      <c r="BP849" s="240"/>
      <c r="BQ849" s="240"/>
      <c r="BR849" s="240"/>
      <c r="BS849" s="240"/>
      <c r="BT849" s="240"/>
      <c r="BU849" s="672"/>
      <c r="BV849" s="672"/>
      <c r="BW849" s="672"/>
      <c r="BX849" s="672"/>
      <c r="BY849" s="672"/>
      <c r="BZ849" s="672"/>
      <c r="CA849" s="672"/>
      <c r="CB849" s="672"/>
      <c r="CC849" s="672"/>
      <c r="CD849" s="672"/>
      <c r="CE849" s="240"/>
      <c r="CF849" s="240"/>
      <c r="CG849" s="240"/>
      <c r="CH849" s="240"/>
      <c r="CI849" s="240"/>
      <c r="CJ849" s="728"/>
      <c r="CK849" s="728"/>
      <c r="CL849" s="195"/>
      <c r="CM849" s="195"/>
      <c r="CN849" s="195"/>
      <c r="CO849" s="195"/>
      <c r="CP849" s="195"/>
      <c r="CQ849" s="195"/>
      <c r="CR849" s="195"/>
      <c r="CS849" s="195"/>
      <c r="CT849" s="195"/>
      <c r="CU849" s="195"/>
      <c r="CV849" s="195"/>
      <c r="CW849" s="195"/>
      <c r="CX849" s="195"/>
      <c r="CY849" s="195"/>
      <c r="CZ849" s="195"/>
      <c r="DA849" s="195"/>
      <c r="DB849" s="195"/>
      <c r="DC849" s="195"/>
      <c r="DD849" s="195"/>
      <c r="DO849" s="195"/>
      <c r="DP849" s="195"/>
      <c r="DQ849" s="195"/>
      <c r="DR849" s="195"/>
      <c r="DS849" s="195"/>
      <c r="DT849" s="195"/>
      <c r="DU849" s="195"/>
      <c r="DV849" s="195"/>
      <c r="DW849" s="195"/>
      <c r="DX849" s="195"/>
      <c r="DY849" s="195"/>
      <c r="DZ849" s="195"/>
      <c r="EA849" s="195"/>
      <c r="EB849" s="195"/>
      <c r="EC849" s="195"/>
      <c r="ED849" s="195"/>
      <c r="EE849" s="195"/>
      <c r="EK849" s="195"/>
      <c r="EL849" s="240"/>
      <c r="EM849" s="240"/>
      <c r="EN849" s="195"/>
      <c r="EO849" s="240"/>
      <c r="EP849" s="195"/>
      <c r="EQ849" s="195"/>
      <c r="ER849" s="195"/>
      <c r="ES849" s="736"/>
    </row>
    <row r="850" customFormat="false" ht="12.75" hidden="false" customHeight="false" outlineLevel="0" collapsed="false">
      <c r="I850" s="735"/>
      <c r="J850" s="728"/>
      <c r="K850" s="195"/>
      <c r="L850" s="195"/>
      <c r="Q850" s="195"/>
      <c r="R850" s="195"/>
      <c r="S850" s="240"/>
      <c r="T850" s="195"/>
      <c r="U850" s="195"/>
      <c r="V850" s="195"/>
      <c r="W850" s="195"/>
      <c r="X850" s="195"/>
      <c r="Y850" s="195"/>
      <c r="Z850" s="195"/>
      <c r="AA850" s="195"/>
      <c r="AB850" s="195"/>
      <c r="AC850" s="195"/>
      <c r="AD850" s="195"/>
      <c r="AE850" s="195"/>
      <c r="AF850" s="195"/>
      <c r="AG850" s="195"/>
      <c r="AH850" s="195"/>
      <c r="AI850" s="195"/>
      <c r="AJ850" s="195"/>
      <c r="AK850" s="195"/>
      <c r="AL850" s="195"/>
      <c r="AM850" s="1"/>
      <c r="AN850" s="240"/>
      <c r="AO850" s="240"/>
      <c r="AP850" s="240"/>
      <c r="AQ850" s="730"/>
      <c r="AR850" s="730"/>
      <c r="AS850" s="730"/>
      <c r="AT850" s="738"/>
      <c r="AU850" s="738"/>
      <c r="AV850" s="240"/>
      <c r="AW850" s="240"/>
      <c r="AX850" s="240"/>
      <c r="AY850" s="240"/>
      <c r="AZ850" s="240"/>
      <c r="BA850" s="240"/>
      <c r="BB850" s="672"/>
      <c r="BC850" s="731"/>
      <c r="BD850" s="731"/>
      <c r="BE850" s="731"/>
      <c r="BF850" s="672"/>
      <c r="BG850" s="732"/>
      <c r="BH850" s="240"/>
      <c r="BI850" s="240"/>
      <c r="BJ850" s="240"/>
      <c r="BK850" s="240"/>
      <c r="BL850" s="240"/>
      <c r="BM850" s="240"/>
      <c r="BN850" s="240"/>
      <c r="BO850" s="240"/>
      <c r="BP850" s="240"/>
      <c r="BQ850" s="240"/>
      <c r="BR850" s="240"/>
      <c r="BS850" s="240"/>
      <c r="BT850" s="240"/>
      <c r="BU850" s="672"/>
      <c r="BV850" s="672"/>
      <c r="BW850" s="672"/>
      <c r="BX850" s="672"/>
      <c r="BY850" s="672"/>
      <c r="BZ850" s="672"/>
      <c r="CA850" s="672"/>
      <c r="CB850" s="672"/>
      <c r="CC850" s="672"/>
      <c r="CD850" s="672"/>
      <c r="CE850" s="240"/>
      <c r="CF850" s="240"/>
      <c r="CG850" s="240"/>
      <c r="CH850" s="240"/>
      <c r="CI850" s="240"/>
      <c r="CJ850" s="728"/>
      <c r="CK850" s="728"/>
      <c r="CL850" s="195"/>
      <c r="CM850" s="195"/>
      <c r="CN850" s="195"/>
      <c r="CO850" s="195"/>
      <c r="CP850" s="195"/>
      <c r="CQ850" s="195"/>
      <c r="CR850" s="195"/>
      <c r="CS850" s="195"/>
      <c r="CT850" s="195"/>
      <c r="CU850" s="195"/>
      <c r="CV850" s="195"/>
      <c r="CW850" s="195"/>
      <c r="CX850" s="195"/>
      <c r="CY850" s="195"/>
      <c r="CZ850" s="195"/>
      <c r="DA850" s="195"/>
      <c r="DB850" s="195"/>
      <c r="DC850" s="195"/>
      <c r="DD850" s="195"/>
      <c r="DO850" s="195"/>
      <c r="DP850" s="195"/>
      <c r="DQ850" s="195"/>
      <c r="DR850" s="195"/>
      <c r="DS850" s="195"/>
      <c r="DT850" s="195"/>
      <c r="DU850" s="195"/>
      <c r="DV850" s="195"/>
      <c r="DW850" s="195"/>
      <c r="DX850" s="195"/>
      <c r="DY850" s="195"/>
      <c r="DZ850" s="195"/>
      <c r="EA850" s="195"/>
      <c r="EB850" s="195"/>
      <c r="EC850" s="195"/>
      <c r="ED850" s="195"/>
      <c r="EE850" s="195"/>
      <c r="EK850" s="195"/>
      <c r="EL850" s="240"/>
      <c r="EM850" s="240"/>
      <c r="EN850" s="195"/>
      <c r="EO850" s="240"/>
      <c r="EP850" s="195"/>
      <c r="EQ850" s="195"/>
      <c r="ER850" s="195"/>
      <c r="ES850" s="736"/>
    </row>
    <row r="851" customFormat="false" ht="12.75" hidden="false" customHeight="false" outlineLevel="0" collapsed="false">
      <c r="I851" s="735"/>
      <c r="J851" s="728"/>
      <c r="K851" s="195"/>
      <c r="L851" s="195"/>
      <c r="Q851" s="195"/>
      <c r="R851" s="195"/>
      <c r="S851" s="240"/>
      <c r="T851" s="195"/>
      <c r="U851" s="195"/>
      <c r="V851" s="195"/>
      <c r="W851" s="195"/>
      <c r="X851" s="195"/>
      <c r="Y851" s="195"/>
      <c r="Z851" s="195"/>
      <c r="AA851" s="195"/>
      <c r="AB851" s="195"/>
      <c r="AC851" s="195"/>
      <c r="AD851" s="195"/>
      <c r="AE851" s="195"/>
      <c r="AF851" s="195"/>
      <c r="AG851" s="195"/>
      <c r="AH851" s="195"/>
      <c r="AI851" s="195"/>
      <c r="AJ851" s="195"/>
      <c r="AK851" s="195"/>
      <c r="AL851" s="195"/>
      <c r="AM851" s="1"/>
      <c r="AN851" s="240"/>
      <c r="AO851" s="240"/>
      <c r="AP851" s="240"/>
      <c r="AQ851" s="730"/>
      <c r="AR851" s="730"/>
      <c r="AS851" s="730"/>
      <c r="AT851" s="738"/>
      <c r="AU851" s="738"/>
      <c r="AV851" s="240"/>
      <c r="AW851" s="240"/>
      <c r="AX851" s="240"/>
      <c r="AY851" s="240"/>
      <c r="AZ851" s="240"/>
      <c r="BA851" s="240"/>
      <c r="BB851" s="672"/>
      <c r="BC851" s="731"/>
      <c r="BD851" s="731"/>
      <c r="BE851" s="731"/>
      <c r="BF851" s="672"/>
      <c r="BG851" s="732"/>
      <c r="BH851" s="240"/>
      <c r="BI851" s="240"/>
      <c r="BJ851" s="240"/>
      <c r="BK851" s="240"/>
      <c r="BL851" s="240"/>
      <c r="BM851" s="240"/>
      <c r="BN851" s="240"/>
      <c r="BO851" s="240"/>
      <c r="BP851" s="240"/>
      <c r="BQ851" s="240"/>
      <c r="BR851" s="240"/>
      <c r="BS851" s="240"/>
      <c r="BT851" s="240"/>
      <c r="BU851" s="672"/>
      <c r="BV851" s="672"/>
      <c r="BW851" s="672"/>
      <c r="BX851" s="672"/>
      <c r="BY851" s="672"/>
      <c r="BZ851" s="672"/>
      <c r="CA851" s="672"/>
      <c r="CB851" s="672"/>
      <c r="CC851" s="672"/>
      <c r="CD851" s="672"/>
      <c r="CE851" s="240"/>
      <c r="CF851" s="240"/>
      <c r="CG851" s="240"/>
      <c r="CH851" s="240"/>
      <c r="CI851" s="240"/>
      <c r="CJ851" s="728"/>
      <c r="CK851" s="728"/>
      <c r="CL851" s="195"/>
      <c r="CM851" s="195"/>
      <c r="CN851" s="195"/>
      <c r="CO851" s="195"/>
      <c r="CP851" s="195"/>
      <c r="CQ851" s="195"/>
      <c r="CR851" s="195"/>
      <c r="CS851" s="195"/>
      <c r="CT851" s="195"/>
      <c r="CU851" s="195"/>
      <c r="CV851" s="195"/>
      <c r="CW851" s="195"/>
      <c r="CX851" s="195"/>
      <c r="CY851" s="195"/>
      <c r="CZ851" s="195"/>
      <c r="DA851" s="195"/>
      <c r="DB851" s="195"/>
      <c r="DC851" s="195"/>
      <c r="DD851" s="195"/>
      <c r="DO851" s="195"/>
      <c r="DP851" s="195"/>
      <c r="DQ851" s="195"/>
      <c r="DR851" s="195"/>
      <c r="DS851" s="195"/>
      <c r="DT851" s="195"/>
      <c r="DU851" s="195"/>
      <c r="DV851" s="195"/>
      <c r="DW851" s="195"/>
      <c r="DX851" s="195"/>
      <c r="DY851" s="195"/>
      <c r="DZ851" s="195"/>
      <c r="EA851" s="195"/>
      <c r="EB851" s="195"/>
      <c r="EC851" s="195"/>
      <c r="ED851" s="195"/>
      <c r="EE851" s="195"/>
      <c r="EK851" s="195"/>
      <c r="EL851" s="240"/>
      <c r="EM851" s="240"/>
      <c r="EN851" s="195"/>
      <c r="EO851" s="240"/>
      <c r="EP851" s="195"/>
      <c r="EQ851" s="195"/>
      <c r="ER851" s="195"/>
      <c r="ES851" s="736"/>
    </row>
    <row r="852" customFormat="false" ht="12.75" hidden="false" customHeight="false" outlineLevel="0" collapsed="false">
      <c r="I852" s="735"/>
      <c r="J852" s="728"/>
      <c r="K852" s="195"/>
      <c r="L852" s="195"/>
      <c r="Q852" s="195"/>
      <c r="R852" s="195"/>
      <c r="S852" s="240"/>
      <c r="T852" s="195"/>
      <c r="U852" s="195"/>
      <c r="V852" s="195"/>
      <c r="W852" s="195"/>
      <c r="X852" s="195"/>
      <c r="Y852" s="195"/>
      <c r="Z852" s="195"/>
      <c r="AA852" s="195"/>
      <c r="AB852" s="195"/>
      <c r="AC852" s="195"/>
      <c r="AD852" s="195"/>
      <c r="AE852" s="195"/>
      <c r="AF852" s="195"/>
      <c r="AG852" s="195"/>
      <c r="AH852" s="195"/>
      <c r="AI852" s="195"/>
      <c r="AJ852" s="195"/>
      <c r="AK852" s="195"/>
      <c r="AL852" s="195"/>
      <c r="AM852" s="1"/>
      <c r="AN852" s="240"/>
      <c r="AO852" s="240"/>
      <c r="AP852" s="240"/>
      <c r="AQ852" s="730"/>
      <c r="AR852" s="730"/>
      <c r="AS852" s="730"/>
      <c r="AT852" s="738"/>
      <c r="AU852" s="738"/>
      <c r="AV852" s="240"/>
      <c r="AW852" s="240"/>
      <c r="AX852" s="240"/>
      <c r="AY852" s="240"/>
      <c r="AZ852" s="240"/>
      <c r="BA852" s="240"/>
      <c r="BB852" s="672"/>
      <c r="BC852" s="731"/>
      <c r="BD852" s="731"/>
      <c r="BE852" s="731"/>
      <c r="BF852" s="672"/>
      <c r="BG852" s="732"/>
      <c r="BH852" s="240"/>
      <c r="BI852" s="240"/>
      <c r="BJ852" s="240"/>
      <c r="BK852" s="240"/>
      <c r="BL852" s="240"/>
      <c r="BM852" s="240"/>
      <c r="BN852" s="240"/>
      <c r="BO852" s="240"/>
      <c r="BP852" s="240"/>
      <c r="BQ852" s="240"/>
      <c r="BR852" s="240"/>
      <c r="BS852" s="240"/>
      <c r="BT852" s="240"/>
      <c r="BU852" s="672"/>
      <c r="BV852" s="672"/>
      <c r="BW852" s="672"/>
      <c r="BX852" s="672"/>
      <c r="BY852" s="672"/>
      <c r="BZ852" s="672"/>
      <c r="CA852" s="672"/>
      <c r="CB852" s="672"/>
      <c r="CC852" s="672"/>
      <c r="CD852" s="672"/>
      <c r="CE852" s="240"/>
      <c r="CF852" s="240"/>
      <c r="CG852" s="240"/>
      <c r="CH852" s="240"/>
      <c r="CI852" s="240"/>
      <c r="CJ852" s="728"/>
      <c r="CK852" s="728"/>
      <c r="CL852" s="195"/>
      <c r="CM852" s="195"/>
      <c r="CN852" s="195"/>
      <c r="CO852" s="195"/>
      <c r="CP852" s="195"/>
      <c r="CQ852" s="195"/>
      <c r="CR852" s="195"/>
      <c r="CS852" s="195"/>
      <c r="CT852" s="195"/>
      <c r="CU852" s="195"/>
      <c r="CV852" s="195"/>
      <c r="CW852" s="195"/>
      <c r="CX852" s="195"/>
      <c r="CY852" s="195"/>
      <c r="CZ852" s="195"/>
      <c r="DA852" s="195"/>
      <c r="DB852" s="195"/>
      <c r="DC852" s="195"/>
      <c r="DD852" s="195"/>
      <c r="DO852" s="195"/>
      <c r="DP852" s="195"/>
      <c r="DQ852" s="195"/>
      <c r="DR852" s="195"/>
      <c r="DS852" s="195"/>
      <c r="DT852" s="195"/>
      <c r="DU852" s="195"/>
      <c r="DV852" s="195"/>
      <c r="DW852" s="195"/>
      <c r="DX852" s="195"/>
      <c r="DY852" s="195"/>
      <c r="DZ852" s="195"/>
      <c r="EA852" s="195"/>
      <c r="EB852" s="195"/>
      <c r="EC852" s="195"/>
      <c r="ED852" s="195"/>
      <c r="EE852" s="195"/>
      <c r="EK852" s="195"/>
      <c r="EL852" s="240"/>
      <c r="EM852" s="240"/>
      <c r="EN852" s="195"/>
      <c r="EO852" s="240"/>
      <c r="EP852" s="195"/>
      <c r="EQ852" s="195"/>
      <c r="ER852" s="195"/>
      <c r="ES852" s="736"/>
    </row>
    <row r="853" customFormat="false" ht="12.75" hidden="false" customHeight="false" outlineLevel="0" collapsed="false">
      <c r="I853" s="735"/>
      <c r="J853" s="728"/>
      <c r="K853" s="195"/>
      <c r="L853" s="195"/>
      <c r="Q853" s="195"/>
      <c r="R853" s="195"/>
      <c r="S853" s="240"/>
      <c r="T853" s="195"/>
      <c r="U853" s="195"/>
      <c r="V853" s="195"/>
      <c r="W853" s="195"/>
      <c r="X853" s="195"/>
      <c r="Y853" s="195"/>
      <c r="Z853" s="195"/>
      <c r="AA853" s="195"/>
      <c r="AB853" s="195"/>
      <c r="AC853" s="195"/>
      <c r="AD853" s="195"/>
      <c r="AE853" s="195"/>
      <c r="AF853" s="195"/>
      <c r="AG853" s="195"/>
      <c r="AH853" s="195"/>
      <c r="AI853" s="195"/>
      <c r="AJ853" s="195"/>
      <c r="AK853" s="195"/>
      <c r="AL853" s="195"/>
      <c r="AM853" s="1"/>
      <c r="AN853" s="240"/>
      <c r="AO853" s="240"/>
      <c r="AP853" s="240"/>
      <c r="AQ853" s="730"/>
      <c r="AR853" s="730"/>
      <c r="AS853" s="730"/>
      <c r="AT853" s="738"/>
      <c r="AU853" s="738"/>
      <c r="AV853" s="240"/>
      <c r="AW853" s="240"/>
      <c r="AX853" s="240"/>
      <c r="AY853" s="240"/>
      <c r="AZ853" s="240"/>
      <c r="BA853" s="240"/>
      <c r="BB853" s="672"/>
      <c r="BC853" s="731"/>
      <c r="BD853" s="731"/>
      <c r="BE853" s="731"/>
      <c r="BF853" s="672"/>
      <c r="BG853" s="732"/>
      <c r="BH853" s="240"/>
      <c r="BI853" s="240"/>
      <c r="BJ853" s="240"/>
      <c r="BK853" s="240"/>
      <c r="BL853" s="240"/>
      <c r="BM853" s="240"/>
      <c r="BN853" s="240"/>
      <c r="BO853" s="240"/>
      <c r="BP853" s="240"/>
      <c r="BQ853" s="240"/>
      <c r="BR853" s="240"/>
      <c r="BS853" s="240"/>
      <c r="BT853" s="240"/>
      <c r="BU853" s="672"/>
      <c r="BV853" s="672"/>
      <c r="BW853" s="672"/>
      <c r="BX853" s="672"/>
      <c r="BY853" s="672"/>
      <c r="BZ853" s="672"/>
      <c r="CA853" s="672"/>
      <c r="CB853" s="672"/>
      <c r="CC853" s="672"/>
      <c r="CD853" s="672"/>
      <c r="CE853" s="240"/>
      <c r="CF853" s="240"/>
      <c r="CG853" s="240"/>
      <c r="CH853" s="240"/>
      <c r="CI853" s="240"/>
      <c r="CJ853" s="728"/>
      <c r="CK853" s="728"/>
      <c r="CL853" s="195"/>
      <c r="CM853" s="195"/>
      <c r="CN853" s="195"/>
      <c r="CO853" s="195"/>
      <c r="CP853" s="195"/>
      <c r="CQ853" s="195"/>
      <c r="CR853" s="195"/>
      <c r="CS853" s="195"/>
      <c r="CT853" s="195"/>
      <c r="CU853" s="195"/>
      <c r="CV853" s="195"/>
      <c r="CW853" s="195"/>
      <c r="CX853" s="195"/>
      <c r="CY853" s="195"/>
      <c r="CZ853" s="195"/>
      <c r="DA853" s="195"/>
      <c r="DB853" s="195"/>
      <c r="DC853" s="195"/>
      <c r="DD853" s="195"/>
      <c r="DO853" s="195"/>
      <c r="DP853" s="195"/>
      <c r="DQ853" s="195"/>
      <c r="DR853" s="195"/>
      <c r="DS853" s="195"/>
      <c r="DT853" s="195"/>
      <c r="DU853" s="195"/>
      <c r="DV853" s="195"/>
      <c r="DW853" s="195"/>
      <c r="DX853" s="195"/>
      <c r="DY853" s="195"/>
      <c r="DZ853" s="195"/>
      <c r="EA853" s="195"/>
      <c r="EB853" s="195"/>
      <c r="EC853" s="195"/>
      <c r="ED853" s="195"/>
      <c r="EE853" s="195"/>
      <c r="EK853" s="195"/>
      <c r="EL853" s="240"/>
      <c r="EM853" s="240"/>
      <c r="EN853" s="195"/>
      <c r="EO853" s="240"/>
      <c r="EP853" s="195"/>
      <c r="EQ853" s="195"/>
      <c r="ER853" s="195"/>
      <c r="ES853" s="736"/>
    </row>
    <row r="854" customFormat="false" ht="12.75" hidden="false" customHeight="false" outlineLevel="0" collapsed="false">
      <c r="I854" s="735"/>
      <c r="J854" s="728"/>
      <c r="K854" s="195"/>
      <c r="L854" s="195"/>
      <c r="Q854" s="195"/>
      <c r="R854" s="195"/>
      <c r="S854" s="240"/>
      <c r="T854" s="195"/>
      <c r="U854" s="195"/>
      <c r="V854" s="195"/>
      <c r="W854" s="195"/>
      <c r="X854" s="195"/>
      <c r="Y854" s="195"/>
      <c r="Z854" s="195"/>
      <c r="AA854" s="195"/>
      <c r="AB854" s="195"/>
      <c r="AC854" s="195"/>
      <c r="AD854" s="195"/>
      <c r="AE854" s="195"/>
      <c r="AF854" s="195"/>
      <c r="AG854" s="195"/>
      <c r="AH854" s="195"/>
      <c r="AI854" s="195"/>
      <c r="AJ854" s="195"/>
      <c r="AK854" s="195"/>
      <c r="AL854" s="195"/>
      <c r="AM854" s="1"/>
      <c r="AN854" s="240"/>
      <c r="AO854" s="240"/>
      <c r="AP854" s="240"/>
      <c r="AQ854" s="730"/>
      <c r="AR854" s="730"/>
      <c r="AS854" s="730"/>
      <c r="AT854" s="738"/>
      <c r="AU854" s="738"/>
      <c r="AV854" s="240"/>
      <c r="AW854" s="240"/>
      <c r="AX854" s="240"/>
      <c r="AY854" s="240"/>
      <c r="AZ854" s="240"/>
      <c r="BA854" s="240"/>
      <c r="BB854" s="672"/>
      <c r="BC854" s="731"/>
      <c r="BD854" s="731"/>
      <c r="BE854" s="731"/>
      <c r="BF854" s="672"/>
      <c r="BG854" s="732"/>
      <c r="BH854" s="240"/>
      <c r="BI854" s="240"/>
      <c r="BJ854" s="240"/>
      <c r="BK854" s="240"/>
      <c r="BL854" s="240"/>
      <c r="BM854" s="240"/>
      <c r="BN854" s="240"/>
      <c r="BO854" s="240"/>
      <c r="BP854" s="240"/>
      <c r="BQ854" s="240"/>
      <c r="BR854" s="240"/>
      <c r="BS854" s="240"/>
      <c r="BT854" s="240"/>
      <c r="BU854" s="672"/>
      <c r="BV854" s="672"/>
      <c r="BW854" s="672"/>
      <c r="BX854" s="672"/>
      <c r="BY854" s="672"/>
      <c r="BZ854" s="672"/>
      <c r="CA854" s="672"/>
      <c r="CB854" s="672"/>
      <c r="CC854" s="672"/>
      <c r="CD854" s="672"/>
      <c r="CE854" s="240"/>
      <c r="CF854" s="240"/>
      <c r="CG854" s="240"/>
      <c r="CH854" s="240"/>
      <c r="CI854" s="240"/>
      <c r="CJ854" s="728"/>
      <c r="CK854" s="728"/>
      <c r="CL854" s="195"/>
      <c r="CM854" s="195"/>
      <c r="CN854" s="195"/>
      <c r="CO854" s="195"/>
      <c r="CP854" s="195"/>
      <c r="CQ854" s="195"/>
      <c r="CR854" s="195"/>
      <c r="CS854" s="195"/>
      <c r="CT854" s="195"/>
      <c r="CU854" s="195"/>
      <c r="CV854" s="195"/>
      <c r="CW854" s="195"/>
      <c r="CX854" s="195"/>
      <c r="CY854" s="195"/>
      <c r="CZ854" s="195"/>
      <c r="DA854" s="195"/>
      <c r="DB854" s="195"/>
      <c r="DC854" s="195"/>
      <c r="DD854" s="195"/>
      <c r="DO854" s="195"/>
      <c r="DP854" s="195"/>
      <c r="DQ854" s="195"/>
      <c r="DR854" s="195"/>
      <c r="DS854" s="195"/>
      <c r="DT854" s="195"/>
      <c r="DU854" s="195"/>
      <c r="DV854" s="195"/>
      <c r="DW854" s="195"/>
      <c r="DX854" s="195"/>
      <c r="DY854" s="195"/>
      <c r="DZ854" s="195"/>
      <c r="EA854" s="195"/>
      <c r="EB854" s="195"/>
      <c r="EC854" s="195"/>
      <c r="ED854" s="195"/>
      <c r="EE854" s="195"/>
      <c r="EK854" s="195"/>
      <c r="EL854" s="240"/>
      <c r="EM854" s="240"/>
      <c r="EN854" s="195"/>
      <c r="EO854" s="240"/>
      <c r="EP854" s="195"/>
      <c r="EQ854" s="195"/>
      <c r="ER854" s="195"/>
      <c r="ES854" s="736"/>
    </row>
    <row r="855" customFormat="false" ht="12.75" hidden="false" customHeight="false" outlineLevel="0" collapsed="false">
      <c r="I855" s="735"/>
      <c r="J855" s="728"/>
      <c r="K855" s="195"/>
      <c r="L855" s="195"/>
      <c r="Q855" s="195"/>
      <c r="R855" s="195"/>
      <c r="S855" s="240"/>
      <c r="T855" s="195"/>
      <c r="U855" s="195"/>
      <c r="V855" s="195"/>
      <c r="W855" s="195"/>
      <c r="X855" s="195"/>
      <c r="Y855" s="195"/>
      <c r="Z855" s="195"/>
      <c r="AA855" s="195"/>
      <c r="AB855" s="195"/>
      <c r="AC855" s="195"/>
      <c r="AD855" s="195"/>
      <c r="AE855" s="195"/>
      <c r="AF855" s="195"/>
      <c r="AG855" s="195"/>
      <c r="AH855" s="195"/>
      <c r="AI855" s="195"/>
      <c r="AJ855" s="195"/>
      <c r="AK855" s="195"/>
      <c r="AL855" s="195"/>
      <c r="AM855" s="1"/>
      <c r="AN855" s="240"/>
      <c r="AO855" s="240"/>
      <c r="AP855" s="240"/>
      <c r="AQ855" s="730"/>
      <c r="AR855" s="730"/>
      <c r="AS855" s="730"/>
      <c r="AT855" s="738"/>
      <c r="AU855" s="738"/>
      <c r="AV855" s="240"/>
      <c r="AW855" s="240"/>
      <c r="AX855" s="240"/>
      <c r="AY855" s="240"/>
      <c r="AZ855" s="240"/>
      <c r="BA855" s="240"/>
      <c r="BB855" s="672"/>
      <c r="BC855" s="731"/>
      <c r="BD855" s="731"/>
      <c r="BE855" s="731"/>
      <c r="BF855" s="672"/>
      <c r="BG855" s="732"/>
      <c r="BH855" s="240"/>
      <c r="BI855" s="240"/>
      <c r="BJ855" s="240"/>
      <c r="BK855" s="240"/>
      <c r="BL855" s="240"/>
      <c r="BM855" s="240"/>
      <c r="BN855" s="240"/>
      <c r="BO855" s="240"/>
      <c r="BP855" s="240"/>
      <c r="BQ855" s="240"/>
      <c r="BR855" s="240"/>
      <c r="BS855" s="240"/>
      <c r="BT855" s="240"/>
      <c r="BU855" s="672"/>
      <c r="BV855" s="672"/>
      <c r="BW855" s="672"/>
      <c r="BX855" s="672"/>
      <c r="BY855" s="672"/>
      <c r="BZ855" s="672"/>
      <c r="CA855" s="672"/>
      <c r="CB855" s="672"/>
      <c r="CC855" s="672"/>
      <c r="CD855" s="672"/>
      <c r="CE855" s="240"/>
      <c r="CF855" s="240"/>
      <c r="CG855" s="240"/>
      <c r="CH855" s="240"/>
      <c r="CI855" s="240"/>
      <c r="CJ855" s="728"/>
      <c r="CK855" s="728"/>
      <c r="CL855" s="195"/>
      <c r="CM855" s="195"/>
      <c r="CN855" s="195"/>
      <c r="CO855" s="195"/>
      <c r="CP855" s="195"/>
      <c r="CQ855" s="195"/>
      <c r="CR855" s="195"/>
      <c r="CS855" s="195"/>
      <c r="CT855" s="195"/>
      <c r="CU855" s="195"/>
      <c r="CV855" s="195"/>
      <c r="CW855" s="195"/>
      <c r="CX855" s="195"/>
      <c r="CY855" s="195"/>
      <c r="CZ855" s="195"/>
      <c r="DA855" s="195"/>
      <c r="DB855" s="195"/>
      <c r="DC855" s="195"/>
      <c r="DD855" s="195"/>
      <c r="DO855" s="195"/>
      <c r="DP855" s="195"/>
      <c r="DQ855" s="195"/>
      <c r="DR855" s="195"/>
      <c r="DS855" s="195"/>
      <c r="DT855" s="195"/>
      <c r="DU855" s="195"/>
      <c r="DV855" s="195"/>
      <c r="DW855" s="195"/>
      <c r="DX855" s="195"/>
      <c r="DY855" s="195"/>
      <c r="DZ855" s="195"/>
      <c r="EA855" s="195"/>
      <c r="EB855" s="195"/>
      <c r="EC855" s="195"/>
      <c r="ED855" s="195"/>
      <c r="EE855" s="195"/>
      <c r="EK855" s="195"/>
      <c r="EL855" s="240"/>
      <c r="EM855" s="240"/>
      <c r="EN855" s="195"/>
      <c r="EO855" s="240"/>
      <c r="EP855" s="195"/>
      <c r="EQ855" s="195"/>
      <c r="ER855" s="195"/>
      <c r="ES855" s="736"/>
    </row>
    <row r="856" customFormat="false" ht="12.75" hidden="false" customHeight="false" outlineLevel="0" collapsed="false">
      <c r="I856" s="735"/>
      <c r="J856" s="728"/>
      <c r="K856" s="195"/>
      <c r="L856" s="195"/>
      <c r="Q856" s="195"/>
      <c r="R856" s="195"/>
      <c r="S856" s="240"/>
      <c r="T856" s="195"/>
      <c r="U856" s="195"/>
      <c r="V856" s="195"/>
      <c r="W856" s="195"/>
      <c r="X856" s="195"/>
      <c r="Y856" s="195"/>
      <c r="Z856" s="195"/>
      <c r="AA856" s="195"/>
      <c r="AB856" s="195"/>
      <c r="AC856" s="195"/>
      <c r="AD856" s="195"/>
      <c r="AE856" s="195"/>
      <c r="AF856" s="195"/>
      <c r="AG856" s="195"/>
      <c r="AH856" s="195"/>
      <c r="AI856" s="195"/>
      <c r="AJ856" s="195"/>
      <c r="AK856" s="195"/>
      <c r="AL856" s="195"/>
      <c r="AM856" s="1"/>
      <c r="AN856" s="240"/>
      <c r="AO856" s="240"/>
      <c r="AP856" s="240"/>
      <c r="AQ856" s="730"/>
      <c r="AR856" s="730"/>
      <c r="AS856" s="730"/>
      <c r="AT856" s="738"/>
      <c r="AU856" s="738"/>
      <c r="AV856" s="240"/>
      <c r="AW856" s="240"/>
      <c r="AX856" s="240"/>
      <c r="AY856" s="240"/>
      <c r="AZ856" s="240"/>
      <c r="BA856" s="240"/>
      <c r="BB856" s="672"/>
      <c r="BC856" s="731"/>
      <c r="BD856" s="731"/>
      <c r="BE856" s="731"/>
      <c r="BF856" s="672"/>
      <c r="BG856" s="732"/>
      <c r="BH856" s="240"/>
      <c r="BI856" s="240"/>
      <c r="BJ856" s="240"/>
      <c r="BK856" s="240"/>
      <c r="BL856" s="240"/>
      <c r="BM856" s="240"/>
      <c r="BN856" s="240"/>
      <c r="BO856" s="240"/>
      <c r="BP856" s="240"/>
      <c r="BQ856" s="240"/>
      <c r="BR856" s="240"/>
      <c r="BS856" s="240"/>
      <c r="BT856" s="240"/>
      <c r="BU856" s="672"/>
      <c r="BV856" s="672"/>
      <c r="BW856" s="672"/>
      <c r="BX856" s="672"/>
      <c r="BY856" s="672"/>
      <c r="BZ856" s="672"/>
      <c r="CA856" s="672"/>
      <c r="CB856" s="672"/>
      <c r="CC856" s="672"/>
      <c r="CD856" s="672"/>
      <c r="CE856" s="240"/>
      <c r="CF856" s="240"/>
      <c r="CG856" s="240"/>
      <c r="CH856" s="240"/>
      <c r="CI856" s="240"/>
      <c r="CJ856" s="728"/>
      <c r="CK856" s="728"/>
      <c r="CL856" s="195"/>
      <c r="CM856" s="195"/>
      <c r="CN856" s="195"/>
      <c r="CO856" s="195"/>
      <c r="CP856" s="195"/>
      <c r="CQ856" s="195"/>
      <c r="CR856" s="195"/>
      <c r="CS856" s="195"/>
      <c r="CT856" s="195"/>
      <c r="CU856" s="195"/>
      <c r="CV856" s="195"/>
      <c r="CW856" s="195"/>
      <c r="CX856" s="195"/>
      <c r="CY856" s="195"/>
      <c r="CZ856" s="195"/>
      <c r="DA856" s="195"/>
      <c r="DB856" s="195"/>
      <c r="DC856" s="195"/>
      <c r="DD856" s="195"/>
      <c r="DO856" s="195"/>
      <c r="DP856" s="195"/>
      <c r="DQ856" s="195"/>
      <c r="DR856" s="195"/>
      <c r="DS856" s="195"/>
      <c r="DT856" s="195"/>
      <c r="DU856" s="195"/>
      <c r="DV856" s="195"/>
      <c r="DW856" s="195"/>
      <c r="DX856" s="195"/>
      <c r="DY856" s="195"/>
      <c r="DZ856" s="195"/>
      <c r="EA856" s="195"/>
      <c r="EB856" s="195"/>
      <c r="EC856" s="195"/>
      <c r="ED856" s="195"/>
      <c r="EE856" s="195"/>
      <c r="EK856" s="195"/>
      <c r="EL856" s="240"/>
      <c r="EM856" s="240"/>
      <c r="EN856" s="195"/>
      <c r="EO856" s="240"/>
      <c r="EP856" s="195"/>
      <c r="EQ856" s="195"/>
      <c r="ER856" s="195"/>
      <c r="ES856" s="736"/>
    </row>
    <row r="857" customFormat="false" ht="12.75" hidden="false" customHeight="false" outlineLevel="0" collapsed="false">
      <c r="I857" s="735"/>
      <c r="J857" s="728"/>
      <c r="K857" s="195"/>
      <c r="L857" s="195"/>
      <c r="Q857" s="195"/>
      <c r="R857" s="195"/>
      <c r="S857" s="240"/>
      <c r="T857" s="195"/>
      <c r="U857" s="195"/>
      <c r="V857" s="195"/>
      <c r="W857" s="195"/>
      <c r="X857" s="195"/>
      <c r="Y857" s="195"/>
      <c r="Z857" s="195"/>
      <c r="AA857" s="195"/>
      <c r="AB857" s="195"/>
      <c r="AC857" s="195"/>
      <c r="AD857" s="195"/>
      <c r="AE857" s="195"/>
      <c r="AF857" s="195"/>
      <c r="AG857" s="195"/>
      <c r="AH857" s="195"/>
      <c r="AI857" s="195"/>
      <c r="AJ857" s="195"/>
      <c r="AK857" s="195"/>
      <c r="AL857" s="195"/>
      <c r="AM857" s="1"/>
      <c r="AN857" s="240"/>
      <c r="AO857" s="240"/>
      <c r="AP857" s="240"/>
      <c r="AQ857" s="730"/>
      <c r="AR857" s="730"/>
      <c r="AS857" s="730"/>
      <c r="AT857" s="738"/>
      <c r="AU857" s="738"/>
      <c r="AV857" s="240"/>
      <c r="AW857" s="240"/>
      <c r="AX857" s="240"/>
      <c r="AY857" s="240"/>
      <c r="AZ857" s="240"/>
      <c r="BA857" s="240"/>
      <c r="BB857" s="672"/>
      <c r="BC857" s="731"/>
      <c r="BD857" s="731"/>
      <c r="BE857" s="731"/>
      <c r="BF857" s="672"/>
      <c r="BG857" s="732"/>
      <c r="BH857" s="240"/>
      <c r="BI857" s="240"/>
      <c r="BJ857" s="240"/>
      <c r="BK857" s="240"/>
      <c r="BL857" s="240"/>
      <c r="BM857" s="240"/>
      <c r="BN857" s="240"/>
      <c r="BO857" s="240"/>
      <c r="BP857" s="240"/>
      <c r="BQ857" s="240"/>
      <c r="BR857" s="240"/>
      <c r="BS857" s="240"/>
      <c r="BT857" s="240"/>
      <c r="BU857" s="672"/>
      <c r="BV857" s="672"/>
      <c r="BW857" s="672"/>
      <c r="BX857" s="672"/>
      <c r="BY857" s="672"/>
      <c r="BZ857" s="672"/>
      <c r="CA857" s="672"/>
      <c r="CB857" s="672"/>
      <c r="CC857" s="672"/>
      <c r="CD857" s="672"/>
      <c r="CE857" s="240"/>
      <c r="CF857" s="240"/>
      <c r="CG857" s="240"/>
      <c r="CH857" s="240"/>
      <c r="CI857" s="240"/>
      <c r="CJ857" s="728"/>
      <c r="CK857" s="728"/>
      <c r="CL857" s="195"/>
      <c r="CM857" s="195"/>
      <c r="CN857" s="195"/>
      <c r="CO857" s="195"/>
      <c r="CP857" s="195"/>
      <c r="CQ857" s="195"/>
      <c r="CR857" s="195"/>
      <c r="CS857" s="195"/>
      <c r="CT857" s="195"/>
      <c r="CU857" s="195"/>
      <c r="CV857" s="195"/>
      <c r="CW857" s="195"/>
      <c r="CX857" s="195"/>
      <c r="CY857" s="195"/>
      <c r="CZ857" s="195"/>
      <c r="DA857" s="195"/>
      <c r="DB857" s="195"/>
      <c r="DC857" s="195"/>
      <c r="DD857" s="195"/>
      <c r="DO857" s="195"/>
      <c r="DP857" s="195"/>
      <c r="DQ857" s="195"/>
      <c r="DR857" s="195"/>
      <c r="DS857" s="195"/>
      <c r="DT857" s="195"/>
      <c r="DU857" s="195"/>
      <c r="DV857" s="195"/>
      <c r="DW857" s="195"/>
      <c r="DX857" s="195"/>
      <c r="DY857" s="195"/>
      <c r="DZ857" s="195"/>
      <c r="EA857" s="195"/>
      <c r="EB857" s="195"/>
      <c r="EC857" s="195"/>
      <c r="ED857" s="195"/>
      <c r="EE857" s="195"/>
      <c r="EK857" s="195"/>
      <c r="EL857" s="240"/>
      <c r="EM857" s="240"/>
      <c r="EN857" s="195"/>
      <c r="EO857" s="240"/>
      <c r="EP857" s="195"/>
      <c r="EQ857" s="195"/>
      <c r="ER857" s="195"/>
      <c r="ES857" s="736"/>
    </row>
    <row r="858" customFormat="false" ht="12.75" hidden="false" customHeight="false" outlineLevel="0" collapsed="false">
      <c r="I858" s="735"/>
      <c r="J858" s="728"/>
      <c r="K858" s="195"/>
      <c r="L858" s="195"/>
      <c r="Q858" s="195"/>
      <c r="R858" s="195"/>
      <c r="S858" s="240"/>
      <c r="T858" s="195"/>
      <c r="U858" s="195"/>
      <c r="V858" s="195"/>
      <c r="W858" s="195"/>
      <c r="X858" s="195"/>
      <c r="Y858" s="195"/>
      <c r="Z858" s="195"/>
      <c r="AA858" s="195"/>
      <c r="AB858" s="195"/>
      <c r="AC858" s="195"/>
      <c r="AD858" s="195"/>
      <c r="AE858" s="195"/>
      <c r="AF858" s="195"/>
      <c r="AG858" s="195"/>
      <c r="AH858" s="195"/>
      <c r="AI858" s="195"/>
      <c r="AJ858" s="195"/>
      <c r="AK858" s="195"/>
      <c r="AL858" s="195"/>
      <c r="AM858" s="1"/>
      <c r="AN858" s="240"/>
      <c r="AO858" s="240"/>
      <c r="AP858" s="240"/>
      <c r="AQ858" s="730"/>
      <c r="AR858" s="730"/>
      <c r="AS858" s="730"/>
      <c r="AT858" s="738"/>
      <c r="AU858" s="738"/>
      <c r="AV858" s="240"/>
      <c r="AW858" s="240"/>
      <c r="AX858" s="240"/>
      <c r="AY858" s="240"/>
      <c r="AZ858" s="240"/>
      <c r="BA858" s="240"/>
      <c r="BB858" s="672"/>
      <c r="BC858" s="731"/>
      <c r="BD858" s="731"/>
      <c r="BE858" s="731"/>
      <c r="BF858" s="672"/>
      <c r="BG858" s="732"/>
      <c r="BH858" s="240"/>
      <c r="BI858" s="240"/>
      <c r="BJ858" s="240"/>
      <c r="BK858" s="240"/>
      <c r="BL858" s="240"/>
      <c r="BM858" s="240"/>
      <c r="BN858" s="240"/>
      <c r="BO858" s="240"/>
      <c r="BP858" s="240"/>
      <c r="BQ858" s="240"/>
      <c r="BR858" s="240"/>
      <c r="BS858" s="240"/>
      <c r="BT858" s="240"/>
      <c r="BU858" s="672"/>
      <c r="BV858" s="672"/>
      <c r="BW858" s="672"/>
      <c r="BX858" s="672"/>
      <c r="BY858" s="672"/>
      <c r="BZ858" s="672"/>
      <c r="CA858" s="672"/>
      <c r="CB858" s="672"/>
      <c r="CC858" s="672"/>
      <c r="CD858" s="672"/>
      <c r="CE858" s="240"/>
      <c r="CF858" s="240"/>
      <c r="CG858" s="240"/>
      <c r="CH858" s="240"/>
      <c r="CI858" s="240"/>
      <c r="CJ858" s="728"/>
      <c r="CK858" s="728"/>
      <c r="CL858" s="195"/>
      <c r="CM858" s="195"/>
      <c r="CN858" s="195"/>
      <c r="CO858" s="195"/>
      <c r="CP858" s="195"/>
      <c r="CQ858" s="195"/>
      <c r="CR858" s="195"/>
      <c r="CS858" s="195"/>
      <c r="CT858" s="195"/>
      <c r="CU858" s="195"/>
      <c r="CV858" s="195"/>
      <c r="CW858" s="195"/>
      <c r="CX858" s="195"/>
      <c r="CY858" s="195"/>
      <c r="CZ858" s="195"/>
      <c r="DA858" s="195"/>
      <c r="DB858" s="195"/>
      <c r="DC858" s="195"/>
      <c r="DD858" s="195"/>
      <c r="DO858" s="195"/>
      <c r="DP858" s="195"/>
      <c r="DQ858" s="195"/>
      <c r="DR858" s="195"/>
      <c r="DS858" s="195"/>
      <c r="DT858" s="195"/>
      <c r="DU858" s="195"/>
      <c r="DV858" s="195"/>
      <c r="DW858" s="195"/>
      <c r="DX858" s="195"/>
      <c r="DY858" s="195"/>
      <c r="DZ858" s="195"/>
      <c r="EA858" s="195"/>
      <c r="EB858" s="195"/>
      <c r="EC858" s="195"/>
      <c r="ED858" s="195"/>
      <c r="EE858" s="195"/>
      <c r="EK858" s="195"/>
      <c r="EL858" s="240"/>
      <c r="EM858" s="240"/>
      <c r="EN858" s="195"/>
      <c r="EO858" s="240"/>
      <c r="EP858" s="195"/>
      <c r="EQ858" s="195"/>
      <c r="ER858" s="195"/>
      <c r="ES858" s="736"/>
    </row>
    <row r="859" customFormat="false" ht="12.75" hidden="false" customHeight="false" outlineLevel="0" collapsed="false">
      <c r="I859" s="735"/>
      <c r="J859" s="728"/>
      <c r="K859" s="195"/>
      <c r="L859" s="195"/>
      <c r="Q859" s="195"/>
      <c r="R859" s="195"/>
      <c r="S859" s="240"/>
      <c r="T859" s="195"/>
      <c r="U859" s="195"/>
      <c r="V859" s="195"/>
      <c r="W859" s="195"/>
      <c r="X859" s="195"/>
      <c r="Y859" s="195"/>
      <c r="Z859" s="195"/>
      <c r="AA859" s="195"/>
      <c r="AB859" s="195"/>
      <c r="AC859" s="195"/>
      <c r="AD859" s="195"/>
      <c r="AE859" s="195"/>
      <c r="AF859" s="195"/>
      <c r="AG859" s="195"/>
      <c r="AH859" s="195"/>
      <c r="AI859" s="195"/>
      <c r="AJ859" s="195"/>
      <c r="AK859" s="195"/>
      <c r="AL859" s="195"/>
      <c r="AM859" s="1"/>
      <c r="AN859" s="240"/>
      <c r="AO859" s="240"/>
      <c r="AP859" s="240"/>
      <c r="AQ859" s="730"/>
      <c r="AR859" s="730"/>
      <c r="AS859" s="730"/>
      <c r="AT859" s="738"/>
      <c r="AU859" s="738"/>
      <c r="AV859" s="240"/>
      <c r="AW859" s="240"/>
      <c r="AX859" s="240"/>
      <c r="AY859" s="240"/>
      <c r="AZ859" s="240"/>
      <c r="BA859" s="240"/>
      <c r="BB859" s="672"/>
      <c r="BC859" s="731"/>
      <c r="BD859" s="731"/>
      <c r="BE859" s="731"/>
      <c r="BF859" s="672"/>
      <c r="BG859" s="732"/>
      <c r="BH859" s="240"/>
      <c r="BI859" s="240"/>
      <c r="BJ859" s="240"/>
      <c r="BK859" s="240"/>
      <c r="BL859" s="240"/>
      <c r="BM859" s="240"/>
      <c r="BN859" s="240"/>
      <c r="BO859" s="240"/>
      <c r="BP859" s="240"/>
      <c r="BQ859" s="240"/>
      <c r="BR859" s="240"/>
      <c r="BS859" s="240"/>
      <c r="BT859" s="240"/>
      <c r="BU859" s="672"/>
      <c r="BV859" s="672"/>
      <c r="BW859" s="672"/>
      <c r="BX859" s="672"/>
      <c r="BY859" s="672"/>
      <c r="BZ859" s="672"/>
      <c r="CA859" s="672"/>
      <c r="CB859" s="672"/>
      <c r="CC859" s="672"/>
      <c r="CD859" s="672"/>
      <c r="CE859" s="240"/>
      <c r="CF859" s="240"/>
      <c r="CG859" s="240"/>
      <c r="CH859" s="240"/>
      <c r="CI859" s="240"/>
      <c r="CJ859" s="728"/>
      <c r="CK859" s="728"/>
      <c r="CL859" s="195"/>
      <c r="CM859" s="195"/>
      <c r="CN859" s="195"/>
      <c r="CO859" s="195"/>
      <c r="CP859" s="195"/>
      <c r="CQ859" s="195"/>
      <c r="CR859" s="195"/>
      <c r="CS859" s="195"/>
      <c r="CT859" s="195"/>
      <c r="CU859" s="195"/>
      <c r="CV859" s="195"/>
      <c r="CW859" s="195"/>
      <c r="CX859" s="195"/>
      <c r="CY859" s="195"/>
      <c r="CZ859" s="195"/>
      <c r="DA859" s="195"/>
      <c r="DB859" s="195"/>
      <c r="DC859" s="195"/>
      <c r="DD859" s="195"/>
      <c r="DO859" s="195"/>
      <c r="DP859" s="195"/>
      <c r="DQ859" s="195"/>
      <c r="DR859" s="195"/>
      <c r="DS859" s="195"/>
      <c r="DT859" s="195"/>
      <c r="DU859" s="195"/>
      <c r="DV859" s="195"/>
      <c r="DW859" s="195"/>
      <c r="DX859" s="195"/>
      <c r="DY859" s="195"/>
      <c r="DZ859" s="195"/>
      <c r="EA859" s="195"/>
      <c r="EB859" s="195"/>
      <c r="EC859" s="195"/>
      <c r="ED859" s="195"/>
      <c r="EE859" s="195"/>
      <c r="EK859" s="195"/>
      <c r="EL859" s="240"/>
      <c r="EM859" s="240"/>
      <c r="EN859" s="195"/>
      <c r="EO859" s="240"/>
      <c r="EP859" s="195"/>
      <c r="EQ859" s="195"/>
      <c r="ER859" s="195"/>
      <c r="ES859" s="736"/>
    </row>
    <row r="860" customFormat="false" ht="12.75" hidden="false" customHeight="false" outlineLevel="0" collapsed="false">
      <c r="I860" s="735"/>
      <c r="J860" s="728"/>
      <c r="K860" s="195"/>
      <c r="L860" s="195"/>
      <c r="Q860" s="195"/>
      <c r="R860" s="195"/>
      <c r="S860" s="240"/>
      <c r="T860" s="195"/>
      <c r="U860" s="195"/>
      <c r="V860" s="195"/>
      <c r="W860" s="195"/>
      <c r="X860" s="195"/>
      <c r="Y860" s="195"/>
      <c r="Z860" s="195"/>
      <c r="AA860" s="195"/>
      <c r="AB860" s="195"/>
      <c r="AC860" s="195"/>
      <c r="AD860" s="195"/>
      <c r="AE860" s="195"/>
      <c r="AF860" s="195"/>
      <c r="AG860" s="195"/>
      <c r="AH860" s="195"/>
      <c r="AI860" s="195"/>
      <c r="AJ860" s="195"/>
      <c r="AK860" s="195"/>
      <c r="AL860" s="195"/>
      <c r="AM860" s="1"/>
      <c r="AN860" s="240"/>
      <c r="AO860" s="240"/>
      <c r="AP860" s="240"/>
      <c r="AQ860" s="730"/>
      <c r="AR860" s="730"/>
      <c r="AS860" s="730"/>
      <c r="AT860" s="738"/>
      <c r="AU860" s="738"/>
      <c r="AV860" s="240"/>
      <c r="AW860" s="240"/>
      <c r="AX860" s="240"/>
      <c r="AY860" s="240"/>
      <c r="AZ860" s="240"/>
      <c r="BA860" s="240"/>
      <c r="BB860" s="672"/>
      <c r="BC860" s="731"/>
      <c r="BD860" s="731"/>
      <c r="BE860" s="731"/>
      <c r="BF860" s="672"/>
      <c r="BG860" s="732"/>
      <c r="BH860" s="240"/>
      <c r="BI860" s="240"/>
      <c r="BJ860" s="240"/>
      <c r="BK860" s="240"/>
      <c r="BL860" s="240"/>
      <c r="BM860" s="240"/>
      <c r="BN860" s="240"/>
      <c r="BO860" s="240"/>
      <c r="BP860" s="240"/>
      <c r="BQ860" s="240"/>
      <c r="BR860" s="240"/>
      <c r="BS860" s="240"/>
      <c r="BT860" s="240"/>
      <c r="BU860" s="672"/>
      <c r="BV860" s="672"/>
      <c r="BW860" s="672"/>
      <c r="BX860" s="672"/>
      <c r="BY860" s="672"/>
      <c r="BZ860" s="672"/>
      <c r="CA860" s="672"/>
      <c r="CB860" s="672"/>
      <c r="CC860" s="672"/>
      <c r="CD860" s="672"/>
      <c r="CE860" s="240"/>
      <c r="CF860" s="240"/>
      <c r="CG860" s="240"/>
      <c r="CH860" s="240"/>
      <c r="CI860" s="240"/>
      <c r="CJ860" s="728"/>
      <c r="CK860" s="728"/>
      <c r="CL860" s="195"/>
      <c r="CM860" s="195"/>
      <c r="CN860" s="195"/>
      <c r="CO860" s="195"/>
      <c r="CP860" s="195"/>
      <c r="CQ860" s="195"/>
      <c r="CR860" s="195"/>
      <c r="CS860" s="195"/>
      <c r="CT860" s="195"/>
      <c r="CU860" s="195"/>
      <c r="CV860" s="195"/>
      <c r="CW860" s="195"/>
      <c r="CX860" s="195"/>
      <c r="CY860" s="195"/>
      <c r="CZ860" s="195"/>
      <c r="DA860" s="195"/>
      <c r="DB860" s="195"/>
      <c r="DC860" s="195"/>
      <c r="DD860" s="195"/>
      <c r="DO860" s="195"/>
      <c r="DP860" s="195"/>
      <c r="DQ860" s="195"/>
      <c r="DR860" s="195"/>
      <c r="DS860" s="195"/>
      <c r="DT860" s="195"/>
      <c r="DU860" s="195"/>
      <c r="DV860" s="195"/>
      <c r="DW860" s="195"/>
      <c r="DX860" s="195"/>
      <c r="DY860" s="195"/>
      <c r="DZ860" s="195"/>
      <c r="EA860" s="195"/>
      <c r="EB860" s="195"/>
      <c r="EC860" s="195"/>
      <c r="ED860" s="195"/>
      <c r="EE860" s="195"/>
      <c r="EK860" s="195"/>
      <c r="EL860" s="240"/>
      <c r="EM860" s="240"/>
      <c r="EN860" s="195"/>
      <c r="EO860" s="240"/>
      <c r="EP860" s="195"/>
      <c r="EQ860" s="195"/>
      <c r="ER860" s="195"/>
      <c r="ES860" s="736"/>
    </row>
    <row r="861" customFormat="false" ht="12.75" hidden="false" customHeight="false" outlineLevel="0" collapsed="false">
      <c r="I861" s="735"/>
      <c r="J861" s="728"/>
      <c r="K861" s="195"/>
      <c r="L861" s="195"/>
      <c r="Q861" s="195"/>
      <c r="R861" s="195"/>
      <c r="S861" s="240"/>
      <c r="T861" s="195"/>
      <c r="U861" s="195"/>
      <c r="V861" s="195"/>
      <c r="W861" s="195"/>
      <c r="X861" s="195"/>
      <c r="Y861" s="195"/>
      <c r="Z861" s="195"/>
      <c r="AA861" s="195"/>
      <c r="AB861" s="195"/>
      <c r="AC861" s="195"/>
      <c r="AD861" s="195"/>
      <c r="AE861" s="195"/>
      <c r="AF861" s="195"/>
      <c r="AG861" s="195"/>
      <c r="AH861" s="195"/>
      <c r="AI861" s="195"/>
      <c r="AJ861" s="195"/>
      <c r="AK861" s="195"/>
      <c r="AL861" s="195"/>
      <c r="AM861" s="1"/>
      <c r="AN861" s="240"/>
      <c r="AO861" s="240"/>
      <c r="AP861" s="240"/>
      <c r="AQ861" s="730"/>
      <c r="AR861" s="730"/>
      <c r="AS861" s="730"/>
      <c r="AT861" s="738"/>
      <c r="AU861" s="738"/>
      <c r="AV861" s="240"/>
      <c r="AW861" s="240"/>
      <c r="AX861" s="240"/>
      <c r="AY861" s="240"/>
      <c r="AZ861" s="240"/>
      <c r="BA861" s="240"/>
      <c r="BB861" s="672"/>
      <c r="BC861" s="731"/>
      <c r="BD861" s="731"/>
      <c r="BE861" s="731"/>
      <c r="BF861" s="672"/>
      <c r="BG861" s="732"/>
      <c r="BH861" s="240"/>
      <c r="BI861" s="240"/>
      <c r="BJ861" s="240"/>
      <c r="BK861" s="240"/>
      <c r="BL861" s="240"/>
      <c r="BM861" s="240"/>
      <c r="BN861" s="240"/>
      <c r="BO861" s="240"/>
      <c r="BP861" s="240"/>
      <c r="BQ861" s="240"/>
      <c r="BR861" s="240"/>
      <c r="BS861" s="240"/>
      <c r="BT861" s="240"/>
      <c r="BU861" s="672"/>
      <c r="BV861" s="672"/>
      <c r="BW861" s="672"/>
      <c r="BX861" s="672"/>
      <c r="BY861" s="672"/>
      <c r="BZ861" s="672"/>
      <c r="CA861" s="672"/>
      <c r="CB861" s="672"/>
      <c r="CC861" s="672"/>
      <c r="CD861" s="672"/>
      <c r="CE861" s="240"/>
      <c r="CF861" s="240"/>
      <c r="CG861" s="240"/>
      <c r="CH861" s="240"/>
      <c r="CI861" s="240"/>
      <c r="CJ861" s="728"/>
      <c r="CK861" s="728"/>
      <c r="CL861" s="195"/>
      <c r="CM861" s="195"/>
      <c r="CN861" s="195"/>
      <c r="CO861" s="195"/>
      <c r="CP861" s="195"/>
      <c r="CQ861" s="195"/>
      <c r="CR861" s="195"/>
      <c r="CS861" s="195"/>
      <c r="CT861" s="195"/>
      <c r="CU861" s="195"/>
      <c r="CV861" s="195"/>
      <c r="CW861" s="195"/>
      <c r="CX861" s="195"/>
      <c r="CY861" s="195"/>
      <c r="CZ861" s="195"/>
      <c r="DA861" s="195"/>
      <c r="DB861" s="195"/>
      <c r="DC861" s="195"/>
      <c r="DD861" s="195"/>
      <c r="DO861" s="195"/>
      <c r="DP861" s="195"/>
      <c r="DQ861" s="195"/>
      <c r="DR861" s="195"/>
      <c r="DS861" s="195"/>
      <c r="DT861" s="195"/>
      <c r="DU861" s="195"/>
      <c r="DV861" s="195"/>
      <c r="DW861" s="195"/>
      <c r="DX861" s="195"/>
      <c r="DY861" s="195"/>
      <c r="DZ861" s="195"/>
      <c r="EA861" s="195"/>
      <c r="EB861" s="195"/>
      <c r="EC861" s="195"/>
      <c r="ED861" s="195"/>
      <c r="EE861" s="195"/>
      <c r="EK861" s="195"/>
      <c r="EL861" s="240"/>
      <c r="EM861" s="240"/>
      <c r="EN861" s="195"/>
      <c r="EO861" s="240"/>
      <c r="EP861" s="195"/>
      <c r="EQ861" s="195"/>
      <c r="ER861" s="195"/>
      <c r="ES861" s="736"/>
    </row>
    <row r="862" customFormat="false" ht="12.75" hidden="false" customHeight="false" outlineLevel="0" collapsed="false">
      <c r="I862" s="735"/>
      <c r="J862" s="728"/>
      <c r="K862" s="195"/>
      <c r="L862" s="195"/>
      <c r="Q862" s="195"/>
      <c r="R862" s="195"/>
      <c r="S862" s="240"/>
      <c r="T862" s="195"/>
      <c r="U862" s="195"/>
      <c r="V862" s="195"/>
      <c r="W862" s="195"/>
      <c r="X862" s="195"/>
      <c r="Y862" s="195"/>
      <c r="Z862" s="195"/>
      <c r="AA862" s="195"/>
      <c r="AB862" s="195"/>
      <c r="AC862" s="195"/>
      <c r="AD862" s="195"/>
      <c r="AE862" s="195"/>
      <c r="AF862" s="195"/>
      <c r="AG862" s="195"/>
      <c r="AH862" s="195"/>
      <c r="AI862" s="195"/>
      <c r="AJ862" s="195"/>
      <c r="AK862" s="195"/>
      <c r="AL862" s="195"/>
      <c r="AM862" s="1"/>
      <c r="AN862" s="240"/>
      <c r="AO862" s="240"/>
      <c r="AP862" s="240"/>
      <c r="AQ862" s="730"/>
      <c r="AR862" s="730"/>
      <c r="AS862" s="730"/>
      <c r="AT862" s="738"/>
      <c r="AU862" s="738"/>
      <c r="AV862" s="240"/>
      <c r="AW862" s="240"/>
      <c r="AX862" s="240"/>
      <c r="AY862" s="240"/>
      <c r="AZ862" s="240"/>
      <c r="BA862" s="240"/>
      <c r="BB862" s="672"/>
      <c r="BC862" s="731"/>
      <c r="BD862" s="731"/>
      <c r="BE862" s="731"/>
      <c r="BF862" s="672"/>
      <c r="BG862" s="732"/>
      <c r="BH862" s="240"/>
      <c r="BI862" s="240"/>
      <c r="BJ862" s="240"/>
      <c r="BK862" s="240"/>
      <c r="BL862" s="240"/>
      <c r="BM862" s="240"/>
      <c r="BN862" s="240"/>
      <c r="BO862" s="240"/>
      <c r="BP862" s="240"/>
      <c r="BQ862" s="240"/>
      <c r="BR862" s="240"/>
      <c r="BS862" s="240"/>
      <c r="BT862" s="240"/>
      <c r="BU862" s="672"/>
      <c r="BV862" s="672"/>
      <c r="BW862" s="672"/>
      <c r="BX862" s="672"/>
      <c r="BY862" s="672"/>
      <c r="BZ862" s="672"/>
      <c r="CA862" s="672"/>
      <c r="CB862" s="672"/>
      <c r="CC862" s="672"/>
      <c r="CD862" s="672"/>
      <c r="CE862" s="240"/>
      <c r="CF862" s="240"/>
      <c r="CG862" s="240"/>
      <c r="CH862" s="240"/>
      <c r="CI862" s="240"/>
      <c r="CJ862" s="728"/>
      <c r="CK862" s="728"/>
      <c r="CL862" s="195"/>
      <c r="CM862" s="195"/>
      <c r="CN862" s="195"/>
      <c r="CO862" s="195"/>
      <c r="CP862" s="195"/>
      <c r="CQ862" s="195"/>
      <c r="CR862" s="195"/>
      <c r="CS862" s="195"/>
      <c r="CT862" s="195"/>
      <c r="CU862" s="195"/>
      <c r="CV862" s="195"/>
      <c r="CW862" s="195"/>
      <c r="CX862" s="195"/>
      <c r="CY862" s="195"/>
      <c r="CZ862" s="195"/>
      <c r="DA862" s="195"/>
      <c r="DB862" s="195"/>
      <c r="DC862" s="195"/>
      <c r="DD862" s="195"/>
      <c r="DO862" s="195"/>
      <c r="DP862" s="195"/>
      <c r="DQ862" s="195"/>
      <c r="DR862" s="195"/>
      <c r="DS862" s="195"/>
      <c r="DT862" s="195"/>
      <c r="DU862" s="195"/>
      <c r="DV862" s="195"/>
      <c r="DW862" s="195"/>
      <c r="DX862" s="195"/>
      <c r="DY862" s="195"/>
      <c r="DZ862" s="195"/>
      <c r="EA862" s="195"/>
      <c r="EB862" s="195"/>
      <c r="EC862" s="195"/>
      <c r="ED862" s="195"/>
      <c r="EE862" s="195"/>
      <c r="EK862" s="195"/>
      <c r="EL862" s="240"/>
      <c r="EM862" s="240"/>
      <c r="EN862" s="195"/>
      <c r="EO862" s="240"/>
      <c r="EP862" s="195"/>
      <c r="EQ862" s="195"/>
      <c r="ER862" s="195"/>
      <c r="ES862" s="736"/>
    </row>
    <row r="863" customFormat="false" ht="12.75" hidden="false" customHeight="false" outlineLevel="0" collapsed="false">
      <c r="I863" s="735"/>
      <c r="J863" s="728"/>
      <c r="K863" s="195"/>
      <c r="L863" s="195"/>
      <c r="Q863" s="195"/>
      <c r="R863" s="195"/>
      <c r="S863" s="240"/>
      <c r="T863" s="195"/>
      <c r="U863" s="195"/>
      <c r="V863" s="195"/>
      <c r="W863" s="195"/>
      <c r="X863" s="195"/>
      <c r="Y863" s="195"/>
      <c r="Z863" s="195"/>
      <c r="AA863" s="195"/>
      <c r="AB863" s="195"/>
      <c r="AC863" s="195"/>
      <c r="AD863" s="195"/>
      <c r="AE863" s="195"/>
      <c r="AF863" s="195"/>
      <c r="AG863" s="195"/>
      <c r="AH863" s="195"/>
      <c r="AI863" s="195"/>
      <c r="AJ863" s="195"/>
      <c r="AK863" s="195"/>
      <c r="AL863" s="195"/>
      <c r="AM863" s="1"/>
      <c r="AN863" s="240"/>
      <c r="AO863" s="240"/>
      <c r="AP863" s="240"/>
      <c r="AQ863" s="730"/>
      <c r="AR863" s="730"/>
      <c r="AS863" s="730"/>
      <c r="AT863" s="738"/>
      <c r="AU863" s="738"/>
      <c r="AV863" s="240"/>
      <c r="AW863" s="240"/>
      <c r="AX863" s="240"/>
      <c r="AY863" s="240"/>
      <c r="AZ863" s="240"/>
      <c r="BA863" s="240"/>
      <c r="BB863" s="672"/>
      <c r="BC863" s="731"/>
      <c r="BD863" s="731"/>
      <c r="BE863" s="731"/>
      <c r="BF863" s="672"/>
      <c r="BG863" s="732"/>
      <c r="BH863" s="240"/>
      <c r="BI863" s="240"/>
      <c r="BJ863" s="240"/>
      <c r="BK863" s="240"/>
      <c r="BL863" s="240"/>
      <c r="BM863" s="240"/>
      <c r="BN863" s="240"/>
      <c r="BO863" s="240"/>
      <c r="BP863" s="240"/>
      <c r="BQ863" s="240"/>
      <c r="BR863" s="240"/>
      <c r="BS863" s="240"/>
      <c r="BT863" s="240"/>
      <c r="BU863" s="672"/>
      <c r="BV863" s="672"/>
      <c r="BW863" s="672"/>
      <c r="BX863" s="672"/>
      <c r="BY863" s="672"/>
      <c r="BZ863" s="672"/>
      <c r="CA863" s="672"/>
      <c r="CB863" s="672"/>
      <c r="CC863" s="672"/>
      <c r="CD863" s="672"/>
      <c r="CE863" s="240"/>
      <c r="CF863" s="240"/>
      <c r="CG863" s="240"/>
      <c r="CH863" s="240"/>
      <c r="CI863" s="240"/>
      <c r="CJ863" s="728"/>
      <c r="CK863" s="728"/>
      <c r="CL863" s="195"/>
      <c r="CM863" s="195"/>
      <c r="CN863" s="195"/>
      <c r="CO863" s="195"/>
      <c r="CP863" s="195"/>
      <c r="CQ863" s="195"/>
      <c r="CR863" s="195"/>
      <c r="CS863" s="195"/>
      <c r="CT863" s="195"/>
      <c r="CU863" s="195"/>
      <c r="CV863" s="195"/>
      <c r="CW863" s="195"/>
      <c r="CX863" s="195"/>
      <c r="CY863" s="195"/>
      <c r="CZ863" s="195"/>
      <c r="DA863" s="195"/>
      <c r="DB863" s="195"/>
      <c r="DC863" s="195"/>
      <c r="DD863" s="195"/>
      <c r="DO863" s="195"/>
      <c r="DP863" s="195"/>
      <c r="DQ863" s="195"/>
      <c r="DR863" s="195"/>
      <c r="DS863" s="195"/>
      <c r="DT863" s="195"/>
      <c r="DU863" s="195"/>
      <c r="DV863" s="195"/>
      <c r="DW863" s="195"/>
      <c r="DX863" s="195"/>
      <c r="DY863" s="195"/>
      <c r="DZ863" s="195"/>
      <c r="EA863" s="195"/>
      <c r="EB863" s="195"/>
      <c r="EC863" s="195"/>
      <c r="ED863" s="195"/>
      <c r="EE863" s="195"/>
      <c r="EK863" s="195"/>
      <c r="EL863" s="240"/>
      <c r="EM863" s="240"/>
      <c r="EN863" s="195"/>
      <c r="EO863" s="240"/>
      <c r="EP863" s="195"/>
      <c r="EQ863" s="195"/>
      <c r="ER863" s="195"/>
      <c r="ES863" s="736"/>
    </row>
    <row r="864" customFormat="false" ht="12.75" hidden="false" customHeight="false" outlineLevel="0" collapsed="false">
      <c r="I864" s="735"/>
      <c r="J864" s="728"/>
      <c r="K864" s="195"/>
      <c r="L864" s="195"/>
      <c r="Q864" s="195"/>
      <c r="R864" s="195"/>
      <c r="S864" s="240"/>
      <c r="T864" s="195"/>
      <c r="U864" s="195"/>
      <c r="V864" s="195"/>
      <c r="W864" s="195"/>
      <c r="X864" s="195"/>
      <c r="Y864" s="195"/>
      <c r="Z864" s="195"/>
      <c r="AA864" s="195"/>
      <c r="AB864" s="195"/>
      <c r="AC864" s="195"/>
      <c r="AD864" s="195"/>
      <c r="AE864" s="195"/>
      <c r="AF864" s="195"/>
      <c r="AG864" s="195"/>
      <c r="AH864" s="195"/>
      <c r="AI864" s="195"/>
      <c r="AJ864" s="195"/>
      <c r="AK864" s="195"/>
      <c r="AL864" s="195"/>
      <c r="AM864" s="1"/>
      <c r="AN864" s="240"/>
      <c r="AO864" s="240"/>
      <c r="AP864" s="240"/>
      <c r="AQ864" s="730"/>
      <c r="AR864" s="730"/>
      <c r="AS864" s="730"/>
      <c r="AT864" s="738"/>
      <c r="AU864" s="738"/>
      <c r="AV864" s="240"/>
      <c r="AW864" s="240"/>
      <c r="AX864" s="240"/>
      <c r="AY864" s="240"/>
      <c r="AZ864" s="240"/>
      <c r="BA864" s="240"/>
      <c r="BB864" s="672"/>
      <c r="BC864" s="731"/>
      <c r="BD864" s="731"/>
      <c r="BE864" s="731"/>
      <c r="BF864" s="672"/>
      <c r="BG864" s="732"/>
      <c r="BH864" s="240"/>
      <c r="BI864" s="240"/>
      <c r="BJ864" s="240"/>
      <c r="BK864" s="240"/>
      <c r="BL864" s="240"/>
      <c r="BM864" s="240"/>
      <c r="BN864" s="240"/>
      <c r="BO864" s="240"/>
      <c r="BP864" s="240"/>
      <c r="BQ864" s="240"/>
      <c r="BR864" s="240"/>
      <c r="BS864" s="240"/>
      <c r="BT864" s="240"/>
      <c r="BU864" s="672"/>
      <c r="BV864" s="672"/>
      <c r="BW864" s="672"/>
      <c r="BX864" s="672"/>
      <c r="BY864" s="672"/>
      <c r="BZ864" s="672"/>
      <c r="CA864" s="672"/>
      <c r="CB864" s="672"/>
      <c r="CC864" s="672"/>
      <c r="CD864" s="672"/>
      <c r="CE864" s="240"/>
      <c r="CF864" s="240"/>
      <c r="CG864" s="240"/>
      <c r="CH864" s="240"/>
      <c r="CI864" s="240"/>
      <c r="CJ864" s="728"/>
      <c r="CK864" s="728"/>
      <c r="CL864" s="195"/>
      <c r="CM864" s="195"/>
      <c r="CN864" s="195"/>
      <c r="CO864" s="195"/>
      <c r="CP864" s="195"/>
      <c r="CQ864" s="195"/>
      <c r="CR864" s="195"/>
      <c r="CS864" s="195"/>
      <c r="CT864" s="195"/>
      <c r="CU864" s="195"/>
      <c r="CV864" s="195"/>
      <c r="CW864" s="195"/>
      <c r="CX864" s="195"/>
      <c r="CY864" s="195"/>
      <c r="CZ864" s="195"/>
      <c r="DA864" s="195"/>
      <c r="DB864" s="195"/>
      <c r="DC864" s="195"/>
      <c r="DD864" s="195"/>
      <c r="DO864" s="195"/>
      <c r="DP864" s="195"/>
      <c r="DQ864" s="195"/>
      <c r="DR864" s="195"/>
      <c r="DS864" s="195"/>
      <c r="DT864" s="195"/>
      <c r="DU864" s="195"/>
      <c r="DV864" s="195"/>
      <c r="DW864" s="195"/>
      <c r="DX864" s="195"/>
      <c r="DY864" s="195"/>
      <c r="DZ864" s="195"/>
      <c r="EA864" s="195"/>
      <c r="EB864" s="195"/>
      <c r="EC864" s="195"/>
      <c r="ED864" s="195"/>
      <c r="EE864" s="195"/>
      <c r="EK864" s="195"/>
      <c r="EL864" s="240"/>
      <c r="EM864" s="240"/>
      <c r="EN864" s="195"/>
      <c r="EO864" s="240"/>
      <c r="EP864" s="195"/>
      <c r="EQ864" s="195"/>
      <c r="ER864" s="195"/>
      <c r="ES864" s="736"/>
    </row>
    <row r="865" customFormat="false" ht="12.75" hidden="false" customHeight="false" outlineLevel="0" collapsed="false">
      <c r="I865" s="735"/>
      <c r="J865" s="728"/>
      <c r="K865" s="195"/>
      <c r="L865" s="195"/>
      <c r="Q865" s="195"/>
      <c r="R865" s="195"/>
      <c r="S865" s="240"/>
      <c r="T865" s="195"/>
      <c r="U865" s="195"/>
      <c r="V865" s="195"/>
      <c r="W865" s="195"/>
      <c r="X865" s="195"/>
      <c r="Y865" s="195"/>
      <c r="Z865" s="195"/>
      <c r="AA865" s="195"/>
      <c r="AB865" s="195"/>
      <c r="AC865" s="195"/>
      <c r="AD865" s="195"/>
      <c r="AE865" s="195"/>
      <c r="AF865" s="195"/>
      <c r="AG865" s="195"/>
      <c r="AH865" s="195"/>
      <c r="AI865" s="195"/>
      <c r="AJ865" s="195"/>
      <c r="AK865" s="195"/>
      <c r="AL865" s="195"/>
      <c r="AM865" s="1"/>
      <c r="AN865" s="240"/>
      <c r="AO865" s="240"/>
      <c r="AP865" s="240"/>
      <c r="AQ865" s="730"/>
      <c r="AR865" s="730"/>
      <c r="AS865" s="730"/>
      <c r="AT865" s="738"/>
      <c r="AU865" s="738"/>
      <c r="AV865" s="240"/>
      <c r="AW865" s="240"/>
      <c r="AX865" s="240"/>
      <c r="AY865" s="240"/>
      <c r="AZ865" s="240"/>
      <c r="BA865" s="240"/>
      <c r="BB865" s="672"/>
      <c r="BC865" s="731"/>
      <c r="BD865" s="731"/>
      <c r="BE865" s="731"/>
      <c r="BF865" s="672"/>
      <c r="BG865" s="732"/>
      <c r="BH865" s="240"/>
      <c r="BI865" s="240"/>
      <c r="BJ865" s="240"/>
      <c r="BK865" s="240"/>
      <c r="BL865" s="240"/>
      <c r="BM865" s="240"/>
      <c r="BN865" s="240"/>
      <c r="BO865" s="240"/>
      <c r="BP865" s="240"/>
      <c r="BQ865" s="240"/>
      <c r="BR865" s="240"/>
      <c r="BS865" s="240"/>
      <c r="BT865" s="240"/>
      <c r="BU865" s="672"/>
      <c r="BV865" s="672"/>
      <c r="BW865" s="672"/>
      <c r="BX865" s="672"/>
      <c r="BY865" s="672"/>
      <c r="BZ865" s="672"/>
      <c r="CA865" s="672"/>
      <c r="CB865" s="672"/>
      <c r="CC865" s="672"/>
      <c r="CD865" s="672"/>
      <c r="CE865" s="240"/>
      <c r="CF865" s="240"/>
      <c r="CG865" s="240"/>
      <c r="CH865" s="240"/>
      <c r="CI865" s="240"/>
      <c r="CJ865" s="728"/>
      <c r="CK865" s="728"/>
      <c r="CL865" s="195"/>
      <c r="CM865" s="195"/>
      <c r="CN865" s="195"/>
      <c r="CO865" s="195"/>
      <c r="CP865" s="195"/>
      <c r="CQ865" s="195"/>
      <c r="CR865" s="195"/>
      <c r="CS865" s="195"/>
      <c r="CT865" s="195"/>
      <c r="CU865" s="195"/>
      <c r="CV865" s="195"/>
      <c r="CW865" s="195"/>
      <c r="CX865" s="195"/>
      <c r="CY865" s="195"/>
      <c r="CZ865" s="195"/>
      <c r="DA865" s="195"/>
      <c r="DB865" s="195"/>
      <c r="DC865" s="195"/>
      <c r="DD865" s="195"/>
      <c r="DO865" s="195"/>
      <c r="DP865" s="195"/>
      <c r="DQ865" s="195"/>
      <c r="DR865" s="195"/>
      <c r="DS865" s="195"/>
      <c r="DT865" s="195"/>
      <c r="DU865" s="195"/>
      <c r="DV865" s="195"/>
      <c r="DW865" s="195"/>
      <c r="DX865" s="195"/>
      <c r="DY865" s="195"/>
      <c r="DZ865" s="195"/>
      <c r="EA865" s="195"/>
      <c r="EB865" s="195"/>
      <c r="EC865" s="195"/>
      <c r="ED865" s="195"/>
      <c r="EE865" s="195"/>
      <c r="EK865" s="195"/>
      <c r="EL865" s="240"/>
      <c r="EM865" s="240"/>
      <c r="EN865" s="195"/>
      <c r="EO865" s="240"/>
      <c r="EP865" s="195"/>
      <c r="EQ865" s="195"/>
      <c r="ER865" s="195"/>
      <c r="ES865" s="736"/>
    </row>
    <row r="866" customFormat="false" ht="12.75" hidden="false" customHeight="false" outlineLevel="0" collapsed="false">
      <c r="I866" s="735"/>
      <c r="J866" s="728"/>
      <c r="K866" s="195"/>
      <c r="L866" s="195"/>
      <c r="Q866" s="195"/>
      <c r="R866" s="195"/>
      <c r="S866" s="240"/>
      <c r="T866" s="195"/>
      <c r="U866" s="195"/>
      <c r="V866" s="195"/>
      <c r="W866" s="195"/>
      <c r="X866" s="195"/>
      <c r="Y866" s="195"/>
      <c r="Z866" s="195"/>
      <c r="AA866" s="195"/>
      <c r="AB866" s="195"/>
      <c r="AC866" s="195"/>
      <c r="AD866" s="195"/>
      <c r="AE866" s="195"/>
      <c r="AF866" s="195"/>
      <c r="AG866" s="195"/>
      <c r="AH866" s="195"/>
      <c r="AI866" s="195"/>
      <c r="AJ866" s="195"/>
      <c r="AK866" s="195"/>
      <c r="AL866" s="195"/>
      <c r="AM866" s="1"/>
      <c r="AN866" s="240"/>
      <c r="AO866" s="240"/>
      <c r="AP866" s="240"/>
      <c r="AQ866" s="730"/>
      <c r="AR866" s="730"/>
      <c r="AS866" s="730"/>
      <c r="AT866" s="738"/>
      <c r="AU866" s="738"/>
      <c r="AV866" s="240"/>
      <c r="AW866" s="240"/>
      <c r="AX866" s="240"/>
      <c r="AY866" s="240"/>
      <c r="AZ866" s="240"/>
      <c r="BA866" s="240"/>
      <c r="BB866" s="672"/>
      <c r="BC866" s="731"/>
      <c r="BD866" s="731"/>
      <c r="BE866" s="731"/>
      <c r="BF866" s="672"/>
      <c r="BG866" s="732"/>
      <c r="BH866" s="240"/>
      <c r="BI866" s="240"/>
      <c r="BJ866" s="240"/>
      <c r="BK866" s="240"/>
      <c r="BL866" s="240"/>
      <c r="BM866" s="240"/>
      <c r="BN866" s="240"/>
      <c r="BO866" s="240"/>
      <c r="BP866" s="240"/>
      <c r="BQ866" s="240"/>
      <c r="BR866" s="240"/>
      <c r="BS866" s="240"/>
      <c r="BT866" s="240"/>
      <c r="BU866" s="672"/>
      <c r="BV866" s="672"/>
      <c r="BW866" s="672"/>
      <c r="BX866" s="672"/>
      <c r="BY866" s="672"/>
      <c r="BZ866" s="672"/>
      <c r="CA866" s="672"/>
      <c r="CB866" s="672"/>
      <c r="CC866" s="672"/>
      <c r="CD866" s="672"/>
      <c r="CE866" s="240"/>
      <c r="CF866" s="240"/>
      <c r="CG866" s="240"/>
      <c r="CH866" s="240"/>
      <c r="CI866" s="240"/>
      <c r="CJ866" s="728"/>
      <c r="CK866" s="728"/>
      <c r="CL866" s="195"/>
      <c r="CM866" s="195"/>
      <c r="CN866" s="195"/>
      <c r="CO866" s="195"/>
      <c r="CP866" s="195"/>
      <c r="CQ866" s="195"/>
      <c r="CR866" s="195"/>
      <c r="CS866" s="195"/>
      <c r="CT866" s="195"/>
      <c r="CU866" s="195"/>
      <c r="CV866" s="195"/>
      <c r="CW866" s="195"/>
      <c r="CX866" s="195"/>
      <c r="CY866" s="195"/>
      <c r="CZ866" s="195"/>
      <c r="DA866" s="195"/>
      <c r="DB866" s="195"/>
      <c r="DC866" s="195"/>
      <c r="DD866" s="195"/>
      <c r="DO866" s="195"/>
      <c r="DP866" s="195"/>
      <c r="DQ866" s="195"/>
      <c r="DR866" s="195"/>
      <c r="DS866" s="195"/>
      <c r="DT866" s="195"/>
      <c r="DU866" s="195"/>
      <c r="DV866" s="195"/>
      <c r="DW866" s="195"/>
      <c r="DX866" s="195"/>
      <c r="DY866" s="195"/>
      <c r="DZ866" s="195"/>
      <c r="EA866" s="195"/>
      <c r="EB866" s="195"/>
      <c r="EC866" s="195"/>
      <c r="ED866" s="195"/>
      <c r="EE866" s="195"/>
      <c r="EK866" s="195"/>
      <c r="EL866" s="240"/>
      <c r="EM866" s="240"/>
      <c r="EN866" s="195"/>
      <c r="EO866" s="240"/>
      <c r="EP866" s="195"/>
      <c r="EQ866" s="195"/>
      <c r="ER866" s="195"/>
      <c r="ES866" s="736"/>
    </row>
    <row r="867" customFormat="false" ht="12.75" hidden="false" customHeight="false" outlineLevel="0" collapsed="false">
      <c r="I867" s="735"/>
      <c r="J867" s="728"/>
      <c r="K867" s="195"/>
      <c r="L867" s="195"/>
      <c r="Q867" s="195"/>
      <c r="R867" s="195"/>
      <c r="S867" s="240"/>
      <c r="T867" s="195"/>
      <c r="U867" s="195"/>
      <c r="V867" s="195"/>
      <c r="W867" s="195"/>
      <c r="X867" s="195"/>
      <c r="Y867" s="195"/>
      <c r="Z867" s="195"/>
      <c r="AA867" s="195"/>
      <c r="AB867" s="195"/>
      <c r="AC867" s="195"/>
      <c r="AD867" s="195"/>
      <c r="AE867" s="195"/>
      <c r="AF867" s="195"/>
      <c r="AG867" s="195"/>
      <c r="AH867" s="195"/>
      <c r="AI867" s="195"/>
      <c r="AJ867" s="195"/>
      <c r="AK867" s="195"/>
      <c r="AL867" s="195"/>
      <c r="AM867" s="1"/>
      <c r="AN867" s="240"/>
      <c r="AO867" s="240"/>
      <c r="AP867" s="240"/>
      <c r="AQ867" s="730"/>
      <c r="AR867" s="730"/>
      <c r="AS867" s="730"/>
      <c r="AT867" s="738"/>
      <c r="AU867" s="738"/>
      <c r="AV867" s="240"/>
      <c r="AW867" s="240"/>
      <c r="AX867" s="240"/>
      <c r="AY867" s="240"/>
      <c r="AZ867" s="240"/>
      <c r="BA867" s="240"/>
      <c r="BB867" s="672"/>
      <c r="BC867" s="731"/>
      <c r="BD867" s="731"/>
      <c r="BE867" s="731"/>
      <c r="BF867" s="672"/>
      <c r="BG867" s="732"/>
      <c r="BH867" s="240"/>
      <c r="BI867" s="240"/>
      <c r="BJ867" s="240"/>
      <c r="BK867" s="240"/>
      <c r="BL867" s="240"/>
      <c r="BM867" s="240"/>
      <c r="BN867" s="240"/>
      <c r="BO867" s="240"/>
      <c r="BP867" s="240"/>
      <c r="BQ867" s="240"/>
      <c r="BR867" s="240"/>
      <c r="BS867" s="240"/>
      <c r="BT867" s="240"/>
      <c r="BU867" s="672"/>
      <c r="BV867" s="672"/>
      <c r="BW867" s="672"/>
      <c r="BX867" s="672"/>
      <c r="BY867" s="672"/>
      <c r="BZ867" s="672"/>
      <c r="CA867" s="672"/>
      <c r="CB867" s="672"/>
      <c r="CC867" s="672"/>
      <c r="CD867" s="672"/>
      <c r="CE867" s="240"/>
      <c r="CF867" s="240"/>
      <c r="CG867" s="240"/>
      <c r="CH867" s="240"/>
      <c r="CI867" s="240"/>
      <c r="CJ867" s="728"/>
      <c r="CK867" s="728"/>
      <c r="CL867" s="195"/>
      <c r="CM867" s="195"/>
      <c r="CN867" s="195"/>
      <c r="CO867" s="195"/>
      <c r="CP867" s="195"/>
      <c r="CQ867" s="195"/>
      <c r="CR867" s="195"/>
      <c r="CS867" s="195"/>
      <c r="CT867" s="195"/>
      <c r="CU867" s="195"/>
      <c r="CV867" s="195"/>
      <c r="CW867" s="195"/>
      <c r="CX867" s="195"/>
      <c r="CY867" s="195"/>
      <c r="CZ867" s="195"/>
      <c r="DA867" s="195"/>
      <c r="DB867" s="195"/>
      <c r="DC867" s="195"/>
      <c r="DD867" s="195"/>
      <c r="DO867" s="195"/>
      <c r="DP867" s="195"/>
      <c r="DQ867" s="195"/>
      <c r="DR867" s="195"/>
      <c r="DS867" s="195"/>
      <c r="DT867" s="195"/>
      <c r="DU867" s="195"/>
      <c r="DV867" s="195"/>
      <c r="DW867" s="195"/>
      <c r="DX867" s="195"/>
      <c r="DY867" s="195"/>
      <c r="DZ867" s="195"/>
      <c r="EA867" s="195"/>
      <c r="EB867" s="195"/>
      <c r="EC867" s="195"/>
      <c r="ED867" s="195"/>
      <c r="EE867" s="195"/>
      <c r="EK867" s="195"/>
      <c r="EL867" s="240"/>
      <c r="EM867" s="240"/>
      <c r="EN867" s="195"/>
      <c r="EO867" s="240"/>
      <c r="EP867" s="195"/>
      <c r="EQ867" s="195"/>
      <c r="ER867" s="195"/>
      <c r="ES867" s="736"/>
    </row>
    <row r="868" customFormat="false" ht="12.75" hidden="false" customHeight="false" outlineLevel="0" collapsed="false">
      <c r="I868" s="735"/>
      <c r="J868" s="728"/>
      <c r="K868" s="195"/>
      <c r="L868" s="195"/>
      <c r="Q868" s="195"/>
      <c r="R868" s="195"/>
      <c r="S868" s="240"/>
      <c r="T868" s="195"/>
      <c r="U868" s="195"/>
      <c r="V868" s="195"/>
      <c r="W868" s="195"/>
      <c r="X868" s="195"/>
      <c r="Y868" s="195"/>
      <c r="Z868" s="195"/>
      <c r="AA868" s="195"/>
      <c r="AB868" s="195"/>
      <c r="AC868" s="195"/>
      <c r="AD868" s="195"/>
      <c r="AE868" s="195"/>
      <c r="AF868" s="195"/>
      <c r="AG868" s="195"/>
      <c r="AH868" s="195"/>
      <c r="AI868" s="195"/>
      <c r="AJ868" s="195"/>
      <c r="AK868" s="195"/>
      <c r="AL868" s="195"/>
      <c r="AM868" s="1"/>
      <c r="AN868" s="240"/>
      <c r="AO868" s="240"/>
      <c r="AP868" s="240"/>
      <c r="AQ868" s="730"/>
      <c r="AR868" s="730"/>
      <c r="AS868" s="730"/>
      <c r="AT868" s="738"/>
      <c r="AU868" s="738"/>
      <c r="AV868" s="240"/>
      <c r="AW868" s="240"/>
      <c r="AX868" s="240"/>
      <c r="AY868" s="240"/>
      <c r="AZ868" s="240"/>
      <c r="BA868" s="240"/>
      <c r="BB868" s="672"/>
      <c r="BC868" s="731"/>
      <c r="BD868" s="731"/>
      <c r="BE868" s="731"/>
      <c r="BF868" s="672"/>
      <c r="BG868" s="732"/>
      <c r="BH868" s="240"/>
      <c r="BI868" s="240"/>
      <c r="BJ868" s="240"/>
      <c r="BK868" s="240"/>
      <c r="BL868" s="240"/>
      <c r="BM868" s="240"/>
      <c r="BN868" s="240"/>
      <c r="BO868" s="240"/>
      <c r="BP868" s="240"/>
      <c r="BQ868" s="240"/>
      <c r="BR868" s="240"/>
      <c r="BS868" s="240"/>
      <c r="BT868" s="240"/>
      <c r="BU868" s="672"/>
      <c r="BV868" s="672"/>
      <c r="BW868" s="672"/>
      <c r="BX868" s="672"/>
      <c r="BY868" s="672"/>
      <c r="BZ868" s="672"/>
      <c r="CA868" s="672"/>
      <c r="CB868" s="672"/>
      <c r="CC868" s="672"/>
      <c r="CD868" s="672"/>
      <c r="CE868" s="240"/>
      <c r="CF868" s="240"/>
      <c r="CG868" s="240"/>
      <c r="CH868" s="240"/>
      <c r="CI868" s="240"/>
      <c r="CJ868" s="728"/>
      <c r="CK868" s="728"/>
      <c r="CL868" s="195"/>
      <c r="CM868" s="195"/>
      <c r="CN868" s="195"/>
      <c r="CO868" s="195"/>
      <c r="CP868" s="195"/>
      <c r="CQ868" s="195"/>
      <c r="CR868" s="195"/>
      <c r="CS868" s="195"/>
      <c r="CT868" s="195"/>
      <c r="CU868" s="195"/>
      <c r="CV868" s="195"/>
      <c r="CW868" s="195"/>
      <c r="CX868" s="195"/>
      <c r="CY868" s="195"/>
      <c r="CZ868" s="195"/>
      <c r="DA868" s="195"/>
      <c r="DB868" s="195"/>
      <c r="DC868" s="195"/>
      <c r="DD868" s="195"/>
      <c r="DO868" s="195"/>
      <c r="DP868" s="195"/>
      <c r="DQ868" s="195"/>
      <c r="DR868" s="195"/>
      <c r="DS868" s="195"/>
      <c r="DT868" s="195"/>
      <c r="DU868" s="195"/>
      <c r="DV868" s="195"/>
      <c r="DW868" s="195"/>
      <c r="DX868" s="195"/>
      <c r="DY868" s="195"/>
      <c r="DZ868" s="195"/>
      <c r="EA868" s="195"/>
      <c r="EB868" s="195"/>
      <c r="EC868" s="195"/>
      <c r="ED868" s="195"/>
      <c r="EE868" s="195"/>
      <c r="EK868" s="195"/>
      <c r="EL868" s="240"/>
      <c r="EM868" s="240"/>
      <c r="EN868" s="195"/>
      <c r="EO868" s="240"/>
      <c r="EP868" s="195"/>
      <c r="EQ868" s="195"/>
      <c r="ER868" s="195"/>
      <c r="ES868" s="736"/>
    </row>
    <row r="869" customFormat="false" ht="12.75" hidden="false" customHeight="false" outlineLevel="0" collapsed="false">
      <c r="I869" s="735"/>
      <c r="J869" s="728"/>
      <c r="K869" s="195"/>
      <c r="L869" s="195"/>
      <c r="Q869" s="195"/>
      <c r="R869" s="195"/>
      <c r="S869" s="240"/>
      <c r="T869" s="195"/>
      <c r="U869" s="195"/>
      <c r="V869" s="195"/>
      <c r="W869" s="195"/>
      <c r="X869" s="195"/>
      <c r="Y869" s="195"/>
      <c r="Z869" s="195"/>
      <c r="AA869" s="195"/>
      <c r="AB869" s="195"/>
      <c r="AC869" s="195"/>
      <c r="AD869" s="195"/>
      <c r="AE869" s="195"/>
      <c r="AF869" s="195"/>
      <c r="AG869" s="195"/>
      <c r="AH869" s="195"/>
      <c r="AI869" s="195"/>
      <c r="AJ869" s="195"/>
      <c r="AK869" s="195"/>
      <c r="AL869" s="195"/>
      <c r="AM869" s="1"/>
      <c r="AN869" s="240"/>
      <c r="AO869" s="240"/>
      <c r="AP869" s="240"/>
      <c r="AQ869" s="730"/>
      <c r="AR869" s="730"/>
      <c r="AS869" s="730"/>
      <c r="AT869" s="738"/>
      <c r="AU869" s="738"/>
      <c r="AV869" s="240"/>
      <c r="AW869" s="240"/>
      <c r="AX869" s="240"/>
      <c r="AY869" s="240"/>
      <c r="AZ869" s="240"/>
      <c r="BA869" s="240"/>
      <c r="BB869" s="672"/>
      <c r="BC869" s="731"/>
      <c r="BD869" s="731"/>
      <c r="BE869" s="731"/>
      <c r="BF869" s="672"/>
      <c r="BG869" s="732"/>
      <c r="BH869" s="240"/>
      <c r="BI869" s="240"/>
      <c r="BJ869" s="240"/>
      <c r="BK869" s="240"/>
      <c r="BL869" s="240"/>
      <c r="BM869" s="240"/>
      <c r="BN869" s="240"/>
      <c r="BO869" s="240"/>
      <c r="BP869" s="240"/>
      <c r="BQ869" s="240"/>
      <c r="BR869" s="240"/>
      <c r="BS869" s="240"/>
      <c r="BT869" s="240"/>
      <c r="BU869" s="672"/>
      <c r="BV869" s="672"/>
      <c r="BW869" s="672"/>
      <c r="BX869" s="672"/>
      <c r="BY869" s="672"/>
      <c r="BZ869" s="672"/>
      <c r="CA869" s="672"/>
      <c r="CB869" s="672"/>
      <c r="CC869" s="672"/>
      <c r="CD869" s="672"/>
      <c r="CE869" s="240"/>
      <c r="CF869" s="240"/>
      <c r="CG869" s="240"/>
      <c r="CH869" s="240"/>
      <c r="CI869" s="240"/>
      <c r="CJ869" s="728"/>
      <c r="CK869" s="728"/>
      <c r="CL869" s="195"/>
      <c r="CM869" s="195"/>
      <c r="CN869" s="195"/>
      <c r="CO869" s="195"/>
      <c r="CP869" s="195"/>
      <c r="CQ869" s="195"/>
      <c r="CR869" s="195"/>
      <c r="CS869" s="195"/>
      <c r="CT869" s="195"/>
      <c r="CU869" s="195"/>
      <c r="CV869" s="195"/>
      <c r="CW869" s="195"/>
      <c r="CX869" s="195"/>
      <c r="CY869" s="195"/>
      <c r="CZ869" s="195"/>
      <c r="DA869" s="195"/>
      <c r="DB869" s="195"/>
      <c r="DC869" s="195"/>
      <c r="DD869" s="195"/>
      <c r="DO869" s="195"/>
      <c r="DP869" s="195"/>
      <c r="DQ869" s="195"/>
      <c r="DR869" s="195"/>
      <c r="DS869" s="195"/>
      <c r="DT869" s="195"/>
      <c r="DU869" s="195"/>
      <c r="DV869" s="195"/>
      <c r="DW869" s="195"/>
      <c r="DX869" s="195"/>
      <c r="DY869" s="195"/>
      <c r="DZ869" s="195"/>
      <c r="EA869" s="195"/>
      <c r="EB869" s="195"/>
      <c r="EC869" s="195"/>
      <c r="ED869" s="195"/>
      <c r="EE869" s="195"/>
      <c r="EK869" s="195"/>
      <c r="EL869" s="240"/>
      <c r="EM869" s="240"/>
      <c r="EN869" s="195"/>
      <c r="EO869" s="240"/>
      <c r="EP869" s="195"/>
      <c r="EQ869" s="195"/>
      <c r="ER869" s="195"/>
      <c r="ES869" s="736"/>
    </row>
    <row r="870" customFormat="false" ht="12.75" hidden="false" customHeight="false" outlineLevel="0" collapsed="false">
      <c r="I870" s="735"/>
      <c r="J870" s="728"/>
      <c r="K870" s="195"/>
      <c r="L870" s="195"/>
      <c r="Q870" s="195"/>
      <c r="R870" s="195"/>
      <c r="S870" s="240"/>
      <c r="T870" s="195"/>
      <c r="U870" s="195"/>
      <c r="V870" s="195"/>
      <c r="W870" s="195"/>
      <c r="X870" s="195"/>
      <c r="Y870" s="195"/>
      <c r="Z870" s="195"/>
      <c r="AA870" s="195"/>
      <c r="AB870" s="195"/>
      <c r="AC870" s="195"/>
      <c r="AD870" s="195"/>
      <c r="AE870" s="195"/>
      <c r="AF870" s="195"/>
      <c r="AG870" s="195"/>
      <c r="AH870" s="195"/>
      <c r="AI870" s="195"/>
      <c r="AJ870" s="195"/>
      <c r="AK870" s="195"/>
      <c r="AL870" s="195"/>
      <c r="AM870" s="1"/>
      <c r="AN870" s="240"/>
      <c r="AO870" s="240"/>
      <c r="AP870" s="240"/>
      <c r="AQ870" s="730"/>
      <c r="AR870" s="730"/>
      <c r="AS870" s="730"/>
      <c r="AT870" s="738"/>
      <c r="AU870" s="738"/>
      <c r="AV870" s="240"/>
      <c r="AW870" s="240"/>
      <c r="AX870" s="240"/>
      <c r="AY870" s="240"/>
      <c r="AZ870" s="240"/>
      <c r="BA870" s="240"/>
      <c r="BB870" s="672"/>
      <c r="BC870" s="731"/>
      <c r="BD870" s="731"/>
      <c r="BE870" s="731"/>
      <c r="BF870" s="672"/>
      <c r="BG870" s="732"/>
      <c r="BH870" s="240"/>
      <c r="BI870" s="240"/>
      <c r="BJ870" s="240"/>
      <c r="BK870" s="240"/>
      <c r="BL870" s="240"/>
      <c r="BM870" s="240"/>
      <c r="BN870" s="240"/>
      <c r="BO870" s="240"/>
      <c r="BP870" s="240"/>
      <c r="BQ870" s="240"/>
      <c r="BR870" s="240"/>
      <c r="BS870" s="240"/>
      <c r="BT870" s="240"/>
      <c r="BU870" s="672"/>
      <c r="BV870" s="672"/>
      <c r="BW870" s="672"/>
      <c r="BX870" s="672"/>
      <c r="BY870" s="672"/>
      <c r="BZ870" s="672"/>
      <c r="CA870" s="672"/>
      <c r="CB870" s="672"/>
      <c r="CC870" s="672"/>
      <c r="CD870" s="672"/>
      <c r="CE870" s="240"/>
      <c r="CF870" s="240"/>
      <c r="CG870" s="240"/>
      <c r="CH870" s="240"/>
      <c r="CI870" s="240"/>
      <c r="CJ870" s="728"/>
      <c r="CK870" s="728"/>
      <c r="CL870" s="195"/>
      <c r="CM870" s="195"/>
      <c r="CN870" s="195"/>
      <c r="CO870" s="195"/>
      <c r="CP870" s="195"/>
      <c r="CQ870" s="195"/>
      <c r="CR870" s="195"/>
      <c r="CS870" s="195"/>
      <c r="CT870" s="195"/>
      <c r="CU870" s="195"/>
      <c r="CV870" s="195"/>
      <c r="CW870" s="195"/>
      <c r="CX870" s="195"/>
      <c r="CY870" s="195"/>
      <c r="CZ870" s="195"/>
      <c r="DA870" s="195"/>
      <c r="DB870" s="195"/>
      <c r="DC870" s="195"/>
      <c r="DD870" s="195"/>
      <c r="DO870" s="195"/>
      <c r="DP870" s="195"/>
      <c r="DQ870" s="195"/>
      <c r="DR870" s="195"/>
      <c r="DS870" s="195"/>
      <c r="DT870" s="195"/>
      <c r="DU870" s="195"/>
      <c r="DV870" s="195"/>
      <c r="DW870" s="195"/>
      <c r="DX870" s="195"/>
      <c r="DY870" s="195"/>
      <c r="DZ870" s="195"/>
      <c r="EA870" s="195"/>
      <c r="EB870" s="195"/>
      <c r="EC870" s="195"/>
      <c r="ED870" s="195"/>
      <c r="EE870" s="195"/>
      <c r="EK870" s="195"/>
      <c r="EL870" s="240"/>
      <c r="EM870" s="240"/>
      <c r="EN870" s="195"/>
      <c r="EO870" s="240"/>
      <c r="EP870" s="195"/>
      <c r="EQ870" s="195"/>
      <c r="ER870" s="195"/>
      <c r="ES870" s="736"/>
    </row>
    <row r="871" customFormat="false" ht="12.75" hidden="false" customHeight="false" outlineLevel="0" collapsed="false">
      <c r="I871" s="735"/>
      <c r="J871" s="728"/>
      <c r="K871" s="195"/>
      <c r="L871" s="195"/>
      <c r="Q871" s="195"/>
      <c r="R871" s="195"/>
      <c r="S871" s="240"/>
      <c r="T871" s="195"/>
      <c r="U871" s="195"/>
      <c r="V871" s="195"/>
      <c r="W871" s="195"/>
      <c r="X871" s="195"/>
      <c r="Y871" s="195"/>
      <c r="Z871" s="195"/>
      <c r="AA871" s="195"/>
      <c r="AB871" s="195"/>
      <c r="AC871" s="195"/>
      <c r="AD871" s="195"/>
      <c r="AE871" s="195"/>
      <c r="AF871" s="195"/>
      <c r="AG871" s="195"/>
      <c r="AH871" s="195"/>
      <c r="AI871" s="195"/>
      <c r="AJ871" s="195"/>
      <c r="AK871" s="195"/>
      <c r="AL871" s="195"/>
      <c r="AM871" s="1"/>
      <c r="AN871" s="240"/>
      <c r="AO871" s="240"/>
      <c r="AP871" s="240"/>
      <c r="AQ871" s="730"/>
      <c r="AR871" s="730"/>
      <c r="AS871" s="730"/>
      <c r="AT871" s="738"/>
      <c r="AU871" s="738"/>
      <c r="AV871" s="240"/>
      <c r="AW871" s="240"/>
      <c r="AX871" s="240"/>
      <c r="AY871" s="240"/>
      <c r="AZ871" s="240"/>
      <c r="BA871" s="240"/>
      <c r="BB871" s="672"/>
      <c r="BC871" s="731"/>
      <c r="BD871" s="731"/>
      <c r="BE871" s="731"/>
      <c r="BF871" s="672"/>
      <c r="BG871" s="732"/>
      <c r="BH871" s="240"/>
      <c r="BI871" s="240"/>
      <c r="BJ871" s="240"/>
      <c r="BK871" s="240"/>
      <c r="BL871" s="240"/>
      <c r="BM871" s="240"/>
      <c r="BN871" s="240"/>
      <c r="BO871" s="240"/>
      <c r="BP871" s="240"/>
      <c r="BQ871" s="240"/>
      <c r="BR871" s="240"/>
      <c r="BS871" s="240"/>
      <c r="BT871" s="240"/>
      <c r="BU871" s="672"/>
      <c r="BV871" s="672"/>
      <c r="BW871" s="672"/>
      <c r="BX871" s="672"/>
      <c r="BY871" s="672"/>
      <c r="BZ871" s="672"/>
      <c r="CA871" s="672"/>
      <c r="CB871" s="672"/>
      <c r="CC871" s="672"/>
      <c r="CD871" s="672"/>
      <c r="CE871" s="240"/>
      <c r="CF871" s="240"/>
      <c r="CG871" s="240"/>
      <c r="CH871" s="240"/>
      <c r="CI871" s="240"/>
      <c r="CJ871" s="728"/>
      <c r="CK871" s="728"/>
      <c r="CL871" s="195"/>
      <c r="CM871" s="195"/>
      <c r="CN871" s="195"/>
      <c r="CO871" s="195"/>
      <c r="CP871" s="195"/>
      <c r="CQ871" s="195"/>
      <c r="CR871" s="195"/>
      <c r="CS871" s="195"/>
      <c r="CT871" s="195"/>
      <c r="CU871" s="195"/>
      <c r="CV871" s="195"/>
      <c r="CW871" s="195"/>
      <c r="CX871" s="195"/>
      <c r="CY871" s="195"/>
      <c r="CZ871" s="195"/>
      <c r="DA871" s="195"/>
      <c r="DB871" s="195"/>
      <c r="DC871" s="195"/>
      <c r="DD871" s="195"/>
      <c r="DO871" s="195"/>
      <c r="DP871" s="195"/>
      <c r="DQ871" s="195"/>
      <c r="DR871" s="195"/>
      <c r="DS871" s="195"/>
      <c r="DT871" s="195"/>
      <c r="DU871" s="195"/>
      <c r="DV871" s="195"/>
      <c r="DW871" s="195"/>
      <c r="DX871" s="195"/>
      <c r="DY871" s="195"/>
      <c r="DZ871" s="195"/>
      <c r="EA871" s="195"/>
      <c r="EB871" s="195"/>
      <c r="EC871" s="195"/>
      <c r="ED871" s="195"/>
      <c r="EE871" s="195"/>
      <c r="EK871" s="195"/>
      <c r="EL871" s="240"/>
      <c r="EM871" s="240"/>
      <c r="EN871" s="195"/>
      <c r="EO871" s="240"/>
      <c r="EP871" s="195"/>
      <c r="EQ871" s="195"/>
      <c r="ER871" s="195"/>
      <c r="ES871" s="736"/>
    </row>
    <row r="872" customFormat="false" ht="12.75" hidden="false" customHeight="false" outlineLevel="0" collapsed="false">
      <c r="I872" s="735"/>
      <c r="J872" s="728"/>
      <c r="K872" s="195"/>
      <c r="L872" s="195"/>
      <c r="Q872" s="195"/>
      <c r="R872" s="195"/>
      <c r="S872" s="240"/>
      <c r="T872" s="195"/>
      <c r="U872" s="195"/>
      <c r="V872" s="195"/>
      <c r="W872" s="195"/>
      <c r="X872" s="195"/>
      <c r="Y872" s="195"/>
      <c r="Z872" s="195"/>
      <c r="AA872" s="195"/>
      <c r="AB872" s="195"/>
      <c r="AC872" s="195"/>
      <c r="AD872" s="195"/>
      <c r="AE872" s="195"/>
      <c r="AF872" s="195"/>
      <c r="AG872" s="195"/>
      <c r="AH872" s="195"/>
      <c r="AI872" s="195"/>
      <c r="AJ872" s="195"/>
      <c r="AK872" s="195"/>
      <c r="AL872" s="195"/>
      <c r="AM872" s="1"/>
      <c r="AN872" s="240"/>
      <c r="AO872" s="240"/>
      <c r="AP872" s="240"/>
      <c r="AQ872" s="730"/>
      <c r="AR872" s="730"/>
      <c r="AS872" s="730"/>
      <c r="AT872" s="738"/>
      <c r="AU872" s="738"/>
      <c r="AV872" s="240"/>
      <c r="AW872" s="240"/>
      <c r="AX872" s="240"/>
      <c r="AY872" s="240"/>
      <c r="AZ872" s="240"/>
      <c r="BA872" s="240"/>
      <c r="BB872" s="672"/>
      <c r="BC872" s="731"/>
      <c r="BD872" s="731"/>
      <c r="BE872" s="731"/>
      <c r="BF872" s="672"/>
      <c r="BG872" s="732"/>
      <c r="BH872" s="240"/>
      <c r="BI872" s="240"/>
      <c r="BJ872" s="240"/>
      <c r="BK872" s="240"/>
      <c r="BL872" s="240"/>
      <c r="BM872" s="240"/>
      <c r="BN872" s="240"/>
      <c r="BO872" s="240"/>
      <c r="BP872" s="240"/>
      <c r="BQ872" s="240"/>
      <c r="BR872" s="240"/>
      <c r="BS872" s="240"/>
      <c r="BT872" s="240"/>
      <c r="BU872" s="672"/>
      <c r="BV872" s="672"/>
      <c r="BW872" s="672"/>
      <c r="BX872" s="672"/>
      <c r="BY872" s="672"/>
      <c r="BZ872" s="672"/>
      <c r="CA872" s="672"/>
      <c r="CB872" s="672"/>
      <c r="CC872" s="672"/>
      <c r="CD872" s="672"/>
      <c r="CE872" s="240"/>
      <c r="CF872" s="240"/>
      <c r="CG872" s="240"/>
      <c r="CH872" s="240"/>
      <c r="CI872" s="240"/>
      <c r="CJ872" s="728"/>
      <c r="CK872" s="728"/>
      <c r="CL872" s="195"/>
      <c r="CM872" s="195"/>
      <c r="CN872" s="195"/>
      <c r="CO872" s="195"/>
      <c r="CP872" s="195"/>
      <c r="CQ872" s="195"/>
      <c r="CR872" s="195"/>
      <c r="CS872" s="195"/>
      <c r="CT872" s="195"/>
      <c r="CU872" s="195"/>
      <c r="CV872" s="195"/>
      <c r="CW872" s="195"/>
      <c r="CX872" s="195"/>
      <c r="CY872" s="195"/>
      <c r="CZ872" s="195"/>
      <c r="DA872" s="195"/>
      <c r="DB872" s="195"/>
      <c r="DC872" s="195"/>
      <c r="DD872" s="195"/>
      <c r="DO872" s="195"/>
      <c r="DP872" s="195"/>
      <c r="DQ872" s="195"/>
      <c r="DR872" s="195"/>
      <c r="DS872" s="195"/>
      <c r="DT872" s="195"/>
      <c r="DU872" s="195"/>
      <c r="DV872" s="195"/>
      <c r="DW872" s="195"/>
      <c r="DX872" s="195"/>
      <c r="DY872" s="195"/>
      <c r="DZ872" s="195"/>
      <c r="EA872" s="195"/>
      <c r="EB872" s="195"/>
      <c r="EC872" s="195"/>
      <c r="ED872" s="195"/>
      <c r="EE872" s="195"/>
      <c r="EK872" s="195"/>
      <c r="EL872" s="240"/>
      <c r="EM872" s="240"/>
      <c r="EN872" s="195"/>
      <c r="EO872" s="240"/>
      <c r="EP872" s="195"/>
      <c r="EQ872" s="195"/>
      <c r="ER872" s="195"/>
      <c r="ES872" s="736"/>
    </row>
    <row r="873" customFormat="false" ht="12.75" hidden="false" customHeight="false" outlineLevel="0" collapsed="false">
      <c r="I873" s="735"/>
      <c r="J873" s="728"/>
      <c r="K873" s="195"/>
      <c r="L873" s="195"/>
      <c r="Q873" s="195"/>
      <c r="R873" s="195"/>
      <c r="S873" s="240"/>
      <c r="T873" s="195"/>
      <c r="U873" s="195"/>
      <c r="V873" s="195"/>
      <c r="W873" s="195"/>
      <c r="X873" s="195"/>
      <c r="Y873" s="195"/>
      <c r="Z873" s="195"/>
      <c r="AA873" s="195"/>
      <c r="AB873" s="195"/>
      <c r="AC873" s="195"/>
      <c r="AD873" s="195"/>
      <c r="AE873" s="195"/>
      <c r="AF873" s="195"/>
      <c r="AG873" s="195"/>
      <c r="AH873" s="195"/>
      <c r="AI873" s="195"/>
      <c r="AJ873" s="195"/>
      <c r="AK873" s="195"/>
      <c r="AL873" s="195"/>
      <c r="AM873" s="1"/>
      <c r="AN873" s="240"/>
      <c r="AO873" s="240"/>
      <c r="AP873" s="240"/>
      <c r="AQ873" s="730"/>
      <c r="AR873" s="730"/>
      <c r="AS873" s="730"/>
      <c r="AT873" s="738"/>
      <c r="AU873" s="738"/>
      <c r="AV873" s="240"/>
      <c r="AW873" s="240"/>
      <c r="AX873" s="240"/>
      <c r="AY873" s="240"/>
      <c r="AZ873" s="240"/>
      <c r="BA873" s="240"/>
      <c r="BB873" s="672"/>
      <c r="BC873" s="731"/>
      <c r="BD873" s="731"/>
      <c r="BE873" s="731"/>
      <c r="BF873" s="672"/>
      <c r="BG873" s="732"/>
      <c r="BH873" s="240"/>
      <c r="BI873" s="240"/>
      <c r="BJ873" s="240"/>
      <c r="BK873" s="240"/>
      <c r="BL873" s="240"/>
      <c r="BM873" s="240"/>
      <c r="BN873" s="240"/>
      <c r="BO873" s="240"/>
      <c r="BP873" s="240"/>
      <c r="BQ873" s="240"/>
      <c r="BR873" s="240"/>
      <c r="BS873" s="240"/>
      <c r="BT873" s="240"/>
      <c r="BU873" s="672"/>
      <c r="BV873" s="672"/>
      <c r="BW873" s="672"/>
      <c r="BX873" s="672"/>
      <c r="BY873" s="672"/>
      <c r="BZ873" s="672"/>
      <c r="CA873" s="672"/>
      <c r="CB873" s="672"/>
      <c r="CC873" s="672"/>
      <c r="CD873" s="672"/>
      <c r="CE873" s="240"/>
      <c r="CF873" s="240"/>
      <c r="CG873" s="240"/>
      <c r="CH873" s="240"/>
      <c r="CI873" s="240"/>
      <c r="CJ873" s="728"/>
      <c r="CK873" s="728"/>
      <c r="CL873" s="195"/>
      <c r="CM873" s="195"/>
      <c r="CN873" s="195"/>
      <c r="CO873" s="195"/>
      <c r="CP873" s="195"/>
      <c r="CQ873" s="195"/>
      <c r="CR873" s="195"/>
      <c r="CS873" s="195"/>
      <c r="CT873" s="195"/>
      <c r="CU873" s="195"/>
      <c r="CV873" s="195"/>
      <c r="CW873" s="195"/>
      <c r="CX873" s="195"/>
      <c r="CY873" s="195"/>
      <c r="CZ873" s="195"/>
      <c r="DA873" s="195"/>
      <c r="DB873" s="195"/>
      <c r="DC873" s="195"/>
      <c r="DD873" s="195"/>
      <c r="DO873" s="195"/>
      <c r="DP873" s="195"/>
      <c r="DQ873" s="195"/>
      <c r="DR873" s="195"/>
      <c r="DS873" s="195"/>
      <c r="DT873" s="195"/>
      <c r="DU873" s="195"/>
      <c r="DV873" s="195"/>
      <c r="DW873" s="195"/>
      <c r="DX873" s="195"/>
      <c r="DY873" s="195"/>
      <c r="DZ873" s="195"/>
      <c r="EA873" s="195"/>
      <c r="EB873" s="195"/>
      <c r="EC873" s="195"/>
      <c r="ED873" s="195"/>
      <c r="EE873" s="195"/>
      <c r="EK873" s="195"/>
      <c r="EL873" s="240"/>
      <c r="EM873" s="240"/>
      <c r="EN873" s="195"/>
      <c r="EO873" s="240"/>
      <c r="EP873" s="195"/>
      <c r="EQ873" s="195"/>
      <c r="ER873" s="195"/>
      <c r="ES873" s="736"/>
    </row>
    <row r="874" customFormat="false" ht="12.75" hidden="false" customHeight="false" outlineLevel="0" collapsed="false">
      <c r="I874" s="735"/>
      <c r="J874" s="728"/>
      <c r="K874" s="195"/>
      <c r="L874" s="195"/>
      <c r="Q874" s="195"/>
      <c r="R874" s="195"/>
      <c r="S874" s="240"/>
      <c r="T874" s="195"/>
      <c r="U874" s="195"/>
      <c r="V874" s="195"/>
      <c r="W874" s="195"/>
      <c r="X874" s="195"/>
      <c r="Y874" s="195"/>
      <c r="Z874" s="195"/>
      <c r="AA874" s="195"/>
      <c r="AB874" s="195"/>
      <c r="AC874" s="195"/>
      <c r="AD874" s="195"/>
      <c r="AE874" s="195"/>
      <c r="AF874" s="195"/>
      <c r="AG874" s="195"/>
      <c r="AH874" s="195"/>
      <c r="AI874" s="195"/>
      <c r="AJ874" s="195"/>
      <c r="AK874" s="195"/>
      <c r="AL874" s="195"/>
      <c r="AM874" s="1"/>
      <c r="AN874" s="240"/>
      <c r="AO874" s="240"/>
      <c r="AP874" s="240"/>
      <c r="AQ874" s="730"/>
      <c r="AR874" s="730"/>
      <c r="AS874" s="730"/>
      <c r="AT874" s="738"/>
      <c r="AU874" s="738"/>
      <c r="AV874" s="240"/>
      <c r="AW874" s="240"/>
      <c r="AX874" s="240"/>
      <c r="AY874" s="240"/>
      <c r="AZ874" s="240"/>
      <c r="BA874" s="240"/>
      <c r="BB874" s="672"/>
      <c r="BC874" s="731"/>
      <c r="BD874" s="731"/>
      <c r="BE874" s="731"/>
      <c r="BF874" s="672"/>
      <c r="BG874" s="732"/>
      <c r="BH874" s="240"/>
      <c r="BI874" s="240"/>
      <c r="BJ874" s="240"/>
      <c r="BK874" s="240"/>
      <c r="BL874" s="240"/>
      <c r="BM874" s="240"/>
      <c r="BN874" s="240"/>
      <c r="BO874" s="240"/>
      <c r="BP874" s="240"/>
      <c r="BQ874" s="240"/>
      <c r="BR874" s="240"/>
      <c r="BS874" s="240"/>
      <c r="BT874" s="240"/>
      <c r="BU874" s="672"/>
      <c r="BV874" s="672"/>
      <c r="BW874" s="672"/>
      <c r="BX874" s="672"/>
      <c r="BY874" s="672"/>
      <c r="BZ874" s="672"/>
      <c r="CA874" s="672"/>
      <c r="CB874" s="672"/>
      <c r="CC874" s="672"/>
      <c r="CD874" s="672"/>
      <c r="CE874" s="240"/>
      <c r="CF874" s="240"/>
      <c r="CG874" s="240"/>
      <c r="CH874" s="240"/>
      <c r="CI874" s="240"/>
      <c r="CJ874" s="728"/>
      <c r="CK874" s="728"/>
      <c r="CL874" s="195"/>
      <c r="CM874" s="195"/>
      <c r="CN874" s="195"/>
      <c r="CO874" s="195"/>
      <c r="CP874" s="195"/>
      <c r="CQ874" s="195"/>
      <c r="CR874" s="195"/>
      <c r="CS874" s="195"/>
      <c r="CT874" s="195"/>
      <c r="CU874" s="195"/>
      <c r="CV874" s="195"/>
      <c r="CW874" s="195"/>
      <c r="CX874" s="195"/>
      <c r="CY874" s="195"/>
      <c r="CZ874" s="195"/>
      <c r="DA874" s="195"/>
      <c r="DB874" s="195"/>
      <c r="DC874" s="195"/>
      <c r="DD874" s="195"/>
      <c r="DO874" s="195"/>
      <c r="DP874" s="195"/>
      <c r="DQ874" s="195"/>
      <c r="DR874" s="195"/>
      <c r="DS874" s="195"/>
      <c r="DT874" s="195"/>
      <c r="DU874" s="195"/>
      <c r="DV874" s="195"/>
      <c r="DW874" s="195"/>
      <c r="DX874" s="195"/>
      <c r="DY874" s="195"/>
      <c r="DZ874" s="195"/>
      <c r="EA874" s="195"/>
      <c r="EB874" s="195"/>
      <c r="EC874" s="195"/>
      <c r="ED874" s="195"/>
      <c r="EE874" s="195"/>
      <c r="EK874" s="195"/>
      <c r="EL874" s="240"/>
      <c r="EM874" s="240"/>
      <c r="EN874" s="195"/>
      <c r="EO874" s="240"/>
      <c r="EP874" s="195"/>
      <c r="EQ874" s="195"/>
      <c r="ER874" s="195"/>
      <c r="ES874" s="736"/>
    </row>
    <row r="875" customFormat="false" ht="12.75" hidden="false" customHeight="false" outlineLevel="0" collapsed="false">
      <c r="I875" s="735"/>
      <c r="J875" s="728"/>
      <c r="K875" s="195"/>
      <c r="L875" s="195"/>
      <c r="Q875" s="195"/>
      <c r="R875" s="195"/>
      <c r="S875" s="240"/>
      <c r="T875" s="195"/>
      <c r="U875" s="195"/>
      <c r="V875" s="195"/>
      <c r="W875" s="195"/>
      <c r="X875" s="195"/>
      <c r="Y875" s="195"/>
      <c r="Z875" s="195"/>
      <c r="AA875" s="195"/>
      <c r="AB875" s="195"/>
      <c r="AC875" s="195"/>
      <c r="AD875" s="195"/>
      <c r="AE875" s="195"/>
      <c r="AF875" s="195"/>
      <c r="AG875" s="195"/>
      <c r="AH875" s="195"/>
      <c r="AI875" s="195"/>
      <c r="AJ875" s="195"/>
      <c r="AK875" s="195"/>
      <c r="AL875" s="195"/>
      <c r="AM875" s="1"/>
      <c r="AN875" s="240"/>
      <c r="AO875" s="240"/>
      <c r="AP875" s="240"/>
      <c r="AQ875" s="730"/>
      <c r="AR875" s="730"/>
      <c r="AS875" s="730"/>
      <c r="AT875" s="738"/>
      <c r="AU875" s="738"/>
      <c r="AV875" s="240"/>
      <c r="AW875" s="240"/>
      <c r="AX875" s="240"/>
      <c r="AY875" s="240"/>
      <c r="AZ875" s="240"/>
      <c r="BA875" s="240"/>
      <c r="BB875" s="672"/>
      <c r="BC875" s="731"/>
      <c r="BD875" s="731"/>
      <c r="BE875" s="731"/>
      <c r="BF875" s="672"/>
      <c r="BG875" s="732"/>
      <c r="BH875" s="240"/>
      <c r="BI875" s="240"/>
      <c r="BJ875" s="240"/>
      <c r="BK875" s="240"/>
      <c r="BL875" s="240"/>
      <c r="BM875" s="240"/>
      <c r="BN875" s="240"/>
      <c r="BO875" s="240"/>
      <c r="BP875" s="240"/>
      <c r="BQ875" s="240"/>
      <c r="BR875" s="240"/>
      <c r="BS875" s="240"/>
      <c r="BT875" s="240"/>
      <c r="BU875" s="672"/>
      <c r="BV875" s="672"/>
      <c r="BW875" s="672"/>
      <c r="BX875" s="672"/>
      <c r="BY875" s="672"/>
      <c r="BZ875" s="672"/>
      <c r="CA875" s="672"/>
      <c r="CB875" s="672"/>
      <c r="CC875" s="672"/>
      <c r="CD875" s="672"/>
      <c r="CE875" s="240"/>
      <c r="CF875" s="240"/>
      <c r="CG875" s="240"/>
      <c r="CH875" s="240"/>
      <c r="CI875" s="240"/>
      <c r="CJ875" s="728"/>
      <c r="CK875" s="728"/>
      <c r="CL875" s="195"/>
      <c r="CM875" s="195"/>
      <c r="CN875" s="195"/>
      <c r="CO875" s="195"/>
      <c r="CP875" s="195"/>
      <c r="CQ875" s="195"/>
      <c r="CR875" s="195"/>
      <c r="CS875" s="195"/>
      <c r="CT875" s="195"/>
      <c r="CU875" s="195"/>
      <c r="CV875" s="195"/>
      <c r="CW875" s="195"/>
      <c r="CX875" s="195"/>
      <c r="CY875" s="195"/>
      <c r="CZ875" s="195"/>
      <c r="DA875" s="195"/>
      <c r="DB875" s="195"/>
      <c r="DC875" s="195"/>
      <c r="DD875" s="195"/>
      <c r="DO875" s="195"/>
      <c r="DP875" s="195"/>
      <c r="DQ875" s="195"/>
      <c r="DR875" s="195"/>
      <c r="DS875" s="195"/>
      <c r="DT875" s="195"/>
      <c r="DU875" s="195"/>
      <c r="DV875" s="195"/>
      <c r="DW875" s="195"/>
      <c r="DX875" s="195"/>
      <c r="DY875" s="195"/>
      <c r="DZ875" s="195"/>
      <c r="EA875" s="195"/>
      <c r="EB875" s="195"/>
      <c r="EC875" s="195"/>
      <c r="ED875" s="195"/>
      <c r="EE875" s="195"/>
      <c r="EK875" s="195"/>
      <c r="EL875" s="240"/>
      <c r="EM875" s="240"/>
      <c r="EN875" s="195"/>
      <c r="EO875" s="240"/>
      <c r="EP875" s="195"/>
      <c r="EQ875" s="195"/>
      <c r="ER875" s="195"/>
      <c r="ES875" s="736"/>
    </row>
    <row r="876" customFormat="false" ht="12.75" hidden="false" customHeight="false" outlineLevel="0" collapsed="false">
      <c r="I876" s="735"/>
      <c r="J876" s="728"/>
      <c r="K876" s="195"/>
      <c r="L876" s="195"/>
      <c r="Q876" s="195"/>
      <c r="R876" s="195"/>
      <c r="S876" s="240"/>
      <c r="T876" s="195"/>
      <c r="U876" s="195"/>
      <c r="V876" s="195"/>
      <c r="W876" s="195"/>
      <c r="X876" s="195"/>
      <c r="Y876" s="195"/>
      <c r="Z876" s="195"/>
      <c r="AA876" s="195"/>
      <c r="AB876" s="195"/>
      <c r="AC876" s="195"/>
      <c r="AD876" s="195"/>
      <c r="AE876" s="195"/>
      <c r="AF876" s="195"/>
      <c r="AG876" s="195"/>
      <c r="AH876" s="195"/>
      <c r="AI876" s="195"/>
      <c r="AJ876" s="195"/>
      <c r="AK876" s="195"/>
      <c r="AL876" s="195"/>
      <c r="AM876" s="1"/>
      <c r="AN876" s="240"/>
      <c r="AO876" s="240"/>
      <c r="AP876" s="240"/>
      <c r="AQ876" s="730"/>
      <c r="AR876" s="730"/>
      <c r="AS876" s="730"/>
      <c r="AT876" s="738"/>
      <c r="AU876" s="738"/>
      <c r="AV876" s="240"/>
      <c r="AW876" s="240"/>
      <c r="AX876" s="240"/>
      <c r="AY876" s="240"/>
      <c r="AZ876" s="240"/>
      <c r="BA876" s="240"/>
      <c r="BB876" s="672"/>
      <c r="BC876" s="731"/>
      <c r="BD876" s="731"/>
      <c r="BE876" s="731"/>
      <c r="BF876" s="672"/>
      <c r="BG876" s="732"/>
      <c r="BH876" s="240"/>
      <c r="BI876" s="240"/>
      <c r="BJ876" s="240"/>
      <c r="BK876" s="240"/>
      <c r="BL876" s="240"/>
      <c r="BM876" s="240"/>
      <c r="BN876" s="240"/>
      <c r="BO876" s="240"/>
      <c r="BP876" s="240"/>
      <c r="BQ876" s="240"/>
      <c r="BR876" s="240"/>
      <c r="BS876" s="240"/>
      <c r="BT876" s="240"/>
      <c r="BU876" s="672"/>
      <c r="BV876" s="672"/>
      <c r="BW876" s="672"/>
      <c r="BX876" s="672"/>
      <c r="BY876" s="672"/>
      <c r="BZ876" s="672"/>
      <c r="CA876" s="672"/>
      <c r="CB876" s="672"/>
      <c r="CC876" s="672"/>
      <c r="CD876" s="672"/>
      <c r="CE876" s="240"/>
      <c r="CF876" s="240"/>
      <c r="CG876" s="240"/>
      <c r="CH876" s="240"/>
      <c r="CI876" s="240"/>
      <c r="CJ876" s="728"/>
      <c r="CK876" s="728"/>
      <c r="CL876" s="195"/>
      <c r="CM876" s="195"/>
      <c r="CN876" s="195"/>
      <c r="CO876" s="195"/>
      <c r="CP876" s="195"/>
      <c r="CQ876" s="195"/>
      <c r="CR876" s="195"/>
      <c r="CS876" s="195"/>
      <c r="CT876" s="195"/>
      <c r="CU876" s="195"/>
      <c r="CV876" s="195"/>
      <c r="CW876" s="195"/>
      <c r="CX876" s="195"/>
      <c r="CY876" s="195"/>
      <c r="CZ876" s="195"/>
      <c r="DA876" s="195"/>
      <c r="DB876" s="195"/>
      <c r="DC876" s="195"/>
      <c r="DD876" s="195"/>
      <c r="DO876" s="195"/>
      <c r="DP876" s="195"/>
      <c r="DQ876" s="195"/>
      <c r="DR876" s="195"/>
      <c r="DS876" s="195"/>
      <c r="DT876" s="195"/>
      <c r="DU876" s="195"/>
      <c r="DV876" s="195"/>
      <c r="DW876" s="195"/>
      <c r="DX876" s="195"/>
      <c r="DY876" s="195"/>
      <c r="DZ876" s="195"/>
      <c r="EA876" s="195"/>
      <c r="EB876" s="195"/>
      <c r="EC876" s="195"/>
      <c r="ED876" s="195"/>
      <c r="EE876" s="195"/>
      <c r="EK876" s="195"/>
      <c r="EL876" s="240"/>
      <c r="EM876" s="240"/>
      <c r="EN876" s="195"/>
      <c r="EO876" s="240"/>
      <c r="EP876" s="195"/>
      <c r="EQ876" s="195"/>
      <c r="ER876" s="195"/>
      <c r="ES876" s="736"/>
    </row>
    <row r="877" customFormat="false" ht="12.75" hidden="false" customHeight="false" outlineLevel="0" collapsed="false">
      <c r="I877" s="735"/>
      <c r="J877" s="728"/>
      <c r="K877" s="195"/>
      <c r="L877" s="195"/>
      <c r="Q877" s="195"/>
      <c r="R877" s="195"/>
      <c r="S877" s="240"/>
      <c r="T877" s="195"/>
      <c r="U877" s="195"/>
      <c r="V877" s="195"/>
      <c r="W877" s="195"/>
      <c r="X877" s="195"/>
      <c r="Y877" s="195"/>
      <c r="Z877" s="195"/>
      <c r="AA877" s="195"/>
      <c r="AB877" s="195"/>
      <c r="AC877" s="195"/>
      <c r="AD877" s="195"/>
      <c r="AE877" s="195"/>
      <c r="AF877" s="195"/>
      <c r="AG877" s="195"/>
      <c r="AH877" s="195"/>
      <c r="AI877" s="195"/>
      <c r="AJ877" s="195"/>
      <c r="AK877" s="195"/>
      <c r="AL877" s="195"/>
      <c r="AM877" s="1"/>
      <c r="AN877" s="240"/>
      <c r="AO877" s="240"/>
      <c r="AP877" s="240"/>
      <c r="AQ877" s="730"/>
      <c r="AR877" s="730"/>
      <c r="AS877" s="730"/>
      <c r="AT877" s="738"/>
      <c r="AU877" s="738"/>
      <c r="AV877" s="240"/>
      <c r="AW877" s="240"/>
      <c r="AX877" s="240"/>
      <c r="AY877" s="240"/>
      <c r="AZ877" s="240"/>
      <c r="BA877" s="240"/>
      <c r="BB877" s="672"/>
      <c r="BC877" s="731"/>
      <c r="BD877" s="731"/>
      <c r="BE877" s="731"/>
      <c r="BF877" s="672"/>
      <c r="BG877" s="732"/>
      <c r="BH877" s="240"/>
      <c r="BI877" s="240"/>
      <c r="BJ877" s="240"/>
      <c r="BK877" s="240"/>
      <c r="BL877" s="240"/>
      <c r="BM877" s="240"/>
      <c r="BN877" s="240"/>
      <c r="BO877" s="240"/>
      <c r="BP877" s="240"/>
      <c r="BQ877" s="240"/>
      <c r="BR877" s="240"/>
      <c r="BS877" s="240"/>
      <c r="BT877" s="240"/>
      <c r="BU877" s="672"/>
      <c r="BV877" s="672"/>
      <c r="BW877" s="672"/>
      <c r="BX877" s="672"/>
      <c r="BY877" s="672"/>
      <c r="BZ877" s="672"/>
      <c r="CA877" s="672"/>
      <c r="CB877" s="672"/>
      <c r="CC877" s="672"/>
      <c r="CD877" s="672"/>
      <c r="CE877" s="240"/>
      <c r="CF877" s="240"/>
      <c r="CG877" s="240"/>
      <c r="CH877" s="240"/>
      <c r="CI877" s="240"/>
      <c r="CJ877" s="728"/>
      <c r="CK877" s="728"/>
      <c r="CL877" s="195"/>
      <c r="CM877" s="195"/>
      <c r="CN877" s="195"/>
      <c r="CO877" s="195"/>
      <c r="CP877" s="195"/>
      <c r="CQ877" s="195"/>
      <c r="CR877" s="195"/>
      <c r="CS877" s="195"/>
      <c r="CT877" s="195"/>
      <c r="CU877" s="195"/>
      <c r="CV877" s="195"/>
      <c r="CW877" s="195"/>
      <c r="CX877" s="195"/>
      <c r="CY877" s="195"/>
      <c r="CZ877" s="195"/>
      <c r="DA877" s="195"/>
      <c r="DB877" s="195"/>
      <c r="DC877" s="195"/>
      <c r="DD877" s="195"/>
      <c r="DO877" s="195"/>
      <c r="DP877" s="195"/>
      <c r="DQ877" s="195"/>
      <c r="DR877" s="195"/>
      <c r="DS877" s="195"/>
      <c r="DT877" s="195"/>
      <c r="DU877" s="195"/>
      <c r="DV877" s="195"/>
      <c r="DW877" s="195"/>
      <c r="DX877" s="195"/>
      <c r="DY877" s="195"/>
      <c r="DZ877" s="195"/>
      <c r="EA877" s="195"/>
      <c r="EB877" s="195"/>
      <c r="EC877" s="195"/>
      <c r="ED877" s="195"/>
      <c r="EE877" s="195"/>
      <c r="EK877" s="195"/>
      <c r="EL877" s="240"/>
      <c r="EM877" s="240"/>
      <c r="EN877" s="195"/>
      <c r="EO877" s="240"/>
      <c r="EP877" s="195"/>
      <c r="EQ877" s="195"/>
      <c r="ER877" s="195"/>
      <c r="ES877" s="736"/>
    </row>
    <row r="878" customFormat="false" ht="12.75" hidden="false" customHeight="false" outlineLevel="0" collapsed="false">
      <c r="I878" s="735"/>
      <c r="J878" s="728"/>
      <c r="K878" s="195"/>
      <c r="L878" s="195"/>
      <c r="Q878" s="195"/>
      <c r="R878" s="195"/>
      <c r="S878" s="240"/>
      <c r="T878" s="195"/>
      <c r="U878" s="195"/>
      <c r="V878" s="195"/>
      <c r="W878" s="195"/>
      <c r="X878" s="195"/>
      <c r="Y878" s="195"/>
      <c r="Z878" s="195"/>
      <c r="AA878" s="195"/>
      <c r="AB878" s="195"/>
      <c r="AC878" s="195"/>
      <c r="AD878" s="195"/>
      <c r="AE878" s="195"/>
      <c r="AF878" s="195"/>
      <c r="AG878" s="195"/>
      <c r="AH878" s="195"/>
      <c r="AI878" s="195"/>
      <c r="AJ878" s="195"/>
      <c r="AK878" s="195"/>
      <c r="AL878" s="195"/>
      <c r="AM878" s="1"/>
      <c r="AN878" s="240"/>
      <c r="AO878" s="240"/>
      <c r="AP878" s="240"/>
      <c r="AQ878" s="730"/>
      <c r="AR878" s="730"/>
      <c r="AS878" s="730"/>
      <c r="AT878" s="738"/>
      <c r="AU878" s="738"/>
      <c r="AV878" s="240"/>
      <c r="AW878" s="240"/>
      <c r="AX878" s="240"/>
      <c r="AY878" s="240"/>
      <c r="AZ878" s="240"/>
      <c r="BA878" s="240"/>
      <c r="BB878" s="672"/>
      <c r="BC878" s="731"/>
      <c r="BD878" s="731"/>
      <c r="BE878" s="731"/>
      <c r="BF878" s="672"/>
      <c r="BG878" s="732"/>
      <c r="BH878" s="240"/>
      <c r="BI878" s="240"/>
      <c r="BJ878" s="240"/>
      <c r="BK878" s="240"/>
      <c r="BL878" s="240"/>
      <c r="BM878" s="240"/>
      <c r="BN878" s="240"/>
      <c r="BO878" s="240"/>
      <c r="BP878" s="240"/>
      <c r="BQ878" s="240"/>
      <c r="BR878" s="240"/>
      <c r="BS878" s="240"/>
      <c r="BT878" s="240"/>
      <c r="BU878" s="672"/>
      <c r="BV878" s="672"/>
      <c r="BW878" s="672"/>
      <c r="BX878" s="672"/>
      <c r="BY878" s="672"/>
      <c r="BZ878" s="672"/>
      <c r="CA878" s="672"/>
      <c r="CB878" s="672"/>
      <c r="CC878" s="672"/>
      <c r="CD878" s="672"/>
      <c r="CE878" s="240"/>
      <c r="CF878" s="240"/>
      <c r="CG878" s="240"/>
      <c r="CH878" s="240"/>
      <c r="CI878" s="240"/>
      <c r="CJ878" s="728"/>
      <c r="CK878" s="728"/>
      <c r="CL878" s="195"/>
      <c r="CM878" s="195"/>
      <c r="CN878" s="195"/>
      <c r="CO878" s="195"/>
      <c r="CP878" s="195"/>
      <c r="CQ878" s="195"/>
      <c r="CR878" s="195"/>
      <c r="CS878" s="195"/>
      <c r="CT878" s="195"/>
      <c r="CU878" s="195"/>
      <c r="CV878" s="195"/>
      <c r="CW878" s="195"/>
      <c r="CX878" s="195"/>
      <c r="CY878" s="195"/>
      <c r="CZ878" s="195"/>
      <c r="DA878" s="195"/>
      <c r="DB878" s="195"/>
      <c r="DC878" s="195"/>
      <c r="DD878" s="195"/>
      <c r="DO878" s="195"/>
      <c r="DP878" s="195"/>
      <c r="DQ878" s="195"/>
      <c r="DR878" s="195"/>
      <c r="DS878" s="195"/>
      <c r="DT878" s="195"/>
      <c r="DU878" s="195"/>
      <c r="DV878" s="195"/>
      <c r="DW878" s="195"/>
      <c r="DX878" s="195"/>
      <c r="DY878" s="195"/>
      <c r="DZ878" s="195"/>
      <c r="EA878" s="195"/>
      <c r="EB878" s="195"/>
      <c r="EC878" s="195"/>
      <c r="ED878" s="195"/>
      <c r="EE878" s="195"/>
      <c r="EK878" s="195"/>
      <c r="EL878" s="240"/>
      <c r="EM878" s="240"/>
      <c r="EN878" s="195"/>
      <c r="EO878" s="240"/>
      <c r="EP878" s="195"/>
      <c r="EQ878" s="195"/>
      <c r="ER878" s="195"/>
      <c r="ES878" s="736"/>
    </row>
    <row r="879" customFormat="false" ht="12.75" hidden="false" customHeight="false" outlineLevel="0" collapsed="false">
      <c r="I879" s="735"/>
      <c r="J879" s="728"/>
      <c r="K879" s="195"/>
      <c r="L879" s="195"/>
      <c r="Q879" s="195"/>
      <c r="R879" s="195"/>
      <c r="S879" s="240"/>
      <c r="T879" s="195"/>
      <c r="U879" s="195"/>
      <c r="V879" s="195"/>
      <c r="W879" s="195"/>
      <c r="X879" s="195"/>
      <c r="Y879" s="195"/>
      <c r="Z879" s="195"/>
      <c r="AA879" s="195"/>
      <c r="AB879" s="195"/>
      <c r="AC879" s="195"/>
      <c r="AD879" s="195"/>
      <c r="AE879" s="195"/>
      <c r="AF879" s="195"/>
      <c r="AG879" s="195"/>
      <c r="AH879" s="195"/>
      <c r="AI879" s="195"/>
      <c r="AJ879" s="195"/>
      <c r="AK879" s="195"/>
      <c r="AL879" s="195"/>
      <c r="AM879" s="1"/>
      <c r="AN879" s="240"/>
      <c r="AO879" s="240"/>
      <c r="AP879" s="240"/>
      <c r="AQ879" s="730"/>
      <c r="AR879" s="730"/>
      <c r="AS879" s="730"/>
      <c r="AT879" s="738"/>
      <c r="AU879" s="738"/>
      <c r="AV879" s="240"/>
      <c r="AW879" s="240"/>
      <c r="AX879" s="240"/>
      <c r="AY879" s="240"/>
      <c r="AZ879" s="240"/>
      <c r="BA879" s="240"/>
      <c r="BB879" s="672"/>
      <c r="BC879" s="731"/>
      <c r="BD879" s="731"/>
      <c r="BE879" s="731"/>
      <c r="BF879" s="672"/>
      <c r="BG879" s="732"/>
      <c r="BH879" s="240"/>
      <c r="BI879" s="240"/>
      <c r="BJ879" s="240"/>
      <c r="BK879" s="240"/>
      <c r="BL879" s="240"/>
      <c r="BM879" s="240"/>
      <c r="BN879" s="240"/>
      <c r="BO879" s="240"/>
      <c r="BP879" s="240"/>
      <c r="BQ879" s="240"/>
      <c r="BR879" s="240"/>
      <c r="BS879" s="240"/>
      <c r="BT879" s="240"/>
      <c r="BU879" s="672"/>
      <c r="BV879" s="672"/>
      <c r="BW879" s="672"/>
      <c r="BX879" s="672"/>
      <c r="BY879" s="672"/>
      <c r="BZ879" s="672"/>
      <c r="CA879" s="672"/>
      <c r="CB879" s="672"/>
      <c r="CC879" s="672"/>
      <c r="CD879" s="672"/>
      <c r="CE879" s="240"/>
      <c r="CF879" s="240"/>
      <c r="CG879" s="240"/>
      <c r="CH879" s="240"/>
      <c r="CI879" s="240"/>
      <c r="CJ879" s="728"/>
      <c r="CK879" s="728"/>
      <c r="CL879" s="195"/>
      <c r="CM879" s="195"/>
      <c r="CN879" s="195"/>
      <c r="CO879" s="195"/>
      <c r="CP879" s="195"/>
      <c r="CQ879" s="195"/>
      <c r="CR879" s="195"/>
      <c r="CS879" s="195"/>
      <c r="CT879" s="195"/>
      <c r="CU879" s="195"/>
      <c r="CV879" s="195"/>
      <c r="CW879" s="195"/>
      <c r="CX879" s="195"/>
      <c r="CY879" s="195"/>
      <c r="CZ879" s="195"/>
      <c r="DA879" s="195"/>
      <c r="DB879" s="195"/>
      <c r="DC879" s="195"/>
      <c r="DD879" s="195"/>
      <c r="DO879" s="195"/>
      <c r="DP879" s="195"/>
      <c r="DQ879" s="195"/>
      <c r="DR879" s="195"/>
      <c r="DS879" s="195"/>
      <c r="DT879" s="195"/>
      <c r="DU879" s="195"/>
      <c r="DV879" s="195"/>
      <c r="DW879" s="195"/>
      <c r="DX879" s="195"/>
      <c r="DY879" s="195"/>
      <c r="DZ879" s="195"/>
      <c r="EA879" s="195"/>
      <c r="EB879" s="195"/>
      <c r="EC879" s="195"/>
      <c r="ED879" s="195"/>
      <c r="EE879" s="195"/>
      <c r="EK879" s="195"/>
      <c r="EL879" s="240"/>
      <c r="EM879" s="240"/>
      <c r="EN879" s="195"/>
      <c r="EO879" s="240"/>
      <c r="EP879" s="195"/>
      <c r="EQ879" s="195"/>
      <c r="ER879" s="195"/>
      <c r="ES879" s="736"/>
    </row>
    <row r="880" customFormat="false" ht="12.75" hidden="false" customHeight="false" outlineLevel="0" collapsed="false">
      <c r="I880" s="735"/>
      <c r="J880" s="728"/>
      <c r="K880" s="195"/>
      <c r="L880" s="195"/>
      <c r="Q880" s="195"/>
      <c r="R880" s="195"/>
      <c r="S880" s="240"/>
      <c r="T880" s="195"/>
      <c r="U880" s="195"/>
      <c r="V880" s="195"/>
      <c r="W880" s="195"/>
      <c r="X880" s="195"/>
      <c r="Y880" s="195"/>
      <c r="Z880" s="195"/>
      <c r="AA880" s="195"/>
      <c r="AB880" s="195"/>
      <c r="AC880" s="195"/>
      <c r="AD880" s="195"/>
      <c r="AE880" s="195"/>
      <c r="AF880" s="195"/>
      <c r="AG880" s="195"/>
      <c r="AH880" s="195"/>
      <c r="AI880" s="195"/>
      <c r="AJ880" s="195"/>
      <c r="AK880" s="195"/>
      <c r="AL880" s="195"/>
      <c r="AM880" s="1"/>
      <c r="AN880" s="240"/>
      <c r="AO880" s="240"/>
      <c r="AP880" s="240"/>
      <c r="AQ880" s="730"/>
      <c r="AR880" s="730"/>
      <c r="AS880" s="730"/>
      <c r="AT880" s="738"/>
      <c r="AU880" s="738"/>
      <c r="AV880" s="240"/>
      <c r="AW880" s="240"/>
      <c r="AX880" s="240"/>
      <c r="AY880" s="240"/>
      <c r="AZ880" s="240"/>
      <c r="BA880" s="240"/>
      <c r="BB880" s="672"/>
      <c r="BC880" s="731"/>
      <c r="BD880" s="731"/>
      <c r="BE880" s="731"/>
      <c r="BF880" s="672"/>
      <c r="BG880" s="732"/>
      <c r="BH880" s="240"/>
      <c r="BI880" s="240"/>
      <c r="BJ880" s="240"/>
      <c r="BK880" s="240"/>
      <c r="BL880" s="240"/>
      <c r="BM880" s="240"/>
      <c r="BN880" s="240"/>
      <c r="BO880" s="240"/>
      <c r="BP880" s="240"/>
      <c r="BQ880" s="240"/>
      <c r="BR880" s="240"/>
      <c r="BS880" s="240"/>
      <c r="BT880" s="240"/>
      <c r="BU880" s="672"/>
      <c r="BV880" s="672"/>
      <c r="BW880" s="672"/>
      <c r="BX880" s="672"/>
      <c r="BY880" s="672"/>
      <c r="BZ880" s="672"/>
      <c r="CA880" s="672"/>
      <c r="CB880" s="672"/>
      <c r="CC880" s="672"/>
      <c r="CD880" s="672"/>
      <c r="CE880" s="240"/>
      <c r="CF880" s="240"/>
      <c r="CG880" s="240"/>
      <c r="CH880" s="240"/>
      <c r="CI880" s="240"/>
      <c r="CJ880" s="728"/>
      <c r="CK880" s="728"/>
      <c r="CL880" s="195"/>
      <c r="CM880" s="195"/>
      <c r="CN880" s="195"/>
      <c r="CO880" s="195"/>
      <c r="CP880" s="195"/>
      <c r="CQ880" s="195"/>
      <c r="CR880" s="195"/>
      <c r="CS880" s="195"/>
      <c r="CT880" s="195"/>
      <c r="CU880" s="195"/>
      <c r="CV880" s="195"/>
      <c r="CW880" s="195"/>
      <c r="CX880" s="195"/>
      <c r="CY880" s="195"/>
      <c r="CZ880" s="195"/>
      <c r="DA880" s="195"/>
      <c r="DB880" s="195"/>
      <c r="DC880" s="195"/>
      <c r="DD880" s="195"/>
      <c r="DO880" s="195"/>
      <c r="DP880" s="195"/>
      <c r="DQ880" s="195"/>
      <c r="DR880" s="195"/>
      <c r="DS880" s="195"/>
      <c r="DT880" s="195"/>
      <c r="DU880" s="195"/>
      <c r="DV880" s="195"/>
      <c r="DW880" s="195"/>
      <c r="DX880" s="195"/>
      <c r="DY880" s="195"/>
      <c r="DZ880" s="195"/>
      <c r="EA880" s="195"/>
      <c r="EB880" s="195"/>
      <c r="EC880" s="195"/>
      <c r="ED880" s="195"/>
      <c r="EE880" s="195"/>
      <c r="EK880" s="195"/>
      <c r="EL880" s="240"/>
      <c r="EM880" s="240"/>
      <c r="EN880" s="195"/>
      <c r="EO880" s="240"/>
      <c r="EP880" s="195"/>
      <c r="EQ880" s="195"/>
      <c r="ER880" s="195"/>
      <c r="ES880" s="736"/>
    </row>
    <row r="881" customFormat="false" ht="12.75" hidden="false" customHeight="false" outlineLevel="0" collapsed="false">
      <c r="I881" s="735"/>
      <c r="J881" s="728"/>
      <c r="K881" s="195"/>
      <c r="L881" s="195"/>
      <c r="Q881" s="195"/>
      <c r="R881" s="195"/>
      <c r="S881" s="240"/>
      <c r="T881" s="195"/>
      <c r="U881" s="195"/>
      <c r="V881" s="195"/>
      <c r="W881" s="195"/>
      <c r="X881" s="195"/>
      <c r="Y881" s="195"/>
      <c r="Z881" s="195"/>
      <c r="AA881" s="195"/>
      <c r="AB881" s="195"/>
      <c r="AC881" s="195"/>
      <c r="AD881" s="195"/>
      <c r="AE881" s="195"/>
      <c r="AF881" s="195"/>
      <c r="AG881" s="195"/>
      <c r="AH881" s="195"/>
      <c r="AI881" s="195"/>
      <c r="AJ881" s="195"/>
      <c r="AK881" s="195"/>
      <c r="AL881" s="195"/>
      <c r="AM881" s="1"/>
      <c r="AN881" s="240"/>
      <c r="AO881" s="240"/>
      <c r="AP881" s="240"/>
      <c r="AQ881" s="730"/>
      <c r="AR881" s="730"/>
      <c r="AS881" s="730"/>
      <c r="AT881" s="738"/>
      <c r="AU881" s="738"/>
      <c r="AV881" s="240"/>
      <c r="AW881" s="240"/>
      <c r="AX881" s="240"/>
      <c r="AY881" s="240"/>
      <c r="AZ881" s="240"/>
      <c r="BA881" s="240"/>
      <c r="BB881" s="672"/>
      <c r="BC881" s="731"/>
      <c r="BD881" s="731"/>
      <c r="BE881" s="731"/>
      <c r="BF881" s="672"/>
      <c r="BG881" s="732"/>
      <c r="BH881" s="240"/>
      <c r="BI881" s="240"/>
      <c r="BJ881" s="240"/>
      <c r="BK881" s="240"/>
      <c r="BL881" s="240"/>
      <c r="BM881" s="240"/>
      <c r="BN881" s="240"/>
      <c r="BO881" s="240"/>
      <c r="BP881" s="240"/>
      <c r="BQ881" s="240"/>
      <c r="BR881" s="240"/>
      <c r="BS881" s="240"/>
      <c r="BT881" s="240"/>
      <c r="BU881" s="672"/>
      <c r="BV881" s="672"/>
      <c r="BW881" s="672"/>
      <c r="BX881" s="672"/>
      <c r="BY881" s="672"/>
      <c r="BZ881" s="672"/>
      <c r="CA881" s="672"/>
      <c r="CB881" s="672"/>
      <c r="CC881" s="672"/>
      <c r="CD881" s="672"/>
      <c r="CE881" s="240"/>
      <c r="CF881" s="240"/>
      <c r="CG881" s="240"/>
      <c r="CH881" s="240"/>
      <c r="CI881" s="240"/>
      <c r="CJ881" s="728"/>
      <c r="CK881" s="728"/>
      <c r="CL881" s="195"/>
      <c r="CM881" s="195"/>
      <c r="CN881" s="195"/>
      <c r="CO881" s="195"/>
      <c r="CP881" s="195"/>
      <c r="CQ881" s="195"/>
      <c r="CR881" s="195"/>
      <c r="CS881" s="195"/>
      <c r="CT881" s="195"/>
      <c r="CU881" s="195"/>
      <c r="CV881" s="195"/>
      <c r="CW881" s="195"/>
      <c r="CX881" s="195"/>
      <c r="CY881" s="195"/>
      <c r="CZ881" s="195"/>
      <c r="DA881" s="195"/>
      <c r="DB881" s="195"/>
      <c r="DC881" s="195"/>
      <c r="DD881" s="195"/>
      <c r="DO881" s="195"/>
      <c r="DP881" s="195"/>
      <c r="DQ881" s="195"/>
      <c r="DR881" s="195"/>
      <c r="DS881" s="195"/>
      <c r="DT881" s="195"/>
      <c r="DU881" s="195"/>
      <c r="DV881" s="195"/>
      <c r="DW881" s="195"/>
      <c r="DX881" s="195"/>
      <c r="DY881" s="195"/>
      <c r="DZ881" s="195"/>
      <c r="EA881" s="195"/>
      <c r="EB881" s="195"/>
      <c r="EC881" s="195"/>
      <c r="ED881" s="195"/>
      <c r="EE881" s="195"/>
      <c r="EK881" s="195"/>
      <c r="EL881" s="240"/>
      <c r="EM881" s="240"/>
      <c r="EN881" s="195"/>
      <c r="EO881" s="240"/>
      <c r="EP881" s="195"/>
      <c r="EQ881" s="195"/>
      <c r="ER881" s="195"/>
      <c r="ES881" s="736"/>
    </row>
    <row r="882" customFormat="false" ht="12.75" hidden="false" customHeight="false" outlineLevel="0" collapsed="false">
      <c r="I882" s="735"/>
      <c r="J882" s="728"/>
      <c r="K882" s="195"/>
      <c r="L882" s="195"/>
      <c r="Q882" s="195"/>
      <c r="R882" s="195"/>
      <c r="S882" s="240"/>
      <c r="T882" s="195"/>
      <c r="U882" s="195"/>
      <c r="V882" s="195"/>
      <c r="W882" s="195"/>
      <c r="X882" s="195"/>
      <c r="Y882" s="195"/>
      <c r="Z882" s="195"/>
      <c r="AA882" s="195"/>
      <c r="AB882" s="195"/>
      <c r="AC882" s="195"/>
      <c r="AD882" s="195"/>
      <c r="AE882" s="195"/>
      <c r="AF882" s="195"/>
      <c r="AG882" s="195"/>
      <c r="AH882" s="195"/>
      <c r="AI882" s="195"/>
      <c r="AJ882" s="195"/>
      <c r="AK882" s="195"/>
      <c r="AL882" s="195"/>
      <c r="AM882" s="1"/>
      <c r="AN882" s="240"/>
      <c r="AO882" s="240"/>
      <c r="AP882" s="240"/>
      <c r="AQ882" s="730"/>
      <c r="AR882" s="730"/>
      <c r="AS882" s="730"/>
      <c r="AT882" s="738"/>
      <c r="AU882" s="738"/>
      <c r="AV882" s="240"/>
      <c r="AW882" s="240"/>
      <c r="AX882" s="240"/>
      <c r="AY882" s="240"/>
      <c r="AZ882" s="240"/>
      <c r="BA882" s="240"/>
      <c r="BB882" s="672"/>
      <c r="BC882" s="731"/>
      <c r="BD882" s="731"/>
      <c r="BE882" s="731"/>
      <c r="BF882" s="672"/>
      <c r="BG882" s="732"/>
      <c r="BH882" s="240"/>
      <c r="BI882" s="240"/>
      <c r="BJ882" s="240"/>
      <c r="BK882" s="240"/>
      <c r="BL882" s="240"/>
      <c r="BM882" s="240"/>
      <c r="BN882" s="240"/>
      <c r="BO882" s="240"/>
      <c r="BP882" s="240"/>
      <c r="BQ882" s="240"/>
      <c r="BR882" s="240"/>
      <c r="BS882" s="240"/>
      <c r="BT882" s="240"/>
      <c r="BU882" s="672"/>
      <c r="BV882" s="672"/>
      <c r="BW882" s="672"/>
      <c r="BX882" s="672"/>
      <c r="BY882" s="672"/>
      <c r="BZ882" s="672"/>
      <c r="CA882" s="672"/>
      <c r="CB882" s="672"/>
      <c r="CC882" s="672"/>
      <c r="CD882" s="672"/>
      <c r="CE882" s="240"/>
      <c r="CF882" s="240"/>
      <c r="CG882" s="240"/>
      <c r="CH882" s="240"/>
      <c r="CI882" s="240"/>
      <c r="CJ882" s="728"/>
      <c r="CK882" s="728"/>
      <c r="CL882" s="195"/>
      <c r="CM882" s="195"/>
      <c r="CN882" s="195"/>
      <c r="CO882" s="195"/>
      <c r="CP882" s="195"/>
      <c r="CQ882" s="195"/>
      <c r="CR882" s="195"/>
      <c r="CS882" s="195"/>
      <c r="CT882" s="195"/>
      <c r="CU882" s="195"/>
      <c r="CV882" s="195"/>
      <c r="CW882" s="195"/>
      <c r="CX882" s="195"/>
      <c r="CY882" s="195"/>
      <c r="CZ882" s="195"/>
      <c r="DA882" s="195"/>
      <c r="DB882" s="195"/>
      <c r="DC882" s="195"/>
      <c r="DD882" s="195"/>
      <c r="DO882" s="195"/>
      <c r="DP882" s="195"/>
      <c r="DQ882" s="195"/>
      <c r="DR882" s="195"/>
      <c r="DS882" s="195"/>
      <c r="DT882" s="195"/>
      <c r="DU882" s="195"/>
      <c r="DV882" s="195"/>
      <c r="DW882" s="195"/>
      <c r="DX882" s="195"/>
      <c r="DY882" s="195"/>
      <c r="DZ882" s="195"/>
      <c r="EA882" s="195"/>
      <c r="EB882" s="195"/>
      <c r="EC882" s="195"/>
      <c r="ED882" s="195"/>
      <c r="EE882" s="195"/>
      <c r="EK882" s="195"/>
      <c r="EL882" s="240"/>
      <c r="EM882" s="240"/>
      <c r="EN882" s="195"/>
      <c r="EO882" s="240"/>
      <c r="EP882" s="195"/>
      <c r="EQ882" s="195"/>
      <c r="ER882" s="195"/>
      <c r="ES882" s="736"/>
    </row>
    <row r="883" customFormat="false" ht="12.75" hidden="false" customHeight="false" outlineLevel="0" collapsed="false">
      <c r="I883" s="735"/>
      <c r="J883" s="728"/>
      <c r="K883" s="195"/>
      <c r="L883" s="195"/>
      <c r="Q883" s="195"/>
      <c r="R883" s="195"/>
      <c r="S883" s="240"/>
      <c r="T883" s="195"/>
      <c r="U883" s="195"/>
      <c r="V883" s="195"/>
      <c r="W883" s="195"/>
      <c r="X883" s="195"/>
      <c r="Y883" s="195"/>
      <c r="Z883" s="195"/>
      <c r="AA883" s="195"/>
      <c r="AB883" s="195"/>
      <c r="AC883" s="195"/>
      <c r="AD883" s="195"/>
      <c r="AE883" s="195"/>
      <c r="AF883" s="195"/>
      <c r="AG883" s="195"/>
      <c r="AH883" s="195"/>
      <c r="AI883" s="195"/>
      <c r="AJ883" s="195"/>
      <c r="AK883" s="195"/>
      <c r="AL883" s="195"/>
      <c r="AM883" s="1"/>
      <c r="AN883" s="240"/>
      <c r="AO883" s="240"/>
      <c r="AP883" s="240"/>
      <c r="AQ883" s="730"/>
      <c r="AR883" s="730"/>
      <c r="AS883" s="730"/>
      <c r="AT883" s="738"/>
      <c r="AU883" s="738"/>
      <c r="AV883" s="240"/>
      <c r="AW883" s="240"/>
      <c r="AX883" s="240"/>
      <c r="AY883" s="240"/>
      <c r="AZ883" s="240"/>
      <c r="BA883" s="240"/>
      <c r="BB883" s="672"/>
      <c r="BC883" s="731"/>
      <c r="BD883" s="731"/>
      <c r="BE883" s="731"/>
      <c r="BF883" s="672"/>
      <c r="BG883" s="732"/>
      <c r="BH883" s="240"/>
      <c r="BI883" s="240"/>
      <c r="BJ883" s="240"/>
      <c r="BK883" s="240"/>
      <c r="BL883" s="240"/>
      <c r="BM883" s="240"/>
      <c r="BN883" s="240"/>
      <c r="BO883" s="240"/>
      <c r="BP883" s="240"/>
      <c r="BQ883" s="240"/>
      <c r="BR883" s="240"/>
      <c r="BS883" s="240"/>
      <c r="BT883" s="240"/>
      <c r="BU883" s="672"/>
      <c r="BV883" s="672"/>
      <c r="BW883" s="672"/>
      <c r="BX883" s="672"/>
      <c r="BY883" s="672"/>
      <c r="BZ883" s="672"/>
      <c r="CA883" s="672"/>
      <c r="CB883" s="672"/>
      <c r="CC883" s="672"/>
      <c r="CD883" s="672"/>
      <c r="CE883" s="240"/>
      <c r="CF883" s="240"/>
      <c r="CG883" s="240"/>
      <c r="CH883" s="240"/>
      <c r="CI883" s="240"/>
      <c r="CJ883" s="728"/>
      <c r="CK883" s="728"/>
      <c r="CL883" s="195"/>
      <c r="CM883" s="195"/>
      <c r="CN883" s="195"/>
      <c r="CO883" s="195"/>
      <c r="CP883" s="195"/>
      <c r="CQ883" s="195"/>
      <c r="CR883" s="195"/>
      <c r="CS883" s="195"/>
      <c r="CT883" s="195"/>
      <c r="CU883" s="195"/>
      <c r="CV883" s="195"/>
      <c r="CW883" s="195"/>
      <c r="CX883" s="195"/>
      <c r="CY883" s="195"/>
      <c r="CZ883" s="195"/>
      <c r="DA883" s="195"/>
      <c r="DB883" s="195"/>
      <c r="DC883" s="195"/>
      <c r="DD883" s="195"/>
      <c r="DO883" s="195"/>
      <c r="DP883" s="195"/>
      <c r="DQ883" s="195"/>
      <c r="DR883" s="195"/>
      <c r="DS883" s="195"/>
      <c r="DT883" s="195"/>
      <c r="DU883" s="195"/>
      <c r="DV883" s="195"/>
      <c r="DW883" s="195"/>
      <c r="DX883" s="195"/>
      <c r="DY883" s="195"/>
      <c r="DZ883" s="195"/>
      <c r="EA883" s="195"/>
      <c r="EB883" s="195"/>
      <c r="EC883" s="195"/>
      <c r="ED883" s="195"/>
      <c r="EE883" s="195"/>
      <c r="EK883" s="195"/>
      <c r="EL883" s="240"/>
      <c r="EM883" s="240"/>
      <c r="EN883" s="195"/>
      <c r="EO883" s="240"/>
      <c r="EP883" s="195"/>
      <c r="EQ883" s="195"/>
      <c r="ER883" s="195"/>
      <c r="ES883" s="736"/>
    </row>
    <row r="884" customFormat="false" ht="12.75" hidden="false" customHeight="false" outlineLevel="0" collapsed="false">
      <c r="I884" s="735"/>
      <c r="J884" s="728"/>
      <c r="K884" s="195"/>
      <c r="L884" s="195"/>
      <c r="Q884" s="195"/>
      <c r="R884" s="195"/>
      <c r="S884" s="240"/>
      <c r="T884" s="195"/>
      <c r="U884" s="195"/>
      <c r="V884" s="195"/>
      <c r="W884" s="195"/>
      <c r="X884" s="195"/>
      <c r="Y884" s="195"/>
      <c r="Z884" s="195"/>
      <c r="AA884" s="195"/>
      <c r="AB884" s="195"/>
      <c r="AC884" s="195"/>
      <c r="AD884" s="195"/>
      <c r="AE884" s="195"/>
      <c r="AF884" s="195"/>
      <c r="AG884" s="195"/>
      <c r="AH884" s="195"/>
      <c r="AI884" s="195"/>
      <c r="AJ884" s="195"/>
      <c r="AK884" s="195"/>
      <c r="AL884" s="195"/>
      <c r="AM884" s="1"/>
      <c r="AN884" s="240"/>
      <c r="AO884" s="240"/>
      <c r="AP884" s="240"/>
      <c r="AQ884" s="730"/>
      <c r="AR884" s="730"/>
      <c r="AS884" s="730"/>
      <c r="AT884" s="738"/>
      <c r="AU884" s="738"/>
      <c r="AV884" s="240"/>
      <c r="AW884" s="240"/>
      <c r="AX884" s="240"/>
      <c r="AY884" s="240"/>
      <c r="AZ884" s="240"/>
      <c r="BA884" s="240"/>
      <c r="BB884" s="672"/>
      <c r="BC884" s="731"/>
      <c r="BD884" s="731"/>
      <c r="BE884" s="731"/>
      <c r="BF884" s="672"/>
      <c r="BG884" s="732"/>
      <c r="BH884" s="240"/>
      <c r="BI884" s="240"/>
      <c r="BJ884" s="240"/>
      <c r="BK884" s="240"/>
      <c r="BL884" s="240"/>
      <c r="BM884" s="240"/>
      <c r="BN884" s="240"/>
      <c r="BO884" s="240"/>
      <c r="BP884" s="240"/>
      <c r="BQ884" s="240"/>
      <c r="BR884" s="240"/>
      <c r="BS884" s="240"/>
      <c r="BT884" s="240"/>
      <c r="BU884" s="672"/>
      <c r="BV884" s="672"/>
      <c r="BW884" s="672"/>
      <c r="BX884" s="672"/>
      <c r="BY884" s="672"/>
      <c r="BZ884" s="672"/>
      <c r="CA884" s="672"/>
      <c r="CB884" s="672"/>
      <c r="CC884" s="672"/>
      <c r="CD884" s="672"/>
      <c r="CE884" s="240"/>
      <c r="CF884" s="240"/>
      <c r="CG884" s="240"/>
      <c r="CH884" s="240"/>
      <c r="CI884" s="240"/>
      <c r="CJ884" s="728"/>
      <c r="CK884" s="728"/>
      <c r="CL884" s="195"/>
      <c r="CM884" s="195"/>
      <c r="CN884" s="195"/>
      <c r="CO884" s="195"/>
      <c r="CP884" s="195"/>
      <c r="CQ884" s="195"/>
      <c r="CR884" s="195"/>
      <c r="CS884" s="195"/>
      <c r="CT884" s="195"/>
      <c r="CU884" s="195"/>
      <c r="CV884" s="195"/>
      <c r="CW884" s="195"/>
      <c r="CX884" s="195"/>
      <c r="CY884" s="195"/>
      <c r="CZ884" s="195"/>
      <c r="DA884" s="195"/>
      <c r="DB884" s="195"/>
      <c r="DC884" s="195"/>
      <c r="DD884" s="195"/>
      <c r="DO884" s="195"/>
      <c r="DP884" s="195"/>
      <c r="DQ884" s="195"/>
      <c r="DR884" s="195"/>
      <c r="DS884" s="195"/>
      <c r="DT884" s="195"/>
      <c r="DU884" s="195"/>
      <c r="DV884" s="195"/>
      <c r="DW884" s="195"/>
      <c r="DX884" s="195"/>
      <c r="DY884" s="195"/>
      <c r="DZ884" s="195"/>
      <c r="EA884" s="195"/>
      <c r="EB884" s="195"/>
      <c r="EC884" s="195"/>
      <c r="ED884" s="195"/>
      <c r="EE884" s="195"/>
      <c r="EK884" s="195"/>
      <c r="EL884" s="240"/>
      <c r="EM884" s="240"/>
      <c r="EN884" s="195"/>
      <c r="EO884" s="240"/>
      <c r="EP884" s="195"/>
      <c r="EQ884" s="195"/>
      <c r="ER884" s="195"/>
      <c r="ES884" s="736"/>
    </row>
    <row r="885" customFormat="false" ht="12.75" hidden="false" customHeight="false" outlineLevel="0" collapsed="false">
      <c r="I885" s="735"/>
      <c r="J885" s="728"/>
      <c r="K885" s="195"/>
      <c r="L885" s="195"/>
      <c r="Q885" s="195"/>
      <c r="R885" s="195"/>
      <c r="S885" s="240"/>
      <c r="T885" s="195"/>
      <c r="U885" s="195"/>
      <c r="V885" s="195"/>
      <c r="W885" s="195"/>
      <c r="X885" s="195"/>
      <c r="Y885" s="195"/>
      <c r="Z885" s="195"/>
      <c r="AA885" s="195"/>
      <c r="AB885" s="195"/>
      <c r="AC885" s="195"/>
      <c r="AD885" s="195"/>
      <c r="AE885" s="195"/>
      <c r="AF885" s="195"/>
      <c r="AG885" s="195"/>
      <c r="AH885" s="195"/>
      <c r="AI885" s="195"/>
      <c r="AJ885" s="195"/>
      <c r="AK885" s="195"/>
      <c r="AL885" s="195"/>
      <c r="AM885" s="1"/>
      <c r="AN885" s="240"/>
      <c r="AO885" s="240"/>
      <c r="AP885" s="240"/>
      <c r="AQ885" s="730"/>
      <c r="AR885" s="730"/>
      <c r="AS885" s="730"/>
      <c r="AT885" s="738"/>
      <c r="AU885" s="738"/>
      <c r="AV885" s="240"/>
      <c r="AW885" s="240"/>
      <c r="AX885" s="240"/>
      <c r="AY885" s="240"/>
      <c r="AZ885" s="240"/>
      <c r="BA885" s="240"/>
      <c r="BB885" s="672"/>
      <c r="BC885" s="731"/>
      <c r="BD885" s="731"/>
      <c r="BE885" s="731"/>
      <c r="BF885" s="672"/>
      <c r="BG885" s="732"/>
      <c r="BH885" s="240"/>
      <c r="BI885" s="240"/>
      <c r="BJ885" s="240"/>
      <c r="BK885" s="240"/>
      <c r="BL885" s="240"/>
      <c r="BM885" s="240"/>
      <c r="BN885" s="240"/>
      <c r="BO885" s="240"/>
      <c r="BP885" s="240"/>
      <c r="BQ885" s="240"/>
      <c r="BR885" s="240"/>
      <c r="BS885" s="240"/>
      <c r="BT885" s="240"/>
      <c r="BU885" s="672"/>
      <c r="BV885" s="672"/>
      <c r="BW885" s="672"/>
      <c r="BX885" s="672"/>
      <c r="BY885" s="672"/>
      <c r="BZ885" s="672"/>
      <c r="CA885" s="672"/>
      <c r="CB885" s="672"/>
      <c r="CC885" s="672"/>
      <c r="CD885" s="672"/>
      <c r="CE885" s="240"/>
      <c r="CF885" s="240"/>
      <c r="CG885" s="240"/>
      <c r="CH885" s="240"/>
      <c r="CI885" s="240"/>
      <c r="CJ885" s="728"/>
      <c r="CK885" s="728"/>
      <c r="CL885" s="195"/>
      <c r="CM885" s="195"/>
      <c r="CN885" s="195"/>
      <c r="CO885" s="195"/>
      <c r="CP885" s="195"/>
      <c r="CQ885" s="195"/>
      <c r="CR885" s="195"/>
      <c r="CS885" s="195"/>
      <c r="CT885" s="195"/>
      <c r="CU885" s="195"/>
      <c r="CV885" s="195"/>
      <c r="CW885" s="195"/>
      <c r="CX885" s="195"/>
      <c r="CY885" s="195"/>
      <c r="CZ885" s="195"/>
      <c r="DA885" s="195"/>
      <c r="DB885" s="195"/>
      <c r="DC885" s="195"/>
      <c r="DD885" s="195"/>
      <c r="DO885" s="195"/>
      <c r="DP885" s="195"/>
      <c r="DQ885" s="195"/>
      <c r="DR885" s="195"/>
      <c r="DS885" s="195"/>
      <c r="DT885" s="195"/>
      <c r="DU885" s="195"/>
      <c r="DV885" s="195"/>
      <c r="DW885" s="195"/>
      <c r="DX885" s="195"/>
      <c r="DY885" s="195"/>
      <c r="DZ885" s="195"/>
      <c r="EA885" s="195"/>
      <c r="EB885" s="195"/>
      <c r="EC885" s="195"/>
      <c r="ED885" s="195"/>
      <c r="EE885" s="195"/>
      <c r="EK885" s="195"/>
      <c r="EL885" s="240"/>
      <c r="EM885" s="240"/>
      <c r="EN885" s="195"/>
      <c r="EO885" s="240"/>
      <c r="EP885" s="195"/>
      <c r="EQ885" s="195"/>
      <c r="ER885" s="195"/>
      <c r="ES885" s="736"/>
    </row>
    <row r="886" customFormat="false" ht="12.75" hidden="false" customHeight="false" outlineLevel="0" collapsed="false">
      <c r="I886" s="735"/>
      <c r="J886" s="728"/>
      <c r="K886" s="195"/>
      <c r="L886" s="195"/>
      <c r="Q886" s="195"/>
      <c r="R886" s="195"/>
      <c r="S886" s="240"/>
      <c r="T886" s="195"/>
      <c r="U886" s="195"/>
      <c r="V886" s="195"/>
      <c r="W886" s="195"/>
      <c r="X886" s="195"/>
      <c r="Y886" s="195"/>
      <c r="Z886" s="195"/>
      <c r="AA886" s="195"/>
      <c r="AB886" s="195"/>
      <c r="AC886" s="195"/>
      <c r="AD886" s="195"/>
      <c r="AE886" s="195"/>
      <c r="AF886" s="195"/>
      <c r="AG886" s="195"/>
      <c r="AH886" s="195"/>
      <c r="AI886" s="195"/>
      <c r="AJ886" s="195"/>
      <c r="AK886" s="195"/>
      <c r="AL886" s="195"/>
      <c r="AM886" s="1"/>
      <c r="AN886" s="240"/>
      <c r="AO886" s="240"/>
      <c r="AP886" s="240"/>
      <c r="AQ886" s="730"/>
      <c r="AR886" s="730"/>
      <c r="AS886" s="730"/>
      <c r="AT886" s="738"/>
      <c r="AU886" s="738"/>
      <c r="AV886" s="240"/>
      <c r="AW886" s="240"/>
      <c r="AX886" s="240"/>
      <c r="AY886" s="240"/>
      <c r="AZ886" s="240"/>
      <c r="BA886" s="240"/>
      <c r="BB886" s="672"/>
      <c r="BC886" s="731"/>
      <c r="BD886" s="731"/>
      <c r="BE886" s="731"/>
      <c r="BF886" s="672"/>
      <c r="BG886" s="732"/>
      <c r="BH886" s="240"/>
      <c r="BI886" s="240"/>
      <c r="BJ886" s="240"/>
      <c r="BK886" s="240"/>
      <c r="BL886" s="240"/>
      <c r="BM886" s="240"/>
      <c r="BN886" s="240"/>
      <c r="BO886" s="240"/>
      <c r="BP886" s="240"/>
      <c r="BQ886" s="240"/>
      <c r="BR886" s="240"/>
      <c r="BS886" s="240"/>
      <c r="BT886" s="240"/>
      <c r="BU886" s="672"/>
      <c r="BV886" s="672"/>
      <c r="BW886" s="672"/>
      <c r="BX886" s="672"/>
      <c r="BY886" s="672"/>
      <c r="BZ886" s="672"/>
      <c r="CA886" s="672"/>
      <c r="CB886" s="672"/>
      <c r="CC886" s="672"/>
      <c r="CD886" s="672"/>
      <c r="CE886" s="240"/>
      <c r="CF886" s="240"/>
      <c r="CG886" s="240"/>
      <c r="CH886" s="240"/>
      <c r="CI886" s="240"/>
      <c r="CJ886" s="728"/>
      <c r="CK886" s="728"/>
      <c r="CL886" s="195"/>
      <c r="CM886" s="195"/>
      <c r="CN886" s="195"/>
      <c r="CO886" s="195"/>
      <c r="CP886" s="195"/>
      <c r="CQ886" s="195"/>
      <c r="CR886" s="195"/>
      <c r="CS886" s="195"/>
      <c r="CT886" s="195"/>
      <c r="CU886" s="195"/>
      <c r="CV886" s="195"/>
      <c r="CW886" s="195"/>
      <c r="CX886" s="195"/>
      <c r="CY886" s="195"/>
      <c r="CZ886" s="195"/>
      <c r="DA886" s="195"/>
      <c r="DB886" s="195"/>
      <c r="DC886" s="195"/>
      <c r="DD886" s="195"/>
      <c r="DO886" s="195"/>
      <c r="DP886" s="195"/>
      <c r="DQ886" s="195"/>
      <c r="DR886" s="195"/>
      <c r="DS886" s="195"/>
      <c r="DT886" s="195"/>
      <c r="DU886" s="195"/>
      <c r="DV886" s="195"/>
      <c r="DW886" s="195"/>
      <c r="DX886" s="195"/>
      <c r="DY886" s="195"/>
      <c r="DZ886" s="195"/>
      <c r="EA886" s="195"/>
      <c r="EB886" s="195"/>
      <c r="EC886" s="195"/>
      <c r="ED886" s="195"/>
      <c r="EE886" s="195"/>
      <c r="EK886" s="195"/>
      <c r="EL886" s="240"/>
      <c r="EM886" s="240"/>
      <c r="EN886" s="195"/>
      <c r="EO886" s="240"/>
      <c r="EP886" s="195"/>
      <c r="EQ886" s="195"/>
      <c r="ER886" s="195"/>
      <c r="ES886" s="736"/>
    </row>
    <row r="887" customFormat="false" ht="12.75" hidden="false" customHeight="false" outlineLevel="0" collapsed="false">
      <c r="I887" s="735"/>
      <c r="J887" s="728"/>
      <c r="K887" s="195"/>
      <c r="L887" s="195"/>
      <c r="Q887" s="195"/>
      <c r="R887" s="195"/>
      <c r="S887" s="240"/>
      <c r="T887" s="195"/>
      <c r="U887" s="195"/>
      <c r="V887" s="195"/>
      <c r="W887" s="195"/>
      <c r="X887" s="195"/>
      <c r="Y887" s="195"/>
      <c r="Z887" s="195"/>
      <c r="AA887" s="195"/>
      <c r="AB887" s="195"/>
      <c r="AC887" s="195"/>
      <c r="AD887" s="195"/>
      <c r="AE887" s="195"/>
      <c r="AF887" s="195"/>
      <c r="AG887" s="195"/>
      <c r="AH887" s="195"/>
      <c r="AI887" s="195"/>
      <c r="AJ887" s="195"/>
      <c r="AK887" s="195"/>
      <c r="AL887" s="195"/>
      <c r="AM887" s="1"/>
      <c r="AN887" s="240"/>
      <c r="AO887" s="240"/>
      <c r="AP887" s="240"/>
      <c r="AQ887" s="730"/>
      <c r="AR887" s="730"/>
      <c r="AS887" s="730"/>
      <c r="AT887" s="738"/>
      <c r="AU887" s="738"/>
      <c r="AV887" s="240"/>
      <c r="AW887" s="240"/>
      <c r="AX887" s="240"/>
      <c r="AY887" s="240"/>
      <c r="AZ887" s="240"/>
      <c r="BA887" s="240"/>
      <c r="BB887" s="672"/>
      <c r="BC887" s="731"/>
      <c r="BD887" s="731"/>
      <c r="BE887" s="731"/>
      <c r="BF887" s="672"/>
      <c r="BG887" s="732"/>
      <c r="BH887" s="240"/>
      <c r="BI887" s="240"/>
      <c r="BJ887" s="240"/>
      <c r="BK887" s="240"/>
      <c r="BL887" s="240"/>
      <c r="BM887" s="240"/>
      <c r="BN887" s="240"/>
      <c r="BO887" s="240"/>
      <c r="BP887" s="240"/>
      <c r="BQ887" s="240"/>
      <c r="BR887" s="240"/>
      <c r="BS887" s="240"/>
      <c r="BT887" s="240"/>
      <c r="BU887" s="672"/>
      <c r="BV887" s="672"/>
      <c r="BW887" s="672"/>
      <c r="BX887" s="672"/>
      <c r="BY887" s="672"/>
      <c r="BZ887" s="672"/>
      <c r="CA887" s="672"/>
      <c r="CB887" s="672"/>
      <c r="CC887" s="672"/>
      <c r="CD887" s="672"/>
      <c r="CE887" s="240"/>
      <c r="CF887" s="240"/>
      <c r="CG887" s="240"/>
      <c r="CH887" s="240"/>
      <c r="CI887" s="240"/>
      <c r="CJ887" s="728"/>
      <c r="CK887" s="728"/>
      <c r="CL887" s="195"/>
      <c r="CM887" s="195"/>
      <c r="CN887" s="195"/>
      <c r="CO887" s="195"/>
      <c r="CP887" s="195"/>
      <c r="CQ887" s="195"/>
      <c r="CR887" s="195"/>
      <c r="CS887" s="195"/>
      <c r="CT887" s="195"/>
      <c r="CU887" s="195"/>
      <c r="CV887" s="195"/>
      <c r="CW887" s="195"/>
      <c r="CX887" s="195"/>
      <c r="CY887" s="195"/>
      <c r="CZ887" s="195"/>
      <c r="DA887" s="195"/>
      <c r="DB887" s="195"/>
      <c r="DC887" s="195"/>
      <c r="DD887" s="195"/>
      <c r="DO887" s="195"/>
      <c r="DP887" s="195"/>
      <c r="DQ887" s="195"/>
      <c r="DR887" s="195"/>
      <c r="DS887" s="195"/>
      <c r="DT887" s="195"/>
      <c r="DU887" s="195"/>
      <c r="DV887" s="195"/>
      <c r="DW887" s="195"/>
      <c r="DX887" s="195"/>
      <c r="DY887" s="195"/>
      <c r="DZ887" s="195"/>
      <c r="EA887" s="195"/>
      <c r="EB887" s="195"/>
      <c r="EC887" s="195"/>
      <c r="ED887" s="195"/>
      <c r="EE887" s="195"/>
      <c r="EK887" s="195"/>
      <c r="EL887" s="240"/>
      <c r="EM887" s="240"/>
      <c r="EN887" s="195"/>
      <c r="EO887" s="240"/>
      <c r="EP887" s="195"/>
      <c r="EQ887" s="195"/>
      <c r="ER887" s="195"/>
      <c r="ES887" s="736"/>
    </row>
    <row r="888" customFormat="false" ht="12.75" hidden="false" customHeight="false" outlineLevel="0" collapsed="false">
      <c r="I888" s="735"/>
      <c r="J888" s="728"/>
      <c r="K888" s="195"/>
      <c r="L888" s="195"/>
      <c r="Q888" s="195"/>
      <c r="R888" s="195"/>
      <c r="S888" s="240"/>
      <c r="T888" s="195"/>
      <c r="U888" s="195"/>
      <c r="V888" s="195"/>
      <c r="W888" s="195"/>
      <c r="X888" s="195"/>
      <c r="Y888" s="195"/>
      <c r="Z888" s="195"/>
      <c r="AA888" s="195"/>
      <c r="AB888" s="195"/>
      <c r="AC888" s="195"/>
      <c r="AD888" s="195"/>
      <c r="AE888" s="195"/>
      <c r="AF888" s="195"/>
      <c r="AG888" s="195"/>
      <c r="AH888" s="195"/>
      <c r="AI888" s="195"/>
      <c r="AJ888" s="195"/>
      <c r="AK888" s="195"/>
      <c r="AL888" s="195"/>
      <c r="AM888" s="1"/>
      <c r="AN888" s="240"/>
      <c r="AO888" s="240"/>
      <c r="AP888" s="240"/>
      <c r="AQ888" s="730"/>
      <c r="AR888" s="730"/>
      <c r="AS888" s="730"/>
      <c r="AT888" s="738"/>
      <c r="AU888" s="738"/>
      <c r="AV888" s="240"/>
      <c r="AW888" s="240"/>
      <c r="AX888" s="240"/>
      <c r="AY888" s="240"/>
      <c r="AZ888" s="240"/>
      <c r="BA888" s="240"/>
      <c r="BB888" s="672"/>
      <c r="BC888" s="731"/>
      <c r="BD888" s="731"/>
      <c r="BE888" s="731"/>
      <c r="BF888" s="672"/>
      <c r="BG888" s="732"/>
      <c r="BH888" s="240"/>
      <c r="BI888" s="240"/>
      <c r="BJ888" s="240"/>
      <c r="BK888" s="240"/>
      <c r="BL888" s="240"/>
      <c r="BM888" s="240"/>
      <c r="BN888" s="240"/>
      <c r="BO888" s="240"/>
      <c r="BP888" s="240"/>
      <c r="BQ888" s="240"/>
      <c r="BR888" s="240"/>
      <c r="BS888" s="240"/>
      <c r="BT888" s="240"/>
      <c r="BU888" s="672"/>
      <c r="BV888" s="672"/>
      <c r="BW888" s="672"/>
      <c r="BX888" s="672"/>
      <c r="BY888" s="672"/>
      <c r="BZ888" s="672"/>
      <c r="CA888" s="672"/>
      <c r="CB888" s="672"/>
      <c r="CC888" s="672"/>
      <c r="CD888" s="672"/>
      <c r="CE888" s="240"/>
      <c r="CF888" s="240"/>
      <c r="CG888" s="240"/>
      <c r="CH888" s="240"/>
      <c r="CI888" s="240"/>
      <c r="CJ888" s="728"/>
      <c r="CK888" s="728"/>
      <c r="CL888" s="195"/>
      <c r="CM888" s="195"/>
      <c r="CN888" s="195"/>
      <c r="CO888" s="195"/>
      <c r="CP888" s="195"/>
      <c r="CQ888" s="195"/>
      <c r="CR888" s="195"/>
      <c r="CS888" s="195"/>
      <c r="CT888" s="195"/>
      <c r="CU888" s="195"/>
      <c r="CV888" s="195"/>
      <c r="CW888" s="195"/>
      <c r="CX888" s="195"/>
      <c r="CY888" s="195"/>
      <c r="CZ888" s="195"/>
      <c r="DA888" s="195"/>
      <c r="DB888" s="195"/>
      <c r="DC888" s="195"/>
      <c r="DD888" s="195"/>
      <c r="DO888" s="195"/>
      <c r="DP888" s="195"/>
      <c r="DQ888" s="195"/>
      <c r="DR888" s="195"/>
      <c r="DS888" s="195"/>
      <c r="DT888" s="195"/>
      <c r="DU888" s="195"/>
      <c r="DV888" s="195"/>
      <c r="DW888" s="195"/>
      <c r="DX888" s="195"/>
      <c r="DY888" s="195"/>
      <c r="DZ888" s="195"/>
      <c r="EA888" s="195"/>
      <c r="EB888" s="195"/>
      <c r="EC888" s="195"/>
      <c r="ED888" s="195"/>
      <c r="EE888" s="195"/>
      <c r="EK888" s="195"/>
      <c r="EL888" s="240"/>
      <c r="EM888" s="240"/>
      <c r="EN888" s="195"/>
      <c r="EO888" s="240"/>
      <c r="EP888" s="195"/>
      <c r="EQ888" s="195"/>
      <c r="ER888" s="195"/>
      <c r="ES888" s="736"/>
    </row>
    <row r="889" customFormat="false" ht="12.75" hidden="false" customHeight="false" outlineLevel="0" collapsed="false">
      <c r="I889" s="735"/>
      <c r="J889" s="728"/>
      <c r="K889" s="195"/>
      <c r="L889" s="195"/>
      <c r="Q889" s="195"/>
      <c r="R889" s="195"/>
      <c r="S889" s="240"/>
      <c r="T889" s="195"/>
      <c r="U889" s="195"/>
      <c r="V889" s="195"/>
      <c r="W889" s="195"/>
      <c r="X889" s="195"/>
      <c r="Y889" s="195"/>
      <c r="Z889" s="195"/>
      <c r="AA889" s="195"/>
      <c r="AB889" s="195"/>
      <c r="AC889" s="195"/>
      <c r="AD889" s="195"/>
      <c r="AE889" s="195"/>
      <c r="AF889" s="195"/>
      <c r="AG889" s="195"/>
      <c r="AH889" s="195"/>
      <c r="AI889" s="195"/>
      <c r="AJ889" s="195"/>
      <c r="AK889" s="195"/>
      <c r="AL889" s="195"/>
      <c r="AM889" s="1"/>
      <c r="AN889" s="240"/>
      <c r="AO889" s="240"/>
      <c r="AP889" s="240"/>
      <c r="AQ889" s="730"/>
      <c r="AR889" s="730"/>
      <c r="AS889" s="730"/>
      <c r="AT889" s="738"/>
      <c r="AU889" s="738"/>
      <c r="AV889" s="240"/>
      <c r="AW889" s="240"/>
      <c r="AX889" s="240"/>
      <c r="AY889" s="240"/>
      <c r="AZ889" s="240"/>
      <c r="BA889" s="240"/>
      <c r="BB889" s="672"/>
      <c r="BC889" s="731"/>
      <c r="BD889" s="731"/>
      <c r="BE889" s="731"/>
      <c r="BF889" s="672"/>
      <c r="BG889" s="732"/>
      <c r="BH889" s="240"/>
      <c r="BI889" s="240"/>
      <c r="BJ889" s="240"/>
      <c r="BK889" s="240"/>
      <c r="BL889" s="240"/>
      <c r="BM889" s="240"/>
      <c r="BN889" s="240"/>
      <c r="BO889" s="240"/>
      <c r="BP889" s="240"/>
      <c r="BQ889" s="240"/>
      <c r="BR889" s="240"/>
      <c r="BS889" s="240"/>
      <c r="BT889" s="240"/>
      <c r="BU889" s="672"/>
      <c r="BV889" s="672"/>
      <c r="BW889" s="672"/>
      <c r="BX889" s="672"/>
      <c r="BY889" s="672"/>
      <c r="BZ889" s="672"/>
      <c r="CA889" s="672"/>
      <c r="CB889" s="672"/>
      <c r="CC889" s="672"/>
      <c r="CD889" s="672"/>
      <c r="CE889" s="240"/>
      <c r="CF889" s="240"/>
      <c r="CG889" s="240"/>
      <c r="CH889" s="240"/>
      <c r="CI889" s="240"/>
      <c r="CJ889" s="728"/>
      <c r="CK889" s="728"/>
      <c r="CL889" s="195"/>
      <c r="CM889" s="195"/>
      <c r="CN889" s="195"/>
      <c r="CO889" s="195"/>
      <c r="CP889" s="195"/>
      <c r="CQ889" s="195"/>
      <c r="CR889" s="195"/>
      <c r="CS889" s="195"/>
      <c r="CT889" s="195"/>
      <c r="CU889" s="195"/>
      <c r="CV889" s="195"/>
      <c r="CW889" s="195"/>
      <c r="CX889" s="195"/>
      <c r="CY889" s="195"/>
      <c r="CZ889" s="195"/>
      <c r="DA889" s="195"/>
      <c r="DB889" s="195"/>
      <c r="DC889" s="195"/>
      <c r="DD889" s="195"/>
      <c r="DO889" s="195"/>
      <c r="DP889" s="195"/>
      <c r="DQ889" s="195"/>
      <c r="DR889" s="195"/>
      <c r="DS889" s="195"/>
      <c r="DT889" s="195"/>
      <c r="DU889" s="195"/>
      <c r="DV889" s="195"/>
      <c r="DW889" s="195"/>
      <c r="DX889" s="195"/>
      <c r="DY889" s="195"/>
      <c r="DZ889" s="195"/>
      <c r="EA889" s="195"/>
      <c r="EB889" s="195"/>
      <c r="EC889" s="195"/>
      <c r="ED889" s="195"/>
      <c r="EE889" s="195"/>
      <c r="EK889" s="195"/>
      <c r="EL889" s="240"/>
      <c r="EM889" s="240"/>
      <c r="EN889" s="195"/>
      <c r="EO889" s="240"/>
      <c r="EP889" s="195"/>
      <c r="EQ889" s="195"/>
      <c r="ER889" s="195"/>
      <c r="ES889" s="736"/>
    </row>
    <row r="890" customFormat="false" ht="12.75" hidden="false" customHeight="false" outlineLevel="0" collapsed="false">
      <c r="I890" s="735"/>
      <c r="J890" s="728"/>
      <c r="K890" s="195"/>
      <c r="L890" s="195"/>
      <c r="Q890" s="195"/>
      <c r="R890" s="195"/>
      <c r="S890" s="240"/>
      <c r="T890" s="195"/>
      <c r="U890" s="195"/>
      <c r="V890" s="195"/>
      <c r="W890" s="195"/>
      <c r="X890" s="195"/>
      <c r="Y890" s="195"/>
      <c r="Z890" s="195"/>
      <c r="AA890" s="195"/>
      <c r="AB890" s="195"/>
      <c r="AC890" s="195"/>
      <c r="AD890" s="195"/>
      <c r="AE890" s="195"/>
      <c r="AF890" s="195"/>
      <c r="AG890" s="195"/>
      <c r="AH890" s="195"/>
      <c r="AI890" s="195"/>
      <c r="AJ890" s="195"/>
      <c r="AK890" s="195"/>
      <c r="AL890" s="195"/>
      <c r="AM890" s="1"/>
      <c r="AN890" s="240"/>
      <c r="AO890" s="240"/>
      <c r="AP890" s="240"/>
      <c r="AQ890" s="730"/>
      <c r="AR890" s="730"/>
      <c r="AS890" s="730"/>
      <c r="AT890" s="738"/>
      <c r="AU890" s="738"/>
      <c r="AV890" s="240"/>
      <c r="AW890" s="240"/>
      <c r="AX890" s="240"/>
      <c r="AY890" s="240"/>
      <c r="AZ890" s="240"/>
      <c r="BA890" s="240"/>
      <c r="BB890" s="672"/>
      <c r="BC890" s="731"/>
      <c r="BD890" s="731"/>
      <c r="BE890" s="731"/>
      <c r="BF890" s="672"/>
      <c r="BG890" s="732"/>
      <c r="BH890" s="240"/>
      <c r="BI890" s="240"/>
      <c r="BJ890" s="240"/>
      <c r="BK890" s="240"/>
      <c r="BL890" s="240"/>
      <c r="BM890" s="240"/>
      <c r="BN890" s="240"/>
      <c r="BO890" s="240"/>
      <c r="BP890" s="240"/>
      <c r="BQ890" s="240"/>
      <c r="BR890" s="240"/>
      <c r="BS890" s="240"/>
      <c r="BT890" s="240"/>
      <c r="BU890" s="672"/>
      <c r="BV890" s="672"/>
      <c r="BW890" s="672"/>
      <c r="BX890" s="672"/>
      <c r="BY890" s="672"/>
      <c r="BZ890" s="672"/>
      <c r="CA890" s="672"/>
      <c r="CB890" s="672"/>
      <c r="CC890" s="672"/>
      <c r="CD890" s="672"/>
      <c r="CE890" s="240"/>
      <c r="CF890" s="240"/>
      <c r="CG890" s="240"/>
      <c r="CH890" s="240"/>
      <c r="CI890" s="240"/>
      <c r="CJ890" s="728"/>
      <c r="CK890" s="728"/>
      <c r="CL890" s="195"/>
      <c r="CM890" s="195"/>
      <c r="CN890" s="195"/>
      <c r="CO890" s="195"/>
      <c r="CP890" s="195"/>
      <c r="CQ890" s="195"/>
      <c r="CR890" s="195"/>
      <c r="CS890" s="195"/>
      <c r="CT890" s="195"/>
      <c r="CU890" s="195"/>
      <c r="CV890" s="195"/>
      <c r="CW890" s="195"/>
      <c r="CX890" s="195"/>
      <c r="CY890" s="195"/>
      <c r="CZ890" s="195"/>
      <c r="DA890" s="195"/>
      <c r="DB890" s="195"/>
      <c r="DC890" s="195"/>
      <c r="DD890" s="195"/>
      <c r="DO890" s="195"/>
      <c r="DP890" s="195"/>
      <c r="DQ890" s="195"/>
      <c r="DR890" s="195"/>
      <c r="DS890" s="195"/>
      <c r="DT890" s="195"/>
      <c r="DU890" s="195"/>
      <c r="DV890" s="195"/>
      <c r="DW890" s="195"/>
      <c r="DX890" s="195"/>
      <c r="DY890" s="195"/>
      <c r="DZ890" s="195"/>
      <c r="EA890" s="195"/>
      <c r="EB890" s="195"/>
      <c r="EC890" s="195"/>
      <c r="ED890" s="195"/>
      <c r="EE890" s="195"/>
      <c r="EK890" s="195"/>
      <c r="EL890" s="240"/>
      <c r="EM890" s="240"/>
      <c r="EN890" s="195"/>
      <c r="EO890" s="240"/>
      <c r="EP890" s="195"/>
      <c r="EQ890" s="195"/>
      <c r="ER890" s="195"/>
      <c r="ES890" s="736"/>
    </row>
    <row r="891" customFormat="false" ht="12.75" hidden="false" customHeight="false" outlineLevel="0" collapsed="false">
      <c r="I891" s="735"/>
      <c r="J891" s="728"/>
      <c r="K891" s="195"/>
      <c r="L891" s="195"/>
      <c r="Q891" s="195"/>
      <c r="R891" s="195"/>
      <c r="S891" s="240"/>
      <c r="T891" s="195"/>
      <c r="U891" s="195"/>
      <c r="V891" s="195"/>
      <c r="W891" s="195"/>
      <c r="X891" s="195"/>
      <c r="Y891" s="195"/>
      <c r="Z891" s="195"/>
      <c r="AA891" s="195"/>
      <c r="AB891" s="195"/>
      <c r="AC891" s="195"/>
      <c r="AD891" s="195"/>
      <c r="AE891" s="195"/>
      <c r="AF891" s="195"/>
      <c r="AG891" s="195"/>
      <c r="AH891" s="195"/>
      <c r="AI891" s="195"/>
      <c r="AJ891" s="195"/>
      <c r="AK891" s="195"/>
      <c r="AL891" s="195"/>
      <c r="AM891" s="1"/>
      <c r="AN891" s="240"/>
      <c r="AO891" s="240"/>
      <c r="AP891" s="240"/>
      <c r="AQ891" s="730"/>
      <c r="AR891" s="730"/>
      <c r="AS891" s="730"/>
      <c r="AT891" s="738"/>
      <c r="AU891" s="738"/>
      <c r="AV891" s="240"/>
      <c r="AW891" s="240"/>
      <c r="AX891" s="240"/>
      <c r="AY891" s="240"/>
      <c r="AZ891" s="240"/>
      <c r="BA891" s="240"/>
      <c r="BB891" s="672"/>
      <c r="BC891" s="731"/>
      <c r="BD891" s="731"/>
      <c r="BE891" s="731"/>
      <c r="BF891" s="672"/>
      <c r="BG891" s="732"/>
      <c r="BH891" s="240"/>
      <c r="BI891" s="240"/>
      <c r="BJ891" s="240"/>
      <c r="BK891" s="240"/>
      <c r="BL891" s="240"/>
      <c r="BM891" s="240"/>
      <c r="BN891" s="240"/>
      <c r="BO891" s="240"/>
      <c r="BP891" s="240"/>
      <c r="BQ891" s="240"/>
      <c r="BR891" s="240"/>
      <c r="BS891" s="240"/>
      <c r="BT891" s="240"/>
      <c r="BU891" s="672"/>
      <c r="BV891" s="672"/>
      <c r="BW891" s="672"/>
      <c r="BX891" s="672"/>
      <c r="BY891" s="672"/>
      <c r="BZ891" s="672"/>
      <c r="CA891" s="672"/>
      <c r="CB891" s="672"/>
      <c r="CC891" s="672"/>
      <c r="CD891" s="672"/>
      <c r="CE891" s="240"/>
      <c r="CF891" s="240"/>
      <c r="CG891" s="240"/>
      <c r="CH891" s="240"/>
      <c r="CI891" s="240"/>
      <c r="CJ891" s="728"/>
      <c r="CK891" s="728"/>
      <c r="CL891" s="195"/>
      <c r="CM891" s="195"/>
      <c r="CN891" s="195"/>
      <c r="CO891" s="195"/>
      <c r="CP891" s="195"/>
      <c r="CQ891" s="195"/>
      <c r="CR891" s="195"/>
      <c r="CS891" s="195"/>
      <c r="CT891" s="195"/>
      <c r="CU891" s="195"/>
      <c r="CV891" s="195"/>
      <c r="CW891" s="195"/>
      <c r="CX891" s="195"/>
      <c r="CY891" s="195"/>
      <c r="CZ891" s="195"/>
      <c r="DA891" s="195"/>
      <c r="DB891" s="195"/>
      <c r="DC891" s="195"/>
      <c r="DD891" s="195"/>
      <c r="DO891" s="195"/>
      <c r="DP891" s="195"/>
      <c r="DQ891" s="195"/>
      <c r="DR891" s="195"/>
      <c r="DS891" s="195"/>
      <c r="DT891" s="195"/>
      <c r="DU891" s="195"/>
      <c r="DV891" s="195"/>
      <c r="DW891" s="195"/>
      <c r="DX891" s="195"/>
      <c r="DY891" s="195"/>
      <c r="DZ891" s="195"/>
      <c r="EA891" s="195"/>
      <c r="EB891" s="195"/>
      <c r="EC891" s="195"/>
      <c r="ED891" s="195"/>
      <c r="EE891" s="195"/>
      <c r="EK891" s="195"/>
      <c r="EL891" s="240"/>
      <c r="EM891" s="240"/>
      <c r="EN891" s="195"/>
      <c r="EO891" s="240"/>
      <c r="EP891" s="195"/>
      <c r="EQ891" s="195"/>
      <c r="ER891" s="195"/>
      <c r="ES891" s="736"/>
    </row>
    <row r="892" customFormat="false" ht="12.75" hidden="false" customHeight="false" outlineLevel="0" collapsed="false">
      <c r="I892" s="735"/>
      <c r="J892" s="728"/>
      <c r="K892" s="195"/>
      <c r="L892" s="195"/>
      <c r="Q892" s="195"/>
      <c r="R892" s="195"/>
      <c r="S892" s="240"/>
      <c r="T892" s="195"/>
      <c r="U892" s="195"/>
      <c r="V892" s="195"/>
      <c r="W892" s="195"/>
      <c r="X892" s="195"/>
      <c r="Y892" s="195"/>
      <c r="Z892" s="195"/>
      <c r="AA892" s="195"/>
      <c r="AB892" s="195"/>
      <c r="AC892" s="195"/>
      <c r="AD892" s="195"/>
      <c r="AE892" s="195"/>
      <c r="AF892" s="195"/>
      <c r="AG892" s="195"/>
      <c r="AH892" s="195"/>
      <c r="AI892" s="195"/>
      <c r="AJ892" s="195"/>
      <c r="AK892" s="195"/>
      <c r="AL892" s="195"/>
      <c r="AM892" s="1"/>
      <c r="AN892" s="240"/>
      <c r="AO892" s="240"/>
      <c r="AP892" s="240"/>
      <c r="AQ892" s="730"/>
      <c r="AR892" s="730"/>
      <c r="AS892" s="730"/>
      <c r="AT892" s="738"/>
      <c r="AU892" s="738"/>
      <c r="AV892" s="240"/>
      <c r="AW892" s="240"/>
      <c r="AX892" s="240"/>
      <c r="AY892" s="240"/>
      <c r="AZ892" s="240"/>
      <c r="BA892" s="240"/>
      <c r="BB892" s="672"/>
      <c r="BC892" s="731"/>
      <c r="BD892" s="731"/>
      <c r="BE892" s="731"/>
      <c r="BF892" s="672"/>
      <c r="BG892" s="732"/>
      <c r="BH892" s="240"/>
      <c r="BI892" s="240"/>
      <c r="BJ892" s="240"/>
      <c r="BK892" s="240"/>
      <c r="BL892" s="240"/>
      <c r="BM892" s="240"/>
      <c r="BN892" s="240"/>
      <c r="BO892" s="240"/>
      <c r="BP892" s="240"/>
      <c r="BQ892" s="240"/>
      <c r="BR892" s="240"/>
      <c r="BS892" s="240"/>
      <c r="BT892" s="240"/>
      <c r="BU892" s="672"/>
      <c r="BV892" s="672"/>
      <c r="BW892" s="672"/>
      <c r="BX892" s="672"/>
      <c r="BY892" s="672"/>
      <c r="BZ892" s="672"/>
      <c r="CA892" s="672"/>
      <c r="CB892" s="672"/>
      <c r="CC892" s="672"/>
      <c r="CD892" s="672"/>
      <c r="CE892" s="240"/>
      <c r="CF892" s="240"/>
      <c r="CG892" s="240"/>
      <c r="CH892" s="240"/>
      <c r="CI892" s="240"/>
      <c r="CJ892" s="728"/>
      <c r="CK892" s="728"/>
      <c r="CL892" s="195"/>
      <c r="CM892" s="195"/>
      <c r="CN892" s="195"/>
      <c r="CO892" s="195"/>
      <c r="CP892" s="195"/>
      <c r="CQ892" s="195"/>
      <c r="CR892" s="195"/>
      <c r="CS892" s="195"/>
      <c r="CT892" s="195"/>
      <c r="CU892" s="195"/>
      <c r="CV892" s="195"/>
      <c r="CW892" s="195"/>
      <c r="CX892" s="195"/>
      <c r="CY892" s="195"/>
      <c r="CZ892" s="195"/>
      <c r="DA892" s="195"/>
      <c r="DB892" s="195"/>
      <c r="DC892" s="195"/>
      <c r="DD892" s="195"/>
      <c r="DO892" s="195"/>
      <c r="DP892" s="195"/>
      <c r="DQ892" s="195"/>
      <c r="DR892" s="195"/>
      <c r="DS892" s="195"/>
      <c r="DT892" s="195"/>
      <c r="DU892" s="195"/>
      <c r="DV892" s="195"/>
      <c r="DW892" s="195"/>
      <c r="DX892" s="195"/>
      <c r="DY892" s="195"/>
      <c r="DZ892" s="195"/>
      <c r="EA892" s="195"/>
      <c r="EB892" s="195"/>
      <c r="EC892" s="195"/>
      <c r="ED892" s="195"/>
      <c r="EE892" s="195"/>
      <c r="EK892" s="195"/>
      <c r="EL892" s="240"/>
      <c r="EM892" s="240"/>
      <c r="EN892" s="195"/>
      <c r="EO892" s="240"/>
      <c r="EP892" s="195"/>
      <c r="EQ892" s="195"/>
      <c r="ER892" s="195"/>
      <c r="ES892" s="736"/>
    </row>
    <row r="893" customFormat="false" ht="12.75" hidden="false" customHeight="false" outlineLevel="0" collapsed="false">
      <c r="I893" s="735"/>
      <c r="J893" s="728"/>
      <c r="K893" s="195"/>
      <c r="L893" s="195"/>
      <c r="Q893" s="195"/>
      <c r="R893" s="195"/>
      <c r="S893" s="240"/>
      <c r="T893" s="195"/>
      <c r="U893" s="195"/>
      <c r="V893" s="195"/>
      <c r="W893" s="195"/>
      <c r="X893" s="195"/>
      <c r="Y893" s="195"/>
      <c r="Z893" s="195"/>
      <c r="AA893" s="195"/>
      <c r="AB893" s="195"/>
      <c r="AC893" s="195"/>
      <c r="AD893" s="195"/>
      <c r="AE893" s="195"/>
      <c r="AF893" s="195"/>
      <c r="AG893" s="195"/>
      <c r="AH893" s="195"/>
      <c r="AI893" s="195"/>
      <c r="AJ893" s="195"/>
      <c r="AK893" s="195"/>
      <c r="AL893" s="195"/>
      <c r="AM893" s="1"/>
      <c r="AN893" s="240"/>
      <c r="AO893" s="240"/>
      <c r="AP893" s="240"/>
      <c r="AQ893" s="730"/>
      <c r="AR893" s="730"/>
      <c r="AS893" s="730"/>
      <c r="AT893" s="738"/>
      <c r="AU893" s="738"/>
      <c r="AV893" s="240"/>
      <c r="AW893" s="240"/>
      <c r="AX893" s="240"/>
      <c r="AY893" s="240"/>
      <c r="AZ893" s="240"/>
      <c r="BA893" s="240"/>
      <c r="BB893" s="672"/>
      <c r="BC893" s="731"/>
      <c r="BD893" s="731"/>
      <c r="BE893" s="731"/>
      <c r="BF893" s="672"/>
      <c r="BG893" s="732"/>
      <c r="BH893" s="240"/>
      <c r="BI893" s="240"/>
      <c r="BJ893" s="240"/>
      <c r="BK893" s="240"/>
      <c r="BL893" s="240"/>
      <c r="BM893" s="240"/>
      <c r="BN893" s="240"/>
      <c r="BO893" s="240"/>
      <c r="BP893" s="240"/>
      <c r="BQ893" s="240"/>
      <c r="BR893" s="240"/>
      <c r="BS893" s="240"/>
      <c r="BT893" s="240"/>
      <c r="BU893" s="672"/>
      <c r="BV893" s="672"/>
      <c r="BW893" s="672"/>
      <c r="BX893" s="672"/>
      <c r="BY893" s="672"/>
      <c r="BZ893" s="672"/>
      <c r="CA893" s="672"/>
      <c r="CB893" s="672"/>
      <c r="CC893" s="672"/>
      <c r="CD893" s="672"/>
      <c r="CE893" s="240"/>
      <c r="CF893" s="240"/>
      <c r="CG893" s="240"/>
      <c r="CH893" s="240"/>
      <c r="CI893" s="240"/>
      <c r="CJ893" s="728"/>
      <c r="CK893" s="728"/>
      <c r="CL893" s="195"/>
      <c r="CM893" s="195"/>
      <c r="CN893" s="195"/>
      <c r="CO893" s="195"/>
      <c r="CP893" s="195"/>
      <c r="CQ893" s="195"/>
      <c r="CR893" s="195"/>
      <c r="CS893" s="195"/>
      <c r="CT893" s="195"/>
      <c r="CU893" s="195"/>
      <c r="CV893" s="195"/>
      <c r="CW893" s="195"/>
      <c r="CX893" s="195"/>
      <c r="CY893" s="195"/>
      <c r="CZ893" s="195"/>
      <c r="DA893" s="195"/>
      <c r="DB893" s="195"/>
      <c r="DC893" s="195"/>
      <c r="DD893" s="195"/>
      <c r="DO893" s="195"/>
      <c r="DP893" s="195"/>
      <c r="DQ893" s="195"/>
      <c r="DR893" s="195"/>
      <c r="DS893" s="195"/>
      <c r="DT893" s="195"/>
      <c r="DU893" s="195"/>
      <c r="DV893" s="195"/>
      <c r="DW893" s="195"/>
      <c r="DX893" s="195"/>
      <c r="DY893" s="195"/>
      <c r="DZ893" s="195"/>
      <c r="EA893" s="195"/>
      <c r="EB893" s="195"/>
      <c r="EC893" s="195"/>
      <c r="ED893" s="195"/>
      <c r="EE893" s="195"/>
      <c r="EK893" s="195"/>
      <c r="EL893" s="240"/>
      <c r="EM893" s="240"/>
      <c r="EN893" s="195"/>
      <c r="EO893" s="240"/>
      <c r="EP893" s="195"/>
      <c r="EQ893" s="195"/>
      <c r="ER893" s="195"/>
      <c r="ES893" s="736"/>
    </row>
    <row r="894" customFormat="false" ht="12.75" hidden="false" customHeight="false" outlineLevel="0" collapsed="false">
      <c r="I894" s="735"/>
      <c r="J894" s="728"/>
      <c r="K894" s="195"/>
      <c r="L894" s="195"/>
      <c r="Q894" s="195"/>
      <c r="R894" s="195"/>
      <c r="S894" s="240"/>
      <c r="T894" s="195"/>
      <c r="U894" s="195"/>
      <c r="V894" s="195"/>
      <c r="W894" s="195"/>
      <c r="X894" s="195"/>
      <c r="Y894" s="195"/>
      <c r="Z894" s="195"/>
      <c r="AA894" s="195"/>
      <c r="AB894" s="195"/>
      <c r="AC894" s="195"/>
      <c r="AD894" s="195"/>
      <c r="AE894" s="195"/>
      <c r="AF894" s="195"/>
      <c r="AG894" s="195"/>
      <c r="AH894" s="195"/>
      <c r="AI894" s="195"/>
      <c r="AJ894" s="195"/>
      <c r="AK894" s="195"/>
      <c r="AL894" s="195"/>
      <c r="AM894" s="1"/>
      <c r="AN894" s="240"/>
      <c r="AO894" s="240"/>
      <c r="AP894" s="240"/>
      <c r="AQ894" s="730"/>
      <c r="AR894" s="730"/>
      <c r="AS894" s="730"/>
      <c r="AT894" s="738"/>
      <c r="AU894" s="738"/>
      <c r="AV894" s="240"/>
      <c r="AW894" s="240"/>
      <c r="AX894" s="240"/>
      <c r="AY894" s="240"/>
      <c r="AZ894" s="240"/>
      <c r="BA894" s="240"/>
      <c r="BB894" s="672"/>
      <c r="BC894" s="731"/>
      <c r="BD894" s="731"/>
      <c r="BE894" s="731"/>
      <c r="BF894" s="672"/>
      <c r="BG894" s="732"/>
      <c r="BH894" s="240"/>
      <c r="BI894" s="240"/>
      <c r="BJ894" s="240"/>
      <c r="BK894" s="240"/>
      <c r="BL894" s="240"/>
      <c r="BM894" s="240"/>
      <c r="BN894" s="240"/>
      <c r="BO894" s="240"/>
      <c r="BP894" s="240"/>
      <c r="BQ894" s="240"/>
      <c r="BR894" s="240"/>
      <c r="BS894" s="240"/>
      <c r="BT894" s="240"/>
      <c r="BU894" s="672"/>
      <c r="BV894" s="672"/>
      <c r="BW894" s="672"/>
      <c r="BX894" s="672"/>
      <c r="BY894" s="672"/>
      <c r="BZ894" s="672"/>
      <c r="CA894" s="672"/>
      <c r="CB894" s="672"/>
      <c r="CC894" s="672"/>
      <c r="CD894" s="672"/>
      <c r="CE894" s="240"/>
      <c r="CF894" s="240"/>
      <c r="CG894" s="240"/>
      <c r="CH894" s="240"/>
      <c r="CI894" s="240"/>
      <c r="CJ894" s="728"/>
      <c r="CK894" s="728"/>
      <c r="CL894" s="195"/>
      <c r="CM894" s="195"/>
      <c r="CN894" s="195"/>
      <c r="CO894" s="195"/>
      <c r="CP894" s="195"/>
      <c r="CQ894" s="195"/>
      <c r="CR894" s="195"/>
      <c r="CS894" s="195"/>
      <c r="CT894" s="195"/>
      <c r="CU894" s="195"/>
      <c r="CV894" s="195"/>
      <c r="CW894" s="195"/>
      <c r="CX894" s="195"/>
      <c r="CY894" s="195"/>
      <c r="CZ894" s="195"/>
      <c r="DA894" s="195"/>
      <c r="DB894" s="195"/>
      <c r="DC894" s="195"/>
      <c r="DD894" s="195"/>
      <c r="DO894" s="195"/>
      <c r="DP894" s="195"/>
      <c r="DQ894" s="195"/>
      <c r="DR894" s="195"/>
      <c r="DS894" s="195"/>
      <c r="DT894" s="195"/>
      <c r="DU894" s="195"/>
      <c r="DV894" s="195"/>
      <c r="DW894" s="195"/>
      <c r="DX894" s="195"/>
      <c r="DY894" s="195"/>
      <c r="DZ894" s="195"/>
      <c r="EA894" s="195"/>
      <c r="EB894" s="195"/>
      <c r="EC894" s="195"/>
      <c r="ED894" s="195"/>
      <c r="EE894" s="195"/>
      <c r="EK894" s="195"/>
      <c r="EL894" s="240"/>
      <c r="EM894" s="240"/>
      <c r="EN894" s="195"/>
      <c r="EO894" s="240"/>
      <c r="EP894" s="195"/>
      <c r="EQ894" s="195"/>
      <c r="ER894" s="195"/>
      <c r="ES894" s="736"/>
    </row>
    <row r="895" customFormat="false" ht="12.75" hidden="false" customHeight="false" outlineLevel="0" collapsed="false">
      <c r="I895" s="735"/>
      <c r="J895" s="728"/>
      <c r="K895" s="195"/>
      <c r="L895" s="195"/>
      <c r="Q895" s="195"/>
      <c r="R895" s="195"/>
      <c r="S895" s="240"/>
      <c r="T895" s="195"/>
      <c r="U895" s="195"/>
      <c r="V895" s="195"/>
      <c r="W895" s="195"/>
      <c r="X895" s="195"/>
      <c r="Y895" s="195"/>
      <c r="Z895" s="195"/>
      <c r="AA895" s="195"/>
      <c r="AB895" s="195"/>
      <c r="AC895" s="195"/>
      <c r="AD895" s="195"/>
      <c r="AE895" s="195"/>
      <c r="AF895" s="195"/>
      <c r="AG895" s="195"/>
      <c r="AH895" s="195"/>
      <c r="AI895" s="195"/>
      <c r="AJ895" s="195"/>
      <c r="AK895" s="195"/>
      <c r="AL895" s="195"/>
      <c r="AM895" s="1"/>
      <c r="AN895" s="240"/>
      <c r="AO895" s="240"/>
      <c r="AP895" s="240"/>
      <c r="AQ895" s="730"/>
      <c r="AR895" s="730"/>
      <c r="AS895" s="730"/>
      <c r="AT895" s="738"/>
      <c r="AU895" s="738"/>
      <c r="AV895" s="240"/>
      <c r="AW895" s="240"/>
      <c r="AX895" s="240"/>
      <c r="AY895" s="240"/>
      <c r="AZ895" s="240"/>
      <c r="BA895" s="240"/>
      <c r="BB895" s="672"/>
      <c r="BC895" s="731"/>
      <c r="BD895" s="731"/>
      <c r="BE895" s="731"/>
      <c r="BF895" s="672"/>
      <c r="BG895" s="732"/>
      <c r="BH895" s="240"/>
      <c r="BI895" s="240"/>
      <c r="BJ895" s="240"/>
      <c r="BK895" s="240"/>
      <c r="BL895" s="240"/>
      <c r="BM895" s="240"/>
      <c r="BN895" s="240"/>
      <c r="BO895" s="240"/>
      <c r="BP895" s="240"/>
      <c r="BQ895" s="240"/>
      <c r="BR895" s="240"/>
      <c r="BS895" s="240"/>
      <c r="BT895" s="240"/>
      <c r="BU895" s="672"/>
      <c r="BV895" s="672"/>
      <c r="BW895" s="672"/>
      <c r="BX895" s="672"/>
      <c r="BY895" s="672"/>
      <c r="BZ895" s="672"/>
      <c r="CA895" s="672"/>
      <c r="CB895" s="672"/>
      <c r="CC895" s="672"/>
      <c r="CD895" s="672"/>
      <c r="CE895" s="240"/>
      <c r="CF895" s="240"/>
      <c r="CG895" s="240"/>
      <c r="CH895" s="240"/>
      <c r="CI895" s="240"/>
      <c r="CJ895" s="728"/>
      <c r="CK895" s="728"/>
      <c r="CL895" s="195"/>
      <c r="CM895" s="195"/>
      <c r="CN895" s="195"/>
      <c r="CO895" s="195"/>
      <c r="CP895" s="195"/>
      <c r="CQ895" s="195"/>
      <c r="CR895" s="195"/>
      <c r="CS895" s="195"/>
      <c r="CT895" s="195"/>
      <c r="CU895" s="195"/>
      <c r="CV895" s="195"/>
      <c r="CW895" s="195"/>
      <c r="CX895" s="195"/>
      <c r="CY895" s="195"/>
      <c r="CZ895" s="195"/>
      <c r="DA895" s="195"/>
      <c r="DB895" s="195"/>
      <c r="DC895" s="195"/>
      <c r="DD895" s="195"/>
      <c r="DO895" s="195"/>
      <c r="DP895" s="195"/>
      <c r="DQ895" s="195"/>
      <c r="DR895" s="195"/>
      <c r="DS895" s="195"/>
      <c r="DT895" s="195"/>
      <c r="DU895" s="195"/>
      <c r="DV895" s="195"/>
      <c r="DW895" s="195"/>
      <c r="DX895" s="195"/>
      <c r="DY895" s="195"/>
      <c r="DZ895" s="195"/>
      <c r="EA895" s="195"/>
      <c r="EB895" s="195"/>
      <c r="EC895" s="195"/>
      <c r="ED895" s="195"/>
      <c r="EE895" s="195"/>
      <c r="EK895" s="195"/>
      <c r="EL895" s="240"/>
      <c r="EM895" s="240"/>
      <c r="EN895" s="195"/>
      <c r="EO895" s="240"/>
      <c r="EP895" s="195"/>
      <c r="EQ895" s="195"/>
      <c r="ER895" s="195"/>
      <c r="ES895" s="736"/>
    </row>
    <row r="896" customFormat="false" ht="12.75" hidden="false" customHeight="false" outlineLevel="0" collapsed="false">
      <c r="I896" s="735"/>
      <c r="J896" s="728"/>
      <c r="K896" s="195"/>
      <c r="L896" s="195"/>
      <c r="Q896" s="195"/>
      <c r="R896" s="195"/>
      <c r="S896" s="240"/>
      <c r="T896" s="195"/>
      <c r="U896" s="195"/>
      <c r="V896" s="195"/>
      <c r="W896" s="195"/>
      <c r="X896" s="195"/>
      <c r="Y896" s="195"/>
      <c r="Z896" s="195"/>
      <c r="AA896" s="195"/>
      <c r="AB896" s="195"/>
      <c r="AC896" s="195"/>
      <c r="AD896" s="195"/>
      <c r="AE896" s="195"/>
      <c r="AF896" s="195"/>
      <c r="AG896" s="195"/>
      <c r="AH896" s="195"/>
      <c r="AI896" s="195"/>
      <c r="AJ896" s="195"/>
      <c r="AK896" s="195"/>
      <c r="AL896" s="195"/>
      <c r="AM896" s="1"/>
      <c r="AN896" s="240"/>
      <c r="AO896" s="240"/>
      <c r="AP896" s="240"/>
      <c r="AQ896" s="730"/>
      <c r="AR896" s="730"/>
      <c r="AS896" s="730"/>
      <c r="AT896" s="738"/>
      <c r="AU896" s="738"/>
      <c r="AV896" s="240"/>
      <c r="AW896" s="240"/>
      <c r="AX896" s="240"/>
      <c r="AY896" s="240"/>
      <c r="AZ896" s="240"/>
      <c r="BA896" s="240"/>
      <c r="BB896" s="672"/>
      <c r="BC896" s="731"/>
      <c r="BD896" s="731"/>
      <c r="BE896" s="731"/>
      <c r="BF896" s="672"/>
      <c r="BG896" s="732"/>
      <c r="BH896" s="240"/>
      <c r="BI896" s="240"/>
      <c r="BJ896" s="240"/>
      <c r="BK896" s="240"/>
      <c r="BL896" s="240"/>
      <c r="BM896" s="240"/>
      <c r="BN896" s="240"/>
      <c r="BO896" s="240"/>
      <c r="BP896" s="240"/>
      <c r="BQ896" s="240"/>
      <c r="BR896" s="240"/>
      <c r="BS896" s="240"/>
      <c r="BT896" s="240"/>
      <c r="BU896" s="672"/>
      <c r="BV896" s="672"/>
      <c r="BW896" s="672"/>
      <c r="BX896" s="672"/>
      <c r="BY896" s="672"/>
      <c r="BZ896" s="672"/>
      <c r="CA896" s="672"/>
      <c r="CB896" s="672"/>
      <c r="CC896" s="672"/>
      <c r="CD896" s="672"/>
      <c r="CE896" s="240"/>
      <c r="CF896" s="240"/>
      <c r="CG896" s="240"/>
      <c r="CH896" s="240"/>
      <c r="CI896" s="240"/>
      <c r="CJ896" s="728"/>
      <c r="CK896" s="728"/>
      <c r="CL896" s="195"/>
      <c r="CM896" s="195"/>
      <c r="CN896" s="195"/>
      <c r="CO896" s="195"/>
      <c r="CP896" s="195"/>
      <c r="CQ896" s="195"/>
      <c r="CR896" s="195"/>
      <c r="CS896" s="195"/>
      <c r="CT896" s="195"/>
      <c r="CU896" s="195"/>
      <c r="CV896" s="195"/>
      <c r="CW896" s="195"/>
      <c r="CX896" s="195"/>
      <c r="CY896" s="195"/>
      <c r="CZ896" s="195"/>
      <c r="DA896" s="195"/>
      <c r="DB896" s="195"/>
      <c r="DC896" s="195"/>
      <c r="DD896" s="195"/>
      <c r="DO896" s="195"/>
      <c r="DP896" s="195"/>
      <c r="DQ896" s="195"/>
      <c r="DR896" s="195"/>
      <c r="DS896" s="195"/>
      <c r="DT896" s="195"/>
      <c r="DU896" s="195"/>
      <c r="DV896" s="195"/>
      <c r="DW896" s="195"/>
      <c r="DX896" s="195"/>
      <c r="DY896" s="195"/>
      <c r="DZ896" s="195"/>
      <c r="EA896" s="195"/>
      <c r="EB896" s="195"/>
      <c r="EC896" s="195"/>
      <c r="ED896" s="195"/>
      <c r="EE896" s="195"/>
      <c r="EK896" s="195"/>
      <c r="EL896" s="240"/>
      <c r="EM896" s="240"/>
      <c r="EN896" s="195"/>
      <c r="EO896" s="240"/>
      <c r="EP896" s="195"/>
      <c r="EQ896" s="195"/>
      <c r="ER896" s="195"/>
      <c r="ES896" s="736"/>
    </row>
    <row r="897" customFormat="false" ht="12.75" hidden="false" customHeight="false" outlineLevel="0" collapsed="false">
      <c r="I897" s="735"/>
      <c r="J897" s="728"/>
      <c r="K897" s="195"/>
      <c r="L897" s="195"/>
      <c r="Q897" s="195"/>
      <c r="R897" s="195"/>
      <c r="S897" s="240"/>
      <c r="T897" s="195"/>
      <c r="U897" s="195"/>
      <c r="V897" s="195"/>
      <c r="W897" s="195"/>
      <c r="X897" s="195"/>
      <c r="Y897" s="195"/>
      <c r="Z897" s="195"/>
      <c r="AA897" s="195"/>
      <c r="AB897" s="195"/>
      <c r="AC897" s="195"/>
      <c r="AD897" s="195"/>
      <c r="AE897" s="195"/>
      <c r="AF897" s="195"/>
      <c r="AG897" s="195"/>
      <c r="AH897" s="195"/>
      <c r="AI897" s="195"/>
      <c r="AJ897" s="195"/>
      <c r="AK897" s="195"/>
      <c r="AL897" s="195"/>
      <c r="AM897" s="1"/>
      <c r="AN897" s="240"/>
      <c r="AO897" s="240"/>
      <c r="AP897" s="240"/>
      <c r="AQ897" s="730"/>
      <c r="AR897" s="730"/>
      <c r="AS897" s="730"/>
      <c r="AT897" s="738"/>
      <c r="AU897" s="738"/>
      <c r="AV897" s="240"/>
      <c r="AW897" s="240"/>
      <c r="AX897" s="240"/>
      <c r="AY897" s="240"/>
      <c r="AZ897" s="240"/>
      <c r="BA897" s="240"/>
      <c r="BB897" s="672"/>
      <c r="BC897" s="731"/>
      <c r="BD897" s="731"/>
      <c r="BE897" s="731"/>
      <c r="BF897" s="672"/>
      <c r="BG897" s="732"/>
      <c r="BH897" s="240"/>
      <c r="BI897" s="240"/>
      <c r="BJ897" s="240"/>
      <c r="BK897" s="240"/>
      <c r="BL897" s="240"/>
      <c r="BM897" s="240"/>
      <c r="BN897" s="240"/>
      <c r="BO897" s="240"/>
      <c r="BP897" s="240"/>
      <c r="BQ897" s="240"/>
      <c r="BR897" s="240"/>
      <c r="BS897" s="240"/>
      <c r="BT897" s="240"/>
      <c r="BU897" s="672"/>
      <c r="BV897" s="672"/>
      <c r="BW897" s="672"/>
      <c r="BX897" s="672"/>
      <c r="BY897" s="672"/>
      <c r="BZ897" s="672"/>
      <c r="CA897" s="672"/>
      <c r="CB897" s="672"/>
      <c r="CC897" s="672"/>
      <c r="CD897" s="672"/>
      <c r="CE897" s="240"/>
      <c r="CF897" s="240"/>
      <c r="CG897" s="240"/>
      <c r="CH897" s="240"/>
      <c r="CI897" s="240"/>
      <c r="CJ897" s="728"/>
      <c r="CK897" s="728"/>
      <c r="CL897" s="195"/>
      <c r="CM897" s="195"/>
      <c r="CN897" s="195"/>
      <c r="CO897" s="195"/>
      <c r="CP897" s="195"/>
      <c r="CQ897" s="195"/>
      <c r="CR897" s="195"/>
      <c r="CS897" s="195"/>
      <c r="CT897" s="195"/>
      <c r="CU897" s="195"/>
      <c r="CV897" s="195"/>
      <c r="CW897" s="195"/>
      <c r="CX897" s="195"/>
      <c r="CY897" s="195"/>
      <c r="CZ897" s="195"/>
      <c r="DA897" s="195"/>
      <c r="DB897" s="195"/>
      <c r="DC897" s="195"/>
      <c r="DD897" s="195"/>
      <c r="DO897" s="195"/>
      <c r="DP897" s="195"/>
      <c r="DQ897" s="195"/>
      <c r="DR897" s="195"/>
      <c r="DS897" s="195"/>
      <c r="DT897" s="195"/>
      <c r="DU897" s="195"/>
      <c r="DV897" s="195"/>
      <c r="DW897" s="195"/>
      <c r="DX897" s="195"/>
      <c r="DY897" s="195"/>
      <c r="DZ897" s="195"/>
      <c r="EA897" s="195"/>
      <c r="EB897" s="195"/>
      <c r="EC897" s="195"/>
      <c r="ED897" s="195"/>
      <c r="EE897" s="195"/>
      <c r="EK897" s="195"/>
      <c r="EL897" s="240"/>
      <c r="EM897" s="240"/>
      <c r="EN897" s="195"/>
      <c r="EO897" s="240"/>
      <c r="EP897" s="195"/>
      <c r="EQ897" s="195"/>
      <c r="ER897" s="195"/>
      <c r="ES897" s="736"/>
    </row>
    <row r="898" customFormat="false" ht="12.75" hidden="false" customHeight="false" outlineLevel="0" collapsed="false">
      <c r="I898" s="735"/>
      <c r="J898" s="728"/>
      <c r="K898" s="195"/>
      <c r="L898" s="195"/>
      <c r="Q898" s="195"/>
      <c r="R898" s="195"/>
      <c r="S898" s="240"/>
      <c r="T898" s="195"/>
      <c r="U898" s="195"/>
      <c r="V898" s="195"/>
      <c r="W898" s="195"/>
      <c r="X898" s="195"/>
      <c r="Y898" s="195"/>
      <c r="Z898" s="195"/>
      <c r="AA898" s="195"/>
      <c r="AB898" s="195"/>
      <c r="AC898" s="195"/>
      <c r="AD898" s="195"/>
      <c r="AE898" s="195"/>
      <c r="AF898" s="195"/>
      <c r="AG898" s="195"/>
      <c r="AH898" s="195"/>
      <c r="AI898" s="195"/>
      <c r="AJ898" s="195"/>
      <c r="AK898" s="195"/>
      <c r="AL898" s="195"/>
      <c r="AM898" s="1"/>
      <c r="AN898" s="240"/>
      <c r="AO898" s="240"/>
      <c r="AP898" s="240"/>
      <c r="AQ898" s="730"/>
      <c r="AR898" s="730"/>
      <c r="AS898" s="730"/>
      <c r="AT898" s="738"/>
      <c r="AU898" s="738"/>
      <c r="AV898" s="240"/>
      <c r="AW898" s="240"/>
      <c r="AX898" s="240"/>
      <c r="AY898" s="240"/>
      <c r="AZ898" s="240"/>
      <c r="BA898" s="240"/>
      <c r="BB898" s="672"/>
      <c r="BC898" s="731"/>
      <c r="BD898" s="731"/>
      <c r="BE898" s="731"/>
      <c r="BF898" s="672"/>
      <c r="BG898" s="732"/>
      <c r="BH898" s="240"/>
      <c r="BI898" s="240"/>
      <c r="BJ898" s="240"/>
      <c r="BK898" s="240"/>
      <c r="BL898" s="240"/>
      <c r="BM898" s="240"/>
      <c r="BN898" s="240"/>
      <c r="BO898" s="240"/>
      <c r="BP898" s="240"/>
      <c r="BQ898" s="240"/>
      <c r="BR898" s="240"/>
      <c r="BS898" s="240"/>
      <c r="BT898" s="240"/>
      <c r="BU898" s="672"/>
      <c r="BV898" s="672"/>
      <c r="BW898" s="672"/>
      <c r="BX898" s="672"/>
      <c r="BY898" s="672"/>
      <c r="BZ898" s="672"/>
      <c r="CA898" s="672"/>
      <c r="CB898" s="672"/>
      <c r="CC898" s="672"/>
      <c r="CD898" s="672"/>
      <c r="CE898" s="240"/>
      <c r="CF898" s="240"/>
      <c r="CG898" s="240"/>
      <c r="CH898" s="240"/>
      <c r="CI898" s="240"/>
      <c r="CJ898" s="728"/>
      <c r="CK898" s="728"/>
      <c r="CL898" s="195"/>
      <c r="CM898" s="195"/>
      <c r="CN898" s="195"/>
      <c r="CO898" s="195"/>
      <c r="CP898" s="195"/>
      <c r="CQ898" s="195"/>
      <c r="CR898" s="195"/>
      <c r="CS898" s="195"/>
      <c r="CT898" s="195"/>
      <c r="CU898" s="195"/>
      <c r="CV898" s="195"/>
      <c r="CW898" s="195"/>
      <c r="CX898" s="195"/>
      <c r="CY898" s="195"/>
      <c r="CZ898" s="195"/>
      <c r="DA898" s="195"/>
      <c r="DB898" s="195"/>
      <c r="DC898" s="195"/>
      <c r="DD898" s="195"/>
      <c r="DO898" s="195"/>
      <c r="DP898" s="195"/>
      <c r="DQ898" s="195"/>
      <c r="DR898" s="195"/>
      <c r="DS898" s="195"/>
      <c r="DT898" s="195"/>
      <c r="DU898" s="195"/>
      <c r="DV898" s="195"/>
      <c r="DW898" s="195"/>
      <c r="DX898" s="195"/>
      <c r="DY898" s="195"/>
      <c r="DZ898" s="195"/>
      <c r="EA898" s="195"/>
      <c r="EB898" s="195"/>
      <c r="EC898" s="195"/>
      <c r="ED898" s="195"/>
      <c r="EE898" s="195"/>
      <c r="EK898" s="195"/>
      <c r="EL898" s="240"/>
      <c r="EM898" s="240"/>
      <c r="EN898" s="195"/>
      <c r="EO898" s="240"/>
      <c r="EP898" s="195"/>
      <c r="EQ898" s="195"/>
      <c r="ER898" s="195"/>
      <c r="ES898" s="736"/>
    </row>
    <row r="899" customFormat="false" ht="12.75" hidden="false" customHeight="false" outlineLevel="0" collapsed="false">
      <c r="I899" s="735"/>
      <c r="J899" s="728"/>
      <c r="K899" s="195"/>
      <c r="L899" s="195"/>
      <c r="Q899" s="195"/>
      <c r="R899" s="195"/>
      <c r="S899" s="240"/>
      <c r="T899" s="195"/>
      <c r="U899" s="195"/>
      <c r="V899" s="195"/>
      <c r="W899" s="195"/>
      <c r="X899" s="195"/>
      <c r="Y899" s="195"/>
      <c r="Z899" s="195"/>
      <c r="AA899" s="195"/>
      <c r="AB899" s="195"/>
      <c r="AC899" s="195"/>
      <c r="AD899" s="195"/>
      <c r="AE899" s="195"/>
      <c r="AF899" s="195"/>
      <c r="AG899" s="195"/>
      <c r="AH899" s="195"/>
      <c r="AI899" s="195"/>
      <c r="AJ899" s="195"/>
      <c r="AK899" s="195"/>
      <c r="AL899" s="195"/>
      <c r="AM899" s="1"/>
      <c r="AN899" s="240"/>
      <c r="AO899" s="240"/>
      <c r="AP899" s="240"/>
      <c r="AQ899" s="730"/>
      <c r="AR899" s="730"/>
      <c r="AS899" s="730"/>
      <c r="AT899" s="738"/>
      <c r="AU899" s="738"/>
      <c r="AV899" s="240"/>
      <c r="AW899" s="240"/>
      <c r="AX899" s="240"/>
      <c r="AY899" s="240"/>
      <c r="AZ899" s="240"/>
      <c r="BA899" s="240"/>
      <c r="BB899" s="672"/>
      <c r="BC899" s="731"/>
      <c r="BD899" s="731"/>
      <c r="BE899" s="731"/>
      <c r="BF899" s="672"/>
      <c r="BG899" s="732"/>
      <c r="BH899" s="240"/>
      <c r="BI899" s="240"/>
      <c r="BJ899" s="240"/>
      <c r="BK899" s="240"/>
      <c r="BL899" s="240"/>
      <c r="BM899" s="240"/>
      <c r="BN899" s="240"/>
      <c r="BO899" s="240"/>
      <c r="BP899" s="240"/>
      <c r="BQ899" s="240"/>
      <c r="BR899" s="240"/>
      <c r="BS899" s="240"/>
      <c r="BT899" s="240"/>
      <c r="BU899" s="672"/>
      <c r="BV899" s="672"/>
      <c r="BW899" s="672"/>
      <c r="BX899" s="672"/>
      <c r="BY899" s="672"/>
      <c r="BZ899" s="672"/>
      <c r="CA899" s="672"/>
      <c r="CB899" s="672"/>
      <c r="CC899" s="672"/>
      <c r="CD899" s="672"/>
      <c r="CE899" s="240"/>
      <c r="CF899" s="240"/>
      <c r="CG899" s="240"/>
      <c r="CH899" s="240"/>
      <c r="CI899" s="240"/>
      <c r="CJ899" s="728"/>
      <c r="CK899" s="728"/>
      <c r="CL899" s="195"/>
      <c r="CM899" s="195"/>
      <c r="CN899" s="195"/>
      <c r="CO899" s="195"/>
      <c r="CP899" s="195"/>
      <c r="CQ899" s="195"/>
      <c r="CR899" s="195"/>
      <c r="CS899" s="195"/>
      <c r="CT899" s="195"/>
      <c r="CU899" s="195"/>
      <c r="CV899" s="195"/>
      <c r="CW899" s="195"/>
      <c r="CX899" s="195"/>
      <c r="CY899" s="195"/>
      <c r="CZ899" s="195"/>
      <c r="DA899" s="195"/>
      <c r="DB899" s="195"/>
      <c r="DC899" s="195"/>
      <c r="DD899" s="195"/>
      <c r="DO899" s="195"/>
      <c r="DP899" s="195"/>
      <c r="DQ899" s="195"/>
      <c r="DR899" s="195"/>
      <c r="DS899" s="195"/>
      <c r="DT899" s="195"/>
      <c r="DU899" s="195"/>
      <c r="DV899" s="195"/>
      <c r="DW899" s="195"/>
      <c r="DX899" s="195"/>
      <c r="DY899" s="195"/>
      <c r="DZ899" s="195"/>
      <c r="EA899" s="195"/>
      <c r="EB899" s="195"/>
      <c r="EC899" s="195"/>
      <c r="ED899" s="195"/>
      <c r="EE899" s="195"/>
      <c r="EK899" s="195"/>
      <c r="EL899" s="240"/>
      <c r="EM899" s="240"/>
      <c r="EN899" s="195"/>
      <c r="EO899" s="240"/>
      <c r="EP899" s="195"/>
      <c r="EQ899" s="195"/>
      <c r="ER899" s="195"/>
      <c r="ES899" s="736"/>
    </row>
    <row r="900" customFormat="false" ht="12.75" hidden="false" customHeight="false" outlineLevel="0" collapsed="false">
      <c r="I900" s="735"/>
      <c r="J900" s="728"/>
      <c r="K900" s="195"/>
      <c r="L900" s="195"/>
      <c r="Q900" s="195"/>
      <c r="R900" s="195"/>
      <c r="S900" s="240"/>
      <c r="T900" s="195"/>
      <c r="U900" s="195"/>
      <c r="V900" s="195"/>
      <c r="W900" s="195"/>
      <c r="X900" s="195"/>
      <c r="Y900" s="195"/>
      <c r="Z900" s="195"/>
      <c r="AA900" s="195"/>
      <c r="AB900" s="195"/>
      <c r="AC900" s="195"/>
      <c r="AD900" s="195"/>
      <c r="AE900" s="195"/>
      <c r="AF900" s="195"/>
      <c r="AG900" s="195"/>
      <c r="AH900" s="195"/>
      <c r="AI900" s="195"/>
      <c r="AJ900" s="195"/>
      <c r="AK900" s="195"/>
      <c r="AL900" s="195"/>
      <c r="AM900" s="1"/>
      <c r="AN900" s="240"/>
      <c r="AO900" s="240"/>
      <c r="AP900" s="240"/>
      <c r="AQ900" s="730"/>
      <c r="AR900" s="730"/>
      <c r="AS900" s="730"/>
      <c r="AT900" s="738"/>
      <c r="AU900" s="738"/>
      <c r="AV900" s="240"/>
      <c r="AW900" s="240"/>
      <c r="AX900" s="240"/>
      <c r="AY900" s="240"/>
      <c r="AZ900" s="240"/>
      <c r="BA900" s="240"/>
      <c r="BB900" s="672"/>
      <c r="BC900" s="731"/>
      <c r="BD900" s="731"/>
      <c r="BE900" s="731"/>
      <c r="BF900" s="672"/>
      <c r="BG900" s="732"/>
      <c r="BH900" s="240"/>
      <c r="BI900" s="240"/>
      <c r="BJ900" s="240"/>
      <c r="BK900" s="240"/>
      <c r="BL900" s="240"/>
      <c r="BM900" s="240"/>
      <c r="BN900" s="240"/>
      <c r="BO900" s="240"/>
      <c r="BP900" s="240"/>
      <c r="BQ900" s="240"/>
      <c r="BR900" s="240"/>
      <c r="BS900" s="240"/>
      <c r="BT900" s="240"/>
      <c r="BU900" s="672"/>
      <c r="BV900" s="672"/>
      <c r="BW900" s="672"/>
      <c r="BX900" s="672"/>
      <c r="BY900" s="672"/>
      <c r="BZ900" s="672"/>
      <c r="CA900" s="672"/>
      <c r="CB900" s="672"/>
      <c r="CC900" s="672"/>
      <c r="CD900" s="672"/>
      <c r="CE900" s="240"/>
      <c r="CF900" s="240"/>
      <c r="CG900" s="240"/>
      <c r="CH900" s="240"/>
      <c r="CI900" s="240"/>
      <c r="CJ900" s="728"/>
      <c r="CK900" s="728"/>
      <c r="CL900" s="195"/>
      <c r="CM900" s="195"/>
      <c r="CN900" s="195"/>
      <c r="CO900" s="195"/>
      <c r="CP900" s="195"/>
      <c r="CQ900" s="195"/>
      <c r="CR900" s="195"/>
      <c r="CS900" s="195"/>
      <c r="CT900" s="195"/>
      <c r="CU900" s="195"/>
      <c r="CV900" s="195"/>
      <c r="CW900" s="195"/>
      <c r="CX900" s="195"/>
      <c r="CY900" s="195"/>
      <c r="CZ900" s="195"/>
      <c r="DA900" s="195"/>
      <c r="DB900" s="195"/>
      <c r="DC900" s="195"/>
      <c r="DD900" s="195"/>
      <c r="DO900" s="195"/>
      <c r="DP900" s="195"/>
      <c r="DQ900" s="195"/>
      <c r="DR900" s="195"/>
      <c r="DS900" s="195"/>
      <c r="DT900" s="195"/>
      <c r="DU900" s="195"/>
      <c r="DV900" s="195"/>
      <c r="DW900" s="195"/>
      <c r="DX900" s="195"/>
      <c r="DY900" s="195"/>
      <c r="DZ900" s="195"/>
      <c r="EA900" s="195"/>
      <c r="EB900" s="195"/>
      <c r="EC900" s="195"/>
      <c r="ED900" s="195"/>
      <c r="EE900" s="195"/>
      <c r="EK900" s="195"/>
      <c r="EL900" s="240"/>
      <c r="EM900" s="240"/>
      <c r="EN900" s="195"/>
      <c r="EO900" s="240"/>
      <c r="EP900" s="195"/>
      <c r="EQ900" s="195"/>
      <c r="ER900" s="195"/>
      <c r="ES900" s="736"/>
    </row>
    <row r="901" customFormat="false" ht="12.75" hidden="false" customHeight="false" outlineLevel="0" collapsed="false">
      <c r="I901" s="735"/>
      <c r="J901" s="728"/>
      <c r="K901" s="195"/>
      <c r="L901" s="195"/>
      <c r="Q901" s="195"/>
      <c r="R901" s="195"/>
      <c r="S901" s="240"/>
      <c r="T901" s="195"/>
      <c r="U901" s="195"/>
      <c r="V901" s="195"/>
      <c r="W901" s="195"/>
      <c r="X901" s="195"/>
      <c r="Y901" s="195"/>
      <c r="Z901" s="195"/>
      <c r="AA901" s="195"/>
      <c r="AB901" s="195"/>
      <c r="AC901" s="195"/>
      <c r="AD901" s="195"/>
      <c r="AE901" s="195"/>
      <c r="AF901" s="195"/>
      <c r="AG901" s="195"/>
      <c r="AH901" s="195"/>
      <c r="AI901" s="195"/>
      <c r="AJ901" s="195"/>
      <c r="AK901" s="195"/>
      <c r="AL901" s="195"/>
      <c r="AM901" s="1"/>
      <c r="AN901" s="240"/>
      <c r="AO901" s="240"/>
      <c r="AP901" s="240"/>
      <c r="AQ901" s="730"/>
      <c r="AR901" s="730"/>
      <c r="AS901" s="730"/>
      <c r="AT901" s="738"/>
      <c r="AU901" s="738"/>
      <c r="AV901" s="240"/>
      <c r="AW901" s="240"/>
      <c r="AX901" s="240"/>
      <c r="AY901" s="240"/>
      <c r="AZ901" s="240"/>
      <c r="BA901" s="240"/>
      <c r="BB901" s="672"/>
      <c r="BC901" s="731"/>
      <c r="BD901" s="731"/>
      <c r="BE901" s="731"/>
      <c r="BF901" s="672"/>
      <c r="BG901" s="732"/>
      <c r="BH901" s="240"/>
      <c r="BI901" s="240"/>
      <c r="BJ901" s="240"/>
      <c r="BK901" s="240"/>
      <c r="BL901" s="240"/>
      <c r="BM901" s="240"/>
      <c r="BN901" s="240"/>
      <c r="BO901" s="240"/>
      <c r="BP901" s="240"/>
      <c r="BQ901" s="240"/>
      <c r="BR901" s="240"/>
      <c r="BS901" s="240"/>
      <c r="BT901" s="240"/>
      <c r="BU901" s="672"/>
      <c r="BV901" s="672"/>
      <c r="BW901" s="672"/>
      <c r="BX901" s="672"/>
      <c r="BY901" s="672"/>
      <c r="BZ901" s="672"/>
      <c r="CA901" s="672"/>
      <c r="CB901" s="672"/>
      <c r="CC901" s="672"/>
      <c r="CD901" s="672"/>
      <c r="CE901" s="240"/>
      <c r="CF901" s="240"/>
      <c r="CG901" s="240"/>
      <c r="CH901" s="240"/>
      <c r="CI901" s="240"/>
      <c r="CJ901" s="728"/>
      <c r="CK901" s="728"/>
      <c r="CL901" s="195"/>
      <c r="CM901" s="195"/>
      <c r="CN901" s="195"/>
      <c r="CO901" s="195"/>
      <c r="CP901" s="195"/>
      <c r="CQ901" s="195"/>
      <c r="CR901" s="195"/>
      <c r="CS901" s="195"/>
      <c r="CT901" s="195"/>
      <c r="CU901" s="195"/>
      <c r="CV901" s="195"/>
      <c r="CW901" s="195"/>
      <c r="CX901" s="195"/>
      <c r="CY901" s="195"/>
      <c r="CZ901" s="195"/>
      <c r="DA901" s="195"/>
      <c r="DB901" s="195"/>
      <c r="DC901" s="195"/>
      <c r="DD901" s="195"/>
      <c r="DO901" s="195"/>
      <c r="DP901" s="195"/>
      <c r="DQ901" s="195"/>
      <c r="DR901" s="195"/>
      <c r="DS901" s="195"/>
      <c r="DT901" s="195"/>
      <c r="DU901" s="195"/>
      <c r="DV901" s="195"/>
      <c r="DW901" s="195"/>
      <c r="DX901" s="195"/>
      <c r="DY901" s="195"/>
      <c r="DZ901" s="195"/>
      <c r="EA901" s="195"/>
      <c r="EB901" s="195"/>
      <c r="EC901" s="195"/>
      <c r="ED901" s="195"/>
      <c r="EE901" s="195"/>
      <c r="EK901" s="195"/>
      <c r="EL901" s="240"/>
      <c r="EM901" s="240"/>
      <c r="EN901" s="195"/>
      <c r="EO901" s="240"/>
      <c r="EP901" s="195"/>
      <c r="EQ901" s="195"/>
      <c r="ER901" s="195"/>
      <c r="ES901" s="736"/>
    </row>
    <row r="902" customFormat="false" ht="12.75" hidden="false" customHeight="false" outlineLevel="0" collapsed="false">
      <c r="I902" s="735"/>
      <c r="J902" s="728"/>
      <c r="K902" s="195"/>
      <c r="L902" s="195"/>
      <c r="Q902" s="195"/>
      <c r="R902" s="195"/>
      <c r="S902" s="240"/>
      <c r="T902" s="195"/>
      <c r="U902" s="195"/>
      <c r="V902" s="195"/>
      <c r="W902" s="195"/>
      <c r="X902" s="195"/>
      <c r="Y902" s="195"/>
      <c r="Z902" s="195"/>
      <c r="AA902" s="195"/>
      <c r="AB902" s="195"/>
      <c r="AC902" s="195"/>
      <c r="AD902" s="195"/>
      <c r="AE902" s="195"/>
      <c r="AF902" s="195"/>
      <c r="AG902" s="195"/>
      <c r="AH902" s="195"/>
      <c r="AI902" s="195"/>
      <c r="AJ902" s="195"/>
      <c r="AK902" s="195"/>
      <c r="AL902" s="195"/>
      <c r="AM902" s="1"/>
      <c r="AN902" s="240"/>
      <c r="AO902" s="240"/>
      <c r="AP902" s="240"/>
      <c r="AQ902" s="730"/>
      <c r="AR902" s="730"/>
      <c r="AS902" s="730"/>
      <c r="AT902" s="738"/>
      <c r="AU902" s="738"/>
      <c r="AV902" s="240"/>
      <c r="AW902" s="240"/>
      <c r="AX902" s="240"/>
      <c r="AY902" s="240"/>
      <c r="AZ902" s="240"/>
      <c r="BA902" s="240"/>
      <c r="BB902" s="672"/>
      <c r="BC902" s="731"/>
      <c r="BD902" s="731"/>
      <c r="BE902" s="731"/>
      <c r="BF902" s="672"/>
      <c r="BG902" s="732"/>
      <c r="BH902" s="240"/>
      <c r="BI902" s="240"/>
      <c r="BJ902" s="240"/>
      <c r="BK902" s="240"/>
      <c r="BL902" s="240"/>
      <c r="BM902" s="240"/>
      <c r="BN902" s="240"/>
      <c r="BO902" s="240"/>
      <c r="BP902" s="240"/>
      <c r="BQ902" s="240"/>
      <c r="BR902" s="240"/>
      <c r="BS902" s="240"/>
      <c r="BT902" s="240"/>
      <c r="BU902" s="672"/>
      <c r="BV902" s="672"/>
      <c r="BW902" s="672"/>
      <c r="BX902" s="672"/>
      <c r="BY902" s="672"/>
      <c r="BZ902" s="672"/>
      <c r="CA902" s="672"/>
      <c r="CB902" s="672"/>
      <c r="CC902" s="672"/>
      <c r="CD902" s="672"/>
      <c r="CE902" s="240"/>
      <c r="CF902" s="240"/>
      <c r="CG902" s="240"/>
      <c r="CH902" s="240"/>
      <c r="CI902" s="240"/>
      <c r="CJ902" s="728"/>
      <c r="CK902" s="728"/>
      <c r="CL902" s="195"/>
      <c r="CM902" s="195"/>
      <c r="CN902" s="195"/>
      <c r="CO902" s="195"/>
      <c r="CP902" s="195"/>
      <c r="CQ902" s="195"/>
      <c r="CR902" s="195"/>
      <c r="CS902" s="195"/>
      <c r="CT902" s="195"/>
      <c r="CU902" s="195"/>
      <c r="CV902" s="195"/>
      <c r="CW902" s="195"/>
      <c r="CX902" s="195"/>
      <c r="CY902" s="195"/>
      <c r="CZ902" s="195"/>
      <c r="DA902" s="195"/>
      <c r="DB902" s="195"/>
      <c r="DC902" s="195"/>
      <c r="DD902" s="195"/>
      <c r="DO902" s="195"/>
      <c r="DP902" s="195"/>
      <c r="DQ902" s="195"/>
      <c r="DR902" s="195"/>
      <c r="DS902" s="195"/>
      <c r="DT902" s="195"/>
      <c r="DU902" s="195"/>
      <c r="DV902" s="195"/>
      <c r="DW902" s="195"/>
      <c r="DX902" s="195"/>
      <c r="DY902" s="195"/>
      <c r="DZ902" s="195"/>
      <c r="EA902" s="195"/>
      <c r="EB902" s="195"/>
      <c r="EC902" s="195"/>
      <c r="ED902" s="195"/>
      <c r="EE902" s="195"/>
      <c r="EK902" s="195"/>
      <c r="EL902" s="240"/>
      <c r="EM902" s="240"/>
      <c r="EN902" s="195"/>
      <c r="EO902" s="240"/>
      <c r="EP902" s="195"/>
      <c r="EQ902" s="195"/>
      <c r="ER902" s="195"/>
      <c r="ES902" s="736"/>
    </row>
    <row r="903" customFormat="false" ht="12.75" hidden="false" customHeight="false" outlineLevel="0" collapsed="false">
      <c r="I903" s="735"/>
      <c r="J903" s="728"/>
      <c r="K903" s="195"/>
      <c r="L903" s="195"/>
      <c r="Q903" s="195"/>
      <c r="R903" s="195"/>
      <c r="S903" s="240"/>
      <c r="T903" s="195"/>
      <c r="U903" s="195"/>
      <c r="V903" s="195"/>
      <c r="W903" s="195"/>
      <c r="X903" s="195"/>
      <c r="Y903" s="195"/>
      <c r="Z903" s="195"/>
      <c r="AA903" s="195"/>
      <c r="AB903" s="195"/>
      <c r="AC903" s="195"/>
      <c r="AD903" s="195"/>
      <c r="AE903" s="195"/>
      <c r="AF903" s="195"/>
      <c r="AG903" s="195"/>
      <c r="AH903" s="195"/>
      <c r="AI903" s="195"/>
      <c r="AJ903" s="195"/>
      <c r="AK903" s="195"/>
      <c r="AL903" s="195"/>
      <c r="AM903" s="1"/>
      <c r="AN903" s="240"/>
      <c r="AO903" s="240"/>
      <c r="AP903" s="240"/>
      <c r="AQ903" s="730"/>
      <c r="AR903" s="730"/>
      <c r="AS903" s="730"/>
      <c r="AT903" s="738"/>
      <c r="AU903" s="738"/>
      <c r="AV903" s="240"/>
      <c r="AW903" s="240"/>
      <c r="AX903" s="240"/>
      <c r="AY903" s="240"/>
      <c r="AZ903" s="240"/>
      <c r="BA903" s="240"/>
      <c r="BB903" s="672"/>
      <c r="BC903" s="731"/>
      <c r="BD903" s="731"/>
      <c r="BE903" s="731"/>
      <c r="BF903" s="672"/>
      <c r="BG903" s="732"/>
      <c r="BH903" s="240"/>
      <c r="BI903" s="240"/>
      <c r="BJ903" s="240"/>
      <c r="BK903" s="240"/>
      <c r="BL903" s="240"/>
      <c r="BM903" s="240"/>
      <c r="BN903" s="240"/>
      <c r="BO903" s="240"/>
      <c r="BP903" s="240"/>
      <c r="BQ903" s="240"/>
      <c r="BR903" s="240"/>
      <c r="BS903" s="240"/>
      <c r="BT903" s="240"/>
      <c r="BU903" s="672"/>
      <c r="BV903" s="672"/>
      <c r="BW903" s="672"/>
      <c r="BX903" s="672"/>
      <c r="BY903" s="672"/>
      <c r="BZ903" s="672"/>
      <c r="CA903" s="672"/>
      <c r="CB903" s="672"/>
      <c r="CC903" s="672"/>
      <c r="CD903" s="672"/>
      <c r="CE903" s="240"/>
      <c r="CF903" s="240"/>
      <c r="CG903" s="240"/>
      <c r="CH903" s="240"/>
      <c r="CI903" s="240"/>
      <c r="CJ903" s="728"/>
      <c r="CK903" s="728"/>
      <c r="CL903" s="195"/>
      <c r="CM903" s="195"/>
      <c r="CN903" s="195"/>
      <c r="CO903" s="195"/>
      <c r="CP903" s="195"/>
      <c r="CQ903" s="195"/>
      <c r="CR903" s="195"/>
      <c r="CS903" s="195"/>
      <c r="CT903" s="195"/>
      <c r="CU903" s="195"/>
      <c r="CV903" s="195"/>
      <c r="CW903" s="195"/>
      <c r="CX903" s="195"/>
      <c r="CY903" s="195"/>
      <c r="CZ903" s="195"/>
      <c r="DA903" s="195"/>
      <c r="DB903" s="195"/>
      <c r="DC903" s="195"/>
      <c r="DD903" s="195"/>
      <c r="DO903" s="195"/>
      <c r="DP903" s="195"/>
      <c r="DQ903" s="195"/>
      <c r="DR903" s="195"/>
      <c r="DS903" s="195"/>
      <c r="DT903" s="195"/>
      <c r="DU903" s="195"/>
      <c r="DV903" s="195"/>
      <c r="DW903" s="195"/>
      <c r="DX903" s="195"/>
      <c r="DY903" s="195"/>
      <c r="DZ903" s="195"/>
      <c r="EA903" s="195"/>
      <c r="EB903" s="195"/>
      <c r="EC903" s="195"/>
      <c r="ED903" s="195"/>
      <c r="EE903" s="195"/>
      <c r="EK903" s="195"/>
      <c r="EL903" s="240"/>
      <c r="EM903" s="240"/>
      <c r="EN903" s="195"/>
      <c r="EO903" s="240"/>
      <c r="EP903" s="195"/>
      <c r="EQ903" s="195"/>
      <c r="ER903" s="195"/>
      <c r="ES903" s="736"/>
    </row>
    <row r="904" customFormat="false" ht="12.75" hidden="false" customHeight="false" outlineLevel="0" collapsed="false">
      <c r="I904" s="735"/>
      <c r="J904" s="728"/>
      <c r="K904" s="195"/>
      <c r="L904" s="195"/>
      <c r="Q904" s="195"/>
      <c r="R904" s="195"/>
      <c r="S904" s="240"/>
      <c r="T904" s="195"/>
      <c r="U904" s="195"/>
      <c r="V904" s="195"/>
      <c r="W904" s="195"/>
      <c r="X904" s="195"/>
      <c r="Y904" s="195"/>
      <c r="Z904" s="195"/>
      <c r="AA904" s="195"/>
      <c r="AB904" s="195"/>
      <c r="AC904" s="195"/>
      <c r="AD904" s="195"/>
      <c r="AE904" s="195"/>
      <c r="AF904" s="195"/>
      <c r="AG904" s="195"/>
      <c r="AH904" s="195"/>
      <c r="AI904" s="195"/>
      <c r="AJ904" s="195"/>
      <c r="AK904" s="195"/>
      <c r="AL904" s="195"/>
      <c r="AM904" s="1"/>
      <c r="AN904" s="240"/>
      <c r="AO904" s="240"/>
      <c r="AP904" s="240"/>
      <c r="AQ904" s="730"/>
      <c r="AR904" s="730"/>
      <c r="AS904" s="730"/>
      <c r="AT904" s="738"/>
      <c r="AU904" s="738"/>
      <c r="AV904" s="240"/>
      <c r="AW904" s="240"/>
      <c r="AX904" s="240"/>
      <c r="AY904" s="240"/>
      <c r="AZ904" s="240"/>
      <c r="BA904" s="240"/>
      <c r="BB904" s="672"/>
      <c r="BC904" s="731"/>
      <c r="BD904" s="731"/>
      <c r="BE904" s="731"/>
      <c r="BF904" s="672"/>
      <c r="BG904" s="732"/>
      <c r="BH904" s="240"/>
      <c r="BI904" s="240"/>
      <c r="BJ904" s="240"/>
      <c r="BK904" s="240"/>
      <c r="BL904" s="240"/>
      <c r="BM904" s="240"/>
      <c r="BN904" s="240"/>
      <c r="BO904" s="240"/>
      <c r="BP904" s="240"/>
      <c r="BQ904" s="240"/>
      <c r="BR904" s="240"/>
      <c r="BS904" s="240"/>
      <c r="BT904" s="240"/>
      <c r="BU904" s="672"/>
      <c r="BV904" s="672"/>
      <c r="BW904" s="672"/>
      <c r="BX904" s="672"/>
      <c r="BY904" s="672"/>
      <c r="BZ904" s="672"/>
      <c r="CA904" s="672"/>
      <c r="CB904" s="672"/>
      <c r="CC904" s="672"/>
      <c r="CD904" s="672"/>
      <c r="CE904" s="240"/>
      <c r="CF904" s="240"/>
      <c r="CG904" s="240"/>
      <c r="CH904" s="240"/>
      <c r="CI904" s="240"/>
      <c r="CJ904" s="728"/>
      <c r="CK904" s="728"/>
      <c r="CL904" s="195"/>
      <c r="CM904" s="195"/>
      <c r="CN904" s="195"/>
      <c r="CO904" s="195"/>
      <c r="CP904" s="195"/>
      <c r="CQ904" s="195"/>
      <c r="CR904" s="195"/>
      <c r="CS904" s="195"/>
      <c r="CT904" s="195"/>
      <c r="CU904" s="195"/>
      <c r="CV904" s="195"/>
      <c r="CW904" s="195"/>
      <c r="CX904" s="195"/>
      <c r="CY904" s="195"/>
      <c r="CZ904" s="195"/>
      <c r="DA904" s="195"/>
      <c r="DB904" s="195"/>
      <c r="DC904" s="195"/>
      <c r="DD904" s="195"/>
      <c r="DO904" s="195"/>
      <c r="DP904" s="195"/>
      <c r="DQ904" s="195"/>
      <c r="DR904" s="195"/>
      <c r="DS904" s="195"/>
      <c r="DT904" s="195"/>
      <c r="DU904" s="195"/>
      <c r="DV904" s="195"/>
      <c r="DW904" s="195"/>
      <c r="DX904" s="195"/>
      <c r="DY904" s="195"/>
      <c r="DZ904" s="195"/>
      <c r="EA904" s="195"/>
      <c r="EB904" s="195"/>
      <c r="EC904" s="195"/>
      <c r="ED904" s="195"/>
      <c r="EE904" s="195"/>
      <c r="EK904" s="195"/>
      <c r="EL904" s="240"/>
      <c r="EM904" s="240"/>
      <c r="EN904" s="195"/>
      <c r="EO904" s="240"/>
      <c r="EP904" s="195"/>
      <c r="EQ904" s="195"/>
      <c r="ER904" s="195"/>
      <c r="ES904" s="736"/>
    </row>
    <row r="905" customFormat="false" ht="12.75" hidden="false" customHeight="false" outlineLevel="0" collapsed="false">
      <c r="I905" s="735"/>
      <c r="J905" s="728"/>
      <c r="K905" s="195"/>
      <c r="L905" s="195"/>
      <c r="Q905" s="195"/>
      <c r="R905" s="195"/>
      <c r="S905" s="240"/>
      <c r="T905" s="195"/>
      <c r="U905" s="195"/>
      <c r="V905" s="195"/>
      <c r="W905" s="195"/>
      <c r="X905" s="195"/>
      <c r="Y905" s="195"/>
      <c r="Z905" s="195"/>
      <c r="AA905" s="195"/>
      <c r="AB905" s="195"/>
      <c r="AC905" s="195"/>
      <c r="AD905" s="195"/>
      <c r="AE905" s="195"/>
      <c r="AF905" s="195"/>
      <c r="AG905" s="195"/>
      <c r="AH905" s="195"/>
      <c r="AI905" s="195"/>
      <c r="AJ905" s="195"/>
      <c r="AK905" s="195"/>
      <c r="AL905" s="195"/>
      <c r="AM905" s="1"/>
      <c r="AN905" s="240"/>
      <c r="AO905" s="240"/>
      <c r="AP905" s="240"/>
      <c r="AQ905" s="730"/>
      <c r="AR905" s="730"/>
      <c r="AS905" s="730"/>
      <c r="AT905" s="738"/>
      <c r="AU905" s="738"/>
      <c r="AV905" s="240"/>
      <c r="AW905" s="240"/>
      <c r="AX905" s="240"/>
      <c r="AY905" s="240"/>
      <c r="AZ905" s="240"/>
      <c r="BA905" s="240"/>
      <c r="BB905" s="672"/>
      <c r="BC905" s="731"/>
      <c r="BD905" s="731"/>
      <c r="BE905" s="731"/>
      <c r="BF905" s="672"/>
      <c r="BG905" s="732"/>
      <c r="BH905" s="240"/>
      <c r="BI905" s="240"/>
      <c r="BJ905" s="240"/>
      <c r="BK905" s="240"/>
      <c r="BL905" s="240"/>
      <c r="BM905" s="240"/>
      <c r="BN905" s="240"/>
      <c r="BO905" s="240"/>
      <c r="BP905" s="240"/>
      <c r="BQ905" s="240"/>
      <c r="BR905" s="240"/>
      <c r="BS905" s="240"/>
      <c r="BT905" s="240"/>
      <c r="BU905" s="672"/>
      <c r="BV905" s="672"/>
      <c r="BW905" s="672"/>
      <c r="BX905" s="672"/>
      <c r="BY905" s="672"/>
      <c r="BZ905" s="672"/>
      <c r="CA905" s="672"/>
      <c r="CB905" s="672"/>
      <c r="CC905" s="672"/>
      <c r="CD905" s="672"/>
      <c r="CE905" s="240"/>
      <c r="CF905" s="240"/>
      <c r="CG905" s="240"/>
      <c r="CH905" s="240"/>
      <c r="CI905" s="240"/>
      <c r="CJ905" s="728"/>
      <c r="CK905" s="728"/>
      <c r="CL905" s="195"/>
      <c r="CM905" s="195"/>
      <c r="CN905" s="195"/>
      <c r="CO905" s="195"/>
      <c r="CP905" s="195"/>
      <c r="CQ905" s="195"/>
      <c r="CR905" s="195"/>
      <c r="CS905" s="195"/>
      <c r="CT905" s="195"/>
      <c r="CU905" s="195"/>
      <c r="CV905" s="195"/>
      <c r="CW905" s="195"/>
      <c r="CX905" s="195"/>
      <c r="CY905" s="195"/>
      <c r="CZ905" s="195"/>
      <c r="DA905" s="195"/>
      <c r="DB905" s="195"/>
      <c r="DC905" s="195"/>
      <c r="DD905" s="195"/>
      <c r="DO905" s="195"/>
      <c r="DP905" s="195"/>
      <c r="DQ905" s="195"/>
      <c r="DR905" s="195"/>
      <c r="DS905" s="195"/>
      <c r="DT905" s="195"/>
      <c r="DU905" s="195"/>
      <c r="DV905" s="195"/>
      <c r="DW905" s="195"/>
      <c r="DX905" s="195"/>
      <c r="DY905" s="195"/>
      <c r="DZ905" s="195"/>
      <c r="EA905" s="195"/>
      <c r="EB905" s="195"/>
      <c r="EC905" s="195"/>
      <c r="ED905" s="195"/>
      <c r="EE905" s="195"/>
      <c r="EK905" s="195"/>
      <c r="EL905" s="240"/>
      <c r="EM905" s="240"/>
      <c r="EN905" s="195"/>
      <c r="EO905" s="240"/>
      <c r="EP905" s="195"/>
      <c r="EQ905" s="195"/>
      <c r="ER905" s="195"/>
      <c r="ES905" s="736"/>
    </row>
    <row r="906" customFormat="false" ht="12.75" hidden="false" customHeight="false" outlineLevel="0" collapsed="false">
      <c r="I906" s="735"/>
      <c r="J906" s="728"/>
      <c r="K906" s="195"/>
      <c r="L906" s="195"/>
      <c r="Q906" s="195"/>
      <c r="R906" s="195"/>
      <c r="S906" s="240"/>
      <c r="T906" s="195"/>
      <c r="U906" s="195"/>
      <c r="V906" s="195"/>
      <c r="W906" s="195"/>
      <c r="X906" s="195"/>
      <c r="Y906" s="195"/>
      <c r="Z906" s="195"/>
      <c r="AA906" s="195"/>
      <c r="AB906" s="195"/>
      <c r="AC906" s="195"/>
      <c r="AD906" s="195"/>
      <c r="AE906" s="195"/>
      <c r="AF906" s="195"/>
      <c r="AG906" s="195"/>
      <c r="AH906" s="195"/>
      <c r="AI906" s="195"/>
      <c r="AJ906" s="195"/>
      <c r="AK906" s="195"/>
      <c r="AL906" s="195"/>
      <c r="AM906" s="1"/>
      <c r="AN906" s="240"/>
      <c r="AO906" s="240"/>
      <c r="AP906" s="240"/>
      <c r="AQ906" s="730"/>
      <c r="AR906" s="730"/>
      <c r="AS906" s="730"/>
      <c r="AT906" s="738"/>
      <c r="AU906" s="738"/>
      <c r="AV906" s="240"/>
      <c r="AW906" s="240"/>
      <c r="AX906" s="240"/>
      <c r="AY906" s="240"/>
      <c r="AZ906" s="240"/>
      <c r="BA906" s="240"/>
      <c r="BB906" s="672"/>
      <c r="BC906" s="731"/>
      <c r="BD906" s="731"/>
      <c r="BE906" s="731"/>
      <c r="BF906" s="672"/>
      <c r="BG906" s="732"/>
      <c r="BH906" s="240"/>
      <c r="BI906" s="240"/>
      <c r="BJ906" s="240"/>
      <c r="BK906" s="240"/>
      <c r="BL906" s="240"/>
      <c r="BM906" s="240"/>
      <c r="BN906" s="240"/>
      <c r="BO906" s="240"/>
      <c r="BP906" s="240"/>
      <c r="BQ906" s="240"/>
      <c r="BR906" s="240"/>
      <c r="BS906" s="240"/>
      <c r="BT906" s="240"/>
      <c r="BU906" s="672"/>
      <c r="BV906" s="672"/>
      <c r="BW906" s="672"/>
      <c r="BX906" s="672"/>
      <c r="BY906" s="672"/>
      <c r="BZ906" s="672"/>
      <c r="CA906" s="672"/>
      <c r="CB906" s="672"/>
      <c r="CC906" s="672"/>
      <c r="CD906" s="672"/>
      <c r="CE906" s="240"/>
      <c r="CF906" s="240"/>
      <c r="CG906" s="240"/>
      <c r="CH906" s="240"/>
      <c r="CI906" s="240"/>
      <c r="CJ906" s="728"/>
      <c r="CK906" s="728"/>
      <c r="CL906" s="195"/>
      <c r="CM906" s="195"/>
      <c r="CN906" s="195"/>
      <c r="CO906" s="195"/>
      <c r="CP906" s="195"/>
      <c r="CQ906" s="195"/>
      <c r="CR906" s="195"/>
      <c r="CS906" s="195"/>
      <c r="CT906" s="195"/>
      <c r="CU906" s="195"/>
      <c r="CV906" s="195"/>
      <c r="CW906" s="195"/>
      <c r="CX906" s="195"/>
      <c r="CY906" s="195"/>
      <c r="CZ906" s="195"/>
      <c r="DA906" s="195"/>
      <c r="DB906" s="195"/>
      <c r="DC906" s="195"/>
      <c r="DD906" s="195"/>
      <c r="DO906" s="195"/>
      <c r="DP906" s="195"/>
      <c r="DQ906" s="195"/>
      <c r="DR906" s="195"/>
      <c r="DS906" s="195"/>
      <c r="DT906" s="195"/>
      <c r="DU906" s="195"/>
      <c r="DV906" s="195"/>
      <c r="DW906" s="195"/>
      <c r="DX906" s="195"/>
      <c r="DY906" s="195"/>
      <c r="DZ906" s="195"/>
      <c r="EA906" s="195"/>
      <c r="EB906" s="195"/>
      <c r="EC906" s="195"/>
      <c r="ED906" s="195"/>
      <c r="EE906" s="195"/>
      <c r="EK906" s="195"/>
      <c r="EL906" s="240"/>
      <c r="EM906" s="240"/>
      <c r="EN906" s="195"/>
      <c r="EO906" s="240"/>
      <c r="EP906" s="195"/>
      <c r="EQ906" s="195"/>
      <c r="ER906" s="195"/>
      <c r="ES906" s="736"/>
    </row>
    <row r="907" customFormat="false" ht="12.75" hidden="false" customHeight="false" outlineLevel="0" collapsed="false">
      <c r="I907" s="735"/>
      <c r="J907" s="728"/>
      <c r="K907" s="195"/>
      <c r="L907" s="195"/>
      <c r="Q907" s="195"/>
      <c r="R907" s="195"/>
      <c r="S907" s="240"/>
      <c r="T907" s="195"/>
      <c r="U907" s="195"/>
      <c r="V907" s="195"/>
      <c r="W907" s="195"/>
      <c r="X907" s="195"/>
      <c r="Y907" s="195"/>
      <c r="Z907" s="195"/>
      <c r="AA907" s="195"/>
      <c r="AB907" s="195"/>
      <c r="AC907" s="195"/>
      <c r="AD907" s="195"/>
      <c r="AE907" s="195"/>
      <c r="AF907" s="195"/>
      <c r="AG907" s="195"/>
      <c r="AH907" s="195"/>
      <c r="AI907" s="195"/>
      <c r="AJ907" s="195"/>
      <c r="AK907" s="195"/>
      <c r="AL907" s="195"/>
      <c r="AM907" s="1"/>
      <c r="AN907" s="240"/>
      <c r="AO907" s="240"/>
      <c r="AP907" s="240"/>
      <c r="AQ907" s="730"/>
      <c r="AR907" s="730"/>
      <c r="AS907" s="730"/>
      <c r="AT907" s="738"/>
      <c r="AU907" s="738"/>
      <c r="AV907" s="240"/>
      <c r="AW907" s="240"/>
      <c r="AX907" s="240"/>
      <c r="AY907" s="240"/>
      <c r="AZ907" s="240"/>
      <c r="BA907" s="240"/>
      <c r="BB907" s="672"/>
      <c r="BC907" s="731"/>
      <c r="BD907" s="731"/>
      <c r="BE907" s="731"/>
      <c r="BF907" s="672"/>
      <c r="BG907" s="732"/>
      <c r="BH907" s="240"/>
      <c r="BI907" s="240"/>
      <c r="BJ907" s="240"/>
      <c r="BK907" s="240"/>
      <c r="BL907" s="240"/>
      <c r="BM907" s="240"/>
      <c r="BN907" s="240"/>
      <c r="BO907" s="240"/>
      <c r="BP907" s="240"/>
      <c r="BQ907" s="240"/>
      <c r="BR907" s="240"/>
      <c r="BS907" s="240"/>
      <c r="BT907" s="240"/>
      <c r="BU907" s="672"/>
      <c r="BV907" s="672"/>
      <c r="BW907" s="672"/>
      <c r="BX907" s="672"/>
      <c r="BY907" s="672"/>
      <c r="BZ907" s="672"/>
      <c r="CA907" s="672"/>
      <c r="CB907" s="672"/>
      <c r="CC907" s="672"/>
      <c r="CD907" s="672"/>
      <c r="CE907" s="240"/>
      <c r="CF907" s="240"/>
      <c r="CG907" s="240"/>
      <c r="CH907" s="240"/>
      <c r="CI907" s="240"/>
      <c r="CJ907" s="728"/>
      <c r="CK907" s="728"/>
      <c r="CL907" s="195"/>
      <c r="CM907" s="195"/>
      <c r="CN907" s="195"/>
      <c r="CO907" s="195"/>
      <c r="CP907" s="195"/>
      <c r="CQ907" s="195"/>
      <c r="CR907" s="195"/>
      <c r="CS907" s="195"/>
      <c r="CT907" s="195"/>
      <c r="CU907" s="195"/>
      <c r="CV907" s="195"/>
      <c r="CW907" s="195"/>
      <c r="CX907" s="195"/>
      <c r="CY907" s="195"/>
      <c r="CZ907" s="195"/>
      <c r="DA907" s="195"/>
      <c r="DB907" s="195"/>
      <c r="DC907" s="195"/>
      <c r="DD907" s="195"/>
      <c r="DO907" s="195"/>
      <c r="DP907" s="195"/>
      <c r="DQ907" s="195"/>
      <c r="DR907" s="195"/>
      <c r="DS907" s="195"/>
      <c r="DT907" s="195"/>
      <c r="DU907" s="195"/>
      <c r="DV907" s="195"/>
      <c r="DW907" s="195"/>
      <c r="DX907" s="195"/>
      <c r="DY907" s="195"/>
      <c r="DZ907" s="195"/>
      <c r="EA907" s="195"/>
      <c r="EB907" s="195"/>
      <c r="EC907" s="195"/>
      <c r="ED907" s="195"/>
      <c r="EE907" s="195"/>
      <c r="EK907" s="195"/>
      <c r="EL907" s="240"/>
      <c r="EM907" s="240"/>
      <c r="EN907" s="195"/>
      <c r="EO907" s="240"/>
      <c r="EP907" s="195"/>
      <c r="EQ907" s="195"/>
      <c r="ER907" s="195"/>
      <c r="ES907" s="736"/>
    </row>
    <row r="908" customFormat="false" ht="12.75" hidden="false" customHeight="false" outlineLevel="0" collapsed="false">
      <c r="I908" s="735"/>
      <c r="J908" s="728"/>
      <c r="K908" s="195"/>
      <c r="L908" s="195"/>
      <c r="Q908" s="195"/>
      <c r="R908" s="195"/>
      <c r="S908" s="240"/>
      <c r="T908" s="195"/>
      <c r="U908" s="195"/>
      <c r="V908" s="195"/>
      <c r="W908" s="195"/>
      <c r="X908" s="195"/>
      <c r="Y908" s="195"/>
      <c r="Z908" s="195"/>
      <c r="AA908" s="195"/>
      <c r="AB908" s="195"/>
      <c r="AC908" s="195"/>
      <c r="AD908" s="195"/>
      <c r="AE908" s="195"/>
      <c r="AF908" s="195"/>
      <c r="AG908" s="195"/>
      <c r="AH908" s="195"/>
      <c r="AI908" s="195"/>
      <c r="AJ908" s="195"/>
      <c r="AK908" s="195"/>
      <c r="AL908" s="195"/>
      <c r="AM908" s="1"/>
      <c r="AN908" s="240"/>
      <c r="AO908" s="240"/>
      <c r="AP908" s="240"/>
      <c r="AQ908" s="730"/>
      <c r="AR908" s="730"/>
      <c r="AS908" s="730"/>
      <c r="AT908" s="738"/>
      <c r="AU908" s="738"/>
      <c r="AV908" s="240"/>
      <c r="AW908" s="240"/>
      <c r="AX908" s="240"/>
      <c r="AY908" s="240"/>
      <c r="AZ908" s="240"/>
      <c r="BA908" s="240"/>
      <c r="BB908" s="672"/>
      <c r="BC908" s="731"/>
      <c r="BD908" s="731"/>
      <c r="BE908" s="731"/>
      <c r="BF908" s="672"/>
      <c r="BG908" s="732"/>
      <c r="BH908" s="240"/>
      <c r="BI908" s="240"/>
      <c r="BJ908" s="240"/>
      <c r="BK908" s="240"/>
      <c r="BL908" s="240"/>
      <c r="BM908" s="240"/>
      <c r="BN908" s="240"/>
      <c r="BO908" s="240"/>
      <c r="BP908" s="240"/>
      <c r="BQ908" s="240"/>
      <c r="BR908" s="240"/>
      <c r="BS908" s="240"/>
      <c r="BT908" s="240"/>
      <c r="BU908" s="672"/>
      <c r="BV908" s="672"/>
      <c r="BW908" s="672"/>
      <c r="BX908" s="672"/>
      <c r="BY908" s="672"/>
      <c r="BZ908" s="672"/>
      <c r="CA908" s="672"/>
      <c r="CB908" s="672"/>
      <c r="CC908" s="672"/>
      <c r="CD908" s="672"/>
      <c r="CE908" s="240"/>
      <c r="CF908" s="240"/>
      <c r="CG908" s="240"/>
      <c r="CH908" s="240"/>
      <c r="CI908" s="240"/>
      <c r="CJ908" s="728"/>
      <c r="CK908" s="728"/>
      <c r="CL908" s="195"/>
      <c r="CM908" s="195"/>
      <c r="CN908" s="195"/>
      <c r="CO908" s="195"/>
      <c r="CP908" s="195"/>
      <c r="CQ908" s="195"/>
      <c r="CR908" s="195"/>
      <c r="CS908" s="195"/>
      <c r="CT908" s="195"/>
      <c r="CU908" s="195"/>
      <c r="CV908" s="195"/>
      <c r="CW908" s="195"/>
      <c r="CX908" s="195"/>
      <c r="CY908" s="195"/>
      <c r="CZ908" s="195"/>
      <c r="DA908" s="195"/>
      <c r="DB908" s="195"/>
      <c r="DC908" s="195"/>
      <c r="DD908" s="195"/>
      <c r="DO908" s="195"/>
      <c r="DP908" s="195"/>
      <c r="DQ908" s="195"/>
      <c r="DR908" s="195"/>
      <c r="DS908" s="195"/>
      <c r="DT908" s="195"/>
      <c r="DU908" s="195"/>
      <c r="DV908" s="195"/>
      <c r="DW908" s="195"/>
      <c r="DX908" s="195"/>
      <c r="DY908" s="195"/>
      <c r="DZ908" s="195"/>
      <c r="EA908" s="195"/>
      <c r="EB908" s="195"/>
      <c r="EC908" s="195"/>
      <c r="ED908" s="195"/>
      <c r="EE908" s="195"/>
      <c r="EK908" s="195"/>
      <c r="EL908" s="240"/>
      <c r="EM908" s="240"/>
      <c r="EN908" s="195"/>
      <c r="EO908" s="240"/>
      <c r="EP908" s="195"/>
      <c r="EQ908" s="195"/>
      <c r="ER908" s="195"/>
      <c r="ES908" s="736"/>
    </row>
    <row r="909" customFormat="false" ht="12.75" hidden="false" customHeight="false" outlineLevel="0" collapsed="false">
      <c r="I909" s="735"/>
      <c r="J909" s="728"/>
      <c r="K909" s="195"/>
      <c r="L909" s="195"/>
      <c r="Q909" s="195"/>
      <c r="R909" s="195"/>
      <c r="S909" s="240"/>
      <c r="T909" s="195"/>
      <c r="U909" s="195"/>
      <c r="V909" s="195"/>
      <c r="W909" s="195"/>
      <c r="X909" s="195"/>
      <c r="Y909" s="195"/>
      <c r="Z909" s="195"/>
      <c r="AA909" s="195"/>
      <c r="AB909" s="195"/>
      <c r="AC909" s="195"/>
      <c r="AD909" s="195"/>
      <c r="AE909" s="195"/>
      <c r="AF909" s="195"/>
      <c r="AG909" s="195"/>
      <c r="AH909" s="195"/>
      <c r="AI909" s="195"/>
      <c r="AJ909" s="195"/>
      <c r="AK909" s="195"/>
      <c r="AL909" s="195"/>
      <c r="AM909" s="1"/>
      <c r="AN909" s="240"/>
      <c r="AO909" s="240"/>
      <c r="AP909" s="240"/>
      <c r="AQ909" s="730"/>
      <c r="AR909" s="730"/>
      <c r="AS909" s="730"/>
      <c r="AT909" s="738"/>
      <c r="AU909" s="738"/>
      <c r="AV909" s="240"/>
      <c r="AW909" s="240"/>
      <c r="AX909" s="240"/>
      <c r="AY909" s="240"/>
      <c r="AZ909" s="240"/>
      <c r="BA909" s="240"/>
      <c r="BB909" s="672"/>
      <c r="BC909" s="731"/>
      <c r="BD909" s="731"/>
      <c r="BE909" s="731"/>
      <c r="BF909" s="672"/>
      <c r="BG909" s="732"/>
      <c r="BH909" s="240"/>
      <c r="BI909" s="240"/>
      <c r="BJ909" s="240"/>
      <c r="BK909" s="240"/>
      <c r="BL909" s="240"/>
      <c r="BM909" s="240"/>
      <c r="BN909" s="240"/>
      <c r="BO909" s="240"/>
      <c r="BP909" s="240"/>
      <c r="BQ909" s="240"/>
      <c r="BR909" s="240"/>
      <c r="BS909" s="240"/>
      <c r="BT909" s="240"/>
      <c r="BU909" s="672"/>
      <c r="BV909" s="672"/>
      <c r="BW909" s="672"/>
      <c r="BX909" s="672"/>
      <c r="BY909" s="672"/>
      <c r="BZ909" s="672"/>
      <c r="CA909" s="672"/>
      <c r="CB909" s="672"/>
      <c r="CC909" s="672"/>
      <c r="CD909" s="672"/>
      <c r="CE909" s="240"/>
      <c r="CF909" s="240"/>
      <c r="CG909" s="240"/>
      <c r="CH909" s="240"/>
      <c r="CI909" s="240"/>
      <c r="CJ909" s="728"/>
      <c r="CK909" s="728"/>
      <c r="CL909" s="195"/>
      <c r="CM909" s="195"/>
      <c r="CN909" s="195"/>
      <c r="CO909" s="195"/>
      <c r="CP909" s="195"/>
      <c r="CQ909" s="195"/>
      <c r="CR909" s="195"/>
      <c r="CS909" s="195"/>
      <c r="CT909" s="195"/>
      <c r="CU909" s="195"/>
      <c r="CV909" s="195"/>
      <c r="CW909" s="195"/>
      <c r="CX909" s="195"/>
      <c r="CY909" s="195"/>
      <c r="CZ909" s="195"/>
      <c r="DA909" s="195"/>
      <c r="DB909" s="195"/>
      <c r="DC909" s="195"/>
      <c r="DD909" s="195"/>
      <c r="DO909" s="195"/>
      <c r="DP909" s="195"/>
      <c r="DQ909" s="195"/>
      <c r="DR909" s="195"/>
      <c r="DS909" s="195"/>
      <c r="DT909" s="195"/>
      <c r="DU909" s="195"/>
      <c r="DV909" s="195"/>
      <c r="DW909" s="195"/>
      <c r="DX909" s="195"/>
      <c r="DY909" s="195"/>
      <c r="DZ909" s="195"/>
      <c r="EA909" s="195"/>
      <c r="EB909" s="195"/>
      <c r="EC909" s="195"/>
      <c r="ED909" s="195"/>
      <c r="EE909" s="195"/>
      <c r="EK909" s="195"/>
      <c r="EL909" s="240"/>
      <c r="EM909" s="240"/>
      <c r="EN909" s="195"/>
      <c r="EO909" s="240"/>
      <c r="EP909" s="195"/>
      <c r="EQ909" s="195"/>
      <c r="ER909" s="195"/>
      <c r="ES909" s="736"/>
    </row>
    <row r="910" customFormat="false" ht="12.75" hidden="false" customHeight="false" outlineLevel="0" collapsed="false">
      <c r="I910" s="735"/>
      <c r="J910" s="728"/>
      <c r="K910" s="195"/>
      <c r="L910" s="195"/>
      <c r="Q910" s="195"/>
      <c r="R910" s="195"/>
      <c r="S910" s="240"/>
      <c r="T910" s="195"/>
      <c r="U910" s="195"/>
      <c r="V910" s="195"/>
      <c r="W910" s="195"/>
      <c r="X910" s="195"/>
      <c r="Y910" s="195"/>
      <c r="Z910" s="195"/>
      <c r="AA910" s="195"/>
      <c r="AB910" s="195"/>
      <c r="AC910" s="195"/>
      <c r="AD910" s="195"/>
      <c r="AE910" s="195"/>
      <c r="AF910" s="195"/>
      <c r="AG910" s="195"/>
      <c r="AH910" s="195"/>
      <c r="AI910" s="195"/>
      <c r="AJ910" s="195"/>
      <c r="AK910" s="195"/>
      <c r="AL910" s="195"/>
      <c r="AM910" s="1"/>
      <c r="AN910" s="240"/>
      <c r="AO910" s="240"/>
      <c r="AP910" s="240"/>
      <c r="AQ910" s="730"/>
      <c r="AR910" s="730"/>
      <c r="AS910" s="730"/>
      <c r="AT910" s="738"/>
      <c r="AU910" s="738"/>
      <c r="AV910" s="240"/>
      <c r="AW910" s="240"/>
      <c r="AX910" s="240"/>
      <c r="AY910" s="240"/>
      <c r="AZ910" s="240"/>
      <c r="BA910" s="240"/>
      <c r="BB910" s="672"/>
      <c r="BC910" s="731"/>
      <c r="BD910" s="731"/>
      <c r="BE910" s="731"/>
      <c r="BF910" s="672"/>
      <c r="BG910" s="732"/>
      <c r="BH910" s="240"/>
      <c r="BI910" s="240"/>
      <c r="BJ910" s="240"/>
      <c r="BK910" s="240"/>
      <c r="BL910" s="240"/>
      <c r="BM910" s="240"/>
      <c r="BN910" s="240"/>
      <c r="BO910" s="240"/>
      <c r="BP910" s="240"/>
      <c r="BQ910" s="240"/>
      <c r="BR910" s="240"/>
      <c r="BS910" s="240"/>
      <c r="BT910" s="240"/>
      <c r="BU910" s="672"/>
      <c r="BV910" s="672"/>
      <c r="BW910" s="672"/>
      <c r="BX910" s="672"/>
      <c r="BY910" s="672"/>
      <c r="BZ910" s="672"/>
      <c r="CA910" s="672"/>
      <c r="CB910" s="672"/>
      <c r="CC910" s="672"/>
      <c r="CD910" s="672"/>
      <c r="CE910" s="240"/>
      <c r="CF910" s="240"/>
      <c r="CG910" s="240"/>
      <c r="CH910" s="240"/>
      <c r="CI910" s="240"/>
      <c r="CJ910" s="728"/>
      <c r="CK910" s="728"/>
      <c r="CL910" s="195"/>
      <c r="CM910" s="195"/>
      <c r="CN910" s="195"/>
      <c r="CO910" s="195"/>
      <c r="CP910" s="195"/>
      <c r="CQ910" s="195"/>
      <c r="CR910" s="195"/>
      <c r="CS910" s="195"/>
      <c r="CT910" s="195"/>
      <c r="CU910" s="195"/>
      <c r="CV910" s="195"/>
      <c r="CW910" s="195"/>
      <c r="CX910" s="195"/>
      <c r="CY910" s="195"/>
      <c r="CZ910" s="195"/>
      <c r="DA910" s="195"/>
      <c r="DB910" s="195"/>
      <c r="DC910" s="195"/>
      <c r="DD910" s="195"/>
      <c r="DO910" s="195"/>
      <c r="DP910" s="195"/>
      <c r="DQ910" s="195"/>
      <c r="DR910" s="195"/>
      <c r="DS910" s="195"/>
      <c r="DT910" s="195"/>
      <c r="DU910" s="195"/>
      <c r="DV910" s="195"/>
      <c r="DW910" s="195"/>
      <c r="DX910" s="195"/>
      <c r="DY910" s="195"/>
      <c r="DZ910" s="195"/>
      <c r="EA910" s="195"/>
      <c r="EB910" s="195"/>
      <c r="EC910" s="195"/>
      <c r="ED910" s="195"/>
      <c r="EE910" s="195"/>
      <c r="EK910" s="195"/>
      <c r="EL910" s="240"/>
      <c r="EM910" s="240"/>
      <c r="EN910" s="195"/>
      <c r="EO910" s="240"/>
      <c r="EP910" s="195"/>
      <c r="EQ910" s="195"/>
      <c r="ER910" s="195"/>
      <c r="ES910" s="736"/>
    </row>
    <row r="911" customFormat="false" ht="12.75" hidden="false" customHeight="false" outlineLevel="0" collapsed="false">
      <c r="I911" s="735"/>
      <c r="J911" s="728"/>
      <c r="K911" s="195"/>
      <c r="L911" s="195"/>
      <c r="Q911" s="195"/>
      <c r="R911" s="195"/>
      <c r="S911" s="240"/>
      <c r="T911" s="195"/>
      <c r="U911" s="195"/>
      <c r="V911" s="195"/>
      <c r="W911" s="195"/>
      <c r="X911" s="195"/>
      <c r="Y911" s="195"/>
      <c r="Z911" s="195"/>
      <c r="AA911" s="195"/>
      <c r="AB911" s="195"/>
      <c r="AC911" s="195"/>
      <c r="AD911" s="195"/>
      <c r="AE911" s="195"/>
      <c r="AF911" s="195"/>
      <c r="AG911" s="195"/>
      <c r="AH911" s="195"/>
      <c r="AI911" s="195"/>
      <c r="AJ911" s="195"/>
      <c r="AK911" s="195"/>
      <c r="AL911" s="195"/>
      <c r="AM911" s="1"/>
      <c r="AN911" s="240"/>
      <c r="AO911" s="240"/>
      <c r="AP911" s="240"/>
      <c r="AQ911" s="730"/>
      <c r="AR911" s="730"/>
      <c r="AS911" s="730"/>
      <c r="AT911" s="738"/>
      <c r="AU911" s="738"/>
      <c r="AV911" s="240"/>
      <c r="AW911" s="240"/>
      <c r="AX911" s="240"/>
      <c r="AY911" s="240"/>
      <c r="AZ911" s="240"/>
      <c r="BA911" s="240"/>
      <c r="BB911" s="672"/>
      <c r="BC911" s="731"/>
      <c r="BD911" s="731"/>
      <c r="BE911" s="731"/>
      <c r="BF911" s="672"/>
      <c r="BG911" s="732"/>
      <c r="BH911" s="240"/>
      <c r="BI911" s="240"/>
      <c r="BJ911" s="240"/>
      <c r="BK911" s="240"/>
      <c r="BL911" s="240"/>
      <c r="BM911" s="240"/>
      <c r="BN911" s="240"/>
      <c r="BO911" s="240"/>
      <c r="BP911" s="240"/>
      <c r="BQ911" s="240"/>
      <c r="BR911" s="240"/>
      <c r="BS911" s="240"/>
      <c r="BT911" s="240"/>
      <c r="BU911" s="672"/>
      <c r="BV911" s="672"/>
      <c r="BW911" s="672"/>
      <c r="BX911" s="672"/>
      <c r="BY911" s="672"/>
      <c r="BZ911" s="672"/>
      <c r="CA911" s="672"/>
      <c r="CB911" s="672"/>
      <c r="CC911" s="672"/>
      <c r="CD911" s="672"/>
      <c r="CE911" s="240"/>
      <c r="CF911" s="240"/>
      <c r="CG911" s="240"/>
      <c r="CH911" s="240"/>
      <c r="CI911" s="240"/>
      <c r="CJ911" s="728"/>
      <c r="CK911" s="728"/>
      <c r="CL911" s="195"/>
      <c r="CM911" s="195"/>
      <c r="CN911" s="195"/>
      <c r="CO911" s="195"/>
      <c r="CP911" s="195"/>
      <c r="CQ911" s="195"/>
      <c r="CR911" s="195"/>
      <c r="CS911" s="195"/>
      <c r="CT911" s="195"/>
      <c r="CU911" s="195"/>
      <c r="CV911" s="195"/>
      <c r="CW911" s="195"/>
      <c r="CX911" s="195"/>
      <c r="CY911" s="195"/>
      <c r="CZ911" s="195"/>
      <c r="DA911" s="195"/>
      <c r="DB911" s="195"/>
      <c r="DC911" s="195"/>
      <c r="DD911" s="195"/>
      <c r="DO911" s="195"/>
      <c r="DP911" s="195"/>
      <c r="DQ911" s="195"/>
      <c r="DR911" s="195"/>
      <c r="DS911" s="195"/>
      <c r="DT911" s="195"/>
      <c r="DU911" s="195"/>
      <c r="DV911" s="195"/>
      <c r="DW911" s="195"/>
      <c r="DX911" s="195"/>
      <c r="DY911" s="195"/>
      <c r="DZ911" s="195"/>
      <c r="EA911" s="195"/>
      <c r="EB911" s="195"/>
      <c r="EC911" s="195"/>
      <c r="ED911" s="195"/>
      <c r="EE911" s="195"/>
      <c r="EK911" s="195"/>
      <c r="EL911" s="240"/>
      <c r="EM911" s="240"/>
      <c r="EN911" s="195"/>
      <c r="EO911" s="240"/>
      <c r="EP911" s="195"/>
      <c r="EQ911" s="195"/>
      <c r="ER911" s="195"/>
      <c r="ES911" s="736"/>
    </row>
    <row r="912" customFormat="false" ht="12.75" hidden="false" customHeight="false" outlineLevel="0" collapsed="false">
      <c r="I912" s="735"/>
      <c r="J912" s="728"/>
      <c r="K912" s="195"/>
      <c r="L912" s="195"/>
      <c r="Q912" s="195"/>
      <c r="R912" s="195"/>
      <c r="S912" s="240"/>
      <c r="T912" s="195"/>
      <c r="U912" s="195"/>
      <c r="V912" s="195"/>
      <c r="W912" s="195"/>
      <c r="X912" s="195"/>
      <c r="Y912" s="195"/>
      <c r="Z912" s="195"/>
      <c r="AA912" s="195"/>
      <c r="AB912" s="195"/>
      <c r="AC912" s="195"/>
      <c r="AD912" s="195"/>
      <c r="AE912" s="195"/>
      <c r="AF912" s="195"/>
      <c r="AG912" s="195"/>
      <c r="AH912" s="195"/>
      <c r="AI912" s="195"/>
      <c r="AJ912" s="195"/>
      <c r="AK912" s="195"/>
      <c r="AL912" s="195"/>
      <c r="AM912" s="1"/>
      <c r="AN912" s="240"/>
      <c r="AO912" s="240"/>
      <c r="AP912" s="240"/>
      <c r="AQ912" s="730"/>
      <c r="AR912" s="730"/>
      <c r="AS912" s="730"/>
      <c r="AT912" s="738"/>
      <c r="AU912" s="738"/>
      <c r="AV912" s="240"/>
      <c r="AW912" s="240"/>
      <c r="AX912" s="240"/>
      <c r="AY912" s="240"/>
      <c r="AZ912" s="240"/>
      <c r="BA912" s="240"/>
      <c r="BB912" s="672"/>
      <c r="BC912" s="731"/>
      <c r="BD912" s="731"/>
      <c r="BE912" s="731"/>
      <c r="BF912" s="672"/>
      <c r="BG912" s="732"/>
      <c r="BH912" s="240"/>
      <c r="BI912" s="240"/>
      <c r="BJ912" s="240"/>
      <c r="BK912" s="240"/>
      <c r="BL912" s="240"/>
      <c r="BM912" s="240"/>
      <c r="BN912" s="240"/>
      <c r="BO912" s="240"/>
      <c r="BP912" s="240"/>
      <c r="BQ912" s="240"/>
      <c r="BR912" s="240"/>
      <c r="BS912" s="240"/>
      <c r="BT912" s="240"/>
      <c r="BU912" s="672"/>
      <c r="BV912" s="672"/>
      <c r="BW912" s="672"/>
      <c r="BX912" s="672"/>
      <c r="BY912" s="672"/>
      <c r="BZ912" s="672"/>
      <c r="CA912" s="672"/>
      <c r="CB912" s="672"/>
      <c r="CC912" s="672"/>
      <c r="CD912" s="672"/>
      <c r="CE912" s="240"/>
      <c r="CF912" s="240"/>
      <c r="CG912" s="240"/>
      <c r="CH912" s="240"/>
      <c r="CI912" s="240"/>
      <c r="CJ912" s="728"/>
      <c r="CK912" s="728"/>
      <c r="CL912" s="195"/>
      <c r="CM912" s="195"/>
      <c r="CN912" s="195"/>
      <c r="CO912" s="195"/>
      <c r="CP912" s="195"/>
      <c r="CQ912" s="195"/>
      <c r="CR912" s="195"/>
      <c r="CS912" s="195"/>
      <c r="CT912" s="195"/>
      <c r="CU912" s="195"/>
      <c r="CV912" s="195"/>
      <c r="CW912" s="195"/>
      <c r="CX912" s="195"/>
      <c r="CY912" s="195"/>
      <c r="CZ912" s="195"/>
      <c r="DA912" s="195"/>
      <c r="DB912" s="195"/>
      <c r="DC912" s="195"/>
      <c r="DD912" s="195"/>
      <c r="DO912" s="195"/>
      <c r="DP912" s="195"/>
      <c r="DQ912" s="195"/>
      <c r="DR912" s="195"/>
      <c r="DS912" s="195"/>
      <c r="DT912" s="195"/>
      <c r="DU912" s="195"/>
      <c r="DV912" s="195"/>
      <c r="DW912" s="195"/>
      <c r="DX912" s="195"/>
      <c r="DY912" s="195"/>
      <c r="DZ912" s="195"/>
      <c r="EA912" s="195"/>
      <c r="EB912" s="195"/>
      <c r="EC912" s="195"/>
      <c r="ED912" s="195"/>
      <c r="EE912" s="195"/>
      <c r="EK912" s="195"/>
      <c r="EL912" s="240"/>
      <c r="EM912" s="240"/>
      <c r="EN912" s="195"/>
      <c r="EO912" s="240"/>
      <c r="EP912" s="195"/>
      <c r="EQ912" s="195"/>
      <c r="ER912" s="195"/>
      <c r="ES912" s="736"/>
    </row>
    <row r="913" customFormat="false" ht="12.75" hidden="false" customHeight="false" outlineLevel="0" collapsed="false">
      <c r="I913" s="735"/>
      <c r="J913" s="728"/>
      <c r="K913" s="195"/>
      <c r="L913" s="195"/>
      <c r="Q913" s="195"/>
      <c r="R913" s="195"/>
      <c r="S913" s="240"/>
      <c r="T913" s="195"/>
      <c r="U913" s="195"/>
      <c r="V913" s="195"/>
      <c r="W913" s="195"/>
      <c r="X913" s="195"/>
      <c r="Y913" s="195"/>
      <c r="Z913" s="195"/>
      <c r="AA913" s="195"/>
      <c r="AB913" s="195"/>
      <c r="AC913" s="195"/>
      <c r="AD913" s="195"/>
      <c r="AE913" s="195"/>
      <c r="AF913" s="195"/>
      <c r="AG913" s="195"/>
      <c r="AH913" s="195"/>
      <c r="AI913" s="195"/>
      <c r="AJ913" s="195"/>
      <c r="AK913" s="195"/>
      <c r="AL913" s="195"/>
      <c r="AM913" s="1"/>
      <c r="AN913" s="240"/>
      <c r="AO913" s="240"/>
      <c r="AP913" s="240"/>
      <c r="AQ913" s="730"/>
      <c r="AR913" s="730"/>
      <c r="AS913" s="730"/>
      <c r="AT913" s="738"/>
      <c r="AU913" s="738"/>
      <c r="AV913" s="240"/>
      <c r="AW913" s="240"/>
      <c r="AX913" s="240"/>
      <c r="AY913" s="240"/>
      <c r="AZ913" s="240"/>
      <c r="BA913" s="240"/>
      <c r="BB913" s="672"/>
      <c r="BC913" s="731"/>
      <c r="BD913" s="731"/>
      <c r="BE913" s="731"/>
      <c r="BF913" s="672"/>
      <c r="BG913" s="732"/>
      <c r="BH913" s="240"/>
      <c r="BI913" s="240"/>
      <c r="BJ913" s="240"/>
      <c r="BK913" s="240"/>
      <c r="BL913" s="240"/>
      <c r="BM913" s="240"/>
      <c r="BN913" s="240"/>
      <c r="BO913" s="240"/>
      <c r="BP913" s="240"/>
      <c r="BQ913" s="240"/>
      <c r="BR913" s="240"/>
      <c r="BS913" s="240"/>
      <c r="BT913" s="240"/>
      <c r="BU913" s="672"/>
      <c r="BV913" s="672"/>
      <c r="BW913" s="672"/>
      <c r="BX913" s="672"/>
      <c r="BY913" s="672"/>
      <c r="BZ913" s="672"/>
      <c r="CA913" s="672"/>
      <c r="CB913" s="672"/>
      <c r="CC913" s="672"/>
      <c r="CD913" s="672"/>
      <c r="CE913" s="240"/>
      <c r="CF913" s="240"/>
      <c r="CG913" s="240"/>
      <c r="CH913" s="240"/>
      <c r="CI913" s="240"/>
      <c r="CJ913" s="728"/>
      <c r="CK913" s="728"/>
      <c r="CL913" s="195"/>
      <c r="CM913" s="195"/>
      <c r="CN913" s="195"/>
      <c r="CO913" s="195"/>
      <c r="CP913" s="195"/>
      <c r="CQ913" s="195"/>
      <c r="CR913" s="195"/>
      <c r="CS913" s="195"/>
      <c r="CT913" s="195"/>
      <c r="CU913" s="195"/>
      <c r="CV913" s="195"/>
      <c r="CW913" s="195"/>
      <c r="CX913" s="195"/>
      <c r="CY913" s="195"/>
      <c r="CZ913" s="195"/>
      <c r="DA913" s="195"/>
      <c r="DB913" s="195"/>
      <c r="DC913" s="195"/>
      <c r="DD913" s="195"/>
      <c r="DO913" s="195"/>
      <c r="DP913" s="195"/>
      <c r="DQ913" s="195"/>
      <c r="DR913" s="195"/>
      <c r="DS913" s="195"/>
      <c r="DT913" s="195"/>
      <c r="DU913" s="195"/>
      <c r="DV913" s="195"/>
      <c r="DW913" s="195"/>
      <c r="DX913" s="195"/>
      <c r="DY913" s="195"/>
      <c r="DZ913" s="195"/>
      <c r="EA913" s="195"/>
      <c r="EB913" s="195"/>
      <c r="EC913" s="195"/>
      <c r="ED913" s="195"/>
      <c r="EE913" s="195"/>
      <c r="EK913" s="195"/>
      <c r="EL913" s="240"/>
      <c r="EM913" s="240"/>
      <c r="EN913" s="195"/>
      <c r="EO913" s="240"/>
      <c r="EP913" s="195"/>
      <c r="EQ913" s="195"/>
      <c r="ER913" s="195"/>
      <c r="ES913" s="736"/>
    </row>
    <row r="914" customFormat="false" ht="12.75" hidden="false" customHeight="false" outlineLevel="0" collapsed="false">
      <c r="I914" s="735"/>
      <c r="J914" s="728"/>
      <c r="K914" s="195"/>
      <c r="L914" s="195"/>
      <c r="Q914" s="195"/>
      <c r="R914" s="195"/>
      <c r="S914" s="240"/>
      <c r="T914" s="195"/>
      <c r="U914" s="195"/>
      <c r="V914" s="195"/>
      <c r="W914" s="195"/>
      <c r="X914" s="195"/>
      <c r="Y914" s="195"/>
      <c r="Z914" s="195"/>
      <c r="AA914" s="195"/>
      <c r="AB914" s="195"/>
      <c r="AC914" s="195"/>
      <c r="AD914" s="195"/>
      <c r="AE914" s="195"/>
      <c r="AF914" s="195"/>
      <c r="AG914" s="195"/>
      <c r="AH914" s="195"/>
      <c r="AI914" s="195"/>
      <c r="AJ914" s="195"/>
      <c r="AK914" s="195"/>
      <c r="AL914" s="195"/>
      <c r="AM914" s="1"/>
      <c r="AN914" s="240"/>
      <c r="AO914" s="240"/>
      <c r="AP914" s="240"/>
      <c r="AQ914" s="730"/>
      <c r="AR914" s="730"/>
      <c r="AS914" s="730"/>
      <c r="AT914" s="738"/>
      <c r="AU914" s="738"/>
      <c r="AV914" s="240"/>
      <c r="AW914" s="240"/>
      <c r="AX914" s="240"/>
      <c r="AY914" s="240"/>
      <c r="AZ914" s="240"/>
      <c r="BA914" s="240"/>
      <c r="BB914" s="672"/>
      <c r="BC914" s="731"/>
      <c r="BD914" s="731"/>
      <c r="BE914" s="731"/>
      <c r="BF914" s="672"/>
      <c r="BG914" s="732"/>
      <c r="BH914" s="240"/>
      <c r="BI914" s="240"/>
      <c r="BJ914" s="240"/>
      <c r="BK914" s="240"/>
      <c r="BL914" s="240"/>
      <c r="BM914" s="240"/>
      <c r="BN914" s="240"/>
      <c r="BO914" s="240"/>
      <c r="BP914" s="240"/>
      <c r="BQ914" s="240"/>
      <c r="BR914" s="240"/>
      <c r="BS914" s="240"/>
      <c r="BT914" s="240"/>
      <c r="BU914" s="672"/>
      <c r="BV914" s="672"/>
      <c r="BW914" s="672"/>
      <c r="BX914" s="672"/>
      <c r="BY914" s="672"/>
      <c r="BZ914" s="672"/>
      <c r="CA914" s="672"/>
      <c r="CB914" s="672"/>
      <c r="CC914" s="672"/>
      <c r="CD914" s="672"/>
      <c r="CE914" s="240"/>
      <c r="CF914" s="240"/>
      <c r="CG914" s="240"/>
      <c r="CH914" s="240"/>
      <c r="CI914" s="240"/>
      <c r="CJ914" s="728"/>
      <c r="CK914" s="728"/>
      <c r="CL914" s="195"/>
      <c r="CM914" s="195"/>
      <c r="CN914" s="195"/>
      <c r="CO914" s="195"/>
      <c r="CP914" s="195"/>
      <c r="CQ914" s="195"/>
      <c r="CR914" s="195"/>
      <c r="CS914" s="195"/>
      <c r="CT914" s="195"/>
      <c r="CU914" s="195"/>
      <c r="CV914" s="195"/>
      <c r="CW914" s="195"/>
      <c r="CX914" s="195"/>
      <c r="CY914" s="195"/>
      <c r="CZ914" s="195"/>
      <c r="DA914" s="195"/>
      <c r="DB914" s="195"/>
      <c r="DC914" s="195"/>
      <c r="DD914" s="195"/>
      <c r="DO914" s="195"/>
      <c r="DP914" s="195"/>
      <c r="DQ914" s="195"/>
      <c r="DR914" s="195"/>
      <c r="DS914" s="195"/>
      <c r="DT914" s="195"/>
      <c r="DU914" s="195"/>
      <c r="DV914" s="195"/>
      <c r="DW914" s="195"/>
      <c r="DX914" s="195"/>
      <c r="DY914" s="195"/>
      <c r="DZ914" s="195"/>
      <c r="EA914" s="195"/>
      <c r="EB914" s="195"/>
      <c r="EC914" s="195"/>
      <c r="ED914" s="195"/>
      <c r="EE914" s="195"/>
      <c r="EK914" s="195"/>
      <c r="EL914" s="240"/>
      <c r="EM914" s="240"/>
      <c r="EN914" s="195"/>
      <c r="EO914" s="240"/>
      <c r="EP914" s="195"/>
      <c r="EQ914" s="195"/>
      <c r="ER914" s="195"/>
      <c r="ES914" s="736"/>
    </row>
    <row r="915" customFormat="false" ht="12.75" hidden="false" customHeight="false" outlineLevel="0" collapsed="false">
      <c r="I915" s="735"/>
      <c r="J915" s="728"/>
      <c r="K915" s="195"/>
      <c r="L915" s="195"/>
      <c r="Q915" s="195"/>
      <c r="R915" s="195"/>
      <c r="S915" s="240"/>
      <c r="T915" s="195"/>
      <c r="U915" s="195"/>
      <c r="V915" s="195"/>
      <c r="W915" s="195"/>
      <c r="X915" s="195"/>
      <c r="Y915" s="195"/>
      <c r="Z915" s="195"/>
      <c r="AA915" s="195"/>
      <c r="AB915" s="195"/>
      <c r="AC915" s="195"/>
      <c r="AD915" s="195"/>
      <c r="AE915" s="195"/>
      <c r="AF915" s="195"/>
      <c r="AG915" s="195"/>
      <c r="AH915" s="195"/>
      <c r="AI915" s="195"/>
      <c r="AJ915" s="195"/>
      <c r="AK915" s="195"/>
      <c r="AL915" s="195"/>
      <c r="AM915" s="1"/>
      <c r="AN915" s="240"/>
      <c r="AO915" s="240"/>
      <c r="AP915" s="240"/>
      <c r="AQ915" s="730"/>
      <c r="AR915" s="730"/>
      <c r="AS915" s="730"/>
      <c r="AT915" s="738"/>
      <c r="AU915" s="738"/>
      <c r="AV915" s="240"/>
      <c r="AW915" s="240"/>
      <c r="AX915" s="240"/>
      <c r="AY915" s="240"/>
      <c r="AZ915" s="240"/>
      <c r="BA915" s="240"/>
      <c r="BB915" s="672"/>
      <c r="BC915" s="731"/>
      <c r="BD915" s="731"/>
      <c r="BE915" s="731"/>
      <c r="BF915" s="672"/>
      <c r="BG915" s="732"/>
      <c r="BH915" s="240"/>
      <c r="BI915" s="240"/>
      <c r="BJ915" s="240"/>
      <c r="BK915" s="240"/>
      <c r="BL915" s="240"/>
      <c r="BM915" s="240"/>
      <c r="BN915" s="240"/>
      <c r="BO915" s="240"/>
      <c r="BP915" s="240"/>
      <c r="BQ915" s="240"/>
      <c r="BR915" s="240"/>
      <c r="BS915" s="240"/>
      <c r="BT915" s="240"/>
      <c r="BU915" s="672"/>
      <c r="BV915" s="672"/>
      <c r="BW915" s="672"/>
      <c r="BX915" s="672"/>
      <c r="BY915" s="672"/>
      <c r="BZ915" s="672"/>
      <c r="CA915" s="672"/>
      <c r="CB915" s="672"/>
      <c r="CC915" s="672"/>
      <c r="CD915" s="672"/>
      <c r="CE915" s="240"/>
      <c r="CF915" s="240"/>
      <c r="CG915" s="240"/>
      <c r="CH915" s="240"/>
      <c r="CI915" s="240"/>
      <c r="CJ915" s="728"/>
      <c r="CK915" s="728"/>
      <c r="CL915" s="195"/>
      <c r="CM915" s="195"/>
      <c r="CN915" s="195"/>
      <c r="CO915" s="195"/>
      <c r="CP915" s="195"/>
      <c r="CQ915" s="195"/>
      <c r="CR915" s="195"/>
      <c r="CS915" s="195"/>
      <c r="CT915" s="195"/>
      <c r="CU915" s="195"/>
      <c r="CV915" s="195"/>
      <c r="CW915" s="195"/>
      <c r="CX915" s="195"/>
      <c r="CY915" s="195"/>
      <c r="CZ915" s="195"/>
      <c r="DA915" s="195"/>
      <c r="DB915" s="195"/>
      <c r="DC915" s="195"/>
      <c r="DD915" s="195"/>
      <c r="DO915" s="195"/>
      <c r="DP915" s="195"/>
      <c r="DQ915" s="195"/>
      <c r="DR915" s="195"/>
      <c r="DS915" s="195"/>
      <c r="DT915" s="195"/>
      <c r="DU915" s="195"/>
      <c r="DV915" s="195"/>
      <c r="DW915" s="195"/>
      <c r="DX915" s="195"/>
      <c r="DY915" s="195"/>
      <c r="DZ915" s="195"/>
      <c r="EA915" s="195"/>
      <c r="EB915" s="195"/>
      <c r="EC915" s="195"/>
      <c r="ED915" s="195"/>
      <c r="EE915" s="195"/>
      <c r="EK915" s="195"/>
      <c r="EL915" s="240"/>
      <c r="EM915" s="240"/>
      <c r="EN915" s="195"/>
      <c r="EO915" s="240"/>
      <c r="EP915" s="195"/>
      <c r="EQ915" s="195"/>
      <c r="ER915" s="195"/>
      <c r="ES915" s="736"/>
    </row>
    <row r="916" customFormat="false" ht="12.75" hidden="false" customHeight="false" outlineLevel="0" collapsed="false">
      <c r="I916" s="735"/>
      <c r="J916" s="728"/>
      <c r="K916" s="195"/>
      <c r="L916" s="195"/>
      <c r="Q916" s="195"/>
      <c r="R916" s="195"/>
      <c r="S916" s="240"/>
      <c r="T916" s="195"/>
      <c r="U916" s="195"/>
      <c r="V916" s="195"/>
      <c r="W916" s="195"/>
      <c r="X916" s="195"/>
      <c r="Y916" s="195"/>
      <c r="Z916" s="195"/>
      <c r="AA916" s="195"/>
      <c r="AB916" s="195"/>
      <c r="AC916" s="195"/>
      <c r="AD916" s="195"/>
      <c r="AE916" s="195"/>
      <c r="AF916" s="195"/>
      <c r="AG916" s="195"/>
      <c r="AH916" s="195"/>
      <c r="AI916" s="195"/>
      <c r="AJ916" s="195"/>
      <c r="AK916" s="195"/>
      <c r="AL916" s="195"/>
      <c r="AM916" s="1"/>
      <c r="AN916" s="240"/>
      <c r="AO916" s="240"/>
      <c r="AP916" s="240"/>
      <c r="AQ916" s="730"/>
      <c r="AR916" s="730"/>
      <c r="AS916" s="730"/>
      <c r="AT916" s="738"/>
      <c r="AU916" s="738"/>
      <c r="AV916" s="240"/>
      <c r="AW916" s="240"/>
      <c r="AX916" s="240"/>
      <c r="AY916" s="240"/>
      <c r="AZ916" s="240"/>
      <c r="BA916" s="240"/>
      <c r="BB916" s="672"/>
      <c r="BC916" s="731"/>
      <c r="BD916" s="731"/>
      <c r="BE916" s="731"/>
      <c r="BF916" s="672"/>
      <c r="BG916" s="732"/>
      <c r="BH916" s="240"/>
      <c r="BI916" s="240"/>
      <c r="BJ916" s="240"/>
      <c r="BK916" s="240"/>
      <c r="BL916" s="240"/>
      <c r="BM916" s="240"/>
      <c r="BN916" s="240"/>
      <c r="BO916" s="240"/>
      <c r="BP916" s="240"/>
      <c r="BQ916" s="240"/>
      <c r="BR916" s="240"/>
      <c r="BS916" s="240"/>
      <c r="BT916" s="240"/>
      <c r="BU916" s="672"/>
      <c r="BV916" s="672"/>
      <c r="BW916" s="672"/>
      <c r="BX916" s="672"/>
      <c r="BY916" s="672"/>
      <c r="BZ916" s="672"/>
      <c r="CA916" s="672"/>
      <c r="CB916" s="672"/>
      <c r="CC916" s="672"/>
      <c r="CD916" s="672"/>
      <c r="CE916" s="240"/>
      <c r="CF916" s="240"/>
      <c r="CG916" s="240"/>
      <c r="CH916" s="240"/>
      <c r="CI916" s="240"/>
      <c r="CJ916" s="728"/>
      <c r="CK916" s="728"/>
      <c r="CL916" s="195"/>
      <c r="CM916" s="195"/>
      <c r="CN916" s="195"/>
      <c r="CO916" s="195"/>
      <c r="CP916" s="195"/>
      <c r="CQ916" s="195"/>
      <c r="CR916" s="195"/>
      <c r="CS916" s="195"/>
      <c r="CT916" s="195"/>
      <c r="CU916" s="195"/>
      <c r="CV916" s="195"/>
      <c r="CW916" s="195"/>
      <c r="CX916" s="195"/>
      <c r="CY916" s="195"/>
      <c r="CZ916" s="195"/>
      <c r="DA916" s="195"/>
      <c r="DB916" s="195"/>
      <c r="DC916" s="195"/>
      <c r="DD916" s="195"/>
      <c r="DO916" s="195"/>
      <c r="DP916" s="195"/>
      <c r="DQ916" s="195"/>
      <c r="DR916" s="195"/>
      <c r="DS916" s="195"/>
      <c r="DT916" s="195"/>
      <c r="DU916" s="195"/>
      <c r="DV916" s="195"/>
      <c r="DW916" s="195"/>
      <c r="DX916" s="195"/>
      <c r="DY916" s="195"/>
      <c r="DZ916" s="195"/>
      <c r="EA916" s="195"/>
      <c r="EB916" s="195"/>
      <c r="EC916" s="195"/>
      <c r="ED916" s="195"/>
      <c r="EE916" s="195"/>
      <c r="EK916" s="195"/>
      <c r="EL916" s="240"/>
      <c r="EM916" s="240"/>
      <c r="EN916" s="195"/>
      <c r="EO916" s="240"/>
      <c r="EP916" s="195"/>
      <c r="EQ916" s="195"/>
      <c r="ER916" s="195"/>
      <c r="ES916" s="736"/>
    </row>
    <row r="917" customFormat="false" ht="12.75" hidden="false" customHeight="false" outlineLevel="0" collapsed="false">
      <c r="I917" s="735"/>
      <c r="J917" s="728"/>
      <c r="K917" s="195"/>
      <c r="L917" s="195"/>
      <c r="Q917" s="195"/>
      <c r="R917" s="195"/>
      <c r="S917" s="240"/>
      <c r="T917" s="195"/>
      <c r="U917" s="195"/>
      <c r="V917" s="195"/>
      <c r="W917" s="195"/>
      <c r="X917" s="195"/>
      <c r="Y917" s="195"/>
      <c r="Z917" s="195"/>
      <c r="AA917" s="195"/>
      <c r="AB917" s="195"/>
      <c r="AC917" s="195"/>
      <c r="AD917" s="195"/>
      <c r="AE917" s="195"/>
      <c r="AF917" s="195"/>
      <c r="AG917" s="195"/>
      <c r="AH917" s="195"/>
      <c r="AI917" s="195"/>
      <c r="AJ917" s="195"/>
      <c r="AK917" s="195"/>
      <c r="AL917" s="195"/>
      <c r="AM917" s="1"/>
      <c r="AN917" s="240"/>
      <c r="AO917" s="240"/>
      <c r="AP917" s="240"/>
      <c r="AQ917" s="730"/>
      <c r="AR917" s="730"/>
      <c r="AS917" s="730"/>
      <c r="AT917" s="738"/>
      <c r="AU917" s="738"/>
      <c r="AV917" s="240"/>
      <c r="AW917" s="240"/>
      <c r="AX917" s="240"/>
      <c r="AY917" s="240"/>
      <c r="AZ917" s="240"/>
      <c r="BA917" s="240"/>
      <c r="BB917" s="672"/>
      <c r="BC917" s="731"/>
      <c r="BD917" s="731"/>
      <c r="BE917" s="731"/>
      <c r="BF917" s="672"/>
      <c r="BG917" s="732"/>
      <c r="BH917" s="240"/>
      <c r="BI917" s="240"/>
      <c r="BJ917" s="240"/>
      <c r="BK917" s="240"/>
      <c r="BL917" s="240"/>
      <c r="BM917" s="240"/>
      <c r="BN917" s="240"/>
      <c r="BO917" s="240"/>
      <c r="BP917" s="240"/>
      <c r="BQ917" s="240"/>
      <c r="BR917" s="240"/>
      <c r="BS917" s="240"/>
      <c r="BT917" s="240"/>
      <c r="BU917" s="672"/>
      <c r="BV917" s="672"/>
      <c r="BW917" s="672"/>
      <c r="BX917" s="672"/>
      <c r="BY917" s="672"/>
      <c r="BZ917" s="672"/>
      <c r="CA917" s="672"/>
      <c r="CB917" s="672"/>
      <c r="CC917" s="672"/>
      <c r="CD917" s="672"/>
      <c r="CE917" s="240"/>
      <c r="CF917" s="240"/>
      <c r="CG917" s="240"/>
      <c r="CH917" s="240"/>
      <c r="CI917" s="240"/>
      <c r="CJ917" s="728"/>
      <c r="CK917" s="728"/>
      <c r="CL917" s="195"/>
      <c r="CM917" s="195"/>
      <c r="CN917" s="195"/>
      <c r="CO917" s="195"/>
      <c r="CP917" s="195"/>
      <c r="CQ917" s="195"/>
      <c r="CR917" s="195"/>
      <c r="CS917" s="195"/>
      <c r="CT917" s="195"/>
      <c r="CU917" s="195"/>
      <c r="CV917" s="195"/>
      <c r="CW917" s="195"/>
      <c r="CX917" s="195"/>
      <c r="CY917" s="195"/>
      <c r="CZ917" s="195"/>
      <c r="DA917" s="195"/>
      <c r="DB917" s="195"/>
      <c r="DC917" s="195"/>
      <c r="DD917" s="195"/>
      <c r="DO917" s="195"/>
      <c r="DP917" s="195"/>
      <c r="DQ917" s="195"/>
      <c r="DR917" s="195"/>
      <c r="DS917" s="195"/>
      <c r="DT917" s="195"/>
      <c r="DU917" s="195"/>
      <c r="DV917" s="195"/>
      <c r="DW917" s="195"/>
      <c r="DX917" s="195"/>
      <c r="DY917" s="195"/>
      <c r="DZ917" s="195"/>
      <c r="EA917" s="195"/>
      <c r="EB917" s="195"/>
      <c r="EC917" s="195"/>
      <c r="ED917" s="195"/>
      <c r="EE917" s="195"/>
      <c r="EK917" s="195"/>
      <c r="EL917" s="240"/>
      <c r="EM917" s="240"/>
      <c r="EN917" s="195"/>
      <c r="EO917" s="240"/>
      <c r="EP917" s="195"/>
      <c r="EQ917" s="195"/>
      <c r="ER917" s="195"/>
      <c r="ES917" s="736"/>
    </row>
    <row r="918" customFormat="false" ht="12.75" hidden="false" customHeight="false" outlineLevel="0" collapsed="false">
      <c r="I918" s="735"/>
      <c r="J918" s="728"/>
      <c r="K918" s="195"/>
      <c r="L918" s="195"/>
      <c r="Q918" s="195"/>
      <c r="R918" s="195"/>
      <c r="S918" s="240"/>
      <c r="T918" s="195"/>
      <c r="U918" s="195"/>
      <c r="V918" s="195"/>
      <c r="W918" s="195"/>
      <c r="X918" s="195"/>
      <c r="Y918" s="195"/>
      <c r="Z918" s="195"/>
      <c r="AA918" s="195"/>
      <c r="AB918" s="195"/>
      <c r="AC918" s="195"/>
      <c r="AD918" s="195"/>
      <c r="AE918" s="195"/>
      <c r="AF918" s="195"/>
      <c r="AG918" s="195"/>
      <c r="AH918" s="195"/>
      <c r="AI918" s="195"/>
      <c r="AJ918" s="195"/>
      <c r="AK918" s="195"/>
      <c r="AL918" s="195"/>
      <c r="AM918" s="1"/>
      <c r="AN918" s="240"/>
      <c r="AO918" s="240"/>
      <c r="AP918" s="240"/>
      <c r="AQ918" s="730"/>
      <c r="AR918" s="730"/>
      <c r="AS918" s="730"/>
      <c r="AT918" s="738"/>
      <c r="AU918" s="738"/>
      <c r="AV918" s="240"/>
      <c r="AW918" s="240"/>
      <c r="AX918" s="240"/>
      <c r="AY918" s="240"/>
      <c r="AZ918" s="240"/>
      <c r="BA918" s="240"/>
      <c r="BB918" s="672"/>
      <c r="BC918" s="731"/>
      <c r="BD918" s="731"/>
      <c r="BE918" s="731"/>
      <c r="BF918" s="672"/>
      <c r="BG918" s="732"/>
      <c r="BH918" s="240"/>
      <c r="BI918" s="240"/>
      <c r="BJ918" s="240"/>
      <c r="BK918" s="240"/>
      <c r="BL918" s="240"/>
      <c r="BM918" s="240"/>
      <c r="BN918" s="240"/>
      <c r="BO918" s="240"/>
      <c r="BP918" s="240"/>
      <c r="BQ918" s="240"/>
      <c r="BR918" s="240"/>
      <c r="BS918" s="240"/>
      <c r="BT918" s="240"/>
      <c r="BU918" s="672"/>
      <c r="BV918" s="672"/>
      <c r="BW918" s="672"/>
      <c r="BX918" s="672"/>
      <c r="BY918" s="672"/>
      <c r="BZ918" s="672"/>
      <c r="CA918" s="672"/>
      <c r="CB918" s="672"/>
      <c r="CC918" s="672"/>
      <c r="CD918" s="672"/>
      <c r="CE918" s="240"/>
      <c r="CF918" s="240"/>
      <c r="CG918" s="240"/>
      <c r="CH918" s="240"/>
      <c r="CI918" s="240"/>
      <c r="CJ918" s="728"/>
      <c r="CK918" s="728"/>
      <c r="CL918" s="195"/>
      <c r="CM918" s="195"/>
      <c r="CN918" s="195"/>
      <c r="CO918" s="195"/>
      <c r="CP918" s="195"/>
      <c r="CQ918" s="195"/>
      <c r="CR918" s="195"/>
      <c r="CS918" s="195"/>
      <c r="CT918" s="195"/>
      <c r="CU918" s="195"/>
      <c r="CV918" s="195"/>
      <c r="CW918" s="195"/>
      <c r="CX918" s="195"/>
      <c r="CY918" s="195"/>
      <c r="CZ918" s="195"/>
      <c r="DA918" s="195"/>
      <c r="DB918" s="195"/>
      <c r="DC918" s="195"/>
      <c r="DD918" s="195"/>
      <c r="DO918" s="195"/>
      <c r="DP918" s="195"/>
      <c r="DQ918" s="195"/>
      <c r="DR918" s="195"/>
      <c r="DS918" s="195"/>
      <c r="DT918" s="195"/>
      <c r="DU918" s="195"/>
      <c r="DV918" s="195"/>
      <c r="DW918" s="195"/>
      <c r="DX918" s="195"/>
      <c r="DY918" s="195"/>
      <c r="DZ918" s="195"/>
      <c r="EA918" s="195"/>
      <c r="EB918" s="195"/>
      <c r="EC918" s="195"/>
      <c r="ED918" s="195"/>
      <c r="EE918" s="195"/>
      <c r="EK918" s="195"/>
      <c r="EL918" s="240"/>
      <c r="EM918" s="240"/>
      <c r="EN918" s="195"/>
      <c r="EO918" s="240"/>
      <c r="EP918" s="195"/>
      <c r="EQ918" s="195"/>
      <c r="ER918" s="195"/>
      <c r="ES918" s="736"/>
    </row>
    <row r="919" customFormat="false" ht="12.75" hidden="false" customHeight="false" outlineLevel="0" collapsed="false">
      <c r="I919" s="735"/>
      <c r="J919" s="728"/>
      <c r="K919" s="195"/>
      <c r="L919" s="195"/>
      <c r="Q919" s="195"/>
      <c r="R919" s="195"/>
      <c r="S919" s="240"/>
      <c r="T919" s="195"/>
      <c r="U919" s="195"/>
      <c r="V919" s="195"/>
      <c r="W919" s="195"/>
      <c r="X919" s="195"/>
      <c r="Y919" s="195"/>
      <c r="Z919" s="195"/>
      <c r="AA919" s="195"/>
      <c r="AB919" s="195"/>
      <c r="AC919" s="195"/>
      <c r="AD919" s="195"/>
      <c r="AE919" s="195"/>
      <c r="AF919" s="195"/>
      <c r="AG919" s="195"/>
      <c r="AH919" s="195"/>
      <c r="AI919" s="195"/>
      <c r="AJ919" s="195"/>
      <c r="AK919" s="195"/>
      <c r="AL919" s="195"/>
      <c r="AM919" s="1"/>
      <c r="AN919" s="240"/>
      <c r="AO919" s="240"/>
      <c r="AP919" s="240"/>
      <c r="AQ919" s="730"/>
      <c r="AR919" s="730"/>
      <c r="AS919" s="730"/>
      <c r="AT919" s="738"/>
      <c r="AU919" s="738"/>
      <c r="AV919" s="240"/>
      <c r="AW919" s="240"/>
      <c r="AX919" s="240"/>
      <c r="AY919" s="240"/>
      <c r="AZ919" s="240"/>
      <c r="BA919" s="240"/>
      <c r="BB919" s="672"/>
      <c r="BC919" s="731"/>
      <c r="BD919" s="731"/>
      <c r="BE919" s="731"/>
      <c r="BF919" s="672"/>
      <c r="BG919" s="732"/>
      <c r="BH919" s="240"/>
      <c r="BI919" s="240"/>
      <c r="BJ919" s="240"/>
      <c r="BK919" s="240"/>
      <c r="BL919" s="240"/>
      <c r="BM919" s="240"/>
      <c r="BN919" s="240"/>
      <c r="BO919" s="240"/>
      <c r="BP919" s="240"/>
      <c r="BQ919" s="240"/>
      <c r="BR919" s="240"/>
      <c r="BS919" s="240"/>
      <c r="BT919" s="240"/>
      <c r="BU919" s="672"/>
      <c r="BV919" s="672"/>
      <c r="BW919" s="672"/>
      <c r="BX919" s="672"/>
      <c r="BY919" s="672"/>
      <c r="BZ919" s="672"/>
      <c r="CA919" s="672"/>
      <c r="CB919" s="672"/>
      <c r="CC919" s="672"/>
      <c r="CD919" s="672"/>
      <c r="CE919" s="240"/>
      <c r="CF919" s="240"/>
      <c r="CG919" s="240"/>
      <c r="CH919" s="240"/>
      <c r="CI919" s="240"/>
      <c r="CJ919" s="728"/>
      <c r="CK919" s="728"/>
      <c r="CL919" s="195"/>
      <c r="CM919" s="195"/>
      <c r="CN919" s="195"/>
      <c r="CO919" s="195"/>
      <c r="CP919" s="195"/>
      <c r="CQ919" s="195"/>
      <c r="CR919" s="195"/>
      <c r="CS919" s="195"/>
      <c r="CT919" s="195"/>
      <c r="CU919" s="195"/>
      <c r="CV919" s="195"/>
      <c r="CW919" s="195"/>
      <c r="CX919" s="195"/>
      <c r="CY919" s="195"/>
      <c r="CZ919" s="195"/>
      <c r="DA919" s="195"/>
      <c r="DB919" s="195"/>
      <c r="DC919" s="195"/>
      <c r="DD919" s="195"/>
      <c r="DO919" s="195"/>
      <c r="DP919" s="195"/>
      <c r="DQ919" s="195"/>
      <c r="DR919" s="195"/>
      <c r="DS919" s="195"/>
      <c r="DT919" s="195"/>
      <c r="DU919" s="195"/>
      <c r="DV919" s="195"/>
      <c r="DW919" s="195"/>
      <c r="DX919" s="195"/>
      <c r="DY919" s="195"/>
      <c r="DZ919" s="195"/>
      <c r="EA919" s="195"/>
      <c r="EB919" s="195"/>
      <c r="EC919" s="195"/>
      <c r="ED919" s="195"/>
      <c r="EE919" s="195"/>
      <c r="EK919" s="195"/>
      <c r="EL919" s="240"/>
      <c r="EM919" s="240"/>
      <c r="EN919" s="195"/>
      <c r="EO919" s="240"/>
      <c r="EP919" s="195"/>
      <c r="EQ919" s="195"/>
      <c r="ER919" s="195"/>
      <c r="ES919" s="736"/>
    </row>
    <row r="920" customFormat="false" ht="12.75" hidden="false" customHeight="false" outlineLevel="0" collapsed="false">
      <c r="I920" s="735"/>
      <c r="J920" s="728"/>
      <c r="K920" s="195"/>
      <c r="L920" s="195"/>
      <c r="Q920" s="195"/>
      <c r="R920" s="195"/>
      <c r="S920" s="240"/>
      <c r="T920" s="195"/>
      <c r="U920" s="195"/>
      <c r="V920" s="195"/>
      <c r="W920" s="195"/>
      <c r="X920" s="195"/>
      <c r="Y920" s="195"/>
      <c r="Z920" s="195"/>
      <c r="AA920" s="195"/>
      <c r="AB920" s="195"/>
      <c r="AC920" s="195"/>
      <c r="AD920" s="195"/>
      <c r="AE920" s="195"/>
      <c r="AF920" s="195"/>
      <c r="AG920" s="195"/>
      <c r="AH920" s="195"/>
      <c r="AI920" s="195"/>
      <c r="AJ920" s="195"/>
      <c r="AK920" s="195"/>
      <c r="AL920" s="195"/>
      <c r="AM920" s="1"/>
      <c r="AN920" s="240"/>
      <c r="AO920" s="240"/>
      <c r="AP920" s="240"/>
      <c r="AQ920" s="730"/>
      <c r="AR920" s="730"/>
      <c r="AS920" s="730"/>
      <c r="AT920" s="738"/>
      <c r="AU920" s="738"/>
      <c r="AV920" s="240"/>
      <c r="AW920" s="240"/>
      <c r="AX920" s="240"/>
      <c r="AY920" s="240"/>
      <c r="AZ920" s="240"/>
      <c r="BA920" s="240"/>
      <c r="BB920" s="672"/>
      <c r="BC920" s="731"/>
      <c r="BD920" s="731"/>
      <c r="BE920" s="731"/>
      <c r="BF920" s="672"/>
      <c r="BG920" s="732"/>
      <c r="BH920" s="240"/>
      <c r="BI920" s="240"/>
      <c r="BJ920" s="240"/>
      <c r="BK920" s="240"/>
      <c r="BL920" s="240"/>
      <c r="BM920" s="240"/>
      <c r="BN920" s="240"/>
      <c r="BO920" s="240"/>
      <c r="BP920" s="240"/>
      <c r="BQ920" s="240"/>
      <c r="BR920" s="240"/>
      <c r="BS920" s="240"/>
      <c r="BT920" s="240"/>
      <c r="BU920" s="672"/>
      <c r="BV920" s="672"/>
      <c r="BW920" s="672"/>
      <c r="BX920" s="672"/>
      <c r="BY920" s="672"/>
      <c r="BZ920" s="672"/>
      <c r="CA920" s="672"/>
      <c r="CB920" s="672"/>
      <c r="CC920" s="672"/>
      <c r="CD920" s="672"/>
      <c r="CE920" s="240"/>
      <c r="CF920" s="240"/>
      <c r="CG920" s="240"/>
      <c r="CH920" s="240"/>
      <c r="CI920" s="240"/>
      <c r="CJ920" s="728"/>
      <c r="CK920" s="728"/>
      <c r="CL920" s="195"/>
      <c r="CM920" s="195"/>
      <c r="CN920" s="195"/>
      <c r="CO920" s="195"/>
      <c r="CP920" s="195"/>
      <c r="CQ920" s="195"/>
      <c r="CR920" s="195"/>
      <c r="CS920" s="195"/>
      <c r="CT920" s="195"/>
      <c r="CU920" s="195"/>
      <c r="CV920" s="195"/>
      <c r="CW920" s="195"/>
      <c r="CX920" s="195"/>
      <c r="CY920" s="195"/>
      <c r="CZ920" s="195"/>
      <c r="DA920" s="195"/>
      <c r="DB920" s="195"/>
      <c r="DC920" s="195"/>
      <c r="DD920" s="195"/>
      <c r="DO920" s="195"/>
      <c r="DP920" s="195"/>
      <c r="DQ920" s="195"/>
      <c r="DR920" s="195"/>
      <c r="DS920" s="195"/>
      <c r="DT920" s="195"/>
      <c r="DU920" s="195"/>
      <c r="DV920" s="195"/>
      <c r="DW920" s="195"/>
      <c r="DX920" s="195"/>
      <c r="DY920" s="195"/>
      <c r="DZ920" s="195"/>
      <c r="EA920" s="195"/>
      <c r="EB920" s="195"/>
      <c r="EC920" s="195"/>
      <c r="ED920" s="195"/>
      <c r="EE920" s="195"/>
      <c r="EK920" s="195"/>
      <c r="EL920" s="240"/>
      <c r="EM920" s="240"/>
      <c r="EN920" s="195"/>
      <c r="EO920" s="240"/>
      <c r="EP920" s="195"/>
      <c r="EQ920" s="195"/>
      <c r="ER920" s="195"/>
      <c r="ES920" s="736"/>
    </row>
    <row r="921" customFormat="false" ht="12.75" hidden="false" customHeight="false" outlineLevel="0" collapsed="false">
      <c r="I921" s="735"/>
      <c r="J921" s="728"/>
      <c r="K921" s="195"/>
      <c r="L921" s="195"/>
      <c r="Q921" s="195"/>
      <c r="R921" s="195"/>
      <c r="S921" s="240"/>
      <c r="T921" s="195"/>
      <c r="U921" s="195"/>
      <c r="V921" s="195"/>
      <c r="W921" s="195"/>
      <c r="X921" s="195"/>
      <c r="Y921" s="195"/>
      <c r="Z921" s="195"/>
      <c r="AA921" s="195"/>
      <c r="AB921" s="195"/>
      <c r="AC921" s="195"/>
      <c r="AD921" s="195"/>
      <c r="AE921" s="195"/>
      <c r="AF921" s="195"/>
      <c r="AG921" s="195"/>
      <c r="AH921" s="195"/>
      <c r="AI921" s="195"/>
      <c r="AJ921" s="195"/>
      <c r="AK921" s="195"/>
      <c r="AL921" s="195"/>
      <c r="AM921" s="1"/>
      <c r="AN921" s="240"/>
      <c r="AO921" s="240"/>
      <c r="AP921" s="240"/>
      <c r="AQ921" s="730"/>
      <c r="AR921" s="730"/>
      <c r="AS921" s="730"/>
      <c r="AT921" s="738"/>
      <c r="AU921" s="738"/>
      <c r="AV921" s="240"/>
      <c r="AW921" s="240"/>
      <c r="AX921" s="240"/>
      <c r="AY921" s="240"/>
      <c r="AZ921" s="240"/>
      <c r="BA921" s="240"/>
      <c r="BB921" s="672"/>
      <c r="BC921" s="731"/>
      <c r="BD921" s="731"/>
      <c r="BE921" s="731"/>
      <c r="BF921" s="672"/>
      <c r="BG921" s="732"/>
      <c r="BH921" s="240"/>
      <c r="BI921" s="240"/>
      <c r="BJ921" s="240"/>
      <c r="BK921" s="240"/>
      <c r="BL921" s="240"/>
      <c r="BM921" s="240"/>
      <c r="BN921" s="240"/>
      <c r="BO921" s="240"/>
      <c r="BP921" s="240"/>
      <c r="BQ921" s="240"/>
      <c r="BR921" s="240"/>
      <c r="BS921" s="240"/>
      <c r="BT921" s="240"/>
      <c r="BU921" s="672"/>
      <c r="BV921" s="672"/>
      <c r="BW921" s="672"/>
      <c r="BX921" s="672"/>
      <c r="BY921" s="672"/>
      <c r="BZ921" s="672"/>
      <c r="CA921" s="672"/>
      <c r="CB921" s="672"/>
      <c r="CC921" s="672"/>
      <c r="CD921" s="672"/>
      <c r="CE921" s="240"/>
      <c r="CF921" s="240"/>
      <c r="CG921" s="240"/>
      <c r="CH921" s="240"/>
      <c r="CI921" s="240"/>
      <c r="CJ921" s="728"/>
      <c r="CK921" s="728"/>
      <c r="CL921" s="195"/>
      <c r="CM921" s="195"/>
      <c r="CN921" s="195"/>
      <c r="CO921" s="195"/>
      <c r="CP921" s="195"/>
      <c r="CQ921" s="195"/>
      <c r="CR921" s="195"/>
      <c r="CS921" s="195"/>
      <c r="CT921" s="195"/>
      <c r="CU921" s="195"/>
      <c r="CV921" s="195"/>
      <c r="CW921" s="195"/>
      <c r="CX921" s="195"/>
      <c r="CY921" s="195"/>
      <c r="CZ921" s="195"/>
      <c r="DA921" s="195"/>
      <c r="DB921" s="195"/>
      <c r="DC921" s="195"/>
      <c r="DD921" s="195"/>
      <c r="DO921" s="195"/>
      <c r="DP921" s="195"/>
      <c r="DQ921" s="195"/>
      <c r="DR921" s="195"/>
      <c r="DS921" s="195"/>
      <c r="DT921" s="195"/>
      <c r="DU921" s="195"/>
      <c r="DV921" s="195"/>
      <c r="DW921" s="195"/>
      <c r="DX921" s="195"/>
      <c r="DY921" s="195"/>
      <c r="DZ921" s="195"/>
      <c r="EA921" s="195"/>
      <c r="EB921" s="195"/>
      <c r="EC921" s="195"/>
      <c r="ED921" s="195"/>
      <c r="EE921" s="195"/>
      <c r="EK921" s="195"/>
      <c r="EL921" s="240"/>
      <c r="EM921" s="240"/>
      <c r="EN921" s="195"/>
      <c r="EO921" s="240"/>
      <c r="EP921" s="195"/>
      <c r="EQ921" s="195"/>
      <c r="ER921" s="195"/>
      <c r="ES921" s="736"/>
    </row>
    <row r="922" customFormat="false" ht="12.75" hidden="false" customHeight="false" outlineLevel="0" collapsed="false">
      <c r="I922" s="735"/>
      <c r="J922" s="728"/>
      <c r="K922" s="195"/>
      <c r="L922" s="195"/>
      <c r="Q922" s="195"/>
      <c r="R922" s="195"/>
      <c r="S922" s="240"/>
      <c r="T922" s="195"/>
      <c r="U922" s="195"/>
      <c r="V922" s="195"/>
      <c r="W922" s="195"/>
      <c r="X922" s="195"/>
      <c r="Y922" s="195"/>
      <c r="Z922" s="195"/>
      <c r="AA922" s="195"/>
      <c r="AB922" s="195"/>
      <c r="AC922" s="195"/>
      <c r="AD922" s="195"/>
      <c r="AE922" s="195"/>
      <c r="AF922" s="195"/>
      <c r="AG922" s="195"/>
      <c r="AH922" s="195"/>
      <c r="AI922" s="195"/>
      <c r="AJ922" s="195"/>
      <c r="AK922" s="195"/>
      <c r="AL922" s="195"/>
      <c r="AM922" s="1"/>
      <c r="AN922" s="240"/>
      <c r="AO922" s="240"/>
      <c r="AP922" s="240"/>
      <c r="AQ922" s="730"/>
      <c r="AR922" s="730"/>
      <c r="AS922" s="730"/>
      <c r="AT922" s="738"/>
      <c r="AU922" s="738"/>
      <c r="AV922" s="240"/>
      <c r="AW922" s="240"/>
      <c r="AX922" s="240"/>
      <c r="AY922" s="240"/>
      <c r="AZ922" s="240"/>
      <c r="BA922" s="240"/>
      <c r="BB922" s="672"/>
      <c r="BC922" s="731"/>
      <c r="BD922" s="731"/>
      <c r="BE922" s="731"/>
      <c r="BF922" s="672"/>
      <c r="BG922" s="732"/>
      <c r="BH922" s="240"/>
      <c r="BI922" s="240"/>
      <c r="BJ922" s="240"/>
      <c r="BK922" s="240"/>
      <c r="BL922" s="240"/>
      <c r="BM922" s="240"/>
      <c r="BN922" s="240"/>
      <c r="BO922" s="240"/>
      <c r="BP922" s="240"/>
      <c r="BQ922" s="240"/>
      <c r="BR922" s="240"/>
      <c r="BS922" s="240"/>
      <c r="BT922" s="240"/>
      <c r="BU922" s="672"/>
      <c r="BV922" s="672"/>
      <c r="BW922" s="672"/>
      <c r="BX922" s="672"/>
      <c r="BY922" s="672"/>
      <c r="BZ922" s="672"/>
      <c r="CA922" s="672"/>
      <c r="CB922" s="672"/>
      <c r="CC922" s="672"/>
      <c r="CD922" s="672"/>
      <c r="CE922" s="240"/>
      <c r="CF922" s="240"/>
      <c r="CG922" s="240"/>
      <c r="CH922" s="240"/>
      <c r="CI922" s="240"/>
      <c r="CJ922" s="728"/>
      <c r="CK922" s="728"/>
      <c r="CL922" s="195"/>
      <c r="CM922" s="195"/>
      <c r="CN922" s="195"/>
      <c r="CO922" s="195"/>
      <c r="CP922" s="195"/>
      <c r="CQ922" s="195"/>
      <c r="CR922" s="195"/>
      <c r="CS922" s="195"/>
      <c r="CT922" s="195"/>
      <c r="CU922" s="195"/>
      <c r="CV922" s="195"/>
      <c r="CW922" s="195"/>
      <c r="CX922" s="195"/>
      <c r="CY922" s="195"/>
      <c r="CZ922" s="195"/>
      <c r="DA922" s="195"/>
      <c r="DB922" s="195"/>
      <c r="DC922" s="195"/>
      <c r="DD922" s="195"/>
      <c r="DO922" s="195"/>
      <c r="DP922" s="195"/>
      <c r="DQ922" s="195"/>
      <c r="DR922" s="195"/>
      <c r="DS922" s="195"/>
      <c r="DT922" s="195"/>
      <c r="DU922" s="195"/>
      <c r="DV922" s="195"/>
      <c r="DW922" s="195"/>
      <c r="DX922" s="195"/>
      <c r="DY922" s="195"/>
      <c r="DZ922" s="195"/>
      <c r="EA922" s="195"/>
      <c r="EB922" s="195"/>
      <c r="EC922" s="195"/>
      <c r="ED922" s="195"/>
      <c r="EE922" s="195"/>
      <c r="EK922" s="195"/>
      <c r="EL922" s="240"/>
      <c r="EM922" s="240"/>
      <c r="EN922" s="195"/>
      <c r="EO922" s="240"/>
      <c r="EP922" s="195"/>
      <c r="EQ922" s="195"/>
      <c r="ER922" s="195"/>
      <c r="ES922" s="736"/>
    </row>
    <row r="923" customFormat="false" ht="12.75" hidden="false" customHeight="false" outlineLevel="0" collapsed="false">
      <c r="I923" s="735"/>
      <c r="J923" s="728"/>
      <c r="K923" s="195"/>
      <c r="L923" s="195"/>
      <c r="Q923" s="195"/>
      <c r="R923" s="195"/>
      <c r="S923" s="240"/>
      <c r="T923" s="195"/>
      <c r="U923" s="195"/>
      <c r="V923" s="195"/>
      <c r="W923" s="195"/>
      <c r="X923" s="195"/>
      <c r="Y923" s="195"/>
      <c r="Z923" s="195"/>
      <c r="AA923" s="195"/>
      <c r="AB923" s="195"/>
      <c r="AC923" s="195"/>
      <c r="AD923" s="195"/>
      <c r="AE923" s="195"/>
      <c r="AF923" s="195"/>
      <c r="AG923" s="195"/>
      <c r="AH923" s="195"/>
      <c r="AI923" s="195"/>
      <c r="AJ923" s="195"/>
      <c r="AK923" s="195"/>
      <c r="AL923" s="195"/>
      <c r="AM923" s="1"/>
      <c r="AN923" s="240"/>
      <c r="AO923" s="240"/>
      <c r="AP923" s="240"/>
      <c r="AQ923" s="730"/>
      <c r="AR923" s="730"/>
      <c r="AS923" s="730"/>
      <c r="AT923" s="738"/>
      <c r="AU923" s="738"/>
      <c r="AV923" s="240"/>
      <c r="AW923" s="240"/>
      <c r="AX923" s="240"/>
      <c r="AY923" s="240"/>
      <c r="AZ923" s="240"/>
      <c r="BA923" s="240"/>
      <c r="BB923" s="672"/>
      <c r="BC923" s="731"/>
      <c r="BD923" s="731"/>
      <c r="BE923" s="731"/>
      <c r="BF923" s="672"/>
      <c r="BG923" s="732"/>
      <c r="BH923" s="240"/>
      <c r="BI923" s="240"/>
      <c r="BJ923" s="240"/>
      <c r="BK923" s="240"/>
      <c r="BL923" s="240"/>
      <c r="BM923" s="240"/>
      <c r="BN923" s="240"/>
      <c r="BO923" s="240"/>
      <c r="BP923" s="240"/>
      <c r="BQ923" s="240"/>
      <c r="BR923" s="240"/>
      <c r="BS923" s="240"/>
      <c r="BT923" s="240"/>
      <c r="BU923" s="672"/>
      <c r="BV923" s="672"/>
      <c r="BW923" s="672"/>
      <c r="BX923" s="672"/>
      <c r="BY923" s="672"/>
      <c r="BZ923" s="672"/>
      <c r="CA923" s="672"/>
      <c r="CB923" s="672"/>
      <c r="CC923" s="672"/>
      <c r="CD923" s="672"/>
      <c r="CE923" s="240"/>
      <c r="CF923" s="240"/>
      <c r="CG923" s="240"/>
      <c r="CH923" s="240"/>
      <c r="CI923" s="240"/>
      <c r="CJ923" s="728"/>
      <c r="CK923" s="728"/>
      <c r="CL923" s="195"/>
      <c r="CM923" s="195"/>
      <c r="CN923" s="195"/>
      <c r="CO923" s="195"/>
      <c r="CP923" s="195"/>
      <c r="CQ923" s="195"/>
      <c r="CR923" s="195"/>
      <c r="CS923" s="195"/>
      <c r="CT923" s="195"/>
      <c r="CU923" s="195"/>
      <c r="CV923" s="195"/>
      <c r="CW923" s="195"/>
      <c r="CX923" s="195"/>
      <c r="CY923" s="195"/>
      <c r="CZ923" s="195"/>
      <c r="DA923" s="195"/>
      <c r="DB923" s="195"/>
      <c r="DC923" s="195"/>
      <c r="DD923" s="195"/>
      <c r="DO923" s="195"/>
      <c r="DP923" s="195"/>
      <c r="DQ923" s="195"/>
      <c r="DR923" s="195"/>
      <c r="DS923" s="195"/>
      <c r="DT923" s="195"/>
      <c r="DU923" s="195"/>
      <c r="DV923" s="195"/>
      <c r="DW923" s="195"/>
      <c r="DX923" s="195"/>
      <c r="DY923" s="195"/>
      <c r="DZ923" s="195"/>
      <c r="EA923" s="195"/>
      <c r="EB923" s="195"/>
      <c r="EC923" s="195"/>
      <c r="ED923" s="195"/>
      <c r="EE923" s="195"/>
      <c r="EK923" s="195"/>
      <c r="EL923" s="240"/>
      <c r="EM923" s="240"/>
      <c r="EN923" s="195"/>
      <c r="EO923" s="240"/>
      <c r="EP923" s="195"/>
      <c r="EQ923" s="195"/>
      <c r="ER923" s="195"/>
      <c r="ES923" s="736"/>
    </row>
    <row r="924" customFormat="false" ht="12.75" hidden="false" customHeight="false" outlineLevel="0" collapsed="false">
      <c r="I924" s="735"/>
      <c r="J924" s="728"/>
      <c r="K924" s="195"/>
      <c r="L924" s="195"/>
      <c r="Q924" s="195"/>
      <c r="R924" s="195"/>
      <c r="S924" s="240"/>
      <c r="T924" s="195"/>
      <c r="U924" s="195"/>
      <c r="V924" s="195"/>
      <c r="W924" s="195"/>
      <c r="X924" s="195"/>
      <c r="Y924" s="195"/>
      <c r="Z924" s="195"/>
      <c r="AA924" s="195"/>
      <c r="AB924" s="195"/>
      <c r="AC924" s="195"/>
      <c r="AD924" s="195"/>
      <c r="AE924" s="195"/>
      <c r="AF924" s="195"/>
      <c r="AG924" s="195"/>
      <c r="AH924" s="195"/>
      <c r="AI924" s="195"/>
      <c r="AJ924" s="195"/>
      <c r="AK924" s="195"/>
      <c r="AL924" s="195"/>
      <c r="AM924" s="1"/>
      <c r="AN924" s="240"/>
      <c r="AO924" s="240"/>
      <c r="AP924" s="240"/>
      <c r="AQ924" s="730"/>
      <c r="AR924" s="730"/>
      <c r="AS924" s="730"/>
      <c r="AT924" s="738"/>
      <c r="AU924" s="738"/>
      <c r="AV924" s="240"/>
      <c r="AW924" s="240"/>
      <c r="AX924" s="240"/>
      <c r="AY924" s="240"/>
      <c r="AZ924" s="240"/>
      <c r="BA924" s="240"/>
      <c r="BB924" s="672"/>
      <c r="BC924" s="731"/>
      <c r="BD924" s="731"/>
      <c r="BE924" s="731"/>
      <c r="BF924" s="672"/>
      <c r="BG924" s="732"/>
      <c r="BH924" s="240"/>
      <c r="BI924" s="240"/>
      <c r="BJ924" s="240"/>
      <c r="BK924" s="240"/>
      <c r="BL924" s="240"/>
      <c r="BM924" s="240"/>
      <c r="BN924" s="240"/>
      <c r="BO924" s="240"/>
      <c r="BP924" s="240"/>
      <c r="BQ924" s="240"/>
      <c r="BR924" s="240"/>
      <c r="BS924" s="240"/>
      <c r="BT924" s="240"/>
      <c r="BU924" s="672"/>
      <c r="BV924" s="672"/>
      <c r="BW924" s="672"/>
      <c r="BX924" s="672"/>
      <c r="BY924" s="672"/>
      <c r="BZ924" s="672"/>
      <c r="CA924" s="672"/>
      <c r="CB924" s="672"/>
      <c r="CC924" s="672"/>
      <c r="CD924" s="672"/>
      <c r="CE924" s="240"/>
      <c r="CF924" s="240"/>
      <c r="CG924" s="240"/>
      <c r="CH924" s="240"/>
      <c r="CI924" s="240"/>
      <c r="CJ924" s="728"/>
      <c r="CK924" s="728"/>
      <c r="CL924" s="195"/>
      <c r="CM924" s="195"/>
      <c r="CN924" s="195"/>
      <c r="CO924" s="195"/>
      <c r="CP924" s="195"/>
      <c r="CQ924" s="195"/>
      <c r="CR924" s="195"/>
      <c r="CS924" s="195"/>
      <c r="CT924" s="195"/>
      <c r="CU924" s="195"/>
      <c r="CV924" s="195"/>
      <c r="CW924" s="195"/>
      <c r="CX924" s="195"/>
      <c r="CY924" s="195"/>
      <c r="CZ924" s="195"/>
      <c r="DA924" s="195"/>
      <c r="DB924" s="195"/>
      <c r="DC924" s="195"/>
      <c r="DD924" s="195"/>
      <c r="DO924" s="195"/>
      <c r="DP924" s="195"/>
      <c r="DQ924" s="195"/>
      <c r="DR924" s="195"/>
      <c r="DS924" s="195"/>
      <c r="DT924" s="195"/>
      <c r="DU924" s="195"/>
      <c r="DV924" s="195"/>
      <c r="DW924" s="195"/>
      <c r="DX924" s="195"/>
      <c r="DY924" s="195"/>
      <c r="DZ924" s="195"/>
      <c r="EA924" s="195"/>
      <c r="EB924" s="195"/>
      <c r="EC924" s="195"/>
      <c r="ED924" s="195"/>
      <c r="EE924" s="195"/>
      <c r="EK924" s="195"/>
      <c r="EL924" s="240"/>
      <c r="EM924" s="240"/>
      <c r="EN924" s="195"/>
      <c r="EO924" s="240"/>
      <c r="EP924" s="195"/>
      <c r="EQ924" s="195"/>
      <c r="ER924" s="195"/>
      <c r="ES924" s="736"/>
    </row>
    <row r="925" customFormat="false" ht="12.75" hidden="false" customHeight="false" outlineLevel="0" collapsed="false">
      <c r="I925" s="735"/>
      <c r="J925" s="728"/>
      <c r="K925" s="195"/>
      <c r="L925" s="195"/>
      <c r="Q925" s="195"/>
      <c r="R925" s="195"/>
      <c r="S925" s="240"/>
      <c r="T925" s="195"/>
      <c r="U925" s="195"/>
      <c r="V925" s="195"/>
      <c r="W925" s="195"/>
      <c r="X925" s="195"/>
      <c r="Y925" s="195"/>
      <c r="Z925" s="195"/>
      <c r="AA925" s="195"/>
      <c r="AB925" s="195"/>
      <c r="AC925" s="195"/>
      <c r="AD925" s="195"/>
      <c r="AE925" s="195"/>
      <c r="AF925" s="195"/>
      <c r="AG925" s="195"/>
      <c r="AH925" s="195"/>
      <c r="AI925" s="195"/>
      <c r="AJ925" s="195"/>
      <c r="AK925" s="195"/>
      <c r="AL925" s="195"/>
      <c r="AM925" s="1"/>
      <c r="AN925" s="240"/>
      <c r="AO925" s="240"/>
      <c r="AP925" s="240"/>
      <c r="AQ925" s="730"/>
      <c r="AR925" s="730"/>
      <c r="AS925" s="730"/>
      <c r="AT925" s="738"/>
      <c r="AU925" s="738"/>
      <c r="AV925" s="240"/>
      <c r="AW925" s="240"/>
      <c r="AX925" s="240"/>
      <c r="AY925" s="240"/>
      <c r="AZ925" s="240"/>
      <c r="BA925" s="240"/>
      <c r="BB925" s="672"/>
      <c r="BC925" s="731"/>
      <c r="BD925" s="731"/>
      <c r="BE925" s="731"/>
      <c r="BF925" s="672"/>
      <c r="BG925" s="732"/>
      <c r="BH925" s="240"/>
      <c r="BI925" s="240"/>
      <c r="BJ925" s="240"/>
      <c r="BK925" s="240"/>
      <c r="BL925" s="240"/>
      <c r="BM925" s="240"/>
      <c r="BN925" s="240"/>
      <c r="BO925" s="240"/>
      <c r="BP925" s="240"/>
      <c r="BQ925" s="240"/>
      <c r="BR925" s="240"/>
      <c r="BS925" s="240"/>
      <c r="BT925" s="240"/>
      <c r="BU925" s="672"/>
      <c r="BV925" s="672"/>
      <c r="BW925" s="672"/>
      <c r="BX925" s="672"/>
      <c r="BY925" s="672"/>
      <c r="BZ925" s="672"/>
      <c r="CA925" s="672"/>
      <c r="CB925" s="672"/>
      <c r="CC925" s="672"/>
      <c r="CD925" s="672"/>
      <c r="CE925" s="240"/>
      <c r="CF925" s="240"/>
      <c r="CG925" s="240"/>
      <c r="CH925" s="240"/>
      <c r="CI925" s="240"/>
      <c r="CJ925" s="728"/>
      <c r="CK925" s="728"/>
      <c r="CL925" s="195"/>
      <c r="CM925" s="195"/>
      <c r="CN925" s="195"/>
      <c r="CO925" s="195"/>
      <c r="CP925" s="195"/>
      <c r="CQ925" s="195"/>
      <c r="CR925" s="195"/>
      <c r="CS925" s="195"/>
      <c r="CT925" s="195"/>
      <c r="CU925" s="195"/>
      <c r="CV925" s="195"/>
      <c r="CW925" s="195"/>
      <c r="CX925" s="195"/>
      <c r="CY925" s="195"/>
      <c r="CZ925" s="195"/>
      <c r="DA925" s="195"/>
      <c r="DB925" s="195"/>
      <c r="DC925" s="195"/>
      <c r="DD925" s="195"/>
      <c r="DO925" s="195"/>
      <c r="DP925" s="195"/>
      <c r="DQ925" s="195"/>
      <c r="DR925" s="195"/>
      <c r="DS925" s="195"/>
      <c r="DT925" s="195"/>
      <c r="DU925" s="195"/>
      <c r="DV925" s="195"/>
      <c r="DW925" s="195"/>
      <c r="DX925" s="195"/>
      <c r="DY925" s="195"/>
      <c r="DZ925" s="195"/>
      <c r="EA925" s="195"/>
      <c r="EB925" s="195"/>
      <c r="EC925" s="195"/>
      <c r="ED925" s="195"/>
      <c r="EE925" s="195"/>
      <c r="EK925" s="195"/>
      <c r="EL925" s="240"/>
      <c r="EM925" s="240"/>
      <c r="EN925" s="195"/>
      <c r="EO925" s="240"/>
      <c r="EP925" s="195"/>
      <c r="EQ925" s="195"/>
      <c r="ER925" s="195"/>
      <c r="ES925" s="736"/>
    </row>
    <row r="926" customFormat="false" ht="12.75" hidden="false" customHeight="false" outlineLevel="0" collapsed="false">
      <c r="I926" s="735"/>
      <c r="J926" s="728"/>
      <c r="K926" s="195"/>
      <c r="L926" s="195"/>
      <c r="Q926" s="195"/>
      <c r="R926" s="195"/>
      <c r="S926" s="240"/>
      <c r="T926" s="195"/>
      <c r="U926" s="195"/>
      <c r="V926" s="195"/>
      <c r="W926" s="195"/>
      <c r="X926" s="195"/>
      <c r="Y926" s="195"/>
      <c r="Z926" s="195"/>
      <c r="AA926" s="195"/>
      <c r="AB926" s="195"/>
      <c r="AC926" s="195"/>
      <c r="AD926" s="195"/>
      <c r="AE926" s="195"/>
      <c r="AF926" s="195"/>
      <c r="AG926" s="195"/>
      <c r="AH926" s="195"/>
      <c r="AI926" s="195"/>
      <c r="AJ926" s="195"/>
      <c r="AK926" s="195"/>
      <c r="AL926" s="195"/>
      <c r="AM926" s="1"/>
      <c r="AN926" s="240"/>
      <c r="AO926" s="240"/>
      <c r="AP926" s="240"/>
      <c r="AQ926" s="730"/>
      <c r="AR926" s="730"/>
      <c r="AS926" s="730"/>
      <c r="AT926" s="738"/>
      <c r="AU926" s="738"/>
      <c r="AV926" s="240"/>
      <c r="AW926" s="240"/>
      <c r="AX926" s="240"/>
      <c r="AY926" s="240"/>
      <c r="AZ926" s="240"/>
      <c r="BA926" s="240"/>
      <c r="BB926" s="672"/>
      <c r="BC926" s="731"/>
      <c r="BD926" s="731"/>
      <c r="BE926" s="731"/>
      <c r="BF926" s="672"/>
      <c r="BG926" s="732"/>
      <c r="BH926" s="240"/>
      <c r="BI926" s="240"/>
      <c r="BJ926" s="240"/>
      <c r="BK926" s="240"/>
      <c r="BL926" s="240"/>
      <c r="BM926" s="240"/>
      <c r="BN926" s="240"/>
      <c r="BO926" s="240"/>
      <c r="BP926" s="240"/>
      <c r="BQ926" s="240"/>
      <c r="BR926" s="240"/>
      <c r="BS926" s="240"/>
      <c r="BT926" s="240"/>
      <c r="BU926" s="672"/>
      <c r="BV926" s="672"/>
      <c r="BW926" s="672"/>
      <c r="BX926" s="672"/>
      <c r="BY926" s="672"/>
      <c r="BZ926" s="672"/>
      <c r="CA926" s="672"/>
      <c r="CB926" s="672"/>
      <c r="CC926" s="672"/>
      <c r="CD926" s="672"/>
      <c r="CE926" s="240"/>
      <c r="CF926" s="240"/>
      <c r="CG926" s="240"/>
      <c r="CH926" s="240"/>
      <c r="CI926" s="240"/>
      <c r="CJ926" s="728"/>
      <c r="CK926" s="728"/>
      <c r="CL926" s="195"/>
      <c r="CM926" s="195"/>
      <c r="CN926" s="195"/>
      <c r="CO926" s="195"/>
      <c r="CP926" s="195"/>
      <c r="CQ926" s="195"/>
      <c r="CR926" s="195"/>
      <c r="CS926" s="195"/>
      <c r="CT926" s="195"/>
      <c r="CU926" s="195"/>
      <c r="CV926" s="195"/>
      <c r="CW926" s="195"/>
      <c r="CX926" s="195"/>
      <c r="CY926" s="195"/>
      <c r="CZ926" s="195"/>
      <c r="DA926" s="195"/>
      <c r="DB926" s="195"/>
      <c r="DC926" s="195"/>
      <c r="DD926" s="195"/>
      <c r="DO926" s="195"/>
      <c r="DP926" s="195"/>
      <c r="DQ926" s="195"/>
      <c r="DR926" s="195"/>
      <c r="DS926" s="195"/>
      <c r="DT926" s="195"/>
      <c r="DU926" s="195"/>
      <c r="DV926" s="195"/>
      <c r="DW926" s="195"/>
      <c r="DX926" s="195"/>
      <c r="DY926" s="195"/>
      <c r="DZ926" s="195"/>
      <c r="EA926" s="195"/>
      <c r="EB926" s="195"/>
      <c r="EC926" s="195"/>
      <c r="ED926" s="195"/>
      <c r="EE926" s="195"/>
      <c r="EK926" s="195"/>
      <c r="EL926" s="240"/>
      <c r="EM926" s="240"/>
      <c r="EN926" s="195"/>
      <c r="EO926" s="240"/>
      <c r="EP926" s="195"/>
      <c r="EQ926" s="195"/>
      <c r="ER926" s="195"/>
      <c r="ES926" s="736"/>
    </row>
    <row r="927" customFormat="false" ht="12.75" hidden="false" customHeight="false" outlineLevel="0" collapsed="false">
      <c r="I927" s="735"/>
      <c r="J927" s="728"/>
      <c r="K927" s="195"/>
      <c r="L927" s="195"/>
      <c r="Q927" s="195"/>
      <c r="R927" s="195"/>
      <c r="S927" s="240"/>
      <c r="T927" s="195"/>
      <c r="U927" s="195"/>
      <c r="V927" s="195"/>
      <c r="W927" s="195"/>
      <c r="X927" s="195"/>
      <c r="Y927" s="195"/>
      <c r="Z927" s="195"/>
      <c r="AA927" s="195"/>
      <c r="AB927" s="195"/>
      <c r="AC927" s="195"/>
      <c r="AD927" s="195"/>
      <c r="AE927" s="195"/>
      <c r="AF927" s="195"/>
      <c r="AG927" s="195"/>
      <c r="AH927" s="195"/>
      <c r="AI927" s="195"/>
      <c r="AJ927" s="195"/>
      <c r="AK927" s="195"/>
      <c r="AL927" s="195"/>
      <c r="AM927" s="1"/>
      <c r="AN927" s="240"/>
      <c r="AO927" s="240"/>
      <c r="AP927" s="240"/>
      <c r="AQ927" s="730"/>
      <c r="AR927" s="730"/>
      <c r="AS927" s="730"/>
      <c r="AT927" s="738"/>
      <c r="AU927" s="738"/>
      <c r="AV927" s="240"/>
      <c r="AW927" s="240"/>
      <c r="AX927" s="240"/>
      <c r="AY927" s="240"/>
      <c r="AZ927" s="240"/>
      <c r="BA927" s="240"/>
      <c r="BB927" s="672"/>
      <c r="BC927" s="731"/>
      <c r="BD927" s="731"/>
      <c r="BE927" s="731"/>
      <c r="BF927" s="672"/>
      <c r="BG927" s="732"/>
      <c r="BH927" s="240"/>
      <c r="BI927" s="240"/>
      <c r="BJ927" s="240"/>
      <c r="BK927" s="240"/>
      <c r="BL927" s="240"/>
      <c r="BM927" s="240"/>
      <c r="BN927" s="240"/>
      <c r="BO927" s="240"/>
      <c r="BP927" s="240"/>
      <c r="BQ927" s="240"/>
      <c r="BR927" s="240"/>
      <c r="BS927" s="240"/>
      <c r="BT927" s="240"/>
      <c r="BU927" s="672"/>
      <c r="BV927" s="672"/>
      <c r="BW927" s="672"/>
      <c r="BX927" s="672"/>
      <c r="BY927" s="672"/>
      <c r="BZ927" s="672"/>
      <c r="CA927" s="672"/>
      <c r="CB927" s="672"/>
      <c r="CC927" s="672"/>
      <c r="CD927" s="672"/>
      <c r="CE927" s="240"/>
      <c r="CF927" s="240"/>
      <c r="CG927" s="240"/>
      <c r="CH927" s="240"/>
      <c r="CI927" s="240"/>
      <c r="CJ927" s="728"/>
      <c r="CK927" s="728"/>
      <c r="CL927" s="195"/>
      <c r="CM927" s="195"/>
      <c r="CN927" s="195"/>
      <c r="CO927" s="195"/>
      <c r="CP927" s="195"/>
      <c r="CQ927" s="195"/>
      <c r="CR927" s="195"/>
      <c r="CS927" s="195"/>
      <c r="CT927" s="195"/>
      <c r="CU927" s="195"/>
      <c r="CV927" s="195"/>
      <c r="CW927" s="195"/>
      <c r="CX927" s="195"/>
      <c r="CY927" s="195"/>
      <c r="CZ927" s="195"/>
      <c r="DA927" s="195"/>
      <c r="DB927" s="195"/>
      <c r="DC927" s="195"/>
      <c r="DD927" s="195"/>
      <c r="DO927" s="195"/>
      <c r="DP927" s="195"/>
      <c r="DQ927" s="195"/>
      <c r="DR927" s="195"/>
      <c r="DS927" s="195"/>
      <c r="DT927" s="195"/>
      <c r="DU927" s="195"/>
      <c r="DV927" s="195"/>
      <c r="DW927" s="195"/>
      <c r="DX927" s="195"/>
      <c r="DY927" s="195"/>
      <c r="DZ927" s="195"/>
      <c r="EA927" s="195"/>
      <c r="EB927" s="195"/>
      <c r="EC927" s="195"/>
      <c r="ED927" s="195"/>
      <c r="EE927" s="195"/>
      <c r="EK927" s="195"/>
      <c r="EL927" s="240"/>
      <c r="EM927" s="240"/>
      <c r="EN927" s="195"/>
      <c r="EO927" s="240"/>
      <c r="EP927" s="195"/>
      <c r="EQ927" s="195"/>
      <c r="ER927" s="195"/>
      <c r="ES927" s="736"/>
    </row>
    <row r="928" customFormat="false" ht="12.75" hidden="false" customHeight="false" outlineLevel="0" collapsed="false">
      <c r="I928" s="735"/>
      <c r="J928" s="728"/>
      <c r="K928" s="195"/>
      <c r="L928" s="195"/>
      <c r="Q928" s="195"/>
      <c r="R928" s="195"/>
      <c r="S928" s="240"/>
      <c r="T928" s="195"/>
      <c r="U928" s="195"/>
      <c r="V928" s="195"/>
      <c r="W928" s="195"/>
      <c r="X928" s="195"/>
      <c r="Y928" s="195"/>
      <c r="Z928" s="195"/>
      <c r="AA928" s="195"/>
      <c r="AB928" s="195"/>
      <c r="AC928" s="195"/>
      <c r="AD928" s="195"/>
      <c r="AE928" s="195"/>
      <c r="AF928" s="195"/>
      <c r="AG928" s="195"/>
      <c r="AH928" s="195"/>
      <c r="AI928" s="195"/>
      <c r="AJ928" s="195"/>
      <c r="AK928" s="195"/>
      <c r="AL928" s="195"/>
      <c r="AM928" s="1"/>
      <c r="AN928" s="240"/>
      <c r="AO928" s="240"/>
      <c r="AP928" s="240"/>
      <c r="AQ928" s="730"/>
      <c r="AR928" s="730"/>
      <c r="AS928" s="730"/>
      <c r="AT928" s="738"/>
      <c r="AU928" s="738"/>
      <c r="AV928" s="240"/>
      <c r="AW928" s="240"/>
      <c r="AX928" s="240"/>
      <c r="AY928" s="240"/>
      <c r="AZ928" s="240"/>
      <c r="BA928" s="240"/>
      <c r="BB928" s="672"/>
      <c r="BC928" s="731"/>
      <c r="BD928" s="731"/>
      <c r="BE928" s="731"/>
      <c r="BF928" s="672"/>
      <c r="BG928" s="732"/>
      <c r="BH928" s="240"/>
      <c r="BI928" s="240"/>
      <c r="BJ928" s="240"/>
      <c r="BK928" s="240"/>
      <c r="BL928" s="240"/>
      <c r="BM928" s="240"/>
      <c r="BN928" s="240"/>
      <c r="BO928" s="240"/>
      <c r="BP928" s="240"/>
      <c r="BQ928" s="240"/>
      <c r="BR928" s="240"/>
      <c r="BS928" s="240"/>
      <c r="BT928" s="240"/>
      <c r="BU928" s="672"/>
      <c r="BV928" s="672"/>
      <c r="BW928" s="672"/>
      <c r="BX928" s="672"/>
      <c r="BY928" s="672"/>
      <c r="BZ928" s="672"/>
      <c r="CA928" s="672"/>
      <c r="CB928" s="672"/>
      <c r="CC928" s="672"/>
      <c r="CD928" s="672"/>
      <c r="CE928" s="240"/>
      <c r="CF928" s="240"/>
      <c r="CG928" s="240"/>
      <c r="CH928" s="240"/>
      <c r="CI928" s="240"/>
      <c r="CJ928" s="728"/>
      <c r="CK928" s="728"/>
      <c r="CL928" s="195"/>
      <c r="CM928" s="195"/>
      <c r="CN928" s="195"/>
      <c r="CO928" s="195"/>
      <c r="CP928" s="195"/>
      <c r="CQ928" s="195"/>
      <c r="CR928" s="195"/>
      <c r="CS928" s="195"/>
      <c r="CT928" s="195"/>
      <c r="CU928" s="195"/>
      <c r="CV928" s="195"/>
      <c r="CW928" s="195"/>
      <c r="CX928" s="195"/>
      <c r="CY928" s="195"/>
      <c r="CZ928" s="195"/>
      <c r="DA928" s="195"/>
      <c r="DB928" s="195"/>
      <c r="DC928" s="195"/>
      <c r="DD928" s="195"/>
      <c r="DO928" s="195"/>
      <c r="DP928" s="195"/>
      <c r="DQ928" s="195"/>
      <c r="DR928" s="195"/>
      <c r="DS928" s="195"/>
      <c r="DT928" s="195"/>
      <c r="DU928" s="195"/>
      <c r="DV928" s="195"/>
      <c r="DW928" s="195"/>
      <c r="DX928" s="195"/>
      <c r="DY928" s="195"/>
      <c r="DZ928" s="195"/>
      <c r="EA928" s="195"/>
      <c r="EB928" s="195"/>
      <c r="EC928" s="195"/>
      <c r="ED928" s="195"/>
      <c r="EE928" s="195"/>
      <c r="EK928" s="195"/>
      <c r="EL928" s="240"/>
      <c r="EM928" s="240"/>
      <c r="EN928" s="195"/>
      <c r="EO928" s="240"/>
      <c r="EP928" s="195"/>
      <c r="EQ928" s="195"/>
      <c r="ER928" s="195"/>
      <c r="ES928" s="736"/>
    </row>
    <row r="929" customFormat="false" ht="12.75" hidden="false" customHeight="false" outlineLevel="0" collapsed="false">
      <c r="I929" s="735"/>
      <c r="J929" s="728"/>
      <c r="K929" s="195"/>
      <c r="L929" s="195"/>
      <c r="Q929" s="195"/>
      <c r="R929" s="195"/>
      <c r="S929" s="240"/>
      <c r="T929" s="195"/>
      <c r="U929" s="195"/>
      <c r="V929" s="195"/>
      <c r="W929" s="195"/>
      <c r="X929" s="195"/>
      <c r="Y929" s="195"/>
      <c r="Z929" s="195"/>
      <c r="AA929" s="195"/>
      <c r="AB929" s="195"/>
      <c r="AC929" s="195"/>
      <c r="AD929" s="195"/>
      <c r="AE929" s="195"/>
      <c r="AF929" s="195"/>
      <c r="AG929" s="195"/>
      <c r="AH929" s="195"/>
      <c r="AI929" s="195"/>
      <c r="AJ929" s="195"/>
      <c r="AK929" s="195"/>
      <c r="AL929" s="195"/>
      <c r="AM929" s="1"/>
      <c r="AN929" s="240"/>
      <c r="AO929" s="240"/>
      <c r="AP929" s="240"/>
      <c r="AQ929" s="730"/>
      <c r="AR929" s="730"/>
      <c r="AS929" s="730"/>
      <c r="AT929" s="738"/>
      <c r="AU929" s="738"/>
      <c r="AV929" s="240"/>
      <c r="AW929" s="240"/>
      <c r="AX929" s="240"/>
      <c r="AY929" s="240"/>
      <c r="AZ929" s="240"/>
      <c r="BA929" s="240"/>
      <c r="BB929" s="672"/>
      <c r="BC929" s="731"/>
      <c r="BD929" s="731"/>
      <c r="BE929" s="731"/>
      <c r="BF929" s="672"/>
      <c r="BG929" s="732"/>
      <c r="BH929" s="240"/>
      <c r="BI929" s="240"/>
      <c r="BJ929" s="240"/>
      <c r="BK929" s="240"/>
      <c r="BL929" s="240"/>
      <c r="BM929" s="240"/>
      <c r="BN929" s="240"/>
      <c r="BO929" s="240"/>
      <c r="BP929" s="240"/>
      <c r="BQ929" s="240"/>
      <c r="BR929" s="240"/>
      <c r="BS929" s="240"/>
      <c r="BT929" s="240"/>
      <c r="BU929" s="672"/>
      <c r="BV929" s="672"/>
      <c r="BW929" s="672"/>
      <c r="BX929" s="672"/>
      <c r="BY929" s="672"/>
      <c r="BZ929" s="672"/>
      <c r="CA929" s="672"/>
      <c r="CB929" s="672"/>
      <c r="CC929" s="672"/>
      <c r="CD929" s="672"/>
      <c r="CE929" s="240"/>
      <c r="CF929" s="240"/>
      <c r="CG929" s="240"/>
      <c r="CH929" s="240"/>
      <c r="CI929" s="240"/>
      <c r="CJ929" s="728"/>
      <c r="CK929" s="728"/>
      <c r="CL929" s="195"/>
      <c r="CM929" s="195"/>
      <c r="CN929" s="195"/>
      <c r="CO929" s="195"/>
      <c r="CP929" s="195"/>
      <c r="CQ929" s="195"/>
      <c r="CR929" s="195"/>
      <c r="CS929" s="195"/>
      <c r="CT929" s="195"/>
      <c r="CU929" s="195"/>
      <c r="CV929" s="195"/>
      <c r="CW929" s="195"/>
      <c r="CX929" s="195"/>
      <c r="CY929" s="195"/>
      <c r="CZ929" s="195"/>
      <c r="DA929" s="195"/>
      <c r="DB929" s="195"/>
      <c r="DC929" s="195"/>
      <c r="DD929" s="195"/>
      <c r="DO929" s="195"/>
      <c r="DP929" s="195"/>
      <c r="DQ929" s="195"/>
      <c r="DR929" s="195"/>
      <c r="DS929" s="195"/>
      <c r="DT929" s="195"/>
      <c r="DU929" s="195"/>
      <c r="DV929" s="195"/>
      <c r="DW929" s="195"/>
      <c r="DX929" s="195"/>
      <c r="DY929" s="195"/>
      <c r="DZ929" s="195"/>
      <c r="EA929" s="195"/>
      <c r="EB929" s="195"/>
      <c r="EC929" s="195"/>
      <c r="ED929" s="195"/>
      <c r="EE929" s="195"/>
      <c r="EK929" s="195"/>
      <c r="EL929" s="240"/>
      <c r="EM929" s="240"/>
      <c r="EN929" s="195"/>
      <c r="EO929" s="240"/>
      <c r="EP929" s="195"/>
      <c r="EQ929" s="195"/>
      <c r="ER929" s="195"/>
      <c r="ES929" s="736"/>
    </row>
    <row r="930" customFormat="false" ht="12.75" hidden="false" customHeight="false" outlineLevel="0" collapsed="false">
      <c r="I930" s="735"/>
      <c r="J930" s="728"/>
      <c r="K930" s="195"/>
      <c r="L930" s="195"/>
      <c r="Q930" s="195"/>
      <c r="R930" s="195"/>
      <c r="S930" s="240"/>
      <c r="T930" s="195"/>
      <c r="U930" s="195"/>
      <c r="V930" s="195"/>
      <c r="W930" s="195"/>
      <c r="X930" s="195"/>
      <c r="Y930" s="195"/>
      <c r="Z930" s="195"/>
      <c r="AA930" s="195"/>
      <c r="AB930" s="195"/>
      <c r="AC930" s="195"/>
      <c r="AD930" s="195"/>
      <c r="AE930" s="195"/>
      <c r="AF930" s="195"/>
      <c r="AG930" s="195"/>
      <c r="AH930" s="195"/>
      <c r="AI930" s="195"/>
      <c r="AJ930" s="195"/>
      <c r="AK930" s="195"/>
      <c r="AL930" s="195"/>
      <c r="AM930" s="1"/>
      <c r="AN930" s="240"/>
      <c r="AO930" s="240"/>
      <c r="AP930" s="240"/>
      <c r="AQ930" s="730"/>
      <c r="AR930" s="730"/>
      <c r="AS930" s="730"/>
      <c r="AT930" s="738"/>
      <c r="AU930" s="738"/>
      <c r="AV930" s="240"/>
      <c r="AW930" s="240"/>
      <c r="AX930" s="240"/>
      <c r="AY930" s="240"/>
      <c r="AZ930" s="240"/>
      <c r="BA930" s="240"/>
      <c r="BB930" s="672"/>
      <c r="BC930" s="731"/>
      <c r="BD930" s="731"/>
      <c r="BE930" s="731"/>
      <c r="BF930" s="672"/>
      <c r="BG930" s="732"/>
      <c r="BH930" s="240"/>
      <c r="BI930" s="240"/>
      <c r="BJ930" s="240"/>
      <c r="BK930" s="240"/>
      <c r="BL930" s="240"/>
      <c r="BM930" s="240"/>
      <c r="BN930" s="240"/>
      <c r="BO930" s="240"/>
      <c r="BP930" s="240"/>
      <c r="BQ930" s="240"/>
      <c r="BR930" s="240"/>
      <c r="BS930" s="240"/>
      <c r="BT930" s="240"/>
      <c r="BU930" s="672"/>
      <c r="BV930" s="672"/>
      <c r="BW930" s="672"/>
      <c r="BX930" s="672"/>
      <c r="BY930" s="672"/>
      <c r="BZ930" s="672"/>
      <c r="CA930" s="672"/>
      <c r="CB930" s="672"/>
      <c r="CC930" s="672"/>
      <c r="CD930" s="672"/>
      <c r="CE930" s="240"/>
      <c r="CF930" s="240"/>
      <c r="CG930" s="240"/>
      <c r="CH930" s="240"/>
      <c r="CI930" s="240"/>
      <c r="CJ930" s="728"/>
      <c r="CK930" s="728"/>
      <c r="CL930" s="195"/>
      <c r="CM930" s="195"/>
      <c r="CN930" s="195"/>
      <c r="CO930" s="195"/>
      <c r="CP930" s="195"/>
      <c r="CQ930" s="195"/>
      <c r="CR930" s="195"/>
      <c r="CS930" s="195"/>
      <c r="CT930" s="195"/>
      <c r="CU930" s="195"/>
      <c r="CV930" s="195"/>
      <c r="CW930" s="195"/>
      <c r="CX930" s="195"/>
      <c r="CY930" s="195"/>
      <c r="CZ930" s="195"/>
      <c r="DA930" s="195"/>
      <c r="DB930" s="195"/>
      <c r="DC930" s="195"/>
      <c r="DD930" s="195"/>
      <c r="DO930" s="195"/>
      <c r="DP930" s="195"/>
      <c r="DQ930" s="195"/>
      <c r="DR930" s="195"/>
      <c r="DS930" s="195"/>
      <c r="DT930" s="195"/>
      <c r="DU930" s="195"/>
      <c r="DV930" s="195"/>
      <c r="DW930" s="195"/>
      <c r="DX930" s="195"/>
      <c r="DY930" s="195"/>
      <c r="DZ930" s="195"/>
      <c r="EA930" s="195"/>
      <c r="EB930" s="195"/>
      <c r="EC930" s="195"/>
      <c r="ED930" s="195"/>
      <c r="EE930" s="195"/>
      <c r="EK930" s="195"/>
      <c r="EL930" s="240"/>
      <c r="EM930" s="240"/>
      <c r="EN930" s="195"/>
      <c r="EO930" s="240"/>
      <c r="EP930" s="195"/>
      <c r="EQ930" s="195"/>
      <c r="ER930" s="195"/>
      <c r="ES930" s="736"/>
    </row>
    <row r="931" customFormat="false" ht="12.75" hidden="false" customHeight="false" outlineLevel="0" collapsed="false">
      <c r="I931" s="735"/>
      <c r="J931" s="728"/>
      <c r="K931" s="195"/>
      <c r="L931" s="195"/>
      <c r="Q931" s="195"/>
      <c r="R931" s="195"/>
      <c r="S931" s="240"/>
      <c r="T931" s="195"/>
      <c r="U931" s="195"/>
      <c r="V931" s="195"/>
      <c r="W931" s="195"/>
      <c r="X931" s="195"/>
      <c r="Y931" s="195"/>
      <c r="Z931" s="195"/>
      <c r="AA931" s="195"/>
      <c r="AB931" s="195"/>
      <c r="AC931" s="195"/>
      <c r="AD931" s="195"/>
      <c r="AE931" s="195"/>
      <c r="AF931" s="195"/>
      <c r="AG931" s="195"/>
      <c r="AH931" s="195"/>
      <c r="AI931" s="195"/>
      <c r="AJ931" s="195"/>
      <c r="AK931" s="195"/>
      <c r="AL931" s="195"/>
      <c r="AM931" s="1"/>
      <c r="AN931" s="240"/>
      <c r="AO931" s="240"/>
      <c r="AP931" s="240"/>
      <c r="AQ931" s="730"/>
      <c r="AR931" s="730"/>
      <c r="AS931" s="730"/>
      <c r="AT931" s="738"/>
      <c r="AU931" s="738"/>
      <c r="AV931" s="240"/>
      <c r="AW931" s="240"/>
      <c r="AX931" s="240"/>
      <c r="AY931" s="240"/>
      <c r="AZ931" s="240"/>
      <c r="BA931" s="240"/>
      <c r="BB931" s="672"/>
      <c r="BC931" s="731"/>
      <c r="BD931" s="731"/>
      <c r="BE931" s="731"/>
      <c r="BF931" s="672"/>
      <c r="BG931" s="732"/>
      <c r="BH931" s="240"/>
      <c r="BI931" s="240"/>
      <c r="BJ931" s="240"/>
      <c r="BK931" s="240"/>
      <c r="BL931" s="240"/>
      <c r="BM931" s="240"/>
      <c r="BN931" s="240"/>
      <c r="BO931" s="240"/>
      <c r="BP931" s="240"/>
      <c r="BQ931" s="240"/>
      <c r="BR931" s="240"/>
      <c r="BS931" s="240"/>
      <c r="BT931" s="240"/>
      <c r="BU931" s="672"/>
      <c r="BV931" s="672"/>
      <c r="BW931" s="672"/>
      <c r="BX931" s="672"/>
      <c r="BY931" s="672"/>
      <c r="BZ931" s="672"/>
      <c r="CA931" s="672"/>
      <c r="CB931" s="672"/>
      <c r="CC931" s="672"/>
      <c r="CD931" s="672"/>
      <c r="CE931" s="240"/>
      <c r="CF931" s="240"/>
      <c r="CG931" s="240"/>
      <c r="CH931" s="240"/>
      <c r="CI931" s="240"/>
      <c r="CJ931" s="728"/>
      <c r="CK931" s="728"/>
      <c r="CL931" s="195"/>
      <c r="CM931" s="195"/>
      <c r="CN931" s="195"/>
      <c r="CO931" s="195"/>
      <c r="CP931" s="195"/>
      <c r="CQ931" s="195"/>
      <c r="CR931" s="195"/>
      <c r="CS931" s="195"/>
      <c r="CT931" s="195"/>
      <c r="CU931" s="195"/>
      <c r="CV931" s="195"/>
      <c r="CW931" s="195"/>
      <c r="CX931" s="195"/>
      <c r="CY931" s="195"/>
      <c r="CZ931" s="195"/>
      <c r="DA931" s="195"/>
      <c r="DB931" s="195"/>
      <c r="DC931" s="195"/>
      <c r="DD931" s="195"/>
      <c r="DO931" s="195"/>
      <c r="DP931" s="195"/>
      <c r="DQ931" s="195"/>
      <c r="DR931" s="195"/>
      <c r="DS931" s="195"/>
      <c r="DT931" s="195"/>
      <c r="DU931" s="195"/>
      <c r="DV931" s="195"/>
      <c r="DW931" s="195"/>
      <c r="DX931" s="195"/>
      <c r="DY931" s="195"/>
      <c r="DZ931" s="195"/>
      <c r="EA931" s="195"/>
      <c r="EB931" s="195"/>
      <c r="EC931" s="195"/>
      <c r="ED931" s="195"/>
      <c r="EE931" s="195"/>
      <c r="EK931" s="195"/>
      <c r="EL931" s="240"/>
      <c r="EM931" s="240"/>
      <c r="EN931" s="195"/>
      <c r="EO931" s="240"/>
      <c r="EP931" s="195"/>
      <c r="EQ931" s="195"/>
      <c r="ER931" s="195"/>
      <c r="ES931" s="736"/>
    </row>
    <row r="932" customFormat="false" ht="12.75" hidden="false" customHeight="false" outlineLevel="0" collapsed="false">
      <c r="I932" s="735"/>
      <c r="J932" s="728"/>
      <c r="K932" s="195"/>
      <c r="L932" s="195"/>
      <c r="Q932" s="195"/>
      <c r="R932" s="195"/>
      <c r="S932" s="240"/>
      <c r="T932" s="195"/>
      <c r="U932" s="195"/>
      <c r="V932" s="195"/>
      <c r="W932" s="195"/>
      <c r="X932" s="195"/>
      <c r="Y932" s="195"/>
      <c r="Z932" s="195"/>
      <c r="AA932" s="195"/>
      <c r="AB932" s="195"/>
      <c r="AC932" s="195"/>
      <c r="AD932" s="195"/>
      <c r="AE932" s="195"/>
      <c r="AF932" s="195"/>
      <c r="AG932" s="195"/>
      <c r="AH932" s="195"/>
      <c r="AI932" s="195"/>
      <c r="AJ932" s="195"/>
      <c r="AK932" s="195"/>
      <c r="AL932" s="195"/>
      <c r="AM932" s="1"/>
      <c r="AN932" s="240"/>
      <c r="AO932" s="240"/>
      <c r="AP932" s="240"/>
      <c r="AQ932" s="730"/>
      <c r="AR932" s="730"/>
      <c r="AS932" s="730"/>
      <c r="AT932" s="738"/>
      <c r="AU932" s="738"/>
      <c r="AV932" s="240"/>
      <c r="AW932" s="240"/>
      <c r="AX932" s="240"/>
      <c r="AY932" s="240"/>
      <c r="AZ932" s="240"/>
      <c r="BA932" s="240"/>
      <c r="BB932" s="672"/>
      <c r="BC932" s="731"/>
      <c r="BD932" s="731"/>
      <c r="BE932" s="731"/>
      <c r="BF932" s="672"/>
      <c r="BG932" s="732"/>
      <c r="BH932" s="240"/>
      <c r="BI932" s="240"/>
      <c r="BJ932" s="240"/>
      <c r="BK932" s="240"/>
      <c r="BL932" s="240"/>
      <c r="BM932" s="240"/>
      <c r="BN932" s="240"/>
      <c r="BO932" s="240"/>
      <c r="BP932" s="240"/>
      <c r="BQ932" s="240"/>
      <c r="BR932" s="240"/>
      <c r="BS932" s="240"/>
      <c r="BT932" s="240"/>
      <c r="BU932" s="672"/>
      <c r="BV932" s="672"/>
      <c r="BW932" s="672"/>
      <c r="BX932" s="672"/>
      <c r="BY932" s="672"/>
      <c r="BZ932" s="672"/>
      <c r="CA932" s="672"/>
      <c r="CB932" s="672"/>
      <c r="CC932" s="672"/>
      <c r="CD932" s="672"/>
      <c r="CE932" s="240"/>
      <c r="CF932" s="240"/>
      <c r="CG932" s="240"/>
      <c r="CH932" s="240"/>
      <c r="CI932" s="240"/>
      <c r="CJ932" s="728"/>
      <c r="CK932" s="728"/>
      <c r="CL932" s="195"/>
      <c r="CM932" s="195"/>
      <c r="CN932" s="195"/>
      <c r="CO932" s="195"/>
      <c r="CP932" s="195"/>
      <c r="CQ932" s="195"/>
      <c r="CR932" s="195"/>
      <c r="CS932" s="195"/>
      <c r="CT932" s="195"/>
      <c r="CU932" s="195"/>
      <c r="CV932" s="195"/>
      <c r="CW932" s="195"/>
      <c r="CX932" s="195"/>
      <c r="CY932" s="195"/>
      <c r="CZ932" s="195"/>
      <c r="DA932" s="195"/>
      <c r="DB932" s="195"/>
      <c r="DC932" s="195"/>
      <c r="DD932" s="195"/>
      <c r="DO932" s="195"/>
      <c r="DP932" s="195"/>
      <c r="DQ932" s="195"/>
      <c r="DR932" s="195"/>
      <c r="DS932" s="195"/>
      <c r="DT932" s="195"/>
      <c r="DU932" s="195"/>
      <c r="DV932" s="195"/>
      <c r="DW932" s="195"/>
      <c r="DX932" s="195"/>
      <c r="DY932" s="195"/>
      <c r="DZ932" s="195"/>
      <c r="EA932" s="195"/>
      <c r="EB932" s="195"/>
      <c r="EC932" s="195"/>
      <c r="ED932" s="195"/>
      <c r="EE932" s="195"/>
      <c r="EK932" s="195"/>
      <c r="EL932" s="240"/>
      <c r="EM932" s="240"/>
      <c r="EN932" s="195"/>
      <c r="EO932" s="240"/>
      <c r="EP932" s="195"/>
      <c r="EQ932" s="195"/>
      <c r="ER932" s="195"/>
      <c r="ES932" s="736"/>
    </row>
    <row r="933" customFormat="false" ht="12.75" hidden="false" customHeight="false" outlineLevel="0" collapsed="false">
      <c r="I933" s="735"/>
      <c r="J933" s="728"/>
      <c r="K933" s="195"/>
      <c r="L933" s="195"/>
      <c r="Q933" s="195"/>
      <c r="R933" s="195"/>
      <c r="S933" s="240"/>
      <c r="T933" s="195"/>
      <c r="U933" s="195"/>
      <c r="V933" s="195"/>
      <c r="W933" s="195"/>
      <c r="X933" s="195"/>
      <c r="Y933" s="195"/>
      <c r="Z933" s="195"/>
      <c r="AA933" s="195"/>
      <c r="AB933" s="195"/>
      <c r="AC933" s="195"/>
      <c r="AD933" s="195"/>
      <c r="AE933" s="195"/>
      <c r="AF933" s="195"/>
      <c r="AG933" s="195"/>
      <c r="AH933" s="195"/>
      <c r="AI933" s="195"/>
      <c r="AJ933" s="195"/>
      <c r="AK933" s="195"/>
      <c r="AL933" s="195"/>
      <c r="AM933" s="1"/>
      <c r="AN933" s="240"/>
      <c r="AO933" s="240"/>
      <c r="AP933" s="240"/>
      <c r="AQ933" s="730"/>
      <c r="AR933" s="730"/>
      <c r="AS933" s="730"/>
      <c r="AT933" s="738"/>
      <c r="AU933" s="738"/>
      <c r="AV933" s="240"/>
      <c r="AW933" s="240"/>
      <c r="AX933" s="240"/>
      <c r="AY933" s="240"/>
      <c r="AZ933" s="240"/>
      <c r="BA933" s="240"/>
      <c r="BB933" s="672"/>
      <c r="BC933" s="731"/>
      <c r="BD933" s="731"/>
      <c r="BE933" s="731"/>
      <c r="BF933" s="672"/>
      <c r="BG933" s="732"/>
      <c r="BH933" s="240"/>
      <c r="BI933" s="240"/>
      <c r="BJ933" s="240"/>
      <c r="BK933" s="240"/>
      <c r="BL933" s="240"/>
      <c r="BM933" s="240"/>
      <c r="BN933" s="240"/>
      <c r="BO933" s="240"/>
      <c r="BP933" s="240"/>
      <c r="BQ933" s="240"/>
      <c r="BR933" s="240"/>
      <c r="BS933" s="240"/>
      <c r="BT933" s="240"/>
      <c r="BU933" s="672"/>
      <c r="BV933" s="672"/>
      <c r="BW933" s="672"/>
      <c r="BX933" s="672"/>
      <c r="BY933" s="672"/>
      <c r="BZ933" s="672"/>
      <c r="CA933" s="672"/>
      <c r="CB933" s="672"/>
      <c r="CC933" s="672"/>
      <c r="CD933" s="672"/>
      <c r="CE933" s="240"/>
      <c r="CF933" s="240"/>
      <c r="CG933" s="240"/>
      <c r="CH933" s="240"/>
      <c r="CI933" s="240"/>
      <c r="CJ933" s="728"/>
      <c r="CK933" s="728"/>
      <c r="CL933" s="195"/>
      <c r="CM933" s="195"/>
      <c r="CN933" s="195"/>
      <c r="CO933" s="195"/>
      <c r="CP933" s="195"/>
      <c r="CQ933" s="195"/>
      <c r="CR933" s="195"/>
      <c r="CS933" s="195"/>
      <c r="CT933" s="195"/>
      <c r="CU933" s="195"/>
      <c r="CV933" s="195"/>
      <c r="CW933" s="195"/>
      <c r="CX933" s="195"/>
      <c r="CY933" s="195"/>
      <c r="CZ933" s="195"/>
      <c r="DA933" s="195"/>
      <c r="DB933" s="195"/>
      <c r="DC933" s="195"/>
      <c r="DD933" s="195"/>
      <c r="DO933" s="195"/>
      <c r="DP933" s="195"/>
      <c r="DQ933" s="195"/>
      <c r="DR933" s="195"/>
      <c r="DS933" s="195"/>
      <c r="DT933" s="195"/>
      <c r="DU933" s="195"/>
      <c r="DV933" s="195"/>
      <c r="DW933" s="195"/>
      <c r="DX933" s="195"/>
      <c r="DY933" s="195"/>
      <c r="DZ933" s="195"/>
      <c r="EA933" s="195"/>
      <c r="EB933" s="195"/>
      <c r="EC933" s="195"/>
      <c r="ED933" s="195"/>
      <c r="EE933" s="195"/>
      <c r="EK933" s="195"/>
      <c r="EL933" s="240"/>
      <c r="EM933" s="240"/>
      <c r="EN933" s="195"/>
      <c r="EO933" s="240"/>
      <c r="EP933" s="195"/>
      <c r="EQ933" s="195"/>
      <c r="ER933" s="195"/>
      <c r="ES933" s="736"/>
    </row>
    <row r="934" customFormat="false" ht="12.75" hidden="false" customHeight="false" outlineLevel="0" collapsed="false">
      <c r="I934" s="735"/>
      <c r="J934" s="728"/>
      <c r="K934" s="195"/>
      <c r="L934" s="195"/>
      <c r="Q934" s="195"/>
      <c r="R934" s="195"/>
      <c r="S934" s="240"/>
      <c r="T934" s="195"/>
      <c r="U934" s="195"/>
      <c r="V934" s="195"/>
      <c r="W934" s="195"/>
      <c r="X934" s="195"/>
      <c r="Y934" s="195"/>
      <c r="Z934" s="195"/>
      <c r="AA934" s="195"/>
      <c r="AB934" s="195"/>
      <c r="AC934" s="195"/>
      <c r="AD934" s="195"/>
      <c r="AE934" s="195"/>
      <c r="AF934" s="195"/>
      <c r="AG934" s="195"/>
      <c r="AH934" s="195"/>
      <c r="AI934" s="195"/>
      <c r="AJ934" s="195"/>
      <c r="AK934" s="195"/>
      <c r="AL934" s="195"/>
      <c r="AM934" s="1"/>
      <c r="AN934" s="240"/>
      <c r="AO934" s="240"/>
      <c r="AP934" s="240"/>
      <c r="AQ934" s="730"/>
      <c r="AR934" s="730"/>
      <c r="AS934" s="730"/>
      <c r="AT934" s="738"/>
      <c r="AU934" s="738"/>
      <c r="AV934" s="240"/>
      <c r="AW934" s="240"/>
      <c r="AX934" s="240"/>
      <c r="AY934" s="240"/>
      <c r="AZ934" s="240"/>
      <c r="BA934" s="240"/>
      <c r="BB934" s="672"/>
      <c r="BC934" s="731"/>
      <c r="BD934" s="731"/>
      <c r="BE934" s="731"/>
      <c r="BF934" s="672"/>
      <c r="BG934" s="732"/>
      <c r="BH934" s="240"/>
      <c r="BI934" s="240"/>
      <c r="BJ934" s="240"/>
      <c r="BK934" s="240"/>
      <c r="BL934" s="240"/>
      <c r="BM934" s="240"/>
      <c r="BN934" s="240"/>
      <c r="BO934" s="240"/>
      <c r="BP934" s="240"/>
      <c r="BQ934" s="240"/>
      <c r="BR934" s="240"/>
      <c r="BS934" s="240"/>
      <c r="BT934" s="240"/>
      <c r="BU934" s="672"/>
      <c r="BV934" s="672"/>
      <c r="BW934" s="672"/>
      <c r="BX934" s="672"/>
      <c r="BY934" s="672"/>
      <c r="BZ934" s="672"/>
      <c r="CA934" s="672"/>
      <c r="CB934" s="672"/>
      <c r="CC934" s="672"/>
      <c r="CD934" s="672"/>
      <c r="CE934" s="240"/>
      <c r="CF934" s="240"/>
      <c r="CG934" s="240"/>
      <c r="CH934" s="240"/>
      <c r="CI934" s="240"/>
      <c r="CJ934" s="728"/>
      <c r="CK934" s="728"/>
      <c r="CL934" s="195"/>
      <c r="CM934" s="195"/>
      <c r="CN934" s="195"/>
      <c r="CO934" s="195"/>
      <c r="CP934" s="195"/>
      <c r="CQ934" s="195"/>
      <c r="CR934" s="195"/>
      <c r="CS934" s="195"/>
      <c r="CT934" s="195"/>
      <c r="CU934" s="195"/>
      <c r="CV934" s="195"/>
      <c r="CW934" s="195"/>
      <c r="CX934" s="195"/>
      <c r="CY934" s="195"/>
      <c r="CZ934" s="195"/>
      <c r="DA934" s="195"/>
      <c r="DB934" s="195"/>
      <c r="DC934" s="195"/>
      <c r="DD934" s="195"/>
      <c r="DO934" s="195"/>
      <c r="DP934" s="195"/>
      <c r="DQ934" s="195"/>
      <c r="DR934" s="195"/>
      <c r="DS934" s="195"/>
      <c r="DT934" s="195"/>
      <c r="DU934" s="195"/>
      <c r="DV934" s="195"/>
      <c r="DW934" s="195"/>
      <c r="DX934" s="195"/>
      <c r="DY934" s="195"/>
      <c r="DZ934" s="195"/>
      <c r="EA934" s="195"/>
      <c r="EB934" s="195"/>
      <c r="EC934" s="195"/>
      <c r="ED934" s="195"/>
      <c r="EE934" s="195"/>
      <c r="EK934" s="195"/>
      <c r="EL934" s="240"/>
      <c r="EM934" s="240"/>
      <c r="EN934" s="195"/>
      <c r="EO934" s="240"/>
      <c r="EP934" s="195"/>
      <c r="EQ934" s="195"/>
      <c r="ER934" s="195"/>
      <c r="ES934" s="736"/>
    </row>
    <row r="935" customFormat="false" ht="12.75" hidden="false" customHeight="false" outlineLevel="0" collapsed="false">
      <c r="I935" s="735"/>
      <c r="J935" s="728"/>
      <c r="K935" s="195"/>
      <c r="L935" s="195"/>
      <c r="Q935" s="195"/>
      <c r="R935" s="195"/>
      <c r="S935" s="240"/>
      <c r="T935" s="195"/>
      <c r="U935" s="195"/>
      <c r="V935" s="195"/>
      <c r="W935" s="195"/>
      <c r="X935" s="195"/>
      <c r="Y935" s="195"/>
      <c r="Z935" s="195"/>
      <c r="AA935" s="195"/>
      <c r="AB935" s="195"/>
      <c r="AC935" s="195"/>
      <c r="AD935" s="195"/>
      <c r="AE935" s="195"/>
      <c r="AF935" s="195"/>
      <c r="AG935" s="195"/>
      <c r="AH935" s="195"/>
      <c r="AI935" s="195"/>
      <c r="AJ935" s="195"/>
      <c r="AK935" s="195"/>
      <c r="AL935" s="195"/>
      <c r="AM935" s="1"/>
      <c r="AN935" s="240"/>
      <c r="AO935" s="240"/>
      <c r="AP935" s="240"/>
      <c r="AQ935" s="730"/>
      <c r="AR935" s="730"/>
      <c r="AS935" s="730"/>
      <c r="AT935" s="738"/>
      <c r="AU935" s="738"/>
      <c r="AV935" s="240"/>
      <c r="AW935" s="240"/>
      <c r="AX935" s="240"/>
      <c r="AY935" s="240"/>
      <c r="AZ935" s="240"/>
      <c r="BA935" s="240"/>
      <c r="BB935" s="672"/>
      <c r="BC935" s="731"/>
      <c r="BD935" s="731"/>
      <c r="BE935" s="731"/>
      <c r="BF935" s="672"/>
      <c r="BG935" s="732"/>
      <c r="BH935" s="240"/>
      <c r="BI935" s="240"/>
      <c r="BJ935" s="240"/>
      <c r="BK935" s="240"/>
      <c r="BL935" s="240"/>
      <c r="BM935" s="240"/>
      <c r="BN935" s="240"/>
      <c r="BO935" s="240"/>
      <c r="BP935" s="240"/>
      <c r="BQ935" s="240"/>
      <c r="BR935" s="240"/>
      <c r="BS935" s="240"/>
      <c r="BT935" s="240"/>
      <c r="BU935" s="672"/>
      <c r="BV935" s="672"/>
      <c r="BW935" s="672"/>
      <c r="BX935" s="672"/>
      <c r="BY935" s="672"/>
      <c r="BZ935" s="672"/>
      <c r="CA935" s="672"/>
      <c r="CB935" s="672"/>
      <c r="CC935" s="672"/>
      <c r="CD935" s="672"/>
      <c r="CE935" s="240"/>
      <c r="CF935" s="240"/>
      <c r="CG935" s="240"/>
      <c r="CH935" s="240"/>
      <c r="CI935" s="240"/>
      <c r="CJ935" s="728"/>
      <c r="CK935" s="728"/>
      <c r="CL935" s="195"/>
      <c r="CM935" s="195"/>
      <c r="CN935" s="195"/>
      <c r="CO935" s="195"/>
      <c r="CP935" s="195"/>
      <c r="CQ935" s="195"/>
      <c r="CR935" s="195"/>
      <c r="CS935" s="195"/>
      <c r="CT935" s="195"/>
      <c r="CU935" s="195"/>
      <c r="CV935" s="195"/>
      <c r="CW935" s="195"/>
      <c r="CX935" s="195"/>
      <c r="CY935" s="195"/>
      <c r="CZ935" s="195"/>
      <c r="DA935" s="195"/>
      <c r="DB935" s="195"/>
      <c r="DC935" s="195"/>
      <c r="DD935" s="195"/>
      <c r="DO935" s="195"/>
      <c r="DP935" s="195"/>
      <c r="DQ935" s="195"/>
      <c r="DR935" s="195"/>
      <c r="DS935" s="195"/>
      <c r="DT935" s="195"/>
      <c r="DU935" s="195"/>
      <c r="DV935" s="195"/>
      <c r="DW935" s="195"/>
      <c r="DX935" s="195"/>
      <c r="DY935" s="195"/>
      <c r="DZ935" s="195"/>
      <c r="EA935" s="195"/>
      <c r="EB935" s="195"/>
      <c r="EC935" s="195"/>
      <c r="ED935" s="195"/>
      <c r="EE935" s="195"/>
      <c r="EK935" s="195"/>
      <c r="EL935" s="240"/>
      <c r="EM935" s="240"/>
      <c r="EN935" s="195"/>
      <c r="EO935" s="240"/>
      <c r="EP935" s="195"/>
      <c r="EQ935" s="195"/>
      <c r="ER935" s="195"/>
      <c r="ES935" s="736"/>
    </row>
    <row r="936" customFormat="false" ht="12.75" hidden="false" customHeight="false" outlineLevel="0" collapsed="false">
      <c r="I936" s="735"/>
      <c r="J936" s="728"/>
      <c r="K936" s="195"/>
      <c r="L936" s="195"/>
      <c r="Q936" s="195"/>
      <c r="R936" s="195"/>
      <c r="S936" s="240"/>
      <c r="T936" s="195"/>
      <c r="U936" s="195"/>
      <c r="V936" s="195"/>
      <c r="W936" s="195"/>
      <c r="X936" s="195"/>
      <c r="Y936" s="195"/>
      <c r="Z936" s="195"/>
      <c r="AA936" s="195"/>
      <c r="AB936" s="195"/>
      <c r="AC936" s="195"/>
      <c r="AD936" s="195"/>
      <c r="AE936" s="195"/>
      <c r="AF936" s="195"/>
      <c r="AG936" s="195"/>
      <c r="AH936" s="195"/>
      <c r="AI936" s="195"/>
      <c r="AJ936" s="195"/>
      <c r="AK936" s="195"/>
      <c r="AL936" s="195"/>
      <c r="AM936" s="1"/>
      <c r="AN936" s="240"/>
      <c r="AO936" s="240"/>
      <c r="AP936" s="240"/>
      <c r="AQ936" s="730"/>
      <c r="AR936" s="730"/>
      <c r="AS936" s="730"/>
      <c r="AT936" s="738"/>
      <c r="AU936" s="738"/>
      <c r="AV936" s="240"/>
      <c r="AW936" s="240"/>
      <c r="AX936" s="240"/>
      <c r="AY936" s="240"/>
      <c r="AZ936" s="240"/>
      <c r="BA936" s="240"/>
      <c r="BB936" s="672"/>
      <c r="BC936" s="731"/>
      <c r="BD936" s="731"/>
      <c r="BE936" s="731"/>
      <c r="BF936" s="672"/>
      <c r="BG936" s="732"/>
      <c r="BH936" s="240"/>
      <c r="BI936" s="240"/>
      <c r="BJ936" s="240"/>
      <c r="BK936" s="240"/>
      <c r="BL936" s="240"/>
      <c r="BM936" s="240"/>
      <c r="BN936" s="240"/>
      <c r="BO936" s="240"/>
      <c r="BP936" s="240"/>
      <c r="BQ936" s="240"/>
      <c r="BR936" s="240"/>
      <c r="BS936" s="240"/>
      <c r="BT936" s="240"/>
      <c r="BU936" s="672"/>
      <c r="BV936" s="672"/>
      <c r="BW936" s="672"/>
      <c r="BX936" s="672"/>
      <c r="BY936" s="672"/>
      <c r="BZ936" s="672"/>
      <c r="CA936" s="672"/>
      <c r="CB936" s="672"/>
      <c r="CC936" s="672"/>
      <c r="CD936" s="672"/>
      <c r="CE936" s="240"/>
      <c r="CF936" s="240"/>
      <c r="CG936" s="240"/>
      <c r="CH936" s="240"/>
      <c r="CI936" s="240"/>
      <c r="CJ936" s="728"/>
      <c r="CK936" s="728"/>
      <c r="CL936" s="195"/>
      <c r="CM936" s="195"/>
      <c r="CN936" s="195"/>
      <c r="CO936" s="195"/>
      <c r="CP936" s="195"/>
      <c r="CQ936" s="195"/>
      <c r="CR936" s="195"/>
      <c r="CS936" s="195"/>
      <c r="CT936" s="195"/>
      <c r="CU936" s="195"/>
      <c r="CV936" s="195"/>
      <c r="CW936" s="195"/>
      <c r="CX936" s="195"/>
      <c r="CY936" s="195"/>
      <c r="CZ936" s="195"/>
      <c r="DA936" s="195"/>
      <c r="DB936" s="195"/>
      <c r="DC936" s="195"/>
      <c r="DD936" s="195"/>
      <c r="DO936" s="195"/>
      <c r="DP936" s="195"/>
      <c r="DQ936" s="195"/>
      <c r="DR936" s="195"/>
      <c r="DS936" s="195"/>
      <c r="DT936" s="195"/>
      <c r="DU936" s="195"/>
      <c r="DV936" s="195"/>
      <c r="DW936" s="195"/>
      <c r="DX936" s="195"/>
      <c r="DY936" s="195"/>
      <c r="DZ936" s="195"/>
      <c r="EA936" s="195"/>
      <c r="EB936" s="195"/>
      <c r="EC936" s="195"/>
      <c r="ED936" s="195"/>
      <c r="EE936" s="195"/>
      <c r="EK936" s="195"/>
      <c r="EL936" s="240"/>
      <c r="EM936" s="240"/>
      <c r="EN936" s="195"/>
      <c r="EO936" s="240"/>
      <c r="EP936" s="195"/>
      <c r="EQ936" s="195"/>
      <c r="ER936" s="195"/>
      <c r="ES936" s="736"/>
    </row>
    <row r="937" customFormat="false" ht="12.75" hidden="false" customHeight="false" outlineLevel="0" collapsed="false">
      <c r="I937" s="735"/>
      <c r="J937" s="728"/>
      <c r="K937" s="195"/>
      <c r="L937" s="195"/>
      <c r="Q937" s="195"/>
      <c r="R937" s="195"/>
      <c r="S937" s="240"/>
      <c r="T937" s="195"/>
      <c r="U937" s="195"/>
      <c r="V937" s="195"/>
      <c r="W937" s="195"/>
      <c r="X937" s="195"/>
      <c r="Y937" s="195"/>
      <c r="Z937" s="195"/>
      <c r="AA937" s="195"/>
      <c r="AB937" s="195"/>
      <c r="AC937" s="195"/>
      <c r="AD937" s="195"/>
      <c r="AE937" s="195"/>
      <c r="AF937" s="195"/>
      <c r="AG937" s="195"/>
      <c r="AH937" s="195"/>
      <c r="AI937" s="195"/>
      <c r="AJ937" s="195"/>
      <c r="AK937" s="195"/>
      <c r="AL937" s="195"/>
      <c r="AM937" s="1"/>
      <c r="AN937" s="240"/>
      <c r="AO937" s="240"/>
      <c r="AP937" s="240"/>
      <c r="AQ937" s="730"/>
      <c r="AR937" s="730"/>
      <c r="AS937" s="730"/>
      <c r="AT937" s="738"/>
      <c r="AU937" s="738"/>
      <c r="AV937" s="240"/>
      <c r="AW937" s="240"/>
      <c r="AX937" s="240"/>
      <c r="AY937" s="240"/>
      <c r="AZ937" s="240"/>
      <c r="BA937" s="240"/>
      <c r="BB937" s="672"/>
      <c r="BC937" s="731"/>
      <c r="BD937" s="731"/>
      <c r="BE937" s="731"/>
      <c r="BF937" s="672"/>
      <c r="BG937" s="732"/>
      <c r="BH937" s="240"/>
      <c r="BI937" s="240"/>
      <c r="BJ937" s="240"/>
      <c r="BK937" s="240"/>
      <c r="BL937" s="240"/>
      <c r="BM937" s="240"/>
      <c r="BN937" s="240"/>
      <c r="BO937" s="240"/>
      <c r="BP937" s="240"/>
      <c r="BQ937" s="240"/>
      <c r="BR937" s="240"/>
      <c r="BS937" s="240"/>
      <c r="BT937" s="240"/>
      <c r="BU937" s="672"/>
      <c r="BV937" s="672"/>
      <c r="BW937" s="672"/>
      <c r="BX937" s="672"/>
      <c r="BY937" s="672"/>
      <c r="BZ937" s="672"/>
      <c r="CA937" s="672"/>
      <c r="CB937" s="672"/>
      <c r="CC937" s="672"/>
      <c r="CD937" s="672"/>
      <c r="CE937" s="240"/>
      <c r="CF937" s="240"/>
      <c r="CG937" s="240"/>
      <c r="CH937" s="240"/>
      <c r="CI937" s="240"/>
      <c r="CJ937" s="728"/>
      <c r="CK937" s="728"/>
      <c r="CL937" s="195"/>
      <c r="CM937" s="195"/>
      <c r="CN937" s="195"/>
      <c r="CO937" s="195"/>
      <c r="CP937" s="195"/>
      <c r="CQ937" s="195"/>
      <c r="CR937" s="195"/>
      <c r="CS937" s="195"/>
      <c r="CT937" s="195"/>
      <c r="CU937" s="195"/>
      <c r="CV937" s="195"/>
      <c r="CW937" s="195"/>
      <c r="CX937" s="195"/>
      <c r="CY937" s="195"/>
      <c r="CZ937" s="195"/>
      <c r="DA937" s="195"/>
      <c r="DB937" s="195"/>
      <c r="DC937" s="195"/>
      <c r="DD937" s="195"/>
      <c r="DO937" s="195"/>
      <c r="DP937" s="195"/>
      <c r="DQ937" s="195"/>
      <c r="DR937" s="195"/>
      <c r="DS937" s="195"/>
      <c r="DT937" s="195"/>
      <c r="DU937" s="195"/>
      <c r="DV937" s="195"/>
      <c r="DW937" s="195"/>
      <c r="DX937" s="195"/>
      <c r="DY937" s="195"/>
      <c r="DZ937" s="195"/>
      <c r="EA937" s="195"/>
      <c r="EB937" s="195"/>
      <c r="EC937" s="195"/>
      <c r="ED937" s="195"/>
      <c r="EE937" s="195"/>
      <c r="EK937" s="195"/>
      <c r="EL937" s="240"/>
      <c r="EM937" s="240"/>
      <c r="EN937" s="195"/>
      <c r="EO937" s="240"/>
      <c r="EP937" s="195"/>
      <c r="EQ937" s="195"/>
      <c r="ER937" s="195"/>
      <c r="ES937" s="736"/>
    </row>
    <row r="938" customFormat="false" ht="12.75" hidden="false" customHeight="false" outlineLevel="0" collapsed="false">
      <c r="I938" s="735"/>
      <c r="J938" s="728"/>
      <c r="K938" s="195"/>
      <c r="L938" s="195"/>
      <c r="Q938" s="195"/>
      <c r="R938" s="195"/>
      <c r="S938" s="240"/>
      <c r="T938" s="195"/>
      <c r="U938" s="195"/>
      <c r="V938" s="195"/>
      <c r="W938" s="195"/>
      <c r="X938" s="195"/>
      <c r="Y938" s="195"/>
      <c r="Z938" s="195"/>
      <c r="AA938" s="195"/>
      <c r="AB938" s="195"/>
      <c r="AC938" s="195"/>
      <c r="AD938" s="195"/>
      <c r="AE938" s="195"/>
      <c r="AF938" s="195"/>
      <c r="AG938" s="195"/>
      <c r="AH938" s="195"/>
      <c r="AI938" s="195"/>
      <c r="AJ938" s="195"/>
      <c r="AK938" s="195"/>
      <c r="AL938" s="195"/>
      <c r="AM938" s="1"/>
      <c r="AN938" s="240"/>
      <c r="AO938" s="240"/>
      <c r="AP938" s="240"/>
      <c r="AQ938" s="730"/>
      <c r="AR938" s="730"/>
      <c r="AS938" s="730"/>
      <c r="AT938" s="738"/>
      <c r="AU938" s="738"/>
      <c r="AV938" s="240"/>
      <c r="AW938" s="240"/>
      <c r="AX938" s="240"/>
      <c r="AY938" s="240"/>
      <c r="AZ938" s="240"/>
      <c r="BA938" s="240"/>
      <c r="BB938" s="672"/>
      <c r="BC938" s="731"/>
      <c r="BD938" s="731"/>
      <c r="BE938" s="731"/>
      <c r="BF938" s="672"/>
      <c r="BG938" s="732"/>
      <c r="BH938" s="240"/>
      <c r="BI938" s="240"/>
      <c r="BJ938" s="240"/>
      <c r="BK938" s="240"/>
      <c r="BL938" s="240"/>
      <c r="BM938" s="240"/>
      <c r="BN938" s="240"/>
      <c r="BO938" s="240"/>
      <c r="BP938" s="240"/>
      <c r="BQ938" s="240"/>
      <c r="BR938" s="240"/>
      <c r="BS938" s="240"/>
      <c r="BT938" s="240"/>
      <c r="BU938" s="672"/>
      <c r="BV938" s="672"/>
      <c r="BW938" s="672"/>
      <c r="BX938" s="672"/>
      <c r="BY938" s="672"/>
      <c r="BZ938" s="672"/>
      <c r="CA938" s="672"/>
      <c r="CB938" s="672"/>
      <c r="CC938" s="672"/>
      <c r="CD938" s="672"/>
      <c r="CE938" s="240"/>
      <c r="CF938" s="240"/>
      <c r="CG938" s="240"/>
      <c r="CH938" s="240"/>
      <c r="CI938" s="240"/>
      <c r="CJ938" s="728"/>
      <c r="CK938" s="728"/>
      <c r="CL938" s="195"/>
      <c r="CM938" s="195"/>
      <c r="CN938" s="195"/>
      <c r="CO938" s="195"/>
      <c r="CP938" s="195"/>
      <c r="CQ938" s="195"/>
      <c r="CR938" s="195"/>
      <c r="CS938" s="195"/>
      <c r="CT938" s="195"/>
      <c r="CU938" s="195"/>
      <c r="CV938" s="195"/>
      <c r="CW938" s="195"/>
      <c r="CX938" s="195"/>
      <c r="CY938" s="195"/>
      <c r="CZ938" s="195"/>
      <c r="DA938" s="195"/>
      <c r="DB938" s="195"/>
      <c r="DC938" s="195"/>
      <c r="DD938" s="195"/>
      <c r="DO938" s="195"/>
      <c r="DP938" s="195"/>
      <c r="DQ938" s="195"/>
      <c r="DR938" s="195"/>
      <c r="DS938" s="195"/>
      <c r="DT938" s="195"/>
      <c r="DU938" s="195"/>
      <c r="DV938" s="195"/>
      <c r="DW938" s="195"/>
      <c r="DX938" s="195"/>
      <c r="DY938" s="195"/>
      <c r="DZ938" s="195"/>
      <c r="EA938" s="195"/>
      <c r="EB938" s="195"/>
      <c r="EC938" s="195"/>
      <c r="ED938" s="195"/>
      <c r="EE938" s="195"/>
      <c r="EK938" s="195"/>
      <c r="EL938" s="240"/>
      <c r="EM938" s="240"/>
      <c r="EN938" s="195"/>
      <c r="EO938" s="240"/>
      <c r="EP938" s="195"/>
      <c r="EQ938" s="195"/>
      <c r="ER938" s="195"/>
      <c r="ES938" s="736"/>
    </row>
    <row r="939" customFormat="false" ht="12.75" hidden="false" customHeight="false" outlineLevel="0" collapsed="false">
      <c r="I939" s="735"/>
      <c r="J939" s="728"/>
      <c r="K939" s="195"/>
      <c r="L939" s="195"/>
      <c r="Q939" s="195"/>
      <c r="R939" s="195"/>
      <c r="S939" s="240"/>
      <c r="T939" s="195"/>
      <c r="U939" s="195"/>
      <c r="V939" s="195"/>
      <c r="W939" s="195"/>
      <c r="X939" s="195"/>
      <c r="Y939" s="195"/>
      <c r="Z939" s="195"/>
      <c r="AA939" s="195"/>
      <c r="AB939" s="195"/>
      <c r="AC939" s="195"/>
      <c r="AD939" s="195"/>
      <c r="AE939" s="195"/>
      <c r="AF939" s="195"/>
      <c r="AG939" s="195"/>
      <c r="AH939" s="195"/>
      <c r="AI939" s="195"/>
      <c r="AJ939" s="195"/>
      <c r="AK939" s="195"/>
      <c r="AL939" s="195"/>
      <c r="AM939" s="1"/>
      <c r="AN939" s="240"/>
      <c r="AO939" s="240"/>
      <c r="AP939" s="240"/>
      <c r="AQ939" s="730"/>
      <c r="AR939" s="730"/>
      <c r="AS939" s="730"/>
      <c r="AT939" s="738"/>
      <c r="AU939" s="738"/>
      <c r="AV939" s="240"/>
      <c r="AW939" s="240"/>
      <c r="AX939" s="240"/>
      <c r="AY939" s="240"/>
      <c r="AZ939" s="240"/>
      <c r="BA939" s="240"/>
      <c r="BB939" s="672"/>
      <c r="BC939" s="731"/>
      <c r="BD939" s="731"/>
      <c r="BE939" s="731"/>
      <c r="BF939" s="672"/>
      <c r="BG939" s="732"/>
      <c r="BH939" s="240"/>
      <c r="BI939" s="240"/>
      <c r="BJ939" s="240"/>
      <c r="BK939" s="240"/>
      <c r="BL939" s="240"/>
      <c r="BM939" s="240"/>
      <c r="BN939" s="240"/>
      <c r="BO939" s="240"/>
      <c r="BP939" s="240"/>
      <c r="BQ939" s="240"/>
      <c r="BR939" s="240"/>
      <c r="BS939" s="240"/>
      <c r="BT939" s="240"/>
      <c r="BU939" s="672"/>
      <c r="BV939" s="672"/>
      <c r="BW939" s="672"/>
      <c r="BX939" s="672"/>
      <c r="BY939" s="672"/>
      <c r="BZ939" s="672"/>
      <c r="CA939" s="672"/>
      <c r="CB939" s="672"/>
      <c r="CC939" s="672"/>
      <c r="CD939" s="672"/>
      <c r="CE939" s="240"/>
      <c r="CF939" s="240"/>
      <c r="CG939" s="240"/>
      <c r="CH939" s="240"/>
      <c r="CI939" s="240"/>
      <c r="CJ939" s="728"/>
      <c r="CK939" s="728"/>
      <c r="CL939" s="195"/>
      <c r="CM939" s="195"/>
      <c r="CN939" s="195"/>
      <c r="CO939" s="195"/>
      <c r="CP939" s="195"/>
      <c r="CQ939" s="195"/>
      <c r="CR939" s="195"/>
      <c r="CS939" s="195"/>
      <c r="CT939" s="195"/>
      <c r="CU939" s="195"/>
      <c r="CV939" s="195"/>
      <c r="CW939" s="195"/>
      <c r="CX939" s="195"/>
      <c r="CY939" s="195"/>
      <c r="CZ939" s="195"/>
      <c r="DA939" s="195"/>
      <c r="DB939" s="195"/>
      <c r="DC939" s="195"/>
      <c r="DD939" s="195"/>
      <c r="DO939" s="195"/>
      <c r="DP939" s="195"/>
      <c r="DQ939" s="195"/>
      <c r="DR939" s="195"/>
      <c r="DS939" s="195"/>
      <c r="DT939" s="195"/>
      <c r="DU939" s="195"/>
      <c r="DV939" s="195"/>
      <c r="DW939" s="195"/>
      <c r="DX939" s="195"/>
      <c r="DY939" s="195"/>
      <c r="DZ939" s="195"/>
      <c r="EA939" s="195"/>
      <c r="EB939" s="195"/>
      <c r="EC939" s="195"/>
      <c r="ED939" s="195"/>
      <c r="EE939" s="195"/>
      <c r="EK939" s="195"/>
      <c r="EL939" s="240"/>
      <c r="EM939" s="240"/>
      <c r="EN939" s="195"/>
      <c r="EO939" s="240"/>
      <c r="EP939" s="195"/>
      <c r="EQ939" s="195"/>
      <c r="ER939" s="195"/>
      <c r="ES939" s="736"/>
    </row>
    <row r="940" customFormat="false" ht="12.75" hidden="false" customHeight="false" outlineLevel="0" collapsed="false">
      <c r="I940" s="735"/>
      <c r="J940" s="728"/>
      <c r="K940" s="195"/>
      <c r="L940" s="195"/>
      <c r="Q940" s="195"/>
      <c r="R940" s="195"/>
      <c r="S940" s="240"/>
      <c r="T940" s="195"/>
      <c r="U940" s="195"/>
      <c r="V940" s="195"/>
      <c r="W940" s="195"/>
      <c r="X940" s="195"/>
      <c r="Y940" s="195"/>
      <c r="Z940" s="195"/>
      <c r="AA940" s="195"/>
      <c r="AB940" s="195"/>
      <c r="AC940" s="195"/>
      <c r="AD940" s="195"/>
      <c r="AE940" s="195"/>
      <c r="AF940" s="195"/>
      <c r="AG940" s="195"/>
      <c r="AH940" s="195"/>
      <c r="AI940" s="195"/>
      <c r="AJ940" s="195"/>
      <c r="AK940" s="195"/>
      <c r="AL940" s="195"/>
      <c r="AM940" s="1"/>
      <c r="AN940" s="240"/>
      <c r="AO940" s="240"/>
      <c r="AP940" s="240"/>
      <c r="AQ940" s="730"/>
      <c r="AR940" s="730"/>
      <c r="AS940" s="730"/>
      <c r="AT940" s="738"/>
      <c r="AU940" s="738"/>
      <c r="AV940" s="240"/>
      <c r="AW940" s="240"/>
      <c r="AX940" s="240"/>
      <c r="AY940" s="240"/>
      <c r="AZ940" s="240"/>
      <c r="BA940" s="240"/>
      <c r="BB940" s="672"/>
      <c r="BC940" s="731"/>
      <c r="BD940" s="731"/>
      <c r="BE940" s="731"/>
      <c r="BF940" s="672"/>
      <c r="BG940" s="732"/>
      <c r="BH940" s="240"/>
      <c r="BI940" s="240"/>
      <c r="BJ940" s="240"/>
      <c r="BK940" s="240"/>
      <c r="BL940" s="240"/>
      <c r="BM940" s="240"/>
      <c r="BN940" s="240"/>
      <c r="BO940" s="240"/>
      <c r="BP940" s="240"/>
      <c r="BQ940" s="240"/>
      <c r="BR940" s="240"/>
      <c r="BS940" s="240"/>
      <c r="BT940" s="240"/>
      <c r="BU940" s="672"/>
      <c r="BV940" s="672"/>
      <c r="BW940" s="672"/>
      <c r="BX940" s="672"/>
      <c r="BY940" s="672"/>
      <c r="BZ940" s="672"/>
      <c r="CA940" s="672"/>
      <c r="CB940" s="672"/>
      <c r="CC940" s="672"/>
      <c r="CD940" s="672"/>
      <c r="CE940" s="240"/>
      <c r="CF940" s="240"/>
      <c r="CG940" s="240"/>
      <c r="CH940" s="240"/>
      <c r="CI940" s="240"/>
      <c r="CJ940" s="728"/>
      <c r="CK940" s="728"/>
      <c r="CL940" s="195"/>
      <c r="CM940" s="195"/>
      <c r="CN940" s="195"/>
      <c r="CO940" s="195"/>
      <c r="CP940" s="195"/>
      <c r="CQ940" s="195"/>
      <c r="CR940" s="195"/>
      <c r="CS940" s="195"/>
      <c r="CT940" s="195"/>
      <c r="CU940" s="195"/>
      <c r="CV940" s="195"/>
      <c r="CW940" s="195"/>
      <c r="CX940" s="195"/>
      <c r="CY940" s="195"/>
      <c r="CZ940" s="195"/>
      <c r="DA940" s="195"/>
      <c r="DB940" s="195"/>
      <c r="DC940" s="195"/>
      <c r="DD940" s="195"/>
      <c r="DO940" s="195"/>
      <c r="DP940" s="195"/>
      <c r="DQ940" s="195"/>
      <c r="DR940" s="195"/>
      <c r="DS940" s="195"/>
      <c r="DT940" s="195"/>
      <c r="DU940" s="195"/>
      <c r="DV940" s="195"/>
      <c r="DW940" s="195"/>
      <c r="DX940" s="195"/>
      <c r="DY940" s="195"/>
      <c r="DZ940" s="195"/>
      <c r="EA940" s="195"/>
      <c r="EB940" s="195"/>
      <c r="EC940" s="195"/>
      <c r="ED940" s="195"/>
      <c r="EE940" s="195"/>
      <c r="EK940" s="195"/>
      <c r="EL940" s="240"/>
      <c r="EM940" s="240"/>
      <c r="EN940" s="195"/>
      <c r="EO940" s="240"/>
      <c r="EP940" s="195"/>
      <c r="EQ940" s="195"/>
      <c r="ER940" s="195"/>
      <c r="ES940" s="736"/>
    </row>
    <row r="941" customFormat="false" ht="12.75" hidden="false" customHeight="false" outlineLevel="0" collapsed="false">
      <c r="I941" s="735"/>
      <c r="J941" s="728"/>
      <c r="K941" s="195"/>
      <c r="L941" s="195"/>
      <c r="Q941" s="195"/>
      <c r="R941" s="195"/>
      <c r="S941" s="240"/>
      <c r="T941" s="195"/>
      <c r="U941" s="195"/>
      <c r="V941" s="195"/>
      <c r="W941" s="195"/>
      <c r="X941" s="195"/>
      <c r="Y941" s="195"/>
      <c r="Z941" s="195"/>
      <c r="AA941" s="195"/>
      <c r="AB941" s="195"/>
      <c r="AC941" s="195"/>
      <c r="AD941" s="195"/>
      <c r="AE941" s="195"/>
      <c r="AF941" s="195"/>
      <c r="AG941" s="195"/>
      <c r="AH941" s="195"/>
      <c r="AI941" s="195"/>
      <c r="AJ941" s="195"/>
      <c r="AK941" s="195"/>
      <c r="AL941" s="195"/>
      <c r="AM941" s="1"/>
      <c r="AN941" s="240"/>
      <c r="AO941" s="240"/>
      <c r="AP941" s="240"/>
      <c r="AQ941" s="730"/>
      <c r="AR941" s="730"/>
      <c r="AS941" s="730"/>
      <c r="AT941" s="738"/>
      <c r="AU941" s="738"/>
      <c r="AV941" s="240"/>
      <c r="AW941" s="240"/>
      <c r="AX941" s="240"/>
      <c r="AY941" s="240"/>
      <c r="AZ941" s="240"/>
      <c r="BA941" s="240"/>
      <c r="BB941" s="672"/>
      <c r="BC941" s="731"/>
      <c r="BD941" s="731"/>
      <c r="BE941" s="731"/>
      <c r="BF941" s="672"/>
      <c r="BG941" s="732"/>
      <c r="BH941" s="240"/>
      <c r="BI941" s="240"/>
      <c r="BJ941" s="240"/>
      <c r="BK941" s="240"/>
      <c r="BL941" s="240"/>
      <c r="BM941" s="240"/>
      <c r="BN941" s="240"/>
      <c r="BO941" s="240"/>
      <c r="BP941" s="240"/>
      <c r="BQ941" s="240"/>
      <c r="BR941" s="240"/>
      <c r="BS941" s="240"/>
      <c r="BT941" s="240"/>
      <c r="BU941" s="672"/>
      <c r="BV941" s="672"/>
      <c r="BW941" s="672"/>
      <c r="BX941" s="672"/>
      <c r="BY941" s="672"/>
      <c r="BZ941" s="672"/>
      <c r="CA941" s="672"/>
      <c r="CB941" s="672"/>
      <c r="CC941" s="672"/>
      <c r="CD941" s="672"/>
      <c r="CE941" s="240"/>
      <c r="CF941" s="240"/>
      <c r="CG941" s="240"/>
      <c r="CH941" s="240"/>
      <c r="CI941" s="240"/>
      <c r="CJ941" s="728"/>
      <c r="CK941" s="728"/>
      <c r="CL941" s="195"/>
      <c r="CM941" s="195"/>
      <c r="CN941" s="195"/>
      <c r="CO941" s="195"/>
      <c r="CP941" s="195"/>
      <c r="CQ941" s="195"/>
      <c r="CR941" s="195"/>
      <c r="CS941" s="195"/>
      <c r="CT941" s="195"/>
      <c r="CU941" s="195"/>
      <c r="CV941" s="195"/>
      <c r="CW941" s="195"/>
      <c r="CX941" s="195"/>
      <c r="CY941" s="195"/>
      <c r="CZ941" s="195"/>
      <c r="DA941" s="195"/>
      <c r="DB941" s="195"/>
      <c r="DC941" s="195"/>
      <c r="DD941" s="195"/>
      <c r="DO941" s="195"/>
      <c r="DP941" s="195"/>
      <c r="DQ941" s="195"/>
      <c r="DR941" s="195"/>
      <c r="DS941" s="195"/>
      <c r="DT941" s="195"/>
      <c r="DU941" s="195"/>
      <c r="DV941" s="195"/>
      <c r="DW941" s="195"/>
      <c r="DX941" s="195"/>
      <c r="DY941" s="195"/>
      <c r="DZ941" s="195"/>
      <c r="EA941" s="195"/>
      <c r="EB941" s="195"/>
      <c r="EC941" s="195"/>
      <c r="ED941" s="195"/>
      <c r="EE941" s="195"/>
      <c r="EK941" s="195"/>
      <c r="EL941" s="240"/>
      <c r="EM941" s="240"/>
      <c r="EN941" s="195"/>
      <c r="EO941" s="240"/>
      <c r="EP941" s="195"/>
      <c r="EQ941" s="195"/>
      <c r="ER941" s="195"/>
      <c r="ES941" s="736"/>
    </row>
    <row r="942" customFormat="false" ht="12.75" hidden="false" customHeight="false" outlineLevel="0" collapsed="false">
      <c r="I942" s="735"/>
      <c r="J942" s="728"/>
      <c r="K942" s="195"/>
      <c r="L942" s="195"/>
      <c r="Q942" s="195"/>
      <c r="R942" s="195"/>
      <c r="S942" s="240"/>
      <c r="T942" s="195"/>
      <c r="U942" s="195"/>
      <c r="V942" s="195"/>
      <c r="W942" s="195"/>
      <c r="X942" s="195"/>
      <c r="Y942" s="195"/>
      <c r="Z942" s="195"/>
      <c r="AA942" s="195"/>
      <c r="AB942" s="195"/>
      <c r="AC942" s="195"/>
      <c r="AD942" s="195"/>
      <c r="AE942" s="195"/>
      <c r="AF942" s="195"/>
      <c r="AG942" s="195"/>
      <c r="AH942" s="195"/>
      <c r="AI942" s="195"/>
      <c r="AJ942" s="195"/>
      <c r="AK942" s="195"/>
      <c r="AL942" s="195"/>
      <c r="AM942" s="1"/>
      <c r="AN942" s="240"/>
      <c r="AO942" s="240"/>
      <c r="AP942" s="240"/>
      <c r="AQ942" s="730"/>
      <c r="AR942" s="730"/>
      <c r="AS942" s="730"/>
      <c r="AT942" s="738"/>
      <c r="AU942" s="738"/>
      <c r="AV942" s="240"/>
      <c r="AW942" s="240"/>
      <c r="AX942" s="240"/>
      <c r="AY942" s="240"/>
      <c r="AZ942" s="240"/>
      <c r="BA942" s="240"/>
      <c r="BB942" s="672"/>
      <c r="BC942" s="731"/>
      <c r="BD942" s="731"/>
      <c r="BE942" s="731"/>
      <c r="BF942" s="672"/>
      <c r="BG942" s="732"/>
      <c r="BH942" s="240"/>
      <c r="BI942" s="240"/>
      <c r="BJ942" s="240"/>
      <c r="BK942" s="240"/>
      <c r="BL942" s="240"/>
      <c r="BM942" s="240"/>
      <c r="BN942" s="240"/>
      <c r="BO942" s="240"/>
      <c r="BP942" s="240"/>
      <c r="BQ942" s="240"/>
      <c r="BR942" s="240"/>
      <c r="BS942" s="240"/>
      <c r="BT942" s="240"/>
      <c r="BU942" s="672"/>
      <c r="BV942" s="672"/>
      <c r="BW942" s="672"/>
      <c r="BX942" s="672"/>
      <c r="BY942" s="672"/>
      <c r="BZ942" s="672"/>
      <c r="CA942" s="672"/>
      <c r="CB942" s="672"/>
      <c r="CC942" s="672"/>
      <c r="CD942" s="672"/>
      <c r="CE942" s="240"/>
      <c r="CF942" s="240"/>
      <c r="CG942" s="240"/>
      <c r="CH942" s="240"/>
      <c r="CI942" s="240"/>
      <c r="CJ942" s="728"/>
      <c r="CK942" s="728"/>
      <c r="CL942" s="195"/>
      <c r="CM942" s="195"/>
      <c r="CN942" s="195"/>
      <c r="CO942" s="195"/>
      <c r="CP942" s="195"/>
      <c r="CQ942" s="195"/>
      <c r="CR942" s="195"/>
      <c r="CS942" s="195"/>
      <c r="CT942" s="195"/>
      <c r="CU942" s="195"/>
      <c r="CV942" s="195"/>
      <c r="CW942" s="195"/>
      <c r="CX942" s="195"/>
      <c r="CY942" s="195"/>
      <c r="CZ942" s="195"/>
      <c r="DA942" s="195"/>
      <c r="DB942" s="195"/>
      <c r="DC942" s="195"/>
      <c r="DD942" s="195"/>
      <c r="DO942" s="195"/>
      <c r="DP942" s="195"/>
      <c r="DQ942" s="195"/>
      <c r="DR942" s="195"/>
      <c r="DS942" s="195"/>
      <c r="DT942" s="195"/>
      <c r="DU942" s="195"/>
      <c r="DV942" s="195"/>
      <c r="DW942" s="195"/>
      <c r="DX942" s="195"/>
      <c r="DY942" s="195"/>
      <c r="DZ942" s="195"/>
      <c r="EA942" s="195"/>
      <c r="EB942" s="195"/>
      <c r="EC942" s="195"/>
      <c r="ED942" s="195"/>
      <c r="EE942" s="195"/>
      <c r="EK942" s="195"/>
      <c r="EL942" s="240"/>
      <c r="EM942" s="240"/>
      <c r="EN942" s="195"/>
      <c r="EO942" s="240"/>
      <c r="EP942" s="195"/>
      <c r="EQ942" s="195"/>
      <c r="ER942" s="195"/>
      <c r="ES942" s="736"/>
    </row>
    <row r="943" customFormat="false" ht="12.75" hidden="false" customHeight="false" outlineLevel="0" collapsed="false">
      <c r="I943" s="735"/>
      <c r="J943" s="728"/>
      <c r="K943" s="195"/>
      <c r="L943" s="195"/>
      <c r="Q943" s="195"/>
      <c r="R943" s="195"/>
      <c r="S943" s="240"/>
      <c r="T943" s="195"/>
      <c r="U943" s="195"/>
      <c r="V943" s="195"/>
      <c r="W943" s="195"/>
      <c r="X943" s="195"/>
      <c r="Y943" s="195"/>
      <c r="Z943" s="195"/>
      <c r="AA943" s="195"/>
      <c r="AB943" s="195"/>
      <c r="AC943" s="195"/>
      <c r="AD943" s="195"/>
      <c r="AE943" s="195"/>
      <c r="AF943" s="195"/>
      <c r="AG943" s="195"/>
      <c r="AH943" s="195"/>
      <c r="AI943" s="195"/>
      <c r="AJ943" s="195"/>
      <c r="AK943" s="195"/>
      <c r="AL943" s="195"/>
      <c r="AM943" s="1"/>
      <c r="AN943" s="240"/>
      <c r="AO943" s="240"/>
      <c r="AP943" s="240"/>
      <c r="AQ943" s="730"/>
      <c r="AR943" s="730"/>
      <c r="AS943" s="730"/>
      <c r="AT943" s="738"/>
      <c r="AU943" s="738"/>
      <c r="AV943" s="240"/>
      <c r="AW943" s="240"/>
      <c r="AX943" s="240"/>
      <c r="AY943" s="240"/>
      <c r="AZ943" s="240"/>
      <c r="BA943" s="240"/>
      <c r="BB943" s="672"/>
      <c r="BC943" s="731"/>
      <c r="BD943" s="731"/>
      <c r="BE943" s="731"/>
      <c r="BF943" s="672"/>
      <c r="BG943" s="732"/>
      <c r="BH943" s="240"/>
      <c r="BI943" s="240"/>
      <c r="BJ943" s="240"/>
      <c r="BK943" s="240"/>
      <c r="BL943" s="240"/>
      <c r="BM943" s="240"/>
      <c r="BN943" s="240"/>
      <c r="BO943" s="240"/>
      <c r="BP943" s="240"/>
      <c r="BQ943" s="240"/>
      <c r="BR943" s="240"/>
      <c r="BS943" s="240"/>
      <c r="BT943" s="240"/>
      <c r="BU943" s="672"/>
      <c r="BV943" s="672"/>
      <c r="BW943" s="672"/>
      <c r="BX943" s="672"/>
      <c r="BY943" s="672"/>
      <c r="BZ943" s="672"/>
      <c r="CA943" s="672"/>
      <c r="CB943" s="672"/>
      <c r="CC943" s="672"/>
      <c r="CD943" s="672"/>
      <c r="CE943" s="240"/>
      <c r="CF943" s="240"/>
      <c r="CG943" s="240"/>
      <c r="CH943" s="240"/>
      <c r="CI943" s="240"/>
      <c r="CJ943" s="728"/>
      <c r="CK943" s="728"/>
      <c r="CL943" s="195"/>
      <c r="CM943" s="195"/>
      <c r="CN943" s="195"/>
      <c r="CO943" s="195"/>
      <c r="CP943" s="195"/>
      <c r="CQ943" s="195"/>
      <c r="CR943" s="195"/>
      <c r="CS943" s="195"/>
      <c r="CT943" s="195"/>
      <c r="CU943" s="195"/>
      <c r="CV943" s="195"/>
      <c r="CW943" s="195"/>
      <c r="CX943" s="195"/>
      <c r="CY943" s="195"/>
      <c r="CZ943" s="195"/>
      <c r="DA943" s="195"/>
      <c r="DB943" s="195"/>
      <c r="DC943" s="195"/>
      <c r="DD943" s="195"/>
      <c r="DO943" s="195"/>
      <c r="DP943" s="195"/>
      <c r="DQ943" s="195"/>
      <c r="DR943" s="195"/>
      <c r="DS943" s="195"/>
      <c r="DT943" s="195"/>
      <c r="DU943" s="195"/>
      <c r="DV943" s="195"/>
      <c r="DW943" s="195"/>
      <c r="DX943" s="195"/>
      <c r="DY943" s="195"/>
      <c r="DZ943" s="195"/>
      <c r="EA943" s="195"/>
      <c r="EB943" s="195"/>
      <c r="EC943" s="195"/>
      <c r="ED943" s="195"/>
      <c r="EE943" s="195"/>
      <c r="EK943" s="195"/>
      <c r="EL943" s="240"/>
      <c r="EM943" s="240"/>
      <c r="EN943" s="195"/>
      <c r="EO943" s="240"/>
      <c r="EP943" s="195"/>
      <c r="EQ943" s="195"/>
      <c r="ER943" s="195"/>
      <c r="ES943" s="736"/>
    </row>
    <row r="944" customFormat="false" ht="12.75" hidden="false" customHeight="false" outlineLevel="0" collapsed="false">
      <c r="I944" s="735"/>
      <c r="J944" s="728"/>
      <c r="K944" s="195"/>
      <c r="L944" s="195"/>
      <c r="Q944" s="195"/>
      <c r="R944" s="195"/>
      <c r="S944" s="240"/>
      <c r="T944" s="195"/>
      <c r="U944" s="195"/>
      <c r="V944" s="195"/>
      <c r="W944" s="195"/>
      <c r="X944" s="195"/>
      <c r="Y944" s="195"/>
      <c r="Z944" s="195"/>
      <c r="AA944" s="195"/>
      <c r="AB944" s="195"/>
      <c r="AC944" s="195"/>
      <c r="AD944" s="195"/>
      <c r="AE944" s="195"/>
      <c r="AF944" s="195"/>
      <c r="AG944" s="195"/>
      <c r="AH944" s="195"/>
      <c r="AI944" s="195"/>
      <c r="AJ944" s="195"/>
      <c r="AK944" s="195"/>
      <c r="AL944" s="195"/>
      <c r="AM944" s="1"/>
      <c r="AN944" s="240"/>
      <c r="AO944" s="240"/>
      <c r="AP944" s="240"/>
      <c r="AQ944" s="730"/>
      <c r="AR944" s="730"/>
      <c r="AS944" s="730"/>
      <c r="AT944" s="738"/>
      <c r="AU944" s="738"/>
      <c r="AV944" s="240"/>
      <c r="AW944" s="240"/>
      <c r="AX944" s="240"/>
      <c r="AY944" s="240"/>
      <c r="AZ944" s="240"/>
      <c r="BA944" s="240"/>
      <c r="BB944" s="672"/>
      <c r="BC944" s="731"/>
      <c r="BD944" s="731"/>
      <c r="BE944" s="731"/>
      <c r="BF944" s="672"/>
      <c r="BG944" s="732"/>
      <c r="BH944" s="240"/>
      <c r="BI944" s="240"/>
      <c r="BJ944" s="240"/>
      <c r="BK944" s="240"/>
      <c r="BL944" s="240"/>
      <c r="BM944" s="240"/>
      <c r="BN944" s="240"/>
      <c r="BO944" s="240"/>
      <c r="BP944" s="240"/>
      <c r="BQ944" s="240"/>
      <c r="BR944" s="240"/>
      <c r="BS944" s="240"/>
      <c r="BT944" s="240"/>
      <c r="BU944" s="672"/>
      <c r="BV944" s="672"/>
      <c r="BW944" s="672"/>
      <c r="BX944" s="672"/>
      <c r="BY944" s="672"/>
      <c r="BZ944" s="672"/>
      <c r="CA944" s="672"/>
      <c r="CB944" s="672"/>
      <c r="CC944" s="672"/>
      <c r="CD944" s="672"/>
      <c r="CE944" s="240"/>
      <c r="CF944" s="240"/>
      <c r="CG944" s="240"/>
      <c r="CH944" s="240"/>
      <c r="CI944" s="240"/>
      <c r="CJ944" s="728"/>
      <c r="CK944" s="728"/>
      <c r="CL944" s="195"/>
      <c r="CM944" s="195"/>
      <c r="CN944" s="195"/>
      <c r="CO944" s="195"/>
      <c r="CP944" s="195"/>
      <c r="CQ944" s="195"/>
      <c r="CR944" s="195"/>
      <c r="CS944" s="195"/>
      <c r="CT944" s="195"/>
      <c r="CU944" s="195"/>
      <c r="CV944" s="195"/>
      <c r="CW944" s="195"/>
      <c r="CX944" s="195"/>
      <c r="CY944" s="195"/>
      <c r="CZ944" s="195"/>
      <c r="DA944" s="195"/>
      <c r="DB944" s="195"/>
      <c r="DC944" s="195"/>
      <c r="DD944" s="195"/>
      <c r="DO944" s="195"/>
      <c r="DP944" s="195"/>
      <c r="DQ944" s="195"/>
      <c r="DR944" s="195"/>
      <c r="DS944" s="195"/>
      <c r="DT944" s="195"/>
      <c r="DU944" s="195"/>
      <c r="DV944" s="195"/>
      <c r="DW944" s="195"/>
      <c r="DX944" s="195"/>
      <c r="DY944" s="195"/>
      <c r="DZ944" s="195"/>
      <c r="EA944" s="195"/>
      <c r="EB944" s="195"/>
      <c r="EC944" s="195"/>
      <c r="ED944" s="195"/>
      <c r="EE944" s="195"/>
      <c r="EK944" s="195"/>
      <c r="EL944" s="240"/>
      <c r="EM944" s="240"/>
      <c r="EN944" s="195"/>
      <c r="EO944" s="240"/>
      <c r="EP944" s="195"/>
      <c r="EQ944" s="195"/>
      <c r="ER944" s="195"/>
      <c r="ES944" s="736"/>
    </row>
    <row r="945" customFormat="false" ht="12.75" hidden="false" customHeight="false" outlineLevel="0" collapsed="false">
      <c r="I945" s="735"/>
      <c r="J945" s="728"/>
      <c r="K945" s="195"/>
      <c r="L945" s="195"/>
      <c r="Q945" s="195"/>
      <c r="R945" s="195"/>
      <c r="S945" s="240"/>
      <c r="T945" s="195"/>
      <c r="U945" s="195"/>
      <c r="V945" s="195"/>
      <c r="W945" s="195"/>
      <c r="X945" s="195"/>
      <c r="Y945" s="195"/>
      <c r="Z945" s="195"/>
      <c r="AA945" s="195"/>
      <c r="AB945" s="195"/>
      <c r="AC945" s="195"/>
      <c r="AD945" s="195"/>
      <c r="AE945" s="195"/>
      <c r="AF945" s="195"/>
      <c r="AG945" s="195"/>
      <c r="AH945" s="195"/>
      <c r="AI945" s="195"/>
      <c r="AJ945" s="195"/>
      <c r="AK945" s="195"/>
      <c r="AL945" s="195"/>
      <c r="AM945" s="1"/>
      <c r="AN945" s="240"/>
      <c r="AO945" s="240"/>
      <c r="AP945" s="240"/>
      <c r="AQ945" s="730"/>
      <c r="AR945" s="730"/>
      <c r="AS945" s="730"/>
      <c r="AT945" s="738"/>
      <c r="AU945" s="738"/>
      <c r="AV945" s="240"/>
      <c r="AW945" s="240"/>
      <c r="AX945" s="240"/>
      <c r="AY945" s="240"/>
      <c r="AZ945" s="240"/>
      <c r="BA945" s="240"/>
      <c r="BB945" s="672"/>
      <c r="BC945" s="731"/>
      <c r="BD945" s="731"/>
      <c r="BE945" s="731"/>
      <c r="BF945" s="672"/>
      <c r="BG945" s="732"/>
      <c r="BH945" s="240"/>
      <c r="BI945" s="240"/>
      <c r="BJ945" s="240"/>
      <c r="BK945" s="240"/>
      <c r="BL945" s="240"/>
      <c r="BM945" s="240"/>
      <c r="BN945" s="240"/>
      <c r="BO945" s="240"/>
      <c r="BP945" s="240"/>
      <c r="BQ945" s="240"/>
      <c r="BR945" s="240"/>
      <c r="BS945" s="240"/>
      <c r="BT945" s="240"/>
      <c r="BU945" s="672"/>
      <c r="BV945" s="672"/>
      <c r="BW945" s="672"/>
      <c r="BX945" s="672"/>
      <c r="BY945" s="672"/>
      <c r="BZ945" s="672"/>
      <c r="CA945" s="672"/>
      <c r="CB945" s="672"/>
      <c r="CC945" s="672"/>
      <c r="CD945" s="672"/>
      <c r="CE945" s="240"/>
      <c r="CF945" s="240"/>
      <c r="CG945" s="240"/>
      <c r="CH945" s="240"/>
      <c r="CI945" s="240"/>
      <c r="CJ945" s="728"/>
      <c r="CK945" s="728"/>
      <c r="CL945" s="195"/>
      <c r="CM945" s="195"/>
      <c r="CN945" s="195"/>
      <c r="CO945" s="195"/>
      <c r="CP945" s="195"/>
      <c r="CQ945" s="195"/>
      <c r="CR945" s="195"/>
      <c r="CS945" s="195"/>
      <c r="CT945" s="195"/>
      <c r="CU945" s="195"/>
      <c r="CV945" s="195"/>
      <c r="CW945" s="195"/>
      <c r="CX945" s="195"/>
      <c r="CY945" s="195"/>
      <c r="CZ945" s="195"/>
      <c r="DA945" s="195"/>
      <c r="DB945" s="195"/>
      <c r="DC945" s="195"/>
      <c r="DD945" s="195"/>
      <c r="DO945" s="195"/>
      <c r="DP945" s="195"/>
      <c r="DQ945" s="195"/>
      <c r="DR945" s="195"/>
      <c r="DS945" s="195"/>
      <c r="DT945" s="195"/>
      <c r="DU945" s="195"/>
      <c r="DV945" s="195"/>
      <c r="DW945" s="195"/>
      <c r="DX945" s="195"/>
      <c r="DY945" s="195"/>
      <c r="DZ945" s="195"/>
      <c r="EA945" s="195"/>
      <c r="EB945" s="195"/>
      <c r="EC945" s="195"/>
      <c r="ED945" s="195"/>
      <c r="EE945" s="195"/>
      <c r="EK945" s="195"/>
      <c r="EL945" s="240"/>
      <c r="EM945" s="240"/>
      <c r="EN945" s="195"/>
      <c r="EO945" s="240"/>
      <c r="EP945" s="195"/>
      <c r="EQ945" s="195"/>
      <c r="ER945" s="195"/>
      <c r="ES945" s="736"/>
    </row>
    <row r="946" customFormat="false" ht="12.75" hidden="false" customHeight="false" outlineLevel="0" collapsed="false">
      <c r="I946" s="735"/>
      <c r="J946" s="728"/>
      <c r="K946" s="195"/>
      <c r="L946" s="195"/>
      <c r="Q946" s="195"/>
      <c r="R946" s="195"/>
      <c r="S946" s="240"/>
      <c r="T946" s="195"/>
      <c r="U946" s="195"/>
      <c r="V946" s="195"/>
      <c r="W946" s="195"/>
      <c r="X946" s="195"/>
      <c r="Y946" s="195"/>
      <c r="Z946" s="195"/>
      <c r="AA946" s="195"/>
      <c r="AB946" s="195"/>
      <c r="AC946" s="195"/>
      <c r="AD946" s="195"/>
      <c r="AE946" s="195"/>
      <c r="AF946" s="195"/>
      <c r="AG946" s="195"/>
      <c r="AH946" s="195"/>
      <c r="AI946" s="195"/>
      <c r="AJ946" s="195"/>
      <c r="AK946" s="195"/>
      <c r="AL946" s="195"/>
      <c r="AM946" s="1"/>
      <c r="AN946" s="240"/>
      <c r="AO946" s="240"/>
      <c r="AP946" s="240"/>
      <c r="AQ946" s="730"/>
      <c r="AR946" s="730"/>
      <c r="AS946" s="730"/>
      <c r="AT946" s="738"/>
      <c r="AU946" s="738"/>
      <c r="AV946" s="240"/>
      <c r="AW946" s="240"/>
      <c r="AX946" s="240"/>
      <c r="AY946" s="240"/>
      <c r="AZ946" s="240"/>
      <c r="BA946" s="240"/>
      <c r="BB946" s="672"/>
      <c r="BC946" s="731"/>
      <c r="BD946" s="731"/>
      <c r="BE946" s="731"/>
      <c r="BF946" s="672"/>
      <c r="BG946" s="732"/>
      <c r="BH946" s="240"/>
      <c r="BI946" s="240"/>
      <c r="BJ946" s="240"/>
      <c r="BK946" s="240"/>
      <c r="BL946" s="240"/>
      <c r="BM946" s="240"/>
      <c r="BN946" s="240"/>
      <c r="BO946" s="240"/>
      <c r="BP946" s="240"/>
      <c r="BQ946" s="240"/>
      <c r="BR946" s="240"/>
      <c r="BS946" s="240"/>
      <c r="BT946" s="240"/>
      <c r="BU946" s="672"/>
      <c r="BV946" s="672"/>
      <c r="BW946" s="672"/>
      <c r="BX946" s="672"/>
      <c r="BY946" s="672"/>
      <c r="BZ946" s="672"/>
      <c r="CA946" s="672"/>
      <c r="CB946" s="672"/>
      <c r="CC946" s="672"/>
      <c r="CD946" s="672"/>
      <c r="CE946" s="240"/>
      <c r="CF946" s="240"/>
      <c r="CG946" s="240"/>
      <c r="CH946" s="240"/>
      <c r="CI946" s="240"/>
      <c r="CJ946" s="728"/>
      <c r="CK946" s="728"/>
      <c r="CL946" s="195"/>
      <c r="CM946" s="195"/>
      <c r="CN946" s="195"/>
      <c r="CO946" s="195"/>
      <c r="CP946" s="195"/>
      <c r="CQ946" s="195"/>
      <c r="CR946" s="195"/>
      <c r="CS946" s="195"/>
      <c r="CT946" s="195"/>
      <c r="CU946" s="195"/>
      <c r="CV946" s="195"/>
      <c r="CW946" s="195"/>
      <c r="CX946" s="195"/>
      <c r="CY946" s="195"/>
      <c r="CZ946" s="195"/>
      <c r="DA946" s="195"/>
      <c r="DB946" s="195"/>
      <c r="DC946" s="195"/>
      <c r="DD946" s="195"/>
      <c r="DO946" s="195"/>
      <c r="DP946" s="195"/>
      <c r="DQ946" s="195"/>
      <c r="DR946" s="195"/>
      <c r="DS946" s="195"/>
      <c r="DT946" s="195"/>
      <c r="DU946" s="195"/>
      <c r="DV946" s="195"/>
      <c r="DW946" s="195"/>
      <c r="DX946" s="195"/>
      <c r="DY946" s="195"/>
      <c r="DZ946" s="195"/>
      <c r="EA946" s="195"/>
      <c r="EB946" s="195"/>
      <c r="EC946" s="195"/>
      <c r="ED946" s="195"/>
      <c r="EE946" s="195"/>
      <c r="EK946" s="195"/>
      <c r="EL946" s="240"/>
      <c r="EM946" s="240"/>
      <c r="EN946" s="195"/>
      <c r="EO946" s="240"/>
      <c r="EP946" s="195"/>
      <c r="EQ946" s="195"/>
      <c r="ER946" s="195"/>
      <c r="ES946" s="736"/>
    </row>
    <row r="947" customFormat="false" ht="12.75" hidden="false" customHeight="false" outlineLevel="0" collapsed="false">
      <c r="I947" s="735"/>
      <c r="J947" s="728"/>
      <c r="K947" s="195"/>
      <c r="L947" s="195"/>
      <c r="Q947" s="195"/>
      <c r="R947" s="195"/>
      <c r="S947" s="240"/>
      <c r="T947" s="195"/>
      <c r="U947" s="195"/>
      <c r="V947" s="195"/>
      <c r="W947" s="195"/>
      <c r="X947" s="195"/>
      <c r="Y947" s="195"/>
      <c r="Z947" s="195"/>
      <c r="AA947" s="195"/>
      <c r="AB947" s="195"/>
      <c r="AC947" s="195"/>
      <c r="AD947" s="195"/>
      <c r="AE947" s="195"/>
      <c r="AF947" s="195"/>
      <c r="AG947" s="195"/>
      <c r="AH947" s="195"/>
      <c r="AI947" s="195"/>
      <c r="AJ947" s="195"/>
      <c r="AK947" s="195"/>
      <c r="AL947" s="195"/>
      <c r="AM947" s="1"/>
      <c r="AN947" s="240"/>
      <c r="AO947" s="240"/>
      <c r="AP947" s="240"/>
      <c r="AQ947" s="730"/>
      <c r="AR947" s="730"/>
      <c r="AS947" s="730"/>
      <c r="AT947" s="738"/>
      <c r="AU947" s="738"/>
      <c r="AV947" s="240"/>
      <c r="AW947" s="240"/>
      <c r="AX947" s="240"/>
      <c r="AY947" s="240"/>
      <c r="AZ947" s="240"/>
      <c r="BA947" s="240"/>
      <c r="BB947" s="672"/>
      <c r="BC947" s="731"/>
      <c r="BD947" s="731"/>
      <c r="BE947" s="731"/>
      <c r="BF947" s="672"/>
      <c r="BG947" s="732"/>
      <c r="BH947" s="240"/>
      <c r="BI947" s="240"/>
      <c r="BJ947" s="240"/>
      <c r="BK947" s="240"/>
      <c r="BL947" s="240"/>
      <c r="BM947" s="240"/>
      <c r="BN947" s="240"/>
      <c r="BO947" s="240"/>
      <c r="BP947" s="240"/>
      <c r="BQ947" s="240"/>
      <c r="BR947" s="240"/>
      <c r="BS947" s="240"/>
      <c r="BT947" s="240"/>
      <c r="BU947" s="672"/>
      <c r="BV947" s="672"/>
      <c r="BW947" s="672"/>
      <c r="BX947" s="672"/>
      <c r="BY947" s="672"/>
      <c r="BZ947" s="672"/>
      <c r="CA947" s="672"/>
      <c r="CB947" s="672"/>
      <c r="CC947" s="672"/>
      <c r="CD947" s="672"/>
      <c r="CE947" s="240"/>
      <c r="CF947" s="240"/>
      <c r="CG947" s="240"/>
      <c r="CH947" s="240"/>
      <c r="CI947" s="240"/>
      <c r="CJ947" s="728"/>
      <c r="CK947" s="728"/>
      <c r="CL947" s="195"/>
      <c r="CM947" s="195"/>
      <c r="CN947" s="195"/>
      <c r="CO947" s="195"/>
      <c r="CP947" s="195"/>
      <c r="CQ947" s="195"/>
      <c r="CR947" s="195"/>
      <c r="CS947" s="195"/>
      <c r="CT947" s="195"/>
      <c r="CU947" s="195"/>
      <c r="CV947" s="195"/>
      <c r="CW947" s="195"/>
      <c r="CX947" s="195"/>
      <c r="CY947" s="195"/>
      <c r="CZ947" s="195"/>
      <c r="DA947" s="195"/>
      <c r="DB947" s="195"/>
      <c r="DC947" s="195"/>
      <c r="DD947" s="195"/>
      <c r="DO947" s="195"/>
      <c r="DP947" s="195"/>
      <c r="DQ947" s="195"/>
      <c r="DR947" s="195"/>
      <c r="DS947" s="195"/>
      <c r="DT947" s="195"/>
      <c r="DU947" s="195"/>
      <c r="DV947" s="195"/>
      <c r="DW947" s="195"/>
      <c r="DX947" s="195"/>
      <c r="DY947" s="195"/>
      <c r="DZ947" s="195"/>
      <c r="EA947" s="195"/>
      <c r="EB947" s="195"/>
      <c r="EC947" s="195"/>
      <c r="ED947" s="195"/>
      <c r="EE947" s="195"/>
      <c r="EK947" s="195"/>
      <c r="EL947" s="240"/>
      <c r="EM947" s="240"/>
      <c r="EN947" s="195"/>
      <c r="EO947" s="240"/>
      <c r="EP947" s="195"/>
      <c r="EQ947" s="195"/>
      <c r="ER947" s="195"/>
      <c r="ES947" s="736"/>
    </row>
    <row r="948" customFormat="false" ht="12.75" hidden="false" customHeight="false" outlineLevel="0" collapsed="false">
      <c r="I948" s="735"/>
      <c r="J948" s="728"/>
      <c r="K948" s="195"/>
      <c r="L948" s="195"/>
      <c r="Q948" s="195"/>
      <c r="R948" s="195"/>
      <c r="S948" s="240"/>
      <c r="T948" s="195"/>
      <c r="U948" s="195"/>
      <c r="V948" s="195"/>
      <c r="W948" s="195"/>
      <c r="X948" s="195"/>
      <c r="Y948" s="195"/>
      <c r="Z948" s="195"/>
      <c r="AA948" s="195"/>
      <c r="AB948" s="195"/>
      <c r="AC948" s="195"/>
      <c r="AD948" s="195"/>
      <c r="AE948" s="195"/>
      <c r="AF948" s="195"/>
      <c r="AG948" s="195"/>
      <c r="AH948" s="195"/>
      <c r="AI948" s="195"/>
      <c r="AJ948" s="195"/>
      <c r="AK948" s="195"/>
      <c r="AL948" s="195"/>
      <c r="AM948" s="1"/>
      <c r="AN948" s="240"/>
      <c r="AO948" s="240"/>
      <c r="AP948" s="240"/>
      <c r="AQ948" s="730"/>
      <c r="AR948" s="730"/>
      <c r="AS948" s="730"/>
      <c r="AT948" s="738"/>
      <c r="AU948" s="738"/>
      <c r="AV948" s="240"/>
      <c r="AW948" s="240"/>
      <c r="AX948" s="240"/>
      <c r="AY948" s="240"/>
      <c r="AZ948" s="240"/>
      <c r="BA948" s="240"/>
      <c r="BB948" s="672"/>
      <c r="BC948" s="731"/>
      <c r="BD948" s="731"/>
      <c r="BE948" s="731"/>
      <c r="BF948" s="672"/>
      <c r="BG948" s="732"/>
      <c r="BH948" s="240"/>
      <c r="BI948" s="240"/>
      <c r="BJ948" s="240"/>
      <c r="BK948" s="240"/>
      <c r="BL948" s="240"/>
      <c r="BM948" s="240"/>
      <c r="BN948" s="240"/>
      <c r="BO948" s="240"/>
      <c r="BP948" s="240"/>
      <c r="BQ948" s="240"/>
      <c r="BR948" s="240"/>
      <c r="BS948" s="240"/>
      <c r="BT948" s="240"/>
      <c r="BU948" s="672"/>
      <c r="BV948" s="672"/>
      <c r="BW948" s="672"/>
      <c r="BX948" s="672"/>
      <c r="BY948" s="672"/>
      <c r="BZ948" s="672"/>
      <c r="CA948" s="672"/>
      <c r="CB948" s="672"/>
      <c r="CC948" s="672"/>
      <c r="CD948" s="672"/>
      <c r="CE948" s="240"/>
      <c r="CF948" s="240"/>
      <c r="CG948" s="240"/>
      <c r="CH948" s="240"/>
      <c r="CI948" s="240"/>
      <c r="CJ948" s="728"/>
      <c r="CK948" s="728"/>
      <c r="CL948" s="195"/>
      <c r="CM948" s="195"/>
      <c r="CN948" s="195"/>
      <c r="CO948" s="195"/>
      <c r="CP948" s="195"/>
      <c r="CQ948" s="195"/>
      <c r="CR948" s="195"/>
      <c r="CS948" s="195"/>
      <c r="CT948" s="195"/>
      <c r="CU948" s="195"/>
      <c r="CV948" s="195"/>
      <c r="CW948" s="195"/>
      <c r="CX948" s="195"/>
      <c r="CY948" s="195"/>
      <c r="CZ948" s="195"/>
      <c r="DA948" s="195"/>
      <c r="DB948" s="195"/>
      <c r="DC948" s="195"/>
      <c r="DD948" s="195"/>
      <c r="DO948" s="195"/>
      <c r="DP948" s="195"/>
      <c r="DQ948" s="195"/>
      <c r="DR948" s="195"/>
      <c r="DS948" s="195"/>
      <c r="DT948" s="195"/>
      <c r="DU948" s="195"/>
      <c r="DV948" s="195"/>
      <c r="DW948" s="195"/>
      <c r="DX948" s="195"/>
      <c r="DY948" s="195"/>
      <c r="DZ948" s="195"/>
      <c r="EA948" s="195"/>
      <c r="EB948" s="195"/>
      <c r="EC948" s="195"/>
      <c r="ED948" s="195"/>
      <c r="EE948" s="195"/>
      <c r="EK948" s="195"/>
      <c r="EL948" s="240"/>
      <c r="EM948" s="240"/>
      <c r="EN948" s="195"/>
      <c r="EO948" s="240"/>
      <c r="EP948" s="195"/>
      <c r="EQ948" s="195"/>
      <c r="ER948" s="195"/>
      <c r="ES948" s="736"/>
    </row>
    <row r="949" customFormat="false" ht="12.75" hidden="false" customHeight="false" outlineLevel="0" collapsed="false">
      <c r="I949" s="735"/>
      <c r="J949" s="728"/>
      <c r="K949" s="195"/>
      <c r="L949" s="195"/>
      <c r="Q949" s="195"/>
      <c r="R949" s="195"/>
      <c r="S949" s="240"/>
      <c r="T949" s="195"/>
      <c r="U949" s="195"/>
      <c r="V949" s="195"/>
      <c r="W949" s="195"/>
      <c r="X949" s="195"/>
      <c r="Y949" s="195"/>
      <c r="Z949" s="195"/>
      <c r="AA949" s="195"/>
      <c r="AB949" s="195"/>
      <c r="AC949" s="195"/>
      <c r="AD949" s="195"/>
      <c r="AE949" s="195"/>
      <c r="AF949" s="195"/>
      <c r="AG949" s="195"/>
      <c r="AH949" s="195"/>
      <c r="AI949" s="195"/>
      <c r="AJ949" s="195"/>
      <c r="AK949" s="195"/>
      <c r="AL949" s="195"/>
      <c r="AM949" s="1"/>
      <c r="AN949" s="240"/>
      <c r="AO949" s="240"/>
      <c r="AP949" s="240"/>
      <c r="AQ949" s="730"/>
      <c r="AR949" s="730"/>
      <c r="AS949" s="730"/>
      <c r="AT949" s="738"/>
      <c r="AU949" s="738"/>
      <c r="AV949" s="240"/>
      <c r="AW949" s="240"/>
      <c r="AX949" s="240"/>
      <c r="AY949" s="240"/>
      <c r="AZ949" s="240"/>
      <c r="BA949" s="240"/>
      <c r="BB949" s="672"/>
      <c r="BC949" s="731"/>
      <c r="BD949" s="731"/>
      <c r="BE949" s="731"/>
      <c r="BF949" s="672"/>
      <c r="BG949" s="732"/>
      <c r="BH949" s="240"/>
      <c r="BI949" s="240"/>
      <c r="BJ949" s="240"/>
      <c r="BK949" s="240"/>
      <c r="BL949" s="240"/>
      <c r="BM949" s="240"/>
      <c r="BN949" s="240"/>
      <c r="BO949" s="240"/>
      <c r="BP949" s="240"/>
      <c r="BQ949" s="240"/>
      <c r="BR949" s="240"/>
      <c r="BS949" s="240"/>
      <c r="BT949" s="240"/>
      <c r="BU949" s="672"/>
      <c r="BV949" s="672"/>
      <c r="BW949" s="672"/>
      <c r="BX949" s="672"/>
      <c r="BY949" s="672"/>
      <c r="BZ949" s="672"/>
      <c r="CA949" s="672"/>
      <c r="CB949" s="672"/>
      <c r="CC949" s="672"/>
      <c r="CD949" s="672"/>
      <c r="CE949" s="240"/>
      <c r="CF949" s="240"/>
      <c r="CG949" s="240"/>
      <c r="CH949" s="240"/>
      <c r="CI949" s="240"/>
      <c r="CJ949" s="728"/>
      <c r="CK949" s="728"/>
      <c r="CL949" s="195"/>
      <c r="CM949" s="195"/>
      <c r="CN949" s="195"/>
      <c r="CO949" s="195"/>
      <c r="CP949" s="195"/>
      <c r="CQ949" s="195"/>
      <c r="CR949" s="195"/>
      <c r="CS949" s="195"/>
      <c r="CT949" s="195"/>
      <c r="CU949" s="195"/>
      <c r="CV949" s="195"/>
      <c r="CW949" s="195"/>
      <c r="CX949" s="195"/>
      <c r="CY949" s="195"/>
      <c r="CZ949" s="195"/>
      <c r="DA949" s="195"/>
      <c r="DB949" s="195"/>
      <c r="DC949" s="195"/>
      <c r="DD949" s="195"/>
      <c r="DO949" s="195"/>
      <c r="DP949" s="195"/>
      <c r="DQ949" s="195"/>
      <c r="DR949" s="195"/>
      <c r="DS949" s="195"/>
      <c r="DT949" s="195"/>
      <c r="DU949" s="195"/>
      <c r="DV949" s="195"/>
      <c r="DW949" s="195"/>
      <c r="DX949" s="195"/>
      <c r="DY949" s="195"/>
      <c r="DZ949" s="195"/>
      <c r="EA949" s="195"/>
      <c r="EB949" s="195"/>
      <c r="EC949" s="195"/>
      <c r="ED949" s="195"/>
      <c r="EE949" s="195"/>
      <c r="EK949" s="195"/>
      <c r="EL949" s="240"/>
      <c r="EM949" s="240"/>
      <c r="EN949" s="195"/>
      <c r="EO949" s="240"/>
      <c r="EP949" s="195"/>
      <c r="EQ949" s="195"/>
      <c r="ER949" s="195"/>
      <c r="ES949" s="736"/>
    </row>
    <row r="950" customFormat="false" ht="12.75" hidden="false" customHeight="false" outlineLevel="0" collapsed="false">
      <c r="I950" s="735"/>
      <c r="J950" s="728"/>
      <c r="K950" s="195"/>
      <c r="L950" s="195"/>
      <c r="Q950" s="195"/>
      <c r="R950" s="195"/>
      <c r="S950" s="240"/>
      <c r="T950" s="195"/>
      <c r="U950" s="195"/>
      <c r="V950" s="195"/>
      <c r="W950" s="195"/>
      <c r="X950" s="195"/>
      <c r="Y950" s="195"/>
      <c r="Z950" s="195"/>
      <c r="AA950" s="195"/>
      <c r="AB950" s="195"/>
      <c r="AC950" s="195"/>
      <c r="AD950" s="195"/>
      <c r="AE950" s="195"/>
      <c r="AF950" s="195"/>
      <c r="AG950" s="195"/>
      <c r="AH950" s="195"/>
      <c r="AI950" s="195"/>
      <c r="AJ950" s="195"/>
      <c r="AK950" s="195"/>
      <c r="AL950" s="195"/>
      <c r="AM950" s="1"/>
      <c r="AN950" s="240"/>
      <c r="AO950" s="240"/>
      <c r="AP950" s="240"/>
      <c r="AQ950" s="730"/>
      <c r="AR950" s="730"/>
      <c r="AS950" s="730"/>
      <c r="AT950" s="738"/>
      <c r="AU950" s="738"/>
      <c r="AV950" s="240"/>
      <c r="AW950" s="240"/>
      <c r="AX950" s="240"/>
      <c r="AY950" s="240"/>
      <c r="AZ950" s="240"/>
      <c r="BA950" s="240"/>
      <c r="BB950" s="672"/>
      <c r="BC950" s="731"/>
      <c r="BD950" s="731"/>
      <c r="BE950" s="731"/>
      <c r="BF950" s="672"/>
      <c r="BG950" s="732"/>
      <c r="BH950" s="240"/>
      <c r="BI950" s="240"/>
      <c r="BJ950" s="240"/>
      <c r="BK950" s="240"/>
      <c r="BL950" s="240"/>
      <c r="BM950" s="240"/>
      <c r="BN950" s="240"/>
      <c r="BO950" s="240"/>
      <c r="BP950" s="240"/>
      <c r="BQ950" s="240"/>
      <c r="BR950" s="240"/>
      <c r="BS950" s="240"/>
      <c r="BT950" s="240"/>
      <c r="BU950" s="672"/>
      <c r="BV950" s="672"/>
      <c r="BW950" s="672"/>
      <c r="BX950" s="672"/>
      <c r="BY950" s="672"/>
      <c r="BZ950" s="672"/>
      <c r="CA950" s="672"/>
      <c r="CB950" s="672"/>
      <c r="CC950" s="672"/>
      <c r="CD950" s="672"/>
      <c r="CE950" s="240"/>
      <c r="CF950" s="240"/>
      <c r="CG950" s="240"/>
      <c r="CH950" s="240"/>
      <c r="CI950" s="240"/>
      <c r="CJ950" s="728"/>
      <c r="CK950" s="728"/>
      <c r="CL950" s="195"/>
      <c r="CM950" s="195"/>
      <c r="CN950" s="195"/>
      <c r="CO950" s="195"/>
      <c r="CP950" s="195"/>
      <c r="CQ950" s="195"/>
      <c r="CR950" s="195"/>
      <c r="CS950" s="195"/>
      <c r="CT950" s="195"/>
      <c r="CU950" s="195"/>
      <c r="CV950" s="195"/>
      <c r="CW950" s="195"/>
      <c r="CX950" s="195"/>
      <c r="CY950" s="195"/>
      <c r="CZ950" s="195"/>
      <c r="DA950" s="195"/>
      <c r="DB950" s="195"/>
      <c r="DC950" s="195"/>
      <c r="DD950" s="195"/>
      <c r="DO950" s="195"/>
      <c r="DP950" s="195"/>
      <c r="DQ950" s="195"/>
      <c r="DR950" s="195"/>
      <c r="DS950" s="195"/>
      <c r="DT950" s="195"/>
      <c r="DU950" s="195"/>
      <c r="DV950" s="195"/>
      <c r="DW950" s="195"/>
      <c r="DX950" s="195"/>
      <c r="DY950" s="195"/>
      <c r="DZ950" s="195"/>
      <c r="EA950" s="195"/>
      <c r="EB950" s="195"/>
      <c r="EC950" s="195"/>
      <c r="ED950" s="195"/>
      <c r="EE950" s="195"/>
      <c r="EK950" s="195"/>
      <c r="EL950" s="240"/>
      <c r="EM950" s="240"/>
      <c r="EN950" s="195"/>
      <c r="EO950" s="240"/>
      <c r="EP950" s="195"/>
      <c r="EQ950" s="195"/>
      <c r="ER950" s="195"/>
      <c r="ES950" s="736"/>
    </row>
    <row r="951" customFormat="false" ht="12.75" hidden="false" customHeight="false" outlineLevel="0" collapsed="false">
      <c r="I951" s="735"/>
      <c r="J951" s="728"/>
      <c r="K951" s="195"/>
      <c r="L951" s="195"/>
      <c r="Q951" s="195"/>
      <c r="R951" s="195"/>
      <c r="S951" s="240"/>
      <c r="T951" s="195"/>
      <c r="U951" s="195"/>
      <c r="V951" s="195"/>
      <c r="W951" s="195"/>
      <c r="X951" s="195"/>
      <c r="Y951" s="195"/>
      <c r="Z951" s="195"/>
      <c r="AA951" s="195"/>
      <c r="AB951" s="195"/>
      <c r="AC951" s="195"/>
      <c r="AD951" s="195"/>
      <c r="AE951" s="195"/>
      <c r="AF951" s="195"/>
      <c r="AG951" s="195"/>
      <c r="AH951" s="195"/>
      <c r="AI951" s="195"/>
      <c r="AJ951" s="195"/>
      <c r="AK951" s="195"/>
      <c r="AL951" s="195"/>
      <c r="AM951" s="1"/>
      <c r="AN951" s="240"/>
      <c r="AO951" s="240"/>
      <c r="AP951" s="240"/>
      <c r="AQ951" s="730"/>
      <c r="AR951" s="730"/>
      <c r="AS951" s="730"/>
      <c r="AT951" s="738"/>
      <c r="AU951" s="738"/>
      <c r="AV951" s="240"/>
      <c r="AW951" s="240"/>
      <c r="AX951" s="240"/>
      <c r="AY951" s="240"/>
      <c r="AZ951" s="240"/>
      <c r="BA951" s="240"/>
      <c r="BB951" s="672"/>
      <c r="BC951" s="731"/>
      <c r="BD951" s="731"/>
      <c r="BE951" s="731"/>
      <c r="BF951" s="672"/>
      <c r="BG951" s="732"/>
      <c r="BH951" s="240"/>
      <c r="BI951" s="240"/>
      <c r="BJ951" s="240"/>
      <c r="BK951" s="240"/>
      <c r="BL951" s="240"/>
      <c r="BM951" s="240"/>
      <c r="BN951" s="240"/>
      <c r="BO951" s="240"/>
      <c r="BP951" s="240"/>
      <c r="BQ951" s="240"/>
      <c r="BR951" s="240"/>
      <c r="BS951" s="240"/>
      <c r="BT951" s="240"/>
      <c r="BU951" s="672"/>
      <c r="BV951" s="672"/>
      <c r="BW951" s="672"/>
      <c r="BX951" s="672"/>
      <c r="BY951" s="672"/>
      <c r="BZ951" s="672"/>
      <c r="CA951" s="672"/>
      <c r="CB951" s="672"/>
      <c r="CC951" s="672"/>
      <c r="CD951" s="672"/>
      <c r="CE951" s="240"/>
      <c r="CF951" s="240"/>
      <c r="CG951" s="240"/>
      <c r="CH951" s="240"/>
      <c r="CI951" s="240"/>
      <c r="CJ951" s="728"/>
      <c r="CK951" s="728"/>
      <c r="CL951" s="195"/>
      <c r="CM951" s="195"/>
      <c r="CN951" s="195"/>
      <c r="CO951" s="195"/>
      <c r="CP951" s="195"/>
      <c r="CQ951" s="195"/>
      <c r="CR951" s="195"/>
      <c r="CS951" s="195"/>
      <c r="CT951" s="195"/>
      <c r="CU951" s="195"/>
      <c r="CV951" s="195"/>
      <c r="CW951" s="195"/>
      <c r="CX951" s="195"/>
      <c r="CY951" s="195"/>
      <c r="CZ951" s="195"/>
      <c r="DA951" s="195"/>
      <c r="DB951" s="195"/>
      <c r="DC951" s="195"/>
      <c r="DD951" s="195"/>
      <c r="DO951" s="195"/>
      <c r="DP951" s="195"/>
      <c r="DQ951" s="195"/>
      <c r="DR951" s="195"/>
      <c r="DS951" s="195"/>
      <c r="DT951" s="195"/>
      <c r="DU951" s="195"/>
      <c r="DV951" s="195"/>
      <c r="DW951" s="195"/>
      <c r="DX951" s="195"/>
      <c r="DY951" s="195"/>
      <c r="DZ951" s="195"/>
      <c r="EA951" s="195"/>
      <c r="EB951" s="195"/>
      <c r="EC951" s="195"/>
      <c r="ED951" s="195"/>
      <c r="EE951" s="195"/>
      <c r="EK951" s="195"/>
      <c r="EL951" s="240"/>
      <c r="EM951" s="240"/>
      <c r="EN951" s="195"/>
      <c r="EO951" s="240"/>
      <c r="EP951" s="195"/>
      <c r="EQ951" s="195"/>
      <c r="ER951" s="195"/>
      <c r="ES951" s="736"/>
    </row>
    <row r="952" customFormat="false" ht="12.75" hidden="false" customHeight="false" outlineLevel="0" collapsed="false">
      <c r="I952" s="735"/>
      <c r="J952" s="728"/>
      <c r="K952" s="195"/>
      <c r="L952" s="195"/>
      <c r="Q952" s="195"/>
      <c r="R952" s="195"/>
      <c r="S952" s="240"/>
      <c r="T952" s="195"/>
      <c r="U952" s="195"/>
      <c r="V952" s="195"/>
      <c r="W952" s="195"/>
      <c r="X952" s="195"/>
      <c r="Y952" s="195"/>
      <c r="Z952" s="195"/>
      <c r="AA952" s="195"/>
      <c r="AB952" s="195"/>
      <c r="AC952" s="195"/>
      <c r="AD952" s="195"/>
      <c r="AE952" s="195"/>
      <c r="AF952" s="195"/>
      <c r="AG952" s="195"/>
      <c r="AH952" s="195"/>
      <c r="AI952" s="195"/>
      <c r="AJ952" s="195"/>
      <c r="AK952" s="195"/>
      <c r="AL952" s="195"/>
      <c r="AM952" s="1"/>
      <c r="AN952" s="240"/>
      <c r="AO952" s="240"/>
      <c r="AP952" s="240"/>
      <c r="AQ952" s="730"/>
      <c r="AR952" s="730"/>
      <c r="AS952" s="730"/>
      <c r="AT952" s="738"/>
      <c r="AU952" s="738"/>
      <c r="AV952" s="240"/>
      <c r="AW952" s="240"/>
      <c r="AX952" s="240"/>
      <c r="AY952" s="240"/>
      <c r="AZ952" s="240"/>
      <c r="BA952" s="240"/>
      <c r="BB952" s="672"/>
      <c r="BC952" s="731"/>
      <c r="BD952" s="731"/>
      <c r="BE952" s="731"/>
      <c r="BF952" s="672"/>
      <c r="BG952" s="732"/>
      <c r="BH952" s="240"/>
      <c r="BI952" s="240"/>
      <c r="BJ952" s="240"/>
      <c r="BK952" s="240"/>
      <c r="BL952" s="240"/>
      <c r="BM952" s="240"/>
      <c r="BN952" s="240"/>
      <c r="BO952" s="240"/>
      <c r="BP952" s="240"/>
      <c r="BQ952" s="240"/>
      <c r="BR952" s="240"/>
      <c r="BS952" s="240"/>
      <c r="BT952" s="240"/>
      <c r="BU952" s="672"/>
      <c r="BV952" s="672"/>
      <c r="BW952" s="672"/>
      <c r="BX952" s="672"/>
      <c r="BY952" s="672"/>
      <c r="BZ952" s="672"/>
      <c r="CA952" s="672"/>
      <c r="CB952" s="672"/>
      <c r="CC952" s="672"/>
      <c r="CD952" s="672"/>
      <c r="CE952" s="240"/>
      <c r="CF952" s="240"/>
      <c r="CG952" s="240"/>
      <c r="CH952" s="240"/>
      <c r="CI952" s="240"/>
      <c r="CJ952" s="728"/>
      <c r="CK952" s="728"/>
      <c r="CL952" s="195"/>
      <c r="CM952" s="195"/>
      <c r="CN952" s="195"/>
      <c r="CO952" s="195"/>
      <c r="CP952" s="195"/>
      <c r="CQ952" s="195"/>
      <c r="CR952" s="195"/>
      <c r="CS952" s="195"/>
      <c r="CT952" s="195"/>
      <c r="CU952" s="195"/>
      <c r="CV952" s="195"/>
      <c r="CW952" s="195"/>
      <c r="CX952" s="195"/>
      <c r="CY952" s="195"/>
      <c r="CZ952" s="195"/>
      <c r="DA952" s="195"/>
      <c r="DB952" s="195"/>
      <c r="DC952" s="195"/>
      <c r="DD952" s="195"/>
      <c r="DO952" s="195"/>
      <c r="DP952" s="195"/>
      <c r="DQ952" s="195"/>
      <c r="DR952" s="195"/>
      <c r="DS952" s="195"/>
      <c r="DT952" s="195"/>
      <c r="DU952" s="195"/>
      <c r="DV952" s="195"/>
      <c r="DW952" s="195"/>
      <c r="DX952" s="195"/>
      <c r="DY952" s="195"/>
      <c r="DZ952" s="195"/>
      <c r="EA952" s="195"/>
      <c r="EB952" s="195"/>
      <c r="EC952" s="195"/>
      <c r="ED952" s="195"/>
      <c r="EE952" s="195"/>
      <c r="EK952" s="195"/>
      <c r="EL952" s="240"/>
      <c r="EM952" s="240"/>
      <c r="EN952" s="195"/>
      <c r="EO952" s="240"/>
      <c r="EP952" s="195"/>
      <c r="EQ952" s="195"/>
      <c r="ER952" s="195"/>
      <c r="ES952" s="736"/>
    </row>
    <row r="953" customFormat="false" ht="12.75" hidden="false" customHeight="false" outlineLevel="0" collapsed="false">
      <c r="I953" s="735"/>
      <c r="J953" s="728"/>
      <c r="K953" s="195"/>
      <c r="L953" s="195"/>
      <c r="Q953" s="195"/>
      <c r="R953" s="195"/>
      <c r="S953" s="240"/>
      <c r="T953" s="195"/>
      <c r="U953" s="195"/>
      <c r="V953" s="195"/>
      <c r="W953" s="195"/>
      <c r="X953" s="195"/>
      <c r="Y953" s="195"/>
      <c r="Z953" s="195"/>
      <c r="AA953" s="195"/>
      <c r="AB953" s="195"/>
      <c r="AC953" s="195"/>
      <c r="AD953" s="195"/>
      <c r="AE953" s="195"/>
      <c r="AF953" s="195"/>
      <c r="AG953" s="195"/>
      <c r="AH953" s="195"/>
      <c r="AI953" s="195"/>
      <c r="AJ953" s="195"/>
      <c r="AK953" s="195"/>
      <c r="AL953" s="195"/>
      <c r="AM953" s="1"/>
      <c r="AN953" s="240"/>
      <c r="AO953" s="240"/>
      <c r="AP953" s="240"/>
      <c r="AQ953" s="730"/>
      <c r="AR953" s="730"/>
      <c r="AS953" s="730"/>
      <c r="AT953" s="738"/>
      <c r="AU953" s="738"/>
      <c r="AV953" s="240"/>
      <c r="AW953" s="240"/>
      <c r="AX953" s="240"/>
      <c r="AY953" s="240"/>
      <c r="AZ953" s="240"/>
      <c r="BA953" s="240"/>
      <c r="BB953" s="672"/>
      <c r="BC953" s="731"/>
      <c r="BD953" s="731"/>
      <c r="BE953" s="731"/>
      <c r="BF953" s="672"/>
      <c r="BG953" s="732"/>
      <c r="BH953" s="240"/>
      <c r="BI953" s="240"/>
      <c r="BJ953" s="240"/>
      <c r="BK953" s="240"/>
      <c r="BL953" s="240"/>
      <c r="BM953" s="240"/>
      <c r="BN953" s="240"/>
      <c r="BO953" s="240"/>
      <c r="BP953" s="240"/>
      <c r="BQ953" s="240"/>
      <c r="BR953" s="240"/>
      <c r="BS953" s="240"/>
      <c r="BT953" s="240"/>
      <c r="BU953" s="672"/>
      <c r="BV953" s="672"/>
      <c r="BW953" s="672"/>
      <c r="BX953" s="672"/>
      <c r="BY953" s="672"/>
      <c r="BZ953" s="672"/>
      <c r="CA953" s="672"/>
      <c r="CB953" s="672"/>
      <c r="CC953" s="672"/>
      <c r="CD953" s="672"/>
      <c r="CE953" s="240"/>
      <c r="CF953" s="240"/>
      <c r="CG953" s="240"/>
      <c r="CH953" s="240"/>
      <c r="CI953" s="240"/>
      <c r="CJ953" s="728"/>
      <c r="CK953" s="728"/>
      <c r="CL953" s="195"/>
      <c r="CM953" s="195"/>
      <c r="CN953" s="195"/>
      <c r="CO953" s="195"/>
      <c r="CP953" s="195"/>
      <c r="CQ953" s="195"/>
      <c r="CR953" s="195"/>
      <c r="CS953" s="195"/>
      <c r="CT953" s="195"/>
      <c r="CU953" s="195"/>
      <c r="CV953" s="195"/>
      <c r="CW953" s="195"/>
      <c r="CX953" s="195"/>
      <c r="CY953" s="195"/>
      <c r="CZ953" s="195"/>
      <c r="DA953" s="195"/>
      <c r="DB953" s="195"/>
      <c r="DC953" s="195"/>
      <c r="DD953" s="195"/>
      <c r="DO953" s="195"/>
      <c r="DP953" s="195"/>
      <c r="DQ953" s="195"/>
      <c r="DR953" s="195"/>
      <c r="DS953" s="195"/>
      <c r="DT953" s="195"/>
      <c r="DU953" s="195"/>
      <c r="DV953" s="195"/>
      <c r="DW953" s="195"/>
      <c r="DX953" s="195"/>
      <c r="DY953" s="195"/>
      <c r="DZ953" s="195"/>
      <c r="EA953" s="195"/>
      <c r="EB953" s="195"/>
      <c r="EC953" s="195"/>
      <c r="ED953" s="195"/>
      <c r="EE953" s="195"/>
      <c r="EK953" s="195"/>
      <c r="EL953" s="240"/>
      <c r="EM953" s="240"/>
      <c r="EN953" s="195"/>
      <c r="EO953" s="240"/>
      <c r="EP953" s="195"/>
      <c r="EQ953" s="195"/>
      <c r="ER953" s="195"/>
      <c r="ES953" s="736"/>
    </row>
    <row r="954" customFormat="false" ht="12.75" hidden="false" customHeight="false" outlineLevel="0" collapsed="false">
      <c r="I954" s="735"/>
      <c r="J954" s="728"/>
      <c r="K954" s="195"/>
      <c r="L954" s="195"/>
      <c r="Q954" s="195"/>
      <c r="R954" s="195"/>
      <c r="S954" s="240"/>
      <c r="T954" s="195"/>
      <c r="U954" s="195"/>
      <c r="V954" s="195"/>
      <c r="W954" s="195"/>
      <c r="X954" s="195"/>
      <c r="Y954" s="195"/>
      <c r="Z954" s="195"/>
      <c r="AA954" s="195"/>
      <c r="AB954" s="195"/>
      <c r="AC954" s="195"/>
      <c r="AD954" s="195"/>
      <c r="AE954" s="195"/>
      <c r="AF954" s="195"/>
      <c r="AG954" s="195"/>
      <c r="AH954" s="195"/>
      <c r="AI954" s="195"/>
      <c r="AJ954" s="195"/>
      <c r="AK954" s="195"/>
      <c r="AL954" s="195"/>
      <c r="AM954" s="1"/>
      <c r="AN954" s="240"/>
      <c r="AO954" s="240"/>
      <c r="AP954" s="240"/>
      <c r="AQ954" s="730"/>
      <c r="AR954" s="730"/>
      <c r="AS954" s="730"/>
      <c r="AT954" s="738"/>
      <c r="AU954" s="738"/>
      <c r="AV954" s="240"/>
      <c r="AW954" s="240"/>
      <c r="AX954" s="240"/>
      <c r="AY954" s="240"/>
      <c r="AZ954" s="240"/>
      <c r="BA954" s="240"/>
      <c r="BB954" s="672"/>
      <c r="BC954" s="731"/>
      <c r="BD954" s="731"/>
      <c r="BE954" s="731"/>
      <c r="BF954" s="672"/>
      <c r="BG954" s="732"/>
      <c r="BH954" s="240"/>
      <c r="BI954" s="240"/>
      <c r="BJ954" s="240"/>
      <c r="BK954" s="240"/>
      <c r="BL954" s="240"/>
      <c r="BM954" s="240"/>
      <c r="BN954" s="240"/>
      <c r="BO954" s="240"/>
      <c r="BP954" s="240"/>
      <c r="BQ954" s="240"/>
      <c r="BR954" s="240"/>
      <c r="BS954" s="240"/>
      <c r="BT954" s="240"/>
      <c r="BU954" s="672"/>
      <c r="BV954" s="672"/>
      <c r="BW954" s="672"/>
      <c r="BX954" s="672"/>
      <c r="BY954" s="672"/>
      <c r="BZ954" s="672"/>
      <c r="CA954" s="672"/>
      <c r="CB954" s="672"/>
      <c r="CC954" s="672"/>
      <c r="CD954" s="672"/>
      <c r="CE954" s="240"/>
      <c r="CF954" s="240"/>
      <c r="CG954" s="240"/>
      <c r="CH954" s="240"/>
      <c r="CI954" s="240"/>
      <c r="CJ954" s="728"/>
      <c r="CK954" s="728"/>
      <c r="CL954" s="195"/>
      <c r="CM954" s="195"/>
      <c r="CN954" s="195"/>
      <c r="CO954" s="195"/>
      <c r="CP954" s="195"/>
      <c r="CQ954" s="195"/>
      <c r="CR954" s="195"/>
      <c r="CS954" s="195"/>
      <c r="CT954" s="195"/>
      <c r="CU954" s="195"/>
      <c r="CV954" s="195"/>
      <c r="CW954" s="195"/>
      <c r="CX954" s="195"/>
      <c r="CY954" s="195"/>
      <c r="CZ954" s="195"/>
      <c r="DA954" s="195"/>
      <c r="DB954" s="195"/>
      <c r="DC954" s="195"/>
      <c r="DD954" s="195"/>
      <c r="DO954" s="195"/>
      <c r="DP954" s="195"/>
      <c r="DQ954" s="195"/>
      <c r="DR954" s="195"/>
      <c r="DS954" s="195"/>
      <c r="DT954" s="195"/>
      <c r="DU954" s="195"/>
      <c r="DV954" s="195"/>
      <c r="DW954" s="195"/>
      <c r="DX954" s="195"/>
      <c r="DY954" s="195"/>
      <c r="DZ954" s="195"/>
      <c r="EA954" s="195"/>
      <c r="EB954" s="195"/>
      <c r="EC954" s="195"/>
      <c r="ED954" s="195"/>
      <c r="EE954" s="195"/>
      <c r="EK954" s="195"/>
      <c r="EL954" s="240"/>
      <c r="EM954" s="240"/>
      <c r="EN954" s="195"/>
      <c r="EO954" s="240"/>
      <c r="EP954" s="195"/>
      <c r="EQ954" s="195"/>
      <c r="ER954" s="195"/>
      <c r="ES954" s="736"/>
    </row>
    <row r="955" customFormat="false" ht="12.75" hidden="false" customHeight="false" outlineLevel="0" collapsed="false">
      <c r="I955" s="735"/>
      <c r="J955" s="728"/>
      <c r="K955" s="195"/>
      <c r="L955" s="195"/>
      <c r="Q955" s="195"/>
      <c r="R955" s="195"/>
      <c r="S955" s="240"/>
      <c r="T955" s="195"/>
      <c r="U955" s="195"/>
      <c r="V955" s="195"/>
      <c r="W955" s="195"/>
      <c r="X955" s="195"/>
      <c r="Y955" s="195"/>
      <c r="Z955" s="195"/>
      <c r="AA955" s="195"/>
      <c r="AB955" s="195"/>
      <c r="AC955" s="195"/>
      <c r="AD955" s="195"/>
      <c r="AE955" s="195"/>
      <c r="AF955" s="195"/>
      <c r="AG955" s="195"/>
      <c r="AH955" s="195"/>
      <c r="AI955" s="195"/>
      <c r="AJ955" s="195"/>
      <c r="AK955" s="195"/>
      <c r="AL955" s="195"/>
      <c r="AM955" s="1"/>
      <c r="AN955" s="240"/>
      <c r="AO955" s="240"/>
      <c r="AP955" s="240"/>
      <c r="AQ955" s="730"/>
      <c r="AR955" s="730"/>
      <c r="AS955" s="730"/>
      <c r="AT955" s="738"/>
      <c r="AU955" s="738"/>
      <c r="AV955" s="240"/>
      <c r="AW955" s="240"/>
      <c r="AX955" s="240"/>
      <c r="AY955" s="240"/>
      <c r="AZ955" s="240"/>
      <c r="BA955" s="240"/>
      <c r="BB955" s="672"/>
      <c r="BC955" s="731"/>
      <c r="BD955" s="731"/>
      <c r="BE955" s="731"/>
      <c r="BF955" s="672"/>
      <c r="BG955" s="732"/>
      <c r="BH955" s="240"/>
      <c r="BI955" s="240"/>
      <c r="BJ955" s="240"/>
      <c r="BK955" s="240"/>
      <c r="BL955" s="240"/>
      <c r="BM955" s="240"/>
      <c r="BN955" s="240"/>
      <c r="BO955" s="240"/>
      <c r="BP955" s="240"/>
      <c r="BQ955" s="240"/>
      <c r="BR955" s="240"/>
      <c r="BS955" s="240"/>
      <c r="BT955" s="240"/>
      <c r="BU955" s="672"/>
      <c r="BV955" s="672"/>
      <c r="BW955" s="672"/>
      <c r="BX955" s="672"/>
      <c r="BY955" s="672"/>
      <c r="BZ955" s="672"/>
      <c r="CA955" s="672"/>
      <c r="CB955" s="672"/>
      <c r="CC955" s="672"/>
      <c r="CD955" s="672"/>
      <c r="CE955" s="240"/>
      <c r="CF955" s="240"/>
      <c r="CG955" s="240"/>
      <c r="CH955" s="240"/>
      <c r="CI955" s="240"/>
      <c r="CJ955" s="728"/>
      <c r="CK955" s="728"/>
      <c r="CL955" s="195"/>
      <c r="CM955" s="195"/>
      <c r="CN955" s="195"/>
      <c r="CO955" s="195"/>
      <c r="CP955" s="195"/>
      <c r="CQ955" s="195"/>
      <c r="CR955" s="195"/>
      <c r="CS955" s="195"/>
      <c r="CT955" s="195"/>
      <c r="CU955" s="195"/>
      <c r="CV955" s="195"/>
      <c r="CW955" s="195"/>
      <c r="CX955" s="195"/>
      <c r="CY955" s="195"/>
      <c r="CZ955" s="195"/>
      <c r="DA955" s="195"/>
      <c r="DB955" s="195"/>
      <c r="DC955" s="195"/>
      <c r="DD955" s="195"/>
      <c r="DO955" s="195"/>
      <c r="DP955" s="195"/>
      <c r="DQ955" s="195"/>
      <c r="DR955" s="195"/>
      <c r="DS955" s="195"/>
      <c r="DT955" s="195"/>
      <c r="DU955" s="195"/>
      <c r="DV955" s="195"/>
      <c r="DW955" s="195"/>
      <c r="DX955" s="195"/>
      <c r="DY955" s="195"/>
      <c r="DZ955" s="195"/>
      <c r="EA955" s="195"/>
      <c r="EB955" s="195"/>
      <c r="EC955" s="195"/>
      <c r="ED955" s="195"/>
      <c r="EE955" s="195"/>
      <c r="EK955" s="195"/>
      <c r="EL955" s="240"/>
      <c r="EM955" s="240"/>
      <c r="EN955" s="195"/>
      <c r="EO955" s="240"/>
      <c r="EP955" s="195"/>
      <c r="EQ955" s="195"/>
      <c r="ER955" s="195"/>
      <c r="ES955" s="736"/>
    </row>
    <row r="956" customFormat="false" ht="12.75" hidden="false" customHeight="false" outlineLevel="0" collapsed="false">
      <c r="I956" s="735"/>
      <c r="J956" s="728"/>
      <c r="K956" s="195"/>
      <c r="L956" s="195"/>
      <c r="Q956" s="195"/>
      <c r="R956" s="195"/>
      <c r="S956" s="240"/>
      <c r="T956" s="195"/>
      <c r="U956" s="195"/>
      <c r="V956" s="195"/>
      <c r="W956" s="195"/>
      <c r="X956" s="195"/>
      <c r="Y956" s="195"/>
      <c r="Z956" s="195"/>
      <c r="AA956" s="195"/>
      <c r="AB956" s="195"/>
      <c r="AC956" s="195"/>
      <c r="AD956" s="195"/>
      <c r="AE956" s="195"/>
      <c r="AF956" s="195"/>
      <c r="AG956" s="195"/>
      <c r="AH956" s="195"/>
      <c r="AI956" s="195"/>
      <c r="AJ956" s="195"/>
      <c r="AK956" s="195"/>
      <c r="AL956" s="195"/>
      <c r="AM956" s="1"/>
      <c r="AN956" s="240"/>
      <c r="AO956" s="240"/>
      <c r="AP956" s="240"/>
      <c r="AQ956" s="730"/>
      <c r="AR956" s="730"/>
      <c r="AS956" s="730"/>
      <c r="AT956" s="738"/>
      <c r="AU956" s="738"/>
      <c r="AV956" s="240"/>
      <c r="AW956" s="240"/>
      <c r="AX956" s="240"/>
      <c r="AY956" s="240"/>
      <c r="AZ956" s="240"/>
      <c r="BA956" s="240"/>
      <c r="BB956" s="672"/>
      <c r="BC956" s="731"/>
      <c r="BD956" s="731"/>
      <c r="BE956" s="731"/>
      <c r="BF956" s="672"/>
      <c r="BG956" s="732"/>
      <c r="BH956" s="240"/>
      <c r="BI956" s="240"/>
      <c r="BJ956" s="240"/>
      <c r="BK956" s="240"/>
      <c r="BL956" s="240"/>
      <c r="BM956" s="240"/>
      <c r="BN956" s="240"/>
      <c r="BO956" s="240"/>
      <c r="BP956" s="240"/>
      <c r="BQ956" s="240"/>
      <c r="BR956" s="240"/>
      <c r="BS956" s="240"/>
      <c r="BT956" s="240"/>
      <c r="BU956" s="672"/>
      <c r="BV956" s="672"/>
      <c r="BW956" s="672"/>
      <c r="BX956" s="672"/>
      <c r="BY956" s="672"/>
      <c r="BZ956" s="672"/>
      <c r="CA956" s="672"/>
      <c r="CB956" s="672"/>
      <c r="CC956" s="672"/>
      <c r="CD956" s="672"/>
      <c r="CE956" s="240"/>
      <c r="CF956" s="240"/>
      <c r="CG956" s="240"/>
      <c r="CH956" s="240"/>
      <c r="CI956" s="240"/>
      <c r="CJ956" s="728"/>
      <c r="CK956" s="728"/>
      <c r="CL956" s="195"/>
      <c r="CM956" s="195"/>
      <c r="CN956" s="195"/>
      <c r="CO956" s="195"/>
      <c r="CP956" s="195"/>
      <c r="CQ956" s="195"/>
      <c r="CR956" s="195"/>
      <c r="CS956" s="195"/>
      <c r="CT956" s="195"/>
      <c r="CU956" s="195"/>
      <c r="CV956" s="195"/>
      <c r="CW956" s="195"/>
      <c r="CX956" s="195"/>
      <c r="CY956" s="195"/>
      <c r="CZ956" s="195"/>
      <c r="DA956" s="195"/>
      <c r="DB956" s="195"/>
      <c r="DC956" s="195"/>
      <c r="DD956" s="195"/>
      <c r="DO956" s="195"/>
      <c r="DP956" s="195"/>
      <c r="DQ956" s="195"/>
      <c r="DR956" s="195"/>
      <c r="DS956" s="195"/>
      <c r="DT956" s="195"/>
      <c r="DU956" s="195"/>
      <c r="DV956" s="195"/>
      <c r="DW956" s="195"/>
      <c r="DX956" s="195"/>
      <c r="DY956" s="195"/>
      <c r="DZ956" s="195"/>
      <c r="EA956" s="195"/>
      <c r="EB956" s="195"/>
      <c r="EC956" s="195"/>
      <c r="ED956" s="195"/>
      <c r="EE956" s="195"/>
      <c r="EK956" s="195"/>
      <c r="EL956" s="240"/>
      <c r="EM956" s="240"/>
      <c r="EN956" s="195"/>
      <c r="EO956" s="240"/>
      <c r="EP956" s="195"/>
      <c r="EQ956" s="195"/>
      <c r="ER956" s="195"/>
      <c r="ES956" s="736"/>
    </row>
    <row r="957" customFormat="false" ht="12.75" hidden="false" customHeight="false" outlineLevel="0" collapsed="false">
      <c r="I957" s="735"/>
      <c r="J957" s="728"/>
      <c r="K957" s="195"/>
      <c r="L957" s="195"/>
      <c r="Q957" s="195"/>
      <c r="R957" s="195"/>
      <c r="S957" s="240"/>
      <c r="T957" s="195"/>
      <c r="U957" s="195"/>
      <c r="V957" s="195"/>
      <c r="W957" s="195"/>
      <c r="X957" s="195"/>
      <c r="Y957" s="195"/>
      <c r="Z957" s="195"/>
      <c r="AA957" s="195"/>
      <c r="AB957" s="195"/>
      <c r="AC957" s="195"/>
      <c r="AD957" s="195"/>
      <c r="AE957" s="195"/>
      <c r="AF957" s="195"/>
      <c r="AG957" s="195"/>
      <c r="AH957" s="195"/>
      <c r="AI957" s="195"/>
      <c r="AJ957" s="195"/>
      <c r="AK957" s="195"/>
      <c r="AL957" s="195"/>
      <c r="AM957" s="1"/>
      <c r="AN957" s="240"/>
      <c r="AO957" s="240"/>
      <c r="AP957" s="240"/>
      <c r="AQ957" s="730"/>
      <c r="AR957" s="730"/>
      <c r="AS957" s="730"/>
      <c r="AT957" s="738"/>
      <c r="AU957" s="738"/>
      <c r="AV957" s="240"/>
      <c r="AW957" s="240"/>
      <c r="AX957" s="240"/>
      <c r="AY957" s="240"/>
      <c r="AZ957" s="240"/>
      <c r="BA957" s="240"/>
      <c r="BB957" s="672"/>
      <c r="BC957" s="731"/>
      <c r="BD957" s="731"/>
      <c r="BE957" s="731"/>
      <c r="BF957" s="672"/>
      <c r="BG957" s="732"/>
      <c r="BH957" s="240"/>
      <c r="BI957" s="240"/>
      <c r="BJ957" s="240"/>
      <c r="BK957" s="240"/>
      <c r="BL957" s="240"/>
      <c r="BM957" s="240"/>
      <c r="BN957" s="240"/>
      <c r="BO957" s="240"/>
      <c r="BP957" s="240"/>
      <c r="BQ957" s="240"/>
      <c r="BR957" s="240"/>
      <c r="BS957" s="240"/>
      <c r="BT957" s="240"/>
      <c r="BU957" s="672"/>
      <c r="BV957" s="672"/>
      <c r="BW957" s="672"/>
      <c r="BX957" s="672"/>
      <c r="BY957" s="672"/>
      <c r="BZ957" s="672"/>
      <c r="CA957" s="672"/>
      <c r="CB957" s="672"/>
      <c r="CC957" s="672"/>
      <c r="CD957" s="672"/>
      <c r="CE957" s="240"/>
      <c r="CF957" s="240"/>
      <c r="CG957" s="240"/>
      <c r="CH957" s="240"/>
      <c r="CI957" s="240"/>
      <c r="CJ957" s="728"/>
      <c r="CK957" s="728"/>
      <c r="CL957" s="195"/>
      <c r="CM957" s="195"/>
      <c r="CN957" s="195"/>
      <c r="CO957" s="195"/>
      <c r="CP957" s="195"/>
      <c r="CQ957" s="195"/>
      <c r="CR957" s="195"/>
      <c r="CS957" s="195"/>
      <c r="CT957" s="195"/>
      <c r="CU957" s="195"/>
      <c r="CV957" s="195"/>
      <c r="CW957" s="195"/>
      <c r="CX957" s="195"/>
      <c r="CY957" s="195"/>
      <c r="CZ957" s="195"/>
      <c r="DA957" s="195"/>
      <c r="DB957" s="195"/>
      <c r="DC957" s="195"/>
      <c r="DD957" s="195"/>
      <c r="DO957" s="195"/>
      <c r="DP957" s="195"/>
      <c r="DQ957" s="195"/>
      <c r="DR957" s="195"/>
      <c r="DS957" s="195"/>
      <c r="DT957" s="195"/>
      <c r="DU957" s="195"/>
      <c r="DV957" s="195"/>
      <c r="DW957" s="195"/>
      <c r="DX957" s="195"/>
      <c r="DY957" s="195"/>
      <c r="DZ957" s="195"/>
      <c r="EA957" s="195"/>
      <c r="EB957" s="195"/>
      <c r="EC957" s="195"/>
      <c r="ED957" s="195"/>
      <c r="EE957" s="195"/>
      <c r="EK957" s="195"/>
      <c r="EL957" s="240"/>
      <c r="EM957" s="240"/>
      <c r="EN957" s="195"/>
      <c r="EO957" s="240"/>
      <c r="EP957" s="195"/>
      <c r="EQ957" s="195"/>
      <c r="ER957" s="195"/>
      <c r="ES957" s="736"/>
    </row>
    <row r="958" customFormat="false" ht="12.75" hidden="false" customHeight="false" outlineLevel="0" collapsed="false">
      <c r="I958" s="735"/>
      <c r="J958" s="728"/>
      <c r="K958" s="195"/>
      <c r="L958" s="195"/>
      <c r="Q958" s="195"/>
      <c r="R958" s="195"/>
      <c r="S958" s="240"/>
      <c r="T958" s="195"/>
      <c r="U958" s="195"/>
      <c r="V958" s="195"/>
      <c r="W958" s="195"/>
      <c r="X958" s="195"/>
      <c r="Y958" s="195"/>
      <c r="Z958" s="195"/>
      <c r="AA958" s="195"/>
      <c r="AB958" s="195"/>
      <c r="AC958" s="195"/>
      <c r="AD958" s="195"/>
      <c r="AE958" s="195"/>
      <c r="AF958" s="195"/>
      <c r="AG958" s="195"/>
      <c r="AH958" s="195"/>
      <c r="AI958" s="195"/>
      <c r="AJ958" s="195"/>
      <c r="AK958" s="195"/>
      <c r="AL958" s="195"/>
      <c r="AM958" s="1"/>
      <c r="AN958" s="240"/>
      <c r="AO958" s="240"/>
      <c r="AP958" s="240"/>
      <c r="AQ958" s="730"/>
      <c r="AR958" s="730"/>
      <c r="AS958" s="730"/>
      <c r="AT958" s="738"/>
      <c r="AU958" s="738"/>
      <c r="AV958" s="240"/>
      <c r="AW958" s="240"/>
      <c r="AX958" s="240"/>
      <c r="AY958" s="240"/>
      <c r="AZ958" s="240"/>
      <c r="BA958" s="240"/>
      <c r="BB958" s="672"/>
      <c r="BC958" s="731"/>
      <c r="BD958" s="731"/>
      <c r="BE958" s="731"/>
      <c r="BF958" s="672"/>
      <c r="BG958" s="732"/>
      <c r="BH958" s="240"/>
      <c r="BI958" s="240"/>
      <c r="BJ958" s="240"/>
      <c r="BK958" s="240"/>
      <c r="BL958" s="240"/>
      <c r="BM958" s="240"/>
      <c r="BN958" s="240"/>
      <c r="BO958" s="240"/>
      <c r="BP958" s="240"/>
      <c r="BQ958" s="240"/>
      <c r="BR958" s="240"/>
      <c r="BS958" s="240"/>
      <c r="BT958" s="240"/>
      <c r="BU958" s="672"/>
      <c r="BV958" s="672"/>
      <c r="BW958" s="672"/>
      <c r="BX958" s="672"/>
      <c r="BY958" s="672"/>
      <c r="BZ958" s="672"/>
      <c r="CA958" s="672"/>
      <c r="CB958" s="672"/>
      <c r="CC958" s="672"/>
      <c r="CD958" s="672"/>
      <c r="CE958" s="240"/>
      <c r="CF958" s="240"/>
      <c r="CG958" s="240"/>
      <c r="CH958" s="240"/>
      <c r="CI958" s="240"/>
      <c r="CJ958" s="728"/>
      <c r="CK958" s="728"/>
      <c r="CL958" s="195"/>
      <c r="CM958" s="195"/>
      <c r="CN958" s="195"/>
      <c r="CO958" s="195"/>
      <c r="CP958" s="195"/>
      <c r="CQ958" s="195"/>
      <c r="CR958" s="195"/>
      <c r="CS958" s="195"/>
      <c r="CT958" s="195"/>
      <c r="CU958" s="195"/>
      <c r="CV958" s="195"/>
      <c r="CW958" s="195"/>
      <c r="CX958" s="195"/>
      <c r="CY958" s="195"/>
      <c r="CZ958" s="195"/>
      <c r="DA958" s="195"/>
      <c r="DB958" s="195"/>
      <c r="DC958" s="195"/>
      <c r="DD958" s="195"/>
      <c r="DO958" s="195"/>
      <c r="DP958" s="195"/>
      <c r="DQ958" s="195"/>
      <c r="DR958" s="195"/>
      <c r="DS958" s="195"/>
      <c r="DT958" s="195"/>
      <c r="DU958" s="195"/>
      <c r="DV958" s="195"/>
      <c r="DW958" s="195"/>
      <c r="DX958" s="195"/>
      <c r="DY958" s="195"/>
      <c r="DZ958" s="195"/>
      <c r="EA958" s="195"/>
      <c r="EB958" s="195"/>
      <c r="EC958" s="195"/>
      <c r="ED958" s="195"/>
      <c r="EE958" s="195"/>
      <c r="EK958" s="195"/>
      <c r="EL958" s="240"/>
      <c r="EM958" s="240"/>
      <c r="EN958" s="195"/>
      <c r="EO958" s="240"/>
      <c r="EP958" s="195"/>
      <c r="EQ958" s="195"/>
      <c r="ER958" s="195"/>
      <c r="ES958" s="736"/>
    </row>
    <row r="959" customFormat="false" ht="12.75" hidden="false" customHeight="false" outlineLevel="0" collapsed="false">
      <c r="I959" s="735"/>
      <c r="J959" s="728"/>
      <c r="K959" s="195"/>
      <c r="L959" s="195"/>
      <c r="Q959" s="195"/>
      <c r="R959" s="195"/>
      <c r="S959" s="240"/>
      <c r="T959" s="195"/>
      <c r="U959" s="195"/>
      <c r="V959" s="195"/>
      <c r="W959" s="195"/>
      <c r="X959" s="195"/>
      <c r="Y959" s="195"/>
      <c r="Z959" s="195"/>
      <c r="AA959" s="195"/>
      <c r="AB959" s="195"/>
      <c r="AC959" s="195"/>
      <c r="AD959" s="195"/>
      <c r="AE959" s="195"/>
      <c r="AF959" s="195"/>
      <c r="AG959" s="195"/>
      <c r="AH959" s="195"/>
      <c r="AI959" s="195"/>
      <c r="AJ959" s="195"/>
      <c r="AK959" s="195"/>
      <c r="AL959" s="195"/>
      <c r="AM959" s="1"/>
      <c r="AN959" s="240"/>
      <c r="AO959" s="240"/>
      <c r="AP959" s="240"/>
      <c r="AQ959" s="730"/>
      <c r="AR959" s="730"/>
      <c r="AS959" s="730"/>
      <c r="AT959" s="738"/>
      <c r="AU959" s="738"/>
      <c r="AV959" s="240"/>
      <c r="AW959" s="240"/>
      <c r="AX959" s="240"/>
      <c r="AY959" s="240"/>
      <c r="AZ959" s="240"/>
      <c r="BA959" s="240"/>
      <c r="BB959" s="672"/>
      <c r="BC959" s="731"/>
      <c r="BD959" s="731"/>
      <c r="BE959" s="731"/>
      <c r="BF959" s="672"/>
      <c r="BG959" s="732"/>
      <c r="BH959" s="240"/>
      <c r="BI959" s="240"/>
      <c r="BJ959" s="240"/>
      <c r="BK959" s="240"/>
      <c r="BL959" s="240"/>
      <c r="BM959" s="240"/>
      <c r="BN959" s="240"/>
      <c r="BO959" s="240"/>
      <c r="BP959" s="240"/>
      <c r="BQ959" s="240"/>
      <c r="BR959" s="240"/>
      <c r="BS959" s="240"/>
      <c r="BT959" s="240"/>
      <c r="BU959" s="672"/>
      <c r="BV959" s="672"/>
      <c r="BW959" s="672"/>
      <c r="BX959" s="672"/>
      <c r="BY959" s="672"/>
      <c r="BZ959" s="672"/>
      <c r="CA959" s="672"/>
      <c r="CB959" s="672"/>
      <c r="CC959" s="672"/>
      <c r="CD959" s="672"/>
      <c r="CE959" s="240"/>
      <c r="CF959" s="240"/>
      <c r="CG959" s="240"/>
      <c r="CH959" s="240"/>
      <c r="CI959" s="240"/>
      <c r="CJ959" s="728"/>
      <c r="CK959" s="728"/>
      <c r="CL959" s="195"/>
      <c r="CM959" s="195"/>
      <c r="CN959" s="195"/>
      <c r="CO959" s="195"/>
      <c r="CP959" s="195"/>
      <c r="CQ959" s="195"/>
      <c r="CR959" s="195"/>
      <c r="CS959" s="195"/>
      <c r="CT959" s="195"/>
      <c r="CU959" s="195"/>
      <c r="CV959" s="195"/>
      <c r="CW959" s="195"/>
      <c r="CX959" s="195"/>
      <c r="CY959" s="195"/>
      <c r="CZ959" s="195"/>
      <c r="DA959" s="195"/>
      <c r="DB959" s="195"/>
      <c r="DC959" s="195"/>
      <c r="DD959" s="195"/>
      <c r="DO959" s="195"/>
      <c r="DP959" s="195"/>
      <c r="DQ959" s="195"/>
      <c r="DR959" s="195"/>
      <c r="DS959" s="195"/>
      <c r="DT959" s="195"/>
      <c r="DU959" s="195"/>
      <c r="DV959" s="195"/>
      <c r="DW959" s="195"/>
      <c r="DX959" s="195"/>
      <c r="DY959" s="195"/>
      <c r="DZ959" s="195"/>
      <c r="EA959" s="195"/>
      <c r="EB959" s="195"/>
      <c r="EC959" s="195"/>
      <c r="ED959" s="195"/>
      <c r="EE959" s="195"/>
      <c r="EK959" s="195"/>
      <c r="EL959" s="240"/>
      <c r="EM959" s="240"/>
      <c r="EN959" s="195"/>
      <c r="EO959" s="240"/>
      <c r="EP959" s="195"/>
      <c r="EQ959" s="195"/>
      <c r="ER959" s="195"/>
      <c r="ES959" s="736"/>
    </row>
    <row r="960" customFormat="false" ht="12.75" hidden="false" customHeight="false" outlineLevel="0" collapsed="false">
      <c r="I960" s="735"/>
      <c r="J960" s="728"/>
      <c r="K960" s="195"/>
      <c r="L960" s="195"/>
      <c r="Q960" s="195"/>
      <c r="R960" s="195"/>
      <c r="S960" s="240"/>
      <c r="T960" s="195"/>
      <c r="U960" s="195"/>
      <c r="V960" s="195"/>
      <c r="W960" s="195"/>
      <c r="X960" s="195"/>
      <c r="Y960" s="195"/>
      <c r="Z960" s="195"/>
      <c r="AA960" s="195"/>
      <c r="AB960" s="195"/>
      <c r="AC960" s="195"/>
      <c r="AD960" s="195"/>
      <c r="AE960" s="195"/>
      <c r="AF960" s="195"/>
      <c r="AG960" s="195"/>
      <c r="AH960" s="195"/>
      <c r="AI960" s="195"/>
      <c r="AJ960" s="195"/>
      <c r="AK960" s="195"/>
      <c r="AL960" s="195"/>
      <c r="AM960" s="1"/>
      <c r="AN960" s="240"/>
      <c r="AO960" s="240"/>
      <c r="AP960" s="240"/>
      <c r="AQ960" s="730"/>
      <c r="AR960" s="730"/>
      <c r="AS960" s="730"/>
      <c r="AT960" s="738"/>
      <c r="AU960" s="738"/>
      <c r="AV960" s="240"/>
      <c r="AW960" s="240"/>
      <c r="AX960" s="240"/>
      <c r="AY960" s="240"/>
      <c r="AZ960" s="240"/>
      <c r="BA960" s="240"/>
      <c r="BB960" s="672"/>
      <c r="BC960" s="731"/>
      <c r="BD960" s="731"/>
      <c r="BE960" s="731"/>
      <c r="BF960" s="672"/>
      <c r="BG960" s="732"/>
      <c r="BH960" s="240"/>
      <c r="BI960" s="240"/>
      <c r="BJ960" s="240"/>
      <c r="BK960" s="240"/>
      <c r="BL960" s="240"/>
      <c r="BM960" s="240"/>
      <c r="BN960" s="240"/>
      <c r="BO960" s="240"/>
      <c r="BP960" s="240"/>
      <c r="BQ960" s="240"/>
      <c r="BR960" s="240"/>
      <c r="BS960" s="240"/>
      <c r="BT960" s="240"/>
      <c r="BU960" s="672"/>
      <c r="BV960" s="672"/>
      <c r="BW960" s="672"/>
      <c r="BX960" s="672"/>
      <c r="BY960" s="672"/>
      <c r="BZ960" s="672"/>
      <c r="CA960" s="672"/>
      <c r="CB960" s="672"/>
      <c r="CC960" s="672"/>
      <c r="CD960" s="672"/>
      <c r="CE960" s="240"/>
      <c r="CF960" s="240"/>
      <c r="CG960" s="240"/>
      <c r="CH960" s="240"/>
      <c r="CI960" s="240"/>
      <c r="CJ960" s="728"/>
      <c r="CK960" s="728"/>
      <c r="CL960" s="195"/>
      <c r="CM960" s="195"/>
      <c r="CN960" s="195"/>
      <c r="CO960" s="195"/>
      <c r="CP960" s="195"/>
      <c r="CQ960" s="195"/>
      <c r="CR960" s="195"/>
      <c r="CS960" s="195"/>
      <c r="CT960" s="195"/>
      <c r="CU960" s="195"/>
      <c r="CV960" s="195"/>
      <c r="CW960" s="195"/>
      <c r="CX960" s="195"/>
      <c r="CY960" s="195"/>
      <c r="CZ960" s="195"/>
      <c r="DA960" s="195"/>
      <c r="DB960" s="195"/>
      <c r="DC960" s="195"/>
      <c r="DD960" s="195"/>
      <c r="DO960" s="195"/>
      <c r="DP960" s="195"/>
      <c r="DQ960" s="195"/>
      <c r="DR960" s="195"/>
      <c r="DS960" s="195"/>
      <c r="DT960" s="195"/>
      <c r="DU960" s="195"/>
      <c r="DV960" s="195"/>
      <c r="DW960" s="195"/>
      <c r="DX960" s="195"/>
      <c r="DY960" s="195"/>
      <c r="DZ960" s="195"/>
      <c r="EA960" s="195"/>
      <c r="EB960" s="195"/>
      <c r="EC960" s="195"/>
      <c r="ED960" s="195"/>
      <c r="EE960" s="195"/>
      <c r="EK960" s="195"/>
      <c r="EL960" s="240"/>
      <c r="EM960" s="240"/>
      <c r="EN960" s="195"/>
      <c r="EO960" s="240"/>
      <c r="EP960" s="195"/>
      <c r="EQ960" s="195"/>
      <c r="ER960" s="195"/>
      <c r="ES960" s="736"/>
    </row>
    <row r="961" customFormat="false" ht="12.75" hidden="false" customHeight="false" outlineLevel="0" collapsed="false">
      <c r="I961" s="735"/>
      <c r="J961" s="728"/>
      <c r="K961" s="195"/>
      <c r="L961" s="195"/>
      <c r="Q961" s="195"/>
      <c r="R961" s="195"/>
      <c r="S961" s="240"/>
      <c r="T961" s="195"/>
      <c r="U961" s="195"/>
      <c r="V961" s="195"/>
      <c r="W961" s="195"/>
      <c r="X961" s="195"/>
      <c r="Y961" s="195"/>
      <c r="Z961" s="195"/>
      <c r="AA961" s="195"/>
      <c r="AB961" s="195"/>
      <c r="AC961" s="195"/>
      <c r="AD961" s="195"/>
      <c r="AE961" s="195"/>
      <c r="AF961" s="195"/>
      <c r="AG961" s="195"/>
      <c r="AH961" s="195"/>
      <c r="AI961" s="195"/>
      <c r="AJ961" s="195"/>
      <c r="AK961" s="195"/>
      <c r="AL961" s="195"/>
      <c r="AM961" s="1"/>
      <c r="AN961" s="240"/>
      <c r="AO961" s="240"/>
      <c r="AP961" s="240"/>
      <c r="AQ961" s="730"/>
      <c r="AR961" s="730"/>
      <c r="AS961" s="730"/>
      <c r="AT961" s="738"/>
      <c r="AU961" s="738"/>
      <c r="AV961" s="240"/>
      <c r="AW961" s="240"/>
      <c r="AX961" s="240"/>
      <c r="AY961" s="240"/>
      <c r="AZ961" s="240"/>
      <c r="BA961" s="240"/>
      <c r="BB961" s="672"/>
      <c r="BC961" s="731"/>
      <c r="BD961" s="731"/>
      <c r="BE961" s="731"/>
      <c r="BF961" s="672"/>
      <c r="BG961" s="732"/>
      <c r="BH961" s="240"/>
      <c r="BI961" s="240"/>
      <c r="BJ961" s="240"/>
      <c r="BK961" s="240"/>
      <c r="BL961" s="240"/>
      <c r="BM961" s="240"/>
      <c r="BN961" s="240"/>
      <c r="BO961" s="240"/>
      <c r="BP961" s="240"/>
      <c r="BQ961" s="240"/>
      <c r="BR961" s="240"/>
      <c r="BS961" s="240"/>
      <c r="BT961" s="240"/>
      <c r="BU961" s="672"/>
      <c r="BV961" s="672"/>
      <c r="BW961" s="672"/>
      <c r="BX961" s="672"/>
      <c r="BY961" s="672"/>
      <c r="BZ961" s="672"/>
      <c r="CA961" s="672"/>
      <c r="CB961" s="672"/>
      <c r="CC961" s="672"/>
      <c r="CD961" s="672"/>
      <c r="CE961" s="240"/>
      <c r="CF961" s="240"/>
      <c r="CG961" s="240"/>
      <c r="CH961" s="240"/>
      <c r="CI961" s="240"/>
      <c r="CJ961" s="728"/>
      <c r="CK961" s="728"/>
      <c r="CL961" s="195"/>
      <c r="CM961" s="195"/>
      <c r="CN961" s="195"/>
      <c r="CO961" s="195"/>
      <c r="CP961" s="195"/>
      <c r="CQ961" s="195"/>
      <c r="CR961" s="195"/>
      <c r="CS961" s="195"/>
      <c r="CT961" s="195"/>
      <c r="CU961" s="195"/>
      <c r="CV961" s="195"/>
      <c r="CW961" s="195"/>
      <c r="CX961" s="195"/>
      <c r="CY961" s="195"/>
      <c r="CZ961" s="195"/>
      <c r="DA961" s="195"/>
      <c r="DB961" s="195"/>
      <c r="DC961" s="195"/>
      <c r="DD961" s="195"/>
      <c r="DO961" s="195"/>
      <c r="DP961" s="195"/>
      <c r="DQ961" s="195"/>
      <c r="DR961" s="195"/>
      <c r="DS961" s="195"/>
      <c r="DT961" s="195"/>
      <c r="DU961" s="195"/>
      <c r="DV961" s="195"/>
      <c r="DW961" s="195"/>
      <c r="DX961" s="195"/>
      <c r="DY961" s="195"/>
      <c r="DZ961" s="195"/>
      <c r="EA961" s="195"/>
      <c r="EB961" s="195"/>
      <c r="EC961" s="195"/>
      <c r="ED961" s="195"/>
      <c r="EE961" s="195"/>
      <c r="EK961" s="195"/>
      <c r="EL961" s="240"/>
      <c r="EM961" s="240"/>
      <c r="EN961" s="195"/>
      <c r="EO961" s="240"/>
      <c r="EP961" s="195"/>
      <c r="EQ961" s="195"/>
      <c r="ER961" s="195"/>
      <c r="ES961" s="736"/>
    </row>
    <row r="962" customFormat="false" ht="12.75" hidden="false" customHeight="false" outlineLevel="0" collapsed="false">
      <c r="I962" s="735"/>
      <c r="J962" s="728"/>
      <c r="K962" s="195"/>
      <c r="L962" s="195"/>
      <c r="Q962" s="195"/>
      <c r="R962" s="195"/>
      <c r="S962" s="240"/>
      <c r="T962" s="195"/>
      <c r="U962" s="195"/>
      <c r="V962" s="195"/>
      <c r="W962" s="195"/>
      <c r="X962" s="195"/>
      <c r="Y962" s="195"/>
      <c r="Z962" s="195"/>
      <c r="AA962" s="195"/>
      <c r="AB962" s="195"/>
      <c r="AC962" s="195"/>
      <c r="AD962" s="195"/>
      <c r="AE962" s="195"/>
      <c r="AF962" s="195"/>
      <c r="AG962" s="195"/>
      <c r="AH962" s="195"/>
      <c r="AI962" s="195"/>
      <c r="AJ962" s="195"/>
      <c r="AK962" s="195"/>
      <c r="AL962" s="195"/>
      <c r="AM962" s="1"/>
      <c r="AN962" s="240"/>
      <c r="AO962" s="240"/>
      <c r="AP962" s="240"/>
      <c r="AQ962" s="730"/>
      <c r="AR962" s="730"/>
      <c r="AS962" s="730"/>
      <c r="AT962" s="738"/>
      <c r="AU962" s="738"/>
      <c r="AV962" s="240"/>
      <c r="AW962" s="240"/>
      <c r="AX962" s="240"/>
      <c r="AY962" s="240"/>
      <c r="AZ962" s="240"/>
      <c r="BA962" s="240"/>
      <c r="BB962" s="672"/>
      <c r="BC962" s="731"/>
      <c r="BD962" s="731"/>
      <c r="BE962" s="731"/>
      <c r="BF962" s="672"/>
      <c r="BG962" s="732"/>
      <c r="BH962" s="240"/>
      <c r="BI962" s="240"/>
      <c r="BJ962" s="240"/>
      <c r="BK962" s="240"/>
      <c r="BL962" s="240"/>
      <c r="BM962" s="240"/>
      <c r="BN962" s="240"/>
      <c r="BO962" s="240"/>
      <c r="BP962" s="240"/>
      <c r="BQ962" s="240"/>
      <c r="BR962" s="240"/>
      <c r="BS962" s="240"/>
      <c r="BT962" s="240"/>
      <c r="BU962" s="672"/>
      <c r="BV962" s="672"/>
      <c r="BW962" s="672"/>
      <c r="BX962" s="672"/>
      <c r="BY962" s="672"/>
      <c r="BZ962" s="672"/>
      <c r="CA962" s="672"/>
      <c r="CB962" s="672"/>
      <c r="CC962" s="672"/>
      <c r="CD962" s="672"/>
      <c r="CE962" s="240"/>
      <c r="CF962" s="240"/>
      <c r="CG962" s="240"/>
      <c r="CH962" s="240"/>
      <c r="CI962" s="240"/>
      <c r="CJ962" s="728"/>
      <c r="CK962" s="728"/>
      <c r="CL962" s="195"/>
      <c r="CM962" s="195"/>
      <c r="CN962" s="195"/>
      <c r="CO962" s="195"/>
      <c r="CP962" s="195"/>
      <c r="CQ962" s="195"/>
      <c r="CR962" s="195"/>
      <c r="CS962" s="195"/>
      <c r="CT962" s="195"/>
      <c r="CU962" s="195"/>
      <c r="CV962" s="195"/>
      <c r="CW962" s="195"/>
      <c r="CX962" s="195"/>
      <c r="CY962" s="195"/>
      <c r="CZ962" s="195"/>
      <c r="DA962" s="195"/>
      <c r="DB962" s="195"/>
      <c r="DC962" s="195"/>
      <c r="DD962" s="195"/>
      <c r="DO962" s="195"/>
      <c r="DP962" s="195"/>
      <c r="DQ962" s="195"/>
      <c r="DR962" s="195"/>
      <c r="DS962" s="195"/>
      <c r="DT962" s="195"/>
      <c r="DU962" s="195"/>
      <c r="DV962" s="195"/>
      <c r="DW962" s="195"/>
      <c r="DX962" s="195"/>
      <c r="DY962" s="195"/>
      <c r="DZ962" s="195"/>
      <c r="EA962" s="195"/>
      <c r="EB962" s="195"/>
      <c r="EC962" s="195"/>
      <c r="ED962" s="195"/>
      <c r="EE962" s="195"/>
      <c r="EK962" s="195"/>
      <c r="EL962" s="240"/>
      <c r="EM962" s="240"/>
      <c r="EN962" s="195"/>
      <c r="EO962" s="240"/>
      <c r="EP962" s="195"/>
      <c r="EQ962" s="195"/>
      <c r="ER962" s="195"/>
      <c r="ES962" s="736"/>
    </row>
    <row r="963" customFormat="false" ht="12.75" hidden="false" customHeight="false" outlineLevel="0" collapsed="false">
      <c r="I963" s="735"/>
      <c r="J963" s="728"/>
      <c r="K963" s="195"/>
      <c r="L963" s="195"/>
      <c r="Q963" s="195"/>
      <c r="R963" s="195"/>
      <c r="S963" s="240"/>
      <c r="T963" s="195"/>
      <c r="U963" s="195"/>
      <c r="V963" s="195"/>
      <c r="W963" s="195"/>
      <c r="X963" s="195"/>
      <c r="Y963" s="195"/>
      <c r="Z963" s="195"/>
      <c r="AA963" s="195"/>
      <c r="AB963" s="195"/>
      <c r="AC963" s="195"/>
      <c r="AD963" s="195"/>
      <c r="AE963" s="195"/>
      <c r="AF963" s="195"/>
      <c r="AG963" s="195"/>
      <c r="AH963" s="195"/>
      <c r="AI963" s="195"/>
      <c r="AJ963" s="195"/>
      <c r="AK963" s="195"/>
      <c r="AL963" s="195"/>
      <c r="AM963" s="1"/>
      <c r="AN963" s="240"/>
      <c r="AO963" s="240"/>
      <c r="AP963" s="240"/>
      <c r="AQ963" s="730"/>
      <c r="AR963" s="730"/>
      <c r="AS963" s="730"/>
      <c r="AT963" s="738"/>
      <c r="AU963" s="738"/>
      <c r="AV963" s="240"/>
      <c r="AW963" s="240"/>
      <c r="AX963" s="240"/>
      <c r="AY963" s="240"/>
      <c r="AZ963" s="240"/>
      <c r="BA963" s="240"/>
      <c r="BB963" s="672"/>
      <c r="BC963" s="731"/>
      <c r="BD963" s="731"/>
      <c r="BE963" s="731"/>
      <c r="BF963" s="672"/>
      <c r="BG963" s="732"/>
      <c r="BH963" s="240"/>
      <c r="BI963" s="240"/>
      <c r="BJ963" s="240"/>
      <c r="BK963" s="240"/>
      <c r="BL963" s="240"/>
      <c r="BM963" s="240"/>
      <c r="BN963" s="240"/>
      <c r="BO963" s="240"/>
      <c r="BP963" s="240"/>
      <c r="BQ963" s="240"/>
      <c r="BR963" s="240"/>
      <c r="BS963" s="240"/>
      <c r="BT963" s="240"/>
      <c r="BU963" s="672"/>
      <c r="BV963" s="672"/>
      <c r="BW963" s="672"/>
      <c r="BX963" s="672"/>
      <c r="BY963" s="672"/>
      <c r="BZ963" s="672"/>
      <c r="CA963" s="672"/>
      <c r="CB963" s="672"/>
      <c r="CC963" s="672"/>
      <c r="CD963" s="672"/>
      <c r="CE963" s="240"/>
      <c r="CF963" s="240"/>
      <c r="CG963" s="240"/>
      <c r="CH963" s="240"/>
      <c r="CI963" s="240"/>
      <c r="CJ963" s="728"/>
      <c r="CK963" s="728"/>
      <c r="CL963" s="195"/>
      <c r="CM963" s="195"/>
      <c r="CN963" s="195"/>
      <c r="CO963" s="195"/>
      <c r="CP963" s="195"/>
      <c r="CQ963" s="195"/>
      <c r="CR963" s="195"/>
      <c r="CS963" s="195"/>
      <c r="CT963" s="195"/>
      <c r="CU963" s="195"/>
      <c r="CV963" s="195"/>
      <c r="CW963" s="195"/>
      <c r="CX963" s="195"/>
      <c r="CY963" s="195"/>
      <c r="CZ963" s="195"/>
      <c r="DA963" s="195"/>
      <c r="DB963" s="195"/>
      <c r="DC963" s="195"/>
      <c r="DD963" s="195"/>
      <c r="DO963" s="195"/>
      <c r="DP963" s="195"/>
      <c r="DQ963" s="195"/>
      <c r="DR963" s="195"/>
      <c r="DS963" s="195"/>
      <c r="DT963" s="195"/>
      <c r="DU963" s="195"/>
      <c r="DV963" s="195"/>
      <c r="DW963" s="195"/>
      <c r="DX963" s="195"/>
      <c r="DY963" s="195"/>
      <c r="DZ963" s="195"/>
      <c r="EA963" s="195"/>
      <c r="EB963" s="195"/>
      <c r="EC963" s="195"/>
      <c r="ED963" s="195"/>
      <c r="EE963" s="195"/>
      <c r="EK963" s="195"/>
      <c r="EL963" s="240"/>
      <c r="EM963" s="240"/>
      <c r="EN963" s="195"/>
      <c r="EO963" s="240"/>
      <c r="EP963" s="195"/>
      <c r="EQ963" s="195"/>
      <c r="ER963" s="195"/>
      <c r="ES963" s="736"/>
    </row>
    <row r="964" customFormat="false" ht="12.75" hidden="false" customHeight="false" outlineLevel="0" collapsed="false">
      <c r="I964" s="735"/>
      <c r="J964" s="728"/>
      <c r="K964" s="195"/>
      <c r="L964" s="195"/>
      <c r="Q964" s="195"/>
      <c r="R964" s="195"/>
      <c r="S964" s="240"/>
      <c r="T964" s="195"/>
      <c r="U964" s="195"/>
      <c r="V964" s="195"/>
      <c r="W964" s="195"/>
      <c r="X964" s="195"/>
      <c r="Y964" s="195"/>
      <c r="Z964" s="195"/>
      <c r="AA964" s="195"/>
      <c r="AB964" s="195"/>
      <c r="AC964" s="195"/>
      <c r="AD964" s="195"/>
      <c r="AE964" s="195"/>
      <c r="AF964" s="195"/>
      <c r="AG964" s="195"/>
      <c r="AH964" s="195"/>
      <c r="AI964" s="195"/>
      <c r="AJ964" s="195"/>
      <c r="AK964" s="195"/>
      <c r="AL964" s="195"/>
      <c r="AM964" s="1"/>
      <c r="AN964" s="240"/>
      <c r="AO964" s="240"/>
      <c r="AP964" s="240"/>
      <c r="AQ964" s="730"/>
      <c r="AR964" s="730"/>
      <c r="AS964" s="730"/>
      <c r="AT964" s="738"/>
      <c r="AU964" s="738"/>
      <c r="AV964" s="240"/>
      <c r="AW964" s="240"/>
      <c r="AX964" s="240"/>
      <c r="AY964" s="240"/>
      <c r="AZ964" s="240"/>
      <c r="BA964" s="240"/>
      <c r="BB964" s="672"/>
      <c r="BC964" s="731"/>
      <c r="BD964" s="731"/>
      <c r="BE964" s="731"/>
      <c r="BF964" s="672"/>
      <c r="BG964" s="732"/>
      <c r="BH964" s="240"/>
      <c r="BI964" s="240"/>
      <c r="BJ964" s="240"/>
      <c r="BK964" s="240"/>
      <c r="BL964" s="240"/>
      <c r="BM964" s="240"/>
      <c r="BN964" s="240"/>
      <c r="BO964" s="240"/>
      <c r="BP964" s="240"/>
      <c r="BQ964" s="240"/>
      <c r="BR964" s="240"/>
      <c r="BS964" s="240"/>
      <c r="BT964" s="240"/>
      <c r="BU964" s="672"/>
      <c r="BV964" s="672"/>
      <c r="BW964" s="672"/>
      <c r="BX964" s="672"/>
      <c r="BY964" s="672"/>
      <c r="BZ964" s="672"/>
      <c r="CA964" s="672"/>
      <c r="CB964" s="672"/>
      <c r="CC964" s="672"/>
      <c r="CD964" s="672"/>
      <c r="CE964" s="240"/>
      <c r="CF964" s="240"/>
      <c r="CG964" s="240"/>
      <c r="CH964" s="240"/>
      <c r="CI964" s="240"/>
      <c r="CJ964" s="728"/>
      <c r="CK964" s="728"/>
      <c r="CL964" s="195"/>
      <c r="CM964" s="195"/>
      <c r="CN964" s="195"/>
      <c r="CO964" s="195"/>
      <c r="CP964" s="195"/>
      <c r="CQ964" s="195"/>
      <c r="CR964" s="195"/>
      <c r="CS964" s="195"/>
      <c r="CT964" s="195"/>
      <c r="CU964" s="195"/>
      <c r="CV964" s="195"/>
      <c r="CW964" s="195"/>
      <c r="CX964" s="195"/>
      <c r="CY964" s="195"/>
      <c r="CZ964" s="195"/>
      <c r="DA964" s="195"/>
      <c r="DB964" s="195"/>
      <c r="DC964" s="195"/>
      <c r="DD964" s="195"/>
      <c r="DO964" s="195"/>
      <c r="DP964" s="195"/>
      <c r="DQ964" s="195"/>
      <c r="DR964" s="195"/>
      <c r="DS964" s="195"/>
      <c r="DT964" s="195"/>
      <c r="DU964" s="195"/>
      <c r="DV964" s="195"/>
      <c r="DW964" s="195"/>
      <c r="DX964" s="195"/>
      <c r="DY964" s="195"/>
      <c r="DZ964" s="195"/>
      <c r="EA964" s="195"/>
      <c r="EB964" s="195"/>
      <c r="EC964" s="195"/>
      <c r="ED964" s="195"/>
      <c r="EE964" s="195"/>
      <c r="EK964" s="195"/>
      <c r="EL964" s="240"/>
      <c r="EM964" s="240"/>
      <c r="EN964" s="195"/>
      <c r="EO964" s="240"/>
      <c r="EP964" s="195"/>
      <c r="EQ964" s="195"/>
      <c r="ER964" s="195"/>
      <c r="ES964" s="736"/>
    </row>
    <row r="965" customFormat="false" ht="12.75" hidden="false" customHeight="false" outlineLevel="0" collapsed="false">
      <c r="I965" s="735"/>
      <c r="J965" s="728"/>
      <c r="K965" s="195"/>
      <c r="L965" s="195"/>
      <c r="Q965" s="195"/>
      <c r="R965" s="195"/>
      <c r="S965" s="240"/>
      <c r="T965" s="195"/>
      <c r="U965" s="195"/>
      <c r="V965" s="195"/>
      <c r="W965" s="195"/>
      <c r="X965" s="195"/>
      <c r="Y965" s="195"/>
      <c r="Z965" s="195"/>
      <c r="AA965" s="195"/>
      <c r="AB965" s="195"/>
      <c r="AC965" s="195"/>
      <c r="AD965" s="195"/>
      <c r="AE965" s="195"/>
      <c r="AF965" s="195"/>
      <c r="AG965" s="195"/>
      <c r="AH965" s="195"/>
      <c r="AI965" s="195"/>
      <c r="AJ965" s="195"/>
      <c r="AK965" s="195"/>
      <c r="AL965" s="195"/>
      <c r="AM965" s="1"/>
      <c r="AN965" s="240"/>
      <c r="AO965" s="240"/>
      <c r="AP965" s="240"/>
      <c r="AQ965" s="730"/>
      <c r="AR965" s="730"/>
      <c r="AS965" s="730"/>
      <c r="AT965" s="738"/>
      <c r="AU965" s="738"/>
      <c r="AV965" s="240"/>
      <c r="AW965" s="240"/>
      <c r="AX965" s="240"/>
      <c r="AY965" s="240"/>
      <c r="AZ965" s="240"/>
      <c r="BA965" s="240"/>
      <c r="BB965" s="672"/>
      <c r="BC965" s="731"/>
      <c r="BD965" s="731"/>
      <c r="BE965" s="731"/>
      <c r="BF965" s="672"/>
      <c r="BG965" s="732"/>
      <c r="BH965" s="240"/>
      <c r="BI965" s="240"/>
      <c r="BJ965" s="240"/>
      <c r="BK965" s="240"/>
      <c r="BL965" s="240"/>
      <c r="BM965" s="240"/>
      <c r="BN965" s="240"/>
      <c r="BO965" s="240"/>
      <c r="BP965" s="240"/>
      <c r="BQ965" s="240"/>
      <c r="BR965" s="240"/>
      <c r="BS965" s="240"/>
      <c r="BT965" s="240"/>
      <c r="BU965" s="672"/>
      <c r="BV965" s="672"/>
      <c r="BW965" s="672"/>
      <c r="BX965" s="672"/>
      <c r="BY965" s="672"/>
      <c r="BZ965" s="672"/>
      <c r="CA965" s="672"/>
      <c r="CB965" s="672"/>
      <c r="CC965" s="672"/>
      <c r="CD965" s="672"/>
      <c r="CE965" s="240"/>
      <c r="CF965" s="240"/>
      <c r="CG965" s="240"/>
      <c r="CH965" s="240"/>
      <c r="CI965" s="240"/>
      <c r="CJ965" s="728"/>
      <c r="CK965" s="728"/>
      <c r="CL965" s="195"/>
      <c r="CM965" s="195"/>
      <c r="CN965" s="195"/>
      <c r="CO965" s="195"/>
      <c r="CP965" s="195"/>
      <c r="CQ965" s="195"/>
      <c r="CR965" s="195"/>
      <c r="CS965" s="195"/>
      <c r="CT965" s="195"/>
      <c r="CU965" s="195"/>
      <c r="CV965" s="195"/>
      <c r="CW965" s="195"/>
      <c r="CX965" s="195"/>
      <c r="CY965" s="195"/>
      <c r="CZ965" s="195"/>
      <c r="DA965" s="195"/>
      <c r="DB965" s="195"/>
      <c r="DC965" s="195"/>
      <c r="DD965" s="195"/>
      <c r="DO965" s="195"/>
      <c r="DP965" s="195"/>
      <c r="DQ965" s="195"/>
      <c r="DR965" s="195"/>
      <c r="DS965" s="195"/>
      <c r="DT965" s="195"/>
      <c r="DU965" s="195"/>
      <c r="DV965" s="195"/>
      <c r="DW965" s="195"/>
      <c r="DX965" s="195"/>
      <c r="DY965" s="195"/>
      <c r="DZ965" s="195"/>
      <c r="EA965" s="195"/>
      <c r="EB965" s="195"/>
      <c r="EC965" s="195"/>
      <c r="ED965" s="195"/>
      <c r="EE965" s="195"/>
      <c r="EK965" s="195"/>
      <c r="EL965" s="240"/>
      <c r="EM965" s="240"/>
      <c r="EN965" s="195"/>
      <c r="EO965" s="240"/>
      <c r="EP965" s="195"/>
      <c r="EQ965" s="195"/>
      <c r="ER965" s="195"/>
      <c r="ES965" s="736"/>
    </row>
    <row r="966" customFormat="false" ht="12.75" hidden="false" customHeight="false" outlineLevel="0" collapsed="false">
      <c r="I966" s="735"/>
      <c r="J966" s="728"/>
      <c r="K966" s="195"/>
      <c r="L966" s="195"/>
      <c r="Q966" s="195"/>
      <c r="R966" s="195"/>
      <c r="S966" s="240"/>
      <c r="T966" s="195"/>
      <c r="U966" s="195"/>
      <c r="V966" s="195"/>
      <c r="W966" s="195"/>
      <c r="X966" s="195"/>
      <c r="Y966" s="195"/>
      <c r="Z966" s="195"/>
      <c r="AA966" s="195"/>
      <c r="AB966" s="195"/>
      <c r="AC966" s="195"/>
      <c r="AD966" s="195"/>
      <c r="AE966" s="195"/>
      <c r="AF966" s="195"/>
      <c r="AG966" s="195"/>
      <c r="AH966" s="195"/>
      <c r="AI966" s="195"/>
      <c r="AJ966" s="195"/>
      <c r="AK966" s="195"/>
      <c r="AL966" s="195"/>
      <c r="AM966" s="1"/>
      <c r="AN966" s="240"/>
      <c r="AO966" s="240"/>
      <c r="AP966" s="240"/>
      <c r="AQ966" s="730"/>
      <c r="AR966" s="730"/>
      <c r="AS966" s="730"/>
      <c r="AT966" s="738"/>
      <c r="AU966" s="738"/>
      <c r="AV966" s="240"/>
      <c r="AW966" s="240"/>
      <c r="AX966" s="240"/>
      <c r="AY966" s="240"/>
      <c r="AZ966" s="240"/>
      <c r="BA966" s="240"/>
      <c r="BB966" s="672"/>
      <c r="BC966" s="731"/>
      <c r="BD966" s="731"/>
      <c r="BE966" s="731"/>
      <c r="BF966" s="672"/>
      <c r="BG966" s="732"/>
      <c r="BH966" s="240"/>
      <c r="BI966" s="240"/>
      <c r="BJ966" s="240"/>
      <c r="BK966" s="240"/>
      <c r="BL966" s="240"/>
      <c r="BM966" s="240"/>
      <c r="BN966" s="240"/>
      <c r="BO966" s="240"/>
      <c r="BP966" s="240"/>
      <c r="BQ966" s="240"/>
      <c r="BR966" s="240"/>
      <c r="BS966" s="240"/>
      <c r="BT966" s="240"/>
      <c r="BU966" s="672"/>
      <c r="BV966" s="672"/>
      <c r="BW966" s="672"/>
      <c r="BX966" s="672"/>
      <c r="BY966" s="672"/>
      <c r="BZ966" s="672"/>
      <c r="CA966" s="672"/>
      <c r="CB966" s="672"/>
      <c r="CC966" s="672"/>
      <c r="CD966" s="672"/>
      <c r="CE966" s="240"/>
      <c r="CF966" s="240"/>
      <c r="CG966" s="240"/>
      <c r="CH966" s="240"/>
      <c r="CI966" s="240"/>
      <c r="CJ966" s="728"/>
      <c r="CK966" s="728"/>
      <c r="CL966" s="195"/>
      <c r="CM966" s="195"/>
      <c r="CN966" s="195"/>
      <c r="CO966" s="195"/>
      <c r="CP966" s="195"/>
      <c r="CQ966" s="195"/>
      <c r="CR966" s="195"/>
      <c r="CS966" s="195"/>
      <c r="CT966" s="195"/>
      <c r="CU966" s="195"/>
      <c r="CV966" s="195"/>
      <c r="CW966" s="195"/>
      <c r="CX966" s="195"/>
      <c r="CY966" s="195"/>
      <c r="CZ966" s="195"/>
      <c r="DA966" s="195"/>
      <c r="DB966" s="195"/>
      <c r="DC966" s="195"/>
      <c r="DD966" s="195"/>
      <c r="DO966" s="195"/>
      <c r="DP966" s="195"/>
      <c r="DQ966" s="195"/>
      <c r="DR966" s="195"/>
      <c r="DS966" s="195"/>
      <c r="DT966" s="195"/>
      <c r="DU966" s="195"/>
      <c r="DV966" s="195"/>
      <c r="DW966" s="195"/>
      <c r="DX966" s="195"/>
      <c r="DY966" s="195"/>
      <c r="DZ966" s="195"/>
      <c r="EA966" s="195"/>
      <c r="EB966" s="195"/>
      <c r="EC966" s="195"/>
      <c r="ED966" s="195"/>
      <c r="EE966" s="195"/>
      <c r="EK966" s="195"/>
      <c r="EL966" s="240"/>
      <c r="EM966" s="240"/>
      <c r="EN966" s="195"/>
      <c r="EO966" s="240"/>
      <c r="EP966" s="195"/>
      <c r="EQ966" s="195"/>
      <c r="ER966" s="195"/>
      <c r="ES966" s="736"/>
    </row>
    <row r="967" customFormat="false" ht="12.75" hidden="false" customHeight="false" outlineLevel="0" collapsed="false">
      <c r="I967" s="735"/>
      <c r="J967" s="728"/>
      <c r="K967" s="195"/>
      <c r="L967" s="195"/>
      <c r="Q967" s="195"/>
      <c r="R967" s="195"/>
      <c r="S967" s="240"/>
      <c r="T967" s="195"/>
      <c r="U967" s="195"/>
      <c r="V967" s="195"/>
      <c r="W967" s="195"/>
      <c r="X967" s="195"/>
      <c r="Y967" s="195"/>
      <c r="Z967" s="195"/>
      <c r="AA967" s="195"/>
      <c r="AB967" s="195"/>
      <c r="AC967" s="195"/>
      <c r="AD967" s="195"/>
      <c r="AE967" s="195"/>
      <c r="AF967" s="195"/>
      <c r="AG967" s="195"/>
      <c r="AH967" s="195"/>
      <c r="AI967" s="195"/>
      <c r="AJ967" s="195"/>
      <c r="AK967" s="195"/>
      <c r="AL967" s="195"/>
      <c r="AM967" s="1"/>
      <c r="AN967" s="240"/>
      <c r="AO967" s="240"/>
      <c r="AP967" s="240"/>
      <c r="AQ967" s="730"/>
      <c r="AR967" s="730"/>
      <c r="AS967" s="730"/>
      <c r="AT967" s="738"/>
      <c r="AU967" s="738"/>
      <c r="AV967" s="240"/>
      <c r="AW967" s="240"/>
      <c r="AX967" s="240"/>
      <c r="AY967" s="240"/>
      <c r="AZ967" s="240"/>
      <c r="BA967" s="240"/>
      <c r="BB967" s="672"/>
      <c r="BC967" s="731"/>
      <c r="BD967" s="731"/>
      <c r="BE967" s="731"/>
      <c r="BF967" s="672"/>
      <c r="BG967" s="732"/>
      <c r="BH967" s="240"/>
      <c r="BI967" s="240"/>
      <c r="BJ967" s="240"/>
      <c r="BK967" s="240"/>
      <c r="BL967" s="240"/>
      <c r="BM967" s="240"/>
      <c r="BN967" s="240"/>
      <c r="BO967" s="240"/>
      <c r="BP967" s="240"/>
      <c r="BQ967" s="240"/>
      <c r="BR967" s="240"/>
      <c r="BS967" s="240"/>
      <c r="BT967" s="240"/>
      <c r="BU967" s="672"/>
      <c r="BV967" s="672"/>
      <c r="BW967" s="672"/>
      <c r="BX967" s="672"/>
      <c r="BY967" s="672"/>
      <c r="BZ967" s="672"/>
      <c r="CA967" s="672"/>
      <c r="CB967" s="672"/>
      <c r="CC967" s="672"/>
      <c r="CD967" s="672"/>
      <c r="CE967" s="240"/>
      <c r="CF967" s="240"/>
      <c r="CG967" s="240"/>
      <c r="CH967" s="240"/>
      <c r="CI967" s="240"/>
      <c r="CJ967" s="728"/>
      <c r="CK967" s="728"/>
      <c r="CL967" s="195"/>
      <c r="CM967" s="195"/>
      <c r="CN967" s="195"/>
      <c r="CO967" s="195"/>
      <c r="CP967" s="195"/>
      <c r="CQ967" s="195"/>
      <c r="CR967" s="195"/>
      <c r="CS967" s="195"/>
      <c r="CT967" s="195"/>
      <c r="CU967" s="195"/>
      <c r="CV967" s="195"/>
      <c r="CW967" s="195"/>
      <c r="CX967" s="195"/>
      <c r="CY967" s="195"/>
      <c r="CZ967" s="195"/>
      <c r="DA967" s="195"/>
      <c r="DB967" s="195"/>
      <c r="DC967" s="195"/>
      <c r="DD967" s="195"/>
      <c r="DO967" s="195"/>
      <c r="DP967" s="195"/>
      <c r="DQ967" s="195"/>
      <c r="DR967" s="195"/>
      <c r="DS967" s="195"/>
      <c r="DT967" s="195"/>
      <c r="DU967" s="195"/>
      <c r="DV967" s="195"/>
      <c r="DW967" s="195"/>
      <c r="DX967" s="195"/>
      <c r="DY967" s="195"/>
      <c r="DZ967" s="195"/>
      <c r="EA967" s="195"/>
      <c r="EB967" s="195"/>
      <c r="EC967" s="195"/>
      <c r="ED967" s="195"/>
      <c r="EE967" s="195"/>
      <c r="EK967" s="195"/>
      <c r="EL967" s="240"/>
      <c r="EM967" s="240"/>
      <c r="EN967" s="195"/>
      <c r="EO967" s="240"/>
      <c r="EP967" s="195"/>
      <c r="EQ967" s="195"/>
      <c r="ER967" s="195"/>
      <c r="ES967" s="736"/>
    </row>
    <row r="968" customFormat="false" ht="12.75" hidden="false" customHeight="false" outlineLevel="0" collapsed="false">
      <c r="I968" s="735"/>
      <c r="J968" s="728"/>
      <c r="K968" s="195"/>
      <c r="L968" s="195"/>
      <c r="Q968" s="195"/>
      <c r="R968" s="195"/>
      <c r="S968" s="240"/>
      <c r="T968" s="195"/>
      <c r="U968" s="195"/>
      <c r="V968" s="195"/>
      <c r="W968" s="195"/>
      <c r="X968" s="195"/>
      <c r="Y968" s="195"/>
      <c r="Z968" s="195"/>
      <c r="AA968" s="195"/>
      <c r="AB968" s="195"/>
      <c r="AC968" s="195"/>
      <c r="AD968" s="195"/>
      <c r="AE968" s="195"/>
      <c r="AF968" s="195"/>
      <c r="AG968" s="195"/>
      <c r="AH968" s="195"/>
      <c r="AI968" s="195"/>
      <c r="AJ968" s="195"/>
      <c r="AK968" s="195"/>
      <c r="AL968" s="195"/>
      <c r="AM968" s="1"/>
      <c r="AN968" s="240"/>
      <c r="AO968" s="240"/>
      <c r="AP968" s="240"/>
      <c r="AQ968" s="730"/>
      <c r="AR968" s="730"/>
      <c r="AS968" s="730"/>
      <c r="AT968" s="738"/>
      <c r="AU968" s="738"/>
      <c r="AV968" s="240"/>
      <c r="AW968" s="240"/>
      <c r="AX968" s="240"/>
      <c r="AY968" s="240"/>
      <c r="AZ968" s="240"/>
      <c r="BA968" s="240"/>
      <c r="BB968" s="672"/>
      <c r="BC968" s="731"/>
      <c r="BD968" s="731"/>
      <c r="BE968" s="731"/>
      <c r="BF968" s="672"/>
      <c r="BG968" s="732"/>
      <c r="BH968" s="240"/>
      <c r="BI968" s="240"/>
      <c r="BJ968" s="240"/>
      <c r="BK968" s="240"/>
      <c r="BL968" s="240"/>
      <c r="BM968" s="240"/>
      <c r="BN968" s="240"/>
      <c r="BO968" s="240"/>
      <c r="BP968" s="240"/>
      <c r="BQ968" s="240"/>
      <c r="BR968" s="240"/>
      <c r="BS968" s="240"/>
      <c r="BT968" s="240"/>
      <c r="BU968" s="672"/>
      <c r="BV968" s="672"/>
      <c r="BW968" s="672"/>
      <c r="BX968" s="672"/>
      <c r="BY968" s="672"/>
      <c r="BZ968" s="672"/>
      <c r="CA968" s="672"/>
      <c r="CB968" s="672"/>
      <c r="CC968" s="672"/>
      <c r="CD968" s="672"/>
      <c r="CE968" s="240"/>
      <c r="CF968" s="240"/>
      <c r="CG968" s="240"/>
      <c r="CH968" s="240"/>
      <c r="CI968" s="240"/>
      <c r="CJ968" s="728"/>
      <c r="CK968" s="728"/>
      <c r="CL968" s="195"/>
      <c r="CM968" s="195"/>
      <c r="CN968" s="195"/>
      <c r="CO968" s="195"/>
      <c r="CP968" s="195"/>
      <c r="CQ968" s="195"/>
      <c r="CR968" s="195"/>
      <c r="CS968" s="195"/>
      <c r="CT968" s="195"/>
      <c r="CU968" s="195"/>
      <c r="CV968" s="195"/>
      <c r="CW968" s="195"/>
      <c r="CX968" s="195"/>
      <c r="CY968" s="195"/>
      <c r="CZ968" s="195"/>
      <c r="DA968" s="195"/>
      <c r="DB968" s="195"/>
      <c r="DC968" s="195"/>
      <c r="DD968" s="195"/>
      <c r="DO968" s="195"/>
      <c r="DP968" s="195"/>
      <c r="DQ968" s="195"/>
      <c r="DR968" s="195"/>
      <c r="DS968" s="195"/>
      <c r="DT968" s="195"/>
      <c r="DU968" s="195"/>
      <c r="DV968" s="195"/>
      <c r="DW968" s="195"/>
      <c r="DX968" s="195"/>
      <c r="DY968" s="195"/>
      <c r="DZ968" s="195"/>
      <c r="EA968" s="195"/>
      <c r="EB968" s="195"/>
      <c r="EC968" s="195"/>
      <c r="ED968" s="195"/>
      <c r="EE968" s="195"/>
      <c r="EK968" s="195"/>
      <c r="EL968" s="240"/>
      <c r="EM968" s="240"/>
      <c r="EN968" s="195"/>
      <c r="EO968" s="240"/>
      <c r="EP968" s="195"/>
      <c r="EQ968" s="195"/>
      <c r="ER968" s="195"/>
      <c r="ES968" s="736"/>
    </row>
    <row r="969" customFormat="false" ht="12.75" hidden="false" customHeight="false" outlineLevel="0" collapsed="false">
      <c r="I969" s="735"/>
      <c r="J969" s="728"/>
      <c r="K969" s="195"/>
      <c r="L969" s="195"/>
      <c r="Q969" s="195"/>
      <c r="R969" s="195"/>
      <c r="S969" s="240"/>
      <c r="T969" s="195"/>
      <c r="U969" s="195"/>
      <c r="V969" s="195"/>
      <c r="W969" s="195"/>
      <c r="X969" s="195"/>
      <c r="Y969" s="195"/>
      <c r="Z969" s="195"/>
      <c r="AA969" s="195"/>
      <c r="AB969" s="195"/>
      <c r="AC969" s="195"/>
      <c r="AD969" s="195"/>
      <c r="AE969" s="195"/>
      <c r="AF969" s="195"/>
      <c r="AG969" s="195"/>
      <c r="AH969" s="195"/>
      <c r="AI969" s="195"/>
      <c r="AJ969" s="195"/>
      <c r="AK969" s="195"/>
      <c r="AL969" s="195"/>
      <c r="AM969" s="1"/>
      <c r="AN969" s="240"/>
      <c r="AO969" s="240"/>
      <c r="AP969" s="240"/>
      <c r="AQ969" s="730"/>
      <c r="AR969" s="730"/>
      <c r="AS969" s="730"/>
      <c r="AT969" s="738"/>
      <c r="AU969" s="738"/>
      <c r="AV969" s="240"/>
      <c r="AW969" s="240"/>
      <c r="AX969" s="240"/>
      <c r="AY969" s="240"/>
      <c r="AZ969" s="240"/>
      <c r="BA969" s="240"/>
      <c r="BB969" s="672"/>
      <c r="BC969" s="731"/>
      <c r="BD969" s="731"/>
      <c r="BE969" s="731"/>
      <c r="BF969" s="672"/>
      <c r="BG969" s="732"/>
      <c r="BH969" s="240"/>
      <c r="BI969" s="240"/>
      <c r="BJ969" s="240"/>
      <c r="BK969" s="240"/>
      <c r="BL969" s="240"/>
      <c r="BM969" s="240"/>
      <c r="BN969" s="240"/>
      <c r="BO969" s="240"/>
      <c r="BP969" s="240"/>
      <c r="BQ969" s="240"/>
      <c r="BR969" s="240"/>
      <c r="BS969" s="240"/>
      <c r="BT969" s="240"/>
      <c r="BU969" s="672"/>
      <c r="BV969" s="672"/>
      <c r="BW969" s="672"/>
      <c r="BX969" s="672"/>
      <c r="BY969" s="672"/>
      <c r="BZ969" s="672"/>
      <c r="CA969" s="672"/>
      <c r="CB969" s="672"/>
      <c r="CC969" s="672"/>
      <c r="CD969" s="672"/>
      <c r="CE969" s="240"/>
      <c r="CF969" s="240"/>
      <c r="CG969" s="240"/>
      <c r="CH969" s="240"/>
      <c r="CI969" s="240"/>
      <c r="CJ969" s="728"/>
      <c r="CK969" s="728"/>
      <c r="CL969" s="195"/>
      <c r="CM969" s="195"/>
      <c r="CN969" s="195"/>
      <c r="CO969" s="195"/>
      <c r="CP969" s="195"/>
      <c r="CQ969" s="195"/>
      <c r="CR969" s="195"/>
      <c r="CS969" s="195"/>
      <c r="CT969" s="195"/>
      <c r="CU969" s="195"/>
      <c r="CV969" s="195"/>
      <c r="CW969" s="195"/>
      <c r="CX969" s="195"/>
      <c r="CY969" s="195"/>
      <c r="CZ969" s="195"/>
      <c r="DA969" s="195"/>
      <c r="DB969" s="195"/>
      <c r="DC969" s="195"/>
      <c r="DD969" s="195"/>
      <c r="DO969" s="195"/>
      <c r="DP969" s="195"/>
      <c r="DQ969" s="195"/>
      <c r="DR969" s="195"/>
      <c r="DS969" s="195"/>
      <c r="DT969" s="195"/>
      <c r="DU969" s="195"/>
      <c r="DV969" s="195"/>
      <c r="DW969" s="195"/>
      <c r="DX969" s="195"/>
      <c r="DY969" s="195"/>
      <c r="DZ969" s="195"/>
      <c r="EA969" s="195"/>
      <c r="EB969" s="195"/>
      <c r="EC969" s="195"/>
      <c r="ED969" s="195"/>
      <c r="EE969" s="195"/>
      <c r="EK969" s="195"/>
      <c r="EL969" s="240"/>
      <c r="EM969" s="240"/>
      <c r="EN969" s="195"/>
      <c r="EO969" s="240"/>
      <c r="EP969" s="195"/>
      <c r="EQ969" s="195"/>
      <c r="ER969" s="195"/>
      <c r="ES969" s="736"/>
    </row>
    <row r="970" customFormat="false" ht="12.75" hidden="false" customHeight="false" outlineLevel="0" collapsed="false">
      <c r="I970" s="735"/>
      <c r="J970" s="728"/>
      <c r="K970" s="195"/>
      <c r="L970" s="195"/>
      <c r="Q970" s="195"/>
      <c r="R970" s="195"/>
      <c r="S970" s="240"/>
      <c r="T970" s="195"/>
      <c r="U970" s="195"/>
      <c r="V970" s="195"/>
      <c r="W970" s="195"/>
      <c r="X970" s="195"/>
      <c r="Y970" s="195"/>
      <c r="Z970" s="195"/>
      <c r="AA970" s="195"/>
      <c r="AB970" s="195"/>
      <c r="AC970" s="195"/>
      <c r="AD970" s="195"/>
      <c r="AE970" s="195"/>
      <c r="AF970" s="195"/>
      <c r="AG970" s="195"/>
      <c r="AH970" s="195"/>
      <c r="AI970" s="195"/>
      <c r="AJ970" s="195"/>
      <c r="AK970" s="195"/>
      <c r="AL970" s="195"/>
      <c r="AM970" s="1"/>
      <c r="AN970" s="240"/>
      <c r="AO970" s="240"/>
      <c r="AP970" s="240"/>
      <c r="AQ970" s="730"/>
      <c r="AR970" s="730"/>
      <c r="AS970" s="730"/>
      <c r="AT970" s="738"/>
      <c r="AU970" s="738"/>
      <c r="AV970" s="240"/>
      <c r="AW970" s="240"/>
      <c r="AX970" s="240"/>
      <c r="AY970" s="240"/>
      <c r="AZ970" s="240"/>
      <c r="BA970" s="240"/>
      <c r="BB970" s="672"/>
      <c r="BC970" s="731"/>
      <c r="BD970" s="731"/>
      <c r="BE970" s="731"/>
      <c r="BF970" s="672"/>
      <c r="BG970" s="732"/>
      <c r="BH970" s="240"/>
      <c r="BI970" s="240"/>
      <c r="BJ970" s="240"/>
      <c r="BK970" s="240"/>
      <c r="BL970" s="240"/>
      <c r="BM970" s="240"/>
      <c r="BN970" s="240"/>
      <c r="BO970" s="240"/>
      <c r="BP970" s="240"/>
      <c r="BQ970" s="240"/>
      <c r="BR970" s="240"/>
      <c r="BS970" s="240"/>
      <c r="BT970" s="240"/>
      <c r="BU970" s="672"/>
      <c r="BV970" s="672"/>
      <c r="BW970" s="672"/>
      <c r="BX970" s="672"/>
      <c r="BY970" s="672"/>
      <c r="BZ970" s="672"/>
      <c r="CA970" s="672"/>
      <c r="CB970" s="672"/>
      <c r="CC970" s="672"/>
      <c r="CD970" s="672"/>
      <c r="CE970" s="240"/>
      <c r="CF970" s="240"/>
      <c r="CG970" s="240"/>
      <c r="CH970" s="240"/>
      <c r="CI970" s="240"/>
      <c r="CJ970" s="728"/>
      <c r="CK970" s="728"/>
      <c r="CL970" s="195"/>
      <c r="CM970" s="195"/>
      <c r="CN970" s="195"/>
      <c r="CO970" s="195"/>
      <c r="CP970" s="195"/>
      <c r="CQ970" s="195"/>
      <c r="CR970" s="195"/>
      <c r="CS970" s="195"/>
      <c r="CT970" s="195"/>
      <c r="CU970" s="195"/>
      <c r="CV970" s="195"/>
      <c r="CW970" s="195"/>
      <c r="CX970" s="195"/>
      <c r="CY970" s="195"/>
      <c r="CZ970" s="195"/>
      <c r="DA970" s="195"/>
      <c r="DB970" s="195"/>
      <c r="DC970" s="195"/>
      <c r="DD970" s="195"/>
      <c r="DO970" s="195"/>
      <c r="DP970" s="195"/>
      <c r="DQ970" s="195"/>
      <c r="DR970" s="195"/>
      <c r="DS970" s="195"/>
      <c r="DT970" s="195"/>
      <c r="DU970" s="195"/>
      <c r="DV970" s="195"/>
      <c r="DW970" s="195"/>
      <c r="DX970" s="195"/>
      <c r="DY970" s="195"/>
      <c r="DZ970" s="195"/>
      <c r="EA970" s="195"/>
      <c r="EB970" s="195"/>
      <c r="EC970" s="195"/>
      <c r="ED970" s="195"/>
      <c r="EE970" s="195"/>
      <c r="EK970" s="195"/>
      <c r="EL970" s="240"/>
      <c r="EM970" s="240"/>
      <c r="EN970" s="195"/>
      <c r="EO970" s="240"/>
      <c r="EP970" s="195"/>
      <c r="EQ970" s="195"/>
      <c r="ER970" s="195"/>
      <c r="ES970" s="736"/>
    </row>
    <row r="971" customFormat="false" ht="12.75" hidden="false" customHeight="false" outlineLevel="0" collapsed="false">
      <c r="I971" s="735"/>
      <c r="J971" s="728"/>
      <c r="K971" s="195"/>
      <c r="L971" s="195"/>
      <c r="Q971" s="195"/>
      <c r="R971" s="195"/>
      <c r="S971" s="240"/>
      <c r="T971" s="195"/>
      <c r="U971" s="195"/>
      <c r="V971" s="195"/>
      <c r="W971" s="195"/>
      <c r="X971" s="195"/>
      <c r="Y971" s="195"/>
      <c r="Z971" s="195"/>
      <c r="AA971" s="195"/>
      <c r="AB971" s="195"/>
      <c r="AC971" s="195"/>
      <c r="AD971" s="195"/>
      <c r="AE971" s="195"/>
      <c r="AF971" s="195"/>
      <c r="AG971" s="195"/>
      <c r="AH971" s="195"/>
      <c r="AI971" s="195"/>
      <c r="AJ971" s="195"/>
      <c r="AK971" s="195"/>
      <c r="AL971" s="195"/>
      <c r="AM971" s="1"/>
      <c r="AN971" s="240"/>
      <c r="AO971" s="240"/>
      <c r="AP971" s="240"/>
      <c r="AQ971" s="730"/>
      <c r="AR971" s="730"/>
      <c r="AS971" s="730"/>
      <c r="AT971" s="738"/>
      <c r="AU971" s="738"/>
      <c r="AV971" s="240"/>
      <c r="AW971" s="240"/>
      <c r="AX971" s="240"/>
      <c r="AY971" s="240"/>
      <c r="AZ971" s="240"/>
      <c r="BA971" s="240"/>
      <c r="BB971" s="672"/>
      <c r="BC971" s="731"/>
      <c r="BD971" s="731"/>
      <c r="BE971" s="731"/>
      <c r="BF971" s="672"/>
      <c r="BG971" s="732"/>
      <c r="BH971" s="240"/>
      <c r="BI971" s="240"/>
      <c r="BJ971" s="240"/>
      <c r="BK971" s="240"/>
      <c r="BL971" s="240"/>
      <c r="BM971" s="240"/>
      <c r="BN971" s="240"/>
      <c r="BO971" s="240"/>
      <c r="BP971" s="240"/>
      <c r="BQ971" s="240"/>
      <c r="BR971" s="240"/>
      <c r="BS971" s="240"/>
      <c r="BT971" s="240"/>
      <c r="BU971" s="672"/>
      <c r="BV971" s="672"/>
      <c r="BW971" s="672"/>
      <c r="BX971" s="672"/>
      <c r="BY971" s="672"/>
      <c r="BZ971" s="672"/>
      <c r="CA971" s="672"/>
      <c r="CB971" s="672"/>
      <c r="CC971" s="672"/>
      <c r="CD971" s="672"/>
      <c r="CE971" s="240"/>
      <c r="CF971" s="240"/>
      <c r="CG971" s="240"/>
      <c r="CH971" s="240"/>
      <c r="CI971" s="240"/>
      <c r="CJ971" s="728"/>
      <c r="CK971" s="728"/>
      <c r="CL971" s="195"/>
      <c r="CM971" s="195"/>
      <c r="CN971" s="195"/>
      <c r="CO971" s="195"/>
      <c r="CP971" s="195"/>
      <c r="CQ971" s="195"/>
      <c r="CR971" s="195"/>
      <c r="CS971" s="195"/>
      <c r="CT971" s="195"/>
      <c r="CU971" s="195"/>
      <c r="CV971" s="195"/>
      <c r="CW971" s="195"/>
      <c r="CX971" s="195"/>
      <c r="CY971" s="195"/>
      <c r="CZ971" s="195"/>
      <c r="DA971" s="195"/>
      <c r="DB971" s="195"/>
      <c r="DC971" s="195"/>
      <c r="DD971" s="195"/>
      <c r="DO971" s="195"/>
      <c r="DP971" s="195"/>
      <c r="DQ971" s="195"/>
      <c r="DR971" s="195"/>
      <c r="DS971" s="195"/>
      <c r="DT971" s="195"/>
      <c r="DU971" s="195"/>
      <c r="DV971" s="195"/>
      <c r="DW971" s="195"/>
      <c r="DX971" s="195"/>
      <c r="DY971" s="195"/>
      <c r="DZ971" s="195"/>
      <c r="EA971" s="195"/>
      <c r="EB971" s="195"/>
      <c r="EC971" s="195"/>
      <c r="ED971" s="195"/>
      <c r="EE971" s="195"/>
      <c r="EK971" s="195"/>
      <c r="EL971" s="240"/>
      <c r="EM971" s="240"/>
      <c r="EN971" s="195"/>
      <c r="EO971" s="240"/>
      <c r="EP971" s="195"/>
      <c r="EQ971" s="195"/>
      <c r="ER971" s="195"/>
      <c r="ES971" s="736"/>
    </row>
    <row r="972" customFormat="false" ht="12.75" hidden="false" customHeight="false" outlineLevel="0" collapsed="false">
      <c r="I972" s="735"/>
      <c r="J972" s="728"/>
      <c r="K972" s="195"/>
      <c r="L972" s="195"/>
      <c r="Q972" s="195"/>
      <c r="R972" s="195"/>
      <c r="S972" s="240"/>
      <c r="T972" s="195"/>
      <c r="U972" s="195"/>
      <c r="V972" s="195"/>
      <c r="W972" s="195"/>
      <c r="X972" s="195"/>
      <c r="Y972" s="195"/>
      <c r="Z972" s="195"/>
      <c r="AA972" s="195"/>
      <c r="AB972" s="195"/>
      <c r="AC972" s="195"/>
      <c r="AD972" s="195"/>
      <c r="AE972" s="195"/>
      <c r="AF972" s="195"/>
      <c r="AG972" s="195"/>
      <c r="AH972" s="195"/>
      <c r="AI972" s="195"/>
      <c r="AJ972" s="195"/>
      <c r="AK972" s="195"/>
      <c r="AL972" s="195"/>
      <c r="AM972" s="1"/>
      <c r="AN972" s="240"/>
      <c r="AO972" s="240"/>
      <c r="AP972" s="240"/>
      <c r="AQ972" s="730"/>
      <c r="AR972" s="730"/>
      <c r="AS972" s="730"/>
      <c r="AT972" s="738"/>
      <c r="AU972" s="738"/>
      <c r="AV972" s="240"/>
      <c r="AW972" s="240"/>
      <c r="AX972" s="240"/>
      <c r="AY972" s="240"/>
      <c r="AZ972" s="240"/>
      <c r="BA972" s="240"/>
      <c r="BB972" s="672"/>
      <c r="BC972" s="731"/>
      <c r="BD972" s="731"/>
      <c r="BE972" s="731"/>
      <c r="BF972" s="672"/>
      <c r="BG972" s="732"/>
      <c r="BH972" s="240"/>
      <c r="BI972" s="240"/>
      <c r="BJ972" s="240"/>
      <c r="BK972" s="240"/>
      <c r="BL972" s="240"/>
      <c r="BM972" s="240"/>
      <c r="BN972" s="240"/>
      <c r="BO972" s="240"/>
      <c r="BP972" s="240"/>
      <c r="BQ972" s="240"/>
      <c r="BR972" s="240"/>
      <c r="BS972" s="240"/>
      <c r="BT972" s="240"/>
      <c r="BU972" s="672"/>
      <c r="BV972" s="672"/>
      <c r="BW972" s="672"/>
      <c r="BX972" s="672"/>
      <c r="BY972" s="672"/>
      <c r="BZ972" s="672"/>
      <c r="CA972" s="672"/>
      <c r="CB972" s="672"/>
      <c r="CC972" s="672"/>
      <c r="CD972" s="672"/>
      <c r="CE972" s="240"/>
      <c r="CF972" s="240"/>
      <c r="CG972" s="240"/>
      <c r="CH972" s="240"/>
      <c r="CI972" s="240"/>
      <c r="CJ972" s="728"/>
      <c r="CK972" s="728"/>
      <c r="CL972" s="195"/>
      <c r="CM972" s="195"/>
      <c r="CN972" s="195"/>
      <c r="CO972" s="195"/>
      <c r="CP972" s="195"/>
      <c r="CQ972" s="195"/>
      <c r="CR972" s="195"/>
      <c r="CS972" s="195"/>
      <c r="CT972" s="195"/>
      <c r="CU972" s="195"/>
      <c r="CV972" s="195"/>
      <c r="CW972" s="195"/>
      <c r="CX972" s="195"/>
      <c r="CY972" s="195"/>
      <c r="CZ972" s="195"/>
      <c r="DA972" s="195"/>
      <c r="DB972" s="195"/>
      <c r="DC972" s="195"/>
      <c r="DD972" s="195"/>
      <c r="DO972" s="195"/>
      <c r="DP972" s="195"/>
      <c r="DQ972" s="195"/>
      <c r="DR972" s="195"/>
      <c r="DS972" s="195"/>
      <c r="DT972" s="195"/>
      <c r="DU972" s="195"/>
      <c r="DV972" s="195"/>
      <c r="DW972" s="195"/>
      <c r="DX972" s="195"/>
      <c r="DY972" s="195"/>
      <c r="DZ972" s="195"/>
      <c r="EA972" s="195"/>
      <c r="EB972" s="195"/>
      <c r="EC972" s="195"/>
      <c r="ED972" s="195"/>
      <c r="EE972" s="195"/>
      <c r="EK972" s="195"/>
      <c r="EL972" s="240"/>
      <c r="EM972" s="240"/>
      <c r="EN972" s="195"/>
      <c r="EO972" s="240"/>
      <c r="EP972" s="195"/>
      <c r="EQ972" s="195"/>
      <c r="ER972" s="195"/>
      <c r="ES972" s="736"/>
    </row>
    <row r="973" customFormat="false" ht="12.75" hidden="false" customHeight="false" outlineLevel="0" collapsed="false">
      <c r="I973" s="735"/>
      <c r="J973" s="728"/>
      <c r="K973" s="195"/>
      <c r="L973" s="195"/>
      <c r="Q973" s="195"/>
      <c r="R973" s="195"/>
      <c r="S973" s="240"/>
      <c r="T973" s="195"/>
      <c r="U973" s="195"/>
      <c r="V973" s="195"/>
      <c r="W973" s="195"/>
      <c r="X973" s="195"/>
      <c r="Y973" s="195"/>
      <c r="Z973" s="195"/>
      <c r="AA973" s="195"/>
      <c r="AB973" s="195"/>
      <c r="AC973" s="195"/>
      <c r="AD973" s="195"/>
      <c r="AE973" s="195"/>
      <c r="AF973" s="195"/>
      <c r="AG973" s="195"/>
      <c r="AH973" s="195"/>
      <c r="AI973" s="195"/>
      <c r="AJ973" s="195"/>
      <c r="AK973" s="195"/>
      <c r="AL973" s="195"/>
      <c r="AM973" s="1"/>
      <c r="AN973" s="240"/>
      <c r="AO973" s="240"/>
      <c r="AP973" s="240"/>
      <c r="AQ973" s="730"/>
      <c r="AR973" s="730"/>
      <c r="AS973" s="730"/>
      <c r="AT973" s="738"/>
      <c r="AU973" s="738"/>
      <c r="AV973" s="240"/>
      <c r="AW973" s="240"/>
      <c r="AX973" s="240"/>
      <c r="AY973" s="240"/>
      <c r="AZ973" s="240"/>
      <c r="BA973" s="240"/>
      <c r="BB973" s="672"/>
      <c r="BC973" s="731"/>
      <c r="BD973" s="731"/>
      <c r="BE973" s="731"/>
      <c r="BF973" s="672"/>
      <c r="BG973" s="732"/>
      <c r="BH973" s="240"/>
      <c r="BI973" s="240"/>
      <c r="BJ973" s="240"/>
      <c r="BK973" s="240"/>
      <c r="BL973" s="240"/>
      <c r="BM973" s="240"/>
      <c r="BN973" s="240"/>
      <c r="BO973" s="240"/>
      <c r="BP973" s="240"/>
      <c r="BQ973" s="240"/>
      <c r="BR973" s="240"/>
      <c r="BS973" s="240"/>
      <c r="BT973" s="240"/>
      <c r="BU973" s="672"/>
      <c r="BV973" s="672"/>
      <c r="BW973" s="672"/>
      <c r="BX973" s="672"/>
      <c r="BY973" s="672"/>
      <c r="BZ973" s="672"/>
      <c r="CA973" s="672"/>
      <c r="CB973" s="672"/>
      <c r="CC973" s="672"/>
      <c r="CD973" s="672"/>
      <c r="CE973" s="240"/>
      <c r="CF973" s="240"/>
      <c r="CG973" s="240"/>
      <c r="CH973" s="240"/>
      <c r="CI973" s="240"/>
      <c r="CJ973" s="728"/>
      <c r="CK973" s="728"/>
      <c r="CL973" s="195"/>
      <c r="CM973" s="195"/>
      <c r="CN973" s="195"/>
      <c r="CO973" s="195"/>
      <c r="CP973" s="195"/>
      <c r="CQ973" s="195"/>
      <c r="CR973" s="195"/>
      <c r="CS973" s="195"/>
      <c r="CT973" s="195"/>
      <c r="CU973" s="195"/>
      <c r="CV973" s="195"/>
      <c r="CW973" s="195"/>
      <c r="CX973" s="195"/>
      <c r="CY973" s="195"/>
      <c r="CZ973" s="195"/>
      <c r="DA973" s="195"/>
      <c r="DB973" s="195"/>
      <c r="DC973" s="195"/>
      <c r="DD973" s="195"/>
      <c r="DO973" s="195"/>
      <c r="DP973" s="195"/>
      <c r="DQ973" s="195"/>
      <c r="DR973" s="195"/>
      <c r="DS973" s="195"/>
      <c r="DT973" s="195"/>
      <c r="DU973" s="195"/>
      <c r="DV973" s="195"/>
      <c r="DW973" s="195"/>
      <c r="DX973" s="195"/>
      <c r="DY973" s="195"/>
      <c r="DZ973" s="195"/>
      <c r="EA973" s="195"/>
      <c r="EB973" s="195"/>
      <c r="EC973" s="195"/>
      <c r="ED973" s="195"/>
      <c r="EE973" s="195"/>
      <c r="EK973" s="195"/>
      <c r="EL973" s="240"/>
      <c r="EM973" s="240"/>
      <c r="EN973" s="195"/>
      <c r="EO973" s="240"/>
      <c r="EP973" s="195"/>
      <c r="EQ973" s="195"/>
      <c r="ER973" s="195"/>
      <c r="ES973" s="736"/>
    </row>
    <row r="974" customFormat="false" ht="12.75" hidden="false" customHeight="false" outlineLevel="0" collapsed="false">
      <c r="I974" s="735"/>
      <c r="J974" s="728"/>
      <c r="K974" s="195"/>
      <c r="L974" s="195"/>
      <c r="Q974" s="195"/>
      <c r="R974" s="195"/>
      <c r="S974" s="240"/>
      <c r="T974" s="195"/>
      <c r="U974" s="195"/>
      <c r="V974" s="195"/>
      <c r="W974" s="195"/>
      <c r="X974" s="195"/>
      <c r="Y974" s="195"/>
      <c r="Z974" s="195"/>
      <c r="AA974" s="195"/>
      <c r="AB974" s="195"/>
      <c r="AC974" s="195"/>
      <c r="AD974" s="195"/>
      <c r="AE974" s="195"/>
      <c r="AF974" s="195"/>
      <c r="AG974" s="195"/>
      <c r="AH974" s="195"/>
      <c r="AI974" s="195"/>
      <c r="AJ974" s="195"/>
      <c r="AK974" s="195"/>
      <c r="AL974" s="195"/>
      <c r="AM974" s="1"/>
      <c r="AN974" s="240"/>
      <c r="AO974" s="240"/>
      <c r="AP974" s="240"/>
      <c r="AQ974" s="730"/>
      <c r="AR974" s="730"/>
      <c r="AS974" s="730"/>
      <c r="AT974" s="738"/>
      <c r="AU974" s="738"/>
      <c r="AV974" s="240"/>
      <c r="AW974" s="240"/>
      <c r="AX974" s="240"/>
      <c r="AY974" s="240"/>
      <c r="AZ974" s="240"/>
      <c r="BA974" s="240"/>
      <c r="BB974" s="672"/>
      <c r="BC974" s="731"/>
      <c r="BD974" s="731"/>
      <c r="BE974" s="731"/>
      <c r="BF974" s="672"/>
      <c r="BG974" s="732"/>
      <c r="BH974" s="240"/>
      <c r="BI974" s="240"/>
      <c r="BJ974" s="240"/>
      <c r="BK974" s="240"/>
      <c r="BL974" s="240"/>
      <c r="BM974" s="240"/>
      <c r="BN974" s="240"/>
      <c r="BO974" s="240"/>
      <c r="BP974" s="240"/>
      <c r="BQ974" s="240"/>
      <c r="BR974" s="240"/>
      <c r="BS974" s="240"/>
      <c r="BT974" s="240"/>
      <c r="BU974" s="672"/>
      <c r="BV974" s="672"/>
      <c r="BW974" s="672"/>
      <c r="BX974" s="672"/>
      <c r="BY974" s="672"/>
      <c r="BZ974" s="672"/>
      <c r="CA974" s="672"/>
      <c r="CB974" s="672"/>
      <c r="CC974" s="672"/>
      <c r="CD974" s="672"/>
      <c r="CE974" s="240"/>
      <c r="CF974" s="240"/>
      <c r="CG974" s="240"/>
      <c r="CH974" s="240"/>
      <c r="CI974" s="240"/>
      <c r="CJ974" s="728"/>
      <c r="CK974" s="728"/>
      <c r="CL974" s="195"/>
      <c r="CM974" s="195"/>
      <c r="CN974" s="195"/>
      <c r="CO974" s="195"/>
      <c r="CP974" s="195"/>
      <c r="CQ974" s="195"/>
      <c r="CR974" s="195"/>
      <c r="CS974" s="195"/>
      <c r="CT974" s="195"/>
      <c r="CU974" s="195"/>
      <c r="CV974" s="195"/>
      <c r="CW974" s="195"/>
      <c r="CX974" s="195"/>
      <c r="CY974" s="195"/>
      <c r="CZ974" s="195"/>
      <c r="DA974" s="195"/>
      <c r="DB974" s="195"/>
      <c r="DC974" s="195"/>
      <c r="DD974" s="195"/>
      <c r="DO974" s="195"/>
      <c r="DP974" s="195"/>
      <c r="DQ974" s="195"/>
      <c r="DR974" s="195"/>
      <c r="DS974" s="195"/>
      <c r="DT974" s="195"/>
      <c r="DU974" s="195"/>
      <c r="DV974" s="195"/>
      <c r="DW974" s="195"/>
      <c r="DX974" s="195"/>
      <c r="DY974" s="195"/>
      <c r="DZ974" s="195"/>
      <c r="EA974" s="195"/>
      <c r="EB974" s="195"/>
      <c r="EC974" s="195"/>
      <c r="ED974" s="195"/>
      <c r="EE974" s="195"/>
      <c r="EK974" s="195"/>
      <c r="EL974" s="240"/>
      <c r="EM974" s="240"/>
      <c r="EN974" s="195"/>
      <c r="EO974" s="240"/>
      <c r="EP974" s="195"/>
      <c r="EQ974" s="195"/>
      <c r="ER974" s="195"/>
      <c r="ES974" s="736"/>
    </row>
    <row r="975" customFormat="false" ht="12.75" hidden="false" customHeight="false" outlineLevel="0" collapsed="false">
      <c r="I975" s="735"/>
      <c r="J975" s="728"/>
      <c r="K975" s="195"/>
      <c r="L975" s="195"/>
      <c r="Q975" s="195"/>
      <c r="R975" s="195"/>
      <c r="S975" s="240"/>
      <c r="T975" s="195"/>
      <c r="U975" s="195"/>
      <c r="V975" s="195"/>
      <c r="W975" s="195"/>
      <c r="X975" s="195"/>
      <c r="Y975" s="195"/>
      <c r="Z975" s="195"/>
      <c r="AA975" s="195"/>
      <c r="AB975" s="195"/>
      <c r="AC975" s="195"/>
      <c r="AD975" s="195"/>
      <c r="AE975" s="195"/>
      <c r="AF975" s="195"/>
      <c r="AG975" s="195"/>
      <c r="AH975" s="195"/>
      <c r="AI975" s="195"/>
      <c r="AJ975" s="195"/>
      <c r="AK975" s="195"/>
      <c r="AL975" s="195"/>
      <c r="AM975" s="1"/>
      <c r="AN975" s="240"/>
      <c r="AO975" s="240"/>
      <c r="AP975" s="240"/>
      <c r="AQ975" s="730"/>
      <c r="AR975" s="730"/>
      <c r="AS975" s="730"/>
      <c r="AT975" s="738"/>
      <c r="AU975" s="738"/>
      <c r="AV975" s="240"/>
      <c r="AW975" s="240"/>
      <c r="AX975" s="240"/>
      <c r="AY975" s="240"/>
      <c r="AZ975" s="240"/>
      <c r="BA975" s="240"/>
      <c r="BB975" s="672"/>
      <c r="BC975" s="731"/>
      <c r="BD975" s="731"/>
      <c r="BE975" s="731"/>
      <c r="BF975" s="672"/>
      <c r="BG975" s="732"/>
      <c r="BH975" s="240"/>
      <c r="BI975" s="240"/>
      <c r="BJ975" s="240"/>
      <c r="BK975" s="240"/>
      <c r="BL975" s="240"/>
      <c r="BM975" s="240"/>
      <c r="BN975" s="240"/>
      <c r="BO975" s="240"/>
      <c r="BP975" s="240"/>
      <c r="BQ975" s="240"/>
      <c r="BR975" s="240"/>
      <c r="BS975" s="240"/>
      <c r="BT975" s="240"/>
      <c r="BU975" s="672"/>
      <c r="BV975" s="672"/>
      <c r="BW975" s="672"/>
      <c r="BX975" s="672"/>
      <c r="BY975" s="672"/>
      <c r="BZ975" s="672"/>
      <c r="CA975" s="672"/>
      <c r="CB975" s="672"/>
      <c r="CC975" s="672"/>
      <c r="CD975" s="672"/>
      <c r="CE975" s="240"/>
      <c r="CF975" s="240"/>
      <c r="CG975" s="240"/>
      <c r="CH975" s="240"/>
      <c r="CI975" s="240"/>
      <c r="CJ975" s="728"/>
      <c r="CK975" s="728"/>
      <c r="CL975" s="195"/>
      <c r="CM975" s="195"/>
      <c r="CN975" s="195"/>
      <c r="CO975" s="195"/>
      <c r="CP975" s="195"/>
      <c r="CQ975" s="195"/>
      <c r="CR975" s="195"/>
      <c r="CS975" s="195"/>
      <c r="CT975" s="195"/>
      <c r="CU975" s="195"/>
      <c r="CV975" s="195"/>
      <c r="CW975" s="195"/>
      <c r="CX975" s="195"/>
      <c r="CY975" s="195"/>
      <c r="CZ975" s="195"/>
      <c r="DA975" s="195"/>
      <c r="DB975" s="195"/>
      <c r="DC975" s="195"/>
      <c r="DD975" s="195"/>
      <c r="DO975" s="195"/>
      <c r="DP975" s="195"/>
      <c r="DQ975" s="195"/>
      <c r="DR975" s="195"/>
      <c r="DS975" s="195"/>
      <c r="DT975" s="195"/>
      <c r="DU975" s="195"/>
      <c r="DV975" s="195"/>
      <c r="DW975" s="195"/>
      <c r="DX975" s="195"/>
      <c r="DY975" s="195"/>
      <c r="DZ975" s="195"/>
      <c r="EA975" s="195"/>
      <c r="EB975" s="195"/>
      <c r="EC975" s="195"/>
      <c r="ED975" s="195"/>
      <c r="EE975" s="195"/>
      <c r="EK975" s="195"/>
      <c r="EL975" s="240"/>
      <c r="EM975" s="240"/>
      <c r="EN975" s="195"/>
      <c r="EO975" s="240"/>
      <c r="EP975" s="195"/>
      <c r="EQ975" s="195"/>
      <c r="ER975" s="195"/>
      <c r="ES975" s="736"/>
    </row>
    <row r="976" customFormat="false" ht="12.75" hidden="false" customHeight="false" outlineLevel="0" collapsed="false">
      <c r="I976" s="735"/>
      <c r="J976" s="728"/>
      <c r="K976" s="195"/>
      <c r="L976" s="195"/>
      <c r="Q976" s="195"/>
      <c r="R976" s="195"/>
      <c r="S976" s="240"/>
      <c r="T976" s="195"/>
      <c r="U976" s="195"/>
      <c r="V976" s="195"/>
      <c r="W976" s="195"/>
      <c r="X976" s="195"/>
      <c r="Y976" s="195"/>
      <c r="Z976" s="195"/>
      <c r="AA976" s="195"/>
      <c r="AB976" s="195"/>
      <c r="AC976" s="195"/>
      <c r="AD976" s="195"/>
      <c r="AE976" s="195"/>
      <c r="AF976" s="195"/>
      <c r="AG976" s="195"/>
      <c r="AH976" s="195"/>
      <c r="AI976" s="195"/>
      <c r="AJ976" s="195"/>
      <c r="AK976" s="195"/>
      <c r="AL976" s="195"/>
      <c r="AM976" s="1"/>
      <c r="AN976" s="240"/>
      <c r="AO976" s="240"/>
      <c r="AP976" s="240"/>
      <c r="AQ976" s="730"/>
      <c r="AR976" s="730"/>
      <c r="AS976" s="730"/>
      <c r="AT976" s="738"/>
      <c r="AU976" s="738"/>
      <c r="AV976" s="240"/>
      <c r="AW976" s="240"/>
      <c r="AX976" s="240"/>
      <c r="AY976" s="240"/>
      <c r="AZ976" s="240"/>
      <c r="BA976" s="240"/>
      <c r="BB976" s="672"/>
      <c r="BC976" s="731"/>
      <c r="BD976" s="731"/>
      <c r="BE976" s="731"/>
      <c r="BF976" s="672"/>
      <c r="BG976" s="732"/>
      <c r="BH976" s="240"/>
      <c r="BI976" s="240"/>
      <c r="BJ976" s="240"/>
      <c r="BK976" s="240"/>
      <c r="BL976" s="240"/>
      <c r="BM976" s="240"/>
      <c r="BN976" s="240"/>
      <c r="BO976" s="240"/>
      <c r="BP976" s="240"/>
      <c r="BQ976" s="240"/>
      <c r="BR976" s="240"/>
      <c r="BS976" s="240"/>
      <c r="BT976" s="240"/>
      <c r="BU976" s="672"/>
      <c r="BV976" s="672"/>
      <c r="BW976" s="672"/>
      <c r="BX976" s="672"/>
      <c r="BY976" s="672"/>
      <c r="BZ976" s="672"/>
      <c r="CA976" s="672"/>
      <c r="CB976" s="672"/>
      <c r="CC976" s="672"/>
      <c r="CD976" s="672"/>
      <c r="CE976" s="240"/>
      <c r="CF976" s="240"/>
      <c r="CG976" s="240"/>
      <c r="CH976" s="240"/>
      <c r="CI976" s="240"/>
      <c r="CJ976" s="728"/>
      <c r="CK976" s="728"/>
      <c r="CL976" s="195"/>
      <c r="CM976" s="195"/>
      <c r="CN976" s="195"/>
      <c r="CO976" s="195"/>
      <c r="CP976" s="195"/>
      <c r="CQ976" s="195"/>
      <c r="CR976" s="195"/>
      <c r="CS976" s="195"/>
      <c r="CT976" s="195"/>
      <c r="CU976" s="195"/>
      <c r="CV976" s="195"/>
      <c r="CW976" s="195"/>
      <c r="CX976" s="195"/>
      <c r="CY976" s="195"/>
      <c r="CZ976" s="195"/>
      <c r="DA976" s="195"/>
      <c r="DB976" s="195"/>
      <c r="DC976" s="195"/>
      <c r="DD976" s="195"/>
      <c r="DO976" s="195"/>
      <c r="DP976" s="195"/>
      <c r="DQ976" s="195"/>
      <c r="DR976" s="195"/>
      <c r="DS976" s="195"/>
      <c r="DT976" s="195"/>
      <c r="DU976" s="195"/>
      <c r="DV976" s="195"/>
      <c r="DW976" s="195"/>
      <c r="DX976" s="195"/>
      <c r="DY976" s="195"/>
      <c r="DZ976" s="195"/>
      <c r="EA976" s="195"/>
      <c r="EB976" s="195"/>
      <c r="EC976" s="195"/>
      <c r="ED976" s="195"/>
      <c r="EE976" s="195"/>
      <c r="EK976" s="195"/>
      <c r="EL976" s="240"/>
      <c r="EM976" s="240"/>
      <c r="EN976" s="195"/>
      <c r="EO976" s="240"/>
      <c r="EP976" s="195"/>
      <c r="EQ976" s="195"/>
      <c r="ER976" s="195"/>
      <c r="ES976" s="736"/>
    </row>
    <row r="977" customFormat="false" ht="12.75" hidden="false" customHeight="false" outlineLevel="0" collapsed="false">
      <c r="I977" s="735"/>
      <c r="J977" s="728"/>
      <c r="K977" s="195"/>
      <c r="L977" s="195"/>
      <c r="Q977" s="195"/>
      <c r="R977" s="195"/>
      <c r="S977" s="240"/>
      <c r="T977" s="195"/>
      <c r="U977" s="195"/>
      <c r="V977" s="195"/>
      <c r="W977" s="195"/>
      <c r="X977" s="195"/>
      <c r="Y977" s="195"/>
      <c r="Z977" s="195"/>
      <c r="AA977" s="195"/>
      <c r="AB977" s="195"/>
      <c r="AC977" s="195"/>
      <c r="AD977" s="195"/>
      <c r="AE977" s="195"/>
      <c r="AF977" s="195"/>
      <c r="AG977" s="195"/>
      <c r="AH977" s="195"/>
      <c r="AI977" s="195"/>
      <c r="AJ977" s="195"/>
      <c r="AK977" s="195"/>
      <c r="AL977" s="195"/>
      <c r="AM977" s="1"/>
      <c r="AN977" s="240"/>
      <c r="AO977" s="240"/>
      <c r="AP977" s="240"/>
      <c r="AQ977" s="730"/>
      <c r="AR977" s="730"/>
      <c r="AS977" s="730"/>
      <c r="AT977" s="738"/>
      <c r="AU977" s="738"/>
      <c r="AV977" s="240"/>
      <c r="AW977" s="240"/>
      <c r="AX977" s="240"/>
      <c r="AY977" s="240"/>
      <c r="AZ977" s="240"/>
      <c r="BA977" s="240"/>
      <c r="BB977" s="672"/>
      <c r="BC977" s="731"/>
      <c r="BD977" s="731"/>
      <c r="BE977" s="731"/>
      <c r="BF977" s="672"/>
      <c r="BG977" s="732"/>
      <c r="BH977" s="240"/>
      <c r="BI977" s="240"/>
      <c r="BJ977" s="240"/>
      <c r="BK977" s="240"/>
      <c r="BL977" s="240"/>
      <c r="BM977" s="240"/>
      <c r="BN977" s="240"/>
      <c r="BO977" s="240"/>
      <c r="BP977" s="240"/>
      <c r="BQ977" s="240"/>
      <c r="BR977" s="240"/>
      <c r="BS977" s="240"/>
      <c r="BT977" s="240"/>
      <c r="BU977" s="672"/>
      <c r="BV977" s="672"/>
      <c r="BW977" s="672"/>
      <c r="BX977" s="672"/>
      <c r="BY977" s="672"/>
      <c r="BZ977" s="672"/>
      <c r="CA977" s="672"/>
      <c r="CB977" s="672"/>
      <c r="CC977" s="672"/>
      <c r="CD977" s="672"/>
      <c r="CE977" s="240"/>
      <c r="CF977" s="240"/>
      <c r="CG977" s="240"/>
      <c r="CH977" s="240"/>
      <c r="CI977" s="240"/>
      <c r="CJ977" s="728"/>
      <c r="CK977" s="728"/>
      <c r="CL977" s="195"/>
      <c r="CM977" s="195"/>
      <c r="CN977" s="195"/>
      <c r="CO977" s="195"/>
      <c r="CP977" s="195"/>
      <c r="CQ977" s="195"/>
      <c r="CR977" s="195"/>
      <c r="CS977" s="195"/>
      <c r="CT977" s="195"/>
      <c r="CU977" s="195"/>
      <c r="CV977" s="195"/>
      <c r="CW977" s="195"/>
      <c r="CX977" s="195"/>
      <c r="CY977" s="195"/>
      <c r="CZ977" s="195"/>
      <c r="DA977" s="195"/>
      <c r="DB977" s="195"/>
      <c r="DC977" s="195"/>
      <c r="DD977" s="195"/>
      <c r="DO977" s="195"/>
      <c r="DP977" s="195"/>
      <c r="DQ977" s="195"/>
      <c r="DR977" s="195"/>
      <c r="DS977" s="195"/>
      <c r="DT977" s="195"/>
      <c r="DU977" s="195"/>
      <c r="DV977" s="195"/>
      <c r="DW977" s="195"/>
      <c r="DX977" s="195"/>
      <c r="DY977" s="195"/>
      <c r="DZ977" s="195"/>
      <c r="EA977" s="195"/>
      <c r="EB977" s="195"/>
      <c r="EC977" s="195"/>
      <c r="ED977" s="195"/>
      <c r="EE977" s="195"/>
      <c r="EK977" s="195"/>
      <c r="EL977" s="240"/>
      <c r="EM977" s="240"/>
      <c r="EN977" s="195"/>
      <c r="EO977" s="240"/>
      <c r="EP977" s="195"/>
      <c r="EQ977" s="195"/>
      <c r="ER977" s="195"/>
      <c r="ES977" s="736"/>
    </row>
    <row r="978" customFormat="false" ht="12.75" hidden="false" customHeight="false" outlineLevel="0" collapsed="false">
      <c r="I978" s="735"/>
      <c r="J978" s="728"/>
      <c r="K978" s="195"/>
      <c r="L978" s="195"/>
      <c r="Q978" s="195"/>
      <c r="R978" s="195"/>
      <c r="S978" s="240"/>
      <c r="T978" s="195"/>
      <c r="U978" s="195"/>
      <c r="V978" s="195"/>
      <c r="W978" s="195"/>
      <c r="X978" s="195"/>
      <c r="Y978" s="195"/>
      <c r="Z978" s="195"/>
      <c r="AA978" s="195"/>
      <c r="AB978" s="195"/>
      <c r="AC978" s="195"/>
      <c r="AD978" s="195"/>
      <c r="AE978" s="195"/>
      <c r="AF978" s="195"/>
      <c r="AG978" s="195"/>
      <c r="AH978" s="195"/>
      <c r="AI978" s="195"/>
      <c r="AJ978" s="195"/>
      <c r="AK978" s="195"/>
      <c r="AL978" s="195"/>
      <c r="AM978" s="1"/>
      <c r="AN978" s="240"/>
      <c r="AO978" s="240"/>
      <c r="AP978" s="240"/>
      <c r="AQ978" s="730"/>
      <c r="AR978" s="730"/>
      <c r="AS978" s="730"/>
      <c r="AT978" s="738"/>
      <c r="AU978" s="738"/>
      <c r="AV978" s="240"/>
      <c r="AW978" s="240"/>
      <c r="AX978" s="240"/>
      <c r="AY978" s="240"/>
      <c r="AZ978" s="240"/>
      <c r="BA978" s="240"/>
      <c r="BB978" s="672"/>
      <c r="BC978" s="731"/>
      <c r="BD978" s="731"/>
      <c r="BE978" s="731"/>
      <c r="BF978" s="672"/>
      <c r="BG978" s="732"/>
      <c r="BH978" s="240"/>
      <c r="BI978" s="240"/>
      <c r="BJ978" s="240"/>
      <c r="BK978" s="240"/>
      <c r="BL978" s="240"/>
      <c r="BM978" s="240"/>
      <c r="BN978" s="240"/>
      <c r="BO978" s="240"/>
      <c r="BP978" s="240"/>
      <c r="BQ978" s="240"/>
      <c r="BR978" s="240"/>
      <c r="BS978" s="240"/>
      <c r="BT978" s="240"/>
      <c r="BU978" s="672"/>
      <c r="BV978" s="672"/>
      <c r="BW978" s="672"/>
      <c r="BX978" s="672"/>
      <c r="BY978" s="672"/>
      <c r="BZ978" s="672"/>
      <c r="CA978" s="672"/>
      <c r="CB978" s="672"/>
      <c r="CC978" s="672"/>
      <c r="CD978" s="672"/>
      <c r="CE978" s="240"/>
      <c r="CF978" s="240"/>
      <c r="CG978" s="240"/>
      <c r="CH978" s="240"/>
      <c r="CI978" s="240"/>
      <c r="CJ978" s="728"/>
      <c r="CK978" s="728"/>
      <c r="CL978" s="195"/>
      <c r="CM978" s="195"/>
      <c r="CN978" s="195"/>
      <c r="CO978" s="195"/>
      <c r="CP978" s="195"/>
      <c r="CQ978" s="195"/>
      <c r="CR978" s="195"/>
      <c r="CS978" s="195"/>
      <c r="CT978" s="195"/>
      <c r="CU978" s="195"/>
      <c r="CV978" s="195"/>
      <c r="CW978" s="195"/>
      <c r="CX978" s="195"/>
      <c r="CY978" s="195"/>
      <c r="CZ978" s="195"/>
      <c r="DA978" s="195"/>
      <c r="DB978" s="195"/>
      <c r="DC978" s="195"/>
      <c r="DD978" s="195"/>
      <c r="DO978" s="195"/>
      <c r="DP978" s="195"/>
      <c r="DQ978" s="195"/>
      <c r="DR978" s="195"/>
      <c r="DS978" s="195"/>
      <c r="DT978" s="195"/>
      <c r="DU978" s="195"/>
      <c r="DV978" s="195"/>
      <c r="DW978" s="195"/>
      <c r="DX978" s="195"/>
      <c r="DY978" s="195"/>
      <c r="DZ978" s="195"/>
      <c r="EA978" s="195"/>
      <c r="EB978" s="195"/>
      <c r="EC978" s="195"/>
      <c r="ED978" s="195"/>
      <c r="EE978" s="195"/>
      <c r="EK978" s="195"/>
      <c r="EL978" s="240"/>
      <c r="EM978" s="240"/>
      <c r="EN978" s="195"/>
      <c r="EO978" s="240"/>
      <c r="EP978" s="195"/>
      <c r="EQ978" s="195"/>
      <c r="ER978" s="195"/>
      <c r="ES978" s="736"/>
    </row>
    <row r="979" customFormat="false" ht="12.75" hidden="false" customHeight="false" outlineLevel="0" collapsed="false">
      <c r="I979" s="735"/>
      <c r="J979" s="728"/>
      <c r="K979" s="195"/>
      <c r="L979" s="195"/>
      <c r="Q979" s="195"/>
      <c r="R979" s="195"/>
      <c r="S979" s="240"/>
      <c r="T979" s="195"/>
      <c r="U979" s="195"/>
      <c r="V979" s="195"/>
      <c r="W979" s="195"/>
      <c r="X979" s="195"/>
      <c r="Y979" s="195"/>
      <c r="Z979" s="195"/>
      <c r="AA979" s="195"/>
      <c r="AB979" s="195"/>
      <c r="AC979" s="195"/>
      <c r="AD979" s="195"/>
      <c r="AE979" s="195"/>
      <c r="AF979" s="195"/>
      <c r="AG979" s="195"/>
      <c r="AH979" s="195"/>
      <c r="AI979" s="195"/>
      <c r="AJ979" s="195"/>
      <c r="AK979" s="195"/>
      <c r="AL979" s="195"/>
      <c r="AM979" s="1"/>
      <c r="AN979" s="240"/>
      <c r="AO979" s="240"/>
      <c r="AP979" s="240"/>
      <c r="AQ979" s="730"/>
      <c r="AR979" s="730"/>
      <c r="AS979" s="730"/>
      <c r="AT979" s="738"/>
      <c r="AU979" s="738"/>
      <c r="AV979" s="240"/>
      <c r="AW979" s="240"/>
      <c r="AX979" s="240"/>
      <c r="AY979" s="240"/>
      <c r="AZ979" s="240"/>
      <c r="BA979" s="240"/>
      <c r="BB979" s="672"/>
      <c r="BC979" s="731"/>
      <c r="BD979" s="731"/>
      <c r="BE979" s="731"/>
      <c r="BF979" s="672"/>
      <c r="BG979" s="732"/>
      <c r="BH979" s="240"/>
      <c r="BI979" s="240"/>
      <c r="BJ979" s="240"/>
      <c r="BK979" s="240"/>
      <c r="BL979" s="240"/>
      <c r="BM979" s="240"/>
      <c r="BN979" s="240"/>
      <c r="BO979" s="240"/>
      <c r="BP979" s="240"/>
      <c r="BQ979" s="240"/>
      <c r="BR979" s="240"/>
      <c r="BS979" s="240"/>
      <c r="BT979" s="240"/>
      <c r="BU979" s="672"/>
      <c r="BV979" s="672"/>
      <c r="BW979" s="672"/>
      <c r="BX979" s="672"/>
      <c r="BY979" s="672"/>
      <c r="BZ979" s="672"/>
      <c r="CA979" s="672"/>
      <c r="CB979" s="672"/>
      <c r="CC979" s="672"/>
      <c r="CD979" s="672"/>
      <c r="CE979" s="240"/>
      <c r="CF979" s="240"/>
      <c r="CG979" s="240"/>
      <c r="CH979" s="240"/>
      <c r="CI979" s="240"/>
      <c r="CJ979" s="728"/>
      <c r="CK979" s="728"/>
      <c r="CL979" s="195"/>
      <c r="CM979" s="195"/>
      <c r="CN979" s="195"/>
      <c r="CO979" s="195"/>
      <c r="CP979" s="195"/>
      <c r="CQ979" s="195"/>
      <c r="CR979" s="195"/>
      <c r="CS979" s="195"/>
      <c r="CT979" s="195"/>
      <c r="CU979" s="195"/>
      <c r="CV979" s="195"/>
      <c r="CW979" s="195"/>
      <c r="CX979" s="195"/>
      <c r="CY979" s="195"/>
      <c r="CZ979" s="195"/>
      <c r="DA979" s="195"/>
      <c r="DB979" s="195"/>
      <c r="DC979" s="195"/>
      <c r="DD979" s="195"/>
      <c r="DO979" s="195"/>
      <c r="DP979" s="195"/>
      <c r="DQ979" s="195"/>
      <c r="DR979" s="195"/>
      <c r="DS979" s="195"/>
      <c r="DT979" s="195"/>
      <c r="DU979" s="195"/>
      <c r="DV979" s="195"/>
      <c r="DW979" s="195"/>
      <c r="DX979" s="195"/>
      <c r="DY979" s="195"/>
      <c r="DZ979" s="195"/>
      <c r="EA979" s="195"/>
      <c r="EB979" s="195"/>
      <c r="EC979" s="195"/>
      <c r="ED979" s="195"/>
      <c r="EE979" s="195"/>
      <c r="EK979" s="195"/>
      <c r="EL979" s="240"/>
      <c r="EM979" s="240"/>
      <c r="EN979" s="195"/>
      <c r="EO979" s="240"/>
      <c r="EP979" s="195"/>
      <c r="EQ979" s="195"/>
      <c r="ER979" s="195"/>
      <c r="ES979" s="736"/>
    </row>
    <row r="980" customFormat="false" ht="12.75" hidden="false" customHeight="false" outlineLevel="0" collapsed="false">
      <c r="I980" s="735"/>
      <c r="J980" s="728"/>
      <c r="K980" s="195"/>
      <c r="L980" s="195"/>
      <c r="Q980" s="195"/>
      <c r="R980" s="195"/>
      <c r="S980" s="240"/>
      <c r="T980" s="195"/>
      <c r="U980" s="195"/>
      <c r="V980" s="195"/>
      <c r="W980" s="195"/>
      <c r="X980" s="195"/>
      <c r="Y980" s="195"/>
      <c r="Z980" s="195"/>
      <c r="AA980" s="195"/>
      <c r="AB980" s="195"/>
      <c r="AC980" s="195"/>
      <c r="AD980" s="195"/>
      <c r="AE980" s="195"/>
      <c r="AF980" s="195"/>
      <c r="AG980" s="195"/>
      <c r="AH980" s="195"/>
      <c r="AI980" s="195"/>
      <c r="AJ980" s="195"/>
      <c r="AK980" s="195"/>
      <c r="AL980" s="195"/>
      <c r="AM980" s="1"/>
      <c r="AN980" s="240"/>
      <c r="AO980" s="240"/>
      <c r="AP980" s="240"/>
      <c r="AQ980" s="730"/>
      <c r="AR980" s="730"/>
      <c r="AS980" s="730"/>
      <c r="AT980" s="738"/>
      <c r="AU980" s="738"/>
      <c r="AV980" s="240"/>
      <c r="AW980" s="240"/>
      <c r="AX980" s="240"/>
      <c r="AY980" s="240"/>
      <c r="AZ980" s="240"/>
      <c r="BA980" s="240"/>
      <c r="BB980" s="672"/>
      <c r="BC980" s="731"/>
      <c r="BD980" s="731"/>
      <c r="BE980" s="731"/>
      <c r="BF980" s="672"/>
      <c r="BG980" s="732"/>
      <c r="BH980" s="240"/>
      <c r="BI980" s="240"/>
      <c r="BJ980" s="240"/>
      <c r="BK980" s="240"/>
      <c r="BL980" s="240"/>
      <c r="BM980" s="240"/>
      <c r="BN980" s="240"/>
      <c r="BO980" s="240"/>
      <c r="BP980" s="240"/>
      <c r="BQ980" s="240"/>
      <c r="BR980" s="240"/>
      <c r="BS980" s="240"/>
      <c r="BT980" s="240"/>
      <c r="BU980" s="672"/>
      <c r="BV980" s="672"/>
      <c r="BW980" s="672"/>
      <c r="BX980" s="672"/>
      <c r="BY980" s="672"/>
      <c r="BZ980" s="672"/>
      <c r="CA980" s="672"/>
      <c r="CB980" s="672"/>
      <c r="CC980" s="672"/>
      <c r="CD980" s="672"/>
      <c r="CE980" s="240"/>
      <c r="CF980" s="240"/>
      <c r="CG980" s="240"/>
      <c r="CH980" s="240"/>
      <c r="CI980" s="240"/>
      <c r="CJ980" s="728"/>
      <c r="CK980" s="728"/>
      <c r="CL980" s="195"/>
      <c r="CM980" s="195"/>
      <c r="CN980" s="195"/>
      <c r="CO980" s="195"/>
      <c r="CP980" s="195"/>
      <c r="CQ980" s="195"/>
      <c r="CR980" s="195"/>
      <c r="CS980" s="195"/>
      <c r="CT980" s="195"/>
      <c r="CU980" s="195"/>
      <c r="CV980" s="195"/>
      <c r="CW980" s="195"/>
      <c r="CX980" s="195"/>
      <c r="CY980" s="195"/>
      <c r="CZ980" s="195"/>
      <c r="DA980" s="195"/>
      <c r="DB980" s="195"/>
      <c r="DC980" s="195"/>
      <c r="DD980" s="195"/>
      <c r="DO980" s="195"/>
      <c r="DP980" s="195"/>
      <c r="DQ980" s="195"/>
      <c r="DR980" s="195"/>
      <c r="DS980" s="195"/>
      <c r="DT980" s="195"/>
      <c r="DU980" s="195"/>
      <c r="DV980" s="195"/>
      <c r="DW980" s="195"/>
      <c r="DX980" s="195"/>
      <c r="DY980" s="195"/>
      <c r="DZ980" s="195"/>
      <c r="EA980" s="195"/>
      <c r="EB980" s="195"/>
      <c r="EC980" s="195"/>
      <c r="ED980" s="195"/>
      <c r="EE980" s="195"/>
      <c r="EK980" s="195"/>
      <c r="EL980" s="240"/>
      <c r="EM980" s="240"/>
      <c r="EN980" s="195"/>
      <c r="EO980" s="240"/>
      <c r="EP980" s="195"/>
      <c r="EQ980" s="195"/>
      <c r="ER980" s="195"/>
      <c r="ES980" s="736"/>
    </row>
    <row r="981" customFormat="false" ht="12.75" hidden="false" customHeight="false" outlineLevel="0" collapsed="false">
      <c r="I981" s="735"/>
      <c r="J981" s="728"/>
      <c r="K981" s="195"/>
      <c r="L981" s="195"/>
      <c r="Q981" s="195"/>
      <c r="R981" s="195"/>
      <c r="S981" s="240"/>
      <c r="T981" s="195"/>
      <c r="U981" s="195"/>
      <c r="V981" s="195"/>
      <c r="W981" s="195"/>
      <c r="X981" s="195"/>
      <c r="Y981" s="195"/>
      <c r="Z981" s="195"/>
      <c r="AA981" s="195"/>
      <c r="AB981" s="195"/>
      <c r="AC981" s="195"/>
      <c r="AD981" s="195"/>
      <c r="AE981" s="195"/>
      <c r="AF981" s="195"/>
      <c r="AG981" s="195"/>
      <c r="AH981" s="195"/>
      <c r="AI981" s="195"/>
      <c r="AJ981" s="195"/>
      <c r="AK981" s="195"/>
      <c r="AL981" s="195"/>
      <c r="AM981" s="1"/>
      <c r="AN981" s="240"/>
      <c r="AO981" s="240"/>
      <c r="AP981" s="240"/>
      <c r="AQ981" s="730"/>
      <c r="AR981" s="730"/>
      <c r="AS981" s="730"/>
      <c r="AT981" s="738"/>
      <c r="AU981" s="738"/>
      <c r="AV981" s="240"/>
      <c r="AW981" s="240"/>
      <c r="AX981" s="240"/>
      <c r="AY981" s="240"/>
      <c r="AZ981" s="240"/>
      <c r="BA981" s="240"/>
      <c r="BB981" s="672"/>
      <c r="BC981" s="731"/>
      <c r="BD981" s="731"/>
      <c r="BE981" s="731"/>
      <c r="BF981" s="672"/>
      <c r="BG981" s="732"/>
      <c r="BH981" s="240"/>
      <c r="BI981" s="240"/>
      <c r="BJ981" s="240"/>
      <c r="BK981" s="240"/>
      <c r="BL981" s="240"/>
      <c r="BM981" s="240"/>
      <c r="BN981" s="240"/>
      <c r="BO981" s="240"/>
      <c r="BP981" s="240"/>
      <c r="BQ981" s="240"/>
      <c r="BR981" s="240"/>
      <c r="BS981" s="240"/>
      <c r="BT981" s="240"/>
      <c r="BU981" s="672"/>
      <c r="BV981" s="672"/>
      <c r="BW981" s="672"/>
      <c r="BX981" s="672"/>
      <c r="BY981" s="672"/>
      <c r="BZ981" s="672"/>
      <c r="CA981" s="672"/>
      <c r="CB981" s="672"/>
      <c r="CC981" s="672"/>
      <c r="CD981" s="672"/>
      <c r="CE981" s="240"/>
      <c r="CF981" s="240"/>
      <c r="CG981" s="240"/>
      <c r="CH981" s="240"/>
      <c r="CI981" s="240"/>
      <c r="CJ981" s="728"/>
      <c r="CK981" s="728"/>
      <c r="CL981" s="195"/>
      <c r="CM981" s="195"/>
      <c r="CN981" s="195"/>
      <c r="CO981" s="195"/>
      <c r="CP981" s="195"/>
      <c r="CQ981" s="195"/>
      <c r="CR981" s="195"/>
      <c r="CS981" s="195"/>
      <c r="CT981" s="195"/>
      <c r="CU981" s="195"/>
      <c r="CV981" s="195"/>
      <c r="CW981" s="195"/>
      <c r="CX981" s="195"/>
      <c r="CY981" s="195"/>
      <c r="CZ981" s="195"/>
      <c r="DA981" s="195"/>
      <c r="DB981" s="195"/>
      <c r="DC981" s="195"/>
      <c r="DD981" s="195"/>
      <c r="DO981" s="195"/>
      <c r="DP981" s="195"/>
      <c r="DQ981" s="195"/>
      <c r="DR981" s="195"/>
      <c r="DS981" s="195"/>
      <c r="DT981" s="195"/>
      <c r="DU981" s="195"/>
      <c r="DV981" s="195"/>
      <c r="DW981" s="195"/>
      <c r="DX981" s="195"/>
      <c r="DY981" s="195"/>
      <c r="DZ981" s="195"/>
      <c r="EA981" s="195"/>
      <c r="EB981" s="195"/>
      <c r="EC981" s="195"/>
      <c r="ED981" s="195"/>
      <c r="EE981" s="195"/>
      <c r="EK981" s="195"/>
      <c r="EL981" s="240"/>
      <c r="EM981" s="240"/>
      <c r="EN981" s="195"/>
      <c r="EO981" s="240"/>
      <c r="EP981" s="195"/>
      <c r="EQ981" s="195"/>
      <c r="ER981" s="195"/>
      <c r="ES981" s="736"/>
    </row>
    <row r="982" customFormat="false" ht="12.75" hidden="false" customHeight="false" outlineLevel="0" collapsed="false">
      <c r="I982" s="735"/>
      <c r="J982" s="728"/>
      <c r="K982" s="195"/>
      <c r="L982" s="195"/>
      <c r="Q982" s="195"/>
      <c r="R982" s="195"/>
      <c r="S982" s="240"/>
      <c r="T982" s="195"/>
      <c r="U982" s="195"/>
      <c r="V982" s="195"/>
      <c r="W982" s="195"/>
      <c r="X982" s="195"/>
      <c r="Y982" s="195"/>
      <c r="Z982" s="195"/>
      <c r="AA982" s="195"/>
      <c r="AB982" s="195"/>
      <c r="AC982" s="195"/>
      <c r="AD982" s="195"/>
      <c r="AE982" s="195"/>
      <c r="AF982" s="195"/>
      <c r="AG982" s="195"/>
      <c r="AH982" s="195"/>
      <c r="AI982" s="195"/>
      <c r="AJ982" s="195"/>
      <c r="AK982" s="195"/>
      <c r="AL982" s="195"/>
      <c r="AM982" s="1"/>
      <c r="AN982" s="240"/>
      <c r="AO982" s="240"/>
      <c r="AP982" s="240"/>
      <c r="AQ982" s="730"/>
      <c r="AR982" s="730"/>
      <c r="AS982" s="730"/>
      <c r="AT982" s="738"/>
      <c r="AU982" s="738"/>
      <c r="AV982" s="240"/>
      <c r="AW982" s="240"/>
      <c r="AX982" s="240"/>
      <c r="AY982" s="240"/>
      <c r="AZ982" s="240"/>
      <c r="BA982" s="240"/>
      <c r="BB982" s="672"/>
      <c r="BC982" s="731"/>
      <c r="BD982" s="731"/>
      <c r="BE982" s="731"/>
      <c r="BF982" s="672"/>
      <c r="BG982" s="732"/>
      <c r="BH982" s="240"/>
      <c r="BI982" s="240"/>
      <c r="BJ982" s="240"/>
      <c r="BK982" s="240"/>
      <c r="BL982" s="240"/>
      <c r="BM982" s="240"/>
      <c r="BN982" s="240"/>
      <c r="BO982" s="240"/>
      <c r="BP982" s="240"/>
      <c r="BQ982" s="240"/>
      <c r="BR982" s="240"/>
      <c r="BS982" s="240"/>
      <c r="BT982" s="240"/>
      <c r="BU982" s="672"/>
      <c r="BV982" s="672"/>
      <c r="BW982" s="672"/>
      <c r="BX982" s="672"/>
      <c r="BY982" s="672"/>
      <c r="BZ982" s="672"/>
      <c r="CA982" s="672"/>
      <c r="CB982" s="672"/>
      <c r="CC982" s="672"/>
      <c r="CD982" s="672"/>
      <c r="CE982" s="240"/>
      <c r="CF982" s="240"/>
      <c r="CG982" s="240"/>
      <c r="CH982" s="240"/>
      <c r="CI982" s="240"/>
      <c r="CJ982" s="728"/>
      <c r="CK982" s="728"/>
      <c r="CL982" s="195"/>
      <c r="CM982" s="195"/>
      <c r="CN982" s="195"/>
      <c r="CO982" s="195"/>
      <c r="CP982" s="195"/>
      <c r="CQ982" s="195"/>
      <c r="CR982" s="195"/>
      <c r="CS982" s="195"/>
      <c r="CT982" s="195"/>
      <c r="CU982" s="195"/>
      <c r="CV982" s="195"/>
      <c r="CW982" s="195"/>
      <c r="CX982" s="195"/>
      <c r="CY982" s="195"/>
      <c r="CZ982" s="195"/>
      <c r="DA982" s="195"/>
      <c r="DB982" s="195"/>
      <c r="DC982" s="195"/>
      <c r="DD982" s="195"/>
      <c r="DO982" s="195"/>
      <c r="DP982" s="195"/>
      <c r="DQ982" s="195"/>
      <c r="DR982" s="195"/>
      <c r="DS982" s="195"/>
      <c r="DT982" s="195"/>
      <c r="DU982" s="195"/>
      <c r="DV982" s="195"/>
      <c r="DW982" s="195"/>
      <c r="DX982" s="195"/>
      <c r="DY982" s="195"/>
      <c r="DZ982" s="195"/>
      <c r="EA982" s="195"/>
      <c r="EB982" s="195"/>
      <c r="EC982" s="195"/>
      <c r="ED982" s="195"/>
      <c r="EE982" s="195"/>
      <c r="EK982" s="195"/>
      <c r="EL982" s="240"/>
      <c r="EM982" s="240"/>
      <c r="EN982" s="195"/>
      <c r="EO982" s="240"/>
      <c r="EP982" s="195"/>
      <c r="EQ982" s="195"/>
      <c r="ER982" s="195"/>
      <c r="ES982" s="736"/>
    </row>
    <row r="983" customFormat="false" ht="12.75" hidden="false" customHeight="false" outlineLevel="0" collapsed="false">
      <c r="I983" s="735"/>
      <c r="J983" s="728"/>
      <c r="K983" s="195"/>
      <c r="L983" s="195"/>
      <c r="Q983" s="195"/>
      <c r="R983" s="195"/>
      <c r="S983" s="240"/>
      <c r="T983" s="195"/>
      <c r="U983" s="195"/>
      <c r="V983" s="195"/>
      <c r="W983" s="195"/>
      <c r="X983" s="195"/>
      <c r="Y983" s="195"/>
      <c r="Z983" s="195"/>
      <c r="AA983" s="195"/>
      <c r="AB983" s="195"/>
      <c r="AC983" s="195"/>
      <c r="AD983" s="195"/>
      <c r="AE983" s="195"/>
      <c r="AF983" s="195"/>
      <c r="AG983" s="195"/>
      <c r="AH983" s="195"/>
      <c r="AI983" s="195"/>
      <c r="AJ983" s="195"/>
      <c r="AK983" s="195"/>
      <c r="AL983" s="195"/>
      <c r="AM983" s="1"/>
      <c r="AN983" s="240"/>
      <c r="AO983" s="240"/>
      <c r="AP983" s="240"/>
      <c r="AQ983" s="730"/>
      <c r="AR983" s="730"/>
      <c r="AS983" s="730"/>
      <c r="AT983" s="738"/>
      <c r="AU983" s="738"/>
      <c r="AV983" s="240"/>
      <c r="AW983" s="240"/>
      <c r="AX983" s="240"/>
      <c r="AY983" s="240"/>
      <c r="AZ983" s="240"/>
      <c r="BA983" s="240"/>
      <c r="BB983" s="672"/>
      <c r="BC983" s="731"/>
      <c r="BD983" s="731"/>
      <c r="BE983" s="731"/>
      <c r="BF983" s="672"/>
      <c r="BG983" s="732"/>
      <c r="BH983" s="240"/>
      <c r="BI983" s="240"/>
      <c r="BJ983" s="240"/>
      <c r="BK983" s="240"/>
      <c r="BL983" s="240"/>
      <c r="BM983" s="240"/>
      <c r="BN983" s="240"/>
      <c r="BO983" s="240"/>
      <c r="BP983" s="240"/>
      <c r="BQ983" s="240"/>
      <c r="BR983" s="240"/>
      <c r="BS983" s="240"/>
      <c r="BT983" s="240"/>
      <c r="BU983" s="672"/>
      <c r="BV983" s="672"/>
      <c r="BW983" s="672"/>
      <c r="BX983" s="672"/>
      <c r="BY983" s="672"/>
      <c r="BZ983" s="672"/>
      <c r="CA983" s="672"/>
      <c r="CB983" s="672"/>
      <c r="CC983" s="672"/>
      <c r="CD983" s="672"/>
      <c r="CE983" s="240"/>
      <c r="CF983" s="240"/>
      <c r="CG983" s="240"/>
      <c r="CH983" s="240"/>
      <c r="CI983" s="240"/>
      <c r="CJ983" s="728"/>
      <c r="CK983" s="728"/>
      <c r="CL983" s="195"/>
      <c r="CM983" s="195"/>
      <c r="CN983" s="195"/>
      <c r="CO983" s="195"/>
      <c r="CP983" s="195"/>
      <c r="CQ983" s="195"/>
      <c r="CR983" s="195"/>
      <c r="CS983" s="195"/>
      <c r="CT983" s="195"/>
      <c r="CU983" s="195"/>
      <c r="CV983" s="195"/>
      <c r="CW983" s="195"/>
      <c r="CX983" s="195"/>
      <c r="CY983" s="195"/>
      <c r="CZ983" s="195"/>
      <c r="DA983" s="195"/>
      <c r="DB983" s="195"/>
      <c r="DC983" s="195"/>
      <c r="DD983" s="195"/>
      <c r="DO983" s="195"/>
      <c r="DP983" s="195"/>
      <c r="DQ983" s="195"/>
      <c r="DR983" s="195"/>
      <c r="DS983" s="195"/>
      <c r="DT983" s="195"/>
      <c r="DU983" s="195"/>
      <c r="DV983" s="195"/>
      <c r="DW983" s="195"/>
      <c r="DX983" s="195"/>
      <c r="DY983" s="195"/>
      <c r="DZ983" s="195"/>
      <c r="EA983" s="195"/>
      <c r="EB983" s="195"/>
      <c r="EC983" s="195"/>
      <c r="ED983" s="195"/>
      <c r="EE983" s="195"/>
      <c r="EK983" s="195"/>
      <c r="EL983" s="240"/>
      <c r="EM983" s="240"/>
      <c r="EN983" s="195"/>
      <c r="EO983" s="240"/>
      <c r="EP983" s="195"/>
      <c r="EQ983" s="195"/>
      <c r="ER983" s="195"/>
      <c r="ES983" s="736"/>
    </row>
    <row r="984" customFormat="false" ht="12.75" hidden="false" customHeight="false" outlineLevel="0" collapsed="false">
      <c r="I984" s="735"/>
      <c r="J984" s="728"/>
      <c r="K984" s="195"/>
      <c r="L984" s="195"/>
      <c r="Q984" s="195"/>
      <c r="R984" s="195"/>
      <c r="S984" s="240"/>
      <c r="T984" s="195"/>
      <c r="U984" s="195"/>
      <c r="V984" s="195"/>
      <c r="W984" s="195"/>
      <c r="X984" s="195"/>
      <c r="Y984" s="195"/>
      <c r="Z984" s="195"/>
      <c r="AA984" s="195"/>
      <c r="AB984" s="195"/>
      <c r="AC984" s="195"/>
      <c r="AD984" s="195"/>
      <c r="AE984" s="195"/>
      <c r="AF984" s="195"/>
      <c r="AG984" s="195"/>
      <c r="AH984" s="195"/>
      <c r="AI984" s="195"/>
      <c r="AJ984" s="195"/>
      <c r="AK984" s="195"/>
      <c r="AL984" s="195"/>
      <c r="AM984" s="1"/>
      <c r="AN984" s="240"/>
      <c r="AO984" s="240"/>
      <c r="AP984" s="240"/>
      <c r="AQ984" s="730"/>
      <c r="AR984" s="730"/>
      <c r="AS984" s="730"/>
      <c r="AT984" s="738"/>
      <c r="AU984" s="738"/>
      <c r="AV984" s="240"/>
      <c r="AW984" s="240"/>
      <c r="AX984" s="240"/>
      <c r="AY984" s="240"/>
      <c r="AZ984" s="240"/>
      <c r="BA984" s="240"/>
      <c r="BB984" s="672"/>
      <c r="BC984" s="731"/>
      <c r="BD984" s="731"/>
      <c r="BE984" s="731"/>
      <c r="BF984" s="672"/>
      <c r="BG984" s="732"/>
      <c r="BH984" s="240"/>
      <c r="BI984" s="240"/>
      <c r="BJ984" s="240"/>
      <c r="BK984" s="240"/>
      <c r="BL984" s="240"/>
      <c r="BM984" s="240"/>
      <c r="BN984" s="240"/>
      <c r="BO984" s="240"/>
      <c r="BP984" s="240"/>
      <c r="BQ984" s="240"/>
      <c r="BR984" s="240"/>
      <c r="BS984" s="240"/>
      <c r="BT984" s="240"/>
      <c r="BU984" s="672"/>
      <c r="BV984" s="672"/>
      <c r="BW984" s="672"/>
      <c r="BX984" s="672"/>
      <c r="BY984" s="672"/>
      <c r="BZ984" s="672"/>
      <c r="CA984" s="672"/>
      <c r="CB984" s="672"/>
      <c r="CC984" s="672"/>
      <c r="CD984" s="672"/>
      <c r="CE984" s="240"/>
      <c r="CF984" s="240"/>
      <c r="CG984" s="240"/>
      <c r="CH984" s="240"/>
      <c r="CI984" s="240"/>
      <c r="CJ984" s="728"/>
      <c r="CK984" s="728"/>
      <c r="CL984" s="195"/>
      <c r="CM984" s="195"/>
      <c r="CN984" s="195"/>
      <c r="CO984" s="195"/>
      <c r="CP984" s="195"/>
      <c r="CQ984" s="195"/>
      <c r="CR984" s="195"/>
      <c r="CS984" s="195"/>
      <c r="CT984" s="195"/>
      <c r="CU984" s="195"/>
      <c r="CV984" s="195"/>
      <c r="CW984" s="195"/>
      <c r="CX984" s="195"/>
      <c r="CY984" s="195"/>
      <c r="CZ984" s="195"/>
      <c r="DA984" s="195"/>
      <c r="DB984" s="195"/>
      <c r="DC984" s="195"/>
      <c r="DD984" s="195"/>
      <c r="DO984" s="195"/>
      <c r="DP984" s="195"/>
      <c r="DQ984" s="195"/>
      <c r="DR984" s="195"/>
      <c r="DS984" s="195"/>
      <c r="DT984" s="195"/>
      <c r="DU984" s="195"/>
      <c r="DV984" s="195"/>
      <c r="DW984" s="195"/>
      <c r="DX984" s="195"/>
      <c r="DY984" s="195"/>
      <c r="DZ984" s="195"/>
      <c r="EA984" s="195"/>
      <c r="EB984" s="195"/>
      <c r="EC984" s="195"/>
      <c r="ED984" s="195"/>
      <c r="EE984" s="195"/>
      <c r="EK984" s="195"/>
      <c r="EL984" s="240"/>
      <c r="EM984" s="240"/>
      <c r="EN984" s="195"/>
      <c r="EO984" s="240"/>
      <c r="EP984" s="195"/>
      <c r="EQ984" s="195"/>
      <c r="ER984" s="195"/>
      <c r="ES984" s="736"/>
    </row>
    <row r="985" customFormat="false" ht="12.75" hidden="false" customHeight="false" outlineLevel="0" collapsed="false">
      <c r="I985" s="735"/>
      <c r="J985" s="728"/>
      <c r="K985" s="195"/>
      <c r="L985" s="195"/>
      <c r="Q985" s="195"/>
      <c r="R985" s="195"/>
      <c r="S985" s="240"/>
      <c r="T985" s="195"/>
      <c r="U985" s="195"/>
      <c r="V985" s="195"/>
      <c r="W985" s="195"/>
      <c r="X985" s="195"/>
      <c r="Y985" s="195"/>
      <c r="Z985" s="195"/>
      <c r="AA985" s="195"/>
      <c r="AB985" s="195"/>
      <c r="AC985" s="195"/>
      <c r="AD985" s="195"/>
      <c r="AE985" s="195"/>
      <c r="AF985" s="195"/>
      <c r="AG985" s="195"/>
      <c r="AH985" s="195"/>
      <c r="AI985" s="195"/>
      <c r="AJ985" s="195"/>
      <c r="AK985" s="195"/>
      <c r="AL985" s="195"/>
      <c r="AM985" s="1"/>
      <c r="AN985" s="240"/>
      <c r="AO985" s="240"/>
      <c r="AP985" s="240"/>
      <c r="AQ985" s="730"/>
      <c r="AR985" s="730"/>
      <c r="AS985" s="730"/>
      <c r="AT985" s="738"/>
      <c r="AU985" s="738"/>
      <c r="AV985" s="240"/>
      <c r="AW985" s="240"/>
      <c r="AX985" s="240"/>
      <c r="AY985" s="240"/>
      <c r="AZ985" s="240"/>
      <c r="BA985" s="240"/>
      <c r="BB985" s="672"/>
      <c r="BC985" s="731"/>
      <c r="BD985" s="731"/>
      <c r="BE985" s="731"/>
      <c r="BF985" s="672"/>
      <c r="BG985" s="732"/>
      <c r="BH985" s="240"/>
      <c r="BI985" s="240"/>
      <c r="BJ985" s="240"/>
      <c r="BK985" s="240"/>
      <c r="BL985" s="240"/>
      <c r="BM985" s="240"/>
      <c r="BN985" s="240"/>
      <c r="BO985" s="240"/>
      <c r="BP985" s="240"/>
      <c r="BQ985" s="240"/>
      <c r="BR985" s="240"/>
      <c r="BS985" s="240"/>
      <c r="BT985" s="240"/>
      <c r="BU985" s="672"/>
      <c r="BV985" s="672"/>
      <c r="BW985" s="672"/>
      <c r="BX985" s="672"/>
      <c r="BY985" s="672"/>
      <c r="BZ985" s="672"/>
      <c r="CA985" s="672"/>
      <c r="CB985" s="672"/>
      <c r="CC985" s="672"/>
      <c r="CD985" s="672"/>
      <c r="CE985" s="240"/>
      <c r="CF985" s="240"/>
      <c r="CG985" s="240"/>
      <c r="CH985" s="240"/>
      <c r="CI985" s="240"/>
      <c r="CJ985" s="728"/>
      <c r="CK985" s="728"/>
      <c r="CL985" s="195"/>
      <c r="CM985" s="195"/>
      <c r="CN985" s="195"/>
      <c r="CO985" s="195"/>
      <c r="CP985" s="195"/>
      <c r="CQ985" s="195"/>
      <c r="CR985" s="195"/>
      <c r="CS985" s="195"/>
      <c r="CT985" s="195"/>
      <c r="CU985" s="195"/>
      <c r="CV985" s="195"/>
      <c r="CW985" s="195"/>
      <c r="CX985" s="195"/>
      <c r="CY985" s="195"/>
      <c r="CZ985" s="195"/>
      <c r="DA985" s="195"/>
      <c r="DB985" s="195"/>
      <c r="DC985" s="195"/>
      <c r="DD985" s="195"/>
      <c r="DO985" s="195"/>
      <c r="DP985" s="195"/>
      <c r="DQ985" s="195"/>
      <c r="DR985" s="195"/>
      <c r="DS985" s="195"/>
      <c r="DT985" s="195"/>
      <c r="DU985" s="195"/>
      <c r="DV985" s="195"/>
      <c r="DW985" s="195"/>
      <c r="DX985" s="195"/>
      <c r="DY985" s="195"/>
      <c r="DZ985" s="195"/>
      <c r="EA985" s="195"/>
      <c r="EB985" s="195"/>
      <c r="EC985" s="195"/>
      <c r="ED985" s="195"/>
      <c r="EE985" s="195"/>
      <c r="EK985" s="195"/>
      <c r="EL985" s="240"/>
      <c r="EM985" s="240"/>
      <c r="EN985" s="195"/>
      <c r="EO985" s="240"/>
      <c r="EP985" s="195"/>
      <c r="EQ985" s="195"/>
      <c r="ER985" s="195"/>
      <c r="ES985" s="736"/>
    </row>
    <row r="986" customFormat="false" ht="12.75" hidden="false" customHeight="false" outlineLevel="0" collapsed="false">
      <c r="I986" s="735"/>
      <c r="J986" s="728"/>
      <c r="K986" s="195"/>
      <c r="L986" s="195"/>
      <c r="Q986" s="195"/>
      <c r="R986" s="195"/>
      <c r="S986" s="240"/>
      <c r="T986" s="195"/>
      <c r="U986" s="195"/>
      <c r="V986" s="195"/>
      <c r="W986" s="195"/>
      <c r="X986" s="195"/>
      <c r="Y986" s="195"/>
      <c r="Z986" s="195"/>
      <c r="AA986" s="195"/>
      <c r="AB986" s="195"/>
      <c r="AC986" s="195"/>
      <c r="AD986" s="195"/>
      <c r="AE986" s="195"/>
      <c r="AF986" s="195"/>
      <c r="AG986" s="195"/>
      <c r="AH986" s="195"/>
      <c r="AI986" s="195"/>
      <c r="AJ986" s="195"/>
      <c r="AK986" s="195"/>
      <c r="AL986" s="195"/>
      <c r="AM986" s="1"/>
      <c r="AN986" s="240"/>
      <c r="AO986" s="240"/>
      <c r="AP986" s="240"/>
      <c r="AQ986" s="730"/>
      <c r="AR986" s="730"/>
      <c r="AS986" s="730"/>
      <c r="AT986" s="738"/>
      <c r="AU986" s="738"/>
      <c r="AV986" s="240"/>
      <c r="AW986" s="240"/>
      <c r="AX986" s="240"/>
      <c r="AY986" s="240"/>
      <c r="AZ986" s="240"/>
      <c r="BA986" s="240"/>
      <c r="BB986" s="672"/>
      <c r="BC986" s="731"/>
      <c r="BD986" s="731"/>
      <c r="BE986" s="731"/>
      <c r="BF986" s="672"/>
      <c r="BG986" s="732"/>
      <c r="BH986" s="240"/>
      <c r="BI986" s="240"/>
      <c r="BJ986" s="240"/>
      <c r="BK986" s="240"/>
      <c r="BL986" s="240"/>
      <c r="BM986" s="240"/>
      <c r="BN986" s="240"/>
      <c r="BO986" s="240"/>
      <c r="BP986" s="240"/>
      <c r="BQ986" s="240"/>
      <c r="BR986" s="240"/>
      <c r="BS986" s="240"/>
      <c r="BT986" s="240"/>
      <c r="BU986" s="672"/>
      <c r="BV986" s="672"/>
      <c r="BW986" s="672"/>
      <c r="BX986" s="672"/>
      <c r="BY986" s="672"/>
      <c r="BZ986" s="672"/>
      <c r="CA986" s="672"/>
      <c r="CB986" s="672"/>
      <c r="CC986" s="672"/>
      <c r="CD986" s="672"/>
      <c r="CE986" s="240"/>
      <c r="CF986" s="240"/>
      <c r="CG986" s="240"/>
      <c r="CH986" s="240"/>
      <c r="CI986" s="240"/>
      <c r="CJ986" s="728"/>
      <c r="CK986" s="728"/>
      <c r="CL986" s="195"/>
      <c r="CM986" s="195"/>
      <c r="CN986" s="195"/>
      <c r="CO986" s="195"/>
      <c r="CP986" s="195"/>
      <c r="CQ986" s="195"/>
      <c r="CR986" s="195"/>
      <c r="CS986" s="195"/>
      <c r="CT986" s="195"/>
      <c r="CU986" s="195"/>
      <c r="CV986" s="195"/>
      <c r="CW986" s="195"/>
      <c r="CX986" s="195"/>
      <c r="CY986" s="195"/>
      <c r="CZ986" s="195"/>
      <c r="DA986" s="195"/>
      <c r="DB986" s="195"/>
      <c r="DC986" s="195"/>
      <c r="DD986" s="195"/>
      <c r="DO986" s="195"/>
      <c r="DP986" s="195"/>
      <c r="DQ986" s="195"/>
      <c r="DR986" s="195"/>
      <c r="DS986" s="195"/>
      <c r="DT986" s="195"/>
      <c r="DU986" s="195"/>
      <c r="DV986" s="195"/>
      <c r="DW986" s="195"/>
      <c r="DX986" s="195"/>
      <c r="DY986" s="195"/>
      <c r="DZ986" s="195"/>
      <c r="EA986" s="195"/>
      <c r="EB986" s="195"/>
      <c r="EC986" s="195"/>
      <c r="ED986" s="195"/>
      <c r="EE986" s="195"/>
      <c r="EK986" s="195"/>
      <c r="EL986" s="240"/>
      <c r="EM986" s="240"/>
      <c r="EN986" s="195"/>
      <c r="EO986" s="240"/>
      <c r="EP986" s="195"/>
      <c r="EQ986" s="195"/>
      <c r="ER986" s="195"/>
      <c r="ES986" s="736"/>
    </row>
    <row r="987" customFormat="false" ht="12.75" hidden="false" customHeight="false" outlineLevel="0" collapsed="false">
      <c r="I987" s="735"/>
      <c r="J987" s="728"/>
      <c r="K987" s="195"/>
      <c r="L987" s="195"/>
      <c r="Q987" s="195"/>
      <c r="R987" s="195"/>
      <c r="S987" s="240"/>
      <c r="T987" s="195"/>
      <c r="U987" s="195"/>
      <c r="V987" s="195"/>
      <c r="W987" s="195"/>
      <c r="X987" s="195"/>
      <c r="Y987" s="195"/>
      <c r="Z987" s="195"/>
      <c r="AA987" s="195"/>
      <c r="AB987" s="195"/>
      <c r="AC987" s="195"/>
      <c r="AD987" s="195"/>
      <c r="AE987" s="195"/>
      <c r="AF987" s="195"/>
      <c r="AG987" s="195"/>
      <c r="AH987" s="195"/>
      <c r="AI987" s="195"/>
      <c r="AJ987" s="195"/>
      <c r="AK987" s="195"/>
      <c r="AL987" s="195"/>
      <c r="AM987" s="1"/>
      <c r="AN987" s="240"/>
      <c r="AO987" s="240"/>
      <c r="AP987" s="240"/>
      <c r="AQ987" s="730"/>
      <c r="AR987" s="730"/>
      <c r="AS987" s="730"/>
      <c r="AT987" s="738"/>
      <c r="AU987" s="738"/>
      <c r="AV987" s="240"/>
      <c r="AW987" s="240"/>
      <c r="AX987" s="240"/>
      <c r="AY987" s="240"/>
      <c r="AZ987" s="240"/>
      <c r="BA987" s="240"/>
      <c r="BB987" s="672"/>
      <c r="BC987" s="731"/>
      <c r="BD987" s="731"/>
      <c r="BE987" s="731"/>
      <c r="BF987" s="672"/>
      <c r="BG987" s="732"/>
      <c r="BH987" s="240"/>
      <c r="BI987" s="240"/>
      <c r="BJ987" s="240"/>
      <c r="BK987" s="240"/>
      <c r="BL987" s="240"/>
      <c r="BM987" s="240"/>
      <c r="BN987" s="240"/>
      <c r="BO987" s="240"/>
      <c r="BP987" s="240"/>
      <c r="BQ987" s="240"/>
      <c r="BR987" s="240"/>
      <c r="BS987" s="240"/>
      <c r="BT987" s="240"/>
      <c r="BU987" s="672"/>
      <c r="BV987" s="672"/>
      <c r="BW987" s="672"/>
      <c r="BX987" s="672"/>
      <c r="BY987" s="672"/>
      <c r="BZ987" s="672"/>
      <c r="CA987" s="672"/>
      <c r="CB987" s="672"/>
      <c r="CC987" s="672"/>
      <c r="CD987" s="672"/>
      <c r="CE987" s="240"/>
      <c r="CF987" s="240"/>
      <c r="CG987" s="240"/>
      <c r="CH987" s="240"/>
      <c r="CI987" s="240"/>
      <c r="CJ987" s="728"/>
      <c r="CK987" s="728"/>
      <c r="CL987" s="195"/>
      <c r="CM987" s="195"/>
      <c r="CN987" s="195"/>
      <c r="CO987" s="195"/>
      <c r="CP987" s="195"/>
      <c r="CQ987" s="195"/>
      <c r="CR987" s="195"/>
      <c r="CS987" s="195"/>
      <c r="CT987" s="195"/>
      <c r="CU987" s="195"/>
      <c r="CV987" s="195"/>
      <c r="CW987" s="195"/>
      <c r="CX987" s="195"/>
      <c r="CY987" s="195"/>
      <c r="CZ987" s="195"/>
      <c r="DA987" s="195"/>
      <c r="DB987" s="195"/>
      <c r="DC987" s="195"/>
      <c r="DD987" s="195"/>
      <c r="DO987" s="195"/>
      <c r="DP987" s="195"/>
      <c r="DQ987" s="195"/>
      <c r="DR987" s="195"/>
      <c r="DS987" s="195"/>
      <c r="DT987" s="195"/>
      <c r="DU987" s="195"/>
      <c r="DV987" s="195"/>
      <c r="DW987" s="195"/>
      <c r="DX987" s="195"/>
      <c r="DY987" s="195"/>
      <c r="DZ987" s="195"/>
      <c r="EA987" s="195"/>
      <c r="EB987" s="195"/>
      <c r="EC987" s="195"/>
      <c r="ED987" s="195"/>
      <c r="EE987" s="195"/>
      <c r="EK987" s="195"/>
      <c r="EL987" s="240"/>
      <c r="EM987" s="240"/>
      <c r="EN987" s="195"/>
      <c r="EO987" s="240"/>
      <c r="EP987" s="195"/>
      <c r="EQ987" s="195"/>
      <c r="ER987" s="195"/>
      <c r="ES987" s="736"/>
    </row>
    <row r="988" customFormat="false" ht="12.75" hidden="false" customHeight="false" outlineLevel="0" collapsed="false">
      <c r="I988" s="735"/>
      <c r="J988" s="728"/>
      <c r="K988" s="195"/>
      <c r="L988" s="195"/>
      <c r="Q988" s="195"/>
      <c r="R988" s="195"/>
      <c r="S988" s="240"/>
      <c r="T988" s="195"/>
      <c r="U988" s="195"/>
      <c r="V988" s="195"/>
      <c r="W988" s="195"/>
      <c r="X988" s="195"/>
      <c r="Y988" s="195"/>
      <c r="Z988" s="195"/>
      <c r="AA988" s="195"/>
      <c r="AB988" s="195"/>
      <c r="AC988" s="195"/>
      <c r="AD988" s="195"/>
      <c r="AE988" s="195"/>
      <c r="AF988" s="195"/>
      <c r="AG988" s="195"/>
      <c r="AH988" s="195"/>
      <c r="AI988" s="195"/>
      <c r="AJ988" s="195"/>
      <c r="AK988" s="195"/>
      <c r="AL988" s="195"/>
      <c r="AM988" s="1"/>
      <c r="AN988" s="240"/>
      <c r="AO988" s="240"/>
      <c r="AP988" s="240"/>
      <c r="AQ988" s="730"/>
      <c r="AR988" s="730"/>
      <c r="AS988" s="730"/>
      <c r="AT988" s="738"/>
      <c r="AU988" s="738"/>
      <c r="AV988" s="240"/>
      <c r="AW988" s="240"/>
      <c r="AX988" s="240"/>
      <c r="AY988" s="240"/>
      <c r="AZ988" s="240"/>
      <c r="BA988" s="240"/>
      <c r="BB988" s="672"/>
      <c r="BC988" s="731"/>
      <c r="BD988" s="731"/>
      <c r="BE988" s="731"/>
      <c r="BF988" s="672"/>
      <c r="BG988" s="732"/>
      <c r="BH988" s="240"/>
      <c r="BI988" s="240"/>
      <c r="BJ988" s="240"/>
      <c r="BK988" s="240"/>
      <c r="BL988" s="240"/>
      <c r="BM988" s="240"/>
      <c r="BN988" s="240"/>
      <c r="BO988" s="240"/>
      <c r="BP988" s="240"/>
      <c r="BQ988" s="240"/>
      <c r="BR988" s="240"/>
      <c r="BS988" s="240"/>
      <c r="BT988" s="240"/>
      <c r="BU988" s="672"/>
      <c r="BV988" s="672"/>
      <c r="BW988" s="672"/>
      <c r="BX988" s="672"/>
      <c r="BY988" s="672"/>
      <c r="BZ988" s="672"/>
      <c r="CA988" s="672"/>
      <c r="CB988" s="672"/>
      <c r="CC988" s="672"/>
      <c r="CD988" s="672"/>
      <c r="CE988" s="240"/>
      <c r="CF988" s="240"/>
      <c r="CG988" s="240"/>
      <c r="CH988" s="240"/>
      <c r="CI988" s="240"/>
      <c r="CJ988" s="728"/>
      <c r="CK988" s="728"/>
      <c r="CL988" s="195"/>
      <c r="CM988" s="195"/>
      <c r="CN988" s="195"/>
      <c r="CO988" s="195"/>
      <c r="CP988" s="195"/>
      <c r="CQ988" s="195"/>
      <c r="CR988" s="195"/>
      <c r="CS988" s="195"/>
      <c r="CT988" s="195"/>
      <c r="CU988" s="195"/>
      <c r="CV988" s="195"/>
      <c r="CW988" s="195"/>
      <c r="CX988" s="195"/>
      <c r="CY988" s="195"/>
      <c r="CZ988" s="195"/>
      <c r="DA988" s="195"/>
      <c r="DB988" s="195"/>
      <c r="DC988" s="195"/>
      <c r="DD988" s="195"/>
      <c r="DO988" s="195"/>
      <c r="DP988" s="195"/>
      <c r="DQ988" s="195"/>
      <c r="DR988" s="195"/>
      <c r="DS988" s="195"/>
      <c r="DT988" s="195"/>
      <c r="DU988" s="195"/>
      <c r="DV988" s="195"/>
      <c r="DW988" s="195"/>
      <c r="DX988" s="195"/>
      <c r="DY988" s="195"/>
      <c r="DZ988" s="195"/>
      <c r="EA988" s="195"/>
      <c r="EB988" s="195"/>
      <c r="EC988" s="195"/>
      <c r="ED988" s="195"/>
      <c r="EE988" s="195"/>
      <c r="EK988" s="195"/>
      <c r="EL988" s="240"/>
      <c r="EM988" s="240"/>
      <c r="EN988" s="195"/>
      <c r="EO988" s="240"/>
      <c r="EP988" s="195"/>
      <c r="EQ988" s="195"/>
      <c r="ER988" s="195"/>
      <c r="ES988" s="736"/>
    </row>
    <row r="989" customFormat="false" ht="12.75" hidden="false" customHeight="false" outlineLevel="0" collapsed="false">
      <c r="I989" s="735"/>
      <c r="J989" s="728"/>
      <c r="K989" s="195"/>
      <c r="L989" s="195"/>
      <c r="Q989" s="195"/>
      <c r="R989" s="195"/>
      <c r="S989" s="240"/>
      <c r="T989" s="195"/>
      <c r="U989" s="195"/>
      <c r="V989" s="195"/>
      <c r="W989" s="195"/>
      <c r="X989" s="195"/>
      <c r="Y989" s="195"/>
      <c r="Z989" s="195"/>
      <c r="AA989" s="195"/>
      <c r="AB989" s="195"/>
      <c r="AC989" s="195"/>
      <c r="AD989" s="195"/>
      <c r="AE989" s="195"/>
      <c r="AF989" s="195"/>
      <c r="AG989" s="195"/>
      <c r="AH989" s="195"/>
      <c r="AI989" s="195"/>
      <c r="AJ989" s="195"/>
      <c r="AK989" s="195"/>
      <c r="AL989" s="195"/>
      <c r="AM989" s="1"/>
      <c r="AN989" s="240"/>
      <c r="AO989" s="240"/>
      <c r="AP989" s="240"/>
      <c r="AQ989" s="730"/>
      <c r="AR989" s="730"/>
      <c r="AS989" s="730"/>
      <c r="AT989" s="738"/>
      <c r="AU989" s="738"/>
      <c r="AV989" s="240"/>
      <c r="AW989" s="240"/>
      <c r="AX989" s="240"/>
      <c r="AY989" s="240"/>
      <c r="AZ989" s="240"/>
      <c r="BA989" s="240"/>
      <c r="BB989" s="672"/>
      <c r="BC989" s="731"/>
      <c r="BD989" s="731"/>
      <c r="BE989" s="731"/>
      <c r="BF989" s="672"/>
      <c r="BG989" s="732"/>
      <c r="BH989" s="240"/>
      <c r="BI989" s="240"/>
      <c r="BJ989" s="240"/>
      <c r="BK989" s="240"/>
      <c r="BL989" s="240"/>
      <c r="BM989" s="240"/>
      <c r="BN989" s="240"/>
      <c r="BO989" s="240"/>
      <c r="BP989" s="240"/>
      <c r="BQ989" s="240"/>
      <c r="BR989" s="240"/>
      <c r="BS989" s="240"/>
      <c r="BT989" s="240"/>
      <c r="BU989" s="672"/>
      <c r="BV989" s="672"/>
      <c r="BW989" s="672"/>
      <c r="BX989" s="672"/>
      <c r="BY989" s="672"/>
      <c r="BZ989" s="672"/>
      <c r="CA989" s="672"/>
      <c r="CB989" s="672"/>
      <c r="CC989" s="672"/>
      <c r="CD989" s="672"/>
      <c r="CE989" s="240"/>
      <c r="CF989" s="240"/>
      <c r="CG989" s="240"/>
      <c r="CH989" s="240"/>
      <c r="CI989" s="240"/>
      <c r="CJ989" s="728"/>
      <c r="CK989" s="728"/>
      <c r="CL989" s="195"/>
      <c r="CM989" s="195"/>
      <c r="CN989" s="195"/>
      <c r="CO989" s="195"/>
      <c r="CP989" s="195"/>
      <c r="CQ989" s="195"/>
      <c r="CR989" s="195"/>
      <c r="CS989" s="195"/>
      <c r="CT989" s="195"/>
      <c r="CU989" s="195"/>
      <c r="CV989" s="195"/>
      <c r="CW989" s="195"/>
      <c r="CX989" s="195"/>
      <c r="CY989" s="195"/>
      <c r="CZ989" s="195"/>
      <c r="DA989" s="195"/>
      <c r="DB989" s="195"/>
      <c r="DC989" s="195"/>
      <c r="DD989" s="195"/>
      <c r="DO989" s="195"/>
      <c r="DP989" s="195"/>
      <c r="DQ989" s="195"/>
      <c r="DR989" s="195"/>
      <c r="DS989" s="195"/>
      <c r="DT989" s="195"/>
      <c r="DU989" s="195"/>
      <c r="DV989" s="195"/>
      <c r="DW989" s="195"/>
      <c r="DX989" s="195"/>
      <c r="DY989" s="195"/>
      <c r="DZ989" s="195"/>
      <c r="EA989" s="195"/>
      <c r="EB989" s="195"/>
      <c r="EC989" s="195"/>
      <c r="ED989" s="195"/>
      <c r="EE989" s="195"/>
      <c r="EK989" s="195"/>
      <c r="EL989" s="240"/>
      <c r="EM989" s="240"/>
      <c r="EN989" s="195"/>
      <c r="EO989" s="240"/>
      <c r="EP989" s="195"/>
      <c r="EQ989" s="195"/>
      <c r="ER989" s="195"/>
      <c r="ES989" s="736"/>
    </row>
    <row r="990" customFormat="false" ht="12.75" hidden="false" customHeight="false" outlineLevel="0" collapsed="false">
      <c r="I990" s="735"/>
      <c r="J990" s="728"/>
      <c r="K990" s="195"/>
      <c r="L990" s="195"/>
      <c r="Q990" s="195"/>
      <c r="R990" s="195"/>
      <c r="S990" s="240"/>
      <c r="T990" s="195"/>
      <c r="U990" s="195"/>
      <c r="V990" s="195"/>
      <c r="W990" s="195"/>
      <c r="X990" s="195"/>
      <c r="Y990" s="195"/>
      <c r="Z990" s="195"/>
      <c r="AA990" s="195"/>
      <c r="AB990" s="195"/>
      <c r="AC990" s="195"/>
      <c r="AD990" s="195"/>
      <c r="AE990" s="195"/>
      <c r="AF990" s="195"/>
      <c r="AG990" s="195"/>
      <c r="AH990" s="195"/>
      <c r="AI990" s="195"/>
      <c r="AJ990" s="195"/>
      <c r="AK990" s="195"/>
      <c r="AL990" s="195"/>
      <c r="AM990" s="1"/>
      <c r="AN990" s="240"/>
      <c r="AO990" s="240"/>
      <c r="AP990" s="240"/>
      <c r="AQ990" s="730"/>
      <c r="AR990" s="730"/>
      <c r="AS990" s="730"/>
      <c r="AT990" s="738"/>
      <c r="AU990" s="738"/>
      <c r="AV990" s="240"/>
      <c r="AW990" s="240"/>
      <c r="AX990" s="240"/>
      <c r="AY990" s="240"/>
      <c r="AZ990" s="240"/>
      <c r="BA990" s="240"/>
      <c r="BB990" s="672"/>
      <c r="BC990" s="731"/>
      <c r="BD990" s="731"/>
      <c r="BE990" s="731"/>
      <c r="BF990" s="672"/>
      <c r="BG990" s="732"/>
      <c r="BH990" s="240"/>
      <c r="BI990" s="240"/>
      <c r="BJ990" s="240"/>
      <c r="BK990" s="240"/>
      <c r="BL990" s="240"/>
      <c r="BM990" s="240"/>
      <c r="BN990" s="240"/>
      <c r="BO990" s="240"/>
      <c r="BP990" s="240"/>
      <c r="BQ990" s="240"/>
      <c r="BR990" s="240"/>
      <c r="BS990" s="240"/>
      <c r="BT990" s="240"/>
      <c r="BU990" s="672"/>
      <c r="BV990" s="672"/>
      <c r="BW990" s="672"/>
      <c r="BX990" s="672"/>
      <c r="BY990" s="672"/>
      <c r="BZ990" s="672"/>
      <c r="CA990" s="672"/>
      <c r="CB990" s="672"/>
      <c r="CC990" s="672"/>
      <c r="CD990" s="672"/>
      <c r="CE990" s="240"/>
      <c r="CF990" s="240"/>
      <c r="CG990" s="240"/>
      <c r="CH990" s="240"/>
      <c r="CI990" s="240"/>
      <c r="CJ990" s="728"/>
      <c r="CK990" s="728"/>
      <c r="CL990" s="195"/>
      <c r="CM990" s="195"/>
      <c r="CN990" s="195"/>
      <c r="CO990" s="195"/>
      <c r="CP990" s="195"/>
      <c r="CQ990" s="195"/>
      <c r="CR990" s="195"/>
      <c r="CS990" s="195"/>
      <c r="CT990" s="195"/>
      <c r="CU990" s="195"/>
      <c r="CV990" s="195"/>
      <c r="CW990" s="195"/>
      <c r="CX990" s="195"/>
      <c r="CY990" s="195"/>
      <c r="CZ990" s="195"/>
      <c r="DA990" s="195"/>
      <c r="DB990" s="195"/>
      <c r="DC990" s="195"/>
      <c r="DD990" s="195"/>
      <c r="DO990" s="195"/>
      <c r="DP990" s="195"/>
      <c r="DQ990" s="195"/>
      <c r="DR990" s="195"/>
      <c r="DS990" s="195"/>
      <c r="DT990" s="195"/>
      <c r="DU990" s="195"/>
      <c r="DV990" s="195"/>
      <c r="DW990" s="195"/>
      <c r="DX990" s="195"/>
      <c r="DY990" s="195"/>
      <c r="DZ990" s="195"/>
      <c r="EA990" s="195"/>
      <c r="EB990" s="195"/>
      <c r="EC990" s="195"/>
      <c r="ED990" s="195"/>
      <c r="EE990" s="195"/>
      <c r="EK990" s="195"/>
      <c r="EL990" s="240"/>
      <c r="EM990" s="240"/>
      <c r="EN990" s="195"/>
      <c r="EO990" s="240"/>
      <c r="EP990" s="195"/>
      <c r="EQ990" s="195"/>
      <c r="ER990" s="195"/>
      <c r="ES990" s="736"/>
    </row>
    <row r="991" customFormat="false" ht="12.75" hidden="false" customHeight="false" outlineLevel="0" collapsed="false">
      <c r="I991" s="735"/>
      <c r="J991" s="728"/>
      <c r="K991" s="195"/>
      <c r="L991" s="195"/>
      <c r="Q991" s="195"/>
      <c r="R991" s="195"/>
      <c r="S991" s="240"/>
      <c r="T991" s="195"/>
      <c r="U991" s="195"/>
      <c r="V991" s="195"/>
      <c r="W991" s="195"/>
      <c r="X991" s="195"/>
      <c r="Y991" s="195"/>
      <c r="Z991" s="195"/>
      <c r="AA991" s="195"/>
      <c r="AB991" s="195"/>
      <c r="AC991" s="195"/>
      <c r="AD991" s="195"/>
      <c r="AE991" s="195"/>
      <c r="AF991" s="195"/>
      <c r="AG991" s="195"/>
      <c r="AH991" s="195"/>
      <c r="AI991" s="195"/>
      <c r="AJ991" s="195"/>
      <c r="AK991" s="195"/>
      <c r="AL991" s="195"/>
      <c r="AM991" s="1"/>
      <c r="AN991" s="240"/>
      <c r="AO991" s="240"/>
      <c r="AP991" s="240"/>
      <c r="AQ991" s="730"/>
      <c r="AR991" s="730"/>
      <c r="AS991" s="730"/>
      <c r="AT991" s="738"/>
      <c r="AU991" s="738"/>
      <c r="AV991" s="240"/>
      <c r="AW991" s="240"/>
      <c r="AX991" s="240"/>
      <c r="AY991" s="240"/>
      <c r="AZ991" s="240"/>
      <c r="BA991" s="240"/>
      <c r="BB991" s="672"/>
      <c r="BC991" s="731"/>
      <c r="BD991" s="731"/>
      <c r="BE991" s="731"/>
      <c r="BF991" s="672"/>
      <c r="BG991" s="732"/>
      <c r="BH991" s="240"/>
      <c r="BI991" s="240"/>
      <c r="BJ991" s="240"/>
      <c r="BK991" s="240"/>
      <c r="BL991" s="240"/>
      <c r="BM991" s="240"/>
      <c r="BN991" s="240"/>
      <c r="BO991" s="240"/>
      <c r="BP991" s="240"/>
      <c r="BQ991" s="240"/>
      <c r="BR991" s="240"/>
      <c r="BS991" s="240"/>
      <c r="BT991" s="240"/>
      <c r="BU991" s="672"/>
      <c r="BV991" s="672"/>
      <c r="BW991" s="672"/>
      <c r="BX991" s="672"/>
      <c r="BY991" s="672"/>
      <c r="BZ991" s="672"/>
      <c r="CA991" s="672"/>
      <c r="CB991" s="672"/>
      <c r="CC991" s="672"/>
      <c r="CD991" s="672"/>
      <c r="CE991" s="240"/>
      <c r="CF991" s="240"/>
      <c r="CG991" s="240"/>
      <c r="CH991" s="240"/>
      <c r="CI991" s="240"/>
      <c r="CJ991" s="728"/>
      <c r="CK991" s="728"/>
      <c r="CL991" s="195"/>
      <c r="CM991" s="195"/>
      <c r="CN991" s="195"/>
      <c r="CO991" s="195"/>
      <c r="CP991" s="195"/>
      <c r="CQ991" s="195"/>
      <c r="CR991" s="195"/>
      <c r="CS991" s="195"/>
      <c r="CT991" s="195"/>
      <c r="CU991" s="195"/>
      <c r="CV991" s="195"/>
      <c r="CW991" s="195"/>
      <c r="CX991" s="195"/>
      <c r="CY991" s="195"/>
      <c r="CZ991" s="195"/>
      <c r="DA991" s="195"/>
      <c r="DB991" s="195"/>
      <c r="DC991" s="195"/>
      <c r="DD991" s="195"/>
      <c r="DO991" s="195"/>
      <c r="DP991" s="195"/>
      <c r="DQ991" s="195"/>
      <c r="DR991" s="195"/>
      <c r="DS991" s="195"/>
      <c r="DT991" s="195"/>
      <c r="DU991" s="195"/>
      <c r="DV991" s="195"/>
      <c r="DW991" s="195"/>
      <c r="DX991" s="195"/>
      <c r="DY991" s="195"/>
      <c r="DZ991" s="195"/>
      <c r="EA991" s="195"/>
      <c r="EB991" s="195"/>
      <c r="EC991" s="195"/>
      <c r="ED991" s="195"/>
      <c r="EE991" s="195"/>
      <c r="EK991" s="195"/>
      <c r="EL991" s="240"/>
      <c r="EM991" s="240"/>
      <c r="EN991" s="195"/>
      <c r="EO991" s="240"/>
      <c r="EP991" s="195"/>
      <c r="EQ991" s="195"/>
      <c r="ER991" s="195"/>
      <c r="ES991" s="736"/>
    </row>
    <row r="992" customFormat="false" ht="12.75" hidden="false" customHeight="false" outlineLevel="0" collapsed="false">
      <c r="I992" s="735"/>
      <c r="J992" s="728"/>
      <c r="K992" s="195"/>
      <c r="L992" s="195"/>
      <c r="Q992" s="195"/>
      <c r="R992" s="195"/>
      <c r="S992" s="240"/>
      <c r="T992" s="195"/>
      <c r="U992" s="195"/>
      <c r="V992" s="195"/>
      <c r="W992" s="195"/>
      <c r="X992" s="195"/>
      <c r="Y992" s="195"/>
      <c r="Z992" s="195"/>
      <c r="AA992" s="195"/>
      <c r="AB992" s="195"/>
      <c r="AC992" s="195"/>
      <c r="AD992" s="195"/>
      <c r="AE992" s="195"/>
      <c r="AF992" s="195"/>
      <c r="AG992" s="195"/>
      <c r="AH992" s="195"/>
      <c r="AI992" s="195"/>
      <c r="AJ992" s="195"/>
      <c r="AK992" s="195"/>
      <c r="AL992" s="195"/>
      <c r="AM992" s="1"/>
      <c r="AN992" s="240"/>
      <c r="AO992" s="240"/>
      <c r="AP992" s="240"/>
      <c r="AQ992" s="730"/>
      <c r="AR992" s="730"/>
      <c r="AS992" s="730"/>
      <c r="AT992" s="738"/>
      <c r="AU992" s="738"/>
      <c r="AV992" s="240"/>
      <c r="AW992" s="240"/>
      <c r="AX992" s="240"/>
      <c r="AY992" s="240"/>
      <c r="AZ992" s="240"/>
      <c r="BA992" s="240"/>
      <c r="BB992" s="672"/>
      <c r="BC992" s="731"/>
      <c r="BD992" s="731"/>
      <c r="BE992" s="731"/>
      <c r="BF992" s="672"/>
      <c r="BG992" s="732"/>
      <c r="BH992" s="240"/>
      <c r="BI992" s="240"/>
      <c r="BJ992" s="240"/>
      <c r="BK992" s="240"/>
      <c r="BL992" s="240"/>
      <c r="BM992" s="240"/>
      <c r="BN992" s="240"/>
      <c r="BO992" s="240"/>
      <c r="BP992" s="240"/>
      <c r="BQ992" s="240"/>
      <c r="BR992" s="240"/>
      <c r="BS992" s="240"/>
      <c r="BT992" s="240"/>
      <c r="BU992" s="672"/>
      <c r="BV992" s="672"/>
      <c r="BW992" s="672"/>
      <c r="BX992" s="672"/>
      <c r="BY992" s="672"/>
      <c r="BZ992" s="672"/>
      <c r="CA992" s="672"/>
      <c r="CB992" s="672"/>
      <c r="CC992" s="672"/>
      <c r="CD992" s="672"/>
      <c r="CE992" s="240"/>
      <c r="CF992" s="240"/>
      <c r="CG992" s="240"/>
      <c r="CH992" s="240"/>
      <c r="CI992" s="240"/>
      <c r="CJ992" s="728"/>
      <c r="CK992" s="728"/>
      <c r="CL992" s="195"/>
      <c r="CM992" s="195"/>
      <c r="CN992" s="195"/>
      <c r="CO992" s="195"/>
      <c r="CP992" s="195"/>
      <c r="CQ992" s="195"/>
      <c r="CR992" s="195"/>
      <c r="CS992" s="195"/>
      <c r="CT992" s="195"/>
      <c r="CU992" s="195"/>
      <c r="CV992" s="195"/>
      <c r="CW992" s="195"/>
      <c r="CX992" s="195"/>
      <c r="CY992" s="195"/>
      <c r="CZ992" s="195"/>
      <c r="DA992" s="195"/>
      <c r="DB992" s="195"/>
      <c r="DC992" s="195"/>
      <c r="DD992" s="195"/>
      <c r="DO992" s="195"/>
      <c r="DP992" s="195"/>
      <c r="DQ992" s="195"/>
      <c r="DR992" s="195"/>
      <c r="DS992" s="195"/>
      <c r="DT992" s="195"/>
      <c r="DU992" s="195"/>
      <c r="DV992" s="195"/>
      <c r="DW992" s="195"/>
      <c r="DX992" s="195"/>
      <c r="DY992" s="195"/>
      <c r="DZ992" s="195"/>
      <c r="EA992" s="195"/>
      <c r="EB992" s="195"/>
      <c r="EC992" s="195"/>
      <c r="ED992" s="195"/>
      <c r="EE992" s="195"/>
      <c r="EK992" s="195"/>
      <c r="EL992" s="240"/>
      <c r="EM992" s="240"/>
      <c r="EN992" s="195"/>
      <c r="EO992" s="240"/>
      <c r="EP992" s="195"/>
      <c r="EQ992" s="195"/>
      <c r="ER992" s="195"/>
      <c r="ES992" s="736"/>
    </row>
    <row r="993" customFormat="false" ht="12.75" hidden="false" customHeight="false" outlineLevel="0" collapsed="false">
      <c r="I993" s="735"/>
      <c r="J993" s="728"/>
      <c r="K993" s="195"/>
      <c r="L993" s="195"/>
      <c r="Q993" s="195"/>
      <c r="R993" s="195"/>
      <c r="S993" s="240"/>
      <c r="T993" s="195"/>
      <c r="U993" s="195"/>
      <c r="V993" s="195"/>
      <c r="W993" s="195"/>
      <c r="X993" s="195"/>
      <c r="Y993" s="195"/>
      <c r="Z993" s="195"/>
      <c r="AA993" s="195"/>
      <c r="AB993" s="195"/>
      <c r="AC993" s="195"/>
      <c r="AD993" s="195"/>
      <c r="AE993" s="195"/>
      <c r="AF993" s="195"/>
      <c r="AG993" s="195"/>
      <c r="AH993" s="195"/>
      <c r="AI993" s="195"/>
      <c r="AJ993" s="195"/>
      <c r="AK993" s="195"/>
      <c r="AL993" s="195"/>
      <c r="AM993" s="1"/>
      <c r="AN993" s="240"/>
      <c r="AO993" s="240"/>
      <c r="AP993" s="240"/>
      <c r="AQ993" s="730"/>
      <c r="AR993" s="730"/>
      <c r="AS993" s="730"/>
      <c r="AT993" s="738"/>
      <c r="AU993" s="738"/>
      <c r="AV993" s="240"/>
      <c r="AW993" s="240"/>
      <c r="AX993" s="240"/>
      <c r="AY993" s="240"/>
      <c r="AZ993" s="240"/>
      <c r="BA993" s="240"/>
      <c r="BB993" s="672"/>
      <c r="BC993" s="731"/>
      <c r="BD993" s="731"/>
      <c r="BE993" s="731"/>
      <c r="BF993" s="672"/>
      <c r="BG993" s="732"/>
      <c r="BH993" s="240"/>
      <c r="BI993" s="240"/>
      <c r="BJ993" s="240"/>
      <c r="BK993" s="240"/>
      <c r="BL993" s="240"/>
      <c r="BM993" s="240"/>
      <c r="BN993" s="240"/>
      <c r="BO993" s="240"/>
      <c r="BP993" s="240"/>
      <c r="BQ993" s="240"/>
      <c r="BR993" s="240"/>
      <c r="BS993" s="240"/>
      <c r="BT993" s="240"/>
      <c r="BU993" s="672"/>
      <c r="BV993" s="672"/>
      <c r="BW993" s="672"/>
      <c r="BX993" s="672"/>
      <c r="BY993" s="672"/>
      <c r="BZ993" s="672"/>
      <c r="CA993" s="672"/>
      <c r="CB993" s="672"/>
      <c r="CC993" s="672"/>
      <c r="CD993" s="672"/>
      <c r="CE993" s="240"/>
      <c r="CF993" s="240"/>
      <c r="CG993" s="240"/>
      <c r="CH993" s="240"/>
      <c r="CI993" s="240"/>
      <c r="CJ993" s="728"/>
      <c r="CK993" s="728"/>
      <c r="CL993" s="195"/>
      <c r="CM993" s="195"/>
      <c r="CN993" s="195"/>
      <c r="CO993" s="195"/>
      <c r="CP993" s="195"/>
      <c r="CQ993" s="195"/>
      <c r="CR993" s="195"/>
      <c r="CS993" s="195"/>
      <c r="CT993" s="195"/>
      <c r="CU993" s="195"/>
      <c r="CV993" s="195"/>
      <c r="CW993" s="195"/>
      <c r="CX993" s="195"/>
      <c r="CY993" s="195"/>
      <c r="CZ993" s="195"/>
      <c r="DA993" s="195"/>
      <c r="DB993" s="195"/>
      <c r="DC993" s="195"/>
      <c r="DD993" s="195"/>
      <c r="DO993" s="195"/>
      <c r="DP993" s="195"/>
      <c r="DQ993" s="195"/>
      <c r="DR993" s="195"/>
      <c r="DS993" s="195"/>
      <c r="DT993" s="195"/>
      <c r="DU993" s="195"/>
      <c r="DV993" s="195"/>
      <c r="DW993" s="195"/>
      <c r="DX993" s="195"/>
      <c r="DY993" s="195"/>
      <c r="DZ993" s="195"/>
      <c r="EA993" s="195"/>
      <c r="EB993" s="195"/>
      <c r="EC993" s="195"/>
      <c r="ED993" s="195"/>
      <c r="EE993" s="195"/>
      <c r="EK993" s="195"/>
      <c r="EL993" s="240"/>
      <c r="EM993" s="240"/>
      <c r="EN993" s="195"/>
      <c r="EO993" s="240"/>
      <c r="EP993" s="195"/>
      <c r="EQ993" s="195"/>
      <c r="ER993" s="195"/>
      <c r="ES993" s="736"/>
    </row>
    <row r="994" customFormat="false" ht="12.75" hidden="false" customHeight="false" outlineLevel="0" collapsed="false">
      <c r="I994" s="735"/>
      <c r="J994" s="728"/>
      <c r="K994" s="195"/>
      <c r="L994" s="195"/>
      <c r="Q994" s="195"/>
      <c r="R994" s="195"/>
      <c r="S994" s="240"/>
      <c r="T994" s="195"/>
      <c r="U994" s="195"/>
      <c r="V994" s="195"/>
      <c r="W994" s="195"/>
      <c r="X994" s="195"/>
      <c r="Y994" s="195"/>
      <c r="Z994" s="195"/>
      <c r="AA994" s="195"/>
      <c r="AB994" s="195"/>
      <c r="AC994" s="195"/>
      <c r="AD994" s="195"/>
      <c r="AE994" s="195"/>
      <c r="AF994" s="195"/>
      <c r="AG994" s="195"/>
      <c r="AH994" s="195"/>
      <c r="AI994" s="195"/>
      <c r="AJ994" s="195"/>
      <c r="AK994" s="195"/>
      <c r="AL994" s="195"/>
      <c r="AM994" s="1"/>
      <c r="AN994" s="240"/>
      <c r="AO994" s="240"/>
      <c r="AP994" s="240"/>
      <c r="AQ994" s="730"/>
      <c r="AR994" s="730"/>
      <c r="AS994" s="730"/>
      <c r="AT994" s="738"/>
      <c r="AU994" s="738"/>
      <c r="AV994" s="240"/>
      <c r="AW994" s="240"/>
      <c r="AX994" s="240"/>
      <c r="AY994" s="240"/>
      <c r="AZ994" s="240"/>
      <c r="BA994" s="240"/>
      <c r="BB994" s="672"/>
      <c r="BC994" s="731"/>
      <c r="BD994" s="731"/>
      <c r="BE994" s="731"/>
      <c r="BF994" s="672"/>
      <c r="BG994" s="732"/>
      <c r="BH994" s="240"/>
      <c r="BI994" s="240"/>
      <c r="BJ994" s="240"/>
      <c r="BK994" s="240"/>
      <c r="BL994" s="240"/>
      <c r="BM994" s="240"/>
      <c r="BN994" s="240"/>
      <c r="BO994" s="240"/>
      <c r="BP994" s="240"/>
      <c r="BQ994" s="240"/>
      <c r="BR994" s="240"/>
      <c r="BS994" s="240"/>
      <c r="BT994" s="240"/>
      <c r="BU994" s="672"/>
      <c r="BV994" s="672"/>
      <c r="BW994" s="672"/>
      <c r="BX994" s="672"/>
      <c r="BY994" s="672"/>
      <c r="BZ994" s="672"/>
      <c r="CA994" s="672"/>
      <c r="CB994" s="672"/>
      <c r="CC994" s="672"/>
      <c r="CD994" s="672"/>
      <c r="CE994" s="240"/>
      <c r="CF994" s="240"/>
      <c r="CG994" s="240"/>
      <c r="CH994" s="240"/>
      <c r="CI994" s="240"/>
      <c r="CJ994" s="728"/>
      <c r="CK994" s="728"/>
      <c r="CL994" s="195"/>
      <c r="CM994" s="195"/>
      <c r="CN994" s="195"/>
      <c r="CO994" s="195"/>
      <c r="CP994" s="195"/>
      <c r="CQ994" s="195"/>
      <c r="CR994" s="195"/>
      <c r="CS994" s="195"/>
      <c r="CT994" s="195"/>
      <c r="CU994" s="195"/>
      <c r="CV994" s="195"/>
      <c r="CW994" s="195"/>
      <c r="CX994" s="195"/>
      <c r="CY994" s="195"/>
      <c r="CZ994" s="195"/>
      <c r="DA994" s="195"/>
      <c r="DB994" s="195"/>
      <c r="DC994" s="195"/>
      <c r="DD994" s="195"/>
      <c r="DO994" s="195"/>
      <c r="DP994" s="195"/>
      <c r="DQ994" s="195"/>
      <c r="DR994" s="195"/>
      <c r="DS994" s="195"/>
      <c r="DT994" s="195"/>
      <c r="DU994" s="195"/>
      <c r="DV994" s="195"/>
      <c r="DW994" s="195"/>
      <c r="DX994" s="195"/>
      <c r="DY994" s="195"/>
      <c r="DZ994" s="195"/>
      <c r="EA994" s="195"/>
      <c r="EB994" s="195"/>
      <c r="EC994" s="195"/>
      <c r="ED994" s="195"/>
      <c r="EE994" s="195"/>
      <c r="EK994" s="195"/>
      <c r="EL994" s="240"/>
      <c r="EM994" s="240"/>
      <c r="EN994" s="195"/>
      <c r="EO994" s="240"/>
      <c r="EP994" s="195"/>
      <c r="EQ994" s="195"/>
      <c r="ER994" s="195"/>
      <c r="ES994" s="736"/>
    </row>
    <row r="995" customFormat="false" ht="12.75" hidden="false" customHeight="false" outlineLevel="0" collapsed="false">
      <c r="I995" s="735"/>
      <c r="J995" s="728"/>
      <c r="K995" s="195"/>
      <c r="L995" s="195"/>
      <c r="Q995" s="195"/>
      <c r="R995" s="195"/>
      <c r="S995" s="240"/>
      <c r="T995" s="195"/>
      <c r="U995" s="195"/>
      <c r="V995" s="195"/>
      <c r="W995" s="195"/>
      <c r="X995" s="195"/>
      <c r="Y995" s="195"/>
      <c r="Z995" s="195"/>
      <c r="AA995" s="195"/>
      <c r="AB995" s="195"/>
      <c r="AC995" s="195"/>
      <c r="AD995" s="195"/>
      <c r="AE995" s="195"/>
      <c r="AF995" s="195"/>
      <c r="AG995" s="195"/>
      <c r="AH995" s="195"/>
      <c r="AI995" s="195"/>
      <c r="AJ995" s="195"/>
      <c r="AK995" s="195"/>
      <c r="AL995" s="195"/>
      <c r="AM995" s="1"/>
      <c r="AN995" s="240"/>
      <c r="AO995" s="240"/>
      <c r="AP995" s="240"/>
      <c r="AQ995" s="730"/>
      <c r="AR995" s="730"/>
      <c r="AS995" s="730"/>
      <c r="AT995" s="738"/>
      <c r="AU995" s="738"/>
      <c r="AV995" s="240"/>
      <c r="AW995" s="240"/>
      <c r="AX995" s="240"/>
      <c r="AY995" s="240"/>
      <c r="AZ995" s="240"/>
      <c r="BA995" s="240"/>
      <c r="BB995" s="672"/>
      <c r="BC995" s="731"/>
      <c r="BD995" s="731"/>
      <c r="BE995" s="731"/>
      <c r="BF995" s="672"/>
      <c r="BG995" s="732"/>
      <c r="BH995" s="240"/>
      <c r="BI995" s="240"/>
      <c r="BJ995" s="240"/>
      <c r="BK995" s="240"/>
      <c r="BL995" s="240"/>
      <c r="BM995" s="240"/>
      <c r="BN995" s="240"/>
      <c r="BO995" s="240"/>
      <c r="BP995" s="240"/>
      <c r="BQ995" s="240"/>
      <c r="BR995" s="240"/>
      <c r="BS995" s="240"/>
      <c r="BT995" s="240"/>
      <c r="BU995" s="672"/>
      <c r="BV995" s="672"/>
      <c r="BW995" s="672"/>
      <c r="BX995" s="672"/>
      <c r="BY995" s="672"/>
      <c r="BZ995" s="672"/>
      <c r="CA995" s="672"/>
      <c r="CB995" s="672"/>
      <c r="CC995" s="672"/>
      <c r="CD995" s="672"/>
      <c r="CE995" s="240"/>
      <c r="CF995" s="240"/>
      <c r="CG995" s="240"/>
      <c r="CH995" s="240"/>
      <c r="CI995" s="240"/>
      <c r="CJ995" s="728"/>
      <c r="CK995" s="728"/>
      <c r="CL995" s="195"/>
      <c r="CM995" s="195"/>
      <c r="CN995" s="195"/>
      <c r="CO995" s="195"/>
      <c r="CP995" s="195"/>
      <c r="CQ995" s="195"/>
      <c r="CR995" s="195"/>
      <c r="CS995" s="195"/>
      <c r="CT995" s="195"/>
      <c r="CU995" s="195"/>
      <c r="CV995" s="195"/>
      <c r="CW995" s="195"/>
      <c r="CX995" s="195"/>
      <c r="CY995" s="195"/>
      <c r="CZ995" s="195"/>
      <c r="DA995" s="195"/>
      <c r="DB995" s="195"/>
      <c r="DC995" s="195"/>
      <c r="DD995" s="195"/>
      <c r="DO995" s="195"/>
      <c r="DP995" s="195"/>
      <c r="DQ995" s="195"/>
      <c r="DR995" s="195"/>
      <c r="DS995" s="195"/>
      <c r="DT995" s="195"/>
      <c r="DU995" s="195"/>
      <c r="DV995" s="195"/>
      <c r="DW995" s="195"/>
      <c r="DX995" s="195"/>
      <c r="DY995" s="195"/>
      <c r="DZ995" s="195"/>
      <c r="EA995" s="195"/>
      <c r="EB995" s="195"/>
      <c r="EC995" s="195"/>
      <c r="ED995" s="195"/>
      <c r="EE995" s="195"/>
      <c r="EK995" s="195"/>
      <c r="EL995" s="240"/>
      <c r="EM995" s="240"/>
      <c r="EN995" s="195"/>
      <c r="EO995" s="240"/>
      <c r="EP995" s="195"/>
      <c r="EQ995" s="195"/>
      <c r="ER995" s="195"/>
      <c r="ES995" s="736"/>
    </row>
    <row r="996" customFormat="false" ht="12.75" hidden="false" customHeight="false" outlineLevel="0" collapsed="false">
      <c r="I996" s="735"/>
      <c r="J996" s="728"/>
      <c r="K996" s="195"/>
      <c r="L996" s="195"/>
      <c r="Q996" s="195"/>
      <c r="R996" s="195"/>
      <c r="S996" s="240"/>
      <c r="T996" s="195"/>
      <c r="U996" s="195"/>
      <c r="V996" s="195"/>
      <c r="W996" s="195"/>
      <c r="X996" s="195"/>
      <c r="Y996" s="195"/>
      <c r="Z996" s="195"/>
      <c r="AA996" s="195"/>
      <c r="AB996" s="195"/>
      <c r="AC996" s="195"/>
      <c r="AD996" s="195"/>
      <c r="AE996" s="195"/>
      <c r="AF996" s="195"/>
      <c r="AG996" s="195"/>
      <c r="AH996" s="195"/>
      <c r="AI996" s="195"/>
      <c r="AJ996" s="195"/>
      <c r="AK996" s="195"/>
      <c r="AL996" s="195"/>
      <c r="AM996" s="1"/>
      <c r="AN996" s="240"/>
      <c r="AO996" s="240"/>
      <c r="AP996" s="240"/>
      <c r="AQ996" s="730"/>
      <c r="AR996" s="730"/>
      <c r="AS996" s="730"/>
      <c r="AT996" s="738"/>
      <c r="AU996" s="738"/>
      <c r="AV996" s="240"/>
      <c r="AW996" s="240"/>
      <c r="AX996" s="240"/>
      <c r="AY996" s="240"/>
      <c r="AZ996" s="240"/>
      <c r="BA996" s="240"/>
      <c r="BB996" s="672"/>
      <c r="BC996" s="731"/>
      <c r="BD996" s="731"/>
      <c r="BE996" s="731"/>
      <c r="BF996" s="672"/>
      <c r="BG996" s="732"/>
      <c r="BH996" s="240"/>
      <c r="BI996" s="240"/>
      <c r="BJ996" s="240"/>
      <c r="BK996" s="240"/>
      <c r="BL996" s="240"/>
      <c r="BM996" s="240"/>
      <c r="BN996" s="240"/>
      <c r="BO996" s="240"/>
      <c r="BP996" s="240"/>
      <c r="BQ996" s="240"/>
      <c r="BR996" s="240"/>
      <c r="BS996" s="240"/>
      <c r="BT996" s="240"/>
      <c r="BU996" s="672"/>
      <c r="BV996" s="672"/>
      <c r="BW996" s="672"/>
      <c r="BX996" s="672"/>
      <c r="BY996" s="672"/>
      <c r="BZ996" s="672"/>
      <c r="CA996" s="672"/>
      <c r="CB996" s="672"/>
      <c r="CC996" s="672"/>
      <c r="CD996" s="672"/>
      <c r="CE996" s="240"/>
      <c r="CF996" s="240"/>
      <c r="CG996" s="240"/>
      <c r="CH996" s="240"/>
      <c r="CI996" s="240"/>
      <c r="CJ996" s="728"/>
      <c r="CK996" s="728"/>
      <c r="CL996" s="195"/>
      <c r="CM996" s="195"/>
      <c r="CN996" s="195"/>
      <c r="CO996" s="195"/>
      <c r="CP996" s="195"/>
      <c r="CQ996" s="195"/>
      <c r="CR996" s="195"/>
      <c r="CS996" s="195"/>
      <c r="CT996" s="195"/>
      <c r="CU996" s="195"/>
      <c r="CV996" s="195"/>
      <c r="CW996" s="195"/>
      <c r="CX996" s="195"/>
      <c r="CY996" s="195"/>
      <c r="CZ996" s="195"/>
      <c r="DA996" s="195"/>
      <c r="DB996" s="195"/>
      <c r="DC996" s="195"/>
      <c r="DD996" s="195"/>
      <c r="DO996" s="195"/>
      <c r="DP996" s="195"/>
      <c r="DQ996" s="195"/>
      <c r="DR996" s="195"/>
      <c r="DS996" s="195"/>
      <c r="DT996" s="195"/>
      <c r="DU996" s="195"/>
      <c r="DV996" s="195"/>
      <c r="DW996" s="195"/>
      <c r="DX996" s="195"/>
      <c r="DY996" s="195"/>
      <c r="DZ996" s="195"/>
      <c r="EA996" s="195"/>
      <c r="EB996" s="195"/>
      <c r="EC996" s="195"/>
      <c r="ED996" s="195"/>
      <c r="EE996" s="195"/>
      <c r="EK996" s="195"/>
      <c r="EL996" s="240"/>
      <c r="EM996" s="240"/>
      <c r="EN996" s="195"/>
      <c r="EO996" s="240"/>
      <c r="EP996" s="195"/>
      <c r="EQ996" s="195"/>
      <c r="ER996" s="195"/>
      <c r="ES996" s="736"/>
    </row>
    <row r="997" customFormat="false" ht="12.75" hidden="false" customHeight="false" outlineLevel="0" collapsed="false">
      <c r="I997" s="735"/>
      <c r="J997" s="728"/>
      <c r="K997" s="195"/>
      <c r="L997" s="195"/>
      <c r="Q997" s="195"/>
      <c r="R997" s="195"/>
      <c r="S997" s="240"/>
      <c r="T997" s="195"/>
      <c r="U997" s="195"/>
      <c r="V997" s="195"/>
      <c r="W997" s="195"/>
      <c r="X997" s="195"/>
      <c r="Y997" s="195"/>
      <c r="Z997" s="195"/>
      <c r="AA997" s="195"/>
      <c r="AB997" s="195"/>
      <c r="AC997" s="195"/>
      <c r="AD997" s="195"/>
      <c r="AE997" s="195"/>
      <c r="AF997" s="195"/>
      <c r="AG997" s="195"/>
      <c r="AH997" s="195"/>
      <c r="AI997" s="195"/>
      <c r="AJ997" s="195"/>
      <c r="AK997" s="195"/>
      <c r="AL997" s="195"/>
      <c r="AM997" s="1"/>
      <c r="AN997" s="240"/>
      <c r="AO997" s="240"/>
      <c r="AP997" s="240"/>
      <c r="AQ997" s="730"/>
      <c r="AR997" s="730"/>
      <c r="AS997" s="730"/>
      <c r="AT997" s="738"/>
      <c r="AU997" s="738"/>
      <c r="AV997" s="240"/>
      <c r="AW997" s="240"/>
      <c r="AX997" s="240"/>
      <c r="AY997" s="240"/>
      <c r="AZ997" s="240"/>
      <c r="BA997" s="240"/>
      <c r="BB997" s="672"/>
      <c r="BC997" s="731"/>
      <c r="BD997" s="731"/>
      <c r="BE997" s="731"/>
      <c r="BF997" s="672"/>
      <c r="BG997" s="732"/>
      <c r="BH997" s="240"/>
      <c r="BI997" s="240"/>
      <c r="BJ997" s="240"/>
      <c r="BK997" s="240"/>
      <c r="BL997" s="240"/>
      <c r="BM997" s="240"/>
      <c r="BN997" s="240"/>
      <c r="BO997" s="240"/>
      <c r="BP997" s="240"/>
      <c r="BQ997" s="240"/>
      <c r="BR997" s="240"/>
      <c r="BS997" s="240"/>
      <c r="BT997" s="240"/>
      <c r="BU997" s="672"/>
      <c r="BV997" s="672"/>
      <c r="BW997" s="672"/>
      <c r="BX997" s="672"/>
      <c r="BY997" s="672"/>
      <c r="BZ997" s="672"/>
      <c r="CA997" s="672"/>
      <c r="CB997" s="672"/>
      <c r="CC997" s="672"/>
      <c r="CD997" s="672"/>
      <c r="CE997" s="240"/>
      <c r="CF997" s="240"/>
      <c r="CG997" s="240"/>
      <c r="CH997" s="240"/>
      <c r="CI997" s="240"/>
      <c r="CJ997" s="728"/>
      <c r="CK997" s="728"/>
      <c r="CL997" s="195"/>
      <c r="CM997" s="195"/>
      <c r="CN997" s="195"/>
      <c r="CO997" s="195"/>
      <c r="CP997" s="195"/>
      <c r="CQ997" s="195"/>
      <c r="CR997" s="195"/>
      <c r="CS997" s="195"/>
      <c r="CT997" s="195"/>
      <c r="CU997" s="195"/>
      <c r="CV997" s="195"/>
      <c r="CW997" s="195"/>
      <c r="CX997" s="195"/>
      <c r="CY997" s="195"/>
      <c r="CZ997" s="195"/>
      <c r="DA997" s="195"/>
      <c r="DB997" s="195"/>
      <c r="DC997" s="195"/>
      <c r="DD997" s="195"/>
      <c r="DO997" s="195"/>
      <c r="DP997" s="195"/>
      <c r="DQ997" s="195"/>
      <c r="DR997" s="195"/>
      <c r="DS997" s="195"/>
      <c r="DT997" s="195"/>
      <c r="DU997" s="195"/>
      <c r="DV997" s="195"/>
      <c r="DW997" s="195"/>
      <c r="DX997" s="195"/>
      <c r="DY997" s="195"/>
      <c r="DZ997" s="195"/>
      <c r="EA997" s="195"/>
      <c r="EB997" s="195"/>
      <c r="EC997" s="195"/>
      <c r="ED997" s="195"/>
      <c r="EE997" s="195"/>
      <c r="EK997" s="195"/>
      <c r="EL997" s="240"/>
      <c r="EM997" s="240"/>
      <c r="EN997" s="195"/>
      <c r="EO997" s="240"/>
      <c r="EP997" s="195"/>
      <c r="EQ997" s="195"/>
      <c r="ER997" s="195"/>
      <c r="ES997" s="736"/>
    </row>
    <row r="998" customFormat="false" ht="12.75" hidden="false" customHeight="false" outlineLevel="0" collapsed="false">
      <c r="I998" s="735"/>
      <c r="J998" s="728"/>
      <c r="K998" s="195"/>
      <c r="L998" s="195"/>
      <c r="Q998" s="195"/>
      <c r="R998" s="195"/>
      <c r="S998" s="240"/>
      <c r="T998" s="195"/>
      <c r="U998" s="195"/>
      <c r="V998" s="195"/>
      <c r="W998" s="195"/>
      <c r="X998" s="195"/>
      <c r="Y998" s="195"/>
      <c r="Z998" s="195"/>
      <c r="AA998" s="195"/>
      <c r="AB998" s="195"/>
      <c r="AC998" s="195"/>
      <c r="AD998" s="195"/>
      <c r="AE998" s="195"/>
      <c r="AF998" s="195"/>
      <c r="AG998" s="195"/>
      <c r="AH998" s="195"/>
      <c r="AI998" s="195"/>
      <c r="AJ998" s="195"/>
      <c r="AK998" s="195"/>
      <c r="AL998" s="195"/>
      <c r="AM998" s="1"/>
      <c r="AN998" s="240"/>
      <c r="AO998" s="240"/>
      <c r="AP998" s="240"/>
      <c r="AQ998" s="730"/>
      <c r="AR998" s="730"/>
      <c r="AS998" s="730"/>
      <c r="AT998" s="738"/>
      <c r="AU998" s="738"/>
      <c r="AV998" s="240"/>
      <c r="AW998" s="240"/>
      <c r="AX998" s="240"/>
      <c r="AY998" s="240"/>
      <c r="AZ998" s="240"/>
      <c r="BA998" s="240"/>
      <c r="BB998" s="672"/>
      <c r="BC998" s="731"/>
      <c r="BD998" s="731"/>
      <c r="BE998" s="731"/>
      <c r="BF998" s="672"/>
      <c r="BG998" s="732"/>
      <c r="BH998" s="240"/>
      <c r="BI998" s="240"/>
      <c r="BJ998" s="240"/>
      <c r="BK998" s="240"/>
      <c r="BL998" s="240"/>
      <c r="BM998" s="240"/>
      <c r="BN998" s="240"/>
      <c r="BO998" s="240"/>
      <c r="BP998" s="240"/>
      <c r="BQ998" s="240"/>
      <c r="BR998" s="240"/>
      <c r="BS998" s="240"/>
      <c r="BT998" s="240"/>
      <c r="BU998" s="672"/>
      <c r="BV998" s="672"/>
      <c r="BW998" s="672"/>
      <c r="BX998" s="672"/>
      <c r="BY998" s="672"/>
      <c r="BZ998" s="672"/>
      <c r="CA998" s="672"/>
      <c r="CB998" s="672"/>
      <c r="CC998" s="672"/>
      <c r="CD998" s="672"/>
      <c r="CE998" s="240"/>
      <c r="CF998" s="240"/>
      <c r="CG998" s="240"/>
      <c r="CH998" s="240"/>
      <c r="CI998" s="240"/>
      <c r="CJ998" s="728"/>
      <c r="CK998" s="728"/>
      <c r="CL998" s="195"/>
      <c r="CM998" s="195"/>
      <c r="CN998" s="195"/>
      <c r="CO998" s="195"/>
      <c r="CP998" s="195"/>
      <c r="CQ998" s="195"/>
      <c r="CR998" s="195"/>
      <c r="CS998" s="195"/>
      <c r="CT998" s="195"/>
      <c r="CU998" s="195"/>
      <c r="CV998" s="195"/>
      <c r="CW998" s="195"/>
      <c r="CX998" s="195"/>
      <c r="CY998" s="195"/>
      <c r="CZ998" s="195"/>
      <c r="DA998" s="195"/>
      <c r="DB998" s="195"/>
      <c r="DC998" s="195"/>
      <c r="DD998" s="195"/>
      <c r="DO998" s="195"/>
      <c r="DP998" s="195"/>
      <c r="DQ998" s="195"/>
      <c r="DR998" s="195"/>
      <c r="DS998" s="195"/>
      <c r="DT998" s="195"/>
      <c r="DU998" s="195"/>
      <c r="DV998" s="195"/>
      <c r="DW998" s="195"/>
      <c r="DX998" s="195"/>
      <c r="DY998" s="195"/>
      <c r="DZ998" s="195"/>
      <c r="EA998" s="195"/>
      <c r="EB998" s="195"/>
      <c r="EC998" s="195"/>
      <c r="ED998" s="195"/>
      <c r="EE998" s="195"/>
      <c r="EK998" s="195"/>
      <c r="EL998" s="240"/>
      <c r="EM998" s="240"/>
      <c r="EN998" s="195"/>
      <c r="EO998" s="240"/>
      <c r="EP998" s="195"/>
      <c r="EQ998" s="195"/>
      <c r="ER998" s="195"/>
      <c r="ES998" s="736"/>
    </row>
    <row r="999" customFormat="false" ht="12.75" hidden="false" customHeight="false" outlineLevel="0" collapsed="false">
      <c r="I999" s="735"/>
      <c r="J999" s="728"/>
      <c r="K999" s="195"/>
      <c r="L999" s="195"/>
      <c r="Q999" s="195"/>
      <c r="R999" s="195"/>
      <c r="S999" s="240"/>
      <c r="T999" s="195"/>
      <c r="U999" s="195"/>
      <c r="V999" s="195"/>
      <c r="W999" s="195"/>
      <c r="X999" s="195"/>
      <c r="Y999" s="195"/>
      <c r="Z999" s="195"/>
      <c r="AA999" s="195"/>
      <c r="AB999" s="195"/>
      <c r="AC999" s="195"/>
      <c r="AD999" s="195"/>
      <c r="AE999" s="195"/>
      <c r="AF999" s="195"/>
      <c r="AG999" s="195"/>
      <c r="AH999" s="195"/>
      <c r="AI999" s="195"/>
      <c r="AJ999" s="195"/>
      <c r="AK999" s="195"/>
      <c r="AL999" s="195"/>
      <c r="AM999" s="1"/>
      <c r="AN999" s="240"/>
      <c r="AO999" s="240"/>
      <c r="AP999" s="240"/>
      <c r="AQ999" s="730"/>
      <c r="AR999" s="730"/>
      <c r="AS999" s="730"/>
      <c r="AT999" s="738"/>
      <c r="AU999" s="738"/>
      <c r="AV999" s="240"/>
      <c r="AW999" s="240"/>
      <c r="AX999" s="240"/>
      <c r="AY999" s="240"/>
      <c r="AZ999" s="240"/>
      <c r="BA999" s="240"/>
      <c r="BB999" s="672"/>
      <c r="BC999" s="731"/>
      <c r="BD999" s="731"/>
      <c r="BE999" s="731"/>
      <c r="BF999" s="672"/>
      <c r="BG999" s="732"/>
      <c r="BH999" s="240"/>
      <c r="BI999" s="240"/>
      <c r="BJ999" s="240"/>
      <c r="BK999" s="240"/>
      <c r="BL999" s="240"/>
      <c r="BM999" s="240"/>
      <c r="BN999" s="240"/>
      <c r="BO999" s="240"/>
      <c r="BP999" s="240"/>
      <c r="BQ999" s="240"/>
      <c r="BR999" s="240"/>
      <c r="BS999" s="240"/>
      <c r="BT999" s="240"/>
      <c r="BU999" s="672"/>
      <c r="BV999" s="672"/>
      <c r="BW999" s="672"/>
      <c r="BX999" s="672"/>
      <c r="BY999" s="672"/>
      <c r="BZ999" s="672"/>
      <c r="CA999" s="672"/>
      <c r="CB999" s="672"/>
      <c r="CC999" s="672"/>
      <c r="CD999" s="672"/>
      <c r="CE999" s="240"/>
      <c r="CF999" s="240"/>
      <c r="CG999" s="240"/>
      <c r="CH999" s="240"/>
      <c r="CI999" s="240"/>
      <c r="CJ999" s="728"/>
      <c r="CK999" s="728"/>
      <c r="CL999" s="195"/>
      <c r="CM999" s="195"/>
      <c r="CN999" s="195"/>
      <c r="CO999" s="195"/>
      <c r="CP999" s="195"/>
      <c r="CQ999" s="195"/>
      <c r="CR999" s="195"/>
      <c r="CS999" s="195"/>
      <c r="CT999" s="195"/>
      <c r="CU999" s="195"/>
      <c r="CV999" s="195"/>
      <c r="CW999" s="195"/>
      <c r="CX999" s="195"/>
      <c r="CY999" s="195"/>
      <c r="CZ999" s="195"/>
      <c r="DA999" s="195"/>
      <c r="DB999" s="195"/>
      <c r="DC999" s="195"/>
      <c r="DD999" s="195"/>
      <c r="DO999" s="195"/>
      <c r="DP999" s="195"/>
      <c r="DQ999" s="195"/>
      <c r="DR999" s="195"/>
      <c r="DS999" s="195"/>
      <c r="DT999" s="195"/>
      <c r="DU999" s="195"/>
      <c r="DV999" s="195"/>
      <c r="DW999" s="195"/>
      <c r="DX999" s="195"/>
      <c r="DY999" s="195"/>
      <c r="DZ999" s="195"/>
      <c r="EA999" s="195"/>
      <c r="EB999" s="195"/>
      <c r="EC999" s="195"/>
      <c r="ED999" s="195"/>
      <c r="EE999" s="195"/>
      <c r="EK999" s="195"/>
      <c r="EL999" s="240"/>
      <c r="EM999" s="240"/>
      <c r="EN999" s="195"/>
      <c r="EO999" s="240"/>
      <c r="EP999" s="195"/>
      <c r="EQ999" s="195"/>
      <c r="ER999" s="195"/>
      <c r="ES999" s="736"/>
    </row>
    <row r="1000" customFormat="false" ht="12.75" hidden="false" customHeight="false" outlineLevel="0" collapsed="false">
      <c r="I1000" s="735"/>
      <c r="J1000" s="728"/>
      <c r="K1000" s="195"/>
      <c r="L1000" s="195"/>
      <c r="Q1000" s="195"/>
      <c r="R1000" s="195"/>
      <c r="S1000" s="240"/>
      <c r="T1000" s="195"/>
      <c r="U1000" s="195"/>
      <c r="V1000" s="195"/>
      <c r="W1000" s="195"/>
      <c r="X1000" s="195"/>
      <c r="Y1000" s="195"/>
      <c r="Z1000" s="195"/>
      <c r="AA1000" s="195"/>
      <c r="AB1000" s="195"/>
      <c r="AC1000" s="195"/>
      <c r="AD1000" s="195"/>
      <c r="AE1000" s="195"/>
      <c r="AF1000" s="195"/>
      <c r="AG1000" s="195"/>
      <c r="AH1000" s="195"/>
      <c r="AI1000" s="195"/>
      <c r="AJ1000" s="195"/>
      <c r="AK1000" s="195"/>
      <c r="AL1000" s="195"/>
      <c r="AM1000" s="1"/>
      <c r="AN1000" s="240"/>
      <c r="AO1000" s="240"/>
      <c r="AP1000" s="240"/>
      <c r="AQ1000" s="730"/>
      <c r="AR1000" s="730"/>
      <c r="AS1000" s="730"/>
      <c r="AT1000" s="738"/>
      <c r="AU1000" s="738"/>
      <c r="AV1000" s="240"/>
      <c r="AW1000" s="240"/>
      <c r="AX1000" s="240"/>
      <c r="AY1000" s="240"/>
      <c r="AZ1000" s="240"/>
      <c r="BA1000" s="240"/>
      <c r="BB1000" s="672"/>
      <c r="BC1000" s="731"/>
      <c r="BD1000" s="731"/>
      <c r="BE1000" s="731"/>
      <c r="BF1000" s="672"/>
      <c r="BG1000" s="732"/>
      <c r="BH1000" s="240"/>
      <c r="BI1000" s="240"/>
      <c r="BJ1000" s="240"/>
      <c r="BK1000" s="240"/>
      <c r="BL1000" s="240"/>
      <c r="BM1000" s="240"/>
      <c r="BN1000" s="240"/>
      <c r="BO1000" s="240"/>
      <c r="BP1000" s="240"/>
      <c r="BQ1000" s="240"/>
      <c r="BR1000" s="240"/>
      <c r="BS1000" s="240"/>
      <c r="BT1000" s="240"/>
      <c r="BU1000" s="672"/>
      <c r="BV1000" s="672"/>
      <c r="BW1000" s="672"/>
      <c r="BX1000" s="672"/>
      <c r="BY1000" s="672"/>
      <c r="BZ1000" s="672"/>
      <c r="CA1000" s="672"/>
      <c r="CB1000" s="672"/>
      <c r="CC1000" s="672"/>
      <c r="CD1000" s="672"/>
      <c r="CE1000" s="240"/>
      <c r="CF1000" s="240"/>
      <c r="CG1000" s="240"/>
      <c r="CH1000" s="240"/>
      <c r="CI1000" s="240"/>
      <c r="CJ1000" s="728"/>
      <c r="CK1000" s="728"/>
      <c r="CL1000" s="195"/>
      <c r="CM1000" s="195"/>
      <c r="CN1000" s="195"/>
      <c r="CO1000" s="195"/>
      <c r="CP1000" s="195"/>
      <c r="CQ1000" s="195"/>
      <c r="CR1000" s="195"/>
      <c r="CS1000" s="195"/>
      <c r="CT1000" s="195"/>
      <c r="CU1000" s="195"/>
      <c r="CV1000" s="195"/>
      <c r="CW1000" s="195"/>
      <c r="CX1000" s="195"/>
      <c r="CY1000" s="195"/>
      <c r="CZ1000" s="195"/>
      <c r="DA1000" s="195"/>
      <c r="DB1000" s="195"/>
      <c r="DC1000" s="195"/>
      <c r="DD1000" s="195"/>
      <c r="DO1000" s="195"/>
      <c r="DP1000" s="195"/>
      <c r="DQ1000" s="195"/>
      <c r="DR1000" s="195"/>
      <c r="DS1000" s="195"/>
      <c r="DT1000" s="195"/>
      <c r="DU1000" s="195"/>
      <c r="DV1000" s="195"/>
      <c r="DW1000" s="195"/>
      <c r="DX1000" s="195"/>
      <c r="DY1000" s="195"/>
      <c r="DZ1000" s="195"/>
      <c r="EA1000" s="195"/>
      <c r="EB1000" s="195"/>
      <c r="EC1000" s="195"/>
      <c r="ED1000" s="195"/>
      <c r="EE1000" s="195"/>
      <c r="EK1000" s="195"/>
      <c r="EL1000" s="240"/>
      <c r="EM1000" s="240"/>
      <c r="EN1000" s="195"/>
      <c r="EO1000" s="240"/>
      <c r="EP1000" s="195"/>
      <c r="EQ1000" s="195"/>
      <c r="ER1000" s="195"/>
      <c r="ES1000" s="736"/>
    </row>
    <row r="1001" customFormat="false" ht="12.75" hidden="false" customHeight="false" outlineLevel="0" collapsed="false">
      <c r="I1001" s="735"/>
      <c r="J1001" s="728"/>
      <c r="K1001" s="195"/>
      <c r="L1001" s="195"/>
      <c r="Q1001" s="195"/>
      <c r="R1001" s="195"/>
      <c r="S1001" s="240"/>
      <c r="T1001" s="195"/>
      <c r="U1001" s="195"/>
      <c r="V1001" s="195"/>
      <c r="W1001" s="195"/>
      <c r="X1001" s="195"/>
      <c r="Y1001" s="195"/>
      <c r="Z1001" s="195"/>
      <c r="AA1001" s="195"/>
      <c r="AB1001" s="195"/>
      <c r="AC1001" s="195"/>
      <c r="AD1001" s="195"/>
      <c r="AE1001" s="195"/>
      <c r="AF1001" s="195"/>
      <c r="AG1001" s="195"/>
      <c r="AH1001" s="195"/>
      <c r="AI1001" s="195"/>
      <c r="AJ1001" s="195"/>
      <c r="AK1001" s="195"/>
      <c r="AL1001" s="195"/>
      <c r="AM1001" s="1"/>
      <c r="AN1001" s="240"/>
      <c r="AO1001" s="240"/>
      <c r="AP1001" s="240"/>
      <c r="AQ1001" s="730"/>
      <c r="AR1001" s="730"/>
      <c r="AS1001" s="730"/>
      <c r="AT1001" s="738"/>
      <c r="AU1001" s="738"/>
      <c r="AV1001" s="240"/>
      <c r="AW1001" s="240"/>
      <c r="AX1001" s="240"/>
      <c r="AY1001" s="240"/>
      <c r="AZ1001" s="240"/>
      <c r="BA1001" s="240"/>
      <c r="BB1001" s="672"/>
      <c r="BC1001" s="731"/>
      <c r="BD1001" s="731"/>
      <c r="BE1001" s="731"/>
      <c r="BF1001" s="672"/>
      <c r="BG1001" s="732"/>
      <c r="BH1001" s="240"/>
      <c r="BI1001" s="240"/>
      <c r="BJ1001" s="240"/>
      <c r="BK1001" s="240"/>
      <c r="BL1001" s="240"/>
      <c r="BM1001" s="240"/>
      <c r="BN1001" s="240"/>
      <c r="BO1001" s="240"/>
      <c r="BP1001" s="240"/>
      <c r="BQ1001" s="240"/>
      <c r="BR1001" s="240"/>
      <c r="BS1001" s="240"/>
      <c r="BT1001" s="240"/>
      <c r="BU1001" s="672"/>
      <c r="BV1001" s="672"/>
      <c r="BW1001" s="672"/>
      <c r="BX1001" s="672"/>
      <c r="BY1001" s="672"/>
      <c r="BZ1001" s="672"/>
      <c r="CA1001" s="672"/>
      <c r="CB1001" s="672"/>
      <c r="CC1001" s="672"/>
      <c r="CD1001" s="672"/>
      <c r="CE1001" s="240"/>
      <c r="CF1001" s="240"/>
      <c r="CG1001" s="240"/>
      <c r="CH1001" s="240"/>
      <c r="CI1001" s="240"/>
      <c r="CJ1001" s="728"/>
      <c r="CK1001" s="728"/>
      <c r="CL1001" s="195"/>
      <c r="CM1001" s="195"/>
      <c r="CN1001" s="195"/>
      <c r="CO1001" s="195"/>
      <c r="CP1001" s="195"/>
      <c r="CQ1001" s="195"/>
      <c r="CR1001" s="195"/>
      <c r="CS1001" s="195"/>
      <c r="CT1001" s="195"/>
      <c r="CU1001" s="195"/>
      <c r="CV1001" s="195"/>
      <c r="CW1001" s="195"/>
      <c r="CX1001" s="195"/>
      <c r="CY1001" s="195"/>
      <c r="CZ1001" s="195"/>
      <c r="DA1001" s="195"/>
      <c r="DB1001" s="195"/>
      <c r="DC1001" s="195"/>
      <c r="DD1001" s="195"/>
      <c r="DO1001" s="195"/>
      <c r="DP1001" s="195"/>
      <c r="DQ1001" s="195"/>
      <c r="DR1001" s="195"/>
      <c r="DS1001" s="195"/>
      <c r="DT1001" s="195"/>
      <c r="DU1001" s="195"/>
      <c r="DV1001" s="195"/>
      <c r="DW1001" s="195"/>
      <c r="DX1001" s="195"/>
      <c r="DY1001" s="195"/>
      <c r="DZ1001" s="195"/>
      <c r="EA1001" s="195"/>
      <c r="EB1001" s="195"/>
      <c r="EC1001" s="195"/>
      <c r="ED1001" s="195"/>
      <c r="EE1001" s="195"/>
      <c r="EK1001" s="195"/>
      <c r="EL1001" s="240"/>
      <c r="EM1001" s="240"/>
      <c r="EN1001" s="195"/>
      <c r="EO1001" s="240"/>
      <c r="EP1001" s="195"/>
      <c r="EQ1001" s="195"/>
      <c r="ER1001" s="195"/>
      <c r="ES1001" s="736"/>
    </row>
    <row r="1002" customFormat="false" ht="12.75" hidden="false" customHeight="false" outlineLevel="0" collapsed="false">
      <c r="I1002" s="735"/>
      <c r="J1002" s="728"/>
      <c r="K1002" s="195"/>
      <c r="L1002" s="195"/>
      <c r="Q1002" s="195"/>
      <c r="R1002" s="195"/>
      <c r="S1002" s="240"/>
      <c r="T1002" s="195"/>
      <c r="U1002" s="195"/>
      <c r="V1002" s="195"/>
      <c r="W1002" s="195"/>
      <c r="X1002" s="195"/>
      <c r="Y1002" s="195"/>
      <c r="Z1002" s="195"/>
      <c r="AA1002" s="195"/>
      <c r="AB1002" s="195"/>
      <c r="AC1002" s="195"/>
      <c r="AD1002" s="195"/>
      <c r="AE1002" s="195"/>
      <c r="AF1002" s="195"/>
      <c r="AG1002" s="195"/>
      <c r="AH1002" s="195"/>
      <c r="AI1002" s="195"/>
      <c r="AJ1002" s="195"/>
      <c r="AK1002" s="195"/>
      <c r="AL1002" s="195"/>
      <c r="AM1002" s="1"/>
      <c r="AN1002" s="240"/>
      <c r="AO1002" s="240"/>
      <c r="AP1002" s="240"/>
      <c r="AQ1002" s="730"/>
      <c r="AR1002" s="730"/>
      <c r="AS1002" s="730"/>
      <c r="AT1002" s="738"/>
      <c r="AU1002" s="738"/>
      <c r="AV1002" s="240"/>
      <c r="AW1002" s="240"/>
      <c r="AX1002" s="240"/>
      <c r="AY1002" s="240"/>
      <c r="AZ1002" s="240"/>
      <c r="BA1002" s="240"/>
      <c r="BB1002" s="672"/>
      <c r="BC1002" s="731"/>
      <c r="BD1002" s="731"/>
      <c r="BE1002" s="731"/>
      <c r="BF1002" s="672"/>
      <c r="BG1002" s="732"/>
      <c r="BH1002" s="240"/>
      <c r="BI1002" s="240"/>
      <c r="BJ1002" s="240"/>
      <c r="BK1002" s="240"/>
      <c r="BL1002" s="240"/>
      <c r="BM1002" s="240"/>
      <c r="BN1002" s="240"/>
      <c r="BO1002" s="240"/>
      <c r="BP1002" s="240"/>
      <c r="BQ1002" s="240"/>
      <c r="BR1002" s="240"/>
      <c r="BS1002" s="240"/>
      <c r="BT1002" s="240"/>
      <c r="BU1002" s="672"/>
      <c r="BV1002" s="672"/>
      <c r="BW1002" s="672"/>
      <c r="BX1002" s="672"/>
      <c r="BY1002" s="672"/>
      <c r="BZ1002" s="672"/>
      <c r="CA1002" s="672"/>
      <c r="CB1002" s="672"/>
      <c r="CC1002" s="672"/>
      <c r="CD1002" s="672"/>
      <c r="CE1002" s="240"/>
      <c r="CF1002" s="240"/>
      <c r="CG1002" s="240"/>
      <c r="CH1002" s="240"/>
      <c r="CI1002" s="240"/>
      <c r="CJ1002" s="728"/>
      <c r="CK1002" s="728"/>
      <c r="CL1002" s="195"/>
      <c r="CM1002" s="195"/>
      <c r="CN1002" s="195"/>
      <c r="CO1002" s="195"/>
      <c r="CP1002" s="195"/>
      <c r="CQ1002" s="195"/>
      <c r="CR1002" s="195"/>
      <c r="CS1002" s="195"/>
      <c r="CT1002" s="195"/>
      <c r="CU1002" s="195"/>
      <c r="CV1002" s="195"/>
      <c r="CW1002" s="195"/>
      <c r="CX1002" s="195"/>
      <c r="CY1002" s="195"/>
      <c r="CZ1002" s="195"/>
      <c r="DA1002" s="195"/>
      <c r="DB1002" s="195"/>
      <c r="DC1002" s="195"/>
      <c r="DD1002" s="195"/>
      <c r="DO1002" s="195"/>
      <c r="DP1002" s="195"/>
      <c r="DQ1002" s="195"/>
      <c r="DR1002" s="195"/>
      <c r="DS1002" s="195"/>
      <c r="DT1002" s="195"/>
      <c r="DU1002" s="195"/>
      <c r="DV1002" s="195"/>
      <c r="DW1002" s="195"/>
      <c r="DX1002" s="195"/>
      <c r="DY1002" s="195"/>
      <c r="DZ1002" s="195"/>
      <c r="EA1002" s="195"/>
      <c r="EB1002" s="195"/>
      <c r="EC1002" s="195"/>
      <c r="ED1002" s="195"/>
      <c r="EE1002" s="195"/>
      <c r="EK1002" s="195"/>
      <c r="EL1002" s="240"/>
      <c r="EM1002" s="240"/>
      <c r="EN1002" s="195"/>
      <c r="EO1002" s="240"/>
      <c r="EP1002" s="195"/>
      <c r="EQ1002" s="195"/>
      <c r="ER1002" s="195"/>
      <c r="ES1002" s="736"/>
    </row>
    <row r="1003" customFormat="false" ht="12.75" hidden="false" customHeight="false" outlineLevel="0" collapsed="false">
      <c r="I1003" s="735"/>
      <c r="J1003" s="728"/>
      <c r="K1003" s="195"/>
      <c r="L1003" s="195"/>
      <c r="Q1003" s="195"/>
      <c r="R1003" s="195"/>
      <c r="S1003" s="240"/>
      <c r="T1003" s="195"/>
      <c r="U1003" s="195"/>
      <c r="V1003" s="195"/>
      <c r="W1003" s="195"/>
      <c r="X1003" s="195"/>
      <c r="Y1003" s="195"/>
      <c r="Z1003" s="195"/>
      <c r="AA1003" s="195"/>
      <c r="AB1003" s="195"/>
      <c r="AC1003" s="195"/>
      <c r="AD1003" s="195"/>
      <c r="AE1003" s="195"/>
      <c r="AF1003" s="195"/>
      <c r="AG1003" s="195"/>
      <c r="AH1003" s="195"/>
      <c r="AI1003" s="195"/>
      <c r="AJ1003" s="195"/>
      <c r="AK1003" s="195"/>
      <c r="AL1003" s="195"/>
      <c r="AM1003" s="1"/>
      <c r="AN1003" s="240"/>
      <c r="AO1003" s="240"/>
      <c r="AP1003" s="240"/>
      <c r="AQ1003" s="730"/>
      <c r="AR1003" s="730"/>
      <c r="AS1003" s="730"/>
      <c r="AT1003" s="738"/>
      <c r="AU1003" s="738"/>
      <c r="AV1003" s="240"/>
      <c r="AW1003" s="240"/>
      <c r="AX1003" s="240"/>
      <c r="AY1003" s="240"/>
      <c r="AZ1003" s="240"/>
      <c r="BA1003" s="240"/>
      <c r="BB1003" s="672"/>
      <c r="BC1003" s="731"/>
      <c r="BD1003" s="731"/>
      <c r="BE1003" s="731"/>
      <c r="BF1003" s="672"/>
      <c r="BG1003" s="732"/>
      <c r="BH1003" s="240"/>
      <c r="BI1003" s="240"/>
      <c r="BJ1003" s="240"/>
      <c r="BK1003" s="240"/>
      <c r="BL1003" s="240"/>
      <c r="BM1003" s="240"/>
      <c r="BN1003" s="240"/>
      <c r="BO1003" s="240"/>
      <c r="BP1003" s="240"/>
      <c r="BQ1003" s="240"/>
      <c r="BR1003" s="240"/>
      <c r="BS1003" s="240"/>
      <c r="BT1003" s="240"/>
      <c r="BU1003" s="672"/>
      <c r="BV1003" s="672"/>
      <c r="BW1003" s="672"/>
      <c r="BX1003" s="672"/>
      <c r="BY1003" s="672"/>
      <c r="BZ1003" s="672"/>
      <c r="CA1003" s="672"/>
      <c r="CB1003" s="672"/>
      <c r="CC1003" s="672"/>
      <c r="CD1003" s="672"/>
      <c r="CE1003" s="240"/>
      <c r="CF1003" s="240"/>
      <c r="CG1003" s="240"/>
      <c r="CH1003" s="240"/>
      <c r="CI1003" s="240"/>
      <c r="CJ1003" s="728"/>
      <c r="CK1003" s="728"/>
      <c r="CL1003" s="195"/>
      <c r="CM1003" s="195"/>
      <c r="CN1003" s="195"/>
      <c r="CO1003" s="195"/>
      <c r="CP1003" s="195"/>
      <c r="CQ1003" s="195"/>
      <c r="CR1003" s="195"/>
      <c r="CS1003" s="195"/>
      <c r="CT1003" s="195"/>
      <c r="CU1003" s="195"/>
      <c r="CV1003" s="195"/>
      <c r="CW1003" s="195"/>
      <c r="CX1003" s="195"/>
      <c r="CY1003" s="195"/>
      <c r="CZ1003" s="195"/>
      <c r="DA1003" s="195"/>
      <c r="DB1003" s="195"/>
      <c r="DC1003" s="195"/>
      <c r="DD1003" s="195"/>
      <c r="DO1003" s="195"/>
      <c r="DP1003" s="195"/>
      <c r="DQ1003" s="195"/>
      <c r="DR1003" s="195"/>
      <c r="DS1003" s="195"/>
      <c r="DT1003" s="195"/>
      <c r="DU1003" s="195"/>
      <c r="DV1003" s="195"/>
      <c r="DW1003" s="195"/>
      <c r="DX1003" s="195"/>
      <c r="DY1003" s="195"/>
      <c r="DZ1003" s="195"/>
      <c r="EA1003" s="195"/>
      <c r="EB1003" s="195"/>
      <c r="EC1003" s="195"/>
      <c r="ED1003" s="195"/>
      <c r="EE1003" s="195"/>
      <c r="EK1003" s="195"/>
      <c r="EL1003" s="240"/>
      <c r="EM1003" s="240"/>
      <c r="EN1003" s="195"/>
      <c r="EO1003" s="240"/>
      <c r="EP1003" s="195"/>
      <c r="EQ1003" s="195"/>
      <c r="ER1003" s="195"/>
      <c r="ES1003" s="736"/>
    </row>
    <row r="1004" customFormat="false" ht="12.75" hidden="false" customHeight="false" outlineLevel="0" collapsed="false">
      <c r="I1004" s="735"/>
      <c r="J1004" s="728"/>
      <c r="K1004" s="195"/>
      <c r="L1004" s="195"/>
      <c r="Q1004" s="195"/>
      <c r="R1004" s="195"/>
      <c r="S1004" s="240"/>
      <c r="T1004" s="195"/>
      <c r="U1004" s="195"/>
      <c r="V1004" s="195"/>
      <c r="W1004" s="195"/>
      <c r="X1004" s="195"/>
      <c r="Y1004" s="195"/>
      <c r="Z1004" s="195"/>
      <c r="AA1004" s="195"/>
      <c r="AB1004" s="195"/>
      <c r="AC1004" s="195"/>
      <c r="AD1004" s="195"/>
      <c r="AE1004" s="195"/>
      <c r="AF1004" s="195"/>
      <c r="AG1004" s="195"/>
      <c r="AH1004" s="195"/>
      <c r="AI1004" s="195"/>
      <c r="AJ1004" s="195"/>
      <c r="AK1004" s="195"/>
      <c r="AL1004" s="195"/>
      <c r="AM1004" s="1"/>
      <c r="AN1004" s="240"/>
      <c r="AO1004" s="240"/>
      <c r="AP1004" s="240"/>
      <c r="AQ1004" s="730"/>
      <c r="AR1004" s="730"/>
      <c r="AS1004" s="730"/>
      <c r="AT1004" s="738"/>
      <c r="AU1004" s="738"/>
      <c r="AV1004" s="240"/>
      <c r="AW1004" s="240"/>
      <c r="AX1004" s="240"/>
      <c r="AY1004" s="240"/>
      <c r="AZ1004" s="240"/>
      <c r="BA1004" s="240"/>
      <c r="BB1004" s="672"/>
      <c r="BC1004" s="731"/>
      <c r="BD1004" s="731"/>
      <c r="BE1004" s="731"/>
      <c r="BF1004" s="672"/>
      <c r="BG1004" s="732"/>
      <c r="BH1004" s="240"/>
      <c r="BI1004" s="240"/>
      <c r="BJ1004" s="240"/>
      <c r="BK1004" s="240"/>
      <c r="BL1004" s="240"/>
      <c r="BM1004" s="240"/>
      <c r="BN1004" s="240"/>
      <c r="BO1004" s="240"/>
      <c r="BP1004" s="240"/>
      <c r="BQ1004" s="240"/>
      <c r="BR1004" s="240"/>
      <c r="BS1004" s="240"/>
      <c r="BT1004" s="240"/>
      <c r="BU1004" s="672"/>
      <c r="BV1004" s="672"/>
      <c r="BW1004" s="672"/>
      <c r="BX1004" s="672"/>
      <c r="BY1004" s="672"/>
      <c r="BZ1004" s="672"/>
      <c r="CA1004" s="672"/>
      <c r="CB1004" s="672"/>
      <c r="CC1004" s="672"/>
      <c r="CD1004" s="672"/>
      <c r="CE1004" s="240"/>
      <c r="CF1004" s="240"/>
      <c r="CG1004" s="240"/>
      <c r="CH1004" s="240"/>
      <c r="CI1004" s="240"/>
      <c r="CJ1004" s="728"/>
      <c r="CK1004" s="728"/>
      <c r="CL1004" s="195"/>
      <c r="CM1004" s="195"/>
      <c r="CN1004" s="195"/>
      <c r="CO1004" s="195"/>
      <c r="CP1004" s="195"/>
      <c r="CQ1004" s="195"/>
      <c r="CR1004" s="195"/>
      <c r="CS1004" s="195"/>
      <c r="CT1004" s="195"/>
      <c r="CU1004" s="195"/>
      <c r="CV1004" s="195"/>
      <c r="CW1004" s="195"/>
      <c r="CX1004" s="195"/>
      <c r="CY1004" s="195"/>
      <c r="CZ1004" s="195"/>
      <c r="DA1004" s="195"/>
      <c r="DB1004" s="195"/>
      <c r="DC1004" s="195"/>
      <c r="DD1004" s="195"/>
      <c r="DO1004" s="195"/>
      <c r="DP1004" s="195"/>
      <c r="DQ1004" s="195"/>
      <c r="DR1004" s="195"/>
      <c r="DS1004" s="195"/>
      <c r="DT1004" s="195"/>
      <c r="DU1004" s="195"/>
      <c r="DV1004" s="195"/>
      <c r="DW1004" s="195"/>
      <c r="DX1004" s="195"/>
      <c r="DY1004" s="195"/>
      <c r="DZ1004" s="195"/>
      <c r="EA1004" s="195"/>
      <c r="EB1004" s="195"/>
      <c r="EC1004" s="195"/>
      <c r="ED1004" s="195"/>
      <c r="EE1004" s="195"/>
      <c r="EK1004" s="195"/>
      <c r="EL1004" s="240"/>
      <c r="EM1004" s="240"/>
      <c r="EN1004" s="195"/>
      <c r="EO1004" s="240"/>
      <c r="EP1004" s="195"/>
      <c r="EQ1004" s="195"/>
      <c r="ER1004" s="195"/>
      <c r="ES1004" s="736"/>
    </row>
    <row r="1005" customFormat="false" ht="12.75" hidden="false" customHeight="false" outlineLevel="0" collapsed="false">
      <c r="I1005" s="735"/>
      <c r="J1005" s="728"/>
      <c r="K1005" s="195"/>
      <c r="L1005" s="195"/>
      <c r="Q1005" s="195"/>
      <c r="R1005" s="195"/>
      <c r="S1005" s="240"/>
      <c r="T1005" s="195"/>
      <c r="U1005" s="195"/>
      <c r="V1005" s="195"/>
      <c r="W1005" s="195"/>
      <c r="X1005" s="195"/>
      <c r="Y1005" s="195"/>
      <c r="Z1005" s="195"/>
      <c r="AA1005" s="195"/>
      <c r="AB1005" s="195"/>
      <c r="AC1005" s="195"/>
      <c r="AD1005" s="195"/>
      <c r="AE1005" s="195"/>
      <c r="AF1005" s="195"/>
      <c r="AG1005" s="195"/>
      <c r="AH1005" s="195"/>
      <c r="AI1005" s="195"/>
      <c r="AJ1005" s="195"/>
      <c r="AK1005" s="195"/>
      <c r="AL1005" s="195"/>
      <c r="AM1005" s="1"/>
      <c r="AN1005" s="240"/>
      <c r="AO1005" s="240"/>
      <c r="AP1005" s="240"/>
      <c r="AQ1005" s="730"/>
      <c r="AR1005" s="730"/>
      <c r="AS1005" s="730"/>
      <c r="AT1005" s="738"/>
      <c r="AU1005" s="738"/>
      <c r="AV1005" s="240"/>
      <c r="AW1005" s="240"/>
      <c r="AX1005" s="240"/>
      <c r="AY1005" s="240"/>
      <c r="AZ1005" s="240"/>
      <c r="BA1005" s="240"/>
      <c r="BB1005" s="672"/>
      <c r="BC1005" s="731"/>
      <c r="BD1005" s="731"/>
      <c r="BE1005" s="731"/>
      <c r="BF1005" s="672"/>
      <c r="BG1005" s="732"/>
      <c r="BH1005" s="240"/>
      <c r="BI1005" s="240"/>
      <c r="BJ1005" s="240"/>
      <c r="BK1005" s="240"/>
      <c r="BL1005" s="240"/>
      <c r="BM1005" s="240"/>
      <c r="BN1005" s="240"/>
      <c r="BO1005" s="240"/>
      <c r="BP1005" s="240"/>
      <c r="BQ1005" s="240"/>
      <c r="BR1005" s="240"/>
      <c r="BS1005" s="240"/>
      <c r="BT1005" s="240"/>
      <c r="BU1005" s="672"/>
      <c r="BV1005" s="672"/>
      <c r="BW1005" s="672"/>
      <c r="BX1005" s="672"/>
      <c r="BY1005" s="672"/>
      <c r="BZ1005" s="672"/>
      <c r="CA1005" s="672"/>
      <c r="CB1005" s="672"/>
      <c r="CC1005" s="672"/>
      <c r="CD1005" s="672"/>
      <c r="CE1005" s="240"/>
      <c r="CF1005" s="240"/>
      <c r="CG1005" s="240"/>
      <c r="CH1005" s="240"/>
      <c r="CI1005" s="240"/>
      <c r="CJ1005" s="728"/>
      <c r="CK1005" s="728"/>
      <c r="CL1005" s="195"/>
      <c r="CM1005" s="195"/>
      <c r="CN1005" s="195"/>
      <c r="CO1005" s="195"/>
      <c r="CP1005" s="195"/>
      <c r="CQ1005" s="195"/>
      <c r="CR1005" s="195"/>
      <c r="CS1005" s="195"/>
      <c r="CT1005" s="195"/>
      <c r="CU1005" s="195"/>
      <c r="CV1005" s="195"/>
      <c r="CW1005" s="195"/>
      <c r="CX1005" s="195"/>
      <c r="CY1005" s="195"/>
      <c r="CZ1005" s="195"/>
      <c r="DA1005" s="195"/>
      <c r="DB1005" s="195"/>
      <c r="DC1005" s="195"/>
      <c r="DD1005" s="195"/>
      <c r="DO1005" s="195"/>
      <c r="DP1005" s="195"/>
      <c r="DQ1005" s="195"/>
      <c r="DR1005" s="195"/>
      <c r="DS1005" s="195"/>
      <c r="DT1005" s="195"/>
      <c r="DU1005" s="195"/>
      <c r="DV1005" s="195"/>
      <c r="DW1005" s="195"/>
      <c r="DX1005" s="195"/>
      <c r="DY1005" s="195"/>
      <c r="DZ1005" s="195"/>
      <c r="EA1005" s="195"/>
      <c r="EB1005" s="195"/>
      <c r="EC1005" s="195"/>
      <c r="ED1005" s="195"/>
      <c r="EE1005" s="195"/>
      <c r="EK1005" s="195"/>
      <c r="EL1005" s="240"/>
      <c r="EM1005" s="240"/>
      <c r="EN1005" s="195"/>
      <c r="EO1005" s="240"/>
      <c r="EP1005" s="195"/>
      <c r="EQ1005" s="195"/>
      <c r="ER1005" s="195"/>
      <c r="ES1005" s="736"/>
    </row>
    <row r="1006" customFormat="false" ht="12.75" hidden="false" customHeight="false" outlineLevel="0" collapsed="false">
      <c r="I1006" s="735"/>
      <c r="J1006" s="728"/>
      <c r="K1006" s="195"/>
      <c r="L1006" s="195"/>
      <c r="Q1006" s="195"/>
      <c r="R1006" s="195"/>
      <c r="S1006" s="240"/>
      <c r="T1006" s="195"/>
      <c r="U1006" s="195"/>
      <c r="V1006" s="195"/>
      <c r="W1006" s="195"/>
      <c r="X1006" s="195"/>
      <c r="Y1006" s="195"/>
      <c r="Z1006" s="195"/>
      <c r="AA1006" s="195"/>
      <c r="AB1006" s="195"/>
      <c r="AC1006" s="195"/>
      <c r="AD1006" s="195"/>
      <c r="AE1006" s="195"/>
      <c r="AF1006" s="195"/>
      <c r="AG1006" s="195"/>
      <c r="AH1006" s="195"/>
      <c r="AI1006" s="195"/>
      <c r="AJ1006" s="195"/>
      <c r="AK1006" s="195"/>
      <c r="AL1006" s="195"/>
      <c r="AM1006" s="1"/>
      <c r="AN1006" s="240"/>
      <c r="AO1006" s="240"/>
      <c r="AP1006" s="240"/>
      <c r="AQ1006" s="730"/>
      <c r="AR1006" s="730"/>
      <c r="AS1006" s="730"/>
      <c r="AT1006" s="738"/>
      <c r="AU1006" s="738"/>
      <c r="AV1006" s="240"/>
      <c r="AW1006" s="240"/>
      <c r="AX1006" s="240"/>
      <c r="AY1006" s="240"/>
      <c r="AZ1006" s="240"/>
      <c r="BA1006" s="240"/>
      <c r="BB1006" s="672"/>
      <c r="BC1006" s="731"/>
      <c r="BD1006" s="731"/>
      <c r="BE1006" s="731"/>
      <c r="BF1006" s="672"/>
      <c r="BG1006" s="732"/>
      <c r="BH1006" s="240"/>
      <c r="BI1006" s="240"/>
      <c r="BJ1006" s="240"/>
      <c r="BK1006" s="240"/>
      <c r="BL1006" s="240"/>
      <c r="BM1006" s="240"/>
      <c r="BN1006" s="240"/>
      <c r="BO1006" s="240"/>
      <c r="BP1006" s="240"/>
      <c r="BQ1006" s="240"/>
      <c r="BR1006" s="240"/>
      <c r="BS1006" s="240"/>
      <c r="BT1006" s="240"/>
      <c r="BU1006" s="672"/>
      <c r="BV1006" s="672"/>
      <c r="BW1006" s="672"/>
      <c r="BX1006" s="672"/>
      <c r="BY1006" s="672"/>
      <c r="BZ1006" s="672"/>
      <c r="CA1006" s="672"/>
      <c r="CB1006" s="672"/>
      <c r="CC1006" s="672"/>
      <c r="CD1006" s="672"/>
      <c r="CE1006" s="240"/>
      <c r="CF1006" s="240"/>
      <c r="CG1006" s="240"/>
      <c r="CH1006" s="240"/>
      <c r="CI1006" s="240"/>
      <c r="CJ1006" s="728"/>
      <c r="CK1006" s="728"/>
      <c r="CL1006" s="195"/>
      <c r="CM1006" s="195"/>
      <c r="CN1006" s="195"/>
      <c r="CO1006" s="195"/>
      <c r="CP1006" s="195"/>
      <c r="CQ1006" s="195"/>
      <c r="CR1006" s="195"/>
      <c r="CS1006" s="195"/>
      <c r="CT1006" s="195"/>
      <c r="CU1006" s="195"/>
      <c r="CV1006" s="195"/>
      <c r="CW1006" s="195"/>
      <c r="CX1006" s="195"/>
      <c r="CY1006" s="195"/>
      <c r="CZ1006" s="195"/>
      <c r="DA1006" s="195"/>
      <c r="DB1006" s="195"/>
      <c r="DC1006" s="195"/>
      <c r="DD1006" s="195"/>
      <c r="DO1006" s="195"/>
      <c r="DP1006" s="195"/>
      <c r="DQ1006" s="195"/>
      <c r="DR1006" s="195"/>
      <c r="DS1006" s="195"/>
      <c r="DT1006" s="195"/>
      <c r="DU1006" s="195"/>
      <c r="DV1006" s="195"/>
      <c r="DW1006" s="195"/>
      <c r="DX1006" s="195"/>
      <c r="DY1006" s="195"/>
      <c r="DZ1006" s="195"/>
      <c r="EA1006" s="195"/>
      <c r="EB1006" s="195"/>
      <c r="EC1006" s="195"/>
      <c r="ED1006" s="195"/>
      <c r="EE1006" s="195"/>
      <c r="EK1006" s="195"/>
      <c r="EL1006" s="240"/>
      <c r="EM1006" s="240"/>
      <c r="EN1006" s="195"/>
      <c r="EO1006" s="240"/>
      <c r="EP1006" s="195"/>
      <c r="EQ1006" s="195"/>
      <c r="ER1006" s="195"/>
      <c r="ES1006" s="736"/>
    </row>
    <row r="1007" customFormat="false" ht="12.75" hidden="false" customHeight="false" outlineLevel="0" collapsed="false">
      <c r="I1007" s="735"/>
      <c r="J1007" s="728"/>
      <c r="K1007" s="195"/>
      <c r="L1007" s="195"/>
      <c r="Q1007" s="195"/>
      <c r="R1007" s="195"/>
      <c r="S1007" s="240"/>
      <c r="T1007" s="195"/>
      <c r="U1007" s="195"/>
      <c r="V1007" s="195"/>
      <c r="W1007" s="195"/>
      <c r="X1007" s="195"/>
      <c r="Y1007" s="195"/>
      <c r="Z1007" s="195"/>
      <c r="AA1007" s="195"/>
      <c r="AB1007" s="195"/>
      <c r="AC1007" s="195"/>
      <c r="AD1007" s="195"/>
      <c r="AE1007" s="195"/>
      <c r="AF1007" s="195"/>
      <c r="AG1007" s="195"/>
      <c r="AH1007" s="195"/>
      <c r="AI1007" s="195"/>
      <c r="AJ1007" s="195"/>
      <c r="AK1007" s="195"/>
      <c r="AL1007" s="195"/>
      <c r="AM1007" s="1"/>
      <c r="AN1007" s="240"/>
      <c r="AO1007" s="240"/>
      <c r="AP1007" s="240"/>
      <c r="AQ1007" s="730"/>
      <c r="AR1007" s="730"/>
      <c r="AS1007" s="730"/>
      <c r="AT1007" s="738"/>
      <c r="AU1007" s="738"/>
      <c r="AV1007" s="240"/>
      <c r="AW1007" s="240"/>
      <c r="AX1007" s="240"/>
      <c r="AY1007" s="240"/>
      <c r="AZ1007" s="240"/>
      <c r="BA1007" s="240"/>
      <c r="BB1007" s="672"/>
      <c r="BC1007" s="731"/>
      <c r="BD1007" s="731"/>
      <c r="BE1007" s="731"/>
      <c r="BF1007" s="672"/>
      <c r="BG1007" s="732"/>
      <c r="BH1007" s="240"/>
      <c r="BI1007" s="240"/>
      <c r="BJ1007" s="240"/>
      <c r="BK1007" s="240"/>
      <c r="BL1007" s="240"/>
      <c r="BM1007" s="240"/>
      <c r="BN1007" s="240"/>
      <c r="BO1007" s="240"/>
      <c r="BP1007" s="240"/>
      <c r="BQ1007" s="240"/>
      <c r="BR1007" s="240"/>
      <c r="BS1007" s="240"/>
      <c r="BT1007" s="240"/>
      <c r="BU1007" s="672"/>
      <c r="BV1007" s="672"/>
      <c r="BW1007" s="672"/>
      <c r="BX1007" s="672"/>
      <c r="BY1007" s="672"/>
      <c r="BZ1007" s="672"/>
      <c r="CA1007" s="672"/>
      <c r="CB1007" s="672"/>
      <c r="CC1007" s="672"/>
      <c r="CD1007" s="672"/>
      <c r="CE1007" s="240"/>
      <c r="CF1007" s="240"/>
      <c r="CG1007" s="240"/>
      <c r="CH1007" s="240"/>
      <c r="CI1007" s="240"/>
      <c r="CJ1007" s="728"/>
      <c r="CK1007" s="728"/>
      <c r="CL1007" s="195"/>
      <c r="CM1007" s="195"/>
      <c r="CN1007" s="195"/>
      <c r="CO1007" s="195"/>
      <c r="CP1007" s="195"/>
      <c r="CQ1007" s="195"/>
      <c r="CR1007" s="195"/>
      <c r="CS1007" s="195"/>
      <c r="CT1007" s="195"/>
      <c r="CU1007" s="195"/>
      <c r="CV1007" s="195"/>
      <c r="CW1007" s="195"/>
      <c r="CX1007" s="195"/>
      <c r="CY1007" s="195"/>
      <c r="CZ1007" s="195"/>
      <c r="DA1007" s="195"/>
      <c r="DB1007" s="195"/>
      <c r="DC1007" s="195"/>
      <c r="DD1007" s="195"/>
      <c r="DO1007" s="195"/>
      <c r="DP1007" s="195"/>
      <c r="DQ1007" s="195"/>
      <c r="DR1007" s="195"/>
      <c r="DS1007" s="195"/>
      <c r="DT1007" s="195"/>
      <c r="DU1007" s="195"/>
      <c r="DV1007" s="195"/>
      <c r="DW1007" s="195"/>
      <c r="DX1007" s="195"/>
      <c r="DY1007" s="195"/>
      <c r="DZ1007" s="195"/>
      <c r="EA1007" s="195"/>
      <c r="EB1007" s="195"/>
      <c r="EC1007" s="195"/>
      <c r="ED1007" s="195"/>
      <c r="EE1007" s="195"/>
      <c r="EK1007" s="195"/>
      <c r="EL1007" s="240"/>
      <c r="EM1007" s="240"/>
      <c r="EN1007" s="195"/>
      <c r="EO1007" s="240"/>
      <c r="EP1007" s="195"/>
      <c r="EQ1007" s="195"/>
      <c r="ER1007" s="195"/>
      <c r="ES1007" s="736"/>
    </row>
    <row r="1008" customFormat="false" ht="12.75" hidden="false" customHeight="false" outlineLevel="0" collapsed="false">
      <c r="I1008" s="735"/>
      <c r="J1008" s="728"/>
      <c r="K1008" s="195"/>
      <c r="L1008" s="195"/>
      <c r="Q1008" s="195"/>
      <c r="R1008" s="195"/>
      <c r="S1008" s="240"/>
      <c r="T1008" s="195"/>
      <c r="U1008" s="195"/>
      <c r="V1008" s="195"/>
      <c r="W1008" s="195"/>
      <c r="X1008" s="195"/>
      <c r="Y1008" s="195"/>
      <c r="Z1008" s="195"/>
      <c r="AA1008" s="195"/>
      <c r="AB1008" s="195"/>
      <c r="AC1008" s="195"/>
      <c r="AD1008" s="195"/>
      <c r="AE1008" s="195"/>
      <c r="AF1008" s="195"/>
      <c r="AG1008" s="195"/>
      <c r="AH1008" s="195"/>
      <c r="AI1008" s="195"/>
      <c r="AJ1008" s="195"/>
      <c r="AK1008" s="195"/>
      <c r="AL1008" s="195"/>
      <c r="AM1008" s="1"/>
      <c r="AN1008" s="240"/>
      <c r="AO1008" s="240"/>
      <c r="AP1008" s="240"/>
      <c r="AQ1008" s="730"/>
      <c r="AR1008" s="730"/>
      <c r="AS1008" s="730"/>
      <c r="AT1008" s="738"/>
      <c r="AU1008" s="738"/>
      <c r="AV1008" s="240"/>
      <c r="AW1008" s="240"/>
      <c r="AX1008" s="240"/>
      <c r="AY1008" s="240"/>
      <c r="AZ1008" s="240"/>
      <c r="BA1008" s="240"/>
      <c r="BB1008" s="672"/>
      <c r="BC1008" s="731"/>
      <c r="BD1008" s="731"/>
      <c r="BE1008" s="731"/>
      <c r="BF1008" s="672"/>
      <c r="BG1008" s="732"/>
      <c r="BH1008" s="240"/>
      <c r="BI1008" s="240"/>
      <c r="BJ1008" s="240"/>
      <c r="BK1008" s="240"/>
      <c r="BL1008" s="240"/>
      <c r="BM1008" s="240"/>
      <c r="BN1008" s="240"/>
      <c r="BO1008" s="240"/>
      <c r="BP1008" s="240"/>
      <c r="BQ1008" s="240"/>
      <c r="BR1008" s="240"/>
      <c r="BS1008" s="240"/>
      <c r="BT1008" s="240"/>
      <c r="BU1008" s="672"/>
      <c r="BV1008" s="672"/>
      <c r="BW1008" s="672"/>
      <c r="BX1008" s="672"/>
      <c r="BY1008" s="672"/>
      <c r="BZ1008" s="672"/>
      <c r="CA1008" s="672"/>
      <c r="CB1008" s="672"/>
      <c r="CC1008" s="672"/>
      <c r="CD1008" s="672"/>
      <c r="CE1008" s="240"/>
      <c r="CF1008" s="240"/>
      <c r="CG1008" s="240"/>
      <c r="CH1008" s="240"/>
      <c r="CI1008" s="240"/>
      <c r="CJ1008" s="728"/>
      <c r="CK1008" s="728"/>
      <c r="CL1008" s="195"/>
      <c r="CM1008" s="195"/>
      <c r="CN1008" s="195"/>
      <c r="CO1008" s="195"/>
      <c r="CP1008" s="195"/>
      <c r="CQ1008" s="195"/>
      <c r="CR1008" s="195"/>
      <c r="CS1008" s="195"/>
      <c r="CT1008" s="195"/>
      <c r="CU1008" s="195"/>
      <c r="CV1008" s="195"/>
      <c r="CW1008" s="195"/>
      <c r="CX1008" s="195"/>
      <c r="CY1008" s="195"/>
      <c r="CZ1008" s="195"/>
      <c r="DA1008" s="195"/>
      <c r="DB1008" s="195"/>
      <c r="DC1008" s="195"/>
      <c r="DD1008" s="195"/>
      <c r="DO1008" s="195"/>
      <c r="DP1008" s="195"/>
      <c r="DQ1008" s="195"/>
      <c r="DR1008" s="195"/>
      <c r="DS1008" s="195"/>
      <c r="DT1008" s="195"/>
      <c r="DU1008" s="195"/>
      <c r="DV1008" s="195"/>
      <c r="DW1008" s="195"/>
      <c r="DX1008" s="195"/>
      <c r="DY1008" s="195"/>
      <c r="DZ1008" s="195"/>
      <c r="EA1008" s="195"/>
      <c r="EB1008" s="195"/>
      <c r="EC1008" s="195"/>
      <c r="ED1008" s="195"/>
      <c r="EE1008" s="195"/>
      <c r="EK1008" s="195"/>
      <c r="EL1008" s="240"/>
      <c r="EM1008" s="240"/>
      <c r="EN1008" s="195"/>
      <c r="EO1008" s="240"/>
      <c r="EP1008" s="195"/>
      <c r="EQ1008" s="195"/>
      <c r="ER1008" s="195"/>
      <c r="ES1008" s="736"/>
    </row>
    <row r="1009" customFormat="false" ht="12.75" hidden="false" customHeight="false" outlineLevel="0" collapsed="false">
      <c r="I1009" s="735"/>
      <c r="J1009" s="728"/>
      <c r="K1009" s="195"/>
      <c r="L1009" s="195"/>
      <c r="Q1009" s="195"/>
      <c r="R1009" s="195"/>
      <c r="S1009" s="240"/>
      <c r="T1009" s="195"/>
      <c r="U1009" s="195"/>
      <c r="V1009" s="195"/>
      <c r="W1009" s="195"/>
      <c r="X1009" s="195"/>
      <c r="Y1009" s="195"/>
      <c r="Z1009" s="195"/>
      <c r="AA1009" s="195"/>
      <c r="AB1009" s="195"/>
      <c r="AC1009" s="195"/>
      <c r="AD1009" s="195"/>
      <c r="AE1009" s="195"/>
      <c r="AF1009" s="195"/>
      <c r="AG1009" s="195"/>
      <c r="AH1009" s="195"/>
      <c r="AI1009" s="195"/>
      <c r="AJ1009" s="195"/>
      <c r="AK1009" s="195"/>
      <c r="AL1009" s="195"/>
      <c r="AM1009" s="1"/>
      <c r="AN1009" s="240"/>
      <c r="AO1009" s="240"/>
      <c r="AP1009" s="240"/>
      <c r="AQ1009" s="730"/>
      <c r="AR1009" s="730"/>
      <c r="AS1009" s="730"/>
      <c r="AT1009" s="738"/>
      <c r="AU1009" s="738"/>
      <c r="AV1009" s="240"/>
      <c r="AW1009" s="240"/>
      <c r="AX1009" s="240"/>
      <c r="AY1009" s="240"/>
      <c r="AZ1009" s="240"/>
      <c r="BA1009" s="240"/>
      <c r="BB1009" s="672"/>
      <c r="BC1009" s="731"/>
      <c r="BD1009" s="731"/>
      <c r="BE1009" s="731"/>
      <c r="BF1009" s="672"/>
      <c r="BG1009" s="732"/>
      <c r="BH1009" s="240"/>
      <c r="BI1009" s="240"/>
      <c r="BJ1009" s="240"/>
      <c r="BK1009" s="240"/>
      <c r="BL1009" s="240"/>
      <c r="BM1009" s="240"/>
      <c r="BN1009" s="240"/>
      <c r="BO1009" s="240"/>
      <c r="BP1009" s="240"/>
      <c r="BQ1009" s="240"/>
      <c r="BR1009" s="240"/>
      <c r="BS1009" s="240"/>
      <c r="BT1009" s="240"/>
      <c r="BU1009" s="672"/>
      <c r="BV1009" s="672"/>
      <c r="BW1009" s="672"/>
      <c r="BX1009" s="672"/>
      <c r="BY1009" s="672"/>
      <c r="BZ1009" s="672"/>
      <c r="CA1009" s="672"/>
      <c r="CB1009" s="672"/>
      <c r="CC1009" s="672"/>
      <c r="CD1009" s="672"/>
      <c r="CE1009" s="240"/>
      <c r="CF1009" s="240"/>
      <c r="CG1009" s="240"/>
      <c r="CH1009" s="240"/>
      <c r="CI1009" s="240"/>
      <c r="CJ1009" s="728"/>
      <c r="CK1009" s="728"/>
      <c r="CL1009" s="195"/>
      <c r="CM1009" s="195"/>
      <c r="CN1009" s="195"/>
      <c r="CO1009" s="195"/>
      <c r="CP1009" s="195"/>
      <c r="CQ1009" s="195"/>
      <c r="CR1009" s="195"/>
      <c r="CS1009" s="195"/>
      <c r="CT1009" s="195"/>
      <c r="CU1009" s="195"/>
      <c r="CV1009" s="195"/>
      <c r="CW1009" s="195"/>
      <c r="CX1009" s="195"/>
      <c r="CY1009" s="195"/>
      <c r="CZ1009" s="195"/>
      <c r="DA1009" s="195"/>
      <c r="DB1009" s="195"/>
      <c r="DC1009" s="195"/>
      <c r="DD1009" s="195"/>
      <c r="DO1009" s="195"/>
      <c r="DP1009" s="195"/>
      <c r="DQ1009" s="195"/>
      <c r="DR1009" s="195"/>
      <c r="DS1009" s="195"/>
      <c r="DT1009" s="195"/>
      <c r="DU1009" s="195"/>
      <c r="DV1009" s="195"/>
      <c r="DW1009" s="195"/>
      <c r="DX1009" s="195"/>
      <c r="DY1009" s="195"/>
      <c r="DZ1009" s="195"/>
      <c r="EA1009" s="195"/>
      <c r="EB1009" s="195"/>
      <c r="EC1009" s="195"/>
      <c r="ED1009" s="195"/>
      <c r="EE1009" s="195"/>
      <c r="EK1009" s="195"/>
      <c r="EL1009" s="240"/>
      <c r="EM1009" s="240"/>
      <c r="EN1009" s="195"/>
      <c r="EO1009" s="240"/>
      <c r="EP1009" s="195"/>
      <c r="EQ1009" s="195"/>
      <c r="ER1009" s="195"/>
      <c r="ES1009" s="736"/>
    </row>
    <row r="1010" customFormat="false" ht="12.75" hidden="false" customHeight="false" outlineLevel="0" collapsed="false">
      <c r="I1010" s="735"/>
      <c r="J1010" s="728"/>
      <c r="K1010" s="195"/>
      <c r="L1010" s="195"/>
      <c r="Q1010" s="195"/>
      <c r="R1010" s="195"/>
      <c r="S1010" s="240"/>
      <c r="T1010" s="195"/>
      <c r="U1010" s="195"/>
      <c r="V1010" s="195"/>
      <c r="W1010" s="195"/>
      <c r="X1010" s="195"/>
      <c r="Y1010" s="195"/>
      <c r="Z1010" s="195"/>
      <c r="AA1010" s="195"/>
      <c r="AB1010" s="195"/>
      <c r="AC1010" s="195"/>
      <c r="AD1010" s="195"/>
      <c r="AE1010" s="195"/>
      <c r="AF1010" s="195"/>
      <c r="AG1010" s="195"/>
      <c r="AH1010" s="195"/>
      <c r="AI1010" s="195"/>
      <c r="AJ1010" s="195"/>
      <c r="AK1010" s="195"/>
      <c r="AL1010" s="195"/>
      <c r="AM1010" s="1"/>
      <c r="AN1010" s="240"/>
      <c r="AO1010" s="240"/>
      <c r="AP1010" s="240"/>
      <c r="AQ1010" s="730"/>
      <c r="AR1010" s="730"/>
      <c r="AS1010" s="730"/>
      <c r="AT1010" s="738"/>
      <c r="AU1010" s="738"/>
      <c r="AV1010" s="240"/>
      <c r="AW1010" s="240"/>
      <c r="AX1010" s="240"/>
      <c r="AY1010" s="240"/>
      <c r="AZ1010" s="240"/>
      <c r="BA1010" s="240"/>
      <c r="BB1010" s="672"/>
      <c r="BC1010" s="731"/>
      <c r="BD1010" s="731"/>
      <c r="BE1010" s="731"/>
      <c r="BF1010" s="672"/>
      <c r="BG1010" s="732"/>
      <c r="BH1010" s="240"/>
      <c r="BI1010" s="240"/>
      <c r="BJ1010" s="240"/>
      <c r="BK1010" s="240"/>
      <c r="BL1010" s="240"/>
      <c r="BM1010" s="240"/>
      <c r="BN1010" s="240"/>
      <c r="BO1010" s="240"/>
      <c r="BP1010" s="240"/>
      <c r="BQ1010" s="240"/>
      <c r="BR1010" s="240"/>
      <c r="BS1010" s="240"/>
      <c r="BT1010" s="240"/>
      <c r="BU1010" s="672"/>
      <c r="BV1010" s="672"/>
      <c r="BW1010" s="672"/>
      <c r="BX1010" s="672"/>
      <c r="BY1010" s="672"/>
      <c r="BZ1010" s="672"/>
      <c r="CA1010" s="672"/>
      <c r="CB1010" s="672"/>
      <c r="CC1010" s="672"/>
      <c r="CD1010" s="672"/>
      <c r="CE1010" s="240"/>
      <c r="CF1010" s="240"/>
      <c r="CG1010" s="240"/>
      <c r="CH1010" s="240"/>
      <c r="CI1010" s="240"/>
      <c r="CJ1010" s="728"/>
      <c r="CK1010" s="728"/>
      <c r="CL1010" s="195"/>
      <c r="CM1010" s="195"/>
      <c r="CN1010" s="195"/>
      <c r="CO1010" s="195"/>
      <c r="CP1010" s="195"/>
      <c r="CQ1010" s="195"/>
      <c r="CR1010" s="195"/>
      <c r="CS1010" s="195"/>
      <c r="CT1010" s="195"/>
      <c r="CU1010" s="195"/>
      <c r="CV1010" s="195"/>
      <c r="CW1010" s="195"/>
      <c r="CX1010" s="195"/>
      <c r="CY1010" s="195"/>
      <c r="CZ1010" s="195"/>
      <c r="DA1010" s="195"/>
      <c r="DB1010" s="195"/>
      <c r="DC1010" s="195"/>
      <c r="DD1010" s="195"/>
      <c r="DO1010" s="195"/>
      <c r="DP1010" s="195"/>
      <c r="DQ1010" s="195"/>
      <c r="DR1010" s="195"/>
      <c r="DS1010" s="195"/>
      <c r="DT1010" s="195"/>
      <c r="DU1010" s="195"/>
      <c r="DV1010" s="195"/>
      <c r="DW1010" s="195"/>
      <c r="DX1010" s="195"/>
      <c r="DY1010" s="195"/>
      <c r="DZ1010" s="195"/>
      <c r="EA1010" s="195"/>
      <c r="EB1010" s="195"/>
      <c r="EC1010" s="195"/>
      <c r="ED1010" s="195"/>
      <c r="EE1010" s="195"/>
      <c r="EK1010" s="195"/>
      <c r="EL1010" s="240"/>
      <c r="EM1010" s="240"/>
      <c r="EN1010" s="195"/>
      <c r="EO1010" s="240"/>
      <c r="EP1010" s="195"/>
      <c r="EQ1010" s="195"/>
      <c r="ER1010" s="195"/>
      <c r="ES1010" s="736"/>
    </row>
    <row r="1011" customFormat="false" ht="12.75" hidden="false" customHeight="false" outlineLevel="0" collapsed="false">
      <c r="I1011" s="735"/>
      <c r="J1011" s="728"/>
      <c r="K1011" s="195"/>
      <c r="L1011" s="195"/>
      <c r="Q1011" s="195"/>
      <c r="R1011" s="195"/>
      <c r="S1011" s="240"/>
      <c r="T1011" s="195"/>
      <c r="U1011" s="195"/>
      <c r="V1011" s="195"/>
      <c r="W1011" s="195"/>
      <c r="X1011" s="195"/>
      <c r="Y1011" s="195"/>
      <c r="Z1011" s="195"/>
      <c r="AA1011" s="195"/>
      <c r="AB1011" s="195"/>
      <c r="AC1011" s="195"/>
      <c r="AD1011" s="195"/>
      <c r="AE1011" s="195"/>
      <c r="AF1011" s="195"/>
      <c r="AG1011" s="195"/>
      <c r="AH1011" s="195"/>
      <c r="AI1011" s="195"/>
      <c r="AJ1011" s="195"/>
      <c r="AK1011" s="195"/>
      <c r="AL1011" s="195"/>
      <c r="AM1011" s="1"/>
      <c r="AN1011" s="240"/>
      <c r="AO1011" s="240"/>
      <c r="AP1011" s="240"/>
      <c r="AQ1011" s="730"/>
      <c r="AR1011" s="730"/>
      <c r="AS1011" s="730"/>
      <c r="AT1011" s="738"/>
      <c r="AU1011" s="738"/>
      <c r="AV1011" s="240"/>
      <c r="AW1011" s="240"/>
      <c r="AX1011" s="240"/>
      <c r="AY1011" s="240"/>
      <c r="AZ1011" s="240"/>
      <c r="BA1011" s="240"/>
      <c r="BB1011" s="672"/>
      <c r="BC1011" s="731"/>
      <c r="BD1011" s="731"/>
      <c r="BE1011" s="731"/>
      <c r="BF1011" s="672"/>
      <c r="BG1011" s="732"/>
      <c r="BH1011" s="240"/>
      <c r="BI1011" s="240"/>
      <c r="BJ1011" s="240"/>
      <c r="BK1011" s="240"/>
      <c r="BL1011" s="240"/>
      <c r="BM1011" s="240"/>
      <c r="BN1011" s="240"/>
      <c r="BO1011" s="240"/>
      <c r="BP1011" s="240"/>
      <c r="BQ1011" s="240"/>
      <c r="BR1011" s="240"/>
      <c r="BS1011" s="240"/>
      <c r="BT1011" s="240"/>
      <c r="BU1011" s="672"/>
      <c r="BV1011" s="672"/>
      <c r="BW1011" s="672"/>
      <c r="BX1011" s="672"/>
      <c r="BY1011" s="672"/>
      <c r="BZ1011" s="672"/>
      <c r="CA1011" s="672"/>
      <c r="CB1011" s="672"/>
      <c r="CC1011" s="672"/>
      <c r="CD1011" s="672"/>
      <c r="CE1011" s="240"/>
      <c r="CF1011" s="240"/>
      <c r="CG1011" s="240"/>
      <c r="CH1011" s="240"/>
      <c r="CI1011" s="240"/>
      <c r="CJ1011" s="728"/>
      <c r="CK1011" s="728"/>
      <c r="CL1011" s="195"/>
      <c r="CM1011" s="195"/>
      <c r="CN1011" s="195"/>
      <c r="CO1011" s="195"/>
      <c r="CP1011" s="195"/>
      <c r="CQ1011" s="195"/>
      <c r="CR1011" s="195"/>
      <c r="CS1011" s="195"/>
      <c r="CT1011" s="195"/>
      <c r="CU1011" s="195"/>
      <c r="CV1011" s="195"/>
      <c r="CW1011" s="195"/>
      <c r="CX1011" s="195"/>
      <c r="CY1011" s="195"/>
      <c r="CZ1011" s="195"/>
      <c r="DA1011" s="195"/>
      <c r="DB1011" s="195"/>
      <c r="DC1011" s="195"/>
      <c r="DD1011" s="195"/>
      <c r="DO1011" s="195"/>
      <c r="DP1011" s="195"/>
      <c r="DQ1011" s="195"/>
      <c r="DR1011" s="195"/>
      <c r="DS1011" s="195"/>
      <c r="DT1011" s="195"/>
      <c r="DU1011" s="195"/>
      <c r="DV1011" s="195"/>
      <c r="DW1011" s="195"/>
      <c r="DX1011" s="195"/>
      <c r="DY1011" s="195"/>
      <c r="DZ1011" s="195"/>
      <c r="EA1011" s="195"/>
      <c r="EB1011" s="195"/>
      <c r="EC1011" s="195"/>
      <c r="ED1011" s="195"/>
      <c r="EE1011" s="195"/>
      <c r="EK1011" s="195"/>
      <c r="EL1011" s="240"/>
      <c r="EM1011" s="240"/>
      <c r="EN1011" s="195"/>
      <c r="EO1011" s="240"/>
      <c r="EP1011" s="195"/>
      <c r="EQ1011" s="195"/>
      <c r="ER1011" s="195"/>
      <c r="ES1011" s="736"/>
    </row>
    <row r="1012" customFormat="false" ht="12.75" hidden="false" customHeight="false" outlineLevel="0" collapsed="false">
      <c r="I1012" s="735"/>
      <c r="J1012" s="728"/>
      <c r="K1012" s="195"/>
      <c r="L1012" s="195"/>
      <c r="Q1012" s="195"/>
      <c r="R1012" s="195"/>
      <c r="S1012" s="240"/>
      <c r="T1012" s="195"/>
      <c r="U1012" s="195"/>
      <c r="V1012" s="195"/>
      <c r="W1012" s="195"/>
      <c r="X1012" s="195"/>
      <c r="Y1012" s="195"/>
      <c r="Z1012" s="195"/>
      <c r="AA1012" s="195"/>
      <c r="AB1012" s="195"/>
      <c r="AC1012" s="195"/>
      <c r="AD1012" s="195"/>
      <c r="AE1012" s="195"/>
      <c r="AF1012" s="195"/>
      <c r="AG1012" s="195"/>
      <c r="AH1012" s="195"/>
      <c r="AI1012" s="195"/>
      <c r="AJ1012" s="195"/>
      <c r="AK1012" s="195"/>
      <c r="AL1012" s="195"/>
      <c r="AM1012" s="1"/>
      <c r="AN1012" s="240"/>
      <c r="AO1012" s="240"/>
      <c r="AP1012" s="240"/>
      <c r="AQ1012" s="730"/>
      <c r="AR1012" s="730"/>
      <c r="AS1012" s="730"/>
      <c r="AT1012" s="738"/>
      <c r="AU1012" s="738"/>
      <c r="AV1012" s="240"/>
      <c r="AW1012" s="240"/>
      <c r="AX1012" s="240"/>
      <c r="AY1012" s="240"/>
      <c r="AZ1012" s="240"/>
      <c r="BA1012" s="240"/>
      <c r="BB1012" s="672"/>
      <c r="BC1012" s="731"/>
      <c r="BD1012" s="731"/>
      <c r="BE1012" s="731"/>
      <c r="BF1012" s="672"/>
      <c r="BG1012" s="732"/>
      <c r="BH1012" s="240"/>
      <c r="BI1012" s="240"/>
      <c r="BJ1012" s="240"/>
      <c r="BK1012" s="240"/>
      <c r="BL1012" s="240"/>
      <c r="BM1012" s="240"/>
      <c r="BN1012" s="240"/>
      <c r="BO1012" s="240"/>
      <c r="BP1012" s="240"/>
      <c r="BQ1012" s="240"/>
      <c r="BR1012" s="240"/>
      <c r="BS1012" s="240"/>
      <c r="BT1012" s="240"/>
      <c r="BU1012" s="672"/>
      <c r="BV1012" s="672"/>
      <c r="BW1012" s="672"/>
      <c r="BX1012" s="672"/>
      <c r="BY1012" s="672"/>
      <c r="BZ1012" s="672"/>
      <c r="CA1012" s="672"/>
      <c r="CB1012" s="672"/>
      <c r="CC1012" s="672"/>
      <c r="CD1012" s="672"/>
      <c r="CE1012" s="240"/>
      <c r="CF1012" s="240"/>
      <c r="CG1012" s="240"/>
      <c r="CH1012" s="240"/>
      <c r="CI1012" s="240"/>
      <c r="CJ1012" s="728"/>
      <c r="CK1012" s="728"/>
      <c r="CL1012" s="195"/>
      <c r="CM1012" s="195"/>
      <c r="CN1012" s="195"/>
      <c r="CO1012" s="195"/>
      <c r="CP1012" s="195"/>
      <c r="CQ1012" s="195"/>
      <c r="CR1012" s="195"/>
      <c r="CS1012" s="195"/>
      <c r="CT1012" s="195"/>
      <c r="CU1012" s="195"/>
      <c r="CV1012" s="195"/>
      <c r="CW1012" s="195"/>
      <c r="CX1012" s="195"/>
      <c r="CY1012" s="195"/>
      <c r="CZ1012" s="195"/>
      <c r="DA1012" s="195"/>
      <c r="DB1012" s="195"/>
      <c r="DC1012" s="195"/>
      <c r="DD1012" s="195"/>
      <c r="DO1012" s="195"/>
      <c r="DP1012" s="195"/>
      <c r="DQ1012" s="195"/>
      <c r="DR1012" s="195"/>
      <c r="DS1012" s="195"/>
      <c r="DT1012" s="195"/>
      <c r="DU1012" s="195"/>
      <c r="DV1012" s="195"/>
      <c r="DW1012" s="195"/>
      <c r="DX1012" s="195"/>
      <c r="DY1012" s="195"/>
      <c r="DZ1012" s="195"/>
      <c r="EA1012" s="195"/>
      <c r="EB1012" s="195"/>
      <c r="EC1012" s="195"/>
      <c r="ED1012" s="195"/>
      <c r="EE1012" s="195"/>
      <c r="EK1012" s="195"/>
      <c r="EL1012" s="240"/>
      <c r="EM1012" s="240"/>
      <c r="EN1012" s="195"/>
      <c r="EO1012" s="240"/>
      <c r="EP1012" s="195"/>
      <c r="EQ1012" s="195"/>
      <c r="ER1012" s="195"/>
      <c r="ES1012" s="736"/>
    </row>
    <row r="1013" customFormat="false" ht="12.75" hidden="false" customHeight="false" outlineLevel="0" collapsed="false">
      <c r="I1013" s="735"/>
      <c r="J1013" s="728"/>
      <c r="K1013" s="195"/>
      <c r="L1013" s="195"/>
      <c r="Q1013" s="195"/>
      <c r="R1013" s="195"/>
      <c r="S1013" s="240"/>
      <c r="T1013" s="195"/>
      <c r="U1013" s="195"/>
      <c r="V1013" s="195"/>
      <c r="W1013" s="195"/>
      <c r="X1013" s="195"/>
      <c r="Y1013" s="195"/>
      <c r="Z1013" s="195"/>
      <c r="AA1013" s="195"/>
      <c r="AB1013" s="195"/>
      <c r="AC1013" s="195"/>
      <c r="AD1013" s="195"/>
      <c r="AE1013" s="195"/>
      <c r="AF1013" s="195"/>
      <c r="AG1013" s="195"/>
      <c r="AH1013" s="195"/>
      <c r="AI1013" s="195"/>
      <c r="AJ1013" s="195"/>
      <c r="AK1013" s="195"/>
      <c r="AL1013" s="195"/>
      <c r="AM1013" s="1"/>
      <c r="AN1013" s="240"/>
      <c r="AO1013" s="240"/>
      <c r="AP1013" s="240"/>
      <c r="AQ1013" s="730"/>
      <c r="AR1013" s="730"/>
      <c r="AS1013" s="730"/>
      <c r="AT1013" s="738"/>
      <c r="AU1013" s="738"/>
      <c r="AV1013" s="240"/>
      <c r="AW1013" s="240"/>
      <c r="AX1013" s="240"/>
      <c r="AY1013" s="240"/>
      <c r="AZ1013" s="240"/>
      <c r="BA1013" s="240"/>
      <c r="BB1013" s="672"/>
      <c r="BC1013" s="731"/>
      <c r="BD1013" s="731"/>
      <c r="BE1013" s="731"/>
      <c r="BF1013" s="672"/>
      <c r="BG1013" s="732"/>
      <c r="BH1013" s="240"/>
      <c r="BI1013" s="240"/>
      <c r="BJ1013" s="240"/>
      <c r="BK1013" s="240"/>
      <c r="BL1013" s="240"/>
      <c r="BM1013" s="240"/>
      <c r="BN1013" s="240"/>
      <c r="BO1013" s="240"/>
      <c r="BP1013" s="240"/>
      <c r="BQ1013" s="240"/>
      <c r="BR1013" s="240"/>
      <c r="BS1013" s="240"/>
      <c r="BT1013" s="240"/>
      <c r="BU1013" s="672"/>
      <c r="BV1013" s="672"/>
      <c r="BW1013" s="672"/>
      <c r="BX1013" s="672"/>
      <c r="BY1013" s="672"/>
      <c r="BZ1013" s="672"/>
      <c r="CA1013" s="672"/>
      <c r="CB1013" s="672"/>
      <c r="CC1013" s="672"/>
      <c r="CD1013" s="672"/>
      <c r="CE1013" s="240"/>
      <c r="CF1013" s="240"/>
      <c r="CG1013" s="240"/>
      <c r="CH1013" s="240"/>
      <c r="CI1013" s="240"/>
      <c r="CJ1013" s="728"/>
      <c r="CK1013" s="728"/>
      <c r="CL1013" s="195"/>
      <c r="CM1013" s="195"/>
      <c r="CN1013" s="195"/>
      <c r="CO1013" s="195"/>
      <c r="CP1013" s="195"/>
      <c r="CQ1013" s="195"/>
      <c r="CR1013" s="195"/>
      <c r="CS1013" s="195"/>
      <c r="CT1013" s="195"/>
      <c r="CU1013" s="195"/>
      <c r="CV1013" s="195"/>
      <c r="CW1013" s="195"/>
      <c r="CX1013" s="195"/>
      <c r="CY1013" s="195"/>
      <c r="CZ1013" s="195"/>
      <c r="DA1013" s="195"/>
      <c r="DB1013" s="195"/>
      <c r="DC1013" s="195"/>
      <c r="DD1013" s="195"/>
      <c r="DO1013" s="195"/>
      <c r="DP1013" s="195"/>
      <c r="DQ1013" s="195"/>
      <c r="DR1013" s="195"/>
      <c r="DS1013" s="195"/>
      <c r="DT1013" s="195"/>
      <c r="DU1013" s="195"/>
      <c r="DV1013" s="195"/>
      <c r="DW1013" s="195"/>
      <c r="DX1013" s="195"/>
      <c r="DY1013" s="195"/>
      <c r="DZ1013" s="195"/>
      <c r="EA1013" s="195"/>
      <c r="EB1013" s="195"/>
      <c r="EC1013" s="195"/>
      <c r="ED1013" s="195"/>
      <c r="EE1013" s="195"/>
      <c r="EK1013" s="195"/>
      <c r="EL1013" s="240"/>
      <c r="EM1013" s="240"/>
      <c r="EN1013" s="195"/>
      <c r="EO1013" s="240"/>
      <c r="EP1013" s="195"/>
      <c r="EQ1013" s="195"/>
      <c r="ER1013" s="195"/>
      <c r="ES1013" s="736"/>
    </row>
    <row r="1014" customFormat="false" ht="12.75" hidden="false" customHeight="false" outlineLevel="0" collapsed="false">
      <c r="I1014" s="735"/>
      <c r="J1014" s="728"/>
      <c r="K1014" s="195"/>
      <c r="L1014" s="195"/>
      <c r="Q1014" s="195"/>
      <c r="R1014" s="195"/>
      <c r="S1014" s="240"/>
      <c r="T1014" s="195"/>
      <c r="U1014" s="195"/>
      <c r="V1014" s="195"/>
      <c r="W1014" s="195"/>
      <c r="X1014" s="195"/>
      <c r="Y1014" s="195"/>
      <c r="Z1014" s="195"/>
      <c r="AA1014" s="195"/>
      <c r="AB1014" s="195"/>
      <c r="AC1014" s="195"/>
      <c r="AD1014" s="195"/>
      <c r="AE1014" s="195"/>
      <c r="AF1014" s="195"/>
      <c r="AG1014" s="195"/>
      <c r="AH1014" s="195"/>
      <c r="AI1014" s="195"/>
      <c r="AJ1014" s="195"/>
      <c r="AK1014" s="195"/>
      <c r="AL1014" s="195"/>
      <c r="AM1014" s="1"/>
      <c r="AN1014" s="240"/>
      <c r="AO1014" s="240"/>
      <c r="AP1014" s="240"/>
      <c r="AQ1014" s="730"/>
      <c r="AR1014" s="730"/>
      <c r="AS1014" s="730"/>
      <c r="AT1014" s="738"/>
      <c r="AU1014" s="738"/>
      <c r="AV1014" s="240"/>
      <c r="AW1014" s="240"/>
      <c r="AX1014" s="240"/>
      <c r="AY1014" s="240"/>
      <c r="AZ1014" s="240"/>
      <c r="BA1014" s="240"/>
      <c r="BB1014" s="672"/>
      <c r="BC1014" s="731"/>
      <c r="BD1014" s="731"/>
      <c r="BE1014" s="731"/>
      <c r="BF1014" s="672"/>
      <c r="BG1014" s="732"/>
      <c r="BH1014" s="240"/>
      <c r="BI1014" s="240"/>
      <c r="BJ1014" s="240"/>
      <c r="BK1014" s="240"/>
      <c r="BL1014" s="240"/>
      <c r="BM1014" s="240"/>
      <c r="BN1014" s="240"/>
      <c r="BO1014" s="240"/>
      <c r="BP1014" s="240"/>
      <c r="BQ1014" s="240"/>
      <c r="BR1014" s="240"/>
      <c r="BS1014" s="240"/>
      <c r="BT1014" s="240"/>
      <c r="BU1014" s="672"/>
      <c r="BV1014" s="672"/>
      <c r="BW1014" s="672"/>
      <c r="BX1014" s="672"/>
      <c r="BY1014" s="672"/>
      <c r="BZ1014" s="672"/>
      <c r="CA1014" s="672"/>
      <c r="CB1014" s="672"/>
      <c r="CC1014" s="672"/>
      <c r="CD1014" s="672"/>
      <c r="CE1014" s="240"/>
      <c r="CF1014" s="240"/>
      <c r="CG1014" s="240"/>
      <c r="CH1014" s="240"/>
      <c r="CI1014" s="240"/>
      <c r="CJ1014" s="728"/>
      <c r="CK1014" s="728"/>
      <c r="CL1014" s="195"/>
      <c r="CM1014" s="195"/>
      <c r="CN1014" s="195"/>
      <c r="CO1014" s="195"/>
      <c r="CP1014" s="195"/>
      <c r="CQ1014" s="195"/>
      <c r="CR1014" s="195"/>
      <c r="CS1014" s="195"/>
      <c r="CT1014" s="195"/>
      <c r="CU1014" s="195"/>
      <c r="CV1014" s="195"/>
      <c r="CW1014" s="195"/>
      <c r="CX1014" s="195"/>
      <c r="CY1014" s="195"/>
      <c r="CZ1014" s="195"/>
      <c r="DA1014" s="195"/>
      <c r="DB1014" s="195"/>
      <c r="DC1014" s="195"/>
      <c r="DD1014" s="195"/>
      <c r="DO1014" s="195"/>
      <c r="DP1014" s="195"/>
      <c r="DQ1014" s="195"/>
      <c r="DR1014" s="195"/>
      <c r="DS1014" s="195"/>
      <c r="DT1014" s="195"/>
      <c r="DU1014" s="195"/>
      <c r="DV1014" s="195"/>
      <c r="DW1014" s="195"/>
      <c r="DX1014" s="195"/>
      <c r="DY1014" s="195"/>
      <c r="DZ1014" s="195"/>
      <c r="EA1014" s="195"/>
      <c r="EB1014" s="195"/>
      <c r="EC1014" s="195"/>
      <c r="ED1014" s="195"/>
      <c r="EE1014" s="195"/>
      <c r="EK1014" s="195"/>
      <c r="EL1014" s="240"/>
      <c r="EM1014" s="240"/>
      <c r="EN1014" s="195"/>
      <c r="EO1014" s="240"/>
      <c r="EP1014" s="195"/>
      <c r="EQ1014" s="195"/>
      <c r="ER1014" s="195"/>
      <c r="ES1014" s="736"/>
    </row>
    <row r="1015" customFormat="false" ht="12.75" hidden="false" customHeight="false" outlineLevel="0" collapsed="false">
      <c r="I1015" s="735"/>
      <c r="J1015" s="728"/>
      <c r="K1015" s="195"/>
      <c r="L1015" s="195"/>
      <c r="Q1015" s="195"/>
      <c r="R1015" s="195"/>
      <c r="S1015" s="240"/>
      <c r="T1015" s="195"/>
      <c r="U1015" s="195"/>
      <c r="V1015" s="195"/>
      <c r="W1015" s="195"/>
      <c r="X1015" s="195"/>
      <c r="Y1015" s="195"/>
      <c r="Z1015" s="195"/>
      <c r="AA1015" s="195"/>
      <c r="AB1015" s="195"/>
      <c r="AC1015" s="195"/>
      <c r="AD1015" s="195"/>
      <c r="AE1015" s="195"/>
      <c r="AF1015" s="195"/>
      <c r="AG1015" s="195"/>
      <c r="AH1015" s="195"/>
      <c r="AI1015" s="195"/>
      <c r="AJ1015" s="195"/>
      <c r="AK1015" s="195"/>
      <c r="AL1015" s="195"/>
      <c r="AM1015" s="1"/>
      <c r="AN1015" s="240"/>
      <c r="AO1015" s="240"/>
      <c r="AP1015" s="240"/>
      <c r="AQ1015" s="730"/>
      <c r="AR1015" s="730"/>
      <c r="AS1015" s="730"/>
      <c r="AT1015" s="738"/>
      <c r="AU1015" s="738"/>
      <c r="AV1015" s="240"/>
      <c r="AW1015" s="240"/>
      <c r="AX1015" s="240"/>
      <c r="AY1015" s="240"/>
      <c r="AZ1015" s="240"/>
      <c r="BA1015" s="240"/>
      <c r="BB1015" s="672"/>
      <c r="BC1015" s="731"/>
      <c r="BD1015" s="731"/>
      <c r="BE1015" s="731"/>
      <c r="BF1015" s="672"/>
      <c r="BG1015" s="732"/>
      <c r="BH1015" s="240"/>
      <c r="BI1015" s="240"/>
      <c r="BJ1015" s="240"/>
      <c r="BK1015" s="240"/>
      <c r="BL1015" s="240"/>
      <c r="BM1015" s="240"/>
      <c r="BN1015" s="240"/>
      <c r="BO1015" s="240"/>
      <c r="BP1015" s="240"/>
      <c r="BQ1015" s="240"/>
      <c r="BR1015" s="240"/>
      <c r="BS1015" s="240"/>
      <c r="BT1015" s="240"/>
      <c r="BU1015" s="672"/>
      <c r="BV1015" s="672"/>
      <c r="BW1015" s="672"/>
      <c r="BX1015" s="672"/>
      <c r="BY1015" s="672"/>
      <c r="BZ1015" s="672"/>
      <c r="CA1015" s="672"/>
      <c r="CB1015" s="672"/>
      <c r="CC1015" s="672"/>
      <c r="CD1015" s="672"/>
      <c r="CE1015" s="240"/>
      <c r="CF1015" s="240"/>
      <c r="CG1015" s="240"/>
      <c r="CH1015" s="240"/>
      <c r="CI1015" s="240"/>
      <c r="CJ1015" s="728"/>
      <c r="CK1015" s="728"/>
      <c r="CL1015" s="195"/>
      <c r="CM1015" s="195"/>
      <c r="CN1015" s="195"/>
      <c r="CO1015" s="195"/>
      <c r="CP1015" s="195"/>
      <c r="CQ1015" s="195"/>
      <c r="CR1015" s="195"/>
      <c r="CS1015" s="195"/>
      <c r="CT1015" s="195"/>
      <c r="CU1015" s="195"/>
      <c r="CV1015" s="195"/>
      <c r="CW1015" s="195"/>
      <c r="CX1015" s="195"/>
      <c r="CY1015" s="195"/>
      <c r="CZ1015" s="195"/>
      <c r="DA1015" s="195"/>
      <c r="DB1015" s="195"/>
      <c r="DC1015" s="195"/>
      <c r="DD1015" s="195"/>
      <c r="DO1015" s="195"/>
      <c r="DP1015" s="195"/>
      <c r="DQ1015" s="195"/>
      <c r="DR1015" s="195"/>
      <c r="DS1015" s="195"/>
      <c r="DT1015" s="195"/>
      <c r="DU1015" s="195"/>
      <c r="DV1015" s="195"/>
      <c r="DW1015" s="195"/>
      <c r="DX1015" s="195"/>
      <c r="DY1015" s="195"/>
      <c r="DZ1015" s="195"/>
      <c r="EA1015" s="195"/>
      <c r="EB1015" s="195"/>
      <c r="EC1015" s="195"/>
      <c r="ED1015" s="195"/>
      <c r="EE1015" s="195"/>
      <c r="EK1015" s="195"/>
      <c r="EL1015" s="240"/>
      <c r="EM1015" s="240"/>
      <c r="EN1015" s="195"/>
      <c r="EO1015" s="240"/>
      <c r="EP1015" s="195"/>
      <c r="EQ1015" s="195"/>
      <c r="ER1015" s="195"/>
      <c r="ES1015" s="736"/>
    </row>
    <row r="1016" customFormat="false" ht="12.75" hidden="false" customHeight="false" outlineLevel="0" collapsed="false">
      <c r="I1016" s="735"/>
      <c r="J1016" s="728"/>
      <c r="K1016" s="195"/>
      <c r="L1016" s="195"/>
      <c r="Q1016" s="195"/>
      <c r="R1016" s="195"/>
      <c r="S1016" s="240"/>
      <c r="T1016" s="195"/>
      <c r="U1016" s="195"/>
      <c r="V1016" s="195"/>
      <c r="W1016" s="195"/>
      <c r="X1016" s="195"/>
      <c r="Y1016" s="195"/>
      <c r="Z1016" s="195"/>
      <c r="AA1016" s="195"/>
      <c r="AB1016" s="195"/>
      <c r="AC1016" s="195"/>
      <c r="AD1016" s="195"/>
      <c r="AE1016" s="195"/>
      <c r="AF1016" s="195"/>
      <c r="AG1016" s="195"/>
      <c r="AH1016" s="195"/>
      <c r="AI1016" s="195"/>
      <c r="AJ1016" s="195"/>
      <c r="AK1016" s="195"/>
      <c r="AL1016" s="195"/>
      <c r="AM1016" s="1"/>
      <c r="AN1016" s="240"/>
      <c r="AO1016" s="240"/>
      <c r="AP1016" s="240"/>
      <c r="AQ1016" s="730"/>
      <c r="AR1016" s="730"/>
      <c r="AS1016" s="730"/>
      <c r="AT1016" s="738"/>
      <c r="AU1016" s="738"/>
      <c r="AV1016" s="240"/>
      <c r="AW1016" s="240"/>
      <c r="AX1016" s="240"/>
      <c r="AY1016" s="240"/>
      <c r="AZ1016" s="240"/>
      <c r="BA1016" s="240"/>
      <c r="BB1016" s="672"/>
      <c r="BC1016" s="731"/>
      <c r="BD1016" s="731"/>
      <c r="BE1016" s="731"/>
      <c r="BF1016" s="672"/>
      <c r="BG1016" s="732"/>
      <c r="BH1016" s="240"/>
      <c r="BI1016" s="240"/>
      <c r="BJ1016" s="240"/>
      <c r="BK1016" s="240"/>
      <c r="BL1016" s="240"/>
      <c r="BM1016" s="240"/>
      <c r="BN1016" s="240"/>
      <c r="BO1016" s="240"/>
      <c r="BP1016" s="240"/>
      <c r="BQ1016" s="240"/>
      <c r="BR1016" s="240"/>
      <c r="BS1016" s="240"/>
      <c r="BT1016" s="240"/>
      <c r="BU1016" s="672"/>
      <c r="BV1016" s="672"/>
      <c r="BW1016" s="672"/>
      <c r="BX1016" s="672"/>
      <c r="BY1016" s="672"/>
      <c r="BZ1016" s="672"/>
      <c r="CA1016" s="672"/>
      <c r="CB1016" s="672"/>
      <c r="CC1016" s="672"/>
      <c r="CD1016" s="672"/>
      <c r="CE1016" s="240"/>
      <c r="CF1016" s="240"/>
      <c r="CG1016" s="240"/>
      <c r="CH1016" s="240"/>
      <c r="CI1016" s="240"/>
      <c r="CJ1016" s="728"/>
      <c r="CK1016" s="728"/>
      <c r="CL1016" s="195"/>
      <c r="CM1016" s="195"/>
      <c r="CN1016" s="195"/>
      <c r="CO1016" s="195"/>
      <c r="CP1016" s="195"/>
      <c r="CQ1016" s="195"/>
      <c r="CR1016" s="195"/>
      <c r="CS1016" s="195"/>
      <c r="CT1016" s="195"/>
      <c r="CU1016" s="195"/>
      <c r="CV1016" s="195"/>
      <c r="CW1016" s="195"/>
      <c r="CX1016" s="195"/>
      <c r="CY1016" s="195"/>
      <c r="CZ1016" s="195"/>
      <c r="DA1016" s="195"/>
      <c r="DB1016" s="195"/>
      <c r="DC1016" s="195"/>
      <c r="DD1016" s="195"/>
      <c r="DO1016" s="195"/>
      <c r="DP1016" s="195"/>
      <c r="DQ1016" s="195"/>
      <c r="DR1016" s="195"/>
      <c r="DS1016" s="195"/>
      <c r="DT1016" s="195"/>
      <c r="DU1016" s="195"/>
      <c r="DV1016" s="195"/>
      <c r="DW1016" s="195"/>
      <c r="DX1016" s="195"/>
      <c r="DY1016" s="195"/>
      <c r="DZ1016" s="195"/>
      <c r="EA1016" s="195"/>
      <c r="EB1016" s="195"/>
      <c r="EC1016" s="195"/>
      <c r="ED1016" s="195"/>
      <c r="EE1016" s="195"/>
      <c r="EK1016" s="195"/>
      <c r="EL1016" s="240"/>
      <c r="EM1016" s="240"/>
      <c r="EN1016" s="195"/>
      <c r="EO1016" s="240"/>
      <c r="EP1016" s="195"/>
      <c r="EQ1016" s="195"/>
      <c r="ER1016" s="195"/>
      <c r="ES1016" s="736"/>
    </row>
    <row r="1017" customFormat="false" ht="12.75" hidden="false" customHeight="false" outlineLevel="0" collapsed="false">
      <c r="I1017" s="735"/>
      <c r="J1017" s="728"/>
      <c r="K1017" s="195"/>
      <c r="L1017" s="195"/>
      <c r="Q1017" s="195"/>
      <c r="R1017" s="195"/>
      <c r="S1017" s="240"/>
      <c r="T1017" s="195"/>
      <c r="U1017" s="195"/>
      <c r="V1017" s="195"/>
      <c r="W1017" s="195"/>
      <c r="X1017" s="195"/>
      <c r="Y1017" s="195"/>
      <c r="Z1017" s="195"/>
      <c r="AA1017" s="195"/>
      <c r="AB1017" s="195"/>
      <c r="AC1017" s="195"/>
      <c r="AD1017" s="195"/>
      <c r="AE1017" s="195"/>
      <c r="AF1017" s="195"/>
      <c r="AG1017" s="195"/>
      <c r="AH1017" s="195"/>
      <c r="AI1017" s="195"/>
      <c r="AJ1017" s="195"/>
      <c r="AK1017" s="195"/>
      <c r="AL1017" s="195"/>
      <c r="AM1017" s="1"/>
      <c r="AN1017" s="240"/>
      <c r="AO1017" s="240"/>
      <c r="AP1017" s="240"/>
      <c r="AQ1017" s="730"/>
      <c r="AR1017" s="730"/>
      <c r="AS1017" s="730"/>
      <c r="AT1017" s="738"/>
      <c r="AU1017" s="738"/>
      <c r="AV1017" s="240"/>
      <c r="AW1017" s="240"/>
      <c r="AX1017" s="240"/>
      <c r="AY1017" s="240"/>
      <c r="AZ1017" s="240"/>
      <c r="BA1017" s="240"/>
      <c r="BB1017" s="672"/>
      <c r="BC1017" s="731"/>
      <c r="BD1017" s="731"/>
      <c r="BE1017" s="731"/>
      <c r="BF1017" s="672"/>
      <c r="BG1017" s="732"/>
      <c r="BH1017" s="240"/>
      <c r="BI1017" s="240"/>
      <c r="BJ1017" s="240"/>
      <c r="BK1017" s="240"/>
      <c r="BL1017" s="240"/>
      <c r="BM1017" s="240"/>
      <c r="BN1017" s="240"/>
      <c r="BO1017" s="240"/>
      <c r="BP1017" s="240"/>
      <c r="BQ1017" s="240"/>
      <c r="BR1017" s="240"/>
      <c r="BS1017" s="240"/>
      <c r="BT1017" s="240"/>
      <c r="BU1017" s="672"/>
      <c r="BV1017" s="672"/>
      <c r="BW1017" s="672"/>
      <c r="BX1017" s="672"/>
      <c r="BY1017" s="672"/>
      <c r="BZ1017" s="672"/>
      <c r="CA1017" s="672"/>
      <c r="CB1017" s="672"/>
      <c r="CC1017" s="672"/>
      <c r="CD1017" s="672"/>
      <c r="CE1017" s="240"/>
      <c r="CF1017" s="240"/>
      <c r="CG1017" s="240"/>
      <c r="CH1017" s="240"/>
      <c r="CI1017" s="240"/>
      <c r="CJ1017" s="728"/>
      <c r="CK1017" s="728"/>
      <c r="CL1017" s="195"/>
      <c r="CM1017" s="195"/>
      <c r="CN1017" s="195"/>
      <c r="CO1017" s="195"/>
      <c r="CP1017" s="195"/>
      <c r="CQ1017" s="195"/>
      <c r="CR1017" s="195"/>
      <c r="CS1017" s="195"/>
      <c r="CT1017" s="195"/>
      <c r="CU1017" s="195"/>
      <c r="CV1017" s="195"/>
      <c r="CW1017" s="195"/>
      <c r="CX1017" s="195"/>
      <c r="CY1017" s="195"/>
      <c r="CZ1017" s="195"/>
      <c r="DA1017" s="195"/>
      <c r="DB1017" s="195"/>
      <c r="DC1017" s="195"/>
      <c r="DD1017" s="195"/>
      <c r="DO1017" s="195"/>
      <c r="DP1017" s="195"/>
      <c r="DQ1017" s="195"/>
      <c r="DR1017" s="195"/>
      <c r="DS1017" s="195"/>
      <c r="DT1017" s="195"/>
      <c r="DU1017" s="195"/>
      <c r="DV1017" s="195"/>
      <c r="DW1017" s="195"/>
      <c r="DX1017" s="195"/>
      <c r="DY1017" s="195"/>
      <c r="DZ1017" s="195"/>
      <c r="EA1017" s="195"/>
      <c r="EB1017" s="195"/>
      <c r="EC1017" s="195"/>
      <c r="ED1017" s="195"/>
      <c r="EE1017" s="195"/>
      <c r="EK1017" s="195"/>
      <c r="EL1017" s="240"/>
      <c r="EM1017" s="240"/>
      <c r="EN1017" s="195"/>
      <c r="EO1017" s="240"/>
      <c r="EP1017" s="195"/>
      <c r="EQ1017" s="195"/>
      <c r="ER1017" s="195"/>
      <c r="ES1017" s="736"/>
    </row>
    <row r="1018" customFormat="false" ht="12.75" hidden="false" customHeight="false" outlineLevel="0" collapsed="false">
      <c r="I1018" s="735"/>
      <c r="J1018" s="728"/>
      <c r="K1018" s="195"/>
      <c r="L1018" s="195"/>
      <c r="Q1018" s="195"/>
      <c r="R1018" s="195"/>
      <c r="S1018" s="240"/>
      <c r="T1018" s="195"/>
      <c r="U1018" s="195"/>
      <c r="V1018" s="195"/>
      <c r="W1018" s="195"/>
      <c r="X1018" s="195"/>
      <c r="Y1018" s="195"/>
      <c r="Z1018" s="195"/>
      <c r="AA1018" s="195"/>
      <c r="AB1018" s="195"/>
      <c r="AC1018" s="195"/>
      <c r="AD1018" s="195"/>
      <c r="AE1018" s="195"/>
      <c r="AF1018" s="195"/>
      <c r="AG1018" s="195"/>
      <c r="AH1018" s="195"/>
      <c r="AI1018" s="195"/>
      <c r="AJ1018" s="195"/>
      <c r="AK1018" s="195"/>
      <c r="AL1018" s="195"/>
      <c r="AM1018" s="1"/>
      <c r="AN1018" s="240"/>
      <c r="AO1018" s="240"/>
      <c r="AP1018" s="240"/>
      <c r="AQ1018" s="730"/>
      <c r="AR1018" s="730"/>
      <c r="AS1018" s="730"/>
      <c r="AT1018" s="738"/>
      <c r="AU1018" s="738"/>
      <c r="AV1018" s="240"/>
      <c r="AW1018" s="240"/>
      <c r="AX1018" s="240"/>
      <c r="AY1018" s="240"/>
      <c r="AZ1018" s="240"/>
      <c r="BA1018" s="240"/>
      <c r="BB1018" s="672"/>
      <c r="BC1018" s="731"/>
      <c r="BD1018" s="731"/>
      <c r="BE1018" s="731"/>
      <c r="BF1018" s="672"/>
      <c r="BG1018" s="732"/>
      <c r="BH1018" s="240"/>
      <c r="BI1018" s="240"/>
      <c r="BJ1018" s="240"/>
      <c r="BK1018" s="240"/>
      <c r="BL1018" s="240"/>
      <c r="BM1018" s="240"/>
      <c r="BN1018" s="240"/>
      <c r="BO1018" s="240"/>
      <c r="BP1018" s="240"/>
      <c r="BQ1018" s="240"/>
      <c r="BR1018" s="240"/>
      <c r="BS1018" s="240"/>
      <c r="BT1018" s="240"/>
      <c r="BU1018" s="672"/>
      <c r="BV1018" s="672"/>
      <c r="BW1018" s="672"/>
      <c r="BX1018" s="672"/>
      <c r="BY1018" s="672"/>
      <c r="BZ1018" s="672"/>
      <c r="CA1018" s="672"/>
      <c r="CB1018" s="672"/>
      <c r="CC1018" s="672"/>
      <c r="CD1018" s="672"/>
      <c r="CE1018" s="240"/>
      <c r="CF1018" s="240"/>
      <c r="CG1018" s="240"/>
      <c r="CH1018" s="240"/>
      <c r="CI1018" s="240"/>
      <c r="CJ1018" s="728"/>
      <c r="CK1018" s="728"/>
      <c r="CL1018" s="195"/>
      <c r="CM1018" s="195"/>
      <c r="CN1018" s="195"/>
      <c r="CO1018" s="195"/>
      <c r="CP1018" s="195"/>
      <c r="CQ1018" s="195"/>
      <c r="CR1018" s="195"/>
      <c r="CS1018" s="195"/>
      <c r="CT1018" s="195"/>
      <c r="CU1018" s="195"/>
      <c r="CV1018" s="195"/>
      <c r="CW1018" s="195"/>
      <c r="CX1018" s="195"/>
      <c r="CY1018" s="195"/>
      <c r="CZ1018" s="195"/>
      <c r="DA1018" s="195"/>
      <c r="DB1018" s="195"/>
      <c r="DC1018" s="195"/>
      <c r="DD1018" s="195"/>
      <c r="DO1018" s="195"/>
      <c r="DP1018" s="195"/>
      <c r="DQ1018" s="195"/>
      <c r="DR1018" s="195"/>
      <c r="DS1018" s="195"/>
      <c r="DT1018" s="195"/>
      <c r="DU1018" s="195"/>
      <c r="DV1018" s="195"/>
      <c r="DW1018" s="195"/>
      <c r="DX1018" s="195"/>
      <c r="DY1018" s="195"/>
      <c r="DZ1018" s="195"/>
      <c r="EA1018" s="195"/>
      <c r="EB1018" s="195"/>
      <c r="EC1018" s="195"/>
      <c r="ED1018" s="195"/>
      <c r="EE1018" s="195"/>
      <c r="EK1018" s="195"/>
      <c r="EL1018" s="240"/>
      <c r="EM1018" s="240"/>
      <c r="EN1018" s="195"/>
      <c r="EO1018" s="240"/>
      <c r="EP1018" s="195"/>
      <c r="EQ1018" s="195"/>
      <c r="ER1018" s="195"/>
      <c r="ES1018" s="736"/>
    </row>
    <row r="1019" customFormat="false" ht="12.75" hidden="false" customHeight="false" outlineLevel="0" collapsed="false">
      <c r="I1019" s="735"/>
      <c r="J1019" s="728"/>
      <c r="K1019" s="195"/>
      <c r="L1019" s="195"/>
      <c r="Q1019" s="195"/>
      <c r="R1019" s="195"/>
      <c r="S1019" s="240"/>
      <c r="T1019" s="195"/>
      <c r="U1019" s="195"/>
      <c r="V1019" s="195"/>
      <c r="W1019" s="195"/>
      <c r="X1019" s="195"/>
      <c r="Y1019" s="195"/>
      <c r="Z1019" s="195"/>
      <c r="AA1019" s="195"/>
      <c r="AB1019" s="195"/>
      <c r="AC1019" s="195"/>
      <c r="AD1019" s="195"/>
      <c r="AE1019" s="195"/>
      <c r="AF1019" s="195"/>
      <c r="AG1019" s="195"/>
      <c r="AH1019" s="195"/>
      <c r="AI1019" s="195"/>
      <c r="AJ1019" s="195"/>
      <c r="AK1019" s="195"/>
      <c r="AL1019" s="195"/>
      <c r="AM1019" s="1"/>
      <c r="AN1019" s="240"/>
      <c r="AO1019" s="240"/>
      <c r="AP1019" s="240"/>
      <c r="AQ1019" s="730"/>
      <c r="AR1019" s="730"/>
      <c r="AS1019" s="730"/>
      <c r="AT1019" s="738"/>
      <c r="AU1019" s="738"/>
      <c r="AV1019" s="240"/>
      <c r="AW1019" s="240"/>
      <c r="AX1019" s="240"/>
      <c r="AY1019" s="240"/>
      <c r="AZ1019" s="240"/>
      <c r="BA1019" s="240"/>
      <c r="BB1019" s="672"/>
      <c r="BC1019" s="731"/>
      <c r="BD1019" s="731"/>
      <c r="BE1019" s="731"/>
      <c r="BF1019" s="672"/>
      <c r="BG1019" s="732"/>
      <c r="BH1019" s="240"/>
      <c r="BI1019" s="240"/>
      <c r="BJ1019" s="240"/>
      <c r="BK1019" s="240"/>
      <c r="BL1019" s="240"/>
      <c r="BM1019" s="240"/>
      <c r="BN1019" s="240"/>
      <c r="BO1019" s="240"/>
      <c r="BP1019" s="240"/>
      <c r="BQ1019" s="240"/>
      <c r="BR1019" s="240"/>
      <c r="BS1019" s="240"/>
      <c r="BT1019" s="240"/>
      <c r="BU1019" s="672"/>
      <c r="BV1019" s="672"/>
      <c r="BW1019" s="672"/>
      <c r="BX1019" s="672"/>
      <c r="BY1019" s="672"/>
      <c r="BZ1019" s="672"/>
      <c r="CA1019" s="672"/>
      <c r="CB1019" s="672"/>
      <c r="CC1019" s="672"/>
      <c r="CD1019" s="672"/>
      <c r="CE1019" s="240"/>
      <c r="CF1019" s="240"/>
      <c r="CG1019" s="240"/>
      <c r="CH1019" s="240"/>
      <c r="CI1019" s="240"/>
      <c r="CJ1019" s="728"/>
      <c r="CK1019" s="728"/>
      <c r="CL1019" s="195"/>
      <c r="CM1019" s="195"/>
      <c r="CN1019" s="195"/>
      <c r="CO1019" s="195"/>
      <c r="CP1019" s="195"/>
      <c r="CQ1019" s="195"/>
      <c r="CR1019" s="195"/>
      <c r="CS1019" s="195"/>
      <c r="CT1019" s="195"/>
      <c r="CU1019" s="195"/>
      <c r="CV1019" s="195"/>
      <c r="CW1019" s="195"/>
      <c r="CX1019" s="195"/>
      <c r="CY1019" s="195"/>
      <c r="CZ1019" s="195"/>
      <c r="DA1019" s="195"/>
      <c r="DB1019" s="195"/>
      <c r="DC1019" s="195"/>
      <c r="DD1019" s="195"/>
      <c r="DO1019" s="195"/>
      <c r="DP1019" s="195"/>
      <c r="DQ1019" s="195"/>
      <c r="DR1019" s="195"/>
      <c r="DS1019" s="195"/>
      <c r="DT1019" s="195"/>
      <c r="DU1019" s="195"/>
      <c r="DV1019" s="195"/>
      <c r="DW1019" s="195"/>
      <c r="DX1019" s="195"/>
      <c r="DY1019" s="195"/>
      <c r="DZ1019" s="195"/>
      <c r="EA1019" s="195"/>
      <c r="EB1019" s="195"/>
      <c r="EC1019" s="195"/>
      <c r="ED1019" s="195"/>
      <c r="EE1019" s="195"/>
      <c r="EK1019" s="195"/>
      <c r="EL1019" s="240"/>
      <c r="EM1019" s="240"/>
      <c r="EN1019" s="195"/>
      <c r="EO1019" s="240"/>
      <c r="EP1019" s="195"/>
      <c r="EQ1019" s="195"/>
      <c r="ER1019" s="195"/>
      <c r="ES1019" s="736"/>
    </row>
    <row r="1020" customFormat="false" ht="12.75" hidden="false" customHeight="false" outlineLevel="0" collapsed="false">
      <c r="I1020" s="735"/>
      <c r="J1020" s="728"/>
      <c r="K1020" s="195"/>
      <c r="L1020" s="195"/>
      <c r="Q1020" s="195"/>
      <c r="R1020" s="195"/>
      <c r="S1020" s="240"/>
      <c r="T1020" s="195"/>
      <c r="U1020" s="195"/>
      <c r="V1020" s="195"/>
      <c r="W1020" s="195"/>
      <c r="X1020" s="195"/>
      <c r="Y1020" s="195"/>
      <c r="Z1020" s="195"/>
      <c r="AA1020" s="195"/>
      <c r="AB1020" s="195"/>
      <c r="AC1020" s="195"/>
      <c r="AD1020" s="195"/>
      <c r="AE1020" s="195"/>
      <c r="AF1020" s="195"/>
      <c r="AG1020" s="195"/>
      <c r="AH1020" s="195"/>
      <c r="AI1020" s="195"/>
      <c r="AJ1020" s="195"/>
      <c r="AK1020" s="195"/>
      <c r="AL1020" s="195"/>
      <c r="AM1020" s="1"/>
      <c r="AN1020" s="240"/>
      <c r="AO1020" s="240"/>
      <c r="AP1020" s="240"/>
      <c r="AQ1020" s="730"/>
      <c r="AR1020" s="730"/>
      <c r="AS1020" s="730"/>
      <c r="AT1020" s="738"/>
      <c r="AU1020" s="738"/>
      <c r="AV1020" s="240"/>
      <c r="AW1020" s="240"/>
      <c r="AX1020" s="240"/>
      <c r="AY1020" s="240"/>
      <c r="AZ1020" s="240"/>
      <c r="BA1020" s="240"/>
      <c r="BB1020" s="672"/>
      <c r="BC1020" s="731"/>
      <c r="BD1020" s="731"/>
      <c r="BE1020" s="731"/>
      <c r="BF1020" s="672"/>
      <c r="BG1020" s="732"/>
      <c r="BH1020" s="240"/>
      <c r="BI1020" s="240"/>
      <c r="BJ1020" s="240"/>
      <c r="BK1020" s="240"/>
      <c r="BL1020" s="240"/>
      <c r="BM1020" s="240"/>
      <c r="BN1020" s="240"/>
      <c r="BO1020" s="240"/>
      <c r="BP1020" s="240"/>
      <c r="BQ1020" s="240"/>
      <c r="BR1020" s="240"/>
      <c r="BS1020" s="240"/>
      <c r="BT1020" s="240"/>
      <c r="BU1020" s="672"/>
      <c r="BV1020" s="672"/>
      <c r="BW1020" s="672"/>
      <c r="BX1020" s="672"/>
      <c r="BY1020" s="672"/>
      <c r="BZ1020" s="672"/>
      <c r="CA1020" s="672"/>
      <c r="CB1020" s="672"/>
      <c r="CC1020" s="672"/>
      <c r="CD1020" s="672"/>
      <c r="CE1020" s="240"/>
      <c r="CF1020" s="240"/>
      <c r="CG1020" s="240"/>
      <c r="CH1020" s="240"/>
      <c r="CI1020" s="240"/>
      <c r="CJ1020" s="728"/>
      <c r="CK1020" s="728"/>
      <c r="CL1020" s="195"/>
      <c r="CM1020" s="195"/>
      <c r="CN1020" s="195"/>
      <c r="CO1020" s="195"/>
      <c r="CP1020" s="195"/>
      <c r="CQ1020" s="195"/>
      <c r="CR1020" s="195"/>
      <c r="CS1020" s="195"/>
      <c r="CT1020" s="195"/>
      <c r="CU1020" s="195"/>
      <c r="CV1020" s="195"/>
      <c r="CW1020" s="195"/>
      <c r="CX1020" s="195"/>
      <c r="CY1020" s="195"/>
      <c r="CZ1020" s="195"/>
      <c r="DA1020" s="195"/>
      <c r="DB1020" s="195"/>
      <c r="DC1020" s="195"/>
      <c r="DD1020" s="195"/>
      <c r="DO1020" s="195"/>
      <c r="DP1020" s="195"/>
      <c r="DQ1020" s="195"/>
      <c r="DR1020" s="195"/>
      <c r="DS1020" s="195"/>
      <c r="DT1020" s="195"/>
      <c r="DU1020" s="195"/>
      <c r="DV1020" s="195"/>
      <c r="DW1020" s="195"/>
      <c r="DX1020" s="195"/>
      <c r="DY1020" s="195"/>
      <c r="DZ1020" s="195"/>
      <c r="EA1020" s="195"/>
      <c r="EB1020" s="195"/>
      <c r="EC1020" s="195"/>
      <c r="ED1020" s="195"/>
      <c r="EE1020" s="195"/>
      <c r="EK1020" s="195"/>
      <c r="EL1020" s="240"/>
      <c r="EM1020" s="240"/>
      <c r="EN1020" s="195"/>
      <c r="EO1020" s="240"/>
      <c r="EP1020" s="195"/>
      <c r="EQ1020" s="195"/>
      <c r="ER1020" s="195"/>
      <c r="ES1020" s="736"/>
    </row>
    <row r="1021" customFormat="false" ht="12.75" hidden="false" customHeight="false" outlineLevel="0" collapsed="false">
      <c r="I1021" s="735"/>
      <c r="J1021" s="728"/>
      <c r="K1021" s="195"/>
      <c r="L1021" s="195"/>
      <c r="Q1021" s="195"/>
      <c r="R1021" s="195"/>
      <c r="S1021" s="240"/>
      <c r="T1021" s="195"/>
      <c r="U1021" s="195"/>
      <c r="V1021" s="195"/>
      <c r="W1021" s="195"/>
      <c r="X1021" s="195"/>
      <c r="Y1021" s="195"/>
      <c r="Z1021" s="195"/>
      <c r="AA1021" s="195"/>
      <c r="AB1021" s="195"/>
      <c r="AC1021" s="195"/>
      <c r="AD1021" s="195"/>
      <c r="AE1021" s="195"/>
      <c r="AF1021" s="195"/>
      <c r="AG1021" s="195"/>
      <c r="AH1021" s="195"/>
      <c r="AI1021" s="195"/>
      <c r="AJ1021" s="195"/>
      <c r="AK1021" s="195"/>
      <c r="AL1021" s="195"/>
      <c r="AM1021" s="1"/>
      <c r="AN1021" s="240"/>
      <c r="AO1021" s="240"/>
      <c r="AP1021" s="240"/>
      <c r="AQ1021" s="730"/>
      <c r="AR1021" s="730"/>
      <c r="AS1021" s="730"/>
      <c r="AT1021" s="738"/>
      <c r="AU1021" s="738"/>
      <c r="AV1021" s="240"/>
      <c r="AW1021" s="240"/>
      <c r="AX1021" s="240"/>
      <c r="AY1021" s="240"/>
      <c r="AZ1021" s="240"/>
      <c r="BA1021" s="240"/>
      <c r="BB1021" s="672"/>
      <c r="BC1021" s="731"/>
      <c r="BD1021" s="731"/>
      <c r="BE1021" s="731"/>
      <c r="BF1021" s="672"/>
      <c r="BG1021" s="732"/>
      <c r="BH1021" s="240"/>
      <c r="BI1021" s="240"/>
      <c r="BJ1021" s="240"/>
      <c r="BK1021" s="240"/>
      <c r="BL1021" s="240"/>
      <c r="BM1021" s="240"/>
      <c r="BN1021" s="240"/>
      <c r="BO1021" s="240"/>
      <c r="BP1021" s="240"/>
      <c r="BQ1021" s="240"/>
      <c r="BR1021" s="240"/>
      <c r="BS1021" s="240"/>
      <c r="BT1021" s="240"/>
      <c r="BU1021" s="672"/>
      <c r="BV1021" s="672"/>
      <c r="BW1021" s="672"/>
      <c r="BX1021" s="672"/>
      <c r="BY1021" s="672"/>
      <c r="BZ1021" s="672"/>
      <c r="CA1021" s="672"/>
      <c r="CB1021" s="672"/>
      <c r="CC1021" s="672"/>
      <c r="CD1021" s="672"/>
      <c r="CE1021" s="240"/>
      <c r="CF1021" s="240"/>
      <c r="CG1021" s="240"/>
      <c r="CH1021" s="240"/>
      <c r="CI1021" s="240"/>
      <c r="CJ1021" s="728"/>
      <c r="CK1021" s="728"/>
      <c r="CL1021" s="195"/>
      <c r="CM1021" s="195"/>
      <c r="CN1021" s="195"/>
      <c r="CO1021" s="195"/>
      <c r="CP1021" s="195"/>
      <c r="CQ1021" s="195"/>
      <c r="CR1021" s="195"/>
      <c r="CS1021" s="195"/>
      <c r="CT1021" s="195"/>
      <c r="CU1021" s="195"/>
      <c r="CV1021" s="195"/>
      <c r="CW1021" s="195"/>
      <c r="CX1021" s="195"/>
      <c r="CY1021" s="195"/>
      <c r="CZ1021" s="195"/>
      <c r="DA1021" s="195"/>
      <c r="DB1021" s="195"/>
      <c r="DC1021" s="195"/>
      <c r="DD1021" s="195"/>
      <c r="DO1021" s="195"/>
      <c r="DP1021" s="195"/>
      <c r="DQ1021" s="195"/>
      <c r="DR1021" s="195"/>
      <c r="DS1021" s="195"/>
      <c r="DT1021" s="195"/>
      <c r="DU1021" s="195"/>
      <c r="DV1021" s="195"/>
      <c r="DW1021" s="195"/>
      <c r="DX1021" s="195"/>
      <c r="DY1021" s="195"/>
      <c r="DZ1021" s="195"/>
      <c r="EA1021" s="195"/>
      <c r="EB1021" s="195"/>
      <c r="EC1021" s="195"/>
      <c r="ED1021" s="195"/>
      <c r="EE1021" s="195"/>
      <c r="EK1021" s="195"/>
      <c r="EL1021" s="240"/>
      <c r="EM1021" s="240"/>
      <c r="EN1021" s="195"/>
      <c r="EO1021" s="240"/>
      <c r="EP1021" s="195"/>
      <c r="EQ1021" s="195"/>
      <c r="ER1021" s="195"/>
      <c r="ES1021" s="736"/>
    </row>
    <row r="1022" customFormat="false" ht="12.75" hidden="false" customHeight="false" outlineLevel="0" collapsed="false">
      <c r="I1022" s="735"/>
      <c r="J1022" s="728"/>
      <c r="K1022" s="195"/>
      <c r="L1022" s="195"/>
      <c r="Q1022" s="195"/>
      <c r="R1022" s="195"/>
      <c r="S1022" s="240"/>
      <c r="T1022" s="195"/>
      <c r="U1022" s="195"/>
      <c r="V1022" s="195"/>
      <c r="W1022" s="195"/>
      <c r="X1022" s="195"/>
      <c r="Y1022" s="195"/>
      <c r="Z1022" s="195"/>
      <c r="AA1022" s="195"/>
      <c r="AB1022" s="195"/>
      <c r="AC1022" s="195"/>
      <c r="AD1022" s="195"/>
      <c r="AE1022" s="195"/>
      <c r="AF1022" s="195"/>
      <c r="AG1022" s="195"/>
      <c r="AH1022" s="195"/>
      <c r="AI1022" s="195"/>
      <c r="AJ1022" s="195"/>
      <c r="AK1022" s="195"/>
      <c r="AL1022" s="195"/>
      <c r="AM1022" s="1"/>
      <c r="AN1022" s="240"/>
      <c r="AO1022" s="240"/>
      <c r="AP1022" s="240"/>
      <c r="AQ1022" s="730"/>
      <c r="AR1022" s="730"/>
      <c r="AS1022" s="730"/>
      <c r="AT1022" s="738"/>
      <c r="AU1022" s="738"/>
      <c r="AV1022" s="240"/>
      <c r="AW1022" s="240"/>
      <c r="AX1022" s="240"/>
      <c r="AY1022" s="240"/>
      <c r="AZ1022" s="240"/>
      <c r="BA1022" s="240"/>
      <c r="BB1022" s="672"/>
      <c r="BC1022" s="731"/>
      <c r="BD1022" s="731"/>
      <c r="BE1022" s="731"/>
      <c r="BF1022" s="672"/>
      <c r="BG1022" s="732"/>
      <c r="BH1022" s="240"/>
      <c r="BI1022" s="240"/>
      <c r="BJ1022" s="240"/>
      <c r="BK1022" s="240"/>
      <c r="BL1022" s="240"/>
      <c r="BM1022" s="240"/>
      <c r="BN1022" s="240"/>
      <c r="BO1022" s="240"/>
      <c r="BP1022" s="240"/>
      <c r="BQ1022" s="240"/>
      <c r="BR1022" s="240"/>
      <c r="BS1022" s="240"/>
      <c r="BT1022" s="240"/>
      <c r="BU1022" s="672"/>
      <c r="BV1022" s="672"/>
      <c r="BW1022" s="672"/>
      <c r="BX1022" s="672"/>
      <c r="BY1022" s="672"/>
      <c r="BZ1022" s="672"/>
      <c r="CA1022" s="672"/>
      <c r="CB1022" s="672"/>
      <c r="CC1022" s="672"/>
      <c r="CD1022" s="672"/>
      <c r="CE1022" s="240"/>
      <c r="CF1022" s="240"/>
      <c r="CG1022" s="240"/>
      <c r="CH1022" s="240"/>
      <c r="CI1022" s="240"/>
      <c r="CJ1022" s="728"/>
      <c r="CK1022" s="728"/>
      <c r="CL1022" s="195"/>
      <c r="CM1022" s="195"/>
      <c r="CN1022" s="195"/>
      <c r="CO1022" s="195"/>
      <c r="CP1022" s="195"/>
      <c r="CQ1022" s="195"/>
      <c r="CR1022" s="195"/>
      <c r="CS1022" s="195"/>
      <c r="CT1022" s="195"/>
      <c r="CU1022" s="195"/>
      <c r="CV1022" s="195"/>
      <c r="CW1022" s="195"/>
      <c r="CX1022" s="195"/>
      <c r="CY1022" s="195"/>
      <c r="CZ1022" s="195"/>
      <c r="DA1022" s="195"/>
      <c r="DB1022" s="195"/>
      <c r="DC1022" s="195"/>
      <c r="DD1022" s="195"/>
      <c r="DO1022" s="195"/>
      <c r="DP1022" s="195"/>
      <c r="DQ1022" s="195"/>
      <c r="DR1022" s="195"/>
      <c r="DS1022" s="195"/>
      <c r="DT1022" s="195"/>
      <c r="DU1022" s="195"/>
      <c r="DV1022" s="195"/>
      <c r="DW1022" s="195"/>
      <c r="DX1022" s="195"/>
      <c r="DY1022" s="195"/>
      <c r="DZ1022" s="195"/>
      <c r="EA1022" s="195"/>
      <c r="EB1022" s="195"/>
      <c r="EC1022" s="195"/>
      <c r="ED1022" s="195"/>
      <c r="EE1022" s="195"/>
      <c r="EK1022" s="195"/>
      <c r="EL1022" s="240"/>
      <c r="EM1022" s="240"/>
      <c r="EN1022" s="195"/>
      <c r="EO1022" s="240"/>
      <c r="EP1022" s="195"/>
      <c r="EQ1022" s="195"/>
      <c r="ER1022" s="195"/>
      <c r="ES1022" s="736"/>
    </row>
    <row r="1023" customFormat="false" ht="12.75" hidden="false" customHeight="false" outlineLevel="0" collapsed="false">
      <c r="I1023" s="735"/>
      <c r="J1023" s="728"/>
      <c r="K1023" s="195"/>
      <c r="L1023" s="195"/>
      <c r="Q1023" s="195"/>
      <c r="R1023" s="195"/>
      <c r="S1023" s="240"/>
      <c r="T1023" s="195"/>
      <c r="U1023" s="195"/>
      <c r="V1023" s="195"/>
      <c r="W1023" s="195"/>
      <c r="X1023" s="195"/>
      <c r="Y1023" s="195"/>
      <c r="Z1023" s="195"/>
      <c r="AA1023" s="195"/>
      <c r="AB1023" s="195"/>
      <c r="AC1023" s="195"/>
      <c r="AD1023" s="195"/>
      <c r="AE1023" s="195"/>
      <c r="AF1023" s="195"/>
      <c r="AG1023" s="195"/>
      <c r="AH1023" s="195"/>
      <c r="AI1023" s="195"/>
      <c r="AJ1023" s="195"/>
      <c r="AK1023" s="195"/>
      <c r="AL1023" s="195"/>
      <c r="AM1023" s="1"/>
      <c r="AN1023" s="240"/>
      <c r="AO1023" s="240"/>
      <c r="AP1023" s="240"/>
      <c r="AQ1023" s="730"/>
      <c r="AR1023" s="730"/>
      <c r="AS1023" s="730"/>
      <c r="AT1023" s="738"/>
      <c r="AU1023" s="738"/>
      <c r="AV1023" s="240"/>
      <c r="AW1023" s="240"/>
      <c r="AX1023" s="240"/>
      <c r="AY1023" s="240"/>
      <c r="AZ1023" s="240"/>
      <c r="BA1023" s="240"/>
      <c r="BB1023" s="672"/>
      <c r="BC1023" s="731"/>
      <c r="BD1023" s="731"/>
      <c r="BE1023" s="731"/>
      <c r="BF1023" s="672"/>
      <c r="BG1023" s="732"/>
      <c r="BH1023" s="240"/>
      <c r="BI1023" s="240"/>
      <c r="BJ1023" s="240"/>
      <c r="BK1023" s="240"/>
      <c r="BL1023" s="240"/>
      <c r="BM1023" s="240"/>
      <c r="BN1023" s="240"/>
      <c r="BO1023" s="240"/>
      <c r="BP1023" s="240"/>
      <c r="BQ1023" s="240"/>
      <c r="BR1023" s="240"/>
      <c r="BS1023" s="240"/>
      <c r="BT1023" s="240"/>
      <c r="BU1023" s="672"/>
      <c r="BV1023" s="672"/>
      <c r="BW1023" s="672"/>
      <c r="BX1023" s="672"/>
      <c r="BY1023" s="672"/>
      <c r="BZ1023" s="672"/>
      <c r="CA1023" s="672"/>
      <c r="CB1023" s="672"/>
      <c r="CC1023" s="672"/>
      <c r="CD1023" s="672"/>
      <c r="CE1023" s="240"/>
      <c r="CF1023" s="240"/>
      <c r="CG1023" s="240"/>
      <c r="CH1023" s="240"/>
      <c r="CI1023" s="240"/>
      <c r="CJ1023" s="728"/>
      <c r="CK1023" s="728"/>
      <c r="CL1023" s="195"/>
      <c r="CM1023" s="195"/>
      <c r="CN1023" s="195"/>
      <c r="CO1023" s="195"/>
      <c r="CP1023" s="195"/>
      <c r="CQ1023" s="195"/>
      <c r="CR1023" s="195"/>
      <c r="CS1023" s="195"/>
      <c r="CT1023" s="195"/>
      <c r="CU1023" s="195"/>
      <c r="CV1023" s="195"/>
      <c r="CW1023" s="195"/>
      <c r="CX1023" s="195"/>
      <c r="CY1023" s="195"/>
      <c r="CZ1023" s="195"/>
      <c r="DA1023" s="195"/>
      <c r="DB1023" s="195"/>
      <c r="DC1023" s="195"/>
      <c r="DD1023" s="195"/>
      <c r="DO1023" s="195"/>
      <c r="DP1023" s="195"/>
      <c r="DQ1023" s="195"/>
      <c r="DR1023" s="195"/>
      <c r="DS1023" s="195"/>
      <c r="DT1023" s="195"/>
      <c r="DU1023" s="195"/>
      <c r="DV1023" s="195"/>
      <c r="DW1023" s="195"/>
      <c r="DX1023" s="195"/>
      <c r="DY1023" s="195"/>
      <c r="DZ1023" s="195"/>
      <c r="EA1023" s="195"/>
      <c r="EB1023" s="195"/>
      <c r="EC1023" s="195"/>
      <c r="ED1023" s="195"/>
      <c r="EE1023" s="195"/>
      <c r="EK1023" s="195"/>
      <c r="EL1023" s="240"/>
      <c r="EM1023" s="240"/>
      <c r="EN1023" s="195"/>
      <c r="EO1023" s="240"/>
      <c r="EP1023" s="195"/>
      <c r="EQ1023" s="195"/>
      <c r="ER1023" s="195"/>
      <c r="ES1023" s="736"/>
    </row>
    <row r="1024" customFormat="false" ht="12.75" hidden="false" customHeight="false" outlineLevel="0" collapsed="false">
      <c r="I1024" s="735"/>
      <c r="J1024" s="728"/>
      <c r="K1024" s="195"/>
      <c r="L1024" s="195"/>
      <c r="Q1024" s="195"/>
      <c r="R1024" s="195"/>
      <c r="S1024" s="240"/>
      <c r="T1024" s="195"/>
      <c r="U1024" s="195"/>
      <c r="V1024" s="195"/>
      <c r="W1024" s="195"/>
      <c r="X1024" s="195"/>
      <c r="Y1024" s="195"/>
      <c r="Z1024" s="195"/>
      <c r="AA1024" s="195"/>
      <c r="AB1024" s="195"/>
      <c r="AC1024" s="195"/>
      <c r="AD1024" s="195"/>
      <c r="AE1024" s="195"/>
      <c r="AF1024" s="195"/>
      <c r="AG1024" s="195"/>
      <c r="AH1024" s="195"/>
      <c r="AI1024" s="195"/>
      <c r="AJ1024" s="195"/>
      <c r="AK1024" s="195"/>
      <c r="AL1024" s="195"/>
      <c r="AM1024" s="1"/>
      <c r="AN1024" s="240"/>
      <c r="AO1024" s="240"/>
      <c r="AP1024" s="240"/>
      <c r="AQ1024" s="730"/>
      <c r="AR1024" s="730"/>
      <c r="AS1024" s="730"/>
      <c r="AT1024" s="738"/>
      <c r="AU1024" s="738"/>
      <c r="AV1024" s="240"/>
      <c r="AW1024" s="240"/>
      <c r="AX1024" s="240"/>
      <c r="AY1024" s="240"/>
      <c r="AZ1024" s="240"/>
      <c r="BA1024" s="240"/>
      <c r="BB1024" s="672"/>
      <c r="BC1024" s="731"/>
      <c r="BD1024" s="731"/>
      <c r="BE1024" s="731"/>
      <c r="BF1024" s="672"/>
      <c r="BG1024" s="732"/>
      <c r="BH1024" s="240"/>
      <c r="BI1024" s="240"/>
      <c r="BJ1024" s="240"/>
      <c r="BK1024" s="240"/>
      <c r="BL1024" s="240"/>
      <c r="BM1024" s="240"/>
      <c r="BN1024" s="240"/>
      <c r="BO1024" s="240"/>
      <c r="BP1024" s="240"/>
      <c r="BQ1024" s="240"/>
      <c r="BR1024" s="240"/>
      <c r="BS1024" s="240"/>
      <c r="BT1024" s="240"/>
      <c r="BU1024" s="672"/>
      <c r="BV1024" s="672"/>
      <c r="BW1024" s="672"/>
      <c r="BX1024" s="672"/>
      <c r="BY1024" s="672"/>
      <c r="BZ1024" s="672"/>
      <c r="CA1024" s="672"/>
      <c r="CB1024" s="672"/>
      <c r="CC1024" s="672"/>
      <c r="CD1024" s="672"/>
      <c r="CE1024" s="240"/>
      <c r="CF1024" s="240"/>
      <c r="CG1024" s="240"/>
      <c r="CH1024" s="240"/>
      <c r="CI1024" s="240"/>
      <c r="CJ1024" s="728"/>
      <c r="CK1024" s="728"/>
      <c r="CL1024" s="195"/>
      <c r="CM1024" s="195"/>
      <c r="CN1024" s="195"/>
      <c r="CO1024" s="195"/>
      <c r="CP1024" s="195"/>
      <c r="CQ1024" s="195"/>
      <c r="CR1024" s="195"/>
      <c r="CS1024" s="195"/>
      <c r="CT1024" s="195"/>
      <c r="CU1024" s="195"/>
      <c r="CV1024" s="195"/>
      <c r="CW1024" s="195"/>
      <c r="CX1024" s="195"/>
      <c r="CY1024" s="195"/>
      <c r="CZ1024" s="195"/>
      <c r="DA1024" s="195"/>
      <c r="DB1024" s="195"/>
      <c r="DC1024" s="195"/>
      <c r="DD1024" s="195"/>
      <c r="DO1024" s="195"/>
      <c r="DP1024" s="195"/>
      <c r="DQ1024" s="195"/>
      <c r="DR1024" s="195"/>
      <c r="DS1024" s="195"/>
      <c r="DT1024" s="195"/>
      <c r="DU1024" s="195"/>
      <c r="DV1024" s="195"/>
      <c r="DW1024" s="195"/>
      <c r="DX1024" s="195"/>
      <c r="DY1024" s="195"/>
      <c r="DZ1024" s="195"/>
      <c r="EA1024" s="195"/>
      <c r="EB1024" s="195"/>
      <c r="EC1024" s="195"/>
      <c r="ED1024" s="195"/>
      <c r="EE1024" s="195"/>
      <c r="EK1024" s="195"/>
      <c r="EL1024" s="240"/>
      <c r="EM1024" s="240"/>
      <c r="EN1024" s="195"/>
      <c r="EO1024" s="240"/>
      <c r="EP1024" s="195"/>
      <c r="EQ1024" s="195"/>
      <c r="ER1024" s="195"/>
      <c r="ES1024" s="736"/>
    </row>
    <row r="1025" customFormat="false" ht="12.75" hidden="false" customHeight="false" outlineLevel="0" collapsed="false">
      <c r="I1025" s="735"/>
      <c r="J1025" s="728"/>
      <c r="K1025" s="195"/>
      <c r="L1025" s="195"/>
      <c r="Q1025" s="195"/>
      <c r="R1025" s="195"/>
      <c r="S1025" s="240"/>
      <c r="T1025" s="195"/>
      <c r="U1025" s="195"/>
      <c r="V1025" s="195"/>
      <c r="W1025" s="195"/>
      <c r="X1025" s="195"/>
      <c r="Y1025" s="195"/>
      <c r="Z1025" s="195"/>
      <c r="AA1025" s="195"/>
      <c r="AB1025" s="195"/>
      <c r="AC1025" s="195"/>
      <c r="AD1025" s="195"/>
      <c r="AE1025" s="195"/>
      <c r="AF1025" s="195"/>
      <c r="AG1025" s="195"/>
      <c r="AH1025" s="195"/>
      <c r="AI1025" s="195"/>
      <c r="AJ1025" s="195"/>
      <c r="AK1025" s="195"/>
      <c r="AL1025" s="195"/>
      <c r="AM1025" s="1"/>
      <c r="AN1025" s="240"/>
      <c r="AO1025" s="240"/>
      <c r="AP1025" s="240"/>
      <c r="AQ1025" s="730"/>
      <c r="AR1025" s="730"/>
      <c r="AS1025" s="730"/>
      <c r="AT1025" s="738"/>
      <c r="AU1025" s="738"/>
      <c r="AV1025" s="240"/>
      <c r="AW1025" s="240"/>
      <c r="AX1025" s="240"/>
      <c r="AY1025" s="240"/>
      <c r="AZ1025" s="240"/>
      <c r="BA1025" s="240"/>
      <c r="BB1025" s="672"/>
      <c r="BC1025" s="731"/>
      <c r="BD1025" s="731"/>
      <c r="BE1025" s="731"/>
      <c r="BF1025" s="672"/>
      <c r="BG1025" s="732"/>
      <c r="BH1025" s="240"/>
      <c r="BI1025" s="240"/>
      <c r="BJ1025" s="240"/>
      <c r="BK1025" s="240"/>
      <c r="BL1025" s="240"/>
      <c r="BM1025" s="240"/>
      <c r="BN1025" s="240"/>
      <c r="BO1025" s="240"/>
      <c r="BP1025" s="240"/>
      <c r="BQ1025" s="240"/>
      <c r="BR1025" s="240"/>
      <c r="BS1025" s="240"/>
      <c r="BT1025" s="240"/>
      <c r="BU1025" s="672"/>
      <c r="BV1025" s="672"/>
      <c r="BW1025" s="672"/>
      <c r="BX1025" s="672"/>
      <c r="BY1025" s="672"/>
      <c r="BZ1025" s="672"/>
      <c r="CA1025" s="672"/>
      <c r="CB1025" s="672"/>
      <c r="CC1025" s="672"/>
      <c r="CD1025" s="672"/>
      <c r="CE1025" s="240"/>
      <c r="CF1025" s="240"/>
      <c r="CG1025" s="240"/>
      <c r="CH1025" s="240"/>
      <c r="CI1025" s="240"/>
      <c r="CJ1025" s="728"/>
      <c r="CK1025" s="728"/>
      <c r="CL1025" s="195"/>
      <c r="CM1025" s="195"/>
      <c r="CN1025" s="195"/>
      <c r="CO1025" s="195"/>
      <c r="CP1025" s="195"/>
      <c r="CQ1025" s="195"/>
      <c r="CR1025" s="195"/>
      <c r="CS1025" s="195"/>
      <c r="CT1025" s="195"/>
      <c r="CU1025" s="195"/>
      <c r="CV1025" s="195"/>
      <c r="CW1025" s="195"/>
      <c r="CX1025" s="195"/>
      <c r="CY1025" s="195"/>
      <c r="CZ1025" s="195"/>
      <c r="DA1025" s="195"/>
      <c r="DB1025" s="195"/>
      <c r="DC1025" s="195"/>
      <c r="DD1025" s="195"/>
      <c r="DO1025" s="195"/>
      <c r="DP1025" s="195"/>
      <c r="DQ1025" s="195"/>
      <c r="DR1025" s="195"/>
      <c r="DS1025" s="195"/>
      <c r="DT1025" s="195"/>
      <c r="DU1025" s="195"/>
      <c r="DV1025" s="195"/>
      <c r="DW1025" s="195"/>
      <c r="DX1025" s="195"/>
      <c r="DY1025" s="195"/>
      <c r="DZ1025" s="195"/>
      <c r="EA1025" s="195"/>
      <c r="EB1025" s="195"/>
      <c r="EC1025" s="195"/>
      <c r="ED1025" s="195"/>
      <c r="EE1025" s="195"/>
      <c r="EK1025" s="195"/>
      <c r="EL1025" s="240"/>
      <c r="EM1025" s="240"/>
      <c r="EN1025" s="195"/>
      <c r="EO1025" s="240"/>
      <c r="EP1025" s="195"/>
      <c r="EQ1025" s="195"/>
      <c r="ER1025" s="195"/>
      <c r="ES1025" s="736"/>
    </row>
    <row r="1026" customFormat="false" ht="12.75" hidden="false" customHeight="false" outlineLevel="0" collapsed="false">
      <c r="I1026" s="735"/>
      <c r="J1026" s="728"/>
      <c r="K1026" s="195"/>
      <c r="L1026" s="195"/>
      <c r="Q1026" s="195"/>
      <c r="R1026" s="195"/>
      <c r="S1026" s="240"/>
      <c r="T1026" s="195"/>
      <c r="U1026" s="195"/>
      <c r="V1026" s="195"/>
      <c r="W1026" s="195"/>
      <c r="X1026" s="195"/>
      <c r="Y1026" s="195"/>
      <c r="Z1026" s="195"/>
      <c r="AA1026" s="195"/>
      <c r="AB1026" s="195"/>
      <c r="AC1026" s="195"/>
      <c r="AD1026" s="195"/>
      <c r="AE1026" s="195"/>
      <c r="AF1026" s="195"/>
      <c r="AG1026" s="195"/>
      <c r="AH1026" s="195"/>
      <c r="AI1026" s="195"/>
      <c r="AJ1026" s="195"/>
      <c r="AK1026" s="195"/>
      <c r="AL1026" s="195"/>
      <c r="AM1026" s="1"/>
      <c r="AN1026" s="240"/>
      <c r="AO1026" s="240"/>
      <c r="AP1026" s="240"/>
      <c r="AQ1026" s="730"/>
      <c r="AR1026" s="730"/>
      <c r="AS1026" s="730"/>
      <c r="AT1026" s="738"/>
      <c r="AU1026" s="738"/>
      <c r="AV1026" s="240"/>
      <c r="AW1026" s="240"/>
      <c r="AX1026" s="240"/>
      <c r="AY1026" s="240"/>
      <c r="AZ1026" s="240"/>
      <c r="BA1026" s="240"/>
      <c r="BB1026" s="672"/>
      <c r="BC1026" s="731"/>
      <c r="BD1026" s="731"/>
      <c r="BE1026" s="731"/>
      <c r="BF1026" s="672"/>
      <c r="BG1026" s="732"/>
      <c r="BH1026" s="240"/>
      <c r="BI1026" s="240"/>
      <c r="BJ1026" s="240"/>
      <c r="BK1026" s="240"/>
      <c r="BL1026" s="240"/>
      <c r="BM1026" s="240"/>
      <c r="BN1026" s="240"/>
      <c r="BO1026" s="240"/>
      <c r="BP1026" s="240"/>
      <c r="BQ1026" s="240"/>
      <c r="BR1026" s="240"/>
      <c r="BS1026" s="240"/>
      <c r="BT1026" s="240"/>
      <c r="BU1026" s="672"/>
      <c r="BV1026" s="672"/>
      <c r="BW1026" s="672"/>
      <c r="BX1026" s="672"/>
      <c r="BY1026" s="672"/>
      <c r="BZ1026" s="672"/>
      <c r="CA1026" s="672"/>
      <c r="CB1026" s="672"/>
      <c r="CC1026" s="672"/>
      <c r="CD1026" s="672"/>
      <c r="CE1026" s="240"/>
      <c r="CF1026" s="240"/>
      <c r="CG1026" s="240"/>
      <c r="CH1026" s="240"/>
      <c r="CI1026" s="240"/>
      <c r="CJ1026" s="728"/>
      <c r="CK1026" s="728"/>
      <c r="CL1026" s="195"/>
      <c r="CM1026" s="195"/>
      <c r="CN1026" s="195"/>
      <c r="CO1026" s="195"/>
      <c r="CP1026" s="195"/>
      <c r="CQ1026" s="195"/>
      <c r="CR1026" s="195"/>
      <c r="CS1026" s="195"/>
      <c r="CT1026" s="195"/>
      <c r="CU1026" s="195"/>
      <c r="CV1026" s="195"/>
      <c r="CW1026" s="195"/>
      <c r="CX1026" s="195"/>
      <c r="CY1026" s="195"/>
      <c r="CZ1026" s="195"/>
      <c r="DA1026" s="195"/>
      <c r="DB1026" s="195"/>
      <c r="DC1026" s="195"/>
      <c r="DD1026" s="195"/>
      <c r="DO1026" s="195"/>
      <c r="DP1026" s="195"/>
      <c r="DQ1026" s="195"/>
      <c r="DR1026" s="195"/>
      <c r="DS1026" s="195"/>
      <c r="DT1026" s="195"/>
      <c r="DU1026" s="195"/>
      <c r="DV1026" s="195"/>
      <c r="DW1026" s="195"/>
      <c r="DX1026" s="195"/>
      <c r="DY1026" s="195"/>
      <c r="DZ1026" s="195"/>
      <c r="EA1026" s="195"/>
      <c r="EB1026" s="195"/>
      <c r="EC1026" s="195"/>
      <c r="ED1026" s="195"/>
      <c r="EE1026" s="195"/>
      <c r="EK1026" s="195"/>
      <c r="EL1026" s="240"/>
      <c r="EM1026" s="240"/>
      <c r="EN1026" s="195"/>
      <c r="EO1026" s="240"/>
      <c r="EP1026" s="195"/>
      <c r="EQ1026" s="195"/>
      <c r="ER1026" s="195"/>
      <c r="ES1026" s="736"/>
    </row>
    <row r="1027" customFormat="false" ht="12.75" hidden="false" customHeight="false" outlineLevel="0" collapsed="false">
      <c r="I1027" s="735"/>
      <c r="J1027" s="728"/>
      <c r="K1027" s="195"/>
      <c r="L1027" s="195"/>
      <c r="Q1027" s="195"/>
      <c r="R1027" s="195"/>
      <c r="S1027" s="240"/>
      <c r="T1027" s="195"/>
      <c r="U1027" s="195"/>
      <c r="V1027" s="195"/>
      <c r="W1027" s="195"/>
      <c r="X1027" s="195"/>
      <c r="Y1027" s="195"/>
      <c r="Z1027" s="195"/>
      <c r="AA1027" s="195"/>
      <c r="AB1027" s="195"/>
      <c r="AC1027" s="195"/>
      <c r="AD1027" s="195"/>
      <c r="AE1027" s="195"/>
      <c r="AF1027" s="195"/>
      <c r="AG1027" s="195"/>
      <c r="AH1027" s="195"/>
      <c r="AI1027" s="195"/>
      <c r="AJ1027" s="195"/>
      <c r="AK1027" s="195"/>
      <c r="AL1027" s="195"/>
      <c r="AM1027" s="1"/>
      <c r="AN1027" s="240"/>
      <c r="AO1027" s="240"/>
      <c r="AP1027" s="240"/>
      <c r="AQ1027" s="730"/>
      <c r="AR1027" s="730"/>
      <c r="AS1027" s="730"/>
      <c r="AT1027" s="738"/>
      <c r="AU1027" s="738"/>
      <c r="AV1027" s="240"/>
      <c r="AW1027" s="240"/>
      <c r="AX1027" s="240"/>
      <c r="AY1027" s="240"/>
      <c r="AZ1027" s="240"/>
      <c r="BA1027" s="240"/>
      <c r="BB1027" s="672"/>
      <c r="BC1027" s="731"/>
      <c r="BD1027" s="731"/>
      <c r="BE1027" s="731"/>
      <c r="BF1027" s="672"/>
      <c r="BG1027" s="732"/>
      <c r="BH1027" s="240"/>
      <c r="BI1027" s="240"/>
      <c r="BJ1027" s="240"/>
      <c r="BK1027" s="240"/>
      <c r="BL1027" s="240"/>
      <c r="BM1027" s="240"/>
      <c r="BN1027" s="240"/>
      <c r="BO1027" s="240"/>
      <c r="BP1027" s="240"/>
      <c r="BQ1027" s="240"/>
      <c r="BR1027" s="240"/>
      <c r="BS1027" s="240"/>
      <c r="BT1027" s="240"/>
      <c r="BU1027" s="672"/>
      <c r="BV1027" s="672"/>
      <c r="BW1027" s="672"/>
      <c r="BX1027" s="672"/>
      <c r="BY1027" s="672"/>
      <c r="BZ1027" s="672"/>
      <c r="CA1027" s="672"/>
      <c r="CB1027" s="672"/>
      <c r="CC1027" s="672"/>
      <c r="CD1027" s="672"/>
      <c r="CE1027" s="240"/>
      <c r="CF1027" s="240"/>
      <c r="CG1027" s="240"/>
      <c r="CH1027" s="240"/>
      <c r="CI1027" s="240"/>
      <c r="CJ1027" s="728"/>
      <c r="CK1027" s="728"/>
      <c r="CL1027" s="195"/>
      <c r="CM1027" s="195"/>
      <c r="CN1027" s="195"/>
      <c r="CO1027" s="195"/>
      <c r="CP1027" s="195"/>
      <c r="CQ1027" s="195"/>
      <c r="CR1027" s="195"/>
      <c r="CS1027" s="195"/>
      <c r="CT1027" s="195"/>
      <c r="CU1027" s="195"/>
      <c r="CV1027" s="195"/>
      <c r="CW1027" s="195"/>
      <c r="CX1027" s="195"/>
      <c r="CY1027" s="195"/>
      <c r="CZ1027" s="195"/>
      <c r="DA1027" s="195"/>
      <c r="DB1027" s="195"/>
      <c r="DC1027" s="195"/>
      <c r="DD1027" s="195"/>
      <c r="DO1027" s="195"/>
      <c r="DP1027" s="195"/>
      <c r="DQ1027" s="195"/>
      <c r="DR1027" s="195"/>
      <c r="DS1027" s="195"/>
      <c r="DT1027" s="195"/>
      <c r="DU1027" s="195"/>
      <c r="DV1027" s="195"/>
      <c r="DW1027" s="195"/>
      <c r="DX1027" s="195"/>
      <c r="DY1027" s="195"/>
      <c r="DZ1027" s="195"/>
      <c r="EA1027" s="195"/>
      <c r="EB1027" s="195"/>
      <c r="EC1027" s="195"/>
      <c r="ED1027" s="195"/>
      <c r="EE1027" s="195"/>
      <c r="EK1027" s="195"/>
      <c r="EL1027" s="240"/>
      <c r="EM1027" s="240"/>
      <c r="EN1027" s="195"/>
      <c r="EO1027" s="240"/>
      <c r="EP1027" s="195"/>
      <c r="EQ1027" s="195"/>
      <c r="ER1027" s="195"/>
      <c r="ES1027" s="736"/>
    </row>
    <row r="1028" customFormat="false" ht="12.75" hidden="false" customHeight="false" outlineLevel="0" collapsed="false">
      <c r="I1028" s="735"/>
      <c r="J1028" s="728"/>
      <c r="K1028" s="195"/>
      <c r="L1028" s="195"/>
      <c r="Q1028" s="195"/>
      <c r="R1028" s="195"/>
      <c r="S1028" s="240"/>
      <c r="T1028" s="195"/>
      <c r="U1028" s="195"/>
      <c r="V1028" s="195"/>
      <c r="W1028" s="195"/>
      <c r="X1028" s="195"/>
      <c r="Y1028" s="195"/>
      <c r="Z1028" s="195"/>
      <c r="AA1028" s="195"/>
      <c r="AB1028" s="195"/>
      <c r="AC1028" s="195"/>
      <c r="AD1028" s="195"/>
      <c r="AE1028" s="195"/>
      <c r="AF1028" s="195"/>
      <c r="AG1028" s="195"/>
      <c r="AH1028" s="195"/>
      <c r="AI1028" s="195"/>
      <c r="AJ1028" s="195"/>
      <c r="AK1028" s="195"/>
      <c r="AL1028" s="195"/>
      <c r="AM1028" s="1"/>
      <c r="AN1028" s="240"/>
      <c r="AO1028" s="240"/>
      <c r="AP1028" s="240"/>
      <c r="AQ1028" s="730"/>
      <c r="AR1028" s="730"/>
      <c r="AS1028" s="730"/>
      <c r="AT1028" s="738"/>
      <c r="AU1028" s="738"/>
      <c r="AV1028" s="240"/>
      <c r="AW1028" s="240"/>
      <c r="AX1028" s="240"/>
      <c r="AY1028" s="240"/>
      <c r="AZ1028" s="240"/>
      <c r="BA1028" s="240"/>
      <c r="BB1028" s="672"/>
      <c r="BC1028" s="731"/>
      <c r="BD1028" s="731"/>
      <c r="BE1028" s="731"/>
      <c r="BF1028" s="672"/>
      <c r="BG1028" s="732"/>
      <c r="BH1028" s="240"/>
      <c r="BI1028" s="240"/>
      <c r="BJ1028" s="240"/>
      <c r="BK1028" s="240"/>
      <c r="BL1028" s="240"/>
      <c r="BM1028" s="240"/>
      <c r="BN1028" s="240"/>
      <c r="BO1028" s="240"/>
      <c r="BP1028" s="240"/>
      <c r="BQ1028" s="240"/>
      <c r="BR1028" s="240"/>
      <c r="BS1028" s="240"/>
      <c r="BT1028" s="240"/>
      <c r="BU1028" s="672"/>
      <c r="BV1028" s="672"/>
      <c r="BW1028" s="672"/>
      <c r="BX1028" s="672"/>
      <c r="BY1028" s="672"/>
      <c r="BZ1028" s="672"/>
      <c r="CA1028" s="672"/>
      <c r="CB1028" s="672"/>
      <c r="CC1028" s="672"/>
      <c r="CD1028" s="672"/>
      <c r="CE1028" s="240"/>
      <c r="CF1028" s="240"/>
      <c r="CG1028" s="240"/>
      <c r="CH1028" s="240"/>
      <c r="CI1028" s="240"/>
      <c r="CJ1028" s="728"/>
      <c r="CK1028" s="728"/>
      <c r="CL1028" s="195"/>
      <c r="CM1028" s="195"/>
      <c r="CN1028" s="195"/>
      <c r="CO1028" s="195"/>
      <c r="CP1028" s="195"/>
      <c r="CQ1028" s="195"/>
      <c r="CR1028" s="195"/>
      <c r="CS1028" s="195"/>
      <c r="CT1028" s="195"/>
      <c r="CU1028" s="195"/>
      <c r="CV1028" s="195"/>
      <c r="CW1028" s="195"/>
      <c r="CX1028" s="195"/>
      <c r="CY1028" s="195"/>
      <c r="CZ1028" s="195"/>
      <c r="DA1028" s="195"/>
      <c r="DB1028" s="195"/>
      <c r="DC1028" s="195"/>
      <c r="DD1028" s="195"/>
      <c r="DO1028" s="195"/>
      <c r="DP1028" s="195"/>
      <c r="DQ1028" s="195"/>
      <c r="DR1028" s="195"/>
      <c r="DS1028" s="195"/>
      <c r="DT1028" s="195"/>
      <c r="DU1028" s="195"/>
      <c r="DV1028" s="195"/>
      <c r="DW1028" s="195"/>
      <c r="DX1028" s="195"/>
      <c r="DY1028" s="195"/>
      <c r="DZ1028" s="195"/>
      <c r="EA1028" s="195"/>
      <c r="EB1028" s="195"/>
      <c r="EC1028" s="195"/>
      <c r="ED1028" s="195"/>
      <c r="EE1028" s="195"/>
      <c r="EK1028" s="195"/>
      <c r="EL1028" s="240"/>
      <c r="EM1028" s="240"/>
      <c r="EN1028" s="195"/>
      <c r="EO1028" s="240"/>
      <c r="EP1028" s="195"/>
      <c r="EQ1028" s="195"/>
      <c r="ER1028" s="195"/>
      <c r="ES1028" s="736"/>
    </row>
    <row r="1029" customFormat="false" ht="12.75" hidden="false" customHeight="false" outlineLevel="0" collapsed="false">
      <c r="I1029" s="735"/>
      <c r="J1029" s="728"/>
      <c r="K1029" s="195"/>
      <c r="L1029" s="195"/>
      <c r="Q1029" s="195"/>
      <c r="R1029" s="195"/>
      <c r="S1029" s="240"/>
      <c r="T1029" s="195"/>
      <c r="U1029" s="195"/>
      <c r="V1029" s="195"/>
      <c r="W1029" s="195"/>
      <c r="X1029" s="195"/>
      <c r="Y1029" s="195"/>
      <c r="Z1029" s="195"/>
      <c r="AA1029" s="195"/>
      <c r="AB1029" s="195"/>
      <c r="AC1029" s="195"/>
      <c r="AD1029" s="195"/>
      <c r="AE1029" s="195"/>
      <c r="AF1029" s="195"/>
      <c r="AG1029" s="195"/>
      <c r="AH1029" s="195"/>
      <c r="AI1029" s="195"/>
      <c r="AJ1029" s="195"/>
      <c r="AK1029" s="195"/>
      <c r="AL1029" s="195"/>
      <c r="AM1029" s="1"/>
      <c r="AN1029" s="240"/>
      <c r="AO1029" s="240"/>
      <c r="AP1029" s="240"/>
      <c r="AQ1029" s="730"/>
      <c r="AR1029" s="730"/>
      <c r="AS1029" s="730"/>
      <c r="AT1029" s="738"/>
      <c r="AU1029" s="738"/>
      <c r="AV1029" s="240"/>
      <c r="AW1029" s="240"/>
      <c r="AX1029" s="240"/>
      <c r="AY1029" s="240"/>
      <c r="AZ1029" s="240"/>
      <c r="BA1029" s="240"/>
      <c r="BB1029" s="672"/>
      <c r="BC1029" s="731"/>
      <c r="BD1029" s="731"/>
      <c r="BE1029" s="731"/>
      <c r="BF1029" s="672"/>
      <c r="BG1029" s="732"/>
      <c r="BH1029" s="240"/>
      <c r="BI1029" s="240"/>
      <c r="BJ1029" s="240"/>
      <c r="BK1029" s="240"/>
      <c r="BL1029" s="240"/>
      <c r="BM1029" s="240"/>
      <c r="BN1029" s="240"/>
      <c r="BO1029" s="240"/>
      <c r="BP1029" s="240"/>
      <c r="BQ1029" s="240"/>
      <c r="BR1029" s="240"/>
      <c r="BS1029" s="240"/>
      <c r="BT1029" s="240"/>
      <c r="BU1029" s="672"/>
      <c r="BV1029" s="672"/>
      <c r="BW1029" s="672"/>
      <c r="BX1029" s="672"/>
      <c r="BY1029" s="672"/>
      <c r="BZ1029" s="672"/>
      <c r="CA1029" s="672"/>
      <c r="CB1029" s="672"/>
      <c r="CC1029" s="672"/>
      <c r="CD1029" s="672"/>
      <c r="CE1029" s="240"/>
      <c r="CF1029" s="240"/>
      <c r="CG1029" s="240"/>
      <c r="CH1029" s="240"/>
      <c r="CI1029" s="240"/>
      <c r="CJ1029" s="728"/>
      <c r="CK1029" s="728"/>
      <c r="CL1029" s="195"/>
      <c r="CM1029" s="195"/>
      <c r="CN1029" s="195"/>
      <c r="CO1029" s="195"/>
      <c r="CP1029" s="195"/>
      <c r="CQ1029" s="195"/>
      <c r="CR1029" s="195"/>
      <c r="CS1029" s="195"/>
      <c r="CT1029" s="195"/>
      <c r="CU1029" s="195"/>
      <c r="CV1029" s="195"/>
      <c r="CW1029" s="195"/>
      <c r="CX1029" s="195"/>
      <c r="CY1029" s="195"/>
      <c r="CZ1029" s="195"/>
      <c r="DA1029" s="195"/>
      <c r="DB1029" s="195"/>
      <c r="DC1029" s="195"/>
      <c r="DD1029" s="195"/>
      <c r="DO1029" s="195"/>
      <c r="DP1029" s="195"/>
      <c r="DQ1029" s="195"/>
      <c r="DR1029" s="195"/>
      <c r="DS1029" s="195"/>
      <c r="DT1029" s="195"/>
      <c r="DU1029" s="195"/>
      <c r="DV1029" s="195"/>
      <c r="DW1029" s="195"/>
      <c r="DX1029" s="195"/>
      <c r="DY1029" s="195"/>
      <c r="DZ1029" s="195"/>
      <c r="EA1029" s="195"/>
      <c r="EB1029" s="195"/>
      <c r="EC1029" s="195"/>
      <c r="ED1029" s="195"/>
      <c r="EE1029" s="195"/>
      <c r="EK1029" s="195"/>
      <c r="EL1029" s="240"/>
      <c r="EM1029" s="240"/>
      <c r="EN1029" s="195"/>
      <c r="EO1029" s="240"/>
      <c r="EP1029" s="195"/>
      <c r="EQ1029" s="195"/>
      <c r="ER1029" s="195"/>
      <c r="ES1029" s="736"/>
    </row>
    <row r="1030" customFormat="false" ht="12.75" hidden="false" customHeight="false" outlineLevel="0" collapsed="false">
      <c r="I1030" s="735"/>
      <c r="J1030" s="728"/>
      <c r="K1030" s="195"/>
      <c r="L1030" s="195"/>
      <c r="Q1030" s="195"/>
      <c r="R1030" s="195"/>
      <c r="S1030" s="240"/>
      <c r="T1030" s="195"/>
      <c r="U1030" s="195"/>
      <c r="V1030" s="195"/>
      <c r="W1030" s="195"/>
      <c r="X1030" s="195"/>
      <c r="Y1030" s="195"/>
      <c r="Z1030" s="195"/>
      <c r="AA1030" s="195"/>
      <c r="AB1030" s="195"/>
      <c r="AC1030" s="195"/>
      <c r="AD1030" s="195"/>
      <c r="AE1030" s="195"/>
      <c r="AF1030" s="195"/>
      <c r="AG1030" s="195"/>
      <c r="AH1030" s="195"/>
      <c r="AI1030" s="195"/>
      <c r="AJ1030" s="195"/>
      <c r="AK1030" s="195"/>
      <c r="AL1030" s="195"/>
      <c r="AM1030" s="1"/>
      <c r="AN1030" s="240"/>
      <c r="AO1030" s="240"/>
      <c r="AP1030" s="240"/>
      <c r="AQ1030" s="730"/>
      <c r="AR1030" s="730"/>
      <c r="AS1030" s="730"/>
      <c r="AT1030" s="738"/>
      <c r="AU1030" s="738"/>
      <c r="AV1030" s="240"/>
      <c r="AW1030" s="240"/>
      <c r="AX1030" s="240"/>
      <c r="AY1030" s="240"/>
      <c r="AZ1030" s="240"/>
      <c r="BA1030" s="240"/>
      <c r="BB1030" s="672"/>
      <c r="BC1030" s="731"/>
      <c r="BD1030" s="731"/>
      <c r="BE1030" s="731"/>
      <c r="BF1030" s="672"/>
      <c r="BG1030" s="732"/>
      <c r="BH1030" s="240"/>
      <c r="BI1030" s="240"/>
      <c r="BJ1030" s="240"/>
      <c r="BK1030" s="240"/>
      <c r="BL1030" s="240"/>
      <c r="BM1030" s="240"/>
      <c r="BN1030" s="240"/>
      <c r="BO1030" s="240"/>
      <c r="BP1030" s="240"/>
      <c r="BQ1030" s="240"/>
      <c r="BR1030" s="240"/>
      <c r="BS1030" s="240"/>
      <c r="BT1030" s="240"/>
      <c r="BU1030" s="672"/>
      <c r="BV1030" s="672"/>
      <c r="BW1030" s="672"/>
      <c r="BX1030" s="672"/>
      <c r="BY1030" s="672"/>
      <c r="BZ1030" s="672"/>
      <c r="CA1030" s="672"/>
      <c r="CB1030" s="672"/>
      <c r="CC1030" s="672"/>
      <c r="CD1030" s="672"/>
      <c r="CE1030" s="240"/>
      <c r="CF1030" s="240"/>
      <c r="CG1030" s="240"/>
      <c r="CH1030" s="240"/>
      <c r="CI1030" s="240"/>
      <c r="CJ1030" s="728"/>
      <c r="CK1030" s="728"/>
      <c r="CL1030" s="195"/>
      <c r="CM1030" s="195"/>
      <c r="CN1030" s="195"/>
      <c r="CO1030" s="195"/>
      <c r="CP1030" s="195"/>
      <c r="CQ1030" s="195"/>
      <c r="CR1030" s="195"/>
      <c r="CS1030" s="195"/>
      <c r="CT1030" s="195"/>
      <c r="CU1030" s="195"/>
      <c r="CV1030" s="195"/>
      <c r="CW1030" s="195"/>
      <c r="CX1030" s="195"/>
      <c r="CY1030" s="195"/>
      <c r="CZ1030" s="195"/>
      <c r="DA1030" s="195"/>
      <c r="DB1030" s="195"/>
      <c r="DC1030" s="195"/>
      <c r="DD1030" s="195"/>
      <c r="DO1030" s="195"/>
      <c r="DP1030" s="195"/>
      <c r="DQ1030" s="195"/>
      <c r="DR1030" s="195"/>
      <c r="DS1030" s="195"/>
      <c r="DT1030" s="195"/>
      <c r="DU1030" s="195"/>
      <c r="DV1030" s="195"/>
      <c r="DW1030" s="195"/>
      <c r="DX1030" s="195"/>
      <c r="DY1030" s="195"/>
      <c r="DZ1030" s="195"/>
      <c r="EA1030" s="195"/>
      <c r="EB1030" s="195"/>
      <c r="EC1030" s="195"/>
      <c r="ED1030" s="195"/>
      <c r="EE1030" s="195"/>
      <c r="EK1030" s="195"/>
      <c r="EL1030" s="240"/>
      <c r="EM1030" s="240"/>
      <c r="EN1030" s="195"/>
      <c r="EO1030" s="240"/>
      <c r="EP1030" s="195"/>
      <c r="EQ1030" s="195"/>
      <c r="ER1030" s="195"/>
      <c r="ES1030" s="736"/>
    </row>
    <row r="1031" customFormat="false" ht="12.75" hidden="false" customHeight="false" outlineLevel="0" collapsed="false">
      <c r="I1031" s="735"/>
      <c r="J1031" s="728"/>
      <c r="K1031" s="195"/>
      <c r="L1031" s="195"/>
      <c r="Q1031" s="195"/>
      <c r="R1031" s="195"/>
      <c r="S1031" s="240"/>
      <c r="T1031" s="195"/>
      <c r="U1031" s="195"/>
      <c r="V1031" s="195"/>
      <c r="W1031" s="195"/>
      <c r="X1031" s="195"/>
      <c r="Y1031" s="195"/>
      <c r="Z1031" s="195"/>
      <c r="AA1031" s="195"/>
      <c r="AB1031" s="195"/>
      <c r="AC1031" s="195"/>
      <c r="AD1031" s="195"/>
      <c r="AE1031" s="195"/>
      <c r="AF1031" s="195"/>
      <c r="AG1031" s="195"/>
      <c r="AH1031" s="195"/>
      <c r="AI1031" s="195"/>
      <c r="AJ1031" s="195"/>
      <c r="AK1031" s="195"/>
      <c r="AL1031" s="195"/>
      <c r="AM1031" s="1"/>
      <c r="AN1031" s="240"/>
      <c r="AO1031" s="240"/>
      <c r="AP1031" s="240"/>
      <c r="AQ1031" s="730"/>
      <c r="AR1031" s="730"/>
      <c r="AS1031" s="730"/>
      <c r="AT1031" s="738"/>
      <c r="AU1031" s="738"/>
      <c r="AV1031" s="240"/>
      <c r="AW1031" s="240"/>
      <c r="AX1031" s="240"/>
      <c r="AY1031" s="240"/>
      <c r="AZ1031" s="240"/>
      <c r="BA1031" s="240"/>
      <c r="BB1031" s="672"/>
      <c r="BC1031" s="731"/>
      <c r="BD1031" s="731"/>
      <c r="BE1031" s="731"/>
      <c r="BF1031" s="672"/>
      <c r="BG1031" s="732"/>
      <c r="BH1031" s="240"/>
      <c r="BI1031" s="240"/>
      <c r="BJ1031" s="240"/>
      <c r="BK1031" s="240"/>
      <c r="BL1031" s="240"/>
      <c r="BM1031" s="240"/>
      <c r="BN1031" s="240"/>
      <c r="BO1031" s="240"/>
      <c r="BP1031" s="240"/>
      <c r="BQ1031" s="240"/>
      <c r="BR1031" s="240"/>
      <c r="BS1031" s="240"/>
      <c r="BT1031" s="240"/>
      <c r="BU1031" s="672"/>
      <c r="BV1031" s="672"/>
      <c r="BW1031" s="672"/>
      <c r="BX1031" s="672"/>
      <c r="BY1031" s="672"/>
      <c r="BZ1031" s="672"/>
      <c r="CA1031" s="672"/>
      <c r="CB1031" s="672"/>
      <c r="CC1031" s="672"/>
      <c r="CD1031" s="672"/>
      <c r="CE1031" s="240"/>
      <c r="CF1031" s="240"/>
      <c r="CG1031" s="240"/>
      <c r="CH1031" s="240"/>
      <c r="CI1031" s="240"/>
      <c r="CJ1031" s="728"/>
      <c r="CK1031" s="728"/>
      <c r="CL1031" s="195"/>
      <c r="CM1031" s="195"/>
      <c r="CN1031" s="195"/>
      <c r="CO1031" s="195"/>
      <c r="CP1031" s="195"/>
      <c r="CQ1031" s="195"/>
      <c r="CR1031" s="195"/>
      <c r="CS1031" s="195"/>
      <c r="CT1031" s="195"/>
      <c r="CU1031" s="195"/>
      <c r="CV1031" s="195"/>
      <c r="CW1031" s="195"/>
      <c r="CX1031" s="195"/>
      <c r="CY1031" s="195"/>
      <c r="CZ1031" s="195"/>
      <c r="DA1031" s="195"/>
      <c r="DB1031" s="195"/>
      <c r="DC1031" s="195"/>
      <c r="DD1031" s="195"/>
      <c r="DO1031" s="195"/>
      <c r="DP1031" s="195"/>
      <c r="DQ1031" s="195"/>
      <c r="DR1031" s="195"/>
      <c r="DS1031" s="195"/>
      <c r="DT1031" s="195"/>
      <c r="DU1031" s="195"/>
      <c r="DV1031" s="195"/>
      <c r="DW1031" s="195"/>
      <c r="DX1031" s="195"/>
      <c r="DY1031" s="195"/>
      <c r="DZ1031" s="195"/>
      <c r="EA1031" s="195"/>
      <c r="EB1031" s="195"/>
      <c r="EC1031" s="195"/>
      <c r="ED1031" s="195"/>
      <c r="EE1031" s="195"/>
      <c r="EK1031" s="195"/>
      <c r="EL1031" s="240"/>
      <c r="EM1031" s="240"/>
      <c r="EN1031" s="195"/>
      <c r="EO1031" s="240"/>
      <c r="EP1031" s="195"/>
      <c r="EQ1031" s="195"/>
      <c r="ER1031" s="195"/>
      <c r="ES1031" s="736"/>
    </row>
    <row r="1032" customFormat="false" ht="12.75" hidden="false" customHeight="false" outlineLevel="0" collapsed="false">
      <c r="I1032" s="735"/>
      <c r="J1032" s="728"/>
      <c r="K1032" s="195"/>
      <c r="L1032" s="195"/>
      <c r="Q1032" s="195"/>
      <c r="R1032" s="195"/>
      <c r="S1032" s="240"/>
      <c r="T1032" s="195"/>
      <c r="U1032" s="195"/>
      <c r="V1032" s="195"/>
      <c r="W1032" s="195"/>
      <c r="X1032" s="195"/>
      <c r="Y1032" s="195"/>
      <c r="Z1032" s="195"/>
      <c r="AA1032" s="195"/>
      <c r="AB1032" s="195"/>
      <c r="AC1032" s="195"/>
      <c r="AD1032" s="195"/>
      <c r="AE1032" s="195"/>
      <c r="AF1032" s="195"/>
      <c r="AG1032" s="195"/>
      <c r="AH1032" s="195"/>
      <c r="AI1032" s="195"/>
      <c r="AJ1032" s="195"/>
      <c r="AK1032" s="195"/>
      <c r="AL1032" s="195"/>
      <c r="AM1032" s="1"/>
      <c r="AN1032" s="240"/>
      <c r="AO1032" s="240"/>
      <c r="AP1032" s="240"/>
      <c r="AQ1032" s="730"/>
      <c r="AR1032" s="730"/>
      <c r="AS1032" s="730"/>
      <c r="AT1032" s="738"/>
      <c r="AU1032" s="738"/>
      <c r="AV1032" s="240"/>
      <c r="AW1032" s="240"/>
      <c r="AX1032" s="240"/>
      <c r="AY1032" s="240"/>
      <c r="AZ1032" s="240"/>
      <c r="BA1032" s="240"/>
      <c r="BB1032" s="672"/>
      <c r="BC1032" s="731"/>
      <c r="BD1032" s="731"/>
      <c r="BE1032" s="731"/>
      <c r="BF1032" s="672"/>
      <c r="BG1032" s="732"/>
      <c r="BH1032" s="240"/>
      <c r="BI1032" s="240"/>
      <c r="BJ1032" s="240"/>
      <c r="BK1032" s="240"/>
      <c r="BL1032" s="240"/>
      <c r="BM1032" s="240"/>
      <c r="BN1032" s="240"/>
      <c r="BO1032" s="240"/>
      <c r="BP1032" s="240"/>
      <c r="BQ1032" s="240"/>
      <c r="BR1032" s="240"/>
      <c r="BS1032" s="240"/>
      <c r="BT1032" s="240"/>
      <c r="BU1032" s="672"/>
      <c r="BV1032" s="672"/>
      <c r="BW1032" s="672"/>
      <c r="BX1032" s="672"/>
      <c r="BY1032" s="672"/>
      <c r="BZ1032" s="672"/>
      <c r="CA1032" s="672"/>
      <c r="CB1032" s="672"/>
      <c r="CC1032" s="672"/>
      <c r="CD1032" s="672"/>
      <c r="CE1032" s="240"/>
      <c r="CF1032" s="240"/>
      <c r="CG1032" s="240"/>
      <c r="CH1032" s="240"/>
      <c r="CI1032" s="240"/>
      <c r="CJ1032" s="728"/>
      <c r="CK1032" s="728"/>
      <c r="CL1032" s="195"/>
      <c r="CM1032" s="195"/>
      <c r="CN1032" s="195"/>
      <c r="CO1032" s="195"/>
      <c r="CP1032" s="195"/>
      <c r="CQ1032" s="195"/>
      <c r="CR1032" s="195"/>
      <c r="CS1032" s="195"/>
      <c r="CT1032" s="195"/>
      <c r="CU1032" s="195"/>
      <c r="CV1032" s="195"/>
      <c r="CW1032" s="195"/>
      <c r="CX1032" s="195"/>
      <c r="CY1032" s="195"/>
      <c r="CZ1032" s="195"/>
      <c r="DA1032" s="195"/>
      <c r="DB1032" s="195"/>
      <c r="DC1032" s="195"/>
      <c r="DD1032" s="195"/>
      <c r="DO1032" s="195"/>
      <c r="DP1032" s="195"/>
      <c r="DQ1032" s="195"/>
      <c r="DR1032" s="195"/>
      <c r="DS1032" s="195"/>
      <c r="DT1032" s="195"/>
      <c r="DU1032" s="195"/>
      <c r="DV1032" s="195"/>
      <c r="DW1032" s="195"/>
      <c r="DX1032" s="195"/>
      <c r="DY1032" s="195"/>
      <c r="DZ1032" s="195"/>
      <c r="EA1032" s="195"/>
      <c r="EB1032" s="195"/>
      <c r="EC1032" s="195"/>
      <c r="ED1032" s="195"/>
      <c r="EE1032" s="195"/>
      <c r="EK1032" s="195"/>
      <c r="EL1032" s="240"/>
      <c r="EM1032" s="240"/>
      <c r="EN1032" s="195"/>
      <c r="EO1032" s="240"/>
      <c r="EP1032" s="195"/>
      <c r="EQ1032" s="195"/>
      <c r="ER1032" s="195"/>
      <c r="ES1032" s="736"/>
    </row>
    <row r="1033" customFormat="false" ht="12.75" hidden="false" customHeight="false" outlineLevel="0" collapsed="false">
      <c r="I1033" s="735"/>
      <c r="J1033" s="728"/>
      <c r="K1033" s="195"/>
      <c r="L1033" s="195"/>
      <c r="Q1033" s="195"/>
      <c r="R1033" s="195"/>
      <c r="S1033" s="240"/>
      <c r="T1033" s="195"/>
      <c r="U1033" s="195"/>
      <c r="V1033" s="195"/>
      <c r="W1033" s="195"/>
      <c r="X1033" s="195"/>
      <c r="Y1033" s="195"/>
      <c r="Z1033" s="195"/>
      <c r="AA1033" s="195"/>
      <c r="AB1033" s="195"/>
      <c r="AC1033" s="195"/>
      <c r="AD1033" s="195"/>
      <c r="AE1033" s="195"/>
      <c r="AF1033" s="195"/>
      <c r="AG1033" s="195"/>
      <c r="AH1033" s="195"/>
      <c r="AI1033" s="195"/>
      <c r="AJ1033" s="195"/>
      <c r="AK1033" s="195"/>
      <c r="AL1033" s="195"/>
      <c r="AM1033" s="1"/>
      <c r="AN1033" s="240"/>
      <c r="AO1033" s="240"/>
      <c r="AP1033" s="240"/>
      <c r="AQ1033" s="730"/>
      <c r="AR1033" s="730"/>
      <c r="AS1033" s="730"/>
      <c r="AT1033" s="738"/>
      <c r="AU1033" s="738"/>
      <c r="AV1033" s="240"/>
      <c r="AW1033" s="240"/>
      <c r="AX1033" s="240"/>
      <c r="AY1033" s="240"/>
      <c r="AZ1033" s="240"/>
      <c r="BA1033" s="240"/>
      <c r="BB1033" s="672"/>
      <c r="BC1033" s="731"/>
      <c r="BD1033" s="731"/>
      <c r="BE1033" s="731"/>
      <c r="BF1033" s="672"/>
      <c r="BG1033" s="732"/>
      <c r="BH1033" s="240"/>
      <c r="BI1033" s="240"/>
      <c r="BJ1033" s="240"/>
      <c r="BK1033" s="240"/>
      <c r="BL1033" s="240"/>
      <c r="BM1033" s="240"/>
      <c r="BN1033" s="240"/>
      <c r="BO1033" s="240"/>
      <c r="BP1033" s="240"/>
      <c r="BQ1033" s="240"/>
      <c r="BR1033" s="240"/>
      <c r="BS1033" s="240"/>
      <c r="BT1033" s="240"/>
      <c r="BU1033" s="672"/>
      <c r="BV1033" s="672"/>
      <c r="BW1033" s="672"/>
      <c r="BX1033" s="672"/>
      <c r="BY1033" s="672"/>
      <c r="BZ1033" s="672"/>
      <c r="CA1033" s="672"/>
      <c r="CB1033" s="672"/>
      <c r="CC1033" s="672"/>
      <c r="CD1033" s="672"/>
      <c r="CE1033" s="240"/>
      <c r="CF1033" s="240"/>
      <c r="CG1033" s="240"/>
      <c r="CH1033" s="240"/>
      <c r="CI1033" s="240"/>
      <c r="CJ1033" s="728"/>
      <c r="CK1033" s="728"/>
      <c r="CL1033" s="195"/>
      <c r="CM1033" s="195"/>
      <c r="CN1033" s="195"/>
      <c r="CO1033" s="195"/>
      <c r="CP1033" s="195"/>
      <c r="CQ1033" s="195"/>
      <c r="CR1033" s="195"/>
      <c r="CS1033" s="195"/>
      <c r="CT1033" s="195"/>
      <c r="CU1033" s="195"/>
      <c r="CV1033" s="195"/>
      <c r="CW1033" s="195"/>
      <c r="CX1033" s="195"/>
      <c r="CY1033" s="195"/>
      <c r="CZ1033" s="195"/>
      <c r="DA1033" s="195"/>
      <c r="DB1033" s="195"/>
      <c r="DC1033" s="195"/>
      <c r="DD1033" s="195"/>
      <c r="DO1033" s="195"/>
      <c r="DP1033" s="195"/>
      <c r="DQ1033" s="195"/>
      <c r="DR1033" s="195"/>
      <c r="DS1033" s="195"/>
      <c r="DT1033" s="195"/>
      <c r="DU1033" s="195"/>
      <c r="DV1033" s="195"/>
      <c r="DW1033" s="195"/>
      <c r="DX1033" s="195"/>
      <c r="DY1033" s="195"/>
      <c r="DZ1033" s="195"/>
      <c r="EA1033" s="195"/>
      <c r="EB1033" s="195"/>
      <c r="EC1033" s="195"/>
      <c r="ED1033" s="195"/>
      <c r="EE1033" s="195"/>
      <c r="EK1033" s="195"/>
      <c r="EL1033" s="240"/>
      <c r="EM1033" s="240"/>
      <c r="EN1033" s="195"/>
      <c r="EO1033" s="240"/>
      <c r="EP1033" s="195"/>
      <c r="EQ1033" s="195"/>
      <c r="ER1033" s="195"/>
      <c r="ES1033" s="736"/>
    </row>
    <row r="1034" customFormat="false" ht="12.75" hidden="false" customHeight="false" outlineLevel="0" collapsed="false">
      <c r="I1034" s="735"/>
      <c r="J1034" s="728"/>
      <c r="K1034" s="195"/>
      <c r="L1034" s="195"/>
      <c r="Q1034" s="195"/>
      <c r="R1034" s="195"/>
      <c r="S1034" s="240"/>
      <c r="T1034" s="195"/>
      <c r="U1034" s="195"/>
      <c r="V1034" s="195"/>
      <c r="W1034" s="195"/>
      <c r="X1034" s="195"/>
      <c r="Y1034" s="195"/>
      <c r="Z1034" s="195"/>
      <c r="AA1034" s="195"/>
      <c r="AB1034" s="195"/>
      <c r="AC1034" s="195"/>
      <c r="AD1034" s="195"/>
      <c r="AE1034" s="195"/>
      <c r="AF1034" s="195"/>
      <c r="AG1034" s="195"/>
      <c r="AH1034" s="195"/>
      <c r="AI1034" s="195"/>
      <c r="AJ1034" s="195"/>
      <c r="AK1034" s="195"/>
      <c r="AL1034" s="195"/>
      <c r="AM1034" s="1"/>
      <c r="AN1034" s="240"/>
      <c r="AO1034" s="240"/>
      <c r="AP1034" s="240"/>
      <c r="AQ1034" s="730"/>
      <c r="AR1034" s="730"/>
      <c r="AS1034" s="730"/>
      <c r="AT1034" s="738"/>
      <c r="AU1034" s="738"/>
      <c r="AV1034" s="240"/>
      <c r="AW1034" s="240"/>
      <c r="AX1034" s="240"/>
      <c r="AY1034" s="240"/>
      <c r="AZ1034" s="240"/>
      <c r="BA1034" s="240"/>
      <c r="BB1034" s="672"/>
      <c r="BC1034" s="731"/>
      <c r="BD1034" s="731"/>
      <c r="BE1034" s="731"/>
      <c r="BF1034" s="672"/>
      <c r="BG1034" s="732"/>
      <c r="BH1034" s="240"/>
      <c r="BI1034" s="240"/>
      <c r="BJ1034" s="240"/>
      <c r="BK1034" s="240"/>
      <c r="BL1034" s="240"/>
      <c r="BM1034" s="240"/>
      <c r="BN1034" s="240"/>
      <c r="BO1034" s="240"/>
      <c r="BP1034" s="240"/>
      <c r="BQ1034" s="240"/>
      <c r="BR1034" s="240"/>
      <c r="BS1034" s="240"/>
      <c r="BT1034" s="240"/>
      <c r="BU1034" s="672"/>
      <c r="BV1034" s="672"/>
      <c r="BW1034" s="672"/>
      <c r="BX1034" s="672"/>
      <c r="BY1034" s="672"/>
      <c r="BZ1034" s="672"/>
      <c r="CA1034" s="672"/>
      <c r="CB1034" s="672"/>
      <c r="CC1034" s="672"/>
      <c r="CD1034" s="672"/>
      <c r="CE1034" s="240"/>
      <c r="CF1034" s="240"/>
      <c r="CG1034" s="240"/>
      <c r="CH1034" s="240"/>
      <c r="CI1034" s="240"/>
      <c r="CJ1034" s="728"/>
      <c r="CK1034" s="728"/>
      <c r="CL1034" s="195"/>
      <c r="CM1034" s="195"/>
      <c r="CN1034" s="195"/>
      <c r="CO1034" s="195"/>
      <c r="CP1034" s="195"/>
      <c r="CQ1034" s="195"/>
      <c r="CR1034" s="195"/>
      <c r="CS1034" s="195"/>
      <c r="CT1034" s="195"/>
      <c r="CU1034" s="195"/>
      <c r="CV1034" s="195"/>
      <c r="CW1034" s="195"/>
      <c r="CX1034" s="195"/>
      <c r="CY1034" s="195"/>
      <c r="CZ1034" s="195"/>
      <c r="DA1034" s="195"/>
      <c r="DB1034" s="195"/>
      <c r="DC1034" s="195"/>
      <c r="DD1034" s="195"/>
      <c r="DO1034" s="195"/>
      <c r="DP1034" s="195"/>
      <c r="DQ1034" s="195"/>
      <c r="DR1034" s="195"/>
      <c r="DS1034" s="195"/>
      <c r="DT1034" s="195"/>
      <c r="DU1034" s="195"/>
      <c r="DV1034" s="195"/>
      <c r="DW1034" s="195"/>
      <c r="DX1034" s="195"/>
      <c r="DY1034" s="195"/>
      <c r="DZ1034" s="195"/>
      <c r="EA1034" s="195"/>
      <c r="EB1034" s="195"/>
      <c r="EC1034" s="195"/>
      <c r="ED1034" s="195"/>
      <c r="EE1034" s="195"/>
      <c r="EK1034" s="195"/>
      <c r="EL1034" s="240"/>
      <c r="EM1034" s="240"/>
      <c r="EN1034" s="195"/>
      <c r="EO1034" s="240"/>
      <c r="EP1034" s="195"/>
      <c r="EQ1034" s="195"/>
      <c r="ER1034" s="195"/>
      <c r="ES1034" s="736"/>
    </row>
    <row r="1035" customFormat="false" ht="12.75" hidden="false" customHeight="false" outlineLevel="0" collapsed="false">
      <c r="I1035" s="735"/>
      <c r="J1035" s="728"/>
      <c r="K1035" s="195"/>
      <c r="L1035" s="195"/>
      <c r="Q1035" s="195"/>
      <c r="R1035" s="195"/>
      <c r="S1035" s="240"/>
      <c r="T1035" s="195"/>
      <c r="U1035" s="195"/>
      <c r="V1035" s="195"/>
      <c r="W1035" s="195"/>
      <c r="X1035" s="195"/>
      <c r="Y1035" s="195"/>
      <c r="Z1035" s="195"/>
      <c r="AA1035" s="195"/>
      <c r="AB1035" s="195"/>
      <c r="AC1035" s="195"/>
      <c r="AD1035" s="195"/>
      <c r="AE1035" s="195"/>
      <c r="AF1035" s="195"/>
      <c r="AG1035" s="195"/>
      <c r="AH1035" s="195"/>
      <c r="AI1035" s="195"/>
      <c r="AJ1035" s="195"/>
      <c r="AK1035" s="195"/>
      <c r="AL1035" s="195"/>
      <c r="AM1035" s="1"/>
      <c r="AN1035" s="240"/>
      <c r="AO1035" s="240"/>
      <c r="AP1035" s="240"/>
      <c r="AQ1035" s="730"/>
      <c r="AR1035" s="730"/>
      <c r="AS1035" s="730"/>
      <c r="AT1035" s="738"/>
      <c r="AU1035" s="738"/>
      <c r="AV1035" s="240"/>
      <c r="AW1035" s="240"/>
      <c r="AX1035" s="240"/>
      <c r="AY1035" s="240"/>
      <c r="AZ1035" s="240"/>
      <c r="BA1035" s="240"/>
      <c r="BB1035" s="672"/>
      <c r="BC1035" s="731"/>
      <c r="BD1035" s="731"/>
      <c r="BE1035" s="731"/>
      <c r="BF1035" s="672"/>
      <c r="BG1035" s="732"/>
      <c r="BH1035" s="240"/>
      <c r="BI1035" s="240"/>
      <c r="BJ1035" s="240"/>
      <c r="BK1035" s="240"/>
      <c r="BL1035" s="240"/>
      <c r="BM1035" s="240"/>
      <c r="BN1035" s="240"/>
      <c r="BO1035" s="240"/>
      <c r="BP1035" s="240"/>
      <c r="BQ1035" s="240"/>
      <c r="BR1035" s="240"/>
      <c r="BS1035" s="240"/>
      <c r="BT1035" s="240"/>
      <c r="BU1035" s="672"/>
      <c r="BV1035" s="672"/>
      <c r="BW1035" s="672"/>
      <c r="BX1035" s="672"/>
      <c r="BY1035" s="672"/>
      <c r="BZ1035" s="672"/>
      <c r="CA1035" s="672"/>
      <c r="CB1035" s="672"/>
      <c r="CC1035" s="672"/>
      <c r="CD1035" s="672"/>
      <c r="CE1035" s="240"/>
      <c r="CF1035" s="240"/>
      <c r="CG1035" s="240"/>
      <c r="CH1035" s="240"/>
      <c r="CI1035" s="240"/>
      <c r="CJ1035" s="728"/>
      <c r="CK1035" s="728"/>
      <c r="CL1035" s="195"/>
      <c r="CM1035" s="195"/>
      <c r="CN1035" s="195"/>
      <c r="CO1035" s="195"/>
      <c r="CP1035" s="195"/>
      <c r="CQ1035" s="195"/>
      <c r="CR1035" s="195"/>
      <c r="CS1035" s="195"/>
      <c r="CT1035" s="195"/>
      <c r="CU1035" s="195"/>
      <c r="CV1035" s="195"/>
      <c r="CW1035" s="195"/>
      <c r="CX1035" s="195"/>
      <c r="CY1035" s="195"/>
      <c r="CZ1035" s="195"/>
      <c r="DA1035" s="195"/>
      <c r="DB1035" s="195"/>
      <c r="DC1035" s="195"/>
      <c r="DD1035" s="195"/>
      <c r="DO1035" s="195"/>
      <c r="DP1035" s="195"/>
      <c r="DQ1035" s="195"/>
      <c r="DR1035" s="195"/>
      <c r="DS1035" s="195"/>
      <c r="DT1035" s="195"/>
      <c r="DU1035" s="195"/>
      <c r="DV1035" s="195"/>
      <c r="DW1035" s="195"/>
      <c r="DX1035" s="195"/>
      <c r="DY1035" s="195"/>
      <c r="DZ1035" s="195"/>
      <c r="EA1035" s="195"/>
      <c r="EB1035" s="195"/>
      <c r="EC1035" s="195"/>
      <c r="ED1035" s="195"/>
      <c r="EE1035" s="195"/>
      <c r="EK1035" s="195"/>
      <c r="EL1035" s="240"/>
      <c r="EM1035" s="240"/>
      <c r="EN1035" s="195"/>
      <c r="EO1035" s="240"/>
      <c r="EP1035" s="195"/>
      <c r="EQ1035" s="195"/>
      <c r="ER1035" s="195"/>
      <c r="ES1035" s="736"/>
    </row>
    <row r="1036" customFormat="false" ht="12.75" hidden="false" customHeight="false" outlineLevel="0" collapsed="false">
      <c r="I1036" s="735"/>
      <c r="J1036" s="728"/>
      <c r="K1036" s="195"/>
      <c r="L1036" s="195"/>
      <c r="Q1036" s="195"/>
      <c r="R1036" s="195"/>
      <c r="S1036" s="240"/>
      <c r="T1036" s="195"/>
      <c r="U1036" s="195"/>
      <c r="V1036" s="195"/>
      <c r="W1036" s="195"/>
      <c r="X1036" s="195"/>
      <c r="Y1036" s="195"/>
      <c r="Z1036" s="195"/>
      <c r="AA1036" s="195"/>
      <c r="AB1036" s="195"/>
      <c r="AC1036" s="195"/>
      <c r="AD1036" s="195"/>
      <c r="AE1036" s="195"/>
      <c r="AF1036" s="195"/>
      <c r="AG1036" s="195"/>
      <c r="AH1036" s="195"/>
      <c r="AI1036" s="195"/>
      <c r="AJ1036" s="195"/>
      <c r="AK1036" s="195"/>
      <c r="AL1036" s="195"/>
      <c r="AM1036" s="1"/>
      <c r="AN1036" s="240"/>
      <c r="AO1036" s="240"/>
      <c r="AP1036" s="240"/>
      <c r="AQ1036" s="730"/>
      <c r="AR1036" s="730"/>
      <c r="AS1036" s="730"/>
      <c r="AT1036" s="738"/>
      <c r="AU1036" s="738"/>
      <c r="AV1036" s="240"/>
      <c r="AW1036" s="240"/>
      <c r="AX1036" s="240"/>
      <c r="AY1036" s="240"/>
      <c r="AZ1036" s="240"/>
      <c r="BA1036" s="240"/>
      <c r="BB1036" s="672"/>
      <c r="BC1036" s="731"/>
      <c r="BD1036" s="731"/>
      <c r="BE1036" s="731"/>
      <c r="BF1036" s="672"/>
      <c r="BG1036" s="732"/>
      <c r="BH1036" s="240"/>
      <c r="BI1036" s="240"/>
      <c r="BJ1036" s="240"/>
      <c r="BK1036" s="240"/>
      <c r="BL1036" s="240"/>
      <c r="BM1036" s="240"/>
      <c r="BN1036" s="240"/>
      <c r="BO1036" s="240"/>
      <c r="BP1036" s="240"/>
      <c r="BQ1036" s="240"/>
      <c r="BR1036" s="240"/>
      <c r="BS1036" s="240"/>
      <c r="BT1036" s="240"/>
      <c r="BU1036" s="672"/>
      <c r="BV1036" s="672"/>
      <c r="BW1036" s="672"/>
      <c r="BX1036" s="672"/>
      <c r="BY1036" s="672"/>
      <c r="BZ1036" s="672"/>
      <c r="CA1036" s="672"/>
      <c r="CB1036" s="672"/>
      <c r="CC1036" s="672"/>
      <c r="CD1036" s="672"/>
      <c r="CE1036" s="240"/>
      <c r="CF1036" s="240"/>
      <c r="CG1036" s="240"/>
      <c r="CH1036" s="240"/>
      <c r="CI1036" s="240"/>
      <c r="CJ1036" s="728"/>
      <c r="CK1036" s="728"/>
      <c r="CL1036" s="195"/>
      <c r="CM1036" s="195"/>
      <c r="CN1036" s="195"/>
      <c r="CO1036" s="195"/>
      <c r="CP1036" s="195"/>
      <c r="CQ1036" s="195"/>
      <c r="CR1036" s="195"/>
      <c r="CS1036" s="195"/>
      <c r="CT1036" s="195"/>
      <c r="CU1036" s="195"/>
      <c r="CV1036" s="195"/>
      <c r="CW1036" s="195"/>
      <c r="CX1036" s="195"/>
      <c r="CY1036" s="195"/>
      <c r="CZ1036" s="195"/>
      <c r="DA1036" s="195"/>
      <c r="DB1036" s="195"/>
      <c r="DC1036" s="195"/>
      <c r="DD1036" s="195"/>
      <c r="DO1036" s="195"/>
      <c r="DP1036" s="195"/>
      <c r="DQ1036" s="195"/>
      <c r="DR1036" s="195"/>
      <c r="DS1036" s="195"/>
      <c r="DT1036" s="195"/>
      <c r="DU1036" s="195"/>
      <c r="DV1036" s="195"/>
      <c r="DW1036" s="195"/>
      <c r="DX1036" s="195"/>
      <c r="DY1036" s="195"/>
      <c r="DZ1036" s="195"/>
      <c r="EA1036" s="195"/>
      <c r="EB1036" s="195"/>
      <c r="EC1036" s="195"/>
      <c r="ED1036" s="195"/>
      <c r="EE1036" s="195"/>
      <c r="EK1036" s="195"/>
      <c r="EL1036" s="240"/>
      <c r="EM1036" s="240"/>
      <c r="EN1036" s="195"/>
      <c r="EO1036" s="240"/>
      <c r="EP1036" s="195"/>
      <c r="EQ1036" s="195"/>
      <c r="ER1036" s="195"/>
      <c r="ES1036" s="736"/>
    </row>
    <row r="1037" customFormat="false" ht="12.75" hidden="false" customHeight="false" outlineLevel="0" collapsed="false">
      <c r="I1037" s="735"/>
      <c r="J1037" s="728"/>
      <c r="K1037" s="195"/>
      <c r="L1037" s="195"/>
      <c r="Q1037" s="195"/>
      <c r="R1037" s="195"/>
      <c r="S1037" s="240"/>
      <c r="T1037" s="195"/>
      <c r="U1037" s="195"/>
      <c r="V1037" s="195"/>
      <c r="W1037" s="195"/>
      <c r="X1037" s="195"/>
      <c r="Y1037" s="195"/>
      <c r="Z1037" s="195"/>
      <c r="AA1037" s="195"/>
      <c r="AB1037" s="195"/>
      <c r="AC1037" s="195"/>
      <c r="AD1037" s="195"/>
      <c r="AE1037" s="195"/>
      <c r="AF1037" s="195"/>
      <c r="AG1037" s="195"/>
      <c r="AH1037" s="195"/>
      <c r="AI1037" s="195"/>
      <c r="AJ1037" s="195"/>
      <c r="AK1037" s="195"/>
      <c r="AL1037" s="195"/>
      <c r="AM1037" s="1"/>
      <c r="AN1037" s="240"/>
      <c r="AO1037" s="240"/>
      <c r="AP1037" s="240"/>
      <c r="AQ1037" s="730"/>
      <c r="AR1037" s="730"/>
      <c r="AS1037" s="730"/>
      <c r="AT1037" s="738"/>
      <c r="AU1037" s="738"/>
      <c r="AV1037" s="240"/>
      <c r="AW1037" s="240"/>
      <c r="AX1037" s="240"/>
      <c r="AY1037" s="240"/>
      <c r="AZ1037" s="240"/>
      <c r="BA1037" s="240"/>
      <c r="BB1037" s="672"/>
      <c r="BC1037" s="731"/>
      <c r="BD1037" s="731"/>
      <c r="BE1037" s="731"/>
      <c r="BF1037" s="672"/>
      <c r="BG1037" s="732"/>
      <c r="BH1037" s="240"/>
      <c r="BI1037" s="240"/>
      <c r="BJ1037" s="240"/>
      <c r="BK1037" s="240"/>
      <c r="BL1037" s="240"/>
      <c r="BM1037" s="240"/>
      <c r="BN1037" s="240"/>
      <c r="BO1037" s="240"/>
      <c r="BP1037" s="240"/>
      <c r="BQ1037" s="240"/>
      <c r="BR1037" s="240"/>
      <c r="BS1037" s="240"/>
      <c r="BT1037" s="240"/>
      <c r="BU1037" s="672"/>
      <c r="BV1037" s="672"/>
      <c r="BW1037" s="672"/>
      <c r="BX1037" s="672"/>
      <c r="BY1037" s="672"/>
      <c r="BZ1037" s="672"/>
      <c r="CA1037" s="672"/>
      <c r="CB1037" s="672"/>
      <c r="CC1037" s="672"/>
      <c r="CD1037" s="672"/>
      <c r="CE1037" s="240"/>
      <c r="CF1037" s="240"/>
      <c r="CG1037" s="240"/>
      <c r="CH1037" s="240"/>
      <c r="CI1037" s="240"/>
      <c r="CJ1037" s="728"/>
      <c r="CK1037" s="728"/>
      <c r="CL1037" s="195"/>
      <c r="CM1037" s="195"/>
      <c r="CN1037" s="195"/>
      <c r="CO1037" s="195"/>
      <c r="CP1037" s="195"/>
      <c r="CQ1037" s="195"/>
      <c r="CR1037" s="195"/>
      <c r="CS1037" s="195"/>
      <c r="CT1037" s="195"/>
      <c r="CU1037" s="195"/>
      <c r="CV1037" s="195"/>
      <c r="CW1037" s="195"/>
      <c r="CX1037" s="195"/>
      <c r="CY1037" s="195"/>
      <c r="CZ1037" s="195"/>
      <c r="DA1037" s="195"/>
      <c r="DB1037" s="195"/>
      <c r="DC1037" s="195"/>
      <c r="DD1037" s="195"/>
      <c r="DO1037" s="195"/>
      <c r="DP1037" s="195"/>
      <c r="DQ1037" s="195"/>
      <c r="DR1037" s="195"/>
      <c r="DS1037" s="195"/>
      <c r="DT1037" s="195"/>
      <c r="DU1037" s="195"/>
      <c r="DV1037" s="195"/>
      <c r="DW1037" s="195"/>
      <c r="DX1037" s="195"/>
      <c r="DY1037" s="195"/>
      <c r="DZ1037" s="195"/>
      <c r="EA1037" s="195"/>
      <c r="EB1037" s="195"/>
      <c r="EC1037" s="195"/>
      <c r="ED1037" s="195"/>
      <c r="EE1037" s="195"/>
      <c r="EK1037" s="195"/>
      <c r="EL1037" s="240"/>
      <c r="EM1037" s="240"/>
      <c r="EN1037" s="195"/>
      <c r="EO1037" s="240"/>
      <c r="EP1037" s="195"/>
      <c r="EQ1037" s="195"/>
      <c r="ER1037" s="195"/>
      <c r="ES1037" s="736"/>
    </row>
    <row r="1038" customFormat="false" ht="12.75" hidden="false" customHeight="false" outlineLevel="0" collapsed="false">
      <c r="I1038" s="735"/>
      <c r="J1038" s="728"/>
      <c r="K1038" s="195"/>
      <c r="L1038" s="195"/>
      <c r="Q1038" s="195"/>
      <c r="R1038" s="195"/>
      <c r="S1038" s="240"/>
      <c r="T1038" s="195"/>
      <c r="U1038" s="195"/>
      <c r="V1038" s="195"/>
      <c r="W1038" s="195"/>
      <c r="X1038" s="195"/>
      <c r="Y1038" s="195"/>
      <c r="Z1038" s="195"/>
      <c r="AA1038" s="195"/>
      <c r="AB1038" s="195"/>
      <c r="AC1038" s="195"/>
      <c r="AD1038" s="195"/>
      <c r="AE1038" s="195"/>
      <c r="AF1038" s="195"/>
      <c r="AG1038" s="195"/>
      <c r="AH1038" s="195"/>
      <c r="AI1038" s="195"/>
      <c r="AJ1038" s="195"/>
      <c r="AK1038" s="195"/>
      <c r="AL1038" s="195"/>
      <c r="AM1038" s="1"/>
      <c r="AN1038" s="240"/>
      <c r="AO1038" s="240"/>
      <c r="AP1038" s="240"/>
      <c r="AQ1038" s="730"/>
      <c r="AR1038" s="730"/>
      <c r="AS1038" s="730"/>
      <c r="AT1038" s="738"/>
      <c r="AU1038" s="738"/>
      <c r="AV1038" s="240"/>
      <c r="AW1038" s="240"/>
      <c r="AX1038" s="240"/>
      <c r="AY1038" s="240"/>
      <c r="AZ1038" s="240"/>
      <c r="BA1038" s="240"/>
      <c r="BB1038" s="672"/>
      <c r="BC1038" s="731"/>
      <c r="BD1038" s="731"/>
      <c r="BE1038" s="731"/>
      <c r="BF1038" s="672"/>
      <c r="BG1038" s="732"/>
      <c r="BH1038" s="240"/>
      <c r="BI1038" s="240"/>
      <c r="BJ1038" s="240"/>
      <c r="BK1038" s="240"/>
      <c r="BL1038" s="240"/>
      <c r="BM1038" s="240"/>
      <c r="BN1038" s="240"/>
      <c r="BO1038" s="240"/>
      <c r="BP1038" s="240"/>
      <c r="BQ1038" s="240"/>
      <c r="BR1038" s="240"/>
      <c r="BS1038" s="240"/>
      <c r="BT1038" s="240"/>
      <c r="BU1038" s="672"/>
      <c r="BV1038" s="672"/>
      <c r="BW1038" s="672"/>
      <c r="BX1038" s="672"/>
      <c r="BY1038" s="672"/>
      <c r="BZ1038" s="672"/>
      <c r="CA1038" s="672"/>
      <c r="CB1038" s="672"/>
      <c r="CC1038" s="672"/>
      <c r="CD1038" s="672"/>
      <c r="CE1038" s="240"/>
      <c r="CF1038" s="240"/>
      <c r="CG1038" s="240"/>
      <c r="CH1038" s="240"/>
      <c r="CI1038" s="240"/>
      <c r="CJ1038" s="728"/>
      <c r="CK1038" s="728"/>
      <c r="CL1038" s="195"/>
      <c r="CM1038" s="195"/>
      <c r="CN1038" s="195"/>
      <c r="CO1038" s="195"/>
      <c r="CP1038" s="195"/>
      <c r="CQ1038" s="195"/>
      <c r="CR1038" s="195"/>
      <c r="CS1038" s="195"/>
      <c r="CT1038" s="195"/>
      <c r="CU1038" s="195"/>
      <c r="CV1038" s="195"/>
      <c r="CW1038" s="195"/>
      <c r="CX1038" s="195"/>
      <c r="CY1038" s="195"/>
      <c r="CZ1038" s="195"/>
      <c r="DA1038" s="195"/>
      <c r="DB1038" s="195"/>
      <c r="DC1038" s="195"/>
      <c r="DD1038" s="195"/>
      <c r="DO1038" s="195"/>
      <c r="DP1038" s="195"/>
      <c r="DQ1038" s="195"/>
      <c r="DR1038" s="195"/>
      <c r="DS1038" s="195"/>
      <c r="DT1038" s="195"/>
      <c r="DU1038" s="195"/>
      <c r="DV1038" s="195"/>
      <c r="DW1038" s="195"/>
      <c r="DX1038" s="195"/>
      <c r="DY1038" s="195"/>
      <c r="DZ1038" s="195"/>
      <c r="EA1038" s="195"/>
      <c r="EB1038" s="195"/>
      <c r="EC1038" s="195"/>
      <c r="ED1038" s="195"/>
      <c r="EE1038" s="195"/>
      <c r="EK1038" s="195"/>
      <c r="EL1038" s="240"/>
      <c r="EM1038" s="240"/>
      <c r="EN1038" s="195"/>
      <c r="EO1038" s="240"/>
      <c r="EP1038" s="195"/>
      <c r="EQ1038" s="195"/>
      <c r="ER1038" s="195"/>
      <c r="ES1038" s="736"/>
    </row>
    <row r="1039" customFormat="false" ht="12.75" hidden="false" customHeight="false" outlineLevel="0" collapsed="false">
      <c r="I1039" s="735"/>
      <c r="J1039" s="728"/>
      <c r="K1039" s="195"/>
      <c r="L1039" s="195"/>
      <c r="Q1039" s="195"/>
      <c r="R1039" s="195"/>
      <c r="S1039" s="240"/>
      <c r="T1039" s="195"/>
      <c r="U1039" s="195"/>
      <c r="V1039" s="195"/>
      <c r="W1039" s="195"/>
      <c r="X1039" s="195"/>
      <c r="Y1039" s="195"/>
      <c r="Z1039" s="195"/>
      <c r="AA1039" s="195"/>
      <c r="AB1039" s="195"/>
      <c r="AC1039" s="195"/>
      <c r="AD1039" s="195"/>
      <c r="AE1039" s="195"/>
      <c r="AF1039" s="195"/>
      <c r="AG1039" s="195"/>
      <c r="AH1039" s="195"/>
      <c r="AI1039" s="195"/>
      <c r="AJ1039" s="195"/>
      <c r="AK1039" s="195"/>
      <c r="AL1039" s="195"/>
      <c r="AM1039" s="1"/>
      <c r="AN1039" s="240"/>
      <c r="AO1039" s="240"/>
      <c r="AP1039" s="240"/>
      <c r="AQ1039" s="730"/>
      <c r="AR1039" s="730"/>
      <c r="AS1039" s="730"/>
      <c r="AT1039" s="738"/>
      <c r="AU1039" s="738"/>
      <c r="AV1039" s="240"/>
      <c r="AW1039" s="240"/>
      <c r="AX1039" s="240"/>
      <c r="AY1039" s="240"/>
      <c r="AZ1039" s="240"/>
      <c r="BA1039" s="240"/>
      <c r="BB1039" s="672"/>
      <c r="BC1039" s="731"/>
      <c r="BD1039" s="731"/>
      <c r="BE1039" s="731"/>
      <c r="BF1039" s="672"/>
      <c r="BG1039" s="732"/>
      <c r="BH1039" s="240"/>
      <c r="BI1039" s="240"/>
      <c r="BJ1039" s="240"/>
      <c r="BK1039" s="240"/>
      <c r="BL1039" s="240"/>
      <c r="BM1039" s="240"/>
      <c r="BN1039" s="240"/>
      <c r="BO1039" s="240"/>
      <c r="BP1039" s="240"/>
      <c r="BQ1039" s="240"/>
      <c r="BR1039" s="240"/>
      <c r="BS1039" s="240"/>
      <c r="BT1039" s="240"/>
      <c r="BU1039" s="672"/>
      <c r="BV1039" s="672"/>
      <c r="BW1039" s="672"/>
      <c r="BX1039" s="672"/>
      <c r="BY1039" s="672"/>
      <c r="BZ1039" s="672"/>
      <c r="CA1039" s="672"/>
      <c r="CB1039" s="672"/>
      <c r="CC1039" s="672"/>
      <c r="CD1039" s="672"/>
      <c r="CE1039" s="240"/>
      <c r="CF1039" s="240"/>
      <c r="CG1039" s="240"/>
      <c r="CH1039" s="240"/>
      <c r="CI1039" s="240"/>
      <c r="CJ1039" s="728"/>
      <c r="CK1039" s="728"/>
      <c r="CL1039" s="195"/>
      <c r="CM1039" s="195"/>
      <c r="CN1039" s="195"/>
      <c r="CO1039" s="195"/>
      <c r="CP1039" s="195"/>
      <c r="CQ1039" s="195"/>
      <c r="CR1039" s="195"/>
      <c r="CS1039" s="195"/>
      <c r="CT1039" s="195"/>
      <c r="CU1039" s="195"/>
      <c r="CV1039" s="195"/>
      <c r="CW1039" s="195"/>
      <c r="CX1039" s="195"/>
      <c r="CY1039" s="195"/>
      <c r="CZ1039" s="195"/>
      <c r="DA1039" s="195"/>
      <c r="DB1039" s="195"/>
      <c r="DC1039" s="195"/>
      <c r="DD1039" s="195"/>
      <c r="DO1039" s="195"/>
      <c r="DP1039" s="195"/>
      <c r="DQ1039" s="195"/>
      <c r="DR1039" s="195"/>
      <c r="DS1039" s="195"/>
      <c r="DT1039" s="195"/>
      <c r="DU1039" s="195"/>
      <c r="DV1039" s="195"/>
      <c r="DW1039" s="195"/>
      <c r="DX1039" s="195"/>
      <c r="DY1039" s="195"/>
      <c r="DZ1039" s="195"/>
      <c r="EA1039" s="195"/>
      <c r="EB1039" s="195"/>
      <c r="EC1039" s="195"/>
      <c r="ED1039" s="195"/>
      <c r="EE1039" s="195"/>
      <c r="EK1039" s="195"/>
      <c r="EL1039" s="240"/>
      <c r="EM1039" s="240"/>
      <c r="EN1039" s="195"/>
      <c r="EO1039" s="240"/>
      <c r="EP1039" s="195"/>
      <c r="EQ1039" s="195"/>
      <c r="ER1039" s="195"/>
      <c r="ES1039" s="736"/>
    </row>
    <row r="1040" customFormat="false" ht="12.75" hidden="false" customHeight="false" outlineLevel="0" collapsed="false">
      <c r="I1040" s="735"/>
      <c r="J1040" s="728"/>
      <c r="K1040" s="195"/>
      <c r="L1040" s="195"/>
      <c r="Q1040" s="195"/>
      <c r="R1040" s="195"/>
      <c r="S1040" s="240"/>
      <c r="T1040" s="195"/>
      <c r="U1040" s="195"/>
      <c r="V1040" s="195"/>
      <c r="W1040" s="195"/>
      <c r="X1040" s="195"/>
      <c r="Y1040" s="195"/>
      <c r="Z1040" s="195"/>
      <c r="AA1040" s="195"/>
      <c r="AB1040" s="195"/>
      <c r="AC1040" s="195"/>
      <c r="AD1040" s="195"/>
      <c r="AE1040" s="195"/>
      <c r="AF1040" s="195"/>
      <c r="AG1040" s="195"/>
      <c r="AH1040" s="195"/>
      <c r="AI1040" s="195"/>
      <c r="AJ1040" s="195"/>
      <c r="AK1040" s="195"/>
      <c r="AL1040" s="195"/>
      <c r="AM1040" s="1"/>
      <c r="AN1040" s="240"/>
      <c r="AO1040" s="240"/>
      <c r="AP1040" s="240"/>
      <c r="AQ1040" s="730"/>
      <c r="AR1040" s="730"/>
      <c r="AS1040" s="730"/>
      <c r="AT1040" s="738"/>
      <c r="AU1040" s="738"/>
      <c r="AV1040" s="240"/>
      <c r="AW1040" s="240"/>
      <c r="AX1040" s="240"/>
      <c r="AY1040" s="240"/>
      <c r="AZ1040" s="240"/>
      <c r="BA1040" s="240"/>
      <c r="BB1040" s="672"/>
      <c r="BC1040" s="731"/>
      <c r="BD1040" s="731"/>
      <c r="BE1040" s="731"/>
      <c r="BF1040" s="672"/>
      <c r="BG1040" s="732"/>
      <c r="BH1040" s="240"/>
      <c r="BI1040" s="240"/>
      <c r="BJ1040" s="240"/>
      <c r="BK1040" s="240"/>
      <c r="BL1040" s="240"/>
      <c r="BM1040" s="240"/>
      <c r="BN1040" s="240"/>
      <c r="BO1040" s="240"/>
      <c r="BP1040" s="240"/>
      <c r="BQ1040" s="240"/>
      <c r="BR1040" s="240"/>
      <c r="BS1040" s="240"/>
      <c r="BT1040" s="240"/>
      <c r="BU1040" s="672"/>
      <c r="BV1040" s="672"/>
      <c r="BW1040" s="672"/>
      <c r="BX1040" s="672"/>
      <c r="BY1040" s="672"/>
      <c r="BZ1040" s="672"/>
      <c r="CA1040" s="672"/>
      <c r="CB1040" s="672"/>
      <c r="CC1040" s="672"/>
      <c r="CD1040" s="672"/>
      <c r="CE1040" s="240"/>
      <c r="CF1040" s="240"/>
      <c r="CG1040" s="240"/>
      <c r="CH1040" s="240"/>
      <c r="CI1040" s="240"/>
      <c r="CJ1040" s="728"/>
      <c r="CK1040" s="728"/>
      <c r="CL1040" s="195"/>
      <c r="CM1040" s="195"/>
      <c r="CN1040" s="195"/>
      <c r="CO1040" s="195"/>
      <c r="CP1040" s="195"/>
      <c r="CQ1040" s="195"/>
      <c r="CR1040" s="195"/>
      <c r="CS1040" s="195"/>
      <c r="CT1040" s="195"/>
      <c r="CU1040" s="195"/>
      <c r="CV1040" s="195"/>
      <c r="CW1040" s="195"/>
      <c r="CX1040" s="195"/>
      <c r="CY1040" s="195"/>
      <c r="CZ1040" s="195"/>
      <c r="DA1040" s="195"/>
      <c r="DB1040" s="195"/>
      <c r="DC1040" s="195"/>
      <c r="DD1040" s="195"/>
      <c r="DO1040" s="195"/>
      <c r="DP1040" s="195"/>
      <c r="DQ1040" s="195"/>
      <c r="DR1040" s="195"/>
      <c r="DS1040" s="195"/>
      <c r="DT1040" s="195"/>
      <c r="DU1040" s="195"/>
      <c r="DV1040" s="195"/>
      <c r="DW1040" s="195"/>
      <c r="DX1040" s="195"/>
      <c r="DY1040" s="195"/>
      <c r="DZ1040" s="195"/>
      <c r="EA1040" s="195"/>
      <c r="EB1040" s="195"/>
      <c r="EC1040" s="195"/>
      <c r="ED1040" s="195"/>
      <c r="EE1040" s="195"/>
      <c r="EK1040" s="195"/>
      <c r="EL1040" s="240"/>
      <c r="EM1040" s="240"/>
      <c r="EN1040" s="195"/>
      <c r="EO1040" s="240"/>
      <c r="EP1040" s="195"/>
      <c r="EQ1040" s="195"/>
      <c r="ER1040" s="195"/>
      <c r="ES1040" s="736"/>
    </row>
    <row r="1041" customFormat="false" ht="12.75" hidden="false" customHeight="false" outlineLevel="0" collapsed="false">
      <c r="I1041" s="735"/>
      <c r="J1041" s="728"/>
      <c r="K1041" s="195"/>
      <c r="L1041" s="195"/>
      <c r="Q1041" s="195"/>
      <c r="R1041" s="195"/>
      <c r="S1041" s="240"/>
      <c r="T1041" s="195"/>
      <c r="U1041" s="195"/>
      <c r="V1041" s="195"/>
      <c r="W1041" s="195"/>
      <c r="X1041" s="195"/>
      <c r="Y1041" s="195"/>
      <c r="Z1041" s="195"/>
      <c r="AA1041" s="195"/>
      <c r="AB1041" s="195"/>
      <c r="AC1041" s="195"/>
      <c r="AD1041" s="195"/>
      <c r="AE1041" s="195"/>
      <c r="AF1041" s="195"/>
      <c r="AG1041" s="195"/>
      <c r="AH1041" s="195"/>
      <c r="AI1041" s="195"/>
      <c r="AJ1041" s="195"/>
      <c r="AK1041" s="195"/>
      <c r="AL1041" s="195"/>
      <c r="AM1041" s="1"/>
      <c r="AN1041" s="240"/>
      <c r="AO1041" s="240"/>
      <c r="AP1041" s="240"/>
      <c r="AQ1041" s="730"/>
      <c r="AR1041" s="730"/>
      <c r="AS1041" s="730"/>
      <c r="AT1041" s="738"/>
      <c r="AU1041" s="738"/>
      <c r="AV1041" s="240"/>
      <c r="AW1041" s="240"/>
      <c r="AX1041" s="240"/>
      <c r="AY1041" s="240"/>
      <c r="AZ1041" s="240"/>
      <c r="BA1041" s="240"/>
      <c r="BB1041" s="672"/>
      <c r="BC1041" s="731"/>
      <c r="BD1041" s="731"/>
      <c r="BE1041" s="731"/>
      <c r="BF1041" s="672"/>
      <c r="BG1041" s="732"/>
      <c r="BH1041" s="240"/>
      <c r="BI1041" s="240"/>
      <c r="BJ1041" s="240"/>
      <c r="BK1041" s="240"/>
      <c r="BL1041" s="240"/>
      <c r="BM1041" s="240"/>
      <c r="BN1041" s="240"/>
      <c r="BO1041" s="240"/>
      <c r="BP1041" s="240"/>
      <c r="BQ1041" s="240"/>
      <c r="BR1041" s="240"/>
      <c r="BS1041" s="240"/>
      <c r="BT1041" s="240"/>
      <c r="BU1041" s="672"/>
      <c r="BV1041" s="672"/>
      <c r="BW1041" s="672"/>
      <c r="BX1041" s="672"/>
      <c r="BY1041" s="672"/>
      <c r="BZ1041" s="672"/>
      <c r="CA1041" s="672"/>
      <c r="CB1041" s="672"/>
      <c r="CC1041" s="672"/>
      <c r="CD1041" s="672"/>
      <c r="CE1041" s="240"/>
      <c r="CF1041" s="240"/>
      <c r="CG1041" s="240"/>
      <c r="CH1041" s="240"/>
      <c r="CI1041" s="240"/>
      <c r="CJ1041" s="728"/>
      <c r="CK1041" s="728"/>
      <c r="CL1041" s="195"/>
      <c r="CM1041" s="195"/>
      <c r="CN1041" s="195"/>
      <c r="CO1041" s="195"/>
      <c r="CP1041" s="195"/>
      <c r="CQ1041" s="195"/>
      <c r="CR1041" s="195"/>
      <c r="CS1041" s="195"/>
      <c r="CT1041" s="195"/>
      <c r="CU1041" s="195"/>
      <c r="CV1041" s="195"/>
      <c r="CW1041" s="195"/>
      <c r="CX1041" s="195"/>
      <c r="CY1041" s="195"/>
      <c r="CZ1041" s="195"/>
      <c r="DA1041" s="195"/>
      <c r="DB1041" s="195"/>
      <c r="DC1041" s="195"/>
      <c r="DD1041" s="195"/>
      <c r="DO1041" s="195"/>
      <c r="DP1041" s="195"/>
      <c r="DQ1041" s="195"/>
      <c r="DR1041" s="195"/>
      <c r="DS1041" s="195"/>
      <c r="DT1041" s="195"/>
      <c r="DU1041" s="195"/>
      <c r="DV1041" s="195"/>
      <c r="DW1041" s="195"/>
      <c r="DX1041" s="195"/>
      <c r="DY1041" s="195"/>
      <c r="DZ1041" s="195"/>
      <c r="EA1041" s="195"/>
      <c r="EB1041" s="195"/>
      <c r="EC1041" s="195"/>
      <c r="ED1041" s="195"/>
      <c r="EE1041" s="195"/>
      <c r="EK1041" s="195"/>
      <c r="EL1041" s="240"/>
      <c r="EM1041" s="240"/>
      <c r="EN1041" s="195"/>
      <c r="EO1041" s="240"/>
      <c r="EP1041" s="195"/>
      <c r="EQ1041" s="195"/>
      <c r="ER1041" s="195"/>
      <c r="ES1041" s="736"/>
    </row>
    <row r="1042" customFormat="false" ht="12.75" hidden="false" customHeight="false" outlineLevel="0" collapsed="false">
      <c r="I1042" s="735"/>
      <c r="J1042" s="728"/>
      <c r="K1042" s="195"/>
      <c r="L1042" s="195"/>
      <c r="Q1042" s="195"/>
      <c r="R1042" s="195"/>
      <c r="S1042" s="240"/>
      <c r="T1042" s="195"/>
      <c r="U1042" s="195"/>
      <c r="V1042" s="195"/>
      <c r="W1042" s="195"/>
      <c r="X1042" s="195"/>
      <c r="Y1042" s="195"/>
      <c r="Z1042" s="195"/>
      <c r="AA1042" s="195"/>
      <c r="AB1042" s="195"/>
      <c r="AC1042" s="195"/>
      <c r="AD1042" s="195"/>
      <c r="AE1042" s="195"/>
      <c r="AF1042" s="195"/>
      <c r="AG1042" s="195"/>
      <c r="AH1042" s="195"/>
      <c r="AI1042" s="195"/>
      <c r="AJ1042" s="195"/>
      <c r="AK1042" s="195"/>
      <c r="AL1042" s="195"/>
      <c r="AM1042" s="1"/>
      <c r="AN1042" s="240"/>
      <c r="AO1042" s="240"/>
      <c r="AP1042" s="240"/>
      <c r="AQ1042" s="730"/>
      <c r="AR1042" s="730"/>
      <c r="AS1042" s="730"/>
      <c r="AT1042" s="738"/>
      <c r="AU1042" s="738"/>
      <c r="AV1042" s="240"/>
      <c r="AW1042" s="240"/>
      <c r="AX1042" s="240"/>
      <c r="AY1042" s="240"/>
      <c r="AZ1042" s="240"/>
      <c r="BA1042" s="240"/>
      <c r="BB1042" s="672"/>
      <c r="BC1042" s="731"/>
      <c r="BD1042" s="731"/>
      <c r="BE1042" s="731"/>
      <c r="BF1042" s="672"/>
      <c r="BG1042" s="732"/>
      <c r="BH1042" s="240"/>
      <c r="BI1042" s="240"/>
      <c r="BJ1042" s="240"/>
      <c r="BK1042" s="240"/>
      <c r="BL1042" s="240"/>
      <c r="BM1042" s="240"/>
      <c r="BN1042" s="240"/>
      <c r="BO1042" s="240"/>
      <c r="BP1042" s="240"/>
      <c r="BQ1042" s="240"/>
      <c r="BR1042" s="240"/>
      <c r="BS1042" s="240"/>
      <c r="BT1042" s="240"/>
      <c r="BU1042" s="672"/>
      <c r="BV1042" s="672"/>
      <c r="BW1042" s="672"/>
      <c r="BX1042" s="672"/>
      <c r="BY1042" s="672"/>
      <c r="BZ1042" s="672"/>
      <c r="CA1042" s="672"/>
      <c r="CB1042" s="672"/>
      <c r="CC1042" s="672"/>
      <c r="CD1042" s="672"/>
      <c r="CE1042" s="240"/>
      <c r="CF1042" s="240"/>
      <c r="CG1042" s="240"/>
      <c r="CH1042" s="240"/>
      <c r="CI1042" s="240"/>
      <c r="CJ1042" s="728"/>
      <c r="CK1042" s="728"/>
      <c r="CL1042" s="195"/>
      <c r="CM1042" s="195"/>
      <c r="CN1042" s="195"/>
      <c r="CO1042" s="195"/>
      <c r="CP1042" s="195"/>
      <c r="CQ1042" s="195"/>
      <c r="CR1042" s="195"/>
      <c r="CS1042" s="195"/>
      <c r="CT1042" s="195"/>
      <c r="CU1042" s="195"/>
      <c r="CV1042" s="195"/>
      <c r="CW1042" s="195"/>
      <c r="CX1042" s="195"/>
      <c r="CY1042" s="195"/>
      <c r="CZ1042" s="195"/>
      <c r="DA1042" s="195"/>
      <c r="DB1042" s="195"/>
      <c r="DC1042" s="195"/>
      <c r="DD1042" s="195"/>
      <c r="DO1042" s="195"/>
      <c r="DP1042" s="195"/>
      <c r="DQ1042" s="195"/>
      <c r="DR1042" s="195"/>
      <c r="DS1042" s="195"/>
      <c r="DT1042" s="195"/>
      <c r="DU1042" s="195"/>
      <c r="DV1042" s="195"/>
      <c r="DW1042" s="195"/>
      <c r="DX1042" s="195"/>
      <c r="DY1042" s="195"/>
      <c r="DZ1042" s="195"/>
      <c r="EA1042" s="195"/>
      <c r="EB1042" s="195"/>
      <c r="EC1042" s="195"/>
      <c r="ED1042" s="195"/>
      <c r="EE1042" s="195"/>
      <c r="EK1042" s="195"/>
      <c r="EL1042" s="240"/>
      <c r="EM1042" s="240"/>
      <c r="EN1042" s="195"/>
      <c r="EO1042" s="240"/>
      <c r="EP1042" s="195"/>
      <c r="EQ1042" s="195"/>
      <c r="ER1042" s="195"/>
      <c r="ES1042" s="736"/>
    </row>
    <row r="1043" customFormat="false" ht="12.75" hidden="false" customHeight="false" outlineLevel="0" collapsed="false">
      <c r="I1043" s="735"/>
      <c r="J1043" s="728"/>
      <c r="K1043" s="195"/>
      <c r="L1043" s="195"/>
      <c r="Q1043" s="195"/>
      <c r="R1043" s="195"/>
      <c r="S1043" s="240"/>
      <c r="T1043" s="195"/>
      <c r="U1043" s="195"/>
      <c r="V1043" s="195"/>
      <c r="W1043" s="195"/>
      <c r="X1043" s="195"/>
      <c r="Y1043" s="195"/>
      <c r="Z1043" s="195"/>
      <c r="AA1043" s="195"/>
      <c r="AB1043" s="195"/>
      <c r="AC1043" s="195"/>
      <c r="AD1043" s="195"/>
      <c r="AE1043" s="195"/>
      <c r="AF1043" s="195"/>
      <c r="AG1043" s="195"/>
      <c r="AH1043" s="195"/>
      <c r="AI1043" s="195"/>
      <c r="AJ1043" s="195"/>
      <c r="AK1043" s="195"/>
      <c r="AL1043" s="195"/>
      <c r="AM1043" s="1"/>
      <c r="AN1043" s="240"/>
      <c r="AO1043" s="240"/>
      <c r="AP1043" s="240"/>
      <c r="AQ1043" s="730"/>
      <c r="AR1043" s="730"/>
      <c r="AS1043" s="730"/>
      <c r="AT1043" s="738"/>
      <c r="AU1043" s="738"/>
      <c r="AV1043" s="240"/>
      <c r="AW1043" s="240"/>
      <c r="AX1043" s="240"/>
      <c r="AY1043" s="240"/>
      <c r="AZ1043" s="240"/>
      <c r="BA1043" s="240"/>
      <c r="BB1043" s="672"/>
      <c r="BC1043" s="731"/>
      <c r="BD1043" s="731"/>
      <c r="BE1043" s="731"/>
      <c r="BF1043" s="672"/>
      <c r="BG1043" s="732"/>
      <c r="BH1043" s="240"/>
      <c r="BI1043" s="240"/>
      <c r="BJ1043" s="240"/>
      <c r="BK1043" s="240"/>
      <c r="BL1043" s="240"/>
      <c r="BM1043" s="240"/>
      <c r="BN1043" s="240"/>
      <c r="BO1043" s="240"/>
      <c r="BP1043" s="240"/>
      <c r="BQ1043" s="240"/>
      <c r="BR1043" s="240"/>
      <c r="BS1043" s="240"/>
      <c r="BT1043" s="240"/>
      <c r="BU1043" s="672"/>
      <c r="BV1043" s="672"/>
      <c r="BW1043" s="672"/>
      <c r="BX1043" s="672"/>
      <c r="BY1043" s="672"/>
      <c r="BZ1043" s="672"/>
      <c r="CA1043" s="672"/>
      <c r="CB1043" s="672"/>
      <c r="CC1043" s="672"/>
      <c r="CD1043" s="672"/>
      <c r="CE1043" s="240"/>
      <c r="CF1043" s="240"/>
      <c r="CG1043" s="240"/>
      <c r="CH1043" s="240"/>
      <c r="CI1043" s="240"/>
      <c r="CJ1043" s="728"/>
      <c r="CK1043" s="728"/>
      <c r="CL1043" s="195"/>
      <c r="CM1043" s="195"/>
      <c r="CN1043" s="195"/>
      <c r="CO1043" s="195"/>
      <c r="CP1043" s="195"/>
      <c r="CQ1043" s="195"/>
      <c r="CR1043" s="195"/>
      <c r="CS1043" s="195"/>
      <c r="CT1043" s="195"/>
      <c r="CU1043" s="195"/>
      <c r="CV1043" s="195"/>
      <c r="CW1043" s="195"/>
      <c r="CX1043" s="195"/>
      <c r="CY1043" s="195"/>
      <c r="CZ1043" s="195"/>
      <c r="DA1043" s="195"/>
      <c r="DB1043" s="195"/>
      <c r="DC1043" s="195"/>
      <c r="DD1043" s="195"/>
      <c r="DO1043" s="195"/>
      <c r="DP1043" s="195"/>
      <c r="DQ1043" s="195"/>
      <c r="DR1043" s="195"/>
      <c r="DS1043" s="195"/>
      <c r="DT1043" s="195"/>
      <c r="DU1043" s="195"/>
      <c r="DV1043" s="195"/>
      <c r="DW1043" s="195"/>
      <c r="DX1043" s="195"/>
      <c r="DY1043" s="195"/>
      <c r="DZ1043" s="195"/>
      <c r="EA1043" s="195"/>
      <c r="EB1043" s="195"/>
      <c r="EC1043" s="195"/>
      <c r="ED1043" s="195"/>
      <c r="EE1043" s="195"/>
      <c r="EK1043" s="195"/>
      <c r="EL1043" s="240"/>
      <c r="EM1043" s="240"/>
      <c r="EN1043" s="195"/>
      <c r="EO1043" s="240"/>
      <c r="EP1043" s="195"/>
      <c r="EQ1043" s="195"/>
      <c r="ER1043" s="195"/>
      <c r="ES1043" s="736"/>
    </row>
    <row r="1044" customFormat="false" ht="12.75" hidden="false" customHeight="false" outlineLevel="0" collapsed="false">
      <c r="I1044" s="735"/>
      <c r="J1044" s="728"/>
      <c r="K1044" s="195"/>
      <c r="L1044" s="195"/>
      <c r="Q1044" s="195"/>
      <c r="R1044" s="195"/>
      <c r="S1044" s="240"/>
      <c r="T1044" s="195"/>
      <c r="U1044" s="195"/>
      <c r="V1044" s="195"/>
      <c r="W1044" s="195"/>
      <c r="X1044" s="195"/>
      <c r="Y1044" s="195"/>
      <c r="Z1044" s="195"/>
      <c r="AA1044" s="195"/>
      <c r="AB1044" s="195"/>
      <c r="AC1044" s="195"/>
      <c r="AD1044" s="195"/>
      <c r="AE1044" s="195"/>
      <c r="AF1044" s="195"/>
      <c r="AG1044" s="195"/>
      <c r="AH1044" s="195"/>
      <c r="AI1044" s="195"/>
      <c r="AJ1044" s="195"/>
      <c r="AK1044" s="195"/>
      <c r="AL1044" s="195"/>
      <c r="AM1044" s="1"/>
      <c r="AN1044" s="240"/>
      <c r="AO1044" s="240"/>
      <c r="AP1044" s="240"/>
      <c r="AQ1044" s="730"/>
      <c r="AR1044" s="730"/>
      <c r="AS1044" s="730"/>
      <c r="AT1044" s="738"/>
      <c r="AU1044" s="738"/>
      <c r="AV1044" s="240"/>
      <c r="AW1044" s="240"/>
      <c r="AX1044" s="240"/>
      <c r="AY1044" s="240"/>
      <c r="AZ1044" s="240"/>
      <c r="BA1044" s="240"/>
      <c r="BB1044" s="672"/>
      <c r="BC1044" s="731"/>
      <c r="BD1044" s="731"/>
      <c r="BE1044" s="731"/>
      <c r="BF1044" s="672"/>
      <c r="BG1044" s="732"/>
      <c r="BH1044" s="240"/>
      <c r="BI1044" s="240"/>
      <c r="BJ1044" s="240"/>
      <c r="BK1044" s="240"/>
      <c r="BL1044" s="240"/>
      <c r="BM1044" s="240"/>
      <c r="BN1044" s="240"/>
      <c r="BO1044" s="240"/>
      <c r="BP1044" s="240"/>
      <c r="BQ1044" s="240"/>
      <c r="BR1044" s="240"/>
      <c r="BS1044" s="240"/>
      <c r="BT1044" s="240"/>
      <c r="BU1044" s="672"/>
      <c r="BV1044" s="672"/>
      <c r="BW1044" s="672"/>
      <c r="BX1044" s="672"/>
      <c r="BY1044" s="672"/>
      <c r="BZ1044" s="672"/>
      <c r="CA1044" s="672"/>
      <c r="CB1044" s="672"/>
      <c r="CC1044" s="672"/>
      <c r="CD1044" s="672"/>
      <c r="CE1044" s="240"/>
      <c r="CF1044" s="240"/>
      <c r="CG1044" s="240"/>
      <c r="CH1044" s="240"/>
      <c r="CI1044" s="240"/>
      <c r="CJ1044" s="728"/>
      <c r="CK1044" s="728"/>
      <c r="CL1044" s="195"/>
      <c r="CM1044" s="195"/>
      <c r="CN1044" s="195"/>
      <c r="CO1044" s="195"/>
      <c r="CP1044" s="195"/>
      <c r="CQ1044" s="195"/>
      <c r="CR1044" s="195"/>
      <c r="CS1044" s="195"/>
      <c r="CT1044" s="195"/>
      <c r="CU1044" s="195"/>
      <c r="CV1044" s="195"/>
      <c r="CW1044" s="195"/>
      <c r="CX1044" s="195"/>
      <c r="CY1044" s="195"/>
      <c r="CZ1044" s="195"/>
      <c r="DA1044" s="195"/>
      <c r="DB1044" s="195"/>
      <c r="DC1044" s="195"/>
      <c r="DD1044" s="195"/>
      <c r="DO1044" s="195"/>
      <c r="DP1044" s="195"/>
      <c r="DQ1044" s="195"/>
      <c r="DR1044" s="195"/>
      <c r="DS1044" s="195"/>
      <c r="DT1044" s="195"/>
      <c r="DU1044" s="195"/>
      <c r="DV1044" s="195"/>
      <c r="DW1044" s="195"/>
      <c r="DX1044" s="195"/>
      <c r="DY1044" s="195"/>
      <c r="DZ1044" s="195"/>
      <c r="EA1044" s="195"/>
      <c r="EB1044" s="195"/>
      <c r="EC1044" s="195"/>
      <c r="ED1044" s="195"/>
      <c r="EE1044" s="195"/>
      <c r="EK1044" s="195"/>
      <c r="EL1044" s="240"/>
      <c r="EM1044" s="240"/>
      <c r="EN1044" s="195"/>
      <c r="EO1044" s="240"/>
      <c r="EP1044" s="195"/>
      <c r="EQ1044" s="195"/>
      <c r="ER1044" s="195"/>
      <c r="ES1044" s="736"/>
    </row>
    <row r="1045" customFormat="false" ht="12.75" hidden="false" customHeight="false" outlineLevel="0" collapsed="false">
      <c r="I1045" s="735"/>
      <c r="J1045" s="728"/>
      <c r="K1045" s="195"/>
      <c r="L1045" s="195"/>
      <c r="Q1045" s="195"/>
      <c r="R1045" s="195"/>
      <c r="S1045" s="240"/>
      <c r="T1045" s="195"/>
      <c r="U1045" s="195"/>
      <c r="V1045" s="195"/>
      <c r="W1045" s="195"/>
      <c r="X1045" s="195"/>
      <c r="Y1045" s="195"/>
      <c r="Z1045" s="195"/>
      <c r="AA1045" s="195"/>
      <c r="AB1045" s="195"/>
      <c r="AC1045" s="195"/>
      <c r="AD1045" s="195"/>
      <c r="AE1045" s="195"/>
      <c r="AF1045" s="195"/>
      <c r="AG1045" s="195"/>
      <c r="AH1045" s="195"/>
      <c r="AI1045" s="195"/>
      <c r="AJ1045" s="195"/>
      <c r="AK1045" s="195"/>
      <c r="AL1045" s="195"/>
      <c r="AM1045" s="1"/>
      <c r="AN1045" s="240"/>
      <c r="AO1045" s="240"/>
      <c r="AP1045" s="240"/>
      <c r="AQ1045" s="730"/>
      <c r="AR1045" s="730"/>
      <c r="AS1045" s="730"/>
      <c r="AT1045" s="738"/>
      <c r="AU1045" s="738"/>
      <c r="AV1045" s="240"/>
      <c r="AW1045" s="240"/>
      <c r="AX1045" s="240"/>
      <c r="AY1045" s="240"/>
      <c r="AZ1045" s="240"/>
      <c r="BA1045" s="240"/>
      <c r="BB1045" s="672"/>
      <c r="BC1045" s="731"/>
      <c r="BD1045" s="731"/>
      <c r="BE1045" s="731"/>
      <c r="BF1045" s="672"/>
      <c r="BG1045" s="732"/>
      <c r="BH1045" s="240"/>
      <c r="BI1045" s="240"/>
      <c r="BJ1045" s="240"/>
      <c r="BK1045" s="240"/>
      <c r="BL1045" s="240"/>
      <c r="BM1045" s="240"/>
      <c r="BN1045" s="240"/>
      <c r="BO1045" s="240"/>
      <c r="BP1045" s="240"/>
      <c r="BQ1045" s="240"/>
      <c r="BR1045" s="240"/>
      <c r="BS1045" s="240"/>
      <c r="BT1045" s="240"/>
      <c r="BU1045" s="672"/>
      <c r="BV1045" s="672"/>
      <c r="BW1045" s="672"/>
      <c r="BX1045" s="672"/>
      <c r="BY1045" s="672"/>
      <c r="BZ1045" s="672"/>
      <c r="CA1045" s="672"/>
      <c r="CB1045" s="672"/>
      <c r="CC1045" s="672"/>
      <c r="CD1045" s="672"/>
      <c r="CE1045" s="240"/>
      <c r="CF1045" s="240"/>
      <c r="CG1045" s="240"/>
      <c r="CH1045" s="240"/>
      <c r="CI1045" s="240"/>
      <c r="CJ1045" s="728"/>
      <c r="CK1045" s="728"/>
      <c r="CL1045" s="195"/>
      <c r="CM1045" s="195"/>
      <c r="CN1045" s="195"/>
      <c r="CO1045" s="195"/>
      <c r="CP1045" s="195"/>
      <c r="CQ1045" s="195"/>
      <c r="CR1045" s="195"/>
      <c r="CS1045" s="195"/>
      <c r="CT1045" s="195"/>
      <c r="CU1045" s="195"/>
      <c r="CV1045" s="195"/>
      <c r="CW1045" s="195"/>
      <c r="CX1045" s="195"/>
      <c r="CY1045" s="195"/>
      <c r="CZ1045" s="195"/>
      <c r="DA1045" s="195"/>
      <c r="DB1045" s="195"/>
      <c r="DC1045" s="195"/>
      <c r="DD1045" s="195"/>
      <c r="DO1045" s="195"/>
      <c r="DP1045" s="195"/>
      <c r="DQ1045" s="195"/>
      <c r="DR1045" s="195"/>
      <c r="DS1045" s="195"/>
      <c r="DT1045" s="195"/>
      <c r="DU1045" s="195"/>
      <c r="DV1045" s="195"/>
      <c r="DW1045" s="195"/>
      <c r="DX1045" s="195"/>
      <c r="DY1045" s="195"/>
      <c r="DZ1045" s="195"/>
      <c r="EA1045" s="195"/>
      <c r="EB1045" s="195"/>
      <c r="EC1045" s="195"/>
      <c r="ED1045" s="195"/>
      <c r="EE1045" s="195"/>
      <c r="EK1045" s="195"/>
      <c r="EL1045" s="240"/>
      <c r="EM1045" s="240"/>
      <c r="EN1045" s="195"/>
      <c r="EO1045" s="240"/>
      <c r="EP1045" s="195"/>
      <c r="EQ1045" s="195"/>
      <c r="ER1045" s="195"/>
      <c r="ES1045" s="736"/>
    </row>
    <row r="1046" customFormat="false" ht="12.75" hidden="false" customHeight="false" outlineLevel="0" collapsed="false">
      <c r="I1046" s="735"/>
      <c r="J1046" s="728"/>
      <c r="K1046" s="195"/>
      <c r="L1046" s="195"/>
      <c r="Q1046" s="195"/>
      <c r="R1046" s="195"/>
      <c r="S1046" s="240"/>
      <c r="T1046" s="195"/>
      <c r="U1046" s="195"/>
      <c r="V1046" s="195"/>
      <c r="W1046" s="195"/>
      <c r="X1046" s="195"/>
      <c r="Y1046" s="195"/>
      <c r="Z1046" s="195"/>
      <c r="AA1046" s="195"/>
      <c r="AB1046" s="195"/>
      <c r="AC1046" s="195"/>
      <c r="AD1046" s="195"/>
      <c r="AE1046" s="195"/>
      <c r="AF1046" s="195"/>
      <c r="AG1046" s="195"/>
      <c r="AH1046" s="195"/>
      <c r="AI1046" s="195"/>
      <c r="AJ1046" s="195"/>
      <c r="AK1046" s="195"/>
      <c r="AL1046" s="195"/>
      <c r="AM1046" s="1"/>
      <c r="AN1046" s="240"/>
      <c r="AO1046" s="240"/>
      <c r="AP1046" s="240"/>
      <c r="AQ1046" s="730"/>
      <c r="AR1046" s="730"/>
      <c r="AS1046" s="730"/>
      <c r="AT1046" s="738"/>
      <c r="AU1046" s="738"/>
      <c r="AV1046" s="240"/>
      <c r="AW1046" s="240"/>
      <c r="AX1046" s="240"/>
      <c r="AY1046" s="240"/>
      <c r="AZ1046" s="240"/>
      <c r="BA1046" s="240"/>
      <c r="BB1046" s="672"/>
      <c r="BC1046" s="731"/>
      <c r="BD1046" s="731"/>
      <c r="BE1046" s="731"/>
      <c r="BF1046" s="672"/>
      <c r="BG1046" s="732"/>
      <c r="BH1046" s="240"/>
      <c r="BI1046" s="240"/>
      <c r="BJ1046" s="240"/>
      <c r="BK1046" s="240"/>
      <c r="BL1046" s="240"/>
      <c r="BM1046" s="240"/>
      <c r="BN1046" s="240"/>
      <c r="BO1046" s="240"/>
      <c r="BP1046" s="240"/>
      <c r="BQ1046" s="240"/>
      <c r="BR1046" s="240"/>
      <c r="BS1046" s="240"/>
      <c r="BT1046" s="240"/>
      <c r="BU1046" s="672"/>
      <c r="BV1046" s="672"/>
      <c r="BW1046" s="672"/>
      <c r="BX1046" s="672"/>
      <c r="BY1046" s="672"/>
      <c r="BZ1046" s="672"/>
      <c r="CA1046" s="672"/>
      <c r="CB1046" s="672"/>
      <c r="CC1046" s="672"/>
      <c r="CD1046" s="672"/>
      <c r="CE1046" s="240"/>
      <c r="CF1046" s="240"/>
      <c r="CG1046" s="240"/>
      <c r="CH1046" s="240"/>
      <c r="CI1046" s="240"/>
      <c r="CJ1046" s="728"/>
      <c r="CK1046" s="728"/>
      <c r="CL1046" s="195"/>
      <c r="CM1046" s="195"/>
      <c r="CN1046" s="195"/>
      <c r="CO1046" s="195"/>
      <c r="CP1046" s="195"/>
      <c r="CQ1046" s="195"/>
      <c r="CR1046" s="195"/>
      <c r="CS1046" s="195"/>
      <c r="CT1046" s="195"/>
      <c r="CU1046" s="195"/>
      <c r="CV1046" s="195"/>
      <c r="CW1046" s="195"/>
      <c r="CX1046" s="195"/>
      <c r="CY1046" s="195"/>
      <c r="CZ1046" s="195"/>
      <c r="DA1046" s="195"/>
      <c r="DB1046" s="195"/>
      <c r="DC1046" s="195"/>
      <c r="DD1046" s="195"/>
      <c r="DO1046" s="195"/>
      <c r="DP1046" s="195"/>
      <c r="DQ1046" s="195"/>
      <c r="DR1046" s="195"/>
      <c r="DS1046" s="195"/>
      <c r="DT1046" s="195"/>
      <c r="DU1046" s="195"/>
      <c r="DV1046" s="195"/>
      <c r="DW1046" s="195"/>
      <c r="DX1046" s="195"/>
      <c r="DY1046" s="195"/>
      <c r="DZ1046" s="195"/>
      <c r="EA1046" s="195"/>
      <c r="EB1046" s="195"/>
      <c r="EC1046" s="195"/>
      <c r="ED1046" s="195"/>
      <c r="EE1046" s="195"/>
      <c r="EK1046" s="195"/>
      <c r="EL1046" s="240"/>
      <c r="EM1046" s="240"/>
      <c r="EN1046" s="195"/>
      <c r="EO1046" s="240"/>
      <c r="EP1046" s="195"/>
      <c r="EQ1046" s="195"/>
      <c r="ER1046" s="195"/>
      <c r="ES1046" s="736"/>
    </row>
    <row r="1047" customFormat="false" ht="12.75" hidden="false" customHeight="false" outlineLevel="0" collapsed="false">
      <c r="I1047" s="735"/>
      <c r="J1047" s="728"/>
      <c r="K1047" s="195"/>
      <c r="L1047" s="195"/>
      <c r="Q1047" s="195"/>
      <c r="R1047" s="195"/>
      <c r="S1047" s="240"/>
      <c r="T1047" s="195"/>
      <c r="U1047" s="195"/>
      <c r="V1047" s="195"/>
      <c r="W1047" s="195"/>
      <c r="X1047" s="195"/>
      <c r="Y1047" s="195"/>
      <c r="Z1047" s="195"/>
      <c r="AA1047" s="195"/>
      <c r="AB1047" s="195"/>
      <c r="AC1047" s="195"/>
      <c r="AD1047" s="195"/>
      <c r="AE1047" s="195"/>
      <c r="AF1047" s="195"/>
      <c r="AG1047" s="195"/>
      <c r="AH1047" s="195"/>
      <c r="AI1047" s="195"/>
      <c r="AJ1047" s="195"/>
      <c r="AK1047" s="195"/>
      <c r="AL1047" s="195"/>
      <c r="AM1047" s="1"/>
      <c r="AN1047" s="240"/>
      <c r="AO1047" s="240"/>
      <c r="AP1047" s="240"/>
      <c r="AQ1047" s="730"/>
      <c r="AR1047" s="730"/>
      <c r="AS1047" s="730"/>
      <c r="AT1047" s="738"/>
      <c r="AU1047" s="738"/>
      <c r="AV1047" s="240"/>
      <c r="AW1047" s="240"/>
      <c r="AX1047" s="240"/>
      <c r="AY1047" s="240"/>
      <c r="AZ1047" s="240"/>
      <c r="BA1047" s="240"/>
      <c r="BB1047" s="672"/>
      <c r="BC1047" s="731"/>
      <c r="BD1047" s="731"/>
      <c r="BE1047" s="731"/>
      <c r="BF1047" s="672"/>
      <c r="BG1047" s="732"/>
      <c r="BH1047" s="240"/>
      <c r="BI1047" s="240"/>
      <c r="BJ1047" s="240"/>
      <c r="BK1047" s="240"/>
      <c r="BL1047" s="240"/>
      <c r="BM1047" s="240"/>
      <c r="BN1047" s="240"/>
      <c r="BO1047" s="240"/>
      <c r="BP1047" s="240"/>
      <c r="BQ1047" s="240"/>
      <c r="BR1047" s="240"/>
      <c r="BS1047" s="240"/>
      <c r="BT1047" s="240"/>
      <c r="BU1047" s="672"/>
      <c r="BV1047" s="672"/>
      <c r="BW1047" s="672"/>
      <c r="BX1047" s="672"/>
      <c r="BY1047" s="672"/>
      <c r="BZ1047" s="672"/>
      <c r="CA1047" s="672"/>
      <c r="CB1047" s="672"/>
      <c r="CC1047" s="672"/>
      <c r="CD1047" s="672"/>
      <c r="CE1047" s="240"/>
      <c r="CF1047" s="240"/>
      <c r="CG1047" s="240"/>
      <c r="CH1047" s="240"/>
      <c r="CI1047" s="240"/>
      <c r="CJ1047" s="728"/>
      <c r="CK1047" s="728"/>
      <c r="CL1047" s="195"/>
      <c r="CM1047" s="195"/>
      <c r="CN1047" s="195"/>
      <c r="CO1047" s="195"/>
      <c r="CP1047" s="195"/>
      <c r="CQ1047" s="195"/>
      <c r="CR1047" s="195"/>
      <c r="CS1047" s="195"/>
      <c r="CT1047" s="195"/>
      <c r="CU1047" s="195"/>
      <c r="CV1047" s="195"/>
      <c r="CW1047" s="195"/>
      <c r="CX1047" s="195"/>
      <c r="CY1047" s="195"/>
      <c r="CZ1047" s="195"/>
      <c r="DA1047" s="195"/>
      <c r="DB1047" s="195"/>
      <c r="DC1047" s="195"/>
      <c r="DD1047" s="195"/>
      <c r="DO1047" s="195"/>
      <c r="DP1047" s="195"/>
      <c r="DQ1047" s="195"/>
      <c r="DR1047" s="195"/>
      <c r="DS1047" s="195"/>
      <c r="DT1047" s="195"/>
      <c r="DU1047" s="195"/>
      <c r="DV1047" s="195"/>
      <c r="DW1047" s="195"/>
      <c r="DX1047" s="195"/>
      <c r="DY1047" s="195"/>
      <c r="DZ1047" s="195"/>
      <c r="EA1047" s="195"/>
      <c r="EB1047" s="195"/>
      <c r="EC1047" s="195"/>
      <c r="ED1047" s="195"/>
      <c r="EE1047" s="195"/>
      <c r="EK1047" s="195"/>
      <c r="EL1047" s="240"/>
      <c r="EM1047" s="240"/>
      <c r="EN1047" s="195"/>
      <c r="EO1047" s="240"/>
      <c r="EP1047" s="195"/>
      <c r="EQ1047" s="195"/>
      <c r="ER1047" s="195"/>
      <c r="ES1047" s="736"/>
    </row>
    <row r="1048" customFormat="false" ht="12.75" hidden="false" customHeight="false" outlineLevel="0" collapsed="false">
      <c r="I1048" s="735"/>
      <c r="J1048" s="728"/>
      <c r="K1048" s="195"/>
      <c r="L1048" s="195"/>
      <c r="Q1048" s="195"/>
      <c r="R1048" s="195"/>
      <c r="S1048" s="240"/>
      <c r="T1048" s="195"/>
      <c r="U1048" s="195"/>
      <c r="V1048" s="195"/>
      <c r="W1048" s="195"/>
      <c r="X1048" s="195"/>
      <c r="Y1048" s="195"/>
      <c r="Z1048" s="195"/>
      <c r="AA1048" s="195"/>
      <c r="AB1048" s="195"/>
      <c r="AC1048" s="195"/>
      <c r="AD1048" s="195"/>
      <c r="AE1048" s="195"/>
      <c r="AF1048" s="195"/>
      <c r="AG1048" s="195"/>
      <c r="AH1048" s="195"/>
      <c r="AI1048" s="195"/>
      <c r="AJ1048" s="195"/>
      <c r="AK1048" s="195"/>
      <c r="AL1048" s="195"/>
      <c r="AM1048" s="1"/>
      <c r="AN1048" s="240"/>
      <c r="AO1048" s="240"/>
      <c r="AP1048" s="240"/>
      <c r="AQ1048" s="730"/>
      <c r="AR1048" s="730"/>
      <c r="AS1048" s="730"/>
      <c r="AT1048" s="738"/>
      <c r="AU1048" s="738"/>
      <c r="AV1048" s="240"/>
      <c r="AW1048" s="240"/>
      <c r="AX1048" s="240"/>
      <c r="AY1048" s="240"/>
      <c r="AZ1048" s="240"/>
      <c r="BA1048" s="240"/>
      <c r="BB1048" s="672"/>
      <c r="BC1048" s="731"/>
      <c r="BD1048" s="731"/>
      <c r="BE1048" s="731"/>
      <c r="BF1048" s="672"/>
      <c r="BG1048" s="732"/>
      <c r="BH1048" s="240"/>
      <c r="BI1048" s="240"/>
      <c r="BJ1048" s="240"/>
      <c r="BK1048" s="240"/>
      <c r="BL1048" s="240"/>
      <c r="BM1048" s="240"/>
      <c r="BN1048" s="240"/>
      <c r="BO1048" s="240"/>
      <c r="BP1048" s="240"/>
      <c r="BQ1048" s="240"/>
      <c r="BR1048" s="240"/>
      <c r="BS1048" s="240"/>
      <c r="BT1048" s="240"/>
      <c r="BU1048" s="672"/>
      <c r="BV1048" s="672"/>
      <c r="BW1048" s="672"/>
      <c r="BX1048" s="672"/>
      <c r="BY1048" s="672"/>
      <c r="BZ1048" s="672"/>
      <c r="CA1048" s="672"/>
      <c r="CB1048" s="672"/>
      <c r="CC1048" s="672"/>
      <c r="CD1048" s="672"/>
      <c r="CE1048" s="240"/>
      <c r="CF1048" s="240"/>
      <c r="CG1048" s="240"/>
      <c r="CH1048" s="240"/>
      <c r="CI1048" s="240"/>
      <c r="CJ1048" s="728"/>
      <c r="CK1048" s="728"/>
      <c r="CL1048" s="195"/>
      <c r="CM1048" s="195"/>
      <c r="CN1048" s="195"/>
      <c r="CO1048" s="195"/>
      <c r="CP1048" s="195"/>
      <c r="CQ1048" s="195"/>
      <c r="CR1048" s="195"/>
      <c r="CS1048" s="195"/>
      <c r="CT1048" s="195"/>
      <c r="CU1048" s="195"/>
      <c r="CV1048" s="195"/>
      <c r="CW1048" s="195"/>
      <c r="CX1048" s="195"/>
      <c r="CY1048" s="195"/>
      <c r="CZ1048" s="195"/>
      <c r="DA1048" s="195"/>
      <c r="DB1048" s="195"/>
      <c r="DC1048" s="195"/>
      <c r="DD1048" s="195"/>
      <c r="DO1048" s="195"/>
      <c r="DP1048" s="195"/>
      <c r="DQ1048" s="195"/>
      <c r="DR1048" s="195"/>
      <c r="DS1048" s="195"/>
      <c r="DT1048" s="195"/>
      <c r="DU1048" s="195"/>
      <c r="DV1048" s="195"/>
      <c r="DW1048" s="195"/>
      <c r="DX1048" s="195"/>
      <c r="DY1048" s="195"/>
      <c r="DZ1048" s="195"/>
      <c r="EA1048" s="195"/>
      <c r="EB1048" s="195"/>
      <c r="EC1048" s="195"/>
      <c r="ED1048" s="195"/>
      <c r="EE1048" s="195"/>
      <c r="EK1048" s="195"/>
      <c r="EL1048" s="240"/>
      <c r="EM1048" s="240"/>
      <c r="EN1048" s="195"/>
      <c r="EO1048" s="240"/>
      <c r="EP1048" s="195"/>
      <c r="EQ1048" s="195"/>
      <c r="ER1048" s="195"/>
      <c r="ES1048" s="736"/>
    </row>
    <row r="1049" customFormat="false" ht="12.75" hidden="false" customHeight="false" outlineLevel="0" collapsed="false">
      <c r="I1049" s="735"/>
      <c r="J1049" s="728"/>
      <c r="K1049" s="195"/>
      <c r="L1049" s="195"/>
      <c r="Q1049" s="195"/>
      <c r="R1049" s="195"/>
      <c r="S1049" s="240"/>
      <c r="T1049" s="195"/>
      <c r="U1049" s="195"/>
      <c r="V1049" s="195"/>
      <c r="W1049" s="195"/>
      <c r="X1049" s="195"/>
      <c r="Y1049" s="195"/>
      <c r="Z1049" s="195"/>
      <c r="AA1049" s="195"/>
      <c r="AB1049" s="195"/>
      <c r="AC1049" s="195"/>
      <c r="AD1049" s="195"/>
      <c r="AE1049" s="195"/>
      <c r="AF1049" s="195"/>
      <c r="AG1049" s="195"/>
      <c r="AH1049" s="195"/>
      <c r="AI1049" s="195"/>
      <c r="AJ1049" s="195"/>
      <c r="AK1049" s="195"/>
      <c r="AL1049" s="195"/>
      <c r="AM1049" s="1"/>
      <c r="AN1049" s="240"/>
      <c r="AO1049" s="240"/>
      <c r="AP1049" s="240"/>
      <c r="AQ1049" s="730"/>
      <c r="AR1049" s="730"/>
      <c r="AS1049" s="730"/>
      <c r="AT1049" s="738"/>
      <c r="AU1049" s="738"/>
      <c r="AV1049" s="240"/>
      <c r="AW1049" s="240"/>
      <c r="AX1049" s="240"/>
      <c r="AY1049" s="240"/>
      <c r="AZ1049" s="240"/>
      <c r="BA1049" s="240"/>
      <c r="BB1049" s="672"/>
      <c r="BC1049" s="731"/>
      <c r="BD1049" s="731"/>
      <c r="BE1049" s="731"/>
      <c r="BF1049" s="672"/>
      <c r="BG1049" s="732"/>
      <c r="BH1049" s="240"/>
      <c r="BI1049" s="240"/>
      <c r="BJ1049" s="240"/>
      <c r="BK1049" s="240"/>
      <c r="BL1049" s="240"/>
      <c r="BM1049" s="240"/>
      <c r="BN1049" s="240"/>
      <c r="BO1049" s="240"/>
      <c r="BP1049" s="240"/>
      <c r="BQ1049" s="240"/>
      <c r="BR1049" s="240"/>
      <c r="BS1049" s="240"/>
      <c r="BT1049" s="240"/>
      <c r="BU1049" s="672"/>
      <c r="BV1049" s="672"/>
      <c r="BW1049" s="672"/>
      <c r="BX1049" s="672"/>
      <c r="BY1049" s="672"/>
      <c r="BZ1049" s="672"/>
      <c r="CA1049" s="672"/>
      <c r="CB1049" s="672"/>
      <c r="CC1049" s="672"/>
      <c r="CD1049" s="672"/>
      <c r="CE1049" s="240"/>
      <c r="CF1049" s="240"/>
      <c r="CG1049" s="240"/>
      <c r="CH1049" s="240"/>
      <c r="CI1049" s="240"/>
      <c r="CJ1049" s="728"/>
      <c r="CK1049" s="728"/>
      <c r="CL1049" s="195"/>
      <c r="CM1049" s="195"/>
      <c r="CN1049" s="195"/>
      <c r="CO1049" s="195"/>
      <c r="CP1049" s="195"/>
      <c r="CQ1049" s="195"/>
      <c r="CR1049" s="195"/>
      <c r="CS1049" s="195"/>
      <c r="CT1049" s="195"/>
      <c r="CU1049" s="195"/>
      <c r="CV1049" s="195"/>
      <c r="CW1049" s="195"/>
      <c r="CX1049" s="195"/>
      <c r="CY1049" s="195"/>
      <c r="CZ1049" s="195"/>
      <c r="DA1049" s="195"/>
      <c r="DB1049" s="195"/>
      <c r="DC1049" s="195"/>
      <c r="DD1049" s="195"/>
      <c r="DO1049" s="195"/>
      <c r="DP1049" s="195"/>
      <c r="DQ1049" s="195"/>
      <c r="DR1049" s="195"/>
      <c r="DS1049" s="195"/>
      <c r="DT1049" s="195"/>
      <c r="DU1049" s="195"/>
      <c r="DV1049" s="195"/>
      <c r="DW1049" s="195"/>
      <c r="DX1049" s="195"/>
      <c r="DY1049" s="195"/>
      <c r="DZ1049" s="195"/>
      <c r="EA1049" s="195"/>
      <c r="EB1049" s="195"/>
      <c r="EC1049" s="195"/>
      <c r="ED1049" s="195"/>
      <c r="EE1049" s="195"/>
      <c r="EK1049" s="195"/>
      <c r="EL1049" s="240"/>
      <c r="EM1049" s="240"/>
      <c r="EN1049" s="195"/>
      <c r="EO1049" s="240"/>
      <c r="EP1049" s="195"/>
      <c r="EQ1049" s="195"/>
      <c r="ER1049" s="195"/>
      <c r="ES1049" s="736"/>
    </row>
    <row r="1050" customFormat="false" ht="12.75" hidden="false" customHeight="false" outlineLevel="0" collapsed="false">
      <c r="I1050" s="735"/>
      <c r="J1050" s="728"/>
      <c r="K1050" s="195"/>
      <c r="L1050" s="195"/>
      <c r="Q1050" s="195"/>
      <c r="R1050" s="195"/>
      <c r="S1050" s="240"/>
      <c r="T1050" s="195"/>
      <c r="U1050" s="195"/>
      <c r="V1050" s="195"/>
      <c r="W1050" s="195"/>
      <c r="X1050" s="195"/>
      <c r="Y1050" s="195"/>
      <c r="Z1050" s="195"/>
      <c r="AA1050" s="195"/>
      <c r="AB1050" s="195"/>
      <c r="AC1050" s="195"/>
      <c r="AD1050" s="195"/>
      <c r="AE1050" s="195"/>
      <c r="AF1050" s="195"/>
      <c r="AG1050" s="195"/>
      <c r="AH1050" s="195"/>
      <c r="AI1050" s="195"/>
      <c r="AJ1050" s="195"/>
      <c r="AK1050" s="195"/>
      <c r="AL1050" s="195"/>
      <c r="AM1050" s="1"/>
      <c r="AN1050" s="240"/>
      <c r="AO1050" s="240"/>
      <c r="AP1050" s="240"/>
      <c r="AQ1050" s="730"/>
      <c r="AR1050" s="730"/>
      <c r="AS1050" s="730"/>
      <c r="AT1050" s="738"/>
      <c r="AU1050" s="738"/>
      <c r="AV1050" s="240"/>
      <c r="AW1050" s="240"/>
      <c r="AX1050" s="240"/>
      <c r="AY1050" s="240"/>
      <c r="AZ1050" s="240"/>
      <c r="BA1050" s="240"/>
      <c r="BB1050" s="672"/>
      <c r="BC1050" s="731"/>
      <c r="BD1050" s="731"/>
      <c r="BE1050" s="731"/>
      <c r="BF1050" s="672"/>
      <c r="BG1050" s="732"/>
      <c r="BH1050" s="240"/>
      <c r="BI1050" s="240"/>
      <c r="BJ1050" s="240"/>
      <c r="BK1050" s="240"/>
      <c r="BL1050" s="240"/>
      <c r="BM1050" s="240"/>
      <c r="BN1050" s="240"/>
      <c r="BO1050" s="240"/>
      <c r="BP1050" s="240"/>
      <c r="BQ1050" s="240"/>
      <c r="BR1050" s="240"/>
      <c r="BS1050" s="240"/>
      <c r="BT1050" s="240"/>
      <c r="BU1050" s="672"/>
      <c r="BV1050" s="672"/>
      <c r="BW1050" s="672"/>
      <c r="BX1050" s="672"/>
      <c r="BY1050" s="672"/>
      <c r="BZ1050" s="672"/>
      <c r="CA1050" s="672"/>
      <c r="CB1050" s="672"/>
      <c r="CC1050" s="672"/>
      <c r="CD1050" s="672"/>
      <c r="CE1050" s="240"/>
      <c r="CF1050" s="240"/>
      <c r="CG1050" s="240"/>
      <c r="CH1050" s="240"/>
      <c r="CI1050" s="240"/>
      <c r="CJ1050" s="728"/>
      <c r="CK1050" s="728"/>
      <c r="CL1050" s="195"/>
      <c r="CM1050" s="195"/>
      <c r="CN1050" s="195"/>
      <c r="CO1050" s="195"/>
      <c r="CP1050" s="195"/>
      <c r="CQ1050" s="195"/>
      <c r="CR1050" s="195"/>
      <c r="CS1050" s="195"/>
      <c r="CT1050" s="195"/>
      <c r="CU1050" s="195"/>
      <c r="CV1050" s="195"/>
      <c r="CW1050" s="195"/>
      <c r="CX1050" s="195"/>
      <c r="CY1050" s="195"/>
      <c r="CZ1050" s="195"/>
      <c r="DA1050" s="195"/>
      <c r="DB1050" s="195"/>
      <c r="DC1050" s="195"/>
      <c r="DD1050" s="195"/>
      <c r="DO1050" s="195"/>
      <c r="DP1050" s="195"/>
      <c r="DQ1050" s="195"/>
      <c r="DR1050" s="195"/>
      <c r="DS1050" s="195"/>
      <c r="DT1050" s="195"/>
      <c r="DU1050" s="195"/>
      <c r="DV1050" s="195"/>
      <c r="DW1050" s="195"/>
      <c r="DX1050" s="195"/>
      <c r="DY1050" s="195"/>
      <c r="DZ1050" s="195"/>
      <c r="EA1050" s="195"/>
      <c r="EB1050" s="195"/>
      <c r="EC1050" s="195"/>
      <c r="ED1050" s="195"/>
      <c r="EE1050" s="195"/>
      <c r="EK1050" s="195"/>
      <c r="EL1050" s="240"/>
      <c r="EM1050" s="240"/>
      <c r="EN1050" s="195"/>
      <c r="EO1050" s="240"/>
      <c r="EP1050" s="195"/>
      <c r="EQ1050" s="195"/>
      <c r="ER1050" s="195"/>
      <c r="ES1050" s="736"/>
    </row>
    <row r="1051" customFormat="false" ht="12.75" hidden="false" customHeight="false" outlineLevel="0" collapsed="false">
      <c r="I1051" s="735"/>
      <c r="J1051" s="728"/>
      <c r="K1051" s="195"/>
      <c r="L1051" s="195"/>
      <c r="Q1051" s="195"/>
      <c r="R1051" s="195"/>
      <c r="S1051" s="240"/>
      <c r="T1051" s="195"/>
      <c r="U1051" s="195"/>
      <c r="V1051" s="195"/>
      <c r="W1051" s="195"/>
      <c r="X1051" s="195"/>
      <c r="Y1051" s="195"/>
      <c r="Z1051" s="195"/>
      <c r="AA1051" s="195"/>
      <c r="AB1051" s="195"/>
      <c r="AC1051" s="195"/>
      <c r="AD1051" s="195"/>
      <c r="AE1051" s="195"/>
      <c r="AF1051" s="195"/>
      <c r="AG1051" s="195"/>
      <c r="AH1051" s="195"/>
      <c r="AI1051" s="195"/>
      <c r="AJ1051" s="195"/>
      <c r="AK1051" s="195"/>
      <c r="AL1051" s="195"/>
      <c r="AM1051" s="1"/>
      <c r="AN1051" s="240"/>
      <c r="AO1051" s="240"/>
      <c r="AP1051" s="240"/>
      <c r="AQ1051" s="730"/>
      <c r="AR1051" s="730"/>
      <c r="AS1051" s="730"/>
      <c r="AT1051" s="738"/>
      <c r="AU1051" s="738"/>
      <c r="AV1051" s="240"/>
      <c r="AW1051" s="240"/>
      <c r="AX1051" s="240"/>
      <c r="AY1051" s="240"/>
      <c r="AZ1051" s="240"/>
      <c r="BA1051" s="240"/>
      <c r="BB1051" s="672"/>
      <c r="BC1051" s="731"/>
      <c r="BD1051" s="731"/>
      <c r="BE1051" s="731"/>
      <c r="BF1051" s="672"/>
      <c r="BG1051" s="732"/>
      <c r="BH1051" s="240"/>
      <c r="BI1051" s="240"/>
      <c r="BJ1051" s="240"/>
      <c r="BK1051" s="240"/>
      <c r="BL1051" s="240"/>
      <c r="BM1051" s="240"/>
      <c r="BN1051" s="240"/>
      <c r="BO1051" s="240"/>
      <c r="BP1051" s="240"/>
      <c r="BQ1051" s="240"/>
      <c r="BR1051" s="240"/>
      <c r="BS1051" s="240"/>
      <c r="BT1051" s="240"/>
      <c r="BU1051" s="672"/>
      <c r="BV1051" s="672"/>
      <c r="BW1051" s="672"/>
      <c r="BX1051" s="672"/>
      <c r="BY1051" s="672"/>
      <c r="BZ1051" s="672"/>
      <c r="CA1051" s="672"/>
      <c r="CB1051" s="672"/>
      <c r="CC1051" s="672"/>
      <c r="CD1051" s="672"/>
      <c r="CE1051" s="240"/>
      <c r="CF1051" s="240"/>
      <c r="CG1051" s="240"/>
      <c r="CH1051" s="240"/>
      <c r="CI1051" s="240"/>
      <c r="CJ1051" s="728"/>
      <c r="CK1051" s="728"/>
      <c r="CL1051" s="195"/>
      <c r="CM1051" s="195"/>
      <c r="CN1051" s="195"/>
      <c r="CO1051" s="195"/>
      <c r="CP1051" s="195"/>
      <c r="CQ1051" s="195"/>
      <c r="CR1051" s="195"/>
      <c r="CS1051" s="195"/>
      <c r="CT1051" s="195"/>
      <c r="CU1051" s="195"/>
      <c r="CV1051" s="195"/>
      <c r="CW1051" s="195"/>
      <c r="CX1051" s="195"/>
      <c r="CY1051" s="195"/>
      <c r="CZ1051" s="195"/>
      <c r="DA1051" s="195"/>
      <c r="DB1051" s="195"/>
      <c r="DC1051" s="195"/>
      <c r="DD1051" s="195"/>
      <c r="DO1051" s="195"/>
      <c r="DP1051" s="195"/>
      <c r="DQ1051" s="195"/>
      <c r="DR1051" s="195"/>
      <c r="DS1051" s="195"/>
      <c r="DT1051" s="195"/>
      <c r="DU1051" s="195"/>
      <c r="DV1051" s="195"/>
      <c r="DW1051" s="195"/>
      <c r="DX1051" s="195"/>
      <c r="DY1051" s="195"/>
      <c r="DZ1051" s="195"/>
      <c r="EA1051" s="195"/>
      <c r="EB1051" s="195"/>
      <c r="EC1051" s="195"/>
      <c r="ED1051" s="195"/>
      <c r="EE1051" s="195"/>
      <c r="EK1051" s="195"/>
      <c r="EL1051" s="240"/>
      <c r="EM1051" s="240"/>
      <c r="EN1051" s="195"/>
      <c r="EO1051" s="240"/>
      <c r="EP1051" s="195"/>
      <c r="EQ1051" s="195"/>
      <c r="ER1051" s="195"/>
      <c r="ES1051" s="736"/>
    </row>
    <row r="1052" customFormat="false" ht="12.75" hidden="false" customHeight="false" outlineLevel="0" collapsed="false">
      <c r="I1052" s="735"/>
      <c r="J1052" s="728"/>
      <c r="K1052" s="195"/>
      <c r="L1052" s="195"/>
      <c r="Q1052" s="195"/>
      <c r="R1052" s="195"/>
      <c r="S1052" s="240"/>
      <c r="T1052" s="195"/>
      <c r="U1052" s="195"/>
      <c r="V1052" s="195"/>
      <c r="W1052" s="195"/>
      <c r="X1052" s="195"/>
      <c r="Y1052" s="195"/>
      <c r="Z1052" s="195"/>
      <c r="AA1052" s="195"/>
      <c r="AB1052" s="195"/>
      <c r="AC1052" s="195"/>
      <c r="AD1052" s="195"/>
      <c r="AE1052" s="195"/>
      <c r="AF1052" s="195"/>
      <c r="AG1052" s="195"/>
      <c r="AH1052" s="195"/>
      <c r="AI1052" s="195"/>
      <c r="AJ1052" s="195"/>
      <c r="AK1052" s="195"/>
      <c r="AL1052" s="195"/>
      <c r="AM1052" s="1"/>
      <c r="AN1052" s="240"/>
      <c r="AO1052" s="240"/>
      <c r="AP1052" s="240"/>
      <c r="AQ1052" s="730"/>
      <c r="AR1052" s="730"/>
      <c r="AS1052" s="730"/>
      <c r="AT1052" s="738"/>
      <c r="AU1052" s="738"/>
      <c r="AV1052" s="240"/>
      <c r="AW1052" s="240"/>
      <c r="AX1052" s="240"/>
      <c r="AY1052" s="240"/>
      <c r="AZ1052" s="240"/>
      <c r="BA1052" s="240"/>
      <c r="BB1052" s="672"/>
      <c r="BC1052" s="731"/>
      <c r="BD1052" s="731"/>
      <c r="BE1052" s="731"/>
      <c r="BF1052" s="672"/>
      <c r="BG1052" s="732"/>
      <c r="BH1052" s="240"/>
      <c r="BI1052" s="240"/>
      <c r="BJ1052" s="240"/>
      <c r="BK1052" s="240"/>
      <c r="BL1052" s="240"/>
      <c r="BM1052" s="240"/>
      <c r="BN1052" s="240"/>
      <c r="BO1052" s="240"/>
      <c r="BP1052" s="240"/>
      <c r="BQ1052" s="240"/>
      <c r="BR1052" s="240"/>
      <c r="BS1052" s="240"/>
      <c r="BT1052" s="240"/>
      <c r="BU1052" s="672"/>
      <c r="BV1052" s="672"/>
      <c r="BW1052" s="672"/>
      <c r="BX1052" s="672"/>
      <c r="BY1052" s="672"/>
      <c r="BZ1052" s="672"/>
      <c r="CA1052" s="672"/>
      <c r="CB1052" s="672"/>
      <c r="CC1052" s="672"/>
      <c r="CD1052" s="672"/>
      <c r="CE1052" s="240"/>
      <c r="CF1052" s="240"/>
      <c r="CG1052" s="240"/>
      <c r="CH1052" s="240"/>
      <c r="CI1052" s="240"/>
      <c r="CJ1052" s="728"/>
      <c r="CK1052" s="728"/>
      <c r="CL1052" s="195"/>
      <c r="CM1052" s="195"/>
      <c r="CN1052" s="195"/>
      <c r="CO1052" s="195"/>
      <c r="CP1052" s="195"/>
      <c r="CQ1052" s="195"/>
      <c r="CR1052" s="195"/>
      <c r="CS1052" s="195"/>
      <c r="CT1052" s="195"/>
      <c r="CU1052" s="195"/>
      <c r="CV1052" s="195"/>
      <c r="CW1052" s="195"/>
      <c r="CX1052" s="195"/>
      <c r="CY1052" s="195"/>
      <c r="CZ1052" s="195"/>
      <c r="DA1052" s="195"/>
      <c r="DB1052" s="195"/>
      <c r="DC1052" s="195"/>
      <c r="DD1052" s="195"/>
      <c r="DO1052" s="195"/>
      <c r="DP1052" s="195"/>
      <c r="DQ1052" s="195"/>
      <c r="DR1052" s="195"/>
      <c r="DS1052" s="195"/>
      <c r="DT1052" s="195"/>
      <c r="DU1052" s="195"/>
      <c r="DV1052" s="195"/>
      <c r="DW1052" s="195"/>
      <c r="DX1052" s="195"/>
      <c r="DY1052" s="195"/>
      <c r="DZ1052" s="195"/>
      <c r="EA1052" s="195"/>
      <c r="EB1052" s="195"/>
      <c r="EC1052" s="195"/>
      <c r="ED1052" s="195"/>
      <c r="EE1052" s="195"/>
      <c r="EK1052" s="195"/>
      <c r="EL1052" s="240"/>
      <c r="EM1052" s="240"/>
      <c r="EN1052" s="195"/>
      <c r="EO1052" s="240"/>
      <c r="EP1052" s="195"/>
      <c r="EQ1052" s="195"/>
      <c r="ER1052" s="195"/>
      <c r="ES1052" s="736"/>
    </row>
    <row r="1053" customFormat="false" ht="12.75" hidden="false" customHeight="false" outlineLevel="0" collapsed="false">
      <c r="I1053" s="735"/>
      <c r="J1053" s="728"/>
      <c r="K1053" s="195"/>
      <c r="L1053" s="195"/>
      <c r="Q1053" s="195"/>
      <c r="R1053" s="195"/>
      <c r="S1053" s="240"/>
      <c r="T1053" s="195"/>
      <c r="U1053" s="195"/>
      <c r="V1053" s="195"/>
      <c r="W1053" s="195"/>
      <c r="X1053" s="195"/>
      <c r="Y1053" s="195"/>
      <c r="Z1053" s="195"/>
      <c r="AA1053" s="195"/>
      <c r="AB1053" s="195"/>
      <c r="AC1053" s="195"/>
      <c r="AD1053" s="195"/>
      <c r="AE1053" s="195"/>
      <c r="AF1053" s="195"/>
      <c r="AG1053" s="195"/>
      <c r="AH1053" s="195"/>
      <c r="AI1053" s="195"/>
      <c r="AJ1053" s="195"/>
      <c r="AK1053" s="195"/>
      <c r="AL1053" s="195"/>
      <c r="AM1053" s="1"/>
      <c r="AN1053" s="240"/>
      <c r="AO1053" s="240"/>
      <c r="AP1053" s="240"/>
      <c r="AQ1053" s="730"/>
      <c r="AR1053" s="730"/>
      <c r="AS1053" s="730"/>
      <c r="AT1053" s="738"/>
      <c r="AU1053" s="738"/>
      <c r="AV1053" s="240"/>
      <c r="AW1053" s="240"/>
      <c r="AX1053" s="240"/>
      <c r="AY1053" s="240"/>
      <c r="AZ1053" s="240"/>
      <c r="BA1053" s="240"/>
      <c r="BB1053" s="672"/>
      <c r="BC1053" s="731"/>
      <c r="BD1053" s="731"/>
      <c r="BE1053" s="731"/>
      <c r="BF1053" s="672"/>
      <c r="BG1053" s="732"/>
      <c r="BH1053" s="240"/>
      <c r="BI1053" s="240"/>
      <c r="BJ1053" s="240"/>
      <c r="BK1053" s="240"/>
      <c r="BL1053" s="240"/>
      <c r="BM1053" s="240"/>
      <c r="BN1053" s="240"/>
      <c r="BO1053" s="240"/>
      <c r="BP1053" s="240"/>
      <c r="BQ1053" s="240"/>
      <c r="BR1053" s="240"/>
      <c r="BS1053" s="240"/>
      <c r="BT1053" s="240"/>
      <c r="BU1053" s="672"/>
      <c r="BV1053" s="672"/>
      <c r="BW1053" s="672"/>
      <c r="BX1053" s="672"/>
      <c r="BY1053" s="672"/>
      <c r="BZ1053" s="672"/>
      <c r="CA1053" s="672"/>
      <c r="CB1053" s="672"/>
      <c r="CC1053" s="672"/>
      <c r="CD1053" s="672"/>
      <c r="CE1053" s="240"/>
      <c r="CF1053" s="240"/>
      <c r="CG1053" s="240"/>
      <c r="CH1053" s="240"/>
      <c r="CI1053" s="240"/>
      <c r="CJ1053" s="728"/>
      <c r="CK1053" s="728"/>
      <c r="CL1053" s="195"/>
      <c r="CM1053" s="195"/>
      <c r="CN1053" s="195"/>
      <c r="CO1053" s="195"/>
      <c r="CP1053" s="195"/>
      <c r="CQ1053" s="195"/>
      <c r="CR1053" s="195"/>
      <c r="CS1053" s="195"/>
      <c r="CT1053" s="195"/>
      <c r="CU1053" s="195"/>
      <c r="CV1053" s="195"/>
      <c r="CW1053" s="195"/>
      <c r="CX1053" s="195"/>
      <c r="CY1053" s="195"/>
      <c r="CZ1053" s="195"/>
      <c r="DA1053" s="195"/>
      <c r="DB1053" s="195"/>
      <c r="DC1053" s="195"/>
      <c r="DD1053" s="195"/>
      <c r="DO1053" s="195"/>
      <c r="DP1053" s="195"/>
      <c r="DQ1053" s="195"/>
      <c r="DR1053" s="195"/>
      <c r="DS1053" s="195"/>
      <c r="DT1053" s="195"/>
      <c r="DU1053" s="195"/>
      <c r="DV1053" s="195"/>
      <c r="DW1053" s="195"/>
      <c r="DX1053" s="195"/>
      <c r="DY1053" s="195"/>
      <c r="DZ1053" s="195"/>
      <c r="EA1053" s="195"/>
      <c r="EB1053" s="195"/>
      <c r="EC1053" s="195"/>
      <c r="ED1053" s="195"/>
      <c r="EE1053" s="195"/>
      <c r="EK1053" s="195"/>
      <c r="EL1053" s="240"/>
      <c r="EM1053" s="240"/>
      <c r="EN1053" s="195"/>
      <c r="EO1053" s="240"/>
      <c r="EP1053" s="195"/>
      <c r="EQ1053" s="195"/>
      <c r="ER1053" s="195"/>
      <c r="ES1053" s="736"/>
    </row>
    <row r="1054" customFormat="false" ht="12.75" hidden="false" customHeight="false" outlineLevel="0" collapsed="false">
      <c r="I1054" s="735"/>
      <c r="J1054" s="728"/>
      <c r="K1054" s="195"/>
      <c r="L1054" s="195"/>
      <c r="Q1054" s="195"/>
      <c r="R1054" s="195"/>
      <c r="S1054" s="240"/>
      <c r="T1054" s="195"/>
      <c r="U1054" s="195"/>
      <c r="V1054" s="195"/>
      <c r="W1054" s="195"/>
      <c r="X1054" s="195"/>
      <c r="Y1054" s="195"/>
      <c r="Z1054" s="195"/>
      <c r="AA1054" s="195"/>
      <c r="AB1054" s="195"/>
      <c r="AC1054" s="195"/>
      <c r="AD1054" s="195"/>
      <c r="AE1054" s="195"/>
      <c r="AF1054" s="195"/>
      <c r="AG1054" s="195"/>
      <c r="AH1054" s="195"/>
      <c r="AI1054" s="195"/>
      <c r="AJ1054" s="195"/>
      <c r="AK1054" s="195"/>
      <c r="AL1054" s="195"/>
      <c r="AM1054" s="1"/>
      <c r="AN1054" s="240"/>
      <c r="AO1054" s="240"/>
      <c r="AP1054" s="240"/>
      <c r="AQ1054" s="730"/>
      <c r="AR1054" s="730"/>
      <c r="AS1054" s="730"/>
      <c r="AT1054" s="738"/>
      <c r="AU1054" s="738"/>
      <c r="AV1054" s="240"/>
      <c r="AW1054" s="240"/>
      <c r="AX1054" s="240"/>
      <c r="AY1054" s="240"/>
      <c r="AZ1054" s="240"/>
      <c r="BA1054" s="240"/>
      <c r="BB1054" s="672"/>
      <c r="BC1054" s="731"/>
      <c r="BD1054" s="731"/>
      <c r="BE1054" s="731"/>
      <c r="BF1054" s="672"/>
      <c r="BG1054" s="732"/>
      <c r="BH1054" s="240"/>
      <c r="BI1054" s="240"/>
      <c r="BJ1054" s="240"/>
      <c r="BK1054" s="240"/>
      <c r="BL1054" s="240"/>
      <c r="BM1054" s="240"/>
      <c r="BN1054" s="240"/>
      <c r="BO1054" s="240"/>
      <c r="BP1054" s="240"/>
      <c r="BQ1054" s="240"/>
      <c r="BR1054" s="240"/>
      <c r="BS1054" s="240"/>
      <c r="BT1054" s="240"/>
      <c r="BU1054" s="672"/>
      <c r="BV1054" s="672"/>
      <c r="BW1054" s="672"/>
      <c r="BX1054" s="672"/>
      <c r="BY1054" s="672"/>
      <c r="BZ1054" s="672"/>
      <c r="CA1054" s="672"/>
      <c r="CB1054" s="672"/>
      <c r="CC1054" s="672"/>
      <c r="CD1054" s="672"/>
      <c r="CE1054" s="240"/>
      <c r="CF1054" s="240"/>
      <c r="CG1054" s="240"/>
      <c r="CH1054" s="240"/>
      <c r="CI1054" s="240"/>
      <c r="CJ1054" s="728"/>
      <c r="CK1054" s="728"/>
      <c r="CL1054" s="195"/>
      <c r="CM1054" s="195"/>
      <c r="CN1054" s="195"/>
      <c r="CO1054" s="195"/>
      <c r="CP1054" s="195"/>
      <c r="CQ1054" s="195"/>
      <c r="CR1054" s="195"/>
      <c r="CS1054" s="195"/>
      <c r="CT1054" s="195"/>
      <c r="CU1054" s="195"/>
      <c r="CV1054" s="195"/>
      <c r="CW1054" s="195"/>
      <c r="CX1054" s="195"/>
      <c r="CY1054" s="195"/>
      <c r="CZ1054" s="195"/>
      <c r="DA1054" s="195"/>
      <c r="DB1054" s="195"/>
      <c r="DC1054" s="195"/>
      <c r="DD1054" s="195"/>
      <c r="DO1054" s="195"/>
      <c r="DP1054" s="195"/>
      <c r="DQ1054" s="195"/>
      <c r="DR1054" s="195"/>
      <c r="DS1054" s="195"/>
      <c r="DT1054" s="195"/>
      <c r="DU1054" s="195"/>
      <c r="DV1054" s="195"/>
      <c r="DW1054" s="195"/>
      <c r="DX1054" s="195"/>
      <c r="DY1054" s="195"/>
      <c r="DZ1054" s="195"/>
      <c r="EA1054" s="195"/>
      <c r="EB1054" s="195"/>
      <c r="EC1054" s="195"/>
      <c r="ED1054" s="195"/>
      <c r="EE1054" s="195"/>
      <c r="EK1054" s="195"/>
      <c r="EL1054" s="240"/>
      <c r="EM1054" s="240"/>
      <c r="EN1054" s="195"/>
      <c r="EO1054" s="240"/>
      <c r="EP1054" s="195"/>
      <c r="EQ1054" s="195"/>
      <c r="ER1054" s="195"/>
      <c r="ES1054" s="736"/>
    </row>
    <row r="1055" customFormat="false" ht="12.75" hidden="false" customHeight="false" outlineLevel="0" collapsed="false">
      <c r="I1055" s="735"/>
      <c r="J1055" s="728"/>
      <c r="K1055" s="195"/>
      <c r="L1055" s="195"/>
      <c r="Q1055" s="195"/>
      <c r="R1055" s="195"/>
      <c r="S1055" s="240"/>
      <c r="T1055" s="195"/>
      <c r="U1055" s="195"/>
      <c r="V1055" s="195"/>
      <c r="W1055" s="195"/>
      <c r="X1055" s="195"/>
      <c r="Y1055" s="195"/>
      <c r="Z1055" s="195"/>
      <c r="AA1055" s="195"/>
      <c r="AB1055" s="195"/>
      <c r="AC1055" s="195"/>
      <c r="AD1055" s="195"/>
      <c r="AE1055" s="195"/>
      <c r="AF1055" s="195"/>
      <c r="AG1055" s="195"/>
      <c r="AH1055" s="195"/>
      <c r="AI1055" s="195"/>
      <c r="AJ1055" s="195"/>
      <c r="AK1055" s="195"/>
      <c r="AL1055" s="195"/>
      <c r="AM1055" s="1"/>
      <c r="AN1055" s="240"/>
      <c r="AO1055" s="240"/>
      <c r="AP1055" s="240"/>
      <c r="AQ1055" s="730"/>
      <c r="AR1055" s="730"/>
      <c r="AS1055" s="730"/>
      <c r="AT1055" s="738"/>
      <c r="AU1055" s="738"/>
      <c r="AV1055" s="240"/>
      <c r="AW1055" s="240"/>
      <c r="AX1055" s="240"/>
      <c r="AY1055" s="240"/>
      <c r="AZ1055" s="240"/>
      <c r="BA1055" s="240"/>
      <c r="BB1055" s="672"/>
      <c r="BC1055" s="731"/>
      <c r="BD1055" s="731"/>
      <c r="BE1055" s="731"/>
      <c r="BF1055" s="672"/>
      <c r="BG1055" s="732"/>
      <c r="BH1055" s="240"/>
      <c r="BI1055" s="240"/>
      <c r="BJ1055" s="240"/>
      <c r="BK1055" s="240"/>
      <c r="BL1055" s="240"/>
      <c r="BM1055" s="240"/>
      <c r="BN1055" s="240"/>
      <c r="BO1055" s="240"/>
      <c r="BP1055" s="240"/>
      <c r="BQ1055" s="240"/>
      <c r="BR1055" s="240"/>
      <c r="BS1055" s="240"/>
      <c r="BT1055" s="240"/>
      <c r="BU1055" s="672"/>
      <c r="BV1055" s="672"/>
      <c r="BW1055" s="672"/>
      <c r="BX1055" s="672"/>
      <c r="BY1055" s="672"/>
      <c r="BZ1055" s="672"/>
      <c r="CA1055" s="672"/>
      <c r="CB1055" s="672"/>
      <c r="CC1055" s="672"/>
      <c r="CD1055" s="672"/>
      <c r="CE1055" s="240"/>
      <c r="CF1055" s="240"/>
      <c r="CG1055" s="240"/>
      <c r="CH1055" s="240"/>
      <c r="CI1055" s="240"/>
      <c r="CJ1055" s="728"/>
      <c r="CK1055" s="728"/>
      <c r="CL1055" s="195"/>
      <c r="CM1055" s="195"/>
      <c r="CN1055" s="195"/>
      <c r="CO1055" s="195"/>
      <c r="CP1055" s="195"/>
      <c r="CQ1055" s="195"/>
      <c r="CR1055" s="195"/>
      <c r="CS1055" s="195"/>
      <c r="CT1055" s="195"/>
      <c r="CU1055" s="195"/>
      <c r="CV1055" s="195"/>
      <c r="CW1055" s="195"/>
      <c r="CX1055" s="195"/>
      <c r="CY1055" s="195"/>
      <c r="CZ1055" s="195"/>
      <c r="DA1055" s="195"/>
      <c r="DB1055" s="195"/>
      <c r="DC1055" s="195"/>
      <c r="DD1055" s="195"/>
      <c r="DO1055" s="195"/>
      <c r="DP1055" s="195"/>
      <c r="DQ1055" s="195"/>
      <c r="DR1055" s="195"/>
      <c r="DS1055" s="195"/>
      <c r="DT1055" s="195"/>
      <c r="DU1055" s="195"/>
      <c r="DV1055" s="195"/>
      <c r="DW1055" s="195"/>
      <c r="DX1055" s="195"/>
      <c r="DY1055" s="195"/>
      <c r="DZ1055" s="195"/>
      <c r="EA1055" s="195"/>
      <c r="EB1055" s="195"/>
      <c r="EC1055" s="195"/>
      <c r="ED1055" s="195"/>
      <c r="EE1055" s="195"/>
      <c r="EK1055" s="195"/>
      <c r="EL1055" s="240"/>
      <c r="EM1055" s="240"/>
      <c r="EN1055" s="195"/>
      <c r="EO1055" s="240"/>
      <c r="EP1055" s="195"/>
      <c r="EQ1055" s="195"/>
      <c r="ER1055" s="195"/>
      <c r="ES1055" s="736"/>
    </row>
    <row r="1056" customFormat="false" ht="12.75" hidden="false" customHeight="false" outlineLevel="0" collapsed="false">
      <c r="I1056" s="735"/>
      <c r="J1056" s="728"/>
      <c r="K1056" s="195"/>
      <c r="L1056" s="195"/>
      <c r="Q1056" s="195"/>
      <c r="R1056" s="195"/>
      <c r="S1056" s="240"/>
      <c r="T1056" s="195"/>
      <c r="U1056" s="195"/>
      <c r="V1056" s="195"/>
      <c r="W1056" s="195"/>
      <c r="X1056" s="195"/>
      <c r="Y1056" s="195"/>
      <c r="Z1056" s="195"/>
      <c r="AA1056" s="195"/>
      <c r="AB1056" s="195"/>
      <c r="AC1056" s="195"/>
      <c r="AD1056" s="195"/>
      <c r="AE1056" s="195"/>
      <c r="AF1056" s="195"/>
      <c r="AG1056" s="195"/>
      <c r="AH1056" s="195"/>
      <c r="AI1056" s="195"/>
      <c r="AJ1056" s="195"/>
      <c r="AK1056" s="195"/>
      <c r="AL1056" s="195"/>
      <c r="AM1056" s="1"/>
      <c r="AN1056" s="240"/>
      <c r="AO1056" s="240"/>
      <c r="AP1056" s="240"/>
      <c r="AQ1056" s="730"/>
      <c r="AR1056" s="730"/>
      <c r="AS1056" s="730"/>
      <c r="AT1056" s="738"/>
      <c r="AU1056" s="738"/>
      <c r="AV1056" s="240"/>
      <c r="AW1056" s="240"/>
      <c r="AX1056" s="240"/>
      <c r="AY1056" s="240"/>
      <c r="AZ1056" s="240"/>
      <c r="BA1056" s="240"/>
      <c r="BB1056" s="672"/>
      <c r="BC1056" s="731"/>
      <c r="BD1056" s="731"/>
      <c r="BE1056" s="731"/>
      <c r="BF1056" s="672"/>
      <c r="BG1056" s="732"/>
      <c r="BH1056" s="240"/>
      <c r="BI1056" s="240"/>
      <c r="BJ1056" s="240"/>
      <c r="BK1056" s="240"/>
      <c r="BL1056" s="240"/>
      <c r="BM1056" s="240"/>
      <c r="BN1056" s="240"/>
      <c r="BO1056" s="240"/>
      <c r="BP1056" s="240"/>
      <c r="BQ1056" s="240"/>
      <c r="BR1056" s="240"/>
      <c r="BS1056" s="240"/>
      <c r="BT1056" s="240"/>
      <c r="BU1056" s="672"/>
      <c r="BV1056" s="672"/>
      <c r="BW1056" s="672"/>
      <c r="BX1056" s="672"/>
      <c r="BY1056" s="672"/>
      <c r="BZ1056" s="672"/>
      <c r="CA1056" s="672"/>
      <c r="CB1056" s="672"/>
      <c r="CC1056" s="672"/>
      <c r="CD1056" s="672"/>
      <c r="CE1056" s="240"/>
      <c r="CF1056" s="240"/>
      <c r="CG1056" s="240"/>
      <c r="CH1056" s="240"/>
      <c r="CI1056" s="240"/>
      <c r="CJ1056" s="728"/>
      <c r="CK1056" s="728"/>
      <c r="CL1056" s="195"/>
      <c r="CM1056" s="195"/>
      <c r="CN1056" s="195"/>
      <c r="CO1056" s="195"/>
      <c r="CP1056" s="195"/>
      <c r="CQ1056" s="195"/>
      <c r="CR1056" s="195"/>
      <c r="CS1056" s="195"/>
      <c r="CT1056" s="195"/>
      <c r="CU1056" s="195"/>
      <c r="CV1056" s="195"/>
      <c r="CW1056" s="195"/>
      <c r="CX1056" s="195"/>
      <c r="CY1056" s="195"/>
      <c r="CZ1056" s="195"/>
      <c r="DA1056" s="195"/>
      <c r="DB1056" s="195"/>
      <c r="DC1056" s="195"/>
      <c r="DD1056" s="195"/>
      <c r="DO1056" s="195"/>
      <c r="DP1056" s="195"/>
      <c r="DQ1056" s="195"/>
      <c r="DR1056" s="195"/>
      <c r="DS1056" s="195"/>
      <c r="DT1056" s="195"/>
      <c r="DU1056" s="195"/>
      <c r="DV1056" s="195"/>
      <c r="DW1056" s="195"/>
      <c r="DX1056" s="195"/>
      <c r="DY1056" s="195"/>
      <c r="DZ1056" s="195"/>
      <c r="EA1056" s="195"/>
      <c r="EB1056" s="195"/>
      <c r="EC1056" s="195"/>
      <c r="ED1056" s="195"/>
      <c r="EE1056" s="195"/>
      <c r="EK1056" s="195"/>
      <c r="EL1056" s="240"/>
      <c r="EM1056" s="240"/>
      <c r="EN1056" s="195"/>
      <c r="EO1056" s="240"/>
      <c r="EP1056" s="195"/>
      <c r="EQ1056" s="195"/>
      <c r="ER1056" s="195"/>
      <c r="ES1056" s="736"/>
    </row>
    <row r="1057" customFormat="false" ht="12.75" hidden="false" customHeight="false" outlineLevel="0" collapsed="false">
      <c r="I1057" s="735"/>
      <c r="J1057" s="728"/>
      <c r="K1057" s="195"/>
      <c r="L1057" s="195"/>
      <c r="Q1057" s="195"/>
      <c r="R1057" s="195"/>
      <c r="S1057" s="240"/>
      <c r="T1057" s="195"/>
      <c r="U1057" s="195"/>
      <c r="V1057" s="195"/>
      <c r="W1057" s="195"/>
      <c r="X1057" s="195"/>
      <c r="Y1057" s="195"/>
      <c r="Z1057" s="195"/>
      <c r="AA1057" s="195"/>
      <c r="AB1057" s="195"/>
      <c r="AC1057" s="195"/>
      <c r="AD1057" s="195"/>
      <c r="AE1057" s="195"/>
      <c r="AF1057" s="195"/>
      <c r="AG1057" s="195"/>
      <c r="AH1057" s="195"/>
      <c r="AI1057" s="195"/>
      <c r="AJ1057" s="195"/>
      <c r="AK1057" s="195"/>
      <c r="AL1057" s="195"/>
      <c r="AM1057" s="1"/>
      <c r="AN1057" s="240"/>
      <c r="AO1057" s="240"/>
      <c r="AP1057" s="240"/>
      <c r="AQ1057" s="730"/>
      <c r="AR1057" s="730"/>
      <c r="AS1057" s="730"/>
      <c r="AT1057" s="738"/>
      <c r="AU1057" s="738"/>
      <c r="AV1057" s="240"/>
      <c r="AW1057" s="240"/>
      <c r="AX1057" s="240"/>
      <c r="AY1057" s="240"/>
      <c r="AZ1057" s="240"/>
      <c r="BA1057" s="240"/>
      <c r="BB1057" s="672"/>
      <c r="BC1057" s="731"/>
      <c r="BD1057" s="731"/>
      <c r="BE1057" s="731"/>
      <c r="BF1057" s="672"/>
      <c r="BG1057" s="732"/>
      <c r="BH1057" s="240"/>
      <c r="BI1057" s="240"/>
      <c r="BJ1057" s="240"/>
      <c r="BK1057" s="240"/>
      <c r="BL1057" s="240"/>
      <c r="BM1057" s="240"/>
      <c r="BN1057" s="240"/>
      <c r="BO1057" s="240"/>
      <c r="BP1057" s="240"/>
      <c r="BQ1057" s="240"/>
      <c r="BR1057" s="240"/>
      <c r="BS1057" s="240"/>
      <c r="BT1057" s="240"/>
      <c r="BU1057" s="672"/>
      <c r="BV1057" s="672"/>
      <c r="BW1057" s="672"/>
      <c r="BX1057" s="672"/>
      <c r="BY1057" s="672"/>
      <c r="BZ1057" s="672"/>
      <c r="CA1057" s="672"/>
      <c r="CB1057" s="672"/>
      <c r="CC1057" s="672"/>
      <c r="CD1057" s="672"/>
      <c r="CE1057" s="240"/>
      <c r="CF1057" s="240"/>
      <c r="CG1057" s="240"/>
      <c r="CH1057" s="240"/>
      <c r="CI1057" s="240"/>
      <c r="CJ1057" s="728"/>
      <c r="CK1057" s="728"/>
      <c r="CL1057" s="195"/>
      <c r="CM1057" s="195"/>
      <c r="CN1057" s="195"/>
      <c r="CO1057" s="195"/>
      <c r="CP1057" s="195"/>
      <c r="CQ1057" s="195"/>
      <c r="CR1057" s="195"/>
      <c r="CS1057" s="195"/>
      <c r="CT1057" s="195"/>
      <c r="CU1057" s="195"/>
      <c r="CV1057" s="195"/>
      <c r="CW1057" s="195"/>
      <c r="CX1057" s="195"/>
      <c r="CY1057" s="195"/>
      <c r="CZ1057" s="195"/>
      <c r="DA1057" s="195"/>
      <c r="DB1057" s="195"/>
      <c r="DC1057" s="195"/>
      <c r="DD1057" s="195"/>
      <c r="DO1057" s="195"/>
      <c r="DP1057" s="195"/>
      <c r="DQ1057" s="195"/>
      <c r="DR1057" s="195"/>
      <c r="DS1057" s="195"/>
      <c r="DT1057" s="195"/>
      <c r="DU1057" s="195"/>
      <c r="DV1057" s="195"/>
      <c r="DW1057" s="195"/>
      <c r="DX1057" s="195"/>
      <c r="DY1057" s="195"/>
      <c r="DZ1057" s="195"/>
      <c r="EA1057" s="195"/>
      <c r="EB1057" s="195"/>
      <c r="EC1057" s="195"/>
      <c r="ED1057" s="195"/>
      <c r="EE1057" s="195"/>
      <c r="EK1057" s="195"/>
      <c r="EL1057" s="240"/>
      <c r="EM1057" s="240"/>
      <c r="EN1057" s="195"/>
      <c r="EO1057" s="240"/>
      <c r="EP1057" s="195"/>
      <c r="EQ1057" s="195"/>
      <c r="ER1057" s="195"/>
      <c r="ES1057" s="736"/>
    </row>
    <row r="1058" customFormat="false" ht="12.75" hidden="false" customHeight="false" outlineLevel="0" collapsed="false">
      <c r="I1058" s="735"/>
      <c r="J1058" s="728"/>
      <c r="K1058" s="195"/>
      <c r="L1058" s="195"/>
      <c r="Q1058" s="195"/>
      <c r="R1058" s="195"/>
      <c r="S1058" s="240"/>
      <c r="T1058" s="195"/>
      <c r="U1058" s="195"/>
      <c r="V1058" s="195"/>
      <c r="W1058" s="195"/>
      <c r="X1058" s="195"/>
      <c r="Y1058" s="195"/>
      <c r="Z1058" s="195"/>
      <c r="AA1058" s="195"/>
      <c r="AB1058" s="195"/>
      <c r="AC1058" s="195"/>
      <c r="AD1058" s="195"/>
      <c r="AE1058" s="195"/>
      <c r="AF1058" s="195"/>
      <c r="AG1058" s="195"/>
      <c r="AH1058" s="195"/>
      <c r="AI1058" s="195"/>
      <c r="AJ1058" s="195"/>
      <c r="AK1058" s="195"/>
      <c r="AL1058" s="195"/>
      <c r="AM1058" s="1"/>
      <c r="AN1058" s="240"/>
      <c r="AO1058" s="240"/>
      <c r="AP1058" s="240"/>
      <c r="AQ1058" s="730"/>
      <c r="AR1058" s="730"/>
      <c r="AS1058" s="730"/>
      <c r="AT1058" s="738"/>
      <c r="AU1058" s="738"/>
      <c r="AV1058" s="240"/>
      <c r="AW1058" s="240"/>
      <c r="AX1058" s="240"/>
      <c r="AY1058" s="240"/>
      <c r="AZ1058" s="240"/>
      <c r="BA1058" s="240"/>
      <c r="BB1058" s="672"/>
      <c r="BC1058" s="731"/>
      <c r="BD1058" s="731"/>
      <c r="BE1058" s="731"/>
      <c r="BF1058" s="672"/>
      <c r="BG1058" s="732"/>
      <c r="BH1058" s="240"/>
      <c r="BI1058" s="240"/>
      <c r="BJ1058" s="240"/>
      <c r="BK1058" s="240"/>
      <c r="BL1058" s="240"/>
      <c r="BM1058" s="240"/>
      <c r="BN1058" s="240"/>
      <c r="BO1058" s="240"/>
      <c r="BP1058" s="240"/>
      <c r="BQ1058" s="240"/>
      <c r="BR1058" s="240"/>
      <c r="BS1058" s="240"/>
      <c r="BT1058" s="240"/>
      <c r="BU1058" s="672"/>
      <c r="BV1058" s="672"/>
      <c r="BW1058" s="672"/>
      <c r="BX1058" s="672"/>
      <c r="BY1058" s="672"/>
      <c r="BZ1058" s="672"/>
      <c r="CA1058" s="672"/>
      <c r="CB1058" s="672"/>
      <c r="CC1058" s="672"/>
      <c r="CD1058" s="672"/>
      <c r="CE1058" s="240"/>
      <c r="CF1058" s="240"/>
      <c r="CG1058" s="240"/>
      <c r="CH1058" s="240"/>
      <c r="CI1058" s="240"/>
      <c r="CJ1058" s="728"/>
      <c r="CK1058" s="728"/>
      <c r="CL1058" s="195"/>
      <c r="CM1058" s="195"/>
      <c r="CN1058" s="195"/>
      <c r="CO1058" s="195"/>
      <c r="CP1058" s="195"/>
      <c r="CQ1058" s="195"/>
      <c r="CR1058" s="195"/>
      <c r="CS1058" s="195"/>
      <c r="CT1058" s="195"/>
      <c r="CU1058" s="195"/>
      <c r="CV1058" s="195"/>
      <c r="CW1058" s="195"/>
      <c r="CX1058" s="195"/>
      <c r="CY1058" s="195"/>
      <c r="CZ1058" s="195"/>
      <c r="DA1058" s="195"/>
      <c r="DB1058" s="195"/>
      <c r="DC1058" s="195"/>
      <c r="DD1058" s="195"/>
      <c r="DO1058" s="195"/>
      <c r="DP1058" s="195"/>
      <c r="DQ1058" s="195"/>
      <c r="DR1058" s="195"/>
      <c r="DS1058" s="195"/>
      <c r="DT1058" s="195"/>
      <c r="DU1058" s="195"/>
      <c r="DV1058" s="195"/>
      <c r="DW1058" s="195"/>
      <c r="DX1058" s="195"/>
      <c r="DY1058" s="195"/>
      <c r="DZ1058" s="195"/>
      <c r="EA1058" s="195"/>
      <c r="EB1058" s="195"/>
      <c r="EC1058" s="195"/>
      <c r="ED1058" s="195"/>
      <c r="EE1058" s="195"/>
      <c r="EK1058" s="195"/>
      <c r="EL1058" s="240"/>
      <c r="EM1058" s="240"/>
      <c r="EN1058" s="195"/>
      <c r="EO1058" s="240"/>
      <c r="EP1058" s="195"/>
      <c r="EQ1058" s="195"/>
      <c r="ER1058" s="195"/>
      <c r="ES1058" s="736"/>
    </row>
    <row r="1059" customFormat="false" ht="12.75" hidden="false" customHeight="false" outlineLevel="0" collapsed="false">
      <c r="I1059" s="735"/>
      <c r="J1059" s="728"/>
      <c r="K1059" s="195"/>
      <c r="L1059" s="195"/>
      <c r="Q1059" s="195"/>
      <c r="R1059" s="195"/>
      <c r="S1059" s="240"/>
      <c r="T1059" s="195"/>
      <c r="U1059" s="195"/>
      <c r="V1059" s="195"/>
      <c r="W1059" s="195"/>
      <c r="X1059" s="195"/>
      <c r="Y1059" s="195"/>
      <c r="Z1059" s="195"/>
      <c r="AA1059" s="195"/>
      <c r="AB1059" s="195"/>
      <c r="AC1059" s="195"/>
      <c r="AD1059" s="195"/>
      <c r="AE1059" s="195"/>
      <c r="AF1059" s="195"/>
      <c r="AG1059" s="195"/>
      <c r="AH1059" s="195"/>
      <c r="AI1059" s="195"/>
      <c r="AJ1059" s="195"/>
      <c r="AK1059" s="195"/>
      <c r="AL1059" s="195"/>
      <c r="AM1059" s="1"/>
      <c r="AN1059" s="240"/>
      <c r="AO1059" s="240"/>
      <c r="AP1059" s="240"/>
      <c r="AQ1059" s="730"/>
      <c r="AR1059" s="730"/>
      <c r="AS1059" s="730"/>
      <c r="AT1059" s="738"/>
      <c r="AU1059" s="738"/>
      <c r="AV1059" s="240"/>
      <c r="AW1059" s="240"/>
      <c r="AX1059" s="240"/>
      <c r="AY1059" s="240"/>
      <c r="AZ1059" s="240"/>
      <c r="BA1059" s="240"/>
      <c r="BB1059" s="672"/>
      <c r="BC1059" s="731"/>
      <c r="BD1059" s="731"/>
      <c r="BE1059" s="731"/>
      <c r="BF1059" s="672"/>
      <c r="BG1059" s="732"/>
      <c r="BH1059" s="240"/>
      <c r="BI1059" s="240"/>
      <c r="BJ1059" s="240"/>
      <c r="BK1059" s="240"/>
      <c r="BL1059" s="240"/>
      <c r="BM1059" s="240"/>
      <c r="BN1059" s="240"/>
      <c r="BO1059" s="240"/>
      <c r="BP1059" s="240"/>
      <c r="BQ1059" s="240"/>
      <c r="BR1059" s="240"/>
      <c r="BS1059" s="240"/>
      <c r="BT1059" s="240"/>
      <c r="BU1059" s="672"/>
      <c r="BV1059" s="672"/>
      <c r="BW1059" s="672"/>
      <c r="BX1059" s="672"/>
      <c r="BY1059" s="672"/>
      <c r="BZ1059" s="672"/>
      <c r="CA1059" s="672"/>
      <c r="CB1059" s="672"/>
      <c r="CC1059" s="672"/>
      <c r="CD1059" s="672"/>
      <c r="CE1059" s="240"/>
      <c r="CF1059" s="240"/>
      <c r="CG1059" s="240"/>
      <c r="CH1059" s="240"/>
      <c r="CI1059" s="240"/>
      <c r="CJ1059" s="728"/>
      <c r="CK1059" s="728"/>
      <c r="CL1059" s="195"/>
      <c r="CM1059" s="195"/>
      <c r="CN1059" s="195"/>
      <c r="CO1059" s="195"/>
      <c r="CP1059" s="195"/>
      <c r="CQ1059" s="195"/>
      <c r="CR1059" s="195"/>
      <c r="CS1059" s="195"/>
      <c r="CT1059" s="195"/>
      <c r="CU1059" s="195"/>
      <c r="CV1059" s="195"/>
      <c r="CW1059" s="195"/>
      <c r="CX1059" s="195"/>
      <c r="CY1059" s="195"/>
      <c r="CZ1059" s="195"/>
      <c r="DA1059" s="195"/>
      <c r="DB1059" s="195"/>
      <c r="DC1059" s="195"/>
      <c r="DD1059" s="195"/>
      <c r="DO1059" s="195"/>
      <c r="DP1059" s="195"/>
      <c r="DQ1059" s="195"/>
      <c r="DR1059" s="195"/>
      <c r="DS1059" s="195"/>
      <c r="DT1059" s="195"/>
      <c r="DU1059" s="195"/>
      <c r="DV1059" s="195"/>
      <c r="DW1059" s="195"/>
      <c r="DX1059" s="195"/>
      <c r="DY1059" s="195"/>
      <c r="DZ1059" s="195"/>
      <c r="EA1059" s="195"/>
      <c r="EB1059" s="195"/>
      <c r="EC1059" s="195"/>
      <c r="ED1059" s="195"/>
      <c r="EE1059" s="195"/>
      <c r="EK1059" s="195"/>
      <c r="EL1059" s="240"/>
      <c r="EM1059" s="240"/>
      <c r="EN1059" s="195"/>
      <c r="EO1059" s="240"/>
      <c r="EP1059" s="195"/>
      <c r="EQ1059" s="195"/>
      <c r="ER1059" s="195"/>
      <c r="ES1059" s="736"/>
    </row>
    <row r="1060" customFormat="false" ht="12.75" hidden="false" customHeight="false" outlineLevel="0" collapsed="false">
      <c r="I1060" s="735"/>
      <c r="J1060" s="728"/>
      <c r="K1060" s="195"/>
      <c r="L1060" s="195"/>
      <c r="Q1060" s="195"/>
      <c r="R1060" s="195"/>
      <c r="S1060" s="240"/>
      <c r="T1060" s="195"/>
      <c r="U1060" s="195"/>
      <c r="V1060" s="195"/>
      <c r="W1060" s="195"/>
      <c r="X1060" s="195"/>
      <c r="Y1060" s="195"/>
      <c r="Z1060" s="195"/>
      <c r="AA1060" s="195"/>
      <c r="AB1060" s="195"/>
      <c r="AC1060" s="195"/>
      <c r="AD1060" s="195"/>
      <c r="AE1060" s="195"/>
      <c r="AF1060" s="195"/>
      <c r="AG1060" s="195"/>
      <c r="AH1060" s="195"/>
      <c r="AI1060" s="195"/>
      <c r="AJ1060" s="195"/>
      <c r="AK1060" s="195"/>
      <c r="AL1060" s="195"/>
      <c r="AM1060" s="1"/>
      <c r="AN1060" s="240"/>
      <c r="AO1060" s="240"/>
      <c r="AP1060" s="240"/>
      <c r="AQ1060" s="730"/>
      <c r="AR1060" s="730"/>
      <c r="AS1060" s="730"/>
      <c r="AT1060" s="738"/>
      <c r="AU1060" s="738"/>
      <c r="AV1060" s="240"/>
      <c r="AW1060" s="240"/>
      <c r="AX1060" s="240"/>
      <c r="AY1060" s="240"/>
      <c r="AZ1060" s="240"/>
      <c r="BA1060" s="240"/>
      <c r="BB1060" s="672"/>
      <c r="BC1060" s="731"/>
      <c r="BD1060" s="731"/>
      <c r="BE1060" s="731"/>
      <c r="BF1060" s="672"/>
      <c r="BG1060" s="732"/>
      <c r="BH1060" s="240"/>
      <c r="BI1060" s="240"/>
      <c r="BJ1060" s="240"/>
      <c r="BK1060" s="240"/>
      <c r="BL1060" s="240"/>
      <c r="BM1060" s="240"/>
      <c r="BN1060" s="240"/>
      <c r="BO1060" s="240"/>
      <c r="BP1060" s="240"/>
      <c r="BQ1060" s="240"/>
      <c r="BR1060" s="240"/>
      <c r="BS1060" s="240"/>
      <c r="BT1060" s="240"/>
      <c r="BU1060" s="672"/>
      <c r="BV1060" s="672"/>
      <c r="BW1060" s="672"/>
      <c r="BX1060" s="672"/>
      <c r="BY1060" s="672"/>
      <c r="BZ1060" s="672"/>
      <c r="CA1060" s="672"/>
      <c r="CB1060" s="672"/>
      <c r="CC1060" s="672"/>
      <c r="CD1060" s="672"/>
      <c r="CE1060" s="240"/>
      <c r="CF1060" s="240"/>
      <c r="CG1060" s="240"/>
      <c r="CH1060" s="240"/>
      <c r="CI1060" s="240"/>
      <c r="CJ1060" s="728"/>
      <c r="CK1060" s="728"/>
      <c r="CL1060" s="195"/>
      <c r="CM1060" s="195"/>
      <c r="CN1060" s="195"/>
      <c r="CO1060" s="195"/>
      <c r="CP1060" s="195"/>
      <c r="CQ1060" s="195"/>
      <c r="CR1060" s="195"/>
      <c r="CS1060" s="195"/>
      <c r="CT1060" s="195"/>
      <c r="CU1060" s="195"/>
      <c r="CV1060" s="195"/>
      <c r="CW1060" s="195"/>
      <c r="CX1060" s="195"/>
      <c r="CY1060" s="195"/>
      <c r="CZ1060" s="195"/>
      <c r="DA1060" s="195"/>
      <c r="DB1060" s="195"/>
      <c r="DC1060" s="195"/>
      <c r="DD1060" s="195"/>
      <c r="DO1060" s="195"/>
      <c r="DP1060" s="195"/>
      <c r="DQ1060" s="195"/>
      <c r="DR1060" s="195"/>
      <c r="DS1060" s="195"/>
      <c r="DT1060" s="195"/>
      <c r="DU1060" s="195"/>
      <c r="DV1060" s="195"/>
      <c r="DW1060" s="195"/>
      <c r="DX1060" s="195"/>
      <c r="DY1060" s="195"/>
      <c r="DZ1060" s="195"/>
      <c r="EA1060" s="195"/>
      <c r="EB1060" s="195"/>
      <c r="EC1060" s="195"/>
      <c r="ED1060" s="195"/>
      <c r="EE1060" s="195"/>
      <c r="EK1060" s="195"/>
      <c r="EL1060" s="240"/>
      <c r="EM1060" s="240"/>
      <c r="EN1060" s="195"/>
      <c r="EO1060" s="240"/>
      <c r="EP1060" s="195"/>
      <c r="EQ1060" s="195"/>
      <c r="ER1060" s="195"/>
      <c r="ES1060" s="736"/>
    </row>
    <row r="1061" customFormat="false" ht="12.75" hidden="false" customHeight="false" outlineLevel="0" collapsed="false">
      <c r="I1061" s="735"/>
      <c r="J1061" s="728"/>
      <c r="K1061" s="195"/>
      <c r="L1061" s="195"/>
      <c r="Q1061" s="195"/>
      <c r="R1061" s="195"/>
      <c r="S1061" s="240"/>
      <c r="T1061" s="195"/>
      <c r="U1061" s="195"/>
      <c r="V1061" s="195"/>
      <c r="W1061" s="195"/>
      <c r="X1061" s="195"/>
      <c r="Y1061" s="195"/>
      <c r="Z1061" s="195"/>
      <c r="AA1061" s="195"/>
      <c r="AB1061" s="195"/>
      <c r="AC1061" s="195"/>
      <c r="AD1061" s="195"/>
      <c r="AE1061" s="195"/>
      <c r="AF1061" s="195"/>
      <c r="AG1061" s="195"/>
      <c r="AH1061" s="195"/>
      <c r="AI1061" s="195"/>
      <c r="AJ1061" s="195"/>
      <c r="AK1061" s="195"/>
      <c r="AL1061" s="195"/>
      <c r="AM1061" s="1"/>
      <c r="AN1061" s="240"/>
      <c r="AO1061" s="240"/>
      <c r="AP1061" s="240"/>
      <c r="AQ1061" s="730"/>
      <c r="AR1061" s="730"/>
      <c r="AS1061" s="730"/>
      <c r="AT1061" s="738"/>
      <c r="AU1061" s="738"/>
      <c r="AV1061" s="240"/>
      <c r="AW1061" s="240"/>
      <c r="AX1061" s="240"/>
      <c r="AY1061" s="240"/>
      <c r="AZ1061" s="240"/>
      <c r="BA1061" s="240"/>
      <c r="BB1061" s="672"/>
      <c r="BC1061" s="731"/>
      <c r="BD1061" s="731"/>
      <c r="BE1061" s="731"/>
      <c r="BF1061" s="672"/>
      <c r="BG1061" s="732"/>
      <c r="BH1061" s="240"/>
      <c r="BI1061" s="240"/>
      <c r="BJ1061" s="240"/>
      <c r="BK1061" s="240"/>
      <c r="BL1061" s="240"/>
      <c r="BM1061" s="240"/>
      <c r="BN1061" s="240"/>
      <c r="BO1061" s="240"/>
      <c r="BP1061" s="240"/>
      <c r="BQ1061" s="240"/>
      <c r="BR1061" s="240"/>
      <c r="BS1061" s="240"/>
      <c r="BT1061" s="240"/>
      <c r="BU1061" s="672"/>
      <c r="BV1061" s="672"/>
      <c r="BW1061" s="672"/>
      <c r="BX1061" s="672"/>
      <c r="BY1061" s="672"/>
      <c r="BZ1061" s="672"/>
      <c r="CA1061" s="672"/>
      <c r="CB1061" s="672"/>
      <c r="CC1061" s="672"/>
      <c r="CD1061" s="672"/>
      <c r="CE1061" s="240"/>
      <c r="CF1061" s="240"/>
      <c r="CG1061" s="240"/>
      <c r="CH1061" s="240"/>
      <c r="CI1061" s="240"/>
      <c r="CJ1061" s="728"/>
      <c r="CK1061" s="728"/>
      <c r="CL1061" s="195"/>
      <c r="CM1061" s="195"/>
      <c r="CN1061" s="195"/>
      <c r="CO1061" s="195"/>
      <c r="CP1061" s="195"/>
      <c r="CQ1061" s="195"/>
      <c r="CR1061" s="195"/>
      <c r="CS1061" s="195"/>
      <c r="CT1061" s="195"/>
      <c r="CU1061" s="195"/>
      <c r="CV1061" s="195"/>
      <c r="CW1061" s="195"/>
      <c r="CX1061" s="195"/>
      <c r="CY1061" s="195"/>
      <c r="CZ1061" s="195"/>
      <c r="DA1061" s="195"/>
      <c r="DB1061" s="195"/>
      <c r="DC1061" s="195"/>
      <c r="DD1061" s="195"/>
      <c r="DO1061" s="195"/>
      <c r="DP1061" s="195"/>
      <c r="DQ1061" s="195"/>
      <c r="DR1061" s="195"/>
      <c r="DS1061" s="195"/>
      <c r="DT1061" s="195"/>
      <c r="DU1061" s="195"/>
      <c r="DV1061" s="195"/>
      <c r="DW1061" s="195"/>
      <c r="DX1061" s="195"/>
      <c r="DY1061" s="195"/>
      <c r="DZ1061" s="195"/>
      <c r="EA1061" s="195"/>
      <c r="EB1061" s="195"/>
      <c r="EC1061" s="195"/>
      <c r="ED1061" s="195"/>
      <c r="EE1061" s="195"/>
      <c r="EK1061" s="195"/>
      <c r="EL1061" s="240"/>
      <c r="EM1061" s="240"/>
      <c r="EN1061" s="195"/>
      <c r="EO1061" s="240"/>
      <c r="EP1061" s="195"/>
      <c r="EQ1061" s="195"/>
      <c r="ER1061" s="195"/>
      <c r="ES1061" s="736"/>
    </row>
    <row r="1062" customFormat="false" ht="12.75" hidden="false" customHeight="false" outlineLevel="0" collapsed="false">
      <c r="I1062" s="735"/>
      <c r="J1062" s="728"/>
      <c r="K1062" s="195"/>
      <c r="L1062" s="195"/>
      <c r="Q1062" s="195"/>
      <c r="R1062" s="195"/>
      <c r="S1062" s="240"/>
      <c r="T1062" s="195"/>
      <c r="U1062" s="195"/>
      <c r="V1062" s="195"/>
      <c r="W1062" s="195"/>
      <c r="X1062" s="195"/>
      <c r="Y1062" s="195"/>
      <c r="Z1062" s="195"/>
      <c r="AA1062" s="195"/>
      <c r="AB1062" s="195"/>
      <c r="AC1062" s="195"/>
      <c r="AD1062" s="195"/>
      <c r="AE1062" s="195"/>
      <c r="AF1062" s="195"/>
      <c r="AG1062" s="195"/>
      <c r="AH1062" s="195"/>
      <c r="AI1062" s="195"/>
      <c r="AJ1062" s="195"/>
      <c r="AK1062" s="195"/>
      <c r="AL1062" s="195"/>
      <c r="AM1062" s="1"/>
      <c r="AN1062" s="240"/>
      <c r="AO1062" s="240"/>
      <c r="AP1062" s="240"/>
      <c r="AQ1062" s="730"/>
      <c r="AR1062" s="730"/>
      <c r="AS1062" s="730"/>
      <c r="AT1062" s="738"/>
      <c r="AU1062" s="738"/>
      <c r="AV1062" s="240"/>
      <c r="AW1062" s="240"/>
      <c r="AX1062" s="240"/>
      <c r="AY1062" s="240"/>
      <c r="AZ1062" s="240"/>
      <c r="BA1062" s="240"/>
      <c r="BB1062" s="672"/>
      <c r="BC1062" s="731"/>
      <c r="BD1062" s="731"/>
      <c r="BE1062" s="731"/>
      <c r="BF1062" s="672"/>
      <c r="BG1062" s="732"/>
      <c r="BH1062" s="240"/>
      <c r="BI1062" s="240"/>
      <c r="BJ1062" s="240"/>
      <c r="BK1062" s="240"/>
      <c r="BL1062" s="240"/>
      <c r="BM1062" s="240"/>
      <c r="BN1062" s="240"/>
      <c r="BO1062" s="240"/>
      <c r="BP1062" s="240"/>
      <c r="BQ1062" s="240"/>
      <c r="BR1062" s="240"/>
      <c r="BS1062" s="240"/>
      <c r="BT1062" s="240"/>
      <c r="BU1062" s="672"/>
      <c r="BV1062" s="672"/>
      <c r="BW1062" s="672"/>
      <c r="BX1062" s="672"/>
      <c r="BY1062" s="672"/>
      <c r="BZ1062" s="672"/>
      <c r="CA1062" s="672"/>
      <c r="CB1062" s="672"/>
      <c r="CC1062" s="672"/>
      <c r="CD1062" s="672"/>
      <c r="CE1062" s="240"/>
      <c r="CF1062" s="240"/>
      <c r="CG1062" s="240"/>
      <c r="CH1062" s="240"/>
      <c r="CI1062" s="240"/>
      <c r="CJ1062" s="728"/>
      <c r="CK1062" s="728"/>
      <c r="CL1062" s="195"/>
      <c r="CM1062" s="195"/>
      <c r="CN1062" s="195"/>
      <c r="CO1062" s="195"/>
      <c r="CP1062" s="195"/>
      <c r="CQ1062" s="195"/>
      <c r="CR1062" s="195"/>
      <c r="CS1062" s="195"/>
      <c r="CT1062" s="195"/>
      <c r="CU1062" s="195"/>
      <c r="CV1062" s="195"/>
      <c r="CW1062" s="195"/>
      <c r="CX1062" s="195"/>
      <c r="CY1062" s="195"/>
      <c r="CZ1062" s="195"/>
      <c r="DA1062" s="195"/>
      <c r="DB1062" s="195"/>
      <c r="DC1062" s="195"/>
      <c r="DD1062" s="195"/>
      <c r="DO1062" s="195"/>
      <c r="DP1062" s="195"/>
      <c r="DQ1062" s="195"/>
      <c r="DR1062" s="195"/>
      <c r="DS1062" s="195"/>
      <c r="DT1062" s="195"/>
      <c r="DU1062" s="195"/>
      <c r="DV1062" s="195"/>
      <c r="DW1062" s="195"/>
      <c r="DX1062" s="195"/>
      <c r="DY1062" s="195"/>
      <c r="DZ1062" s="195"/>
      <c r="EA1062" s="195"/>
      <c r="EB1062" s="195"/>
      <c r="EC1062" s="195"/>
      <c r="ED1062" s="195"/>
      <c r="EE1062" s="195"/>
      <c r="EK1062" s="195"/>
      <c r="EL1062" s="240"/>
      <c r="EM1062" s="240"/>
      <c r="EN1062" s="195"/>
      <c r="EO1062" s="240"/>
      <c r="EP1062" s="195"/>
      <c r="EQ1062" s="195"/>
      <c r="ER1062" s="195"/>
      <c r="ES1062" s="736"/>
    </row>
    <row r="1063" customFormat="false" ht="12.75" hidden="false" customHeight="false" outlineLevel="0" collapsed="false">
      <c r="I1063" s="735"/>
      <c r="J1063" s="728"/>
      <c r="K1063" s="195"/>
      <c r="L1063" s="195"/>
      <c r="Q1063" s="195"/>
      <c r="R1063" s="195"/>
      <c r="S1063" s="240"/>
      <c r="T1063" s="195"/>
      <c r="U1063" s="195"/>
      <c r="V1063" s="195"/>
      <c r="W1063" s="195"/>
      <c r="X1063" s="195"/>
      <c r="Y1063" s="195"/>
      <c r="Z1063" s="195"/>
      <c r="AA1063" s="195"/>
      <c r="AB1063" s="195"/>
      <c r="AC1063" s="195"/>
      <c r="AD1063" s="195"/>
      <c r="AE1063" s="195"/>
      <c r="AF1063" s="195"/>
      <c r="AG1063" s="195"/>
      <c r="AH1063" s="195"/>
      <c r="AI1063" s="195"/>
      <c r="AJ1063" s="195"/>
      <c r="AK1063" s="195"/>
      <c r="AL1063" s="195"/>
      <c r="AM1063" s="1"/>
      <c r="AN1063" s="240"/>
      <c r="AO1063" s="240"/>
      <c r="AP1063" s="240"/>
      <c r="AQ1063" s="730"/>
      <c r="AR1063" s="730"/>
      <c r="AS1063" s="730"/>
      <c r="AT1063" s="738"/>
      <c r="AU1063" s="738"/>
      <c r="AV1063" s="240"/>
      <c r="AW1063" s="240"/>
      <c r="AX1063" s="240"/>
      <c r="AY1063" s="240"/>
      <c r="AZ1063" s="240"/>
      <c r="BA1063" s="240"/>
      <c r="BB1063" s="672"/>
      <c r="BC1063" s="731"/>
      <c r="BD1063" s="731"/>
      <c r="BE1063" s="731"/>
      <c r="BF1063" s="672"/>
      <c r="BG1063" s="732"/>
      <c r="BH1063" s="240"/>
      <c r="BI1063" s="240"/>
      <c r="BJ1063" s="240"/>
      <c r="BK1063" s="240"/>
      <c r="BL1063" s="240"/>
      <c r="BM1063" s="240"/>
      <c r="BN1063" s="240"/>
      <c r="BO1063" s="240"/>
      <c r="BP1063" s="240"/>
      <c r="BQ1063" s="240"/>
      <c r="BR1063" s="240"/>
      <c r="BS1063" s="240"/>
      <c r="BT1063" s="240"/>
      <c r="BU1063" s="672"/>
      <c r="BV1063" s="672"/>
      <c r="BW1063" s="672"/>
      <c r="BX1063" s="672"/>
      <c r="BY1063" s="672"/>
      <c r="BZ1063" s="672"/>
      <c r="CA1063" s="672"/>
      <c r="CB1063" s="672"/>
      <c r="CC1063" s="672"/>
      <c r="CD1063" s="672"/>
      <c r="CE1063" s="240"/>
      <c r="CF1063" s="240"/>
      <c r="CG1063" s="240"/>
      <c r="CH1063" s="240"/>
      <c r="CI1063" s="240"/>
      <c r="CJ1063" s="728"/>
      <c r="CK1063" s="728"/>
      <c r="CL1063" s="195"/>
      <c r="CM1063" s="195"/>
      <c r="CN1063" s="195"/>
      <c r="CO1063" s="195"/>
      <c r="CP1063" s="195"/>
      <c r="CQ1063" s="195"/>
      <c r="CR1063" s="195"/>
      <c r="CS1063" s="195"/>
      <c r="CT1063" s="195"/>
      <c r="CU1063" s="195"/>
      <c r="CV1063" s="195"/>
      <c r="CW1063" s="195"/>
      <c r="CX1063" s="195"/>
      <c r="CY1063" s="195"/>
      <c r="CZ1063" s="195"/>
      <c r="DA1063" s="195"/>
      <c r="DB1063" s="195"/>
      <c r="DC1063" s="195"/>
      <c r="DD1063" s="195"/>
      <c r="DO1063" s="195"/>
      <c r="DP1063" s="195"/>
      <c r="DQ1063" s="195"/>
      <c r="DR1063" s="195"/>
      <c r="DS1063" s="195"/>
      <c r="DT1063" s="195"/>
      <c r="DU1063" s="195"/>
      <c r="DV1063" s="195"/>
      <c r="DW1063" s="195"/>
      <c r="DX1063" s="195"/>
      <c r="DY1063" s="195"/>
      <c r="DZ1063" s="195"/>
      <c r="EA1063" s="195"/>
      <c r="EB1063" s="195"/>
      <c r="EC1063" s="195"/>
      <c r="ED1063" s="195"/>
      <c r="EE1063" s="195"/>
      <c r="EK1063" s="195"/>
      <c r="EL1063" s="240"/>
      <c r="EM1063" s="240"/>
      <c r="EN1063" s="195"/>
      <c r="EO1063" s="240"/>
      <c r="EP1063" s="195"/>
      <c r="EQ1063" s="195"/>
      <c r="ER1063" s="195"/>
      <c r="ES1063" s="736"/>
    </row>
    <row r="1064" customFormat="false" ht="12.75" hidden="false" customHeight="false" outlineLevel="0" collapsed="false">
      <c r="I1064" s="735"/>
      <c r="J1064" s="728"/>
      <c r="K1064" s="195"/>
      <c r="L1064" s="195"/>
      <c r="Q1064" s="195"/>
      <c r="R1064" s="195"/>
      <c r="S1064" s="240"/>
      <c r="T1064" s="195"/>
      <c r="U1064" s="195"/>
      <c r="V1064" s="195"/>
      <c r="W1064" s="195"/>
      <c r="X1064" s="195"/>
      <c r="Y1064" s="195"/>
      <c r="Z1064" s="195"/>
      <c r="AA1064" s="195"/>
      <c r="AB1064" s="195"/>
      <c r="AC1064" s="195"/>
      <c r="AD1064" s="195"/>
      <c r="AE1064" s="195"/>
      <c r="AF1064" s="195"/>
      <c r="AG1064" s="195"/>
      <c r="AH1064" s="195"/>
      <c r="AI1064" s="195"/>
      <c r="AJ1064" s="195"/>
      <c r="AK1064" s="195"/>
      <c r="AL1064" s="195"/>
      <c r="AM1064" s="1"/>
      <c r="AN1064" s="240"/>
      <c r="AO1064" s="240"/>
      <c r="AP1064" s="240"/>
      <c r="AQ1064" s="730"/>
      <c r="AR1064" s="730"/>
      <c r="AS1064" s="730"/>
      <c r="AT1064" s="738"/>
      <c r="AU1064" s="738"/>
      <c r="AV1064" s="240"/>
      <c r="AW1064" s="240"/>
      <c r="AX1064" s="240"/>
      <c r="AY1064" s="240"/>
      <c r="AZ1064" s="240"/>
      <c r="BA1064" s="240"/>
      <c r="BB1064" s="672"/>
      <c r="BC1064" s="731"/>
      <c r="BD1064" s="731"/>
      <c r="BE1064" s="731"/>
      <c r="BF1064" s="672"/>
      <c r="BG1064" s="732"/>
      <c r="BH1064" s="240"/>
      <c r="BI1064" s="240"/>
      <c r="BJ1064" s="240"/>
      <c r="BK1064" s="240"/>
      <c r="BL1064" s="240"/>
      <c r="BM1064" s="240"/>
      <c r="BN1064" s="240"/>
      <c r="BO1064" s="240"/>
      <c r="BP1064" s="240"/>
      <c r="BQ1064" s="240"/>
      <c r="BR1064" s="240"/>
      <c r="BS1064" s="240"/>
      <c r="BT1064" s="240"/>
      <c r="BU1064" s="672"/>
      <c r="BV1064" s="672"/>
      <c r="BW1064" s="672"/>
      <c r="BX1064" s="672"/>
      <c r="BY1064" s="672"/>
      <c r="BZ1064" s="672"/>
      <c r="CA1064" s="672"/>
      <c r="CB1064" s="672"/>
      <c r="CC1064" s="672"/>
      <c r="CD1064" s="672"/>
      <c r="CE1064" s="240"/>
      <c r="CF1064" s="240"/>
      <c r="CG1064" s="240"/>
      <c r="CH1064" s="240"/>
      <c r="CI1064" s="240"/>
      <c r="CJ1064" s="728"/>
      <c r="CK1064" s="728"/>
      <c r="CL1064" s="195"/>
      <c r="CM1064" s="195"/>
      <c r="CN1064" s="195"/>
      <c r="CO1064" s="195"/>
      <c r="CP1064" s="195"/>
      <c r="CQ1064" s="195"/>
      <c r="CR1064" s="195"/>
      <c r="CS1064" s="195"/>
      <c r="CT1064" s="195"/>
      <c r="CU1064" s="195"/>
      <c r="CV1064" s="195"/>
      <c r="CW1064" s="195"/>
      <c r="CX1064" s="195"/>
      <c r="CY1064" s="195"/>
      <c r="CZ1064" s="195"/>
      <c r="DA1064" s="195"/>
      <c r="DB1064" s="195"/>
      <c r="DC1064" s="195"/>
      <c r="DD1064" s="195"/>
      <c r="DO1064" s="195"/>
      <c r="DP1064" s="195"/>
      <c r="DQ1064" s="195"/>
      <c r="DR1064" s="195"/>
      <c r="DS1064" s="195"/>
      <c r="DT1064" s="195"/>
      <c r="DU1064" s="195"/>
      <c r="DV1064" s="195"/>
      <c r="DW1064" s="195"/>
      <c r="DX1064" s="195"/>
      <c r="DY1064" s="195"/>
      <c r="DZ1064" s="195"/>
      <c r="EA1064" s="195"/>
      <c r="EB1064" s="195"/>
      <c r="EC1064" s="195"/>
      <c r="ED1064" s="195"/>
      <c r="EE1064" s="195"/>
      <c r="EK1064" s="195"/>
      <c r="EL1064" s="240"/>
      <c r="EM1064" s="240"/>
      <c r="EN1064" s="195"/>
      <c r="EO1064" s="240"/>
      <c r="EP1064" s="195"/>
      <c r="EQ1064" s="195"/>
      <c r="ER1064" s="195"/>
      <c r="ES1064" s="736"/>
    </row>
    <row r="1065" customFormat="false" ht="12.75" hidden="false" customHeight="false" outlineLevel="0" collapsed="false">
      <c r="I1065" s="735"/>
      <c r="J1065" s="728"/>
      <c r="K1065" s="195"/>
      <c r="L1065" s="195"/>
      <c r="Q1065" s="195"/>
      <c r="R1065" s="195"/>
      <c r="S1065" s="240"/>
      <c r="T1065" s="195"/>
      <c r="U1065" s="195"/>
      <c r="V1065" s="195"/>
      <c r="W1065" s="195"/>
      <c r="X1065" s="195"/>
      <c r="Y1065" s="195"/>
      <c r="Z1065" s="195"/>
      <c r="AA1065" s="195"/>
      <c r="AB1065" s="195"/>
      <c r="AC1065" s="195"/>
      <c r="AD1065" s="195"/>
      <c r="AE1065" s="195"/>
      <c r="AF1065" s="195"/>
      <c r="AG1065" s="195"/>
      <c r="AH1065" s="195"/>
      <c r="AI1065" s="195"/>
      <c r="AJ1065" s="195"/>
      <c r="AK1065" s="195"/>
      <c r="AL1065" s="195"/>
      <c r="AM1065" s="1"/>
      <c r="AN1065" s="240"/>
      <c r="AO1065" s="240"/>
      <c r="AP1065" s="240"/>
      <c r="AQ1065" s="730"/>
      <c r="AR1065" s="730"/>
      <c r="AS1065" s="730"/>
      <c r="AT1065" s="738"/>
      <c r="AU1065" s="738"/>
      <c r="AV1065" s="240"/>
      <c r="AW1065" s="240"/>
      <c r="AX1065" s="240"/>
      <c r="AY1065" s="240"/>
      <c r="AZ1065" s="240"/>
      <c r="BA1065" s="240"/>
      <c r="BB1065" s="672"/>
      <c r="BC1065" s="731"/>
      <c r="BD1065" s="731"/>
      <c r="BE1065" s="731"/>
      <c r="BF1065" s="672"/>
      <c r="BG1065" s="732"/>
      <c r="BH1065" s="240"/>
      <c r="BI1065" s="240"/>
      <c r="BJ1065" s="240"/>
      <c r="BK1065" s="240"/>
      <c r="BL1065" s="240"/>
      <c r="BM1065" s="240"/>
      <c r="BN1065" s="240"/>
      <c r="BO1065" s="240"/>
      <c r="BP1065" s="240"/>
      <c r="BQ1065" s="240"/>
      <c r="BR1065" s="240"/>
      <c r="BS1065" s="240"/>
      <c r="BT1065" s="240"/>
      <c r="BU1065" s="672"/>
      <c r="BV1065" s="672"/>
      <c r="BW1065" s="672"/>
      <c r="BX1065" s="672"/>
      <c r="BY1065" s="672"/>
      <c r="BZ1065" s="672"/>
      <c r="CA1065" s="672"/>
      <c r="CB1065" s="672"/>
      <c r="CC1065" s="672"/>
      <c r="CD1065" s="672"/>
      <c r="CE1065" s="240"/>
      <c r="CF1065" s="240"/>
      <c r="CG1065" s="240"/>
      <c r="CH1065" s="240"/>
      <c r="CI1065" s="240"/>
      <c r="CJ1065" s="728"/>
      <c r="CK1065" s="728"/>
      <c r="CL1065" s="195"/>
      <c r="CM1065" s="195"/>
      <c r="CN1065" s="195"/>
      <c r="CO1065" s="195"/>
      <c r="CP1065" s="195"/>
      <c r="CQ1065" s="195"/>
      <c r="CR1065" s="195"/>
      <c r="CS1065" s="195"/>
      <c r="CT1065" s="195"/>
      <c r="CU1065" s="195"/>
      <c r="CV1065" s="195"/>
      <c r="CW1065" s="195"/>
      <c r="CX1065" s="195"/>
      <c r="CY1065" s="195"/>
      <c r="CZ1065" s="195"/>
      <c r="DA1065" s="195"/>
      <c r="DB1065" s="195"/>
      <c r="DC1065" s="195"/>
      <c r="DD1065" s="195"/>
      <c r="DO1065" s="195"/>
      <c r="DP1065" s="195"/>
      <c r="DQ1065" s="195"/>
      <c r="DR1065" s="195"/>
      <c r="DS1065" s="195"/>
      <c r="DT1065" s="195"/>
      <c r="DU1065" s="195"/>
      <c r="DV1065" s="195"/>
      <c r="DW1065" s="195"/>
      <c r="DX1065" s="195"/>
      <c r="DY1065" s="195"/>
      <c r="DZ1065" s="195"/>
      <c r="EA1065" s="195"/>
      <c r="EB1065" s="195"/>
      <c r="EC1065" s="195"/>
      <c r="ED1065" s="195"/>
      <c r="EE1065" s="195"/>
      <c r="EK1065" s="195"/>
      <c r="EL1065" s="240"/>
      <c r="EM1065" s="240"/>
      <c r="EN1065" s="195"/>
      <c r="EO1065" s="240"/>
      <c r="EP1065" s="195"/>
      <c r="EQ1065" s="195"/>
      <c r="ER1065" s="195"/>
      <c r="ES1065" s="736"/>
    </row>
    <row r="1066" customFormat="false" ht="12.75" hidden="false" customHeight="false" outlineLevel="0" collapsed="false">
      <c r="I1066" s="735"/>
      <c r="J1066" s="728"/>
      <c r="K1066" s="195"/>
      <c r="L1066" s="195"/>
      <c r="Q1066" s="195"/>
      <c r="R1066" s="195"/>
      <c r="S1066" s="240"/>
      <c r="T1066" s="195"/>
      <c r="U1066" s="195"/>
      <c r="V1066" s="195"/>
      <c r="W1066" s="195"/>
      <c r="X1066" s="195"/>
      <c r="Y1066" s="195"/>
      <c r="Z1066" s="195"/>
      <c r="AA1066" s="195"/>
      <c r="AB1066" s="195"/>
      <c r="AC1066" s="195"/>
      <c r="AD1066" s="195"/>
      <c r="AE1066" s="195"/>
      <c r="AF1066" s="195"/>
      <c r="AG1066" s="195"/>
      <c r="AH1066" s="195"/>
      <c r="AI1066" s="195"/>
      <c r="AJ1066" s="195"/>
      <c r="AK1066" s="195"/>
      <c r="AL1066" s="195"/>
      <c r="AM1066" s="1"/>
      <c r="AN1066" s="240"/>
      <c r="AO1066" s="240"/>
      <c r="AP1066" s="240"/>
      <c r="AQ1066" s="730"/>
      <c r="AR1066" s="730"/>
      <c r="AS1066" s="730"/>
      <c r="AT1066" s="738"/>
      <c r="AU1066" s="738"/>
      <c r="AV1066" s="240"/>
      <c r="AW1066" s="240"/>
      <c r="AX1066" s="240"/>
      <c r="AY1066" s="240"/>
      <c r="AZ1066" s="240"/>
      <c r="BA1066" s="240"/>
      <c r="BB1066" s="672"/>
      <c r="BC1066" s="731"/>
      <c r="BD1066" s="731"/>
      <c r="BE1066" s="731"/>
      <c r="BF1066" s="672"/>
      <c r="BG1066" s="732"/>
      <c r="BH1066" s="240"/>
      <c r="BI1066" s="240"/>
      <c r="BJ1066" s="240"/>
      <c r="BK1066" s="240"/>
      <c r="BL1066" s="240"/>
      <c r="BM1066" s="240"/>
      <c r="BN1066" s="240"/>
      <c r="BO1066" s="240"/>
      <c r="BP1066" s="240"/>
      <c r="BQ1066" s="240"/>
      <c r="BR1066" s="240"/>
      <c r="BS1066" s="240"/>
      <c r="BT1066" s="240"/>
      <c r="BU1066" s="672"/>
      <c r="BV1066" s="672"/>
      <c r="BW1066" s="672"/>
      <c r="BX1066" s="672"/>
      <c r="BY1066" s="672"/>
      <c r="BZ1066" s="672"/>
      <c r="CA1066" s="672"/>
      <c r="CB1066" s="672"/>
      <c r="CC1066" s="672"/>
      <c r="CD1066" s="672"/>
      <c r="CE1066" s="240"/>
      <c r="CF1066" s="240"/>
      <c r="CG1066" s="240"/>
      <c r="CH1066" s="240"/>
      <c r="CI1066" s="240"/>
      <c r="CJ1066" s="728"/>
      <c r="CK1066" s="728"/>
      <c r="CL1066" s="195"/>
      <c r="CM1066" s="195"/>
      <c r="CN1066" s="195"/>
      <c r="CO1066" s="195"/>
      <c r="CP1066" s="195"/>
      <c r="CQ1066" s="195"/>
      <c r="CR1066" s="195"/>
      <c r="CS1066" s="195"/>
      <c r="CT1066" s="195"/>
      <c r="CU1066" s="195"/>
      <c r="CV1066" s="195"/>
      <c r="CW1066" s="195"/>
      <c r="CX1066" s="195"/>
      <c r="CY1066" s="195"/>
      <c r="CZ1066" s="195"/>
      <c r="DA1066" s="195"/>
      <c r="DB1066" s="195"/>
      <c r="DC1066" s="195"/>
      <c r="DD1066" s="195"/>
      <c r="DO1066" s="195"/>
      <c r="DP1066" s="195"/>
      <c r="DQ1066" s="195"/>
      <c r="DR1066" s="195"/>
      <c r="DS1066" s="195"/>
      <c r="DT1066" s="195"/>
      <c r="DU1066" s="195"/>
      <c r="DV1066" s="195"/>
      <c r="DW1066" s="195"/>
      <c r="DX1066" s="195"/>
      <c r="DY1066" s="195"/>
      <c r="DZ1066" s="195"/>
      <c r="EA1066" s="195"/>
      <c r="EB1066" s="195"/>
      <c r="EC1066" s="195"/>
      <c r="ED1066" s="195"/>
      <c r="EE1066" s="195"/>
      <c r="EK1066" s="195"/>
      <c r="EL1066" s="240"/>
      <c r="EM1066" s="240"/>
      <c r="EN1066" s="195"/>
      <c r="EO1066" s="240"/>
      <c r="EP1066" s="195"/>
      <c r="EQ1066" s="195"/>
      <c r="ER1066" s="195"/>
      <c r="ES1066" s="736"/>
    </row>
    <row r="1067" customFormat="false" ht="12.75" hidden="false" customHeight="false" outlineLevel="0" collapsed="false">
      <c r="I1067" s="735"/>
      <c r="J1067" s="728"/>
      <c r="K1067" s="195"/>
      <c r="L1067" s="195"/>
      <c r="Q1067" s="195"/>
      <c r="R1067" s="195"/>
      <c r="S1067" s="240"/>
      <c r="T1067" s="195"/>
      <c r="U1067" s="195"/>
      <c r="V1067" s="195"/>
      <c r="W1067" s="195"/>
      <c r="X1067" s="195"/>
      <c r="Y1067" s="195"/>
      <c r="Z1067" s="195"/>
      <c r="AA1067" s="195"/>
      <c r="AB1067" s="195"/>
      <c r="AC1067" s="195"/>
      <c r="AD1067" s="195"/>
      <c r="AE1067" s="195"/>
      <c r="AF1067" s="195"/>
      <c r="AG1067" s="195"/>
      <c r="AH1067" s="195"/>
      <c r="AI1067" s="195"/>
      <c r="AJ1067" s="195"/>
      <c r="AK1067" s="195"/>
      <c r="AL1067" s="195"/>
      <c r="AM1067" s="1"/>
      <c r="AN1067" s="240"/>
      <c r="AO1067" s="240"/>
      <c r="AP1067" s="240"/>
      <c r="AQ1067" s="730"/>
      <c r="AR1067" s="730"/>
      <c r="AS1067" s="730"/>
      <c r="AT1067" s="738"/>
      <c r="AU1067" s="738"/>
      <c r="AV1067" s="240"/>
      <c r="AW1067" s="240"/>
      <c r="AX1067" s="240"/>
      <c r="AY1067" s="240"/>
      <c r="AZ1067" s="240"/>
      <c r="BA1067" s="240"/>
      <c r="BB1067" s="672"/>
      <c r="BC1067" s="731"/>
      <c r="BD1067" s="731"/>
      <c r="BE1067" s="731"/>
      <c r="BF1067" s="672"/>
      <c r="BG1067" s="732"/>
      <c r="BH1067" s="240"/>
      <c r="BI1067" s="240"/>
      <c r="BJ1067" s="240"/>
      <c r="BK1067" s="240"/>
      <c r="BL1067" s="240"/>
      <c r="BM1067" s="240"/>
      <c r="BN1067" s="240"/>
      <c r="BO1067" s="240"/>
      <c r="BP1067" s="240"/>
      <c r="BQ1067" s="240"/>
      <c r="BR1067" s="240"/>
      <c r="BS1067" s="240"/>
      <c r="BT1067" s="240"/>
      <c r="BU1067" s="672"/>
      <c r="BV1067" s="672"/>
      <c r="BW1067" s="672"/>
      <c r="BX1067" s="672"/>
      <c r="BY1067" s="672"/>
      <c r="BZ1067" s="672"/>
      <c r="CA1067" s="672"/>
      <c r="CB1067" s="672"/>
      <c r="CC1067" s="672"/>
      <c r="CD1067" s="672"/>
      <c r="CE1067" s="240"/>
      <c r="CF1067" s="240"/>
      <c r="CG1067" s="240"/>
      <c r="CH1067" s="240"/>
      <c r="CI1067" s="240"/>
      <c r="CJ1067" s="728"/>
      <c r="CK1067" s="728"/>
      <c r="CL1067" s="195"/>
      <c r="CM1067" s="195"/>
      <c r="CN1067" s="195"/>
      <c r="CO1067" s="195"/>
      <c r="CP1067" s="195"/>
      <c r="CQ1067" s="195"/>
      <c r="CR1067" s="195"/>
      <c r="CS1067" s="195"/>
      <c r="CT1067" s="195"/>
      <c r="CU1067" s="195"/>
      <c r="CV1067" s="195"/>
      <c r="CW1067" s="195"/>
      <c r="CX1067" s="195"/>
      <c r="CY1067" s="195"/>
      <c r="CZ1067" s="195"/>
      <c r="DA1067" s="195"/>
      <c r="DB1067" s="195"/>
      <c r="DC1067" s="195"/>
      <c r="DD1067" s="195"/>
      <c r="DO1067" s="195"/>
      <c r="DP1067" s="195"/>
      <c r="DQ1067" s="195"/>
      <c r="DR1067" s="195"/>
      <c r="DS1067" s="195"/>
      <c r="DT1067" s="195"/>
      <c r="DU1067" s="195"/>
      <c r="DV1067" s="195"/>
      <c r="DW1067" s="195"/>
      <c r="DX1067" s="195"/>
      <c r="DY1067" s="195"/>
      <c r="DZ1067" s="195"/>
      <c r="EA1067" s="195"/>
      <c r="EB1067" s="195"/>
      <c r="EC1067" s="195"/>
      <c r="ED1067" s="195"/>
      <c r="EE1067" s="195"/>
      <c r="EK1067" s="195"/>
      <c r="EL1067" s="240"/>
      <c r="EM1067" s="240"/>
      <c r="EN1067" s="195"/>
      <c r="EO1067" s="240"/>
      <c r="EP1067" s="195"/>
      <c r="EQ1067" s="195"/>
      <c r="ER1067" s="195"/>
      <c r="ES1067" s="736"/>
    </row>
    <row r="1068" customFormat="false" ht="12.75" hidden="false" customHeight="false" outlineLevel="0" collapsed="false">
      <c r="I1068" s="735"/>
      <c r="J1068" s="728"/>
      <c r="K1068" s="195"/>
      <c r="L1068" s="195"/>
      <c r="Q1068" s="195"/>
      <c r="R1068" s="195"/>
      <c r="S1068" s="240"/>
      <c r="T1068" s="195"/>
      <c r="U1068" s="195"/>
      <c r="V1068" s="195"/>
      <c r="W1068" s="195"/>
      <c r="X1068" s="195"/>
      <c r="Y1068" s="195"/>
      <c r="Z1068" s="195"/>
      <c r="AA1068" s="195"/>
      <c r="AB1068" s="195"/>
      <c r="AC1068" s="195"/>
      <c r="AD1068" s="195"/>
      <c r="AE1068" s="195"/>
      <c r="AF1068" s="195"/>
      <c r="AG1068" s="195"/>
      <c r="AH1068" s="195"/>
      <c r="AI1068" s="195"/>
      <c r="AJ1068" s="195"/>
      <c r="AK1068" s="195"/>
      <c r="AL1068" s="195"/>
      <c r="AM1068" s="1"/>
      <c r="AN1068" s="240"/>
      <c r="AO1068" s="240"/>
      <c r="AP1068" s="240"/>
      <c r="AQ1068" s="730"/>
      <c r="AR1068" s="730"/>
      <c r="AS1068" s="730"/>
      <c r="AT1068" s="738"/>
      <c r="AU1068" s="738"/>
      <c r="AV1068" s="240"/>
      <c r="AW1068" s="240"/>
      <c r="AX1068" s="240"/>
      <c r="AY1068" s="240"/>
      <c r="AZ1068" s="240"/>
      <c r="BA1068" s="240"/>
      <c r="BB1068" s="672"/>
      <c r="BC1068" s="731"/>
      <c r="BD1068" s="731"/>
      <c r="BE1068" s="731"/>
      <c r="BF1068" s="672"/>
      <c r="BG1068" s="732"/>
      <c r="BH1068" s="240"/>
      <c r="BI1068" s="240"/>
      <c r="BJ1068" s="240"/>
      <c r="BK1068" s="240"/>
      <c r="BL1068" s="240"/>
      <c r="BM1068" s="240"/>
      <c r="BN1068" s="240"/>
      <c r="BO1068" s="240"/>
      <c r="BP1068" s="240"/>
      <c r="BQ1068" s="240"/>
      <c r="BR1068" s="240"/>
      <c r="BS1068" s="240"/>
      <c r="BT1068" s="240"/>
      <c r="BU1068" s="672"/>
      <c r="BV1068" s="672"/>
      <c r="BW1068" s="672"/>
      <c r="BX1068" s="672"/>
      <c r="BY1068" s="672"/>
      <c r="BZ1068" s="672"/>
      <c r="CA1068" s="672"/>
      <c r="CB1068" s="672"/>
      <c r="CC1068" s="672"/>
      <c r="CD1068" s="672"/>
      <c r="CE1068" s="240"/>
      <c r="CF1068" s="240"/>
      <c r="CG1068" s="240"/>
      <c r="CH1068" s="240"/>
      <c r="CI1068" s="240"/>
      <c r="CJ1068" s="728"/>
      <c r="CK1068" s="728"/>
      <c r="CL1068" s="195"/>
      <c r="CM1068" s="195"/>
      <c r="CN1068" s="195"/>
      <c r="CO1068" s="195"/>
      <c r="CP1068" s="195"/>
      <c r="CQ1068" s="195"/>
      <c r="CR1068" s="195"/>
      <c r="CS1068" s="195"/>
      <c r="CT1068" s="195"/>
      <c r="CU1068" s="195"/>
      <c r="CV1068" s="195"/>
      <c r="CW1068" s="195"/>
      <c r="CX1068" s="195"/>
      <c r="CY1068" s="195"/>
      <c r="CZ1068" s="195"/>
      <c r="DA1068" s="195"/>
      <c r="DB1068" s="195"/>
      <c r="DC1068" s="195"/>
      <c r="DD1068" s="195"/>
      <c r="DO1068" s="195"/>
      <c r="DP1068" s="195"/>
      <c r="DQ1068" s="195"/>
      <c r="DR1068" s="195"/>
      <c r="DS1068" s="195"/>
      <c r="DT1068" s="195"/>
      <c r="DU1068" s="195"/>
      <c r="DV1068" s="195"/>
      <c r="DW1068" s="195"/>
      <c r="DX1068" s="195"/>
      <c r="DY1068" s="195"/>
      <c r="DZ1068" s="195"/>
      <c r="EA1068" s="195"/>
      <c r="EB1068" s="195"/>
      <c r="EC1068" s="195"/>
      <c r="ED1068" s="195"/>
      <c r="EE1068" s="195"/>
      <c r="EK1068" s="195"/>
      <c r="EL1068" s="240"/>
      <c r="EM1068" s="240"/>
      <c r="EN1068" s="195"/>
      <c r="EO1068" s="240"/>
      <c r="EP1068" s="195"/>
      <c r="EQ1068" s="195"/>
      <c r="ER1068" s="195"/>
      <c r="ES1068" s="736"/>
    </row>
    <row r="1069" customFormat="false" ht="12.75" hidden="false" customHeight="false" outlineLevel="0" collapsed="false">
      <c r="I1069" s="735"/>
      <c r="J1069" s="728"/>
      <c r="K1069" s="195"/>
      <c r="L1069" s="195"/>
      <c r="Q1069" s="195"/>
      <c r="R1069" s="195"/>
      <c r="S1069" s="240"/>
      <c r="T1069" s="195"/>
      <c r="U1069" s="195"/>
      <c r="V1069" s="195"/>
      <c r="W1069" s="195"/>
      <c r="X1069" s="195"/>
      <c r="Y1069" s="195"/>
      <c r="Z1069" s="195"/>
      <c r="AA1069" s="195"/>
      <c r="AB1069" s="195"/>
      <c r="AC1069" s="195"/>
      <c r="AD1069" s="195"/>
      <c r="AE1069" s="195"/>
      <c r="AF1069" s="195"/>
      <c r="AG1069" s="195"/>
      <c r="AH1069" s="195"/>
      <c r="AI1069" s="195"/>
      <c r="AJ1069" s="195"/>
      <c r="AK1069" s="195"/>
      <c r="AL1069" s="195"/>
      <c r="AM1069" s="1"/>
      <c r="AN1069" s="240"/>
      <c r="AO1069" s="240"/>
      <c r="AP1069" s="240"/>
      <c r="AQ1069" s="730"/>
      <c r="AR1069" s="730"/>
      <c r="AS1069" s="730"/>
      <c r="AT1069" s="738"/>
      <c r="AU1069" s="738"/>
      <c r="AV1069" s="240"/>
      <c r="AW1069" s="240"/>
      <c r="AX1069" s="240"/>
      <c r="AY1069" s="240"/>
      <c r="AZ1069" s="240"/>
      <c r="BA1069" s="240"/>
      <c r="BB1069" s="672"/>
      <c r="BC1069" s="731"/>
      <c r="BD1069" s="731"/>
      <c r="BE1069" s="731"/>
      <c r="BF1069" s="672"/>
      <c r="BG1069" s="732"/>
      <c r="BH1069" s="240"/>
      <c r="BI1069" s="240"/>
      <c r="BJ1069" s="240"/>
      <c r="BK1069" s="240"/>
      <c r="BL1069" s="240"/>
      <c r="BM1069" s="240"/>
      <c r="BN1069" s="240"/>
      <c r="BO1069" s="240"/>
      <c r="BP1069" s="240"/>
      <c r="BQ1069" s="240"/>
      <c r="BR1069" s="240"/>
      <c r="BS1069" s="240"/>
      <c r="BT1069" s="240"/>
      <c r="BU1069" s="672"/>
      <c r="BV1069" s="672"/>
      <c r="BW1069" s="672"/>
      <c r="BX1069" s="672"/>
      <c r="BY1069" s="672"/>
      <c r="BZ1069" s="672"/>
      <c r="CA1069" s="672"/>
      <c r="CB1069" s="672"/>
      <c r="CC1069" s="672"/>
      <c r="CD1069" s="672"/>
      <c r="CE1069" s="240"/>
      <c r="CF1069" s="240"/>
      <c r="CG1069" s="240"/>
      <c r="CH1069" s="240"/>
      <c r="CI1069" s="240"/>
      <c r="CJ1069" s="728"/>
      <c r="CK1069" s="728"/>
      <c r="CL1069" s="195"/>
      <c r="CM1069" s="195"/>
      <c r="CN1069" s="195"/>
      <c r="CO1069" s="195"/>
      <c r="CP1069" s="195"/>
      <c r="CQ1069" s="195"/>
      <c r="CR1069" s="195"/>
      <c r="CS1069" s="195"/>
      <c r="CT1069" s="195"/>
      <c r="CU1069" s="195"/>
      <c r="CV1069" s="195"/>
      <c r="CW1069" s="195"/>
      <c r="CX1069" s="195"/>
      <c r="CY1069" s="195"/>
      <c r="CZ1069" s="195"/>
      <c r="DA1069" s="195"/>
      <c r="DB1069" s="195"/>
      <c r="DC1069" s="195"/>
      <c r="DD1069" s="195"/>
      <c r="DO1069" s="195"/>
      <c r="DP1069" s="195"/>
      <c r="DQ1069" s="195"/>
      <c r="DR1069" s="195"/>
      <c r="DS1069" s="195"/>
      <c r="DT1069" s="195"/>
      <c r="DU1069" s="195"/>
      <c r="DV1069" s="195"/>
      <c r="DW1069" s="195"/>
      <c r="DX1069" s="195"/>
      <c r="DY1069" s="195"/>
      <c r="DZ1069" s="195"/>
      <c r="EA1069" s="195"/>
      <c r="EB1069" s="195"/>
      <c r="EC1069" s="195"/>
      <c r="ED1069" s="195"/>
      <c r="EE1069" s="195"/>
      <c r="EK1069" s="195"/>
      <c r="EL1069" s="240"/>
      <c r="EM1069" s="240"/>
      <c r="EN1069" s="195"/>
      <c r="EO1069" s="240"/>
      <c r="EP1069" s="195"/>
      <c r="EQ1069" s="195"/>
      <c r="ER1069" s="195"/>
      <c r="ES1069" s="736"/>
    </row>
    <row r="1070" customFormat="false" ht="12.75" hidden="false" customHeight="false" outlineLevel="0" collapsed="false">
      <c r="I1070" s="735"/>
      <c r="J1070" s="728"/>
      <c r="K1070" s="195"/>
      <c r="L1070" s="195"/>
      <c r="Q1070" s="195"/>
      <c r="R1070" s="195"/>
      <c r="S1070" s="240"/>
      <c r="T1070" s="195"/>
      <c r="U1070" s="195"/>
      <c r="V1070" s="195"/>
      <c r="W1070" s="195"/>
      <c r="X1070" s="195"/>
      <c r="Y1070" s="195"/>
      <c r="Z1070" s="195"/>
      <c r="AA1070" s="195"/>
      <c r="AB1070" s="195"/>
      <c r="AC1070" s="195"/>
      <c r="AD1070" s="195"/>
      <c r="AE1070" s="195"/>
      <c r="AF1070" s="195"/>
      <c r="AG1070" s="195"/>
      <c r="AH1070" s="195"/>
      <c r="AI1070" s="195"/>
      <c r="AJ1070" s="195"/>
      <c r="AK1070" s="195"/>
      <c r="AL1070" s="195"/>
      <c r="AM1070" s="1"/>
      <c r="AN1070" s="240"/>
      <c r="AO1070" s="240"/>
      <c r="AP1070" s="240"/>
      <c r="AQ1070" s="730"/>
      <c r="AR1070" s="730"/>
      <c r="AS1070" s="730"/>
      <c r="AT1070" s="738"/>
      <c r="AU1070" s="738"/>
      <c r="AV1070" s="240"/>
      <c r="AW1070" s="240"/>
      <c r="AX1070" s="240"/>
      <c r="AY1070" s="240"/>
      <c r="AZ1070" s="240"/>
      <c r="BA1070" s="240"/>
      <c r="BB1070" s="672"/>
      <c r="BC1070" s="731"/>
      <c r="BD1070" s="731"/>
      <c r="BE1070" s="731"/>
      <c r="BF1070" s="672"/>
      <c r="BG1070" s="732"/>
      <c r="BH1070" s="240"/>
      <c r="BI1070" s="240"/>
      <c r="BJ1070" s="240"/>
      <c r="BK1070" s="240"/>
      <c r="BL1070" s="240"/>
      <c r="BM1070" s="240"/>
      <c r="BN1070" s="240"/>
      <c r="BO1070" s="240"/>
      <c r="BP1070" s="240"/>
      <c r="BQ1070" s="240"/>
      <c r="BR1070" s="240"/>
      <c r="BS1070" s="240"/>
      <c r="BT1070" s="240"/>
      <c r="BU1070" s="672"/>
      <c r="BV1070" s="672"/>
      <c r="BW1070" s="672"/>
      <c r="BX1070" s="672"/>
      <c r="BY1070" s="672"/>
      <c r="BZ1070" s="672"/>
      <c r="CA1070" s="672"/>
      <c r="CB1070" s="672"/>
      <c r="CC1070" s="672"/>
      <c r="CD1070" s="672"/>
      <c r="CE1070" s="240"/>
      <c r="CF1070" s="240"/>
      <c r="CG1070" s="240"/>
      <c r="CH1070" s="240"/>
      <c r="CI1070" s="240"/>
      <c r="CJ1070" s="728"/>
      <c r="CK1070" s="728"/>
      <c r="CL1070" s="195"/>
      <c r="CM1070" s="195"/>
      <c r="CN1070" s="195"/>
      <c r="CO1070" s="195"/>
      <c r="CP1070" s="195"/>
      <c r="CQ1070" s="195"/>
      <c r="CR1070" s="195"/>
      <c r="CS1070" s="195"/>
      <c r="CT1070" s="195"/>
      <c r="CU1070" s="195"/>
      <c r="CV1070" s="195"/>
      <c r="CW1070" s="195"/>
      <c r="CX1070" s="195"/>
      <c r="CY1070" s="195"/>
      <c r="CZ1070" s="195"/>
      <c r="DA1070" s="195"/>
      <c r="DB1070" s="195"/>
      <c r="DC1070" s="195"/>
      <c r="DD1070" s="195"/>
      <c r="DO1070" s="195"/>
      <c r="DP1070" s="195"/>
      <c r="DQ1070" s="195"/>
      <c r="DR1070" s="195"/>
      <c r="DS1070" s="195"/>
      <c r="DT1070" s="195"/>
      <c r="DU1070" s="195"/>
      <c r="DV1070" s="195"/>
      <c r="DW1070" s="195"/>
      <c r="DX1070" s="195"/>
      <c r="DY1070" s="195"/>
      <c r="DZ1070" s="195"/>
      <c r="EA1070" s="195"/>
      <c r="EB1070" s="195"/>
      <c r="EC1070" s="195"/>
      <c r="ED1070" s="195"/>
      <c r="EE1070" s="195"/>
      <c r="EK1070" s="195"/>
      <c r="EL1070" s="240"/>
      <c r="EM1070" s="240"/>
      <c r="EN1070" s="195"/>
      <c r="EO1070" s="240"/>
      <c r="EP1070" s="195"/>
      <c r="EQ1070" s="195"/>
      <c r="ER1070" s="195"/>
      <c r="ES1070" s="736"/>
    </row>
    <row r="1071" customFormat="false" ht="12.75" hidden="false" customHeight="false" outlineLevel="0" collapsed="false">
      <c r="I1071" s="735"/>
      <c r="J1071" s="728"/>
      <c r="K1071" s="195"/>
      <c r="L1071" s="195"/>
      <c r="Q1071" s="195"/>
      <c r="R1071" s="195"/>
      <c r="S1071" s="240"/>
      <c r="T1071" s="195"/>
      <c r="U1071" s="195"/>
      <c r="V1071" s="195"/>
      <c r="W1071" s="195"/>
      <c r="X1071" s="195"/>
      <c r="Y1071" s="195"/>
      <c r="Z1071" s="195"/>
      <c r="AA1071" s="195"/>
      <c r="AB1071" s="195"/>
      <c r="AC1071" s="195"/>
      <c r="AD1071" s="195"/>
      <c r="AE1071" s="195"/>
      <c r="AF1071" s="195"/>
      <c r="AG1071" s="195"/>
      <c r="AH1071" s="195"/>
      <c r="AI1071" s="195"/>
      <c r="AJ1071" s="195"/>
      <c r="AK1071" s="195"/>
      <c r="AL1071" s="195"/>
      <c r="AM1071" s="1"/>
      <c r="AN1071" s="240"/>
      <c r="AO1071" s="240"/>
      <c r="AP1071" s="240"/>
      <c r="AQ1071" s="730"/>
      <c r="AR1071" s="730"/>
      <c r="AS1071" s="730"/>
      <c r="AT1071" s="738"/>
      <c r="AU1071" s="738"/>
      <c r="AV1071" s="240"/>
      <c r="AW1071" s="240"/>
      <c r="AX1071" s="240"/>
      <c r="AY1071" s="240"/>
      <c r="AZ1071" s="240"/>
      <c r="BA1071" s="240"/>
      <c r="BB1071" s="672"/>
      <c r="BC1071" s="731"/>
      <c r="BD1071" s="731"/>
      <c r="BE1071" s="731"/>
      <c r="BF1071" s="672"/>
      <c r="BG1071" s="732"/>
      <c r="BH1071" s="240"/>
      <c r="BI1071" s="240"/>
      <c r="BJ1071" s="240"/>
      <c r="BK1071" s="240"/>
      <c r="BL1071" s="240"/>
      <c r="BM1071" s="240"/>
      <c r="BN1071" s="240"/>
      <c r="BO1071" s="240"/>
      <c r="BP1071" s="240"/>
      <c r="BQ1071" s="240"/>
      <c r="BR1071" s="240"/>
      <c r="BS1071" s="240"/>
      <c r="BT1071" s="240"/>
      <c r="BU1071" s="672"/>
      <c r="BV1071" s="672"/>
      <c r="BW1071" s="672"/>
      <c r="BX1071" s="672"/>
      <c r="BY1071" s="672"/>
      <c r="BZ1071" s="672"/>
      <c r="CA1071" s="672"/>
      <c r="CB1071" s="672"/>
      <c r="CC1071" s="672"/>
      <c r="CD1071" s="672"/>
      <c r="CE1071" s="240"/>
      <c r="CF1071" s="240"/>
      <c r="CG1071" s="240"/>
      <c r="CH1071" s="240"/>
      <c r="CI1071" s="240"/>
      <c r="CJ1071" s="728"/>
      <c r="CK1071" s="728"/>
      <c r="CL1071" s="195"/>
      <c r="CM1071" s="195"/>
      <c r="CN1071" s="195"/>
      <c r="CO1071" s="195"/>
      <c r="CP1071" s="195"/>
      <c r="CQ1071" s="195"/>
      <c r="CR1071" s="195"/>
      <c r="CS1071" s="195"/>
      <c r="CT1071" s="195"/>
      <c r="CU1071" s="195"/>
      <c r="CV1071" s="195"/>
      <c r="CW1071" s="195"/>
      <c r="CX1071" s="195"/>
      <c r="CY1071" s="195"/>
      <c r="CZ1071" s="195"/>
      <c r="DA1071" s="195"/>
      <c r="DB1071" s="195"/>
      <c r="DC1071" s="195"/>
      <c r="DD1071" s="195"/>
      <c r="DO1071" s="195"/>
      <c r="DP1071" s="195"/>
      <c r="DQ1071" s="195"/>
      <c r="DR1071" s="195"/>
      <c r="DS1071" s="195"/>
      <c r="DT1071" s="195"/>
      <c r="DU1071" s="195"/>
      <c r="DV1071" s="195"/>
      <c r="DW1071" s="195"/>
      <c r="DX1071" s="195"/>
      <c r="DY1071" s="195"/>
      <c r="DZ1071" s="195"/>
      <c r="EA1071" s="195"/>
      <c r="EB1071" s="195"/>
      <c r="EC1071" s="195"/>
      <c r="ED1071" s="195"/>
      <c r="EE1071" s="195"/>
      <c r="EK1071" s="195"/>
      <c r="EL1071" s="240"/>
      <c r="EM1071" s="240"/>
      <c r="EN1071" s="195"/>
      <c r="EO1071" s="240"/>
      <c r="EP1071" s="195"/>
      <c r="EQ1071" s="195"/>
      <c r="ER1071" s="195"/>
      <c r="ES1071" s="736"/>
    </row>
    <row r="1072" customFormat="false" ht="12.75" hidden="false" customHeight="false" outlineLevel="0" collapsed="false">
      <c r="I1072" s="735"/>
      <c r="J1072" s="728"/>
      <c r="K1072" s="195"/>
      <c r="L1072" s="195"/>
      <c r="Q1072" s="195"/>
      <c r="R1072" s="195"/>
      <c r="S1072" s="240"/>
      <c r="T1072" s="195"/>
      <c r="U1072" s="195"/>
      <c r="V1072" s="195"/>
      <c r="W1072" s="195"/>
      <c r="X1072" s="195"/>
      <c r="Y1072" s="195"/>
      <c r="Z1072" s="195"/>
      <c r="AA1072" s="195"/>
      <c r="AB1072" s="195"/>
      <c r="AC1072" s="195"/>
      <c r="AD1072" s="195"/>
      <c r="AE1072" s="195"/>
      <c r="AF1072" s="195"/>
      <c r="AG1072" s="195"/>
      <c r="AH1072" s="195"/>
      <c r="AI1072" s="195"/>
      <c r="AJ1072" s="195"/>
      <c r="AK1072" s="195"/>
      <c r="AL1072" s="195"/>
      <c r="AM1072" s="1"/>
      <c r="AN1072" s="240"/>
      <c r="AO1072" s="240"/>
      <c r="AP1072" s="240"/>
      <c r="AQ1072" s="730"/>
      <c r="AR1072" s="730"/>
      <c r="AS1072" s="730"/>
      <c r="AT1072" s="738"/>
      <c r="AU1072" s="738"/>
      <c r="AV1072" s="240"/>
      <c r="AW1072" s="240"/>
      <c r="AX1072" s="240"/>
      <c r="AY1072" s="240"/>
      <c r="AZ1072" s="240"/>
      <c r="BA1072" s="240"/>
      <c r="BB1072" s="672"/>
      <c r="BC1072" s="731"/>
      <c r="BD1072" s="731"/>
      <c r="BE1072" s="731"/>
      <c r="BF1072" s="672"/>
      <c r="BG1072" s="732"/>
      <c r="BH1072" s="240"/>
      <c r="BI1072" s="240"/>
      <c r="BJ1072" s="240"/>
      <c r="BK1072" s="240"/>
      <c r="BL1072" s="240"/>
      <c r="BM1072" s="240"/>
      <c r="BN1072" s="240"/>
      <c r="BO1072" s="240"/>
      <c r="BP1072" s="240"/>
      <c r="BQ1072" s="240"/>
      <c r="BR1072" s="240"/>
      <c r="BS1072" s="240"/>
      <c r="BT1072" s="240"/>
      <c r="BU1072" s="672"/>
      <c r="BV1072" s="672"/>
      <c r="BW1072" s="672"/>
      <c r="BX1072" s="672"/>
      <c r="BY1072" s="672"/>
      <c r="BZ1072" s="672"/>
      <c r="CA1072" s="672"/>
      <c r="CB1072" s="672"/>
      <c r="CC1072" s="672"/>
      <c r="CD1072" s="672"/>
      <c r="CE1072" s="240"/>
      <c r="CF1072" s="240"/>
      <c r="CG1072" s="240"/>
      <c r="CH1072" s="240"/>
      <c r="CI1072" s="240"/>
      <c r="CJ1072" s="728"/>
      <c r="CK1072" s="728"/>
      <c r="CL1072" s="195"/>
      <c r="CM1072" s="195"/>
      <c r="CN1072" s="195"/>
      <c r="CO1072" s="195"/>
      <c r="CP1072" s="195"/>
      <c r="CQ1072" s="195"/>
      <c r="CR1072" s="195"/>
      <c r="CS1072" s="195"/>
      <c r="CT1072" s="195"/>
      <c r="CU1072" s="195"/>
      <c r="CV1072" s="195"/>
      <c r="CW1072" s="195"/>
      <c r="CX1072" s="195"/>
      <c r="CY1072" s="195"/>
      <c r="CZ1072" s="195"/>
      <c r="DA1072" s="195"/>
      <c r="DB1072" s="195"/>
      <c r="DC1072" s="195"/>
      <c r="DD1072" s="195"/>
      <c r="DO1072" s="195"/>
      <c r="DP1072" s="195"/>
      <c r="DQ1072" s="195"/>
      <c r="DR1072" s="195"/>
      <c r="DS1072" s="195"/>
      <c r="DT1072" s="195"/>
      <c r="DU1072" s="195"/>
      <c r="DV1072" s="195"/>
      <c r="DW1072" s="195"/>
      <c r="DX1072" s="195"/>
      <c r="DY1072" s="195"/>
      <c r="DZ1072" s="195"/>
      <c r="EA1072" s="195"/>
      <c r="EB1072" s="195"/>
      <c r="EC1072" s="195"/>
      <c r="ED1072" s="195"/>
      <c r="EE1072" s="195"/>
      <c r="EK1072" s="195"/>
      <c r="EL1072" s="240"/>
      <c r="EM1072" s="240"/>
      <c r="EN1072" s="195"/>
      <c r="EO1072" s="240"/>
      <c r="EP1072" s="195"/>
      <c r="EQ1072" s="195"/>
      <c r="ER1072" s="195"/>
      <c r="ES1072" s="736"/>
    </row>
    <row r="1073" customFormat="false" ht="12.75" hidden="false" customHeight="false" outlineLevel="0" collapsed="false">
      <c r="I1073" s="735"/>
      <c r="J1073" s="728"/>
      <c r="K1073" s="195"/>
      <c r="L1073" s="195"/>
      <c r="Q1073" s="195"/>
      <c r="R1073" s="195"/>
      <c r="S1073" s="240"/>
      <c r="T1073" s="195"/>
      <c r="U1073" s="195"/>
      <c r="V1073" s="195"/>
      <c r="W1073" s="195"/>
      <c r="X1073" s="195"/>
      <c r="Y1073" s="195"/>
      <c r="Z1073" s="195"/>
      <c r="AA1073" s="195"/>
      <c r="AB1073" s="195"/>
      <c r="AC1073" s="195"/>
      <c r="AD1073" s="195"/>
      <c r="AE1073" s="195"/>
      <c r="AF1073" s="195"/>
      <c r="AG1073" s="195"/>
      <c r="AH1073" s="195"/>
      <c r="AI1073" s="195"/>
      <c r="AJ1073" s="195"/>
      <c r="AK1073" s="195"/>
      <c r="AL1073" s="195"/>
      <c r="AM1073" s="1"/>
      <c r="AN1073" s="240"/>
      <c r="AO1073" s="240"/>
      <c r="AP1073" s="240"/>
      <c r="AQ1073" s="730"/>
      <c r="AR1073" s="730"/>
      <c r="AS1073" s="730"/>
      <c r="AT1073" s="738"/>
      <c r="AU1073" s="738"/>
      <c r="AV1073" s="240"/>
      <c r="AW1073" s="240"/>
      <c r="AX1073" s="240"/>
      <c r="AY1073" s="240"/>
      <c r="AZ1073" s="240"/>
      <c r="BA1073" s="240"/>
      <c r="BB1073" s="672"/>
      <c r="BC1073" s="731"/>
      <c r="BD1073" s="731"/>
      <c r="BE1073" s="731"/>
      <c r="BF1073" s="672"/>
      <c r="BG1073" s="732"/>
      <c r="BH1073" s="240"/>
      <c r="BI1073" s="240"/>
      <c r="BJ1073" s="240"/>
      <c r="BK1073" s="240"/>
      <c r="BL1073" s="240"/>
      <c r="BM1073" s="240"/>
      <c r="BN1073" s="240"/>
      <c r="BO1073" s="240"/>
      <c r="BP1073" s="240"/>
      <c r="BQ1073" s="240"/>
      <c r="BR1073" s="240"/>
      <c r="BS1073" s="240"/>
      <c r="BT1073" s="240"/>
      <c r="BU1073" s="672"/>
      <c r="BV1073" s="672"/>
      <c r="BW1073" s="672"/>
      <c r="BX1073" s="672"/>
      <c r="BY1073" s="672"/>
      <c r="BZ1073" s="672"/>
      <c r="CA1073" s="672"/>
      <c r="CB1073" s="672"/>
      <c r="CC1073" s="672"/>
      <c r="CD1073" s="672"/>
      <c r="CE1073" s="240"/>
      <c r="CF1073" s="240"/>
      <c r="CG1073" s="240"/>
      <c r="CH1073" s="240"/>
      <c r="CI1073" s="240"/>
      <c r="CJ1073" s="728"/>
      <c r="CK1073" s="728"/>
      <c r="CL1073" s="195"/>
      <c r="CM1073" s="195"/>
      <c r="CN1073" s="195"/>
      <c r="CO1073" s="195"/>
      <c r="CP1073" s="195"/>
      <c r="CQ1073" s="195"/>
      <c r="CR1073" s="195"/>
      <c r="CS1073" s="195"/>
      <c r="CT1073" s="195"/>
      <c r="CU1073" s="195"/>
      <c r="CV1073" s="195"/>
      <c r="CW1073" s="195"/>
      <c r="CX1073" s="195"/>
      <c r="CY1073" s="195"/>
      <c r="CZ1073" s="195"/>
      <c r="DA1073" s="195"/>
      <c r="DB1073" s="195"/>
      <c r="DC1073" s="195"/>
      <c r="DD1073" s="195"/>
      <c r="DO1073" s="195"/>
      <c r="DP1073" s="195"/>
      <c r="DQ1073" s="195"/>
      <c r="DR1073" s="195"/>
      <c r="DS1073" s="195"/>
      <c r="DT1073" s="195"/>
      <c r="DU1073" s="195"/>
      <c r="DV1073" s="195"/>
      <c r="DW1073" s="195"/>
      <c r="DX1073" s="195"/>
      <c r="DY1073" s="195"/>
      <c r="DZ1073" s="195"/>
      <c r="EA1073" s="195"/>
      <c r="EB1073" s="195"/>
      <c r="EC1073" s="195"/>
      <c r="ED1073" s="195"/>
      <c r="EE1073" s="195"/>
      <c r="EK1073" s="195"/>
      <c r="EL1073" s="240"/>
      <c r="EM1073" s="240"/>
      <c r="EN1073" s="195"/>
      <c r="EO1073" s="240"/>
      <c r="EP1073" s="195"/>
      <c r="EQ1073" s="195"/>
      <c r="ER1073" s="195"/>
      <c r="ES1073" s="736"/>
    </row>
    <row r="1074" customFormat="false" ht="12.75" hidden="false" customHeight="false" outlineLevel="0" collapsed="false">
      <c r="I1074" s="735"/>
      <c r="J1074" s="728"/>
      <c r="K1074" s="195"/>
      <c r="L1074" s="195"/>
      <c r="Q1074" s="195"/>
      <c r="R1074" s="195"/>
      <c r="S1074" s="240"/>
      <c r="T1074" s="195"/>
      <c r="U1074" s="195"/>
      <c r="V1074" s="195"/>
      <c r="W1074" s="195"/>
      <c r="X1074" s="195"/>
      <c r="Y1074" s="195"/>
      <c r="Z1074" s="195"/>
      <c r="AA1074" s="195"/>
      <c r="AB1074" s="195"/>
      <c r="AC1074" s="195"/>
      <c r="AD1074" s="195"/>
      <c r="AE1074" s="195"/>
      <c r="AF1074" s="195"/>
      <c r="AG1074" s="195"/>
      <c r="AH1074" s="195"/>
      <c r="AI1074" s="195"/>
      <c r="AJ1074" s="195"/>
      <c r="AK1074" s="195"/>
      <c r="AL1074" s="195"/>
      <c r="AM1074" s="1"/>
      <c r="AN1074" s="240"/>
      <c r="AO1074" s="240"/>
      <c r="AP1074" s="240"/>
      <c r="AQ1074" s="730"/>
      <c r="AR1074" s="730"/>
      <c r="AS1074" s="730"/>
      <c r="AT1074" s="738"/>
      <c r="AU1074" s="738"/>
      <c r="AV1074" s="240"/>
      <c r="AW1074" s="240"/>
      <c r="AX1074" s="240"/>
      <c r="AY1074" s="240"/>
      <c r="AZ1074" s="240"/>
      <c r="BA1074" s="240"/>
      <c r="BB1074" s="672"/>
      <c r="BC1074" s="731"/>
      <c r="BD1074" s="731"/>
      <c r="BE1074" s="731"/>
      <c r="BF1074" s="672"/>
      <c r="BG1074" s="732"/>
      <c r="BH1074" s="240"/>
      <c r="BI1074" s="240"/>
      <c r="BJ1074" s="240"/>
      <c r="BK1074" s="240"/>
      <c r="BL1074" s="240"/>
      <c r="BM1074" s="240"/>
      <c r="BN1074" s="240"/>
      <c r="BO1074" s="240"/>
      <c r="BP1074" s="240"/>
      <c r="BQ1074" s="240"/>
      <c r="BR1074" s="240"/>
      <c r="BS1074" s="240"/>
      <c r="BT1074" s="240"/>
      <c r="BU1074" s="672"/>
      <c r="BV1074" s="672"/>
      <c r="BW1074" s="672"/>
      <c r="BX1074" s="672"/>
      <c r="BY1074" s="672"/>
      <c r="BZ1074" s="672"/>
      <c r="CA1074" s="672"/>
      <c r="CB1074" s="672"/>
      <c r="CC1074" s="672"/>
      <c r="CD1074" s="672"/>
      <c r="CE1074" s="240"/>
      <c r="CF1074" s="240"/>
      <c r="CG1074" s="240"/>
      <c r="CH1074" s="240"/>
      <c r="CI1074" s="240"/>
      <c r="CJ1074" s="728"/>
      <c r="CK1074" s="728"/>
      <c r="CL1074" s="195"/>
      <c r="CM1074" s="195"/>
      <c r="CN1074" s="195"/>
      <c r="CO1074" s="195"/>
      <c r="CP1074" s="195"/>
      <c r="CQ1074" s="195"/>
      <c r="CR1074" s="195"/>
      <c r="CS1074" s="195"/>
      <c r="CT1074" s="195"/>
      <c r="CU1074" s="195"/>
      <c r="CV1074" s="195"/>
      <c r="CW1074" s="195"/>
      <c r="CX1074" s="195"/>
      <c r="CY1074" s="195"/>
      <c r="CZ1074" s="195"/>
      <c r="DA1074" s="195"/>
      <c r="DB1074" s="195"/>
      <c r="DC1074" s="195"/>
      <c r="DD1074" s="195"/>
      <c r="DO1074" s="195"/>
      <c r="DP1074" s="195"/>
      <c r="DQ1074" s="195"/>
      <c r="DR1074" s="195"/>
      <c r="DS1074" s="195"/>
      <c r="DT1074" s="195"/>
      <c r="DU1074" s="195"/>
      <c r="DV1074" s="195"/>
      <c r="DW1074" s="195"/>
      <c r="DX1074" s="195"/>
      <c r="DY1074" s="195"/>
      <c r="DZ1074" s="195"/>
      <c r="EA1074" s="195"/>
      <c r="EB1074" s="195"/>
      <c r="EC1074" s="195"/>
      <c r="ED1074" s="195"/>
      <c r="EE1074" s="195"/>
      <c r="EK1074" s="195"/>
      <c r="EL1074" s="240"/>
      <c r="EM1074" s="240"/>
      <c r="EN1074" s="195"/>
      <c r="EO1074" s="240"/>
      <c r="EP1074" s="195"/>
      <c r="EQ1074" s="195"/>
      <c r="ER1074" s="195"/>
      <c r="ES1074" s="736"/>
    </row>
    <row r="1075" customFormat="false" ht="12.75" hidden="false" customHeight="false" outlineLevel="0" collapsed="false">
      <c r="I1075" s="735"/>
      <c r="J1075" s="728"/>
      <c r="K1075" s="195"/>
      <c r="L1075" s="195"/>
      <c r="Q1075" s="195"/>
      <c r="R1075" s="195"/>
      <c r="S1075" s="240"/>
      <c r="T1075" s="195"/>
      <c r="U1075" s="195"/>
      <c r="V1075" s="195"/>
      <c r="W1075" s="195"/>
      <c r="X1075" s="195"/>
      <c r="Y1075" s="195"/>
      <c r="Z1075" s="195"/>
      <c r="AA1075" s="195"/>
      <c r="AB1075" s="195"/>
      <c r="AC1075" s="195"/>
      <c r="AD1075" s="195"/>
      <c r="AE1075" s="195"/>
      <c r="AF1075" s="195"/>
      <c r="AG1075" s="195"/>
      <c r="AH1075" s="195"/>
      <c r="AI1075" s="195"/>
      <c r="AJ1075" s="195"/>
      <c r="AK1075" s="195"/>
      <c r="AL1075" s="195"/>
      <c r="AM1075" s="1"/>
      <c r="AN1075" s="240"/>
      <c r="AO1075" s="240"/>
      <c r="AP1075" s="240"/>
      <c r="AQ1075" s="730"/>
      <c r="AR1075" s="730"/>
      <c r="AS1075" s="730"/>
      <c r="AT1075" s="738"/>
      <c r="AU1075" s="738"/>
      <c r="AV1075" s="240"/>
      <c r="AW1075" s="240"/>
      <c r="AX1075" s="240"/>
      <c r="AY1075" s="240"/>
      <c r="AZ1075" s="240"/>
      <c r="BA1075" s="240"/>
      <c r="BB1075" s="672"/>
      <c r="BC1075" s="731"/>
      <c r="BD1075" s="731"/>
      <c r="BE1075" s="731"/>
      <c r="BF1075" s="672"/>
      <c r="BG1075" s="732"/>
      <c r="BH1075" s="240"/>
      <c r="BI1075" s="240"/>
      <c r="BJ1075" s="240"/>
      <c r="BK1075" s="240"/>
      <c r="BL1075" s="240"/>
      <c r="BM1075" s="240"/>
      <c r="BN1075" s="240"/>
      <c r="BO1075" s="240"/>
      <c r="BP1075" s="240"/>
      <c r="BQ1075" s="240"/>
      <c r="BR1075" s="240"/>
      <c r="BS1075" s="240"/>
      <c r="BT1075" s="240"/>
      <c r="BU1075" s="672"/>
      <c r="BV1075" s="672"/>
      <c r="BW1075" s="672"/>
      <c r="BX1075" s="672"/>
      <c r="BY1075" s="672"/>
      <c r="BZ1075" s="672"/>
      <c r="CA1075" s="672"/>
      <c r="CB1075" s="672"/>
      <c r="CC1075" s="672"/>
      <c r="CD1075" s="672"/>
      <c r="CE1075" s="240"/>
      <c r="CF1075" s="240"/>
      <c r="CG1075" s="240"/>
      <c r="CH1075" s="240"/>
      <c r="CI1075" s="240"/>
      <c r="CJ1075" s="728"/>
      <c r="CK1075" s="728"/>
      <c r="CL1075" s="195"/>
      <c r="CM1075" s="195"/>
      <c r="CN1075" s="195"/>
      <c r="CO1075" s="195"/>
      <c r="CP1075" s="195"/>
      <c r="CQ1075" s="195"/>
      <c r="CR1075" s="195"/>
      <c r="CS1075" s="195"/>
      <c r="CT1075" s="195"/>
      <c r="CU1075" s="195"/>
      <c r="CV1075" s="195"/>
      <c r="CW1075" s="195"/>
      <c r="CX1075" s="195"/>
      <c r="CY1075" s="195"/>
      <c r="CZ1075" s="195"/>
      <c r="DA1075" s="195"/>
      <c r="DB1075" s="195"/>
      <c r="DC1075" s="195"/>
      <c r="DD1075" s="195"/>
      <c r="DO1075" s="195"/>
      <c r="DP1075" s="195"/>
      <c r="DQ1075" s="195"/>
      <c r="DR1075" s="195"/>
      <c r="DS1075" s="195"/>
      <c r="DT1075" s="195"/>
      <c r="DU1075" s="195"/>
      <c r="DV1075" s="195"/>
      <c r="DW1075" s="195"/>
      <c r="DX1075" s="195"/>
      <c r="DY1075" s="195"/>
      <c r="DZ1075" s="195"/>
      <c r="EA1075" s="195"/>
      <c r="EB1075" s="195"/>
      <c r="EC1075" s="195"/>
      <c r="ED1075" s="195"/>
      <c r="EE1075" s="195"/>
      <c r="EK1075" s="195"/>
      <c r="EL1075" s="240"/>
      <c r="EM1075" s="240"/>
      <c r="EN1075" s="195"/>
      <c r="EO1075" s="240"/>
      <c r="EP1075" s="195"/>
      <c r="EQ1075" s="195"/>
      <c r="ER1075" s="195"/>
      <c r="ES1075" s="736"/>
    </row>
    <row r="1076" customFormat="false" ht="12.75" hidden="false" customHeight="false" outlineLevel="0" collapsed="false">
      <c r="I1076" s="735"/>
      <c r="J1076" s="728"/>
      <c r="K1076" s="195"/>
      <c r="L1076" s="195"/>
      <c r="Q1076" s="195"/>
      <c r="R1076" s="195"/>
      <c r="S1076" s="240"/>
      <c r="T1076" s="195"/>
      <c r="U1076" s="195"/>
      <c r="V1076" s="195"/>
      <c r="W1076" s="195"/>
      <c r="X1076" s="195"/>
      <c r="Y1076" s="195"/>
      <c r="Z1076" s="195"/>
      <c r="AA1076" s="195"/>
      <c r="AB1076" s="195"/>
      <c r="AC1076" s="195"/>
      <c r="AD1076" s="195"/>
      <c r="AE1076" s="195"/>
      <c r="AF1076" s="195"/>
      <c r="AG1076" s="195"/>
      <c r="AH1076" s="195"/>
      <c r="AI1076" s="195"/>
      <c r="AJ1076" s="195"/>
      <c r="AK1076" s="195"/>
      <c r="AL1076" s="195"/>
      <c r="AM1076" s="1"/>
      <c r="AN1076" s="240"/>
      <c r="AO1076" s="240"/>
      <c r="AP1076" s="240"/>
      <c r="AQ1076" s="730"/>
      <c r="AR1076" s="730"/>
      <c r="AS1076" s="730"/>
      <c r="AT1076" s="738"/>
      <c r="AU1076" s="738"/>
      <c r="AV1076" s="240"/>
      <c r="AW1076" s="240"/>
      <c r="AX1076" s="240"/>
      <c r="AY1076" s="240"/>
      <c r="AZ1076" s="240"/>
      <c r="BA1076" s="240"/>
      <c r="BB1076" s="672"/>
      <c r="BC1076" s="731"/>
      <c r="BD1076" s="731"/>
      <c r="BE1076" s="731"/>
      <c r="BF1076" s="672"/>
      <c r="BG1076" s="732"/>
      <c r="BH1076" s="240"/>
      <c r="BI1076" s="240"/>
      <c r="BJ1076" s="240"/>
      <c r="BK1076" s="240"/>
      <c r="BL1076" s="240"/>
      <c r="BM1076" s="240"/>
      <c r="BN1076" s="240"/>
      <c r="BO1076" s="240"/>
      <c r="BP1076" s="240"/>
      <c r="BQ1076" s="240"/>
      <c r="BR1076" s="240"/>
      <c r="BS1076" s="240"/>
      <c r="BT1076" s="240"/>
      <c r="BU1076" s="672"/>
      <c r="BV1076" s="672"/>
      <c r="BW1076" s="672"/>
      <c r="BX1076" s="672"/>
      <c r="BY1076" s="672"/>
      <c r="BZ1076" s="672"/>
      <c r="CA1076" s="672"/>
      <c r="CB1076" s="672"/>
      <c r="CC1076" s="672"/>
      <c r="CD1076" s="672"/>
      <c r="CE1076" s="240"/>
      <c r="CF1076" s="240"/>
      <c r="CG1076" s="240"/>
      <c r="CH1076" s="240"/>
      <c r="CI1076" s="240"/>
      <c r="CJ1076" s="728"/>
      <c r="CK1076" s="728"/>
      <c r="CL1076" s="195"/>
      <c r="CM1076" s="195"/>
      <c r="CN1076" s="195"/>
      <c r="CO1076" s="195"/>
      <c r="CP1076" s="195"/>
      <c r="CQ1076" s="195"/>
      <c r="CR1076" s="195"/>
      <c r="CS1076" s="195"/>
      <c r="CT1076" s="195"/>
      <c r="CU1076" s="195"/>
      <c r="CV1076" s="195"/>
      <c r="CW1076" s="195"/>
      <c r="CX1076" s="195"/>
      <c r="CY1076" s="195"/>
      <c r="CZ1076" s="195"/>
      <c r="DA1076" s="195"/>
      <c r="DB1076" s="195"/>
      <c r="DC1076" s="195"/>
      <c r="DD1076" s="195"/>
      <c r="DO1076" s="195"/>
      <c r="DP1076" s="195"/>
      <c r="DQ1076" s="195"/>
      <c r="DR1076" s="195"/>
      <c r="DS1076" s="195"/>
      <c r="DT1076" s="195"/>
      <c r="DU1076" s="195"/>
      <c r="DV1076" s="195"/>
      <c r="DW1076" s="195"/>
      <c r="DX1076" s="195"/>
      <c r="DY1076" s="195"/>
      <c r="DZ1076" s="195"/>
      <c r="EA1076" s="195"/>
      <c r="EB1076" s="195"/>
      <c r="EC1076" s="195"/>
      <c r="ED1076" s="195"/>
      <c r="EE1076" s="195"/>
      <c r="EK1076" s="195"/>
      <c r="EL1076" s="240"/>
      <c r="EM1076" s="240"/>
      <c r="EN1076" s="195"/>
      <c r="EO1076" s="240"/>
      <c r="EP1076" s="195"/>
      <c r="EQ1076" s="195"/>
      <c r="ER1076" s="195"/>
      <c r="ES1076" s="736"/>
    </row>
    <row r="1077" customFormat="false" ht="12.75" hidden="false" customHeight="false" outlineLevel="0" collapsed="false">
      <c r="I1077" s="735"/>
      <c r="J1077" s="728"/>
      <c r="K1077" s="195"/>
      <c r="L1077" s="195"/>
      <c r="Q1077" s="195"/>
      <c r="R1077" s="195"/>
      <c r="S1077" s="240"/>
      <c r="T1077" s="195"/>
      <c r="U1077" s="195"/>
      <c r="V1077" s="195"/>
      <c r="W1077" s="195"/>
      <c r="X1077" s="195"/>
      <c r="Y1077" s="195"/>
      <c r="Z1077" s="195"/>
      <c r="AA1077" s="195"/>
      <c r="AB1077" s="195"/>
      <c r="AC1077" s="195"/>
      <c r="AD1077" s="195"/>
      <c r="AE1077" s="195"/>
      <c r="AF1077" s="195"/>
      <c r="AG1077" s="195"/>
      <c r="AH1077" s="195"/>
      <c r="AI1077" s="195"/>
      <c r="AJ1077" s="195"/>
      <c r="AK1077" s="195"/>
      <c r="AL1077" s="195"/>
      <c r="AM1077" s="1"/>
      <c r="AN1077" s="240"/>
      <c r="AO1077" s="240"/>
      <c r="AP1077" s="240"/>
      <c r="AQ1077" s="730"/>
      <c r="AR1077" s="730"/>
      <c r="AS1077" s="730"/>
      <c r="AT1077" s="738"/>
      <c r="AU1077" s="738"/>
      <c r="AV1077" s="240"/>
      <c r="AW1077" s="240"/>
      <c r="AX1077" s="240"/>
      <c r="AY1077" s="240"/>
      <c r="AZ1077" s="240"/>
      <c r="BA1077" s="240"/>
      <c r="BB1077" s="672"/>
      <c r="BC1077" s="731"/>
      <c r="BD1077" s="731"/>
      <c r="BE1077" s="731"/>
      <c r="BF1077" s="672"/>
      <c r="BG1077" s="732"/>
      <c r="BH1077" s="240"/>
      <c r="BI1077" s="240"/>
      <c r="BJ1077" s="240"/>
      <c r="BK1077" s="240"/>
      <c r="BL1077" s="240"/>
      <c r="BM1077" s="240"/>
      <c r="BN1077" s="240"/>
      <c r="BO1077" s="240"/>
      <c r="BP1077" s="240"/>
      <c r="BQ1077" s="240"/>
      <c r="BR1077" s="240"/>
      <c r="BS1077" s="240"/>
      <c r="BT1077" s="240"/>
      <c r="BU1077" s="672"/>
      <c r="BV1077" s="672"/>
      <c r="BW1077" s="672"/>
      <c r="BX1077" s="672"/>
      <c r="BY1077" s="672"/>
      <c r="BZ1077" s="672"/>
      <c r="CA1077" s="672"/>
      <c r="CB1077" s="672"/>
      <c r="CC1077" s="672"/>
      <c r="CD1077" s="672"/>
      <c r="CE1077" s="240"/>
      <c r="CF1077" s="240"/>
      <c r="CG1077" s="240"/>
      <c r="CH1077" s="240"/>
      <c r="CI1077" s="240"/>
      <c r="CJ1077" s="728"/>
      <c r="CK1077" s="728"/>
      <c r="CL1077" s="195"/>
      <c r="CM1077" s="195"/>
      <c r="CN1077" s="195"/>
      <c r="CO1077" s="195"/>
      <c r="CP1077" s="195"/>
      <c r="CQ1077" s="195"/>
      <c r="CR1077" s="195"/>
      <c r="CS1077" s="195"/>
      <c r="CT1077" s="195"/>
      <c r="CU1077" s="195"/>
      <c r="CV1077" s="195"/>
      <c r="CW1077" s="195"/>
      <c r="CX1077" s="195"/>
      <c r="CY1077" s="195"/>
      <c r="CZ1077" s="195"/>
      <c r="DA1077" s="195"/>
      <c r="DB1077" s="195"/>
      <c r="DC1077" s="195"/>
      <c r="DD1077" s="195"/>
      <c r="DO1077" s="195"/>
      <c r="DP1077" s="195"/>
      <c r="DQ1077" s="195"/>
      <c r="DR1077" s="195"/>
      <c r="DS1077" s="195"/>
      <c r="DT1077" s="195"/>
      <c r="DU1077" s="195"/>
      <c r="DV1077" s="195"/>
      <c r="DW1077" s="195"/>
      <c r="DX1077" s="195"/>
      <c r="DY1077" s="195"/>
      <c r="DZ1077" s="195"/>
      <c r="EA1077" s="195"/>
      <c r="EB1077" s="195"/>
      <c r="EC1077" s="195"/>
      <c r="ED1077" s="195"/>
      <c r="EE1077" s="195"/>
      <c r="EK1077" s="195"/>
      <c r="EL1077" s="240"/>
      <c r="EM1077" s="240"/>
      <c r="EN1077" s="195"/>
      <c r="EO1077" s="240"/>
      <c r="EP1077" s="195"/>
      <c r="EQ1077" s="195"/>
      <c r="ER1077" s="195"/>
      <c r="ES1077" s="736"/>
    </row>
    <row r="1078" customFormat="false" ht="12.75" hidden="false" customHeight="false" outlineLevel="0" collapsed="false">
      <c r="I1078" s="735"/>
      <c r="J1078" s="728"/>
      <c r="K1078" s="195"/>
      <c r="L1078" s="195"/>
      <c r="Q1078" s="195"/>
      <c r="R1078" s="195"/>
      <c r="S1078" s="240"/>
      <c r="T1078" s="195"/>
      <c r="U1078" s="195"/>
      <c r="V1078" s="195"/>
      <c r="W1078" s="195"/>
      <c r="X1078" s="195"/>
      <c r="Y1078" s="195"/>
      <c r="Z1078" s="195"/>
      <c r="AA1078" s="195"/>
      <c r="AB1078" s="195"/>
      <c r="AC1078" s="195"/>
      <c r="AD1078" s="195"/>
      <c r="AE1078" s="195"/>
      <c r="AF1078" s="195"/>
      <c r="AG1078" s="195"/>
      <c r="AH1078" s="195"/>
      <c r="AI1078" s="195"/>
      <c r="AJ1078" s="195"/>
      <c r="AK1078" s="195"/>
      <c r="AL1078" s="195"/>
      <c r="AM1078" s="1"/>
      <c r="AN1078" s="240"/>
      <c r="AO1078" s="240"/>
      <c r="AP1078" s="240"/>
      <c r="AQ1078" s="730"/>
      <c r="AR1078" s="730"/>
      <c r="AS1078" s="730"/>
      <c r="AT1078" s="738"/>
      <c r="AU1078" s="738"/>
      <c r="AV1078" s="240"/>
      <c r="AW1078" s="240"/>
      <c r="AX1078" s="240"/>
      <c r="AY1078" s="240"/>
      <c r="AZ1078" s="240"/>
      <c r="BA1078" s="240"/>
      <c r="BB1078" s="672"/>
      <c r="BC1078" s="731"/>
      <c r="BD1078" s="731"/>
      <c r="BE1078" s="731"/>
      <c r="BF1078" s="672"/>
      <c r="BG1078" s="732"/>
      <c r="BH1078" s="240"/>
      <c r="BI1078" s="240"/>
      <c r="BJ1078" s="240"/>
      <c r="BK1078" s="240"/>
      <c r="BL1078" s="240"/>
      <c r="BM1078" s="240"/>
      <c r="BN1078" s="240"/>
      <c r="BO1078" s="240"/>
      <c r="BP1078" s="240"/>
      <c r="BQ1078" s="240"/>
      <c r="BR1078" s="240"/>
      <c r="BS1078" s="240"/>
      <c r="BT1078" s="240"/>
      <c r="BU1078" s="672"/>
      <c r="BV1078" s="672"/>
      <c r="BW1078" s="672"/>
      <c r="BX1078" s="672"/>
      <c r="BY1078" s="672"/>
      <c r="BZ1078" s="672"/>
      <c r="CA1078" s="672"/>
      <c r="CB1078" s="672"/>
      <c r="CC1078" s="672"/>
      <c r="CD1078" s="672"/>
      <c r="CE1078" s="240"/>
      <c r="CF1078" s="240"/>
      <c r="CG1078" s="240"/>
      <c r="CH1078" s="240"/>
      <c r="CI1078" s="240"/>
      <c r="CJ1078" s="728"/>
      <c r="CK1078" s="728"/>
      <c r="CL1078" s="195"/>
      <c r="CM1078" s="195"/>
      <c r="CN1078" s="195"/>
      <c r="CO1078" s="195"/>
      <c r="CP1078" s="195"/>
      <c r="CQ1078" s="195"/>
      <c r="CR1078" s="195"/>
      <c r="CS1078" s="195"/>
      <c r="CT1078" s="195"/>
      <c r="CU1078" s="195"/>
      <c r="CV1078" s="195"/>
      <c r="CW1078" s="195"/>
      <c r="CX1078" s="195"/>
      <c r="CY1078" s="195"/>
      <c r="CZ1078" s="195"/>
      <c r="DA1078" s="195"/>
      <c r="DB1078" s="195"/>
      <c r="DC1078" s="195"/>
      <c r="DD1078" s="195"/>
      <c r="DO1078" s="195"/>
      <c r="DP1078" s="195"/>
      <c r="DQ1078" s="195"/>
      <c r="DR1078" s="195"/>
      <c r="DS1078" s="195"/>
      <c r="DT1078" s="195"/>
      <c r="DU1078" s="195"/>
      <c r="DV1078" s="195"/>
      <c r="DW1078" s="195"/>
      <c r="DX1078" s="195"/>
      <c r="DY1078" s="195"/>
      <c r="DZ1078" s="195"/>
      <c r="EA1078" s="195"/>
      <c r="EB1078" s="195"/>
      <c r="EC1078" s="195"/>
      <c r="ED1078" s="195"/>
      <c r="EE1078" s="195"/>
      <c r="EK1078" s="195"/>
      <c r="EL1078" s="240"/>
      <c r="EM1078" s="240"/>
      <c r="EN1078" s="195"/>
      <c r="EO1078" s="240"/>
      <c r="EP1078" s="195"/>
      <c r="EQ1078" s="195"/>
      <c r="ER1078" s="195"/>
      <c r="ES1078" s="736"/>
    </row>
    <row r="1079" customFormat="false" ht="12.75" hidden="false" customHeight="false" outlineLevel="0" collapsed="false">
      <c r="I1079" s="735"/>
      <c r="J1079" s="728"/>
      <c r="K1079" s="195"/>
      <c r="L1079" s="195"/>
      <c r="Q1079" s="195"/>
      <c r="R1079" s="195"/>
      <c r="S1079" s="240"/>
      <c r="T1079" s="195"/>
      <c r="U1079" s="195"/>
      <c r="V1079" s="195"/>
      <c r="W1079" s="195"/>
      <c r="X1079" s="195"/>
      <c r="Y1079" s="195"/>
      <c r="Z1079" s="195"/>
      <c r="AA1079" s="195"/>
      <c r="AB1079" s="195"/>
      <c r="AC1079" s="195"/>
      <c r="AD1079" s="195"/>
      <c r="AE1079" s="195"/>
      <c r="AF1079" s="195"/>
      <c r="AG1079" s="195"/>
      <c r="AH1079" s="195"/>
      <c r="AI1079" s="195"/>
      <c r="AJ1079" s="195"/>
      <c r="AK1079" s="195"/>
      <c r="AL1079" s="195"/>
      <c r="AM1079" s="1"/>
      <c r="AN1079" s="240"/>
      <c r="AO1079" s="240"/>
      <c r="AP1079" s="240"/>
      <c r="AQ1079" s="730"/>
      <c r="AR1079" s="730"/>
      <c r="AS1079" s="730"/>
      <c r="AT1079" s="738"/>
      <c r="AU1079" s="738"/>
      <c r="AV1079" s="240"/>
      <c r="AW1079" s="240"/>
      <c r="AX1079" s="240"/>
      <c r="AY1079" s="240"/>
      <c r="AZ1079" s="240"/>
      <c r="BA1079" s="240"/>
      <c r="BB1079" s="672"/>
      <c r="BC1079" s="731"/>
      <c r="BD1079" s="731"/>
      <c r="BE1079" s="731"/>
      <c r="BF1079" s="672"/>
      <c r="BG1079" s="732"/>
      <c r="BH1079" s="240"/>
      <c r="BI1079" s="240"/>
      <c r="BJ1079" s="240"/>
      <c r="BK1079" s="240"/>
      <c r="BL1079" s="240"/>
      <c r="BM1079" s="240"/>
      <c r="BN1079" s="240"/>
      <c r="BO1079" s="240"/>
      <c r="BP1079" s="240"/>
      <c r="BQ1079" s="240"/>
      <c r="BR1079" s="240"/>
      <c r="BS1079" s="240"/>
      <c r="BT1079" s="240"/>
      <c r="BU1079" s="672"/>
      <c r="BV1079" s="672"/>
      <c r="BW1079" s="672"/>
      <c r="BX1079" s="672"/>
      <c r="BY1079" s="672"/>
      <c r="BZ1079" s="672"/>
      <c r="CA1079" s="672"/>
      <c r="CB1079" s="672"/>
      <c r="CC1079" s="672"/>
      <c r="CD1079" s="672"/>
      <c r="CE1079" s="240"/>
      <c r="CF1079" s="240"/>
      <c r="CG1079" s="240"/>
      <c r="CH1079" s="240"/>
      <c r="CI1079" s="240"/>
      <c r="CJ1079" s="728"/>
      <c r="CK1079" s="728"/>
      <c r="CL1079" s="195"/>
      <c r="CM1079" s="195"/>
      <c r="CN1079" s="195"/>
      <c r="CO1079" s="195"/>
      <c r="CP1079" s="195"/>
      <c r="CQ1079" s="195"/>
      <c r="CR1079" s="195"/>
      <c r="CS1079" s="195"/>
      <c r="CT1079" s="195"/>
      <c r="CU1079" s="195"/>
      <c r="CV1079" s="195"/>
      <c r="CW1079" s="195"/>
      <c r="CX1079" s="195"/>
      <c r="CY1079" s="195"/>
      <c r="CZ1079" s="195"/>
      <c r="DA1079" s="195"/>
      <c r="DB1079" s="195"/>
      <c r="DC1079" s="195"/>
      <c r="DD1079" s="195"/>
      <c r="DO1079" s="195"/>
      <c r="DP1079" s="195"/>
      <c r="DQ1079" s="195"/>
      <c r="DR1079" s="195"/>
      <c r="DS1079" s="195"/>
      <c r="DT1079" s="195"/>
      <c r="DU1079" s="195"/>
      <c r="DV1079" s="195"/>
      <c r="DW1079" s="195"/>
      <c r="DX1079" s="195"/>
      <c r="DY1079" s="195"/>
      <c r="DZ1079" s="195"/>
      <c r="EA1079" s="195"/>
      <c r="EB1079" s="195"/>
      <c r="EC1079" s="195"/>
      <c r="ED1079" s="195"/>
      <c r="EE1079" s="195"/>
      <c r="EK1079" s="195"/>
      <c r="EL1079" s="240"/>
      <c r="EM1079" s="240"/>
      <c r="EN1079" s="195"/>
      <c r="EO1079" s="240"/>
      <c r="EP1079" s="195"/>
      <c r="EQ1079" s="195"/>
      <c r="ER1079" s="195"/>
      <c r="ES1079" s="736"/>
    </row>
    <row r="1080" customFormat="false" ht="12.75" hidden="false" customHeight="false" outlineLevel="0" collapsed="false">
      <c r="I1080" s="735"/>
      <c r="J1080" s="728"/>
      <c r="K1080" s="195"/>
      <c r="L1080" s="195"/>
      <c r="Q1080" s="195"/>
      <c r="R1080" s="195"/>
      <c r="S1080" s="240"/>
      <c r="T1080" s="195"/>
      <c r="U1080" s="195"/>
      <c r="V1080" s="195"/>
      <c r="W1080" s="195"/>
      <c r="X1080" s="195"/>
      <c r="Y1080" s="195"/>
      <c r="Z1080" s="195"/>
      <c r="AA1080" s="195"/>
      <c r="AB1080" s="195"/>
      <c r="AC1080" s="195"/>
      <c r="AD1080" s="195"/>
      <c r="AE1080" s="195"/>
      <c r="AF1080" s="195"/>
      <c r="AG1080" s="195"/>
      <c r="AH1080" s="195"/>
      <c r="AI1080" s="195"/>
      <c r="AJ1080" s="195"/>
      <c r="AK1080" s="195"/>
      <c r="AL1080" s="195"/>
      <c r="AM1080" s="1"/>
      <c r="AN1080" s="240"/>
      <c r="AO1080" s="240"/>
      <c r="AP1080" s="240"/>
      <c r="AQ1080" s="730"/>
      <c r="AR1080" s="730"/>
      <c r="AS1080" s="730"/>
      <c r="AT1080" s="738"/>
      <c r="AU1080" s="738"/>
      <c r="AV1080" s="240"/>
      <c r="AW1080" s="240"/>
      <c r="AX1080" s="240"/>
      <c r="AY1080" s="240"/>
      <c r="AZ1080" s="240"/>
      <c r="BA1080" s="240"/>
      <c r="BB1080" s="672"/>
      <c r="BC1080" s="731"/>
      <c r="BD1080" s="731"/>
      <c r="BE1080" s="731"/>
      <c r="BF1080" s="672"/>
      <c r="BG1080" s="732"/>
      <c r="BH1080" s="240"/>
      <c r="BI1080" s="240"/>
      <c r="BJ1080" s="240"/>
      <c r="BK1080" s="240"/>
      <c r="BL1080" s="240"/>
      <c r="BM1080" s="240"/>
      <c r="BN1080" s="240"/>
      <c r="BO1080" s="240"/>
      <c r="BP1080" s="240"/>
      <c r="BQ1080" s="240"/>
      <c r="BR1080" s="240"/>
      <c r="BS1080" s="240"/>
      <c r="BT1080" s="240"/>
      <c r="BU1080" s="672"/>
      <c r="BV1080" s="672"/>
      <c r="BW1080" s="672"/>
      <c r="BX1080" s="672"/>
      <c r="BY1080" s="672"/>
      <c r="BZ1080" s="672"/>
      <c r="CA1080" s="672"/>
      <c r="CB1080" s="672"/>
      <c r="CC1080" s="672"/>
      <c r="CD1080" s="672"/>
      <c r="CE1080" s="240"/>
      <c r="CF1080" s="240"/>
      <c r="CG1080" s="240"/>
      <c r="CH1080" s="240"/>
      <c r="CI1080" s="240"/>
      <c r="CJ1080" s="728"/>
      <c r="CK1080" s="728"/>
      <c r="CL1080" s="195"/>
      <c r="CM1080" s="195"/>
      <c r="CN1080" s="195"/>
      <c r="CO1080" s="195"/>
      <c r="CP1080" s="195"/>
      <c r="CQ1080" s="195"/>
      <c r="CR1080" s="195"/>
      <c r="CS1080" s="195"/>
      <c r="CT1080" s="195"/>
      <c r="CU1080" s="195"/>
      <c r="CV1080" s="195"/>
      <c r="CW1080" s="195"/>
      <c r="CX1080" s="195"/>
      <c r="CY1080" s="195"/>
      <c r="CZ1080" s="195"/>
      <c r="DA1080" s="195"/>
      <c r="DB1080" s="195"/>
      <c r="DC1080" s="195"/>
      <c r="DD1080" s="195"/>
      <c r="DO1080" s="195"/>
      <c r="DP1080" s="195"/>
      <c r="DQ1080" s="195"/>
      <c r="DR1080" s="195"/>
      <c r="DS1080" s="195"/>
      <c r="DT1080" s="195"/>
      <c r="DU1080" s="195"/>
      <c r="DV1080" s="195"/>
      <c r="DW1080" s="195"/>
      <c r="DX1080" s="195"/>
      <c r="DY1080" s="195"/>
      <c r="DZ1080" s="195"/>
      <c r="EA1080" s="195"/>
      <c r="EB1080" s="195"/>
      <c r="EC1080" s="195"/>
      <c r="ED1080" s="195"/>
      <c r="EE1080" s="195"/>
      <c r="EK1080" s="195"/>
      <c r="EL1080" s="240"/>
      <c r="EM1080" s="240"/>
      <c r="EN1080" s="195"/>
      <c r="EO1080" s="240"/>
      <c r="EP1080" s="195"/>
      <c r="EQ1080" s="195"/>
      <c r="ER1080" s="195"/>
      <c r="ES1080" s="736"/>
    </row>
    <row r="1081" customFormat="false" ht="12.75" hidden="false" customHeight="false" outlineLevel="0" collapsed="false">
      <c r="I1081" s="735"/>
      <c r="J1081" s="728"/>
      <c r="K1081" s="195"/>
      <c r="L1081" s="195"/>
      <c r="Q1081" s="195"/>
      <c r="R1081" s="195"/>
      <c r="S1081" s="240"/>
      <c r="T1081" s="195"/>
      <c r="U1081" s="195"/>
      <c r="V1081" s="195"/>
      <c r="W1081" s="195"/>
      <c r="X1081" s="195"/>
      <c r="Y1081" s="195"/>
      <c r="Z1081" s="195"/>
      <c r="AA1081" s="195"/>
      <c r="AB1081" s="195"/>
      <c r="AC1081" s="195"/>
      <c r="AD1081" s="195"/>
      <c r="AE1081" s="195"/>
      <c r="AF1081" s="195"/>
      <c r="AG1081" s="195"/>
      <c r="AH1081" s="195"/>
      <c r="AI1081" s="195"/>
      <c r="AJ1081" s="195"/>
      <c r="AK1081" s="195"/>
      <c r="AL1081" s="195"/>
      <c r="AM1081" s="1"/>
      <c r="AN1081" s="240"/>
      <c r="AO1081" s="240"/>
      <c r="AP1081" s="240"/>
      <c r="AQ1081" s="730"/>
      <c r="AR1081" s="730"/>
      <c r="AS1081" s="730"/>
      <c r="AT1081" s="738"/>
      <c r="AU1081" s="738"/>
      <c r="AV1081" s="240"/>
      <c r="AW1081" s="240"/>
      <c r="AX1081" s="240"/>
      <c r="AY1081" s="240"/>
      <c r="AZ1081" s="240"/>
      <c r="BA1081" s="240"/>
      <c r="BB1081" s="672"/>
      <c r="BC1081" s="731"/>
      <c r="BD1081" s="731"/>
      <c r="BE1081" s="731"/>
      <c r="BF1081" s="672"/>
      <c r="BG1081" s="732"/>
      <c r="BH1081" s="240"/>
      <c r="BI1081" s="240"/>
      <c r="BJ1081" s="240"/>
      <c r="BK1081" s="240"/>
      <c r="BL1081" s="240"/>
      <c r="BM1081" s="240"/>
      <c r="BN1081" s="240"/>
      <c r="BO1081" s="240"/>
      <c r="BP1081" s="240"/>
      <c r="BQ1081" s="240"/>
      <c r="BR1081" s="240"/>
      <c r="BS1081" s="240"/>
      <c r="BT1081" s="240"/>
      <c r="BU1081" s="672"/>
      <c r="BV1081" s="672"/>
      <c r="BW1081" s="672"/>
      <c r="BX1081" s="672"/>
      <c r="BY1081" s="672"/>
      <c r="BZ1081" s="672"/>
      <c r="CA1081" s="672"/>
      <c r="CB1081" s="672"/>
      <c r="CC1081" s="672"/>
      <c r="CD1081" s="672"/>
      <c r="CE1081" s="240"/>
      <c r="CF1081" s="240"/>
      <c r="CG1081" s="240"/>
      <c r="CH1081" s="240"/>
      <c r="CI1081" s="240"/>
      <c r="CJ1081" s="728"/>
      <c r="CK1081" s="728"/>
      <c r="CL1081" s="195"/>
      <c r="CM1081" s="195"/>
      <c r="CN1081" s="195"/>
      <c r="CO1081" s="195"/>
      <c r="CP1081" s="195"/>
      <c r="CQ1081" s="195"/>
      <c r="CR1081" s="195"/>
      <c r="CS1081" s="195"/>
      <c r="CT1081" s="195"/>
      <c r="CU1081" s="195"/>
      <c r="CV1081" s="195"/>
      <c r="CW1081" s="195"/>
      <c r="CX1081" s="195"/>
      <c r="CY1081" s="195"/>
      <c r="CZ1081" s="195"/>
      <c r="DA1081" s="195"/>
      <c r="DB1081" s="195"/>
      <c r="DC1081" s="195"/>
      <c r="DD1081" s="195"/>
      <c r="DO1081" s="195"/>
      <c r="DP1081" s="195"/>
      <c r="DQ1081" s="195"/>
      <c r="DR1081" s="195"/>
      <c r="DS1081" s="195"/>
      <c r="DT1081" s="195"/>
      <c r="DU1081" s="195"/>
      <c r="DV1081" s="195"/>
      <c r="DW1081" s="195"/>
      <c r="DX1081" s="195"/>
      <c r="DY1081" s="195"/>
      <c r="DZ1081" s="195"/>
      <c r="EA1081" s="195"/>
      <c r="EB1081" s="195"/>
      <c r="EC1081" s="195"/>
      <c r="ED1081" s="195"/>
      <c r="EE1081" s="195"/>
      <c r="EK1081" s="195"/>
      <c r="EL1081" s="240"/>
      <c r="EM1081" s="240"/>
      <c r="EN1081" s="195"/>
      <c r="EO1081" s="240"/>
      <c r="EP1081" s="195"/>
      <c r="EQ1081" s="195"/>
      <c r="ER1081" s="195"/>
      <c r="ES1081" s="736"/>
    </row>
    <row r="1082" customFormat="false" ht="12.75" hidden="false" customHeight="false" outlineLevel="0" collapsed="false">
      <c r="I1082" s="735"/>
      <c r="J1082" s="728"/>
      <c r="K1082" s="195"/>
      <c r="L1082" s="195"/>
      <c r="Q1082" s="195"/>
      <c r="R1082" s="195"/>
      <c r="S1082" s="240"/>
      <c r="T1082" s="195"/>
      <c r="U1082" s="195"/>
      <c r="V1082" s="195"/>
      <c r="W1082" s="195"/>
      <c r="X1082" s="195"/>
      <c r="Y1082" s="195"/>
      <c r="Z1082" s="195"/>
      <c r="AA1082" s="195"/>
      <c r="AB1082" s="195"/>
      <c r="AC1082" s="195"/>
      <c r="AD1082" s="195"/>
      <c r="AE1082" s="195"/>
      <c r="AF1082" s="195"/>
      <c r="AG1082" s="195"/>
      <c r="AH1082" s="195"/>
      <c r="AI1082" s="195"/>
      <c r="AJ1082" s="195"/>
      <c r="AK1082" s="195"/>
      <c r="AL1082" s="195"/>
      <c r="AM1082" s="1"/>
      <c r="AN1082" s="240"/>
      <c r="AO1082" s="240"/>
      <c r="AP1082" s="240"/>
      <c r="AQ1082" s="730"/>
      <c r="AR1082" s="730"/>
      <c r="AS1082" s="730"/>
      <c r="AT1082" s="738"/>
      <c r="AU1082" s="738"/>
      <c r="AV1082" s="240"/>
      <c r="AW1082" s="240"/>
      <c r="AX1082" s="240"/>
      <c r="AY1082" s="240"/>
      <c r="AZ1082" s="240"/>
      <c r="BA1082" s="240"/>
      <c r="BB1082" s="672"/>
      <c r="BC1082" s="731"/>
      <c r="BD1082" s="731"/>
      <c r="BE1082" s="731"/>
      <c r="BF1082" s="672"/>
      <c r="BG1082" s="732"/>
      <c r="BH1082" s="240"/>
      <c r="BI1082" s="240"/>
      <c r="BJ1082" s="240"/>
      <c r="BK1082" s="240"/>
      <c r="BL1082" s="240"/>
      <c r="BM1082" s="240"/>
      <c r="BN1082" s="240"/>
      <c r="BO1082" s="240"/>
      <c r="BP1082" s="240"/>
      <c r="BQ1082" s="240"/>
      <c r="BR1082" s="240"/>
      <c r="BS1082" s="240"/>
      <c r="BT1082" s="240"/>
      <c r="BU1082" s="672"/>
      <c r="BV1082" s="672"/>
      <c r="BW1082" s="672"/>
      <c r="BX1082" s="672"/>
      <c r="BY1082" s="672"/>
      <c r="BZ1082" s="672"/>
      <c r="CA1082" s="672"/>
      <c r="CB1082" s="672"/>
      <c r="CC1082" s="672"/>
      <c r="CD1082" s="672"/>
      <c r="CE1082" s="240"/>
      <c r="CF1082" s="240"/>
      <c r="CG1082" s="240"/>
      <c r="CH1082" s="240"/>
      <c r="CI1082" s="240"/>
      <c r="CJ1082" s="728"/>
      <c r="CK1082" s="728"/>
      <c r="CL1082" s="195"/>
      <c r="CM1082" s="195"/>
      <c r="CN1082" s="195"/>
      <c r="CO1082" s="195"/>
      <c r="CP1082" s="195"/>
      <c r="CQ1082" s="195"/>
      <c r="CR1082" s="195"/>
      <c r="CS1082" s="195"/>
      <c r="CT1082" s="195"/>
      <c r="CU1082" s="195"/>
      <c r="CV1082" s="195"/>
      <c r="CW1082" s="195"/>
      <c r="CX1082" s="195"/>
      <c r="CY1082" s="195"/>
      <c r="CZ1082" s="195"/>
      <c r="DA1082" s="195"/>
      <c r="DB1082" s="195"/>
      <c r="DC1082" s="195"/>
      <c r="DD1082" s="195"/>
      <c r="DO1082" s="195"/>
      <c r="DP1082" s="195"/>
      <c r="DQ1082" s="195"/>
      <c r="DR1082" s="195"/>
      <c r="DS1082" s="195"/>
      <c r="DT1082" s="195"/>
      <c r="DU1082" s="195"/>
      <c r="DV1082" s="195"/>
      <c r="DW1082" s="195"/>
      <c r="DX1082" s="195"/>
      <c r="DY1082" s="195"/>
      <c r="DZ1082" s="195"/>
      <c r="EA1082" s="195"/>
      <c r="EB1082" s="195"/>
      <c r="EC1082" s="195"/>
      <c r="ED1082" s="195"/>
      <c r="EE1082" s="195"/>
      <c r="EK1082" s="195"/>
      <c r="EL1082" s="240"/>
      <c r="EM1082" s="240"/>
      <c r="EN1082" s="195"/>
      <c r="EO1082" s="240"/>
      <c r="EP1082" s="195"/>
      <c r="EQ1082" s="195"/>
      <c r="ER1082" s="195"/>
      <c r="ES1082" s="736"/>
    </row>
    <row r="1083" customFormat="false" ht="12.75" hidden="false" customHeight="false" outlineLevel="0" collapsed="false">
      <c r="I1083" s="735"/>
      <c r="J1083" s="728"/>
      <c r="K1083" s="195"/>
      <c r="L1083" s="195"/>
      <c r="Q1083" s="195"/>
      <c r="R1083" s="195"/>
      <c r="S1083" s="240"/>
      <c r="T1083" s="195"/>
      <c r="U1083" s="195"/>
      <c r="V1083" s="195"/>
      <c r="W1083" s="195"/>
      <c r="X1083" s="195"/>
      <c r="Y1083" s="195"/>
      <c r="Z1083" s="195"/>
      <c r="AA1083" s="195"/>
      <c r="AB1083" s="195"/>
      <c r="AC1083" s="195"/>
      <c r="AD1083" s="195"/>
      <c r="AE1083" s="195"/>
      <c r="AF1083" s="195"/>
      <c r="AG1083" s="195"/>
      <c r="AH1083" s="195"/>
      <c r="AI1083" s="195"/>
      <c r="AJ1083" s="195"/>
      <c r="AK1083" s="195"/>
      <c r="AL1083" s="195"/>
      <c r="AM1083" s="1"/>
      <c r="AN1083" s="240"/>
      <c r="AO1083" s="240"/>
      <c r="AP1083" s="240"/>
      <c r="AQ1083" s="730"/>
      <c r="AR1083" s="730"/>
      <c r="AS1083" s="730"/>
      <c r="AT1083" s="738"/>
      <c r="AU1083" s="738"/>
      <c r="AV1083" s="240"/>
      <c r="AW1083" s="240"/>
      <c r="AX1083" s="240"/>
      <c r="AY1083" s="240"/>
      <c r="AZ1083" s="240"/>
      <c r="BA1083" s="240"/>
      <c r="BB1083" s="672"/>
      <c r="BC1083" s="731"/>
      <c r="BD1083" s="731"/>
      <c r="BE1083" s="731"/>
      <c r="BF1083" s="672"/>
      <c r="BG1083" s="732"/>
      <c r="BH1083" s="240"/>
      <c r="BI1083" s="240"/>
      <c r="BJ1083" s="240"/>
      <c r="BK1083" s="240"/>
      <c r="BL1083" s="240"/>
      <c r="BM1083" s="240"/>
      <c r="BN1083" s="240"/>
      <c r="BO1083" s="240"/>
      <c r="BP1083" s="240"/>
      <c r="BQ1083" s="240"/>
      <c r="BR1083" s="240"/>
      <c r="BS1083" s="240"/>
      <c r="BT1083" s="240"/>
      <c r="BU1083" s="672"/>
      <c r="BV1083" s="672"/>
      <c r="BW1083" s="672"/>
      <c r="BX1083" s="672"/>
      <c r="BY1083" s="672"/>
      <c r="BZ1083" s="672"/>
      <c r="CA1083" s="672"/>
      <c r="CB1083" s="672"/>
      <c r="CC1083" s="672"/>
      <c r="CD1083" s="672"/>
      <c r="CE1083" s="240"/>
      <c r="CF1083" s="240"/>
      <c r="CG1083" s="240"/>
      <c r="CH1083" s="240"/>
      <c r="CI1083" s="240"/>
      <c r="CJ1083" s="728"/>
      <c r="CK1083" s="728"/>
      <c r="CL1083" s="195"/>
      <c r="CM1083" s="195"/>
      <c r="CN1083" s="195"/>
      <c r="CO1083" s="195"/>
      <c r="CP1083" s="195"/>
      <c r="CQ1083" s="195"/>
      <c r="CR1083" s="195"/>
      <c r="CS1083" s="195"/>
      <c r="CT1083" s="195"/>
      <c r="CU1083" s="195"/>
      <c r="CV1083" s="195"/>
      <c r="CW1083" s="195"/>
      <c r="CX1083" s="195"/>
      <c r="CY1083" s="195"/>
      <c r="CZ1083" s="195"/>
      <c r="DA1083" s="195"/>
      <c r="DB1083" s="195"/>
      <c r="DC1083" s="195"/>
      <c r="DD1083" s="195"/>
      <c r="DV1083" s="195"/>
      <c r="DW1083" s="195"/>
      <c r="DX1083" s="195"/>
      <c r="DY1083" s="195"/>
      <c r="DZ1083" s="195"/>
      <c r="EA1083" s="195"/>
      <c r="EB1083" s="195"/>
      <c r="EC1083" s="195"/>
      <c r="ED1083" s="195"/>
      <c r="EE1083" s="195"/>
      <c r="EK1083" s="195"/>
      <c r="EL1083" s="240"/>
      <c r="EM1083" s="240"/>
      <c r="EN1083" s="195"/>
      <c r="EO1083" s="240"/>
      <c r="EP1083" s="195"/>
      <c r="EQ1083" s="195"/>
      <c r="ER1083" s="195"/>
      <c r="ES1083" s="736"/>
    </row>
    <row r="1084" customFormat="false" ht="12.75" hidden="false" customHeight="false" outlineLevel="0" collapsed="false">
      <c r="I1084" s="735"/>
      <c r="J1084" s="728"/>
      <c r="K1084" s="195"/>
      <c r="L1084" s="195"/>
      <c r="Q1084" s="195"/>
      <c r="R1084" s="195"/>
      <c r="S1084" s="240"/>
      <c r="T1084" s="195"/>
      <c r="U1084" s="195"/>
      <c r="V1084" s="195"/>
      <c r="W1084" s="195"/>
      <c r="X1084" s="195"/>
      <c r="Y1084" s="195"/>
      <c r="Z1084" s="195"/>
      <c r="AA1084" s="195"/>
      <c r="AB1084" s="195"/>
      <c r="AC1084" s="195"/>
      <c r="AD1084" s="195"/>
      <c r="AE1084" s="195"/>
      <c r="AF1084" s="195"/>
      <c r="AG1084" s="195"/>
      <c r="AH1084" s="195"/>
      <c r="AI1084" s="195"/>
      <c r="AJ1084" s="195"/>
      <c r="AK1084" s="195"/>
      <c r="AL1084" s="195"/>
      <c r="AM1084" s="1"/>
      <c r="AN1084" s="240"/>
      <c r="AO1084" s="240"/>
      <c r="AP1084" s="240"/>
      <c r="AQ1084" s="730"/>
      <c r="AR1084" s="730"/>
      <c r="AS1084" s="730"/>
      <c r="AT1084" s="738"/>
      <c r="AU1084" s="738"/>
      <c r="AV1084" s="240"/>
      <c r="AW1084" s="240"/>
      <c r="AX1084" s="240"/>
      <c r="AY1084" s="240"/>
      <c r="AZ1084" s="240"/>
      <c r="BA1084" s="240"/>
      <c r="BB1084" s="672"/>
      <c r="BC1084" s="731"/>
      <c r="BD1084" s="731"/>
      <c r="BE1084" s="731"/>
      <c r="BF1084" s="672"/>
      <c r="BG1084" s="732"/>
      <c r="BH1084" s="240"/>
      <c r="BI1084" s="240"/>
      <c r="BJ1084" s="240"/>
      <c r="BK1084" s="240"/>
      <c r="BL1084" s="240"/>
      <c r="BM1084" s="240"/>
      <c r="BN1084" s="240"/>
      <c r="BO1084" s="240"/>
      <c r="BP1084" s="240"/>
      <c r="BQ1084" s="240"/>
      <c r="BR1084" s="240"/>
      <c r="BS1084" s="240"/>
      <c r="BT1084" s="240"/>
      <c r="BU1084" s="672"/>
      <c r="BV1084" s="672"/>
      <c r="BW1084" s="672"/>
      <c r="BX1084" s="672"/>
      <c r="BY1084" s="672"/>
      <c r="BZ1084" s="672"/>
      <c r="CA1084" s="672"/>
      <c r="CB1084" s="672"/>
      <c r="CC1084" s="672"/>
      <c r="CD1084" s="672"/>
      <c r="CE1084" s="240"/>
      <c r="CF1084" s="240"/>
      <c r="CG1084" s="240"/>
      <c r="CH1084" s="240"/>
      <c r="CI1084" s="240"/>
      <c r="CJ1084" s="728"/>
      <c r="CK1084" s="728"/>
      <c r="CL1084" s="195"/>
      <c r="CM1084" s="195"/>
      <c r="CN1084" s="195"/>
      <c r="CO1084" s="195"/>
      <c r="CP1084" s="195"/>
      <c r="CQ1084" s="195"/>
      <c r="CR1084" s="195"/>
      <c r="CS1084" s="195"/>
      <c r="CT1084" s="195"/>
      <c r="CU1084" s="195"/>
      <c r="CV1084" s="195"/>
      <c r="CW1084" s="195"/>
      <c r="CX1084" s="195"/>
      <c r="CY1084" s="195"/>
      <c r="CZ1084" s="195"/>
      <c r="DA1084" s="195"/>
      <c r="DB1084" s="195"/>
      <c r="DC1084" s="195"/>
      <c r="DD1084" s="195"/>
      <c r="DV1084" s="195"/>
      <c r="DW1084" s="195"/>
      <c r="DX1084" s="195"/>
      <c r="DY1084" s="195"/>
      <c r="DZ1084" s="195"/>
      <c r="EA1084" s="195"/>
      <c r="EB1084" s="195"/>
      <c r="EC1084" s="195"/>
      <c r="ED1084" s="195"/>
      <c r="EE1084" s="195"/>
      <c r="EK1084" s="195"/>
      <c r="EL1084" s="240"/>
      <c r="EM1084" s="240"/>
      <c r="EN1084" s="195"/>
      <c r="EO1084" s="240"/>
      <c r="EP1084" s="195"/>
      <c r="EQ1084" s="195"/>
      <c r="ER1084" s="195"/>
      <c r="ES1084" s="736"/>
    </row>
    <row r="1085" customFormat="false" ht="12.75" hidden="false" customHeight="false" outlineLevel="0" collapsed="false">
      <c r="AM1085" s="1"/>
      <c r="EP1085" s="195"/>
      <c r="EQ1085" s="195"/>
      <c r="ER1085" s="195"/>
    </row>
    <row r="1086" customFormat="false" ht="12.75" hidden="false" customHeight="false" outlineLevel="0" collapsed="false">
      <c r="AM1086" s="1"/>
    </row>
    <row r="1087" customFormat="false" ht="12.75" hidden="false" customHeight="false" outlineLevel="0" collapsed="false">
      <c r="AM1087" s="1"/>
    </row>
    <row r="1088" customFormat="false" ht="12.75" hidden="false" customHeight="false" outlineLevel="0" collapsed="false">
      <c r="AM1088" s="1"/>
    </row>
    <row r="1089" customFormat="false" ht="12.75" hidden="false" customHeight="false" outlineLevel="0" collapsed="false">
      <c r="AM1089" s="1"/>
    </row>
    <row r="1090" customFormat="false" ht="12.75" hidden="false" customHeight="false" outlineLevel="0" collapsed="false">
      <c r="AM1090" s="1"/>
    </row>
    <row r="1091" customFormat="false" ht="12.75" hidden="false" customHeight="false" outlineLevel="0" collapsed="false">
      <c r="AM1091" s="1"/>
    </row>
    <row r="1092" customFormat="false" ht="12.75" hidden="false" customHeight="false" outlineLevel="0" collapsed="false">
      <c r="AM1092" s="1"/>
    </row>
    <row r="1093" customFormat="false" ht="12.75" hidden="false" customHeight="false" outlineLevel="0" collapsed="false">
      <c r="AM1093" s="1"/>
    </row>
    <row r="1094" customFormat="false" ht="12.75" hidden="false" customHeight="false" outlineLevel="0" collapsed="false">
      <c r="AM1094" s="1"/>
    </row>
    <row r="1095" customFormat="false" ht="12.75" hidden="false" customHeight="false" outlineLevel="0" collapsed="false">
      <c r="AM1095" s="1"/>
    </row>
    <row r="1096" customFormat="false" ht="12.75" hidden="false" customHeight="false" outlineLevel="0" collapsed="false">
      <c r="AM1096" s="1"/>
    </row>
    <row r="1097" customFormat="false" ht="12.75" hidden="false" customHeight="false" outlineLevel="0" collapsed="false">
      <c r="AM1097" s="1"/>
    </row>
    <row r="1098" customFormat="false" ht="12.75" hidden="false" customHeight="false" outlineLevel="0" collapsed="false">
      <c r="AM1098" s="1"/>
    </row>
    <row r="1099" customFormat="false" ht="12.75" hidden="false" customHeight="false" outlineLevel="0" collapsed="false">
      <c r="AM1099" s="1"/>
    </row>
    <row r="1100" customFormat="false" ht="12.75" hidden="false" customHeight="false" outlineLevel="0" collapsed="false">
      <c r="AM1100" s="1"/>
    </row>
    <row r="1101" customFormat="false" ht="12.75" hidden="false" customHeight="false" outlineLevel="0" collapsed="false">
      <c r="AM1101" s="1"/>
    </row>
    <row r="1102" customFormat="false" ht="12.75" hidden="false" customHeight="false" outlineLevel="0" collapsed="false">
      <c r="AM1102" s="1"/>
    </row>
    <row r="1103" customFormat="false" ht="12.75" hidden="false" customHeight="false" outlineLevel="0" collapsed="false">
      <c r="AM1103" s="1"/>
    </row>
    <row r="1104" customFormat="false" ht="12.75" hidden="false" customHeight="false" outlineLevel="0" collapsed="false">
      <c r="AM1104" s="1"/>
    </row>
    <row r="1105" customFormat="false" ht="12.75" hidden="false" customHeight="false" outlineLevel="0" collapsed="false">
      <c r="AM1105" s="1"/>
    </row>
    <row r="1106" customFormat="false" ht="12.75" hidden="false" customHeight="false" outlineLevel="0" collapsed="false">
      <c r="AM1106" s="1"/>
    </row>
    <row r="1107" customFormat="false" ht="12.75" hidden="false" customHeight="false" outlineLevel="0" collapsed="false">
      <c r="AM1107" s="1"/>
    </row>
    <row r="1108" customFormat="false" ht="12.75" hidden="false" customHeight="false" outlineLevel="0" collapsed="false">
      <c r="AM1108" s="1"/>
    </row>
    <row r="1109" customFormat="false" ht="12.75" hidden="false" customHeight="false" outlineLevel="0" collapsed="false">
      <c r="AM1109" s="1"/>
    </row>
    <row r="1110" customFormat="false" ht="12.75" hidden="false" customHeight="false" outlineLevel="0" collapsed="false">
      <c r="AM1110" s="1"/>
    </row>
    <row r="1111" customFormat="false" ht="12.75" hidden="false" customHeight="false" outlineLevel="0" collapsed="false">
      <c r="AM1111" s="1"/>
    </row>
    <row r="1112" customFormat="false" ht="12.75" hidden="false" customHeight="false" outlineLevel="0" collapsed="false">
      <c r="AM1112" s="1"/>
    </row>
    <row r="1113" customFormat="false" ht="12.75" hidden="false" customHeight="false" outlineLevel="0" collapsed="false">
      <c r="AM1113" s="1"/>
    </row>
    <row r="1114" customFormat="false" ht="12.75" hidden="false" customHeight="false" outlineLevel="0" collapsed="false">
      <c r="AM1114" s="1"/>
    </row>
    <row r="1115" customFormat="false" ht="12.75" hidden="false" customHeight="false" outlineLevel="0" collapsed="false">
      <c r="AM1115" s="1"/>
    </row>
    <row r="1116" customFormat="false" ht="12.75" hidden="false" customHeight="false" outlineLevel="0" collapsed="false">
      <c r="AM1116" s="1"/>
    </row>
    <row r="1117" customFormat="false" ht="12.75" hidden="false" customHeight="false" outlineLevel="0" collapsed="false">
      <c r="AM1117" s="1"/>
    </row>
    <row r="1118" customFormat="false" ht="12.75" hidden="false" customHeight="false" outlineLevel="0" collapsed="false">
      <c r="AM1118" s="1"/>
    </row>
    <row r="1119" customFormat="false" ht="12.75" hidden="false" customHeight="false" outlineLevel="0" collapsed="false">
      <c r="AM1119" s="1"/>
    </row>
    <row r="1120" customFormat="false" ht="12.75" hidden="false" customHeight="false" outlineLevel="0" collapsed="false">
      <c r="AM1120" s="1"/>
    </row>
    <row r="1121" customFormat="false" ht="12.75" hidden="false" customHeight="false" outlineLevel="0" collapsed="false">
      <c r="AM1121" s="1"/>
    </row>
    <row r="1122" customFormat="false" ht="12.75" hidden="false" customHeight="false" outlineLevel="0" collapsed="false">
      <c r="AM1122" s="1"/>
    </row>
    <row r="1123" customFormat="false" ht="12.75" hidden="false" customHeight="false" outlineLevel="0" collapsed="false">
      <c r="AM1123" s="1"/>
    </row>
    <row r="1124" customFormat="false" ht="12.75" hidden="false" customHeight="false" outlineLevel="0" collapsed="false">
      <c r="AM1124" s="1"/>
    </row>
    <row r="1125" customFormat="false" ht="12.75" hidden="false" customHeight="false" outlineLevel="0" collapsed="false">
      <c r="AM1125" s="1"/>
    </row>
    <row r="1126" customFormat="false" ht="12.75" hidden="false" customHeight="false" outlineLevel="0" collapsed="false">
      <c r="AM1126" s="1"/>
    </row>
    <row r="1127" customFormat="false" ht="12.75" hidden="false" customHeight="false" outlineLevel="0" collapsed="false">
      <c r="AM1127" s="1"/>
    </row>
    <row r="1128" customFormat="false" ht="12.75" hidden="false" customHeight="false" outlineLevel="0" collapsed="false">
      <c r="AM1128" s="1"/>
    </row>
    <row r="1129" customFormat="false" ht="12.75" hidden="false" customHeight="false" outlineLevel="0" collapsed="false">
      <c r="AM1129" s="1"/>
    </row>
    <row r="1130" customFormat="false" ht="12.75" hidden="false" customHeight="false" outlineLevel="0" collapsed="false">
      <c r="AM1130" s="1"/>
    </row>
    <row r="1131" customFormat="false" ht="12.75" hidden="false" customHeight="false" outlineLevel="0" collapsed="false">
      <c r="AM1131" s="1"/>
    </row>
    <row r="1132" customFormat="false" ht="12.75" hidden="false" customHeight="false" outlineLevel="0" collapsed="false">
      <c r="AM1132" s="1"/>
    </row>
    <row r="1133" customFormat="false" ht="12.75" hidden="false" customHeight="false" outlineLevel="0" collapsed="false">
      <c r="AM1133" s="1"/>
    </row>
    <row r="1134" customFormat="false" ht="12.75" hidden="false" customHeight="false" outlineLevel="0" collapsed="false">
      <c r="AM1134" s="1"/>
    </row>
    <row r="1135" customFormat="false" ht="12.75" hidden="false" customHeight="false" outlineLevel="0" collapsed="false">
      <c r="AM1135" s="1"/>
    </row>
    <row r="1136" customFormat="false" ht="12.75" hidden="false" customHeight="false" outlineLevel="0" collapsed="false">
      <c r="AM1136" s="1"/>
    </row>
    <row r="1137" customFormat="false" ht="12.75" hidden="false" customHeight="false" outlineLevel="0" collapsed="false">
      <c r="AM1137" s="1"/>
    </row>
    <row r="1138" customFormat="false" ht="12.75" hidden="false" customHeight="false" outlineLevel="0" collapsed="false">
      <c r="AM1138" s="1"/>
    </row>
    <row r="1139" customFormat="false" ht="12.75" hidden="false" customHeight="false" outlineLevel="0" collapsed="false">
      <c r="AM1139" s="1"/>
    </row>
    <row r="1140" customFormat="false" ht="12.75" hidden="false" customHeight="false" outlineLevel="0" collapsed="false">
      <c r="AM1140" s="1"/>
    </row>
    <row r="1141" customFormat="false" ht="12.75" hidden="false" customHeight="false" outlineLevel="0" collapsed="false">
      <c r="AM1141" s="1"/>
    </row>
    <row r="1142" customFormat="false" ht="12.75" hidden="false" customHeight="false" outlineLevel="0" collapsed="false">
      <c r="AM1142" s="1"/>
    </row>
    <row r="1143" customFormat="false" ht="12.75" hidden="false" customHeight="false" outlineLevel="0" collapsed="false">
      <c r="AM1143" s="1"/>
    </row>
    <row r="1144" customFormat="false" ht="12.75" hidden="false" customHeight="false" outlineLevel="0" collapsed="false">
      <c r="AM1144" s="1"/>
    </row>
    <row r="1145" customFormat="false" ht="12.75" hidden="false" customHeight="false" outlineLevel="0" collapsed="false">
      <c r="AM1145" s="1"/>
    </row>
    <row r="1146" customFormat="false" ht="12.75" hidden="false" customHeight="false" outlineLevel="0" collapsed="false">
      <c r="AM1146" s="1"/>
    </row>
    <row r="1147" customFormat="false" ht="12.75" hidden="false" customHeight="false" outlineLevel="0" collapsed="false">
      <c r="AM1147" s="1"/>
    </row>
    <row r="1148" customFormat="false" ht="12.75" hidden="false" customHeight="false" outlineLevel="0" collapsed="false">
      <c r="AM1148" s="1"/>
    </row>
    <row r="1149" customFormat="false" ht="12.75" hidden="false" customHeight="false" outlineLevel="0" collapsed="false">
      <c r="AM1149" s="1"/>
    </row>
    <row r="1150" customFormat="false" ht="12.75" hidden="false" customHeight="false" outlineLevel="0" collapsed="false">
      <c r="AM1150" s="1"/>
    </row>
    <row r="1151" customFormat="false" ht="12.75" hidden="false" customHeight="false" outlineLevel="0" collapsed="false">
      <c r="AM1151" s="1"/>
    </row>
    <row r="1152" customFormat="false" ht="12.75" hidden="false" customHeight="false" outlineLevel="0" collapsed="false">
      <c r="AM1152" s="1"/>
    </row>
    <row r="1153" customFormat="false" ht="12.75" hidden="false" customHeight="false" outlineLevel="0" collapsed="false">
      <c r="AM1153" s="1"/>
    </row>
    <row r="1154" customFormat="false" ht="12.75" hidden="false" customHeight="false" outlineLevel="0" collapsed="false">
      <c r="AM1154" s="1"/>
    </row>
    <row r="1155" customFormat="false" ht="12.75" hidden="false" customHeight="false" outlineLevel="0" collapsed="false">
      <c r="AM1155" s="1"/>
    </row>
    <row r="1156" customFormat="false" ht="12.75" hidden="false" customHeight="false" outlineLevel="0" collapsed="false">
      <c r="AM1156" s="1"/>
    </row>
    <row r="1157" customFormat="false" ht="12.75" hidden="false" customHeight="false" outlineLevel="0" collapsed="false">
      <c r="AM1157" s="1"/>
    </row>
    <row r="1158" customFormat="false" ht="12.75" hidden="false" customHeight="false" outlineLevel="0" collapsed="false">
      <c r="AM1158" s="1"/>
    </row>
    <row r="1159" customFormat="false" ht="12.75" hidden="false" customHeight="false" outlineLevel="0" collapsed="false">
      <c r="AM1159" s="1"/>
    </row>
    <row r="1160" customFormat="false" ht="12.75" hidden="false" customHeight="false" outlineLevel="0" collapsed="false">
      <c r="AM1160" s="1"/>
    </row>
    <row r="1161" customFormat="false" ht="12.75" hidden="false" customHeight="false" outlineLevel="0" collapsed="false">
      <c r="AM1161" s="1"/>
    </row>
    <row r="1162" customFormat="false" ht="12.75" hidden="false" customHeight="false" outlineLevel="0" collapsed="false">
      <c r="AM1162" s="1"/>
    </row>
    <row r="1163" customFormat="false" ht="12.75" hidden="false" customHeight="false" outlineLevel="0" collapsed="false">
      <c r="AM1163" s="1"/>
    </row>
    <row r="1164" customFormat="false" ht="12.75" hidden="false" customHeight="false" outlineLevel="0" collapsed="false">
      <c r="AM1164" s="1"/>
    </row>
    <row r="1165" customFormat="false" ht="12.75" hidden="false" customHeight="false" outlineLevel="0" collapsed="false">
      <c r="AM1165" s="1"/>
    </row>
    <row r="1166" customFormat="false" ht="12.75" hidden="false" customHeight="false" outlineLevel="0" collapsed="false">
      <c r="AM1166" s="1"/>
    </row>
    <row r="1167" customFormat="false" ht="12.75" hidden="false" customHeight="false" outlineLevel="0" collapsed="false">
      <c r="AM1167" s="1"/>
    </row>
    <row r="1168" customFormat="false" ht="12.75" hidden="false" customHeight="false" outlineLevel="0" collapsed="false">
      <c r="AM1168" s="1"/>
    </row>
    <row r="1169" customFormat="false" ht="12.75" hidden="false" customHeight="false" outlineLevel="0" collapsed="false">
      <c r="AM1169" s="1"/>
    </row>
    <row r="1170" customFormat="false" ht="12.75" hidden="false" customHeight="false" outlineLevel="0" collapsed="false">
      <c r="AM1170" s="1"/>
    </row>
    <row r="1171" customFormat="false" ht="12.75" hidden="false" customHeight="false" outlineLevel="0" collapsed="false">
      <c r="AM1171" s="1"/>
    </row>
    <row r="1172" customFormat="false" ht="12.75" hidden="false" customHeight="false" outlineLevel="0" collapsed="false">
      <c r="AM1172" s="1"/>
    </row>
    <row r="1173" customFormat="false" ht="12.75" hidden="false" customHeight="false" outlineLevel="0" collapsed="false">
      <c r="AM1173" s="1"/>
    </row>
    <row r="1174" customFormat="false" ht="12.75" hidden="false" customHeight="false" outlineLevel="0" collapsed="false">
      <c r="AM1174" s="1"/>
    </row>
    <row r="1175" customFormat="false" ht="12.75" hidden="false" customHeight="false" outlineLevel="0" collapsed="false">
      <c r="AM1175" s="1"/>
    </row>
    <row r="1176" customFormat="false" ht="12.75" hidden="false" customHeight="false" outlineLevel="0" collapsed="false">
      <c r="AM1176" s="1"/>
    </row>
    <row r="1177" customFormat="false" ht="12.75" hidden="false" customHeight="false" outlineLevel="0" collapsed="false">
      <c r="AM1177" s="1"/>
    </row>
    <row r="1178" customFormat="false" ht="12.75" hidden="false" customHeight="false" outlineLevel="0" collapsed="false">
      <c r="AM1178" s="1"/>
    </row>
    <row r="1179" customFormat="false" ht="12.75" hidden="false" customHeight="false" outlineLevel="0" collapsed="false">
      <c r="AM1179" s="1"/>
    </row>
    <row r="1180" customFormat="false" ht="12.75" hidden="false" customHeight="false" outlineLevel="0" collapsed="false">
      <c r="AM1180" s="1"/>
    </row>
    <row r="1181" customFormat="false" ht="12.75" hidden="false" customHeight="false" outlineLevel="0" collapsed="false">
      <c r="AM1181" s="1"/>
    </row>
    <row r="1182" customFormat="false" ht="12.75" hidden="false" customHeight="false" outlineLevel="0" collapsed="false">
      <c r="AM1182" s="1"/>
    </row>
    <row r="1183" customFormat="false" ht="12.75" hidden="false" customHeight="false" outlineLevel="0" collapsed="false">
      <c r="AM1183" s="1"/>
    </row>
    <row r="1184" customFormat="false" ht="12.75" hidden="false" customHeight="false" outlineLevel="0" collapsed="false">
      <c r="AM1184" s="1"/>
    </row>
    <row r="1185" customFormat="false" ht="12.75" hidden="false" customHeight="false" outlineLevel="0" collapsed="false">
      <c r="AM1185" s="1"/>
    </row>
    <row r="1186" customFormat="false" ht="12.75" hidden="false" customHeight="false" outlineLevel="0" collapsed="false">
      <c r="AM1186" s="1"/>
    </row>
    <row r="1187" customFormat="false" ht="12.75" hidden="false" customHeight="false" outlineLevel="0" collapsed="false">
      <c r="AM1187" s="1"/>
    </row>
    <row r="1188" customFormat="false" ht="12.75" hidden="false" customHeight="false" outlineLevel="0" collapsed="false">
      <c r="AM1188" s="1"/>
    </row>
    <row r="1189" customFormat="false" ht="12.75" hidden="false" customHeight="false" outlineLevel="0" collapsed="false">
      <c r="AM1189" s="1"/>
    </row>
    <row r="1190" customFormat="false" ht="12.75" hidden="false" customHeight="false" outlineLevel="0" collapsed="false">
      <c r="AM1190" s="1"/>
    </row>
    <row r="1191" customFormat="false" ht="12.75" hidden="false" customHeight="false" outlineLevel="0" collapsed="false">
      <c r="AM1191" s="1"/>
    </row>
    <row r="1192" customFormat="false" ht="12.75" hidden="false" customHeight="false" outlineLevel="0" collapsed="false">
      <c r="AM1192" s="1"/>
    </row>
    <row r="1193" customFormat="false" ht="12.75" hidden="false" customHeight="false" outlineLevel="0" collapsed="false">
      <c r="AM1193" s="1"/>
    </row>
    <row r="1194" customFormat="false" ht="12.75" hidden="false" customHeight="false" outlineLevel="0" collapsed="false">
      <c r="AM1194" s="1"/>
    </row>
    <row r="1195" customFormat="false" ht="12.75" hidden="false" customHeight="false" outlineLevel="0" collapsed="false">
      <c r="AM1195" s="1"/>
    </row>
    <row r="1196" customFormat="false" ht="12.75" hidden="false" customHeight="false" outlineLevel="0" collapsed="false">
      <c r="AM1196" s="1"/>
    </row>
    <row r="1197" customFormat="false" ht="12.75" hidden="false" customHeight="false" outlineLevel="0" collapsed="false">
      <c r="AM1197" s="1"/>
    </row>
    <row r="1198" customFormat="false" ht="12.75" hidden="false" customHeight="false" outlineLevel="0" collapsed="false">
      <c r="AM1198" s="1"/>
    </row>
    <row r="1199" customFormat="false" ht="12.75" hidden="false" customHeight="false" outlineLevel="0" collapsed="false">
      <c r="AM1199" s="1"/>
    </row>
    <row r="1200" customFormat="false" ht="12.75" hidden="false" customHeight="false" outlineLevel="0" collapsed="false">
      <c r="AM1200" s="1"/>
    </row>
    <row r="1201" customFormat="false" ht="12.75" hidden="false" customHeight="false" outlineLevel="0" collapsed="false">
      <c r="AM1201" s="1"/>
    </row>
    <row r="1202" customFormat="false" ht="12.75" hidden="false" customHeight="false" outlineLevel="0" collapsed="false">
      <c r="AM1202" s="1"/>
    </row>
    <row r="1203" customFormat="false" ht="12.75" hidden="false" customHeight="false" outlineLevel="0" collapsed="false">
      <c r="AM1203" s="1"/>
    </row>
    <row r="1204" customFormat="false" ht="12.75" hidden="false" customHeight="false" outlineLevel="0" collapsed="false">
      <c r="AM1204" s="1"/>
    </row>
    <row r="1205" customFormat="false" ht="12.75" hidden="false" customHeight="false" outlineLevel="0" collapsed="false">
      <c r="AM1205" s="1"/>
    </row>
    <row r="1206" customFormat="false" ht="12.75" hidden="false" customHeight="false" outlineLevel="0" collapsed="false">
      <c r="AM1206" s="1"/>
    </row>
    <row r="1207" customFormat="false" ht="12.75" hidden="false" customHeight="false" outlineLevel="0" collapsed="false">
      <c r="AM1207" s="1"/>
    </row>
    <row r="1208" customFormat="false" ht="12.75" hidden="false" customHeight="false" outlineLevel="0" collapsed="false">
      <c r="AM1208" s="1"/>
    </row>
    <row r="1209" customFormat="false" ht="12.75" hidden="false" customHeight="false" outlineLevel="0" collapsed="false">
      <c r="AM1209" s="1"/>
    </row>
    <row r="1210" customFormat="false" ht="12.75" hidden="false" customHeight="false" outlineLevel="0" collapsed="false">
      <c r="AM1210" s="1"/>
    </row>
    <row r="1211" customFormat="false" ht="12.75" hidden="false" customHeight="false" outlineLevel="0" collapsed="false">
      <c r="AM1211" s="1"/>
    </row>
    <row r="1212" customFormat="false" ht="12.75" hidden="false" customHeight="false" outlineLevel="0" collapsed="false">
      <c r="AM1212" s="1"/>
    </row>
    <row r="1213" customFormat="false" ht="12.75" hidden="false" customHeight="false" outlineLevel="0" collapsed="false">
      <c r="AM1213" s="1"/>
    </row>
    <row r="1214" customFormat="false" ht="12.75" hidden="false" customHeight="false" outlineLevel="0" collapsed="false">
      <c r="AM1214" s="1"/>
    </row>
    <row r="1215" customFormat="false" ht="12.75" hidden="false" customHeight="false" outlineLevel="0" collapsed="false">
      <c r="AM1215" s="1"/>
    </row>
    <row r="1216" customFormat="false" ht="12.75" hidden="false" customHeight="false" outlineLevel="0" collapsed="false">
      <c r="AM1216" s="1"/>
    </row>
    <row r="1217" customFormat="false" ht="12.75" hidden="false" customHeight="false" outlineLevel="0" collapsed="false">
      <c r="AM1217" s="1"/>
    </row>
    <row r="1218" customFormat="false" ht="12.75" hidden="false" customHeight="false" outlineLevel="0" collapsed="false">
      <c r="AM1218" s="1"/>
    </row>
    <row r="1219" customFormat="false" ht="12.75" hidden="false" customHeight="false" outlineLevel="0" collapsed="false">
      <c r="AM1219" s="1"/>
    </row>
    <row r="1220" customFormat="false" ht="12.75" hidden="false" customHeight="false" outlineLevel="0" collapsed="false">
      <c r="AM1220" s="1"/>
    </row>
    <row r="1221" customFormat="false" ht="12.75" hidden="false" customHeight="false" outlineLevel="0" collapsed="false">
      <c r="AM1221" s="1"/>
    </row>
    <row r="1222" customFormat="false" ht="12.75" hidden="false" customHeight="false" outlineLevel="0" collapsed="false">
      <c r="AM1222" s="1"/>
    </row>
    <row r="1223" customFormat="false" ht="12.75" hidden="false" customHeight="false" outlineLevel="0" collapsed="false">
      <c r="AM1223" s="1"/>
    </row>
    <row r="1224" customFormat="false" ht="12.75" hidden="false" customHeight="false" outlineLevel="0" collapsed="false">
      <c r="AM1224" s="1"/>
    </row>
    <row r="1225" customFormat="false" ht="12.75" hidden="false" customHeight="false" outlineLevel="0" collapsed="false">
      <c r="AM1225" s="1"/>
    </row>
    <row r="1226" customFormat="false" ht="12.75" hidden="false" customHeight="false" outlineLevel="0" collapsed="false">
      <c r="AM1226" s="1"/>
    </row>
    <row r="1227" customFormat="false" ht="12.75" hidden="false" customHeight="false" outlineLevel="0" collapsed="false">
      <c r="AM1227" s="1"/>
    </row>
    <row r="1228" customFormat="false" ht="12.75" hidden="false" customHeight="false" outlineLevel="0" collapsed="false">
      <c r="AM1228" s="1"/>
    </row>
    <row r="1229" customFormat="false" ht="12.75" hidden="false" customHeight="false" outlineLevel="0" collapsed="false">
      <c r="AM1229" s="1"/>
    </row>
    <row r="1230" customFormat="false" ht="12.75" hidden="false" customHeight="false" outlineLevel="0" collapsed="false">
      <c r="AM1230" s="1"/>
    </row>
    <row r="1231" customFormat="false" ht="12.75" hidden="false" customHeight="false" outlineLevel="0" collapsed="false">
      <c r="AM1231" s="1"/>
    </row>
    <row r="1232" customFormat="false" ht="12.75" hidden="false" customHeight="false" outlineLevel="0" collapsed="false">
      <c r="AM1232" s="1"/>
    </row>
    <row r="1233" customFormat="false" ht="12.75" hidden="false" customHeight="false" outlineLevel="0" collapsed="false">
      <c r="AM1233" s="1"/>
    </row>
    <row r="1234" customFormat="false" ht="12.75" hidden="false" customHeight="false" outlineLevel="0" collapsed="false">
      <c r="AM1234" s="1"/>
    </row>
    <row r="1235" customFormat="false" ht="12.75" hidden="false" customHeight="false" outlineLevel="0" collapsed="false">
      <c r="AM1235" s="1"/>
    </row>
    <row r="1236" customFormat="false" ht="12.75" hidden="false" customHeight="false" outlineLevel="0" collapsed="false">
      <c r="AM1236" s="1"/>
    </row>
    <row r="1237" customFormat="false" ht="12.75" hidden="false" customHeight="false" outlineLevel="0" collapsed="false">
      <c r="AM1237" s="1"/>
    </row>
    <row r="1238" customFormat="false" ht="12.75" hidden="false" customHeight="false" outlineLevel="0" collapsed="false">
      <c r="AM1238" s="1"/>
    </row>
    <row r="1239" customFormat="false" ht="12.75" hidden="false" customHeight="false" outlineLevel="0" collapsed="false">
      <c r="AM1239" s="1"/>
    </row>
    <row r="1240" customFormat="false" ht="12.75" hidden="false" customHeight="false" outlineLevel="0" collapsed="false">
      <c r="AM1240" s="1"/>
    </row>
    <row r="1241" customFormat="false" ht="12.75" hidden="false" customHeight="false" outlineLevel="0" collapsed="false">
      <c r="AM1241" s="1"/>
    </row>
    <row r="1242" customFormat="false" ht="12.75" hidden="false" customHeight="false" outlineLevel="0" collapsed="false">
      <c r="AM1242" s="1"/>
    </row>
    <row r="1243" customFormat="false" ht="12.75" hidden="false" customHeight="false" outlineLevel="0" collapsed="false">
      <c r="AM1243" s="1"/>
    </row>
    <row r="1244" customFormat="false" ht="12.75" hidden="false" customHeight="false" outlineLevel="0" collapsed="false">
      <c r="AM1244" s="1"/>
    </row>
    <row r="1245" customFormat="false" ht="12.75" hidden="false" customHeight="false" outlineLevel="0" collapsed="false">
      <c r="AM1245" s="1"/>
    </row>
    <row r="1246" customFormat="false" ht="12.75" hidden="false" customHeight="false" outlineLevel="0" collapsed="false">
      <c r="AM1246" s="1"/>
    </row>
    <row r="1247" customFormat="false" ht="12.75" hidden="false" customHeight="false" outlineLevel="0" collapsed="false">
      <c r="AM1247" s="1"/>
    </row>
    <row r="1248" customFormat="false" ht="12.75" hidden="false" customHeight="false" outlineLevel="0" collapsed="false">
      <c r="AM1248" s="1"/>
    </row>
    <row r="1249" customFormat="false" ht="12.75" hidden="false" customHeight="false" outlineLevel="0" collapsed="false">
      <c r="AM1249" s="1"/>
    </row>
    <row r="1250" customFormat="false" ht="12.75" hidden="false" customHeight="false" outlineLevel="0" collapsed="false">
      <c r="AM1250" s="1"/>
    </row>
    <row r="1251" customFormat="false" ht="12.75" hidden="false" customHeight="false" outlineLevel="0" collapsed="false">
      <c r="AM1251" s="1"/>
    </row>
    <row r="1252" customFormat="false" ht="12.75" hidden="false" customHeight="false" outlineLevel="0" collapsed="false">
      <c r="AM1252" s="1"/>
    </row>
    <row r="1253" customFormat="false" ht="12.75" hidden="false" customHeight="false" outlineLevel="0" collapsed="false">
      <c r="AM1253" s="1"/>
    </row>
    <row r="1254" customFormat="false" ht="12.75" hidden="false" customHeight="false" outlineLevel="0" collapsed="false">
      <c r="AM1254" s="1"/>
    </row>
    <row r="1255" customFormat="false" ht="12.75" hidden="false" customHeight="false" outlineLevel="0" collapsed="false">
      <c r="AM1255" s="1"/>
    </row>
    <row r="1256" customFormat="false" ht="12.75" hidden="false" customHeight="false" outlineLevel="0" collapsed="false">
      <c r="AM1256" s="1"/>
    </row>
    <row r="1257" customFormat="false" ht="12.75" hidden="false" customHeight="false" outlineLevel="0" collapsed="false">
      <c r="AM1257" s="1"/>
    </row>
    <row r="1258" customFormat="false" ht="12.75" hidden="false" customHeight="false" outlineLevel="0" collapsed="false">
      <c r="AM1258" s="1"/>
    </row>
    <row r="1259" customFormat="false" ht="12.75" hidden="false" customHeight="false" outlineLevel="0" collapsed="false">
      <c r="AM1259" s="1"/>
    </row>
    <row r="1260" customFormat="false" ht="12.75" hidden="false" customHeight="false" outlineLevel="0" collapsed="false">
      <c r="AM1260" s="1"/>
    </row>
    <row r="1261" customFormat="false" ht="12.75" hidden="false" customHeight="false" outlineLevel="0" collapsed="false">
      <c r="AM1261" s="1"/>
    </row>
    <row r="1262" customFormat="false" ht="12.75" hidden="false" customHeight="false" outlineLevel="0" collapsed="false">
      <c r="AM1262" s="1"/>
    </row>
    <row r="1263" customFormat="false" ht="12.75" hidden="false" customHeight="false" outlineLevel="0" collapsed="false">
      <c r="AM1263" s="1"/>
    </row>
    <row r="1264" customFormat="false" ht="12.75" hidden="false" customHeight="false" outlineLevel="0" collapsed="false">
      <c r="AM1264" s="1"/>
    </row>
    <row r="1265" customFormat="false" ht="12.75" hidden="false" customHeight="false" outlineLevel="0" collapsed="false">
      <c r="AM1265" s="1"/>
    </row>
    <row r="1266" customFormat="false" ht="12.75" hidden="false" customHeight="false" outlineLevel="0" collapsed="false">
      <c r="AM1266" s="1"/>
    </row>
    <row r="1267" customFormat="false" ht="12.75" hidden="false" customHeight="false" outlineLevel="0" collapsed="false">
      <c r="AM1267" s="1"/>
    </row>
    <row r="1268" customFormat="false" ht="12.75" hidden="false" customHeight="false" outlineLevel="0" collapsed="false">
      <c r="AM1268" s="1"/>
    </row>
    <row r="1269" customFormat="false" ht="12.75" hidden="false" customHeight="false" outlineLevel="0" collapsed="false">
      <c r="AM1269" s="1"/>
    </row>
    <row r="1270" customFormat="false" ht="12.75" hidden="false" customHeight="false" outlineLevel="0" collapsed="false">
      <c r="AM1270" s="1"/>
    </row>
    <row r="1271" customFormat="false" ht="12.75" hidden="false" customHeight="false" outlineLevel="0" collapsed="false">
      <c r="AM1271" s="1"/>
    </row>
    <row r="1272" customFormat="false" ht="12.75" hidden="false" customHeight="false" outlineLevel="0" collapsed="false">
      <c r="AM1272" s="1"/>
    </row>
    <row r="1273" customFormat="false" ht="12.75" hidden="false" customHeight="false" outlineLevel="0" collapsed="false">
      <c r="AM1273" s="1"/>
    </row>
    <row r="1274" customFormat="false" ht="12.75" hidden="false" customHeight="false" outlineLevel="0" collapsed="false">
      <c r="AM1274" s="1"/>
    </row>
    <row r="1275" customFormat="false" ht="12.75" hidden="false" customHeight="false" outlineLevel="0" collapsed="false">
      <c r="AM1275" s="1"/>
    </row>
    <row r="1276" customFormat="false" ht="12.75" hidden="false" customHeight="false" outlineLevel="0" collapsed="false">
      <c r="AM1276" s="1"/>
    </row>
    <row r="1277" customFormat="false" ht="12.75" hidden="false" customHeight="false" outlineLevel="0" collapsed="false">
      <c r="AM1277" s="1"/>
    </row>
    <row r="1278" customFormat="false" ht="12.75" hidden="false" customHeight="false" outlineLevel="0" collapsed="false">
      <c r="AM1278" s="1"/>
    </row>
    <row r="1279" customFormat="false" ht="12.75" hidden="false" customHeight="false" outlineLevel="0" collapsed="false">
      <c r="AM1279" s="1"/>
    </row>
    <row r="1280" customFormat="false" ht="12.75" hidden="false" customHeight="false" outlineLevel="0" collapsed="false">
      <c r="AM1280" s="1"/>
    </row>
    <row r="1281" customFormat="false" ht="12.75" hidden="false" customHeight="false" outlineLevel="0" collapsed="false">
      <c r="AM1281" s="1"/>
    </row>
    <row r="1282" customFormat="false" ht="12.75" hidden="false" customHeight="false" outlineLevel="0" collapsed="false">
      <c r="AM1282" s="1"/>
    </row>
    <row r="1283" customFormat="false" ht="12.75" hidden="false" customHeight="false" outlineLevel="0" collapsed="false">
      <c r="AM1283" s="1"/>
    </row>
    <row r="1284" customFormat="false" ht="12.75" hidden="false" customHeight="false" outlineLevel="0" collapsed="false">
      <c r="AM1284" s="1"/>
    </row>
    <row r="1285" customFormat="false" ht="12.75" hidden="false" customHeight="false" outlineLevel="0" collapsed="false">
      <c r="AM1285" s="1"/>
    </row>
    <row r="1286" customFormat="false" ht="12.75" hidden="false" customHeight="false" outlineLevel="0" collapsed="false">
      <c r="AM1286" s="1"/>
    </row>
    <row r="1287" customFormat="false" ht="12.75" hidden="false" customHeight="false" outlineLevel="0" collapsed="false">
      <c r="AM1287" s="1"/>
    </row>
    <row r="1288" customFormat="false" ht="12.75" hidden="false" customHeight="false" outlineLevel="0" collapsed="false">
      <c r="AM1288" s="1"/>
    </row>
    <row r="1289" customFormat="false" ht="12.75" hidden="false" customHeight="false" outlineLevel="0" collapsed="false">
      <c r="AM1289" s="1"/>
    </row>
    <row r="1290" customFormat="false" ht="12.75" hidden="false" customHeight="false" outlineLevel="0" collapsed="false">
      <c r="AM1290" s="1"/>
    </row>
    <row r="1291" customFormat="false" ht="12.75" hidden="false" customHeight="false" outlineLevel="0" collapsed="false">
      <c r="AM1291" s="1"/>
    </row>
    <row r="1292" customFormat="false" ht="12.75" hidden="false" customHeight="false" outlineLevel="0" collapsed="false">
      <c r="AM1292" s="1"/>
    </row>
    <row r="1293" customFormat="false" ht="12.75" hidden="false" customHeight="false" outlineLevel="0" collapsed="false">
      <c r="AM1293" s="1"/>
    </row>
    <row r="1294" customFormat="false" ht="12.75" hidden="false" customHeight="false" outlineLevel="0" collapsed="false">
      <c r="AM1294" s="1"/>
    </row>
    <row r="1295" customFormat="false" ht="12.75" hidden="false" customHeight="false" outlineLevel="0" collapsed="false">
      <c r="AM1295" s="1"/>
    </row>
    <row r="1296" customFormat="false" ht="12.75" hidden="false" customHeight="false" outlineLevel="0" collapsed="false">
      <c r="AM1296" s="1"/>
    </row>
    <row r="1297" customFormat="false" ht="12.75" hidden="false" customHeight="false" outlineLevel="0" collapsed="false">
      <c r="AM1297" s="1"/>
    </row>
    <row r="1298" customFormat="false" ht="12.75" hidden="false" customHeight="false" outlineLevel="0" collapsed="false">
      <c r="AM1298" s="1"/>
    </row>
    <row r="1299" customFormat="false" ht="12.75" hidden="false" customHeight="false" outlineLevel="0" collapsed="false">
      <c r="AM1299" s="1"/>
    </row>
    <row r="1300" customFormat="false" ht="12.75" hidden="false" customHeight="false" outlineLevel="0" collapsed="false">
      <c r="AM1300" s="1"/>
    </row>
    <row r="1301" customFormat="false" ht="12.75" hidden="false" customHeight="false" outlineLevel="0" collapsed="false">
      <c r="AM1301" s="1"/>
    </row>
    <row r="1302" customFormat="false" ht="12.75" hidden="false" customHeight="false" outlineLevel="0" collapsed="false">
      <c r="AM1302" s="1"/>
    </row>
    <row r="1303" customFormat="false" ht="12.75" hidden="false" customHeight="false" outlineLevel="0" collapsed="false">
      <c r="AM1303" s="1"/>
    </row>
    <row r="1304" customFormat="false" ht="12.75" hidden="false" customHeight="false" outlineLevel="0" collapsed="false">
      <c r="AM1304" s="1"/>
    </row>
    <row r="1305" customFormat="false" ht="12.75" hidden="false" customHeight="false" outlineLevel="0" collapsed="false">
      <c r="AM1305" s="1"/>
    </row>
    <row r="1306" customFormat="false" ht="12.75" hidden="false" customHeight="false" outlineLevel="0" collapsed="false">
      <c r="AM1306" s="1"/>
    </row>
    <row r="1307" customFormat="false" ht="12.75" hidden="false" customHeight="false" outlineLevel="0" collapsed="false">
      <c r="AM1307" s="1"/>
    </row>
    <row r="1308" customFormat="false" ht="12.75" hidden="false" customHeight="false" outlineLevel="0" collapsed="false">
      <c r="AM1308" s="1"/>
    </row>
    <row r="1309" customFormat="false" ht="12.75" hidden="false" customHeight="false" outlineLevel="0" collapsed="false">
      <c r="AM1309" s="1"/>
    </row>
    <row r="1310" customFormat="false" ht="12.75" hidden="false" customHeight="false" outlineLevel="0" collapsed="false">
      <c r="AM1310" s="1"/>
    </row>
    <row r="1311" customFormat="false" ht="12.75" hidden="false" customHeight="false" outlineLevel="0" collapsed="false">
      <c r="AM1311" s="1"/>
    </row>
    <row r="1312" customFormat="false" ht="12.75" hidden="false" customHeight="false" outlineLevel="0" collapsed="false">
      <c r="AM1312" s="1"/>
    </row>
    <row r="1313" customFormat="false" ht="12.75" hidden="false" customHeight="false" outlineLevel="0" collapsed="false">
      <c r="AM1313" s="1"/>
    </row>
    <row r="1314" customFormat="false" ht="12.75" hidden="false" customHeight="false" outlineLevel="0" collapsed="false">
      <c r="AM1314" s="1"/>
    </row>
    <row r="1315" customFormat="false" ht="12.75" hidden="false" customHeight="false" outlineLevel="0" collapsed="false">
      <c r="AM1315" s="1"/>
    </row>
    <row r="1316" customFormat="false" ht="12.75" hidden="false" customHeight="false" outlineLevel="0" collapsed="false">
      <c r="AM1316" s="1"/>
    </row>
    <row r="1317" customFormat="false" ht="12.75" hidden="false" customHeight="false" outlineLevel="0" collapsed="false">
      <c r="AM1317" s="1"/>
    </row>
    <row r="1318" customFormat="false" ht="12.75" hidden="false" customHeight="false" outlineLevel="0" collapsed="false">
      <c r="AM1318" s="1"/>
    </row>
    <row r="1319" customFormat="false" ht="12.75" hidden="false" customHeight="false" outlineLevel="0" collapsed="false">
      <c r="AM1319" s="1"/>
    </row>
    <row r="1320" customFormat="false" ht="12.75" hidden="false" customHeight="false" outlineLevel="0" collapsed="false">
      <c r="AM1320" s="1"/>
    </row>
    <row r="1321" customFormat="false" ht="12.75" hidden="false" customHeight="false" outlineLevel="0" collapsed="false">
      <c r="AM1321" s="1"/>
    </row>
    <row r="1322" customFormat="false" ht="12.75" hidden="false" customHeight="false" outlineLevel="0" collapsed="false">
      <c r="AM1322" s="1"/>
    </row>
    <row r="1323" customFormat="false" ht="12.75" hidden="false" customHeight="false" outlineLevel="0" collapsed="false">
      <c r="AM1323" s="1"/>
    </row>
    <row r="1324" customFormat="false" ht="12.75" hidden="false" customHeight="false" outlineLevel="0" collapsed="false">
      <c r="AM1324" s="1"/>
    </row>
    <row r="1325" customFormat="false" ht="12.75" hidden="false" customHeight="false" outlineLevel="0" collapsed="false">
      <c r="AM1325" s="1"/>
    </row>
    <row r="1326" customFormat="false" ht="12.75" hidden="false" customHeight="false" outlineLevel="0" collapsed="false">
      <c r="AM1326" s="1"/>
    </row>
    <row r="1327" customFormat="false" ht="12.75" hidden="false" customHeight="false" outlineLevel="0" collapsed="false">
      <c r="AM1327" s="1"/>
    </row>
    <row r="1328" customFormat="false" ht="12.75" hidden="false" customHeight="false" outlineLevel="0" collapsed="false">
      <c r="AM1328" s="1"/>
    </row>
    <row r="1329" customFormat="false" ht="12.75" hidden="false" customHeight="false" outlineLevel="0" collapsed="false">
      <c r="AM1329" s="1"/>
    </row>
    <row r="1330" customFormat="false" ht="12.75" hidden="false" customHeight="false" outlineLevel="0" collapsed="false">
      <c r="AM1330" s="1"/>
    </row>
    <row r="1331" customFormat="false" ht="12.75" hidden="false" customHeight="false" outlineLevel="0" collapsed="false">
      <c r="AM1331" s="1"/>
    </row>
    <row r="1332" customFormat="false" ht="12.75" hidden="false" customHeight="false" outlineLevel="0" collapsed="false">
      <c r="AM1332" s="1"/>
    </row>
    <row r="1333" customFormat="false" ht="12.75" hidden="false" customHeight="false" outlineLevel="0" collapsed="false">
      <c r="AM1333" s="1"/>
    </row>
    <row r="1334" customFormat="false" ht="12.75" hidden="false" customHeight="false" outlineLevel="0" collapsed="false">
      <c r="AM1334" s="1"/>
    </row>
    <row r="1335" customFormat="false" ht="12.75" hidden="false" customHeight="false" outlineLevel="0" collapsed="false">
      <c r="AM1335" s="1"/>
    </row>
    <row r="1336" customFormat="false" ht="12.75" hidden="false" customHeight="false" outlineLevel="0" collapsed="false">
      <c r="AM1336" s="1"/>
    </row>
    <row r="1337" customFormat="false" ht="12.75" hidden="false" customHeight="false" outlineLevel="0" collapsed="false">
      <c r="AM1337" s="1"/>
    </row>
    <row r="1338" customFormat="false" ht="12.75" hidden="false" customHeight="false" outlineLevel="0" collapsed="false">
      <c r="AM1338" s="1"/>
    </row>
    <row r="1339" customFormat="false" ht="12.75" hidden="false" customHeight="false" outlineLevel="0" collapsed="false">
      <c r="AM1339" s="1"/>
    </row>
    <row r="1340" customFormat="false" ht="12.75" hidden="false" customHeight="false" outlineLevel="0" collapsed="false">
      <c r="AM1340" s="1"/>
    </row>
    <row r="1341" customFormat="false" ht="12.75" hidden="false" customHeight="false" outlineLevel="0" collapsed="false">
      <c r="AM1341" s="1"/>
    </row>
    <row r="1342" customFormat="false" ht="12.75" hidden="false" customHeight="false" outlineLevel="0" collapsed="false">
      <c r="AM1342" s="1"/>
    </row>
    <row r="1343" customFormat="false" ht="12.75" hidden="false" customHeight="false" outlineLevel="0" collapsed="false">
      <c r="AM1343" s="1"/>
    </row>
    <row r="1344" customFormat="false" ht="12.75" hidden="false" customHeight="false" outlineLevel="0" collapsed="false">
      <c r="AM1344" s="1"/>
    </row>
    <row r="1345" customFormat="false" ht="12.75" hidden="false" customHeight="false" outlineLevel="0" collapsed="false">
      <c r="AM1345" s="1"/>
    </row>
    <row r="1346" customFormat="false" ht="12.75" hidden="false" customHeight="false" outlineLevel="0" collapsed="false">
      <c r="AM1346" s="1"/>
    </row>
    <row r="1347" customFormat="false" ht="12.75" hidden="false" customHeight="false" outlineLevel="0" collapsed="false">
      <c r="AM1347" s="1"/>
    </row>
    <row r="1348" customFormat="false" ht="12.75" hidden="false" customHeight="false" outlineLevel="0" collapsed="false">
      <c r="AM1348" s="1"/>
    </row>
    <row r="1349" customFormat="false" ht="12.75" hidden="false" customHeight="false" outlineLevel="0" collapsed="false">
      <c r="AM1349" s="1"/>
    </row>
    <row r="1350" customFormat="false" ht="12.75" hidden="false" customHeight="false" outlineLevel="0" collapsed="false">
      <c r="AM1350" s="1"/>
    </row>
    <row r="1351" customFormat="false" ht="12.75" hidden="false" customHeight="false" outlineLevel="0" collapsed="false">
      <c r="AM1351" s="1"/>
    </row>
    <row r="1352" customFormat="false" ht="12.75" hidden="false" customHeight="false" outlineLevel="0" collapsed="false">
      <c r="AM1352" s="1"/>
    </row>
    <row r="1353" customFormat="false" ht="12.75" hidden="false" customHeight="false" outlineLevel="0" collapsed="false">
      <c r="AM1353" s="1"/>
    </row>
    <row r="1354" customFormat="false" ht="12.75" hidden="false" customHeight="false" outlineLevel="0" collapsed="false">
      <c r="AM1354" s="1"/>
    </row>
    <row r="1355" customFormat="false" ht="12.75" hidden="false" customHeight="false" outlineLevel="0" collapsed="false">
      <c r="AM1355" s="1"/>
    </row>
    <row r="1356" customFormat="false" ht="12.75" hidden="false" customHeight="false" outlineLevel="0" collapsed="false">
      <c r="AM1356" s="1"/>
    </row>
    <row r="1357" customFormat="false" ht="12.75" hidden="false" customHeight="false" outlineLevel="0" collapsed="false">
      <c r="AM1357" s="1"/>
    </row>
    <row r="1358" customFormat="false" ht="12.75" hidden="false" customHeight="false" outlineLevel="0" collapsed="false">
      <c r="AM1358" s="1"/>
    </row>
    <row r="1359" customFormat="false" ht="12.75" hidden="false" customHeight="false" outlineLevel="0" collapsed="false">
      <c r="AM1359" s="1"/>
    </row>
    <row r="1360" customFormat="false" ht="12.75" hidden="false" customHeight="false" outlineLevel="0" collapsed="false">
      <c r="AM1360" s="1"/>
    </row>
    <row r="1361" customFormat="false" ht="12.75" hidden="false" customHeight="false" outlineLevel="0" collapsed="false">
      <c r="AM1361" s="1"/>
    </row>
    <row r="1362" customFormat="false" ht="12.75" hidden="false" customHeight="false" outlineLevel="0" collapsed="false">
      <c r="AM1362" s="1"/>
    </row>
    <row r="1363" customFormat="false" ht="12.75" hidden="false" customHeight="false" outlineLevel="0" collapsed="false">
      <c r="AM1363" s="1"/>
    </row>
    <row r="1364" customFormat="false" ht="12.75" hidden="false" customHeight="false" outlineLevel="0" collapsed="false">
      <c r="AM1364" s="1"/>
    </row>
    <row r="1365" customFormat="false" ht="12.75" hidden="false" customHeight="false" outlineLevel="0" collapsed="false">
      <c r="AM1365" s="1"/>
    </row>
    <row r="1366" customFormat="false" ht="12.75" hidden="false" customHeight="false" outlineLevel="0" collapsed="false">
      <c r="AM1366" s="1"/>
    </row>
    <row r="1367" customFormat="false" ht="12.75" hidden="false" customHeight="false" outlineLevel="0" collapsed="false">
      <c r="AM1367" s="1"/>
    </row>
    <row r="1368" customFormat="false" ht="12.75" hidden="false" customHeight="false" outlineLevel="0" collapsed="false">
      <c r="AM1368" s="1"/>
    </row>
    <row r="1369" customFormat="false" ht="12.75" hidden="false" customHeight="false" outlineLevel="0" collapsed="false">
      <c r="AM1369" s="1"/>
    </row>
    <row r="1370" customFormat="false" ht="12.75" hidden="false" customHeight="false" outlineLevel="0" collapsed="false">
      <c r="AM1370" s="1"/>
    </row>
    <row r="1371" customFormat="false" ht="12.75" hidden="false" customHeight="false" outlineLevel="0" collapsed="false">
      <c r="AM1371" s="1"/>
    </row>
    <row r="1372" customFormat="false" ht="12.75" hidden="false" customHeight="false" outlineLevel="0" collapsed="false">
      <c r="AM1372" s="1"/>
    </row>
    <row r="1373" customFormat="false" ht="12.75" hidden="false" customHeight="false" outlineLevel="0" collapsed="false">
      <c r="AM1373" s="1"/>
    </row>
    <row r="1374" customFormat="false" ht="12.75" hidden="false" customHeight="false" outlineLevel="0" collapsed="false">
      <c r="AM1374" s="1"/>
    </row>
    <row r="1375" customFormat="false" ht="12.75" hidden="false" customHeight="false" outlineLevel="0" collapsed="false">
      <c r="AM1375" s="1"/>
    </row>
    <row r="1376" customFormat="false" ht="12.75" hidden="false" customHeight="false" outlineLevel="0" collapsed="false">
      <c r="AM1376" s="1"/>
    </row>
    <row r="1377" customFormat="false" ht="12.75" hidden="false" customHeight="false" outlineLevel="0" collapsed="false">
      <c r="AM1377" s="1"/>
    </row>
    <row r="1378" customFormat="false" ht="12.75" hidden="false" customHeight="false" outlineLevel="0" collapsed="false">
      <c r="AM1378" s="1"/>
    </row>
    <row r="1379" customFormat="false" ht="12.75" hidden="false" customHeight="false" outlineLevel="0" collapsed="false">
      <c r="AM1379" s="1"/>
    </row>
    <row r="1380" customFormat="false" ht="12.75" hidden="false" customHeight="false" outlineLevel="0" collapsed="false">
      <c r="AM1380" s="1"/>
    </row>
    <row r="1381" customFormat="false" ht="12.75" hidden="false" customHeight="false" outlineLevel="0" collapsed="false">
      <c r="AM1381" s="1"/>
    </row>
    <row r="1382" customFormat="false" ht="12.75" hidden="false" customHeight="false" outlineLevel="0" collapsed="false">
      <c r="AM1382" s="1"/>
    </row>
    <row r="1383" customFormat="false" ht="12.75" hidden="false" customHeight="false" outlineLevel="0" collapsed="false">
      <c r="AM1383" s="1"/>
    </row>
    <row r="1384" customFormat="false" ht="12.75" hidden="false" customHeight="false" outlineLevel="0" collapsed="false">
      <c r="AM1384" s="1"/>
    </row>
    <row r="1385" customFormat="false" ht="12.75" hidden="false" customHeight="false" outlineLevel="0" collapsed="false">
      <c r="AM1385" s="1"/>
    </row>
    <row r="1386" customFormat="false" ht="12.75" hidden="false" customHeight="false" outlineLevel="0" collapsed="false">
      <c r="AM1386" s="1"/>
    </row>
    <row r="1387" customFormat="false" ht="12.75" hidden="false" customHeight="false" outlineLevel="0" collapsed="false">
      <c r="AM1387" s="1"/>
    </row>
    <row r="1388" customFormat="false" ht="12.75" hidden="false" customHeight="false" outlineLevel="0" collapsed="false">
      <c r="AM1388" s="1"/>
    </row>
    <row r="1389" customFormat="false" ht="12.75" hidden="false" customHeight="false" outlineLevel="0" collapsed="false">
      <c r="AM1389" s="1"/>
    </row>
    <row r="1390" customFormat="false" ht="12.75" hidden="false" customHeight="false" outlineLevel="0" collapsed="false">
      <c r="AM1390" s="1"/>
    </row>
    <row r="1391" customFormat="false" ht="12.75" hidden="false" customHeight="false" outlineLevel="0" collapsed="false">
      <c r="AM1391" s="1"/>
    </row>
    <row r="1392" customFormat="false" ht="12.75" hidden="false" customHeight="false" outlineLevel="0" collapsed="false">
      <c r="AM1392" s="1"/>
    </row>
    <row r="1393" customFormat="false" ht="12.75" hidden="false" customHeight="false" outlineLevel="0" collapsed="false">
      <c r="AM1393" s="1"/>
    </row>
    <row r="1394" customFormat="false" ht="12.75" hidden="false" customHeight="false" outlineLevel="0" collapsed="false">
      <c r="AM1394" s="1"/>
    </row>
    <row r="1395" customFormat="false" ht="12.75" hidden="false" customHeight="false" outlineLevel="0" collapsed="false">
      <c r="AM1395" s="1"/>
    </row>
    <row r="1396" customFormat="false" ht="12.75" hidden="false" customHeight="false" outlineLevel="0" collapsed="false">
      <c r="AM1396" s="1"/>
    </row>
  </sheetData>
  <mergeCells count="105">
    <mergeCell ref="B2:G2"/>
    <mergeCell ref="T2:Z2"/>
    <mergeCell ref="AB2:AD2"/>
    <mergeCell ref="AF2:AG2"/>
    <mergeCell ref="AJ2:AN2"/>
    <mergeCell ref="AP2:AY2"/>
    <mergeCell ref="BC2:BF2"/>
    <mergeCell ref="BH2:BI2"/>
    <mergeCell ref="BK2:BM2"/>
    <mergeCell ref="U3:W3"/>
    <mergeCell ref="X3:Z3"/>
    <mergeCell ref="AJ3:AM3"/>
    <mergeCell ref="B4:C4"/>
    <mergeCell ref="D4:G4"/>
    <mergeCell ref="AJ4:AM4"/>
    <mergeCell ref="AJ5:AM5"/>
    <mergeCell ref="BC5:BF5"/>
    <mergeCell ref="AJ6:AM6"/>
    <mergeCell ref="B7:D7"/>
    <mergeCell ref="E7:G7"/>
    <mergeCell ref="AJ7:AM7"/>
    <mergeCell ref="AF8:AH8"/>
    <mergeCell ref="BC8:BF8"/>
    <mergeCell ref="AJ9:AL9"/>
    <mergeCell ref="AJ10:AL10"/>
    <mergeCell ref="B11:G11"/>
    <mergeCell ref="AJ11:AL11"/>
    <mergeCell ref="BC11:BF11"/>
    <mergeCell ref="J15:L15"/>
    <mergeCell ref="M15:O15"/>
    <mergeCell ref="P15:R15"/>
    <mergeCell ref="T15:U15"/>
    <mergeCell ref="W15:AB15"/>
    <mergeCell ref="AC15:AF15"/>
    <mergeCell ref="AG15:AH15"/>
    <mergeCell ref="AI15:AN15"/>
    <mergeCell ref="AO15:AR15"/>
    <mergeCell ref="AS15:AV15"/>
    <mergeCell ref="AW15:BC15"/>
    <mergeCell ref="BD15:BE15"/>
    <mergeCell ref="BI15:CM15"/>
    <mergeCell ref="CO15:DE15"/>
    <mergeCell ref="AG16:AH16"/>
    <mergeCell ref="AI16:AN16"/>
    <mergeCell ref="AO16:AP16"/>
    <mergeCell ref="AQ16:AR16"/>
    <mergeCell ref="AS16:AV16"/>
    <mergeCell ref="BD16:BE16"/>
    <mergeCell ref="BI16:BN16"/>
    <mergeCell ref="BO16:BQ16"/>
    <mergeCell ref="BS16:BT16"/>
    <mergeCell ref="BU16:BV16"/>
    <mergeCell ref="BW16:BX16"/>
    <mergeCell ref="BY16:BZ16"/>
    <mergeCell ref="CA16:CD16"/>
    <mergeCell ref="CF16:CM16"/>
    <mergeCell ref="CQ16:CR16"/>
    <mergeCell ref="CS16:CT16"/>
    <mergeCell ref="CV16:CW16"/>
    <mergeCell ref="CX16:DA16"/>
    <mergeCell ref="DB16:DE16"/>
    <mergeCell ref="EC16:EG16"/>
    <mergeCell ref="B17:G17"/>
    <mergeCell ref="W17:X17"/>
    <mergeCell ref="Y17:Z17"/>
    <mergeCell ref="AA17:AB17"/>
    <mergeCell ref="AC17:AD17"/>
    <mergeCell ref="AE17:AF17"/>
    <mergeCell ref="AG17:AH17"/>
    <mergeCell ref="AI17:AK17"/>
    <mergeCell ref="AL17:AN17"/>
    <mergeCell ref="AX17:AZ17"/>
    <mergeCell ref="BA17:BC17"/>
    <mergeCell ref="BI17:BL17"/>
    <mergeCell ref="BM17:BN17"/>
    <mergeCell ref="BO17:BQ17"/>
    <mergeCell ref="BS17:BT17"/>
    <mergeCell ref="BU17:BV17"/>
    <mergeCell ref="CF17:CI17"/>
    <mergeCell ref="CJ17:CM17"/>
    <mergeCell ref="CS17:CT17"/>
    <mergeCell ref="CV17:CW17"/>
    <mergeCell ref="DG17:DI17"/>
    <mergeCell ref="DJ17:DL17"/>
    <mergeCell ref="DM17:DN17"/>
    <mergeCell ref="DO17:DQ17"/>
    <mergeCell ref="DR17:DT17"/>
    <mergeCell ref="DU17:DW17"/>
    <mergeCell ref="DX17:DY17"/>
    <mergeCell ref="DZ17:EA17"/>
    <mergeCell ref="ED17:EE17"/>
    <mergeCell ref="EF17:EG17"/>
    <mergeCell ref="EN17:EO17"/>
    <mergeCell ref="EW17:EX17"/>
    <mergeCell ref="EZ17:FH17"/>
    <mergeCell ref="EZ18:FB18"/>
    <mergeCell ref="FE18:FF18"/>
    <mergeCell ref="FG18:FH18"/>
    <mergeCell ref="EI19:EL19"/>
    <mergeCell ref="B23:G23"/>
    <mergeCell ref="B34:G34"/>
    <mergeCell ref="E35:F35"/>
    <mergeCell ref="B36:G36"/>
    <mergeCell ref="B42:G42"/>
    <mergeCell ref="B45:G45"/>
  </mergeCells>
  <conditionalFormatting sqref="Q20:Q260 K20:K260">
    <cfRule type="cellIs" priority="2" operator="notBetween" aboveAverage="0" equalAverage="0" bottom="0" percent="0" rank="0" text="" dxfId="0">
      <formula>-1000</formula>
      <formula>1000</formula>
    </cfRule>
  </conditionalFormatting>
  <conditionalFormatting sqref="I15:I18">
    <cfRule type="cellIs" priority="3" operator="equal" aboveAverage="0" equalAverage="0" bottom="0" percent="0" rank="0" text="" dxfId="1">
      <formula>2</formula>
    </cfRule>
  </conditionalFormatting>
  <conditionalFormatting sqref="F6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true"/>
  <pageMargins left="0.2" right="0.2" top="0.170138888888889" bottom="0.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2">
              <controlPr defaultSize="0" print="true" autoFill="0" autoPict="0" macro="xls.PricingMacros.ExtendableSwap">
                <anchor moveWithCells="true" sizeWithCells="false">
                  <from>
                    <xdr:col>5</xdr:col>
                    <xdr:colOff>21240</xdr:colOff>
                    <xdr:row>25</xdr:row>
                    <xdr:rowOff>9360</xdr:rowOff>
                  </from>
                  <to>
                    <xdr:col>6</xdr:col>
                    <xdr:colOff>645480</xdr:colOff>
                    <xdr:row>26</xdr:row>
                    <xdr:rowOff>-9360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3">
              <controlPr defaultSize="0" print="true" autoFill="0" autoPict="0" macro="xls.PricingMacros.ParticipatingSwap">
                <anchor moveWithCells="true" sizeWithCells="false">
                  <from>
                    <xdr:col>5</xdr:col>
                    <xdr:colOff>10800</xdr:colOff>
                    <xdr:row>45</xdr:row>
                    <xdr:rowOff>0</xdr:rowOff>
                  </from>
                  <to>
                    <xdr:col>6</xdr:col>
                    <xdr:colOff>666360</xdr:colOff>
                    <xdr:row>46</xdr:row>
                    <xdr:rowOff>181080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32">
              <controlPr defaultSize="0" print="false" autoFill="0" autoPict="0">
                <anchor moveWithCells="true" sizeWithCells="false">
                  <from>
                    <xdr:col>5</xdr:col>
                    <xdr:colOff>10800</xdr:colOff>
                    <xdr:row>32</xdr:row>
                    <xdr:rowOff>9720</xdr:rowOff>
                  </from>
                  <to>
                    <xdr:col>6</xdr:col>
                    <xdr:colOff>645480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Over">
              <controlPr defaultSize="0" locked="1" autoFill="0" autoLine="0" autoPict="0" print="true" altText="Check Box 150">
                <anchor moveWithCells="true" sizeWithCells="false">
                  <from>
                    <xdr:col>21</xdr:col>
                    <xdr:colOff>42480</xdr:colOff>
                    <xdr:row>16</xdr:row>
                    <xdr:rowOff>38160</xdr:rowOff>
                  </from>
                  <to>
                    <xdr:col>22</xdr:col>
                    <xdr:colOff>-30960</xdr:colOff>
                    <xdr:row>17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Button 172">
              <controlPr defaultSize="0" print="false" autoFill="0" autoPict="0">
                <anchor moveWithCells="true" sizeWithCells="false">
                  <from>
                    <xdr:col>110</xdr:col>
                    <xdr:colOff>42480</xdr:colOff>
                    <xdr:row>14</xdr:row>
                    <xdr:rowOff>19080</xdr:rowOff>
                  </from>
                  <to>
                    <xdr:col>117</xdr:col>
                    <xdr:colOff>475920</xdr:colOff>
                    <xdr:row>15</xdr:row>
                    <xdr:rowOff>161640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" r:id="rId8" name="Button 174">
              <controlPr defaultSize="0" print="false" autoFill="0" autoPict="0">
                <anchor moveWithCells="true" sizeWithCells="false">
                  <from>
                    <xdr:col>121</xdr:col>
                    <xdr:colOff>52560</xdr:colOff>
                    <xdr:row>14</xdr:row>
                    <xdr:rowOff>19080</xdr:rowOff>
                  </from>
                  <to>
                    <xdr:col>130</xdr:col>
                    <xdr:colOff>465480</xdr:colOff>
                    <xdr:row>15</xdr:row>
                    <xdr:rowOff>152640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" r:id="rId9" name="Button 1228">
              <controlPr defaultSize="0" print="true" autoFill="0" autoPict="0">
                <anchor moveWithCells="true" sizeWithCells="false">
                  <from>
                    <xdr:col>18</xdr:col>
                    <xdr:colOff>10440</xdr:colOff>
                    <xdr:row>15</xdr:row>
                    <xdr:rowOff>171720</xdr:rowOff>
                  </from>
                  <to>
                    <xdr:col>19</xdr:col>
                    <xdr:colOff>232560</xdr:colOff>
                    <xdr:row>16</xdr:row>
                    <xdr:rowOff>181080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" r:id="rId10" name="Button 1229">
              <controlPr defaultSize="0" print="true" autoFill="0" autoPict="0" macro="xls.FetchingMacros.RetrieveRegressionParametersIntraday">
                <anchor moveWithCells="true" sizeWithCells="false">
                  <from>
                    <xdr:col>19</xdr:col>
                    <xdr:colOff>263880</xdr:colOff>
                    <xdr:row>15</xdr:row>
                    <xdr:rowOff>171720</xdr:rowOff>
                  </from>
                  <to>
                    <xdr:col>20</xdr:col>
                    <xdr:colOff>507960</xdr:colOff>
                    <xdr:row>16</xdr:row>
                    <xdr:rowOff>181080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" r:id="rId11" name="Button 1231">
              <controlPr defaultSize="0" print="true" autoFill="0" autoPict="0">
                <anchor moveWithCells="true" sizeWithCells="false">
                  <from>
                    <xdr:col>26</xdr:col>
                    <xdr:colOff>10800</xdr:colOff>
                    <xdr:row>1</xdr:row>
                    <xdr:rowOff>9000</xdr:rowOff>
                  </from>
                  <to>
                    <xdr:col>27</xdr:col>
                    <xdr:colOff>-10080</xdr:colOff>
                    <xdr:row>6</xdr:row>
                    <xdr:rowOff>104760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" r:id="rId12" name="Button 2075">
              <controlPr defaultSize="0" print="true" autoFill="0" autoPict="0">
                <anchor moveWithCells="true" sizeWithCells="false">
                  <from>
                    <xdr:col>9</xdr:col>
                    <xdr:colOff>10800</xdr:colOff>
                    <xdr:row>15</xdr:row>
                    <xdr:rowOff>9000</xdr:rowOff>
                  </from>
                  <to>
                    <xdr:col>10</xdr:col>
                    <xdr:colOff>243360</xdr:colOff>
                    <xdr:row>16</xdr:row>
                    <xdr:rowOff>181080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" r:id="rId13" name="Button 2078">
              <controlPr defaultSize="0" print="true" autoFill="0" autoPict="0" macro="xls.FetchingMacros.RetrieveWTIPriceIntraday">
                <anchor moveWithCells="true" sizeWithCells="false">
                  <from>
                    <xdr:col>10</xdr:col>
                    <xdr:colOff>264240</xdr:colOff>
                    <xdr:row>15</xdr:row>
                    <xdr:rowOff>9000</xdr:rowOff>
                  </from>
                  <to>
                    <xdr:col>11</xdr:col>
                    <xdr:colOff>432720</xdr:colOff>
                    <xdr:row>16</xdr:row>
                    <xdr:rowOff>181080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" r:id="rId14" name="Button 2079">
              <controlPr defaultSize="0" print="true" autoFill="0" autoPict="0">
                <anchor moveWithCells="true" sizeWithCells="false">
                  <from>
                    <xdr:col>12</xdr:col>
                    <xdr:colOff>21600</xdr:colOff>
                    <xdr:row>15</xdr:row>
                    <xdr:rowOff>9000</xdr:rowOff>
                  </from>
                  <to>
                    <xdr:col>13</xdr:col>
                    <xdr:colOff>275400</xdr:colOff>
                    <xdr:row>16</xdr:row>
                    <xdr:rowOff>181080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" r:id="rId15" name="Button 2080">
              <controlPr defaultSize="0" print="true" autoFill="0" autoPict="0" macro="xls.FetchingMacros.RetrieveVolIntraday">
                <anchor moveWithCells="true" sizeWithCells="false">
                  <from>
                    <xdr:col>13</xdr:col>
                    <xdr:colOff>285120</xdr:colOff>
                    <xdr:row>15</xdr:row>
                    <xdr:rowOff>9000</xdr:rowOff>
                  </from>
                  <to>
                    <xdr:col>14</xdr:col>
                    <xdr:colOff>486360</xdr:colOff>
                    <xdr:row>16</xdr:row>
                    <xdr:rowOff>181080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" r:id="rId16" name="Button 2403">
              <controlPr defaultSize="0" print="true" autoFill="0" autoPict="0">
                <anchor moveWithCells="true" sizeWithCells="false">
                  <from>
                    <xdr:col>15</xdr:col>
                    <xdr:colOff>21240</xdr:colOff>
                    <xdr:row>15</xdr:row>
                    <xdr:rowOff>9000</xdr:rowOff>
                  </from>
                  <to>
                    <xdr:col>16</xdr:col>
                    <xdr:colOff>254160</xdr:colOff>
                    <xdr:row>16</xdr:row>
                    <xdr:rowOff>181080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" r:id="rId17" name="Button 2404">
              <controlPr defaultSize="0" print="true" autoFill="0" autoPict="0" macro="xls.FetchingMacros.RetrieveBrentPriceIntraday">
                <anchor moveWithCells="true" sizeWithCells="false">
                  <from>
                    <xdr:col>16</xdr:col>
                    <xdr:colOff>275040</xdr:colOff>
                    <xdr:row>15</xdr:row>
                    <xdr:rowOff>9000</xdr:rowOff>
                  </from>
                  <to>
                    <xdr:col>17</xdr:col>
                    <xdr:colOff>443880</xdr:colOff>
                    <xdr:row>16</xdr:row>
                    <xdr:rowOff>181080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" r:id="rId18" name="Button 2405">
              <controlPr defaultSize="0" print="true" autoFill="0" autoPict="0" macro="xls.FetchingMacros.RetrieveAllChanges">
                <anchor moveWithCells="true" sizeWithCells="false">
                  <from>
                    <xdr:col>26</xdr:col>
                    <xdr:colOff>10800</xdr:colOff>
                    <xdr:row>6</xdr:row>
                    <xdr:rowOff>114120</xdr:rowOff>
                  </from>
                  <to>
                    <xdr:col>27</xdr:col>
                    <xdr:colOff>-10080</xdr:colOff>
                    <xdr:row>13</xdr:row>
                    <xdr:rowOff>209520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7" r:id="rId19" name="Button 2538">
              <controlPr defaultSize="0" print="true" autoFill="0" autoPict="0" macro="xls.FetchingMacros.Straddle">
                <anchor moveWithCells="true" sizeWithCells="false">
                  <from>
                    <xdr:col>4</xdr:col>
                    <xdr:colOff>10440</xdr:colOff>
                    <xdr:row>7</xdr:row>
                    <xdr:rowOff>9720</xdr:rowOff>
                  </from>
                  <to>
                    <xdr:col>5</xdr:col>
                    <xdr:colOff>720</xdr:colOff>
                    <xdr:row>8</xdr:row>
                    <xdr:rowOff>-18720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8" r:id="rId20" name="Button 8213">
              <controlPr defaultSize="0" print="true" autoFill="0" autoPict="0" macro="xls.PricingMacros.CostlessCollar">
                <anchor moveWithCells="true" sizeWithCells="false">
                  <from>
                    <xdr:col>6</xdr:col>
                    <xdr:colOff>21600</xdr:colOff>
                    <xdr:row>14</xdr:row>
                    <xdr:rowOff>19080</xdr:rowOff>
                  </from>
                  <to>
                    <xdr:col>7</xdr:col>
                    <xdr:colOff>-20880</xdr:colOff>
                    <xdr:row>15</xdr:row>
                    <xdr:rowOff>152640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" r:id="rId21" name="Button 10860">
              <controlPr defaultSize="0" print="true" autoFill="0" autoPict="0">
                <anchor moveWithCells="true" sizeWithCells="false">
                  <from>
                    <xdr:col>118</xdr:col>
                    <xdr:colOff>0</xdr:colOff>
                    <xdr:row>14</xdr:row>
                    <xdr:rowOff>19080</xdr:rowOff>
                  </from>
                  <to>
                    <xdr:col>120</xdr:col>
                    <xdr:colOff>423000</xdr:colOff>
                    <xdr:row>15</xdr:row>
                    <xdr:rowOff>142560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" r:id="rId22" name="Button 21324">
              <controlPr defaultSize="0" print="true" autoFill="0" autoPict="0" macro="xls.FetchingMacros.RetrieveBrentVolCurve">
                <anchor moveWithCells="true" sizeWithCells="false">
                  <from>
                    <xdr:col>45</xdr:col>
                    <xdr:colOff>10440</xdr:colOff>
                    <xdr:row>16</xdr:row>
                    <xdr:rowOff>9720</xdr:rowOff>
                  </from>
                  <to>
                    <xdr:col>46</xdr:col>
                    <xdr:colOff>10800</xdr:colOff>
                    <xdr:row>17</xdr:row>
                    <xdr:rowOff>199800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1" r:id="rId23" name="Button 26729">
              <controlPr defaultSize="0" print="true" autoFill="0" autoPict="0">
                <anchor moveWithCells="true" sizeWithCells="false">
                  <from>
                    <xdr:col>237</xdr:col>
                    <xdr:colOff>42120</xdr:colOff>
                    <xdr:row>11</xdr:row>
                    <xdr:rowOff>9720</xdr:rowOff>
                  </from>
                  <to>
                    <xdr:col>239</xdr:col>
                    <xdr:colOff>720</xdr:colOff>
                    <xdr:row>12</xdr:row>
                    <xdr:rowOff>199800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2" r:id="rId24" name="Button 26730">
              <controlPr defaultSize="0" print="true" autoFill="0" autoPict="0">
                <anchor moveWithCells="true" sizeWithCells="false">
                  <from>
                    <xdr:col>239</xdr:col>
                    <xdr:colOff>42120</xdr:colOff>
                    <xdr:row>11</xdr:row>
                    <xdr:rowOff>9720</xdr:rowOff>
                  </from>
                  <to>
                    <xdr:col>242</xdr:col>
                    <xdr:colOff>222480</xdr:colOff>
                    <xdr:row>12</xdr:row>
                    <xdr:rowOff>199800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3" r:id="rId25" name="Button 26731">
              <controlPr defaultSize="0" print="true" autoFill="0" autoPict="0" macro="xls.FetchingMacros.RetrieveSwaptionVolTableIntraday">
                <anchor moveWithCells="true" sizeWithCells="false">
                  <from>
                    <xdr:col>242</xdr:col>
                    <xdr:colOff>253440</xdr:colOff>
                    <xdr:row>11</xdr:row>
                    <xdr:rowOff>9720</xdr:rowOff>
                  </from>
                  <to>
                    <xdr:col>245</xdr:col>
                    <xdr:colOff>453960</xdr:colOff>
                    <xdr:row>12</xdr:row>
                    <xdr:rowOff>190440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2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2" activeCellId="0" sqref="A12"/>
    </sheetView>
  </sheetViews>
  <sheetFormatPr defaultColWidth="10.65234375" defaultRowHeight="12.75" customHeight="true" zeroHeight="false" outlineLevelRow="0" outlineLevelCol="0"/>
  <cols>
    <col collapsed="false" customWidth="true" hidden="false" outlineLevel="0" max="1" min="1" style="739" width="18.99"/>
    <col collapsed="false" customWidth="true" hidden="false" outlineLevel="0" max="2" min="2" style="739" width="25.65"/>
    <col collapsed="false" customWidth="true" hidden="false" outlineLevel="0" max="3" min="3" style="739" width="20.99"/>
    <col collapsed="false" customWidth="false" hidden="false" outlineLevel="0" max="257" min="4" style="739" width="10.65"/>
  </cols>
  <sheetData>
    <row r="1" customFormat="false" ht="15.75" hidden="false" customHeight="false" outlineLevel="0" collapsed="false">
      <c r="A1" s="740" t="s">
        <v>491</v>
      </c>
      <c r="B1" s="740"/>
      <c r="C1" s="740"/>
      <c r="D1" s="741"/>
    </row>
    <row r="2" customFormat="false" ht="15.75" hidden="false" customHeight="false" outlineLevel="0" collapsed="false">
      <c r="A2" s="742"/>
      <c r="B2" s="743"/>
      <c r="C2" s="744"/>
      <c r="D2" s="741"/>
    </row>
    <row r="3" customFormat="false" ht="12.75" hidden="false" customHeight="false" outlineLevel="0" collapsed="false">
      <c r="A3" s="745" t="s">
        <v>492</v>
      </c>
      <c r="B3" s="746" t="s">
        <v>493</v>
      </c>
      <c r="C3" s="744"/>
      <c r="D3" s="741"/>
    </row>
    <row r="4" customFormat="false" ht="12.75" hidden="false" customHeight="false" outlineLevel="0" collapsed="false">
      <c r="A4" s="745" t="s">
        <v>494</v>
      </c>
      <c r="B4" s="746" t="s">
        <v>495</v>
      </c>
      <c r="C4" s="744"/>
      <c r="D4" s="741"/>
    </row>
    <row r="5" customFormat="false" ht="12.75" hidden="false" customHeight="false" outlineLevel="0" collapsed="false">
      <c r="A5" s="745" t="s">
        <v>496</v>
      </c>
      <c r="B5" s="746" t="s">
        <v>497</v>
      </c>
      <c r="C5" s="747"/>
      <c r="D5" s="741"/>
    </row>
    <row r="6" customFormat="false" ht="15" hidden="false" customHeight="false" outlineLevel="0" collapsed="false">
      <c r="A6" s="748" t="s">
        <v>498</v>
      </c>
      <c r="B6" s="749" t="str">
        <f aca="false">CONCATENATE("crude_",IF(MONTH(DateToday)&gt;9,"",0),MONTH(DateToday),IF(DAY(DateToday)&gt;9,"",0),DAY(DateToday),".wk3")</f>
        <v>crude_0926.wk3</v>
      </c>
      <c r="C6" s="749" t="str">
        <f aca="false">CONCATENATE("crude_",IF(MONTH(DateToday)&gt;9,"",0),MONTH(DateToday),IF(DAY(DateToday)&gt;9,"",0),DAY(DateToday),".xls")</f>
        <v>crude_0926.xls</v>
      </c>
      <c r="D6" s="741"/>
    </row>
    <row r="7" customFormat="false" ht="12.75" hidden="false" customHeight="false" outlineLevel="0" collapsed="false">
      <c r="A7" s="745" t="s">
        <v>499</v>
      </c>
      <c r="B7" s="750" t="s">
        <v>247</v>
      </c>
      <c r="C7" s="751"/>
      <c r="D7" s="741"/>
    </row>
    <row r="8" customFormat="false" ht="12.75" hidden="false" customHeight="false" outlineLevel="0" collapsed="false">
      <c r="A8" s="745" t="s">
        <v>500</v>
      </c>
      <c r="B8" s="750" t="s">
        <v>501</v>
      </c>
      <c r="C8" s="752"/>
      <c r="D8" s="741"/>
    </row>
    <row r="9" customFormat="false" ht="12.75" hidden="false" customHeight="false" outlineLevel="0" collapsed="false">
      <c r="A9" s="745"/>
      <c r="B9" s="753"/>
      <c r="C9" s="752"/>
      <c r="D9" s="741"/>
    </row>
    <row r="10" customFormat="false" ht="12.75" hidden="false" customHeight="false" outlineLevel="0" collapsed="false">
      <c r="A10" s="745"/>
      <c r="B10" s="753"/>
      <c r="C10" s="754"/>
      <c r="D10" s="752"/>
    </row>
    <row r="11" customFormat="false" ht="12.75" hidden="false" customHeight="false" outlineLevel="0" collapsed="false">
      <c r="A11" s="741"/>
      <c r="B11" s="754"/>
      <c r="C11" s="755"/>
      <c r="D11" s="752"/>
    </row>
    <row r="12" customFormat="false" ht="12.75" hidden="false" customHeight="false" outlineLevel="0" collapsed="false">
      <c r="A12" s="741"/>
      <c r="B12" s="754"/>
      <c r="C12" s="755"/>
      <c r="D12" s="752"/>
    </row>
    <row r="13" customFormat="false" ht="15" hidden="false" customHeight="false" outlineLevel="0" collapsed="false">
      <c r="B13" s="756"/>
      <c r="C13" s="755"/>
      <c r="D13" s="752"/>
    </row>
    <row r="14" customFormat="false" ht="12.75" hidden="false" customHeight="false" outlineLevel="0" collapsed="false">
      <c r="B14" s="752"/>
      <c r="C14" s="755"/>
      <c r="D14" s="752"/>
    </row>
    <row r="15" customFormat="false" ht="12.75" hidden="false" customHeight="false" outlineLevel="0" collapsed="false">
      <c r="B15" s="752"/>
      <c r="C15" s="755"/>
      <c r="D15" s="752"/>
    </row>
    <row r="16" customFormat="false" ht="12.75" hidden="false" customHeight="false" outlineLevel="0" collapsed="false">
      <c r="A16" s="741"/>
      <c r="B16" s="754"/>
      <c r="C16" s="755"/>
      <c r="D16" s="752"/>
    </row>
    <row r="17" customFormat="false" ht="12.75" hidden="false" customHeight="false" outlineLevel="0" collapsed="false">
      <c r="A17" s="741"/>
      <c r="B17" s="754"/>
      <c r="C17" s="755"/>
      <c r="D17" s="752"/>
    </row>
    <row r="18" customFormat="false" ht="12.75" hidden="false" customHeight="false" outlineLevel="0" collapsed="false">
      <c r="A18" s="741"/>
      <c r="B18" s="754"/>
      <c r="C18" s="755"/>
      <c r="D18" s="752"/>
    </row>
    <row r="19" customFormat="false" ht="12.75" hidden="false" customHeight="false" outlineLevel="0" collapsed="false">
      <c r="A19" s="741"/>
      <c r="B19" s="754"/>
      <c r="C19" s="755"/>
      <c r="D19" s="752"/>
    </row>
    <row r="20" customFormat="false" ht="12.75" hidden="false" customHeight="false" outlineLevel="0" collapsed="false">
      <c r="A20" s="755"/>
      <c r="B20" s="757"/>
      <c r="C20" s="755"/>
      <c r="D20" s="752"/>
    </row>
    <row r="21" customFormat="false" ht="12.75" hidden="false" customHeight="false" outlineLevel="0" collapsed="false">
      <c r="A21" s="755"/>
      <c r="B21" s="755"/>
      <c r="C21" s="755"/>
      <c r="D21" s="752"/>
    </row>
    <row r="22" customFormat="false" ht="12.75" hidden="false" customHeight="false" outlineLevel="0" collapsed="false">
      <c r="A22" s="755"/>
      <c r="B22" s="755"/>
      <c r="D22" s="752"/>
    </row>
  </sheetData>
  <mergeCells count="1">
    <mergeCell ref="A1:C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2.804687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&amp;C&amp;12&amp;A</oddHeader>
    <oddFooter>&amp;C&amp;12Page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2.804687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&amp;C&amp;12&amp;A</oddHeader>
    <oddFooter>&amp;C&amp;12Page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1998-04-10T16:47:46Z</dcterms:created>
  <dc:creator>pzadoro</dc:creator>
  <dc:description/>
  <dc:language>en-US</dc:language>
  <cp:lastModifiedBy>Enron</cp:lastModifiedBy>
  <cp:lastPrinted>1999-09-02T19:36:17Z</cp:lastPrinted>
  <cp:revision>0</cp:revision>
  <dc:subject/>
  <dc:title/>
</cp:coreProperties>
</file>